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spreadsheetml.comments+xml" PartName="/xl/comments1.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spreadsheetml.comments+xml" PartName="/xl/comments14.xml"/>
  <Override ContentType="application/vnd.openxmlformats-officedocument.spreadsheetml.comments+xml" PartName="/xl/comments15.xml"/>
  <Override ContentType="application/vnd.openxmlformats-officedocument.spreadsheetml.comments+xml" PartName="/xl/comments16.xml"/>
  <Override ContentType="application/vnd.openxmlformats-officedocument.spreadsheetml.comments+xml" PartName="/xl/comments17.xml"/>
  <Override ContentType="application/vnd.openxmlformats-officedocument.spreadsheetml.comments+xml" PartName="/xl/comments18.xml"/>
  <Override ContentType="application/vnd.openxmlformats-officedocument.spreadsheetml.comments+xml" PartName="/xl/comments19.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ms-excel.controlproperties+xml" PartName="/xl/ctrlProps/ctrlProp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openxmlformats-officedocument.spreadsheetml.volatileDependencies+xml" PartName="/xl/volatileDependencies.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285" windowWidth="19080" windowHeight="11310" tabRatio="915"/>
  </bookViews>
  <sheets>
    <sheet name="ImportantDisclosures" sheetId="104" r:id="rId1"/>
    <sheet name="Earnings" sheetId="82" r:id="rId2"/>
    <sheet name="BullBaseBear" sheetId="85" r:id="rId3"/>
    <sheet name="MW-Cache" sheetId="69" state="veryHidden" r:id="rId4"/>
    <sheet name="__FDSCACHE__" sheetId="70" state="veryHidden" r:id="rId5"/>
    <sheet name="SalesMetrics" sheetId="53" r:id="rId6"/>
    <sheet name="sumry" sheetId="28" r:id="rId7"/>
    <sheet name="mthSales" sheetId="38" r:id="rId8"/>
    <sheet name="segmthSales" sheetId="37" r:id="rId9"/>
    <sheet name="segqtrSales" sheetId="46" r:id="rId10"/>
    <sheet name="qtrSales" sheetId="12" r:id="rId11"/>
    <sheet name="segSales&amp;OM" sheetId="47" r:id="rId12"/>
    <sheet name="Intl Est" sheetId="89" r:id="rId13"/>
    <sheet name="qtrP&amp;L" sheetId="29" r:id="rId14"/>
    <sheet name="yrP&amp;L" sheetId="20" r:id="rId15"/>
    <sheet name="yrSales" sheetId="40" r:id="rId16"/>
    <sheet name="store&amp;sf" sheetId="45" r:id="rId17"/>
    <sheet name="bal" sheetId="17" r:id="rId18"/>
    <sheet name="flow" sheetId="22" r:id="rId19"/>
    <sheet name="dtc" sheetId="36" r:id="rId20"/>
    <sheet name="work" sheetId="34" r:id="rId21"/>
    <sheet name="turn" sheetId="9" r:id="rId22"/>
    <sheet name="DebtPayment" sheetId="80" r:id="rId23"/>
    <sheet name="MWA Lease" sheetId="98" r:id="rId24"/>
    <sheet name="__APW_ACTIVE_FIELD_RESTORE__" sheetId="63" state="veryHidden" r:id="rId25"/>
    <sheet name="ROIC" sheetId="102" r:id="rId26"/>
    <sheet name="DCF" sheetId="99" r:id="rId27"/>
    <sheet name="InvtoSales" sheetId="100" r:id="rId28"/>
    <sheet name="IndexInformation" sheetId="105" r:id="rId29"/>
    <sheet name="ModPubIndex" sheetId="106" r:id="rId30"/>
  </sheets>
  <functionGroups builtInGroupCount="17"/>
  <externalReferences>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s>
  <definedNames>
    <definedName name="__FDS_HYPERLINK_TOGGLE_STATE__" hidden="1">"ON"</definedName>
    <definedName name="__FDS_UNIQUE_RANGE_ID_GENERATOR_COUNTER" localSheetId="25">155</definedName>
    <definedName name="__FDS_UNIQUE_RANGE_ID_GENERATOR_COUNTER" hidden="1">1</definedName>
    <definedName name="__FDS_USED_FOR_REUSING_RANGE_IDS_RECYCLE">{1,1,1,1}</definedName>
    <definedName name="_1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0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00__FDSAUDITLINK__" hidden="1">{"fdsup://Directions/FactSet Auditing Viewer?action=AUDIT_VALUE&amp;DB=129&amp;ID1=07589610&amp;VALUEID=01001&amp;SDATE=200702&amp;PERIODTYPE=QTR_STD&amp;window=popup_no_bar&amp;width=385&amp;height=120&amp;START_MAXIMIZED=FALSE&amp;creator=factset&amp;display_string=Audit"}</definedName>
    <definedName name="_1000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001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002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003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004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005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006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007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008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009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01__FDSAUDITLINK__" hidden="1">{"fdsup://Directions/FactSet Auditing Viewer?action=AUDIT_VALUE&amp;DB=129&amp;ID1=07589610&amp;VALUEID=01001&amp;SDATE=200701&amp;PERIODTYPE=QTR_STD&amp;window=popup_no_bar&amp;width=385&amp;height=120&amp;START_MAXIMIZED=FALSE&amp;creator=factset&amp;display_string=Audit"}</definedName>
    <definedName name="_1010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011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012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013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014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015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016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017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018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019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02__FDSAUDITLINK__" hidden="1">{"fdsup://Directions/FactSet Auditing Viewer?action=AUDIT_VALUE&amp;DB=129&amp;ID1=07589610&amp;VALUEID=01001&amp;SDATE=200604&amp;PERIODTYPE=QTR_STD&amp;window=popup_no_bar&amp;width=385&amp;height=120&amp;START_MAXIMIZED=FALSE&amp;creator=factset&amp;display_string=Audit"}</definedName>
    <definedName name="_1020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021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022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023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024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025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026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027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028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029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03__FDSAUDITLINK__" hidden="1">{"fdsup://Directions/FactSet Auditing Viewer?action=AUDIT_VALUE&amp;DB=129&amp;ID1=07589610&amp;VALUEID=01001&amp;SDATE=200603&amp;PERIODTYPE=QTR_STD&amp;window=popup_no_bar&amp;width=385&amp;height=120&amp;START_MAXIMIZED=FALSE&amp;creator=factset&amp;display_string=Audit"}</definedName>
    <definedName name="_1030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031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032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033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034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035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036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037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038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039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04__FDSAUDITLINK__" hidden="1">{"fdsup://Directions/FactSet Auditing Viewer?action=AUDIT_VALUE&amp;DB=129&amp;ID1=07589610&amp;VALUEID=01001&amp;SDATE=200602&amp;PERIODTYPE=QTR_STD&amp;window=popup_no_bar&amp;width=385&amp;height=120&amp;START_MAXIMIZED=FALSE&amp;creator=factset&amp;display_string=Audit"}</definedName>
    <definedName name="_1040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041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042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043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044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045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046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047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048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049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05__FDSAUDITLINK__" hidden="1">{"fdsup://Directions/FactSet Auditing Viewer?action=AUDIT_VALUE&amp;DB=129&amp;ID1=07589610&amp;VALUEID=01001&amp;SDATE=200601&amp;PERIODTYPE=QTR_STD&amp;window=popup_no_bar&amp;width=385&amp;height=120&amp;START_MAXIMIZED=FALSE&amp;creator=factset&amp;display_string=Audit"}</definedName>
    <definedName name="_1050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051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052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053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054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055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056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057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058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059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06__FDSAUDITLINK__" hidden="1">{"fdsup://Directions/FactSet Auditing Viewer?action=AUDIT_VALUE&amp;DB=129&amp;ID1=07589610&amp;VALUEID=01001&amp;SDATE=200503&amp;PERIODTYPE=QTR_STD&amp;window=popup_no_bar&amp;width=385&amp;height=120&amp;START_MAXIMIZED=FALSE&amp;creator=factset&amp;display_string=Audit"}</definedName>
    <definedName name="_1060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061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062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063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064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065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066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067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068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069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07__FDSAUDITLINK__" hidden="1">{"fdsup://Directions/FactSet Auditing Viewer?action=AUDIT_VALUE&amp;DB=129&amp;ID1=96990410&amp;VALUEID=01001&amp;SDATE=200903&amp;PERIODTYPE=QTR_STD&amp;window=popup_no_bar&amp;width=385&amp;height=120&amp;START_MAXIMIZED=FALSE&amp;creator=factset&amp;display_string=Audit"}</definedName>
    <definedName name="_1070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071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072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073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074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075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076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077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078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079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08__FDSAUDITLINK__" hidden="1">{"fdsup://Directions/FactSet Auditing Viewer?action=AUDIT_VALUE&amp;DB=129&amp;ID1=96990410&amp;VALUEID=01001&amp;SDATE=200902&amp;PERIODTYPE=QTR_STD&amp;window=popup_no_bar&amp;width=385&amp;height=120&amp;START_MAXIMIZED=FALSE&amp;creator=factset&amp;display_string=Audit"}</definedName>
    <definedName name="_1080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081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082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083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084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085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086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087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088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089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09__FDSAUDITLINK__" hidden="1">{"fdsup://Directions/FactSet Auditing Viewer?action=AUDIT_VALUE&amp;DB=129&amp;ID1=96990410&amp;VALUEID=01001&amp;SDATE=200901&amp;PERIODTYPE=QTR_STD&amp;window=popup_no_bar&amp;width=385&amp;height=120&amp;START_MAXIMIZED=FALSE&amp;creator=factset&amp;display_string=Audit"}</definedName>
    <definedName name="_1090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091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092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093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094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095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096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097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098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099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1__123Graph_XLIQUIDS" hidden="1">[1]P!$R$29:$AK$29</definedName>
    <definedName name="_11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10__FDSAUDITLINK__" hidden="1">{"fdsup://Directions/FactSet Auditing Viewer?action=AUDIT_VALUE&amp;DB=129&amp;ID1=96990410&amp;VALUEID=01001&amp;SDATE=200804&amp;PERIODTYPE=QTR_STD&amp;window=popup_no_bar&amp;width=385&amp;height=120&amp;START_MAXIMIZED=FALSE&amp;creator=factset&amp;display_string=Audit"}</definedName>
    <definedName name="_1100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10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102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103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104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105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106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107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108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109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11__FDSAUDITLINK__" hidden="1">{"fdsup://Directions/FactSet Auditing Viewer?action=AUDIT_VALUE&amp;DB=129&amp;ID1=96990410&amp;VALUEID=01001&amp;SDATE=200803&amp;PERIODTYPE=QTR_STD&amp;window=popup_no_bar&amp;width=385&amp;height=120&amp;START_MAXIMIZED=FALSE&amp;creator=factset&amp;display_string=Audit"}</definedName>
    <definedName name="_1110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111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112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113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114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115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116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117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118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119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12__FDSAUDITLINK__" hidden="1">{"fdsup://Directions/FactSet Auditing Viewer?action=AUDIT_VALUE&amp;DB=129&amp;ID1=96990410&amp;VALUEID=01001&amp;SDATE=200802&amp;PERIODTYPE=QTR_STD&amp;window=popup_no_bar&amp;width=385&amp;height=120&amp;START_MAXIMIZED=FALSE&amp;creator=factset&amp;display_string=Audit"}</definedName>
    <definedName name="_112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121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122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123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124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125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126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127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128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129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13__FDSAUDITLINK__" hidden="1">{"fdsup://Directions/FactSet Auditing Viewer?action=AUDIT_VALUE&amp;DB=129&amp;ID1=96990410&amp;VALUEID=01001&amp;SDATE=200801&amp;PERIODTYPE=QTR_STD&amp;window=popup_no_bar&amp;width=385&amp;height=120&amp;START_MAXIMIZED=FALSE&amp;creator=factset&amp;display_string=Audit"}</definedName>
    <definedName name="_1130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131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132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133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134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135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136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137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138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139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14__FDSAUDITLINK__" hidden="1">{"fdsup://Directions/FactSet Auditing Viewer?action=AUDIT_VALUE&amp;DB=129&amp;ID1=96990410&amp;VALUEID=01001&amp;SDATE=200704&amp;PERIODTYPE=QTR_STD&amp;window=popup_no_bar&amp;width=385&amp;height=120&amp;START_MAXIMIZED=FALSE&amp;creator=factset&amp;display_string=Audit"}</definedName>
    <definedName name="_1140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141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142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143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144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145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146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14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148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149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15__FDSAUDITLINK__" hidden="1">{"fdsup://Directions/FactSet Auditing Viewer?action=AUDIT_VALUE&amp;DB=129&amp;ID1=96990410&amp;VALUEID=01001&amp;SDATE=200703&amp;PERIODTYPE=QTR_STD&amp;window=popup_no_bar&amp;width=385&amp;height=120&amp;START_MAXIMIZED=FALSE&amp;creator=factset&amp;display_string=Audit"}</definedName>
    <definedName name="_1150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151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152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153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154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155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15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157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158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159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16__FDSAUDITLINK__" hidden="1">{"fdsup://Directions/FactSet Auditing Viewer?action=AUDIT_VALUE&amp;DB=129&amp;ID1=96990410&amp;VALUEID=01001&amp;SDATE=200702&amp;PERIODTYPE=QTR_STD&amp;window=popup_no_bar&amp;width=385&amp;height=120&amp;START_MAXIMIZED=FALSE&amp;creator=factset&amp;display_string=Audit"}</definedName>
    <definedName name="_1160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161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162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163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164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165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166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167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168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169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17__FDSAUDITLINK__" hidden="1">{"fdsup://Directions/FactSet Auditing Viewer?action=AUDIT_VALUE&amp;DB=129&amp;ID1=96990410&amp;VALUEID=01001&amp;SDATE=200701&amp;PERIODTYPE=QTR_STD&amp;window=popup_no_bar&amp;width=385&amp;height=120&amp;START_MAXIMIZED=FALSE&amp;creator=factset&amp;display_string=Audit"}</definedName>
    <definedName name="_1170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171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172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173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174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175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176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177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178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179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18__FDSAUDITLINK__" hidden="1">{"fdsup://Directions/FactSet Auditing Viewer?action=AUDIT_VALUE&amp;DB=129&amp;ID1=96990410&amp;VALUEID=01001&amp;SDATE=200604&amp;PERIODTYPE=QTR_STD&amp;window=popup_no_bar&amp;width=385&amp;height=120&amp;START_MAXIMIZED=FALSE&amp;creator=factset&amp;display_string=Audit"}</definedName>
    <definedName name="_1180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181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182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183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184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185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186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187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188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189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19__FDSAUDITLINK__" hidden="1">{"fdsup://Directions/FactSet Auditing Viewer?action=AUDIT_VALUE&amp;DB=129&amp;ID1=96990410&amp;VALUEID=01001&amp;SDATE=200603&amp;PERIODTYPE=QTR_STD&amp;window=popup_no_bar&amp;width=385&amp;height=120&amp;START_MAXIMIZED=FALSE&amp;creator=factset&amp;display_string=Audit"}</definedName>
    <definedName name="_1190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191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192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193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194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195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196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197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198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199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2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20__FDSAUDITLINK__" hidden="1">{"fdsup://Directions/FactSet Auditing Viewer?action=AUDIT_VALUE&amp;DB=129&amp;ID1=96990410&amp;VALUEID=01001&amp;SDATE=200602&amp;PERIODTYPE=QTR_STD&amp;window=popup_no_bar&amp;width=385&amp;height=120&amp;START_MAXIMIZED=FALSE&amp;creator=factset&amp;display_string=Audit"}</definedName>
    <definedName name="_1200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201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202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203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204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205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206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207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208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209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21__FDSAUDITLINK__" hidden="1">{"fdsup://Directions/FactSet Auditing Viewer?action=AUDIT_VALUE&amp;DB=129&amp;ID1=96990410&amp;VALUEID=01001&amp;SDATE=200601&amp;PERIODTYPE=QTR_STD&amp;window=popup_no_bar&amp;width=385&amp;height=120&amp;START_MAXIMIZED=FALSE&amp;creator=factset&amp;display_string=Audit"}</definedName>
    <definedName name="_1210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211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212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213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214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215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216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217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2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219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22__FDSAUDITLINK__" hidden="1">{"fdsup://Directions/FactSet Auditing Viewer?action=AUDIT_VALUE&amp;DB=129&amp;ID1=81235010&amp;VALUEID=01001&amp;SDATE=200903&amp;PERIODTYPE=QTR_STD&amp;window=popup_no_bar&amp;width=385&amp;height=120&amp;START_MAXIMIZED=FALSE&amp;creator=factset&amp;display_string=Audit"}</definedName>
    <definedName name="_1220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221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222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223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224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225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226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227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228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229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23__FDSAUDITLINK__" hidden="1">{"fdsup://Directions/FactSet Auditing Viewer?action=AUDIT_VALUE&amp;DB=129&amp;ID1=81235010&amp;VALUEID=01001&amp;SDATE=200902&amp;PERIODTYPE=QTR_STD&amp;window=popup_no_bar&amp;width=385&amp;height=120&amp;START_MAXIMIZED=FALSE&amp;creator=factset&amp;display_string=Audit"}</definedName>
    <definedName name="_1230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231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232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233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234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235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236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23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238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239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24__FDSAUDITLINK__" hidden="1">{"fdsup://Directions/FactSet Auditing Viewer?action=AUDIT_VALUE&amp;DB=129&amp;ID1=81235010&amp;VALUEID=01001&amp;SDATE=200901&amp;PERIODTYPE=QTR_STD&amp;window=popup_no_bar&amp;width=385&amp;height=120&amp;START_MAXIMIZED=FALSE&amp;creator=factset&amp;display_string=Audit"}</definedName>
    <definedName name="_1240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241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242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243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244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24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246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247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248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249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25__FDSAUDITLINK__" hidden="1">{"fdsup://Directions/FactSet Auditing Viewer?action=AUDIT_VALUE&amp;DB=129&amp;ID1=81235010&amp;VALUEID=01001&amp;SDATE=200804&amp;PERIODTYPE=QTR_STD&amp;window=popup_no_bar&amp;width=385&amp;height=120&amp;START_MAXIMIZED=FALSE&amp;creator=factset&amp;display_string=Audit"}</definedName>
    <definedName name="_1250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251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252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253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254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255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256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257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258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259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26__FDSAUDITLINK__" hidden="1">{"fdsup://Directions/FactSet Auditing Viewer?action=AUDIT_VALUE&amp;DB=129&amp;ID1=81235010&amp;VALUEID=01001&amp;SDATE=200803&amp;PERIODTYPE=QTR_STD&amp;window=popup_no_bar&amp;width=385&amp;height=120&amp;START_MAXIMIZED=FALSE&amp;creator=factset&amp;display_string=Audit"}</definedName>
    <definedName name="_1260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261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262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263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264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265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266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267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268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269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27__FDSAUDITLINK__" hidden="1">{"fdsup://Directions/FactSet Auditing Viewer?action=AUDIT_VALUE&amp;DB=129&amp;ID1=81235010&amp;VALUEID=01001&amp;SDATE=200802&amp;PERIODTYPE=QTR_STD&amp;window=popup_no_bar&amp;width=385&amp;height=120&amp;START_MAXIMIZED=FALSE&amp;creator=factset&amp;display_string=Audit"}</definedName>
    <definedName name="_1270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271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272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273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274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275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276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277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278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279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28__FDSAUDITLINK__" hidden="1">{"fdsup://Directions/FactSet Auditing Viewer?action=AUDIT_VALUE&amp;DB=129&amp;ID1=81235010&amp;VALUEID=01001&amp;SDATE=200801&amp;PERIODTYPE=QTR_STD&amp;window=popup_no_bar&amp;width=385&amp;height=120&amp;START_MAXIMIZED=FALSE&amp;creator=factset&amp;display_string=Audit"}</definedName>
    <definedName name="_1280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281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282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283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284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285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286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287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288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289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29__FDSAUDITLINK__" hidden="1">{"fdsup://Directions/FactSet Auditing Viewer?action=AUDIT_VALUE&amp;DB=129&amp;ID1=81235010&amp;VALUEID=01001&amp;SDATE=200704&amp;PERIODTYPE=QTR_STD&amp;window=popup_no_bar&amp;width=385&amp;height=120&amp;START_MAXIMIZED=FALSE&amp;creator=factset&amp;display_string=Audit"}</definedName>
    <definedName name="_1290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291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292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293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294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295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296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297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298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299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3__123Graph_XR_M_MARG" hidden="1">[1]P!$R$29:$AK$29</definedName>
    <definedName name="_13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30__FDSAUDITLINK__" hidden="1">{"fdsup://Directions/FactSet Auditing Viewer?action=AUDIT_VALUE&amp;DB=129&amp;ID1=81235010&amp;VALUEID=01001&amp;SDATE=200703&amp;PERIODTYPE=QTR_STD&amp;window=popup_no_bar&amp;width=385&amp;height=120&amp;START_MAXIMIZED=FALSE&amp;creator=factset&amp;display_string=Audit"}</definedName>
    <definedName name="_1300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301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302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303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304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305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306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3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308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309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31__FDSAUDITLINK__" hidden="1">{"fdsup://Directions/FactSet Auditing Viewer?action=AUDIT_VALUE&amp;DB=129&amp;ID1=81235010&amp;VALUEID=01001&amp;SDATE=200702&amp;PERIODTYPE=QTR_STD&amp;window=popup_no_bar&amp;width=385&amp;height=120&amp;START_MAXIMIZED=FALSE&amp;creator=factset&amp;display_string=Audit"}</definedName>
    <definedName name="_1310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311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312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313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314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315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316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317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318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319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32__FDSAUDITLINK__" hidden="1">{"fdsup://Directions/FactSet Auditing Viewer?action=AUDIT_VALUE&amp;DB=129&amp;ID1=81235010&amp;VALUEID=01001&amp;SDATE=200701&amp;PERIODTYPE=QTR_STD&amp;window=popup_no_bar&amp;width=385&amp;height=120&amp;START_MAXIMIZED=FALSE&amp;creator=factset&amp;display_string=Audit"}</definedName>
    <definedName name="_1320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321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322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323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324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325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326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327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328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329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33__FDSAUDITLINK__" hidden="1">{"fdsup://Directions/FactSet Auditing Viewer?action=AUDIT_VALUE&amp;DB=129&amp;ID1=81235010&amp;VALUEID=01001&amp;SDATE=200604&amp;PERIODTYPE=QTR_STD&amp;window=popup_no_bar&amp;width=385&amp;height=120&amp;START_MAXIMIZED=FALSE&amp;creator=factset&amp;display_string=Audit"}</definedName>
    <definedName name="_1330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331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332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333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334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335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336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337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338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339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34__FDSAUDITLINK__" hidden="1">{"fdsup://Directions/FactSet Auditing Viewer?action=AUDIT_VALUE&amp;DB=129&amp;ID1=81235010&amp;VALUEID=01001&amp;SDATE=200603&amp;PERIODTYPE=QTR_STD&amp;window=popup_no_bar&amp;width=385&amp;height=120&amp;START_MAXIMIZED=FALSE&amp;creator=factset&amp;display_string=Audit"}</definedName>
    <definedName name="_1340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341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342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343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344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345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346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347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348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349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35__FDSAUDITLINK__" hidden="1">{"fdsup://Directions/FactSet Auditing Viewer?action=AUDIT_VALUE&amp;DB=129&amp;ID1=81235010&amp;VALUEID=01001&amp;SDATE=200602&amp;PERIODTYPE=QTR_STD&amp;window=popup_no_bar&amp;width=385&amp;height=120&amp;START_MAXIMIZED=FALSE&amp;creator=factset&amp;display_string=Audit"}</definedName>
    <definedName name="_1350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351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352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353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354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355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356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357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358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359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36__FDSAUDITLINK__" hidden="1">{"fdsup://Directions/FactSet Auditing Viewer?action=AUDIT_VALUE&amp;DB=129&amp;ID1=81235010&amp;VALUEID=01001&amp;SDATE=200601&amp;PERIODTYPE=QTR_STD&amp;window=popup_no_bar&amp;width=385&amp;height=120&amp;START_MAXIMIZED=FALSE&amp;creator=factset&amp;display_string=Audit"}</definedName>
    <definedName name="_1360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361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362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363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364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365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366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367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368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369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37__FDSAUDITLINK__" hidden="1">{"fdsup://Directions/FactSet Auditing Viewer?action=AUDIT_VALUE&amp;DB=129&amp;ID1=82434810&amp;VALUEID=01001&amp;SDATE=200903&amp;PERIODTYPE=QTR_STD&amp;window=popup_no_bar&amp;width=385&amp;height=120&amp;START_MAXIMIZED=FALSE&amp;creator=factset&amp;display_string=Audit"}</definedName>
    <definedName name="_1370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371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372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373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374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375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376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377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378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379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38__FDSAUDITLINK__" hidden="1">{"fdsup://Directions/FactSet Auditing Viewer?action=AUDIT_VALUE&amp;DB=129&amp;ID1=82434810&amp;VALUEID=01001&amp;SDATE=200902&amp;PERIODTYPE=QTR_STD&amp;window=popup_no_bar&amp;width=385&amp;height=120&amp;START_MAXIMIZED=FALSE&amp;creator=factset&amp;display_string=Audit"}</definedName>
    <definedName name="_1380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381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382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383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384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385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386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387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388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389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39__FDSAUDITLINK__" hidden="1">{"fdsup://Directions/FactSet Auditing Viewer?action=AUDIT_VALUE&amp;DB=129&amp;ID1=82434810&amp;VALUEID=01001&amp;SDATE=200901&amp;PERIODTYPE=QTR_STD&amp;window=popup_no_bar&amp;width=385&amp;height=120&amp;START_MAXIMIZED=FALSE&amp;creator=factset&amp;display_string=Audit"}</definedName>
    <definedName name="_1390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391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392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393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394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395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396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397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398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399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4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40__FDSAUDITLINK__" hidden="1">{"fdsup://Directions/FactSet Auditing Viewer?action=AUDIT_VALUE&amp;DB=129&amp;ID1=82434810&amp;VALUEID=01001&amp;SDATE=200803&amp;PERIODTYPE=QTR_STD&amp;window=popup_no_bar&amp;width=385&amp;height=120&amp;START_MAXIMIZED=FALSE&amp;creator=factset&amp;display_string=Audit"}</definedName>
    <definedName name="_1400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401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402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403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404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405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406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407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408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409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41__FDSAUDITLINK__" hidden="1">{"fdsup://Directions/FactSet Auditing Viewer?action=AUDIT_VALUE&amp;DB=129&amp;ID1=82434810&amp;VALUEID=01001&amp;SDATE=200802&amp;PERIODTYPE=QTR_STD&amp;window=popup_no_bar&amp;width=385&amp;height=120&amp;START_MAXIMIZED=FALSE&amp;creator=factset&amp;display_string=Audit"}</definedName>
    <definedName name="_1410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41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412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41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41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41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41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41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41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41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42__FDSAUDITLINK__" hidden="1">{"fdsup://Directions/FactSet Auditing Viewer?action=AUDIT_VALUE&amp;DB=129&amp;ID1=82434810&amp;VALUEID=01001&amp;SDATE=200801&amp;PERIODTYPE=QTR_STD&amp;window=popup_no_bar&amp;width=385&amp;height=120&amp;START_MAXIMIZED=FALSE&amp;creator=factset&amp;display_string=Audit"}</definedName>
    <definedName name="_142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42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42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42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42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42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42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42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42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42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43__FDSAUDITLINK__" hidden="1">{"fdsup://Directions/FactSet Auditing Viewer?action=AUDIT_VALUE&amp;DB=129&amp;ID1=82434810&amp;VALUEID=01001&amp;SDATE=200704&amp;PERIODTYPE=QTR_STD&amp;window=popup_no_bar&amp;width=385&amp;height=120&amp;START_MAXIMIZED=FALSE&amp;creator=factset&amp;display_string=Audit"}</definedName>
    <definedName name="_143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43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143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143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143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143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143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143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143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143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144__FDSAUDITLINK__" hidden="1">{"fdsup://Directions/FactSet Auditing Viewer?action=AUDIT_VALUE&amp;DB=129&amp;ID1=82434810&amp;VALUEID=01001&amp;SDATE=200703&amp;PERIODTYPE=QTR_STD&amp;window=popup_no_bar&amp;width=385&amp;height=120&amp;START_MAXIMIZED=FALSE&amp;creator=factset&amp;display_string=Audit"}</definedName>
    <definedName name="_1440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1441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144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1443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1444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1445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1446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1447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14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144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145__FDSAUDITLINK__" hidden="1">{"fdsup://Directions/FactSet Auditing Viewer?action=AUDIT_VALUE&amp;DB=129&amp;ID1=82434810&amp;VALUEID=01001&amp;SDATE=200702&amp;PERIODTYPE=QTR_STD&amp;window=popup_no_bar&amp;width=385&amp;height=120&amp;START_MAXIMIZED=FALSE&amp;creator=factset&amp;display_string=Audit"}</definedName>
    <definedName name="_145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14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1452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1453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145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1455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145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1457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145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1459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146__FDSAUDITLINK__" hidden="1">{"fdsup://Directions/FactSet Auditing Viewer?action=AUDIT_VALUE&amp;DB=129&amp;ID1=82434810&amp;VALUEID=01001&amp;SDATE=200701&amp;PERIODTYPE=QTR_STD&amp;window=popup_no_bar&amp;width=385&amp;height=120&amp;START_MAXIMIZED=FALSE&amp;creator=factset&amp;display_string=Audit"}</definedName>
    <definedName name="_146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1461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1462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1463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146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146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146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146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1468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1469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147__FDSAUDITLINK__" hidden="1">{"fdsup://Directions/FactSet Auditing Viewer?action=AUDIT_VALUE&amp;DB=129&amp;ID1=82434810&amp;VALUEID=01001&amp;SDATE=200603&amp;PERIODTYPE=QTR_STD&amp;window=popup_no_bar&amp;width=385&amp;height=120&amp;START_MAXIMIZED=FALSE&amp;creator=factset&amp;display_string=Audit"}</definedName>
    <definedName name="_1470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1471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1472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1473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147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1475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1476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1477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1478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1479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148__FDSAUDITLINK__" hidden="1">{"fdsup://Directions/FactSet Auditing Viewer?action=AUDIT_VALUE&amp;DB=129&amp;ID1=82434810&amp;VALUEID=01001&amp;SDATE=200602&amp;PERIODTYPE=QTR_STD&amp;window=popup_no_bar&amp;width=385&amp;height=120&amp;START_MAXIMIZED=FALSE&amp;creator=factset&amp;display_string=Audit"}</definedName>
    <definedName name="_1480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148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1482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1483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1484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148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148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1487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1488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1489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149__FDSAUDITLINK__" hidden="1">{"fdsup://Directions/FactSet Auditing Viewer?action=AUDIT_VALUE&amp;DB=129&amp;ID1=82434810&amp;VALUEID=01001&amp;SDATE=200601&amp;PERIODTYPE=QTR_STD&amp;window=popup_no_bar&amp;width=385&amp;height=120&amp;START_MAXIMIZED=FALSE&amp;creator=factset&amp;display_string=Audit"}</definedName>
    <definedName name="_1490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14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1492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1493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1494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1495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1496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1497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149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14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15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50__FDSAUDITLINK__" hidden="1">{"fdsup://Directions/FactSet Auditing Viewer?action=AUDIT_VALUE&amp;DB=129&amp;ID1=57459910&amp;VALUEID=01001&amp;SDATE=200903&amp;PERIODTYPE=QTR_STD&amp;window=popup_no_bar&amp;width=385&amp;height=120&amp;START_MAXIMIZED=FALSE&amp;creator=factset&amp;display_string=Audit"}</definedName>
    <definedName name="_1500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1501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1502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1503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1504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1505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1506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1507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1508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1509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151__FDSAUDITLINK__" hidden="1">{"fdsup://Directions/FactSet Auditing Viewer?action=AUDIT_VALUE&amp;DB=129&amp;ID1=57459910&amp;VALUEID=01001&amp;SDATE=200902&amp;PERIODTYPE=QTR_STD&amp;window=popup_no_bar&amp;width=385&amp;height=120&amp;START_MAXIMIZED=FALSE&amp;creator=factset&amp;display_string=Audit"}</definedName>
    <definedName name="_1510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1511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1512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1513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1514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1515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1516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1517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1518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1519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152__FDSAUDITLINK__" hidden="1">{"fdsup://Directions/FactSet Auditing Viewer?action=AUDIT_VALUE&amp;DB=129&amp;ID1=57459910&amp;VALUEID=01001&amp;SDATE=200901&amp;PERIODTYPE=QTR_STD&amp;window=popup_no_bar&amp;width=385&amp;height=120&amp;START_MAXIMIZED=FALSE&amp;creator=factset&amp;display_string=Audit"}</definedName>
    <definedName name="_1520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1521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1522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1523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1524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1525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1526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1527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1528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152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153__FDSAUDITLINK__" hidden="1">{"fdsup://Directions/FactSet Auditing Viewer?action=AUDIT_VALUE&amp;DB=129&amp;ID1=57459910&amp;VALUEID=01001&amp;SDATE=200804&amp;PERIODTYPE=QTR_STD&amp;window=popup_no_bar&amp;width=385&amp;height=120&amp;START_MAXIMIZED=FALSE&amp;creator=factset&amp;display_string=Audit"}</definedName>
    <definedName name="_1530__FDSAUDITLINK__" hidden="1">{"fdsup://directions/FAT Viewer?action=UPDATE&amp;creator=factset&amp;DYN_ARGS=TRUE&amp;DOC_NAME=FAT:FQL_AUDITING_CLIENT_TEMPLATE.FAT&amp;display_string=Audit&amp;VAR:KEY=RKPQDQZENU&amp;VAR:QUERY=RkZfUlRfU0ZfVE9UX0dST1NTKFFUUiwtMTYp&amp;WINDOW=FIRST_POPUP&amp;HEIGHT=450&amp;WIDTH=450&amp;START_MA","XIMIZED=FALSE&amp;VAR:CALENDAR=US&amp;VAR:SYMBOL=MW&amp;VAR:INDEX=0"}</definedName>
    <definedName name="_1531__FDSAUDITLINK__" hidden="1">{"fdsup://directions/FAT Viewer?action=UPDATE&amp;creator=factset&amp;DYN_ARGS=TRUE&amp;DOC_NAME=FAT:FQL_AUDITING_CLIENT_TEMPLATE.FAT&amp;display_string=Audit&amp;VAR:KEY=DGFWHAXCHW&amp;VAR:QUERY=RkZfUlRfU0ZfVE9UX0dST1NTKFFUUiwtMTUp&amp;WINDOW=FIRST_POPUP&amp;HEIGHT=450&amp;WIDTH=450&amp;START_MA","XIMIZED=FALSE&amp;VAR:CALENDAR=US&amp;VAR:SYMBOL=MW&amp;VAR:INDEX=0"}</definedName>
    <definedName name="_1532__FDSAUDITLINK__" hidden="1">{"fdsup://directions/FAT Viewer?action=UPDATE&amp;creator=factset&amp;DYN_ARGS=TRUE&amp;DOC_NAME=FAT:FQL_AUDITING_CLIENT_TEMPLATE.FAT&amp;display_string=Audit&amp;VAR:KEY=RIPOZCVKJU&amp;VAR:QUERY=RkZfUlRfU0ZfVE9UX0dST1NTKFFUUiwtMTQp&amp;WINDOW=FIRST_POPUP&amp;HEIGHT=450&amp;WIDTH=450&amp;START_MA","XIMIZED=FALSE&amp;VAR:CALENDAR=US&amp;VAR:SYMBOL=MW&amp;VAR:INDEX=0"}</definedName>
    <definedName name="_1533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1534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35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36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37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1538__FDSAUDITLINK__" hidden="1">{"fdsup://directions/FAT Viewer?action=UPDATE&amp;creator=factset&amp;DYN_ARGS=TRUE&amp;DOC_NAME=FAT:FQL_AUDITING_CLIENT_TEMPLATE.FAT&amp;display_string=Audit&amp;VAR:KEY=ZYBGTQFENI&amp;VAR:QUERY=RkZfUlRfU0ZfVE9UX0dST1NTKFFUUiwtOCk=&amp;WINDOW=FIRST_POPUP&amp;HEIGHT=450&amp;WIDTH=450&amp;START_MA","XIMIZED=FALSE&amp;VAR:CALENDAR=US&amp;VAR:SYMBOL=MW&amp;VAR:INDEX=0"}</definedName>
    <definedName name="_1539__FDSAUDITLINK__" hidden="1">{"fdsup://directions/FAT Viewer?action=UPDATE&amp;creator=factset&amp;DYN_ARGS=TRUE&amp;DOC_NAME=FAT:FQL_AUDITING_CLIENT_TEMPLATE.FAT&amp;display_string=Audit&amp;VAR:KEY=PKHARSBEJO&amp;VAR:QUERY=RkZfUlRfU0ZfVE9UX0dST1NTKFFUUiwtNyk=&amp;WINDOW=FIRST_POPUP&amp;HEIGHT=450&amp;WIDTH=450&amp;START_MA","XIMIZED=FALSE&amp;VAR:CALENDAR=US&amp;VAR:SYMBOL=MW&amp;VAR:INDEX=0"}</definedName>
    <definedName name="_154__FDSAUDITLINK__" hidden="1">{"fdsup://Directions/FactSet Auditing Viewer?action=AUDIT_VALUE&amp;DB=129&amp;ID1=57459910&amp;VALUEID=01001&amp;SDATE=200803&amp;PERIODTYPE=QTR_STD&amp;window=popup_no_bar&amp;width=385&amp;height=120&amp;START_MAXIMIZED=FALSE&amp;creator=factset&amp;display_string=Audit"}</definedName>
    <definedName name="_1540__FDSAUDITLINK__" hidden="1">{"fdsup://directions/FAT Viewer?action=UPDATE&amp;creator=factset&amp;DYN_ARGS=TRUE&amp;DOC_NAME=FAT:FQL_AUDITING_CLIENT_TEMPLATE.FAT&amp;display_string=Audit&amp;VAR:KEY=TUFIDOPGDK&amp;VAR:QUERY=RkZfUlRfU0ZfVE9UX0dST1NTKFFUUiwtNik=&amp;WINDOW=FIRST_POPUP&amp;HEIGHT=450&amp;WIDTH=450&amp;START_MA","XIMIZED=FALSE&amp;VAR:CALENDAR=US&amp;VAR:SYMBOL=MW&amp;VAR:INDEX=0"}</definedName>
    <definedName name="_1541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1542__FDSAUDITLINK__" hidden="1">{"fdsup://directions/FAT Viewer?action=UPDATE&amp;creator=factset&amp;DYN_ARGS=TRUE&amp;DOC_NAME=FAT:FQL_AUDITING_CLIENT_TEMPLATE.FAT&amp;display_string=Audit&amp;VAR:KEY=VWLUVOLOTS&amp;VAR:QUERY=RkZfUlRfU0ZfVE9UX0dST1NTKFFUUiwtNCk=&amp;WINDOW=FIRST_POPUP&amp;HEIGHT=450&amp;WIDTH=450&amp;START_MA","XIMIZED=FALSE&amp;VAR:CALENDAR=US&amp;VAR:SYMBOL=MW&amp;VAR:INDEX=0"}</definedName>
    <definedName name="_1543__FDSAUDITLINK__" hidden="1">{"fdsup://directions/FAT Viewer?action=UPDATE&amp;creator=factset&amp;DYN_ARGS=TRUE&amp;DOC_NAME=FAT:FQL_AUDITING_CLIENT_TEMPLATE.FAT&amp;display_string=Audit&amp;VAR:KEY=NUNEHSBQVC&amp;VAR:QUERY=RkZfUlRfU0ZfVE9UX0dST1NTKFFUUiwtMyk=&amp;WINDOW=FIRST_POPUP&amp;HEIGHT=450&amp;WIDTH=450&amp;START_MA","XIMIZED=FALSE&amp;VAR:CALENDAR=US&amp;VAR:SYMBOL=MW&amp;VAR:INDEX=0"}</definedName>
    <definedName name="_1544__FDSAUDITLINK__" hidden="1">{"fdsup://directions/FAT Viewer?action=UPDATE&amp;creator=factset&amp;DYN_ARGS=TRUE&amp;DOC_NAME=FAT:FQL_AUDITING_CLIENT_TEMPLATE.FAT&amp;display_string=Audit&amp;VAR:KEY=DYVEJGLOTU&amp;VAR:QUERY=RkZfUlRfU0ZfVE9UX0dST1NTKFFUUiwtMik=&amp;WINDOW=FIRST_POPUP&amp;HEIGHT=450&amp;WIDTH=450&amp;START_MA","XIMIZED=FALSE&amp;VAR:CALENDAR=US&amp;VAR:SYMBOL=MW&amp;VAR:INDEX=0"}</definedName>
    <definedName name="_1545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1546__FDSAUDITLINK__" hidden="1">{"fdsup://directions/FAT Viewer?action=UPDATE&amp;creator=factset&amp;DYN_ARGS=TRUE&amp;DOC_NAME=FAT:FQL_AUDITING_CLIENT_TEMPLATE.FAT&amp;display_string=Audit&amp;VAR:KEY=XIDOJQDIDO&amp;VAR:QUERY=RkZfUlRfU0ZfVE9UX0dST1NTKFFUUiwwKQ==&amp;WINDOW=FIRST_POPUP&amp;HEIGHT=450&amp;WIDTH=450&amp;START_MA","XIMIZED=FALSE&amp;VAR:CALENDAR=US&amp;VAR:SYMBOL=MW&amp;VAR:INDEX=0"}</definedName>
    <definedName name="_1547__FDSAUDITLINK__" hidden="1">{"fdsup://directions/FAT Viewer?action=UPDATE&amp;creator=factset&amp;DYN_ARGS=TRUE&amp;DOC_NAME=FAT:FQL_AUDITING_CLIENT_TEMPLATE.FAT&amp;display_string=Audit&amp;VAR:KEY=TSBWJUTAVW&amp;VAR:QUERY=RkZfUlRfU0ZfVE9UX0dST1NTKFFUUiwtMTIp&amp;WINDOW=FIRST_POPUP&amp;HEIGHT=450&amp;WIDTH=450&amp;START_MA","XIMIZED=FALSE&amp;VAR:CALENDAR=US&amp;VAR:SYMBOL=MW&amp;VAR:INDEX=0"}</definedName>
    <definedName name="_1548__FDSAUDITLINK__" hidden="1">{"fdsup://directions/FAT Viewer?action=UPDATE&amp;creator=factset&amp;DYN_ARGS=TRUE&amp;DOC_NAME=FAT:FQL_AUDITING_CLIENT_TEMPLATE.FAT&amp;display_string=Audit&amp;VAR:KEY=NOFAHIRKNW&amp;VAR:QUERY=RkZfUlRfU0ZfVE9UX0dST1NTKFFUUiwtMTEp&amp;WINDOW=FIRST_POPUP&amp;HEIGHT=450&amp;WIDTH=450&amp;START_MA","XIMIZED=FALSE&amp;VAR:CALENDAR=US&amp;VAR:SYMBOL=MW&amp;VAR:INDEX=0"}</definedName>
    <definedName name="_1549__FDSAUDITLINK__" hidden="1">{"fdsup://directions/FAT Viewer?action=UPDATE&amp;creator=factset&amp;DYN_ARGS=TRUE&amp;DOC_NAME=FAT:FQL_AUDITING_CLIENT_TEMPLATE.FAT&amp;display_string=Audit&amp;VAR:KEY=NIVIHMZYZO&amp;VAR:QUERY=RkZfUlRfU0ZfVE9UX0dST1NTKFFUUiwtMTAp&amp;WINDOW=FIRST_POPUP&amp;HEIGHT=450&amp;WIDTH=450&amp;START_MA","XIMIZED=FALSE&amp;VAR:CALENDAR=US&amp;VAR:SYMBOL=MW&amp;VAR:INDEX=0"}</definedName>
    <definedName name="_1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550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1551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1552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1553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1554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1555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1556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1557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1558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1559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1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560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1561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1562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1563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1564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1565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1566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1567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1568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1569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1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570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1571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1572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1573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1574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1575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1576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1577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1578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1579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1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580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1581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1582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1583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1584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1585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1586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1587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1588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1589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1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590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1591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1592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1593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1594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1595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1596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1597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1598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1599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16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600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1601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1602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1603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1604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1605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1606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1607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1608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1609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1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610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1611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1612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1613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1614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1615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1616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1617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1618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1619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1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620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1621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1622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1623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1624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1625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1626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1627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1628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1629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1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630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1631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1632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1633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1634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1635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1636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1637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1638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1639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1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640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1641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1642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1643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1644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1645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1646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1647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1648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1649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1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650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1651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1652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1653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1654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1655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1656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1657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1658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1659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1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660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1661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1662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1663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1664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1665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1666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1667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1668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1669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1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67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1671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1672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1673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1674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1675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1676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1677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1678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1679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1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680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1681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1682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1683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1684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1685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1686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1687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1688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168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1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690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1691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1692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1693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1694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1695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1696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1697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1698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1699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17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700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1701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1702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1703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1704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1705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1706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1707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1708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1709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1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710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1711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1712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1713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1714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1715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171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1717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1718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1719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1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720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1721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1722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1723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1724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17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1726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1727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1728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1729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1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730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1731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1732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1733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1734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1735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1736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1737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1738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1739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1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740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1741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1742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1743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174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1745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1746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1747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1748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1749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1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750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1751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1752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1753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1754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1755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1756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1757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1758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1759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1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760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1761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1762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1763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1764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1765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1766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1767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1768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1769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1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770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1771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1772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1773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1774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1775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1776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1777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1778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1779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1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780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1781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1782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1783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1784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1785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1786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178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1788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1789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1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790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1791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1792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1793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1794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1795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1796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1797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1798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1799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18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800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1801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1802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1803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1804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1805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1806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1807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1808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1809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1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810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1811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1812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1813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18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1815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1816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1817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1818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1819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1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820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1821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1822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1823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1824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1825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1826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1827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1828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1829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1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830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1831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1832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1833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1834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1835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1836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1837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1838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1839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1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840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1841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1842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1843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1844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1845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1846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1847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1848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1849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1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850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1851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1852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1853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1854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1855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1856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1857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1858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1859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1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860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1861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1862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1863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1864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1865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1866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1867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1868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1869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1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870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1871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1872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1873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1874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1875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1876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1877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1878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1879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1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880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1881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1882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1883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1884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1885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1886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1887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1888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1889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1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890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1891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1892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1893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1894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1895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1896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1897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1898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1899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19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900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1901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1902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1903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1904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1905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1906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1907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1908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1909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1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910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1911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1912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1913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1914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1915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1916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1917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1918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1919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1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1920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1921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1922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1923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1924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1925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1926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1927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1928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1929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1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930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1931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1932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1933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1934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1935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1936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1937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1938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1939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1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1940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1941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1942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19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1944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1945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1946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1947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1948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1949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1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950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1951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1952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1953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1954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1955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1956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1957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1958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1959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1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1960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1961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19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19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19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19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19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1967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1968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1969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1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970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1971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1972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1973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1974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1975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1976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1977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1978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1979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1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1980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1981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1982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1983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1984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1985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1986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1987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1988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1989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1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1990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1991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1992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1993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1994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1995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1996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1997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1998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1999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__123Graph_Aｸﾞﾗﾌ_1" hidden="1">[2]ｾｸﾞﾒﾝﾄ!$E$164:$I$164</definedName>
    <definedName name="_2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0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000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001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002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003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004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005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006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007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008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009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010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01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01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013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014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015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016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01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018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019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020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021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022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023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024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02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026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027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028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029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030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031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032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033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034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035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036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037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038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039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040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041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042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043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044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045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046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047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048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049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050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051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052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053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054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055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056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057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058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059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060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061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062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063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064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065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066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067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068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069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070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071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072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073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074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075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076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077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078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079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080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081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082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083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084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085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086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087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088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089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090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091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092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093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094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095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096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097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098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099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1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100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101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10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103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104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105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10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107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10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109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110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111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11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113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114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115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11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117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118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119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120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121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122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123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124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125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126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127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128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129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130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131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132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133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134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135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136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137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138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39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140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41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4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43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14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45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2146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2147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2148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214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2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150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2151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2152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2153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2154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2155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2156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2157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2158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2159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2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160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2161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2162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2163__FDSAUDITLINK__" hidden="1">{"fdsup://Directions/FactSet Auditing Viewer?action=AUDIT_VALUE&amp;DB=129&amp;ID1=00289620&amp;VALUEID=02101&amp;SDATE=201001&amp;PERIODTYPE=QTR_STD&amp;window=popup_no_bar&amp;width=385&amp;height=120&amp;START_MAXIMIZED=FALSE&amp;creator=factset&amp;display_string=Audit"}</definedName>
    <definedName name="_2164__FDSAUDITLINK__" hidden="1">{"fdsup://Directions/FactSet Auditing Viewer?action=AUDIT_VALUE&amp;DB=129&amp;ID1=00289620&amp;VALUEID=13040&amp;SDATE=201001&amp;PERIODTYPE=QTR_STD&amp;window=popup_no_bar&amp;width=385&amp;height=120&amp;START_MAXIMIZED=FALSE&amp;creator=factset&amp;display_string=Audit"}</definedName>
    <definedName name="_2165__FDSAUDITLINK__" hidden="1">{"fdsup://Directions/FactSet Auditing Viewer?action=AUDIT_VALUE&amp;DB=129&amp;ID1=87416110&amp;VALUEID=01001&amp;SDATE=200904&amp;PERIODTYPE=QTR_STD&amp;window=popup_no_bar&amp;width=385&amp;height=120&amp;START_MAXIMIZED=FALSE&amp;creator=factset&amp;display_string=Audit"}</definedName>
    <definedName name="_2166__FDSAUDITLINK__" hidden="1">{"fdsup://directions/FAT Viewer?action=UPDATE&amp;creator=factset&amp;DYN_ARGS=TRUE&amp;DOC_NAME=FAT:FQL_AUDITING_CLIENT_TEMPLATE.FAT&amp;display_string=Audit&amp;VAR:KEY=BIFCDOPIRG&amp;VAR:QUERY=RkZfUlRfU0ZfVE9UX0dST1NTKFFUUiwtMSk=&amp;WINDOW=FIRST_POPUP&amp;HEIGHT=450&amp;WIDTH=450&amp;START_MA","XIMIZED=FALSE&amp;VAR:CALENDAR=US&amp;VAR:SYMBOL=TLB&amp;VAR:INDEX=0"}</definedName>
    <definedName name="_2167__FDSAUDITLINK__" hidden="1">{"fdsup://Directions/FactSet Auditing Viewer?action=AUDIT_VALUE&amp;DB=129&amp;ID1=46612H40&amp;VALUEID=01001&amp;SDATE=200904&amp;PERIODTYPE=QTR_STD&amp;window=popup_no_bar&amp;width=385&amp;height=120&amp;START_MAXIMIZED=FALSE&amp;creator=factset&amp;display_string=Audit"}</definedName>
    <definedName name="_2168__FDSAUDITLINK__" hidden="1">{"fdsup://Directions/FactSet Auditing Viewer?action=AUDIT_VALUE&amp;DB=129&amp;ID1=36476010&amp;VALUEID=01001&amp;SDATE=200904&amp;PERIODTYPE=QTR_STD&amp;window=popup_no_bar&amp;width=385&amp;height=120&amp;START_MAXIMIZED=FALSE&amp;creator=factset&amp;display_string=Audit"}</definedName>
    <definedName name="_2169__FDSAUDITLINK__" hidden="1">{"fdsup://Directions/FactSet Auditing Viewer?action=AUDIT_VALUE&amp;DB=129&amp;ID1=03611510&amp;VALUEID=01001&amp;SDATE=200904&amp;PERIODTYPE=QTR_STD&amp;window=popup_no_bar&amp;width=385&amp;height=120&amp;START_MAXIMIZED=FALSE&amp;creator=factset&amp;display_string=Audit"}</definedName>
    <definedName name="_2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170__FDSAUDITLINK__" hidden="1">{"fdsup://Directions/FactSet Auditing Viewer?action=AUDIT_VALUE&amp;DB=129&amp;ID1=16890510&amp;VALUEID=01001&amp;SDATE=200904&amp;PERIODTYPE=QTR_STD&amp;window=popup_no_bar&amp;width=385&amp;height=120&amp;START_MAXIMIZED=FALSE&amp;creator=factset&amp;display_string=Audit"}</definedName>
    <definedName name="_2171__FDSAUDITLINK__" hidden="1">{"fdsup://Directions/FactSet Auditing Viewer?action=AUDIT_VALUE&amp;DB=129&amp;ID1=91704710&amp;VALUEID=01001&amp;SDATE=200904&amp;PERIODTYPE=QTR_STD&amp;window=popup_no_bar&amp;width=385&amp;height=120&amp;START_MAXIMIZED=FALSE&amp;creator=factset&amp;display_string=Audit"}</definedName>
    <definedName name="_2172__FDSAUDITLINK__" hidden="1">{"fdsup://Directions/FactSet Auditing Viewer?action=AUDIT_VALUE&amp;DB=129&amp;ID1=02553E10&amp;VALUEID=01001&amp;SDATE=200904&amp;PERIODTYPE=QTR_STD&amp;window=popup_no_bar&amp;width=385&amp;height=120&amp;START_MAXIMIZED=FALSE&amp;creator=factset&amp;display_string=Audit"}</definedName>
    <definedName name="_2173__FDSAUDITLINK__" hidden="1">{"fdsup://Directions/FactSet Auditing Viewer?action=AUDIT_VALUE&amp;DB=129&amp;ID1=00786510&amp;VALUEID=01001&amp;SDATE=200904&amp;PERIODTYPE=QTR_STD&amp;window=popup_no_bar&amp;width=385&amp;height=120&amp;START_MAXIMIZED=FALSE&amp;creator=factset&amp;display_string=Audit"}</definedName>
    <definedName name="_2174__FDSAUDITLINK__" hidden="1">{"fdsup://Directions/FactSet Auditing Viewer?action=AUDIT_VALUE&amp;DB=129&amp;ID1=87416110&amp;VALUEID=02101&amp;SDATE=200903&amp;PERIODTYPE=QTR_STD&amp;window=popup_no_bar&amp;width=385&amp;height=120&amp;START_MAXIMIZED=FALSE&amp;creator=factset&amp;display_string=Audit"}</definedName>
    <definedName name="_2175__FDSAUDITLINK__" hidden="1">{"fdsup://Directions/FactSet Auditing Viewer?action=AUDIT_VALUE&amp;DB=129&amp;ID1=87416110&amp;VALUEID=01001&amp;SDATE=200903&amp;PERIODTYPE=QTR_STD&amp;window=popup_no_bar&amp;width=385&amp;height=120&amp;START_MAXIMIZED=FALSE&amp;creator=factset&amp;display_string=Audit"}</definedName>
    <definedName name="_2176__FDSAUDITLINK__" hidden="1">{"fdsup://Directions/FactSet Auditing Viewer?action=AUDIT_VALUE&amp;DB=129&amp;ID1=87416110&amp;VALUEID=13040&amp;SDATE=200903&amp;PERIODTYPE=QTR_STD&amp;window=popup_no_bar&amp;width=385&amp;height=120&amp;START_MAXIMIZED=FALSE&amp;creator=factset&amp;display_string=Audit"}</definedName>
    <definedName name="_2177__FDSAUDITLINK__" hidden="1">{"fdsup://directions/FAT Viewer?action=UPDATE&amp;creator=factset&amp;DYN_ARGS=TRUE&amp;DOC_NAME=FAT:FQL_AUDITING_CLIENT_TEMPLATE.FAT&amp;display_string=Audit&amp;VAR:KEY=XAZODYBEXK&amp;VAR:QUERY=RkZfUlRfU0ZfVE9UX0dST1NTKFFUUiwtMik=&amp;WINDOW=FIRST_POPUP&amp;HEIGHT=450&amp;WIDTH=450&amp;START_MA","XIMIZED=FALSE&amp;VAR:CALENDAR=US&amp;VAR:SYMBOL=TLB&amp;VAR:INDEX=0"}</definedName>
    <definedName name="_21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2179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2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180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2181__FDSAUDITLINK__" hidden="1">{"fdsup://Directions/FactSet Auditing Viewer?action=AUDIT_VALUE&amp;DB=129&amp;ID1=46612H40&amp;VALUEID=02101&amp;SDATE=200903&amp;PERIODTYPE=QTR_STD&amp;window=popup_no_bar&amp;width=385&amp;height=120&amp;START_MAXIMIZED=FALSE&amp;creator=factset&amp;display_string=Audit"}</definedName>
    <definedName name="_2182__FDSAUDITLINK__" hidden="1">{"fdsup://Directions/FactSet Auditing Viewer?action=AUDIT_VALUE&amp;DB=129&amp;ID1=46612H40&amp;VALUEID=01001&amp;SDATE=200903&amp;PERIODTYPE=QTR_STD&amp;window=popup_no_bar&amp;width=385&amp;height=120&amp;START_MAXIMIZED=FALSE&amp;creator=factset&amp;display_string=Audit"}</definedName>
    <definedName name="_2183__FDSAUDITLINK__" hidden="1">{"fdsup://Directions/FactSet Auditing Viewer?action=AUDIT_VALUE&amp;DB=129&amp;ID1=46612H40&amp;VALUEID=13040&amp;SDATE=200903&amp;PERIODTYPE=QTR_STD&amp;window=popup_no_bar&amp;width=385&amp;height=120&amp;START_MAXIMIZED=FALSE&amp;creator=factset&amp;display_string=Audit"}</definedName>
    <definedName name="_2184__FDSAUDITLINK__" hidden="1">{"fdsup://Directions/FactSet Auditing Viewer?action=AUDIT_VALUE&amp;DB=129&amp;ID1=36476010&amp;VALUEID=02101&amp;SDATE=200903&amp;PERIODTYPE=QTR_STD&amp;window=popup_no_bar&amp;width=385&amp;height=120&amp;START_MAXIMIZED=FALSE&amp;creator=factset&amp;display_string=Audit"}</definedName>
    <definedName name="_2185__FDSAUDITLINK__" hidden="1">{"fdsup://Directions/FactSet Auditing Viewer?action=AUDIT_VALUE&amp;DB=129&amp;ID1=36476010&amp;VALUEID=01001&amp;SDATE=200903&amp;PERIODTYPE=QTR_STD&amp;window=popup_no_bar&amp;width=385&amp;height=120&amp;START_MAXIMIZED=FALSE&amp;creator=factset&amp;display_string=Audit"}</definedName>
    <definedName name="_2186__FDSAUDITLINK__" hidden="1">{"fdsup://Directions/FactSet Auditing Viewer?action=AUDIT_VALUE&amp;DB=129&amp;ID1=36476010&amp;VALUEID=13040&amp;SDATE=200903&amp;PERIODTYPE=QTR_STD&amp;window=popup_no_bar&amp;width=385&amp;height=120&amp;START_MAXIMIZED=FALSE&amp;creator=factset&amp;display_string=Audit"}</definedName>
    <definedName name="_2187__FDSAUDITLINK__" hidden="1">{"fdsup://Directions/FactSet Auditing Viewer?action=AUDIT_VALUE&amp;DB=129&amp;ID1=03611510&amp;VALUEID=02101&amp;SDATE=200903&amp;PERIODTYPE=QTR_STD&amp;window=popup_no_bar&amp;width=385&amp;height=120&amp;START_MAXIMIZED=FALSE&amp;creator=factset&amp;display_string=Audit"}</definedName>
    <definedName name="_2188__FDSAUDITLINK__" hidden="1">{"fdsup://Directions/FactSet Auditing Viewer?action=AUDIT_VALUE&amp;DB=129&amp;ID1=03611510&amp;VALUEID=01001&amp;SDATE=200903&amp;PERIODTYPE=QTR_STD&amp;window=popup_no_bar&amp;width=385&amp;height=120&amp;START_MAXIMIZED=FALSE&amp;creator=factset&amp;display_string=Audit"}</definedName>
    <definedName name="_2189__FDSAUDITLINK__" hidden="1">{"fdsup://Directions/FactSet Auditing Viewer?action=AUDIT_VALUE&amp;DB=129&amp;ID1=03611510&amp;VALUEID=13040&amp;SDATE=200903&amp;PERIODTYPE=QTR_STD&amp;window=popup_no_bar&amp;width=385&amp;height=120&amp;START_MAXIMIZED=FALSE&amp;creator=factset&amp;display_string=Audit"}</definedName>
    <definedName name="_2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190__FDSAUDITLINK__" hidden="1">{"fdsup://Directions/FactSet Auditing Viewer?action=AUDIT_VALUE&amp;DB=129&amp;ID1=16890510&amp;VALUEID=02101&amp;SDATE=200903&amp;PERIODTYPE=QTR_STD&amp;window=popup_no_bar&amp;width=385&amp;height=120&amp;START_MAXIMIZED=FALSE&amp;creator=factset&amp;display_string=Audit"}</definedName>
    <definedName name="_2191__FDSAUDITLINK__" hidden="1">{"fdsup://Directions/FactSet Auditing Viewer?action=AUDIT_VALUE&amp;DB=129&amp;ID1=16890510&amp;VALUEID=01001&amp;SDATE=200903&amp;PERIODTYPE=QTR_STD&amp;window=popup_no_bar&amp;width=385&amp;height=120&amp;START_MAXIMIZED=FALSE&amp;creator=factset&amp;display_string=Audit"}</definedName>
    <definedName name="_2192__FDSAUDITLINK__" hidden="1">{"fdsup://Directions/FactSet Auditing Viewer?action=AUDIT_VALUE&amp;DB=129&amp;ID1=91704710&amp;VALUEID=02101&amp;SDATE=200903&amp;PERIODTYPE=QTR_STD&amp;window=popup_no_bar&amp;width=385&amp;height=120&amp;START_MAXIMIZED=FALSE&amp;creator=factset&amp;display_string=Audit"}</definedName>
    <definedName name="_2193__FDSAUDITLINK__" hidden="1">{"fdsup://Directions/FactSet Auditing Viewer?action=AUDIT_VALUE&amp;DB=129&amp;ID1=91704710&amp;VALUEID=01001&amp;SDATE=200903&amp;PERIODTYPE=QTR_STD&amp;window=popup_no_bar&amp;width=385&amp;height=120&amp;START_MAXIMIZED=FALSE&amp;creator=factset&amp;display_string=Audit"}</definedName>
    <definedName name="_2194__FDSAUDITLINK__" hidden="1">{"fdsup://Directions/FactSet Auditing Viewer?action=AUDIT_VALUE&amp;DB=129&amp;ID1=91704710&amp;VALUEID=13040&amp;SDATE=200903&amp;PERIODTYPE=QTR_STD&amp;window=popup_no_bar&amp;width=385&amp;height=120&amp;START_MAXIMIZED=FALSE&amp;creator=factset&amp;display_string=Audit"}</definedName>
    <definedName name="_2195__FDSAUDITLINK__" hidden="1">{"fdsup://Directions/FactSet Auditing Viewer?action=AUDIT_VALUE&amp;DB=129&amp;ID1=02553E10&amp;VALUEID=02101&amp;SDATE=200903&amp;PERIODTYPE=QTR_STD&amp;window=popup_no_bar&amp;width=385&amp;height=120&amp;START_MAXIMIZED=FALSE&amp;creator=factset&amp;display_string=Audit"}</definedName>
    <definedName name="_2196__FDSAUDITLINK__" hidden="1">{"fdsup://Directions/FactSet Auditing Viewer?action=AUDIT_VALUE&amp;DB=129&amp;ID1=02553E10&amp;VALUEID=01001&amp;SDATE=200903&amp;PERIODTYPE=QTR_STD&amp;window=popup_no_bar&amp;width=385&amp;height=120&amp;START_MAXIMIZED=FALSE&amp;creator=factset&amp;display_string=Audit"}</definedName>
    <definedName name="_2197__FDSAUDITLINK__" hidden="1">{"fdsup://Directions/FactSet Auditing Viewer?action=AUDIT_VALUE&amp;DB=129&amp;ID1=00786510&amp;VALUEID=02101&amp;SDATE=200903&amp;PERIODTYPE=QTR_STD&amp;window=popup_no_bar&amp;width=385&amp;height=120&amp;START_MAXIMIZED=FALSE&amp;creator=factset&amp;display_string=Audit"}</definedName>
    <definedName name="_2198__FDSAUDITLINK__" hidden="1">{"fdsup://Directions/FactSet Auditing Viewer?action=AUDIT_VALUE&amp;DB=129&amp;ID1=00786510&amp;VALUEID=01001&amp;SDATE=200903&amp;PERIODTYPE=QTR_STD&amp;window=popup_no_bar&amp;width=385&amp;height=120&amp;START_MAXIMIZED=FALSE&amp;creator=factset&amp;display_string=Audit"}</definedName>
    <definedName name="_2199__FDSAUDITLINK__" hidden="1">{"fdsup://Directions/FactSet Auditing Viewer?action=AUDIT_VALUE&amp;DB=129&amp;ID1=00786510&amp;VALUEID=13040&amp;SDATE=200903&amp;PERIODTYPE=QTR_STD&amp;window=popup_no_bar&amp;width=385&amp;height=120&amp;START_MAXIMIZED=FALSE&amp;creator=factset&amp;display_string=Audit"}</definedName>
    <definedName name="_22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200__FDSAUDITLINK__" hidden="1">{"fdsup://Directions/FactSet Auditing Viewer?action=AUDIT_VALUE&amp;DB=129&amp;ID1=00289620&amp;VALUEID=02101&amp;SDATE=200903&amp;PERIODTYPE=QTR_STD&amp;window=popup_no_bar&amp;width=385&amp;height=120&amp;START_MAXIMIZED=FALSE&amp;creator=factset&amp;display_string=Audit"}</definedName>
    <definedName name="_2201__FDSAUDITLINK__" hidden="1">{"fdsup://Directions/FactSet Auditing Viewer?action=AUDIT_VALUE&amp;DB=129&amp;ID1=00289620&amp;VALUEID=01001&amp;SDATE=200903&amp;PERIODTYPE=QTR_STD&amp;window=popup_no_bar&amp;width=385&amp;height=120&amp;START_MAXIMIZED=FALSE&amp;creator=factset&amp;display_string=Audit"}</definedName>
    <definedName name="_2202__FDSAUDITLINK__" hidden="1">{"fdsup://Directions/FactSet Auditing Viewer?action=AUDIT_VALUE&amp;DB=129&amp;ID1=00289620&amp;VALUEID=13040&amp;SDATE=200903&amp;PERIODTYPE=QTR_STD&amp;window=popup_no_bar&amp;width=385&amp;height=120&amp;START_MAXIMIZED=FALSE&amp;creator=factset&amp;display_string=Audit"}</definedName>
    <definedName name="_2203__FDSAUDITLINK__" hidden="1">{"fdsup://Directions/FactSet Auditing Viewer?action=AUDIT_VALUE&amp;DB=129&amp;ID1=87416110&amp;VALUEID=02101&amp;SDATE=200902&amp;PERIODTYPE=QTR_STD&amp;window=popup_no_bar&amp;width=385&amp;height=120&amp;START_MAXIMIZED=FALSE&amp;creator=factset&amp;display_string=Audit"}</definedName>
    <definedName name="_2204__FDSAUDITLINK__" hidden="1">{"fdsup://Directions/FactSet Auditing Viewer?action=AUDIT_VALUE&amp;DB=129&amp;ID1=87416110&amp;VALUEID=01001&amp;SDATE=200902&amp;PERIODTYPE=QTR_STD&amp;window=popup_no_bar&amp;width=385&amp;height=120&amp;START_MAXIMIZED=FALSE&amp;creator=factset&amp;display_string=Audit"}</definedName>
    <definedName name="_220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2206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2207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2208__FDSAUDITLINK__" hidden="1">{"fdsup://Directions/FactSet Auditing Viewer?action=AUDIT_VALUE&amp;DB=129&amp;ID1=46612H40&amp;VALUEID=02101&amp;SDATE=200902&amp;PERIODTYPE=QTR_STD&amp;window=popup_no_bar&amp;width=385&amp;height=120&amp;START_MAXIMIZED=FALSE&amp;creator=factset&amp;display_string=Audit"}</definedName>
    <definedName name="_2209__FDSAUDITLINK__" hidden="1">{"fdsup://Directions/FactSet Auditing Viewer?action=AUDIT_VALUE&amp;DB=129&amp;ID1=46612H40&amp;VALUEID=01001&amp;SDATE=200902&amp;PERIODTYPE=QTR_STD&amp;window=popup_no_bar&amp;width=385&amp;height=120&amp;START_MAXIMIZED=FALSE&amp;creator=factset&amp;display_string=Audit"}</definedName>
    <definedName name="_2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210__FDSAUDITLINK__" hidden="1">{"fdsup://Directions/FactSet Auditing Viewer?action=AUDIT_VALUE&amp;DB=129&amp;ID1=46612H40&amp;VALUEID=13040&amp;SDATE=200902&amp;PERIODTYPE=QTR_STD&amp;window=popup_no_bar&amp;width=385&amp;height=120&amp;START_MAXIMIZED=FALSE&amp;creator=factset&amp;display_string=Audit"}</definedName>
    <definedName name="_2211__FDSAUDITLINK__" hidden="1">{"fdsup://Directions/FactSet Auditing Viewer?action=AUDIT_VALUE&amp;DB=129&amp;ID1=36476010&amp;VALUEID=02101&amp;SDATE=200902&amp;PERIODTYPE=QTR_STD&amp;window=popup_no_bar&amp;width=385&amp;height=120&amp;START_MAXIMIZED=FALSE&amp;creator=factset&amp;display_string=Audit"}</definedName>
    <definedName name="_2212__FDSAUDITLINK__" hidden="1">{"fdsup://Directions/FactSet Auditing Viewer?action=AUDIT_VALUE&amp;DB=129&amp;ID1=36476010&amp;VALUEID=01001&amp;SDATE=200902&amp;PERIODTYPE=QTR_STD&amp;window=popup_no_bar&amp;width=385&amp;height=120&amp;START_MAXIMIZED=FALSE&amp;creator=factset&amp;display_string=Audit"}</definedName>
    <definedName name="_2213__FDSAUDITLINK__" hidden="1">{"fdsup://Directions/FactSet Auditing Viewer?action=AUDIT_VALUE&amp;DB=129&amp;ID1=36476010&amp;VALUEID=13040&amp;SDATE=200902&amp;PERIODTYPE=QTR_STD&amp;window=popup_no_bar&amp;width=385&amp;height=120&amp;START_MAXIMIZED=FALSE&amp;creator=factset&amp;display_string=Audit"}</definedName>
    <definedName name="_2214__FDSAUDITLINK__" hidden="1">{"fdsup://Directions/FactSet Auditing Viewer?action=AUDIT_VALUE&amp;DB=129&amp;ID1=03611510&amp;VALUEID=02101&amp;SDATE=200902&amp;PERIODTYPE=QTR_STD&amp;window=popup_no_bar&amp;width=385&amp;height=120&amp;START_MAXIMIZED=FALSE&amp;creator=factset&amp;display_string=Audit"}</definedName>
    <definedName name="_2215__FDSAUDITLINK__" hidden="1">{"fdsup://Directions/FactSet Auditing Viewer?action=AUDIT_VALUE&amp;DB=129&amp;ID1=03611510&amp;VALUEID=01001&amp;SDATE=200902&amp;PERIODTYPE=QTR_STD&amp;window=popup_no_bar&amp;width=385&amp;height=120&amp;START_MAXIMIZED=FALSE&amp;creator=factset&amp;display_string=Audit"}</definedName>
    <definedName name="_2216__FDSAUDITLINK__" hidden="1">{"fdsup://Directions/FactSet Auditing Viewer?action=AUDIT_VALUE&amp;DB=129&amp;ID1=03611510&amp;VALUEID=13040&amp;SDATE=200902&amp;PERIODTYPE=QTR_STD&amp;window=popup_no_bar&amp;width=385&amp;height=120&amp;START_MAXIMIZED=FALSE&amp;creator=factset&amp;display_string=Audit"}</definedName>
    <definedName name="_2217__FDSAUDITLINK__" hidden="1">{"fdsup://Directions/FactSet Auditing Viewer?action=AUDIT_VALUE&amp;DB=129&amp;ID1=16890510&amp;VALUEID=02101&amp;SDATE=200902&amp;PERIODTYPE=QTR_STD&amp;window=popup_no_bar&amp;width=385&amp;height=120&amp;START_MAXIMIZED=FALSE&amp;creator=factset&amp;display_string=Audit"}</definedName>
    <definedName name="_2218__FDSAUDITLINK__" hidden="1">{"fdsup://Directions/FactSet Auditing Viewer?action=AUDIT_VALUE&amp;DB=129&amp;ID1=16890510&amp;VALUEID=01001&amp;SDATE=200902&amp;PERIODTYPE=QTR_STD&amp;window=popup_no_bar&amp;width=385&amp;height=120&amp;START_MAXIMIZED=FALSE&amp;creator=factset&amp;display_string=Audit"}</definedName>
    <definedName name="_2219__FDSAUDITLINK__" hidden="1">{"fdsup://Directions/FactSet Auditing Viewer?action=AUDIT_VALUE&amp;DB=129&amp;ID1=91704710&amp;VALUEID=02101&amp;SDATE=200902&amp;PERIODTYPE=QTR_STD&amp;window=popup_no_bar&amp;width=385&amp;height=120&amp;START_MAXIMIZED=FALSE&amp;creator=factset&amp;display_string=Audit"}</definedName>
    <definedName name="_2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220__FDSAUDITLINK__" hidden="1">{"fdsup://Directions/FactSet Auditing Viewer?action=AUDIT_VALUE&amp;DB=129&amp;ID1=91704710&amp;VALUEID=01001&amp;SDATE=200902&amp;PERIODTYPE=QTR_STD&amp;window=popup_no_bar&amp;width=385&amp;height=120&amp;START_MAXIMIZED=FALSE&amp;creator=factset&amp;display_string=Audit"}</definedName>
    <definedName name="_2221__FDSAUDITLINK__" hidden="1">{"fdsup://Directions/FactSet Auditing Viewer?action=AUDIT_VALUE&amp;DB=129&amp;ID1=02553E10&amp;VALUEID=02101&amp;SDATE=200902&amp;PERIODTYPE=QTR_STD&amp;window=popup_no_bar&amp;width=385&amp;height=120&amp;START_MAXIMIZED=FALSE&amp;creator=factset&amp;display_string=Audit"}</definedName>
    <definedName name="_2222__FDSAUDITLINK__" hidden="1">{"fdsup://Directions/FactSet Auditing Viewer?action=AUDIT_VALUE&amp;DB=129&amp;ID1=02553E10&amp;VALUEID=01001&amp;SDATE=200902&amp;PERIODTYPE=QTR_STD&amp;window=popup_no_bar&amp;width=385&amp;height=120&amp;START_MAXIMIZED=FALSE&amp;creator=factset&amp;display_string=Audit"}</definedName>
    <definedName name="_2223__FDSAUDITLINK__" hidden="1">{"fdsup://Directions/FactSet Auditing Viewer?action=AUDIT_VALUE&amp;DB=129&amp;ID1=02553E10&amp;VALUEID=13040&amp;SDATE=200902&amp;PERIODTYPE=QTR_STD&amp;window=popup_no_bar&amp;width=385&amp;height=120&amp;START_MAXIMIZED=FALSE&amp;creator=factset&amp;display_string=Audit"}</definedName>
    <definedName name="_2224__FDSAUDITLINK__" hidden="1">{"fdsup://Directions/FactSet Auditing Viewer?action=AUDIT_VALUE&amp;DB=129&amp;ID1=00786510&amp;VALUEID=02101&amp;SDATE=200902&amp;PERIODTYPE=QTR_STD&amp;window=popup_no_bar&amp;width=385&amp;height=120&amp;START_MAXIMIZED=FALSE&amp;creator=factset&amp;display_string=Audit"}</definedName>
    <definedName name="_2225__FDSAUDITLINK__" hidden="1">{"fdsup://Directions/FactSet Auditing Viewer?action=AUDIT_VALUE&amp;DB=129&amp;ID1=00786510&amp;VALUEID=01001&amp;SDATE=200902&amp;PERIODTYPE=QTR_STD&amp;window=popup_no_bar&amp;width=385&amp;height=120&amp;START_MAXIMIZED=FALSE&amp;creator=factset&amp;display_string=Audit"}</definedName>
    <definedName name="_2226__FDSAUDITLINK__" hidden="1">{"fdsup://Directions/FactSet Auditing Viewer?action=AUDIT_VALUE&amp;DB=129&amp;ID1=00786510&amp;VALUEID=13040&amp;SDATE=200902&amp;PERIODTYPE=QTR_STD&amp;window=popup_no_bar&amp;width=385&amp;height=120&amp;START_MAXIMIZED=FALSE&amp;creator=factset&amp;display_string=Audit"}</definedName>
    <definedName name="_2227__FDSAUDITLINK__" hidden="1">{"fdsup://Directions/FactSet Auditing Viewer?action=AUDIT_VALUE&amp;DB=129&amp;ID1=00289620&amp;VALUEID=02101&amp;SDATE=200902&amp;PERIODTYPE=QTR_STD&amp;window=popup_no_bar&amp;width=385&amp;height=120&amp;START_MAXIMIZED=FALSE&amp;creator=factset&amp;display_string=Audit"}</definedName>
    <definedName name="_2228__FDSAUDITLINK__" hidden="1">{"fdsup://Directions/FactSet Auditing Viewer?action=AUDIT_VALUE&amp;DB=129&amp;ID1=00289620&amp;VALUEID=01001&amp;SDATE=200902&amp;PERIODTYPE=QTR_STD&amp;window=popup_no_bar&amp;width=385&amp;height=120&amp;START_MAXIMIZED=FALSE&amp;creator=factset&amp;display_string=Audit"}</definedName>
    <definedName name="_2229__FDSAUDITLINK__" hidden="1">{"fdsup://Directions/FactSet Auditing Viewer?action=AUDIT_VALUE&amp;DB=129&amp;ID1=00289620&amp;VALUEID=13040&amp;SDATE=200902&amp;PERIODTYPE=QTR_STD&amp;window=popup_no_bar&amp;width=385&amp;height=120&amp;START_MAXIMIZED=FALSE&amp;creator=factset&amp;display_string=Audit"}</definedName>
    <definedName name="_2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230__FDSAUDITLINK__" hidden="1">{"fdsup://Directions/FactSet Auditing Viewer?action=AUDIT_VALUE&amp;DB=129&amp;ID1=87416110&amp;VALUEID=02101&amp;SDATE=200901&amp;PERIODTYPE=QTR_STD&amp;window=popup_no_bar&amp;width=385&amp;height=120&amp;START_MAXIMIZED=FALSE&amp;creator=factset&amp;display_string=Audit"}</definedName>
    <definedName name="_2231__FDSAUDITLINK__" hidden="1">{"fdsup://Directions/FactSet Auditing Viewer?action=AUDIT_VALUE&amp;DB=129&amp;ID1=87416110&amp;VALUEID=01001&amp;SDATE=200901&amp;PERIODTYPE=QTR_STD&amp;window=popup_no_bar&amp;width=385&amp;height=120&amp;START_MAXIMIZED=FALSE&amp;creator=factset&amp;display_string=Audit"}</definedName>
    <definedName name="_2232__FDSAUDITLINK__" hidden="1">{"fdsup://Directions/FactSet Auditing Viewer?action=AUDIT_VALUE&amp;DB=129&amp;ID1=87416110&amp;VALUEID=13040&amp;SDATE=200901&amp;PERIODTYPE=QTR_STD&amp;window=popup_no_bar&amp;width=385&amp;height=120&amp;START_MAXIMIZED=FALSE&amp;creator=factset&amp;display_string=Audit"}</definedName>
    <definedName name="_2233__FDSAUDITLINK__" hidden="1">{"fdsup://directions/FAT Viewer?action=UPDATE&amp;creator=factset&amp;DYN_ARGS=TRUE&amp;DOC_NAME=FAT:FQL_AUDITING_CLIENT_TEMPLATE.FAT&amp;display_string=Audit&amp;VAR:KEY=RSZCXYZEJW&amp;VAR:QUERY=RkZfUlRfU0ZfVE9UX0dST1NTKFFUUiwtNCk=&amp;WINDOW=FIRST_POPUP&amp;HEIGHT=450&amp;WIDTH=450&amp;START_MA","XIMIZED=FALSE&amp;VAR:CALENDAR=US&amp;VAR:SYMBOL=TLB&amp;VAR:INDEX=0"}</definedName>
    <definedName name="_2234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2235__FDSAUDITLINK__" hidden="1">{"fdsup://Directions/FactSet Auditing Viewer?action=AUDIT_VALUE&amp;DB=129&amp;ID1=46612H40&amp;VALUEID=02101&amp;SDATE=200901&amp;PERIODTYPE=QTR_STD&amp;window=popup_no_bar&amp;width=385&amp;height=120&amp;START_MAXIMIZED=FALSE&amp;creator=factset&amp;display_string=Audit"}</definedName>
    <definedName name="_2236__FDSAUDITLINK__" hidden="1">{"fdsup://Directions/FactSet Auditing Viewer?action=AUDIT_VALUE&amp;DB=129&amp;ID1=46612H40&amp;VALUEID=01001&amp;SDATE=200901&amp;PERIODTYPE=QTR_STD&amp;window=popup_no_bar&amp;width=385&amp;height=120&amp;START_MAXIMIZED=FALSE&amp;creator=factset&amp;display_string=Audit"}</definedName>
    <definedName name="_2237__FDSAUDITLINK__" hidden="1">{"fdsup://Directions/FactSet Auditing Viewer?action=AUDIT_VALUE&amp;DB=129&amp;ID1=46612H40&amp;VALUEID=13040&amp;SDATE=200901&amp;PERIODTYPE=QTR_STD&amp;window=popup_no_bar&amp;width=385&amp;height=120&amp;START_MAXIMIZED=FALSE&amp;creator=factset&amp;display_string=Audit"}</definedName>
    <definedName name="_2238__FDSAUDITLINK__" hidden="1">{"fdsup://Directions/FactSet Auditing Viewer?action=AUDIT_VALUE&amp;DB=129&amp;ID1=03611510&amp;VALUEID=02101&amp;SDATE=200901&amp;PERIODTYPE=QTR_STD&amp;window=popup_no_bar&amp;width=385&amp;height=120&amp;START_MAXIMIZED=FALSE&amp;creator=factset&amp;display_string=Audit"}</definedName>
    <definedName name="_2239__FDSAUDITLINK__" hidden="1">{"fdsup://Directions/FactSet Auditing Viewer?action=AUDIT_VALUE&amp;DB=129&amp;ID1=03611510&amp;VALUEID=01001&amp;SDATE=200901&amp;PERIODTYPE=QTR_STD&amp;window=popup_no_bar&amp;width=385&amp;height=120&amp;START_MAXIMIZED=FALSE&amp;creator=factset&amp;display_string=Audit"}</definedName>
    <definedName name="_2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240__FDSAUDITLINK__" hidden="1">{"fdsup://Directions/FactSet Auditing Viewer?action=AUDIT_VALUE&amp;DB=129&amp;ID1=16890510&amp;VALUEID=02101&amp;SDATE=200901&amp;PERIODTYPE=QTR_STD&amp;window=popup_no_bar&amp;width=385&amp;height=120&amp;START_MAXIMIZED=FALSE&amp;creator=factset&amp;display_string=Audit"}</definedName>
    <definedName name="_2241__FDSAUDITLINK__" hidden="1">{"fdsup://Directions/FactSet Auditing Viewer?action=AUDIT_VALUE&amp;DB=129&amp;ID1=16890510&amp;VALUEID=01001&amp;SDATE=200901&amp;PERIODTYPE=QTR_STD&amp;window=popup_no_bar&amp;width=385&amp;height=120&amp;START_MAXIMIZED=FALSE&amp;creator=factset&amp;display_string=Audit"}</definedName>
    <definedName name="_2242__FDSAUDITLINK__" hidden="1">{"fdsup://Directions/FactSet Auditing Viewer?action=AUDIT_VALUE&amp;DB=129&amp;ID1=00786510&amp;VALUEID=02101&amp;SDATE=200901&amp;PERIODTYPE=QTR_STD&amp;window=popup_no_bar&amp;width=385&amp;height=120&amp;START_MAXIMIZED=FALSE&amp;creator=factset&amp;display_string=Audit"}</definedName>
    <definedName name="_2243__FDSAUDITLINK__" hidden="1">{"fdsup://Directions/FactSet Auditing Viewer?action=AUDIT_VALUE&amp;DB=129&amp;ID1=00786510&amp;VALUEID=01001&amp;SDATE=200901&amp;PERIODTYPE=QTR_STD&amp;window=popup_no_bar&amp;width=385&amp;height=120&amp;START_MAXIMIZED=FALSE&amp;creator=factset&amp;display_string=Audit"}</definedName>
    <definedName name="_2244__FDSAUDITLINK__" hidden="1">{"fdsup://Directions/FactSet Auditing Viewer?action=AUDIT_VALUE&amp;DB=129&amp;ID1=00786510&amp;VALUEID=13040&amp;SDATE=200901&amp;PERIODTYPE=QTR_STD&amp;window=popup_no_bar&amp;width=385&amp;height=120&amp;START_MAXIMIZED=FALSE&amp;creator=factset&amp;display_string=Audit"}</definedName>
    <definedName name="_2245__FDSAUDITLINK__" hidden="1">{"fdsup://Directions/FactSet Auditing Viewer?action=AUDIT_VALUE&amp;DB=129&amp;ID1=00289620&amp;VALUEID=13040&amp;SDATE=200901&amp;PERIODTYPE=QTR_STD&amp;window=popup_no_bar&amp;width=385&amp;height=120&amp;START_MAXIMIZED=FALSE&amp;creator=factset&amp;display_string=Audit"}</definedName>
    <definedName name="_2246__FDSAUDITLINK__" hidden="1">{"fdsup://Directions/FactSet Auditing Viewer?action=AUDIT_VALUE&amp;DB=129&amp;ID1=87416110&amp;VALUEID=01001&amp;SDATE=200804&amp;PERIODTYPE=QTR_STD&amp;window=popup_no_bar&amp;width=385&amp;height=120&amp;START_MAXIMIZED=FALSE&amp;creator=factset&amp;display_string=Audit"}</definedName>
    <definedName name="_2247__FDSAUDITLINK__" hidden="1">{"fdsup://directions/FAT Viewer?action=UPDATE&amp;creator=factset&amp;DYN_ARGS=TRUE&amp;DOC_NAME=FAT:FQL_AUDITING_CLIENT_TEMPLATE.FAT&amp;display_string=Audit&amp;VAR:KEY=BSXQNALGBC&amp;VAR:QUERY=RkZfUlRfU0ZfVE9UX0dST1NTKFFUUiwtNSk=&amp;WINDOW=FIRST_POPUP&amp;HEIGHT=450&amp;WIDTH=450&amp;START_MA","XIMIZED=FALSE&amp;VAR:CALENDAR=US&amp;VAR:SYMBOL=TLB&amp;VAR:INDEX=0"}</definedName>
    <definedName name="_2248__FDSAUDITLINK__" hidden="1">{"fdsup://Directions/FactSet Auditing Viewer?action=AUDIT_VALUE&amp;DB=129&amp;ID1=46612H40&amp;VALUEID=01001&amp;SDATE=200804&amp;PERIODTYPE=QTR_STD&amp;window=popup_no_bar&amp;width=385&amp;height=120&amp;START_MAXIMIZED=FALSE&amp;creator=factset&amp;display_string=Audit"}</definedName>
    <definedName name="_2249__FDSAUDITLINK__" hidden="1">{"fdsup://Directions/FactSet Auditing Viewer?action=AUDIT_VALUE&amp;DB=129&amp;ID1=46612H40&amp;VALUEID=13040&amp;SDATE=200804&amp;PERIODTYPE=QTR_STD&amp;window=popup_no_bar&amp;width=385&amp;height=120&amp;START_MAXIMIZED=FALSE&amp;creator=factset&amp;display_string=Audit"}</definedName>
    <definedName name="_2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250__FDSAUDITLINK__" hidden="1">{"fdsup://Directions/FactSet Auditing Viewer?action=AUDIT_VALUE&amp;DB=129&amp;ID1=36476010&amp;VALUEID=01001&amp;SDATE=200804&amp;PERIODTYPE=QTR_STD&amp;window=popup_no_bar&amp;width=385&amp;height=120&amp;START_MAXIMIZED=FALSE&amp;creator=factset&amp;display_string=Audit"}</definedName>
    <definedName name="_2251__FDSAUDITLINK__" hidden="1">{"fdsup://Directions/FactSet Auditing Viewer?action=AUDIT_VALUE&amp;DB=129&amp;ID1=03611510&amp;VALUEID=01001&amp;SDATE=200804&amp;PERIODTYPE=QTR_STD&amp;window=popup_no_bar&amp;width=385&amp;height=120&amp;START_MAXIMIZED=FALSE&amp;creator=factset&amp;display_string=Audit"}</definedName>
    <definedName name="_2252__FDSAUDITLINK__" hidden="1">{"fdsup://Directions/FactSet Auditing Viewer?action=AUDIT_VALUE&amp;DB=129&amp;ID1=16890510&amp;VALUEID=01001&amp;SDATE=200804&amp;PERIODTYPE=QTR_STD&amp;window=popup_no_bar&amp;width=385&amp;height=120&amp;START_MAXIMIZED=FALSE&amp;creator=factset&amp;display_string=Audit"}</definedName>
    <definedName name="_2253__FDSAUDITLINK__" hidden="1">{"fdsup://Directions/FactSet Auditing Viewer?action=AUDIT_VALUE&amp;DB=129&amp;ID1=00786510&amp;VALUEID=01001&amp;SDATE=200804&amp;PERIODTYPE=QTR_STD&amp;window=popup_no_bar&amp;width=385&amp;height=120&amp;START_MAXIMIZED=FALSE&amp;creator=factset&amp;display_string=Audit"}</definedName>
    <definedName name="_2254__FDSAUDITLINK__" hidden="1">{"fdsup://Directions/FactSet Auditing Viewer?action=AUDIT_VALUE&amp;DB=129&amp;ID1=87416110&amp;VALUEID=02101&amp;SDATE=200803&amp;PERIODTYPE=QTR_STD&amp;window=popup_no_bar&amp;width=385&amp;height=120&amp;START_MAXIMIZED=FALSE&amp;creator=factset&amp;display_string=Audit"}</definedName>
    <definedName name="_2255__FDSAUDITLINK__" hidden="1">{"fdsup://Directions/FactSet Auditing Viewer?action=AUDIT_VALUE&amp;DB=129&amp;ID1=87416110&amp;VALUEID=01001&amp;SDATE=200803&amp;PERIODTYPE=QTR_STD&amp;window=popup_no_bar&amp;width=385&amp;height=120&amp;START_MAXIMIZED=FALSE&amp;creator=factset&amp;display_string=Audit"}</definedName>
    <definedName name="_2256__FDSAUDITLINK__" hidden="1">{"fdsup://Directions/FactSet Auditing Viewer?action=AUDIT_VALUE&amp;DB=129&amp;ID1=87416110&amp;VALUEID=13040&amp;SDATE=200803&amp;PERIODTYPE=QTR_STD&amp;window=popup_no_bar&amp;width=385&amp;height=120&amp;START_MAXIMIZED=FALSE&amp;creator=factset&amp;display_string=Audit"}</definedName>
    <definedName name="_2257__FDSAUDITLINK__" hidden="1">{"fdsup://directions/FAT Viewer?action=UPDATE&amp;creator=factset&amp;DYN_ARGS=TRUE&amp;DOC_NAME=FAT:FQL_AUDITING_CLIENT_TEMPLATE.FAT&amp;display_string=Audit&amp;VAR:KEY=VAFWFCDYFC&amp;VAR:QUERY=RkZfUlRfU0ZfVE9UX0dST1NTKFFUUiwtNik=&amp;WINDOW=FIRST_POPUP&amp;HEIGHT=450&amp;WIDTH=450&amp;START_MA","XIMIZED=FALSE&amp;VAR:CALENDAR=US&amp;VAR:SYMBOL=TLB&amp;VAR:INDEX=0"}</definedName>
    <definedName name="_2258__FDSAUDITLINK__" hidden="1">{"fdsup://Directions/FactSet Auditing Viewer?action=AUDIT_VALUE&amp;DB=129&amp;ID1=46612H40&amp;VALUEID=02101&amp;SDATE=200803&amp;PERIODTYPE=QTR_STD&amp;window=popup_no_bar&amp;width=385&amp;height=120&amp;START_MAXIMIZED=FALSE&amp;creator=factset&amp;display_string=Audit"}</definedName>
    <definedName name="_2259__FDSAUDITLINK__" hidden="1">{"fdsup://Directions/FactSet Auditing Viewer?action=AUDIT_VALUE&amp;DB=129&amp;ID1=46612H40&amp;VALUEID=01001&amp;SDATE=200803&amp;PERIODTYPE=QTR_STD&amp;window=popup_no_bar&amp;width=385&amp;height=120&amp;START_MAXIMIZED=FALSE&amp;creator=factset&amp;display_string=Audit"}</definedName>
    <definedName name="_2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260__FDSAUDITLINK__" hidden="1">{"fdsup://Directions/FactSet Auditing Viewer?action=AUDIT_VALUE&amp;DB=129&amp;ID1=46612H40&amp;VALUEID=13040&amp;SDATE=200803&amp;PERIODTYPE=QTR_STD&amp;window=popup_no_bar&amp;width=385&amp;height=120&amp;START_MAXIMIZED=FALSE&amp;creator=factset&amp;display_string=Audit"}</definedName>
    <definedName name="_2261__FDSAUDITLINK__" hidden="1">{"fdsup://Directions/FactSet Auditing Viewer?action=AUDIT_VALUE&amp;DB=129&amp;ID1=36476010&amp;VALUEID=02101&amp;SDATE=200803&amp;PERIODTYPE=QTR_STD&amp;window=popup_no_bar&amp;width=385&amp;height=120&amp;START_MAXIMIZED=FALSE&amp;creator=factset&amp;display_string=Audit"}</definedName>
    <definedName name="_2262__FDSAUDITLINK__" hidden="1">{"fdsup://Directions/FactSet Auditing Viewer?action=AUDIT_VALUE&amp;DB=129&amp;ID1=36476010&amp;VALUEID=01001&amp;SDATE=200803&amp;PERIODTYPE=QTR_STD&amp;window=popup_no_bar&amp;width=385&amp;height=120&amp;START_MAXIMIZED=FALSE&amp;creator=factset&amp;display_string=Audit"}</definedName>
    <definedName name="_2263__FDSAUDITLINK__" hidden="1">{"fdsup://Directions/FactSet Auditing Viewer?action=AUDIT_VALUE&amp;DB=129&amp;ID1=36476010&amp;VALUEID=13040&amp;SDATE=200803&amp;PERIODTYPE=QTR_STD&amp;window=popup_no_bar&amp;width=385&amp;height=120&amp;START_MAXIMIZED=FALSE&amp;creator=factset&amp;display_string=Audit"}</definedName>
    <definedName name="_2264__FDSAUDITLINK__" hidden="1">{"fdsup://Directions/FactSet Auditing Viewer?action=AUDIT_VALUE&amp;DB=129&amp;ID1=03611510&amp;VALUEID=02101&amp;SDATE=200803&amp;PERIODTYPE=QTR_STD&amp;window=popup_no_bar&amp;width=385&amp;height=120&amp;START_MAXIMIZED=FALSE&amp;creator=factset&amp;display_string=Audit"}</definedName>
    <definedName name="_2265__FDSAUDITLINK__" hidden="1">{"fdsup://Directions/FactSet Auditing Viewer?action=AUDIT_VALUE&amp;DB=129&amp;ID1=03611510&amp;VALUEID=01001&amp;SDATE=200803&amp;PERIODTYPE=QTR_STD&amp;window=popup_no_bar&amp;width=385&amp;height=120&amp;START_MAXIMIZED=FALSE&amp;creator=factset&amp;display_string=Audit"}</definedName>
    <definedName name="_2266__FDSAUDITLINK__" hidden="1">{"fdsup://Directions/FactSet Auditing Viewer?action=AUDIT_VALUE&amp;DB=129&amp;ID1=16890510&amp;VALUEID=02101&amp;SDATE=200803&amp;PERIODTYPE=QTR_STD&amp;window=popup_no_bar&amp;width=385&amp;height=120&amp;START_MAXIMIZED=FALSE&amp;creator=factset&amp;display_string=Audit"}</definedName>
    <definedName name="_2267__FDSAUDITLINK__" hidden="1">{"fdsup://Directions/FactSet Auditing Viewer?action=AUDIT_VALUE&amp;DB=129&amp;ID1=16890510&amp;VALUEID=01001&amp;SDATE=200803&amp;PERIODTYPE=QTR_STD&amp;window=popup_no_bar&amp;width=385&amp;height=120&amp;START_MAXIMIZED=FALSE&amp;creator=factset&amp;display_string=Audit"}</definedName>
    <definedName name="_2268__FDSAUDITLINK__" hidden="1">{"fdsup://Directions/FactSet Auditing Viewer?action=AUDIT_VALUE&amp;DB=129&amp;ID1=91704710&amp;VALUEID=02101&amp;SDATE=200803&amp;PERIODTYPE=QTR_STD&amp;window=popup_no_bar&amp;width=385&amp;height=120&amp;START_MAXIMIZED=FALSE&amp;creator=factset&amp;display_string=Audit"}</definedName>
    <definedName name="_2269__FDSAUDITLINK__" hidden="1">{"fdsup://Directions/FactSet Auditing Viewer?action=AUDIT_VALUE&amp;DB=129&amp;ID1=91704710&amp;VALUEID=01001&amp;SDATE=200803&amp;PERIODTYPE=QTR_STD&amp;window=popup_no_bar&amp;width=385&amp;height=120&amp;START_MAXIMIZED=FALSE&amp;creator=factset&amp;display_string=Audit"}</definedName>
    <definedName name="_2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270__FDSAUDITLINK__" hidden="1">{"fdsup://Directions/FactSet Auditing Viewer?action=AUDIT_VALUE&amp;DB=129&amp;ID1=91704710&amp;VALUEID=13040&amp;SDATE=200803&amp;PERIODTYPE=QTR_STD&amp;window=popup_no_bar&amp;width=385&amp;height=120&amp;START_MAXIMIZED=FALSE&amp;creator=factset&amp;display_string=Audit"}</definedName>
    <definedName name="_2271__FDSAUDITLINK__" hidden="1">{"fdsup://Directions/FactSet Auditing Viewer?action=AUDIT_VALUE&amp;DB=129&amp;ID1=02553E10&amp;VALUEID=02101&amp;SDATE=200803&amp;PERIODTYPE=QTR_STD&amp;window=popup_no_bar&amp;width=385&amp;height=120&amp;START_MAXIMIZED=FALSE&amp;creator=factset&amp;display_string=Audit"}</definedName>
    <definedName name="_2272__FDSAUDITLINK__" hidden="1">{"fdsup://Directions/FactSet Auditing Viewer?action=AUDIT_VALUE&amp;DB=129&amp;ID1=02553E10&amp;VALUEID=01001&amp;SDATE=200803&amp;PERIODTYPE=QTR_STD&amp;window=popup_no_bar&amp;width=385&amp;height=120&amp;START_MAXIMIZED=FALSE&amp;creator=factset&amp;display_string=Audit"}</definedName>
    <definedName name="_2273__FDSAUDITLINK__" hidden="1">{"fdsup://Directions/FactSet Auditing Viewer?action=AUDIT_VALUE&amp;DB=129&amp;ID1=02553E10&amp;VALUEID=13040&amp;SDATE=200803&amp;PERIODTYPE=QTR_STD&amp;window=popup_no_bar&amp;width=385&amp;height=120&amp;START_MAXIMIZED=FALSE&amp;creator=factset&amp;display_string=Audit"}</definedName>
    <definedName name="_2274__FDSAUDITLINK__" hidden="1">{"fdsup://Directions/FactSet Auditing Viewer?action=AUDIT_VALUE&amp;DB=129&amp;ID1=00786510&amp;VALUEID=02101&amp;SDATE=200803&amp;PERIODTYPE=QTR_STD&amp;window=popup_no_bar&amp;width=385&amp;height=120&amp;START_MAXIMIZED=FALSE&amp;creator=factset&amp;display_string=Audit"}</definedName>
    <definedName name="_2275__FDSAUDITLINK__" hidden="1">{"fdsup://Directions/FactSet Auditing Viewer?action=AUDIT_VALUE&amp;DB=129&amp;ID1=00786510&amp;VALUEID=01001&amp;SDATE=200803&amp;PERIODTYPE=QTR_STD&amp;window=popup_no_bar&amp;width=385&amp;height=120&amp;START_MAXIMIZED=FALSE&amp;creator=factset&amp;display_string=Audit"}</definedName>
    <definedName name="_2276__FDSAUDITLINK__" hidden="1">{"fdsup://Directions/FactSet Auditing Viewer?action=AUDIT_VALUE&amp;DB=129&amp;ID1=00786510&amp;VALUEID=13040&amp;SDATE=200803&amp;PERIODTYPE=QTR_STD&amp;window=popup_no_bar&amp;width=385&amp;height=120&amp;START_MAXIMIZED=FALSE&amp;creator=factset&amp;display_string=Audit"}</definedName>
    <definedName name="_2277__FDSAUDITLINK__" hidden="1">{"fdsup://Directions/FactSet Auditing Viewer?action=AUDIT_VALUE&amp;DB=129&amp;ID1=00289620&amp;VALUEID=02101&amp;SDATE=200803&amp;PERIODTYPE=QTR_STD&amp;window=popup_no_bar&amp;width=385&amp;height=120&amp;START_MAXIMIZED=FALSE&amp;creator=factset&amp;display_string=Audit"}</definedName>
    <definedName name="_2278__FDSAUDITLINK__" hidden="1">{"fdsup://Directions/FactSet Auditing Viewer?action=AUDIT_VALUE&amp;DB=129&amp;ID1=00289620&amp;VALUEID=01001&amp;SDATE=200803&amp;PERIODTYPE=QTR_STD&amp;window=popup_no_bar&amp;width=385&amp;height=120&amp;START_MAXIMIZED=FALSE&amp;creator=factset&amp;display_string=Audit"}</definedName>
    <definedName name="_2279__FDSAUDITLINK__" hidden="1">{"fdsup://Directions/FactSet Auditing Viewer?action=AUDIT_VALUE&amp;DB=129&amp;ID1=00289620&amp;VALUEID=13040&amp;SDATE=200803&amp;PERIODTYPE=QTR_STD&amp;window=popup_no_bar&amp;width=385&amp;height=120&amp;START_MAXIMIZED=FALSE&amp;creator=factset&amp;display_string=Audit"}</definedName>
    <definedName name="_2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280__FDSAUDITLINK__" hidden="1">{"fdsup://Directions/FactSet Auditing Viewer?action=AUDIT_VALUE&amp;DB=129&amp;ID1=87416110&amp;VALUEID=02101&amp;SDATE=200802&amp;PERIODTYPE=QTR_STD&amp;window=popup_no_bar&amp;width=385&amp;height=120&amp;START_MAXIMIZED=FALSE&amp;creator=factset&amp;display_string=Audit"}</definedName>
    <definedName name="_2281__FDSAUDITLINK__" hidden="1">{"fdsup://Directions/FactSet Auditing Viewer?action=AUDIT_VALUE&amp;DB=129&amp;ID1=87416110&amp;VALUEID=01001&amp;SDATE=200802&amp;PERIODTYPE=QTR_STD&amp;window=popup_no_bar&amp;width=385&amp;height=120&amp;START_MAXIMIZED=FALSE&amp;creator=factset&amp;display_string=Audit"}</definedName>
    <definedName name="_2282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2283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2284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2285__FDSAUDITLINK__" hidden="1">{"fdsup://Directions/FactSet Auditing Viewer?action=AUDIT_VALUE&amp;DB=129&amp;ID1=46612H40&amp;VALUEID=02101&amp;SDATE=200802&amp;PERIODTYPE=QTR_STD&amp;window=popup_no_bar&amp;width=385&amp;height=120&amp;START_MAXIMIZED=FALSE&amp;creator=factset&amp;display_string=Audit"}</definedName>
    <definedName name="_2286__FDSAUDITLINK__" hidden="1">{"fdsup://Directions/FactSet Auditing Viewer?action=AUDIT_VALUE&amp;DB=129&amp;ID1=46612H40&amp;VALUEID=01001&amp;SDATE=200802&amp;PERIODTYPE=QTR_STD&amp;window=popup_no_bar&amp;width=385&amp;height=120&amp;START_MAXIMIZED=FALSE&amp;creator=factset&amp;display_string=Audit"}</definedName>
    <definedName name="_2287__FDSAUDITLINK__" hidden="1">{"fdsup://Directions/FactSet Auditing Viewer?action=AUDIT_VALUE&amp;DB=129&amp;ID1=46612H40&amp;VALUEID=13040&amp;SDATE=200802&amp;PERIODTYPE=QTR_STD&amp;window=popup_no_bar&amp;width=385&amp;height=120&amp;START_MAXIMIZED=FALSE&amp;creator=factset&amp;display_string=Audit"}</definedName>
    <definedName name="_2288__FDSAUDITLINK__" hidden="1">{"fdsup://Directions/FactSet Auditing Viewer?action=AUDIT_VALUE&amp;DB=129&amp;ID1=36476010&amp;VALUEID=02101&amp;SDATE=200802&amp;PERIODTYPE=QTR_STD&amp;window=popup_no_bar&amp;width=385&amp;height=120&amp;START_MAXIMIZED=FALSE&amp;creator=factset&amp;display_string=Audit"}</definedName>
    <definedName name="_2289__FDSAUDITLINK__" hidden="1">{"fdsup://Directions/FactSet Auditing Viewer?action=AUDIT_VALUE&amp;DB=129&amp;ID1=36476010&amp;VALUEID=01001&amp;SDATE=200802&amp;PERIODTYPE=QTR_STD&amp;window=popup_no_bar&amp;width=385&amp;height=120&amp;START_MAXIMIZED=FALSE&amp;creator=factset&amp;display_string=Audit"}</definedName>
    <definedName name="_2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290__FDSAUDITLINK__" hidden="1">{"fdsup://Directions/FactSet Auditing Viewer?action=AUDIT_VALUE&amp;DB=129&amp;ID1=36476010&amp;VALUEID=13040&amp;SDATE=200802&amp;PERIODTYPE=QTR_STD&amp;window=popup_no_bar&amp;width=385&amp;height=120&amp;START_MAXIMIZED=FALSE&amp;creator=factset&amp;display_string=Audit"}</definedName>
    <definedName name="_2291__FDSAUDITLINK__" hidden="1">{"fdsup://Directions/FactSet Auditing Viewer?action=AUDIT_VALUE&amp;DB=129&amp;ID1=03611510&amp;VALUEID=02101&amp;SDATE=200802&amp;PERIODTYPE=QTR_STD&amp;window=popup_no_bar&amp;width=385&amp;height=120&amp;START_MAXIMIZED=FALSE&amp;creator=factset&amp;display_string=Audit"}</definedName>
    <definedName name="_2292__FDSAUDITLINK__" hidden="1">{"fdsup://Directions/FactSet Auditing Viewer?action=AUDIT_VALUE&amp;DB=129&amp;ID1=03611510&amp;VALUEID=01001&amp;SDATE=200802&amp;PERIODTYPE=QTR_STD&amp;window=popup_no_bar&amp;width=385&amp;height=120&amp;START_MAXIMIZED=FALSE&amp;creator=factset&amp;display_string=Audit"}</definedName>
    <definedName name="_2293__FDSAUDITLINK__" hidden="1">{"fdsup://Directions/FactSet Auditing Viewer?action=AUDIT_VALUE&amp;DB=129&amp;ID1=16890510&amp;VALUEID=02101&amp;SDATE=200802&amp;PERIODTYPE=QTR_STD&amp;window=popup_no_bar&amp;width=385&amp;height=120&amp;START_MAXIMIZED=FALSE&amp;creator=factset&amp;display_string=Audit"}</definedName>
    <definedName name="_2294__FDSAUDITLINK__" hidden="1">{"fdsup://Directions/FactSet Auditing Viewer?action=AUDIT_VALUE&amp;DB=129&amp;ID1=16890510&amp;VALUEID=01001&amp;SDATE=200802&amp;PERIODTYPE=QTR_STD&amp;window=popup_no_bar&amp;width=385&amp;height=120&amp;START_MAXIMIZED=FALSE&amp;creator=factset&amp;display_string=Audit"}</definedName>
    <definedName name="_2295__FDSAUDITLINK__" hidden="1">{"fdsup://Directions/FactSet Auditing Viewer?action=AUDIT_VALUE&amp;DB=129&amp;ID1=91704710&amp;VALUEID=02101&amp;SDATE=200802&amp;PERIODTYPE=QTR_STD&amp;window=popup_no_bar&amp;width=385&amp;height=120&amp;START_MAXIMIZED=FALSE&amp;creator=factset&amp;display_string=Audit"}</definedName>
    <definedName name="_2296__FDSAUDITLINK__" hidden="1">{"fdsup://Directions/FactSet Auditing Viewer?action=AUDIT_VALUE&amp;DB=129&amp;ID1=91704710&amp;VALUEID=01001&amp;SDATE=200802&amp;PERIODTYPE=QTR_STD&amp;window=popup_no_bar&amp;width=385&amp;height=120&amp;START_MAXIMIZED=FALSE&amp;creator=factset&amp;display_string=Audit"}</definedName>
    <definedName name="_2297__FDSAUDITLINK__" hidden="1">{"fdsup://Directions/FactSet Auditing Viewer?action=AUDIT_VALUE&amp;DB=129&amp;ID1=91704710&amp;VALUEID=13040&amp;SDATE=200802&amp;PERIODTYPE=QTR_STD&amp;window=popup_no_bar&amp;width=385&amp;height=120&amp;START_MAXIMIZED=FALSE&amp;creator=factset&amp;display_string=Audit"}</definedName>
    <definedName name="_2298__FDSAUDITLINK__" hidden="1">{"fdsup://Directions/FactSet Auditing Viewer?action=AUDIT_VALUE&amp;DB=129&amp;ID1=02553E10&amp;VALUEID=02101&amp;SDATE=200802&amp;PERIODTYPE=QTR_STD&amp;window=popup_no_bar&amp;width=385&amp;height=120&amp;START_MAXIMIZED=FALSE&amp;creator=factset&amp;display_string=Audit"}</definedName>
    <definedName name="_2299__FDSAUDITLINK__" hidden="1">{"fdsup://Directions/FactSet Auditing Viewer?action=AUDIT_VALUE&amp;DB=129&amp;ID1=02553E10&amp;VALUEID=01001&amp;SDATE=200802&amp;PERIODTYPE=QTR_STD&amp;window=popup_no_bar&amp;width=385&amp;height=120&amp;START_MAXIMIZED=FALSE&amp;creator=factset&amp;display_string=Audit"}</definedName>
    <definedName name="_23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300__FDSAUDITLINK__" hidden="1">{"fdsup://Directions/FactSet Auditing Viewer?action=AUDIT_VALUE&amp;DB=129&amp;ID1=02553E10&amp;VALUEID=13040&amp;SDATE=200802&amp;PERIODTYPE=QTR_STD&amp;window=popup_no_bar&amp;width=385&amp;height=120&amp;START_MAXIMIZED=FALSE&amp;creator=factset&amp;display_string=Audit"}</definedName>
    <definedName name="_2301__FDSAUDITLINK__" hidden="1">{"fdsup://Directions/FactSet Auditing Viewer?action=AUDIT_VALUE&amp;DB=129&amp;ID1=00786510&amp;VALUEID=02101&amp;SDATE=200802&amp;PERIODTYPE=QTR_STD&amp;window=popup_no_bar&amp;width=385&amp;height=120&amp;START_MAXIMIZED=FALSE&amp;creator=factset&amp;display_string=Audit"}</definedName>
    <definedName name="_2302__FDSAUDITLINK__" hidden="1">{"fdsup://Directions/FactSet Auditing Viewer?action=AUDIT_VALUE&amp;DB=129&amp;ID1=00786510&amp;VALUEID=01001&amp;SDATE=200802&amp;PERIODTYPE=QTR_STD&amp;window=popup_no_bar&amp;width=385&amp;height=120&amp;START_MAXIMIZED=FALSE&amp;creator=factset&amp;display_string=Audit"}</definedName>
    <definedName name="_2303__FDSAUDITLINK__" hidden="1">{"fdsup://Directions/FactSet Auditing Viewer?action=AUDIT_VALUE&amp;DB=129&amp;ID1=00786510&amp;VALUEID=13040&amp;SDATE=200802&amp;PERIODTYPE=QTR_STD&amp;window=popup_no_bar&amp;width=385&amp;height=120&amp;START_MAXIMIZED=FALSE&amp;creator=factset&amp;display_string=Audit"}</definedName>
    <definedName name="_2304__FDSAUDITLINK__" hidden="1">{"fdsup://Directions/FactSet Auditing Viewer?action=AUDIT_VALUE&amp;DB=129&amp;ID1=00289620&amp;VALUEID=02101&amp;SDATE=200802&amp;PERIODTYPE=QTR_STD&amp;window=popup_no_bar&amp;width=385&amp;height=120&amp;START_MAXIMIZED=FALSE&amp;creator=factset&amp;display_string=Audit"}</definedName>
    <definedName name="_2305__FDSAUDITLINK__" hidden="1">{"fdsup://Directions/FactSet Auditing Viewer?action=AUDIT_VALUE&amp;DB=129&amp;ID1=00289620&amp;VALUEID=01001&amp;SDATE=200802&amp;PERIODTYPE=QTR_STD&amp;window=popup_no_bar&amp;width=385&amp;height=120&amp;START_MAXIMIZED=FALSE&amp;creator=factset&amp;display_string=Audit"}</definedName>
    <definedName name="_2306__FDSAUDITLINK__" hidden="1">{"fdsup://Directions/FactSet Auditing Viewer?action=AUDIT_VALUE&amp;DB=129&amp;ID1=00289620&amp;VALUEID=13040&amp;SDATE=200802&amp;PERIODTYPE=QTR_STD&amp;window=popup_no_bar&amp;width=385&amp;height=120&amp;START_MAXIMIZED=FALSE&amp;creator=factset&amp;display_string=Audit"}</definedName>
    <definedName name="_2307__FDSAUDITLINK__" hidden="1">{"fdsup://Directions/FactSet Auditing Viewer?action=AUDIT_VALUE&amp;DB=129&amp;ID1=87416110&amp;VALUEID=02101&amp;SDATE=200801&amp;PERIODTYPE=QTR_STD&amp;window=popup_no_bar&amp;width=385&amp;height=120&amp;START_MAXIMIZED=FALSE&amp;creator=factset&amp;display_string=Audit"}</definedName>
    <definedName name="_2308__FDSAUDITLINK__" hidden="1">{"fdsup://Directions/FactSet Auditing Viewer?action=AUDIT_VALUE&amp;DB=129&amp;ID1=87416110&amp;VALUEID=01001&amp;SDATE=200801&amp;PERIODTYPE=QTR_STD&amp;window=popup_no_bar&amp;width=385&amp;height=120&amp;START_MAXIMIZED=FALSE&amp;creator=factset&amp;display_string=Audit"}</definedName>
    <definedName name="_2309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2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310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2311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2312__FDSAUDITLINK__" hidden="1">{"fdsup://Directions/FactSet Auditing Viewer?action=AUDIT_VALUE&amp;DB=129&amp;ID1=46612H40&amp;VALUEID=02101&amp;SDATE=200801&amp;PERIODTYPE=QTR_STD&amp;window=popup_no_bar&amp;width=385&amp;height=120&amp;START_MAXIMIZED=FALSE&amp;creator=factset&amp;display_string=Audit"}</definedName>
    <definedName name="_2313__FDSAUDITLINK__" hidden="1">{"fdsup://Directions/FactSet Auditing Viewer?action=AUDIT_VALUE&amp;DB=129&amp;ID1=46612H40&amp;VALUEID=01001&amp;SDATE=200801&amp;PERIODTYPE=QTR_STD&amp;window=popup_no_bar&amp;width=385&amp;height=120&amp;START_MAXIMIZED=FALSE&amp;creator=factset&amp;display_string=Audit"}</definedName>
    <definedName name="_2314__FDSAUDITLINK__" hidden="1">{"fdsup://Directions/FactSet Auditing Viewer?action=AUDIT_VALUE&amp;DB=129&amp;ID1=46612H40&amp;VALUEID=13040&amp;SDATE=200801&amp;PERIODTYPE=QTR_STD&amp;window=popup_no_bar&amp;width=385&amp;height=120&amp;START_MAXIMIZED=FALSE&amp;creator=factset&amp;display_string=Audit"}</definedName>
    <definedName name="_2315__FDSAUDITLINK__" hidden="1">{"fdsup://Directions/FactSet Auditing Viewer?action=AUDIT_VALUE&amp;DB=129&amp;ID1=36476010&amp;VALUEID=02101&amp;SDATE=200801&amp;PERIODTYPE=QTR_STD&amp;window=popup_no_bar&amp;width=385&amp;height=120&amp;START_MAXIMIZED=FALSE&amp;creator=factset&amp;display_string=Audit"}</definedName>
    <definedName name="_2316__FDSAUDITLINK__" hidden="1">{"fdsup://Directions/FactSet Auditing Viewer?action=AUDIT_VALUE&amp;DB=129&amp;ID1=36476010&amp;VALUEID=01001&amp;SDATE=200801&amp;PERIODTYPE=QTR_STD&amp;window=popup_no_bar&amp;width=385&amp;height=120&amp;START_MAXIMIZED=FALSE&amp;creator=factset&amp;display_string=Audit"}</definedName>
    <definedName name="_2317__FDSAUDITLINK__" hidden="1">{"fdsup://Directions/FactSet Auditing Viewer?action=AUDIT_VALUE&amp;DB=129&amp;ID1=36476010&amp;VALUEID=13040&amp;SDATE=200801&amp;PERIODTYPE=QTR_STD&amp;window=popup_no_bar&amp;width=385&amp;height=120&amp;START_MAXIMIZED=FALSE&amp;creator=factset&amp;display_string=Audit"}</definedName>
    <definedName name="_2318__FDSAUDITLINK__" hidden="1">{"fdsup://Directions/FactSet Auditing Viewer?action=AUDIT_VALUE&amp;DB=129&amp;ID1=03611510&amp;VALUEID=02101&amp;SDATE=200801&amp;PERIODTYPE=QTR_STD&amp;window=popup_no_bar&amp;width=385&amp;height=120&amp;START_MAXIMIZED=FALSE&amp;creator=factset&amp;display_string=Audit"}</definedName>
    <definedName name="_2319__FDSAUDITLINK__" hidden="1">{"fdsup://Directions/FactSet Auditing Viewer?action=AUDIT_VALUE&amp;DB=129&amp;ID1=03611510&amp;VALUEID=01001&amp;SDATE=200801&amp;PERIODTYPE=QTR_STD&amp;window=popup_no_bar&amp;width=385&amp;height=120&amp;START_MAXIMIZED=FALSE&amp;creator=factset&amp;display_string=Audit"}</definedName>
    <definedName name="_2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320__FDSAUDITLINK__" hidden="1">{"fdsup://Directions/FactSet Auditing Viewer?action=AUDIT_VALUE&amp;DB=129&amp;ID1=03611510&amp;VALUEID=13040&amp;SDATE=200801&amp;PERIODTYPE=QTR_STD&amp;window=popup_no_bar&amp;width=385&amp;height=120&amp;START_MAXIMIZED=FALSE&amp;creator=factset&amp;display_string=Audit"}</definedName>
    <definedName name="_2321__FDSAUDITLINK__" hidden="1">{"fdsup://Directions/FactSet Auditing Viewer?action=AUDIT_VALUE&amp;DB=129&amp;ID1=16890510&amp;VALUEID=02101&amp;SDATE=200801&amp;PERIODTYPE=QTR_STD&amp;window=popup_no_bar&amp;width=385&amp;height=120&amp;START_MAXIMIZED=FALSE&amp;creator=factset&amp;display_string=Audit"}</definedName>
    <definedName name="_2322__FDSAUDITLINK__" hidden="1">{"fdsup://Directions/FactSet Auditing Viewer?action=AUDIT_VALUE&amp;DB=129&amp;ID1=16890510&amp;VALUEID=01001&amp;SDATE=200801&amp;PERIODTYPE=QTR_STD&amp;window=popup_no_bar&amp;width=385&amp;height=120&amp;START_MAXIMIZED=FALSE&amp;creator=factset&amp;display_string=Audit"}</definedName>
    <definedName name="_2323__FDSAUDITLINK__" hidden="1">{"fdsup://Directions/FactSet Auditing Viewer?action=AUDIT_VALUE&amp;DB=129&amp;ID1=91704710&amp;VALUEID=02101&amp;SDATE=200801&amp;PERIODTYPE=QTR_STD&amp;window=popup_no_bar&amp;width=385&amp;height=120&amp;START_MAXIMIZED=FALSE&amp;creator=factset&amp;display_string=Audit"}</definedName>
    <definedName name="_2324__FDSAUDITLINK__" hidden="1">{"fdsup://Directions/FactSet Auditing Viewer?action=AUDIT_VALUE&amp;DB=129&amp;ID1=91704710&amp;VALUEID=01001&amp;SDATE=200801&amp;PERIODTYPE=QTR_STD&amp;window=popup_no_bar&amp;width=385&amp;height=120&amp;START_MAXIMIZED=FALSE&amp;creator=factset&amp;display_string=Audit"}</definedName>
    <definedName name="_2325__FDSAUDITLINK__" hidden="1">{"fdsup://Directions/FactSet Auditing Viewer?action=AUDIT_VALUE&amp;DB=129&amp;ID1=91704710&amp;VALUEID=13040&amp;SDATE=200801&amp;PERIODTYPE=QTR_STD&amp;window=popup_no_bar&amp;width=385&amp;height=120&amp;START_MAXIMIZED=FALSE&amp;creator=factset&amp;display_string=Audit"}</definedName>
    <definedName name="_2326__FDSAUDITLINK__" hidden="1">{"fdsup://Directions/FactSet Auditing Viewer?action=AUDIT_VALUE&amp;DB=129&amp;ID1=02553E10&amp;VALUEID=02101&amp;SDATE=200801&amp;PERIODTYPE=QTR_STD&amp;window=popup_no_bar&amp;width=385&amp;height=120&amp;START_MAXIMIZED=FALSE&amp;creator=factset&amp;display_string=Audit"}</definedName>
    <definedName name="_2327__FDSAUDITLINK__" hidden="1">{"fdsup://Directions/FactSet Auditing Viewer?action=AUDIT_VALUE&amp;DB=129&amp;ID1=02553E10&amp;VALUEID=01001&amp;SDATE=200801&amp;PERIODTYPE=QTR_STD&amp;window=popup_no_bar&amp;width=385&amp;height=120&amp;START_MAXIMIZED=FALSE&amp;creator=factset&amp;display_string=Audit"}</definedName>
    <definedName name="_2328__FDSAUDITLINK__" hidden="1">{"fdsup://Directions/FactSet Auditing Viewer?action=AUDIT_VALUE&amp;DB=129&amp;ID1=02553E10&amp;VALUEID=13040&amp;SDATE=200801&amp;PERIODTYPE=QTR_STD&amp;window=popup_no_bar&amp;width=385&amp;height=120&amp;START_MAXIMIZED=FALSE&amp;creator=factset&amp;display_string=Audit"}</definedName>
    <definedName name="_2329__FDSAUDITLINK__" hidden="1">{"fdsup://Directions/FactSet Auditing Viewer?action=AUDIT_VALUE&amp;DB=129&amp;ID1=00786510&amp;VALUEID=02101&amp;SDATE=200801&amp;PERIODTYPE=QTR_STD&amp;window=popup_no_bar&amp;width=385&amp;height=120&amp;START_MAXIMIZED=FALSE&amp;creator=factset&amp;display_string=Audit"}</definedName>
    <definedName name="_2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330__FDSAUDITLINK__" hidden="1">{"fdsup://Directions/FactSet Auditing Viewer?action=AUDIT_VALUE&amp;DB=129&amp;ID1=00786510&amp;VALUEID=01001&amp;SDATE=200801&amp;PERIODTYPE=QTR_STD&amp;window=popup_no_bar&amp;width=385&amp;height=120&amp;START_MAXIMIZED=FALSE&amp;creator=factset&amp;display_string=Audit"}</definedName>
    <definedName name="_2331__FDSAUDITLINK__" hidden="1">{"fdsup://Directions/FactSet Auditing Viewer?action=AUDIT_VALUE&amp;DB=129&amp;ID1=00786510&amp;VALUEID=13040&amp;SDATE=200801&amp;PERIODTYPE=QTR_STD&amp;window=popup_no_bar&amp;width=385&amp;height=120&amp;START_MAXIMIZED=FALSE&amp;creator=factset&amp;display_string=Audit"}</definedName>
    <definedName name="_2332__FDSAUDITLINK__" hidden="1">{"fdsup://Directions/FactSet Auditing Viewer?action=AUDIT_VALUE&amp;DB=129&amp;ID1=00289620&amp;VALUEID=02101&amp;SDATE=200801&amp;PERIODTYPE=QTR_STD&amp;window=popup_no_bar&amp;width=385&amp;height=120&amp;START_MAXIMIZED=FALSE&amp;creator=factset&amp;display_string=Audit"}</definedName>
    <definedName name="_2333__FDSAUDITLINK__" hidden="1">{"fdsup://Directions/FactSet Auditing Viewer?action=AUDIT_VALUE&amp;DB=129&amp;ID1=00289620&amp;VALUEID=01001&amp;SDATE=200801&amp;PERIODTYPE=QTR_STD&amp;window=popup_no_bar&amp;width=385&amp;height=120&amp;START_MAXIMIZED=FALSE&amp;creator=factset&amp;display_string=Audit"}</definedName>
    <definedName name="_2334__FDSAUDITLINK__" hidden="1">{"fdsup://Directions/FactSet Auditing Viewer?action=AUDIT_VALUE&amp;DB=129&amp;ID1=00289620&amp;VALUEID=13040&amp;SDATE=200801&amp;PERIODTYPE=QTR_STD&amp;window=popup_no_bar&amp;width=385&amp;height=120&amp;START_MAXIMIZED=FALSE&amp;creator=factset&amp;display_string=Audit"}</definedName>
    <definedName name="_2335__FDSAUDITLINK__" hidden="1">{"fdsup://Directions/FactSet Auditing Viewer?action=AUDIT_VALUE&amp;DB=129&amp;ID1=87416110&amp;VALUEID=01001&amp;SDATE=200704&amp;PERIODTYPE=QTR_STD&amp;window=popup_no_bar&amp;width=385&amp;height=120&amp;START_MAXIMIZED=FALSE&amp;creator=factset&amp;display_string=Audit"}</definedName>
    <definedName name="_2336__FDSAUDITLINK__" hidden="1">{"fdsup://Directions/FactSet Auditing Viewer?action=AUDIT_VALUE&amp;DB=129&amp;ID1=46612H40&amp;VALUEID=01001&amp;SDATE=200704&amp;PERIODTYPE=QTR_STD&amp;window=popup_no_bar&amp;width=385&amp;height=120&amp;START_MAXIMIZED=FALSE&amp;creator=factset&amp;display_string=Audit"}</definedName>
    <definedName name="_2337__FDSAUDITLINK__" hidden="1">{"fdsup://Directions/FactSet Auditing Viewer?action=AUDIT_VALUE&amp;DB=129&amp;ID1=46612H40&amp;VALUEID=13040&amp;SDATE=200704&amp;PERIODTYPE=QTR_STD&amp;window=popup_no_bar&amp;width=385&amp;height=120&amp;START_MAXIMIZED=FALSE&amp;creator=factset&amp;display_string=Audit"}</definedName>
    <definedName name="_2338__FDSAUDITLINK__" hidden="1">{"fdsup://Directions/FactSet Auditing Viewer?action=AUDIT_VALUE&amp;DB=129&amp;ID1=36476010&amp;VALUEID=01001&amp;SDATE=200704&amp;PERIODTYPE=QTR_STD&amp;window=popup_no_bar&amp;width=385&amp;height=120&amp;START_MAXIMIZED=FALSE&amp;creator=factset&amp;display_string=Audit"}</definedName>
    <definedName name="_2339__FDSAUDITLINK__" hidden="1">{"fdsup://Directions/FactSet Auditing Viewer?action=AUDIT_VALUE&amp;DB=129&amp;ID1=03611510&amp;VALUEID=01001&amp;SDATE=200704&amp;PERIODTYPE=QTR_STD&amp;window=popup_no_bar&amp;width=385&amp;height=120&amp;START_MAXIMIZED=FALSE&amp;creator=factset&amp;display_string=Audit"}</definedName>
    <definedName name="_2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340__FDSAUDITLINK__" hidden="1">{"fdsup://Directions/FactSet Auditing Viewer?action=AUDIT_VALUE&amp;DB=129&amp;ID1=03611510&amp;VALUEID=13040&amp;SDATE=200704&amp;PERIODTYPE=QTR_STD&amp;window=popup_no_bar&amp;width=385&amp;height=120&amp;START_MAXIMIZED=FALSE&amp;creator=factset&amp;display_string=Audit"}</definedName>
    <definedName name="_2341__FDSAUDITLINK__" hidden="1">{"fdsup://Directions/FactSet Auditing Viewer?action=AUDIT_VALUE&amp;DB=129&amp;ID1=16890510&amp;VALUEID=01001&amp;SDATE=200704&amp;PERIODTYPE=QTR_STD&amp;window=popup_no_bar&amp;width=385&amp;height=120&amp;START_MAXIMIZED=FALSE&amp;creator=factset&amp;display_string=Audit"}</definedName>
    <definedName name="_2342__FDSAUDITLINK__" hidden="1">{"fdsup://Directions/FactSet Auditing Viewer?action=AUDIT_VALUE&amp;DB=129&amp;ID1=00786510&amp;VALUEID=01001&amp;SDATE=200704&amp;PERIODTYPE=QTR_STD&amp;window=popup_no_bar&amp;width=385&amp;height=120&amp;START_MAXIMIZED=FALSE&amp;creator=factset&amp;display_string=Audit"}</definedName>
    <definedName name="_2343__FDSAUDITLINK__" hidden="1">{"fdsup://Directions/FactSet Auditing Viewer?action=AUDIT_VALUE&amp;DB=129&amp;ID1=87416110&amp;VALUEID=02101&amp;SDATE=200703&amp;PERIODTYPE=QTR_STD&amp;window=popup_no_bar&amp;width=385&amp;height=120&amp;START_MAXIMIZED=FALSE&amp;creator=factset&amp;display_string=Audit"}</definedName>
    <definedName name="_2344__FDSAUDITLINK__" hidden="1">{"fdsup://Directions/FactSet Auditing Viewer?action=AUDIT_VALUE&amp;DB=129&amp;ID1=87416110&amp;VALUEID=01001&amp;SDATE=200703&amp;PERIODTYPE=QTR_STD&amp;window=popup_no_bar&amp;width=385&amp;height=120&amp;START_MAXIMIZED=FALSE&amp;creator=factset&amp;display_string=Audit"}</definedName>
    <definedName name="_234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2346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2347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2348__FDSAUDITLINK__" hidden="1">{"fdsup://Directions/FactSet Auditing Viewer?action=AUDIT_VALUE&amp;DB=129&amp;ID1=46612H40&amp;VALUEID=02101&amp;SDATE=200703&amp;PERIODTYPE=QTR_STD&amp;window=popup_no_bar&amp;width=385&amp;height=120&amp;START_MAXIMIZED=FALSE&amp;creator=factset&amp;display_string=Audit"}</definedName>
    <definedName name="_2349__FDSAUDITLINK__" hidden="1">{"fdsup://Directions/FactSet Auditing Viewer?action=AUDIT_VALUE&amp;DB=129&amp;ID1=46612H40&amp;VALUEID=01001&amp;SDATE=200703&amp;PERIODTYPE=QTR_STD&amp;window=popup_no_bar&amp;width=385&amp;height=120&amp;START_MAXIMIZED=FALSE&amp;creator=factset&amp;display_string=Audit"}</definedName>
    <definedName name="_2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350__FDSAUDITLINK__" hidden="1">{"fdsup://Directions/FactSet Auditing Viewer?action=AUDIT_VALUE&amp;DB=129&amp;ID1=46612H40&amp;VALUEID=13040&amp;SDATE=200703&amp;PERIODTYPE=QTR_STD&amp;window=popup_no_bar&amp;width=385&amp;height=120&amp;START_MAXIMIZED=FALSE&amp;creator=factset&amp;display_string=Audit"}</definedName>
    <definedName name="_2351__FDSAUDITLINK__" hidden="1">{"fdsup://Directions/FactSet Auditing Viewer?action=AUDIT_VALUE&amp;DB=129&amp;ID1=36476010&amp;VALUEID=02101&amp;SDATE=200703&amp;PERIODTYPE=QTR_STD&amp;window=popup_no_bar&amp;width=385&amp;height=120&amp;START_MAXIMIZED=FALSE&amp;creator=factset&amp;display_string=Audit"}</definedName>
    <definedName name="_2352__FDSAUDITLINK__" hidden="1">{"fdsup://Directions/FactSet Auditing Viewer?action=AUDIT_VALUE&amp;DB=129&amp;ID1=36476010&amp;VALUEID=01001&amp;SDATE=200703&amp;PERIODTYPE=QTR_STD&amp;window=popup_no_bar&amp;width=385&amp;height=120&amp;START_MAXIMIZED=FALSE&amp;creator=factset&amp;display_string=Audit"}</definedName>
    <definedName name="_2353__FDSAUDITLINK__" hidden="1">{"fdsup://Directions/FactSet Auditing Viewer?action=AUDIT_VALUE&amp;DB=129&amp;ID1=36476010&amp;VALUEID=13040&amp;SDATE=200703&amp;PERIODTYPE=QTR_STD&amp;window=popup_no_bar&amp;width=385&amp;height=120&amp;START_MAXIMIZED=FALSE&amp;creator=factset&amp;display_string=Audit"}</definedName>
    <definedName name="_2354__FDSAUDITLINK__" hidden="1">{"fdsup://Directions/FactSet Auditing Viewer?action=AUDIT_VALUE&amp;DB=129&amp;ID1=03611510&amp;VALUEID=02101&amp;SDATE=200703&amp;PERIODTYPE=QTR_STD&amp;window=popup_no_bar&amp;width=385&amp;height=120&amp;START_MAXIMIZED=FALSE&amp;creator=factset&amp;display_string=Audit"}</definedName>
    <definedName name="_2355__FDSAUDITLINK__" hidden="1">{"fdsup://Directions/FactSet Auditing Viewer?action=AUDIT_VALUE&amp;DB=129&amp;ID1=03611510&amp;VALUEID=01001&amp;SDATE=200703&amp;PERIODTYPE=QTR_STD&amp;window=popup_no_bar&amp;width=385&amp;height=120&amp;START_MAXIMIZED=FALSE&amp;creator=factset&amp;display_string=Audit"}</definedName>
    <definedName name="_2356__FDSAUDITLINK__" hidden="1">{"fdsup://Directions/FactSet Auditing Viewer?action=AUDIT_VALUE&amp;DB=129&amp;ID1=03611510&amp;VALUEID=13040&amp;SDATE=200703&amp;PERIODTYPE=QTR_STD&amp;window=popup_no_bar&amp;width=385&amp;height=120&amp;START_MAXIMIZED=FALSE&amp;creator=factset&amp;display_string=Audit"}</definedName>
    <definedName name="_2357__FDSAUDITLINK__" hidden="1">{"fdsup://Directions/FactSet Auditing Viewer?action=AUDIT_VALUE&amp;DB=129&amp;ID1=16890510&amp;VALUEID=02101&amp;SDATE=200703&amp;PERIODTYPE=QTR_STD&amp;window=popup_no_bar&amp;width=385&amp;height=120&amp;START_MAXIMIZED=FALSE&amp;creator=factset&amp;display_string=Audit"}</definedName>
    <definedName name="_2358__FDSAUDITLINK__" hidden="1">{"fdsup://Directions/FactSet Auditing Viewer?action=AUDIT_VALUE&amp;DB=129&amp;ID1=16890510&amp;VALUEID=01001&amp;SDATE=200703&amp;PERIODTYPE=QTR_STD&amp;window=popup_no_bar&amp;width=385&amp;height=120&amp;START_MAXIMIZED=FALSE&amp;creator=factset&amp;display_string=Audit"}</definedName>
    <definedName name="_2359__FDSAUDITLINK__" hidden="1">{"fdsup://Directions/FactSet Auditing Viewer?action=AUDIT_VALUE&amp;DB=129&amp;ID1=91704710&amp;VALUEID=02101&amp;SDATE=200703&amp;PERIODTYPE=QTR_STD&amp;window=popup_no_bar&amp;width=385&amp;height=120&amp;START_MAXIMIZED=FALSE&amp;creator=factset&amp;display_string=Audit"}</definedName>
    <definedName name="_2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360__FDSAUDITLINK__" hidden="1">{"fdsup://Directions/FactSet Auditing Viewer?action=AUDIT_VALUE&amp;DB=129&amp;ID1=91704710&amp;VALUEID=01001&amp;SDATE=200703&amp;PERIODTYPE=QTR_STD&amp;window=popup_no_bar&amp;width=385&amp;height=120&amp;START_MAXIMIZED=FALSE&amp;creator=factset&amp;display_string=Audit"}</definedName>
    <definedName name="_2361__FDSAUDITLINK__" hidden="1">{"fdsup://Directions/FactSet Auditing Viewer?action=AUDIT_VALUE&amp;DB=129&amp;ID1=91704710&amp;VALUEID=13040&amp;SDATE=200703&amp;PERIODTYPE=QTR_STD&amp;window=popup_no_bar&amp;width=385&amp;height=120&amp;START_MAXIMIZED=FALSE&amp;creator=factset&amp;display_string=Audit"}</definedName>
    <definedName name="_2362__FDSAUDITLINK__" hidden="1">{"fdsup://Directions/FactSet Auditing Viewer?action=AUDIT_VALUE&amp;DB=129&amp;ID1=02553E10&amp;VALUEID=02101&amp;SDATE=200703&amp;PERIODTYPE=QTR_STD&amp;window=popup_no_bar&amp;width=385&amp;height=120&amp;START_MAXIMIZED=FALSE&amp;creator=factset&amp;display_string=Audit"}</definedName>
    <definedName name="_2363__FDSAUDITLINK__" hidden="1">{"fdsup://Directions/FactSet Auditing Viewer?action=AUDIT_VALUE&amp;DB=129&amp;ID1=02553E10&amp;VALUEID=01001&amp;SDATE=200703&amp;PERIODTYPE=QTR_STD&amp;window=popup_no_bar&amp;width=385&amp;height=120&amp;START_MAXIMIZED=FALSE&amp;creator=factset&amp;display_string=Audit"}</definedName>
    <definedName name="_2364__FDSAUDITLINK__" hidden="1">{"fdsup://Directions/FactSet Auditing Viewer?action=AUDIT_VALUE&amp;DB=129&amp;ID1=00786510&amp;VALUEID=02101&amp;SDATE=200703&amp;PERIODTYPE=QTR_STD&amp;window=popup_no_bar&amp;width=385&amp;height=120&amp;START_MAXIMIZED=FALSE&amp;creator=factset&amp;display_string=Audit"}</definedName>
    <definedName name="_2365__FDSAUDITLINK__" hidden="1">{"fdsup://Directions/FactSet Auditing Viewer?action=AUDIT_VALUE&amp;DB=129&amp;ID1=00786510&amp;VALUEID=01001&amp;SDATE=200703&amp;PERIODTYPE=QTR_STD&amp;window=popup_no_bar&amp;width=385&amp;height=120&amp;START_MAXIMIZED=FALSE&amp;creator=factset&amp;display_string=Audit"}</definedName>
    <definedName name="_2366__FDSAUDITLINK__" hidden="1">{"fdsup://Directions/FactSet Auditing Viewer?action=AUDIT_VALUE&amp;DB=129&amp;ID1=00786510&amp;VALUEID=13040&amp;SDATE=200703&amp;PERIODTYPE=QTR_STD&amp;window=popup_no_bar&amp;width=385&amp;height=120&amp;START_MAXIMIZED=FALSE&amp;creator=factset&amp;display_string=Audit"}</definedName>
    <definedName name="_2367__FDSAUDITLINK__" hidden="1">{"fdsup://Directions/FactSet Auditing Viewer?action=AUDIT_VALUE&amp;DB=129&amp;ID1=00289620&amp;VALUEID=02101&amp;SDATE=200703&amp;PERIODTYPE=QTR_STD&amp;window=popup_no_bar&amp;width=385&amp;height=120&amp;START_MAXIMIZED=FALSE&amp;creator=factset&amp;display_string=Audit"}</definedName>
    <definedName name="_2368__FDSAUDITLINK__" hidden="1">{"fdsup://Directions/FactSet Auditing Viewer?action=AUDIT_VALUE&amp;DB=129&amp;ID1=00289620&amp;VALUEID=01001&amp;SDATE=200703&amp;PERIODTYPE=QTR_STD&amp;window=popup_no_bar&amp;width=385&amp;height=120&amp;START_MAXIMIZED=FALSE&amp;creator=factset&amp;display_string=Audit"}</definedName>
    <definedName name="_2369__FDSAUDITLINK__" hidden="1">{"fdsup://Directions/FactSet Auditing Viewer?action=AUDIT_VALUE&amp;DB=129&amp;ID1=00289620&amp;VALUEID=13040&amp;SDATE=200703&amp;PERIODTYPE=QTR_STD&amp;window=popup_no_bar&amp;width=385&amp;height=120&amp;START_MAXIMIZED=FALSE&amp;creator=factset&amp;display_string=Audit"}</definedName>
    <definedName name="_2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370__FDSAUDITLINK__" hidden="1">{"fdsup://Directions/FactSet Auditing Viewer?action=AUDIT_VALUE&amp;DB=129&amp;ID1=87416110&amp;VALUEID=02101&amp;SDATE=200702&amp;PERIODTYPE=QTR_STD&amp;window=popup_no_bar&amp;width=385&amp;height=120&amp;START_MAXIMIZED=FALSE&amp;creator=factset&amp;display_string=Audit"}</definedName>
    <definedName name="_2371__FDSAUDITLINK__" hidden="1">{"fdsup://Directions/FactSet Auditing Viewer?action=AUDIT_VALUE&amp;DB=129&amp;ID1=87416110&amp;VALUEID=01001&amp;SDATE=200702&amp;PERIODTYPE=QTR_STD&amp;window=popup_no_bar&amp;width=385&amp;height=120&amp;START_MAXIMIZED=FALSE&amp;creator=factset&amp;display_string=Audit"}</definedName>
    <definedName name="_237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2373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2374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2375__FDSAUDITLINK__" hidden="1">{"fdsup://Directions/FactSet Auditing Viewer?action=AUDIT_VALUE&amp;DB=129&amp;ID1=46612H40&amp;VALUEID=02101&amp;SDATE=200702&amp;PERIODTYPE=QTR_STD&amp;window=popup_no_bar&amp;width=385&amp;height=120&amp;START_MAXIMIZED=FALSE&amp;creator=factset&amp;display_string=Audit"}</definedName>
    <definedName name="_2376__FDSAUDITLINK__" hidden="1">{"fdsup://Directions/FactSet Auditing Viewer?action=AUDIT_VALUE&amp;DB=129&amp;ID1=46612H40&amp;VALUEID=01001&amp;SDATE=200702&amp;PERIODTYPE=QTR_STD&amp;window=popup_no_bar&amp;width=385&amp;height=120&amp;START_MAXIMIZED=FALSE&amp;creator=factset&amp;display_string=Audit"}</definedName>
    <definedName name="_2377__FDSAUDITLINK__" hidden="1">{"fdsup://Directions/FactSet Auditing Viewer?action=AUDIT_VALUE&amp;DB=129&amp;ID1=46612H40&amp;VALUEID=13040&amp;SDATE=200702&amp;PERIODTYPE=QTR_STD&amp;window=popup_no_bar&amp;width=385&amp;height=120&amp;START_MAXIMIZED=FALSE&amp;creator=factset&amp;display_string=Audit"}</definedName>
    <definedName name="_2378__FDSAUDITLINK__" hidden="1">{"fdsup://Directions/FactSet Auditing Viewer?action=AUDIT_VALUE&amp;DB=129&amp;ID1=36476010&amp;VALUEID=02101&amp;SDATE=200702&amp;PERIODTYPE=QTR_STD&amp;window=popup_no_bar&amp;width=385&amp;height=120&amp;START_MAXIMIZED=FALSE&amp;creator=factset&amp;display_string=Audit"}</definedName>
    <definedName name="_2379__FDSAUDITLINK__" hidden="1">{"fdsup://Directions/FactSet Auditing Viewer?action=AUDIT_VALUE&amp;DB=129&amp;ID1=36476010&amp;VALUEID=01001&amp;SDATE=200702&amp;PERIODTYPE=QTR_STD&amp;window=popup_no_bar&amp;width=385&amp;height=120&amp;START_MAXIMIZED=FALSE&amp;creator=factset&amp;display_string=Audit"}</definedName>
    <definedName name="_2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380__FDSAUDITLINK__" hidden="1">{"fdsup://Directions/FactSet Auditing Viewer?action=AUDIT_VALUE&amp;DB=129&amp;ID1=03611510&amp;VALUEID=02101&amp;SDATE=200702&amp;PERIODTYPE=QTR_STD&amp;window=popup_no_bar&amp;width=385&amp;height=120&amp;START_MAXIMIZED=FALSE&amp;creator=factset&amp;display_string=Audit"}</definedName>
    <definedName name="_2381__FDSAUDITLINK__" hidden="1">{"fdsup://Directions/FactSet Auditing Viewer?action=AUDIT_VALUE&amp;DB=129&amp;ID1=03611510&amp;VALUEID=01001&amp;SDATE=200702&amp;PERIODTYPE=QTR_STD&amp;window=popup_no_bar&amp;width=385&amp;height=120&amp;START_MAXIMIZED=FALSE&amp;creator=factset&amp;display_string=Audit"}</definedName>
    <definedName name="_2382__FDSAUDITLINK__" hidden="1">{"fdsup://Directions/FactSet Auditing Viewer?action=AUDIT_VALUE&amp;DB=129&amp;ID1=03611510&amp;VALUEID=13040&amp;SDATE=200702&amp;PERIODTYPE=QTR_STD&amp;window=popup_no_bar&amp;width=385&amp;height=120&amp;START_MAXIMIZED=FALSE&amp;creator=factset&amp;display_string=Audit"}</definedName>
    <definedName name="_2383__FDSAUDITLINK__" hidden="1">{"fdsup://Directions/FactSet Auditing Viewer?action=AUDIT_VALUE&amp;DB=129&amp;ID1=16890510&amp;VALUEID=02101&amp;SDATE=200702&amp;PERIODTYPE=QTR_STD&amp;window=popup_no_bar&amp;width=385&amp;height=120&amp;START_MAXIMIZED=FALSE&amp;creator=factset&amp;display_string=Audit"}</definedName>
    <definedName name="_2384__FDSAUDITLINK__" hidden="1">{"fdsup://Directions/FactSet Auditing Viewer?action=AUDIT_VALUE&amp;DB=129&amp;ID1=16890510&amp;VALUEID=01001&amp;SDATE=200702&amp;PERIODTYPE=QTR_STD&amp;window=popup_no_bar&amp;width=385&amp;height=120&amp;START_MAXIMIZED=FALSE&amp;creator=factset&amp;display_string=Audit"}</definedName>
    <definedName name="_2385__FDSAUDITLINK__" hidden="1">{"fdsup://Directions/FactSet Auditing Viewer?action=AUDIT_VALUE&amp;DB=129&amp;ID1=91704710&amp;VALUEID=02101&amp;SDATE=200702&amp;PERIODTYPE=QTR_STD&amp;window=popup_no_bar&amp;width=385&amp;height=120&amp;START_MAXIMIZED=FALSE&amp;creator=factset&amp;display_string=Audit"}</definedName>
    <definedName name="_2386__FDSAUDITLINK__" hidden="1">{"fdsup://Directions/FactSet Auditing Viewer?action=AUDIT_VALUE&amp;DB=129&amp;ID1=91704710&amp;VALUEID=01001&amp;SDATE=200702&amp;PERIODTYPE=QTR_STD&amp;window=popup_no_bar&amp;width=385&amp;height=120&amp;START_MAXIMIZED=FALSE&amp;creator=factset&amp;display_string=Audit"}</definedName>
    <definedName name="_2387__FDSAUDITLINK__" hidden="1">{"fdsup://Directions/FactSet Auditing Viewer?action=AUDIT_VALUE&amp;DB=129&amp;ID1=91704710&amp;VALUEID=13040&amp;SDATE=200702&amp;PERIODTYPE=QTR_STD&amp;window=popup_no_bar&amp;width=385&amp;height=120&amp;START_MAXIMIZED=FALSE&amp;creator=factset&amp;display_string=Audit"}</definedName>
    <definedName name="_2388__FDSAUDITLINK__" hidden="1">{"fdsup://Directions/FactSet Auditing Viewer?action=AUDIT_VALUE&amp;DB=129&amp;ID1=02553E10&amp;VALUEID=02101&amp;SDATE=200702&amp;PERIODTYPE=QTR_STD&amp;window=popup_no_bar&amp;width=385&amp;height=120&amp;START_MAXIMIZED=FALSE&amp;creator=factset&amp;display_string=Audit"}</definedName>
    <definedName name="_2389__FDSAUDITLINK__" hidden="1">{"fdsup://Directions/FactSet Auditing Viewer?action=AUDIT_VALUE&amp;DB=129&amp;ID1=02553E10&amp;VALUEID=01001&amp;SDATE=200702&amp;PERIODTYPE=QTR_STD&amp;window=popup_no_bar&amp;width=385&amp;height=120&amp;START_MAXIMIZED=FALSE&amp;creator=factset&amp;display_string=Audit"}</definedName>
    <definedName name="_2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390__FDSAUDITLINK__" hidden="1">{"fdsup://Directions/FactSet Auditing Viewer?action=AUDIT_VALUE&amp;DB=129&amp;ID1=02553E10&amp;VALUEID=13040&amp;SDATE=200702&amp;PERIODTYPE=QTR_STD&amp;window=popup_no_bar&amp;width=385&amp;height=120&amp;START_MAXIMIZED=FALSE&amp;creator=factset&amp;display_string=Audit"}</definedName>
    <definedName name="_2391__FDSAUDITLINK__" hidden="1">{"fdsup://Directions/FactSet Auditing Viewer?action=AUDIT_VALUE&amp;DB=129&amp;ID1=00786510&amp;VALUEID=02101&amp;SDATE=200702&amp;PERIODTYPE=QTR_STD&amp;window=popup_no_bar&amp;width=385&amp;height=120&amp;START_MAXIMIZED=FALSE&amp;creator=factset&amp;display_string=Audit"}</definedName>
    <definedName name="_2392__FDSAUDITLINK__" hidden="1">{"fdsup://Directions/FactSet Auditing Viewer?action=AUDIT_VALUE&amp;DB=129&amp;ID1=00786510&amp;VALUEID=01001&amp;SDATE=200702&amp;PERIODTYPE=QTR_STD&amp;window=popup_no_bar&amp;width=385&amp;height=120&amp;START_MAXIMIZED=FALSE&amp;creator=factset&amp;display_string=Audit"}</definedName>
    <definedName name="_2393__FDSAUDITLINK__" hidden="1">{"fdsup://Directions/FactSet Auditing Viewer?action=AUDIT_VALUE&amp;DB=129&amp;ID1=00786510&amp;VALUEID=13040&amp;SDATE=200702&amp;PERIODTYPE=QTR_STD&amp;window=popup_no_bar&amp;width=385&amp;height=120&amp;START_MAXIMIZED=FALSE&amp;creator=factset&amp;display_string=Audit"}</definedName>
    <definedName name="_2394__FDSAUDITLINK__" hidden="1">{"fdsup://Directions/FactSet Auditing Viewer?action=AUDIT_VALUE&amp;DB=129&amp;ID1=00289620&amp;VALUEID=02101&amp;SDATE=200702&amp;PERIODTYPE=QTR_STD&amp;window=popup_no_bar&amp;width=385&amp;height=120&amp;START_MAXIMIZED=FALSE&amp;creator=factset&amp;display_string=Audit"}</definedName>
    <definedName name="_2395__FDSAUDITLINK__" hidden="1">{"fdsup://Directions/FactSet Auditing Viewer?action=AUDIT_VALUE&amp;DB=129&amp;ID1=00289620&amp;VALUEID=01001&amp;SDATE=200702&amp;PERIODTYPE=QTR_STD&amp;window=popup_no_bar&amp;width=385&amp;height=120&amp;START_MAXIMIZED=FALSE&amp;creator=factset&amp;display_string=Audit"}</definedName>
    <definedName name="_2396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2397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2398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2399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24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00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2401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2402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2403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2404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2405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2406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2407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2408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2409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241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410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2411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2412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2413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2414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2415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2416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2417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2418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2419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242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420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2421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2422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2423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2424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2425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2426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2427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2428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2429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243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430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2431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2432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2433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2434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2435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2436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2437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2438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2439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244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440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2441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2442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2443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2444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2445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2446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2447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2448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2449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245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50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2451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2452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2453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2454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2455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2456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2457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2458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2459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246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460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246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2462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2463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2464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2465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2466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2467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2468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2469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247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470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2471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2472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2473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2474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2475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2476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2477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2478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2479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248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480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2481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2482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2483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2484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2485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2486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2487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2488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2489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249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490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2491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2492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2493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2494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2495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2496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2497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2498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2499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50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500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2501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2502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2503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2504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2505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2506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2507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2508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2509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251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510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2511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2512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2513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2514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2515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2516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2517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2518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2519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252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520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2521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2522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2523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2524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2525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2526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2527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2528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2529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253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530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2531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2532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2533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2534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2535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2536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2537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2538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2539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254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540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2541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2542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2543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2544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2545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2546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2547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2548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2549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255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550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2551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2552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2553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2554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2555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2556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2557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2558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2559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256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560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2561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2562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2563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2564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2565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2566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2567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2568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2569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257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570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2571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2572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2573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2574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2575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2576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2577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2578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2579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258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580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2581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2582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2583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2584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2585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2586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2587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2588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2589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259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590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2591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2592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2593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2594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2595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2596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2597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2598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2599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60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60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2601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2602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2603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2604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2605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2606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2607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2608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2609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261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610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261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2612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2613__FDSAUDITLINK__" hidden="1">{"fdsup://Directions/FactSet Auditing Viewer?action=AUDIT_VALUE&amp;DB=129&amp;ID1=58711810&amp;VALUEID=01001&amp;SDATE=200601&amp;PERIODTYPE=QTR_STD&amp;window=popup_no_bar&amp;width=385&amp;height=120&amp;START_MAXIMIZED=FALSE&amp;creator=factset&amp;display_string=Audit"}</definedName>
    <definedName name="_2614__FDSAUDITLINK__" hidden="1">{"fdsup://Directions/FactSet Auditing Viewer?action=AUDIT_VALUE&amp;DB=129&amp;ID1=58711810&amp;VALUEID=02101&amp;SDATE=200601&amp;PERIODTYPE=QTR_STD&amp;window=popup_no_bar&amp;width=385&amp;height=120&amp;START_MAXIMIZED=FALSE&amp;creator=factset&amp;display_string=Audit"}</definedName>
    <definedName name="_2615__FDSAUDITLINK__" hidden="1">{"fdsup://Directions/FactSet Auditing Viewer?action=AUDIT_VALUE&amp;DB=129&amp;ID1=58711810&amp;VALUEID=01001&amp;SDATE=200602&amp;PERIODTYPE=QTR_STD&amp;window=popup_no_bar&amp;width=385&amp;height=120&amp;START_MAXIMIZED=FALSE&amp;creator=factset&amp;display_string=Audit"}</definedName>
    <definedName name="_2616__FDSAUDITLINK__" hidden="1">{"fdsup://Directions/FactSet Auditing Viewer?action=AUDIT_VALUE&amp;DB=129&amp;ID1=58711810&amp;VALUEID=02101&amp;SDATE=200602&amp;PERIODTYPE=QTR_STD&amp;window=popup_no_bar&amp;width=385&amp;height=120&amp;START_MAXIMIZED=FALSE&amp;creator=factset&amp;display_string=Audit"}</definedName>
    <definedName name="_2617__FDSAUDITLINK__" hidden="1">{"fdsup://Directions/FactSet Auditing Viewer?action=AUDIT_VALUE&amp;DB=129&amp;ID1=58711810&amp;VALUEID=01001&amp;SDATE=200603&amp;PERIODTYPE=QTR_STD&amp;window=popup_no_bar&amp;width=385&amp;height=120&amp;START_MAXIMIZED=FALSE&amp;creator=factset&amp;display_string=Audit"}</definedName>
    <definedName name="_2618__FDSAUDITLINK__" hidden="1">{"fdsup://Directions/FactSet Auditing Viewer?action=AUDIT_VALUE&amp;DB=129&amp;ID1=58711810&amp;VALUEID=02101&amp;SDATE=200603&amp;PERIODTYPE=QTR_STD&amp;window=popup_no_bar&amp;width=385&amp;height=120&amp;START_MAXIMIZED=FALSE&amp;creator=factset&amp;display_string=Audit"}</definedName>
    <definedName name="_2619__FDSAUDITLINK__" hidden="1">{"fdsup://Directions/FactSet Auditing Viewer?action=AUDIT_VALUE&amp;DB=129&amp;ID1=58711810&amp;VALUEID=01001&amp;SDATE=200604&amp;PERIODTYPE=QTR_STD&amp;window=popup_no_bar&amp;width=385&amp;height=120&amp;START_MAXIMIZED=FALSE&amp;creator=factset&amp;display_string=Audit"}</definedName>
    <definedName name="_262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620__FDSAUDITLINK__" hidden="1">{"fdsup://Directions/FactSet Auditing Viewer?action=AUDIT_VALUE&amp;DB=129&amp;ID1=58711810&amp;VALUEID=01001&amp;SDATE=200701&amp;PERIODTYPE=QTR_STD&amp;window=popup_no_bar&amp;width=385&amp;height=120&amp;START_MAXIMIZED=FALSE&amp;creator=factset&amp;display_string=Audit"}</definedName>
    <definedName name="_2621__FDSAUDITLINK__" hidden="1">{"fdsup://Directions/FactSet Auditing Viewer?action=AUDIT_VALUE&amp;DB=129&amp;ID1=58711810&amp;VALUEID=02101&amp;SDATE=200701&amp;PERIODTYPE=QTR_STD&amp;window=popup_no_bar&amp;width=385&amp;height=120&amp;START_MAXIMIZED=FALSE&amp;creator=factset&amp;display_string=Audit"}</definedName>
    <definedName name="_2622__FDSAUDITLINK__" hidden="1">{"fdsup://Directions/FactSet Auditing Viewer?action=AUDIT_VALUE&amp;DB=129&amp;ID1=58711810&amp;VALUEID=01001&amp;SDATE=200702&amp;PERIODTYPE=QTR_STD&amp;window=popup_no_bar&amp;width=385&amp;height=120&amp;START_MAXIMIZED=FALSE&amp;creator=factset&amp;display_string=Audit"}</definedName>
    <definedName name="_2623__FDSAUDITLINK__" hidden="1">{"fdsup://Directions/FactSet Auditing Viewer?action=AUDIT_VALUE&amp;DB=129&amp;ID1=58711810&amp;VALUEID=02101&amp;SDATE=200702&amp;PERIODTYPE=QTR_STD&amp;window=popup_no_bar&amp;width=385&amp;height=120&amp;START_MAXIMIZED=FALSE&amp;creator=factset&amp;display_string=Audit"}</definedName>
    <definedName name="_2624__FDSAUDITLINK__" hidden="1">{"fdsup://Directions/FactSet Auditing Viewer?action=AUDIT_VALUE&amp;DB=129&amp;ID1=58711810&amp;VALUEID=01001&amp;SDATE=200703&amp;PERIODTYPE=QTR_STD&amp;window=popup_no_bar&amp;width=385&amp;height=120&amp;START_MAXIMIZED=FALSE&amp;creator=factset&amp;display_string=Audit"}</definedName>
    <definedName name="_2625__FDSAUDITLINK__" hidden="1">{"fdsup://Directions/FactSet Auditing Viewer?action=AUDIT_VALUE&amp;DB=129&amp;ID1=58711810&amp;VALUEID=02101&amp;SDATE=200703&amp;PERIODTYPE=QTR_STD&amp;window=popup_no_bar&amp;width=385&amp;height=120&amp;START_MAXIMIZED=FALSE&amp;creator=factset&amp;display_string=Audit"}</definedName>
    <definedName name="_2626__FDSAUDITLINK__" hidden="1">{"fdsup://Directions/FactSet Auditing Viewer?action=AUDIT_VALUE&amp;DB=129&amp;ID1=58711810&amp;VALUEID=01001&amp;SDATE=200704&amp;PERIODTYPE=QTR_STD&amp;window=popup_no_bar&amp;width=385&amp;height=120&amp;START_MAXIMIZED=FALSE&amp;creator=factset&amp;display_string=Audit"}</definedName>
    <definedName name="_2627__FDSAUDITLINK__" hidden="1">{"fdsup://Directions/FactSet Auditing Viewer?action=AUDIT_VALUE&amp;DB=129&amp;ID1=58711810&amp;VALUEID=01001&amp;SDATE=200801&amp;PERIODTYPE=QTR_STD&amp;window=popup_no_bar&amp;width=385&amp;height=120&amp;START_MAXIMIZED=FALSE&amp;creator=factset&amp;display_string=Audit"}</definedName>
    <definedName name="_2628__FDSAUDITLINK__" hidden="1">{"fdsup://Directions/FactSet Auditing Viewer?action=AUDIT_VALUE&amp;DB=129&amp;ID1=58711810&amp;VALUEID=02101&amp;SDATE=200801&amp;PERIODTYPE=QTR_STD&amp;window=popup_no_bar&amp;width=385&amp;height=120&amp;START_MAXIMIZED=FALSE&amp;creator=factset&amp;display_string=Audit"}</definedName>
    <definedName name="_2629__FDSAUDITLINK__" hidden="1">{"fdsup://Directions/FactSet Auditing Viewer?action=AUDIT_VALUE&amp;DB=129&amp;ID1=58711810&amp;VALUEID=01001&amp;SDATE=200802&amp;PERIODTYPE=QTR_STD&amp;window=popup_no_bar&amp;width=385&amp;height=120&amp;START_MAXIMIZED=FALSE&amp;creator=factset&amp;display_string=Audit"}</definedName>
    <definedName name="_263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630__FDSAUDITLINK__" hidden="1">{"fdsup://Directions/FactSet Auditing Viewer?action=AUDIT_VALUE&amp;DB=129&amp;ID1=58711810&amp;VALUEID=02101&amp;SDATE=200802&amp;PERIODTYPE=QTR_STD&amp;window=popup_no_bar&amp;width=385&amp;height=120&amp;START_MAXIMIZED=FALSE&amp;creator=factset&amp;display_string=Audit"}</definedName>
    <definedName name="_2631__FDSAUDITLINK__" hidden="1">{"fdsup://Directions/FactSet Auditing Viewer?action=AUDIT_VALUE&amp;DB=129&amp;ID1=58711810&amp;VALUEID=01001&amp;SDATE=200803&amp;PERIODTYPE=QTR_STD&amp;window=popup_no_bar&amp;width=385&amp;height=120&amp;START_MAXIMIZED=FALSE&amp;creator=factset&amp;display_string=Audit"}</definedName>
    <definedName name="_2632__FDSAUDITLINK__" hidden="1">{"fdsup://Directions/FactSet Auditing Viewer?action=AUDIT_VALUE&amp;DB=129&amp;ID1=58711810&amp;VALUEID=02101&amp;SDATE=200803&amp;PERIODTYPE=QTR_STD&amp;window=popup_no_bar&amp;width=385&amp;height=120&amp;START_MAXIMIZED=FALSE&amp;creator=factset&amp;display_string=Audit"}</definedName>
    <definedName name="_2633__FDSAUDITLINK__" hidden="1">{"fdsup://Directions/FactSet Auditing Viewer?action=AUDIT_VALUE&amp;DB=129&amp;ID1=58711810&amp;VALUEID=01001&amp;SDATE=200804&amp;PERIODTYPE=QTR_STD&amp;window=popup_no_bar&amp;width=385&amp;height=120&amp;START_MAXIMIZED=FALSE&amp;creator=factset&amp;display_string=Audit"}</definedName>
    <definedName name="_2634__FDSAUDITLINK__" hidden="1">{"fdsup://Directions/FactSet Auditing Viewer?action=AUDIT_VALUE&amp;DB=129&amp;ID1=58711810&amp;VALUEID=01001&amp;SDATE=200902&amp;PERIODTYPE=QTR_STD&amp;window=popup_no_bar&amp;width=385&amp;height=120&amp;START_MAXIMIZED=FALSE&amp;creator=factset&amp;display_string=Audit"}</definedName>
    <definedName name="_2635__FDSAUDITLINK__" hidden="1">{"fdsup://Directions/FactSet Auditing Viewer?action=AUDIT_VALUE&amp;DB=129&amp;ID1=58711810&amp;VALUEID=02101&amp;SDATE=200902&amp;PERIODTYPE=QTR_STD&amp;window=popup_no_bar&amp;width=385&amp;height=120&amp;START_MAXIMIZED=FALSE&amp;creator=factset&amp;display_string=Audit"}</definedName>
    <definedName name="_2636__FDSAUDITLINK__" hidden="1">{"fdsup://Directions/FactSet Auditing Viewer?action=AUDIT_VALUE&amp;DB=129&amp;ID1=58711810&amp;VALUEID=01001&amp;SDATE=200903&amp;PERIODTYPE=QTR_STD&amp;window=popup_no_bar&amp;width=385&amp;height=120&amp;START_MAXIMIZED=FALSE&amp;creator=factset&amp;display_string=Audit"}</definedName>
    <definedName name="_2637__FDSAUDITLINK__" hidden="1">{"fdsup://Directions/FactSet Auditing Viewer?action=AUDIT_VALUE&amp;DB=129&amp;ID1=58711810&amp;VALUEID=02101&amp;SDATE=200903&amp;PERIODTYPE=QTR_STD&amp;window=popup_no_bar&amp;width=385&amp;height=120&amp;START_MAXIMIZED=FALSE&amp;creator=factset&amp;display_string=Audit"}</definedName>
    <definedName name="_2638__FDSAUDITLINK__" hidden="1">{"fdsup://Directions/FactSet Auditing Viewer?action=AUDIT_VALUE&amp;DB=129&amp;ID1=58711810&amp;VALUEID=01001&amp;SDATE=200904&amp;PERIODTYPE=QTR_STD&amp;window=popup_no_bar&amp;width=385&amp;height=120&amp;START_MAXIMIZED=FALSE&amp;creator=factset&amp;display_string=Audit"}</definedName>
    <definedName name="_2639__FDSAUDITLINK__" hidden="1">{"fdsup://Directions/FactSet Auditing Viewer?action=AUDIT_VALUE&amp;DB=129&amp;ID1=58711810&amp;VALUEID=02101&amp;SDATE=201001&amp;PERIODTYPE=QTR_STD&amp;window=popup_no_bar&amp;width=385&amp;height=120&amp;START_MAXIMIZED=FALSE&amp;creator=factset&amp;display_string=Audit"}</definedName>
    <definedName name="_264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640__FDSAUDITLINK__" hidden="1">{"fdsup://directions/FAT Viewer?action=UPDATE&amp;creator=factset&amp;DYN_ARGS=TRUE&amp;DOC_NAME=FAT:FQL_AUDITING_CLIENT_TEMPLATE.FAT&amp;display_string=Audit&amp;VAR:KEY=XOLCTGDGVG&amp;VAR:QUERY=RkZfUlRfU0ZfVE9UX0dST1NTKFFUUiwtNDQp&amp;WINDOW=FIRST_POPUP&amp;HEIGHT=450&amp;WIDTH=450&amp;START_MA","XIMIZED=FALSE&amp;VAR:CALENDAR=US&amp;VAR:SYMBOL=MW&amp;VAR:INDEX=0"}</definedName>
    <definedName name="_2641__FDSAUDITLINK__" hidden="1">{"fdsup://directions/FAT Viewer?action=UPDATE&amp;creator=factset&amp;DYN_ARGS=TRUE&amp;DOC_NAME=FAT:FQL_AUDITING_CLIENT_TEMPLATE.FAT&amp;display_string=Audit&amp;VAR:KEY=LCLADYJIPS&amp;VAR:QUERY=RkZfUlRfU0ZfVE9UX0dST1NTKFFUUiwtNDMp&amp;WINDOW=FIRST_POPUP&amp;HEIGHT=450&amp;WIDTH=450&amp;START_MA","XIMIZED=FALSE&amp;VAR:CALENDAR=US&amp;VAR:SYMBOL=MW&amp;VAR:INDEX=0"}</definedName>
    <definedName name="_2642__FDSAUDITLINK__" hidden="1">{"fdsup://directions/FAT Viewer?action=UPDATE&amp;creator=factset&amp;DYN_ARGS=TRUE&amp;DOC_NAME=FAT:FQL_AUDITING_CLIENT_TEMPLATE.FAT&amp;display_string=Audit&amp;VAR:KEY=XWVCNWVOLS&amp;VAR:QUERY=RkZfUlRfU0ZfVE9UX0dST1NTKFFUUiwtNDIp&amp;WINDOW=FIRST_POPUP&amp;HEIGHT=450&amp;WIDTH=450&amp;START_MA","XIMIZED=FALSE&amp;VAR:CALENDAR=US&amp;VAR:SYMBOL=MW&amp;VAR:INDEX=0"}</definedName>
    <definedName name="_2643__FDSAUDITLINK__" hidden="1">{"fdsup://directions/FAT Viewer?action=UPDATE&amp;creator=factset&amp;DYN_ARGS=TRUE&amp;DOC_NAME=FAT:FQL_AUDITING_CLIENT_TEMPLATE.FAT&amp;display_string=Audit&amp;VAR:KEY=RQLYDYBETO&amp;VAR:QUERY=RkZfUlRfU0ZfVE9UX0dST1NTKFFUUiwtNDEp&amp;WINDOW=FIRST_POPUP&amp;HEIGHT=450&amp;WIDTH=450&amp;START_MA","XIMIZED=FALSE&amp;VAR:CALENDAR=US&amp;VAR:SYMBOL=MW&amp;VAR:INDEX=0"}</definedName>
    <definedName name="_2644__FDSAUDITLINK__" hidden="1">{"fdsup://directions/FAT Viewer?action=UPDATE&amp;creator=factset&amp;DYN_ARGS=TRUE&amp;DOC_NAME=FAT:FQL_AUDITING_CLIENT_TEMPLATE.FAT&amp;display_string=Audit&amp;VAR:KEY=NEZQTKDIVO&amp;VAR:QUERY=RkZfUlRfU0ZfVE9UX0dST1NTKFFUUiwtNDAp&amp;WINDOW=FIRST_POPUP&amp;HEIGHT=450&amp;WIDTH=450&amp;START_MA","XIMIZED=FALSE&amp;VAR:CALENDAR=US&amp;VAR:SYMBOL=MW&amp;VAR:INDEX=0"}</definedName>
    <definedName name="_2645__FDSAUDITLINK__" hidden="1">{"fdsup://directions/FAT Viewer?action=UPDATE&amp;creator=factset&amp;DYN_ARGS=TRUE&amp;DOC_NAME=FAT:FQL_AUDITING_CLIENT_TEMPLATE.FAT&amp;display_string=Audit&amp;VAR:KEY=LWNOPUVYPS&amp;VAR:QUERY=RkZfUlRfU0ZfVE9UX0dST1NTKFFUUiwtMzkp&amp;WINDOW=FIRST_POPUP&amp;HEIGHT=450&amp;WIDTH=450&amp;START_MA","XIMIZED=FALSE&amp;VAR:CALENDAR=US&amp;VAR:SYMBOL=MW&amp;VAR:INDEX=0"}</definedName>
    <definedName name="_2646__FDSAUDITLINK__" hidden="1">{"fdsup://directions/FAT Viewer?action=UPDATE&amp;creator=factset&amp;DYN_ARGS=TRUE&amp;DOC_NAME=FAT:FQL_AUDITING_CLIENT_TEMPLATE.FAT&amp;display_string=Audit&amp;VAR:KEY=ZAPGLCVOZS&amp;VAR:QUERY=RkZfUlRfU0ZfVE9UX0dST1NTKFFUUiwtMzgp&amp;WINDOW=FIRST_POPUP&amp;HEIGHT=450&amp;WIDTH=450&amp;START_MA","XIMIZED=FALSE&amp;VAR:CALENDAR=US&amp;VAR:SYMBOL=MW&amp;VAR:INDEX=0"}</definedName>
    <definedName name="_2647__FDSAUDITLINK__" hidden="1">{"fdsup://directions/FAT Viewer?action=UPDATE&amp;creator=factset&amp;DYN_ARGS=TRUE&amp;DOC_NAME=FAT:FQL_AUDITING_CLIENT_TEMPLATE.FAT&amp;display_string=Audit&amp;VAR:KEY=BQDYNQXQZQ&amp;VAR:QUERY=RkZfUlRfU0ZfVE9UX0dST1NTKFFUUiwtMzcp&amp;WINDOW=FIRST_POPUP&amp;HEIGHT=450&amp;WIDTH=450&amp;START_MA","XIMIZED=FALSE&amp;VAR:CALENDAR=US&amp;VAR:SYMBOL=MW&amp;VAR:INDEX=0"}</definedName>
    <definedName name="_2648__FDSAUDITLINK__" hidden="1">{"fdsup://directions/FAT Viewer?action=UPDATE&amp;creator=factset&amp;DYN_ARGS=TRUE&amp;DOC_NAME=FAT:FQL_AUDITING_CLIENT_TEMPLATE.FAT&amp;display_string=Audit&amp;VAR:KEY=LQRYLIVQRM&amp;VAR:QUERY=RkZfUlRfU0ZfVE9UX0dST1NTKFFUUiwtMzYp&amp;WINDOW=FIRST_POPUP&amp;HEIGHT=450&amp;WIDTH=450&amp;START_MA","XIMIZED=FALSE&amp;VAR:CALENDAR=US&amp;VAR:SYMBOL=MW&amp;VAR:INDEX=0"}</definedName>
    <definedName name="_2649__FDSAUDITLINK__" hidden="1">{"fdsup://directions/FAT Viewer?action=UPDATE&amp;creator=factset&amp;DYN_ARGS=TRUE&amp;DOC_NAME=FAT:FQL_AUDITING_CLIENT_TEMPLATE.FAT&amp;display_string=Audit&amp;VAR:KEY=BANQNYDSXS&amp;VAR:QUERY=RkZfUlRfU0ZfVE9UX0dST1NTKFFUUiwtMzUp&amp;WINDOW=FIRST_POPUP&amp;HEIGHT=450&amp;WIDTH=450&amp;START_MA","XIMIZED=FALSE&amp;VAR:CALENDAR=US&amp;VAR:SYMBOL=MW&amp;VAR:INDEX=0"}</definedName>
    <definedName name="_265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650__FDSAUDITLINK__" hidden="1">{"fdsup://directions/FAT Viewer?action=UPDATE&amp;creator=factset&amp;DYN_ARGS=TRUE&amp;DOC_NAME=FAT:FQL_AUDITING_CLIENT_TEMPLATE.FAT&amp;display_string=Audit&amp;VAR:KEY=HSNSXAXATY&amp;VAR:QUERY=RkZfUlRfU0ZfVE9UX0dST1NTKFFUUiwtMzQp&amp;WINDOW=FIRST_POPUP&amp;HEIGHT=450&amp;WIDTH=450&amp;START_MA","XIMIZED=FALSE&amp;VAR:CALENDAR=US&amp;VAR:SYMBOL=MW&amp;VAR:INDEX=0"}</definedName>
    <definedName name="_2651__FDSAUDITLINK__" hidden="1">{"fdsup://directions/FAT Viewer?action=UPDATE&amp;creator=factset&amp;DYN_ARGS=TRUE&amp;DOC_NAME=FAT:FQL_AUDITING_CLIENT_TEMPLATE.FAT&amp;display_string=Audit&amp;VAR:KEY=PGFANMDELU&amp;VAR:QUERY=RkZfUlRfU0ZfVE9UX0dST1NTKFFUUiwtMzMp&amp;WINDOW=FIRST_POPUP&amp;HEIGHT=450&amp;WIDTH=450&amp;START_MA","XIMIZED=FALSE&amp;VAR:CALENDAR=US&amp;VAR:SYMBOL=MW&amp;VAR:INDEX=0"}</definedName>
    <definedName name="_2652__FDSAUDITLINK__" hidden="1">{"fdsup://directions/FAT Viewer?action=UPDATE&amp;creator=factset&amp;DYN_ARGS=TRUE&amp;DOC_NAME=FAT:FQL_AUDITING_CLIENT_TEMPLATE.FAT&amp;display_string=Audit&amp;VAR:KEY=FMTMTIJOFY&amp;VAR:QUERY=RkZfUlRfU0ZfVE9UX0dST1NTKFFUUiwtMzIp&amp;WINDOW=FIRST_POPUP&amp;HEIGHT=450&amp;WIDTH=450&amp;START_MA","XIMIZED=FALSE&amp;VAR:CALENDAR=US&amp;VAR:SYMBOL=MW&amp;VAR:INDEX=0"}</definedName>
    <definedName name="_2653__FDSAUDITLINK__" hidden="1">{"fdsup://directions/FAT Viewer?action=UPDATE&amp;creator=factset&amp;DYN_ARGS=TRUE&amp;DOC_NAME=FAT:FQL_AUDITING_CLIENT_TEMPLATE.FAT&amp;display_string=Audit&amp;VAR:KEY=DIDGTQFMXG&amp;VAR:QUERY=RkZfUlRfU0ZfVE9UX0dST1NTKFFUUiwtMzEp&amp;WINDOW=FIRST_POPUP&amp;HEIGHT=450&amp;WIDTH=450&amp;START_MA","XIMIZED=FALSE&amp;VAR:CALENDAR=US&amp;VAR:SYMBOL=MW&amp;VAR:INDEX=0"}</definedName>
    <definedName name="_2654__FDSAUDITLINK__" hidden="1">{"fdsup://directions/FAT Viewer?action=UPDATE&amp;creator=factset&amp;DYN_ARGS=TRUE&amp;DOC_NAME=FAT:FQL_AUDITING_CLIENT_TEMPLATE.FAT&amp;display_string=Audit&amp;VAR:KEY=TOHEJERMXU&amp;VAR:QUERY=RkZfUlRfU0ZfVE9UX0dST1NTKFFUUiwtMzAp&amp;WINDOW=FIRST_POPUP&amp;HEIGHT=450&amp;WIDTH=450&amp;START_MA","XIMIZED=FALSE&amp;VAR:CALENDAR=US&amp;VAR:SYMBOL=MW&amp;VAR:INDEX=0"}</definedName>
    <definedName name="_2655__FDSAUDITLINK__" hidden="1">{"fdsup://directions/FAT Viewer?action=UPDATE&amp;creator=factset&amp;DYN_ARGS=TRUE&amp;DOC_NAME=FAT:FQL_AUDITING_CLIENT_TEMPLATE.FAT&amp;display_string=Audit&amp;VAR:KEY=DYHMTQXUBK&amp;VAR:QUERY=RkZfUlRfU0ZfVE9UX0dST1NTKFFUUiwtMjkp&amp;WINDOW=FIRST_POPUP&amp;HEIGHT=450&amp;WIDTH=450&amp;START_MA","XIMIZED=FALSE&amp;VAR:CALENDAR=US&amp;VAR:SYMBOL=MW&amp;VAR:INDEX=0"}</definedName>
    <definedName name="_2656__FDSAUDITLINK__" hidden="1">{"fdsup://directions/FAT Viewer?action=UPDATE&amp;creator=factset&amp;DYN_ARGS=TRUE&amp;DOC_NAME=FAT:FQL_AUDITING_CLIENT_TEMPLATE.FAT&amp;display_string=Audit&amp;VAR:KEY=FGTULCXKBM&amp;VAR:QUERY=RkZfUlRfU0ZfVE9UX0dST1NTKFFUUiwtMjgp&amp;WINDOW=FIRST_POPUP&amp;HEIGHT=450&amp;WIDTH=450&amp;START_MA","XIMIZED=FALSE&amp;VAR:CALENDAR=US&amp;VAR:SYMBOL=MW&amp;VAR:INDEX=0"}</definedName>
    <definedName name="_2657__FDSAUDITLINK__" hidden="1">{"fdsup://directions/FAT Viewer?action=UPDATE&amp;creator=factset&amp;DYN_ARGS=TRUE&amp;DOC_NAME=FAT:FQL_AUDITING_CLIENT_TEMPLATE.FAT&amp;display_string=Audit&amp;VAR:KEY=RERODQDOZG&amp;VAR:QUERY=RkZfUlRfU0ZfVE9UX0dST1NTKFFUUiwtMjcp&amp;WINDOW=FIRST_POPUP&amp;HEIGHT=450&amp;WIDTH=450&amp;START_MA","XIMIZED=FALSE&amp;VAR:CALENDAR=US&amp;VAR:SYMBOL=MW&amp;VAR:INDEX=0"}</definedName>
    <definedName name="_2658__FDSAUDITLINK__" hidden="1">{"fdsup://directions/FAT Viewer?action=UPDATE&amp;creator=factset&amp;DYN_ARGS=TRUE&amp;DOC_NAME=FAT:FQL_AUDITING_CLIENT_TEMPLATE.FAT&amp;display_string=Audit&amp;VAR:KEY=BUXULIDQNI&amp;VAR:QUERY=RkZfUlRfU0ZfVE9UX0dST1NTKFFUUiwtMjYp&amp;WINDOW=FIRST_POPUP&amp;HEIGHT=450&amp;WIDTH=450&amp;START_MA","XIMIZED=FALSE&amp;VAR:CALENDAR=US&amp;VAR:SYMBOL=MW&amp;VAR:INDEX=0"}</definedName>
    <definedName name="_2659__FDSAUDITLINK__" hidden="1">{"fdsup://directions/FAT Viewer?action=UPDATE&amp;creator=factset&amp;DYN_ARGS=TRUE&amp;DOC_NAME=FAT:FQL_AUDITING_CLIENT_TEMPLATE.FAT&amp;display_string=Audit&amp;VAR:KEY=VUVGPOJEXO&amp;VAR:QUERY=RkZfUlRfU0ZfVE9UX0dST1NTKFFUUiwtMjUp&amp;WINDOW=FIRST_POPUP&amp;HEIGHT=450&amp;WIDTH=450&amp;START_MA","XIMIZED=FALSE&amp;VAR:CALENDAR=US&amp;VAR:SYMBOL=MW&amp;VAR:INDEX=0"}</definedName>
    <definedName name="_266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660__FDSAUDITLINK__" hidden="1">{"fdsup://directions/FAT Viewer?action=UPDATE&amp;creator=factset&amp;DYN_ARGS=TRUE&amp;DOC_NAME=FAT:FQL_AUDITING_CLIENT_TEMPLATE.FAT&amp;display_string=Audit&amp;VAR:KEY=HAHQZOFKDO&amp;VAR:QUERY=RkZfUlRfU0ZfVE9UX0dST1NTKFFUUiwtMjQp&amp;WINDOW=FIRST_POPUP&amp;HEIGHT=450&amp;WIDTH=450&amp;START_MA","XIMIZED=FALSE&amp;VAR:CALENDAR=US&amp;VAR:SYMBOL=MW&amp;VAR:INDEX=0"}</definedName>
    <definedName name="_2661__FDSAUDITLINK__" hidden="1">{"fdsup://directions/FAT Viewer?action=UPDATE&amp;creator=factset&amp;DYN_ARGS=TRUE&amp;DOC_NAME=FAT:FQL_AUDITING_CLIENT_TEMPLATE.FAT&amp;display_string=Audit&amp;VAR:KEY=VGDWVEVYDO&amp;VAR:QUERY=RkZfUlRfU0ZfVE9UX0dST1NTKFFUUiwtMjMp&amp;WINDOW=FIRST_POPUP&amp;HEIGHT=450&amp;WIDTH=450&amp;START_MA","XIMIZED=FALSE&amp;VAR:CALENDAR=US&amp;VAR:SYMBOL=MW&amp;VAR:INDEX=0"}</definedName>
    <definedName name="_2662__FDSAUDITLINK__" hidden="1">{"fdsup://directions/FAT Viewer?action=UPDATE&amp;creator=factset&amp;DYN_ARGS=TRUE&amp;DOC_NAME=FAT:FQL_AUDITING_CLIENT_TEMPLATE.FAT&amp;display_string=Audit&amp;VAR:KEY=XKFGJGNSBQ&amp;VAR:QUERY=RkZfUlRfU0ZfVE9UX0dST1NTKFFUUiwtMjIp&amp;WINDOW=FIRST_POPUP&amp;HEIGHT=450&amp;WIDTH=450&amp;START_MA","XIMIZED=FALSE&amp;VAR:CALENDAR=US&amp;VAR:SYMBOL=MW&amp;VAR:INDEX=0"}</definedName>
    <definedName name="_2663__FDSAUDITLINK__" hidden="1">{"fdsup://directions/FAT Viewer?action=UPDATE&amp;creator=factset&amp;DYN_ARGS=TRUE&amp;DOC_NAME=FAT:FQL_AUDITING_CLIENT_TEMPLATE.FAT&amp;display_string=Audit&amp;VAR:KEY=VGTKVQRMDE&amp;VAR:QUERY=RkZfUlRfU0ZfVE9UX0dST1NTKFFUUiwtMjEp&amp;WINDOW=FIRST_POPUP&amp;HEIGHT=450&amp;WIDTH=450&amp;START_MA","XIMIZED=FALSE&amp;VAR:CALENDAR=US&amp;VAR:SYMBOL=MW&amp;VAR:INDEX=0"}</definedName>
    <definedName name="_2664__FDSAUDITLINK__" hidden="1">{"fdsup://directions/FAT Viewer?action=UPDATE&amp;creator=factset&amp;DYN_ARGS=TRUE&amp;DOC_NAME=FAT:FQL_AUDITING_CLIENT_TEMPLATE.FAT&amp;display_string=Audit&amp;VAR:KEY=HATCRWXIPY&amp;VAR:QUERY=RkZfUlRfU0ZfVE9UX0dST1NTKFFUUiwtMjAp&amp;WINDOW=FIRST_POPUP&amp;HEIGHT=450&amp;WIDTH=450&amp;START_MA","XIMIZED=FALSE&amp;VAR:CALENDAR=US&amp;VAR:SYMBOL=MW&amp;VAR:INDEX=0"}</definedName>
    <definedName name="_2665__FDSAUDITLINK__" hidden="1">{"fdsup://directions/FAT Viewer?action=UPDATE&amp;creator=factset&amp;DYN_ARGS=TRUE&amp;DOC_NAME=FAT:FQL_AUDITING_CLIENT_TEMPLATE.FAT&amp;display_string=Audit&amp;VAR:KEY=LSDEZKHSLO&amp;VAR:QUERY=RkZfUlRfU0ZfVE9UX0dST1NTKFFUUiwtMTkp&amp;WINDOW=FIRST_POPUP&amp;HEIGHT=450&amp;WIDTH=450&amp;START_MA","XIMIZED=FALSE&amp;VAR:CALENDAR=US&amp;VAR:SYMBOL=MW&amp;VAR:INDEX=0"}</definedName>
    <definedName name="_2666__FDSAUDITLINK__" hidden="1">{"fdsup://directions/FAT Viewer?action=UPDATE&amp;creator=factset&amp;DYN_ARGS=TRUE&amp;DOC_NAME=FAT:FQL_AUDITING_CLIENT_TEMPLATE.FAT&amp;display_string=Audit&amp;VAR:KEY=PGHYZMZMNW&amp;VAR:QUERY=RkZfUlRfU0ZfVE9UX0dST1NTKFFUUiwtMTgp&amp;WINDOW=FIRST_POPUP&amp;HEIGHT=450&amp;WIDTH=450&amp;START_MA","XIMIZED=FALSE&amp;VAR:CALENDAR=US&amp;VAR:SYMBOL=MW&amp;VAR:INDEX=0"}</definedName>
    <definedName name="_2667__FDSAUDITLINK__" hidden="1">{"fdsup://Directions/FactSet Auditing Viewer?action=AUDIT_VALUE&amp;DB=129&amp;ID1=58711810&amp;VALUEID=13040&amp;SDATE=200702&amp;PERIODTYPE=QTR_STD&amp;window=popup_no_bar&amp;width=385&amp;height=120&amp;START_MAXIMIZED=FALSE&amp;creator=factset&amp;display_string=Audit"}</definedName>
    <definedName name="_2668__FDSAUDITLINK__" hidden="1">{"fdsup://Directions/FactSet Auditing Viewer?action=AUDIT_VALUE&amp;DB=129&amp;ID1=58711810&amp;VALUEID=13040&amp;SDATE=200701&amp;PERIODTYPE=QTR_STD&amp;window=popup_no_bar&amp;width=385&amp;height=120&amp;START_MAXIMIZED=FALSE&amp;creator=factset&amp;display_string=Audit"}</definedName>
    <definedName name="_2669__FDSAUDITLINK__" hidden="1">{"fdsup://Directions/FactSet Auditing Viewer?action=AUDIT_VALUE&amp;DB=129&amp;ID1=58711810&amp;VALUEID=13040&amp;SDATE=200703&amp;PERIODTYPE=QTR_STD&amp;window=popup_no_bar&amp;width=385&amp;height=120&amp;START_MAXIMIZED=FALSE&amp;creator=factset&amp;display_string=Audit"}</definedName>
    <definedName name="_267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670__FDSAUDITLINK__" hidden="1">{"fdsup://Directions/FactSet Auditing Viewer?action=AUDIT_VALUE&amp;DB=129&amp;ID1=58711810&amp;VALUEID=13040&amp;SDATE=200802&amp;PERIODTYPE=QTR_STD&amp;window=popup_no_bar&amp;width=385&amp;height=120&amp;START_MAXIMIZED=FALSE&amp;creator=factset&amp;display_string=Audit"}</definedName>
    <definedName name="_2671__FDSAUDITLINK__" hidden="1">{"fdsup://Directions/FactSet Auditing Viewer?action=AUDIT_VALUE&amp;DB=129&amp;ID1=58711810&amp;VALUEID=13040&amp;SDATE=200801&amp;PERIODTYPE=QTR_STD&amp;window=popup_no_bar&amp;width=385&amp;height=120&amp;START_MAXIMIZED=FALSE&amp;creator=factset&amp;display_string=Audit"}</definedName>
    <definedName name="_2672__FDSAUDITLINK__" hidden="1">{"fdsup://directions/FAT Viewer?action=UPDATE&amp;creator=factset&amp;DYN_ARGS=TRUE&amp;DOC_NAME=FAT:FQL_AUDITING_CLIENT_TEMPLATE.FAT&amp;display_string=Audit&amp;VAR:KEY=LIFEZIXONO&amp;VAR:QUERY=RkZfUlRfU0ZfVE9UX0dST1NTKFFUUiwtOSk=&amp;WINDOW=FIRST_POPUP&amp;HEIGHT=450&amp;WIDTH=450&amp;START_MA","XIMIZED=FALSE&amp;VAR:CALENDAR=US&amp;VAR:SYMBOL=MW&amp;VAR:INDEX=0"}</definedName>
    <definedName name="_2673__FDSAUDITLINK__" hidden="1">{"fdsup://Directions/FactSet Auditing Viewer?action=AUDIT_VALUE&amp;DB=129&amp;ID1=58711810&amp;VALUEID=13040&amp;SDATE=200803&amp;PERIODTYPE=QTR_STD&amp;window=popup_no_bar&amp;width=385&amp;height=120&amp;START_MAXIMIZED=FALSE&amp;creator=factset&amp;display_string=Audit"}</definedName>
    <definedName name="_2674__FDSAUDITLINK__" hidden="1">{"fdsup://Directions/FactSet Auditing Viewer?action=AUDIT_VALUE&amp;DB=129&amp;ID1=58711810&amp;VALUEID=13040&amp;SDATE=200902&amp;PERIODTYPE=QTR_STD&amp;window=popup_no_bar&amp;width=385&amp;height=120&amp;START_MAXIMIZED=FALSE&amp;creator=factset&amp;display_string=Audit"}</definedName>
    <definedName name="_2675__FDSAUDITLINK__" hidden="1">{"fdsup://directions/FAT Viewer?action=UPDATE&amp;creator=factset&amp;DYN_ARGS=TRUE&amp;DOC_NAME=FAT:FQL_AUDITING_CLIENT_TEMPLATE.FAT&amp;display_string=Audit&amp;VAR:KEY=JOTIDWFUPO&amp;VAR:QUERY=RkZfUlRfU0ZfVE9UX0dST1NTKFFUUiwtNSk=&amp;WINDOW=FIRST_POPUP&amp;HEIGHT=450&amp;WIDTH=450&amp;START_MA","XIMIZED=FALSE&amp;VAR:CALENDAR=US&amp;VAR:SYMBOL=MW&amp;VAR:INDEX=0"}</definedName>
    <definedName name="_2676__FDSAUDITLINK__" hidden="1">{"fdsup://Directions/FactSet Auditing Viewer?action=AUDIT_VALUE&amp;DB=129&amp;ID1=58711810&amp;VALUEID=13040&amp;SDATE=200903&amp;PERIODTYPE=QTR_STD&amp;window=popup_no_bar&amp;width=385&amp;height=120&amp;START_MAXIMIZED=FALSE&amp;creator=factset&amp;display_string=Audit"}</definedName>
    <definedName name="_2677__FDSAUDITLINK__" hidden="1">{"fdsup://Directions/FactSet Auditing Viewer?action=AUDIT_VALUE&amp;DB=129&amp;ID1=58711810&amp;VALUEID=13040&amp;SDATE=200602&amp;PERIODTYPE=QTR_STD&amp;window=popup_no_bar&amp;width=385&amp;height=120&amp;START_MAXIMIZED=FALSE&amp;creator=factset&amp;display_string=Audit"}</definedName>
    <definedName name="_2678__FDSAUDITLINK__" hidden="1">{"fdsup://Directions/FactSet Auditing Viewer?action=AUDIT_VALUE&amp;DB=129&amp;ID1=58711810&amp;VALUEID=13040&amp;SDATE=200601&amp;PERIODTYPE=QTR_STD&amp;window=popup_no_bar&amp;width=385&amp;height=120&amp;START_MAXIMIZED=FALSE&amp;creator=factset&amp;display_string=Audit"}</definedName>
    <definedName name="_2679__FDSAUDITLINK__" hidden="1">{"fdsup://directions/FAT Viewer?action=UPDATE&amp;creator=factset&amp;DYN_ARGS=TRUE&amp;DOC_NAME=FAT:FQL_AUDITING_CLIENT_TEMPLATE.FAT&amp;display_string=Audit&amp;VAR:KEY=NIHCFUBCLC&amp;VAR:QUERY=RkZfUlRfU0ZfVE9UX0dST1NTKFFUUiwtMTcp&amp;WINDOW=FIRST_POPUP&amp;HEIGHT=450&amp;WIDTH=450&amp;START_MA","XIMIZED=FALSE&amp;VAR:CALENDAR=US&amp;VAR:SYMBOL=MW&amp;VAR:INDEX=0"}</definedName>
    <definedName name="_268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680__FDSAUDITLINK__" hidden="1">{"fdsup://Directions/FactSet Auditing Viewer?action=AUDIT_VALUE&amp;DB=129&amp;ID1=58711810&amp;VALUEID=13040&amp;SDATE=200603&amp;PERIODTYPE=QTR_STD&amp;window=popup_no_bar&amp;width=385&amp;height=120&amp;START_MAXIMIZED=FALSE&amp;creator=factset&amp;display_string=Audit"}</definedName>
    <definedName name="_2681__FDSAUDITLINK__" hidden="1">{"fdsup://directions/FAT Viewer?action=UPDATE&amp;creator=factset&amp;DYN_ARGS=TRUE&amp;DOC_NAME=FAT:FQL_AUDITING_CLIENT_TEMPLATE.FAT&amp;display_string=Audit&amp;VAR:KEY=HGNWDSTIVA&amp;VAR:QUERY=RkZfUlRfU0ZfVE9UX0dST1NTKFFUUiwtMTMp&amp;WINDOW=FIRST_POPUP&amp;HEIGHT=450&amp;WIDTH=450&amp;START_MA","XIMIZED=FALSE&amp;VAR:CALENDAR=US&amp;VAR:SYMBOL=MW&amp;VAR:INDEX=0"}</definedName>
    <definedName name="_2682__FDSAUDITLINK__" hidden="1">{"fdsup://Directions/FactSet Auditing Viewer?action=AUDIT_VALUE&amp;DB=129&amp;ID1=58711810&amp;VALUEID=13040&amp;SDATE=201001&amp;PERIODTYPE=QTR_STD&amp;window=popup_no_bar&amp;width=385&amp;height=120&amp;START_MAXIMIZED=FALSE&amp;creator=factset&amp;display_string=Audit"}</definedName>
    <definedName name="_2683__FDSAUDITLINK__" hidden="1">{"fdsup://Directions/FactSet Auditing Viewer?action=AUDIT_VALUE&amp;DB=129&amp;ID1=58711810&amp;VALUEID=13040&amp;SDATE=200904&amp;PERIODTYPE=QTR_STD&amp;window=popup_no_bar&amp;width=385&amp;height=120&amp;START_MAXIMIZED=FALSE&amp;creator=factset&amp;display_string=Audit"}</definedName>
    <definedName name="_2684__FDSAUDITLINK__" hidden="1">{"fdsup://directions/FAT Viewer?action=UPDATE&amp;creator=factset&amp;DYN_ARGS=TRUE&amp;DOC_NAME=FAT:FQL_AUDITING_CLIENT_TEMPLATE.FAT&amp;display_string=Audit&amp;VAR:KEY=NAVAPYPWTC&amp;VAR:QUERY=RkZfUlRfU0ZfVE9UX0dST1NTKFFUUiwtMSk=&amp;WINDOW=FIRST_POPUP&amp;HEIGHT=450&amp;WIDTH=450&amp;START_MA","XIMIZED=FALSE&amp;VAR:CALENDAR=US&amp;VAR:SYMBOL=MW&amp;VAR:INDEX=0"}</definedName>
    <definedName name="_268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2686__FDSAUDITLINK__" hidden="1">{"fdsup://Directions/FactSet Auditing Viewer?action=AUDIT_VALUE&amp;DB=129&amp;ID1=58711810&amp;VALUEID=01001&amp;SDATE=201001&amp;PERIODTYPE=QTR_STD&amp;window=popup_no_bar&amp;width=385&amp;height=120&amp;START_MAXIMIZED=FALSE&amp;creator=factset&amp;display_string=Audit"}</definedName>
    <definedName name="_2687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2688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2689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269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690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2691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2692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2693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2694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2695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2696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2697__FDSAUDITLINK__" hidden="1">{"fdsup://Directions/FactSet Auditing Viewer?action=AUDIT_VALUE&amp;DB=129&amp;ID1=26157010&amp;VALUEID=13040&amp;SDATE=200602&amp;PERIODTYPE=QTR_STD&amp;window=popup_no_bar&amp;width=385&amp;height=120&amp;START_MAXIMIZED=FALSE&amp;creator=factset&amp;display_string=Audit"}</definedName>
    <definedName name="_2698__FDSAUDITLINK__" hidden="1">{"fdsup://Directions/FactSet Auditing Viewer?action=AUDIT_VALUE&amp;DB=129&amp;ID1=26157010&amp;VALUEID=01001&amp;SDATE=200602&amp;PERIODTYPE=QTR_STD&amp;window=popup_no_bar&amp;width=385&amp;height=120&amp;START_MAXIMIZED=FALSE&amp;creator=factset&amp;display_string=Audit"}</definedName>
    <definedName name="_2699__FDSAUDITLINK__" hidden="1">{"fdsup://Directions/FactSet Auditing Viewer?action=AUDIT_VALUE&amp;DB=129&amp;ID1=26157010&amp;VALUEID=02101&amp;SDATE=200602&amp;PERIODTYPE=QTR_STD&amp;window=popup_no_bar&amp;width=385&amp;height=120&amp;START_MAXIMIZED=FALSE&amp;creator=factset&amp;display_string=Audit"}</definedName>
    <definedName name="_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70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700__FDSAUDITLINK__" hidden="1">{"fdsup://Directions/FactSet Auditing Viewer?action=AUDIT_VALUE&amp;DB=129&amp;ID1=26157010&amp;VALUEID=13040&amp;SDATE=200603&amp;PERIODTYPE=QTR_STD&amp;window=popup_no_bar&amp;width=385&amp;height=120&amp;START_MAXIMIZED=FALSE&amp;creator=factset&amp;display_string=Audit"}</definedName>
    <definedName name="_2701__FDSAUDITLINK__" hidden="1">{"fdsup://Directions/FactSet Auditing Viewer?action=AUDIT_VALUE&amp;DB=129&amp;ID1=26157010&amp;VALUEID=01001&amp;SDATE=200603&amp;PERIODTYPE=QTR_STD&amp;window=popup_no_bar&amp;width=385&amp;height=120&amp;START_MAXIMIZED=FALSE&amp;creator=factset&amp;display_string=Audit"}</definedName>
    <definedName name="_2702__FDSAUDITLINK__" hidden="1">{"fdsup://Directions/FactSet Auditing Viewer?action=AUDIT_VALUE&amp;DB=129&amp;ID1=26157010&amp;VALUEID=02101&amp;SDATE=200603&amp;PERIODTYPE=QTR_STD&amp;window=popup_no_bar&amp;width=385&amp;height=120&amp;START_MAXIMIZED=FALSE&amp;creator=factset&amp;display_string=Audit"}</definedName>
    <definedName name="_2703__FDSAUDITLINK__" hidden="1">{"fdsup://Directions/FactSet Auditing Viewer?action=AUDIT_VALUE&amp;DB=129&amp;ID1=26157010&amp;VALUEID=13040&amp;SDATE=200701&amp;PERIODTYPE=QTR_STD&amp;window=popup_no_bar&amp;width=385&amp;height=120&amp;START_MAXIMIZED=FALSE&amp;creator=factset&amp;display_string=Audit"}</definedName>
    <definedName name="_2704__FDSAUDITLINK__" hidden="1">{"fdsup://Directions/FactSet Auditing Viewer?action=AUDIT_VALUE&amp;DB=129&amp;ID1=26157010&amp;VALUEID=01001&amp;SDATE=200701&amp;PERIODTYPE=QTR_STD&amp;window=popup_no_bar&amp;width=385&amp;height=120&amp;START_MAXIMIZED=FALSE&amp;creator=factset&amp;display_string=Audit"}</definedName>
    <definedName name="_2705__FDSAUDITLINK__" hidden="1">{"fdsup://Directions/FactSet Auditing Viewer?action=AUDIT_VALUE&amp;DB=129&amp;ID1=26157010&amp;VALUEID=02101&amp;SDATE=200701&amp;PERIODTYPE=QTR_STD&amp;window=popup_no_bar&amp;width=385&amp;height=120&amp;START_MAXIMIZED=FALSE&amp;creator=factset&amp;display_string=Audit"}</definedName>
    <definedName name="_2706__FDSAUDITLINK__" hidden="1">{"fdsup://Directions/FactSet Auditing Viewer?action=AUDIT_VALUE&amp;DB=129&amp;ID1=26157010&amp;VALUEID=13040&amp;SDATE=200702&amp;PERIODTYPE=QTR_STD&amp;window=popup_no_bar&amp;width=385&amp;height=120&amp;START_MAXIMIZED=FALSE&amp;creator=factset&amp;display_string=Audit"}</definedName>
    <definedName name="_2707__FDSAUDITLINK__" hidden="1">{"fdsup://Directions/FactSet Auditing Viewer?action=AUDIT_VALUE&amp;DB=129&amp;ID1=26157010&amp;VALUEID=01001&amp;SDATE=200702&amp;PERIODTYPE=QTR_STD&amp;window=popup_no_bar&amp;width=385&amp;height=120&amp;START_MAXIMIZED=FALSE&amp;creator=factset&amp;display_string=Audit"}</definedName>
    <definedName name="_2708__FDSAUDITLINK__" hidden="1">{"fdsup://Directions/FactSet Auditing Viewer?action=AUDIT_VALUE&amp;DB=129&amp;ID1=26157010&amp;VALUEID=02101&amp;SDATE=200702&amp;PERIODTYPE=QTR_STD&amp;window=popup_no_bar&amp;width=385&amp;height=120&amp;START_MAXIMIZED=FALSE&amp;creator=factset&amp;display_string=Audit"}</definedName>
    <definedName name="_2709__FDSAUDITLINK__" hidden="1">{"fdsup://Directions/FactSet Auditing Viewer?action=AUDIT_VALUE&amp;DB=129&amp;ID1=26157010&amp;VALUEID=13040&amp;SDATE=200703&amp;PERIODTYPE=QTR_STD&amp;window=popup_no_bar&amp;width=385&amp;height=120&amp;START_MAXIMIZED=FALSE&amp;creator=factset&amp;display_string=Audit"}</definedName>
    <definedName name="_2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710__FDSAUDITLINK__" hidden="1">{"fdsup://Directions/FactSet Auditing Viewer?action=AUDIT_VALUE&amp;DB=129&amp;ID1=26157010&amp;VALUEID=01001&amp;SDATE=200703&amp;PERIODTYPE=QTR_STD&amp;window=popup_no_bar&amp;width=385&amp;height=120&amp;START_MAXIMIZED=FALSE&amp;creator=factset&amp;display_string=Audit"}</definedName>
    <definedName name="_2711__FDSAUDITLINK__" hidden="1">{"fdsup://Directions/FactSet Auditing Viewer?action=AUDIT_VALUE&amp;DB=129&amp;ID1=26157010&amp;VALUEID=02101&amp;SDATE=200703&amp;PERIODTYPE=QTR_STD&amp;window=popup_no_bar&amp;width=385&amp;height=120&amp;START_MAXIMIZED=FALSE&amp;creator=factset&amp;display_string=Audit"}</definedName>
    <definedName name="_2712__FDSAUDITLINK__" hidden="1">{"fdsup://Directions/FactSet Auditing Viewer?action=AUDIT_VALUE&amp;DB=129&amp;ID1=26157010&amp;VALUEID=01001&amp;SDATE=200704&amp;PERIODTYPE=QTR_STD&amp;window=popup_no_bar&amp;width=385&amp;height=120&amp;START_MAXIMIZED=FALSE&amp;creator=factset&amp;display_string=Audit"}</definedName>
    <definedName name="_2713__FDSAUDITLINK__" hidden="1">{"fdsup://Directions/FactSet Auditing Viewer?action=AUDIT_VALUE&amp;DB=129&amp;ID1=26157010&amp;VALUEID=13040&amp;SDATE=200801&amp;PERIODTYPE=QTR_STD&amp;window=popup_no_bar&amp;width=385&amp;height=120&amp;START_MAXIMIZED=FALSE&amp;creator=factset&amp;display_string=Audit"}</definedName>
    <definedName name="_2714__FDSAUDITLINK__" hidden="1">{"fdsup://Directions/FactSet Auditing Viewer?action=AUDIT_VALUE&amp;DB=129&amp;ID1=26157010&amp;VALUEID=01001&amp;SDATE=200801&amp;PERIODTYPE=QTR_STD&amp;window=popup_no_bar&amp;width=385&amp;height=120&amp;START_MAXIMIZED=FALSE&amp;creator=factset&amp;display_string=Audit"}</definedName>
    <definedName name="_2715__FDSAUDITLINK__" hidden="1">{"fdsup://Directions/FactSet Auditing Viewer?action=AUDIT_VALUE&amp;DB=129&amp;ID1=26157010&amp;VALUEID=02101&amp;SDATE=200801&amp;PERIODTYPE=QTR_STD&amp;window=popup_no_bar&amp;width=385&amp;height=120&amp;START_MAXIMIZED=FALSE&amp;creator=factset&amp;display_string=Audit"}</definedName>
    <definedName name="_2716__FDSAUDITLINK__" hidden="1">{"fdsup://Directions/FactSet Auditing Viewer?action=AUDIT_VALUE&amp;DB=129&amp;ID1=26157010&amp;VALUEID=01001&amp;SDATE=200802&amp;PERIODTYPE=QTR_STD&amp;window=popup_no_bar&amp;width=385&amp;height=120&amp;START_MAXIMIZED=FALSE&amp;creator=factset&amp;display_string=Audit"}</definedName>
    <definedName name="_2717__FDSAUDITLINK__" hidden="1">{"fdsup://Directions/FactSet Auditing Viewer?action=AUDIT_VALUE&amp;DB=129&amp;ID1=26157010&amp;VALUEID=02101&amp;SDATE=200802&amp;PERIODTYPE=QTR_STD&amp;window=popup_no_bar&amp;width=385&amp;height=120&amp;START_MAXIMIZED=FALSE&amp;creator=factset&amp;display_string=Audit"}</definedName>
    <definedName name="_2718__FDSAUDITLINK__" hidden="1">{"fdsup://Directions/FactSet Auditing Viewer?action=AUDIT_VALUE&amp;DB=129&amp;ID1=26157010&amp;VALUEID=13040&amp;SDATE=200803&amp;PERIODTYPE=QTR_STD&amp;window=popup_no_bar&amp;width=385&amp;height=120&amp;START_MAXIMIZED=FALSE&amp;creator=factset&amp;display_string=Audit"}</definedName>
    <definedName name="_2719__FDSAUDITLINK__" hidden="1">{"fdsup://Directions/FactSet Auditing Viewer?action=AUDIT_VALUE&amp;DB=129&amp;ID1=26157010&amp;VALUEID=01001&amp;SDATE=200803&amp;PERIODTYPE=QTR_STD&amp;window=popup_no_bar&amp;width=385&amp;height=120&amp;START_MAXIMIZED=FALSE&amp;creator=factset&amp;display_string=Audit"}</definedName>
    <definedName name="_2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720__FDSAUDITLINK__" hidden="1">{"fdsup://Directions/FactSet Auditing Viewer?action=AUDIT_VALUE&amp;DB=129&amp;ID1=26157010&amp;VALUEID=02101&amp;SDATE=200803&amp;PERIODTYPE=QTR_STD&amp;window=popup_no_bar&amp;width=385&amp;height=120&amp;START_MAXIMIZED=FALSE&amp;creator=factset&amp;display_string=Audit"}</definedName>
    <definedName name="_2721__FDSAUDITLINK__" hidden="1">{"fdsup://Directions/FactSet Auditing Viewer?action=AUDIT_VALUE&amp;DB=129&amp;ID1=26157010&amp;VALUEID=13040&amp;SDATE=200901&amp;PERIODTYPE=QTR_STD&amp;window=popup_no_bar&amp;width=385&amp;height=120&amp;START_MAXIMIZED=FALSE&amp;creator=factset&amp;display_string=Audit"}</definedName>
    <definedName name="_2722__FDSAUDITLINK__" hidden="1">{"fdsup://Directions/FactSet Auditing Viewer?action=AUDIT_VALUE&amp;DB=129&amp;ID1=26157010&amp;VALUEID=01001&amp;SDATE=200901&amp;PERIODTYPE=QTR_STD&amp;window=popup_no_bar&amp;width=385&amp;height=120&amp;START_MAXIMIZED=FALSE&amp;creator=factset&amp;display_string=Audit"}</definedName>
    <definedName name="_2723__FDSAUDITLINK__" hidden="1">{"fdsup://Directions/FactSet Auditing Viewer?action=AUDIT_VALUE&amp;DB=129&amp;ID1=26157010&amp;VALUEID=02101&amp;SDATE=200901&amp;PERIODTYPE=QTR_STD&amp;window=popup_no_bar&amp;width=385&amp;height=120&amp;START_MAXIMIZED=FALSE&amp;creator=factset&amp;display_string=Audit"}</definedName>
    <definedName name="_2724__FDSAUDITLINK__" hidden="1">{"fdsup://Directions/FactSet Auditing Viewer?action=AUDIT_VALUE&amp;DB=129&amp;ID1=26157010&amp;VALUEID=13040&amp;SDATE=200902&amp;PERIODTYPE=QTR_STD&amp;window=popup_no_bar&amp;width=385&amp;height=120&amp;START_MAXIMIZED=FALSE&amp;creator=factset&amp;display_string=Audit"}</definedName>
    <definedName name="_2725__FDSAUDITLINK__" hidden="1">{"fdsup://Directions/FactSet Auditing Viewer?action=AUDIT_VALUE&amp;DB=129&amp;ID1=26157010&amp;VALUEID=01001&amp;SDATE=200902&amp;PERIODTYPE=QTR_STD&amp;window=popup_no_bar&amp;width=385&amp;height=120&amp;START_MAXIMIZED=FALSE&amp;creator=factset&amp;display_string=Audit"}</definedName>
    <definedName name="_2726__FDSAUDITLINK__" hidden="1">{"fdsup://Directions/FactSet Auditing Viewer?action=AUDIT_VALUE&amp;DB=129&amp;ID1=26157010&amp;VALUEID=02101&amp;SDATE=200902&amp;PERIODTYPE=QTR_STD&amp;window=popup_no_bar&amp;width=385&amp;height=120&amp;START_MAXIMIZED=FALSE&amp;creator=factset&amp;display_string=Audit"}</definedName>
    <definedName name="_2727__FDSAUDITLINK__" hidden="1">{"fdsup://Directions/FactSet Auditing Viewer?action=AUDIT_VALUE&amp;DB=129&amp;ID1=26157010&amp;VALUEID=01001&amp;SDATE=200904&amp;PERIODTYPE=QTR_STD&amp;window=popup_no_bar&amp;width=385&amp;height=120&amp;START_MAXIMIZED=FALSE&amp;creator=factset&amp;display_string=Audit"}</definedName>
    <definedName name="_2728__FDSAUDITLINK__" hidden="1">{"fdsup://Directions/FactSet Auditing Viewer?action=AUDIT_VALUE&amp;DB=129&amp;ID1=26157010&amp;VALUEID=13040&amp;SDATE=201001&amp;PERIODTYPE=QTR_STD&amp;window=popup_no_bar&amp;width=385&amp;height=120&amp;START_MAXIMIZED=FALSE&amp;creator=factset&amp;display_string=Audit"}</definedName>
    <definedName name="_2729__FDSAUDITLINK__" hidden="1">{"fdsup://Directions/FactSet Auditing Viewer?action=AUDIT_VALUE&amp;DB=129&amp;ID1=26157010&amp;VALUEID=01001&amp;SDATE=201001&amp;PERIODTYPE=QTR_STD&amp;window=popup_no_bar&amp;width=385&amp;height=120&amp;START_MAXIMIZED=FALSE&amp;creator=factset&amp;display_string=Audit"}</definedName>
    <definedName name="_2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730__FDSAUDITLINK__" hidden="1">{"fdsup://Directions/FactSet Auditing Viewer?action=AUDIT_VALUE&amp;DB=129&amp;ID1=26157010&amp;VALUEID=02101&amp;SDATE=201001&amp;PERIODTYPE=QTR_STD&amp;window=popup_no_bar&amp;width=385&amp;height=120&amp;START_MAXIMIZED=FALSE&amp;creator=factset&amp;display_string=Audit"}</definedName>
    <definedName name="_2731__FDSAUDITLINK__" hidden="1">{"fdsup://Directions/FactSet Auditing Viewer?action=AUDIT_VALUE&amp;DB=129&amp;ID1=26157010&amp;VALUEID=01001&amp;SDATE=201002&amp;PERIODTYPE=QTR_STD&amp;window=popup_no_bar&amp;width=385&amp;height=120&amp;START_MAXIMIZED=FALSE&amp;creator=factset&amp;display_string=Audit"}</definedName>
    <definedName name="_2732__FDSAUDITLINK__" hidden="1">{"fdsup://Directions/FactSet Auditing Viewer?action=AUDIT_VALUE&amp;DB=129&amp;ID1=26157010&amp;VALUEID=02101&amp;SDATE=201002&amp;PERIODTYPE=QTR_STD&amp;window=popup_no_bar&amp;width=385&amp;height=120&amp;START_MAXIMIZED=FALSE&amp;creator=factset&amp;display_string=Audit"}</definedName>
    <definedName name="_2733__FDSAUDITLINK__" hidden="1">{"fdsup://Directions/FactSet Auditing Viewer?action=AUDIT_VALUE&amp;DB=129&amp;ID1=26157010&amp;VALUEID=13040&amp;SDATE=201003&amp;PERIODTYPE=QTR_STD&amp;window=popup_no_bar&amp;width=385&amp;height=120&amp;START_MAXIMIZED=FALSE&amp;creator=factset&amp;display_string=Audit"}</definedName>
    <definedName name="_2734__FDSAUDITLINK__" hidden="1">{"fdsup://Directions/FactSet Auditing Viewer?action=AUDIT_VALUE&amp;DB=129&amp;ID1=26157010&amp;VALUEID=01001&amp;SDATE=201003&amp;PERIODTYPE=QTR_STD&amp;window=popup_no_bar&amp;width=385&amp;height=120&amp;START_MAXIMIZED=FALSE&amp;creator=factset&amp;display_string=Audit"}</definedName>
    <definedName name="_2735__FDSAUDITLINK__" hidden="1">{"fdsup://Directions/FactSet Auditing Viewer?action=AUDIT_VALUE&amp;DB=129&amp;ID1=26157010&amp;VALUEID=02101&amp;SDATE=201003&amp;PERIODTYPE=QTR_STD&amp;window=popup_no_bar&amp;width=385&amp;height=120&amp;START_MAXIMIZED=FALSE&amp;creator=factset&amp;display_string=Audit"}</definedName>
    <definedName name="_2736__FDSAUDITLINK__" hidden="1">{"fdsup://directions/FAT Viewer?action=UPDATE&amp;creator=factset&amp;DYN_ARGS=TRUE&amp;DOC_NAME=FAT:FQL_AUDITING_CLIENT_TEMPLATE.FAT&amp;display_string=Audit&amp;VAR:KEY=TMTSRWJYFA&amp;VAR:QUERY=RkZfUlRfU0ZfVE9UX0dST1NTKFFUUiwtNDQp&amp;WINDOW=FIRST_POPUP&amp;HEIGHT=450&amp;WIDTH=450&amp;START_MA","XIMIZED=FALSE&amp;VAR:CALENDAR=US&amp;VAR:SYMBOL=DBRN&amp;VAR:INDEX=0"}</definedName>
    <definedName name="_2737__FDSAUDITLINK__" hidden="1">{"fdsup://directions/FAT Viewer?action=UPDATE&amp;creator=factset&amp;DYN_ARGS=TRUE&amp;DOC_NAME=FAT:FQL_AUDITING_CLIENT_TEMPLATE.FAT&amp;display_string=Audit&amp;VAR:KEY=ZGPAREJEDG&amp;VAR:QUERY=RkZfUlRfU0ZfVE9UX0dST1NTKFFUUiwtNDMp&amp;WINDOW=FIRST_POPUP&amp;HEIGHT=450&amp;WIDTH=450&amp;START_MA","XIMIZED=FALSE&amp;VAR:CALENDAR=US&amp;VAR:SYMBOL=DBRN&amp;VAR:INDEX=0"}</definedName>
    <definedName name="_2738__FDSAUDITLINK__" hidden="1">{"fdsup://directions/FAT Viewer?action=UPDATE&amp;creator=factset&amp;DYN_ARGS=TRUE&amp;DOC_NAME=FAT:FQL_AUDITING_CLIENT_TEMPLATE.FAT&amp;display_string=Audit&amp;VAR:KEY=VOXSREHORM&amp;VAR:QUERY=RkZfUlRfU0ZfVE9UX0dST1NTKFFUUiwtNDIp&amp;WINDOW=FIRST_POPUP&amp;HEIGHT=450&amp;WIDTH=450&amp;START_MA","XIMIZED=FALSE&amp;VAR:CALENDAR=US&amp;VAR:SYMBOL=DBRN&amp;VAR:INDEX=0"}</definedName>
    <definedName name="_2739__FDSAUDITLINK__" hidden="1">{"fdsup://directions/FAT Viewer?action=UPDATE&amp;creator=factset&amp;DYN_ARGS=TRUE&amp;DOC_NAME=FAT:FQL_AUDITING_CLIENT_TEMPLATE.FAT&amp;display_string=Audit&amp;VAR:KEY=VWNGJWDSNC&amp;VAR:QUERY=RkZfUlRfU0ZfVE9UX0dST1NTKFFUUiwtNDEp&amp;WINDOW=FIRST_POPUP&amp;HEIGHT=450&amp;WIDTH=450&amp;START_MA","XIMIZED=FALSE&amp;VAR:CALENDAR=US&amp;VAR:SYMBOL=DBRN&amp;VAR:INDEX=0"}</definedName>
    <definedName name="_2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740__FDSAUDITLINK__" hidden="1">{"fdsup://directions/FAT Viewer?action=UPDATE&amp;creator=factset&amp;DYN_ARGS=TRUE&amp;DOC_NAME=FAT:FQL_AUDITING_CLIENT_TEMPLATE.FAT&amp;display_string=Audit&amp;VAR:KEY=JGJWPYNKXE&amp;VAR:QUERY=RkZfUlRfU0ZfVE9UX0dST1NTKFFUUiwtNDAp&amp;WINDOW=FIRST_POPUP&amp;HEIGHT=450&amp;WIDTH=450&amp;START_MA","XIMIZED=FALSE&amp;VAR:CALENDAR=US&amp;VAR:SYMBOL=DBRN&amp;VAR:INDEX=0"}</definedName>
    <definedName name="_2741__FDSAUDITLINK__" hidden="1">{"fdsup://directions/FAT Viewer?action=UPDATE&amp;creator=factset&amp;DYN_ARGS=TRUE&amp;DOC_NAME=FAT:FQL_AUDITING_CLIENT_TEMPLATE.FAT&amp;display_string=Audit&amp;VAR:KEY=DCROFUZQNW&amp;VAR:QUERY=RkZfUlRfU0ZfVE9UX0dST1NTKFFUUiwtMzkp&amp;WINDOW=FIRST_POPUP&amp;HEIGHT=450&amp;WIDTH=450&amp;START_MA","XIMIZED=FALSE&amp;VAR:CALENDAR=US&amp;VAR:SYMBOL=DBRN&amp;VAR:INDEX=0"}</definedName>
    <definedName name="_2742__FDSAUDITLINK__" hidden="1">{"fdsup://directions/FAT Viewer?action=UPDATE&amp;creator=factset&amp;DYN_ARGS=TRUE&amp;DOC_NAME=FAT:FQL_AUDITING_CLIENT_TEMPLATE.FAT&amp;display_string=Audit&amp;VAR:KEY=NGTSNGJMPW&amp;VAR:QUERY=RkZfUlRfU0ZfVE9UX0dST1NTKFFUUiwtMzgp&amp;WINDOW=FIRST_POPUP&amp;HEIGHT=450&amp;WIDTH=450&amp;START_MA","XIMIZED=FALSE&amp;VAR:CALENDAR=US&amp;VAR:SYMBOL=DBRN&amp;VAR:INDEX=0"}</definedName>
    <definedName name="_2743__FDSAUDITLINK__" hidden="1">{"fdsup://directions/FAT Viewer?action=UPDATE&amp;creator=factset&amp;DYN_ARGS=TRUE&amp;DOC_NAME=FAT:FQL_AUDITING_CLIENT_TEMPLATE.FAT&amp;display_string=Audit&amp;VAR:KEY=LYVOVQVWJK&amp;VAR:QUERY=RkZfUlRfU0ZfVE9UX0dST1NTKFFUUiwtMzcp&amp;WINDOW=FIRST_POPUP&amp;HEIGHT=450&amp;WIDTH=450&amp;START_MA","XIMIZED=FALSE&amp;VAR:CALENDAR=US&amp;VAR:SYMBOL=DBRN&amp;VAR:INDEX=0"}</definedName>
    <definedName name="_2744__FDSAUDITLINK__" hidden="1">{"fdsup://directions/FAT Viewer?action=UPDATE&amp;creator=factset&amp;DYN_ARGS=TRUE&amp;DOC_NAME=FAT:FQL_AUDITING_CLIENT_TEMPLATE.FAT&amp;display_string=Audit&amp;VAR:KEY=NGTGVKJKLU&amp;VAR:QUERY=RkZfUlRfU0ZfVE9UX0dST1NTKFFUUiwtMzYp&amp;WINDOW=FIRST_POPUP&amp;HEIGHT=450&amp;WIDTH=450&amp;START_MA","XIMIZED=FALSE&amp;VAR:CALENDAR=US&amp;VAR:SYMBOL=DBRN&amp;VAR:INDEX=0"}</definedName>
    <definedName name="_2745__FDSAUDITLINK__" hidden="1">{"fdsup://directions/FAT Viewer?action=UPDATE&amp;creator=factset&amp;DYN_ARGS=TRUE&amp;DOC_NAME=FAT:FQL_AUDITING_CLIENT_TEMPLATE.FAT&amp;display_string=Audit&amp;VAR:KEY=RUPKHALQHU&amp;VAR:QUERY=RkZfUlRfU0ZfVE9UX0dST1NTKFFUUiwtMzUp&amp;WINDOW=FIRST_POPUP&amp;HEIGHT=450&amp;WIDTH=450&amp;START_MA","XIMIZED=FALSE&amp;VAR:CALENDAR=US&amp;VAR:SYMBOL=DBRN&amp;VAR:INDEX=0"}</definedName>
    <definedName name="_2746__FDSAUDITLINK__" hidden="1">{"fdsup://directions/FAT Viewer?action=UPDATE&amp;creator=factset&amp;DYN_ARGS=TRUE&amp;DOC_NAME=FAT:FQL_AUDITING_CLIENT_TEMPLATE.FAT&amp;display_string=Audit&amp;VAR:KEY=NKVOJYFWZI&amp;VAR:QUERY=RkZfUlRfU0ZfVE9UX0dST1NTKFFUUiwtMzQp&amp;WINDOW=FIRST_POPUP&amp;HEIGHT=450&amp;WIDTH=450&amp;START_MA","XIMIZED=FALSE&amp;VAR:CALENDAR=US&amp;VAR:SYMBOL=DBRN&amp;VAR:INDEX=0"}</definedName>
    <definedName name="_2747__FDSAUDITLINK__" hidden="1">{"fdsup://directions/FAT Viewer?action=UPDATE&amp;creator=factset&amp;DYN_ARGS=TRUE&amp;DOC_NAME=FAT:FQL_AUDITING_CLIENT_TEMPLATE.FAT&amp;display_string=Audit&amp;VAR:KEY=XCPADWPADE&amp;VAR:QUERY=RkZfUlRfU0ZfVE9UX0dST1NTKFFUUiwtMzMp&amp;WINDOW=FIRST_POPUP&amp;HEIGHT=450&amp;WIDTH=450&amp;START_MA","XIMIZED=FALSE&amp;VAR:CALENDAR=US&amp;VAR:SYMBOL=DBRN&amp;VAR:INDEX=0"}</definedName>
    <definedName name="_2748__FDSAUDITLINK__" hidden="1">{"fdsup://directions/FAT Viewer?action=UPDATE&amp;creator=factset&amp;DYN_ARGS=TRUE&amp;DOC_NAME=FAT:FQL_AUDITING_CLIENT_TEMPLATE.FAT&amp;display_string=Audit&amp;VAR:KEY=RKTCJUHCJM&amp;VAR:QUERY=RkZfUlRfU0ZfVE9UX0dST1NTKFFUUiwtMzIp&amp;WINDOW=FIRST_POPUP&amp;HEIGHT=450&amp;WIDTH=450&amp;START_MA","XIMIZED=FALSE&amp;VAR:CALENDAR=US&amp;VAR:SYMBOL=DBRN&amp;VAR:INDEX=0"}</definedName>
    <definedName name="_2749__FDSAUDITLINK__" hidden="1">{"fdsup://directions/FAT Viewer?action=UPDATE&amp;creator=factset&amp;DYN_ARGS=TRUE&amp;DOC_NAME=FAT:FQL_AUDITING_CLIENT_TEMPLATE.FAT&amp;display_string=Audit&amp;VAR:KEY=VQBUBCVANQ&amp;VAR:QUERY=RkZfUlRfU0ZfVE9UX0dST1NTKFFUUiwtMzEp&amp;WINDOW=FIRST_POPUP&amp;HEIGHT=450&amp;WIDTH=450&amp;START_MA","XIMIZED=FALSE&amp;VAR:CALENDAR=US&amp;VAR:SYMBOL=DBRN&amp;VAR:INDEX=0"}</definedName>
    <definedName name="_2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750__FDSAUDITLINK__" hidden="1">{"fdsup://directions/FAT Viewer?action=UPDATE&amp;creator=factset&amp;DYN_ARGS=TRUE&amp;DOC_NAME=FAT:FQL_AUDITING_CLIENT_TEMPLATE.FAT&amp;display_string=Audit&amp;VAR:KEY=LIBWRWZOFE&amp;VAR:QUERY=RkZfUlRfU0ZfVE9UX0dST1NTKFFUUiwtMzAp&amp;WINDOW=FIRST_POPUP&amp;HEIGHT=450&amp;WIDTH=450&amp;START_MA","XIMIZED=FALSE&amp;VAR:CALENDAR=US&amp;VAR:SYMBOL=DBRN&amp;VAR:INDEX=0"}</definedName>
    <definedName name="_2751__FDSAUDITLINK__" hidden="1">{"fdsup://directions/FAT Viewer?action=UPDATE&amp;creator=factset&amp;DYN_ARGS=TRUE&amp;DOC_NAME=FAT:FQL_AUDITING_CLIENT_TEMPLATE.FAT&amp;display_string=Audit&amp;VAR:KEY=HMDIRANAZM&amp;VAR:QUERY=RkZfUlRfU0ZfVE9UX0dST1NTKFFUUiwtMjkp&amp;WINDOW=FIRST_POPUP&amp;HEIGHT=450&amp;WIDTH=450&amp;START_MA","XIMIZED=FALSE&amp;VAR:CALENDAR=US&amp;VAR:SYMBOL=DBRN&amp;VAR:INDEX=0"}</definedName>
    <definedName name="_2752__FDSAUDITLINK__" hidden="1">{"fdsup://directions/FAT Viewer?action=UPDATE&amp;creator=factset&amp;DYN_ARGS=TRUE&amp;DOC_NAME=FAT:FQL_AUDITING_CLIENT_TEMPLATE.FAT&amp;display_string=Audit&amp;VAR:KEY=BUPMXCPCFM&amp;VAR:QUERY=RkZfUlRfU0ZfVE9UX0dST1NTKFFUUiwtMjgp&amp;WINDOW=FIRST_POPUP&amp;HEIGHT=450&amp;WIDTH=450&amp;START_MA","XIMIZED=FALSE&amp;VAR:CALENDAR=US&amp;VAR:SYMBOL=DBRN&amp;VAR:INDEX=0"}</definedName>
    <definedName name="_2753__FDSAUDITLINK__" hidden="1">{"fdsup://directions/FAT Viewer?action=UPDATE&amp;creator=factset&amp;DYN_ARGS=TRUE&amp;DOC_NAME=FAT:FQL_AUDITING_CLIENT_TEMPLATE.FAT&amp;display_string=Audit&amp;VAR:KEY=ZEJGTYHGNY&amp;VAR:QUERY=RkZfUlRfU0ZfVE9UX0dST1NTKFFUUiwtMjcp&amp;WINDOW=FIRST_POPUP&amp;HEIGHT=450&amp;WIDTH=450&amp;START_MA","XIMIZED=FALSE&amp;VAR:CALENDAR=US&amp;VAR:SYMBOL=DBRN&amp;VAR:INDEX=0"}</definedName>
    <definedName name="_2754__FDSAUDITLINK__" hidden="1">{"fdsup://directions/FAT Viewer?action=UPDATE&amp;creator=factset&amp;DYN_ARGS=TRUE&amp;DOC_NAME=FAT:FQL_AUDITING_CLIENT_TEMPLATE.FAT&amp;display_string=Audit&amp;VAR:KEY=ZMXYXARSHK&amp;VAR:QUERY=RkZfUlRfU0ZfVE9UX0dST1NTKFFUUiwtMjYp&amp;WINDOW=FIRST_POPUP&amp;HEIGHT=450&amp;WIDTH=450&amp;START_MA","XIMIZED=FALSE&amp;VAR:CALENDAR=US&amp;VAR:SYMBOL=DBRN&amp;VAR:INDEX=0"}</definedName>
    <definedName name="_2755__FDSAUDITLINK__" hidden="1">{"fdsup://directions/FAT Viewer?action=UPDATE&amp;creator=factset&amp;DYN_ARGS=TRUE&amp;DOC_NAME=FAT:FQL_AUDITING_CLIENT_TEMPLATE.FAT&amp;display_string=Audit&amp;VAR:KEY=ZGDMXCXMLA&amp;VAR:QUERY=RkZfUlRfU0ZfVE9UX0dST1NTKFFUUiwtMjUp&amp;WINDOW=FIRST_POPUP&amp;HEIGHT=450&amp;WIDTH=450&amp;START_MA","XIMIZED=FALSE&amp;VAR:CALENDAR=US&amp;VAR:SYMBOL=DBRN&amp;VAR:INDEX=0"}</definedName>
    <definedName name="_2756__FDSAUDITLINK__" hidden="1">{"fdsup://directions/FAT Viewer?action=UPDATE&amp;creator=factset&amp;DYN_ARGS=TRUE&amp;DOC_NAME=FAT:FQL_AUDITING_CLIENT_TEMPLATE.FAT&amp;display_string=Audit&amp;VAR:KEY=RAPUZEXQDA&amp;VAR:QUERY=RkZfUlRfU0ZfVE9UX0dST1NTKFFUUiwtMjQp&amp;WINDOW=FIRST_POPUP&amp;HEIGHT=450&amp;WIDTH=450&amp;START_MA","XIMIZED=FALSE&amp;VAR:CALENDAR=US&amp;VAR:SYMBOL=DBRN&amp;VAR:INDEX=0"}</definedName>
    <definedName name="_2757__FDSAUDITLINK__" hidden="1">{"fdsup://directions/FAT Viewer?action=UPDATE&amp;creator=factset&amp;DYN_ARGS=TRUE&amp;DOC_NAME=FAT:FQL_AUDITING_CLIENT_TEMPLATE.FAT&amp;display_string=Audit&amp;VAR:KEY=FUPMROVYPW&amp;VAR:QUERY=RkZfUlRfU0ZfVE9UX0dST1NTKFFUUiwtMjMp&amp;WINDOW=FIRST_POPUP&amp;HEIGHT=450&amp;WIDTH=450&amp;START_MA","XIMIZED=FALSE&amp;VAR:CALENDAR=US&amp;VAR:SYMBOL=DBRN&amp;VAR:INDEX=0"}</definedName>
    <definedName name="_2758__FDSAUDITLINK__" hidden="1">{"fdsup://directions/FAT Viewer?action=UPDATE&amp;creator=factset&amp;DYN_ARGS=TRUE&amp;DOC_NAME=FAT:FQL_AUDITING_CLIENT_TEMPLATE.FAT&amp;display_string=Audit&amp;VAR:KEY=PCHYVEJMZO&amp;VAR:QUERY=RkZfUlRfU0ZfVE9UX0dST1NTKFFUUiwtMjIp&amp;WINDOW=FIRST_POPUP&amp;HEIGHT=450&amp;WIDTH=450&amp;START_MA","XIMIZED=FALSE&amp;VAR:CALENDAR=US&amp;VAR:SYMBOL=DBRN&amp;VAR:INDEX=0"}</definedName>
    <definedName name="_2759__FDSAUDITLINK__" hidden="1">{"fdsup://directions/FAT Viewer?action=UPDATE&amp;creator=factset&amp;DYN_ARGS=TRUE&amp;DOC_NAME=FAT:FQL_AUDITING_CLIENT_TEMPLATE.FAT&amp;display_string=Audit&amp;VAR:KEY=PEBSFAHQFE&amp;VAR:QUERY=RkZfUlRfU0ZfVE9UX0dST1NTKFFUUiwtMjEp&amp;WINDOW=FIRST_POPUP&amp;HEIGHT=450&amp;WIDTH=450&amp;START_MA","XIMIZED=FALSE&amp;VAR:CALENDAR=US&amp;VAR:SYMBOL=DBRN&amp;VAR:INDEX=0"}</definedName>
    <definedName name="_2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760__FDSAUDITLINK__" hidden="1">{"fdsup://directions/FAT Viewer?action=UPDATE&amp;creator=factset&amp;DYN_ARGS=TRUE&amp;DOC_NAME=FAT:FQL_AUDITING_CLIENT_TEMPLATE.FAT&amp;display_string=Audit&amp;VAR:KEY=XAHOVYTITS&amp;VAR:QUERY=RkZfUlRfU0ZfVE9UX0dST1NTKFFUUiwtMjAp&amp;WINDOW=FIRST_POPUP&amp;HEIGHT=450&amp;WIDTH=450&amp;START_MA","XIMIZED=FALSE&amp;VAR:CALENDAR=US&amp;VAR:SYMBOL=DBRN&amp;VAR:INDEX=0"}</definedName>
    <definedName name="_2761__FDSAUDITLINK__" hidden="1">{"fdsup://directions/FAT Viewer?action=UPDATE&amp;creator=factset&amp;DYN_ARGS=TRUE&amp;DOC_NAME=FAT:FQL_AUDITING_CLIENT_TEMPLATE.FAT&amp;display_string=Audit&amp;VAR:KEY=PCZURWLAJY&amp;VAR:QUERY=RkZfUlRfU0ZfVE9UX0dST1NTKFFUUiwtMTkp&amp;WINDOW=FIRST_POPUP&amp;HEIGHT=450&amp;WIDTH=450&amp;START_MA","XIMIZED=FALSE&amp;VAR:CALENDAR=US&amp;VAR:SYMBOL=DBRN&amp;VAR:INDEX=0"}</definedName>
    <definedName name="_2762__FDSAUDITLINK__" hidden="1">{"fdsup://directions/FAT Viewer?action=UPDATE&amp;creator=factset&amp;DYN_ARGS=TRUE&amp;DOC_NAME=FAT:FQL_AUDITING_CLIENT_TEMPLATE.FAT&amp;display_string=Audit&amp;VAR:KEY=PWNQRKFAJI&amp;VAR:QUERY=RkZfUlRfU0ZfVE9UX0dST1NTKFFUUiwtMTgp&amp;WINDOW=FIRST_POPUP&amp;HEIGHT=450&amp;WIDTH=450&amp;START_MA","XIMIZED=FALSE&amp;VAR:CALENDAR=US&amp;VAR:SYMBOL=DBRN&amp;VAR:INDEX=0"}</definedName>
    <definedName name="_2763__FDSAUDITLINK__" hidden="1">{"fdsup://directions/FAT Viewer?action=UPDATE&amp;creator=factset&amp;DYN_ARGS=TRUE&amp;DOC_NAME=FAT:FQL_AUDITING_CLIENT_TEMPLATE.FAT&amp;display_string=Audit&amp;VAR:KEY=VEJSFSLURG&amp;VAR:QUERY=RkZfUlRfU0ZfVE9UX0dST1NTKFFUUiwtMTcp&amp;WINDOW=FIRST_POPUP&amp;HEIGHT=450&amp;WIDTH=450&amp;START_MA","XIMIZED=FALSE&amp;VAR:CALENDAR=US&amp;VAR:SYMBOL=DBRN&amp;VAR:INDEX=0"}</definedName>
    <definedName name="_2764__FDSAUDITLINK__" hidden="1">{"fdsup://directions/FAT Viewer?action=UPDATE&amp;creator=factset&amp;DYN_ARGS=TRUE&amp;DOC_NAME=FAT:FQL_AUDITING_CLIENT_TEMPLATE.FAT&amp;display_string=Audit&amp;VAR:KEY=VMZSFOTIPO&amp;VAR:QUERY=RkZfUlRfU0ZfVE9UX0dST1NTKFFUUiwtMTYp&amp;WINDOW=FIRST_POPUP&amp;HEIGHT=450&amp;WIDTH=450&amp;START_MA","XIMIZED=FALSE&amp;VAR:CALENDAR=US&amp;VAR:SYMBOL=DBRN&amp;VAR:INDEX=0"}</definedName>
    <definedName name="_2765__FDSAUDITLINK__" hidden="1">{"fdsup://directions/FAT Viewer?action=UPDATE&amp;creator=factset&amp;DYN_ARGS=TRUE&amp;DOC_NAME=FAT:FQL_AUDITING_CLIENT_TEMPLATE.FAT&amp;display_string=Audit&amp;VAR:KEY=NYTEXIPWHK&amp;VAR:QUERY=RkZfUlRfU0ZfVE9UX0dST1NTKFFUUiwtMTUp&amp;WINDOW=FIRST_POPUP&amp;HEIGHT=450&amp;WIDTH=450&amp;START_MA","XIMIZED=FALSE&amp;VAR:CALENDAR=US&amp;VAR:SYMBOL=DBRN&amp;VAR:INDEX=0"}</definedName>
    <definedName name="_2766__FDSAUDITLINK__" hidden="1">{"fdsup://directions/FAT Viewer?action=UPDATE&amp;creator=factset&amp;DYN_ARGS=TRUE&amp;DOC_NAME=FAT:FQL_AUDITING_CLIENT_TEMPLATE.FAT&amp;display_string=Audit&amp;VAR:KEY=DSVMZSVMZO&amp;VAR:QUERY=RkZfUlRfU0ZfVE9UX0dST1NTKFFUUiwtMTQp&amp;WINDOW=FIRST_POPUP&amp;HEIGHT=450&amp;WIDTH=450&amp;START_MA","XIMIZED=FALSE&amp;VAR:CALENDAR=US&amp;VAR:SYMBOL=DBRN&amp;VAR:INDEX=0"}</definedName>
    <definedName name="_2767__FDSAUDITLINK__" hidden="1">{"fdsup://directions/FAT Viewer?action=UPDATE&amp;creator=factset&amp;DYN_ARGS=TRUE&amp;DOC_NAME=FAT:FQL_AUDITING_CLIENT_TEMPLATE.FAT&amp;display_string=Audit&amp;VAR:KEY=VQXSJSNKJG&amp;VAR:QUERY=RkZfUlRfU0ZfVE9UX0dST1NTKFFUUiwtMTMp&amp;WINDOW=FIRST_POPUP&amp;HEIGHT=450&amp;WIDTH=450&amp;START_MA","XIMIZED=FALSE&amp;VAR:CALENDAR=US&amp;VAR:SYMBOL=DBRN&amp;VAR:INDEX=0"}</definedName>
    <definedName name="_2768__FDSAUDITLINK__" hidden="1">{"fdsup://directions/FAT Viewer?action=UPDATE&amp;creator=factset&amp;DYN_ARGS=TRUE&amp;DOC_NAME=FAT:FQL_AUDITING_CLIENT_TEMPLATE.FAT&amp;display_string=Audit&amp;VAR:KEY=PUFCXIVAXG&amp;VAR:QUERY=RkZfUlRfU0ZfVE9UX0dST1NTKFFUUiwtMTIp&amp;WINDOW=FIRST_POPUP&amp;HEIGHT=450&amp;WIDTH=450&amp;START_MA","XIMIZED=FALSE&amp;VAR:CALENDAR=US&amp;VAR:SYMBOL=DBRN&amp;VAR:INDEX=0"}</definedName>
    <definedName name="_2769__FDSAUDITLINK__" hidden="1">{"fdsup://directions/FAT Viewer?action=UPDATE&amp;creator=factset&amp;DYN_ARGS=TRUE&amp;DOC_NAME=FAT:FQL_AUDITING_CLIENT_TEMPLATE.FAT&amp;display_string=Audit&amp;VAR:KEY=DUPETUHELY&amp;VAR:QUERY=RkZfUlRfU0ZfVE9UX0dST1NTKFFUUiwtMTEp&amp;WINDOW=FIRST_POPUP&amp;HEIGHT=450&amp;WIDTH=450&amp;START_MA","XIMIZED=FALSE&amp;VAR:CALENDAR=US&amp;VAR:SYMBOL=DBRN&amp;VAR:INDEX=0"}</definedName>
    <definedName name="_2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770__FDSAUDITLINK__" hidden="1">{"fdsup://directions/FAT Viewer?action=UPDATE&amp;creator=factset&amp;DYN_ARGS=TRUE&amp;DOC_NAME=FAT:FQL_AUDITING_CLIENT_TEMPLATE.FAT&amp;display_string=Audit&amp;VAR:KEY=NSVOPELSHM&amp;VAR:QUERY=RkZfUlRfU0ZfVE9UX0dST1NTKFFUUiwtMTAp&amp;WINDOW=FIRST_POPUP&amp;HEIGHT=450&amp;WIDTH=450&amp;START_MA","XIMIZED=FALSE&amp;VAR:CALENDAR=US&amp;VAR:SYMBOL=DBRN&amp;VAR:INDEX=0"}</definedName>
    <definedName name="_2771__FDSAUDITLINK__" hidden="1">{"fdsup://directions/FAT Viewer?action=UPDATE&amp;creator=factset&amp;DYN_ARGS=TRUE&amp;DOC_NAME=FAT:FQL_AUDITING_CLIENT_TEMPLATE.FAT&amp;display_string=Audit&amp;VAR:KEY=LUJMZERCNC&amp;VAR:QUERY=RkZfUlRfU0ZfVE9UX0dST1NTKFFUUiwtOSk=&amp;WINDOW=FIRST_POPUP&amp;HEIGHT=450&amp;WIDTH=450&amp;START_MA","XIMIZED=FALSE&amp;VAR:CALENDAR=US&amp;VAR:SYMBOL=DBRN&amp;VAR:INDEX=0"}</definedName>
    <definedName name="_2772__FDSAUDITLINK__" hidden="1">{"fdsup://directions/FAT Viewer?action=UPDATE&amp;creator=factset&amp;DYN_ARGS=TRUE&amp;DOC_NAME=FAT:FQL_AUDITING_CLIENT_TEMPLATE.FAT&amp;display_string=Audit&amp;VAR:KEY=TMDOHSFIJW&amp;VAR:QUERY=RkZfUlRfU0ZfVE9UX0dST1NTKFFUUiwtOCk=&amp;WINDOW=FIRST_POPUP&amp;HEIGHT=450&amp;WIDTH=450&amp;START_MA","XIMIZED=FALSE&amp;VAR:CALENDAR=US&amp;VAR:SYMBOL=DBRN&amp;VAR:INDEX=0"}</definedName>
    <definedName name="_2773__FDSAUDITLINK__" hidden="1">{"fdsup://directions/FAT Viewer?action=UPDATE&amp;creator=factset&amp;DYN_ARGS=TRUE&amp;DOC_NAME=FAT:FQL_AUDITING_CLIENT_TEMPLATE.FAT&amp;display_string=Audit&amp;VAR:KEY=HYDSPKZIXU&amp;VAR:QUERY=RkZfUlRfU0ZfVE9UX0dST1NTKFFUUiwtNyk=&amp;WINDOW=FIRST_POPUP&amp;HEIGHT=450&amp;WIDTH=450&amp;START_MA","XIMIZED=FALSE&amp;VAR:CALENDAR=US&amp;VAR:SYMBOL=DBRN&amp;VAR:INDEX=0"}</definedName>
    <definedName name="_2774__FDSAUDITLINK__" hidden="1">{"fdsup://directions/FAT Viewer?action=UPDATE&amp;creator=factset&amp;DYN_ARGS=TRUE&amp;DOC_NAME=FAT:FQL_AUDITING_CLIENT_TEMPLATE.FAT&amp;display_string=Audit&amp;VAR:KEY=DUDYFUJIHE&amp;VAR:QUERY=RkZfUlRfU0ZfVE9UX0dST1NTKFFUUiwtNik=&amp;WINDOW=FIRST_POPUP&amp;HEIGHT=450&amp;WIDTH=450&amp;START_MA","XIMIZED=FALSE&amp;VAR:CALENDAR=US&amp;VAR:SYMBOL=DBRN&amp;VAR:INDEX=0"}</definedName>
    <definedName name="_2775__FDSAUDITLINK__" hidden="1">{"fdsup://directions/FAT Viewer?action=UPDATE&amp;creator=factset&amp;DYN_ARGS=TRUE&amp;DOC_NAME=FAT:FQL_AUDITING_CLIENT_TEMPLATE.FAT&amp;display_string=Audit&amp;VAR:KEY=BMXMBQZYBW&amp;VAR:QUERY=RkZfUlRfU0ZfVE9UX0dST1NTKFFUUiwtNSk=&amp;WINDOW=FIRST_POPUP&amp;HEIGHT=450&amp;WIDTH=450&amp;START_MA","XIMIZED=FALSE&amp;VAR:CALENDAR=US&amp;VAR:SYMBOL=DBRN&amp;VAR:INDEX=0"}</definedName>
    <definedName name="_2776__FDSAUDITLINK__" hidden="1">{"fdsup://directions/FAT Viewer?action=UPDATE&amp;creator=factset&amp;DYN_ARGS=TRUE&amp;DOC_NAME=FAT:FQL_AUDITING_CLIENT_TEMPLATE.FAT&amp;display_string=Audit&amp;VAR:KEY=FMXGVCLQVA&amp;VAR:QUERY=RkZfUlRfU0ZfVE9UX0dST1NTKFFUUiwtNCk=&amp;WINDOW=FIRST_POPUP&amp;HEIGHT=450&amp;WIDTH=450&amp;START_MA","XIMIZED=FALSE&amp;VAR:CALENDAR=US&amp;VAR:SYMBOL=DBRN&amp;VAR:INDEX=0"}</definedName>
    <definedName name="_2777__FDSAUDITLINK__" hidden="1">{"fdsup://directions/FAT Viewer?action=UPDATE&amp;creator=factset&amp;DYN_ARGS=TRUE&amp;DOC_NAME=FAT:FQL_AUDITING_CLIENT_TEMPLATE.FAT&amp;display_string=Audit&amp;VAR:KEY=JKNULCRGRS&amp;VAR:QUERY=RkZfUlRfU0ZfVE9UX0dST1NTKFFUUiwtMyk=&amp;WINDOW=FIRST_POPUP&amp;HEIGHT=450&amp;WIDTH=450&amp;START_MA","XIMIZED=FALSE&amp;VAR:CALENDAR=US&amp;VAR:SYMBOL=DBRN&amp;VAR:INDEX=0"}</definedName>
    <definedName name="_2778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79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780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1__FDSAUDITLINK__" hidden="1">{"fdsup://directions/FAT Viewer?action=UPDATE&amp;creator=factset&amp;DYN_ARGS=TRUE&amp;DOC_NAME=FAT:FQL_AUDITING_CLIENT_TEMPLATE.FAT&amp;display_string=Audit&amp;VAR:KEY=FCXIFIFAHG&amp;VAR:QUERY=RkZfUlRfU0ZfVE9UX0dST1NTKFFUUiwwKQ==&amp;WINDOW=FIRST_POPUP&amp;HEIGHT=450&amp;WIDTH=450&amp;START_MA","XIMIZED=FALSE&amp;VAR:CALENDAR=US&amp;VAR:SYMBOL=DBRN&amp;VAR:INDEX=0"}</definedName>
    <definedName name="_2782__FDSAUDITLINK__" hidden="1">{"fdsup://directions/FAT Viewer?action=UPDATE&amp;creator=factset&amp;DYN_ARGS=TRUE&amp;DOC_NAME=FAT:FQL_AUDITING_CLIENT_TEMPLATE.FAT&amp;display_string=Audit&amp;VAR:KEY=XMFIZGVCXS&amp;VAR:QUERY=RkZfUlRfU0ZfVE9UX0dST1NTKFFUUiwtMSk=&amp;WINDOW=FIRST_POPUP&amp;HEIGHT=450&amp;WIDTH=450&amp;START_MA","XIMIZED=FALSE&amp;VAR:CALENDAR=US&amp;VAR:SYMBOL=DBRN&amp;VAR:INDEX=0"}</definedName>
    <definedName name="_2783__FDSAUDITLINK__" hidden="1">{"fdsup://directions/FAT Viewer?action=UPDATE&amp;creator=factset&amp;DYN_ARGS=TRUE&amp;DOC_NAME=FAT:FQL_AUDITING_CLIENT_TEMPLATE.FAT&amp;display_string=Audit&amp;VAR:KEY=TIRMXCDUPO&amp;VAR:QUERY=RkZfUlRfU0ZfVE9UX0dST1NTKFFUUiwtMik=&amp;WINDOW=FIRST_POPUP&amp;HEIGHT=450&amp;WIDTH=450&amp;START_MA","XIMIZED=FALSE&amp;VAR:CALENDAR=US&amp;VAR:SYMBOL=DBRN&amp;VAR:INDEX=0"}</definedName>
    <definedName name="_2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2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2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2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2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2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__123Graph_Aｸﾞﾗﾌ_2" hidden="1">[2]単独!$AR$14:$AR$18</definedName>
    <definedName name="_3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1__FDSAUDITLINK__" hidden="1">{"fdsup://Directions/FactSet Auditing Viewer?action=AUDIT_VALUE&amp;DB=129&amp;ID1=87612E10&amp;VALUEID=01001&amp;SDATE=200604&amp;PERIODTYPE=QTR_STD&amp;window=popup_no_bar&amp;width=385&amp;height=120&amp;START_MAXIMIZED=FALSE&amp;creator=factset&amp;display_string=Audit"}</definedName>
    <definedName name="_3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2__FDSAUDITLINK__" hidden="1">{"fdsup://Directions/FactSet Auditing Viewer?action=AUDIT_VALUE&amp;DB=129&amp;ID1=87612E10&amp;VALUEID=01001&amp;SDATE=200701&amp;PERIODTYPE=QTR_STD&amp;window=popup_no_bar&amp;width=385&amp;height=120&amp;START_MAXIMIZED=FALSE&amp;creator=factset&amp;display_string=Audit"}</definedName>
    <definedName name="_3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3__FDSAUDITLINK__" hidden="1">{"fdsup://Directions/FactSet Auditing Viewer?action=AUDIT_VALUE&amp;DB=129&amp;ID1=87612E10&amp;VALUEID=01001&amp;SDATE=200702&amp;PERIODTYPE=QTR_STD&amp;window=popup_no_bar&amp;width=385&amp;height=120&amp;START_MAXIMIZED=FALSE&amp;creator=factset&amp;display_string=Audit"}</definedName>
    <definedName name="_3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4__FDSAUDITLINK__" hidden="1">{"fdsup://Directions/FactSet Auditing Viewer?action=AUDIT_VALUE&amp;DB=129&amp;ID1=87612E10&amp;VALUEID=01001&amp;SDATE=200703&amp;PERIODTYPE=QTR_STD&amp;window=popup_no_bar&amp;width=385&amp;height=120&amp;START_MAXIMIZED=FALSE&amp;creator=factset&amp;display_string=Audit"}</definedName>
    <definedName name="_3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4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4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4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4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4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4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4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4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4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5__FDSAUDITLINK__" hidden="1">{"fdsup://Directions/FactSet Auditing Viewer?action=AUDIT_VALUE&amp;DB=129&amp;ID1=87612E10&amp;VALUEID=01001&amp;SDATE=200704&amp;PERIODTYPE=QTR_STD&amp;window=popup_no_bar&amp;width=385&amp;height=120&amp;START_MAXIMIZED=FALSE&amp;creator=factset&amp;display_string=Audit"}</definedName>
    <definedName name="_35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5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5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5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5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6__FDSAUDITLINK__" hidden="1">{"fdsup://Directions/FactSet Auditing Viewer?action=AUDIT_VALUE&amp;DB=129&amp;ID1=87612E10&amp;VALUEID=01001&amp;SDATE=200801&amp;PERIODTYPE=QTR_STD&amp;window=popup_no_bar&amp;width=385&amp;height=120&amp;START_MAXIMIZED=FALSE&amp;creator=factset&amp;display_string=Audit"}</definedName>
    <definedName name="_3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7__FDSAUDITLINK__" hidden="1">{"fdsup://Directions/FactSet Auditing Viewer?action=AUDIT_VALUE&amp;DB=129&amp;ID1=87612E10&amp;VALUEID=01001&amp;SDATE=200802&amp;PERIODTYPE=QTR_STD&amp;window=popup_no_bar&amp;width=385&amp;height=120&amp;START_MAXIMIZED=FALSE&amp;creator=factset&amp;display_string=Audit"}</definedName>
    <definedName name="_3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8__FDSAUDITLINK__" hidden="1">{"fdsup://Directions/FactSet Auditing Viewer?action=AUDIT_VALUE&amp;DB=129&amp;ID1=87612E10&amp;VALUEID=01001&amp;SDATE=200803&amp;PERIODTYPE=QTR_STD&amp;window=popup_no_bar&amp;width=385&amp;height=120&amp;START_MAXIMIZED=FALSE&amp;creator=factset&amp;display_string=Audit"}</definedName>
    <definedName name="_3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9__FDSAUDITLINK__" hidden="1">{"fdsup://Directions/FactSet Auditing Viewer?action=AUDIT_VALUE&amp;DB=129&amp;ID1=87612E10&amp;VALUEID=01001&amp;SDATE=200804&amp;PERIODTYPE=QTR_STD&amp;window=popup_no_bar&amp;width=385&amp;height=120&amp;START_MAXIMIZED=FALSE&amp;creator=factset&amp;display_string=Audit"}</definedName>
    <definedName name="_3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3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3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3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3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3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__123Graph_Bｸﾞﾗﾌ_1" hidden="1">[2]ｾｸﾞﾒﾝﾄ!$E$165:$I$165</definedName>
    <definedName name="_4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0__FDSAUDITLINK__" hidden="1">{"fdsup://Directions/FactSet Auditing Viewer?action=AUDIT_VALUE&amp;DB=129&amp;ID1=87612E10&amp;VALUEID=01001&amp;SDATE=200902&amp;PERIODTYPE=QTR_STD&amp;window=popup_no_bar&amp;width=385&amp;height=120&amp;START_MAXIMIZED=FALSE&amp;creator=factset&amp;display_string=Audit"}</definedName>
    <definedName name="_4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1__FDSAUDITLINK__" hidden="1">{"fdsup://Directions/FactSet Auditing Viewer?action=AUDIT_VALUE&amp;DB=129&amp;ID1=87612E10&amp;VALUEID=01001&amp;SDATE=200903&amp;PERIODTYPE=QTR_STD&amp;window=popup_no_bar&amp;width=385&amp;height=120&amp;START_MAXIMIZED=FALSE&amp;creator=factset&amp;display_string=Audit"}</definedName>
    <definedName name="_4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2__FDSAUDITLINK__" hidden="1">{"fdsup://Directions/FactSet Auditing Viewer?action=AUDIT_VALUE&amp;DB=129&amp;ID1=05548J10&amp;VALUEID=01001&amp;SDATE=200601&amp;PERIODTYPE=QTR_STD&amp;window=popup_no_bar&amp;width=385&amp;height=120&amp;START_MAXIMIZED=FALSE&amp;creator=factset&amp;display_string=Audit"}</definedName>
    <definedName name="_4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3__FDSAUDITLINK__" hidden="1">{"fdsup://Directions/FactSet Auditing Viewer?action=AUDIT_VALUE&amp;DB=129&amp;ID1=05548J10&amp;VALUEID=01001&amp;SDATE=200602&amp;PERIODTYPE=QTR_STD&amp;window=popup_no_bar&amp;width=385&amp;height=120&amp;START_MAXIMIZED=FALSE&amp;creator=factset&amp;display_string=Audit"}</definedName>
    <definedName name="_4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4__FDSAUDITLINK__" hidden="1">{"fdsup://Directions/FactSet Auditing Viewer?action=AUDIT_VALUE&amp;DB=129&amp;ID1=05548J10&amp;VALUEID=01001&amp;SDATE=200603&amp;PERIODTYPE=QTR_STD&amp;window=popup_no_bar&amp;width=385&amp;height=120&amp;START_MAXIMIZED=FALSE&amp;creator=factset&amp;display_string=Audit"}</definedName>
    <definedName name="_4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4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4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4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4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4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4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4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4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4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5__FDSAUDITLINK__" hidden="1">{"fdsup://Directions/FactSet Auditing Viewer?action=AUDIT_VALUE&amp;DB=129&amp;ID1=05548J10&amp;VALUEID=01001&amp;SDATE=200604&amp;PERIODTYPE=QTR_STD&amp;window=popup_no_bar&amp;width=385&amp;height=120&amp;START_MAXIMIZED=FALSE&amp;creator=factset&amp;display_string=Audit"}</definedName>
    <definedName name="_45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5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5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5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5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6__FDSAUDITLINK__" hidden="1">{"fdsup://Directions/FactSet Auditing Viewer?action=AUDIT_VALUE&amp;DB=129&amp;ID1=05548J10&amp;VALUEID=01001&amp;SDATE=200701&amp;PERIODTYPE=QTR_STD&amp;window=popup_no_bar&amp;width=385&amp;height=120&amp;START_MAXIMIZED=FALSE&amp;creator=factset&amp;display_string=Audit"}</definedName>
    <definedName name="_4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7__FDSAUDITLINK__" hidden="1">{"fdsup://Directions/FactSet Auditing Viewer?action=AUDIT_VALUE&amp;DB=129&amp;ID1=05548J10&amp;VALUEID=01001&amp;SDATE=200702&amp;PERIODTYPE=QTR_STD&amp;window=popup_no_bar&amp;width=385&amp;height=120&amp;START_MAXIMIZED=FALSE&amp;creator=factset&amp;display_string=Audit"}</definedName>
    <definedName name="_4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8__FDSAUDITLINK__" hidden="1">{"fdsup://Directions/FactSet Auditing Viewer?action=AUDIT_VALUE&amp;DB=129&amp;ID1=05548J10&amp;VALUEID=01001&amp;SDATE=200703&amp;PERIODTYPE=QTR_STD&amp;window=popup_no_bar&amp;width=385&amp;height=120&amp;START_MAXIMIZED=FALSE&amp;creator=factset&amp;display_string=Audit"}</definedName>
    <definedName name="_4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9__FDSAUDITLINK__" hidden="1">{"fdsup://Directions/FactSet Auditing Viewer?action=AUDIT_VALUE&amp;DB=129&amp;ID1=05548J10&amp;VALUEID=01001&amp;SDATE=200704&amp;PERIODTYPE=QTR_STD&amp;window=popup_no_bar&amp;width=385&amp;height=120&amp;START_MAXIMIZED=FALSE&amp;creator=factset&amp;display_string=Audit"}</definedName>
    <definedName name="_4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4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4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4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4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4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__123Graph_Aｸﾞﾗﾌ_1" hidden="1">[2]ｾｸﾞﾒﾝﾄ!$E$164:$I$164</definedName>
    <definedName name="_5__123Graph_Dｸﾞﾗﾌ_1" hidden="1">[2]ｾｸﾞﾒﾝﾄ!$E$167:$I$167</definedName>
    <definedName name="_5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0__FDSAUDITLINK__" hidden="1">{"fdsup://Directions/FactSet Auditing Viewer?action=AUDIT_VALUE&amp;DB=129&amp;ID1=05548J10&amp;VALUEID=01001&amp;SDATE=200801&amp;PERIODTYPE=QTR_STD&amp;window=popup_no_bar&amp;width=385&amp;height=120&amp;START_MAXIMIZED=FALSE&amp;creator=factset&amp;display_string=Audit"}</definedName>
    <definedName name="_5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1__FDSAUDITLINK__" hidden="1">{"fdsup://Directions/FactSet Auditing Viewer?action=AUDIT_VALUE&amp;DB=129&amp;ID1=05548J10&amp;VALUEID=01001&amp;SDATE=200802&amp;PERIODTYPE=QTR_STD&amp;window=popup_no_bar&amp;width=385&amp;height=120&amp;START_MAXIMIZED=FALSE&amp;creator=factset&amp;display_string=Audit"}</definedName>
    <definedName name="_5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2__FDSAUDITLINK__" hidden="1">{"fdsup://Directions/FactSet Auditing Viewer?action=AUDIT_VALUE&amp;DB=129&amp;ID1=05548J10&amp;VALUEID=01001&amp;SDATE=200803&amp;PERIODTYPE=QTR_STD&amp;window=popup_no_bar&amp;width=385&amp;height=120&amp;START_MAXIMIZED=FALSE&amp;creator=factset&amp;display_string=Audit"}</definedName>
    <definedName name="_5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3__FDSAUDITLINK__" hidden="1">{"fdsup://Directions/FactSet Auditing Viewer?action=AUDIT_VALUE&amp;DB=129&amp;ID1=05548J10&amp;VALUEID=01001&amp;SDATE=200804&amp;PERIODTYPE=QTR_STD&amp;window=popup_no_bar&amp;width=385&amp;height=120&amp;START_MAXIMIZED=FALSE&amp;creator=factset&amp;display_string=Audit"}</definedName>
    <definedName name="_5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4__FDSAUDITLINK__" hidden="1">{"fdsup://Directions/FactSet Auditing Viewer?action=AUDIT_VALUE&amp;DB=129&amp;ID1=05548J10&amp;VALUEID=01001&amp;SDATE=200901&amp;PERIODTYPE=QTR_STD&amp;window=popup_no_bar&amp;width=385&amp;height=120&amp;START_MAXIMIZED=FALSE&amp;creator=factset&amp;display_string=Audit"}</definedName>
    <definedName name="_5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4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4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4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4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4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4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4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4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4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5__FDSAUDITLINK__" hidden="1">{"fdsup://Directions/FactSet Auditing Viewer?action=AUDIT_VALUE&amp;DB=129&amp;ID1=05548J10&amp;VALUEID=01001&amp;SDATE=200902&amp;PERIODTYPE=QTR_STD&amp;window=popup_no_bar&amp;width=385&amp;height=120&amp;START_MAXIMIZED=FALSE&amp;creator=factset&amp;display_string=Audit"}</definedName>
    <definedName name="_55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5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5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5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5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6__FDSAUDITLINK__" hidden="1">{"fdsup://Directions/FactSet Auditing Viewer?action=AUDIT_VALUE&amp;DB=129&amp;ID1=05548J10&amp;VALUEID=01001&amp;SDATE=200903&amp;PERIODTYPE=QTR_STD&amp;window=popup_no_bar&amp;width=385&amp;height=120&amp;START_MAXIMIZED=FALSE&amp;creator=factset&amp;display_string=Audit"}</definedName>
    <definedName name="_5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7__FDSAUDITLINK__" hidden="1">{"fdsup://Directions/FactSet Auditing Viewer?action=AUDIT_VALUE&amp;DB=129&amp;ID1=22160K10&amp;VALUEID=01001&amp;SDATE=200602&amp;PERIODTYPE=QTR_STD&amp;window=popup_no_bar&amp;width=385&amp;height=120&amp;START_MAXIMIZED=FALSE&amp;creator=factset&amp;display_string=Audit"}</definedName>
    <definedName name="_5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8__FDSAUDITLINK__" hidden="1">{"fdsup://Directions/FactSet Auditing Viewer?action=AUDIT_VALUE&amp;DB=129&amp;ID1=22160K10&amp;VALUEID=01001&amp;SDATE=200603&amp;PERIODTYPE=QTR_STD&amp;window=popup_no_bar&amp;width=385&amp;height=120&amp;START_MAXIMIZED=FALSE&amp;creator=factset&amp;display_string=Audit"}</definedName>
    <definedName name="_5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9__FDSAUDITLINK__" hidden="1">{"fdsup://Directions/FactSet Auditing Viewer?action=AUDIT_VALUE&amp;DB=129&amp;ID1=22160K10&amp;VALUEID=01001&amp;SDATE=200701&amp;PERIODTYPE=QTR_STD&amp;window=popup_no_bar&amp;width=385&amp;height=120&amp;START_MAXIMIZED=FALSE&amp;creator=factset&amp;display_string=Audit"}</definedName>
    <definedName name="_5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5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5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59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9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59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9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59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__123Graph_Aｸﾞﾗﾌ_2" hidden="1">[2]単独!$AR$14:$AR$18</definedName>
    <definedName name="_6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0__FDSAUDITLINK__" hidden="1">{"fdsup://Directions/FactSet Auditing Viewer?action=AUDIT_VALUE&amp;DB=129&amp;ID1=22160K10&amp;VALUEID=01001&amp;SDATE=200702&amp;PERIODTYPE=QTR_STD&amp;window=popup_no_bar&amp;width=385&amp;height=120&amp;START_MAXIMIZED=FALSE&amp;creator=factset&amp;display_string=Audit"}</definedName>
    <definedName name="_60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0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0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0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0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0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0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0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0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0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1__FDSAUDITLINK__" hidden="1">{"fdsup://Directions/FactSet Auditing Viewer?action=AUDIT_VALUE&amp;DB=129&amp;ID1=22160K10&amp;VALUEID=01001&amp;SDATE=200703&amp;PERIODTYPE=QTR_STD&amp;window=popup_no_bar&amp;width=385&amp;height=120&amp;START_MAXIMIZED=FALSE&amp;creator=factset&amp;display_string=Audit"}</definedName>
    <definedName name="_61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1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1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1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1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1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1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1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1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1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2__FDSAUDITLINK__" hidden="1">{"fdsup://Directions/FactSet Auditing Viewer?action=AUDIT_VALUE&amp;DB=129&amp;ID1=22160K10&amp;VALUEID=01001&amp;SDATE=200801&amp;PERIODTYPE=QTR_STD&amp;window=popup_no_bar&amp;width=385&amp;height=120&amp;START_MAXIMIZED=FALSE&amp;creator=factset&amp;display_string=Audit"}</definedName>
    <definedName name="_62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2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2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2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2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2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2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2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2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2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3__FDSAUDITLINK__" hidden="1">{"fdsup://Directions/FactSet Auditing Viewer?action=AUDIT_VALUE&amp;DB=129&amp;ID1=22160K10&amp;VALUEID=01001&amp;SDATE=200802&amp;PERIODTYPE=QTR_STD&amp;window=popup_no_bar&amp;width=385&amp;height=120&amp;START_MAXIMIZED=FALSE&amp;creator=factset&amp;display_string=Audit"}</definedName>
    <definedName name="_63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3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3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3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3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3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3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3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3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3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4__FDSAUDITLINK__" hidden="1">{"fdsup://Directions/FactSet Auditing Viewer?action=AUDIT_VALUE&amp;DB=129&amp;ID1=22160K10&amp;VALUEID=01001&amp;SDATE=200803&amp;PERIODTYPE=QTR_STD&amp;window=popup_no_bar&amp;width=385&amp;height=120&amp;START_MAXIMIZED=FALSE&amp;creator=factset&amp;display_string=Audit"}</definedName>
    <definedName name="_64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4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4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4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4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4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4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4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4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4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5__FDSAUDITLINK__" hidden="1">{"fdsup://Directions/FactSet Auditing Viewer?action=AUDIT_VALUE&amp;DB=129&amp;ID1=22160K10&amp;VALUEID=01001&amp;SDATE=200804&amp;PERIODTYPE=QTR_STD&amp;window=popup_no_bar&amp;width=385&amp;height=120&amp;START_MAXIMIZED=FALSE&amp;creator=factset&amp;display_string=Audit"}</definedName>
    <definedName name="_65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5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5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5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5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5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5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5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5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5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6__FDSAUDITLINK__" hidden="1">{"fdsup://Directions/FactSet Auditing Viewer?action=AUDIT_VALUE&amp;DB=129&amp;ID1=22160K10&amp;VALUEID=01001&amp;SDATE=200901&amp;PERIODTYPE=QTR_STD&amp;window=popup_no_bar&amp;width=385&amp;height=120&amp;START_MAXIMIZED=FALSE&amp;creator=factset&amp;display_string=Audit"}</definedName>
    <definedName name="_66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6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6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6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6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6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6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6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6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6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7__FDSAUDITLINK__" hidden="1">{"fdsup://Directions/FactSet Auditing Viewer?action=AUDIT_VALUE&amp;DB=129&amp;ID1=22160K10&amp;VALUEID=01001&amp;SDATE=200902&amp;PERIODTYPE=QTR_STD&amp;window=popup_no_bar&amp;width=385&amp;height=120&amp;START_MAXIMIZED=FALSE&amp;creator=factset&amp;display_string=Audit"}</definedName>
    <definedName name="_67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7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7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7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7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7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7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7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7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7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8__FDSAUDITLINK__" hidden="1">{"fdsup://Directions/FactSet Auditing Viewer?action=AUDIT_VALUE&amp;DB=129&amp;ID1=22160K10&amp;VALUEID=01001&amp;SDATE=200903&amp;PERIODTYPE=QTR_STD&amp;window=popup_no_bar&amp;width=385&amp;height=120&amp;START_MAXIMIZED=FALSE&amp;creator=factset&amp;display_string=Audit"}</definedName>
    <definedName name="_68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8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8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8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8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85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86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687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88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689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9__FDSAUDITLINK__" hidden="1">{"fdsup://Directions/FactSet Auditing Viewer?action=AUDIT_VALUE&amp;DB=129&amp;ID1=25674610&amp;VALUEID=01001&amp;SDATE=200902&amp;PERIODTYPE=QTR_STD&amp;window=popup_no_bar&amp;width=385&amp;height=120&amp;START_MAXIMIZED=FALSE&amp;creator=factset&amp;display_string=Audit"}</definedName>
    <definedName name="_690__FDSAUDITLINK__" hidden="1">{"fdsup://Directions/FactSet Auditing Viewer?action=AUDIT_VALUE&amp;DB=129&amp;ID1=50025510&amp;VALUEID=02001&amp;SDATE=201102&amp;PERIODTYPE=QTR_STD&amp;SCFT=3&amp;window=popup_no_bar&amp;width=385&amp;height=120&amp;START_MAXIMIZED=FALSE&amp;creator=factset&amp;display_string=Audit"}</definedName>
    <definedName name="_691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92__FDSAUDITLINK__" hidden="1">{"fdsup://Directions/FactSet Auditing Viewer?action=AUDIT_VALUE&amp;DB=129&amp;ID1=65566410&amp;VALUEID=02001&amp;SDATE=201102&amp;PERIODTYPE=QTR_STD&amp;SCFT=3&amp;window=popup_no_bar&amp;width=385&amp;height=120&amp;START_MAXIMIZED=FALSE&amp;creator=factset&amp;display_string=Audit"}</definedName>
    <definedName name="_693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94__FDSAUDITLINK__" hidden="1">{"fdsup://Directions/FactSet Auditing Viewer?action=AUDIT_VALUE&amp;DB=129&amp;ID1=70816010&amp;VALUEID=02001&amp;SDATE=201102&amp;PERIODTYPE=QTR_STD&amp;SCFT=3&amp;window=popup_no_bar&amp;width=385&amp;height=120&amp;START_MAXIMIZED=FALSE&amp;creator=factset&amp;display_string=Audit"}</definedName>
    <definedName name="_695__FDSAUDITLINK__" hidden="1">{"fdsup://Directions/FactSet Auditing Viewer?action=AUDIT_VALUE&amp;DB=129&amp;ID1=87416110&amp;VALUEID=02101&amp;SDATE=200701&amp;PERIODTYPE=QTR_STD&amp;window=popup_no_bar&amp;width=385&amp;height=120&amp;START_MAXIMIZED=FALSE&amp;creator=factset&amp;display_string=Audit"}</definedName>
    <definedName name="_696__FDSAUDITLINK__" hidden="1">{"fdsup://Directions/FactSet Auditing Viewer?action=AUDIT_VALUE&amp;DB=129&amp;ID1=87416110&amp;VALUEID=01001&amp;SDATE=200701&amp;PERIODTYPE=QTR_STD&amp;window=popup_no_bar&amp;width=385&amp;height=120&amp;START_MAXIMIZED=FALSE&amp;creator=factset&amp;display_string=Audit"}</definedName>
    <definedName name="_697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69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699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7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70__FDSAUDITLINK__" hidden="1">{"fdsup://Directions/FactSet Auditing Viewer?action=AUDIT_VALUE&amp;DB=129&amp;ID1=25674610&amp;VALUEID=01001&amp;SDATE=200901&amp;PERIODTYPE=QTR_STD&amp;window=popup_no_bar&amp;width=385&amp;height=120&amp;START_MAXIMIZED=FALSE&amp;creator=factset&amp;display_string=Audit"}</definedName>
    <definedName name="_700__FDSAUDITLINK__" hidden="1">{"fdsup://Directions/FactSet Auditing Viewer?action=AUDIT_VALUE&amp;DB=129&amp;ID1=46612H40&amp;VALUEID=02101&amp;SDATE=200701&amp;PERIODTYPE=QTR_STD&amp;window=popup_no_bar&amp;width=385&amp;height=120&amp;START_MAXIMIZED=FALSE&amp;creator=factset&amp;display_string=Audit"}</definedName>
    <definedName name="_701__FDSAUDITLINK__" hidden="1">{"fdsup://Directions/FactSet Auditing Viewer?action=AUDIT_VALUE&amp;DB=129&amp;ID1=46612H40&amp;VALUEID=01001&amp;SDATE=200701&amp;PERIODTYPE=QTR_STD&amp;window=popup_no_bar&amp;width=385&amp;height=120&amp;START_MAXIMIZED=FALSE&amp;creator=factset&amp;display_string=Audit"}</definedName>
    <definedName name="_702__FDSAUDITLINK__" hidden="1">{"fdsup://Directions/FactSet Auditing Viewer?action=AUDIT_VALUE&amp;DB=129&amp;ID1=46612H40&amp;VALUEID=13040&amp;SDATE=200701&amp;PERIODTYPE=QTR_STD&amp;window=popup_no_bar&amp;width=385&amp;height=120&amp;START_MAXIMIZED=FALSE&amp;creator=factset&amp;display_string=Audit"}</definedName>
    <definedName name="_703__FDSAUDITLINK__" hidden="1">{"fdsup://Directions/FactSet Auditing Viewer?action=AUDIT_VALUE&amp;DB=129&amp;ID1=36476010&amp;VALUEID=02101&amp;SDATE=200701&amp;PERIODTYPE=QTR_STD&amp;window=popup_no_bar&amp;width=385&amp;height=120&amp;START_MAXIMIZED=FALSE&amp;creator=factset&amp;display_string=Audit"}</definedName>
    <definedName name="_704__FDSAUDITLINK__" hidden="1">{"fdsup://Directions/FactSet Auditing Viewer?action=AUDIT_VALUE&amp;DB=129&amp;ID1=36476010&amp;VALUEID=01001&amp;SDATE=200701&amp;PERIODTYPE=QTR_STD&amp;window=popup_no_bar&amp;width=385&amp;height=120&amp;START_MAXIMIZED=FALSE&amp;creator=factset&amp;display_string=Audit"}</definedName>
    <definedName name="_705__FDSAUDITLINK__" hidden="1">{"fdsup://Directions/FactSet Auditing Viewer?action=AUDIT_VALUE&amp;DB=129&amp;ID1=36476010&amp;VALUEID=13040&amp;SDATE=200701&amp;PERIODTYPE=QTR_STD&amp;window=popup_no_bar&amp;width=385&amp;height=120&amp;START_MAXIMIZED=FALSE&amp;creator=factset&amp;display_string=Audit"}</definedName>
    <definedName name="_706__FDSAUDITLINK__" hidden="1">{"fdsup://Directions/FactSet Auditing Viewer?action=AUDIT_VALUE&amp;DB=129&amp;ID1=03611510&amp;VALUEID=02101&amp;SDATE=200701&amp;PERIODTYPE=QTR_STD&amp;window=popup_no_bar&amp;width=385&amp;height=120&amp;START_MAXIMIZED=FALSE&amp;creator=factset&amp;display_string=Audit"}</definedName>
    <definedName name="_707__FDSAUDITLINK__" hidden="1">{"fdsup://Directions/FactSet Auditing Viewer?action=AUDIT_VALUE&amp;DB=129&amp;ID1=03611510&amp;VALUEID=01001&amp;SDATE=200701&amp;PERIODTYPE=QTR_STD&amp;window=popup_no_bar&amp;width=385&amp;height=120&amp;START_MAXIMIZED=FALSE&amp;creator=factset&amp;display_string=Audit"}</definedName>
    <definedName name="_708__FDSAUDITLINK__" hidden="1">{"fdsup://Directions/FactSet Auditing Viewer?action=AUDIT_VALUE&amp;DB=129&amp;ID1=03611510&amp;VALUEID=13040&amp;SDATE=200701&amp;PERIODTYPE=QTR_STD&amp;window=popup_no_bar&amp;width=385&amp;height=120&amp;START_MAXIMIZED=FALSE&amp;creator=factset&amp;display_string=Audit"}</definedName>
    <definedName name="_709__FDSAUDITLINK__" hidden="1">{"fdsup://Directions/FactSet Auditing Viewer?action=AUDIT_VALUE&amp;DB=129&amp;ID1=16890510&amp;VALUEID=02101&amp;SDATE=200701&amp;PERIODTYPE=QTR_STD&amp;window=popup_no_bar&amp;width=385&amp;height=120&amp;START_MAXIMIZED=FALSE&amp;creator=factset&amp;display_string=Audit"}</definedName>
    <definedName name="_71__FDSAUDITLINK__" hidden="1">{"fdsup://Directions/FactSet Auditing Viewer?action=AUDIT_VALUE&amp;DB=129&amp;ID1=25674610&amp;VALUEID=01001&amp;SDATE=200804&amp;PERIODTYPE=QTR_STD&amp;window=popup_no_bar&amp;width=385&amp;height=120&amp;START_MAXIMIZED=FALSE&amp;creator=factset&amp;display_string=Audit"}</definedName>
    <definedName name="_710__FDSAUDITLINK__" hidden="1">{"fdsup://Directions/FactSet Auditing Viewer?action=AUDIT_VALUE&amp;DB=129&amp;ID1=16890510&amp;VALUEID=01001&amp;SDATE=200701&amp;PERIODTYPE=QTR_STD&amp;window=popup_no_bar&amp;width=385&amp;height=120&amp;START_MAXIMIZED=FALSE&amp;creator=factset&amp;display_string=Audit"}</definedName>
    <definedName name="_711__FDSAUDITLINK__" hidden="1">{"fdsup://Directions/FactSet Auditing Viewer?action=AUDIT_VALUE&amp;DB=129&amp;ID1=91704710&amp;VALUEID=02101&amp;SDATE=200701&amp;PERIODTYPE=QTR_STD&amp;window=popup_no_bar&amp;width=385&amp;height=120&amp;START_MAXIMIZED=FALSE&amp;creator=factset&amp;display_string=Audit"}</definedName>
    <definedName name="_712__FDSAUDITLINK__" hidden="1">{"fdsup://Directions/FactSet Auditing Viewer?action=AUDIT_VALUE&amp;DB=129&amp;ID1=91704710&amp;VALUEID=01001&amp;SDATE=200701&amp;PERIODTYPE=QTR_STD&amp;window=popup_no_bar&amp;width=385&amp;height=120&amp;START_MAXIMIZED=FALSE&amp;creator=factset&amp;display_string=Audit"}</definedName>
    <definedName name="_713__FDSAUDITLINK__" hidden="1">{"fdsup://Directions/FactSet Auditing Viewer?action=AUDIT_VALUE&amp;DB=129&amp;ID1=91704710&amp;VALUEID=13040&amp;SDATE=200701&amp;PERIODTYPE=QTR_STD&amp;window=popup_no_bar&amp;width=385&amp;height=120&amp;START_MAXIMIZED=FALSE&amp;creator=factset&amp;display_string=Audit"}</definedName>
    <definedName name="_714__FDSAUDITLINK__" hidden="1">{"fdsup://Directions/FactSet Auditing Viewer?action=AUDIT_VALUE&amp;DB=129&amp;ID1=02553E10&amp;VALUEID=02101&amp;SDATE=200701&amp;PERIODTYPE=QTR_STD&amp;window=popup_no_bar&amp;width=385&amp;height=120&amp;START_MAXIMIZED=FALSE&amp;creator=factset&amp;display_string=Audit"}</definedName>
    <definedName name="_715__FDSAUDITLINK__" hidden="1">{"fdsup://Directions/FactSet Auditing Viewer?action=AUDIT_VALUE&amp;DB=129&amp;ID1=02553E10&amp;VALUEID=01001&amp;SDATE=200701&amp;PERIODTYPE=QTR_STD&amp;window=popup_no_bar&amp;width=385&amp;height=120&amp;START_MAXIMIZED=FALSE&amp;creator=factset&amp;display_string=Audit"}</definedName>
    <definedName name="_716__FDSAUDITLINK__" hidden="1">{"fdsup://Directions/FactSet Auditing Viewer?action=AUDIT_VALUE&amp;DB=129&amp;ID1=02553E10&amp;VALUEID=13040&amp;SDATE=200701&amp;PERIODTYPE=QTR_STD&amp;window=popup_no_bar&amp;width=385&amp;height=120&amp;START_MAXIMIZED=FALSE&amp;creator=factset&amp;display_string=Audit"}</definedName>
    <definedName name="_717__FDSAUDITLINK__" hidden="1">{"fdsup://Directions/FactSet Auditing Viewer?action=AUDIT_VALUE&amp;DB=129&amp;ID1=00786510&amp;VALUEID=02101&amp;SDATE=200701&amp;PERIODTYPE=QTR_STD&amp;window=popup_no_bar&amp;width=385&amp;height=120&amp;START_MAXIMIZED=FALSE&amp;creator=factset&amp;display_string=Audit"}</definedName>
    <definedName name="_718__FDSAUDITLINK__" hidden="1">{"fdsup://Directions/FactSet Auditing Viewer?action=AUDIT_VALUE&amp;DB=129&amp;ID1=00786510&amp;VALUEID=01001&amp;SDATE=200701&amp;PERIODTYPE=QTR_STD&amp;window=popup_no_bar&amp;width=385&amp;height=120&amp;START_MAXIMIZED=FALSE&amp;creator=factset&amp;display_string=Audit"}</definedName>
    <definedName name="_719__FDSAUDITLINK__" hidden="1">{"fdsup://Directions/FactSet Auditing Viewer?action=AUDIT_VALUE&amp;DB=129&amp;ID1=00786510&amp;VALUEID=13040&amp;SDATE=200701&amp;PERIODTYPE=QTR_STD&amp;window=popup_no_bar&amp;width=385&amp;height=120&amp;START_MAXIMIZED=FALSE&amp;creator=factset&amp;display_string=Audit"}</definedName>
    <definedName name="_72__FDSAUDITLINK__" hidden="1">{"fdsup://Directions/FactSet Auditing Viewer?action=AUDIT_VALUE&amp;DB=129&amp;ID1=25674610&amp;VALUEID=01001&amp;SDATE=200803&amp;PERIODTYPE=QTR_STD&amp;window=popup_no_bar&amp;width=385&amp;height=120&amp;START_MAXIMIZED=FALSE&amp;creator=factset&amp;display_string=Audit"}</definedName>
    <definedName name="_720__FDSAUDITLINK__" hidden="1">{"fdsup://Directions/FactSet Auditing Viewer?action=AUDIT_VALUE&amp;DB=129&amp;ID1=00289620&amp;VALUEID=02101&amp;SDATE=200701&amp;PERIODTYPE=QTR_STD&amp;window=popup_no_bar&amp;width=385&amp;height=120&amp;START_MAXIMIZED=FALSE&amp;creator=factset&amp;display_string=Audit"}</definedName>
    <definedName name="_721__FDSAUDITLINK__" hidden="1">{"fdsup://Directions/FactSet Auditing Viewer?action=AUDIT_VALUE&amp;DB=129&amp;ID1=00289620&amp;VALUEID=01001&amp;SDATE=200701&amp;PERIODTYPE=QTR_STD&amp;window=popup_no_bar&amp;width=385&amp;height=120&amp;START_MAXIMIZED=FALSE&amp;creator=factset&amp;display_string=Audit"}</definedName>
    <definedName name="_722__FDSAUDITLINK__" hidden="1">{"fdsup://Directions/FactSet Auditing Viewer?action=AUDIT_VALUE&amp;DB=129&amp;ID1=00289620&amp;VALUEID=13040&amp;SDATE=200701&amp;PERIODTYPE=QTR_STD&amp;window=popup_no_bar&amp;width=385&amp;height=120&amp;START_MAXIMIZED=FALSE&amp;creator=factset&amp;display_string=Audit"}</definedName>
    <definedName name="_723__FDSAUDITLINK__" hidden="1">{"fdsup://Directions/FactSet Auditing Viewer?action=AUDIT_VALUE&amp;DB=129&amp;ID1=87416110&amp;VALUEID=01001&amp;SDATE=200604&amp;PERIODTYPE=QTR_STD&amp;window=popup_no_bar&amp;width=385&amp;height=120&amp;START_MAXIMIZED=FALSE&amp;creator=factset&amp;display_string=Audit"}</definedName>
    <definedName name="_724__FDSAUDITLINK__" hidden="1">{"fdsup://Directions/FactSet Auditing Viewer?action=AUDIT_VALUE&amp;DB=129&amp;ID1=46612H40&amp;VALUEID=01001&amp;SDATE=200604&amp;PERIODTYPE=QTR_STD&amp;window=popup_no_bar&amp;width=385&amp;height=120&amp;START_MAXIMIZED=FALSE&amp;creator=factset&amp;display_string=Audit"}</definedName>
    <definedName name="_725__FDSAUDITLINK__" hidden="1">{"fdsup://Directions/FactSet Auditing Viewer?action=AUDIT_VALUE&amp;DB=129&amp;ID1=36476010&amp;VALUEID=01001&amp;SDATE=200604&amp;PERIODTYPE=QTR_STD&amp;window=popup_no_bar&amp;width=385&amp;height=120&amp;START_MAXIMIZED=FALSE&amp;creator=factset&amp;display_string=Audit"}</definedName>
    <definedName name="_726__FDSAUDITLINK__" hidden="1">{"fdsup://Directions/FactSet Auditing Viewer?action=AUDIT_VALUE&amp;DB=129&amp;ID1=03611510&amp;VALUEID=01001&amp;SDATE=200604&amp;PERIODTYPE=QTR_STD&amp;window=popup_no_bar&amp;width=385&amp;height=120&amp;START_MAXIMIZED=FALSE&amp;creator=factset&amp;display_string=Audit"}</definedName>
    <definedName name="_727__FDSAUDITLINK__" hidden="1">{"fdsup://Directions/FactSet Auditing Viewer?action=AUDIT_VALUE&amp;DB=129&amp;ID1=16890510&amp;VALUEID=01001&amp;SDATE=200604&amp;PERIODTYPE=QTR_STD&amp;window=popup_no_bar&amp;width=385&amp;height=120&amp;START_MAXIMIZED=FALSE&amp;creator=factset&amp;display_string=Audit"}</definedName>
    <definedName name="_728__FDSAUDITLINK__" hidden="1">{"fdsup://directions/FAT Viewer?action=UPDATE&amp;creator=factset&amp;DYN_ARGS=TRUE&amp;DOC_NAME=FAT:FQL_AUDITING_CLIENT_TEMPLATE.FAT&amp;display_string=Audit&amp;VAR:KEY=BONMBKFGLQ&amp;VAR:QUERY=RkZfUlRfU0ZfVE9UX0dST1NTKFFUUiwtMTMp&amp;WINDOW=FIRST_POPUP&amp;HEIGHT=450&amp;WIDTH=450&amp;START_MA","XIMIZED=FALSE&amp;VAR:CALENDAR=US&amp;VAR:SYMBOL=AEO&amp;VAR:INDEX=0"}</definedName>
    <definedName name="_729__FDSAUDITLINK__" hidden="1">{"fdsup://Directions/FactSet Auditing Viewer?action=AUDIT_VALUE&amp;DB=129&amp;ID1=00786510&amp;VALUEID=01001&amp;SDATE=200604&amp;PERIODTYPE=QTR_STD&amp;window=popup_no_bar&amp;width=385&amp;height=120&amp;START_MAXIMIZED=FALSE&amp;creator=factset&amp;display_string=Audit"}</definedName>
    <definedName name="_73__FDSAUDITLINK__" hidden="1">{"fdsup://Directions/FactSet Auditing Viewer?action=AUDIT_VALUE&amp;DB=129&amp;ID1=25674610&amp;VALUEID=01001&amp;SDATE=200802&amp;PERIODTYPE=QTR_STD&amp;window=popup_no_bar&amp;width=385&amp;height=120&amp;START_MAXIMIZED=FALSE&amp;creator=factset&amp;display_string=Audit"}</definedName>
    <definedName name="_730__FDSAUDITLINK__" hidden="1">{"fdsup://Directions/FactSet Auditing Viewer?action=AUDIT_VALUE&amp;DB=129&amp;ID1=87416110&amp;VALUEID=02101&amp;SDATE=200603&amp;PERIODTYPE=QTR_STD&amp;window=popup_no_bar&amp;width=385&amp;height=120&amp;START_MAXIMIZED=FALSE&amp;creator=factset&amp;display_string=Audit"}</definedName>
    <definedName name="_731__FDSAUDITLINK__" hidden="1">{"fdsup://Directions/FactSet Auditing Viewer?action=AUDIT_VALUE&amp;DB=129&amp;ID1=87416110&amp;VALUEID=01001&amp;SDATE=200603&amp;PERIODTYPE=QTR_STD&amp;window=popup_no_bar&amp;width=385&amp;height=120&amp;START_MAXIMIZED=FALSE&amp;creator=factset&amp;display_string=Audit"}</definedName>
    <definedName name="_732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733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73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735__FDSAUDITLINK__" hidden="1">{"fdsup://Directions/FactSet Auditing Viewer?action=AUDIT_VALUE&amp;DB=129&amp;ID1=46612H40&amp;VALUEID=02101&amp;SDATE=200603&amp;PERIODTYPE=QTR_STD&amp;window=popup_no_bar&amp;width=385&amp;height=120&amp;START_MAXIMIZED=FALSE&amp;creator=factset&amp;display_string=Audit"}</definedName>
    <definedName name="_736__FDSAUDITLINK__" hidden="1">{"fdsup://Directions/FactSet Auditing Viewer?action=AUDIT_VALUE&amp;DB=129&amp;ID1=46612H40&amp;VALUEID=01001&amp;SDATE=200603&amp;PERIODTYPE=QTR_STD&amp;window=popup_no_bar&amp;width=385&amp;height=120&amp;START_MAXIMIZED=FALSE&amp;creator=factset&amp;display_string=Audit"}</definedName>
    <definedName name="_737__FDSAUDITLINK__" hidden="1">{"fdsup://Directions/FactSet Auditing Viewer?action=AUDIT_VALUE&amp;DB=129&amp;ID1=46612H40&amp;VALUEID=13040&amp;SDATE=200603&amp;PERIODTYPE=QTR_STD&amp;window=popup_no_bar&amp;width=385&amp;height=120&amp;START_MAXIMIZED=FALSE&amp;creator=factset&amp;display_string=Audit"}</definedName>
    <definedName name="_738__FDSAUDITLINK__" hidden="1">{"fdsup://Directions/FactSet Auditing Viewer?action=AUDIT_VALUE&amp;DB=129&amp;ID1=36476010&amp;VALUEID=02101&amp;SDATE=200603&amp;PERIODTYPE=QTR_STD&amp;window=popup_no_bar&amp;width=385&amp;height=120&amp;START_MAXIMIZED=FALSE&amp;creator=factset&amp;display_string=Audit"}</definedName>
    <definedName name="_739__FDSAUDITLINK__" hidden="1">{"fdsup://Directions/FactSet Auditing Viewer?action=AUDIT_VALUE&amp;DB=129&amp;ID1=36476010&amp;VALUEID=01001&amp;SDATE=200603&amp;PERIODTYPE=QTR_STD&amp;window=popup_no_bar&amp;width=385&amp;height=120&amp;START_MAXIMIZED=FALSE&amp;creator=factset&amp;display_string=Audit"}</definedName>
    <definedName name="_74__FDSAUDITLINK__" hidden="1">{"fdsup://Directions/FactSet Auditing Viewer?action=AUDIT_VALUE&amp;DB=129&amp;ID1=25674610&amp;VALUEID=01001&amp;SDATE=200801&amp;PERIODTYPE=QTR_STD&amp;window=popup_no_bar&amp;width=385&amp;height=120&amp;START_MAXIMIZED=FALSE&amp;creator=factset&amp;display_string=Audit"}</definedName>
    <definedName name="_740__FDSAUDITLINK__" hidden="1">{"fdsup://Directions/FactSet Auditing Viewer?action=AUDIT_VALUE&amp;DB=129&amp;ID1=36476010&amp;VALUEID=13040&amp;SDATE=200603&amp;PERIODTYPE=QTR_STD&amp;window=popup_no_bar&amp;width=385&amp;height=120&amp;START_MAXIMIZED=FALSE&amp;creator=factset&amp;display_string=Audit"}</definedName>
    <definedName name="_741__FDSAUDITLINK__" hidden="1">{"fdsup://Directions/FactSet Auditing Viewer?action=AUDIT_VALUE&amp;DB=129&amp;ID1=03611510&amp;VALUEID=02101&amp;SDATE=200603&amp;PERIODTYPE=QTR_STD&amp;window=popup_no_bar&amp;width=385&amp;height=120&amp;START_MAXIMIZED=FALSE&amp;creator=factset&amp;display_string=Audit"}</definedName>
    <definedName name="_742__FDSAUDITLINK__" hidden="1">{"fdsup://Directions/FactSet Auditing Viewer?action=AUDIT_VALUE&amp;DB=129&amp;ID1=03611510&amp;VALUEID=01001&amp;SDATE=200603&amp;PERIODTYPE=QTR_STD&amp;window=popup_no_bar&amp;width=385&amp;height=120&amp;START_MAXIMIZED=FALSE&amp;creator=factset&amp;display_string=Audit"}</definedName>
    <definedName name="_743__FDSAUDITLINK__" hidden="1">{"fdsup://Directions/FactSet Auditing Viewer?action=AUDIT_VALUE&amp;DB=129&amp;ID1=03611510&amp;VALUEID=13040&amp;SDATE=200603&amp;PERIODTYPE=QTR_STD&amp;window=popup_no_bar&amp;width=385&amp;height=120&amp;START_MAXIMIZED=FALSE&amp;creator=factset&amp;display_string=Audit"}</definedName>
    <definedName name="_744__FDSAUDITLINK__" hidden="1">{"fdsup://Directions/FactSet Auditing Viewer?action=AUDIT_VALUE&amp;DB=129&amp;ID1=16890510&amp;VALUEID=02101&amp;SDATE=200603&amp;PERIODTYPE=QTR_STD&amp;window=popup_no_bar&amp;width=385&amp;height=120&amp;START_MAXIMIZED=FALSE&amp;creator=factset&amp;display_string=Audit"}</definedName>
    <definedName name="_745__FDSAUDITLINK__" hidden="1">{"fdsup://Directions/FactSet Auditing Viewer?action=AUDIT_VALUE&amp;DB=129&amp;ID1=16890510&amp;VALUEID=01001&amp;SDATE=200603&amp;PERIODTYPE=QTR_STD&amp;window=popup_no_bar&amp;width=385&amp;height=120&amp;START_MAXIMIZED=FALSE&amp;creator=factset&amp;display_string=Audit"}</definedName>
    <definedName name="_746__FDSAUDITLINK__" hidden="1">{"fdsup://Directions/FactSet Auditing Viewer?action=AUDIT_VALUE&amp;DB=129&amp;ID1=91704710&amp;VALUEID=02101&amp;SDATE=200603&amp;PERIODTYPE=QTR_STD&amp;window=popup_no_bar&amp;width=385&amp;height=120&amp;START_MAXIMIZED=FALSE&amp;creator=factset&amp;display_string=Audit"}</definedName>
    <definedName name="_747__FDSAUDITLINK__" hidden="1">{"fdsup://Directions/FactSet Auditing Viewer?action=AUDIT_VALUE&amp;DB=129&amp;ID1=91704710&amp;VALUEID=01001&amp;SDATE=200603&amp;PERIODTYPE=QTR_STD&amp;window=popup_no_bar&amp;width=385&amp;height=120&amp;START_MAXIMIZED=FALSE&amp;creator=factset&amp;display_string=Audit"}</definedName>
    <definedName name="_748__FDSAUDITLINK__" hidden="1">{"fdsup://Directions/FactSet Auditing Viewer?action=AUDIT_VALUE&amp;DB=129&amp;ID1=91704710&amp;VALUEID=13040&amp;SDATE=200603&amp;PERIODTYPE=QTR_STD&amp;window=popup_no_bar&amp;width=385&amp;height=120&amp;START_MAXIMIZED=FALSE&amp;creator=factset&amp;display_string=Audit"}</definedName>
    <definedName name="_749__FDSAUDITLINK__" hidden="1">{"fdsup://directions/FAT Viewer?action=UPDATE&amp;creator=factset&amp;DYN_ARGS=TRUE&amp;DOC_NAME=FAT:FQL_AUDITING_CLIENT_TEMPLATE.FAT&amp;display_string=Audit&amp;VAR:KEY=NGXYHSLMBY&amp;VAR:QUERY=RkZfUlRfU0ZfVE9UX0dST1NTKFFUUiwtMTQp&amp;WINDOW=FIRST_POPUP&amp;HEIGHT=450&amp;WIDTH=450&amp;START_MA","XIMIZED=FALSE&amp;VAR:CALENDAR=US&amp;VAR:SYMBOL=AEO&amp;VAR:INDEX=0"}</definedName>
    <definedName name="_75__FDSAUDITLINK__" hidden="1">{"fdsup://Directions/FactSet Auditing Viewer?action=AUDIT_VALUE&amp;DB=129&amp;ID1=25674610&amp;VALUEID=01001&amp;SDATE=200704&amp;PERIODTYPE=QTR_STD&amp;window=popup_no_bar&amp;width=385&amp;height=120&amp;START_MAXIMIZED=FALSE&amp;creator=factset&amp;display_string=Audit"}</definedName>
    <definedName name="_750__FDSAUDITLINK__" hidden="1">{"fdsup://Directions/FactSet Auditing Viewer?action=AUDIT_VALUE&amp;DB=129&amp;ID1=00786510&amp;VALUEID=02101&amp;SDATE=200603&amp;PERIODTYPE=QTR_STD&amp;window=popup_no_bar&amp;width=385&amp;height=120&amp;START_MAXIMIZED=FALSE&amp;creator=factset&amp;display_string=Audit"}</definedName>
    <definedName name="_751__FDSAUDITLINK__" hidden="1">{"fdsup://Directions/FactSet Auditing Viewer?action=AUDIT_VALUE&amp;DB=129&amp;ID1=00786510&amp;VALUEID=01001&amp;SDATE=200603&amp;PERIODTYPE=QTR_STD&amp;window=popup_no_bar&amp;width=385&amp;height=120&amp;START_MAXIMIZED=FALSE&amp;creator=factset&amp;display_string=Audit"}</definedName>
    <definedName name="_752__FDSAUDITLINK__" hidden="1">{"fdsup://Directions/FactSet Auditing Viewer?action=AUDIT_VALUE&amp;DB=129&amp;ID1=00786510&amp;VALUEID=13040&amp;SDATE=200603&amp;PERIODTYPE=QTR_STD&amp;window=popup_no_bar&amp;width=385&amp;height=120&amp;START_MAXIMIZED=FALSE&amp;creator=factset&amp;display_string=Audit"}</definedName>
    <definedName name="_753__FDSAUDITLINK__" hidden="1">{"fdsup://Directions/FactSet Auditing Viewer?action=AUDIT_VALUE&amp;DB=129&amp;ID1=00289620&amp;VALUEID=02101&amp;SDATE=200603&amp;PERIODTYPE=QTR_STD&amp;window=popup_no_bar&amp;width=385&amp;height=120&amp;START_MAXIMIZED=FALSE&amp;creator=factset&amp;display_string=Audit"}</definedName>
    <definedName name="_754__FDSAUDITLINK__" hidden="1">{"fdsup://Directions/FactSet Auditing Viewer?action=AUDIT_VALUE&amp;DB=129&amp;ID1=00289620&amp;VALUEID=01001&amp;SDATE=200603&amp;PERIODTYPE=QTR_STD&amp;window=popup_no_bar&amp;width=385&amp;height=120&amp;START_MAXIMIZED=FALSE&amp;creator=factset&amp;display_string=Audit"}</definedName>
    <definedName name="_755__FDSAUDITLINK__" hidden="1">{"fdsup://Directions/FactSet Auditing Viewer?action=AUDIT_VALUE&amp;DB=129&amp;ID1=00289620&amp;VALUEID=13040&amp;SDATE=200603&amp;PERIODTYPE=QTR_STD&amp;window=popup_no_bar&amp;width=385&amp;height=120&amp;START_MAXIMIZED=FALSE&amp;creator=factset&amp;display_string=Audit"}</definedName>
    <definedName name="_756__FDSAUDITLINK__" hidden="1">{"fdsup://Directions/FactSet Auditing Viewer?action=AUDIT_VALUE&amp;DB=129&amp;ID1=87416110&amp;VALUEID=02101&amp;SDATE=200602&amp;PERIODTYPE=QTR_STD&amp;window=popup_no_bar&amp;width=385&amp;height=120&amp;START_MAXIMIZED=FALSE&amp;creator=factset&amp;display_string=Audit"}</definedName>
    <definedName name="_757__FDSAUDITLINK__" hidden="1">{"fdsup://Directions/FactSet Auditing Viewer?action=AUDIT_VALUE&amp;DB=129&amp;ID1=87416110&amp;VALUEID=01001&amp;SDATE=200602&amp;PERIODTYPE=QTR_STD&amp;window=popup_no_bar&amp;width=385&amp;height=120&amp;START_MAXIMIZED=FALSE&amp;creator=factset&amp;display_string=Audit"}</definedName>
    <definedName name="_758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759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76__FDSAUDITLINK__" hidden="1">{"fdsup://Directions/FactSet Auditing Viewer?action=AUDIT_VALUE&amp;DB=129&amp;ID1=25674610&amp;VALUEID=01001&amp;SDATE=200703&amp;PERIODTYPE=QTR_STD&amp;window=popup_no_bar&amp;width=385&amp;height=120&amp;START_MAXIMIZED=FALSE&amp;creator=factset&amp;display_string=Audit"}</definedName>
    <definedName name="_760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761__FDSAUDITLINK__" hidden="1">{"fdsup://Directions/FactSet Auditing Viewer?action=AUDIT_VALUE&amp;DB=129&amp;ID1=46612H40&amp;VALUEID=02101&amp;SDATE=200602&amp;PERIODTYPE=QTR_STD&amp;window=popup_no_bar&amp;width=385&amp;height=120&amp;START_MAXIMIZED=FALSE&amp;creator=factset&amp;display_string=Audit"}</definedName>
    <definedName name="_762__FDSAUDITLINK__" hidden="1">{"fdsup://Directions/FactSet Auditing Viewer?action=AUDIT_VALUE&amp;DB=129&amp;ID1=46612H40&amp;VALUEID=01001&amp;SDATE=200602&amp;PERIODTYPE=QTR_STD&amp;window=popup_no_bar&amp;width=385&amp;height=120&amp;START_MAXIMIZED=FALSE&amp;creator=factset&amp;display_string=Audit"}</definedName>
    <definedName name="_763__FDSAUDITLINK__" hidden="1">{"fdsup://Directions/FactSet Auditing Viewer?action=AUDIT_VALUE&amp;DB=129&amp;ID1=46612H40&amp;VALUEID=13040&amp;SDATE=200602&amp;PERIODTYPE=QTR_STD&amp;window=popup_no_bar&amp;width=385&amp;height=120&amp;START_MAXIMIZED=FALSE&amp;creator=factset&amp;display_string=Audit"}</definedName>
    <definedName name="_764__FDSAUDITLINK__" hidden="1">{"fdsup://Directions/FactSet Auditing Viewer?action=AUDIT_VALUE&amp;DB=129&amp;ID1=36476010&amp;VALUEID=02101&amp;SDATE=200602&amp;PERIODTYPE=QTR_STD&amp;window=popup_no_bar&amp;width=385&amp;height=120&amp;START_MAXIMIZED=FALSE&amp;creator=factset&amp;display_string=Audit"}</definedName>
    <definedName name="_765__FDSAUDITLINK__" hidden="1">{"fdsup://Directions/FactSet Auditing Viewer?action=AUDIT_VALUE&amp;DB=129&amp;ID1=36476010&amp;VALUEID=01001&amp;SDATE=200602&amp;PERIODTYPE=QTR_STD&amp;window=popup_no_bar&amp;width=385&amp;height=120&amp;START_MAXIMIZED=FALSE&amp;creator=factset&amp;display_string=Audit"}</definedName>
    <definedName name="_766__FDSAUDITLINK__" hidden="1">{"fdsup://Directions/FactSet Auditing Viewer?action=AUDIT_VALUE&amp;DB=129&amp;ID1=36476010&amp;VALUEID=13040&amp;SDATE=200602&amp;PERIODTYPE=QTR_STD&amp;window=popup_no_bar&amp;width=385&amp;height=120&amp;START_MAXIMIZED=FALSE&amp;creator=factset&amp;display_string=Audit"}</definedName>
    <definedName name="_767__FDSAUDITLINK__" hidden="1">{"fdsup://Directions/FactSet Auditing Viewer?action=AUDIT_VALUE&amp;DB=129&amp;ID1=03611510&amp;VALUEID=02101&amp;SDATE=200602&amp;PERIODTYPE=QTR_STD&amp;window=popup_no_bar&amp;width=385&amp;height=120&amp;START_MAXIMIZED=FALSE&amp;creator=factset&amp;display_string=Audit"}</definedName>
    <definedName name="_768__FDSAUDITLINK__" hidden="1">{"fdsup://Directions/FactSet Auditing Viewer?action=AUDIT_VALUE&amp;DB=129&amp;ID1=03611510&amp;VALUEID=01001&amp;SDATE=200602&amp;PERIODTYPE=QTR_STD&amp;window=popup_no_bar&amp;width=385&amp;height=120&amp;START_MAXIMIZED=FALSE&amp;creator=factset&amp;display_string=Audit"}</definedName>
    <definedName name="_769__FDSAUDITLINK__" hidden="1">{"fdsup://Directions/FactSet Auditing Viewer?action=AUDIT_VALUE&amp;DB=129&amp;ID1=03611510&amp;VALUEID=13040&amp;SDATE=200602&amp;PERIODTYPE=QTR_STD&amp;window=popup_no_bar&amp;width=385&amp;height=120&amp;START_MAXIMIZED=FALSE&amp;creator=factset&amp;display_string=Audit"}</definedName>
    <definedName name="_77__FDSAUDITLINK__" hidden="1">{"fdsup://Directions/FactSet Auditing Viewer?action=AUDIT_VALUE&amp;DB=129&amp;ID1=25674610&amp;VALUEID=01001&amp;SDATE=200702&amp;PERIODTYPE=QTR_STD&amp;window=popup_no_bar&amp;width=385&amp;height=120&amp;START_MAXIMIZED=FALSE&amp;creator=factset&amp;display_string=Audit"}</definedName>
    <definedName name="_770__FDSAUDITLINK__" hidden="1">{"fdsup://Directions/FactSet Auditing Viewer?action=AUDIT_VALUE&amp;DB=129&amp;ID1=16890510&amp;VALUEID=02101&amp;SDATE=200602&amp;PERIODTYPE=QTR_STD&amp;window=popup_no_bar&amp;width=385&amp;height=120&amp;START_MAXIMIZED=FALSE&amp;creator=factset&amp;display_string=Audit"}</definedName>
    <definedName name="_771__FDSAUDITLINK__" hidden="1">{"fdsup://Directions/FactSet Auditing Viewer?action=AUDIT_VALUE&amp;DB=129&amp;ID1=16890510&amp;VALUEID=01001&amp;SDATE=200602&amp;PERIODTYPE=QTR_STD&amp;window=popup_no_bar&amp;width=385&amp;height=120&amp;START_MAXIMIZED=FALSE&amp;creator=factset&amp;display_string=Audit"}</definedName>
    <definedName name="_772__FDSAUDITLINK__" hidden="1">{"fdsup://Directions/FactSet Auditing Viewer?action=AUDIT_VALUE&amp;DB=129&amp;ID1=91704710&amp;VALUEID=02101&amp;SDATE=200602&amp;PERIODTYPE=QTR_STD&amp;window=popup_no_bar&amp;width=385&amp;height=120&amp;START_MAXIMIZED=FALSE&amp;creator=factset&amp;display_string=Audit"}</definedName>
    <definedName name="_773__FDSAUDITLINK__" hidden="1">{"fdsup://Directions/FactSet Auditing Viewer?action=AUDIT_VALUE&amp;DB=129&amp;ID1=91704710&amp;VALUEID=01001&amp;SDATE=200602&amp;PERIODTYPE=QTR_STD&amp;window=popup_no_bar&amp;width=385&amp;height=120&amp;START_MAXIMIZED=FALSE&amp;creator=factset&amp;display_string=Audit"}</definedName>
    <definedName name="_774__FDSAUDITLINK__" hidden="1">{"fdsup://Directions/FactSet Auditing Viewer?action=AUDIT_VALUE&amp;DB=129&amp;ID1=91704710&amp;VALUEID=13040&amp;SDATE=200602&amp;PERIODTYPE=QTR_STD&amp;window=popup_no_bar&amp;width=385&amp;height=120&amp;START_MAXIMIZED=FALSE&amp;creator=factset&amp;display_string=Audit"}</definedName>
    <definedName name="_775__FDSAUDITLINK__" hidden="1">{"fdsup://directions/FAT Viewer?action=UPDATE&amp;creator=factset&amp;DYN_ARGS=TRUE&amp;DOC_NAME=FAT:FQL_AUDITING_CLIENT_TEMPLATE.FAT&amp;display_string=Audit&amp;VAR:KEY=VUNQJUHWBQ&amp;VAR:QUERY=RkZfUlRfU0ZfVE9UX0dST1NTKFFUUiwtMTUp&amp;WINDOW=FIRST_POPUP&amp;HEIGHT=450&amp;WIDTH=450&amp;START_MA","XIMIZED=FALSE&amp;VAR:CALENDAR=US&amp;VAR:SYMBOL=AEO&amp;VAR:INDEX=0"}</definedName>
    <definedName name="_776__FDSAUDITLINK__" hidden="1">{"fdsup://Directions/FactSet Auditing Viewer?action=AUDIT_VALUE&amp;DB=129&amp;ID1=00786510&amp;VALUEID=02101&amp;SDATE=200602&amp;PERIODTYPE=QTR_STD&amp;window=popup_no_bar&amp;width=385&amp;height=120&amp;START_MAXIMIZED=FALSE&amp;creator=factset&amp;display_string=Audit"}</definedName>
    <definedName name="_777__FDSAUDITLINK__" hidden="1">{"fdsup://Directions/FactSet Auditing Viewer?action=AUDIT_VALUE&amp;DB=129&amp;ID1=00786510&amp;VALUEID=01001&amp;SDATE=200602&amp;PERIODTYPE=QTR_STD&amp;window=popup_no_bar&amp;width=385&amp;height=120&amp;START_MAXIMIZED=FALSE&amp;creator=factset&amp;display_string=Audit"}</definedName>
    <definedName name="_778__FDSAUDITLINK__" hidden="1">{"fdsup://Directions/FactSet Auditing Viewer?action=AUDIT_VALUE&amp;DB=129&amp;ID1=00786510&amp;VALUEID=13040&amp;SDATE=200602&amp;PERIODTYPE=QTR_STD&amp;window=popup_no_bar&amp;width=385&amp;height=120&amp;START_MAXIMIZED=FALSE&amp;creator=factset&amp;display_string=Audit"}</definedName>
    <definedName name="_779__FDSAUDITLINK__" hidden="1">{"fdsup://Directions/FactSet Auditing Viewer?action=AUDIT_VALUE&amp;DB=129&amp;ID1=00289620&amp;VALUEID=02101&amp;SDATE=200602&amp;PERIODTYPE=QTR_STD&amp;window=popup_no_bar&amp;width=385&amp;height=120&amp;START_MAXIMIZED=FALSE&amp;creator=factset&amp;display_string=Audit"}</definedName>
    <definedName name="_78__FDSAUDITLINK__" hidden="1">{"fdsup://Directions/FactSet Auditing Viewer?action=AUDIT_VALUE&amp;DB=129&amp;ID1=25674610&amp;VALUEID=01001&amp;SDATE=200701&amp;PERIODTYPE=QTR_STD&amp;window=popup_no_bar&amp;width=385&amp;height=120&amp;START_MAXIMIZED=FALSE&amp;creator=factset&amp;display_string=Audit"}</definedName>
    <definedName name="_780__FDSAUDITLINK__" hidden="1">{"fdsup://Directions/FactSet Auditing Viewer?action=AUDIT_VALUE&amp;DB=129&amp;ID1=00289620&amp;VALUEID=01001&amp;SDATE=200602&amp;PERIODTYPE=QTR_STD&amp;window=popup_no_bar&amp;width=385&amp;height=120&amp;START_MAXIMIZED=FALSE&amp;creator=factset&amp;display_string=Audit"}</definedName>
    <definedName name="_781__FDSAUDITLINK__" hidden="1">{"fdsup://Directions/FactSet Auditing Viewer?action=AUDIT_VALUE&amp;DB=129&amp;ID1=00289620&amp;VALUEID=13040&amp;SDATE=200602&amp;PERIODTYPE=QTR_STD&amp;window=popup_no_bar&amp;width=385&amp;height=120&amp;START_MAXIMIZED=FALSE&amp;creator=factset&amp;display_string=Audit"}</definedName>
    <definedName name="_782__FDSAUDITLINK__" hidden="1">{"fdsup://Directions/FactSet Auditing Viewer?action=AUDIT_VALUE&amp;DB=129&amp;ID1=87416110&amp;VALUEID=02101&amp;SDATE=200601&amp;PERIODTYPE=QTR_STD&amp;window=popup_no_bar&amp;width=385&amp;height=120&amp;START_MAXIMIZED=FALSE&amp;creator=factset&amp;display_string=Audit"}</definedName>
    <definedName name="_783__FDSAUDITLINK__" hidden="1">{"fdsup://Directions/FactSet Auditing Viewer?action=AUDIT_VALUE&amp;DB=129&amp;ID1=87416110&amp;VALUEID=01001&amp;SDATE=200601&amp;PERIODTYPE=QTR_STD&amp;window=popup_no_bar&amp;width=385&amp;height=120&amp;START_MAXIMIZED=FALSE&amp;creator=factset&amp;display_string=Audit"}</definedName>
    <definedName name="_784__FDSAUDITLINK__" hidden="1">{"fdsup://Directions/FactSet Auditing Viewer?action=AUDIT_VALUE&amp;DB=129&amp;ID1=87416110&amp;VALUEID=13040&amp;SDATE=200601&amp;PERIODTYPE=QTR_STD&amp;window=popup_no_bar&amp;width=385&amp;height=120&amp;START_MAXIMIZED=FALSE&amp;creator=factset&amp;display_string=Audit"}</definedName>
    <definedName name="_785__FDSAUDITLINK__" hidden="1">{"fdsup://directions/FAT Viewer?action=UPDATE&amp;creator=factset&amp;DYN_ARGS=TRUE&amp;DOC_NAME=FAT:FQL_AUDITING_CLIENT_TEMPLATE.FAT&amp;display_string=Audit&amp;VAR:KEY=NUZUBWRSBA&amp;VAR:QUERY=RkZfUlRfU0ZfVE9UX0dST1NTKFFUUiwtMTYp&amp;WINDOW=FIRST_POPUP&amp;HEIGHT=450&amp;WIDTH=450&amp;START_MA","XIMIZED=FALSE&amp;VAR:CALENDAR=US&amp;VAR:SYMBOL=TLB&amp;VAR:INDEX=0"}</definedName>
    <definedName name="_786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787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78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789__FDSAUDITLINK__" hidden="1">{"fdsup://Directions/FactSet Auditing Viewer?action=AUDIT_VALUE&amp;DB=129&amp;ID1=46612H40&amp;VALUEID=02101&amp;SDATE=200601&amp;PERIODTYPE=QTR_STD&amp;window=popup_no_bar&amp;width=385&amp;height=120&amp;START_MAXIMIZED=FALSE&amp;creator=factset&amp;display_string=Audit"}</definedName>
    <definedName name="_79__FDSAUDITLINK__" hidden="1">{"fdsup://Directions/FactSet Auditing Viewer?action=AUDIT_VALUE&amp;DB=129&amp;ID1=25674610&amp;VALUEID=01001&amp;SDATE=200604&amp;PERIODTYPE=QTR_STD&amp;window=popup_no_bar&amp;width=385&amp;height=120&amp;START_MAXIMIZED=FALSE&amp;creator=factset&amp;display_string=Audit"}</definedName>
    <definedName name="_790__FDSAUDITLINK__" hidden="1">{"fdsup://Directions/FactSet Auditing Viewer?action=AUDIT_VALUE&amp;DB=129&amp;ID1=46612H40&amp;VALUEID=01001&amp;SDATE=200601&amp;PERIODTYPE=QTR_STD&amp;window=popup_no_bar&amp;width=385&amp;height=120&amp;START_MAXIMIZED=FALSE&amp;creator=factset&amp;display_string=Audit"}</definedName>
    <definedName name="_791__FDSAUDITLINK__" hidden="1">{"fdsup://Directions/FactSet Auditing Viewer?action=AUDIT_VALUE&amp;DB=129&amp;ID1=46612H40&amp;VALUEID=13040&amp;SDATE=200601&amp;PERIODTYPE=QTR_STD&amp;window=popup_no_bar&amp;width=385&amp;height=120&amp;START_MAXIMIZED=FALSE&amp;creator=factset&amp;display_string=Audit"}</definedName>
    <definedName name="_792__FDSAUDITLINK__" hidden="1">{"fdsup://Directions/FactSet Auditing Viewer?action=AUDIT_VALUE&amp;DB=129&amp;ID1=36476010&amp;VALUEID=02101&amp;SDATE=200601&amp;PERIODTYPE=QTR_STD&amp;window=popup_no_bar&amp;width=385&amp;height=120&amp;START_MAXIMIZED=FALSE&amp;creator=factset&amp;display_string=Audit"}</definedName>
    <definedName name="_793__FDSAUDITLINK__" hidden="1">{"fdsup://Directions/FactSet Auditing Viewer?action=AUDIT_VALUE&amp;DB=129&amp;ID1=36476010&amp;VALUEID=01001&amp;SDATE=200601&amp;PERIODTYPE=QTR_STD&amp;window=popup_no_bar&amp;width=385&amp;height=120&amp;START_MAXIMIZED=FALSE&amp;creator=factset&amp;display_string=Audit"}</definedName>
    <definedName name="_794__FDSAUDITLINK__" hidden="1">{"fdsup://Directions/FactSet Auditing Viewer?action=AUDIT_VALUE&amp;DB=129&amp;ID1=36476010&amp;VALUEID=13040&amp;SDATE=200601&amp;PERIODTYPE=QTR_STD&amp;window=popup_no_bar&amp;width=385&amp;height=120&amp;START_MAXIMIZED=FALSE&amp;creator=factset&amp;display_string=Audit"}</definedName>
    <definedName name="_795__FDSAUDITLINK__" hidden="1">{"fdsup://Directions/FactSet Auditing Viewer?action=AUDIT_VALUE&amp;DB=129&amp;ID1=03611510&amp;VALUEID=02101&amp;SDATE=200601&amp;PERIODTYPE=QTR_STD&amp;window=popup_no_bar&amp;width=385&amp;height=120&amp;START_MAXIMIZED=FALSE&amp;creator=factset&amp;display_string=Audit"}</definedName>
    <definedName name="_796__FDSAUDITLINK__" hidden="1">{"fdsup://Directions/FactSet Auditing Viewer?action=AUDIT_VALUE&amp;DB=129&amp;ID1=03611510&amp;VALUEID=13040&amp;SDATE=200601&amp;PERIODTYPE=QTR_STD&amp;window=popup_no_bar&amp;width=385&amp;height=120&amp;START_MAXIMIZED=FALSE&amp;creator=factset&amp;display_string=Audit"}</definedName>
    <definedName name="_797__FDSAUDITLINK__" hidden="1">{"fdsup://Directions/FactSet Auditing Viewer?action=AUDIT_VALUE&amp;DB=129&amp;ID1=16890510&amp;VALUEID=02101&amp;SDATE=200601&amp;PERIODTYPE=QTR_STD&amp;window=popup_no_bar&amp;width=385&amp;height=120&amp;START_MAXIMIZED=FALSE&amp;creator=factset&amp;display_string=Audit"}</definedName>
    <definedName name="_798__FDSAUDITLINK__" hidden="1">{"fdsup://Directions/FactSet Auditing Viewer?action=AUDIT_VALUE&amp;DB=129&amp;ID1=16890510&amp;VALUEID=01001&amp;SDATE=200601&amp;PERIODTYPE=QTR_STD&amp;window=popup_no_bar&amp;width=385&amp;height=120&amp;START_MAXIMIZED=FALSE&amp;creator=factset&amp;display_string=Audit"}</definedName>
    <definedName name="_799__FDSAUDITLINK__" hidden="1">{"fdsup://Directions/FactSet Auditing Viewer?action=AUDIT_VALUE&amp;DB=129&amp;ID1=91704710&amp;VALUEID=02101&amp;SDATE=200601&amp;PERIODTYPE=QTR_STD&amp;window=popup_no_bar&amp;width=385&amp;height=120&amp;START_MAXIMIZED=FALSE&amp;creator=factset&amp;display_string=Audit"}</definedName>
    <definedName name="_8__123Graph_Bｸﾞﾗﾌ_1" hidden="1">[2]ｾｸﾞﾒﾝﾄ!$E$165:$I$165</definedName>
    <definedName name="_8__FDSAUDITLINK__" hidden="1">{"fdsup://Directions/FactSet Auditing Viewer?action=AUDIT_VALUE&amp;DB=129&amp;ID1=79377W10&amp;VALUEID=02001&amp;SDATE=201102&amp;PERIODTYPE=QTR_STD&amp;SCFT=3&amp;window=popup_no_bar&amp;width=385&amp;height=120&amp;START_MAXIMIZED=FALSE&amp;creator=factset&amp;display_string=Audit"}</definedName>
    <definedName name="_80__FDSAUDITLINK__" hidden="1">{"fdsup://Directions/FactSet Auditing Viewer?action=AUDIT_VALUE&amp;DB=129&amp;ID1=25674610&amp;VALUEID=01001&amp;SDATE=200603&amp;PERIODTYPE=QTR_STD&amp;window=popup_no_bar&amp;width=385&amp;height=120&amp;START_MAXIMIZED=FALSE&amp;creator=factset&amp;display_string=Audit"}</definedName>
    <definedName name="_800__FDSAUDITLINK__" hidden="1">{"fdsup://Directions/FactSet Auditing Viewer?action=AUDIT_VALUE&amp;DB=129&amp;ID1=91704710&amp;VALUEID=01001&amp;SDATE=200601&amp;PERIODTYPE=QTR_STD&amp;window=popup_no_bar&amp;width=385&amp;height=120&amp;START_MAXIMIZED=FALSE&amp;creator=factset&amp;display_string=Audit"}</definedName>
    <definedName name="_801__FDSAUDITLINK__" hidden="1">{"fdsup://Directions/FactSet Auditing Viewer?action=AUDIT_VALUE&amp;DB=129&amp;ID1=91704710&amp;VALUEID=13040&amp;SDATE=200601&amp;PERIODTYPE=QTR_STD&amp;window=popup_no_bar&amp;width=385&amp;height=120&amp;START_MAXIMIZED=FALSE&amp;creator=factset&amp;display_string=Audit"}</definedName>
    <definedName name="_802__FDSAUDITLINK__" hidden="1">{"fdsup://Directions/FactSet Auditing Viewer?action=AUDIT_VALUE&amp;DB=129&amp;ID1=02553E10&amp;VALUEID=02101&amp;SDATE=200601&amp;PERIODTYPE=QTR_STD&amp;window=popup_no_bar&amp;width=385&amp;height=120&amp;START_MAXIMIZED=FALSE&amp;creator=factset&amp;display_string=Audit"}</definedName>
    <definedName name="_803__FDSAUDITLINK__" hidden="1">{"fdsup://Directions/FactSet Auditing Viewer?action=AUDIT_VALUE&amp;DB=129&amp;ID1=02553E10&amp;VALUEID=01001&amp;SDATE=200601&amp;PERIODTYPE=QTR_STD&amp;window=popup_no_bar&amp;width=385&amp;height=120&amp;START_MAXIMIZED=FALSE&amp;creator=factset&amp;display_string=Audit"}</definedName>
    <definedName name="_804__FDSAUDITLINK__" hidden="1">{"fdsup://Directions/FactSet Auditing Viewer?action=AUDIT_VALUE&amp;DB=129&amp;ID1=02553E10&amp;VALUEID=13040&amp;SDATE=200601&amp;PERIODTYPE=QTR_STD&amp;window=popup_no_bar&amp;width=385&amp;height=120&amp;START_MAXIMIZED=FALSE&amp;creator=factset&amp;display_string=Audit"}</definedName>
    <definedName name="_805__FDSAUDITLINK__" hidden="1">{"fdsup://directions/FAT Viewer?action=UPDATE&amp;creator=factset&amp;DYN_ARGS=TRUE&amp;DOC_NAME=FAT:FQL_AUDITING_CLIENT_TEMPLATE.FAT&amp;display_string=Audit&amp;VAR:KEY=RUROHMBELS&amp;VAR:QUERY=RkZfUlRfU0ZfVE9UX0dST1NTKFFUUiwtMTYp&amp;WINDOW=FIRST_POPUP&amp;HEIGHT=450&amp;WIDTH=450&amp;START_MA","XIMIZED=FALSE&amp;VAR:CALENDAR=US&amp;VAR:SYMBOL=AEO&amp;VAR:INDEX=0"}</definedName>
    <definedName name="_806__FDSAUDITLINK__" hidden="1">{"fdsup://Directions/FactSet Auditing Viewer?action=AUDIT_VALUE&amp;DB=129&amp;ID1=00786510&amp;VALUEID=02101&amp;SDATE=200601&amp;PERIODTYPE=QTR_STD&amp;window=popup_no_bar&amp;width=385&amp;height=120&amp;START_MAXIMIZED=FALSE&amp;creator=factset&amp;display_string=Audit"}</definedName>
    <definedName name="_807__FDSAUDITLINK__" hidden="1">{"fdsup://Directions/FactSet Auditing Viewer?action=AUDIT_VALUE&amp;DB=129&amp;ID1=00786510&amp;VALUEID=01001&amp;SDATE=200601&amp;PERIODTYPE=QTR_STD&amp;window=popup_no_bar&amp;width=385&amp;height=120&amp;START_MAXIMIZED=FALSE&amp;creator=factset&amp;display_string=Audit"}</definedName>
    <definedName name="_808__FDSAUDITLINK__" hidden="1">{"fdsup://Directions/FactSet Auditing Viewer?action=AUDIT_VALUE&amp;DB=129&amp;ID1=00786510&amp;VALUEID=13040&amp;SDATE=200601&amp;PERIODTYPE=QTR_STD&amp;window=popup_no_bar&amp;width=385&amp;height=120&amp;START_MAXIMIZED=FALSE&amp;creator=factset&amp;display_string=Audit"}</definedName>
    <definedName name="_809__FDSAUDITLINK__" hidden="1">{"fdsup://Directions/FactSet Auditing Viewer?action=AUDIT_VALUE&amp;DB=129&amp;ID1=00289620&amp;VALUEID=02101&amp;SDATE=200601&amp;PERIODTYPE=QTR_STD&amp;window=popup_no_bar&amp;width=385&amp;height=120&amp;START_MAXIMIZED=FALSE&amp;creator=factset&amp;display_string=Audit"}</definedName>
    <definedName name="_81__FDSAUDITLINK__" hidden="1">{"fdsup://Directions/FactSet Auditing Viewer?action=AUDIT_VALUE&amp;DB=129&amp;ID1=25674610&amp;VALUEID=01001&amp;SDATE=200602&amp;PERIODTYPE=QTR_STD&amp;window=popup_no_bar&amp;width=385&amp;height=120&amp;START_MAXIMIZED=FALSE&amp;creator=factset&amp;display_string=Audit"}</definedName>
    <definedName name="_810__FDSAUDITLINK__" hidden="1">{"fdsup://Directions/FactSet Auditing Viewer?action=AUDIT_VALUE&amp;DB=129&amp;ID1=00289620&amp;VALUEID=01001&amp;SDATE=200601&amp;PERIODTYPE=QTR_STD&amp;window=popup_no_bar&amp;width=385&amp;height=120&amp;START_MAXIMIZED=FALSE&amp;creator=factset&amp;display_string=Audit"}</definedName>
    <definedName name="_811__FDSAUDITLINK__" hidden="1">{"fdsup://Directions/FactSet Auditing Viewer?action=AUDIT_VALUE&amp;DB=129&amp;ID1=00289620&amp;VALUEID=13040&amp;SDATE=200601&amp;PERIODTYPE=QTR_STD&amp;window=popup_no_bar&amp;width=385&amp;height=120&amp;START_MAXIMIZED=FALSE&amp;creator=factset&amp;display_string=Audit"}</definedName>
    <definedName name="_812__FDSAUDITLINK__" hidden="1">{"fdsup://directions/FAT Viewer?action=UPDATE&amp;creator=factset&amp;DYN_ARGS=TRUE&amp;DOC_NAME=FAT:FQL_AUDITING_CLIENT_TEMPLATE.FAT&amp;display_string=Audit&amp;VAR:KEY=NKDWDYVSJA&amp;VAR:QUERY=RkZfUlRfU0ZfVE9UX0dST1NTKFFUUiwtMTcp&amp;WINDOW=FIRST_POPUP&amp;HEIGHT=450&amp;WIDTH=450&amp;START_MA","XIMIZED=FALSE&amp;VAR:CALENDAR=US&amp;VAR:SYMBOL=TLB&amp;VAR:INDEX=0"}</definedName>
    <definedName name="_813__FDSAUDITLINK__" hidden="1">{"fdsup://directions/FAT Viewer?action=UPDATE&amp;creator=factset&amp;DYN_ARGS=TRUE&amp;DOC_NAME=FAT:FQL_AUDITING_CLIENT_TEMPLATE.FAT&amp;display_string=Audit&amp;VAR:KEY=DEZSPEHMVA&amp;VAR:QUERY=RkZfUlRfU0ZfVE9UX0dST1NTKFFUUiwtMTcp&amp;WINDOW=FIRST_POPUP&amp;HEIGHT=450&amp;WIDTH=450&amp;START_MA","XIMIZED=FALSE&amp;VAR:CALENDAR=US&amp;VAR:SYMBOL=AEO&amp;VAR:INDEX=0"}</definedName>
    <definedName name="_814__FDSAUDITLINK__" hidden="1">{"fdsup://directions/FAT Viewer?action=UPDATE&amp;creator=factset&amp;DYN_ARGS=TRUE&amp;DOC_NAME=FAT:FQL_AUDITING_CLIENT_TEMPLATE.FAT&amp;display_string=Audit&amp;VAR:KEY=TURKDOPIZG&amp;VAR:QUERY=RkZfUlRfU0ZfVE9UX0dST1NTKFFUUiwtMTgp&amp;WINDOW=FIRST_POPUP&amp;HEIGHT=450&amp;WIDTH=450&amp;START_MA","XIMIZED=FALSE&amp;VAR:CALENDAR=US&amp;VAR:SYMBOL=TLB&amp;VAR:INDEX=0"}</definedName>
    <definedName name="_815__FDSAUDITLINK__" hidden="1">{"fdsup://Directions/FactSet Auditing Viewer?action=AUDIT_VALUE&amp;DB=129&amp;ID1=03611510&amp;VALUEID=13040&amp;SDATE=200503&amp;PERIODTYPE=QTR_STD&amp;window=popup_no_bar&amp;width=385&amp;height=120&amp;START_MAXIMIZED=FALSE&amp;creator=factset&amp;display_string=Audit"}</definedName>
    <definedName name="_816__FDSAUDITLINK__" hidden="1">{"fdsup://directions/FAT Viewer?action=UPDATE&amp;creator=factset&amp;DYN_ARGS=TRUE&amp;DOC_NAME=FAT:FQL_AUDITING_CLIENT_TEMPLATE.FAT&amp;display_string=Audit&amp;VAR:KEY=NUJIDQTCDM&amp;VAR:QUERY=RkZfUlRfU0ZfVE9UX0dST1NTKFFUUiwtMTgp&amp;WINDOW=FIRST_POPUP&amp;HEIGHT=450&amp;WIDTH=450&amp;START_MA","XIMIZED=FALSE&amp;VAR:CALENDAR=US&amp;VAR:SYMBOL=AEO&amp;VAR:INDEX=0"}</definedName>
    <definedName name="_817__FDSAUDITLINK__" hidden="1">{"fdsup://directions/FAT Viewer?action=UPDATE&amp;creator=factset&amp;DYN_ARGS=TRUE&amp;DOC_NAME=FAT:FQL_AUDITING_CLIENT_TEMPLATE.FAT&amp;display_string=Audit&amp;VAR:KEY=HIHSXILWDI&amp;VAR:QUERY=RkZfUlRfU0ZfVE9UX0dST1NTKFFUUiwtMTkp&amp;WINDOW=FIRST_POPUP&amp;HEIGHT=450&amp;WIDTH=450&amp;START_MA","XIMIZED=FALSE&amp;VAR:CALENDAR=US&amp;VAR:SYMBOL=TLB&amp;VAR:INDEX=0"}</definedName>
    <definedName name="_818__FDSAUDITLINK__" hidden="1">{"fdsup://Directions/FactSet Auditing Viewer?action=AUDIT_VALUE&amp;DB=129&amp;ID1=03611510&amp;VALUEID=13040&amp;SDATE=200502&amp;PERIODTYPE=QTR_STD&amp;window=popup_no_bar&amp;width=385&amp;height=120&amp;START_MAXIMIZED=FALSE&amp;creator=factset&amp;display_string=Audit"}</definedName>
    <definedName name="_819__FDSAUDITLINK__" hidden="1">{"fdsup://directions/FAT Viewer?action=UPDATE&amp;creator=factset&amp;DYN_ARGS=TRUE&amp;DOC_NAME=FAT:FQL_AUDITING_CLIENT_TEMPLATE.FAT&amp;display_string=Audit&amp;VAR:KEY=BKDCTGPMZY&amp;VAR:QUERY=RkZfUlRfU0ZfVE9UX0dST1NTKFFUUiwtMTkp&amp;WINDOW=FIRST_POPUP&amp;HEIGHT=450&amp;WIDTH=450&amp;START_MA","XIMIZED=FALSE&amp;VAR:CALENDAR=US&amp;VAR:SYMBOL=AEO&amp;VAR:INDEX=0"}</definedName>
    <definedName name="_82__FDSAUDITLINK__" hidden="1">{"fdsup://Directions/FactSet Auditing Viewer?action=AUDIT_VALUE&amp;DB=129&amp;ID1=25667710&amp;VALUEID=01001&amp;SDATE=200903&amp;PERIODTYPE=QTR_STD&amp;window=popup_no_bar&amp;width=385&amp;height=120&amp;START_MAXIMIZED=FALSE&amp;creator=factset&amp;display_string=Audit"}</definedName>
    <definedName name="_820__FDSAUDITLINK__" hidden="1">{"fdsup://directions/FAT Viewer?action=UPDATE&amp;creator=factset&amp;DYN_ARGS=TRUE&amp;DOC_NAME=FAT:FQL_AUDITING_CLIENT_TEMPLATE.FAT&amp;display_string=Audit&amp;VAR:KEY=VABGPMHULC&amp;VAR:QUERY=RkZfUlRfU0ZfVE9UX0dST1NTKFFUUiwtMjAp&amp;WINDOW=FIRST_POPUP&amp;HEIGHT=450&amp;WIDTH=450&amp;START_MA","XIMIZED=FALSE&amp;VAR:CALENDAR=US&amp;VAR:SYMBOL=TLB&amp;VAR:INDEX=0"}</definedName>
    <definedName name="_821__FDSAUDITLINK__" hidden="1">{"fdsup://Directions/FactSet Auditing Viewer?action=AUDIT_VALUE&amp;DB=129&amp;ID1=03611510&amp;VALUEID=13040&amp;SDATE=200501&amp;PERIODTYPE=QTR_STD&amp;window=popup_no_bar&amp;width=385&amp;height=120&amp;START_MAXIMIZED=FALSE&amp;creator=factset&amp;display_string=Audit"}</definedName>
    <definedName name="_822__FDSAUDITLINK__" hidden="1">{"fdsup://directions/FAT Viewer?action=UPDATE&amp;creator=factset&amp;DYN_ARGS=TRUE&amp;DOC_NAME=FAT:FQL_AUDITING_CLIENT_TEMPLATE.FAT&amp;display_string=Audit&amp;VAR:KEY=VMROTQVYPS&amp;VAR:QUERY=RkZfUlRfU0ZfVE9UX0dST1NTKFFUUiwtMjAp&amp;WINDOW=FIRST_POPUP&amp;HEIGHT=450&amp;WIDTH=450&amp;START_MA","XIMIZED=FALSE&amp;VAR:CALENDAR=US&amp;VAR:SYMBOL=AEO&amp;VAR:INDEX=0"}</definedName>
    <definedName name="_823__FDSAUDITLINK__" hidden="1">{"fdsup://Directions/FactSet Auditing Viewer?action=AUDIT_VALUE&amp;DB=129&amp;ID1=16890510&amp;VALUEID=13040&amp;SDATE=200602&amp;PERIODTYPE=QTR_STD&amp;window=popup_no_bar&amp;width=385&amp;height=120&amp;START_MAXIMIZED=FALSE&amp;creator=factset&amp;display_string=Audit"}</definedName>
    <definedName name="_824__FDSAUDITLINK__" hidden="1">{"fdsup://Directions/FactSet Auditing Viewer?action=AUDIT_VALUE&amp;DB=129&amp;ID1=16890510&amp;VALUEID=13040&amp;SDATE=200601&amp;PERIODTYPE=QTR_STD&amp;window=popup_no_bar&amp;width=385&amp;height=120&amp;START_MAXIMIZED=FALSE&amp;creator=factset&amp;display_string=Audit"}</definedName>
    <definedName name="_825__FDSAUDITLINK__" hidden="1">{"fdsup://Directions/FactSet Auditing Viewer?action=AUDIT_VALUE&amp;DB=129&amp;ID1=16890510&amp;VALUEID=13040&amp;SDATE=200603&amp;PERIODTYPE=QTR_STD&amp;window=popup_no_bar&amp;width=385&amp;height=120&amp;START_MAXIMIZED=FALSE&amp;creator=factset&amp;display_string=Audit"}</definedName>
    <definedName name="_826__FDSAUDITLINK__" hidden="1">{"fdsup://Directions/FactSet Auditing Viewer?action=AUDIT_VALUE&amp;DB=129&amp;ID1=16890510&amp;VALUEID=13040&amp;SDATE=200702&amp;PERIODTYPE=QTR_STD&amp;window=popup_no_bar&amp;width=385&amp;height=120&amp;START_MAXIMIZED=FALSE&amp;creator=factset&amp;display_string=Audit"}</definedName>
    <definedName name="_827__FDSAUDITLINK__" hidden="1">{"fdsup://Directions/FactSet Auditing Viewer?action=AUDIT_VALUE&amp;DB=129&amp;ID1=16890510&amp;VALUEID=13040&amp;SDATE=200701&amp;PERIODTYPE=QTR_STD&amp;window=popup_no_bar&amp;width=385&amp;height=120&amp;START_MAXIMIZED=FALSE&amp;creator=factset&amp;display_string=Audit"}</definedName>
    <definedName name="_828__FDSAUDITLINK__" hidden="1">{"fdsup://Directions/FactSet Auditing Viewer?action=AUDIT_VALUE&amp;DB=129&amp;ID1=16890510&amp;VALUEID=13040&amp;SDATE=200703&amp;PERIODTYPE=QTR_STD&amp;window=popup_no_bar&amp;width=385&amp;height=120&amp;START_MAXIMIZED=FALSE&amp;creator=factset&amp;display_string=Audit"}</definedName>
    <definedName name="_829__FDSAUDITLINK__" hidden="1">{"fdsup://Directions/FactSet Auditing Viewer?action=AUDIT_VALUE&amp;DB=129&amp;ID1=16890510&amp;VALUEID=13040&amp;SDATE=200802&amp;PERIODTYPE=QTR_STD&amp;window=popup_no_bar&amp;width=385&amp;height=120&amp;START_MAXIMIZED=FALSE&amp;creator=factset&amp;display_string=Audit"}</definedName>
    <definedName name="_83__FDSAUDITLINK__" hidden="1">{"fdsup://Directions/FactSet Auditing Viewer?action=AUDIT_VALUE&amp;DB=129&amp;ID1=25667710&amp;VALUEID=01001&amp;SDATE=200902&amp;PERIODTYPE=QTR_STD&amp;window=popup_no_bar&amp;width=385&amp;height=120&amp;START_MAXIMIZED=FALSE&amp;creator=factset&amp;display_string=Audit"}</definedName>
    <definedName name="_830__FDSAUDITLINK__" hidden="1">{"fdsup://Directions/FactSet Auditing Viewer?action=AUDIT_VALUE&amp;DB=129&amp;ID1=16890510&amp;VALUEID=13040&amp;SDATE=200801&amp;PERIODTYPE=QTR_STD&amp;window=popup_no_bar&amp;width=385&amp;height=120&amp;START_MAXIMIZED=FALSE&amp;creator=factset&amp;display_string=Audit"}</definedName>
    <definedName name="_831__FDSAUDITLINK__" hidden="1">{"fdsup://Directions/FactSet Auditing Viewer?action=AUDIT_VALUE&amp;DB=129&amp;ID1=16890510&amp;VALUEID=13040&amp;SDATE=200803&amp;PERIODTYPE=QTR_STD&amp;window=popup_no_bar&amp;width=385&amp;height=120&amp;START_MAXIMIZED=FALSE&amp;creator=factset&amp;display_string=Audit"}</definedName>
    <definedName name="_832__FDSAUDITLINK__" hidden="1">{"fdsup://Directions/FactSet Auditing Viewer?action=AUDIT_VALUE&amp;DB=129&amp;ID1=16890510&amp;VALUEID=13040&amp;SDATE=200902&amp;PERIODTYPE=QTR_STD&amp;window=popup_no_bar&amp;width=385&amp;height=120&amp;START_MAXIMIZED=FALSE&amp;creator=factset&amp;display_string=Audit"}</definedName>
    <definedName name="_833__FDSAUDITLINK__" hidden="1">{"fdsup://Directions/FactSet Auditing Viewer?action=AUDIT_VALUE&amp;DB=129&amp;ID1=16890510&amp;VALUEID=13040&amp;SDATE=200903&amp;PERIODTYPE=QTR_STD&amp;window=popup_no_bar&amp;width=385&amp;height=120&amp;START_MAXIMIZED=FALSE&amp;creator=factset&amp;display_string=Audit"}</definedName>
    <definedName name="_834__FDSAUDITLINK__" hidden="1">{"fdsup://Directions/FactSet Auditing Viewer?action=AUDIT_VALUE&amp;DB=129&amp;ID1=16890510&amp;VALUEID=13040&amp;SDATE=201001&amp;PERIODTYPE=QTR_STD&amp;window=popup_no_bar&amp;width=385&amp;height=120&amp;START_MAXIMIZED=FALSE&amp;creator=factset&amp;display_string=Audit"}</definedName>
    <definedName name="_835__FDSAUDITLINK__" hidden="1">{"fdsup://Directions/FactSet Auditing Viewer?action=AUDIT_VALUE&amp;DB=129&amp;ID1=87416110&amp;VALUEID=01001&amp;SDATE=201001&amp;PERIODTYPE=QTR_STD&amp;window=popup_no_bar&amp;width=385&amp;height=120&amp;START_MAXIMIZED=FALSE&amp;creator=factset&amp;display_string=Audit"}</definedName>
    <definedName name="_836__FDSAUDITLINK__" hidden="1">{"fdsup://Directions/FactSet Auditing Viewer?action=AUDIT_VALUE&amp;DB=129&amp;ID1=46612H40&amp;VALUEID=01001&amp;SDATE=201001&amp;PERIODTYPE=QTR_STD&amp;window=popup_no_bar&amp;width=385&amp;height=120&amp;START_MAXIMIZED=FALSE&amp;creator=factset&amp;display_string=Audit"}</definedName>
    <definedName name="_837__FDSAUDITLINK__" hidden="1">{"fdsup://Directions/FactSet Auditing Viewer?action=AUDIT_VALUE&amp;DB=129&amp;ID1=03611510&amp;VALUEID=01001&amp;SDATE=201001&amp;PERIODTYPE=QTR_STD&amp;window=popup_no_bar&amp;width=385&amp;height=120&amp;START_MAXIMIZED=FALSE&amp;creator=factset&amp;display_string=Audit"}</definedName>
    <definedName name="_838__FDSAUDITLINK__" hidden="1">{"fdsup://Directions/FactSet Auditing Viewer?action=AUDIT_VALUE&amp;DB=129&amp;ID1=16890510&amp;VALUEID=01001&amp;SDATE=201001&amp;PERIODTYPE=QTR_STD&amp;window=popup_no_bar&amp;width=385&amp;height=120&amp;START_MAXIMIZED=FALSE&amp;creator=factset&amp;display_string=Audit"}</definedName>
    <definedName name="_839__FDSAUDITLINK__" hidden="1">{"fdsup://Directions/FactSet Auditing Viewer?action=AUDIT_VALUE&amp;DB=129&amp;ID1=91704710&amp;VALUEID=01001&amp;SDATE=201001&amp;PERIODTYPE=QTR_STD&amp;window=popup_no_bar&amp;width=385&amp;height=120&amp;START_MAXIMIZED=FALSE&amp;creator=factset&amp;display_string=Audit"}</definedName>
    <definedName name="_84__FDSAUDITLINK__" hidden="1">{"fdsup://Directions/FactSet Auditing Viewer?action=AUDIT_VALUE&amp;DB=129&amp;ID1=25667710&amp;VALUEID=01001&amp;SDATE=200901&amp;PERIODTYPE=QTR_STD&amp;window=popup_no_bar&amp;width=385&amp;height=120&amp;START_MAXIMIZED=FALSE&amp;creator=factset&amp;display_string=Audit"}</definedName>
    <definedName name="_840__FDSAUDITLINK__" hidden="1">{"fdsup://Directions/FactSet Auditing Viewer?action=AUDIT_VALUE&amp;DB=129&amp;ID1=02553E10&amp;VALUEID=01001&amp;SDATE=201001&amp;PERIODTYPE=QTR_STD&amp;window=popup_no_bar&amp;width=385&amp;height=120&amp;START_MAXIMIZED=FALSE&amp;creator=factset&amp;display_string=Audit"}</definedName>
    <definedName name="_841__FDSAUDITLINK__" hidden="1">{"fdsup://Directions/FactSet Auditing Viewer?action=AUDIT_VALUE&amp;DB=129&amp;ID1=00786510&amp;VALUEID=01001&amp;SDATE=201001&amp;PERIODTYPE=QTR_STD&amp;window=popup_no_bar&amp;width=385&amp;height=120&amp;START_MAXIMIZED=FALSE&amp;creator=factset&amp;display_string=Audit"}</definedName>
    <definedName name="_842__FDSAUDITLINK__" hidden="1">{"fdsup://Directions/FactSet Auditing Viewer?action=AUDIT_VALUE&amp;DB=129&amp;ID1=00289620&amp;VALUEID=01001&amp;SDATE=201001&amp;PERIODTYPE=QTR_STD&amp;window=popup_no_bar&amp;width=385&amp;height=120&amp;START_MAXIMIZED=FALSE&amp;creator=factset&amp;display_string=Audit"}</definedName>
    <definedName name="_843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844__FDSAUDITLINK__" hidden="1">{"fdsup://Directions/FactSet Auditing Viewer?action=AUDIT_VALUE&amp;DB=129&amp;ID1=36476010&amp;VALUEID=01001&amp;SDATE=201001&amp;PERIODTYPE=QTR_STD&amp;window=popup_no_bar&amp;width=385&amp;height=120&amp;START_MAXIMIZED=FALSE&amp;creator=factset&amp;display_string=Audit"}</definedName>
    <definedName name="_845__FDSAUDITLINK__" hidden="1">{"fdsup://Directions/FactSet Auditing Viewer?action=AUDIT_VALUE&amp;DB=129&amp;ID1=40377710&amp;VALUEID=01001&amp;SDATE=200601&amp;PERIODTYPE=QTR_STD&amp;window=popup_no_bar&amp;width=385&amp;height=120&amp;START_MAXIMIZED=FALSE&amp;creator=factset&amp;display_string=Audit"}</definedName>
    <definedName name="_846__FDSAUDITLINK__" hidden="1">{"fdsup://Directions/FactSet Auditing Viewer?action=AUDIT_VALUE&amp;DB=129&amp;ID1=40377710&amp;VALUEID=02101&amp;SDATE=200601&amp;PERIODTYPE=QTR_STD&amp;window=popup_no_bar&amp;width=385&amp;height=120&amp;START_MAXIMIZED=FALSE&amp;creator=factset&amp;display_string=Audit"}</definedName>
    <definedName name="_847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48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49__FDSAUDITLINK__" hidden="1">{"fdsup://Directions/FactSet Auditing Viewer?action=AUDIT_VALUE&amp;DB=129&amp;ID1=40377710&amp;VALUEID=01001&amp;SDATE=200602&amp;PERIODTYPE=QTR_STD&amp;window=popup_no_bar&amp;width=385&amp;height=120&amp;START_MAXIMIZED=FALSE&amp;creator=factset&amp;display_string=Audit"}</definedName>
    <definedName name="_85__FDSAUDITLINK__" hidden="1">{"fdsup://Directions/FactSet Auditing Viewer?action=AUDIT_VALUE&amp;DB=129&amp;ID1=25667710&amp;VALUEID=01001&amp;SDATE=200803&amp;PERIODTYPE=QTR_STD&amp;window=popup_no_bar&amp;width=385&amp;height=120&amp;START_MAXIMIZED=FALSE&amp;creator=factset&amp;display_string=Audit"}</definedName>
    <definedName name="_850__FDSAUDITLINK__" hidden="1">{"fdsup://Directions/FactSet Auditing Viewer?action=AUDIT_VALUE&amp;DB=129&amp;ID1=40377710&amp;VALUEID=02101&amp;SDATE=200602&amp;PERIODTYPE=QTR_STD&amp;window=popup_no_bar&amp;width=385&amp;height=120&amp;START_MAXIMIZED=FALSE&amp;creator=factset&amp;display_string=Audit"}</definedName>
    <definedName name="_85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52__FDSAUDITLINK__" hidden="1">{"fdsup://Directions/FactSet Auditing Viewer?action=AUDIT_VALUE&amp;DB=129&amp;ID1=40377710&amp;VALUEID=01001&amp;SDATE=200603&amp;PERIODTYPE=QTR_STD&amp;window=popup_no_bar&amp;width=385&amp;height=120&amp;START_MAXIMIZED=FALSE&amp;creator=factset&amp;display_string=Audit"}</definedName>
    <definedName name="_853__FDSAUDITLINK__" hidden="1">{"fdsup://Directions/FactSet Auditing Viewer?action=AUDIT_VALUE&amp;DB=129&amp;ID1=40377710&amp;VALUEID=02101&amp;SDATE=200603&amp;PERIODTYPE=QTR_STD&amp;window=popup_no_bar&amp;width=385&amp;height=120&amp;START_MAXIMIZED=FALSE&amp;creator=factset&amp;display_string=Audit"}</definedName>
    <definedName name="_854__FDSAUDITLINK__" hidden="1">{"fdsup://Directions/FactSet Auditing Viewer?action=AUDIT_VALUE&amp;DB=129&amp;ID1=40377710&amp;VALUEID=01001&amp;SDATE=200604&amp;PERIODTYPE=QTR_STD&amp;window=popup_no_bar&amp;width=385&amp;height=120&amp;START_MAXIMIZED=FALSE&amp;creator=factset&amp;display_string=Audit"}</definedName>
    <definedName name="_855__FDSAUDITLINK__" hidden="1">{"fdsup://Directions/FactSet Auditing Viewer?action=AUDIT_VALUE&amp;DB=129&amp;ID1=40377710&amp;VALUEID=01001&amp;SDATE=200701&amp;PERIODTYPE=QTR_STD&amp;window=popup_no_bar&amp;width=385&amp;height=120&amp;START_MAXIMIZED=FALSE&amp;creator=factset&amp;display_string=Audit"}</definedName>
    <definedName name="_856__FDSAUDITLINK__" hidden="1">{"fdsup://Directions/FactSet Auditing Viewer?action=AUDIT_VALUE&amp;DB=129&amp;ID1=40377710&amp;VALUEID=02101&amp;SDATE=200701&amp;PERIODTYPE=QTR_STD&amp;window=popup_no_bar&amp;width=385&amp;height=120&amp;START_MAXIMIZED=FALSE&amp;creator=factset&amp;display_string=Audit"}</definedName>
    <definedName name="_857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58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59__FDSAUDITLINK__" hidden="1">{"fdsup://Directions/FactSet Auditing Viewer?action=AUDIT_VALUE&amp;DB=129&amp;ID1=40377710&amp;VALUEID=01001&amp;SDATE=200702&amp;PERIODTYPE=QTR_STD&amp;window=popup_no_bar&amp;width=385&amp;height=120&amp;START_MAXIMIZED=FALSE&amp;creator=factset&amp;display_string=Audit"}</definedName>
    <definedName name="_86__FDSAUDITLINK__" hidden="1">{"fdsup://Directions/FactSet Auditing Viewer?action=AUDIT_VALUE&amp;DB=129&amp;ID1=25667710&amp;VALUEID=01001&amp;SDATE=200802&amp;PERIODTYPE=QTR_STD&amp;window=popup_no_bar&amp;width=385&amp;height=120&amp;START_MAXIMIZED=FALSE&amp;creator=factset&amp;display_string=Audit"}</definedName>
    <definedName name="_860__FDSAUDITLINK__" hidden="1">{"fdsup://Directions/FactSet Auditing Viewer?action=AUDIT_VALUE&amp;DB=129&amp;ID1=40377710&amp;VALUEID=02101&amp;SDATE=200702&amp;PERIODTYPE=QTR_STD&amp;window=popup_no_bar&amp;width=385&amp;height=120&amp;START_MAXIMIZED=FALSE&amp;creator=factset&amp;display_string=Audit"}</definedName>
    <definedName name="_861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62__FDSAUDITLINK__" hidden="1">{"fdsup://Directions/FactSet Auditing Viewer?action=AUDIT_VALUE&amp;DB=129&amp;ID1=40377710&amp;VALUEID=01001&amp;SDATE=200703&amp;PERIODTYPE=QTR_STD&amp;window=popup_no_bar&amp;width=385&amp;height=120&amp;START_MAXIMIZED=FALSE&amp;creator=factset&amp;display_string=Audit"}</definedName>
    <definedName name="_863__FDSAUDITLINK__" hidden="1">{"fdsup://Directions/FactSet Auditing Viewer?action=AUDIT_VALUE&amp;DB=129&amp;ID1=40377710&amp;VALUEID=02101&amp;SDATE=200703&amp;PERIODTYPE=QTR_STD&amp;window=popup_no_bar&amp;width=385&amp;height=120&amp;START_MAXIMIZED=FALSE&amp;creator=factset&amp;display_string=Audit"}</definedName>
    <definedName name="_864__FDSAUDITLINK__" hidden="1">{"fdsup://Directions/FactSet Auditing Viewer?action=AUDIT_VALUE&amp;DB=129&amp;ID1=40377710&amp;VALUEID=01001&amp;SDATE=200704&amp;PERIODTYPE=QTR_STD&amp;window=popup_no_bar&amp;width=385&amp;height=120&amp;START_MAXIMIZED=FALSE&amp;creator=factset&amp;display_string=Audit"}</definedName>
    <definedName name="_865__FDSAUDITLINK__" hidden="1">{"fdsup://Directions/FactSet Auditing Viewer?action=AUDIT_VALUE&amp;DB=129&amp;ID1=40377710&amp;VALUEID=01001&amp;SDATE=200801&amp;PERIODTYPE=QTR_STD&amp;window=popup_no_bar&amp;width=385&amp;height=120&amp;START_MAXIMIZED=FALSE&amp;creator=factset&amp;display_string=Audit"}</definedName>
    <definedName name="_866__FDSAUDITLINK__" hidden="1">{"fdsup://Directions/FactSet Auditing Viewer?action=AUDIT_VALUE&amp;DB=129&amp;ID1=40377710&amp;VALUEID=02101&amp;SDATE=200801&amp;PERIODTYPE=QTR_STD&amp;window=popup_no_bar&amp;width=385&amp;height=120&amp;START_MAXIMIZED=FALSE&amp;creator=factset&amp;display_string=Audit"}</definedName>
    <definedName name="_867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68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69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7__FDSAUDITLINK__" hidden="1">{"fdsup://Directions/FactSet Auditing Viewer?action=AUDIT_VALUE&amp;DB=129&amp;ID1=25667710&amp;VALUEID=01001&amp;SDATE=200801&amp;PERIODTYPE=QTR_STD&amp;window=popup_no_bar&amp;width=385&amp;height=120&amp;START_MAXIMIZED=FALSE&amp;creator=factset&amp;display_string=Audit"}</definedName>
    <definedName name="_870__FDSAUDITLINK__" hidden="1">{"fdsup://Directions/FactSet Auditing Viewer?action=AUDIT_VALUE&amp;DB=129&amp;ID1=40377710&amp;VALUEID=01001&amp;SDATE=200802&amp;PERIODTYPE=QTR_STD&amp;window=popup_no_bar&amp;width=385&amp;height=120&amp;START_MAXIMIZED=FALSE&amp;creator=factset&amp;display_string=Audit"}</definedName>
    <definedName name="_871__FDSAUDITLINK__" hidden="1">{"fdsup://Directions/FactSet Auditing Viewer?action=AUDIT_VALUE&amp;DB=129&amp;ID1=40377710&amp;VALUEID=02101&amp;SDATE=200802&amp;PERIODTYPE=QTR_STD&amp;window=popup_no_bar&amp;width=385&amp;height=120&amp;START_MAXIMIZED=FALSE&amp;creator=factset&amp;display_string=Audit"}</definedName>
    <definedName name="_872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73__FDSAUDITLINK__" hidden="1">{"fdsup://Directions/FactSet Auditing Viewer?action=AUDIT_VALUE&amp;DB=129&amp;ID1=40377710&amp;VALUEID=01001&amp;SDATE=200803&amp;PERIODTYPE=QTR_STD&amp;window=popup_no_bar&amp;width=385&amp;height=120&amp;START_MAXIMIZED=FALSE&amp;creator=factset&amp;display_string=Audit"}</definedName>
    <definedName name="_874__FDSAUDITLINK__" hidden="1">{"fdsup://Directions/FactSet Auditing Viewer?action=AUDIT_VALUE&amp;DB=129&amp;ID1=40377710&amp;VALUEID=02101&amp;SDATE=200803&amp;PERIODTYPE=QTR_STD&amp;window=popup_no_bar&amp;width=385&amp;height=120&amp;START_MAXIMIZED=FALSE&amp;creator=factset&amp;display_string=Audit"}</definedName>
    <definedName name="_875__FDSAUDITLINK__" hidden="1">{"fdsup://Directions/FactSet Auditing Viewer?action=AUDIT_VALUE&amp;DB=129&amp;ID1=40377710&amp;VALUEID=01001&amp;SDATE=200804&amp;PERIODTYPE=QTR_STD&amp;window=popup_no_bar&amp;width=385&amp;height=120&amp;START_MAXIMIZED=FALSE&amp;creator=factset&amp;display_string=Audit"}</definedName>
    <definedName name="_876__FDSAUDITLINK__" hidden="1">{"fdsup://Directions/FactSet Auditing Viewer?action=AUDIT_VALUE&amp;DB=129&amp;ID1=40377710&amp;VALUEID=01001&amp;SDATE=200901&amp;PERIODTYPE=QTR_STD&amp;window=popup_no_bar&amp;width=385&amp;height=120&amp;START_MAXIMIZED=FALSE&amp;creator=factset&amp;display_string=Audit"}</definedName>
    <definedName name="_877__FDSAUDITLINK__" hidden="1">{"fdsup://Directions/FactSet Auditing Viewer?action=AUDIT_VALUE&amp;DB=129&amp;ID1=40377710&amp;VALUEID=02101&amp;SDATE=200901&amp;PERIODTYPE=QTR_STD&amp;window=popup_no_bar&amp;width=385&amp;height=120&amp;START_MAXIMIZED=FALSE&amp;creator=factset&amp;display_string=Audit"}</definedName>
    <definedName name="_878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879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88__FDSAUDITLINK__" hidden="1">{"fdsup://Directions/FactSet Auditing Viewer?action=AUDIT_VALUE&amp;DB=129&amp;ID1=25667710&amp;VALUEID=01001&amp;SDATE=200701&amp;PERIODTYPE=QTR_STD&amp;window=popup_no_bar&amp;width=385&amp;height=120&amp;START_MAXIMIZED=FALSE&amp;creator=factset&amp;display_string=Audit"}</definedName>
    <definedName name="_880__FDSAUDITLINK__" hidden="1">{"fdsup://Directions/FactSet Auditing Viewer?action=AUDIT_VALUE&amp;DB=129&amp;ID1=40377710&amp;VALUEID=01001&amp;SDATE=200902&amp;PERIODTYPE=QTR_STD&amp;window=popup_no_bar&amp;width=385&amp;height=120&amp;START_MAXIMIZED=FALSE&amp;creator=factset&amp;display_string=Audit"}</definedName>
    <definedName name="_881__FDSAUDITLINK__" hidden="1">{"fdsup://Directions/FactSet Auditing Viewer?action=AUDIT_VALUE&amp;DB=129&amp;ID1=40377710&amp;VALUEID=02101&amp;SDATE=200902&amp;PERIODTYPE=QTR_STD&amp;window=popup_no_bar&amp;width=385&amp;height=120&amp;START_MAXIMIZED=FALSE&amp;creator=factset&amp;display_string=Audit"}</definedName>
    <definedName name="_882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883__FDSAUDITLINK__" hidden="1">{"fdsup://Directions/FactSet Auditing Viewer?action=AUDIT_VALUE&amp;DB=129&amp;ID1=40377710&amp;VALUEID=01001&amp;SDATE=200903&amp;PERIODTYPE=QTR_STD&amp;window=popup_no_bar&amp;width=385&amp;height=120&amp;START_MAXIMIZED=FALSE&amp;creator=factset&amp;display_string=Audit"}</definedName>
    <definedName name="_884__FDSAUDITLINK__" hidden="1">{"fdsup://Directions/FactSet Auditing Viewer?action=AUDIT_VALUE&amp;DB=129&amp;ID1=40377710&amp;VALUEID=02101&amp;SDATE=200903&amp;PERIODTYPE=QTR_STD&amp;window=popup_no_bar&amp;width=385&amp;height=120&amp;START_MAXIMIZED=FALSE&amp;creator=factset&amp;display_string=Audit"}</definedName>
    <definedName name="_885__FDSAUDITLINK__" hidden="1">{"fdsup://Directions/FactSet Auditing Viewer?action=AUDIT_VALUE&amp;DB=129&amp;ID1=40377710&amp;VALUEID=01001&amp;SDATE=200904&amp;PERIODTYPE=QTR_STD&amp;window=popup_no_bar&amp;width=385&amp;height=120&amp;START_MAXIMIZED=FALSE&amp;creator=factset&amp;display_string=Audit"}</definedName>
    <definedName name="_886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887__FDSAUDITLINK__" hidden="1">{"fdsup://Directions/FactSet Auditing Viewer?action=AUDIT_VALUE&amp;DB=129&amp;ID1=40377710&amp;VALUEID=01001&amp;SDATE=201001&amp;PERIODTYPE=QTR_STD&amp;window=popup_no_bar&amp;width=385&amp;height=120&amp;START_MAXIMIZED=FALSE&amp;creator=factset&amp;display_string=Audit"}</definedName>
    <definedName name="_888__FDSAUDITLINK__" hidden="1">{"fdsup://Directions/FactSet Auditing Viewer?action=AUDIT_VALUE&amp;DB=129&amp;ID1=40377710&amp;VALUEID=02101&amp;SDATE=201001&amp;PERIODTYPE=QTR_STD&amp;window=popup_no_bar&amp;width=385&amp;height=120&amp;START_MAXIMIZED=FALSE&amp;creator=factset&amp;display_string=Audit"}</definedName>
    <definedName name="_889__FDSAUDITLINK__" hidden="1">{"fdsup://Directions/FactSet Auditing Viewer?action=AUDIT_VALUE&amp;DB=129&amp;ID1=40377710&amp;VALUEID=13040&amp;SDATE=200601&amp;PERIODTYPE=QTR_STD&amp;window=popup_no_bar&amp;width=385&amp;height=120&amp;START_MAXIMIZED=FALSE&amp;creator=factset&amp;display_string=Audit"}</definedName>
    <definedName name="_89__FDSAUDITLINK__" hidden="1">{"fdsup://Directions/FactSet Auditing Viewer?action=AUDIT_VALUE&amp;DB=129&amp;ID1=25667710&amp;VALUEID=01001&amp;SDATE=200603&amp;PERIODTYPE=QTR_STD&amp;window=popup_no_bar&amp;width=385&amp;height=120&amp;START_MAXIMIZED=FALSE&amp;creator=factset&amp;display_string=Audit"}</definedName>
    <definedName name="_890__FDSAUDITLINK__" hidden="1">{"fdsup://Directions/FactSet Auditing Viewer?action=AUDIT_VALUE&amp;DB=129&amp;ID1=40377710&amp;VALUEID=13040&amp;SDATE=200602&amp;PERIODTYPE=QTR_STD&amp;window=popup_no_bar&amp;width=385&amp;height=120&amp;START_MAXIMIZED=FALSE&amp;creator=factset&amp;display_string=Audit"}</definedName>
    <definedName name="_891__FDSAUDITLINK__" hidden="1">{"fdsup://Directions/FactSet Auditing Viewer?action=AUDIT_VALUE&amp;DB=129&amp;ID1=40377710&amp;VALUEID=13040&amp;SDATE=200603&amp;PERIODTYPE=QTR_STD&amp;window=popup_no_bar&amp;width=385&amp;height=120&amp;START_MAXIMIZED=FALSE&amp;creator=factset&amp;display_string=Audit"}</definedName>
    <definedName name="_892__FDSAUDITLINK__" hidden="1">{"fdsup://Directions/FactSet Auditing Viewer?action=AUDIT_VALUE&amp;DB=129&amp;ID1=40377710&amp;VALUEID=13040&amp;SDATE=200701&amp;PERIODTYPE=QTR_STD&amp;window=popup_no_bar&amp;width=385&amp;height=120&amp;START_MAXIMIZED=FALSE&amp;creator=factset&amp;display_string=Audit"}</definedName>
    <definedName name="_893__FDSAUDITLINK__" hidden="1">{"fdsup://Directions/FactSet Auditing Viewer?action=AUDIT_VALUE&amp;DB=129&amp;ID1=40377710&amp;VALUEID=13040&amp;SDATE=200702&amp;PERIODTYPE=QTR_STD&amp;window=popup_no_bar&amp;width=385&amp;height=120&amp;START_MAXIMIZED=FALSE&amp;creator=factset&amp;display_string=Audit"}</definedName>
    <definedName name="_894__FDSAUDITLINK__" hidden="1">{"fdsup://Directions/FactSet Auditing Viewer?action=AUDIT_VALUE&amp;DB=129&amp;ID1=40377710&amp;VALUEID=13040&amp;SDATE=200703&amp;PERIODTYPE=QTR_STD&amp;window=popup_no_bar&amp;width=385&amp;height=120&amp;START_MAXIMIZED=FALSE&amp;creator=factset&amp;display_string=Audit"}</definedName>
    <definedName name="_895__FDSAUDITLINK__" hidden="1">{"fdsup://Directions/FactSet Auditing Viewer?action=AUDIT_VALUE&amp;DB=129&amp;ID1=40377710&amp;VALUEID=13040&amp;SDATE=200704&amp;PERIODTYPE=QTR_STD&amp;window=popup_no_bar&amp;width=385&amp;height=120&amp;START_MAXIMIZED=FALSE&amp;creator=factset&amp;display_string=Audit"}</definedName>
    <definedName name="_896__FDSAUDITLINK__" hidden="1">{"fdsup://Directions/FactSet Auditing Viewer?action=AUDIT_VALUE&amp;DB=129&amp;ID1=40377710&amp;VALUEID=13040&amp;SDATE=200801&amp;PERIODTYPE=QTR_STD&amp;window=popup_no_bar&amp;width=385&amp;height=120&amp;START_MAXIMIZED=FALSE&amp;creator=factset&amp;display_string=Audit"}</definedName>
    <definedName name="_897__FDSAUDITLINK__" hidden="1">{"fdsup://Directions/FactSet Auditing Viewer?action=AUDIT_VALUE&amp;DB=129&amp;ID1=40377710&amp;VALUEID=13040&amp;SDATE=200802&amp;PERIODTYPE=QTR_STD&amp;window=popup_no_bar&amp;width=385&amp;height=120&amp;START_MAXIMIZED=FALSE&amp;creator=factset&amp;display_string=Audit"}</definedName>
    <definedName name="_898__FDSAUDITLINK__" hidden="1">{"fdsup://Directions/FactSet Auditing Viewer?action=AUDIT_VALUE&amp;DB=129&amp;ID1=40377710&amp;VALUEID=13040&amp;SDATE=200803&amp;PERIODTYPE=QTR_STD&amp;window=popup_no_bar&amp;width=385&amp;height=120&amp;START_MAXIMIZED=FALSE&amp;creator=factset&amp;display_string=Audit"}</definedName>
    <definedName name="_899__FDSAUDITLINK__" hidden="1">{"fdsup://Directions/FactSet Auditing Viewer?action=AUDIT_VALUE&amp;DB=129&amp;ID1=40377710&amp;VALUEID=13040&amp;SDATE=200901&amp;PERIODTYPE=QTR_STD&amp;window=popup_no_bar&amp;width=385&amp;height=120&amp;START_MAXIMIZED=FALSE&amp;creator=factset&amp;display_string=Audit"}</definedName>
    <definedName name="_9__123Graph_Dｸﾞﾗﾌ_1" hidden="1">[2]ｾｸﾞﾒﾝﾄ!$E$167:$I$167</definedName>
    <definedName name="_9__FDSAUDITLINK__" hidden="1">{"fdsup://Directions/FactSet Auditing Viewer?action=AUDIT_VALUE&amp;DB=129&amp;ID1=55616P10&amp;VALUEID=02001&amp;SDATE=201102&amp;PERIODTYPE=QTR_STD&amp;SCFT=3&amp;window=popup_no_bar&amp;width=385&amp;height=120&amp;START_MAXIMIZED=FALSE&amp;creator=factset&amp;display_string=Audit"}</definedName>
    <definedName name="_90__FDSAUDITLINK__" hidden="1">{"fdsup://Directions/FactSet Auditing Viewer?action=AUDIT_VALUE&amp;DB=129&amp;ID1=25667710&amp;VALUEID=01001&amp;SDATE=200602&amp;PERIODTYPE=QTR_STD&amp;window=popup_no_bar&amp;width=385&amp;height=120&amp;START_MAXIMIZED=FALSE&amp;creator=factset&amp;display_string=Audit"}</definedName>
    <definedName name="_900__FDSAUDITLINK__" hidden="1">{"fdsup://Directions/FactSet Auditing Viewer?action=AUDIT_VALUE&amp;DB=129&amp;ID1=40377710&amp;VALUEID=13040&amp;SDATE=200902&amp;PERIODTYPE=QTR_STD&amp;window=popup_no_bar&amp;width=385&amp;height=120&amp;START_MAXIMIZED=FALSE&amp;creator=factset&amp;display_string=Audit"}</definedName>
    <definedName name="_901__FDSAUDITLINK__" hidden="1">{"fdsup://Directions/FactSet Auditing Viewer?action=AUDIT_VALUE&amp;DB=129&amp;ID1=40377710&amp;VALUEID=13040&amp;SDATE=200903&amp;PERIODTYPE=QTR_STD&amp;window=popup_no_bar&amp;width=385&amp;height=120&amp;START_MAXIMIZED=FALSE&amp;creator=factset&amp;display_string=Audit"}</definedName>
    <definedName name="_902__FDSAUDITLINK__" hidden="1">{"fdsup://Directions/FactSet Auditing Viewer?action=AUDIT_VALUE&amp;DB=129&amp;ID1=40377710&amp;VALUEID=13040&amp;SDATE=201001&amp;PERIODTYPE=QTR_STD&amp;window=popup_no_bar&amp;width=385&amp;height=120&amp;START_MAXIMIZED=FALSE&amp;creator=factset&amp;display_string=Audit"}</definedName>
    <definedName name="_903__FDSAUDITLINK__" hidden="1">{"fdsup://directions/FAT Viewer?action=UPDATE&amp;creator=factset&amp;DYN_ARGS=TRUE&amp;DOC_NAME=FAT:FQL_AUDITING_CLIENT_TEMPLATE.FAT&amp;display_string=Audit&amp;VAR:KEY=TIVULSDMDS&amp;VAR:QUERY=RkZfUlRfU0ZfVE9UX0dST1NTKFFUUiwtNDQp&amp;WINDOW=FIRST_POPUP&amp;HEIGHT=450&amp;WIDTH=450&amp;START_MA","XIMIZED=FALSE&amp;VAR:CALENDAR=US&amp;VAR:SYMBOL=GYMB&amp;VAR:INDEX=0"}</definedName>
    <definedName name="_904__FDSAUDITLINK__" hidden="1">{"fdsup://directions/FAT Viewer?action=UPDATE&amp;creator=factset&amp;DYN_ARGS=TRUE&amp;DOC_NAME=FAT:FQL_AUDITING_CLIENT_TEMPLATE.FAT&amp;display_string=Audit&amp;VAR:KEY=LGPIREFUFO&amp;VAR:QUERY=RkZfUlRfU0ZfVE9UX0dST1NTKFFUUiwtNDMp&amp;WINDOW=FIRST_POPUP&amp;HEIGHT=450&amp;WIDTH=450&amp;START_MA","XIMIZED=FALSE&amp;VAR:CALENDAR=US&amp;VAR:SYMBOL=GYMB&amp;VAR:INDEX=0"}</definedName>
    <definedName name="_905__FDSAUDITLINK__" hidden="1">{"fdsup://directions/FAT Viewer?action=UPDATE&amp;creator=factset&amp;DYN_ARGS=TRUE&amp;DOC_NAME=FAT:FQL_AUDITING_CLIENT_TEMPLATE.FAT&amp;display_string=Audit&amp;VAR:KEY=JYTABURKFY&amp;VAR:QUERY=RkZfUlRfU0ZfVE9UX0dST1NTKFFUUiwtNDIp&amp;WINDOW=FIRST_POPUP&amp;HEIGHT=450&amp;WIDTH=450&amp;START_MA","XIMIZED=FALSE&amp;VAR:CALENDAR=US&amp;VAR:SYMBOL=GYMB&amp;VAR:INDEX=0"}</definedName>
    <definedName name="_906__FDSAUDITLINK__" hidden="1">{"fdsup://directions/FAT Viewer?action=UPDATE&amp;creator=factset&amp;DYN_ARGS=TRUE&amp;DOC_NAME=FAT:FQL_AUDITING_CLIENT_TEMPLATE.FAT&amp;display_string=Audit&amp;VAR:KEY=NQZSJEVCTC&amp;VAR:QUERY=RkZfUlRfU0ZfVE9UX0dST1NTKFFUUiwtNDEp&amp;WINDOW=FIRST_POPUP&amp;HEIGHT=450&amp;WIDTH=450&amp;START_MA","XIMIZED=FALSE&amp;VAR:CALENDAR=US&amp;VAR:SYMBOL=GYMB&amp;VAR:INDEX=0"}</definedName>
    <definedName name="_907__FDSAUDITLINK__" hidden="1">{"fdsup://directions/FAT Viewer?action=UPDATE&amp;creator=factset&amp;DYN_ARGS=TRUE&amp;DOC_NAME=FAT:FQL_AUDITING_CLIENT_TEMPLATE.FAT&amp;display_string=Audit&amp;VAR:KEY=VAXEBONQHK&amp;VAR:QUERY=RkZfUlRfU0ZfVE9UX0dST1NTKFFUUiwtNDAp&amp;WINDOW=FIRST_POPUP&amp;HEIGHT=450&amp;WIDTH=450&amp;START_MA","XIMIZED=FALSE&amp;VAR:CALENDAR=US&amp;VAR:SYMBOL=GYMB&amp;VAR:INDEX=0"}</definedName>
    <definedName name="_908__FDSAUDITLINK__" hidden="1">{"fdsup://directions/FAT Viewer?action=UPDATE&amp;creator=factset&amp;DYN_ARGS=TRUE&amp;DOC_NAME=FAT:FQL_AUDITING_CLIENT_TEMPLATE.FAT&amp;display_string=Audit&amp;VAR:KEY=PIHQPQTEFG&amp;VAR:QUERY=RkZfUlRfU0ZfVE9UX0dST1NTKFFUUiwtMzkp&amp;WINDOW=FIRST_POPUP&amp;HEIGHT=450&amp;WIDTH=450&amp;START_MA","XIMIZED=FALSE&amp;VAR:CALENDAR=US&amp;VAR:SYMBOL=GYMB&amp;VAR:INDEX=0"}</definedName>
    <definedName name="_909__FDSAUDITLINK__" hidden="1">{"fdsup://directions/FAT Viewer?action=UPDATE&amp;creator=factset&amp;DYN_ARGS=TRUE&amp;DOC_NAME=FAT:FQL_AUDITING_CLIENT_TEMPLATE.FAT&amp;display_string=Audit&amp;VAR:KEY=PWPALKRENU&amp;VAR:QUERY=RkZfUlRfU0ZfVE9UX0dST1NTKFFUUiwtMzgp&amp;WINDOW=FIRST_POPUP&amp;HEIGHT=450&amp;WIDTH=450&amp;START_MA","XIMIZED=FALSE&amp;VAR:CALENDAR=US&amp;VAR:SYMBOL=GYMB&amp;VAR:INDEX=0"}</definedName>
    <definedName name="_91__FDSAUDITLINK__" hidden="1">{"fdsup://Directions/FactSet Auditing Viewer?action=AUDIT_VALUE&amp;DB=129&amp;ID1=25667710&amp;VALUEID=01001&amp;SDATE=200601&amp;PERIODTYPE=QTR_STD&amp;window=popup_no_bar&amp;width=385&amp;height=120&amp;START_MAXIMIZED=FALSE&amp;creator=factset&amp;display_string=Audit"}</definedName>
    <definedName name="_910__FDSAUDITLINK__" hidden="1">{"fdsup://directions/FAT Viewer?action=UPDATE&amp;creator=factset&amp;DYN_ARGS=TRUE&amp;DOC_NAME=FAT:FQL_AUDITING_CLIENT_TEMPLATE.FAT&amp;display_string=Audit&amp;VAR:KEY=FKZQDQZSLI&amp;VAR:QUERY=RkZfUlRfU0ZfVE9UX0dST1NTKFFUUiwtMzcp&amp;WINDOW=FIRST_POPUP&amp;HEIGHT=450&amp;WIDTH=450&amp;START_MA","XIMIZED=FALSE&amp;VAR:CALENDAR=US&amp;VAR:SYMBOL=GYMB&amp;VAR:INDEX=0"}</definedName>
    <definedName name="_911__FDSAUDITLINK__" hidden="1">{"fdsup://directions/FAT Viewer?action=UPDATE&amp;creator=factset&amp;DYN_ARGS=TRUE&amp;DOC_NAME=FAT:FQL_AUDITING_CLIENT_TEMPLATE.FAT&amp;display_string=Audit&amp;VAR:KEY=HQVKRWHAXM&amp;VAR:QUERY=RkZfUlRfU0ZfVE9UX0dST1NTKFFUUiwtMzYp&amp;WINDOW=FIRST_POPUP&amp;HEIGHT=450&amp;WIDTH=450&amp;START_MA","XIMIZED=FALSE&amp;VAR:CALENDAR=US&amp;VAR:SYMBOL=GYMB&amp;VAR:INDEX=0"}</definedName>
    <definedName name="_912__FDSAUDITLINK__" hidden="1">{"fdsup://directions/FAT Viewer?action=UPDATE&amp;creator=factset&amp;DYN_ARGS=TRUE&amp;DOC_NAME=FAT:FQL_AUDITING_CLIENT_TEMPLATE.FAT&amp;display_string=Audit&amp;VAR:KEY=FKDCROBATC&amp;VAR:QUERY=RkZfUlRfU0ZfVE9UX0dST1NTKFFUUiwtMzUp&amp;WINDOW=FIRST_POPUP&amp;HEIGHT=450&amp;WIDTH=450&amp;START_MA","XIMIZED=FALSE&amp;VAR:CALENDAR=US&amp;VAR:SYMBOL=GYMB&amp;VAR:INDEX=0"}</definedName>
    <definedName name="_913__FDSAUDITLINK__" hidden="1">{"fdsup://directions/FAT Viewer?action=UPDATE&amp;creator=factset&amp;DYN_ARGS=TRUE&amp;DOC_NAME=FAT:FQL_AUDITING_CLIENT_TEMPLATE.FAT&amp;display_string=Audit&amp;VAR:KEY=RGXKJGXSRY&amp;VAR:QUERY=RkZfUlRfU0ZfVE9UX0dST1NTKFFUUiwtMzQp&amp;WINDOW=FIRST_POPUP&amp;HEIGHT=450&amp;WIDTH=450&amp;START_MA","XIMIZED=FALSE&amp;VAR:CALENDAR=US&amp;VAR:SYMBOL=GYMB&amp;VAR:INDEX=0"}</definedName>
    <definedName name="_914__FDSAUDITLINK__" hidden="1">{"fdsup://directions/FAT Viewer?action=UPDATE&amp;creator=factset&amp;DYN_ARGS=TRUE&amp;DOC_NAME=FAT:FQL_AUDITING_CLIENT_TEMPLATE.FAT&amp;display_string=Audit&amp;VAR:KEY=NEDCPADABM&amp;VAR:QUERY=RkZfUlRfU0ZfVE9UX0dST1NTKFFUUiwtMzMp&amp;WINDOW=FIRST_POPUP&amp;HEIGHT=450&amp;WIDTH=450&amp;START_MA","XIMIZED=FALSE&amp;VAR:CALENDAR=US&amp;VAR:SYMBOL=GYMB&amp;VAR:INDEX=0"}</definedName>
    <definedName name="_915__FDSAUDITLINK__" hidden="1">{"fdsup://directions/FAT Viewer?action=UPDATE&amp;creator=factset&amp;DYN_ARGS=TRUE&amp;DOC_NAME=FAT:FQL_AUDITING_CLIENT_TEMPLATE.FAT&amp;display_string=Audit&amp;VAR:KEY=LSHCBIVWFW&amp;VAR:QUERY=RkZfUlRfU0ZfVE9UX0dST1NTKFFUUiwtMzIp&amp;WINDOW=FIRST_POPUP&amp;HEIGHT=450&amp;WIDTH=450&amp;START_MA","XIMIZED=FALSE&amp;VAR:CALENDAR=US&amp;VAR:SYMBOL=GYMB&amp;VAR:INDEX=0"}</definedName>
    <definedName name="_916__FDSAUDITLINK__" hidden="1">{"fdsup://directions/FAT Viewer?action=UPDATE&amp;creator=factset&amp;DYN_ARGS=TRUE&amp;DOC_NAME=FAT:FQL_AUDITING_CLIENT_TEMPLATE.FAT&amp;display_string=Audit&amp;VAR:KEY=RIBYZAVYBO&amp;VAR:QUERY=RkZfUlRfU0ZfVE9UX0dST1NTKFFUUiwtMzEp&amp;WINDOW=FIRST_POPUP&amp;HEIGHT=450&amp;WIDTH=450&amp;START_MA","XIMIZED=FALSE&amp;VAR:CALENDAR=US&amp;VAR:SYMBOL=GYMB&amp;VAR:INDEX=0"}</definedName>
    <definedName name="_917__FDSAUDITLINK__" hidden="1">{"fdsup://directions/FAT Viewer?action=UPDATE&amp;creator=factset&amp;DYN_ARGS=TRUE&amp;DOC_NAME=FAT:FQL_AUDITING_CLIENT_TEMPLATE.FAT&amp;display_string=Audit&amp;VAR:KEY=DKPUNITODE&amp;VAR:QUERY=RkZfUlRfU0ZfVE9UX0dST1NTKFFUUiwtMzAp&amp;WINDOW=FIRST_POPUP&amp;HEIGHT=450&amp;WIDTH=450&amp;START_MA","XIMIZED=FALSE&amp;VAR:CALENDAR=US&amp;VAR:SYMBOL=GYMB&amp;VAR:INDEX=0"}</definedName>
    <definedName name="_918__FDSAUDITLINK__" hidden="1">{"fdsup://directions/FAT Viewer?action=UPDATE&amp;creator=factset&amp;DYN_ARGS=TRUE&amp;DOC_NAME=FAT:FQL_AUDITING_CLIENT_TEMPLATE.FAT&amp;display_string=Audit&amp;VAR:KEY=DCZMDKFYDS&amp;VAR:QUERY=RkZfUlRfU0ZfVE9UX0dST1NTKFFUUiwtMjkp&amp;WINDOW=FIRST_POPUP&amp;HEIGHT=450&amp;WIDTH=450&amp;START_MA","XIMIZED=FALSE&amp;VAR:CALENDAR=US&amp;VAR:SYMBOL=GYMB&amp;VAR:INDEX=0"}</definedName>
    <definedName name="_919__FDSAUDITLINK__" hidden="1">{"fdsup://directions/FAT Viewer?action=UPDATE&amp;creator=factset&amp;DYN_ARGS=TRUE&amp;DOC_NAME=FAT:FQL_AUDITING_CLIENT_TEMPLATE.FAT&amp;display_string=Audit&amp;VAR:KEY=REBEDKBEJS&amp;VAR:QUERY=RkZfUlRfU0ZfVE9UX0dST1NTKFFUUiwtMjgp&amp;WINDOW=FIRST_POPUP&amp;HEIGHT=450&amp;WIDTH=450&amp;START_MA","XIMIZED=FALSE&amp;VAR:CALENDAR=US&amp;VAR:SYMBOL=GYMB&amp;VAR:INDEX=0"}</definedName>
    <definedName name="_92__FDSAUDITLINK__" hidden="1">{"fdsup://Directions/FactSet Auditing Viewer?action=AUDIT_VALUE&amp;DB=129&amp;ID1=07589610&amp;VALUEID=01001&amp;SDATE=200903&amp;PERIODTYPE=QTR_STD&amp;window=popup_no_bar&amp;width=385&amp;height=120&amp;START_MAXIMIZED=FALSE&amp;creator=factset&amp;display_string=Audit"}</definedName>
    <definedName name="_920__FDSAUDITLINK__" hidden="1">{"fdsup://directions/FAT Viewer?action=UPDATE&amp;creator=factset&amp;DYN_ARGS=TRUE&amp;DOC_NAME=FAT:FQL_AUDITING_CLIENT_TEMPLATE.FAT&amp;display_string=Audit&amp;VAR:KEY=LOPKLIVKBE&amp;VAR:QUERY=RkZfUlRfU0ZfVE9UX0dST1NTKFFUUiwtMjcp&amp;WINDOW=FIRST_POPUP&amp;HEIGHT=450&amp;WIDTH=450&amp;START_MA","XIMIZED=FALSE&amp;VAR:CALENDAR=US&amp;VAR:SYMBOL=GYMB&amp;VAR:INDEX=0"}</definedName>
    <definedName name="_921__FDSAUDITLINK__" hidden="1">{"fdsup://directions/FAT Viewer?action=UPDATE&amp;creator=factset&amp;DYN_ARGS=TRUE&amp;DOC_NAME=FAT:FQL_AUDITING_CLIENT_TEMPLATE.FAT&amp;display_string=Audit&amp;VAR:KEY=HWTMTYBQHY&amp;VAR:QUERY=RkZfUlRfU0ZfVE9UX0dST1NTKFFUUiwtMjYp&amp;WINDOW=FIRST_POPUP&amp;HEIGHT=450&amp;WIDTH=450&amp;START_MA","XIMIZED=FALSE&amp;VAR:CALENDAR=US&amp;VAR:SYMBOL=GYMB&amp;VAR:INDEX=0"}</definedName>
    <definedName name="_922__FDSAUDITLINK__" hidden="1">{"fdsup://directions/FAT Viewer?action=UPDATE&amp;creator=factset&amp;DYN_ARGS=TRUE&amp;DOC_NAME=FAT:FQL_AUDITING_CLIENT_TEMPLATE.FAT&amp;display_string=Audit&amp;VAR:KEY=PUPOZEVABO&amp;VAR:QUERY=RkZfUlRfU0ZfVE9UX0dST1NTKFFUUiwtMjUp&amp;WINDOW=FIRST_POPUP&amp;HEIGHT=450&amp;WIDTH=450&amp;START_MA","XIMIZED=FALSE&amp;VAR:CALENDAR=US&amp;VAR:SYMBOL=GYMB&amp;VAR:INDEX=0"}</definedName>
    <definedName name="_923__FDSAUDITLINK__" hidden="1">{"fdsup://directions/FAT Viewer?action=UPDATE&amp;creator=factset&amp;DYN_ARGS=TRUE&amp;DOC_NAME=FAT:FQL_AUDITING_CLIENT_TEMPLATE.FAT&amp;display_string=Audit&amp;VAR:KEY=DCZYDEDCZQ&amp;VAR:QUERY=RkZfUlRfU0ZfVE9UX0dST1NTKFFUUiwtMjQp&amp;WINDOW=FIRST_POPUP&amp;HEIGHT=450&amp;WIDTH=450&amp;START_MA","XIMIZED=FALSE&amp;VAR:CALENDAR=US&amp;VAR:SYMBOL=GYMB&amp;VAR:INDEX=0"}</definedName>
    <definedName name="_924__FDSAUDITLINK__" hidden="1">{"fdsup://directions/FAT Viewer?action=UPDATE&amp;creator=factset&amp;DYN_ARGS=TRUE&amp;DOC_NAME=FAT:FQL_AUDITING_CLIENT_TEMPLATE.FAT&amp;display_string=Audit&amp;VAR:KEY=FOBGXGRATQ&amp;VAR:QUERY=RkZfUlRfU0ZfVE9UX0dST1NTKFFUUiwtMjMp&amp;WINDOW=FIRST_POPUP&amp;HEIGHT=450&amp;WIDTH=450&amp;START_MA","XIMIZED=FALSE&amp;VAR:CALENDAR=US&amp;VAR:SYMBOL=GYMB&amp;VAR:INDEX=0"}</definedName>
    <definedName name="_925__FDSAUDITLINK__" hidden="1">{"fdsup://directions/FAT Viewer?action=UPDATE&amp;creator=factset&amp;DYN_ARGS=TRUE&amp;DOC_NAME=FAT:FQL_AUDITING_CLIENT_TEMPLATE.FAT&amp;display_string=Audit&amp;VAR:KEY=HIRWDWNUXK&amp;VAR:QUERY=RkZfUlRfU0ZfVE9UX0dST1NTKFFUUiwtMjIp&amp;WINDOW=FIRST_POPUP&amp;HEIGHT=450&amp;WIDTH=450&amp;START_MA","XIMIZED=FALSE&amp;VAR:CALENDAR=US&amp;VAR:SYMBOL=GYMB&amp;VAR:INDEX=0"}</definedName>
    <definedName name="_926__FDSAUDITLINK__" hidden="1">{"fdsup://directions/FAT Viewer?action=UPDATE&amp;creator=factset&amp;DYN_ARGS=TRUE&amp;DOC_NAME=FAT:FQL_AUDITING_CLIENT_TEMPLATE.FAT&amp;display_string=Audit&amp;VAR:KEY=JURGFOXYHE&amp;VAR:QUERY=RkZfUlRfU0ZfVE9UX0dST1NTKFFUUiwtMjEp&amp;WINDOW=FIRST_POPUP&amp;HEIGHT=450&amp;WIDTH=450&amp;START_MA","XIMIZED=FALSE&amp;VAR:CALENDAR=US&amp;VAR:SYMBOL=GYMB&amp;VAR:INDEX=0"}</definedName>
    <definedName name="_927__FDSAUDITLINK__" hidden="1">{"fdsup://directions/FAT Viewer?action=UPDATE&amp;creator=factset&amp;DYN_ARGS=TRUE&amp;DOC_NAME=FAT:FQL_AUDITING_CLIENT_TEMPLATE.FAT&amp;display_string=Audit&amp;VAR:KEY=DSNMNEJEJG&amp;VAR:QUERY=RkZfUlRfU0ZfVE9UX0dST1NTKFFUUiwtMjAp&amp;WINDOW=FIRST_POPUP&amp;HEIGHT=450&amp;WIDTH=450&amp;START_MA","XIMIZED=FALSE&amp;VAR:CALENDAR=US&amp;VAR:SYMBOL=GYMB&amp;VAR:INDEX=0"}</definedName>
    <definedName name="_928__FDSAUDITLINK__" hidden="1">{"fdsup://directions/FAT Viewer?action=UPDATE&amp;creator=factset&amp;DYN_ARGS=TRUE&amp;DOC_NAME=FAT:FQL_AUDITING_CLIENT_TEMPLATE.FAT&amp;display_string=Audit&amp;VAR:KEY=PWTUNSTSTY&amp;VAR:QUERY=RkZfUlRfU0ZfVE9UX0dST1NTKFFUUiwtMTkp&amp;WINDOW=FIRST_POPUP&amp;HEIGHT=450&amp;WIDTH=450&amp;START_MA","XIMIZED=FALSE&amp;VAR:CALENDAR=US&amp;VAR:SYMBOL=GYMB&amp;VAR:INDEX=0"}</definedName>
    <definedName name="_929__FDSAUDITLINK__" hidden="1">{"fdsup://directions/FAT Viewer?action=UPDATE&amp;creator=factset&amp;DYN_ARGS=TRUE&amp;DOC_NAME=FAT:FQL_AUDITING_CLIENT_TEMPLATE.FAT&amp;display_string=Audit&amp;VAR:KEY=ZQNKHKRKLC&amp;VAR:QUERY=RkZfUlRfU0ZfVE9UX0dST1NTKFFUUiwtMTgp&amp;WINDOW=FIRST_POPUP&amp;HEIGHT=450&amp;WIDTH=450&amp;START_MA","XIMIZED=FALSE&amp;VAR:CALENDAR=US&amp;VAR:SYMBOL=GYMB&amp;VAR:INDEX=0"}</definedName>
    <definedName name="_93__FDSAUDITLINK__" hidden="1">{"fdsup://Directions/FactSet Auditing Viewer?action=AUDIT_VALUE&amp;DB=129&amp;ID1=07589610&amp;VALUEID=01001&amp;SDATE=200902&amp;PERIODTYPE=QTR_STD&amp;window=popup_no_bar&amp;width=385&amp;height=120&amp;START_MAXIMIZED=FALSE&amp;creator=factset&amp;display_string=Audit"}</definedName>
    <definedName name="_930__FDSAUDITLINK__" hidden="1">{"fdsup://directions/FAT Viewer?action=UPDATE&amp;creator=factset&amp;DYN_ARGS=TRUE&amp;DOC_NAME=FAT:FQL_AUDITING_CLIENT_TEMPLATE.FAT&amp;display_string=Audit&amp;VAR:KEY=XGDODMRERE&amp;VAR:QUERY=RkZfUlRfU0ZfVE9UX0dST1NTKFFUUiwtMTcp&amp;WINDOW=FIRST_POPUP&amp;HEIGHT=450&amp;WIDTH=450&amp;START_MA","XIMIZED=FALSE&amp;VAR:CALENDAR=US&amp;VAR:SYMBOL=GYMB&amp;VAR:INDEX=0"}</definedName>
    <definedName name="_931__FDSAUDITLINK__" hidden="1">{"fdsup://directions/FAT Viewer?action=UPDATE&amp;creator=factset&amp;DYN_ARGS=TRUE&amp;DOC_NAME=FAT:FQL_AUDITING_CLIENT_TEMPLATE.FAT&amp;display_string=Audit&amp;VAR:KEY=TKVMRALGPI&amp;VAR:QUERY=RkZfUlRfU0ZfVE9UX0dST1NTKFFUUiwtMTYp&amp;WINDOW=FIRST_POPUP&amp;HEIGHT=450&amp;WIDTH=450&amp;START_MA","XIMIZED=FALSE&amp;VAR:CALENDAR=US&amp;VAR:SYMBOL=GYMB&amp;VAR:INDEX=0"}</definedName>
    <definedName name="_932__FDSAUDITLINK__" hidden="1">{"fdsup://directions/FAT Viewer?action=UPDATE&amp;creator=factset&amp;DYN_ARGS=TRUE&amp;DOC_NAME=FAT:FQL_AUDITING_CLIENT_TEMPLATE.FAT&amp;display_string=Audit&amp;VAR:KEY=XWBCDMJGPU&amp;VAR:QUERY=RkZfUlRfU0ZfVE9UX0dST1NTKFFUUiwtMTUp&amp;WINDOW=FIRST_POPUP&amp;HEIGHT=450&amp;WIDTH=450&amp;START_MA","XIMIZED=FALSE&amp;VAR:CALENDAR=US&amp;VAR:SYMBOL=GYMB&amp;VAR:INDEX=0"}</definedName>
    <definedName name="_933__FDSAUDITLINK__" hidden="1">{"fdsup://directions/FAT Viewer?action=UPDATE&amp;creator=factset&amp;DYN_ARGS=TRUE&amp;DOC_NAME=FAT:FQL_AUDITING_CLIENT_TEMPLATE.FAT&amp;display_string=Audit&amp;VAR:KEY=JENWXOZCJS&amp;VAR:QUERY=RkZfUlRfU0ZfVE9UX0dST1NTKFFUUiwtMTQp&amp;WINDOW=FIRST_POPUP&amp;HEIGHT=450&amp;WIDTH=450&amp;START_MA","XIMIZED=FALSE&amp;VAR:CALENDAR=US&amp;VAR:SYMBOL=GYMB&amp;VAR:INDEX=0"}</definedName>
    <definedName name="_934__FDSAUDITLINK__" hidden="1">{"fdsup://directions/FAT Viewer?action=UPDATE&amp;creator=factset&amp;DYN_ARGS=TRUE&amp;DOC_NAME=FAT:FQL_AUDITING_CLIENT_TEMPLATE.FAT&amp;display_string=Audit&amp;VAR:KEY=TCTMPMPOZI&amp;VAR:QUERY=RkZfUlRfU0ZfVE9UX0dST1NTKFFUUiwtMTMp&amp;WINDOW=FIRST_POPUP&amp;HEIGHT=450&amp;WIDTH=450&amp;START_MA","XIMIZED=FALSE&amp;VAR:CALENDAR=US&amp;VAR:SYMBOL=GYMB&amp;VAR:INDEX=0"}</definedName>
    <definedName name="_935__FDSAUDITLINK__" hidden="1">{"fdsup://directions/FAT Viewer?action=UPDATE&amp;creator=factset&amp;DYN_ARGS=TRUE&amp;DOC_NAME=FAT:FQL_AUDITING_CLIENT_TEMPLATE.FAT&amp;display_string=Audit&amp;VAR:KEY=DWXWHUPIHW&amp;VAR:QUERY=RkZfUlRfU0ZfVE9UX0dST1NTKFFUUiwtMTIp&amp;WINDOW=FIRST_POPUP&amp;HEIGHT=450&amp;WIDTH=450&amp;START_MA","XIMIZED=FALSE&amp;VAR:CALENDAR=US&amp;VAR:SYMBOL=GYMB&amp;VAR:INDEX=0"}</definedName>
    <definedName name="_936__FDSAUDITLINK__" hidden="1">{"fdsup://directions/FAT Viewer?action=UPDATE&amp;creator=factset&amp;DYN_ARGS=TRUE&amp;DOC_NAME=FAT:FQL_AUDITING_CLIENT_TEMPLATE.FAT&amp;display_string=Audit&amp;VAR:KEY=NQVAXKPMVA&amp;VAR:QUERY=RkZfUlRfU0ZfVE9UX0dST1NTKFFUUiwtMTEp&amp;WINDOW=FIRST_POPUP&amp;HEIGHT=450&amp;WIDTH=450&amp;START_MA","XIMIZED=FALSE&amp;VAR:CALENDAR=US&amp;VAR:SYMBOL=GYMB&amp;VAR:INDEX=0"}</definedName>
    <definedName name="_937__FDSAUDITLINK__" hidden="1">{"fdsup://directions/FAT Viewer?action=UPDATE&amp;creator=factset&amp;DYN_ARGS=TRUE&amp;DOC_NAME=FAT:FQL_AUDITING_CLIENT_TEMPLATE.FAT&amp;display_string=Audit&amp;VAR:KEY=ZONMZAPSJI&amp;VAR:QUERY=RkZfUlRfU0ZfVE9UX0dST1NTKFFUUiwtMTAp&amp;WINDOW=FIRST_POPUP&amp;HEIGHT=450&amp;WIDTH=450&amp;START_MA","XIMIZED=FALSE&amp;VAR:CALENDAR=US&amp;VAR:SYMBOL=GYMB&amp;VAR:INDEX=0"}</definedName>
    <definedName name="_938__FDSAUDITLINK__" hidden="1">{"fdsup://directions/FAT Viewer?action=UPDATE&amp;creator=factset&amp;DYN_ARGS=TRUE&amp;DOC_NAME=FAT:FQL_AUDITING_CLIENT_TEMPLATE.FAT&amp;display_string=Audit&amp;VAR:KEY=TERAZMHAFK&amp;VAR:QUERY=RkZfUlRfU0ZfVE9UX0dST1NTKFFUUiwtOSk=&amp;WINDOW=FIRST_POPUP&amp;HEIGHT=450&amp;WIDTH=450&amp;START_MA","XIMIZED=FALSE&amp;VAR:CALENDAR=US&amp;VAR:SYMBOL=GYMB&amp;VAR:INDEX=0"}</definedName>
    <definedName name="_939__FDSAUDITLINK__" hidden="1">{"fdsup://directions/FAT Viewer?action=UPDATE&amp;creator=factset&amp;DYN_ARGS=TRUE&amp;DOC_NAME=FAT:FQL_AUDITING_CLIENT_TEMPLATE.FAT&amp;display_string=Audit&amp;VAR:KEY=TSDWNSLQPS&amp;VAR:QUERY=RkZfUlRfU0ZfVE9UX0dST1NTKFFUUiwtOCk=&amp;WINDOW=FIRST_POPUP&amp;HEIGHT=450&amp;WIDTH=450&amp;START_MA","XIMIZED=FALSE&amp;VAR:CALENDAR=US&amp;VAR:SYMBOL=GYMB&amp;VAR:INDEX=0"}</definedName>
    <definedName name="_94__FDSAUDITLINK__" hidden="1">{"fdsup://Directions/FactSet Auditing Viewer?action=AUDIT_VALUE&amp;DB=129&amp;ID1=07589610&amp;VALUEID=01001&amp;SDATE=200901&amp;PERIODTYPE=QTR_STD&amp;window=popup_no_bar&amp;width=385&amp;height=120&amp;START_MAXIMIZED=FALSE&amp;creator=factset&amp;display_string=Audit"}</definedName>
    <definedName name="_940__FDSAUDITLINK__" hidden="1">{"fdsup://directions/FAT Viewer?action=UPDATE&amp;creator=factset&amp;DYN_ARGS=TRUE&amp;DOC_NAME=FAT:FQL_AUDITING_CLIENT_TEMPLATE.FAT&amp;display_string=Audit&amp;VAR:KEY=NUNSNKTEFS&amp;VAR:QUERY=RkZfUlRfU0ZfVE9UX0dST1NTKFFUUiwtNyk=&amp;WINDOW=FIRST_POPUP&amp;HEIGHT=450&amp;WIDTH=450&amp;START_MA","XIMIZED=FALSE&amp;VAR:CALENDAR=US&amp;VAR:SYMBOL=GYMB&amp;VAR:INDEX=0"}</definedName>
    <definedName name="_941__FDSAUDITLINK__" hidden="1">{"fdsup://directions/FAT Viewer?action=UPDATE&amp;creator=factset&amp;DYN_ARGS=TRUE&amp;DOC_NAME=FAT:FQL_AUDITING_CLIENT_TEMPLATE.FAT&amp;display_string=Audit&amp;VAR:KEY=BGRGLCFUJA&amp;VAR:QUERY=RkZfUlRfU0ZfVE9UX0dST1NTKFFUUiwtNik=&amp;WINDOW=FIRST_POPUP&amp;HEIGHT=450&amp;WIDTH=450&amp;START_MA","XIMIZED=FALSE&amp;VAR:CALENDAR=US&amp;VAR:SYMBOL=GYMB&amp;VAR:INDEX=0"}</definedName>
    <definedName name="_942__FDSAUDITLINK__" hidden="1">{"fdsup://directions/FAT Viewer?action=UPDATE&amp;creator=factset&amp;DYN_ARGS=TRUE&amp;DOC_NAME=FAT:FQL_AUDITING_CLIENT_TEMPLATE.FAT&amp;display_string=Audit&amp;VAR:KEY=FQBWFOZQXU&amp;VAR:QUERY=RkZfUlRfU0ZfVE9UX0dST1NTKFFUUiwtNSk=&amp;WINDOW=FIRST_POPUP&amp;HEIGHT=450&amp;WIDTH=450&amp;START_MA","XIMIZED=FALSE&amp;VAR:CALENDAR=US&amp;VAR:SYMBOL=GYMB&amp;VAR:INDEX=0"}</definedName>
    <definedName name="_943__FDSAUDITLINK__" hidden="1">{"fdsup://directions/FAT Viewer?action=UPDATE&amp;creator=factset&amp;DYN_ARGS=TRUE&amp;DOC_NAME=FAT:FQL_AUDITING_CLIENT_TEMPLATE.FAT&amp;display_string=Audit&amp;VAR:KEY=JGROVCLUZW&amp;VAR:QUERY=RkZfUlRfU0ZfVE9UX0dST1NTKFFUUiwtNCk=&amp;WINDOW=FIRST_POPUP&amp;HEIGHT=450&amp;WIDTH=450&amp;START_MA","XIMIZED=FALSE&amp;VAR:CALENDAR=US&amp;VAR:SYMBOL=GYMB&amp;VAR:INDEX=0"}</definedName>
    <definedName name="_944__FDSAUDITLINK__" hidden="1">{"fdsup://directions/FAT Viewer?action=UPDATE&amp;creator=factset&amp;DYN_ARGS=TRUE&amp;DOC_NAME=FAT:FQL_AUDITING_CLIENT_TEMPLATE.FAT&amp;display_string=Audit&amp;VAR:KEY=VSNOZWVYLU&amp;VAR:QUERY=RkZfUlRfU0ZfVE9UX0dST1NTKFFUUiwtMyk=&amp;WINDOW=FIRST_POPUP&amp;HEIGHT=450&amp;WIDTH=450&amp;START_MA","XIMIZED=FALSE&amp;VAR:CALENDAR=US&amp;VAR:SYMBOL=GYMB&amp;VAR:INDEX=0"}</definedName>
    <definedName name="_945__FDSAUDITLINK__" hidden="1">{"fdsup://directions/FAT Viewer?action=UPDATE&amp;creator=factset&amp;DYN_ARGS=TRUE&amp;DOC_NAME=FAT:FQL_AUDITING_CLIENT_TEMPLATE.FAT&amp;display_string=Audit&amp;VAR:KEY=PKPWPYPSJW&amp;VAR:QUERY=RkZfUlRfU0ZfVE9UX0dST1NTKFFUUiwtMik=&amp;WINDOW=FIRST_POPUP&amp;HEIGHT=450&amp;WIDTH=450&amp;START_MA","XIMIZED=FALSE&amp;VAR:CALENDAR=US&amp;VAR:SYMBOL=GYMB&amp;VAR:INDEX=0"}</definedName>
    <definedName name="_946__FDSAUDITLINK__" hidden="1">{"fdsup://directions/FAT Viewer?action=UPDATE&amp;creator=factset&amp;DYN_ARGS=TRUE&amp;DOC_NAME=FAT:FQL_AUDITING_CLIENT_TEMPLATE.FAT&amp;display_string=Audit&amp;VAR:KEY=XSVCHMLSHM&amp;VAR:QUERY=RkZfUlRfU0ZfVE9UX0dST1NTKFFUUiwtMSk=&amp;WINDOW=FIRST_POPUP&amp;HEIGHT=450&amp;WIDTH=450&amp;START_MA","XIMIZED=FALSE&amp;VAR:CALENDAR=US&amp;VAR:SYMBOL=GYMB&amp;VAR:INDEX=0"}</definedName>
    <definedName name="_947__FDSAUDITLINK__" hidden="1">{"fdsup://directions/FAT Viewer?action=UPDATE&amp;creator=factset&amp;DYN_ARGS=TRUE&amp;DOC_NAME=FAT:FQL_AUDITING_CLIENT_TEMPLATE.FAT&amp;display_string=Audit&amp;VAR:KEY=DYNCLOXCRA&amp;VAR:QUERY=RkZfUlRfU0ZfVE9UX0dST1NTKFFUUiwwKQ==&amp;WINDOW=FIRST_POPUP&amp;HEIGHT=450&amp;WIDTH=450&amp;START_MA","XIMIZED=FALSE&amp;VAR:CALENDAR=US&amp;VAR:SYMBOL=GYMB&amp;VAR:INDEX=0"}</definedName>
    <definedName name="_948__FDSAUDITLINK__" hidden="1">{"fdsup://Directions/FactSet Auditing Viewer?action=AUDIT_VALUE&amp;DB=129&amp;ID1=53271610&amp;VALUEID=13040&amp;SDATE=200601&amp;PERIODTYPE=QTR_STD&amp;window=popup_no_bar&amp;width=385&amp;height=120&amp;START_MAXIMIZED=FALSE&amp;creator=factset&amp;display_string=Audit"}</definedName>
    <definedName name="_949__FDSAUDITLINK__" hidden="1">{"fdsup://Directions/FactSet Auditing Viewer?action=AUDIT_VALUE&amp;DB=129&amp;ID1=53271610&amp;VALUEID=01001&amp;SDATE=200601&amp;PERIODTYPE=QTR_STD&amp;window=popup_no_bar&amp;width=385&amp;height=120&amp;START_MAXIMIZED=FALSE&amp;creator=factset&amp;display_string=Audit"}</definedName>
    <definedName name="_95__FDSAUDITLINK__" hidden="1">{"fdsup://Directions/FactSet Auditing Viewer?action=AUDIT_VALUE&amp;DB=129&amp;ID1=07589610&amp;VALUEID=01001&amp;SDATE=200804&amp;PERIODTYPE=QTR_STD&amp;window=popup_no_bar&amp;width=385&amp;height=120&amp;START_MAXIMIZED=FALSE&amp;creator=factset&amp;display_string=Audit"}</definedName>
    <definedName name="_950__FDSAUDITLINK__" hidden="1">{"fdsup://Directions/FactSet Auditing Viewer?action=AUDIT_VALUE&amp;DB=129&amp;ID1=53271610&amp;VALUEID=02101&amp;SDATE=200601&amp;PERIODTYPE=QTR_STD&amp;window=popup_no_bar&amp;width=385&amp;height=120&amp;START_MAXIMIZED=FALSE&amp;creator=factset&amp;display_string=Audit"}</definedName>
    <definedName name="_951__FDSAUDITLINK__" hidden="1">{"fdsup://Directions/FactSet Auditing Viewer?action=AUDIT_VALUE&amp;DB=129&amp;ID1=53271610&amp;VALUEID=13040&amp;SDATE=200602&amp;PERIODTYPE=QTR_STD&amp;window=popup_no_bar&amp;width=385&amp;height=120&amp;START_MAXIMIZED=FALSE&amp;creator=factset&amp;display_string=Audit"}</definedName>
    <definedName name="_952__FDSAUDITLINK__" hidden="1">{"fdsup://Directions/FactSet Auditing Viewer?action=AUDIT_VALUE&amp;DB=129&amp;ID1=53271610&amp;VALUEID=01001&amp;SDATE=200602&amp;PERIODTYPE=QTR_STD&amp;window=popup_no_bar&amp;width=385&amp;height=120&amp;START_MAXIMIZED=FALSE&amp;creator=factset&amp;display_string=Audit"}</definedName>
    <definedName name="_953__FDSAUDITLINK__" hidden="1">{"fdsup://Directions/FactSet Auditing Viewer?action=AUDIT_VALUE&amp;DB=129&amp;ID1=53271610&amp;VALUEID=02101&amp;SDATE=200602&amp;PERIODTYPE=QTR_STD&amp;window=popup_no_bar&amp;width=385&amp;height=120&amp;START_MAXIMIZED=FALSE&amp;creator=factset&amp;display_string=Audit"}</definedName>
    <definedName name="_954__FDSAUDITLINK__" hidden="1">{"fdsup://Directions/FactSet Auditing Viewer?action=AUDIT_VALUE&amp;DB=129&amp;ID1=53271610&amp;VALUEID=13040&amp;SDATE=200603&amp;PERIODTYPE=QTR_STD&amp;window=popup_no_bar&amp;width=385&amp;height=120&amp;START_MAXIMIZED=FALSE&amp;creator=factset&amp;display_string=Audit"}</definedName>
    <definedName name="_955__FDSAUDITLINK__" hidden="1">{"fdsup://Directions/FactSet Auditing Viewer?action=AUDIT_VALUE&amp;DB=129&amp;ID1=53271610&amp;VALUEID=01001&amp;SDATE=200603&amp;PERIODTYPE=QTR_STD&amp;window=popup_no_bar&amp;width=385&amp;height=120&amp;START_MAXIMIZED=FALSE&amp;creator=factset&amp;display_string=Audit"}</definedName>
    <definedName name="_956__FDSAUDITLINK__" hidden="1">{"fdsup://Directions/FactSet Auditing Viewer?action=AUDIT_VALUE&amp;DB=129&amp;ID1=53271610&amp;VALUEID=02101&amp;SDATE=200603&amp;PERIODTYPE=QTR_STD&amp;window=popup_no_bar&amp;width=385&amp;height=120&amp;START_MAXIMIZED=FALSE&amp;creator=factset&amp;display_string=Audit"}</definedName>
    <definedName name="_957__FDSAUDITLINK__" hidden="1">{"fdsup://Directions/FactSet Auditing Viewer?action=AUDIT_VALUE&amp;DB=129&amp;ID1=53271610&amp;VALUEID=13040&amp;SDATE=200701&amp;PERIODTYPE=QTR_STD&amp;window=popup_no_bar&amp;width=385&amp;height=120&amp;START_MAXIMIZED=FALSE&amp;creator=factset&amp;display_string=Audit"}</definedName>
    <definedName name="_958__FDSAUDITLINK__" hidden="1">{"fdsup://Directions/FactSet Auditing Viewer?action=AUDIT_VALUE&amp;DB=129&amp;ID1=53271610&amp;VALUEID=01001&amp;SDATE=200701&amp;PERIODTYPE=QTR_STD&amp;window=popup_no_bar&amp;width=385&amp;height=120&amp;START_MAXIMIZED=FALSE&amp;creator=factset&amp;display_string=Audit"}</definedName>
    <definedName name="_959__FDSAUDITLINK__" hidden="1">{"fdsup://Directions/FactSet Auditing Viewer?action=AUDIT_VALUE&amp;DB=129&amp;ID1=53271610&amp;VALUEID=02101&amp;SDATE=200701&amp;PERIODTYPE=QTR_STD&amp;window=popup_no_bar&amp;width=385&amp;height=120&amp;START_MAXIMIZED=FALSE&amp;creator=factset&amp;display_string=Audit"}</definedName>
    <definedName name="_96__FDSAUDITLINK__" hidden="1">{"fdsup://Directions/FactSet Auditing Viewer?action=AUDIT_VALUE&amp;DB=129&amp;ID1=07589610&amp;VALUEID=01001&amp;SDATE=200803&amp;PERIODTYPE=QTR_STD&amp;window=popup_no_bar&amp;width=385&amp;height=120&amp;START_MAXIMIZED=FALSE&amp;creator=factset&amp;display_string=Audit"}</definedName>
    <definedName name="_960__FDSAUDITLINK__" hidden="1">{"fdsup://Directions/FactSet Auditing Viewer?action=AUDIT_VALUE&amp;DB=129&amp;ID1=53271610&amp;VALUEID=13040&amp;SDATE=200702&amp;PERIODTYPE=QTR_STD&amp;window=popup_no_bar&amp;width=385&amp;height=120&amp;START_MAXIMIZED=FALSE&amp;creator=factset&amp;display_string=Audit"}</definedName>
    <definedName name="_961__FDSAUDITLINK__" hidden="1">{"fdsup://Directions/FactSet Auditing Viewer?action=AUDIT_VALUE&amp;DB=129&amp;ID1=53271610&amp;VALUEID=01001&amp;SDATE=200702&amp;PERIODTYPE=QTR_STD&amp;window=popup_no_bar&amp;width=385&amp;height=120&amp;START_MAXIMIZED=FALSE&amp;creator=factset&amp;display_string=Audit"}</definedName>
    <definedName name="_962__FDSAUDITLINK__" hidden="1">{"fdsup://Directions/FactSet Auditing Viewer?action=AUDIT_VALUE&amp;DB=129&amp;ID1=53271610&amp;VALUEID=02101&amp;SDATE=200702&amp;PERIODTYPE=QTR_STD&amp;window=popup_no_bar&amp;width=385&amp;height=120&amp;START_MAXIMIZED=FALSE&amp;creator=factset&amp;display_string=Audit"}</definedName>
    <definedName name="_963__FDSAUDITLINK__" hidden="1">{"fdsup://Directions/FactSet Auditing Viewer?action=AUDIT_VALUE&amp;DB=129&amp;ID1=53271610&amp;VALUEID=13040&amp;SDATE=200703&amp;PERIODTYPE=QTR_STD&amp;window=popup_no_bar&amp;width=385&amp;height=120&amp;START_MAXIMIZED=FALSE&amp;creator=factset&amp;display_string=Audit"}</definedName>
    <definedName name="_964__FDSAUDITLINK__" hidden="1">{"fdsup://Directions/FactSet Auditing Viewer?action=AUDIT_VALUE&amp;DB=129&amp;ID1=53271610&amp;VALUEID=01001&amp;SDATE=200703&amp;PERIODTYPE=QTR_STD&amp;window=popup_no_bar&amp;width=385&amp;height=120&amp;START_MAXIMIZED=FALSE&amp;creator=factset&amp;display_string=Audit"}</definedName>
    <definedName name="_965__FDSAUDITLINK__" hidden="1">{"fdsup://Directions/FactSet Auditing Viewer?action=AUDIT_VALUE&amp;DB=129&amp;ID1=53271610&amp;VALUEID=02101&amp;SDATE=200703&amp;PERIODTYPE=QTR_STD&amp;window=popup_no_bar&amp;width=385&amp;height=120&amp;START_MAXIMIZED=FALSE&amp;creator=factset&amp;display_string=Audit"}</definedName>
    <definedName name="_966__FDSAUDITLINK__" hidden="1">{"fdsup://Directions/FactSet Auditing Viewer?action=AUDIT_VALUE&amp;DB=129&amp;ID1=53271610&amp;VALUEID=13040&amp;SDATE=200801&amp;PERIODTYPE=QTR_STD&amp;window=popup_no_bar&amp;width=385&amp;height=120&amp;START_MAXIMIZED=FALSE&amp;creator=factset&amp;display_string=Audit"}</definedName>
    <definedName name="_967__FDSAUDITLINK__" hidden="1">{"fdsup://Directions/FactSet Auditing Viewer?action=AUDIT_VALUE&amp;DB=129&amp;ID1=53271610&amp;VALUEID=01001&amp;SDATE=200801&amp;PERIODTYPE=QTR_STD&amp;window=popup_no_bar&amp;width=385&amp;height=120&amp;START_MAXIMIZED=FALSE&amp;creator=factset&amp;display_string=Audit"}</definedName>
    <definedName name="_968__FDSAUDITLINK__" hidden="1">{"fdsup://Directions/FactSet Auditing Viewer?action=AUDIT_VALUE&amp;DB=129&amp;ID1=53271610&amp;VALUEID=02101&amp;SDATE=200801&amp;PERIODTYPE=QTR_STD&amp;window=popup_no_bar&amp;width=385&amp;height=120&amp;START_MAXIMIZED=FALSE&amp;creator=factset&amp;display_string=Audit"}</definedName>
    <definedName name="_969__FDSAUDITLINK__" hidden="1">{"fdsup://Directions/FactSet Auditing Viewer?action=AUDIT_VALUE&amp;DB=129&amp;ID1=53271610&amp;VALUEID=13040&amp;SDATE=200802&amp;PERIODTYPE=QTR_STD&amp;window=popup_no_bar&amp;width=385&amp;height=120&amp;START_MAXIMIZED=FALSE&amp;creator=factset&amp;display_string=Audit"}</definedName>
    <definedName name="_97__FDSAUDITLINK__" hidden="1">{"fdsup://Directions/FactSet Auditing Viewer?action=AUDIT_VALUE&amp;DB=129&amp;ID1=07589610&amp;VALUEID=01001&amp;SDATE=200802&amp;PERIODTYPE=QTR_STD&amp;window=popup_no_bar&amp;width=385&amp;height=120&amp;START_MAXIMIZED=FALSE&amp;creator=factset&amp;display_string=Audit"}</definedName>
    <definedName name="_970__FDSAUDITLINK__" hidden="1">{"fdsup://Directions/FactSet Auditing Viewer?action=AUDIT_VALUE&amp;DB=129&amp;ID1=53271610&amp;VALUEID=01001&amp;SDATE=200802&amp;PERIODTYPE=QTR_STD&amp;window=popup_no_bar&amp;width=385&amp;height=120&amp;START_MAXIMIZED=FALSE&amp;creator=factset&amp;display_string=Audit"}</definedName>
    <definedName name="_971__FDSAUDITLINK__" hidden="1">{"fdsup://Directions/FactSet Auditing Viewer?action=AUDIT_VALUE&amp;DB=129&amp;ID1=53271610&amp;VALUEID=02101&amp;SDATE=200802&amp;PERIODTYPE=QTR_STD&amp;window=popup_no_bar&amp;width=385&amp;height=120&amp;START_MAXIMIZED=FALSE&amp;creator=factset&amp;display_string=Audit"}</definedName>
    <definedName name="_972__FDSAUDITLINK__" hidden="1">{"fdsup://Directions/FactSet Auditing Viewer?action=AUDIT_VALUE&amp;DB=129&amp;ID1=53271610&amp;VALUEID=13040&amp;SDATE=200901&amp;PERIODTYPE=QTR_STD&amp;window=popup_no_bar&amp;width=385&amp;height=120&amp;START_MAXIMIZED=FALSE&amp;creator=factset&amp;display_string=Audit"}</definedName>
    <definedName name="_973__FDSAUDITLINK__" hidden="1">{"fdsup://Directions/FactSet Auditing Viewer?action=AUDIT_VALUE&amp;DB=129&amp;ID1=53271610&amp;VALUEID=13040&amp;SDATE=200902&amp;PERIODTYPE=QTR_STD&amp;window=popup_no_bar&amp;width=385&amp;height=120&amp;START_MAXIMIZED=FALSE&amp;creator=factset&amp;display_string=Audit"}</definedName>
    <definedName name="_974__FDSAUDITLINK__" hidden="1">{"fdsup://Directions/FactSet Auditing Viewer?action=AUDIT_VALUE&amp;DB=129&amp;ID1=53271610&amp;VALUEID=01001&amp;SDATE=200902&amp;PERIODTYPE=QTR_STD&amp;window=popup_no_bar&amp;width=385&amp;height=120&amp;START_MAXIMIZED=FALSE&amp;creator=factset&amp;display_string=Audit"}</definedName>
    <definedName name="_975__FDSAUDITLINK__" hidden="1">{"fdsup://Directions/FactSet Auditing Viewer?action=AUDIT_VALUE&amp;DB=129&amp;ID1=53271610&amp;VALUEID=02101&amp;SDATE=200902&amp;PERIODTYPE=QTR_STD&amp;window=popup_no_bar&amp;width=385&amp;height=120&amp;START_MAXIMIZED=FALSE&amp;creator=factset&amp;display_string=Audit"}</definedName>
    <definedName name="_976__FDSAUDITLINK__" hidden="1">{"fdsup://Directions/FactSet Auditing Viewer?action=AUDIT_VALUE&amp;DB=129&amp;ID1=53271610&amp;VALUEID=13040&amp;SDATE=200903&amp;PERIODTYPE=QTR_STD&amp;window=popup_no_bar&amp;width=385&amp;height=120&amp;START_MAXIMIZED=FALSE&amp;creator=factset&amp;display_string=Audit"}</definedName>
    <definedName name="_977__FDSAUDITLINK__" hidden="1">{"fdsup://Directions/FactSet Auditing Viewer?action=AUDIT_VALUE&amp;DB=129&amp;ID1=53271610&amp;VALUEID=01001&amp;SDATE=200903&amp;PERIODTYPE=QTR_STD&amp;window=popup_no_bar&amp;width=385&amp;height=120&amp;START_MAXIMIZED=FALSE&amp;creator=factset&amp;display_string=Audit"}</definedName>
    <definedName name="_978__FDSAUDITLINK__" hidden="1">{"fdsup://Directions/FactSet Auditing Viewer?action=AUDIT_VALUE&amp;DB=129&amp;ID1=53271610&amp;VALUEID=02101&amp;SDATE=200903&amp;PERIODTYPE=QTR_STD&amp;window=popup_no_bar&amp;width=385&amp;height=120&amp;START_MAXIMIZED=FALSE&amp;creator=factset&amp;display_string=Audit"}</definedName>
    <definedName name="_979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__FDSAUDITLINK__" hidden="1">{"fdsup://Directions/FactSet Auditing Viewer?action=AUDIT_VALUE&amp;DB=129&amp;ID1=07589610&amp;VALUEID=01001&amp;SDATE=200801&amp;PERIODTYPE=QTR_STD&amp;window=popup_no_bar&amp;width=385&amp;height=120&amp;START_MAXIMIZED=FALSE&amp;creator=factset&amp;display_string=Audit"}</definedName>
    <definedName name="_980__FDSAUDITLINK__" hidden="1">{"fdsup://Directions/FactSet Auditing Viewer?action=AUDIT_VALUE&amp;DB=129&amp;ID1=53271610&amp;VALUEID=01001&amp;SDATE=201001&amp;PERIODTYPE=QTR_STD&amp;window=popup_no_bar&amp;width=385&amp;height=120&amp;START_MAXIMIZED=FALSE&amp;creator=factset&amp;display_string=Audit"}</definedName>
    <definedName name="_981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2__FDSAUDITLINK__" hidden="1">{"fdsup://Directions/FactSet Auditing Viewer?action=AUDIT_VALUE&amp;DB=129&amp;ID1=87416110&amp;VALUEID=02101&amp;SDATE=201001&amp;PERIODTYPE=QTR_STD&amp;window=popup_no_bar&amp;width=385&amp;height=120&amp;START_MAXIMIZED=FALSE&amp;creator=factset&amp;display_string=Audit"}</definedName>
    <definedName name="_983__FDSAUDITLINK__" hidden="1">{"fdsup://Directions/FactSet Auditing Viewer?action=AUDIT_VALUE&amp;DB=129&amp;ID1=87416110&amp;VALUEID=13040&amp;SDATE=201001&amp;PERIODTYPE=QTR_STD&amp;window=popup_no_bar&amp;width=385&amp;height=120&amp;START_MAXIMIZED=FALSE&amp;creator=factset&amp;display_string=Audit"}</definedName>
    <definedName name="_984__FDSAUDITLINK__" hidden="1">{"fdsup://directions/FAT Viewer?action=UPDATE&amp;creator=factset&amp;DYN_ARGS=TRUE&amp;DOC_NAME=FAT:FQL_AUDITING_CLIENT_TEMPLATE.FAT&amp;display_string=Audit&amp;VAR:KEY=FSTUHMJIBA&amp;VAR:QUERY=RkZfUlRfU0ZfVE9UX0dST1NTKFFUUiwwKQ==&amp;WINDOW=FIRST_POPUP&amp;HEIGHT=450&amp;WIDTH=450&amp;START_MA","XIMIZED=FALSE&amp;VAR:CALENDAR=US&amp;VAR:SYMBOL=TLB&amp;VAR:INDEX=0"}</definedName>
    <definedName name="_985__FDSAUDITLINK__" hidden="1">{"fdsup://Directions/FactSet Auditing Viewer?action=AUDIT_VALUE&amp;DB=129&amp;ID1=53271610&amp;VALUEID=02101&amp;SDATE=201001&amp;PERIODTYPE=QTR_STD&amp;window=popup_no_bar&amp;width=385&amp;height=120&amp;START_MAXIMIZED=FALSE&amp;creator=factset&amp;display_string=Audit"}</definedName>
    <definedName name="_986__FDSAUDITLINK__" hidden="1">{"fdsup://Directions/FactSet Auditing Viewer?action=AUDIT_VALUE&amp;DB=129&amp;ID1=53271610&amp;VALUEID=13040&amp;SDATE=201001&amp;PERIODTYPE=QTR_STD&amp;window=popup_no_bar&amp;width=385&amp;height=120&amp;START_MAXIMIZED=FALSE&amp;creator=factset&amp;display_string=Audit"}</definedName>
    <definedName name="_987__FDSAUDITLINK__" hidden="1">{"fdsup://Directions/FactSet Auditing Viewer?action=AUDIT_VALUE&amp;DB=129&amp;ID1=46612H40&amp;VALUEID=02101&amp;SDATE=201001&amp;PERIODTYPE=QTR_STD&amp;window=popup_no_bar&amp;width=385&amp;height=120&amp;START_MAXIMIZED=FALSE&amp;creator=factset&amp;display_string=Audit"}</definedName>
    <definedName name="_988__FDSAUDITLINK__" hidden="1">{"fdsup://Directions/FactSet Auditing Viewer?action=AUDIT_VALUE&amp;DB=129&amp;ID1=46612H40&amp;VALUEID=13040&amp;SDATE=201001&amp;PERIODTYPE=QTR_STD&amp;window=popup_no_bar&amp;width=385&amp;height=120&amp;START_MAXIMIZED=FALSE&amp;creator=factset&amp;display_string=Audit"}</definedName>
    <definedName name="_989__FDSAUDITLINK__" hidden="1">{"fdsup://Directions/FactSet Auditing Viewer?action=AUDIT_VALUE&amp;DB=129&amp;ID1=36476010&amp;VALUEID=02101&amp;SDATE=201001&amp;PERIODTYPE=QTR_STD&amp;window=popup_no_bar&amp;width=385&amp;height=120&amp;START_MAXIMIZED=FALSE&amp;creator=factset&amp;display_string=Audit"}</definedName>
    <definedName name="_99__FDSAUDITLINK__" hidden="1">{"fdsup://Directions/FactSet Auditing Viewer?action=AUDIT_VALUE&amp;DB=129&amp;ID1=07589610&amp;VALUEID=01001&amp;SDATE=200703&amp;PERIODTYPE=QTR_STD&amp;window=popup_no_bar&amp;width=385&amp;height=120&amp;START_MAXIMIZED=FALSE&amp;creator=factset&amp;display_string=Audit"}</definedName>
    <definedName name="_990__FDSAUDITLINK__" hidden="1">{"fdsup://Directions/FactSet Auditing Viewer?action=AUDIT_VALUE&amp;DB=129&amp;ID1=36476010&amp;VALUEID=13040&amp;SDATE=201001&amp;PERIODTYPE=QTR_STD&amp;window=popup_no_bar&amp;width=385&amp;height=120&amp;START_MAXIMIZED=FALSE&amp;creator=factset&amp;display_string=Audit"}</definedName>
    <definedName name="_991__FDSAUDITLINK__" hidden="1">{"fdsup://Directions/FactSet Auditing Viewer?action=AUDIT_VALUE&amp;DB=129&amp;ID1=03611510&amp;VALUEID=02101&amp;SDATE=201001&amp;PERIODTYPE=QTR_STD&amp;window=popup_no_bar&amp;width=385&amp;height=120&amp;START_MAXIMIZED=FALSE&amp;creator=factset&amp;display_string=Audit"}</definedName>
    <definedName name="_992__FDSAUDITLINK__" hidden="1">{"fdsup://Directions/FactSet Auditing Viewer?action=AUDIT_VALUE&amp;DB=129&amp;ID1=03611510&amp;VALUEID=13040&amp;SDATE=201001&amp;PERIODTYPE=QTR_STD&amp;window=popup_no_bar&amp;width=385&amp;height=120&amp;START_MAXIMIZED=FALSE&amp;creator=factset&amp;display_string=Audit"}</definedName>
    <definedName name="_993__FDSAUDITLINK__" hidden="1">{"fdsup://Directions/FactSet Auditing Viewer?action=AUDIT_VALUE&amp;DB=129&amp;ID1=16890510&amp;VALUEID=02101&amp;SDATE=201001&amp;PERIODTYPE=QTR_STD&amp;window=popup_no_bar&amp;width=385&amp;height=120&amp;START_MAXIMIZED=FALSE&amp;creator=factset&amp;display_string=Audit"}</definedName>
    <definedName name="_994__FDSAUDITLINK__" hidden="1">{"fdsup://Directions/FactSet Auditing Viewer?action=AUDIT_VALUE&amp;DB=129&amp;ID1=91704710&amp;VALUEID=02101&amp;SDATE=201001&amp;PERIODTYPE=QTR_STD&amp;window=popup_no_bar&amp;width=385&amp;height=120&amp;START_MAXIMIZED=FALSE&amp;creator=factset&amp;display_string=Audit"}</definedName>
    <definedName name="_995__FDSAUDITLINK__" hidden="1">{"fdsup://Directions/FactSet Auditing Viewer?action=AUDIT_VALUE&amp;DB=129&amp;ID1=91704710&amp;VALUEID=13040&amp;SDATE=201001&amp;PERIODTYPE=QTR_STD&amp;window=popup_no_bar&amp;width=385&amp;height=120&amp;START_MAXIMIZED=FALSE&amp;creator=factset&amp;display_string=Audit"}</definedName>
    <definedName name="_996__FDSAUDITLINK__" hidden="1">{"fdsup://Directions/FactSet Auditing Viewer?action=AUDIT_VALUE&amp;DB=129&amp;ID1=02553E10&amp;VALUEID=02101&amp;SDATE=201001&amp;PERIODTYPE=QTR_STD&amp;window=popup_no_bar&amp;width=385&amp;height=120&amp;START_MAXIMIZED=FALSE&amp;creator=factset&amp;display_string=Audit"}</definedName>
    <definedName name="_997__FDSAUDITLINK__" hidden="1">{"fdsup://Directions/FactSet Auditing Viewer?action=AUDIT_VALUE&amp;DB=129&amp;ID1=02553E10&amp;VALUEID=13040&amp;SDATE=201001&amp;PERIODTYPE=QTR_STD&amp;window=popup_no_bar&amp;width=385&amp;height=120&amp;START_MAXIMIZED=FALSE&amp;creator=factset&amp;display_string=Audit"}</definedName>
    <definedName name="_998__FDSAUDITLINK__" hidden="1">{"fdsup://Directions/FactSet Auditing Viewer?action=AUDIT_VALUE&amp;DB=129&amp;ID1=00786510&amp;VALUEID=02101&amp;SDATE=201001&amp;PERIODTYPE=QTR_STD&amp;window=popup_no_bar&amp;width=385&amp;height=120&amp;START_MAXIMIZED=FALSE&amp;creator=factset&amp;display_string=Audit"}</definedName>
    <definedName name="_999__FDSAUDITLINK__" hidden="1">{"fdsup://Directions/FactSet Auditing Viewer?action=AUDIT_VALUE&amp;DB=129&amp;ID1=00786510&amp;VALUEID=13040&amp;SDATE=201001&amp;PERIODTYPE=QTR_STD&amp;window=popup_no_bar&amp;width=385&amp;height=120&amp;START_MAXIMIZED=FALSE&amp;creator=factset&amp;display_string=Audit"}</definedName>
    <definedName name="_bdm.02E29E7B1053433EA3CCCBE4E5141596.edm" hidden="1">[3]Sheet1!$A:$IV</definedName>
    <definedName name="_bdm.09E5C45C421440A98E7F0AFFA019861E.edm" hidden="1">'[4]Fig16&amp;17.Store Closings'!$A:$IV</definedName>
    <definedName name="_bdm.0A2F11DA94EF47F4ADD86D073DA8EE13.edm" hidden="1">'[5]LTD Variance Chart Data'!$A:$IV</definedName>
    <definedName name="_bdm.0C4E7E1C4DE943AB9262F2D1C3D8FCB9.edm" hidden="1">[4]Fig12.Opportunities!$A:$IV</definedName>
    <definedName name="_bdm.182B17EABB4347F99D28512837886680.edm" localSheetId="17" hidden="1">bal!$A$6:$AY$60</definedName>
    <definedName name="_bdm.186193C0C6844AB18E99154BE239556B.edm" hidden="1" xml:space="preserve">                  '[6]Scenario Inputs'!$A:$IV</definedName>
    <definedName name="_bdm.1AB20FDD67594943AEC35BDDB68AB0DB.edm" hidden="1">'[4]Fig6.EBIT Rank'!$A:$IV</definedName>
    <definedName name="_bdm.1D8CE2C45CB1434C98B4307C73C41BB3.edm" hidden="1" xml:space="preserve">                  '[6]Scenario Inputs'!$A:$IV</definedName>
    <definedName name="_bdm.1DF4B3E45DCE4C2A9D635C38C907064B.edm" hidden="1">[6]LIZ!$A:$IV</definedName>
    <definedName name="_bdm.1DF5614D035E4CDAB51AD173E9D327AF.edm" hidden="1">bal!$1:$1048576</definedName>
    <definedName name="_bdm.239033D1CBDF4B34B065E13D4FA9D589.edm" hidden="1">'[5]COH Variance Chart Data'!$A:$IV</definedName>
    <definedName name="_bdm.240E5CC7D1A3433BA930B1D7FED87980.edm" hidden="1" xml:space="preserve">                    '[6]Scenario Inputs'!$A:$IV</definedName>
    <definedName name="_bdm.261112BAE8204F8280374C78A1E02552.edm" hidden="1" xml:space="preserve"> [7]C1000!$A:$IV</definedName>
    <definedName name="_bdm.297446E2985E45DCA44E1E58B339ED35.edm" hidden="1" xml:space="preserve">                                    '[6]Scenario Inputs'!$A:$IV</definedName>
    <definedName name="_bdm.2DDFFB15C42A449AADB01F909D897844.edm" hidden="1" xml:space="preserve">                                    '[6]Scenario Inputs'!$A:$IV</definedName>
    <definedName name="_bdm.2E7C90FB2FBF40FBA5DF4E0FFF7BAE00.edm" hidden="1">sumry!$1:$1048576</definedName>
    <definedName name="_bdm.36700029454B46269809EAC509E70B0B.edm" hidden="1" xml:space="preserve">                                    '[6]Scenario Inputs'!$A:$IV</definedName>
    <definedName name="_bdm.38FC3AFFD8DF49F6B1CB73376921CBB3.edm" hidden="1">'[8]Coverage Universe Comp'!$A:$IV</definedName>
    <definedName name="_bdm.3E93E922632840DDB386AA0D22B66DAF.edm" localSheetId="6" hidden="1">sumry!$A$4:$DO$52</definedName>
    <definedName name="_bdm.3FD6FD19527E4153A3DE12325D390C3B.edm" hidden="1">'[4]Fig2-5.MasterTable'!$A:$IV</definedName>
    <definedName name="_bdm.4176AC4C677F4FBC8C99A951BC121C6E.edm" hidden="1" xml:space="preserve">                                    '[6]Scenario Inputs'!$A:$IV</definedName>
    <definedName name="_bdm.42F67CCC3C1C45638B5EC98256E90947.edm" hidden="1">'[9]Good 12-00 (2)'!$A:$IV</definedName>
    <definedName name="_bdm.43FA48142E7E4CED84E86C6CCE4A15D5.edm" hidden="1">'[5]M Variance Chart Data'!$A:$IV</definedName>
    <definedName name="_bdm.45F879C38D3A4812B27EA401BBDB19F7.edm" hidden="1">'[4]Cover Graphic'!$A:$IV</definedName>
    <definedName name="_bdm.46D56600DB7840728F138544F8E425DB.edm" hidden="1">'[9]Good 11-36'!$A:$IV</definedName>
    <definedName name="_bdm.4B8C2E65EF0143F98473060540B37496.edm" localSheetId="18" hidden="1">flow!$A$5:$AV$58</definedName>
    <definedName name="_bdm.4B99839495EE4678957BB1F6E1667DD8.edm" hidden="1">'[4]RentExp Lvg'!$A:$IV</definedName>
    <definedName name="_bdm.5E484F745835481D8C92FBA9B375CAC5.edm" localSheetId="6" hidden="1">sumry!$A$5:$DO$51</definedName>
    <definedName name="_bdm.5F55189316304861B1E09137E617846B.edm" hidden="1" xml:space="preserve">                  '[6]Scenario Inputs'!$A:$IV</definedName>
    <definedName name="_bdm.60A1016E4A5045B0B4BE42FB21AAF6D6.edm" hidden="1">'[9]Good 11-50'!$A:$IV</definedName>
    <definedName name="_bdm.64A92FD8046240F88EA7789FFE56D180.edm" localSheetId="18" hidden="1">flow!$A$6:$AV$60</definedName>
    <definedName name="_bdm.7087D4AB48F64E19BD2C8BDFB7209C3F.edm" hidden="1" xml:space="preserve">                  '[6]Scenario Inputs'!$A:$IV</definedName>
    <definedName name="_bdm.72D868114C7B455FB2DD8E1894509A24.edm" hidden="1" xml:space="preserve">                  '[6]Scenario Inputs'!$A:$IV</definedName>
    <definedName name="_bdm.78E186D6F3BA4233AC085AA5F7D279CF.edm" hidden="1">'[4]Fig15&amp;18.StoreOpeningHist-NEW'!$A:$IV</definedName>
    <definedName name="_bdm.828EF922B3BF49D5A4BB507669E667E8.edm" hidden="1">'[6]UA Drivers'!$IV$1</definedName>
    <definedName name="_bdm.84245E63505C4AFEAADE86E343E612C8.edm" hidden="1">'[8]Earnings Snapshot'!$A:$IV</definedName>
    <definedName name="_bdm.8687948BCD8742E18EA9224162598EBE.edm" hidden="1">'[4]Fig19&amp;20.ScatterPlot'!$A:$IV</definedName>
    <definedName name="_bdm.88BE57C8E16441C3844ACB2DCE4DA074.edm" hidden="1" xml:space="preserve">                  '[6]Scenario Inputs'!$A:$IV</definedName>
    <definedName name="_bdm.97AD0DAB1241435BA1C94F8670EB0502.edm" hidden="1">'[4]Fig8-10 bps EPS Sensitivity'!$A:$IV</definedName>
    <definedName name="_bdm.97C86582AC43452BA2797AF618E504AB.edm" localSheetId="18" hidden="1">flow!$A$6:$AV$59</definedName>
    <definedName name="_bdm.9A0F9A3877A9479AB7B77DDF59A937D6.edm" hidden="1" xml:space="preserve">                  '[6]Scenario Inputs'!$A:$IV</definedName>
    <definedName name="_bdm.9CA2BF6AFE2F43A0A65D3FF54ED5790F.edm" localSheetId="6" hidden="1">sumry!$A$5:$DO$52</definedName>
    <definedName name="_bdm.9EB8FE0446E347D4B59325F189FA9F31.edm" hidden="1" xml:space="preserve">                  '[6]Scenario Inputs'!$A:$IV</definedName>
    <definedName name="_bdm.A2D0F3FA285649B7BDDF87BD9C153DE1.edm" hidden="1" xml:space="preserve">                                    '[6]Scenario Inputs'!$A:$IV</definedName>
    <definedName name="_bdm.A339904D6D0347AA9B2B187BC3316370.edm" hidden="1">[10]JWN!$A:$IV</definedName>
    <definedName name="_bdm.A772A7E12EE949A2B2ED88CF7248DD14.edm" hidden="1" xml:space="preserve">                                    '[6]Scenario Inputs'!$A:$IV</definedName>
    <definedName name="_bdm.AF41298052B5438BB5863CF33374793F.edm" hidden="1">[10]JCP!$A:$IV</definedName>
    <definedName name="_bdm.B232A23EC303428E9F3B15E3162F750B.edm" hidden="1">[5]Tables!$A:$IV</definedName>
    <definedName name="_bdm.B8E7F8D146B34C039CAD519CB46A2D63.edm" hidden="1" xml:space="preserve">                                    '[6]Scenario Inputs'!$A:$IV</definedName>
    <definedName name="_bdm.BECDFB299BC8487081328254380CF1F6.edm" hidden="1">'[4]Fig13.Leverage Rank'!$A:$IV</definedName>
    <definedName name="_bdm.C0E5558C5A05438FA9D69C832B6CF50D.edm" localSheetId="17" hidden="1">bal!$A$6:$AY$59</definedName>
    <definedName name="_bdm.C7B678A8788343FAB6E99310D0509373.edm" hidden="1">'[4]Fig14.Bps Lvg. Dlvg.'!$A:$IV</definedName>
    <definedName name="_bdm.C7C6FBA36F39444B8BCEC128D5B7F931.edm" hidden="1">'[9]Sheet3 (5)'!$A:$IV</definedName>
    <definedName name="_bdm.CAE03F0575B34E2EB73B795BFC429D12.edm" localSheetId="17" hidden="1">bal!$A$5:$AW$60</definedName>
    <definedName name="_bdm.CF0CD3A002164F568BA1B667954CBCE6.edm" localSheetId="18" hidden="1">flow!$A$5:$AV$60</definedName>
    <definedName name="_bdm.D49DCDB7FF224CB1BC63C5534A11A85A.edm" hidden="1" xml:space="preserve">                  '[6]Scenario Inputs'!$A:$IV</definedName>
    <definedName name="_bdm.E0B0E8A77D684FB58AA9469766A75613.edm" hidden="1">'[8]Relative Risk Reward Chart'!$A:$IV</definedName>
    <definedName name="_bdm.E12FB90E97504D9FB610451A2A55636E.edm" hidden="1">'[8]For 2010 Report - misc calc'!$A:$IV</definedName>
    <definedName name="_bdm.EAD1FD3B1C5B4B008EDB79939D83C388.edm" hidden="1" xml:space="preserve">                  '[6]Scenario Inputs'!$A:$IV</definedName>
    <definedName name="_bdm.EF325A886A3842DD8CC90984D4D28C9C.edm" hidden="1">[11]Bear_to_Bull_Data!$A:$IV</definedName>
    <definedName name="_bdm.F30073110F694A8597AF2E62515D28EF.edm" hidden="1">[11]Value_of_Growth_Data!$A:$IV</definedName>
    <definedName name="_bdm.F55FE763DC0A44018A5C102BC73B8238.edm" localSheetId="6" hidden="1">sumry!$A$5:$DO$68</definedName>
    <definedName name="_bdm.F7D5421EF44340C08F3C7765263FBF64.edm" hidden="1">flow!$1:$1048576</definedName>
    <definedName name="_bdm.FB89892EBDAE4620819709C7B13FFB90.edm" hidden="1">'[11]Comparative_Risk-Reward_Data'!$A:$IV</definedName>
    <definedName name="_bdm.FC5CA615F4824D84868898D9DFAE1BAC.edm" hidden="1" xml:space="preserve">                  '[6]Scenario Inputs'!$A:$IV</definedName>
    <definedName name="_bdm.FE2CE930D155417CB1C4D24A021793F8.edm" hidden="1">'[5]TJX Variance Chart Data'!$A:$IV</definedName>
    <definedName name="_xlnm._FilterDatabase" localSheetId="6" hidden="1">sumry!$G$1:$K$93</definedName>
    <definedName name="_Order1" hidden="1">255</definedName>
    <definedName name="a">{"Client Name or Project Name"}</definedName>
    <definedName name="AAB_GSPPG" hidden="1">"AAB_Goldman Sachs PPG Chart Utilities 1.0g"</definedName>
    <definedName name="abc"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Act_Price" localSheetId="25">OFFSET(Date_Range,0,1,,1)</definedName>
    <definedName name="Act_Price">OFFSET(Date_Range,0,1,,1)</definedName>
    <definedName name="AdditionalInstructions">IndexInformation!$B$42</definedName>
    <definedName name="Address" localSheetId="0">ImportantDisclosures!$A$2:$A$2</definedName>
    <definedName name="adfda">{"Client Name or Project Name"}</definedName>
    <definedName name="ANA" localSheetId="29">ModPubIndex!$A$7</definedName>
    <definedName name="ann_is_short">[12]Income!$C$1:$H$105</definedName>
    <definedName name="anscount">1</definedName>
    <definedName name="Authors" localSheetId="0">ImportantDisclosures!$A$7</definedName>
    <definedName name="Authors" localSheetId="28">IndexInformation!$B$18</definedName>
    <definedName name="Avg">"Avg"</definedName>
    <definedName name="BRO" localSheetId="29">ModPubIndex!$A$1</definedName>
    <definedName name="check" localSheetId="23">'MWA Lease'!$H$190:$P$190</definedName>
    <definedName name="comps_1">[12]Income!$A$119:$IV$119</definedName>
    <definedName name="comps_2">[12]Income!$A$120:$IV$120</definedName>
    <definedName name="comps_3">[12]Income!$A$121:$IV$121</definedName>
    <definedName name="CopyrightStamp">ImportantDisclosures!$A$27</definedName>
    <definedName name="COU" localSheetId="29">ModPubIndex!$A$5</definedName>
    <definedName name="CQEnd" localSheetId="28">IndexInformation!$B$31</definedName>
    <definedName name="Currency" localSheetId="28">IndexInformation!$B$24</definedName>
    <definedName name="CurrentStockPrice" localSheetId="28">IndexInformation!$B$23</definedName>
    <definedName name="CurrQtrEPS" localSheetId="28">IndexInformation!$B$29</definedName>
    <definedName name="CurrYearEPS" localSheetId="28">IndexInformation!$B$11</definedName>
    <definedName name="CurrYearTotalRevenue" localSheetId="28">IndexInformation!$B$10</definedName>
    <definedName name="CurrYearTotalRevenueActual" localSheetId="28">IndexInformation!$B$32</definedName>
    <definedName name="CUSIP" localSheetId="28">IndexInformation!$B$20</definedName>
    <definedName name="CYEnd" localSheetId="28">IndexInformation!$B$30</definedName>
    <definedName name="d">'[13]LEASES NEW'!$A$19</definedName>
    <definedName name="dataseries_minus_space_2">OFFSET([6]LIZ!$AE$31,0,0,COUNTA([6]LIZ!$AE$31:$AE$37)+1,1)</definedName>
    <definedName name="dataseries4">OFFSET([14]c1!$G$12,0,0,COUNTA([14]c1!$G$12:$G$31),1)</definedName>
    <definedName name="Date" localSheetId="0">ImportantDisclosures!$A$8</definedName>
    <definedName name="Deleted" localSheetId="28">IndexInformation!$B$27</definedName>
    <definedName name="Description" localSheetId="28">IndexInformation!$B$7</definedName>
    <definedName name="DEVELOPMENT">5</definedName>
    <definedName name="Discipline" localSheetId="28">IndexInformation!$B$3</definedName>
    <definedName name="DISCIPLINE" localSheetId="29">ModPubIndex!$A$12</definedName>
    <definedName name="DisclosuresText">ImportantDisclosures!$A$22</definedName>
    <definedName name="Distribution" localSheetId="28">IndexInformation!$B$26</definedName>
    <definedName name="DistTable" localSheetId="0">ImportantDisclosures!#REF!</definedName>
    <definedName name="DistTablePreamble" localSheetId="0">ImportantDisclosures!#REF!</definedName>
    <definedName name="Djzh15" xlm="1" functionGroupId="14">0</definedName>
    <definedName name="Djzh16" xlm="1" functionGroupId="14">0</definedName>
    <definedName name="DOCDAT" localSheetId="29">ModPubIndex!$A$2</definedName>
    <definedName name="DOCTIME" localSheetId="29">ModPubIndex!$A$3</definedName>
    <definedName name="DocType" localSheetId="28">IndexInformation!$B$5</definedName>
    <definedName name="Download_series">[15]!Download_series</definedName>
    <definedName name="e">[12]Income!$EP$106</definedName>
    <definedName name="EMAIL_ALERT" localSheetId="29">ModPubIndex!$A$10</definedName>
    <definedName name="EmailAlert" localSheetId="28">IndexInformation!$B$28</definedName>
    <definedName name="ExpandModel">#N/A</definedName>
    <definedName name="ExpandOutputs">#N/A</definedName>
    <definedName name="ExpandVPeriods">#N/A</definedName>
    <definedName name="ExportFile">#N/A</definedName>
    <definedName name="ｆ" hidden="1">"iQShowAnnual"</definedName>
    <definedName name="FINCopyDirection">1</definedName>
    <definedName name="FINCriteriaType">1</definedName>
    <definedName name="FiveYearGrowthRate" localSheetId="28">IndexInformation!$B$16</definedName>
    <definedName name="FollowingYearEPS" localSheetId="28">IndexInformation!$B$15</definedName>
    <definedName name="FollowingYearTotalRevenue" localSheetId="28">IndexInformation!$B$14</definedName>
    <definedName name="FollowingYearTotalRevenueActual" localSheetId="28">IndexInformation!$B$34</definedName>
    <definedName name="Growth_ROIC" localSheetId="23">OFFSET([0]!XRange,10,0)</definedName>
    <definedName name="HL" localSheetId="29">ModPubIndex!$A$8</definedName>
    <definedName name="ImportFile">#N/A</definedName>
    <definedName name="income">[12]Income!$A:$IV</definedName>
    <definedName name="IND" localSheetId="29">ModPubIndex!$A$9</definedName>
    <definedName name="Industry" localSheetId="0">ImportantDisclosures!$A$12</definedName>
    <definedName name="IndustryId">IndexInformation!$B$40</definedName>
    <definedName name="IndustryRating" localSheetId="0">ImportantDisclosures!$A$13</definedName>
    <definedName name="InvestCapGrowth" localSheetId="23">OFFSET([0]!XRange2,4,0)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localSheetId="23" hidden="1">"c3460"</definedName>
    <definedName name="IQ_CAPITALIZED_INTEREST" localSheetId="25">"c3460"</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W_ACT_OR_EST" hidden="1">"c4306"</definedName>
    <definedName name="IQ_EBIT_INT" hidden="1">"c360"</definedName>
    <definedName name="IQ_EBIT_MARGIN" hidden="1">"c359"</definedName>
    <definedName name="IQ_EBIT_OVER_IE" hidden="1">"c1369"</definedName>
    <definedName name="IQ_EBIT_SBC_ACT_OR_EST" hidden="1">"c4316"</definedName>
    <definedName name="IQ_EBIT_SBC_GW_ACT_OR_EST" hidden="1">"c4320"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"c2213"</definedName>
    <definedName name="IQ_EPS_EST" hidden="1">"c399"</definedName>
    <definedName name="IQ_EPS_EST_REUT" hidden="1">"c5453"</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UM_EST" hidden="1">"c402"</definedName>
    <definedName name="IQ_EPS_NUM_EST_REUT" hidden="1">"c5451"</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EPS">"c1648"</definedName>
    <definedName name="IQ_EST_CURRENCY" hidden="1">"c2140"</definedName>
    <definedName name="IQ_EST_CURRENCY_REUT" hidden="1">"c5437"</definedName>
    <definedName name="IQ_EST_DATE" hidden="1">"c1634"</definedName>
    <definedName name="IQ_EST_DATE_REUT" hidden="1">"c5438"</definedName>
    <definedName name="IQ_EST_EPS_DIFF">"c1864"</definedName>
    <definedName name="IQ_EST_EPS_GROWTH_1YR" hidden="1">"c1636"</definedName>
    <definedName name="IQ_EST_EPS_GROWTH_1YR_REUT" hidden="1">"c3646"</definedName>
    <definedName name="IQ_EST_EPS_GROWTH_5YR" hidden="1">"c1655"</definedName>
    <definedName name="IQ_EST_EPS_GROWTH_5YR_REUT" hidden="1">"c3633"</definedName>
    <definedName name="IQ_EST_EPS_GROWTH_Q_1YR" hidden="1">"c1641"</definedName>
    <definedName name="IQ_EST_EPS_GROWTH_Q_1YR_REUT" hidden="1">"c5410"</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DJ_ACT_OR_EST" hidden="1">"c4435"</definedName>
    <definedName name="IQ_FFO_PAYOUT_RATIO" hidden="1">"c3492"</definedName>
    <definedName name="IQ_FFO_SHARE_ACT_OR_EST" hidden="1">"c4446"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BC_ACT_OR_EST" hidden="1">"c4474"</definedName>
    <definedName name="IQ_NI_SBC_GW_ACT_OR_EST" hidden="1">"c4478"</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localSheetId="23" hidden="1">"c2895"</definedName>
    <definedName name="IQ_RETAIL_ACQUIRED_FRANCHISE_STORES" localSheetId="25">"c2895"</definedName>
    <definedName name="IQ_RETAIL_ACQUIRED_FRANCHISE_STORES" hidden="1">"c2903"</definedName>
    <definedName name="IQ_RETAIL_ACQUIRED_OWNED_STORES" localSheetId="23" hidden="1">"c2903"</definedName>
    <definedName name="IQ_RETAIL_ACQUIRED_OWNED_STORES" localSheetId="25">"c2903"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localSheetId="23" hidden="1">39489.6256597222</definedName>
    <definedName name="IQ_REVISION_DATE_" localSheetId="25">39489.6256597222</definedName>
    <definedName name="IQ_REVISION_DATE_" hidden="1">39244.4711574074</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eepVersions" localSheetId="28">IndexInformation!$B$8</definedName>
    <definedName name="LanguageCode">IndexInformation!$B$38</definedName>
    <definedName name="LastCell" localSheetId="0">ImportantDisclosures!$A$22</definedName>
    <definedName name="Linking_1">bal!$A$6:$BK$59</definedName>
    <definedName name="Linking_2">flow!$A$6:$BJ$59</definedName>
    <definedName name="Linking_3">sumry!$A$5:$DV$51</definedName>
    <definedName name="Linking_4">sumry!$A$5:$DW$51</definedName>
    <definedName name="Linking_5">flow!$A$6:$BL$59</definedName>
    <definedName name="Linking_6">bal!$A$6:$BM$59</definedName>
    <definedName name="Linking_7">BullBaseBear!$W$2:$AB$39</definedName>
    <definedName name="Linking_8">BullBaseBear!$W$2:$AB$40</definedName>
    <definedName name="Linking_Range_1" localSheetId="25">[12]Income!$A$2:$AH$87</definedName>
    <definedName name="Linking_Range_1">sumry!$A$4:$DQ$72</definedName>
    <definedName name="Linking_Range_10">flow!$C$6:$AZ$59</definedName>
    <definedName name="Linking_Range_11">flow!$A$6:$AZ$59</definedName>
    <definedName name="Linking_Range_12">bal!$A$6:$AW$62</definedName>
    <definedName name="Linking_Range_13">bal!$B$6:$BG$59</definedName>
    <definedName name="Linking_Range_14">flow!$A$6:$BF$59</definedName>
    <definedName name="Linking_Range_15">bal!$A$6:$BG$59</definedName>
    <definedName name="Linking_Range_16">Earnings!$B$2:$L$39</definedName>
    <definedName name="Linking_Range_17">flow!$A$6:$BB$59</definedName>
    <definedName name="Linking_Range_18">bal!$A$6:$BC$59</definedName>
    <definedName name="Linking_Range_19">sumry!$A$4:$DT$75</definedName>
    <definedName name="Linking_Range_2" localSheetId="25">[12]Income!$AN$2:$GE$87</definedName>
    <definedName name="Linking_Range_2">sumry!$A$5:$DO$52</definedName>
    <definedName name="Linking_Range_20">sumry!$A$5:$DT$51</definedName>
    <definedName name="Linking_Range_21">bal!$A$6:$BE$59</definedName>
    <definedName name="Linking_Range_22">flow!$A$5:$BD$59</definedName>
    <definedName name="Linking_Range_23">'qtrP&amp;L'!$CT$6:$DD$24</definedName>
    <definedName name="Linking_Range_24">sumry!$A$5:$DU$51</definedName>
    <definedName name="Linking_Range_25">bal!$A$6:$BI$59</definedName>
    <definedName name="Linking_Range_26">flow!$A$6:$BH$59</definedName>
    <definedName name="Linking_Range_3" localSheetId="25">'[4]Fig2-5.MasterTable'!$B$424:$AQ$492</definedName>
    <definedName name="Linking_Range_3">sumry!$A$4:$DO$51</definedName>
    <definedName name="Linking_Range_4">sumry!$A$5:$DO$51</definedName>
    <definedName name="Linking_Range_5">sumry!$A$5:$DP$51</definedName>
    <definedName name="Linking_Range_6">bal!$A$6:$AW$59</definedName>
    <definedName name="Linking_Range_7">bal!$B$6:$AW$60</definedName>
    <definedName name="Linking_Range_8">flow!$A$5:$AV$59</definedName>
    <definedName name="Linking_Range_9">sumry!$A$5:$DQ$51</definedName>
    <definedName name="lookup_period">[12]Income!$A$1:$IV$1</definedName>
    <definedName name="MacroVersion" localSheetId="28">IndexInformation!$B$1</definedName>
    <definedName name="me">"Button 5"</definedName>
    <definedName name="ModelPrice" localSheetId="0">ImportantDisclosures!$A$14</definedName>
    <definedName name="MtCap">10000000000</definedName>
    <definedName name="Multiplier" localSheetId="28">IndexInformation!$B$35</definedName>
    <definedName name="NextYearEPS" localSheetId="28">IndexInformation!$B$13</definedName>
    <definedName name="NextYearTotalRevenue" localSheetId="28">IndexInformation!$B$12</definedName>
    <definedName name="NextYearTotalRevenueActual" localSheetId="28">IndexInformation!$B$33</definedName>
    <definedName name="NVCURR">[16]I!$B$1:$U$51</definedName>
    <definedName name="ObjectType">IndexInformation!$B$37</definedName>
    <definedName name="OpMargin" localSheetId="23">OFFSET([0]!XRange2,5,0)</definedName>
    <definedName name="PANA" localSheetId="29">ModPubIndex!$A$11</definedName>
    <definedName name="PathName" localSheetId="28">IndexInformation!$B$25</definedName>
    <definedName name="Phase1NPVFCF" localSheetId="23">OFFSET([0]!XRange,39,0)</definedName>
    <definedName name="Phase2NPVFCF" localSheetId="23">OFFSET([0]!XRange,40,0)</definedName>
    <definedName name="Phase3NPVFCF" localSheetId="23">OFFSET([0]!XRange,41,0)</definedName>
    <definedName name="_xlnm.Print_Area" localSheetId="17">bal!$A$1:$AW$62</definedName>
    <definedName name="_xlnm.Print_Area" localSheetId="22">DebtPayment!$A$1:$T$23</definedName>
    <definedName name="_xlnm.Print_Area" localSheetId="19">dtc!$A$1:$AV$68</definedName>
    <definedName name="_xlnm.Print_Area" localSheetId="1">Earnings!$B$1:$N$39</definedName>
    <definedName name="_xlnm.Print_Area" localSheetId="18">flow!$A$1:$AV$63</definedName>
    <definedName name="_xlnm.Print_Area" localSheetId="7">mthSales!$A$1:$GD$33</definedName>
    <definedName name="_xlnm.Print_Area" localSheetId="13">'qtrP&amp;L'!$A$1:$CW$265</definedName>
    <definedName name="_xlnm.Print_Area" localSheetId="10">qtrSales!$A$1:$AN$221</definedName>
    <definedName name="_xlnm.Print_Area" localSheetId="9">segqtrSales!$A$383:$AN$431</definedName>
    <definedName name="_xlnm.Print_Area" localSheetId="11">'segSales&amp;OM'!$A$1:$DZ$256</definedName>
    <definedName name="_xlnm.Print_Area" localSheetId="16">'store&amp;sf'!$A$1:$DJ$153</definedName>
    <definedName name="_xlnm.Print_Area" localSheetId="6">sumry!$A$1:$DT$75</definedName>
    <definedName name="_xlnm.Print_Area" localSheetId="21">turn!$A$1:$AJ$216</definedName>
    <definedName name="_xlnm.Print_Area" localSheetId="20">work!$A$1:$CN$54</definedName>
    <definedName name="_xlnm.Print_Area" localSheetId="14">'yrP&amp;L'!$A$1:$AM$97</definedName>
    <definedName name="_xlnm.Print_Area" localSheetId="15">yrSales!$A$1:$AW$149</definedName>
    <definedName name="_xlnm.Print_Area">#REF!</definedName>
    <definedName name="_xlnm.Print_Titles" localSheetId="17">bal!$1:$6</definedName>
    <definedName name="_xlnm.Print_Titles" localSheetId="7">mthSales!$A:$E</definedName>
    <definedName name="_xlnm.Print_Titles" localSheetId="13">'qtrP&amp;L'!$A:$C,'qtrP&amp;L'!$1:$6</definedName>
    <definedName name="_xlnm.Print_Titles" localSheetId="10">qtrSales!$1:$17</definedName>
    <definedName name="_xlnm.Print_Titles" localSheetId="8">segmthSales!$1:$8</definedName>
    <definedName name="_xlnm.Print_Titles" localSheetId="9">segqtrSales!$1:$8</definedName>
    <definedName name="_xlnm.Print_Titles" localSheetId="11">'segSales&amp;OM'!$A:$C</definedName>
    <definedName name="_xlnm.Print_Titles" localSheetId="16">'store&amp;sf'!$1:$6</definedName>
    <definedName name="_xlnm.Print_Titles" localSheetId="21">turn!$1:$9</definedName>
    <definedName name="_xlnm.Print_Titles">#REF!</definedName>
    <definedName name="PRODUCT" localSheetId="29">ModPubIndex!$A$6</definedName>
    <definedName name="ProImportExport.ImportFile">#N/A</definedName>
    <definedName name="ProImportExport.SaveNewFile">#N/A</definedName>
    <definedName name="ProjectName" localSheetId="25">{"Client Name or Project Name"}</definedName>
    <definedName name="ProjectName">{"Client Name or Project Name"}</definedName>
    <definedName name="PSYM" localSheetId="29">ModPubIndex!$A$4</definedName>
    <definedName name="PublishDate" localSheetId="28">IndexInformation!$B$2</definedName>
    <definedName name="qtr_store_model">[12]Income!$BQ$103:$CB$171</definedName>
    <definedName name="Rating" localSheetId="28">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l_Forw" localSheetId="25">OFFSET(Date_Range,0,10,,1)</definedName>
    <definedName name="Rel_Forw">OFFSET(Date_Range,0,10,,1)</definedName>
    <definedName name="Rem_Bus_ROIC" localSheetId="23">OFFSET([0]!XRange,11,0)</definedName>
    <definedName name="RepairedName0359" hidden="1">"iQShowAnnual"</definedName>
    <definedName name="ResearchTopic" localSheetId="28">IndexInformation!$B$4</definedName>
    <definedName name="RIC" localSheetId="28">IndexInformation!$B$21</definedName>
    <definedName name="rngAppName" localSheetId="23">'MWA Lease'!$A$1</definedName>
    <definedName name="rngCompany" localSheetId="23">'MWA Lease'!$F$6</definedName>
    <definedName name="rngTicker" localSheetId="23">'MWA Lease'!$I$3</definedName>
    <definedName name="s">{"Client Name or Project Name"}</definedName>
    <definedName name="sales_1">[12]Income!$A$113:$IV$113</definedName>
    <definedName name="sales_2">[12]Income!$A$114:$IV$114</definedName>
    <definedName name="sales_3">[12]Income!$A$115:$IV$115</definedName>
    <definedName name="SaveNewFile">#N/A</definedName>
    <definedName name="SECSettlement" localSheetId="0">ImportantDisclosures!#REF!</definedName>
    <definedName name="SEDOL" localSheetId="28">IndexInformation!$B$22</definedName>
    <definedName name="SedolTicker" localSheetId="23">'MWA Lease'!$F$4</definedName>
    <definedName name="SourceDefined" localSheetId="0">ImportantDisclosures!$A$19</definedName>
    <definedName name="Sp">"       "</definedName>
    <definedName name="StockRating" localSheetId="0">ImportantDisclosures!$A$11</definedName>
    <definedName name="SubjectCode" localSheetId="28">IndexInformation!$B$6</definedName>
    <definedName name="SubmitterUserId">IndexInformation!$B$39</definedName>
    <definedName name="SUPPRESSED" localSheetId="29">ModPubIndex!$A$13</definedName>
    <definedName name="TargetPrice" localSheetId="0">ImportantDisclosures!$A$15</definedName>
    <definedName name="TemplateRegion">IndexInformation!$B$36</definedName>
    <definedName name="Ticker" localSheetId="0">ImportantDisclosures!$A$10</definedName>
    <definedName name="TickerRegion">IndexInformation!$B$41</definedName>
    <definedName name="Tickers" localSheetId="28">IndexInformation!$B$19</definedName>
    <definedName name="Total_Bus_ROIC" localSheetId="23">OFFSET([0]!XRange,12,0)</definedName>
    <definedName name="Update_This">[15]!Update_This</definedName>
    <definedName name="UpdateReason" localSheetId="28">IndexInformation!$B$17</definedName>
    <definedName name="USRegDisclosures" localSheetId="0">ImportantDisclosures!#REF!</definedName>
    <definedName name="Version">"June 29, 2004"</definedName>
    <definedName name="WACC" localSheetId="23">OFFSET([0]!XRange,13,0)</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Industry.xls." hidden="1">{#N/A,#N/A,FALSE,"Earnings";#N/A,#N/A,FALSE,"Overview";#N/A,#N/A,FALSE,"Summary";#N/A,#N/A,FALSE,"Summary II";#N/A,#N/A,FALSE,"R&amp;D";#N/A,#N/A,FALSE,"R&amp;D Forecast";#N/A,#N/A,FALSE,"Tax Adj";#N/A,#N/A,FALSE,"Goodwill";#N/A,#N/A,FALSE,"FX ";#N/A,#N/A,FALSE,"Consolidation";#N/A,#N/A,FALSE,"Provisions"}</definedName>
    <definedName name="xaxislabels">OFFSET([6]LIZ!$AD$31,0,0,COUNTA([6]LIZ!$AD$31:$AD$37)+1,1)</definedName>
  </definedNames>
  <calcPr calcId="145621"/>
</workbook>
</file>

<file path=xl/calcChain.xml><?xml version="1.0" encoding="utf-8"?>
<calcChain xmlns="http://schemas.openxmlformats.org/spreadsheetml/2006/main">
  <c r="R72" i="85" l="1"/>
  <c r="Q72" i="85"/>
  <c r="Q113" i="85"/>
  <c r="HM28" i="38" l="1"/>
  <c r="HM23" i="38"/>
  <c r="HM18" i="38"/>
  <c r="HM13" i="38"/>
  <c r="HK11" i="38" l="1"/>
  <c r="F4" i="102" l="1"/>
  <c r="G4" i="102"/>
  <c r="H4" i="102"/>
  <c r="I4" i="102"/>
  <c r="J4" i="102"/>
  <c r="J8" i="102" s="1"/>
  <c r="J9" i="102" s="1"/>
  <c r="K4" i="102"/>
  <c r="K8" i="102" s="1"/>
  <c r="K9" i="102" s="1"/>
  <c r="L4" i="102"/>
  <c r="L8" i="102" s="1"/>
  <c r="L9" i="102" s="1"/>
  <c r="E4" i="102"/>
  <c r="F15" i="102"/>
  <c r="G15" i="102"/>
  <c r="H15" i="102"/>
  <c r="I15" i="102"/>
  <c r="J15" i="102"/>
  <c r="K15" i="102"/>
  <c r="L15" i="102"/>
  <c r="E15" i="102"/>
  <c r="E14" i="102"/>
  <c r="O14" i="102"/>
  <c r="N14" i="102"/>
  <c r="M14" i="102"/>
  <c r="L14" i="102"/>
  <c r="K14" i="102"/>
  <c r="J14" i="102"/>
  <c r="I14" i="102"/>
  <c r="H14" i="102"/>
  <c r="G14" i="102"/>
  <c r="F14" i="102"/>
  <c r="O13" i="102"/>
  <c r="N13" i="102"/>
  <c r="M13" i="102"/>
  <c r="L13" i="102"/>
  <c r="K13" i="102"/>
  <c r="J13" i="102"/>
  <c r="H13" i="102"/>
  <c r="F13" i="102"/>
  <c r="I13" i="102"/>
  <c r="G13" i="102"/>
  <c r="E13" i="102"/>
  <c r="E12" i="102"/>
  <c r="G12" i="102"/>
  <c r="H12" i="102"/>
  <c r="I12" i="102"/>
  <c r="J12" i="102"/>
  <c r="K12" i="102"/>
  <c r="L12" i="102"/>
  <c r="F12" i="102"/>
  <c r="L11" i="102"/>
  <c r="K11" i="102"/>
  <c r="J11" i="102"/>
  <c r="I11" i="102"/>
  <c r="H11" i="102"/>
  <c r="G11" i="102"/>
  <c r="F11" i="102"/>
  <c r="E11" i="102"/>
  <c r="F8" i="102"/>
  <c r="F9" i="102" s="1"/>
  <c r="G8" i="102"/>
  <c r="G9" i="102" s="1"/>
  <c r="H8" i="102"/>
  <c r="H9" i="102" s="1"/>
  <c r="I8" i="102"/>
  <c r="I9" i="102" s="1"/>
  <c r="F7" i="102"/>
  <c r="G7" i="102"/>
  <c r="H7" i="102"/>
  <c r="I7" i="102"/>
  <c r="J7" i="102"/>
  <c r="K7" i="102"/>
  <c r="L7" i="102"/>
  <c r="N7" i="102"/>
  <c r="O7" i="102"/>
  <c r="G6" i="102"/>
  <c r="H6" i="102"/>
  <c r="I6" i="102"/>
  <c r="J6" i="102"/>
  <c r="K6" i="102"/>
  <c r="L6" i="102"/>
  <c r="N6" i="102"/>
  <c r="O6" i="102"/>
  <c r="E6" i="102"/>
  <c r="F6" i="102"/>
  <c r="G5" i="102"/>
  <c r="H5" i="102"/>
  <c r="I5" i="102"/>
  <c r="J5" i="102"/>
  <c r="K5" i="102"/>
  <c r="L5" i="102"/>
  <c r="M5" i="102"/>
  <c r="N5" i="102"/>
  <c r="O5" i="102"/>
  <c r="E5" i="102"/>
  <c r="F5" i="102"/>
  <c r="G3" i="102"/>
  <c r="H3" i="102"/>
  <c r="I3" i="102"/>
  <c r="J3" i="102"/>
  <c r="K3" i="102"/>
  <c r="L3" i="102"/>
  <c r="E3" i="102"/>
  <c r="F3" i="102"/>
  <c r="I16" i="102"/>
  <c r="I17" i="102" s="1"/>
  <c r="E8" i="102"/>
  <c r="E9" i="102" s="1"/>
  <c r="E20" i="102" s="1"/>
  <c r="H16" i="102"/>
  <c r="H17" i="102" s="1"/>
  <c r="G16" i="102"/>
  <c r="G17" i="102" s="1"/>
  <c r="F16" i="102"/>
  <c r="F17" i="102" s="1"/>
  <c r="E16" i="102"/>
  <c r="E17" i="102" s="1"/>
  <c r="E18" i="102" s="1"/>
  <c r="F1" i="102"/>
  <c r="G1" i="102" s="1"/>
  <c r="H1" i="102" s="1"/>
  <c r="I1" i="102" s="1"/>
  <c r="J1" i="102" s="1"/>
  <c r="K1" i="102" s="1"/>
  <c r="L1" i="102" s="1"/>
  <c r="M1" i="102" s="1"/>
  <c r="N1" i="102" s="1"/>
  <c r="O1" i="102" s="1"/>
  <c r="J16" i="102" l="1"/>
  <c r="J17" i="102" s="1"/>
  <c r="L20" i="102"/>
  <c r="K16" i="102"/>
  <c r="K17" i="102" s="1"/>
  <c r="I18" i="102"/>
  <c r="I20" i="102" s="1"/>
  <c r="G18" i="102"/>
  <c r="G20" i="102" s="1"/>
  <c r="J18" i="102"/>
  <c r="J20" i="102" s="1"/>
  <c r="H18" i="102"/>
  <c r="H20" i="102" s="1"/>
  <c r="K18" i="102"/>
  <c r="K20" i="102" s="1"/>
  <c r="F18" i="102"/>
  <c r="F20" i="102" s="1"/>
  <c r="L16" i="102"/>
  <c r="L17" i="102" s="1"/>
  <c r="L18" i="102" s="1"/>
  <c r="E7" i="102"/>
  <c r="BE56" i="17"/>
  <c r="BG56" i="17"/>
  <c r="BF9" i="22"/>
  <c r="BF46" i="22"/>
  <c r="BF50" i="22"/>
  <c r="BF41" i="22"/>
  <c r="BF40" i="22"/>
  <c r="BF15" i="22"/>
  <c r="AC30" i="20"/>
  <c r="HK10" i="38" l="1"/>
  <c r="U46" i="89" l="1"/>
  <c r="N46" i="89"/>
  <c r="BD240" i="47"/>
  <c r="BC240" i="47"/>
  <c r="BA240" i="47"/>
  <c r="AE31" i="20"/>
  <c r="EE15" i="29"/>
  <c r="EE16" i="29"/>
  <c r="ED15" i="29"/>
  <c r="ED16" i="29"/>
  <c r="DH247" i="47" l="1"/>
  <c r="DH246" i="47"/>
  <c r="DH245" i="47"/>
  <c r="DH244" i="47"/>
  <c r="G84" i="89" l="1"/>
  <c r="G83" i="89"/>
  <c r="G82" i="89"/>
  <c r="G81" i="89"/>
  <c r="F81" i="89"/>
  <c r="F82" i="89" s="1"/>
  <c r="F83" i="89" s="1"/>
  <c r="F84" i="89" s="1"/>
  <c r="E82" i="89"/>
  <c r="E83" i="89"/>
  <c r="E81" i="89"/>
  <c r="D84" i="89"/>
  <c r="D83" i="89"/>
  <c r="D82" i="89"/>
  <c r="D81" i="89"/>
  <c r="C84" i="89"/>
  <c r="C83" i="89"/>
  <c r="C82" i="89"/>
  <c r="C81" i="89"/>
  <c r="E120" i="89"/>
  <c r="E121" i="89" s="1"/>
  <c r="E122" i="89" s="1"/>
  <c r="E119" i="89"/>
  <c r="D121" i="89"/>
  <c r="D122" i="89" s="1"/>
  <c r="D120" i="89"/>
  <c r="D119" i="89"/>
  <c r="X363" i="45"/>
  <c r="L364" i="45"/>
  <c r="J364" i="45"/>
  <c r="BG85" i="17"/>
  <c r="BG84" i="17"/>
  <c r="BG83" i="17"/>
  <c r="BE26" i="17"/>
  <c r="BG26" i="17"/>
  <c r="M4" i="100"/>
  <c r="E79" i="89"/>
  <c r="BF66" i="36"/>
  <c r="BF60" i="36"/>
  <c r="BF54" i="36"/>
  <c r="BF48" i="36"/>
  <c r="BF30" i="36"/>
  <c r="BF36" i="36" s="1"/>
  <c r="H203" i="9"/>
  <c r="DF43" i="34"/>
  <c r="DF49" i="34"/>
  <c r="DG43" i="34"/>
  <c r="DH43" i="34"/>
  <c r="DG37" i="34"/>
  <c r="DH37" i="34"/>
  <c r="DG31" i="34"/>
  <c r="DH31" i="34"/>
  <c r="DF31" i="34"/>
  <c r="DG25" i="34"/>
  <c r="DH25" i="34"/>
  <c r="DG19" i="34"/>
  <c r="DH19" i="34"/>
  <c r="DG13" i="34"/>
  <c r="DH13" i="34"/>
  <c r="DC240" i="47"/>
  <c r="CV240" i="47"/>
  <c r="DN123" i="29"/>
  <c r="DN83" i="29"/>
  <c r="DP33" i="29"/>
  <c r="DO33" i="29"/>
  <c r="DO23" i="29"/>
  <c r="E84" i="89" l="1"/>
  <c r="Z30" i="20" l="1"/>
  <c r="AA30" i="20"/>
  <c r="AB30" i="20"/>
  <c r="BO127" i="40"/>
  <c r="BQ125" i="40"/>
  <c r="BR125" i="40" s="1"/>
  <c r="BS125" i="40" s="1"/>
  <c r="BP125" i="40"/>
  <c r="C79" i="89"/>
  <c r="DH179" i="45"/>
  <c r="BD183" i="45"/>
  <c r="L241" i="47"/>
  <c r="DO99" i="37" s="1"/>
  <c r="L240" i="47"/>
  <c r="S488" i="46"/>
  <c r="S373" i="46"/>
  <c r="S190" i="46"/>
  <c r="AG241" i="47"/>
  <c r="W240" i="47"/>
  <c r="DV51" i="37"/>
  <c r="HE27" i="38"/>
  <c r="CQ30" i="28" l="1"/>
  <c r="CP30" i="28"/>
  <c r="CO30" i="28"/>
  <c r="CR28" i="28"/>
  <c r="CQ28" i="28"/>
  <c r="CP28" i="28"/>
  <c r="CO28" i="28"/>
  <c r="M14" i="80" l="1"/>
  <c r="M23" i="80"/>
  <c r="T14" i="80"/>
  <c r="O9" i="80"/>
  <c r="B14" i="80"/>
  <c r="K14" i="80"/>
  <c r="L14" i="80"/>
  <c r="N14" i="80"/>
  <c r="O14" i="80"/>
  <c r="P14" i="80"/>
  <c r="Q14" i="80"/>
  <c r="R14" i="80"/>
  <c r="S14" i="80"/>
  <c r="L13" i="80"/>
  <c r="M13" i="80"/>
  <c r="N13" i="80"/>
  <c r="O13" i="80"/>
  <c r="P13" i="80"/>
  <c r="Q13" i="80"/>
  <c r="R13" i="80"/>
  <c r="S13" i="80"/>
  <c r="T13" i="80"/>
  <c r="K13" i="80"/>
  <c r="AB5" i="85" l="1"/>
  <c r="X33" i="85"/>
  <c r="DJ148" i="29" l="1"/>
  <c r="DJ149" i="29"/>
  <c r="DJ150" i="29"/>
  <c r="DJ151" i="29"/>
  <c r="DJ152" i="29"/>
  <c r="DJ153" i="29"/>
  <c r="DJ154" i="29"/>
  <c r="DJ155" i="29"/>
  <c r="DJ156" i="29"/>
  <c r="DJ157" i="29"/>
  <c r="DG12" i="34" l="1"/>
  <c r="L4" i="100" s="1"/>
  <c r="D79" i="89" l="1"/>
  <c r="DO32" i="29"/>
  <c r="L363" i="45"/>
  <c r="J363" i="45"/>
  <c r="H363" i="45"/>
  <c r="BF29" i="36"/>
  <c r="H202" i="9"/>
  <c r="DG36" i="34"/>
  <c r="DF30" i="34"/>
  <c r="DG24" i="34"/>
  <c r="DG18" i="34"/>
  <c r="DC239" i="47"/>
  <c r="DB239" i="47"/>
  <c r="CV239" i="47"/>
  <c r="CU239" i="47"/>
  <c r="DO22" i="29"/>
  <c r="BF35" i="36" l="1"/>
  <c r="BF47" i="36"/>
  <c r="BF53" i="36" s="1"/>
  <c r="DF42" i="34"/>
  <c r="BF65" i="36"/>
  <c r="BF59" i="36" l="1"/>
  <c r="EA29" i="37"/>
  <c r="E116" i="89"/>
  <c r="D116" i="89"/>
  <c r="E78" i="89"/>
  <c r="D78" i="89"/>
  <c r="C78" i="89"/>
  <c r="BF239" i="47" l="1"/>
  <c r="AH239" i="47"/>
  <c r="S487" i="46"/>
  <c r="S372" i="46"/>
  <c r="S189" i="46"/>
  <c r="BA239" i="47"/>
  <c r="L239" i="47"/>
  <c r="DO93" i="37" s="1"/>
  <c r="HE21" i="38" l="1"/>
  <c r="DW82" i="28" l="1"/>
  <c r="CM58" i="28"/>
  <c r="DT33" i="28"/>
  <c r="DW33" i="28"/>
  <c r="DW53" i="28"/>
  <c r="CW20" i="28"/>
  <c r="CV20" i="28"/>
  <c r="CU20" i="28"/>
  <c r="CT20" i="28"/>
  <c r="CW19" i="28"/>
  <c r="CV19" i="28"/>
  <c r="CU19" i="28"/>
  <c r="CT19" i="28"/>
  <c r="CW16" i="28"/>
  <c r="CV16" i="28"/>
  <c r="CU16" i="28"/>
  <c r="CT16" i="28"/>
  <c r="CW11" i="28"/>
  <c r="CV11" i="28"/>
  <c r="CU11" i="28"/>
  <c r="CT11" i="28"/>
  <c r="CW84" i="28"/>
  <c r="CV84" i="28"/>
  <c r="CU84" i="28"/>
  <c r="CT84" i="28"/>
  <c r="DX34" i="37" l="1"/>
  <c r="DX47" i="37"/>
  <c r="DX45" i="37"/>
  <c r="DX44" i="37"/>
  <c r="DX42" i="37"/>
  <c r="DX41" i="37"/>
  <c r="DX40" i="37"/>
  <c r="DX39" i="37"/>
  <c r="DX35" i="37"/>
  <c r="DX36" i="37"/>
  <c r="DX37" i="37"/>
  <c r="BQ340" i="45"/>
  <c r="R12" i="80"/>
  <c r="Q11" i="80"/>
  <c r="DR15" i="29"/>
  <c r="DR16" i="29"/>
  <c r="HL12" i="38" l="1"/>
  <c r="HL15" i="38"/>
  <c r="HL16" i="38"/>
  <c r="HL17" i="38"/>
  <c r="HL20" i="38"/>
  <c r="HL27" i="38"/>
  <c r="HL26" i="38"/>
  <c r="HL25" i="38"/>
  <c r="HL22" i="38"/>
  <c r="HL21" i="38"/>
  <c r="B243" i="47"/>
  <c r="B244" i="47"/>
  <c r="B245" i="47"/>
  <c r="A246" i="47"/>
  <c r="B185" i="45"/>
  <c r="AU185" i="45" s="1"/>
  <c r="B186" i="45"/>
  <c r="AU186" i="45" s="1"/>
  <c r="A187" i="45"/>
  <c r="A369" i="45" s="1"/>
  <c r="B198" i="46"/>
  <c r="B197" i="46"/>
  <c r="A197" i="46"/>
  <c r="B196" i="46"/>
  <c r="A196" i="46"/>
  <c r="B195" i="46"/>
  <c r="A195" i="46"/>
  <c r="B194" i="46"/>
  <c r="A194" i="46"/>
  <c r="B496" i="46"/>
  <c r="D495" i="46"/>
  <c r="B495" i="46"/>
  <c r="A495" i="46"/>
  <c r="D494" i="46"/>
  <c r="B494" i="46"/>
  <c r="A494" i="46"/>
  <c r="B493" i="46"/>
  <c r="A493" i="46"/>
  <c r="B492" i="46"/>
  <c r="A492" i="46"/>
  <c r="B381" i="46"/>
  <c r="B380" i="46"/>
  <c r="A380" i="46"/>
  <c r="B379" i="46"/>
  <c r="A379" i="46"/>
  <c r="B378" i="46"/>
  <c r="A378" i="46"/>
  <c r="B377" i="46"/>
  <c r="A377" i="46"/>
  <c r="B219" i="12"/>
  <c r="B248" i="47" s="1"/>
  <c r="B218" i="12"/>
  <c r="B247" i="47" s="1"/>
  <c r="A218" i="12"/>
  <c r="A247" i="47" s="1"/>
  <c r="B217" i="12"/>
  <c r="B246" i="47" s="1"/>
  <c r="A217" i="12"/>
  <c r="B216" i="12"/>
  <c r="A216" i="12"/>
  <c r="A245" i="47" s="1"/>
  <c r="B215" i="12"/>
  <c r="A215" i="12"/>
  <c r="A244" i="47" s="1"/>
  <c r="AA248" i="47"/>
  <c r="DM247" i="47"/>
  <c r="DI247" i="47"/>
  <c r="AA247" i="47"/>
  <c r="DM246" i="47"/>
  <c r="DI246" i="47"/>
  <c r="AZ246" i="47"/>
  <c r="AA246" i="47"/>
  <c r="DM245" i="47"/>
  <c r="DI245" i="47"/>
  <c r="AA245" i="47"/>
  <c r="DI244" i="47"/>
  <c r="AA244" i="47"/>
  <c r="DR204" i="29"/>
  <c r="DR203" i="29"/>
  <c r="DR202" i="29"/>
  <c r="AD31" i="20" s="1"/>
  <c r="DS201" i="29"/>
  <c r="DS200" i="29"/>
  <c r="DS199" i="29"/>
  <c r="DS198" i="29"/>
  <c r="DR171" i="29"/>
  <c r="DS170" i="29"/>
  <c r="DR106" i="29"/>
  <c r="DR105" i="29"/>
  <c r="DR104" i="29"/>
  <c r="DR96" i="29"/>
  <c r="DR95" i="29"/>
  <c r="DR94" i="29"/>
  <c r="DR86" i="29"/>
  <c r="DR85" i="29"/>
  <c r="DR84" i="29"/>
  <c r="AD43" i="20" s="1"/>
  <c r="DR76" i="29"/>
  <c r="DR75" i="29"/>
  <c r="DR74" i="29"/>
  <c r="AD40" i="20" s="1"/>
  <c r="DR56" i="29"/>
  <c r="DR55" i="29"/>
  <c r="DR54" i="29"/>
  <c r="DR46" i="29"/>
  <c r="DR45" i="29"/>
  <c r="DR44" i="29"/>
  <c r="DT43" i="29"/>
  <c r="DT42" i="29"/>
  <c r="DT41" i="29"/>
  <c r="DT40" i="29"/>
  <c r="DT23" i="29"/>
  <c r="DT22" i="29"/>
  <c r="AR383" i="40"/>
  <c r="AR381" i="40"/>
  <c r="AR380" i="40"/>
  <c r="AR379" i="40"/>
  <c r="AR378" i="40"/>
  <c r="AR43" i="40"/>
  <c r="BQ101" i="17"/>
  <c r="BQ65" i="17"/>
  <c r="BP75" i="22"/>
  <c r="BP73" i="22"/>
  <c r="BP74" i="22" s="1"/>
  <c r="BO49" i="22"/>
  <c r="BO11" i="22"/>
  <c r="Z552" i="45"/>
  <c r="T552" i="45"/>
  <c r="R552" i="45"/>
  <c r="P552" i="45"/>
  <c r="N552" i="45"/>
  <c r="Z551" i="45"/>
  <c r="T551" i="45"/>
  <c r="R551" i="45"/>
  <c r="P551" i="45"/>
  <c r="N551" i="45"/>
  <c r="Z550" i="45"/>
  <c r="T550" i="45"/>
  <c r="R550" i="45"/>
  <c r="P550" i="45"/>
  <c r="N550" i="45"/>
  <c r="Z549" i="45"/>
  <c r="T549" i="45"/>
  <c r="R549" i="45"/>
  <c r="P549" i="45"/>
  <c r="N549" i="45"/>
  <c r="B548" i="45"/>
  <c r="BM370" i="45"/>
  <c r="BL370" i="45"/>
  <c r="DI370" i="45" s="1"/>
  <c r="BK370" i="45"/>
  <c r="BI370" i="45"/>
  <c r="BH370" i="45"/>
  <c r="BG370" i="45"/>
  <c r="DK370" i="45" s="1"/>
  <c r="BE370" i="45"/>
  <c r="BD370" i="45"/>
  <c r="N368" i="45"/>
  <c r="N369" i="45" s="1"/>
  <c r="Z367" i="45"/>
  <c r="Z368" i="45" s="1"/>
  <c r="Z369" i="45" s="1"/>
  <c r="Z370" i="45" s="1"/>
  <c r="R367" i="45"/>
  <c r="P367" i="45"/>
  <c r="N367" i="45"/>
  <c r="B366" i="45"/>
  <c r="BR189" i="45"/>
  <c r="BQ189" i="45"/>
  <c r="BP189" i="45"/>
  <c r="BO189" i="45"/>
  <c r="BM189" i="45"/>
  <c r="BL189" i="45"/>
  <c r="AN118" i="40" s="1"/>
  <c r="BK189" i="45"/>
  <c r="AN117" i="40" s="1"/>
  <c r="BI189" i="45"/>
  <c r="BH189" i="45"/>
  <c r="BG189" i="45"/>
  <c r="BE189" i="45"/>
  <c r="BD189" i="45"/>
  <c r="AN70" i="40" s="1"/>
  <c r="BC189" i="45"/>
  <c r="DJ188" i="45"/>
  <c r="DI188" i="45"/>
  <c r="DH188" i="45"/>
  <c r="DJ187" i="45"/>
  <c r="DI187" i="45"/>
  <c r="DH187" i="45"/>
  <c r="DJ186" i="45"/>
  <c r="DI186" i="45"/>
  <c r="DH186" i="45"/>
  <c r="DJ185" i="45"/>
  <c r="DI185" i="45"/>
  <c r="DH185" i="45"/>
  <c r="T185" i="45"/>
  <c r="T186" i="45" s="1"/>
  <c r="T187" i="45" s="1"/>
  <c r="T188" i="45" s="1"/>
  <c r="R185" i="45"/>
  <c r="R186" i="45" s="1"/>
  <c r="R187" i="45" s="1"/>
  <c r="R188" i="45" s="1"/>
  <c r="P185" i="45"/>
  <c r="P186" i="45" s="1"/>
  <c r="P187" i="45" s="1"/>
  <c r="P188" i="45" s="1"/>
  <c r="N185" i="45"/>
  <c r="N186" i="45" s="1"/>
  <c r="AU184" i="45"/>
  <c r="HO11" i="38"/>
  <c r="DV13" i="37"/>
  <c r="HM12" i="38" s="1"/>
  <c r="HO12" i="38" s="1"/>
  <c r="DV16" i="37"/>
  <c r="DV17" i="37"/>
  <c r="DV18" i="37"/>
  <c r="HM17" i="38" s="1"/>
  <c r="HO17" i="38" s="1"/>
  <c r="DV21" i="37"/>
  <c r="HO10" i="38"/>
  <c r="DV50" i="37"/>
  <c r="DV49" i="37"/>
  <c r="DV46" i="37"/>
  <c r="DV45" i="37"/>
  <c r="DY45" i="37" s="1"/>
  <c r="DV44" i="37"/>
  <c r="DY44" i="37" s="1"/>
  <c r="DV41" i="37"/>
  <c r="DY41" i="37" s="1"/>
  <c r="DV40" i="37"/>
  <c r="DY40" i="37" s="1"/>
  <c r="DV39" i="37"/>
  <c r="DY35" i="37"/>
  <c r="DV36" i="37"/>
  <c r="DY36" i="37" s="1"/>
  <c r="DY34" i="37"/>
  <c r="ES14" i="37"/>
  <c r="DU14" i="37" s="1"/>
  <c r="ES18" i="37"/>
  <c r="ES19" i="37" s="1"/>
  <c r="DU19" i="37" s="1"/>
  <c r="DU75" i="37"/>
  <c r="DU70" i="37"/>
  <c r="DU65" i="37"/>
  <c r="DU60" i="37"/>
  <c r="DV28" i="37"/>
  <c r="DV27" i="37"/>
  <c r="DV26" i="37"/>
  <c r="HM25" i="38" s="1"/>
  <c r="DV23" i="37"/>
  <c r="DV22" i="37"/>
  <c r="A185" i="45" l="1"/>
  <c r="AT185" i="45" s="1"/>
  <c r="HM26" i="38"/>
  <c r="HM20" i="38"/>
  <c r="HO20" i="38" s="1"/>
  <c r="A188" i="45"/>
  <c r="AT188" i="45" s="1"/>
  <c r="A186" i="45"/>
  <c r="AT186" i="45" s="1"/>
  <c r="HM15" i="38"/>
  <c r="HO15" i="38" s="1"/>
  <c r="DY39" i="37"/>
  <c r="HM27" i="38"/>
  <c r="B188" i="45"/>
  <c r="AU188" i="45" s="1"/>
  <c r="AN69" i="40"/>
  <c r="DJ370" i="45"/>
  <c r="B187" i="45"/>
  <c r="AU187" i="45" s="1"/>
  <c r="HM16" i="38"/>
  <c r="HO16" i="38" s="1"/>
  <c r="F195" i="46"/>
  <c r="F245" i="47"/>
  <c r="F244" i="47"/>
  <c r="F194" i="46"/>
  <c r="HM22" i="38"/>
  <c r="HM21" i="38"/>
  <c r="HO21" i="38" s="1"/>
  <c r="DS85" i="29"/>
  <c r="DS75" i="29"/>
  <c r="AT187" i="45"/>
  <c r="B368" i="45"/>
  <c r="B550" i="45" s="1"/>
  <c r="DH248" i="47"/>
  <c r="Z39" i="85" s="1"/>
  <c r="DS76" i="29"/>
  <c r="DR175" i="29"/>
  <c r="DS86" i="29"/>
  <c r="DR172" i="29"/>
  <c r="B367" i="45"/>
  <c r="B549" i="45" s="1"/>
  <c r="A370" i="45"/>
  <c r="N370" i="45"/>
  <c r="P368" i="45"/>
  <c r="DH370" i="45"/>
  <c r="R368" i="45"/>
  <c r="B369" i="45"/>
  <c r="B551" i="45" s="1"/>
  <c r="N187" i="45"/>
  <c r="N149" i="98"/>
  <c r="O149" i="98" s="1"/>
  <c r="P149" i="98" s="1"/>
  <c r="Q149" i="98" s="1"/>
  <c r="R149" i="98" s="1"/>
  <c r="S149" i="98" s="1"/>
  <c r="T149" i="98" s="1"/>
  <c r="U149" i="98" s="1"/>
  <c r="V149" i="98" s="1"/>
  <c r="W149" i="98" s="1"/>
  <c r="M149" i="98"/>
  <c r="L149" i="98"/>
  <c r="K149" i="98"/>
  <c r="J149" i="98"/>
  <c r="I149" i="98"/>
  <c r="H149" i="98"/>
  <c r="C131" i="98"/>
  <c r="B131" i="98"/>
  <c r="C130" i="98"/>
  <c r="C129" i="98"/>
  <c r="C128" i="98"/>
  <c r="C127" i="98"/>
  <c r="C126" i="98"/>
  <c r="C125" i="98"/>
  <c r="C124" i="98"/>
  <c r="C123" i="98"/>
  <c r="C122" i="98"/>
  <c r="C121" i="98"/>
  <c r="C120" i="98"/>
  <c r="C119" i="98"/>
  <c r="C118" i="98"/>
  <c r="C117" i="98"/>
  <c r="C116" i="98"/>
  <c r="C115" i="98"/>
  <c r="C114" i="98"/>
  <c r="C113" i="98"/>
  <c r="P116" i="98"/>
  <c r="O116" i="98"/>
  <c r="N116" i="98"/>
  <c r="M116" i="98"/>
  <c r="L116" i="98"/>
  <c r="K116" i="98"/>
  <c r="J116" i="98"/>
  <c r="P115" i="98"/>
  <c r="O115" i="98"/>
  <c r="N115" i="98"/>
  <c r="M115" i="98"/>
  <c r="L115" i="98"/>
  <c r="K115" i="98"/>
  <c r="J115" i="98"/>
  <c r="P114" i="98"/>
  <c r="O114" i="98"/>
  <c r="N114" i="98"/>
  <c r="M114" i="98"/>
  <c r="L114" i="98"/>
  <c r="K114" i="98"/>
  <c r="J114" i="98"/>
  <c r="P113" i="98"/>
  <c r="O113" i="98"/>
  <c r="N113" i="98"/>
  <c r="M113" i="98"/>
  <c r="L113" i="98"/>
  <c r="K113" i="98"/>
  <c r="J113" i="98"/>
  <c r="P112" i="98"/>
  <c r="O112" i="98"/>
  <c r="N112" i="98"/>
  <c r="M112" i="98"/>
  <c r="L112" i="98"/>
  <c r="K112" i="98"/>
  <c r="J112" i="98"/>
  <c r="P82" i="98"/>
  <c r="Q82" i="98" s="1"/>
  <c r="R82" i="98" s="1"/>
  <c r="O82" i="98"/>
  <c r="N82" i="98"/>
  <c r="N83" i="98" s="1"/>
  <c r="M82" i="98"/>
  <c r="M83" i="98" s="1"/>
  <c r="L82" i="98"/>
  <c r="L83" i="98" s="1"/>
  <c r="L84" i="98" s="1"/>
  <c r="K82" i="98"/>
  <c r="J82" i="98"/>
  <c r="J83" i="98" s="1"/>
  <c r="I82" i="98"/>
  <c r="B370" i="45" l="1"/>
  <c r="B552" i="45" s="1"/>
  <c r="A368" i="45"/>
  <c r="A367" i="45"/>
  <c r="DR174" i="29"/>
  <c r="DR173" i="29"/>
  <c r="DR176" i="29"/>
  <c r="AA368" i="45"/>
  <c r="R369" i="45"/>
  <c r="P369" i="45"/>
  <c r="O187" i="45"/>
  <c r="N188" i="45"/>
  <c r="O118" i="98"/>
  <c r="N84" i="98"/>
  <c r="S82" i="98"/>
  <c r="K117" i="98"/>
  <c r="K83" i="98"/>
  <c r="L118" i="98" s="1"/>
  <c r="M84" i="98"/>
  <c r="M117" i="98"/>
  <c r="N117" i="98"/>
  <c r="M118" i="98"/>
  <c r="L85" i="98"/>
  <c r="L117" i="98"/>
  <c r="K118" i="98"/>
  <c r="M119" i="98"/>
  <c r="N118" i="98"/>
  <c r="O117" i="98"/>
  <c r="P83" i="98"/>
  <c r="J117" i="98"/>
  <c r="P117" i="98"/>
  <c r="O83" i="98"/>
  <c r="O119" i="98" s="1"/>
  <c r="C132" i="98"/>
  <c r="B132" i="98"/>
  <c r="J84" i="98"/>
  <c r="I83" i="98"/>
  <c r="Q81" i="98"/>
  <c r="R81" i="98" s="1"/>
  <c r="S81" i="98" s="1"/>
  <c r="T81" i="98" s="1"/>
  <c r="Q80" i="98"/>
  <c r="R80" i="98" s="1"/>
  <c r="Q79" i="98"/>
  <c r="R79" i="98" s="1"/>
  <c r="Q78" i="98"/>
  <c r="Q77" i="98"/>
  <c r="R77" i="98" s="1"/>
  <c r="Q76" i="98"/>
  <c r="R76" i="98" s="1"/>
  <c r="P72" i="98"/>
  <c r="O72" i="98"/>
  <c r="N72" i="98"/>
  <c r="M72" i="98"/>
  <c r="L72" i="98"/>
  <c r="K72" i="98"/>
  <c r="J72" i="98"/>
  <c r="I72" i="98"/>
  <c r="H72" i="98"/>
  <c r="P118" i="98" l="1"/>
  <c r="AD68" i="20"/>
  <c r="P370" i="45"/>
  <c r="AA369" i="45"/>
  <c r="R370" i="45"/>
  <c r="K119" i="98"/>
  <c r="S79" i="98"/>
  <c r="S76" i="98"/>
  <c r="U81" i="98"/>
  <c r="S80" i="98"/>
  <c r="K84" i="98"/>
  <c r="N85" i="98"/>
  <c r="Q83" i="98"/>
  <c r="R78" i="98"/>
  <c r="N119" i="98"/>
  <c r="P84" i="98"/>
  <c r="J118" i="98"/>
  <c r="T82" i="98"/>
  <c r="I84" i="98"/>
  <c r="B133" i="98"/>
  <c r="C133" i="98"/>
  <c r="M120" i="98"/>
  <c r="S77" i="98"/>
  <c r="J85" i="98"/>
  <c r="O84" i="98"/>
  <c r="P119" i="98" s="1"/>
  <c r="L86" i="98"/>
  <c r="M85" i="98"/>
  <c r="P66" i="98"/>
  <c r="O66" i="98"/>
  <c r="N66" i="98"/>
  <c r="M66" i="98"/>
  <c r="L66" i="98"/>
  <c r="K66" i="98"/>
  <c r="J66" i="98"/>
  <c r="I66" i="98"/>
  <c r="P63" i="98"/>
  <c r="Q63" i="98" s="1"/>
  <c r="R63" i="98" s="1"/>
  <c r="S63" i="98" s="1"/>
  <c r="T63" i="98" s="1"/>
  <c r="U63" i="98" s="1"/>
  <c r="V63" i="98" s="1"/>
  <c r="W63" i="98" s="1"/>
  <c r="O63" i="98"/>
  <c r="P64" i="98" s="1"/>
  <c r="N63" i="98"/>
  <c r="N64" i="98" s="1"/>
  <c r="M63" i="98"/>
  <c r="L63" i="98"/>
  <c r="K63" i="98"/>
  <c r="J63" i="98"/>
  <c r="I63" i="98"/>
  <c r="AA370" i="45" l="1"/>
  <c r="N67" i="98"/>
  <c r="K64" i="98"/>
  <c r="L64" i="98"/>
  <c r="K67" i="98"/>
  <c r="P67" i="98"/>
  <c r="L67" i="98"/>
  <c r="J67" i="98"/>
  <c r="O67" i="98"/>
  <c r="M67" i="98"/>
  <c r="M64" i="98"/>
  <c r="K120" i="98"/>
  <c r="L119" i="98"/>
  <c r="V81" i="98"/>
  <c r="T77" i="98"/>
  <c r="O64" i="98"/>
  <c r="N120" i="98"/>
  <c r="Q84" i="98"/>
  <c r="P85" i="98"/>
  <c r="L87" i="98"/>
  <c r="J64" i="98"/>
  <c r="J86" i="98"/>
  <c r="B134" i="98"/>
  <c r="C134" i="98"/>
  <c r="S78" i="98"/>
  <c r="T79" i="98"/>
  <c r="O120" i="98"/>
  <c r="O85" i="98"/>
  <c r="P120" i="98" s="1"/>
  <c r="T80" i="98"/>
  <c r="M121" i="98"/>
  <c r="J119" i="98"/>
  <c r="I85" i="98"/>
  <c r="R83" i="98"/>
  <c r="T76" i="98"/>
  <c r="N86" i="98"/>
  <c r="K85" i="98"/>
  <c r="U82" i="98"/>
  <c r="M86" i="98"/>
  <c r="M122" i="98" s="1"/>
  <c r="P48" i="98"/>
  <c r="O48" i="98"/>
  <c r="N48" i="98"/>
  <c r="M48" i="98"/>
  <c r="L48" i="98"/>
  <c r="K48" i="98"/>
  <c r="J48" i="98"/>
  <c r="I48" i="98"/>
  <c r="Q47" i="98"/>
  <c r="R47" i="98" s="1"/>
  <c r="S47" i="98" s="1"/>
  <c r="T47" i="98" s="1"/>
  <c r="U47" i="98" s="1"/>
  <c r="V47" i="98" s="1"/>
  <c r="W47" i="98" s="1"/>
  <c r="Q45" i="98"/>
  <c r="Q119" i="98" s="1"/>
  <c r="O7" i="98"/>
  <c r="N7" i="98"/>
  <c r="M7" i="98" s="1"/>
  <c r="Q7" i="98"/>
  <c r="R7" i="98" s="1"/>
  <c r="S7" i="98" s="1"/>
  <c r="T7" i="98" s="1"/>
  <c r="U7" i="98" s="1"/>
  <c r="V7" i="98" s="1"/>
  <c r="W7" i="98" s="1"/>
  <c r="P5" i="98"/>
  <c r="O5" i="98"/>
  <c r="N5" i="98"/>
  <c r="H78" i="98"/>
  <c r="I4" i="98"/>
  <c r="H81" i="98"/>
  <c r="O190" i="98"/>
  <c r="H77" i="98"/>
  <c r="H76" i="98"/>
  <c r="N190" i="98"/>
  <c r="H80" i="98"/>
  <c r="G56" i="98"/>
  <c r="P190" i="98"/>
  <c r="H79" i="98"/>
  <c r="H196" i="98"/>
  <c r="H194" i="98"/>
  <c r="H68" i="98"/>
  <c r="R45" i="98" l="1"/>
  <c r="R118" i="98" s="1"/>
  <c r="H117" i="98"/>
  <c r="I116" i="98"/>
  <c r="H116" i="98"/>
  <c r="I115" i="98"/>
  <c r="H115" i="98"/>
  <c r="I114" i="98"/>
  <c r="I113" i="98"/>
  <c r="H114" i="98"/>
  <c r="I112" i="98"/>
  <c r="H113" i="98"/>
  <c r="H112" i="98"/>
  <c r="H63" i="98"/>
  <c r="I64" i="98" s="1"/>
  <c r="H82" i="98"/>
  <c r="H66" i="98"/>
  <c r="I67" i="98" s="1"/>
  <c r="W9" i="98"/>
  <c r="O9" i="98"/>
  <c r="V9" i="98"/>
  <c r="N9" i="98"/>
  <c r="U9" i="98"/>
  <c r="M9" i="98"/>
  <c r="T9" i="98"/>
  <c r="Q9" i="98"/>
  <c r="S9" i="98"/>
  <c r="R9" i="98"/>
  <c r="P9" i="98"/>
  <c r="U80" i="98"/>
  <c r="M5" i="98"/>
  <c r="L7" i="98"/>
  <c r="L9" i="98" s="1"/>
  <c r="R112" i="98"/>
  <c r="R116" i="98"/>
  <c r="R117" i="98"/>
  <c r="R115" i="98"/>
  <c r="R113" i="98"/>
  <c r="R114" i="98"/>
  <c r="S45" i="98"/>
  <c r="S114" i="98" s="1"/>
  <c r="V82" i="98"/>
  <c r="K121" i="98"/>
  <c r="L120" i="98"/>
  <c r="K86" i="98"/>
  <c r="Q120" i="98"/>
  <c r="R84" i="98"/>
  <c r="J120" i="98"/>
  <c r="J87" i="98"/>
  <c r="W81" i="98"/>
  <c r="O121" i="98"/>
  <c r="N121" i="98"/>
  <c r="O86" i="98"/>
  <c r="T78" i="98"/>
  <c r="N87" i="98"/>
  <c r="R119" i="98"/>
  <c r="S83" i="98"/>
  <c r="U76" i="98"/>
  <c r="Q85" i="98"/>
  <c r="P86" i="98"/>
  <c r="U77" i="98"/>
  <c r="C135" i="98"/>
  <c r="B135" i="98"/>
  <c r="Q113" i="98"/>
  <c r="Q117" i="98"/>
  <c r="Q116" i="98"/>
  <c r="Q114" i="98"/>
  <c r="Q115" i="98"/>
  <c r="Q112" i="98"/>
  <c r="Q118" i="98"/>
  <c r="I86" i="98"/>
  <c r="M87" i="98"/>
  <c r="N122" i="98" s="1"/>
  <c r="U79" i="98"/>
  <c r="L88" i="98"/>
  <c r="L89" i="98" s="1"/>
  <c r="H4" i="98"/>
  <c r="M190" i="98"/>
  <c r="C4" i="98"/>
  <c r="H195" i="98"/>
  <c r="S118" i="98" l="1"/>
  <c r="O122" i="98"/>
  <c r="P121" i="98"/>
  <c r="Q74" i="98"/>
  <c r="Q110" i="98" s="1"/>
  <c r="Q147" i="98" s="1"/>
  <c r="Q8" i="98"/>
  <c r="W74" i="98"/>
  <c r="W110" i="98" s="1"/>
  <c r="W147" i="98" s="1"/>
  <c r="W8" i="98"/>
  <c r="Q86" i="98"/>
  <c r="P87" i="98"/>
  <c r="L90" i="98"/>
  <c r="N88" i="98"/>
  <c r="L5" i="98"/>
  <c r="K7" i="98"/>
  <c r="P187" i="98"/>
  <c r="P74" i="98"/>
  <c r="P110" i="98" s="1"/>
  <c r="P147" i="98" s="1"/>
  <c r="P8" i="98"/>
  <c r="T74" i="98"/>
  <c r="T110" i="98" s="1"/>
  <c r="T147" i="98" s="1"/>
  <c r="T8" i="98"/>
  <c r="H118" i="98"/>
  <c r="I117" i="98"/>
  <c r="H83" i="98"/>
  <c r="H84" i="98" s="1"/>
  <c r="W82" i="98"/>
  <c r="V76" i="98"/>
  <c r="S119" i="98"/>
  <c r="T83" i="98"/>
  <c r="O87" i="98"/>
  <c r="U78" i="98"/>
  <c r="S117" i="98"/>
  <c r="S113" i="98"/>
  <c r="S112" i="98"/>
  <c r="S116" i="98"/>
  <c r="S115" i="98"/>
  <c r="T45" i="98"/>
  <c r="R74" i="98"/>
  <c r="R110" i="98" s="1"/>
  <c r="R147" i="98" s="1"/>
  <c r="R8" i="98"/>
  <c r="M187" i="98"/>
  <c r="M74" i="98"/>
  <c r="M110" i="98" s="1"/>
  <c r="M147" i="98" s="1"/>
  <c r="M8" i="98"/>
  <c r="C136" i="98"/>
  <c r="B136" i="98"/>
  <c r="Q121" i="98"/>
  <c r="R85" i="98"/>
  <c r="I87" i="98"/>
  <c r="K122" i="98"/>
  <c r="L121" i="98"/>
  <c r="S74" i="98"/>
  <c r="S110" i="98" s="1"/>
  <c r="S147" i="98" s="1"/>
  <c r="S8" i="98"/>
  <c r="U74" i="98"/>
  <c r="U110" i="98" s="1"/>
  <c r="U147" i="98" s="1"/>
  <c r="U8" i="98"/>
  <c r="L187" i="98"/>
  <c r="L74" i="98"/>
  <c r="L110" i="98" s="1"/>
  <c r="L147" i="98" s="1"/>
  <c r="L8" i="98"/>
  <c r="V79" i="98"/>
  <c r="M88" i="98"/>
  <c r="V80" i="98"/>
  <c r="N187" i="98"/>
  <c r="N74" i="98"/>
  <c r="N110" i="98" s="1"/>
  <c r="N147" i="98" s="1"/>
  <c r="N8" i="98"/>
  <c r="J121" i="98"/>
  <c r="O187" i="98"/>
  <c r="O74" i="98"/>
  <c r="O110" i="98" s="1"/>
  <c r="O147" i="98" s="1"/>
  <c r="O8" i="98"/>
  <c r="V77" i="98"/>
  <c r="M123" i="98"/>
  <c r="J88" i="98"/>
  <c r="S84" i="98"/>
  <c r="R120" i="98"/>
  <c r="K87" i="98"/>
  <c r="V74" i="98"/>
  <c r="V110" i="98" s="1"/>
  <c r="V147" i="98" s="1"/>
  <c r="V8" i="98"/>
  <c r="L190" i="98"/>
  <c r="O123" i="98" l="1"/>
  <c r="H85" i="98"/>
  <c r="H86" i="98" s="1"/>
  <c r="H87" i="98" s="1"/>
  <c r="N89" i="98"/>
  <c r="W80" i="98"/>
  <c r="T117" i="98"/>
  <c r="U45" i="98"/>
  <c r="T116" i="98"/>
  <c r="T115" i="98"/>
  <c r="T112" i="98"/>
  <c r="T113" i="98"/>
  <c r="W79" i="98"/>
  <c r="T118" i="98"/>
  <c r="J7" i="98"/>
  <c r="K5" i="98"/>
  <c r="K9" i="98"/>
  <c r="T119" i="98"/>
  <c r="U83" i="98"/>
  <c r="U118" i="98"/>
  <c r="H120" i="98"/>
  <c r="I119" i="98"/>
  <c r="K88" i="98"/>
  <c r="J122" i="98"/>
  <c r="Q122" i="98"/>
  <c r="R86" i="98"/>
  <c r="J89" i="98"/>
  <c r="M89" i="98"/>
  <c r="M90" i="98" s="1"/>
  <c r="W77" i="98"/>
  <c r="R121" i="98"/>
  <c r="S85" i="98"/>
  <c r="U114" i="98"/>
  <c r="V78" i="98"/>
  <c r="W76" i="98"/>
  <c r="H119" i="98"/>
  <c r="I118" i="98"/>
  <c r="L91" i="98"/>
  <c r="P122" i="98"/>
  <c r="Q87" i="98"/>
  <c r="M124" i="98"/>
  <c r="K123" i="98"/>
  <c r="L122" i="98"/>
  <c r="P88" i="98"/>
  <c r="P89" i="98" s="1"/>
  <c r="T114" i="98"/>
  <c r="S120" i="98"/>
  <c r="T84" i="98"/>
  <c r="I88" i="98"/>
  <c r="I89" i="98" s="1"/>
  <c r="O88" i="98"/>
  <c r="O124" i="98" s="1"/>
  <c r="N123" i="98"/>
  <c r="B137" i="98"/>
  <c r="C137" i="98"/>
  <c r="K190" i="98"/>
  <c r="I120" i="98" l="1"/>
  <c r="H121" i="98"/>
  <c r="O89" i="98"/>
  <c r="O90" i="98" s="1"/>
  <c r="Q89" i="98"/>
  <c r="P90" i="98"/>
  <c r="Q123" i="98"/>
  <c r="R87" i="98"/>
  <c r="W78" i="98"/>
  <c r="U119" i="98"/>
  <c r="V83" i="98"/>
  <c r="H123" i="98"/>
  <c r="I122" i="98"/>
  <c r="P123" i="98"/>
  <c r="I7" i="98"/>
  <c r="J5" i="98"/>
  <c r="J9" i="98"/>
  <c r="M126" i="98"/>
  <c r="M91" i="98"/>
  <c r="M92" i="98" s="1"/>
  <c r="T120" i="98"/>
  <c r="U84" i="98"/>
  <c r="H122" i="98"/>
  <c r="I121" i="98"/>
  <c r="S121" i="98"/>
  <c r="T85" i="98"/>
  <c r="J90" i="98"/>
  <c r="J91" i="98" s="1"/>
  <c r="N125" i="98"/>
  <c r="N90" i="98"/>
  <c r="O125" i="98" s="1"/>
  <c r="K124" i="98"/>
  <c r="L123" i="98"/>
  <c r="K89" i="98"/>
  <c r="K90" i="98" s="1"/>
  <c r="Q88" i="98"/>
  <c r="M125" i="98"/>
  <c r="N124" i="98"/>
  <c r="J123" i="98"/>
  <c r="H88" i="98"/>
  <c r="R122" i="98"/>
  <c r="S86" i="98"/>
  <c r="V45" i="98"/>
  <c r="V114" i="98" s="1"/>
  <c r="U117" i="98"/>
  <c r="U112" i="98"/>
  <c r="U113" i="98"/>
  <c r="U116" i="98"/>
  <c r="U115" i="98"/>
  <c r="K187" i="98"/>
  <c r="K74" i="98"/>
  <c r="K110" i="98" s="1"/>
  <c r="K147" i="98" s="1"/>
  <c r="K8" i="98"/>
  <c r="I90" i="98"/>
  <c r="J125" i="98" s="1"/>
  <c r="B138" i="98"/>
  <c r="C138" i="98"/>
  <c r="L92" i="98"/>
  <c r="J124" i="98"/>
  <c r="J190" i="98"/>
  <c r="P124" i="98" l="1"/>
  <c r="V118" i="98"/>
  <c r="J187" i="98"/>
  <c r="J74" i="98"/>
  <c r="J110" i="98" s="1"/>
  <c r="J147" i="98" s="1"/>
  <c r="J8" i="98"/>
  <c r="S122" i="98"/>
  <c r="T86" i="98"/>
  <c r="K125" i="98"/>
  <c r="L124" i="98"/>
  <c r="I5" i="98"/>
  <c r="H7" i="98"/>
  <c r="I9" i="98"/>
  <c r="V119" i="98"/>
  <c r="W83" i="98"/>
  <c r="N126" i="98"/>
  <c r="N91" i="98"/>
  <c r="O91" i="98"/>
  <c r="P126" i="98" s="1"/>
  <c r="I91" i="98"/>
  <c r="Q124" i="98"/>
  <c r="R88" i="98"/>
  <c r="U120" i="98"/>
  <c r="V84" i="98"/>
  <c r="J92" i="98"/>
  <c r="M93" i="98"/>
  <c r="T121" i="98"/>
  <c r="U85" i="98"/>
  <c r="S87" i="98"/>
  <c r="R123" i="98"/>
  <c r="Q90" i="98"/>
  <c r="K126" i="98"/>
  <c r="L125" i="98"/>
  <c r="H124" i="98"/>
  <c r="I123" i="98"/>
  <c r="H89" i="98"/>
  <c r="P91" i="98"/>
  <c r="L93" i="98"/>
  <c r="M128" i="98" s="1"/>
  <c r="C139" i="98"/>
  <c r="B139" i="98"/>
  <c r="Q125" i="98"/>
  <c r="R89" i="98"/>
  <c r="P125" i="98"/>
  <c r="W45" i="98"/>
  <c r="W118" i="98" s="1"/>
  <c r="V117" i="98"/>
  <c r="V115" i="98"/>
  <c r="V113" i="98"/>
  <c r="V112" i="98"/>
  <c r="V116" i="98"/>
  <c r="M127" i="98"/>
  <c r="K91" i="98"/>
  <c r="EO222" i="37"/>
  <c r="EO223" i="37"/>
  <c r="I191" i="98"/>
  <c r="I190" i="98"/>
  <c r="EO224" i="37" l="1"/>
  <c r="N127" i="98"/>
  <c r="N92" i="98"/>
  <c r="C140" i="98"/>
  <c r="B140" i="98"/>
  <c r="M94" i="98"/>
  <c r="I187" i="98"/>
  <c r="I74" i="98"/>
  <c r="I110" i="98" s="1"/>
  <c r="I147" i="98" s="1"/>
  <c r="I8" i="98"/>
  <c r="H125" i="98"/>
  <c r="I124" i="98"/>
  <c r="S88" i="98"/>
  <c r="R124" i="98"/>
  <c r="T122" i="98"/>
  <c r="U86" i="98"/>
  <c r="Q126" i="98"/>
  <c r="R90" i="98"/>
  <c r="I92" i="98"/>
  <c r="H5" i="98"/>
  <c r="H9" i="98"/>
  <c r="J93" i="98"/>
  <c r="H90" i="98"/>
  <c r="H91" i="98" s="1"/>
  <c r="Q91" i="98"/>
  <c r="P92" i="98"/>
  <c r="W114" i="98"/>
  <c r="J126" i="98"/>
  <c r="L94" i="98"/>
  <c r="M129" i="98" s="1"/>
  <c r="S123" i="98"/>
  <c r="T87" i="98"/>
  <c r="V120" i="98"/>
  <c r="W84" i="98"/>
  <c r="O92" i="98"/>
  <c r="P127" i="98" s="1"/>
  <c r="K127" i="98"/>
  <c r="L126" i="98"/>
  <c r="K92" i="98"/>
  <c r="W117" i="98"/>
  <c r="W116" i="98"/>
  <c r="W112" i="98"/>
  <c r="W113" i="98"/>
  <c r="W115" i="98"/>
  <c r="R125" i="98"/>
  <c r="S89" i="98"/>
  <c r="U121" i="98"/>
  <c r="V85" i="98"/>
  <c r="O126" i="98"/>
  <c r="W119" i="98"/>
  <c r="HE20" i="38"/>
  <c r="H190" i="98"/>
  <c r="U122" i="98" l="1"/>
  <c r="V86" i="98"/>
  <c r="H127" i="98"/>
  <c r="I126" i="98"/>
  <c r="M95" i="98"/>
  <c r="T123" i="98"/>
  <c r="U87" i="98"/>
  <c r="Q92" i="98"/>
  <c r="P93" i="98"/>
  <c r="B141" i="98"/>
  <c r="C141" i="98"/>
  <c r="V121" i="98"/>
  <c r="W85" i="98"/>
  <c r="S124" i="98"/>
  <c r="T88" i="98"/>
  <c r="I93" i="98"/>
  <c r="J127" i="98"/>
  <c r="H126" i="98"/>
  <c r="I125" i="98"/>
  <c r="H92" i="98"/>
  <c r="R126" i="98"/>
  <c r="S90" i="98"/>
  <c r="N128" i="98"/>
  <c r="N93" i="98"/>
  <c r="O127" i="98"/>
  <c r="J94" i="98"/>
  <c r="Q127" i="98"/>
  <c r="R91" i="98"/>
  <c r="L95" i="98"/>
  <c r="M130" i="98" s="1"/>
  <c r="S125" i="98"/>
  <c r="T89" i="98"/>
  <c r="W120" i="98"/>
  <c r="O93" i="98"/>
  <c r="P128" i="98" s="1"/>
  <c r="K128" i="98"/>
  <c r="K93" i="98"/>
  <c r="L127" i="98"/>
  <c r="H187" i="98"/>
  <c r="H74" i="98"/>
  <c r="H110" i="98" s="1"/>
  <c r="H147" i="98" s="1"/>
  <c r="C155" i="98" s="1" a="1"/>
  <c r="H8" i="98"/>
  <c r="HE15" i="38"/>
  <c r="T125" i="98" l="1"/>
  <c r="U89" i="98"/>
  <c r="T124" i="98"/>
  <c r="U88" i="98"/>
  <c r="Q128" i="98"/>
  <c r="R92" i="98"/>
  <c r="L96" i="98"/>
  <c r="M131" i="98" s="1"/>
  <c r="H128" i="98"/>
  <c r="I127" i="98"/>
  <c r="H93" i="98"/>
  <c r="N129" i="98"/>
  <c r="N94" i="98"/>
  <c r="O129" i="98" s="1"/>
  <c r="U123" i="98"/>
  <c r="V87" i="98"/>
  <c r="V122" i="98"/>
  <c r="W86" i="98"/>
  <c r="C163" i="98"/>
  <c r="C155" i="98"/>
  <c r="C169" i="98"/>
  <c r="C161" i="98"/>
  <c r="C168" i="98"/>
  <c r="C160" i="98"/>
  <c r="C167" i="98"/>
  <c r="C159" i="98"/>
  <c r="C166" i="98"/>
  <c r="C158" i="98"/>
  <c r="C165" i="98"/>
  <c r="C162" i="98"/>
  <c r="C157" i="98"/>
  <c r="C156" i="98"/>
  <c r="C164" i="98"/>
  <c r="I94" i="98"/>
  <c r="J128" i="98"/>
  <c r="Q93" i="98"/>
  <c r="P94" i="98"/>
  <c r="K129" i="98"/>
  <c r="K94" i="98"/>
  <c r="L128" i="98"/>
  <c r="O94" i="98"/>
  <c r="P129" i="98" s="1"/>
  <c r="S91" i="98"/>
  <c r="R127" i="98"/>
  <c r="W121" i="98"/>
  <c r="J95" i="98"/>
  <c r="F5" i="98"/>
  <c r="O128" i="98"/>
  <c r="S126" i="98"/>
  <c r="T90" i="98"/>
  <c r="M96" i="98"/>
  <c r="W122" i="98" l="1"/>
  <c r="S127" i="98"/>
  <c r="T91" i="98"/>
  <c r="Q129" i="98"/>
  <c r="R93" i="98"/>
  <c r="H35" i="98"/>
  <c r="R11" i="98"/>
  <c r="V11" i="98"/>
  <c r="L11" i="98"/>
  <c r="N11" i="98"/>
  <c r="O11" i="98"/>
  <c r="T11" i="98"/>
  <c r="Q11" i="98"/>
  <c r="U11" i="98"/>
  <c r="M11" i="98"/>
  <c r="W11" i="98"/>
  <c r="S11" i="98"/>
  <c r="P11" i="98"/>
  <c r="K11" i="98"/>
  <c r="J11" i="98"/>
  <c r="I11" i="98"/>
  <c r="U125" i="98"/>
  <c r="V89" i="98"/>
  <c r="H129" i="98"/>
  <c r="H94" i="98"/>
  <c r="I128" i="98"/>
  <c r="M97" i="98"/>
  <c r="U124" i="98"/>
  <c r="V88" i="98"/>
  <c r="I95" i="98"/>
  <c r="J129" i="98"/>
  <c r="K130" i="98"/>
  <c r="K95" i="98"/>
  <c r="L129" i="98"/>
  <c r="L97" i="98"/>
  <c r="N130" i="98"/>
  <c r="N95" i="98"/>
  <c r="O130" i="98" s="1"/>
  <c r="J96" i="98"/>
  <c r="T126" i="98"/>
  <c r="U90" i="98"/>
  <c r="V123" i="98"/>
  <c r="W87" i="98"/>
  <c r="O95" i="98"/>
  <c r="P130" i="98" s="1"/>
  <c r="H30" i="98"/>
  <c r="Q94" i="98"/>
  <c r="P95" i="98"/>
  <c r="S92" i="98"/>
  <c r="R128" i="98"/>
  <c r="I96" i="98" l="1"/>
  <c r="J130" i="98"/>
  <c r="R31" i="98"/>
  <c r="S128" i="98"/>
  <c r="T92" i="98"/>
  <c r="N131" i="98"/>
  <c r="N96" i="98"/>
  <c r="O131" i="98" s="1"/>
  <c r="W123" i="98"/>
  <c r="V125" i="98"/>
  <c r="W89" i="98"/>
  <c r="W31" i="98"/>
  <c r="O31" i="98"/>
  <c r="L31" i="98"/>
  <c r="Q95" i="98"/>
  <c r="P96" i="98"/>
  <c r="L98" i="98"/>
  <c r="V124" i="98"/>
  <c r="W88" i="98"/>
  <c r="W124" i="98" s="1"/>
  <c r="Q31" i="98"/>
  <c r="R129" i="98"/>
  <c r="S93" i="98"/>
  <c r="N31" i="98"/>
  <c r="U126" i="98"/>
  <c r="V90" i="98"/>
  <c r="M98" i="98"/>
  <c r="I31" i="98"/>
  <c r="K31" i="98"/>
  <c r="M31" i="98"/>
  <c r="V31" i="98"/>
  <c r="T127" i="98"/>
  <c r="U91" i="98"/>
  <c r="H130" i="98"/>
  <c r="H95" i="98"/>
  <c r="H33" i="98" s="1"/>
  <c r="I129" i="98"/>
  <c r="S31" i="98"/>
  <c r="K131" i="98"/>
  <c r="K96" i="98"/>
  <c r="L130" i="98"/>
  <c r="M132" i="98"/>
  <c r="J31" i="98"/>
  <c r="Q130" i="98"/>
  <c r="R94" i="98"/>
  <c r="O96" i="98"/>
  <c r="P131" i="98" s="1"/>
  <c r="J97" i="98"/>
  <c r="P31" i="98"/>
  <c r="U31" i="98"/>
  <c r="T31" i="98"/>
  <c r="DW31" i="29"/>
  <c r="L362" i="45"/>
  <c r="J362" i="45"/>
  <c r="H362" i="45"/>
  <c r="X362" i="45"/>
  <c r="I29" i="98" l="1"/>
  <c r="H24" i="98"/>
  <c r="V126" i="98"/>
  <c r="W90" i="98"/>
  <c r="W125" i="98"/>
  <c r="U127" i="98"/>
  <c r="V91" i="98"/>
  <c r="T128" i="98"/>
  <c r="U92" i="98"/>
  <c r="J98" i="98"/>
  <c r="L99" i="98"/>
  <c r="S129" i="98"/>
  <c r="T93" i="98"/>
  <c r="H131" i="98"/>
  <c r="H96" i="98"/>
  <c r="I130" i="98"/>
  <c r="M99" i="98"/>
  <c r="Q96" i="98"/>
  <c r="P97" i="98"/>
  <c r="N132" i="98"/>
  <c r="N97" i="98"/>
  <c r="O132" i="98" s="1"/>
  <c r="I97" i="98"/>
  <c r="J131" i="98"/>
  <c r="R130" i="98"/>
  <c r="S94" i="98"/>
  <c r="O97" i="98"/>
  <c r="P132" i="98" s="1"/>
  <c r="K132" i="98"/>
  <c r="K97" i="98"/>
  <c r="L131" i="98"/>
  <c r="M133" i="98"/>
  <c r="Q131" i="98"/>
  <c r="R95" i="98"/>
  <c r="Q68" i="98"/>
  <c r="Q66" i="98" s="1"/>
  <c r="Q67" i="98" s="1"/>
  <c r="W238" i="47"/>
  <c r="DC238" i="47" s="1"/>
  <c r="H201" i="9"/>
  <c r="DF41" i="34"/>
  <c r="DG35" i="34"/>
  <c r="DF29" i="34"/>
  <c r="DB29" i="34"/>
  <c r="DG29" i="34" s="1"/>
  <c r="DG23" i="34"/>
  <c r="DG17" i="34"/>
  <c r="DG11" i="34"/>
  <c r="BF28" i="36"/>
  <c r="BF64" i="36" s="1"/>
  <c r="CV238" i="47"/>
  <c r="DO31" i="29"/>
  <c r="DO21" i="29"/>
  <c r="L100" i="98" l="1"/>
  <c r="M135" i="98" s="1"/>
  <c r="V127" i="98"/>
  <c r="W91" i="98"/>
  <c r="S95" i="98"/>
  <c r="R131" i="98"/>
  <c r="R68" i="98"/>
  <c r="R66" i="98" s="1"/>
  <c r="R67" i="98" s="1"/>
  <c r="M100" i="98"/>
  <c r="W126" i="98"/>
  <c r="T129" i="98"/>
  <c r="U93" i="98"/>
  <c r="S130" i="98"/>
  <c r="T94" i="98"/>
  <c r="I98" i="98"/>
  <c r="J132" i="98"/>
  <c r="M134" i="98"/>
  <c r="J99" i="98"/>
  <c r="O98" i="98"/>
  <c r="P133" i="98" s="1"/>
  <c r="K133" i="98"/>
  <c r="K98" i="98"/>
  <c r="L132" i="98"/>
  <c r="H153" i="98"/>
  <c r="H154" i="98"/>
  <c r="I21" i="98"/>
  <c r="H37" i="98"/>
  <c r="Q97" i="98"/>
  <c r="P98" i="98"/>
  <c r="Q132" i="98"/>
  <c r="R96" i="98"/>
  <c r="N133" i="98"/>
  <c r="N98" i="98"/>
  <c r="O133" i="98" s="1"/>
  <c r="H132" i="98"/>
  <c r="H97" i="98"/>
  <c r="I131" i="98"/>
  <c r="U128" i="98"/>
  <c r="V92" i="98"/>
  <c r="BF34" i="36"/>
  <c r="BF46" i="36"/>
  <c r="BF52" i="36" s="1"/>
  <c r="K4" i="100"/>
  <c r="D6" i="100"/>
  <c r="I6" i="100"/>
  <c r="J5" i="100"/>
  <c r="J6" i="100" s="1"/>
  <c r="I5" i="100"/>
  <c r="H5" i="100"/>
  <c r="H6" i="100" s="1"/>
  <c r="G5" i="100"/>
  <c r="G6" i="100" s="1"/>
  <c r="F5" i="100"/>
  <c r="F6" i="100" s="1"/>
  <c r="E5" i="100"/>
  <c r="E6" i="100" s="1"/>
  <c r="D5" i="100"/>
  <c r="C5" i="100"/>
  <c r="C6" i="100" s="1"/>
  <c r="B5" i="100"/>
  <c r="B6" i="100" s="1"/>
  <c r="J4" i="100"/>
  <c r="I4" i="100"/>
  <c r="H4" i="100"/>
  <c r="G4" i="100"/>
  <c r="F4" i="100"/>
  <c r="E4" i="100"/>
  <c r="D4" i="100"/>
  <c r="C4" i="100"/>
  <c r="B4" i="100"/>
  <c r="W127" i="98" l="1"/>
  <c r="H133" i="98"/>
  <c r="H98" i="98"/>
  <c r="I132" i="98"/>
  <c r="O99" i="98"/>
  <c r="P134" i="98" s="1"/>
  <c r="T130" i="98"/>
  <c r="U94" i="98"/>
  <c r="N134" i="98"/>
  <c r="N99" i="98"/>
  <c r="O134" i="98" s="1"/>
  <c r="J100" i="98"/>
  <c r="U129" i="98"/>
  <c r="V93" i="98"/>
  <c r="S131" i="98"/>
  <c r="T95" i="98"/>
  <c r="S68" i="98"/>
  <c r="S66" i="98" s="1"/>
  <c r="S67" i="98" s="1"/>
  <c r="Q133" i="98"/>
  <c r="R97" i="98"/>
  <c r="S96" i="98"/>
  <c r="R132" i="98"/>
  <c r="H171" i="98"/>
  <c r="I154" i="98"/>
  <c r="V128" i="98"/>
  <c r="W92" i="98"/>
  <c r="W128" i="98" s="1"/>
  <c r="L101" i="98"/>
  <c r="M136" i="98" s="1"/>
  <c r="Q98" i="98"/>
  <c r="P99" i="98"/>
  <c r="K134" i="98"/>
  <c r="K99" i="98"/>
  <c r="L133" i="98"/>
  <c r="I99" i="98"/>
  <c r="J133" i="98"/>
  <c r="M101" i="98"/>
  <c r="BF58" i="36"/>
  <c r="U130" i="98" l="1"/>
  <c r="V94" i="98"/>
  <c r="V129" i="98"/>
  <c r="W93" i="98"/>
  <c r="K135" i="98"/>
  <c r="K100" i="98"/>
  <c r="L134" i="98"/>
  <c r="O100" i="98"/>
  <c r="T131" i="98"/>
  <c r="U95" i="98"/>
  <c r="T68" i="98"/>
  <c r="T66" i="98" s="1"/>
  <c r="T67" i="98" s="1"/>
  <c r="Q99" i="98"/>
  <c r="P100" i="98"/>
  <c r="S132" i="98"/>
  <c r="T96" i="98"/>
  <c r="J101" i="98"/>
  <c r="Q134" i="98"/>
  <c r="R98" i="98"/>
  <c r="R133" i="98"/>
  <c r="S97" i="98"/>
  <c r="M102" i="98"/>
  <c r="J154" i="98"/>
  <c r="K154" i="98" s="1"/>
  <c r="H134" i="98"/>
  <c r="H99" i="98"/>
  <c r="I133" i="98"/>
  <c r="I100" i="98"/>
  <c r="J134" i="98"/>
  <c r="L102" i="98"/>
  <c r="N135" i="98"/>
  <c r="N100" i="98"/>
  <c r="O135" i="98" s="1"/>
  <c r="F371" i="46"/>
  <c r="BC238" i="47"/>
  <c r="BA238" i="47"/>
  <c r="E77" i="89"/>
  <c r="D77" i="89"/>
  <c r="C77" i="89"/>
  <c r="L238" i="47"/>
  <c r="DO88" i="37" s="1"/>
  <c r="S486" i="46"/>
  <c r="S371" i="46"/>
  <c r="S188" i="46"/>
  <c r="BI238" i="47"/>
  <c r="DX46" i="37" l="1"/>
  <c r="DY46" i="37"/>
  <c r="L103" i="98"/>
  <c r="R134" i="98"/>
  <c r="S98" i="98"/>
  <c r="Q100" i="98"/>
  <c r="P101" i="98"/>
  <c r="O101" i="98"/>
  <c r="P136" i="98" s="1"/>
  <c r="L154" i="98"/>
  <c r="Q135" i="98"/>
  <c r="R99" i="98"/>
  <c r="J102" i="98"/>
  <c r="P135" i="98"/>
  <c r="M138" i="98"/>
  <c r="M103" i="98"/>
  <c r="I101" i="98"/>
  <c r="J135" i="98"/>
  <c r="M137" i="98"/>
  <c r="K136" i="98"/>
  <c r="K101" i="98"/>
  <c r="L135" i="98"/>
  <c r="N136" i="98"/>
  <c r="N101" i="98"/>
  <c r="S133" i="98"/>
  <c r="T97" i="98"/>
  <c r="T132" i="98"/>
  <c r="U96" i="98"/>
  <c r="U131" i="98"/>
  <c r="V95" i="98"/>
  <c r="U68" i="98"/>
  <c r="U66" i="98" s="1"/>
  <c r="U67" i="98" s="1"/>
  <c r="H135" i="98"/>
  <c r="H100" i="98"/>
  <c r="I134" i="98"/>
  <c r="V130" i="98"/>
  <c r="W94" i="98"/>
  <c r="W129" i="98"/>
  <c r="G15" i="99"/>
  <c r="H15" i="99" s="1"/>
  <c r="F15" i="99"/>
  <c r="E15" i="99"/>
  <c r="D15" i="99"/>
  <c r="C15" i="99"/>
  <c r="C34" i="99"/>
  <c r="H33" i="99"/>
  <c r="E23" i="99"/>
  <c r="F23" i="99" s="1"/>
  <c r="G23" i="99" s="1"/>
  <c r="H23" i="99" s="1"/>
  <c r="I23" i="99" s="1"/>
  <c r="J23" i="99" s="1"/>
  <c r="H8" i="99"/>
  <c r="I8" i="99" s="1"/>
  <c r="J8" i="99" s="1"/>
  <c r="H2" i="99"/>
  <c r="I2" i="99" s="1"/>
  <c r="J2" i="99" s="1"/>
  <c r="N137" i="98" l="1"/>
  <c r="N102" i="98"/>
  <c r="O137" i="98" s="1"/>
  <c r="Q136" i="98"/>
  <c r="R100" i="98"/>
  <c r="W130" i="98"/>
  <c r="S99" i="98"/>
  <c r="R135" i="98"/>
  <c r="M104" i="98"/>
  <c r="S134" i="98"/>
  <c r="T98" i="98"/>
  <c r="T133" i="98"/>
  <c r="U97" i="98"/>
  <c r="M154" i="98"/>
  <c r="K137" i="98"/>
  <c r="K102" i="98"/>
  <c r="L136" i="98"/>
  <c r="O102" i="98"/>
  <c r="P137" i="98" s="1"/>
  <c r="H136" i="98"/>
  <c r="H101" i="98"/>
  <c r="I135" i="98"/>
  <c r="I102" i="98"/>
  <c r="J136" i="98"/>
  <c r="V131" i="98"/>
  <c r="W95" i="98"/>
  <c r="V68" i="98"/>
  <c r="V66" i="98" s="1"/>
  <c r="V67" i="98" s="1"/>
  <c r="U132" i="98"/>
  <c r="V96" i="98"/>
  <c r="O136" i="98"/>
  <c r="L104" i="98"/>
  <c r="M139" i="98" s="1"/>
  <c r="J103" i="98"/>
  <c r="Q101" i="98"/>
  <c r="P102" i="98"/>
  <c r="I15" i="99"/>
  <c r="J15" i="99" s="1"/>
  <c r="H137" i="98" l="1"/>
  <c r="H102" i="98"/>
  <c r="I136" i="98"/>
  <c r="N154" i="98"/>
  <c r="O154" i="98" s="1"/>
  <c r="W131" i="98"/>
  <c r="W68" i="98"/>
  <c r="W66" i="98" s="1"/>
  <c r="W67" i="98" s="1"/>
  <c r="O103" i="98"/>
  <c r="S135" i="98"/>
  <c r="T99" i="98"/>
  <c r="J104" i="98"/>
  <c r="U133" i="98"/>
  <c r="V97" i="98"/>
  <c r="L105" i="98"/>
  <c r="S100" i="98"/>
  <c r="R136" i="98"/>
  <c r="I103" i="98"/>
  <c r="J137" i="98"/>
  <c r="Q102" i="98"/>
  <c r="P103" i="98"/>
  <c r="N138" i="98"/>
  <c r="N103" i="98"/>
  <c r="O138" i="98" s="1"/>
  <c r="K138" i="98"/>
  <c r="K103" i="98"/>
  <c r="L137" i="98"/>
  <c r="T134" i="98"/>
  <c r="U98" i="98"/>
  <c r="Q137" i="98"/>
  <c r="R101" i="98"/>
  <c r="V132" i="98"/>
  <c r="W96" i="98"/>
  <c r="W132" i="98" s="1"/>
  <c r="M105" i="98"/>
  <c r="S136" i="98" l="1"/>
  <c r="T100" i="98"/>
  <c r="L106" i="98"/>
  <c r="M141" i="98" s="1"/>
  <c r="O104" i="98"/>
  <c r="R137" i="98"/>
  <c r="S101" i="98"/>
  <c r="M106" i="98"/>
  <c r="U134" i="98"/>
  <c r="V98" i="98"/>
  <c r="Q138" i="98"/>
  <c r="R102" i="98"/>
  <c r="Q103" i="98"/>
  <c r="P104" i="98"/>
  <c r="M140" i="98"/>
  <c r="P138" i="98"/>
  <c r="V133" i="98"/>
  <c r="W97" i="98"/>
  <c r="W133" i="98" s="1"/>
  <c r="N139" i="98"/>
  <c r="N104" i="98"/>
  <c r="O139" i="98" s="1"/>
  <c r="P154" i="98"/>
  <c r="T135" i="98"/>
  <c r="U99" i="98"/>
  <c r="K139" i="98"/>
  <c r="K104" i="98"/>
  <c r="L138" i="98"/>
  <c r="J105" i="98"/>
  <c r="H138" i="98"/>
  <c r="H103" i="98"/>
  <c r="I137" i="98"/>
  <c r="I104" i="98"/>
  <c r="J138" i="98"/>
  <c r="M143" i="98" l="1"/>
  <c r="M153" i="98" s="1"/>
  <c r="H139" i="98"/>
  <c r="H104" i="98"/>
  <c r="I138" i="98"/>
  <c r="U135" i="98"/>
  <c r="V99" i="98"/>
  <c r="V134" i="98"/>
  <c r="W98" i="98"/>
  <c r="O105" i="98"/>
  <c r="P140" i="98" s="1"/>
  <c r="Q104" i="98"/>
  <c r="P105" i="98"/>
  <c r="T136" i="98"/>
  <c r="U100" i="98"/>
  <c r="J106" i="98"/>
  <c r="Q154" i="98"/>
  <c r="Q139" i="98"/>
  <c r="R103" i="98"/>
  <c r="S137" i="98"/>
  <c r="T101" i="98"/>
  <c r="I105" i="98"/>
  <c r="J139" i="98"/>
  <c r="N140" i="98"/>
  <c r="N105" i="98"/>
  <c r="P139" i="98"/>
  <c r="K140" i="98"/>
  <c r="K105" i="98"/>
  <c r="L139" i="98"/>
  <c r="R138" i="98"/>
  <c r="S102" i="98"/>
  <c r="EV16" i="37"/>
  <c r="EV12" i="37"/>
  <c r="EV11" i="37"/>
  <c r="EV13" i="37"/>
  <c r="EV17" i="37"/>
  <c r="M22" i="98" l="1"/>
  <c r="M32" i="98" s="1"/>
  <c r="M54" i="98"/>
  <c r="N141" i="98"/>
  <c r="N143" i="98" s="1"/>
  <c r="N106" i="98"/>
  <c r="O141" i="98" s="1"/>
  <c r="Q140" i="98"/>
  <c r="R104" i="98"/>
  <c r="H140" i="98"/>
  <c r="H105" i="98"/>
  <c r="I139" i="98"/>
  <c r="R154" i="98"/>
  <c r="O106" i="98"/>
  <c r="P141" i="98" s="1"/>
  <c r="P143" i="98" s="1"/>
  <c r="V135" i="98"/>
  <c r="W99" i="98"/>
  <c r="I106" i="98"/>
  <c r="J141" i="98" s="1"/>
  <c r="J140" i="98"/>
  <c r="O140" i="98"/>
  <c r="S103" i="98"/>
  <c r="R139" i="98"/>
  <c r="S138" i="98"/>
  <c r="T102" i="98"/>
  <c r="W134" i="98"/>
  <c r="M59" i="98"/>
  <c r="M60" i="98" s="1"/>
  <c r="M51" i="98"/>
  <c r="Q105" i="98"/>
  <c r="P106" i="98"/>
  <c r="Q106" i="98" s="1"/>
  <c r="R106" i="98" s="1"/>
  <c r="S106" i="98" s="1"/>
  <c r="T106" i="98" s="1"/>
  <c r="U106" i="98" s="1"/>
  <c r="V106" i="98" s="1"/>
  <c r="W106" i="98" s="1"/>
  <c r="K141" i="98"/>
  <c r="K143" i="98" s="1"/>
  <c r="K106" i="98"/>
  <c r="L141" i="98" s="1"/>
  <c r="L143" i="98" s="1"/>
  <c r="L140" i="98"/>
  <c r="T137" i="98"/>
  <c r="U101" i="98"/>
  <c r="U136" i="98"/>
  <c r="V100" i="98"/>
  <c r="HE16" i="38"/>
  <c r="M159" i="98" l="1"/>
  <c r="N159" i="98" s="1"/>
  <c r="O159" i="98" s="1"/>
  <c r="O143" i="98"/>
  <c r="J143" i="98"/>
  <c r="J153" i="98" s="1"/>
  <c r="V136" i="98"/>
  <c r="W100" i="98"/>
  <c r="W136" i="98" s="1"/>
  <c r="Q141" i="98"/>
  <c r="Q143" i="98" s="1"/>
  <c r="R105" i="98"/>
  <c r="T138" i="98"/>
  <c r="U102" i="98"/>
  <c r="P153" i="98"/>
  <c r="P54" i="98"/>
  <c r="P22" i="98"/>
  <c r="S139" i="98"/>
  <c r="T103" i="98"/>
  <c r="S104" i="98"/>
  <c r="R140" i="98"/>
  <c r="K153" i="98"/>
  <c r="K54" i="98"/>
  <c r="K22" i="98"/>
  <c r="H141" i="98"/>
  <c r="H143" i="98" s="1"/>
  <c r="H106" i="98"/>
  <c r="I141" i="98" s="1"/>
  <c r="I140" i="98"/>
  <c r="W135" i="98"/>
  <c r="U137" i="98"/>
  <c r="V101" i="98"/>
  <c r="O153" i="98"/>
  <c r="O54" i="98"/>
  <c r="O22" i="98"/>
  <c r="L153" i="98"/>
  <c r="L54" i="98"/>
  <c r="L22" i="98"/>
  <c r="S154" i="98"/>
  <c r="N153" i="98"/>
  <c r="N54" i="98"/>
  <c r="N22" i="98"/>
  <c r="I143" i="98" l="1"/>
  <c r="I54" i="98" s="1"/>
  <c r="J22" i="98"/>
  <c r="J32" i="98" s="1"/>
  <c r="J54" i="98"/>
  <c r="K55" i="98" s="1"/>
  <c r="Q153" i="98"/>
  <c r="Q54" i="98"/>
  <c r="Q22" i="98"/>
  <c r="O161" i="98"/>
  <c r="O32" i="98"/>
  <c r="R141" i="98"/>
  <c r="R143" i="98" s="1"/>
  <c r="S105" i="98"/>
  <c r="O59" i="98"/>
  <c r="O60" i="98" s="1"/>
  <c r="O55" i="98"/>
  <c r="O51" i="98"/>
  <c r="T154" i="98"/>
  <c r="K157" i="98"/>
  <c r="K32" i="98"/>
  <c r="P162" i="98"/>
  <c r="P32" i="98"/>
  <c r="P159" i="98"/>
  <c r="K59" i="98"/>
  <c r="K60" i="98" s="1"/>
  <c r="K51" i="98"/>
  <c r="P59" i="98"/>
  <c r="P60" i="98" s="1"/>
  <c r="P55" i="98"/>
  <c r="P51" i="98"/>
  <c r="N59" i="98"/>
  <c r="N60" i="98" s="1"/>
  <c r="N55" i="98"/>
  <c r="N51" i="98"/>
  <c r="N52" i="98" s="1"/>
  <c r="L158" i="98"/>
  <c r="L32" i="98"/>
  <c r="V137" i="98"/>
  <c r="W101" i="98"/>
  <c r="S140" i="98"/>
  <c r="T104" i="98"/>
  <c r="N160" i="98"/>
  <c r="N32" i="98"/>
  <c r="T139" i="98"/>
  <c r="U103" i="98"/>
  <c r="L59" i="98"/>
  <c r="L60" i="98" s="1"/>
  <c r="L55" i="98"/>
  <c r="L51" i="98"/>
  <c r="M55" i="98"/>
  <c r="U138" i="98"/>
  <c r="V102" i="98"/>
  <c r="DL237" i="47"/>
  <c r="DL244" i="47" s="1"/>
  <c r="DM244" i="47" l="1"/>
  <c r="DL248" i="47"/>
  <c r="J51" i="98"/>
  <c r="J59" i="98"/>
  <c r="J60" i="98" s="1"/>
  <c r="I153" i="98"/>
  <c r="I22" i="98"/>
  <c r="I32" i="98" s="1"/>
  <c r="I30" i="98" s="1"/>
  <c r="J156" i="98"/>
  <c r="K156" i="98" s="1"/>
  <c r="I51" i="98"/>
  <c r="J52" i="98" s="1"/>
  <c r="J55" i="98"/>
  <c r="K52" i="98"/>
  <c r="W137" i="98"/>
  <c r="O52" i="98"/>
  <c r="P52" i="98"/>
  <c r="Q159" i="98"/>
  <c r="R159" i="98" s="1"/>
  <c r="Q59" i="98"/>
  <c r="Q60" i="98" s="1"/>
  <c r="Q51" i="98"/>
  <c r="Q52" i="98" s="1"/>
  <c r="Q55" i="98"/>
  <c r="P161" i="98"/>
  <c r="Q161" i="98" s="1"/>
  <c r="Q163" i="98"/>
  <c r="Q32" i="98"/>
  <c r="M158" i="98"/>
  <c r="O160" i="98"/>
  <c r="L52" i="98"/>
  <c r="M52" i="98"/>
  <c r="T140" i="98"/>
  <c r="U104" i="98"/>
  <c r="Q162" i="98"/>
  <c r="S141" i="98"/>
  <c r="S143" i="98" s="1"/>
  <c r="T105" i="98"/>
  <c r="U139" i="98"/>
  <c r="V103" i="98"/>
  <c r="L157" i="98"/>
  <c r="R153" i="98"/>
  <c r="R54" i="98"/>
  <c r="R22" i="98"/>
  <c r="V138" i="98"/>
  <c r="W102" i="98"/>
  <c r="U154" i="98"/>
  <c r="I155" i="98" l="1"/>
  <c r="J155" i="98" s="1"/>
  <c r="J171" i="98" s="1"/>
  <c r="J23" i="98" s="1"/>
  <c r="J12" i="98" s="1"/>
  <c r="J13" i="98" s="1"/>
  <c r="P160" i="98"/>
  <c r="N158" i="98"/>
  <c r="S159" i="98"/>
  <c r="R59" i="98"/>
  <c r="R60" i="98" s="1"/>
  <c r="R51" i="98"/>
  <c r="R52" i="98" s="1"/>
  <c r="R55" i="98"/>
  <c r="I15" i="98"/>
  <c r="I38" i="98" s="1"/>
  <c r="I33" i="98"/>
  <c r="J29" i="98" s="1"/>
  <c r="V139" i="98"/>
  <c r="W103" i="98"/>
  <c r="U140" i="98"/>
  <c r="V104" i="98"/>
  <c r="S153" i="98"/>
  <c r="S54" i="98"/>
  <c r="S22" i="98"/>
  <c r="R164" i="98"/>
  <c r="R32" i="98"/>
  <c r="L156" i="98"/>
  <c r="R163" i="98"/>
  <c r="S163" i="98" s="1"/>
  <c r="V154" i="98"/>
  <c r="R162" i="98"/>
  <c r="S162" i="98" s="1"/>
  <c r="R161" i="98"/>
  <c r="S161" i="98" s="1"/>
  <c r="M157" i="98"/>
  <c r="N157" i="98" s="1"/>
  <c r="W138" i="98"/>
  <c r="T141" i="98"/>
  <c r="T143" i="98" s="1"/>
  <c r="U105" i="98"/>
  <c r="J361" i="45"/>
  <c r="H361" i="45"/>
  <c r="L361" i="45"/>
  <c r="X361" i="45"/>
  <c r="BE83" i="17"/>
  <c r="BI83" i="17" s="1"/>
  <c r="BK83" i="17" s="1"/>
  <c r="BM83" i="17" s="1"/>
  <c r="BO83" i="17" s="1"/>
  <c r="BQ83" i="17" s="1"/>
  <c r="BI42" i="17"/>
  <c r="BK42" i="17" s="1"/>
  <c r="BM42" i="17" s="1"/>
  <c r="BO42" i="17" s="1"/>
  <c r="BQ42" i="17" s="1"/>
  <c r="H200" i="9"/>
  <c r="DF40" i="34"/>
  <c r="BF63" i="36"/>
  <c r="BF45" i="36"/>
  <c r="BF51" i="36" s="1"/>
  <c r="BF27" i="36"/>
  <c r="BF33" i="36" s="1"/>
  <c r="CV237" i="47"/>
  <c r="DO30" i="29"/>
  <c r="DO20" i="29"/>
  <c r="BF57" i="36" l="1"/>
  <c r="I171" i="98"/>
  <c r="I23" i="98" s="1"/>
  <c r="I12" i="98" s="1"/>
  <c r="I13" i="98" s="1"/>
  <c r="I16" i="98" s="1"/>
  <c r="W139" i="98"/>
  <c r="Q160" i="98"/>
  <c r="R160" i="98" s="1"/>
  <c r="T163" i="98"/>
  <c r="U163" i="98" s="1"/>
  <c r="U141" i="98"/>
  <c r="U143" i="98" s="1"/>
  <c r="V105" i="98"/>
  <c r="T159" i="98"/>
  <c r="U159" i="98" s="1"/>
  <c r="V159" i="98" s="1"/>
  <c r="W159" i="98" s="1"/>
  <c r="T161" i="98"/>
  <c r="U161" i="98" s="1"/>
  <c r="T153" i="98"/>
  <c r="T54" i="98"/>
  <c r="T22" i="98"/>
  <c r="S165" i="98"/>
  <c r="S32" i="98"/>
  <c r="S59" i="98"/>
  <c r="S60" i="98" s="1"/>
  <c r="S51" i="98"/>
  <c r="S52" i="98" s="1"/>
  <c r="S55" i="98"/>
  <c r="M156" i="98"/>
  <c r="N156" i="98" s="1"/>
  <c r="T162" i="98"/>
  <c r="U162" i="98" s="1"/>
  <c r="V162" i="98" s="1"/>
  <c r="K155" i="98"/>
  <c r="O157" i="98"/>
  <c r="P157" i="98" s="1"/>
  <c r="O158" i="98"/>
  <c r="P158" i="98" s="1"/>
  <c r="V140" i="98"/>
  <c r="W104" i="98"/>
  <c r="J30" i="98"/>
  <c r="J15" i="98" s="1"/>
  <c r="J38" i="98" s="1"/>
  <c r="S164" i="98"/>
  <c r="T164" i="98" s="1"/>
  <c r="W154" i="98"/>
  <c r="I24" i="98" l="1"/>
  <c r="J21" i="98" s="1"/>
  <c r="J24" i="98" s="1"/>
  <c r="J33" i="98"/>
  <c r="K29" i="98" s="1"/>
  <c r="K30" i="98" s="1"/>
  <c r="K15" i="98" s="1"/>
  <c r="K38" i="98" s="1"/>
  <c r="V161" i="98"/>
  <c r="W161" i="98" s="1"/>
  <c r="U164" i="98"/>
  <c r="S160" i="98"/>
  <c r="T160" i="98" s="1"/>
  <c r="V163" i="98"/>
  <c r="W163" i="98" s="1"/>
  <c r="W162" i="98"/>
  <c r="O156" i="98"/>
  <c r="T166" i="98"/>
  <c r="T32" i="98"/>
  <c r="V141" i="98"/>
  <c r="V143" i="98" s="1"/>
  <c r="W105" i="98"/>
  <c r="W141" i="98" s="1"/>
  <c r="T59" i="98"/>
  <c r="T60" i="98" s="1"/>
  <c r="T55" i="98"/>
  <c r="T51" i="98"/>
  <c r="T52" i="98" s="1"/>
  <c r="U153" i="98"/>
  <c r="U54" i="98"/>
  <c r="U22" i="98"/>
  <c r="Q158" i="98"/>
  <c r="R158" i="98" s="1"/>
  <c r="K171" i="98"/>
  <c r="K23" i="98" s="1"/>
  <c r="K12" i="98" s="1"/>
  <c r="K13" i="98" s="1"/>
  <c r="W140" i="98"/>
  <c r="Q157" i="98"/>
  <c r="R157" i="98" s="1"/>
  <c r="T165" i="98"/>
  <c r="U165" i="98" s="1"/>
  <c r="J16" i="98"/>
  <c r="L155" i="98"/>
  <c r="BC237" i="47"/>
  <c r="BA237" i="47"/>
  <c r="DG10" i="34"/>
  <c r="DG34" i="34"/>
  <c r="DG28" i="34"/>
  <c r="DG22" i="34"/>
  <c r="DG16" i="34"/>
  <c r="G237" i="47"/>
  <c r="L237" i="47"/>
  <c r="DO83" i="37"/>
  <c r="S485" i="46"/>
  <c r="S370" i="46"/>
  <c r="S187" i="46"/>
  <c r="E76" i="89"/>
  <c r="C76" i="89"/>
  <c r="DH180" i="45"/>
  <c r="DH181" i="45"/>
  <c r="DH182" i="45"/>
  <c r="W237" i="47"/>
  <c r="DC237" i="47" s="1"/>
  <c r="HE12" i="38"/>
  <c r="DH189" i="45" l="1"/>
  <c r="I35" i="98"/>
  <c r="I37" i="98"/>
  <c r="I39" i="98" s="1"/>
  <c r="U160" i="98"/>
  <c r="V160" i="98" s="1"/>
  <c r="W160" i="98" s="1"/>
  <c r="V164" i="98"/>
  <c r="W164" i="98" s="1"/>
  <c r="S158" i="98"/>
  <c r="T158" i="98" s="1"/>
  <c r="U158" i="98" s="1"/>
  <c r="U166" i="98"/>
  <c r="V166" i="98" s="1"/>
  <c r="U59" i="98"/>
  <c r="U60" i="98" s="1"/>
  <c r="U55" i="98"/>
  <c r="U51" i="98"/>
  <c r="U52" i="98" s="1"/>
  <c r="S157" i="98"/>
  <c r="T157" i="98" s="1"/>
  <c r="U157" i="98" s="1"/>
  <c r="V157" i="98" s="1"/>
  <c r="W157" i="98" s="1"/>
  <c r="K16" i="98"/>
  <c r="V165" i="98"/>
  <c r="W165" i="98" s="1"/>
  <c r="W143" i="98"/>
  <c r="P156" i="98"/>
  <c r="Q156" i="98" s="1"/>
  <c r="R156" i="98" s="1"/>
  <c r="V153" i="98"/>
  <c r="V54" i="98"/>
  <c r="V22" i="98"/>
  <c r="U167" i="98"/>
  <c r="U32" i="98"/>
  <c r="K33" i="98"/>
  <c r="L29" i="98" s="1"/>
  <c r="L171" i="98"/>
  <c r="L23" i="98" s="1"/>
  <c r="L12" i="98" s="1"/>
  <c r="L13" i="98" s="1"/>
  <c r="M155" i="98"/>
  <c r="J37" i="98"/>
  <c r="K21" i="98"/>
  <c r="K24" i="98" s="1"/>
  <c r="J35" i="98"/>
  <c r="J39" i="98" l="1"/>
  <c r="W166" i="98"/>
  <c r="N155" i="98"/>
  <c r="O155" i="98" s="1"/>
  <c r="O171" i="98" s="1"/>
  <c r="O23" i="98" s="1"/>
  <c r="O12" i="98" s="1"/>
  <c r="O13" i="98" s="1"/>
  <c r="V168" i="98"/>
  <c r="W168" i="98" s="1"/>
  <c r="V32" i="98"/>
  <c r="V59" i="98"/>
  <c r="V60" i="98" s="1"/>
  <c r="V55" i="98"/>
  <c r="V51" i="98"/>
  <c r="V52" i="98" s="1"/>
  <c r="K37" i="98"/>
  <c r="K39" i="98" s="1"/>
  <c r="L21" i="98"/>
  <c r="L24" i="98" s="1"/>
  <c r="K35" i="98"/>
  <c r="V158" i="98"/>
  <c r="W158" i="98" s="1"/>
  <c r="S156" i="98"/>
  <c r="T156" i="98" s="1"/>
  <c r="U156" i="98" s="1"/>
  <c r="V156" i="98" s="1"/>
  <c r="V167" i="98"/>
  <c r="W167" i="98" s="1"/>
  <c r="M171" i="98"/>
  <c r="M23" i="98" s="1"/>
  <c r="M12" i="98" s="1"/>
  <c r="M13" i="98" s="1"/>
  <c r="L30" i="98"/>
  <c r="L15" i="98" s="1"/>
  <c r="L38" i="98" s="1"/>
  <c r="W153" i="98"/>
  <c r="W54" i="98"/>
  <c r="W22" i="98"/>
  <c r="HE11" i="38"/>
  <c r="L33" i="98" l="1"/>
  <c r="M29" i="98" s="1"/>
  <c r="M30" i="98" s="1"/>
  <c r="M15" i="98" s="1"/>
  <c r="M38" i="98" s="1"/>
  <c r="W156" i="98"/>
  <c r="W169" i="98"/>
  <c r="W32" i="98"/>
  <c r="P155" i="98"/>
  <c r="L16" i="98"/>
  <c r="W59" i="98"/>
  <c r="W60" i="98" s="1"/>
  <c r="W55" i="98"/>
  <c r="W51" i="98"/>
  <c r="W52" i="98" s="1"/>
  <c r="M21" i="98"/>
  <c r="M24" i="98" s="1"/>
  <c r="N171" i="98"/>
  <c r="N23" i="98" s="1"/>
  <c r="N12" i="98" s="1"/>
  <c r="N13" i="98" s="1"/>
  <c r="BD42" i="22"/>
  <c r="BD41" i="22"/>
  <c r="BD40" i="22"/>
  <c r="BD51" i="22"/>
  <c r="BD50" i="22"/>
  <c r="BD15" i="22"/>
  <c r="BD9" i="22"/>
  <c r="BD10" i="22"/>
  <c r="L35" i="98" l="1"/>
  <c r="L37" i="98"/>
  <c r="L39" i="98" s="1"/>
  <c r="M33" i="98"/>
  <c r="N29" i="98" s="1"/>
  <c r="N30" i="98" s="1"/>
  <c r="N15" i="98" s="1"/>
  <c r="M16" i="98"/>
  <c r="P171" i="98"/>
  <c r="P23" i="98" s="1"/>
  <c r="P12" i="98" s="1"/>
  <c r="P13" i="98" s="1"/>
  <c r="Q155" i="98"/>
  <c r="N21" i="98"/>
  <c r="N24" i="98" s="1"/>
  <c r="HN10" i="38"/>
  <c r="M37" i="98" l="1"/>
  <c r="M39" i="98" s="1"/>
  <c r="M35" i="98"/>
  <c r="N38" i="98"/>
  <c r="N16" i="98"/>
  <c r="Q171" i="98"/>
  <c r="Q23" i="98" s="1"/>
  <c r="Q12" i="98" s="1"/>
  <c r="Q13" i="98" s="1"/>
  <c r="R155" i="98"/>
  <c r="O21" i="98"/>
  <c r="O24" i="98" s="1"/>
  <c r="N33" i="98"/>
  <c r="O29" i="98" s="1"/>
  <c r="N35" i="98" l="1"/>
  <c r="N37" i="98"/>
  <c r="N39" i="98" s="1"/>
  <c r="P21" i="98"/>
  <c r="P24" i="98" s="1"/>
  <c r="R171" i="98"/>
  <c r="R23" i="98" s="1"/>
  <c r="R12" i="98" s="1"/>
  <c r="R13" i="98" s="1"/>
  <c r="S155" i="98"/>
  <c r="O30" i="98"/>
  <c r="O15" i="98" s="1"/>
  <c r="O33" i="98" l="1"/>
  <c r="O38" i="98"/>
  <c r="O16" i="98"/>
  <c r="S171" i="98"/>
  <c r="S23" i="98" s="1"/>
  <c r="S12" i="98" s="1"/>
  <c r="S13" i="98" s="1"/>
  <c r="T155" i="98"/>
  <c r="Q21" i="98"/>
  <c r="Q24" i="98" s="1"/>
  <c r="R21" i="98" l="1"/>
  <c r="R24" i="98" s="1"/>
  <c r="T171" i="98"/>
  <c r="T23" i="98" s="1"/>
  <c r="T12" i="98" s="1"/>
  <c r="T13" i="98" s="1"/>
  <c r="U155" i="98"/>
  <c r="P29" i="98"/>
  <c r="O37" i="98"/>
  <c r="O39" i="98" s="1"/>
  <c r="O35" i="98"/>
  <c r="AN39" i="89"/>
  <c r="U171" i="98" l="1"/>
  <c r="U23" i="98" s="1"/>
  <c r="U12" i="98" s="1"/>
  <c r="U13" i="98" s="1"/>
  <c r="V155" i="98"/>
  <c r="P30" i="98"/>
  <c r="P15" i="98" s="1"/>
  <c r="S21" i="98"/>
  <c r="S24" i="98" s="1"/>
  <c r="DH241" i="47"/>
  <c r="DI248" i="47" l="1"/>
  <c r="X39" i="85"/>
  <c r="P38" i="98"/>
  <c r="P16" i="98"/>
  <c r="T21" i="98"/>
  <c r="T24" i="98" s="1"/>
  <c r="P33" i="98"/>
  <c r="V171" i="98"/>
  <c r="V23" i="98" s="1"/>
  <c r="V12" i="98" s="1"/>
  <c r="V13" i="98" s="1"/>
  <c r="W155" i="98"/>
  <c r="W171" i="98" s="1"/>
  <c r="W23" i="98" s="1"/>
  <c r="W12" i="98" s="1"/>
  <c r="W13" i="98" s="1"/>
  <c r="BG340" i="45"/>
  <c r="BH340" i="45"/>
  <c r="BK340" i="45"/>
  <c r="AB40" i="85" l="1"/>
  <c r="Z40" i="85"/>
  <c r="Q29" i="98"/>
  <c r="P35" i="98"/>
  <c r="P37" i="98"/>
  <c r="P39" i="98" s="1"/>
  <c r="U21" i="98"/>
  <c r="U24" i="98" s="1"/>
  <c r="DK23" i="29"/>
  <c r="X358" i="45"/>
  <c r="H358" i="45"/>
  <c r="BD66" i="36"/>
  <c r="BD30" i="36"/>
  <c r="BD48" i="36" s="1"/>
  <c r="BD54" i="36" s="1"/>
  <c r="DB43" i="34"/>
  <c r="DC37" i="34"/>
  <c r="DC25" i="34"/>
  <c r="DC19" i="34"/>
  <c r="DC13" i="34"/>
  <c r="DB31" i="34"/>
  <c r="DJ233" i="47"/>
  <c r="CV233" i="47"/>
  <c r="DK33" i="29"/>
  <c r="BD36" i="36" l="1"/>
  <c r="BD60" i="36" s="1"/>
  <c r="V21" i="98"/>
  <c r="V24" i="98" s="1"/>
  <c r="Q30" i="98"/>
  <c r="Q15" i="98" s="1"/>
  <c r="H196" i="9"/>
  <c r="F22" i="82"/>
  <c r="F20" i="82"/>
  <c r="F16" i="82"/>
  <c r="Q33" i="98" l="1"/>
  <c r="Q44" i="98" s="1"/>
  <c r="W21" i="98"/>
  <c r="W24" i="98" s="1"/>
  <c r="Q38" i="98"/>
  <c r="Q16" i="98"/>
  <c r="F18" i="82"/>
  <c r="F30" i="82" s="1"/>
  <c r="F8" i="82"/>
  <c r="F11" i="82"/>
  <c r="R29" i="98" l="1"/>
  <c r="Q37" i="98"/>
  <c r="Q39" i="98" s="1"/>
  <c r="Q35" i="98"/>
  <c r="F9" i="82"/>
  <c r="F4" i="82"/>
  <c r="R30" i="98" l="1"/>
  <c r="R15" i="98" s="1"/>
  <c r="F31" i="82"/>
  <c r="F29" i="82"/>
  <c r="F28" i="82"/>
  <c r="F26" i="82"/>
  <c r="F6" i="82"/>
  <c r="F27" i="82"/>
  <c r="W3" i="82"/>
  <c r="AA3" i="82" s="1"/>
  <c r="V3" i="82"/>
  <c r="Z3" i="82" s="1"/>
  <c r="U3" i="82"/>
  <c r="Y3" i="82" s="1"/>
  <c r="I3" i="82"/>
  <c r="H3" i="82"/>
  <c r="P1" i="82"/>
  <c r="R38" i="98" l="1"/>
  <c r="R16" i="98"/>
  <c r="R33" i="98"/>
  <c r="R44" i="98" s="1"/>
  <c r="D74" i="89"/>
  <c r="G74" i="89" s="1"/>
  <c r="BA233" i="47"/>
  <c r="L233" i="47"/>
  <c r="DI98" i="37" s="1"/>
  <c r="DX98" i="37" s="1"/>
  <c r="S481" i="46"/>
  <c r="S183" i="46"/>
  <c r="D190" i="46" s="1"/>
  <c r="BC233" i="47"/>
  <c r="W233" i="47"/>
  <c r="DC233" i="47" s="1"/>
  <c r="GY27" i="38"/>
  <c r="DV33" i="28"/>
  <c r="CL58" i="28"/>
  <c r="CR20" i="28"/>
  <c r="CQ20" i="28"/>
  <c r="CP20" i="28"/>
  <c r="CO20" i="28"/>
  <c r="CR19" i="28"/>
  <c r="CQ19" i="28"/>
  <c r="CP19" i="28"/>
  <c r="CO19" i="28"/>
  <c r="CR16" i="28"/>
  <c r="CQ16" i="28"/>
  <c r="CP16" i="28"/>
  <c r="CO16" i="28"/>
  <c r="CR11" i="28"/>
  <c r="CQ11" i="28"/>
  <c r="CP11" i="28"/>
  <c r="CO11" i="28"/>
  <c r="CR84" i="28"/>
  <c r="CQ84" i="28"/>
  <c r="CP84" i="28"/>
  <c r="CO84" i="28"/>
  <c r="CR83" i="28"/>
  <c r="CQ83" i="28"/>
  <c r="CP83" i="28"/>
  <c r="CO83" i="28"/>
  <c r="BM177" i="45"/>
  <c r="BM183" i="45"/>
  <c r="AA44" i="89"/>
  <c r="AA45" i="89"/>
  <c r="AA46" i="89"/>
  <c r="AA43" i="89"/>
  <c r="BO65" i="17"/>
  <c r="BN75" i="22"/>
  <c r="BM49" i="22"/>
  <c r="BM11" i="22"/>
  <c r="BO101" i="17"/>
  <c r="AQ383" i="40"/>
  <c r="AQ381" i="40"/>
  <c r="AQ380" i="40"/>
  <c r="AQ379" i="40"/>
  <c r="AQ378" i="40"/>
  <c r="G44" i="89"/>
  <c r="G45" i="89"/>
  <c r="G46" i="89"/>
  <c r="H46" i="89" s="1"/>
  <c r="G43" i="89"/>
  <c r="G79" i="89"/>
  <c r="G78" i="89"/>
  <c r="G77" i="89"/>
  <c r="G76" i="89"/>
  <c r="C46" i="89"/>
  <c r="C45" i="89"/>
  <c r="C44" i="89"/>
  <c r="C43" i="89"/>
  <c r="AJ47" i="89"/>
  <c r="AH46" i="89"/>
  <c r="AH45" i="89"/>
  <c r="AD45" i="89"/>
  <c r="AH44" i="89"/>
  <c r="AD44" i="89"/>
  <c r="S44" i="89"/>
  <c r="AH43" i="89"/>
  <c r="X357" i="45"/>
  <c r="Z480" i="46" s="1"/>
  <c r="L357" i="45"/>
  <c r="J357" i="45"/>
  <c r="H357" i="45"/>
  <c r="X356" i="45"/>
  <c r="L356" i="45"/>
  <c r="J356" i="45"/>
  <c r="U38" i="89"/>
  <c r="DJ32" i="29"/>
  <c r="DK32" i="29" s="1"/>
  <c r="AH232" i="47"/>
  <c r="DK22" i="29"/>
  <c r="CV232" i="47"/>
  <c r="H195" i="9"/>
  <c r="DC36" i="34"/>
  <c r="DB30" i="34"/>
  <c r="CX30" i="34"/>
  <c r="CX42" i="34" s="1"/>
  <c r="CX48" i="34" s="1"/>
  <c r="DC24" i="34"/>
  <c r="CX24" i="34"/>
  <c r="DC12" i="34"/>
  <c r="DC17" i="34"/>
  <c r="DC18" i="34"/>
  <c r="BD29" i="36"/>
  <c r="DC232" i="47"/>
  <c r="BA230" i="47"/>
  <c r="BA231" i="47"/>
  <c r="BA232" i="47"/>
  <c r="BC232" i="47"/>
  <c r="BC231" i="47"/>
  <c r="BD238" i="47" s="1"/>
  <c r="D73" i="89"/>
  <c r="G73" i="89" s="1"/>
  <c r="S480" i="46"/>
  <c r="AI480" i="46" s="1"/>
  <c r="S365" i="46"/>
  <c r="AI365" i="46" s="1"/>
  <c r="S182" i="46"/>
  <c r="AC232" i="47"/>
  <c r="L232" i="47"/>
  <c r="DI93" i="37" s="1"/>
  <c r="DX93" i="37" s="1"/>
  <c r="L231" i="47"/>
  <c r="DI88" i="37" s="1"/>
  <c r="DX88" i="37" s="1"/>
  <c r="DY11" i="37"/>
  <c r="DX11" i="37"/>
  <c r="AH37" i="89"/>
  <c r="DP230" i="47"/>
  <c r="DL31" i="29"/>
  <c r="BD28" i="36"/>
  <c r="BD64" i="36" s="1"/>
  <c r="H194" i="9"/>
  <c r="DC35" i="34"/>
  <c r="DB41" i="34"/>
  <c r="DC11" i="34"/>
  <c r="DI231" i="47"/>
  <c r="CV231" i="47"/>
  <c r="DJ81" i="29"/>
  <c r="DK21" i="29"/>
  <c r="DP21" i="29" s="1"/>
  <c r="DK31" i="29"/>
  <c r="S231" i="47"/>
  <c r="L230" i="47"/>
  <c r="DI83" i="37" s="1"/>
  <c r="DX83" i="37" s="1"/>
  <c r="D72" i="89"/>
  <c r="G72" i="89" s="1"/>
  <c r="S479" i="46"/>
  <c r="S181" i="46"/>
  <c r="AI181" i="46" s="1"/>
  <c r="W231" i="47"/>
  <c r="DC231" i="47" s="1"/>
  <c r="GY17" i="38"/>
  <c r="HO22" i="38"/>
  <c r="ER14" i="37"/>
  <c r="ER18" i="37"/>
  <c r="ER19" i="37" s="1"/>
  <c r="F238" i="47" s="1"/>
  <c r="AD46" i="89"/>
  <c r="AD43" i="89"/>
  <c r="CQ10" i="29"/>
  <c r="CJ10" i="34" s="1"/>
  <c r="CQ11" i="29"/>
  <c r="CJ11" i="34" s="1"/>
  <c r="CQ12" i="29"/>
  <c r="CJ12" i="34" s="1"/>
  <c r="CJ42" i="34" s="1"/>
  <c r="CQ13" i="29"/>
  <c r="CJ13" i="34" s="1"/>
  <c r="CP14" i="29"/>
  <c r="CP15" i="29"/>
  <c r="CR15" i="29" s="1"/>
  <c r="CR16" i="29" s="1"/>
  <c r="CP16" i="29"/>
  <c r="CQ20" i="29"/>
  <c r="CQ21" i="29"/>
  <c r="CQ22" i="29"/>
  <c r="CQ23" i="29"/>
  <c r="CP24" i="29"/>
  <c r="CP25" i="29"/>
  <c r="CQ25" i="29" s="1"/>
  <c r="CP26" i="29"/>
  <c r="CQ26" i="29" s="1"/>
  <c r="CP30" i="29"/>
  <c r="CR30" i="29"/>
  <c r="CP31" i="29"/>
  <c r="CQ31" i="29"/>
  <c r="CR31" i="29"/>
  <c r="CQ32" i="29"/>
  <c r="CR32" i="29"/>
  <c r="CQ33" i="29"/>
  <c r="CR33" i="29"/>
  <c r="CQ40" i="29"/>
  <c r="BK16" i="28" s="1"/>
  <c r="CR40" i="29"/>
  <c r="CQ41" i="29"/>
  <c r="CR41" i="29"/>
  <c r="CQ42" i="29"/>
  <c r="BM16" i="28" s="1"/>
  <c r="CR42" i="29"/>
  <c r="CQ43" i="29"/>
  <c r="CR43" i="29"/>
  <c r="CP44" i="29"/>
  <c r="CP45" i="29"/>
  <c r="CQ45" i="29" s="1"/>
  <c r="CP46" i="29"/>
  <c r="CP50" i="29"/>
  <c r="CQ50" i="29"/>
  <c r="CP51" i="29"/>
  <c r="CQ52" i="29"/>
  <c r="CP53" i="29"/>
  <c r="CQ53" i="29"/>
  <c r="CP60" i="29"/>
  <c r="CP61" i="29"/>
  <c r="CQ61" i="29" s="1"/>
  <c r="CP62" i="29"/>
  <c r="CQ62" i="29" s="1"/>
  <c r="CP63" i="29"/>
  <c r="CQ63" i="29"/>
  <c r="CP70" i="29"/>
  <c r="CQ70" i="29" s="1"/>
  <c r="CP71" i="29"/>
  <c r="CP72" i="29"/>
  <c r="CQ72" i="29" s="1"/>
  <c r="CQ73" i="29"/>
  <c r="CP80" i="29"/>
  <c r="CP81" i="29"/>
  <c r="CQ81" i="29"/>
  <c r="CP82" i="29"/>
  <c r="CP84" i="29" s="1"/>
  <c r="CQ83" i="29"/>
  <c r="CP94" i="29"/>
  <c r="CP95" i="29"/>
  <c r="CP96" i="29"/>
  <c r="CP104" i="29"/>
  <c r="CP105" i="29"/>
  <c r="CP106" i="29"/>
  <c r="CP120" i="29"/>
  <c r="CP121" i="29"/>
  <c r="BL23" i="28" s="1"/>
  <c r="CQ160" i="29"/>
  <c r="CQ161" i="29"/>
  <c r="CQ162" i="29"/>
  <c r="CQ163" i="29"/>
  <c r="CP164" i="29"/>
  <c r="CR164" i="29"/>
  <c r="CP165" i="29"/>
  <c r="CP166" i="29"/>
  <c r="CQ171" i="29"/>
  <c r="CP173" i="29"/>
  <c r="CP175" i="29"/>
  <c r="CP176" i="29"/>
  <c r="CQ188" i="29"/>
  <c r="CQ189" i="29"/>
  <c r="CP190" i="29"/>
  <c r="CQ190" i="29"/>
  <c r="CP193" i="29"/>
  <c r="CQ198" i="29"/>
  <c r="CR198" i="29"/>
  <c r="CQ199" i="29"/>
  <c r="CR199" i="29"/>
  <c r="CQ200" i="29"/>
  <c r="CR200" i="29"/>
  <c r="CP201" i="29"/>
  <c r="CP203" i="29"/>
  <c r="CP204" i="29"/>
  <c r="CP211" i="29"/>
  <c r="CQ211" i="29"/>
  <c r="CP212" i="29"/>
  <c r="CQ212" i="29" s="1"/>
  <c r="N361" i="45"/>
  <c r="P361" i="45"/>
  <c r="Q367" i="45" s="1"/>
  <c r="R361" i="45"/>
  <c r="S367" i="45" s="1"/>
  <c r="Z361" i="45"/>
  <c r="B360" i="45"/>
  <c r="BR183" i="45"/>
  <c r="BQ183" i="45"/>
  <c r="BP183" i="45"/>
  <c r="BO183" i="45"/>
  <c r="BL183" i="45"/>
  <c r="AM118" i="40" s="1"/>
  <c r="AO118" i="40" s="1"/>
  <c r="AP118" i="40" s="1"/>
  <c r="BK183" i="45"/>
  <c r="AM117" i="40" s="1"/>
  <c r="BI183" i="45"/>
  <c r="BH183" i="45"/>
  <c r="BG183" i="45"/>
  <c r="BE183" i="45"/>
  <c r="BC183" i="45"/>
  <c r="BD177" i="45"/>
  <c r="BC177" i="45"/>
  <c r="CP174" i="29"/>
  <c r="W68" i="20" s="1"/>
  <c r="CP113" i="29"/>
  <c r="CP66" i="29"/>
  <c r="CP54" i="29"/>
  <c r="CQ54" i="29" s="1"/>
  <c r="F190" i="46"/>
  <c r="DI240" i="47"/>
  <c r="DI238" i="47"/>
  <c r="DI237" i="47"/>
  <c r="DO75" i="37"/>
  <c r="DO70" i="37"/>
  <c r="DO65" i="37"/>
  <c r="DO60" i="37"/>
  <c r="B489" i="46"/>
  <c r="B488" i="46"/>
  <c r="A488" i="46"/>
  <c r="B487" i="46"/>
  <c r="A487" i="46"/>
  <c r="B486" i="46"/>
  <c r="A486" i="46"/>
  <c r="B485" i="46"/>
  <c r="A485" i="46"/>
  <c r="B374" i="46"/>
  <c r="B373" i="46"/>
  <c r="A373" i="46"/>
  <c r="B372" i="46"/>
  <c r="A372" i="46"/>
  <c r="B371" i="46"/>
  <c r="A371" i="46"/>
  <c r="B370" i="46"/>
  <c r="A370" i="46"/>
  <c r="B191" i="46"/>
  <c r="B190" i="46"/>
  <c r="A190" i="46"/>
  <c r="B189" i="46"/>
  <c r="A189" i="46"/>
  <c r="B188" i="46"/>
  <c r="A188" i="46"/>
  <c r="B187" i="46"/>
  <c r="A187" i="46"/>
  <c r="B212" i="12"/>
  <c r="B241" i="47" s="1"/>
  <c r="B211" i="12"/>
  <c r="B240" i="47" s="1"/>
  <c r="A211" i="12"/>
  <c r="A182" i="45" s="1"/>
  <c r="B210" i="12"/>
  <c r="A210" i="12"/>
  <c r="A239" i="47" s="1"/>
  <c r="B209" i="12"/>
  <c r="B238" i="47" s="1"/>
  <c r="A209" i="12"/>
  <c r="B208" i="12"/>
  <c r="B179" i="45"/>
  <c r="A208" i="12"/>
  <c r="A179" i="45" s="1"/>
  <c r="DL241" i="47"/>
  <c r="DM240" i="47"/>
  <c r="AA240" i="47"/>
  <c r="DM239" i="47"/>
  <c r="AA239" i="47"/>
  <c r="DM238" i="47"/>
  <c r="AA238" i="47"/>
  <c r="DM237" i="47"/>
  <c r="AA237" i="47"/>
  <c r="Z546" i="45"/>
  <c r="T546" i="45"/>
  <c r="U552" i="45" s="1"/>
  <c r="R546" i="45"/>
  <c r="P546" i="45"/>
  <c r="Q552" i="45" s="1"/>
  <c r="N546" i="45"/>
  <c r="Z545" i="45"/>
  <c r="T545" i="45"/>
  <c r="U551" i="45" s="1"/>
  <c r="R545" i="45"/>
  <c r="P545" i="45"/>
  <c r="Q551" i="45" s="1"/>
  <c r="N545" i="45"/>
  <c r="O551" i="45" s="1"/>
  <c r="Z544" i="45"/>
  <c r="T544" i="45"/>
  <c r="U550" i="45" s="1"/>
  <c r="R544" i="45"/>
  <c r="P544" i="45"/>
  <c r="Q550" i="45" s="1"/>
  <c r="N544" i="45"/>
  <c r="O550" i="45" s="1"/>
  <c r="Z543" i="45"/>
  <c r="T543" i="45"/>
  <c r="U549" i="45" s="1"/>
  <c r="R543" i="45"/>
  <c r="P543" i="45"/>
  <c r="Q549" i="45" s="1"/>
  <c r="N543" i="45"/>
  <c r="O549" i="45" s="1"/>
  <c r="B542" i="45"/>
  <c r="DJ182" i="45"/>
  <c r="DI182" i="45"/>
  <c r="DJ181" i="45"/>
  <c r="DI181" i="45"/>
  <c r="DJ180" i="45"/>
  <c r="DI180" i="45"/>
  <c r="DJ179" i="45"/>
  <c r="DJ189" i="45" s="1"/>
  <c r="DI179" i="45"/>
  <c r="T179" i="45"/>
  <c r="T180" i="45" s="1"/>
  <c r="T181" i="45" s="1"/>
  <c r="T182" i="45" s="1"/>
  <c r="R179" i="45"/>
  <c r="R180" i="45" s="1"/>
  <c r="R181" i="45" s="1"/>
  <c r="R182" i="45" s="1"/>
  <c r="P179" i="45"/>
  <c r="P180" i="45" s="1"/>
  <c r="P181" i="45" s="1"/>
  <c r="P182" i="45" s="1"/>
  <c r="N179" i="45"/>
  <c r="AU178" i="45"/>
  <c r="BM364" i="45"/>
  <c r="BL364" i="45"/>
  <c r="BK364" i="45"/>
  <c r="BI364" i="45"/>
  <c r="BH364" i="45"/>
  <c r="BG364" i="45"/>
  <c r="DK364" i="45" s="1"/>
  <c r="BE364" i="45"/>
  <c r="BD364" i="45"/>
  <c r="DI364" i="45" s="1"/>
  <c r="Z362" i="45"/>
  <c r="Z363" i="45" s="1"/>
  <c r="Z364" i="45" s="1"/>
  <c r="DN204" i="29"/>
  <c r="DS204" i="29" s="1"/>
  <c r="DN203" i="29"/>
  <c r="DS203" i="29" s="1"/>
  <c r="DN202" i="29"/>
  <c r="DO201" i="29"/>
  <c r="DO200" i="29"/>
  <c r="DO199" i="29"/>
  <c r="DO198" i="29"/>
  <c r="DN171" i="29"/>
  <c r="DS171" i="29" s="1"/>
  <c r="DO170" i="29"/>
  <c r="DN106" i="29"/>
  <c r="DN105" i="29"/>
  <c r="DN104" i="29"/>
  <c r="DN96" i="29"/>
  <c r="DN95" i="29"/>
  <c r="DN94" i="29"/>
  <c r="DN86" i="29"/>
  <c r="DN85" i="29"/>
  <c r="DN84" i="29"/>
  <c r="AC43" i="20" s="1"/>
  <c r="DN76" i="29"/>
  <c r="DN75" i="29"/>
  <c r="DN74" i="29"/>
  <c r="AC40" i="20" s="1"/>
  <c r="DT19" i="28" s="1"/>
  <c r="DN56" i="29"/>
  <c r="DN55" i="29"/>
  <c r="DN54" i="29"/>
  <c r="DN46" i="29"/>
  <c r="DT46" i="29" s="1"/>
  <c r="DN45" i="29"/>
  <c r="DT45" i="29" s="1"/>
  <c r="DN44" i="29"/>
  <c r="DT44" i="29" s="1"/>
  <c r="DP43" i="29"/>
  <c r="DP42" i="29"/>
  <c r="DP41" i="29"/>
  <c r="DP40" i="29"/>
  <c r="DP23" i="29"/>
  <c r="DP22" i="29"/>
  <c r="K16" i="80"/>
  <c r="K19" i="80"/>
  <c r="L19" i="80"/>
  <c r="M19" i="80"/>
  <c r="N19" i="80"/>
  <c r="O19" i="80"/>
  <c r="P19" i="80"/>
  <c r="Q19" i="80"/>
  <c r="R19" i="80"/>
  <c r="S19" i="80"/>
  <c r="T19" i="80"/>
  <c r="K18" i="80"/>
  <c r="D21" i="80"/>
  <c r="DY17" i="37"/>
  <c r="DX16" i="37"/>
  <c r="DY16" i="37"/>
  <c r="DY12" i="37"/>
  <c r="DY13" i="37"/>
  <c r="DY14" i="37"/>
  <c r="GY15" i="38"/>
  <c r="BC83" i="17"/>
  <c r="BX15" i="20"/>
  <c r="BX17" i="20" s="1"/>
  <c r="BY15" i="20"/>
  <c r="BY17" i="20" s="1"/>
  <c r="BY22" i="20" s="1"/>
  <c r="DI239" i="47"/>
  <c r="BM340" i="45"/>
  <c r="DX13" i="37"/>
  <c r="DX12" i="37"/>
  <c r="S478" i="46"/>
  <c r="S180" i="46"/>
  <c r="S184" i="46" s="1"/>
  <c r="W230" i="47"/>
  <c r="W234" i="47" s="1"/>
  <c r="X355" i="45"/>
  <c r="L355" i="45"/>
  <c r="J355" i="45"/>
  <c r="H193" i="9"/>
  <c r="DB40" i="34"/>
  <c r="DC34" i="34"/>
  <c r="DC28" i="34"/>
  <c r="DC22" i="34"/>
  <c r="DC16" i="34"/>
  <c r="DC10" i="34"/>
  <c r="BD27" i="36"/>
  <c r="BD63" i="36"/>
  <c r="DJ230" i="47"/>
  <c r="DC230" i="47"/>
  <c r="CV230" i="47"/>
  <c r="DJ30" i="29"/>
  <c r="DW30" i="29" s="1"/>
  <c r="DJ20" i="29"/>
  <c r="DK20" i="29" s="1"/>
  <c r="DK30" i="29"/>
  <c r="BD33" i="36"/>
  <c r="BD45" i="36"/>
  <c r="C37" i="89"/>
  <c r="D44" i="89" s="1"/>
  <c r="C38" i="89"/>
  <c r="C39" i="89"/>
  <c r="D39" i="89" s="1"/>
  <c r="E109" i="89"/>
  <c r="C36" i="89" s="1"/>
  <c r="BC230" i="47"/>
  <c r="DY22" i="37"/>
  <c r="DY18" i="37"/>
  <c r="DY23" i="37"/>
  <c r="D71" i="89"/>
  <c r="X173" i="45"/>
  <c r="F230" i="47"/>
  <c r="AA230" i="47"/>
  <c r="GY12" i="38"/>
  <c r="DY27" i="37"/>
  <c r="DY28" i="37"/>
  <c r="GY11" i="38"/>
  <c r="DV82" i="28"/>
  <c r="DV53" i="28"/>
  <c r="DS64" i="28"/>
  <c r="DT64" i="28" s="1"/>
  <c r="DU64" i="28" s="1"/>
  <c r="DV64" i="28" s="1"/>
  <c r="DW64" i="28" s="1"/>
  <c r="DR59" i="28"/>
  <c r="DS59" i="28" s="1"/>
  <c r="DT59" i="28" s="1"/>
  <c r="DU59" i="28" s="1"/>
  <c r="DV59" i="28" s="1"/>
  <c r="DW59" i="28" s="1"/>
  <c r="DR60" i="28"/>
  <c r="DS60" i="28" s="1"/>
  <c r="DT60" i="28"/>
  <c r="DU60" i="28" s="1"/>
  <c r="DV60" i="28" s="1"/>
  <c r="DW60" i="28" s="1"/>
  <c r="DI167" i="45"/>
  <c r="DI171" i="45" s="1"/>
  <c r="AK18" i="40" s="1"/>
  <c r="DH170" i="45"/>
  <c r="DH169" i="45"/>
  <c r="DH168" i="45"/>
  <c r="DH167" i="45"/>
  <c r="BC57" i="17"/>
  <c r="CK56" i="28" s="1"/>
  <c r="BB15" i="22"/>
  <c r="BB42" i="22"/>
  <c r="BB40" i="22"/>
  <c r="BB50" i="22"/>
  <c r="BC65" i="17" s="1"/>
  <c r="BB10" i="22"/>
  <c r="AA13" i="20"/>
  <c r="CJ28" i="28"/>
  <c r="AB223" i="47"/>
  <c r="AB224" i="47"/>
  <c r="AB225" i="47"/>
  <c r="AB226" i="47"/>
  <c r="AB227" i="47"/>
  <c r="T227" i="47"/>
  <c r="T223" i="47"/>
  <c r="T224" i="47"/>
  <c r="T225" i="47"/>
  <c r="T226" i="47"/>
  <c r="GY10" i="38"/>
  <c r="CK28" i="28"/>
  <c r="BA56" i="17"/>
  <c r="BA57" i="17" s="1"/>
  <c r="BC26" i="17"/>
  <c r="BC12" i="17"/>
  <c r="BE177" i="45"/>
  <c r="BK177" i="45"/>
  <c r="AL117" i="40" s="1"/>
  <c r="BL177" i="45"/>
  <c r="AL118" i="40"/>
  <c r="J352" i="45"/>
  <c r="L352" i="45"/>
  <c r="X352" i="45"/>
  <c r="W226" i="47"/>
  <c r="H189" i="9"/>
  <c r="CY37" i="34"/>
  <c r="CX31" i="34"/>
  <c r="DC31" i="34" s="1"/>
  <c r="CY25" i="34"/>
  <c r="CY19" i="34"/>
  <c r="CY13" i="34"/>
  <c r="BB30" i="36"/>
  <c r="BB66" i="36" s="1"/>
  <c r="DJ226" i="47"/>
  <c r="DC226" i="47"/>
  <c r="CV226" i="47"/>
  <c r="DG33" i="29"/>
  <c r="DG23" i="29"/>
  <c r="K56" i="89"/>
  <c r="K57" i="89"/>
  <c r="M56" i="89"/>
  <c r="L56" i="89"/>
  <c r="J56" i="89"/>
  <c r="BC226" i="47"/>
  <c r="BC225" i="47"/>
  <c r="BA226" i="47"/>
  <c r="S474" i="46"/>
  <c r="AI474" i="46" s="1"/>
  <c r="S359" i="46"/>
  <c r="S176" i="46"/>
  <c r="AI176" i="46" s="1"/>
  <c r="GS25" i="38"/>
  <c r="AH39" i="89"/>
  <c r="L351" i="45"/>
  <c r="J351" i="45"/>
  <c r="X351" i="45"/>
  <c r="BB29" i="36"/>
  <c r="BB47" i="36" s="1"/>
  <c r="BB65" i="36"/>
  <c r="H188" i="9"/>
  <c r="CY18" i="34"/>
  <c r="CY36" i="34"/>
  <c r="DJ225" i="47"/>
  <c r="DC225" i="47"/>
  <c r="CV225" i="47"/>
  <c r="DG22" i="29"/>
  <c r="DG32" i="29"/>
  <c r="CY12" i="34"/>
  <c r="AH38" i="89"/>
  <c r="AH36" i="89"/>
  <c r="AH225" i="47"/>
  <c r="CM20" i="28"/>
  <c r="C14" i="82" s="1"/>
  <c r="CL20" i="28"/>
  <c r="CK20" i="28"/>
  <c r="CJ20" i="28"/>
  <c r="CM19" i="28"/>
  <c r="C13" i="82" s="1"/>
  <c r="CL19" i="28"/>
  <c r="CK19" i="28"/>
  <c r="CJ19" i="28"/>
  <c r="CM16" i="28"/>
  <c r="CL16" i="28"/>
  <c r="CK16" i="28"/>
  <c r="CJ16" i="28"/>
  <c r="CM11" i="28"/>
  <c r="CL11" i="28"/>
  <c r="CK11" i="28"/>
  <c r="CJ11" i="28"/>
  <c r="BA83" i="17"/>
  <c r="BK11" i="22"/>
  <c r="BM65" i="17"/>
  <c r="BK65" i="17"/>
  <c r="AA37" i="89"/>
  <c r="AA38" i="89"/>
  <c r="AA39" i="89"/>
  <c r="AA36" i="89"/>
  <c r="S37" i="89"/>
  <c r="R38" i="89"/>
  <c r="S45" i="89" s="1"/>
  <c r="P36" i="89"/>
  <c r="CM84" i="28"/>
  <c r="CL84" i="28"/>
  <c r="CK84" i="28"/>
  <c r="CJ84" i="28"/>
  <c r="CM83" i="28"/>
  <c r="CL83" i="28"/>
  <c r="CK83" i="28"/>
  <c r="CJ83" i="28"/>
  <c r="R129" i="85"/>
  <c r="R86" i="85"/>
  <c r="R128" i="85" s="1"/>
  <c r="R44" i="85"/>
  <c r="P45" i="89"/>
  <c r="P44" i="89"/>
  <c r="BC247" i="47"/>
  <c r="F358" i="46"/>
  <c r="BM358" i="45"/>
  <c r="BL358" i="45"/>
  <c r="BK358" i="45"/>
  <c r="BI358" i="45"/>
  <c r="DJ358" i="45" s="1"/>
  <c r="BH358" i="45"/>
  <c r="BG358" i="45"/>
  <c r="DK358" i="45"/>
  <c r="BE358" i="45"/>
  <c r="BD358" i="45"/>
  <c r="B354" i="45"/>
  <c r="B536" i="45" s="1"/>
  <c r="Z540" i="45"/>
  <c r="T540" i="45"/>
  <c r="R540" i="45"/>
  <c r="P540" i="45"/>
  <c r="N540" i="45"/>
  <c r="Z539" i="45"/>
  <c r="T539" i="45"/>
  <c r="U545" i="45"/>
  <c r="R539" i="45"/>
  <c r="P539" i="45"/>
  <c r="N539" i="45"/>
  <c r="O545" i="45"/>
  <c r="Z538" i="45"/>
  <c r="T538" i="45"/>
  <c r="R538" i="45"/>
  <c r="P538" i="45"/>
  <c r="N538" i="45"/>
  <c r="Z537" i="45"/>
  <c r="T537" i="45"/>
  <c r="U543" i="45"/>
  <c r="R537" i="45"/>
  <c r="P537" i="45"/>
  <c r="N537" i="45"/>
  <c r="DX97" i="37"/>
  <c r="DX96" i="37"/>
  <c r="EQ14" i="37"/>
  <c r="DX17" i="37"/>
  <c r="DX18" i="37"/>
  <c r="DX21" i="37"/>
  <c r="DX22" i="37"/>
  <c r="DX23" i="37"/>
  <c r="DX26" i="37"/>
  <c r="DX27" i="37"/>
  <c r="DX28" i="37"/>
  <c r="DX55" i="37"/>
  <c r="DX56" i="37"/>
  <c r="DX57" i="37"/>
  <c r="DX58" i="37"/>
  <c r="DX59" i="37"/>
  <c r="DX61" i="37"/>
  <c r="DX62" i="37"/>
  <c r="DX63" i="37"/>
  <c r="DX64" i="37"/>
  <c r="DX66" i="37"/>
  <c r="DX67" i="37"/>
  <c r="DX68" i="37"/>
  <c r="DX69" i="37"/>
  <c r="DX71" i="37"/>
  <c r="DX72" i="37"/>
  <c r="DX73" i="37"/>
  <c r="DX74" i="37"/>
  <c r="DX77" i="37"/>
  <c r="DX80" i="37"/>
  <c r="DX81" i="37"/>
  <c r="DX82" i="37"/>
  <c r="DX85" i="37"/>
  <c r="DX86" i="37"/>
  <c r="DX87" i="37"/>
  <c r="DX90" i="37"/>
  <c r="DX91" i="37"/>
  <c r="DX92" i="37"/>
  <c r="DX95" i="37"/>
  <c r="DI75" i="37"/>
  <c r="DI70" i="37"/>
  <c r="DI65" i="37"/>
  <c r="DI60" i="37"/>
  <c r="B482" i="46"/>
  <c r="B481" i="46"/>
  <c r="A481" i="46"/>
  <c r="B480" i="46"/>
  <c r="A480" i="46"/>
  <c r="B479" i="46"/>
  <c r="A479" i="46"/>
  <c r="B478" i="46"/>
  <c r="A478" i="46"/>
  <c r="B367" i="46"/>
  <c r="B366" i="46"/>
  <c r="A366" i="46"/>
  <c r="B365" i="46"/>
  <c r="A365" i="46"/>
  <c r="B364" i="46"/>
  <c r="A364" i="46"/>
  <c r="B363" i="46"/>
  <c r="A363" i="46"/>
  <c r="B184" i="46"/>
  <c r="B183" i="46"/>
  <c r="A183" i="46"/>
  <c r="B182" i="46"/>
  <c r="A182" i="46"/>
  <c r="B181" i="46"/>
  <c r="A181" i="46"/>
  <c r="B180" i="46"/>
  <c r="A180" i="46"/>
  <c r="B205" i="12"/>
  <c r="B204" i="12"/>
  <c r="B233" i="47" s="1"/>
  <c r="A204" i="12"/>
  <c r="A233" i="47" s="1"/>
  <c r="B203" i="12"/>
  <c r="B232" i="47"/>
  <c r="A203" i="12"/>
  <c r="A175" i="45" s="1"/>
  <c r="A357" i="45" s="1"/>
  <c r="B202" i="12"/>
  <c r="B174" i="45" s="1"/>
  <c r="A202" i="12"/>
  <c r="B201" i="12"/>
  <c r="B173" i="45"/>
  <c r="B355" i="45" s="1"/>
  <c r="B537" i="45" s="1"/>
  <c r="A201" i="12"/>
  <c r="DL234" i="47"/>
  <c r="DM233" i="47"/>
  <c r="DM232" i="47"/>
  <c r="DM231" i="47"/>
  <c r="DM230" i="47"/>
  <c r="DJ204" i="29"/>
  <c r="DJ203" i="29"/>
  <c r="DJ202" i="29"/>
  <c r="AB31" i="20" s="1"/>
  <c r="DK201" i="29"/>
  <c r="DK200" i="29"/>
  <c r="DK199" i="29"/>
  <c r="DK198" i="29"/>
  <c r="DJ106" i="29"/>
  <c r="DJ105" i="29"/>
  <c r="DJ104" i="29"/>
  <c r="DJ96" i="29"/>
  <c r="DJ95" i="29"/>
  <c r="DJ94" i="29"/>
  <c r="DJ85" i="29"/>
  <c r="DJ76" i="29"/>
  <c r="DJ75" i="29"/>
  <c r="DJ74" i="29"/>
  <c r="AB40" i="20" s="1"/>
  <c r="DJ56" i="29"/>
  <c r="DJ55" i="29"/>
  <c r="DJ54" i="29"/>
  <c r="DJ46" i="29"/>
  <c r="DP46" i="29" s="1"/>
  <c r="DJ45" i="29"/>
  <c r="DP45" i="29" s="1"/>
  <c r="DJ44" i="29"/>
  <c r="DL43" i="29"/>
  <c r="DL42" i="29"/>
  <c r="DL41" i="29"/>
  <c r="DL40" i="29"/>
  <c r="DL23" i="29"/>
  <c r="AP383" i="40"/>
  <c r="DW68" i="28" s="1"/>
  <c r="AP381" i="40"/>
  <c r="AP380" i="40"/>
  <c r="AP379" i="40"/>
  <c r="AP378" i="40"/>
  <c r="BR177" i="45"/>
  <c r="BQ177" i="45"/>
  <c r="BP177" i="45"/>
  <c r="BO177" i="45"/>
  <c r="BI177" i="45"/>
  <c r="BH177" i="45"/>
  <c r="BG177" i="45"/>
  <c r="DJ176" i="45"/>
  <c r="DI176" i="45"/>
  <c r="DH176" i="45"/>
  <c r="DJ175" i="45"/>
  <c r="DI175" i="45"/>
  <c r="DH175" i="45"/>
  <c r="DJ174" i="45"/>
  <c r="DI174" i="45"/>
  <c r="DH174" i="45"/>
  <c r="DJ173" i="45"/>
  <c r="DI173" i="45"/>
  <c r="DI183" i="45" s="1"/>
  <c r="DH173" i="45"/>
  <c r="T173" i="45"/>
  <c r="T174" i="45" s="1"/>
  <c r="T175" i="45" s="1"/>
  <c r="T176" i="45" s="1"/>
  <c r="R173" i="45"/>
  <c r="R174" i="45" s="1"/>
  <c r="R175" i="45" s="1"/>
  <c r="R176" i="45" s="1"/>
  <c r="P173" i="45"/>
  <c r="P174" i="45" s="1"/>
  <c r="P175" i="45" s="1"/>
  <c r="P176" i="45" s="1"/>
  <c r="N173" i="45"/>
  <c r="N174" i="45" s="1"/>
  <c r="AU172" i="45"/>
  <c r="BM101" i="17"/>
  <c r="BL75" i="22"/>
  <c r="BL73" i="22" s="1"/>
  <c r="N11" i="80"/>
  <c r="L12" i="80"/>
  <c r="K12" i="80"/>
  <c r="K11" i="80"/>
  <c r="L18" i="80"/>
  <c r="M18" i="80"/>
  <c r="N18" i="80"/>
  <c r="O18" i="80"/>
  <c r="P18" i="80"/>
  <c r="Q18" i="80"/>
  <c r="R18" i="80"/>
  <c r="S18" i="80"/>
  <c r="T18" i="80"/>
  <c r="J18" i="80"/>
  <c r="J17" i="80"/>
  <c r="U31" i="89"/>
  <c r="BA225" i="47"/>
  <c r="S473" i="46"/>
  <c r="AI473" i="46" s="1"/>
  <c r="S358" i="46"/>
  <c r="S175" i="46"/>
  <c r="BC224" i="47"/>
  <c r="DF61" i="29"/>
  <c r="DX224" i="47" s="1"/>
  <c r="DF60" i="29"/>
  <c r="G37" i="89"/>
  <c r="G38" i="89"/>
  <c r="G39" i="89"/>
  <c r="G36" i="89"/>
  <c r="C32" i="89"/>
  <c r="C31" i="89"/>
  <c r="C30" i="89"/>
  <c r="C29" i="89"/>
  <c r="AJ40" i="89"/>
  <c r="F187" i="9"/>
  <c r="F186" i="9"/>
  <c r="D187" i="9"/>
  <c r="D186" i="9"/>
  <c r="H187" i="9"/>
  <c r="H186" i="9"/>
  <c r="F182" i="9"/>
  <c r="F181" i="9"/>
  <c r="F180" i="9"/>
  <c r="F179" i="9"/>
  <c r="D182" i="9"/>
  <c r="D181" i="9"/>
  <c r="D180" i="9"/>
  <c r="D179" i="9"/>
  <c r="H182" i="9"/>
  <c r="H181" i="9"/>
  <c r="H180" i="9"/>
  <c r="H179" i="9"/>
  <c r="F175" i="9"/>
  <c r="F174" i="9"/>
  <c r="T173" i="9" s="1"/>
  <c r="F173" i="9"/>
  <c r="F172" i="9"/>
  <c r="D175" i="9"/>
  <c r="D174" i="9"/>
  <c r="D173" i="9"/>
  <c r="D172" i="9"/>
  <c r="H175" i="9"/>
  <c r="H174" i="9"/>
  <c r="J175" i="9" s="1"/>
  <c r="H173" i="9"/>
  <c r="H172" i="9"/>
  <c r="F168" i="9"/>
  <c r="F165" i="9"/>
  <c r="D168" i="9"/>
  <c r="D167" i="9"/>
  <c r="D166" i="9"/>
  <c r="D165" i="9"/>
  <c r="H168" i="9"/>
  <c r="H167" i="9"/>
  <c r="H166" i="9"/>
  <c r="H165" i="9"/>
  <c r="F161" i="9"/>
  <c r="F160" i="9"/>
  <c r="F159" i="9"/>
  <c r="F158" i="9"/>
  <c r="D161" i="9"/>
  <c r="D160" i="9"/>
  <c r="D159" i="9"/>
  <c r="D158" i="9"/>
  <c r="H161" i="9"/>
  <c r="H160" i="9"/>
  <c r="H159" i="9"/>
  <c r="N159" i="9" s="1"/>
  <c r="H158" i="9"/>
  <c r="F154" i="9"/>
  <c r="F153" i="9"/>
  <c r="F152" i="9"/>
  <c r="F151" i="9"/>
  <c r="D154" i="9"/>
  <c r="D153" i="9"/>
  <c r="D152" i="9"/>
  <c r="D151" i="9"/>
  <c r="H154" i="9"/>
  <c r="H153" i="9"/>
  <c r="H152" i="9"/>
  <c r="H151" i="9"/>
  <c r="F147" i="9"/>
  <c r="F146" i="9"/>
  <c r="F145" i="9"/>
  <c r="F144" i="9"/>
  <c r="D147" i="9"/>
  <c r="D146" i="9"/>
  <c r="L153" i="9" s="1"/>
  <c r="D145" i="9"/>
  <c r="D144" i="9"/>
  <c r="H147" i="9"/>
  <c r="T147" i="9" s="1"/>
  <c r="H146" i="9"/>
  <c r="P147" i="9" s="1"/>
  <c r="H145" i="9"/>
  <c r="H144" i="9"/>
  <c r="F140" i="9"/>
  <c r="F139" i="9"/>
  <c r="F138" i="9"/>
  <c r="F137" i="9"/>
  <c r="D140" i="9"/>
  <c r="D139" i="9"/>
  <c r="D138" i="9"/>
  <c r="D137" i="9"/>
  <c r="H140" i="9"/>
  <c r="H139" i="9"/>
  <c r="H138" i="9"/>
  <c r="P138" i="9" s="1"/>
  <c r="H137" i="9"/>
  <c r="F133" i="9"/>
  <c r="F132" i="9"/>
  <c r="F130" i="9"/>
  <c r="D132" i="9"/>
  <c r="D131" i="9"/>
  <c r="D130" i="9"/>
  <c r="H133" i="9"/>
  <c r="J137" i="9"/>
  <c r="H132" i="9"/>
  <c r="P132" i="9" s="1"/>
  <c r="H131" i="9"/>
  <c r="H130" i="9"/>
  <c r="F126" i="9"/>
  <c r="F125" i="9"/>
  <c r="F124" i="9"/>
  <c r="F123" i="9"/>
  <c r="D126" i="9"/>
  <c r="D125" i="9"/>
  <c r="D124" i="9"/>
  <c r="D123" i="9"/>
  <c r="H126" i="9"/>
  <c r="H125" i="9"/>
  <c r="H124" i="9"/>
  <c r="H123" i="9"/>
  <c r="F119" i="9"/>
  <c r="F118" i="9"/>
  <c r="F117" i="9"/>
  <c r="F116" i="9"/>
  <c r="D119" i="9"/>
  <c r="D118" i="9"/>
  <c r="D117" i="9"/>
  <c r="D116" i="9"/>
  <c r="H119" i="9"/>
  <c r="H118" i="9"/>
  <c r="H117" i="9"/>
  <c r="H116" i="9"/>
  <c r="F112" i="9"/>
  <c r="F111" i="9"/>
  <c r="F110" i="9"/>
  <c r="F109" i="9"/>
  <c r="D112" i="9"/>
  <c r="D111" i="9"/>
  <c r="D110" i="9"/>
  <c r="D109" i="9"/>
  <c r="H112" i="9"/>
  <c r="J112" i="9" s="1"/>
  <c r="H111" i="9"/>
  <c r="H110" i="9"/>
  <c r="H109" i="9"/>
  <c r="F105" i="9"/>
  <c r="F104" i="9"/>
  <c r="F103" i="9"/>
  <c r="F102" i="9"/>
  <c r="D105" i="9"/>
  <c r="D104" i="9"/>
  <c r="D103" i="9"/>
  <c r="L110" i="9" s="1"/>
  <c r="D102" i="9"/>
  <c r="H105" i="9"/>
  <c r="H104" i="9"/>
  <c r="H103" i="9"/>
  <c r="J104" i="9" s="1"/>
  <c r="H102" i="9"/>
  <c r="F97" i="9"/>
  <c r="F96" i="9"/>
  <c r="F95" i="9"/>
  <c r="D98" i="9"/>
  <c r="D97" i="9"/>
  <c r="D96" i="9"/>
  <c r="D95" i="9"/>
  <c r="H97" i="9"/>
  <c r="H96" i="9"/>
  <c r="H95" i="9"/>
  <c r="AY92" i="9"/>
  <c r="AY91" i="9"/>
  <c r="F91" i="9"/>
  <c r="F90" i="9"/>
  <c r="F89" i="9"/>
  <c r="F88" i="9"/>
  <c r="D91" i="9"/>
  <c r="L98" i="9" s="1"/>
  <c r="D90" i="9"/>
  <c r="D89" i="9"/>
  <c r="D88" i="9"/>
  <c r="H91" i="9"/>
  <c r="H90" i="9"/>
  <c r="P90" i="9" s="1"/>
  <c r="H89" i="9"/>
  <c r="H88" i="9"/>
  <c r="F84" i="9"/>
  <c r="T83" i="9" s="1"/>
  <c r="F83" i="9"/>
  <c r="F82" i="9"/>
  <c r="F81" i="9"/>
  <c r="D84" i="9"/>
  <c r="D83" i="9"/>
  <c r="D82" i="9"/>
  <c r="D81" i="9"/>
  <c r="H84" i="9"/>
  <c r="H83" i="9"/>
  <c r="H82" i="9"/>
  <c r="H81" i="9"/>
  <c r="F77" i="9"/>
  <c r="T76" i="9" s="1"/>
  <c r="F76" i="9"/>
  <c r="F75" i="9"/>
  <c r="F74" i="9"/>
  <c r="D77" i="9"/>
  <c r="D76" i="9"/>
  <c r="D75" i="9"/>
  <c r="D74" i="9"/>
  <c r="H77" i="9"/>
  <c r="H76" i="9"/>
  <c r="H75" i="9"/>
  <c r="H74" i="9"/>
  <c r="F70" i="9"/>
  <c r="F69" i="9"/>
  <c r="F68" i="9"/>
  <c r="F67" i="9"/>
  <c r="D70" i="9"/>
  <c r="D69" i="9"/>
  <c r="D68" i="9"/>
  <c r="D67" i="9"/>
  <c r="H70" i="9"/>
  <c r="H69" i="9"/>
  <c r="H68" i="9"/>
  <c r="H67" i="9"/>
  <c r="F63" i="9"/>
  <c r="F62" i="9"/>
  <c r="F61" i="9"/>
  <c r="F60" i="9"/>
  <c r="D63" i="9"/>
  <c r="D62" i="9"/>
  <c r="D61" i="9"/>
  <c r="L68" i="9" s="1"/>
  <c r="D60" i="9"/>
  <c r="H63" i="9"/>
  <c r="H62" i="9"/>
  <c r="H61" i="9"/>
  <c r="H60" i="9"/>
  <c r="N67" i="9" s="1"/>
  <c r="F55" i="9"/>
  <c r="F54" i="9"/>
  <c r="F53" i="9"/>
  <c r="D56" i="9"/>
  <c r="D55" i="9"/>
  <c r="D54" i="9"/>
  <c r="D53" i="9"/>
  <c r="H56" i="9"/>
  <c r="H55" i="9"/>
  <c r="H54" i="9"/>
  <c r="H53" i="9"/>
  <c r="F48" i="9"/>
  <c r="F47" i="9"/>
  <c r="F46" i="9"/>
  <c r="D49" i="9"/>
  <c r="D48" i="9"/>
  <c r="D47" i="9"/>
  <c r="D46" i="9"/>
  <c r="H49" i="9"/>
  <c r="H48" i="9"/>
  <c r="H47" i="9"/>
  <c r="H46" i="9"/>
  <c r="P46" i="9" s="1"/>
  <c r="F41" i="9"/>
  <c r="F40" i="9"/>
  <c r="F39" i="9"/>
  <c r="D41" i="9"/>
  <c r="D40" i="9"/>
  <c r="D39" i="9"/>
  <c r="H42" i="9"/>
  <c r="H41" i="9"/>
  <c r="H40" i="9"/>
  <c r="J41" i="9" s="1"/>
  <c r="R41" i="9" s="1"/>
  <c r="H39" i="9"/>
  <c r="F34" i="9"/>
  <c r="F33" i="9"/>
  <c r="F32" i="9"/>
  <c r="D34" i="9"/>
  <c r="D33" i="9"/>
  <c r="D32" i="9"/>
  <c r="H35" i="9"/>
  <c r="H34" i="9"/>
  <c r="H33" i="9"/>
  <c r="H32" i="9"/>
  <c r="F27" i="9"/>
  <c r="F26" i="9"/>
  <c r="F25" i="9"/>
  <c r="D27" i="9"/>
  <c r="L34" i="9" s="1"/>
  <c r="D26" i="9"/>
  <c r="D25" i="9"/>
  <c r="AH26" i="9"/>
  <c r="AH25" i="9"/>
  <c r="H28" i="9"/>
  <c r="H27" i="9"/>
  <c r="J27" i="9" s="1"/>
  <c r="H26" i="9"/>
  <c r="H25" i="9"/>
  <c r="P26" i="9" s="1"/>
  <c r="F20" i="9"/>
  <c r="F19" i="9"/>
  <c r="F18" i="9"/>
  <c r="D20" i="9"/>
  <c r="D19" i="9"/>
  <c r="D18" i="9"/>
  <c r="B17" i="9"/>
  <c r="B24" i="9" s="1"/>
  <c r="B31" i="9" s="1"/>
  <c r="B38" i="9" s="1"/>
  <c r="B45" i="9" s="1"/>
  <c r="B52" i="9" s="1"/>
  <c r="B59" i="9" s="1"/>
  <c r="B66" i="9" s="1"/>
  <c r="B73" i="9" s="1"/>
  <c r="B80" i="9" s="1"/>
  <c r="B87" i="9" s="1"/>
  <c r="B94" i="9" s="1"/>
  <c r="B101" i="9" s="1"/>
  <c r="B108" i="9" s="1"/>
  <c r="B115" i="9" s="1"/>
  <c r="B122" i="9" s="1"/>
  <c r="B129" i="9" s="1"/>
  <c r="B136" i="9" s="1"/>
  <c r="B143" i="9" s="1"/>
  <c r="B150" i="9" s="1"/>
  <c r="B157" i="9" s="1"/>
  <c r="B164" i="9" s="1"/>
  <c r="B171" i="9" s="1"/>
  <c r="B178" i="9" s="1"/>
  <c r="B185" i="9" s="1"/>
  <c r="B192" i="9" s="1"/>
  <c r="B199" i="9" s="1"/>
  <c r="B206" i="9" s="1"/>
  <c r="AH19" i="9"/>
  <c r="AH18" i="9"/>
  <c r="H21" i="9"/>
  <c r="H20" i="9"/>
  <c r="H19" i="9"/>
  <c r="H18" i="9"/>
  <c r="J19" i="9" s="1"/>
  <c r="R19" i="9" s="1"/>
  <c r="F13" i="9"/>
  <c r="F12" i="9"/>
  <c r="F11" i="9"/>
  <c r="D14" i="9"/>
  <c r="D13" i="9"/>
  <c r="D12" i="9"/>
  <c r="D11" i="9"/>
  <c r="B15" i="9"/>
  <c r="B204" i="9" s="1"/>
  <c r="B14" i="9"/>
  <c r="B13" i="9"/>
  <c r="B12" i="9"/>
  <c r="B47" i="9" s="1"/>
  <c r="B11" i="9"/>
  <c r="AH13" i="9"/>
  <c r="AJ13" i="9" s="1"/>
  <c r="AH12" i="9"/>
  <c r="AH11" i="9"/>
  <c r="H14" i="9"/>
  <c r="H13" i="9"/>
  <c r="H12" i="9"/>
  <c r="H11" i="9"/>
  <c r="A14" i="9"/>
  <c r="A21" i="9" s="1"/>
  <c r="A13" i="9"/>
  <c r="A12" i="9"/>
  <c r="A19" i="9" s="1"/>
  <c r="A11" i="9"/>
  <c r="D42" i="34"/>
  <c r="D41" i="34"/>
  <c r="D40" i="34"/>
  <c r="CX40" i="34"/>
  <c r="CT40" i="34"/>
  <c r="CP40" i="34"/>
  <c r="CT46" i="34" s="1"/>
  <c r="CP46" i="34"/>
  <c r="CL41" i="34"/>
  <c r="CL40" i="34"/>
  <c r="BB41" i="34"/>
  <c r="AX37" i="34"/>
  <c r="BC37" i="34" s="1"/>
  <c r="AU37" i="34"/>
  <c r="AQ37" i="34"/>
  <c r="AU35" i="34"/>
  <c r="AQ35" i="34"/>
  <c r="AQ34" i="34"/>
  <c r="CY35" i="34"/>
  <c r="CY34" i="34"/>
  <c r="CU37" i="34"/>
  <c r="CU36" i="34"/>
  <c r="CU35" i="34"/>
  <c r="CU34" i="34"/>
  <c r="CQ37" i="34"/>
  <c r="CQ36" i="34"/>
  <c r="CQ35" i="34"/>
  <c r="CQ34" i="34"/>
  <c r="CM37" i="34"/>
  <c r="CM36" i="34"/>
  <c r="CM35" i="34"/>
  <c r="CM34" i="34"/>
  <c r="CI37" i="34"/>
  <c r="CI36" i="34"/>
  <c r="CI35" i="34"/>
  <c r="CI34" i="34"/>
  <c r="CE37" i="34"/>
  <c r="CE36" i="34"/>
  <c r="CE35" i="34"/>
  <c r="CE34" i="34"/>
  <c r="CA37" i="34"/>
  <c r="CA36" i="34"/>
  <c r="CA35" i="34"/>
  <c r="CA34" i="34"/>
  <c r="BW37" i="34"/>
  <c r="BW36" i="34"/>
  <c r="BW35" i="34"/>
  <c r="BW34" i="34"/>
  <c r="BS37" i="34"/>
  <c r="BS36" i="34"/>
  <c r="BS35" i="34"/>
  <c r="BS34" i="34"/>
  <c r="BO37" i="34"/>
  <c r="BO36" i="34"/>
  <c r="BO35" i="34"/>
  <c r="BO34" i="34"/>
  <c r="BK37" i="34"/>
  <c r="BK36" i="34"/>
  <c r="BK35" i="34"/>
  <c r="BK34" i="34"/>
  <c r="BG37" i="34"/>
  <c r="BG36" i="34"/>
  <c r="BG35" i="34"/>
  <c r="BG34" i="34"/>
  <c r="BC36" i="34"/>
  <c r="BC35" i="34"/>
  <c r="BC34" i="34"/>
  <c r="AY36" i="34"/>
  <c r="AY35" i="34"/>
  <c r="AY34" i="34"/>
  <c r="AM37" i="34"/>
  <c r="AM36" i="34"/>
  <c r="AM35" i="34"/>
  <c r="AM34" i="34"/>
  <c r="AI37" i="34"/>
  <c r="AI36" i="34"/>
  <c r="AI35" i="34"/>
  <c r="AI34" i="34"/>
  <c r="AE37" i="34"/>
  <c r="AE36" i="34"/>
  <c r="AE35" i="34"/>
  <c r="AE34" i="34"/>
  <c r="AA37" i="34"/>
  <c r="AA36" i="34"/>
  <c r="AA35" i="34"/>
  <c r="AA34" i="34"/>
  <c r="W37" i="34"/>
  <c r="W36" i="34"/>
  <c r="W35" i="34"/>
  <c r="W34" i="34"/>
  <c r="S37" i="34"/>
  <c r="S36" i="34"/>
  <c r="S35" i="34"/>
  <c r="S34" i="34"/>
  <c r="O37" i="34"/>
  <c r="O36" i="34"/>
  <c r="O35" i="34"/>
  <c r="O34" i="34"/>
  <c r="K37" i="34"/>
  <c r="K36" i="34"/>
  <c r="K35" i="34"/>
  <c r="K34" i="34"/>
  <c r="G37" i="34"/>
  <c r="G36" i="34"/>
  <c r="G35" i="34"/>
  <c r="G34" i="34"/>
  <c r="D31" i="34"/>
  <c r="D43" i="34" s="1"/>
  <c r="CL31" i="34"/>
  <c r="CL43" i="34"/>
  <c r="CL30" i="34"/>
  <c r="BB31" i="34"/>
  <c r="BB30" i="34"/>
  <c r="CX29" i="34"/>
  <c r="CT31" i="34"/>
  <c r="CY31" i="34" s="1"/>
  <c r="CT30" i="34"/>
  <c r="CT29" i="34"/>
  <c r="CP31" i="34"/>
  <c r="CP30" i="34"/>
  <c r="CP29" i="34"/>
  <c r="CQ29" i="34" s="1"/>
  <c r="CY28" i="34"/>
  <c r="CU28" i="34"/>
  <c r="CQ28" i="34"/>
  <c r="CH31" i="34"/>
  <c r="CH43" i="34"/>
  <c r="CH30" i="34"/>
  <c r="CH29" i="34"/>
  <c r="CM29" i="34" s="1"/>
  <c r="CH28" i="34"/>
  <c r="CH40" i="34"/>
  <c r="CD31" i="34"/>
  <c r="CD30" i="34"/>
  <c r="CD29" i="34"/>
  <c r="CD28" i="34"/>
  <c r="CE28" i="34" s="1"/>
  <c r="BZ31" i="34"/>
  <c r="BZ43" i="34" s="1"/>
  <c r="BZ30" i="34"/>
  <c r="BZ29" i="34"/>
  <c r="BZ28" i="34"/>
  <c r="BV31" i="34"/>
  <c r="BV30" i="34"/>
  <c r="BV42" i="34"/>
  <c r="BV29" i="34"/>
  <c r="BV28" i="34"/>
  <c r="BR31" i="34"/>
  <c r="BR43" i="34" s="1"/>
  <c r="BR30" i="34"/>
  <c r="BS30" i="34"/>
  <c r="BR29" i="34"/>
  <c r="BR28" i="34"/>
  <c r="BR40" i="34"/>
  <c r="BN31" i="34"/>
  <c r="BN30" i="34"/>
  <c r="BN42" i="34" s="1"/>
  <c r="BN29" i="34"/>
  <c r="BN28" i="34"/>
  <c r="BJ31" i="34"/>
  <c r="BJ30" i="34"/>
  <c r="BJ29" i="34"/>
  <c r="BJ41" i="34" s="1"/>
  <c r="BJ28" i="34"/>
  <c r="BF31" i="34"/>
  <c r="BF30" i="34"/>
  <c r="BF42" i="34"/>
  <c r="BF29" i="34"/>
  <c r="BF28" i="34"/>
  <c r="BB28" i="34"/>
  <c r="BB40" i="34"/>
  <c r="AX31" i="34"/>
  <c r="AX30" i="34"/>
  <c r="AX42" i="34"/>
  <c r="AX29" i="34"/>
  <c r="AX28" i="34"/>
  <c r="BC28" i="34" s="1"/>
  <c r="AT31" i="34"/>
  <c r="AU30" i="34"/>
  <c r="AT30" i="34"/>
  <c r="AT29" i="34"/>
  <c r="AT28" i="34"/>
  <c r="AU28" i="34" s="1"/>
  <c r="AY28" i="34"/>
  <c r="AP31" i="34"/>
  <c r="AP30" i="34"/>
  <c r="AP42" i="34"/>
  <c r="AP29" i="34"/>
  <c r="AP41" i="34" s="1"/>
  <c r="AP28" i="34"/>
  <c r="AL31" i="34"/>
  <c r="AM31" i="34" s="1"/>
  <c r="AL30" i="34"/>
  <c r="AL29" i="34"/>
  <c r="AM29" i="34" s="1"/>
  <c r="AL28" i="34"/>
  <c r="AH31" i="34"/>
  <c r="AH30" i="34"/>
  <c r="AI30" i="34"/>
  <c r="AH29" i="34"/>
  <c r="AH41" i="34" s="1"/>
  <c r="AH28" i="34"/>
  <c r="AM28" i="34" s="1"/>
  <c r="AI28" i="34"/>
  <c r="AD31" i="34"/>
  <c r="AD30" i="34"/>
  <c r="AD29" i="34"/>
  <c r="AD28" i="34"/>
  <c r="Z31" i="34"/>
  <c r="Z30" i="34"/>
  <c r="Z42" i="34" s="1"/>
  <c r="Z29" i="34"/>
  <c r="AE29" i="34" s="1"/>
  <c r="Z28" i="34"/>
  <c r="V31" i="34"/>
  <c r="V30" i="34"/>
  <c r="V29" i="34"/>
  <c r="V28" i="34"/>
  <c r="V40" i="34"/>
  <c r="R31" i="34"/>
  <c r="R30" i="34"/>
  <c r="R29" i="34"/>
  <c r="R28" i="34"/>
  <c r="N31" i="34"/>
  <c r="N30" i="34"/>
  <c r="N42" i="34"/>
  <c r="N29" i="34"/>
  <c r="N41" i="34"/>
  <c r="N28" i="34"/>
  <c r="N40" i="34" s="1"/>
  <c r="J31" i="34"/>
  <c r="J43" i="34" s="1"/>
  <c r="J30" i="34"/>
  <c r="J29" i="34"/>
  <c r="J28" i="34"/>
  <c r="F31" i="34"/>
  <c r="F43" i="34"/>
  <c r="F30" i="34"/>
  <c r="G30" i="34" s="1"/>
  <c r="F29" i="34"/>
  <c r="F28" i="34"/>
  <c r="G28" i="34" s="1"/>
  <c r="BF25" i="34"/>
  <c r="BK25" i="34" s="1"/>
  <c r="BF43" i="34"/>
  <c r="AX25" i="34"/>
  <c r="AY25" i="34" s="1"/>
  <c r="Z25" i="34"/>
  <c r="CT24" i="34"/>
  <c r="CT23" i="34"/>
  <c r="CP24" i="34"/>
  <c r="CQ24" i="34" s="1"/>
  <c r="CP23" i="34"/>
  <c r="CL24" i="34"/>
  <c r="CH24" i="34"/>
  <c r="CH23" i="34"/>
  <c r="CX23" i="34"/>
  <c r="DC23" i="34" s="1"/>
  <c r="CY22" i="34"/>
  <c r="CU25" i="34"/>
  <c r="CU22" i="34"/>
  <c r="CQ25" i="34"/>
  <c r="CQ22" i="34"/>
  <c r="CM25" i="34"/>
  <c r="CM23" i="34"/>
  <c r="CM22" i="34"/>
  <c r="CE25" i="34"/>
  <c r="CD25" i="34"/>
  <c r="CI25" i="34" s="1"/>
  <c r="CD24" i="34"/>
  <c r="CD23" i="34"/>
  <c r="CD22" i="34"/>
  <c r="CA25" i="34"/>
  <c r="CA24" i="34"/>
  <c r="CA23" i="34"/>
  <c r="CA22" i="34"/>
  <c r="BW25" i="34"/>
  <c r="BW24" i="34"/>
  <c r="BW23" i="34"/>
  <c r="BW22" i="34"/>
  <c r="BS25" i="34"/>
  <c r="BS24" i="34"/>
  <c r="BS23" i="34"/>
  <c r="BS22" i="34"/>
  <c r="BO25" i="34"/>
  <c r="BO24" i="34"/>
  <c r="BO23" i="34"/>
  <c r="BO22" i="34"/>
  <c r="BK24" i="34"/>
  <c r="BK23" i="34"/>
  <c r="BK22" i="34"/>
  <c r="BG24" i="34"/>
  <c r="BG23" i="34"/>
  <c r="BG22" i="34"/>
  <c r="BC24" i="34"/>
  <c r="BC23" i="34"/>
  <c r="BC22" i="34"/>
  <c r="AY24" i="34"/>
  <c r="AY23" i="34"/>
  <c r="AY22" i="34"/>
  <c r="AU25" i="34"/>
  <c r="AU24" i="34"/>
  <c r="AU23" i="34"/>
  <c r="AP22" i="34"/>
  <c r="AQ22" i="34" s="1"/>
  <c r="AU22" i="34"/>
  <c r="AL25" i="34"/>
  <c r="AQ25" i="34" s="1"/>
  <c r="AL24" i="34"/>
  <c r="AL23" i="34"/>
  <c r="AL22" i="34"/>
  <c r="AH25" i="34"/>
  <c r="AH43" i="34"/>
  <c r="AH24" i="34"/>
  <c r="AH42" i="34"/>
  <c r="AH23" i="34"/>
  <c r="AH22" i="34"/>
  <c r="AD25" i="34"/>
  <c r="AD24" i="34"/>
  <c r="AD42" i="34"/>
  <c r="AD23" i="34"/>
  <c r="AD22" i="34"/>
  <c r="AE22" i="34" s="1"/>
  <c r="AA24" i="34"/>
  <c r="AA23" i="34"/>
  <c r="AA22" i="34"/>
  <c r="W25" i="34"/>
  <c r="W24" i="34"/>
  <c r="W23" i="34"/>
  <c r="W22" i="34"/>
  <c r="S25" i="34"/>
  <c r="S24" i="34"/>
  <c r="S23" i="34"/>
  <c r="S22" i="34"/>
  <c r="O25" i="34"/>
  <c r="O24" i="34"/>
  <c r="O23" i="34"/>
  <c r="O22" i="34"/>
  <c r="K25" i="34"/>
  <c r="K24" i="34"/>
  <c r="K23" i="34"/>
  <c r="K22" i="34"/>
  <c r="G25" i="34"/>
  <c r="G24" i="34"/>
  <c r="G23" i="34"/>
  <c r="G22" i="34"/>
  <c r="BB19" i="34"/>
  <c r="BG19" i="34" s="1"/>
  <c r="AX19" i="34"/>
  <c r="AY19" i="34" s="1"/>
  <c r="BJ18" i="34"/>
  <c r="CY17" i="34"/>
  <c r="CY16" i="34"/>
  <c r="CU19" i="34"/>
  <c r="CU18" i="34"/>
  <c r="CU17" i="34"/>
  <c r="CU16" i="34"/>
  <c r="CQ19" i="34"/>
  <c r="CQ18" i="34"/>
  <c r="CQ17" i="34"/>
  <c r="CQ16" i="34"/>
  <c r="CM19" i="34"/>
  <c r="CM18" i="34"/>
  <c r="CM17" i="34"/>
  <c r="CM16" i="34"/>
  <c r="CI19" i="34"/>
  <c r="CI18" i="34"/>
  <c r="CI17" i="34"/>
  <c r="CI16" i="34"/>
  <c r="CE19" i="34"/>
  <c r="CE18" i="34"/>
  <c r="CE17" i="34"/>
  <c r="CE16" i="34"/>
  <c r="CA19" i="34"/>
  <c r="CA18" i="34"/>
  <c r="CA17" i="34"/>
  <c r="CA16" i="34"/>
  <c r="BW19" i="34"/>
  <c r="BW18" i="34"/>
  <c r="BW17" i="34"/>
  <c r="BW16" i="34"/>
  <c r="BS19" i="34"/>
  <c r="BS18" i="34"/>
  <c r="BS17" i="34"/>
  <c r="BS16" i="34"/>
  <c r="BO19" i="34"/>
  <c r="BO18" i="34"/>
  <c r="BO17" i="34"/>
  <c r="BO16" i="34"/>
  <c r="BK19" i="34"/>
  <c r="BK18" i="34"/>
  <c r="BK17" i="34"/>
  <c r="BK16" i="34"/>
  <c r="BG18" i="34"/>
  <c r="BG17" i="34"/>
  <c r="BG16" i="34"/>
  <c r="BC18" i="34"/>
  <c r="BC17" i="34"/>
  <c r="BC16" i="34"/>
  <c r="AY18" i="34"/>
  <c r="AY17" i="34"/>
  <c r="AY16" i="34"/>
  <c r="AU19" i="34"/>
  <c r="AU18" i="34"/>
  <c r="AU17" i="34"/>
  <c r="AU16" i="34"/>
  <c r="AQ19" i="34"/>
  <c r="AQ18" i="34"/>
  <c r="AQ17" i="34"/>
  <c r="AQ16" i="34"/>
  <c r="AM19" i="34"/>
  <c r="AM18" i="34"/>
  <c r="AM17" i="34"/>
  <c r="AM16" i="34"/>
  <c r="AI19" i="34"/>
  <c r="AI18" i="34"/>
  <c r="AI17" i="34"/>
  <c r="AI16" i="34"/>
  <c r="AE19" i="34"/>
  <c r="AE18" i="34"/>
  <c r="AE17" i="34"/>
  <c r="AE16" i="34"/>
  <c r="AA19" i="34"/>
  <c r="AA18" i="34"/>
  <c r="AA17" i="34"/>
  <c r="AA16" i="34"/>
  <c r="W19" i="34"/>
  <c r="W18" i="34"/>
  <c r="W17" i="34"/>
  <c r="W16" i="34"/>
  <c r="S19" i="34"/>
  <c r="S18" i="34"/>
  <c r="S17" i="34"/>
  <c r="S16" i="34"/>
  <c r="O19" i="34"/>
  <c r="O18" i="34"/>
  <c r="O17" i="34"/>
  <c r="O16" i="34"/>
  <c r="K19" i="34"/>
  <c r="K18" i="34"/>
  <c r="K17" i="34"/>
  <c r="K16" i="34"/>
  <c r="G19" i="34"/>
  <c r="G18" i="34"/>
  <c r="G17" i="34"/>
  <c r="G16" i="34"/>
  <c r="AX13" i="34"/>
  <c r="BC13" i="34" s="1"/>
  <c r="CY11" i="34"/>
  <c r="CY10" i="34"/>
  <c r="CU13" i="34"/>
  <c r="CU12" i="34"/>
  <c r="CU11" i="34"/>
  <c r="CU10" i="34"/>
  <c r="CQ13" i="34"/>
  <c r="CQ12" i="34"/>
  <c r="CQ11" i="34"/>
  <c r="CQ10" i="34"/>
  <c r="CM13" i="34"/>
  <c r="CM12" i="34"/>
  <c r="CM11" i="34"/>
  <c r="CM10" i="34"/>
  <c r="CI13" i="34"/>
  <c r="CI12" i="34"/>
  <c r="CI11" i="34"/>
  <c r="CI10" i="34"/>
  <c r="CE13" i="34"/>
  <c r="CE12" i="34"/>
  <c r="CE11" i="34"/>
  <c r="CE10" i="34"/>
  <c r="CA13" i="34"/>
  <c r="CA12" i="34"/>
  <c r="CA11" i="34"/>
  <c r="CA10" i="34"/>
  <c r="BW13" i="34"/>
  <c r="BW12" i="34"/>
  <c r="BW11" i="34"/>
  <c r="BW10" i="34"/>
  <c r="BS13" i="34"/>
  <c r="BS12" i="34"/>
  <c r="BS11" i="34"/>
  <c r="BS10" i="34"/>
  <c r="BO13" i="34"/>
  <c r="BO12" i="34"/>
  <c r="BO11" i="34"/>
  <c r="BO10" i="34"/>
  <c r="BK13" i="34"/>
  <c r="BK12" i="34"/>
  <c r="BK11" i="34"/>
  <c r="BK10" i="34"/>
  <c r="BG13" i="34"/>
  <c r="BG12" i="34"/>
  <c r="BG11" i="34"/>
  <c r="BG10" i="34"/>
  <c r="BC12" i="34"/>
  <c r="BC11" i="34"/>
  <c r="BC10" i="34"/>
  <c r="AY12" i="34"/>
  <c r="AY11" i="34"/>
  <c r="AY10" i="34"/>
  <c r="AU13" i="34"/>
  <c r="AU12" i="34"/>
  <c r="AU11" i="34"/>
  <c r="AU10" i="34"/>
  <c r="AQ13" i="34"/>
  <c r="AQ12" i="34"/>
  <c r="AQ11" i="34"/>
  <c r="AQ10" i="34"/>
  <c r="AN13" i="34"/>
  <c r="AN25" i="34" s="1"/>
  <c r="AM13" i="34"/>
  <c r="AN12" i="34"/>
  <c r="AM12" i="34"/>
  <c r="AN11" i="34"/>
  <c r="AN17" i="34" s="1"/>
  <c r="AM11" i="34"/>
  <c r="AN10" i="34"/>
  <c r="AM10" i="34"/>
  <c r="AI13" i="34"/>
  <c r="AI12" i="34"/>
  <c r="AI11" i="34"/>
  <c r="AI10" i="34"/>
  <c r="AF13" i="34"/>
  <c r="AF37" i="34" s="1"/>
  <c r="AE13" i="34"/>
  <c r="AF12" i="34"/>
  <c r="AE12" i="34"/>
  <c r="AF11" i="34"/>
  <c r="AF17" i="34" s="1"/>
  <c r="AE11" i="34"/>
  <c r="AF10" i="34"/>
  <c r="AE10" i="34"/>
  <c r="AA13" i="34"/>
  <c r="AA12" i="34"/>
  <c r="AA11" i="34"/>
  <c r="AA10" i="34"/>
  <c r="W13" i="34"/>
  <c r="W12" i="34"/>
  <c r="W11" i="34"/>
  <c r="W10" i="34"/>
  <c r="S13" i="34"/>
  <c r="S12" i="34"/>
  <c r="S11" i="34"/>
  <c r="S10" i="34"/>
  <c r="O13" i="34"/>
  <c r="O12" i="34"/>
  <c r="O11" i="34"/>
  <c r="O10" i="34"/>
  <c r="K13" i="34"/>
  <c r="K12" i="34"/>
  <c r="K11" i="34"/>
  <c r="K10" i="34"/>
  <c r="G13" i="34"/>
  <c r="G12" i="34"/>
  <c r="G11" i="34"/>
  <c r="G10" i="34"/>
  <c r="B13" i="34"/>
  <c r="A13" i="34"/>
  <c r="A19" i="34" s="1"/>
  <c r="B12" i="34"/>
  <c r="A12" i="34"/>
  <c r="A18" i="34" s="1"/>
  <c r="B11" i="34"/>
  <c r="B35" i="34" s="1"/>
  <c r="A11" i="34"/>
  <c r="A17" i="34" s="1"/>
  <c r="B10" i="34"/>
  <c r="B40" i="34" s="1"/>
  <c r="A10" i="34"/>
  <c r="F7" i="34"/>
  <c r="J7" i="34" s="1"/>
  <c r="N7" i="34" s="1"/>
  <c r="R7" i="34" s="1"/>
  <c r="V7" i="34" s="1"/>
  <c r="Z7" i="34" s="1"/>
  <c r="AD7" i="34" s="1"/>
  <c r="AH7" i="34" s="1"/>
  <c r="AL7" i="34" s="1"/>
  <c r="AP7" i="34" s="1"/>
  <c r="AT7" i="34" s="1"/>
  <c r="AX7" i="34" s="1"/>
  <c r="BB7" i="34" s="1"/>
  <c r="BF7" i="34" s="1"/>
  <c r="BJ7" i="34"/>
  <c r="BN7" i="34" s="1"/>
  <c r="BR7" i="34" s="1"/>
  <c r="BV7" i="34" s="1"/>
  <c r="BZ7" i="34" s="1"/>
  <c r="A3" i="34"/>
  <c r="D66" i="36"/>
  <c r="D65" i="36"/>
  <c r="D64" i="36"/>
  <c r="D63" i="36"/>
  <c r="D58" i="36"/>
  <c r="H58" i="36"/>
  <c r="D48" i="36"/>
  <c r="D60" i="36"/>
  <c r="D47" i="36"/>
  <c r="D59" i="36"/>
  <c r="D46" i="36"/>
  <c r="D45" i="36"/>
  <c r="D57" i="36" s="1"/>
  <c r="AL35" i="36"/>
  <c r="N33" i="36"/>
  <c r="AZ30" i="36"/>
  <c r="AZ36" i="36" s="1"/>
  <c r="AZ48" i="36"/>
  <c r="AZ54" i="36" s="1"/>
  <c r="AZ29" i="36"/>
  <c r="AZ47" i="36"/>
  <c r="AZ53" i="36" s="1"/>
  <c r="AZ28" i="36"/>
  <c r="AZ64" i="36"/>
  <c r="AZ46" i="36"/>
  <c r="AZ27" i="36"/>
  <c r="AX30" i="36"/>
  <c r="AX48" i="36" s="1"/>
  <c r="AX36" i="36"/>
  <c r="AX29" i="36"/>
  <c r="AX47" i="36"/>
  <c r="AX53" i="36" s="1"/>
  <c r="AX28" i="36"/>
  <c r="AX46" i="36" s="1"/>
  <c r="AX64" i="36"/>
  <c r="AX27" i="36"/>
  <c r="AX63" i="36"/>
  <c r="AV30" i="36"/>
  <c r="AV36" i="36" s="1"/>
  <c r="AV29" i="36"/>
  <c r="AV65" i="36" s="1"/>
  <c r="AV28" i="36"/>
  <c r="AV64" i="36" s="1"/>
  <c r="AV27" i="36"/>
  <c r="AT30" i="36"/>
  <c r="AT48" i="36" s="1"/>
  <c r="AT29" i="36"/>
  <c r="AT35" i="36"/>
  <c r="AT28" i="36"/>
  <c r="AT64" i="36" s="1"/>
  <c r="AT46" i="36"/>
  <c r="AT27" i="36"/>
  <c r="AT63" i="36" s="1"/>
  <c r="AR30" i="36"/>
  <c r="AR29" i="36"/>
  <c r="AR47" i="36" s="1"/>
  <c r="AR28" i="36"/>
  <c r="AR34" i="36" s="1"/>
  <c r="AR27" i="36"/>
  <c r="AP30" i="36"/>
  <c r="AP29" i="36"/>
  <c r="AP35" i="36" s="1"/>
  <c r="AP28" i="36"/>
  <c r="AP27" i="36"/>
  <c r="AP63" i="36" s="1"/>
  <c r="AN30" i="36"/>
  <c r="AN29" i="36"/>
  <c r="AN47" i="36" s="1"/>
  <c r="AN28" i="36"/>
  <c r="AN46" i="36" s="1"/>
  <c r="AN27" i="36"/>
  <c r="AL30" i="36"/>
  <c r="AL66" i="36" s="1"/>
  <c r="AL29" i="36"/>
  <c r="AL28" i="36"/>
  <c r="AL27" i="36"/>
  <c r="AL63" i="36"/>
  <c r="AJ30" i="36"/>
  <c r="AJ29" i="36"/>
  <c r="AJ47" i="36" s="1"/>
  <c r="AJ28" i="36"/>
  <c r="AJ34" i="36" s="1"/>
  <c r="AJ27" i="36"/>
  <c r="AJ33" i="36" s="1"/>
  <c r="AH30" i="36"/>
  <c r="AH29" i="36"/>
  <c r="AH27" i="36"/>
  <c r="AH63" i="36" s="1"/>
  <c r="AF30" i="36"/>
  <c r="AF36" i="36" s="1"/>
  <c r="AF60" i="36" s="1"/>
  <c r="AF29" i="36"/>
  <c r="AF47" i="36"/>
  <c r="AF28" i="36"/>
  <c r="AF46" i="36"/>
  <c r="AF64" i="36"/>
  <c r="AF27" i="36"/>
  <c r="AF63" i="36" s="1"/>
  <c r="AD30" i="36"/>
  <c r="AD66" i="36" s="1"/>
  <c r="AD29" i="36"/>
  <c r="AD35" i="36"/>
  <c r="AD28" i="36"/>
  <c r="AD34" i="36"/>
  <c r="AD64" i="36"/>
  <c r="AD27" i="36"/>
  <c r="AD33" i="36" s="1"/>
  <c r="AB30" i="36"/>
  <c r="AB48" i="36" s="1"/>
  <c r="AB29" i="36"/>
  <c r="AB35" i="36" s="1"/>
  <c r="AB28" i="36"/>
  <c r="AB46" i="36" s="1"/>
  <c r="AB52" i="36" s="1"/>
  <c r="AB27" i="36"/>
  <c r="AB33" i="36"/>
  <c r="Z30" i="36"/>
  <c r="Z48" i="36"/>
  <c r="Z29" i="36"/>
  <c r="Z35" i="36" s="1"/>
  <c r="Z28" i="36"/>
  <c r="Z46" i="36"/>
  <c r="Z27" i="36"/>
  <c r="Z45" i="36"/>
  <c r="X30" i="36"/>
  <c r="X66" i="36"/>
  <c r="X29" i="36"/>
  <c r="X35" i="36" s="1"/>
  <c r="X28" i="36"/>
  <c r="X64" i="36"/>
  <c r="X27" i="36"/>
  <c r="X63" i="36" s="1"/>
  <c r="X45" i="36"/>
  <c r="V30" i="36"/>
  <c r="V66" i="36"/>
  <c r="V29" i="36"/>
  <c r="V35" i="36" s="1"/>
  <c r="V28" i="36"/>
  <c r="V34" i="36"/>
  <c r="V27" i="36"/>
  <c r="V45" i="36" s="1"/>
  <c r="V63" i="36"/>
  <c r="T30" i="36"/>
  <c r="T29" i="36"/>
  <c r="T35" i="36" s="1"/>
  <c r="T28" i="36"/>
  <c r="T64" i="36"/>
  <c r="T27" i="36"/>
  <c r="T33" i="36"/>
  <c r="T63" i="36"/>
  <c r="R30" i="36"/>
  <c r="R29" i="36"/>
  <c r="R35" i="36" s="1"/>
  <c r="R28" i="36"/>
  <c r="R27" i="36"/>
  <c r="R45" i="36"/>
  <c r="P30" i="36"/>
  <c r="P66" i="36"/>
  <c r="P29" i="36"/>
  <c r="P47" i="36" s="1"/>
  <c r="P35" i="36"/>
  <c r="P28" i="36"/>
  <c r="P64" i="36" s="1"/>
  <c r="P27" i="36"/>
  <c r="P45" i="36"/>
  <c r="N30" i="36"/>
  <c r="N48" i="36"/>
  <c r="N54" i="36" s="1"/>
  <c r="N29" i="36"/>
  <c r="N35" i="36"/>
  <c r="N28" i="36"/>
  <c r="N34" i="36" s="1"/>
  <c r="N58" i="36" s="1"/>
  <c r="N27" i="36"/>
  <c r="N63" i="36" s="1"/>
  <c r="L30" i="36"/>
  <c r="L66" i="36"/>
  <c r="L29" i="36"/>
  <c r="L35" i="36"/>
  <c r="L28" i="36"/>
  <c r="L64" i="36" s="1"/>
  <c r="L27" i="36"/>
  <c r="L63" i="36"/>
  <c r="J30" i="36"/>
  <c r="J29" i="36"/>
  <c r="J28" i="36"/>
  <c r="J46" i="36"/>
  <c r="J58" i="36" s="1"/>
  <c r="J27" i="36"/>
  <c r="J63" i="36" s="1"/>
  <c r="H30" i="36"/>
  <c r="H66" i="36" s="1"/>
  <c r="H29" i="36"/>
  <c r="H28" i="36"/>
  <c r="H46" i="36" s="1"/>
  <c r="H64" i="36"/>
  <c r="H27" i="36"/>
  <c r="H45" i="36"/>
  <c r="H57" i="36" s="1"/>
  <c r="F30" i="36"/>
  <c r="F66" i="36" s="1"/>
  <c r="F29" i="36"/>
  <c r="F28" i="36"/>
  <c r="F64" i="36" s="1"/>
  <c r="F27" i="36"/>
  <c r="F45" i="36" s="1"/>
  <c r="F57" i="36" s="1"/>
  <c r="F63" i="36"/>
  <c r="BB28" i="36"/>
  <c r="BB27" i="36"/>
  <c r="BB33" i="36" s="1"/>
  <c r="AH23" i="36"/>
  <c r="AH22" i="36"/>
  <c r="AH28" i="36" s="1"/>
  <c r="C21" i="80"/>
  <c r="T20" i="80"/>
  <c r="S20" i="80"/>
  <c r="R20" i="80"/>
  <c r="Q20" i="80"/>
  <c r="P20" i="80"/>
  <c r="O20" i="80"/>
  <c r="N20" i="80"/>
  <c r="M20" i="80"/>
  <c r="L20" i="80"/>
  <c r="K20" i="80"/>
  <c r="J20" i="80"/>
  <c r="I20" i="80"/>
  <c r="H20" i="80"/>
  <c r="G20" i="80"/>
  <c r="T17" i="80"/>
  <c r="S17" i="80"/>
  <c r="R17" i="80"/>
  <c r="Q17" i="80"/>
  <c r="P17" i="80"/>
  <c r="O17" i="80"/>
  <c r="N17" i="80"/>
  <c r="M17" i="80"/>
  <c r="L17" i="80"/>
  <c r="K17" i="80"/>
  <c r="I17" i="80"/>
  <c r="H17" i="80"/>
  <c r="G17" i="80"/>
  <c r="J16" i="80"/>
  <c r="I16" i="80"/>
  <c r="H16" i="80"/>
  <c r="G16" i="80"/>
  <c r="D14" i="80"/>
  <c r="C14" i="80"/>
  <c r="C23" i="80" s="1"/>
  <c r="Q12" i="80"/>
  <c r="P12" i="80"/>
  <c r="O12" i="80"/>
  <c r="N12" i="80"/>
  <c r="M12" i="80"/>
  <c r="J12" i="80"/>
  <c r="I12" i="80"/>
  <c r="H12" i="80"/>
  <c r="G12" i="80"/>
  <c r="P11" i="80"/>
  <c r="O11" i="80"/>
  <c r="M11" i="80"/>
  <c r="L11" i="80"/>
  <c r="J11" i="80"/>
  <c r="I11" i="80"/>
  <c r="H11" i="80"/>
  <c r="G11" i="80"/>
  <c r="P10" i="80"/>
  <c r="O10" i="80"/>
  <c r="N10" i="80"/>
  <c r="M10" i="80"/>
  <c r="L10" i="80"/>
  <c r="K10" i="80"/>
  <c r="J10" i="80"/>
  <c r="I10" i="80"/>
  <c r="H10" i="80"/>
  <c r="G10" i="80"/>
  <c r="N9" i="80"/>
  <c r="M9" i="80"/>
  <c r="L9" i="80"/>
  <c r="K9" i="80"/>
  <c r="J9" i="80"/>
  <c r="I9" i="80"/>
  <c r="I14" i="80" s="1"/>
  <c r="H9" i="80"/>
  <c r="G9" i="80"/>
  <c r="A1" i="80"/>
  <c r="BJ75" i="22"/>
  <c r="BJ73" i="22" s="1"/>
  <c r="BJ74" i="22" s="1"/>
  <c r="BH75" i="22"/>
  <c r="BH73" i="22" s="1"/>
  <c r="BF75" i="22"/>
  <c r="BF73" i="22" s="1"/>
  <c r="BD75" i="22"/>
  <c r="BB75" i="22"/>
  <c r="BB73" i="22" s="1"/>
  <c r="AZ75" i="22"/>
  <c r="AX75" i="22"/>
  <c r="AV75" i="22"/>
  <c r="AV73" i="22" s="1"/>
  <c r="AV74" i="22"/>
  <c r="AT75" i="22"/>
  <c r="AT73" i="22" s="1"/>
  <c r="AR75" i="22"/>
  <c r="AR73" i="22"/>
  <c r="AP75" i="22"/>
  <c r="AN75" i="22"/>
  <c r="AN73" i="22" s="1"/>
  <c r="AL75" i="22"/>
  <c r="AL73" i="22" s="1"/>
  <c r="AF75" i="22"/>
  <c r="AF73" i="22" s="1"/>
  <c r="AF74" i="22" s="1"/>
  <c r="AD75" i="22"/>
  <c r="AD73" i="22" s="1"/>
  <c r="AB75" i="22"/>
  <c r="AB73" i="22"/>
  <c r="Z75" i="22"/>
  <c r="X75" i="22"/>
  <c r="X73" i="22" s="1"/>
  <c r="V75" i="22"/>
  <c r="AN69" i="22"/>
  <c r="AN67" i="22" s="1"/>
  <c r="AJ69" i="22"/>
  <c r="AH69" i="22"/>
  <c r="AF69" i="22"/>
  <c r="AF67" i="22"/>
  <c r="AF71" i="22" s="1"/>
  <c r="AH71" i="22" s="1"/>
  <c r="H53" i="22"/>
  <c r="F53" i="22"/>
  <c r="AZ50" i="22"/>
  <c r="AX50" i="22"/>
  <c r="AV50" i="22"/>
  <c r="AT50" i="22"/>
  <c r="AR50" i="22"/>
  <c r="AS65" i="17" s="1"/>
  <c r="AH50" i="22"/>
  <c r="V47" i="22"/>
  <c r="V46" i="22"/>
  <c r="AX46" i="22"/>
  <c r="AX53" i="22" s="1"/>
  <c r="AV46" i="22"/>
  <c r="AV53" i="22"/>
  <c r="AT46" i="22"/>
  <c r="AR46" i="22"/>
  <c r="AN46" i="22"/>
  <c r="AJ46" i="22"/>
  <c r="AJ53" i="22" s="1"/>
  <c r="AF46" i="22"/>
  <c r="AF45" i="22"/>
  <c r="N46" i="22"/>
  <c r="AL45" i="22"/>
  <c r="AF43" i="22"/>
  <c r="AG65" i="17" s="1"/>
  <c r="N42" i="22"/>
  <c r="N41" i="22"/>
  <c r="N40" i="22"/>
  <c r="J42" i="22"/>
  <c r="AR40" i="22"/>
  <c r="AP41" i="22"/>
  <c r="AP40" i="22"/>
  <c r="AN41" i="22"/>
  <c r="AL41" i="22"/>
  <c r="AL40" i="22"/>
  <c r="AH41" i="22"/>
  <c r="AH53" i="22" s="1"/>
  <c r="AD41" i="22"/>
  <c r="AD53" i="22" s="1"/>
  <c r="AD40" i="22"/>
  <c r="AB41" i="22"/>
  <c r="AB40" i="22"/>
  <c r="AB53" i="22" s="1"/>
  <c r="Z41" i="22"/>
  <c r="Z40" i="22"/>
  <c r="X41" i="22"/>
  <c r="X40" i="22"/>
  <c r="V41" i="22"/>
  <c r="V40" i="22"/>
  <c r="T41" i="22"/>
  <c r="T40" i="22"/>
  <c r="R41" i="22"/>
  <c r="R40" i="22"/>
  <c r="P41" i="22"/>
  <c r="P40" i="22"/>
  <c r="L41" i="22"/>
  <c r="L40" i="22"/>
  <c r="D41" i="22"/>
  <c r="D53" i="22" s="1"/>
  <c r="AT40" i="22"/>
  <c r="J40" i="22"/>
  <c r="J53" i="22" s="1"/>
  <c r="AZ31" i="22"/>
  <c r="AZ33" i="22" s="1"/>
  <c r="AX31" i="22"/>
  <c r="AX33" i="22" s="1"/>
  <c r="AV31" i="22"/>
  <c r="AV33" i="22" s="1"/>
  <c r="AT31" i="22"/>
  <c r="AT33" i="22" s="1"/>
  <c r="AR31" i="22"/>
  <c r="AR33" i="22" s="1"/>
  <c r="AP31" i="22"/>
  <c r="AP33" i="22" s="1"/>
  <c r="AN31" i="22"/>
  <c r="AN33" i="22" s="1"/>
  <c r="AL31" i="22"/>
  <c r="AL33" i="22" s="1"/>
  <c r="AJ31" i="22"/>
  <c r="AH31" i="22"/>
  <c r="AF31" i="22"/>
  <c r="AF33" i="22" s="1"/>
  <c r="AD31" i="22"/>
  <c r="AD33" i="22" s="1"/>
  <c r="AB31" i="22"/>
  <c r="AB33" i="22" s="1"/>
  <c r="Z31" i="22"/>
  <c r="Z33" i="22" s="1"/>
  <c r="V31" i="22"/>
  <c r="V33" i="22" s="1"/>
  <c r="T31" i="22"/>
  <c r="T33" i="22" s="1"/>
  <c r="D31" i="22"/>
  <c r="D33" i="22" s="1"/>
  <c r="N29" i="22"/>
  <c r="N31" i="22" s="1"/>
  <c r="N33" i="22" s="1"/>
  <c r="L29" i="22"/>
  <c r="L28" i="22"/>
  <c r="H29" i="22"/>
  <c r="H28" i="22"/>
  <c r="F29" i="22"/>
  <c r="F28" i="22"/>
  <c r="J28" i="22"/>
  <c r="X26" i="22"/>
  <c r="X25" i="22"/>
  <c r="X31" i="22" s="1"/>
  <c r="X33" i="22" s="1"/>
  <c r="R26" i="22"/>
  <c r="R31" i="22" s="1"/>
  <c r="R33" i="22" s="1"/>
  <c r="P26" i="22"/>
  <c r="P25" i="22"/>
  <c r="P31" i="22" s="1"/>
  <c r="P33" i="22" s="1"/>
  <c r="L26" i="22"/>
  <c r="L25" i="22"/>
  <c r="J26" i="22"/>
  <c r="J25" i="22"/>
  <c r="J31" i="22" s="1"/>
  <c r="J33" i="22" s="1"/>
  <c r="H26" i="22"/>
  <c r="H25" i="22"/>
  <c r="F26" i="22"/>
  <c r="F25" i="22"/>
  <c r="BE24" i="22"/>
  <c r="AJ22" i="22"/>
  <c r="AH22" i="22"/>
  <c r="AH75" i="22" s="1"/>
  <c r="AV15" i="22"/>
  <c r="AR15" i="22"/>
  <c r="AP15" i="22"/>
  <c r="AN15" i="22"/>
  <c r="AL15" i="22"/>
  <c r="AJ15" i="22"/>
  <c r="AH15" i="22"/>
  <c r="AF15" i="22"/>
  <c r="AD15" i="22"/>
  <c r="Z15" i="22"/>
  <c r="V15" i="22"/>
  <c r="J15" i="22"/>
  <c r="AT13" i="22"/>
  <c r="AL13" i="22"/>
  <c r="AZ10" i="22"/>
  <c r="AZ69" i="22"/>
  <c r="AX10" i="22"/>
  <c r="AX9" i="22"/>
  <c r="AX69" i="22" s="1"/>
  <c r="AV10" i="22"/>
  <c r="AV9" i="22"/>
  <c r="AV69" i="22" s="1"/>
  <c r="AV67" i="22" s="1"/>
  <c r="AT10" i="22"/>
  <c r="AT9" i="22"/>
  <c r="AT69" i="22" s="1"/>
  <c r="AT67" i="22" s="1"/>
  <c r="AT68" i="22" s="1"/>
  <c r="AR10" i="22"/>
  <c r="AR9" i="22"/>
  <c r="AR69" i="22" s="1"/>
  <c r="AP9" i="22"/>
  <c r="AP69" i="22" s="1"/>
  <c r="AD9" i="22"/>
  <c r="AD17" i="22" s="1"/>
  <c r="AD35" i="22" s="1"/>
  <c r="AB9" i="22"/>
  <c r="AB69" i="22" s="1"/>
  <c r="AB67" i="22" s="1"/>
  <c r="AB71" i="22" s="1"/>
  <c r="Z9" i="22"/>
  <c r="AX202" i="29" s="1"/>
  <c r="X9" i="22"/>
  <c r="X69" i="22" s="1"/>
  <c r="X67" i="22" s="1"/>
  <c r="X71" i="22" s="1"/>
  <c r="V9" i="22"/>
  <c r="V69" i="22" s="1"/>
  <c r="V67" i="22" s="1"/>
  <c r="V71" i="22" s="1"/>
  <c r="T9" i="22"/>
  <c r="R9" i="22"/>
  <c r="R17" i="22"/>
  <c r="P9" i="22"/>
  <c r="P17" i="22" s="1"/>
  <c r="N9" i="22"/>
  <c r="N17" i="22" s="1"/>
  <c r="L9" i="22"/>
  <c r="J9" i="22"/>
  <c r="H9" i="22"/>
  <c r="H17" i="22"/>
  <c r="F9" i="22"/>
  <c r="D9" i="22"/>
  <c r="X7" i="22"/>
  <c r="F6" i="22"/>
  <c r="H6" i="22"/>
  <c r="J6" i="22" s="1"/>
  <c r="L6" i="22" s="1"/>
  <c r="N6" i="22" s="1"/>
  <c r="P6" i="22" s="1"/>
  <c r="R6" i="22" s="1"/>
  <c r="T6" i="22" s="1"/>
  <c r="V6" i="22" s="1"/>
  <c r="X6" i="22" s="1"/>
  <c r="Z6" i="22" s="1"/>
  <c r="AB6" i="22" s="1"/>
  <c r="AD6" i="22" s="1"/>
  <c r="AF6" i="22" s="1"/>
  <c r="AH6" i="22" s="1"/>
  <c r="A3" i="22"/>
  <c r="BK101" i="17"/>
  <c r="BI101" i="17"/>
  <c r="BG101" i="17"/>
  <c r="BE101" i="17"/>
  <c r="BC101" i="17"/>
  <c r="BA101" i="17"/>
  <c r="AY101" i="17"/>
  <c r="AW101" i="17"/>
  <c r="AU101" i="17"/>
  <c r="AS101" i="17"/>
  <c r="AQ101" i="17"/>
  <c r="AO101" i="17"/>
  <c r="AM101" i="17"/>
  <c r="AK101" i="17"/>
  <c r="AI101" i="17"/>
  <c r="AG101" i="17"/>
  <c r="AE101" i="17"/>
  <c r="AC101" i="17"/>
  <c r="AA101" i="17"/>
  <c r="Y101" i="17"/>
  <c r="W101" i="17"/>
  <c r="U101" i="17"/>
  <c r="AI95" i="17"/>
  <c r="AY83" i="17"/>
  <c r="AW83" i="17"/>
  <c r="AU83" i="17"/>
  <c r="AS83" i="17"/>
  <c r="AQ83" i="17"/>
  <c r="AO83" i="17"/>
  <c r="AM83" i="17"/>
  <c r="AK83" i="17"/>
  <c r="AI83" i="17"/>
  <c r="AG83" i="17"/>
  <c r="AE83" i="17"/>
  <c r="AC83" i="17"/>
  <c r="AA83" i="17"/>
  <c r="Y83" i="17"/>
  <c r="W83" i="17"/>
  <c r="U83" i="17"/>
  <c r="S83" i="17"/>
  <c r="Q83" i="17"/>
  <c r="O83" i="17"/>
  <c r="M83" i="17"/>
  <c r="K83" i="17"/>
  <c r="I83" i="17"/>
  <c r="G83" i="17"/>
  <c r="E83" i="17"/>
  <c r="BB85" i="17"/>
  <c r="BD85" i="17" s="1"/>
  <c r="BB84" i="17"/>
  <c r="BD84" i="17" s="1"/>
  <c r="BB83" i="17"/>
  <c r="BD83" i="17" s="1"/>
  <c r="BB82" i="17"/>
  <c r="BD82" i="17"/>
  <c r="BB81" i="17"/>
  <c r="BD81" i="17" s="1"/>
  <c r="AQ79" i="17"/>
  <c r="AE79" i="17"/>
  <c r="AC79" i="17"/>
  <c r="AA79" i="17"/>
  <c r="Y79" i="17"/>
  <c r="W79" i="17"/>
  <c r="S79" i="17"/>
  <c r="Q79" i="17"/>
  <c r="O79" i="17"/>
  <c r="K79" i="17"/>
  <c r="I79" i="17"/>
  <c r="BI65" i="17"/>
  <c r="AY66" i="17"/>
  <c r="AY65" i="17"/>
  <c r="AW66" i="17"/>
  <c r="AW65" i="17"/>
  <c r="AU66" i="17"/>
  <c r="AU65" i="17"/>
  <c r="AS66" i="17"/>
  <c r="AQ66" i="17"/>
  <c r="AQ65" i="17"/>
  <c r="AO66" i="17"/>
  <c r="AO65" i="17"/>
  <c r="AM66" i="17"/>
  <c r="AM65" i="17"/>
  <c r="AK66" i="17"/>
  <c r="AK65" i="17"/>
  <c r="AI66" i="17"/>
  <c r="AI65" i="17"/>
  <c r="AG66" i="17"/>
  <c r="AE66" i="17"/>
  <c r="AE65" i="17"/>
  <c r="AC66" i="17"/>
  <c r="AC65" i="17"/>
  <c r="AA66" i="17"/>
  <c r="AA65" i="17"/>
  <c r="BF66" i="17"/>
  <c r="BG65" i="17"/>
  <c r="BF65" i="17"/>
  <c r="BE65" i="17"/>
  <c r="BB66" i="17"/>
  <c r="BA66" i="17"/>
  <c r="BB65" i="17"/>
  <c r="BI56" i="17"/>
  <c r="BK56" i="17" s="1"/>
  <c r="BM56" i="17" s="1"/>
  <c r="BO56" i="17" s="1"/>
  <c r="BQ56" i="17" s="1"/>
  <c r="BI54" i="17"/>
  <c r="BK54" i="17" s="1"/>
  <c r="BM54" i="17" s="1"/>
  <c r="BO54" i="17" s="1"/>
  <c r="BQ54" i="17" s="1"/>
  <c r="BI53" i="17"/>
  <c r="BK53" i="17" s="1"/>
  <c r="BM53" i="17" s="1"/>
  <c r="BO53" i="17" s="1"/>
  <c r="BQ53" i="17" s="1"/>
  <c r="AY57" i="17"/>
  <c r="AU57" i="17"/>
  <c r="AS57" i="17"/>
  <c r="AQ57" i="17"/>
  <c r="AO57" i="17"/>
  <c r="AM57" i="17"/>
  <c r="AK57" i="17"/>
  <c r="AI57" i="17"/>
  <c r="AJ56" i="28" s="1"/>
  <c r="AE57" i="17"/>
  <c r="AC57" i="17"/>
  <c r="AA57" i="17"/>
  <c r="Y57" i="17"/>
  <c r="W57" i="17"/>
  <c r="U57" i="17"/>
  <c r="S57" i="17"/>
  <c r="Q57" i="17"/>
  <c r="O57" i="17"/>
  <c r="M57" i="17"/>
  <c r="K57" i="17"/>
  <c r="I57" i="17"/>
  <c r="G57" i="17"/>
  <c r="E57" i="17"/>
  <c r="AW54" i="17"/>
  <c r="AW57" i="17" s="1"/>
  <c r="AG52" i="17"/>
  <c r="AG57" i="17" s="1"/>
  <c r="AI56" i="28" s="1"/>
  <c r="AW49" i="17"/>
  <c r="AY49" i="17" s="1"/>
  <c r="BA49" i="17" s="1"/>
  <c r="BC49" i="17" s="1"/>
  <c r="AW48" i="17"/>
  <c r="BE48" i="17"/>
  <c r="BG48" i="17" s="1"/>
  <c r="BI43" i="17"/>
  <c r="BK43" i="17" s="1"/>
  <c r="BM43" i="17" s="1"/>
  <c r="BO43" i="17" s="1"/>
  <c r="BQ43" i="17" s="1"/>
  <c r="BA44" i="17"/>
  <c r="AY44" i="17"/>
  <c r="AW44" i="17"/>
  <c r="AU44" i="17"/>
  <c r="AS44" i="17"/>
  <c r="AQ44" i="17"/>
  <c r="AO44" i="17"/>
  <c r="AM44" i="17"/>
  <c r="AK44" i="17"/>
  <c r="AI44" i="17"/>
  <c r="AG44" i="17"/>
  <c r="AE44" i="17"/>
  <c r="AC44" i="17"/>
  <c r="AA44" i="17"/>
  <c r="Y44" i="17"/>
  <c r="W44" i="17"/>
  <c r="U44" i="17"/>
  <c r="S44" i="17"/>
  <c r="Q44" i="17"/>
  <c r="O44" i="17"/>
  <c r="M44" i="17"/>
  <c r="K44" i="17"/>
  <c r="I44" i="17"/>
  <c r="G44" i="17"/>
  <c r="E44" i="17"/>
  <c r="BI41" i="17"/>
  <c r="BC44" i="17"/>
  <c r="BI34" i="17"/>
  <c r="BK34" i="17" s="1"/>
  <c r="BM34" i="17" s="1"/>
  <c r="BO34" i="17" s="1"/>
  <c r="BQ34" i="17" s="1"/>
  <c r="AS38" i="17"/>
  <c r="AU38" i="17" s="1"/>
  <c r="AS37" i="17"/>
  <c r="AR41" i="22" s="1"/>
  <c r="AM39" i="17"/>
  <c r="AM46" i="17" s="1"/>
  <c r="AM59" i="17" s="1"/>
  <c r="AK39" i="17"/>
  <c r="AK46" i="17" s="1"/>
  <c r="AK59" i="17" s="1"/>
  <c r="AI39" i="17"/>
  <c r="AI46" i="17" s="1"/>
  <c r="AG39" i="17"/>
  <c r="AG46" i="17" s="1"/>
  <c r="AE39" i="17"/>
  <c r="AE46" i="17" s="1"/>
  <c r="AE59" i="17" s="1"/>
  <c r="AC39" i="17"/>
  <c r="AA39" i="17"/>
  <c r="AA46" i="17" s="1"/>
  <c r="Y39" i="17"/>
  <c r="Y46" i="17" s="1"/>
  <c r="Y59" i="17" s="1"/>
  <c r="W39" i="17"/>
  <c r="W46" i="17" s="1"/>
  <c r="U39" i="17"/>
  <c r="S39" i="17"/>
  <c r="S46" i="17" s="1"/>
  <c r="Q39" i="17"/>
  <c r="Q46" i="17" s="1"/>
  <c r="O39" i="17"/>
  <c r="O46" i="17" s="1"/>
  <c r="O59" i="17" s="1"/>
  <c r="M39" i="17"/>
  <c r="K39" i="17"/>
  <c r="K46" i="17" s="1"/>
  <c r="K59" i="17" s="1"/>
  <c r="I39" i="17"/>
  <c r="I46" i="17" s="1"/>
  <c r="G39" i="17"/>
  <c r="G46" i="17" s="1"/>
  <c r="E39" i="17"/>
  <c r="E46" i="17" s="1"/>
  <c r="AO34" i="17"/>
  <c r="AR56" i="28" s="1"/>
  <c r="BI24" i="17"/>
  <c r="BK24" i="17" s="1"/>
  <c r="BM24" i="17" s="1"/>
  <c r="BO24" i="17" s="1"/>
  <c r="BQ24" i="17" s="1"/>
  <c r="BI26" i="17"/>
  <c r="BK26" i="17" s="1"/>
  <c r="BM26" i="17" s="1"/>
  <c r="BO26" i="17" s="1"/>
  <c r="BQ26" i="17" s="1"/>
  <c r="AE24" i="17"/>
  <c r="AC24" i="17"/>
  <c r="AU23" i="17"/>
  <c r="AU22" i="17"/>
  <c r="AW22" i="17" s="1"/>
  <c r="BA12" i="17"/>
  <c r="AY12" i="17"/>
  <c r="AW12" i="17"/>
  <c r="AU12" i="17"/>
  <c r="AS12" i="17"/>
  <c r="AQ12" i="17"/>
  <c r="Y13" i="17"/>
  <c r="Y28" i="17" s="1"/>
  <c r="U12" i="17"/>
  <c r="G6" i="17"/>
  <c r="I6" i="17" s="1"/>
  <c r="K6" i="17" s="1"/>
  <c r="M6" i="17" s="1"/>
  <c r="O6" i="17" s="1"/>
  <c r="Q6" i="17" s="1"/>
  <c r="S6" i="17" s="1"/>
  <c r="U6" i="17" s="1"/>
  <c r="W6" i="17" s="1"/>
  <c r="Y6" i="17" s="1"/>
  <c r="AA6" i="17" s="1"/>
  <c r="A1" i="17"/>
  <c r="Z534" i="45"/>
  <c r="Z533" i="45"/>
  <c r="Z532" i="45"/>
  <c r="Z531" i="45"/>
  <c r="V532" i="45"/>
  <c r="V531" i="45"/>
  <c r="H532" i="45"/>
  <c r="H531" i="45"/>
  <c r="I531" i="45" s="1"/>
  <c r="Z528" i="45"/>
  <c r="Z527" i="45"/>
  <c r="Z526" i="45"/>
  <c r="Z525" i="45"/>
  <c r="V528" i="45"/>
  <c r="V527" i="45"/>
  <c r="V526" i="45"/>
  <c r="V525" i="45"/>
  <c r="L528" i="45"/>
  <c r="J528" i="45"/>
  <c r="H528" i="45"/>
  <c r="H527" i="45"/>
  <c r="H526" i="45"/>
  <c r="I526" i="45" s="1"/>
  <c r="H525" i="45"/>
  <c r="Z522" i="45"/>
  <c r="Z521" i="45"/>
  <c r="Z520" i="45"/>
  <c r="Z519" i="45"/>
  <c r="V522" i="45"/>
  <c r="V521" i="45"/>
  <c r="V520" i="45"/>
  <c r="V519" i="45"/>
  <c r="W519" i="45" s="1"/>
  <c r="H522" i="45"/>
  <c r="I528" i="45" s="1"/>
  <c r="H521" i="45"/>
  <c r="H520" i="45"/>
  <c r="H519" i="45"/>
  <c r="Z516" i="45"/>
  <c r="Z515" i="45"/>
  <c r="Z514" i="45"/>
  <c r="Z513" i="45"/>
  <c r="V516" i="45"/>
  <c r="V515" i="45"/>
  <c r="V514" i="45"/>
  <c r="V513" i="45"/>
  <c r="H516" i="45"/>
  <c r="H515" i="45"/>
  <c r="H514" i="45"/>
  <c r="H513" i="45"/>
  <c r="Z510" i="45"/>
  <c r="Z509" i="45"/>
  <c r="Z508" i="45"/>
  <c r="Z507" i="45"/>
  <c r="V510" i="45"/>
  <c r="V509" i="45"/>
  <c r="V508" i="45"/>
  <c r="W514" i="45" s="1"/>
  <c r="V507" i="45"/>
  <c r="H510" i="45"/>
  <c r="H509" i="45"/>
  <c r="H508" i="45"/>
  <c r="Z414" i="46" s="1"/>
  <c r="H507" i="45"/>
  <c r="Z504" i="45"/>
  <c r="Z503" i="45"/>
  <c r="Z502" i="45"/>
  <c r="Z501" i="45"/>
  <c r="V504" i="45"/>
  <c r="V503" i="45"/>
  <c r="V502" i="45"/>
  <c r="V501" i="45"/>
  <c r="W501" i="45"/>
  <c r="H504" i="45"/>
  <c r="H503" i="45"/>
  <c r="H502" i="45"/>
  <c r="H501" i="45"/>
  <c r="Z498" i="45"/>
  <c r="Z497" i="45"/>
  <c r="Z496" i="45"/>
  <c r="Z495" i="45"/>
  <c r="V498" i="45"/>
  <c r="W504" i="45" s="1"/>
  <c r="V497" i="45"/>
  <c r="W503" i="45" s="1"/>
  <c r="V496" i="45"/>
  <c r="W502" i="45"/>
  <c r="V495" i="45"/>
  <c r="H498" i="45"/>
  <c r="H497" i="45"/>
  <c r="Z401" i="46" s="1"/>
  <c r="I503" i="45"/>
  <c r="J496" i="45"/>
  <c r="H496" i="45"/>
  <c r="I502" i="45" s="1"/>
  <c r="J495" i="45"/>
  <c r="H495" i="45"/>
  <c r="Z492" i="45"/>
  <c r="Z491" i="45"/>
  <c r="Z490" i="45"/>
  <c r="Z489" i="45"/>
  <c r="V492" i="45"/>
  <c r="V491" i="45"/>
  <c r="V490" i="45"/>
  <c r="V489" i="45"/>
  <c r="J492" i="45"/>
  <c r="H492" i="45"/>
  <c r="J491" i="45"/>
  <c r="H491" i="45"/>
  <c r="Z394" i="46" s="1"/>
  <c r="L490" i="45"/>
  <c r="J490" i="45"/>
  <c r="H490" i="45"/>
  <c r="L489" i="45"/>
  <c r="J489" i="45"/>
  <c r="H489" i="45"/>
  <c r="I495" i="45"/>
  <c r="Z485" i="45"/>
  <c r="Z483" i="45"/>
  <c r="L486" i="45"/>
  <c r="J486" i="45"/>
  <c r="H486" i="45"/>
  <c r="H485" i="45"/>
  <c r="Z387" i="46" s="1"/>
  <c r="H484" i="45"/>
  <c r="H483" i="45"/>
  <c r="AQ483" i="45" s="1"/>
  <c r="V486" i="45"/>
  <c r="V485" i="45"/>
  <c r="V484" i="45"/>
  <c r="W490" i="45" s="1"/>
  <c r="V483" i="45"/>
  <c r="T483" i="45"/>
  <c r="L485" i="45"/>
  <c r="J485" i="45"/>
  <c r="L484" i="45"/>
  <c r="J484" i="45"/>
  <c r="Z118" i="46" s="1"/>
  <c r="R483" i="45"/>
  <c r="P483" i="45"/>
  <c r="N483" i="45"/>
  <c r="L483" i="45"/>
  <c r="Z300" i="46"/>
  <c r="J483" i="45"/>
  <c r="Z480" i="45"/>
  <c r="Z479" i="45"/>
  <c r="H480" i="45"/>
  <c r="V480" i="45"/>
  <c r="T480" i="45"/>
  <c r="V479" i="45"/>
  <c r="T479" i="45"/>
  <c r="V478" i="45"/>
  <c r="T478" i="45"/>
  <c r="U478" i="45"/>
  <c r="V477" i="45"/>
  <c r="W483" i="45" s="1"/>
  <c r="T477" i="45"/>
  <c r="R480" i="45"/>
  <c r="P480" i="45"/>
  <c r="N480" i="45"/>
  <c r="L480" i="45"/>
  <c r="Z296" i="46" s="1"/>
  <c r="J480" i="45"/>
  <c r="Z113" i="46" s="1"/>
  <c r="R479" i="45"/>
  <c r="P479" i="45"/>
  <c r="N479" i="45"/>
  <c r="L479" i="45"/>
  <c r="J479" i="45"/>
  <c r="R478" i="45"/>
  <c r="P478" i="45"/>
  <c r="N478" i="45"/>
  <c r="Z714" i="46" s="1"/>
  <c r="AB714" i="46" s="1"/>
  <c r="L478" i="45"/>
  <c r="J478" i="45"/>
  <c r="R477" i="45"/>
  <c r="P477" i="45"/>
  <c r="Q477" i="45"/>
  <c r="N477" i="45"/>
  <c r="Z713" i="46" s="1"/>
  <c r="L477" i="45"/>
  <c r="Z293" i="46" s="1"/>
  <c r="J477" i="45"/>
  <c r="H474" i="45"/>
  <c r="V474" i="45"/>
  <c r="W480" i="45" s="1"/>
  <c r="T474" i="45"/>
  <c r="V473" i="45"/>
  <c r="W479" i="45" s="1"/>
  <c r="T473" i="45"/>
  <c r="V472" i="45"/>
  <c r="W472" i="45" s="1"/>
  <c r="T472" i="45"/>
  <c r="Z806" i="46" s="1"/>
  <c r="T471" i="45"/>
  <c r="Z805" i="46" s="1"/>
  <c r="R474" i="45"/>
  <c r="P474" i="45"/>
  <c r="Q480" i="45" s="1"/>
  <c r="N474" i="45"/>
  <c r="Z709" i="46" s="1"/>
  <c r="L474" i="45"/>
  <c r="J474" i="45"/>
  <c r="R473" i="45"/>
  <c r="P473" i="45"/>
  <c r="N473" i="45"/>
  <c r="J473" i="45"/>
  <c r="K479" i="45"/>
  <c r="R472" i="45"/>
  <c r="P472" i="45"/>
  <c r="N472" i="45"/>
  <c r="O478" i="45"/>
  <c r="L472" i="45"/>
  <c r="J472" i="45"/>
  <c r="R471" i="45"/>
  <c r="P471" i="45"/>
  <c r="N471" i="45"/>
  <c r="L471" i="45"/>
  <c r="M477" i="45"/>
  <c r="J471" i="45"/>
  <c r="V468" i="45"/>
  <c r="T468" i="45"/>
  <c r="V467" i="45"/>
  <c r="T467" i="45"/>
  <c r="V466" i="45"/>
  <c r="W466" i="45"/>
  <c r="T466" i="45"/>
  <c r="V465" i="45"/>
  <c r="T465" i="45"/>
  <c r="R468" i="45"/>
  <c r="P468" i="45"/>
  <c r="N468" i="45"/>
  <c r="L468" i="45"/>
  <c r="M468" i="45"/>
  <c r="J468" i="45"/>
  <c r="R467" i="45"/>
  <c r="P467" i="45"/>
  <c r="Q467" i="45" s="1"/>
  <c r="N467" i="45"/>
  <c r="L467" i="45"/>
  <c r="J467" i="45"/>
  <c r="K467" i="45"/>
  <c r="R466" i="45"/>
  <c r="P466" i="45"/>
  <c r="Q466" i="45" s="1"/>
  <c r="N466" i="45"/>
  <c r="L466" i="45"/>
  <c r="J466" i="45"/>
  <c r="K472" i="45" s="1"/>
  <c r="R465" i="45"/>
  <c r="P465" i="45"/>
  <c r="N465" i="45"/>
  <c r="L465" i="45"/>
  <c r="J465" i="45"/>
  <c r="T462" i="45"/>
  <c r="U468" i="45" s="1"/>
  <c r="V461" i="45"/>
  <c r="T461" i="45"/>
  <c r="Z793" i="46" s="1"/>
  <c r="V460" i="45"/>
  <c r="T460" i="45"/>
  <c r="V459" i="45"/>
  <c r="T459" i="45"/>
  <c r="R462" i="45"/>
  <c r="P462" i="45"/>
  <c r="N462" i="45"/>
  <c r="L462" i="45"/>
  <c r="J462" i="45"/>
  <c r="Y99" i="40" s="1"/>
  <c r="R461" i="45"/>
  <c r="P461" i="45"/>
  <c r="N461" i="45"/>
  <c r="L461" i="45"/>
  <c r="M467" i="45" s="1"/>
  <c r="J461" i="45"/>
  <c r="R460" i="45"/>
  <c r="P460" i="45"/>
  <c r="N460" i="45"/>
  <c r="O460" i="45" s="1"/>
  <c r="L460" i="45"/>
  <c r="J460" i="45"/>
  <c r="K466" i="45" s="1"/>
  <c r="R459" i="45"/>
  <c r="P459" i="45"/>
  <c r="N459" i="45"/>
  <c r="L459" i="45"/>
  <c r="J459" i="45"/>
  <c r="AB456" i="45"/>
  <c r="AB455" i="45"/>
  <c r="AC455" i="45" s="1"/>
  <c r="AB454" i="45"/>
  <c r="AB453" i="45"/>
  <c r="T456" i="45"/>
  <c r="U462" i="45" s="1"/>
  <c r="V455" i="45"/>
  <c r="W461" i="45" s="1"/>
  <c r="T455" i="45"/>
  <c r="V454" i="45"/>
  <c r="T454" i="45"/>
  <c r="V453" i="45"/>
  <c r="T453" i="45"/>
  <c r="Z784" i="46"/>
  <c r="R456" i="45"/>
  <c r="P456" i="45"/>
  <c r="Q462" i="45" s="1"/>
  <c r="N456" i="45"/>
  <c r="L456" i="45"/>
  <c r="J456" i="45"/>
  <c r="R455" i="45"/>
  <c r="P455" i="45"/>
  <c r="N455" i="45"/>
  <c r="O461" i="45" s="1"/>
  <c r="L455" i="45"/>
  <c r="M455" i="45"/>
  <c r="J455" i="45"/>
  <c r="R454" i="45"/>
  <c r="P454" i="45"/>
  <c r="N454" i="45"/>
  <c r="L454" i="45"/>
  <c r="J454" i="45"/>
  <c r="R453" i="45"/>
  <c r="P453" i="45"/>
  <c r="N453" i="45"/>
  <c r="L453" i="45"/>
  <c r="J453" i="45"/>
  <c r="AD450" i="45"/>
  <c r="AB450" i="45"/>
  <c r="AD449" i="45"/>
  <c r="AB449" i="45"/>
  <c r="AD448" i="45"/>
  <c r="AB448" i="45"/>
  <c r="AD447" i="45"/>
  <c r="AB447" i="45"/>
  <c r="AC453" i="45" s="1"/>
  <c r="V450" i="45"/>
  <c r="T450" i="45"/>
  <c r="V449" i="45"/>
  <c r="W455" i="45"/>
  <c r="T449" i="45"/>
  <c r="V448" i="45"/>
  <c r="T448" i="45"/>
  <c r="V447" i="45"/>
  <c r="T447" i="45"/>
  <c r="P450" i="45"/>
  <c r="N450" i="45"/>
  <c r="L450" i="45"/>
  <c r="P449" i="45"/>
  <c r="N449" i="45"/>
  <c r="L449" i="45"/>
  <c r="P448" i="45"/>
  <c r="N448" i="45"/>
  <c r="L448" i="45"/>
  <c r="P447" i="45"/>
  <c r="Z621" i="46" s="1"/>
  <c r="N447" i="45"/>
  <c r="Z678" i="46" s="1"/>
  <c r="L447" i="45"/>
  <c r="F450" i="45"/>
  <c r="J450" i="45" s="1"/>
  <c r="Z78" i="46" s="1"/>
  <c r="D450" i="45"/>
  <c r="F449" i="45"/>
  <c r="D449" i="45"/>
  <c r="F448" i="45"/>
  <c r="D448" i="45"/>
  <c r="F447" i="45"/>
  <c r="D447" i="45"/>
  <c r="AD444" i="45"/>
  <c r="AB444" i="45"/>
  <c r="AD443" i="45"/>
  <c r="AB443" i="45"/>
  <c r="AC443" i="45" s="1"/>
  <c r="AD442" i="45"/>
  <c r="AE442" i="45" s="1"/>
  <c r="AB442" i="45"/>
  <c r="AD441" i="45"/>
  <c r="AB441" i="45"/>
  <c r="AC447" i="45"/>
  <c r="V444" i="45"/>
  <c r="T444" i="45"/>
  <c r="V443" i="45"/>
  <c r="T443" i="45"/>
  <c r="U443" i="45" s="1"/>
  <c r="V442" i="45"/>
  <c r="T442" i="45"/>
  <c r="V441" i="45"/>
  <c r="T441" i="45"/>
  <c r="Z770" i="46" s="1"/>
  <c r="P444" i="45"/>
  <c r="N444" i="45"/>
  <c r="L444" i="45"/>
  <c r="P443" i="45"/>
  <c r="N443" i="45"/>
  <c r="L443" i="45"/>
  <c r="P442" i="45"/>
  <c r="N442" i="45"/>
  <c r="O448" i="45"/>
  <c r="L442" i="45"/>
  <c r="P441" i="45"/>
  <c r="N441" i="45"/>
  <c r="L441" i="45"/>
  <c r="F444" i="45"/>
  <c r="D444" i="45"/>
  <c r="F443" i="45"/>
  <c r="D443" i="45"/>
  <c r="F442" i="45"/>
  <c r="D442" i="45"/>
  <c r="F441" i="45"/>
  <c r="G441" i="45" s="1"/>
  <c r="D441" i="45"/>
  <c r="AH438" i="45"/>
  <c r="AF438" i="45"/>
  <c r="AD438" i="45"/>
  <c r="AB438" i="45"/>
  <c r="AH437" i="45"/>
  <c r="AI437" i="45" s="1"/>
  <c r="AF437" i="45"/>
  <c r="AG437" i="45" s="1"/>
  <c r="AD437" i="45"/>
  <c r="AE443" i="45" s="1"/>
  <c r="AB437" i="45"/>
  <c r="AH436" i="45"/>
  <c r="AF436" i="45"/>
  <c r="AD436" i="45"/>
  <c r="AE436" i="45" s="1"/>
  <c r="AB436" i="45"/>
  <c r="AH435" i="45"/>
  <c r="AI435" i="45" s="1"/>
  <c r="AF435" i="45"/>
  <c r="AD435" i="45"/>
  <c r="AB435" i="45"/>
  <c r="V438" i="45"/>
  <c r="T438" i="45"/>
  <c r="V437" i="45"/>
  <c r="T437" i="45"/>
  <c r="Z765" i="46" s="1"/>
  <c r="V436" i="45"/>
  <c r="T436" i="45"/>
  <c r="V435" i="45"/>
  <c r="W441" i="45" s="1"/>
  <c r="T435" i="45"/>
  <c r="P438" i="45"/>
  <c r="N438" i="45"/>
  <c r="L438" i="45"/>
  <c r="U146" i="40" s="1"/>
  <c r="P437" i="45"/>
  <c r="Z609" i="46" s="1"/>
  <c r="N437" i="45"/>
  <c r="L437" i="45"/>
  <c r="P436" i="45"/>
  <c r="N436" i="45"/>
  <c r="L436" i="45"/>
  <c r="P435" i="45"/>
  <c r="N435" i="45"/>
  <c r="L435" i="45"/>
  <c r="F438" i="45"/>
  <c r="G438" i="45" s="1"/>
  <c r="D438" i="45"/>
  <c r="F437" i="45"/>
  <c r="D437" i="45"/>
  <c r="F436" i="45"/>
  <c r="D436" i="45"/>
  <c r="F435" i="45"/>
  <c r="D435" i="45"/>
  <c r="E441" i="45"/>
  <c r="AL432" i="45"/>
  <c r="AM432" i="45" s="1"/>
  <c r="AJ432" i="45"/>
  <c r="AH432" i="45"/>
  <c r="AF432" i="45"/>
  <c r="AD432" i="45"/>
  <c r="AE438" i="45" s="1"/>
  <c r="AB432" i="45"/>
  <c r="AL431" i="45"/>
  <c r="AJ431" i="45"/>
  <c r="AH431" i="45"/>
  <c r="AF431" i="45"/>
  <c r="AD431" i="45"/>
  <c r="AB431" i="45"/>
  <c r="AL430" i="45"/>
  <c r="AJ430" i="45"/>
  <c r="AH430" i="45"/>
  <c r="AI430" i="45" s="1"/>
  <c r="AF430" i="45"/>
  <c r="AG436" i="45" s="1"/>
  <c r="AD430" i="45"/>
  <c r="AB430" i="45"/>
  <c r="AL429" i="45"/>
  <c r="AJ429" i="45"/>
  <c r="AH429" i="45"/>
  <c r="AF429" i="45"/>
  <c r="AD429" i="45"/>
  <c r="AE429" i="45" s="1"/>
  <c r="AB429" i="45"/>
  <c r="V432" i="45"/>
  <c r="T432" i="45"/>
  <c r="V431" i="45"/>
  <c r="T431" i="45"/>
  <c r="V430" i="45"/>
  <c r="T430" i="45"/>
  <c r="U430" i="45" s="1"/>
  <c r="V429" i="45"/>
  <c r="W429" i="45" s="1"/>
  <c r="T429" i="45"/>
  <c r="P432" i="45"/>
  <c r="N432" i="45"/>
  <c r="L432" i="45"/>
  <c r="P431" i="45"/>
  <c r="N431" i="45"/>
  <c r="Z537" i="46" s="1"/>
  <c r="L431" i="45"/>
  <c r="P430" i="45"/>
  <c r="N430" i="45"/>
  <c r="L430" i="45"/>
  <c r="P429" i="45"/>
  <c r="N429" i="45"/>
  <c r="L429" i="45"/>
  <c r="F432" i="45"/>
  <c r="D432" i="45"/>
  <c r="F431" i="45"/>
  <c r="D431" i="45"/>
  <c r="F430" i="45"/>
  <c r="D430" i="45"/>
  <c r="F429" i="45"/>
  <c r="D429" i="45"/>
  <c r="AN426" i="45"/>
  <c r="AL426" i="45"/>
  <c r="AM426" i="45" s="1"/>
  <c r="AJ426" i="45"/>
  <c r="AH426" i="45"/>
  <c r="AF426" i="45"/>
  <c r="AD426" i="45"/>
  <c r="AE432" i="45"/>
  <c r="AB426" i="45"/>
  <c r="AN425" i="45"/>
  <c r="AL425" i="45"/>
  <c r="AM425" i="45" s="1"/>
  <c r="AJ425" i="45"/>
  <c r="AK425" i="45" s="1"/>
  <c r="AH425" i="45"/>
  <c r="AF425" i="45"/>
  <c r="AG431" i="45" s="1"/>
  <c r="AD425" i="45"/>
  <c r="AB425" i="45"/>
  <c r="AC431" i="45" s="1"/>
  <c r="AN424" i="45"/>
  <c r="AL424" i="45"/>
  <c r="AJ424" i="45"/>
  <c r="AK424" i="45" s="1"/>
  <c r="AH424" i="45"/>
  <c r="AF424" i="45"/>
  <c r="AD424" i="45"/>
  <c r="AB424" i="45"/>
  <c r="AN423" i="45"/>
  <c r="AL423" i="45"/>
  <c r="AJ423" i="45"/>
  <c r="AH423" i="45"/>
  <c r="AF423" i="45"/>
  <c r="AD423" i="45"/>
  <c r="AB423" i="45"/>
  <c r="V426" i="45"/>
  <c r="T426" i="45"/>
  <c r="S269" i="40" s="1"/>
  <c r="V425" i="45"/>
  <c r="W431" i="45" s="1"/>
  <c r="T425" i="45"/>
  <c r="Z751" i="46" s="1"/>
  <c r="V424" i="45"/>
  <c r="T424" i="45"/>
  <c r="V423" i="45"/>
  <c r="T423" i="45"/>
  <c r="P426" i="45"/>
  <c r="N426" i="45"/>
  <c r="S222" i="40" s="1"/>
  <c r="L426" i="45"/>
  <c r="S146" i="40" s="1"/>
  <c r="P425" i="45"/>
  <c r="N425" i="45"/>
  <c r="L425" i="45"/>
  <c r="P424" i="45"/>
  <c r="N424" i="45"/>
  <c r="L424" i="45"/>
  <c r="M430" i="45" s="1"/>
  <c r="P423" i="45"/>
  <c r="Q429" i="45"/>
  <c r="N423" i="45"/>
  <c r="L423" i="45"/>
  <c r="F426" i="45"/>
  <c r="G426" i="45" s="1"/>
  <c r="D426" i="45"/>
  <c r="F425" i="45"/>
  <c r="D425" i="45"/>
  <c r="F424" i="45"/>
  <c r="D424" i="45"/>
  <c r="F423" i="45"/>
  <c r="D423" i="45"/>
  <c r="A426" i="45"/>
  <c r="AN420" i="45"/>
  <c r="AL420" i="45"/>
  <c r="AJ420" i="45"/>
  <c r="AH420" i="45"/>
  <c r="AF420" i="45"/>
  <c r="AD420" i="45"/>
  <c r="AB420" i="45"/>
  <c r="AN419" i="45"/>
  <c r="AL419" i="45"/>
  <c r="AJ419" i="45"/>
  <c r="AH419" i="45"/>
  <c r="AF419" i="45"/>
  <c r="AD419" i="45"/>
  <c r="AB419" i="45"/>
  <c r="AC425" i="45"/>
  <c r="AN418" i="45"/>
  <c r="AL418" i="45"/>
  <c r="AJ418" i="45"/>
  <c r="AH418" i="45"/>
  <c r="AF418" i="45"/>
  <c r="AD418" i="45"/>
  <c r="AB418" i="45"/>
  <c r="AN417" i="45"/>
  <c r="AO417" i="45" s="1"/>
  <c r="AL417" i="45"/>
  <c r="AJ417" i="45"/>
  <c r="AH417" i="45"/>
  <c r="AF417" i="45"/>
  <c r="AD417" i="45"/>
  <c r="AB417" i="45"/>
  <c r="V420" i="45"/>
  <c r="W420" i="45"/>
  <c r="T420" i="45"/>
  <c r="V419" i="45"/>
  <c r="T419" i="45"/>
  <c r="V418" i="45"/>
  <c r="T418" i="45"/>
  <c r="V417" i="45"/>
  <c r="T417" i="45"/>
  <c r="U423" i="45" s="1"/>
  <c r="P420" i="45"/>
  <c r="N420" i="45"/>
  <c r="L420" i="45"/>
  <c r="P419" i="45"/>
  <c r="N419" i="45"/>
  <c r="O425" i="45" s="1"/>
  <c r="L419" i="45"/>
  <c r="Z225" i="46" s="1"/>
  <c r="P418" i="45"/>
  <c r="N418" i="45"/>
  <c r="L418" i="45"/>
  <c r="P417" i="45"/>
  <c r="N417" i="45"/>
  <c r="L417" i="45"/>
  <c r="F420" i="45"/>
  <c r="D420" i="45"/>
  <c r="J420" i="45" s="1"/>
  <c r="F419" i="45"/>
  <c r="D419" i="45"/>
  <c r="F418" i="45"/>
  <c r="D418" i="45"/>
  <c r="F417" i="45"/>
  <c r="D417" i="45"/>
  <c r="AN414" i="45"/>
  <c r="AL414" i="45"/>
  <c r="AJ414" i="45"/>
  <c r="AK420" i="45"/>
  <c r="AH414" i="45"/>
  <c r="AN413" i="45"/>
  <c r="AO413" i="45" s="1"/>
  <c r="AL413" i="45"/>
  <c r="AJ413" i="45"/>
  <c r="AH413" i="45"/>
  <c r="AN412" i="45"/>
  <c r="AL412" i="45"/>
  <c r="AJ412" i="45"/>
  <c r="AK418" i="45"/>
  <c r="AH412" i="45"/>
  <c r="AN411" i="45"/>
  <c r="AL411" i="45"/>
  <c r="AJ411" i="45"/>
  <c r="AH411" i="45"/>
  <c r="AF414" i="45"/>
  <c r="AD414" i="45"/>
  <c r="AB414" i="45"/>
  <c r="AF413" i="45"/>
  <c r="AQ413" i="45" s="1"/>
  <c r="AD413" i="45"/>
  <c r="AB413" i="45"/>
  <c r="AF412" i="45"/>
  <c r="AD412" i="45"/>
  <c r="AB412" i="45"/>
  <c r="AF411" i="45"/>
  <c r="AD411" i="45"/>
  <c r="AB411" i="45"/>
  <c r="V414" i="45"/>
  <c r="T414" i="45"/>
  <c r="Q269" i="40" s="1"/>
  <c r="V413" i="45"/>
  <c r="T413" i="45"/>
  <c r="U419" i="45"/>
  <c r="V412" i="45"/>
  <c r="T412" i="45"/>
  <c r="V411" i="45"/>
  <c r="T411" i="45"/>
  <c r="P414" i="45"/>
  <c r="N414" i="45"/>
  <c r="L414" i="45"/>
  <c r="P413" i="45"/>
  <c r="N413" i="45"/>
  <c r="L413" i="45"/>
  <c r="P412" i="45"/>
  <c r="N412" i="45"/>
  <c r="L412" i="45"/>
  <c r="Z217" i="46" s="1"/>
  <c r="P411" i="45"/>
  <c r="N411" i="45"/>
  <c r="O417" i="45"/>
  <c r="L411" i="45"/>
  <c r="M417" i="45"/>
  <c r="F414" i="45"/>
  <c r="D414" i="45"/>
  <c r="F413" i="45"/>
  <c r="D413" i="45"/>
  <c r="F412" i="45"/>
  <c r="D412" i="45"/>
  <c r="E412" i="45" s="1"/>
  <c r="F411" i="45"/>
  <c r="D411" i="45"/>
  <c r="AN408" i="45"/>
  <c r="AL408" i="45"/>
  <c r="AJ408" i="45"/>
  <c r="AK414" i="45" s="1"/>
  <c r="AH408" i="45"/>
  <c r="AN407" i="45"/>
  <c r="AL407" i="45"/>
  <c r="AJ407" i="45"/>
  <c r="AH407" i="45"/>
  <c r="AN406" i="45"/>
  <c r="AL406" i="45"/>
  <c r="AJ406" i="45"/>
  <c r="AH406" i="45"/>
  <c r="AN405" i="45"/>
  <c r="AL405" i="45"/>
  <c r="AJ405" i="45"/>
  <c r="AH405" i="45"/>
  <c r="AI411" i="45" s="1"/>
  <c r="AF408" i="45"/>
  <c r="AD408" i="45"/>
  <c r="AB408" i="45"/>
  <c r="AF407" i="45"/>
  <c r="AD407" i="45"/>
  <c r="AB407" i="45"/>
  <c r="AF406" i="45"/>
  <c r="AD406" i="45"/>
  <c r="AB406" i="45"/>
  <c r="AF405" i="45"/>
  <c r="AD405" i="45"/>
  <c r="AB405" i="45"/>
  <c r="V408" i="45"/>
  <c r="T408" i="45"/>
  <c r="V407" i="45"/>
  <c r="T407" i="45"/>
  <c r="V406" i="45"/>
  <c r="T406" i="45"/>
  <c r="V405" i="45"/>
  <c r="T405" i="45"/>
  <c r="P408" i="45"/>
  <c r="Z575" i="46" s="1"/>
  <c r="N408" i="45"/>
  <c r="L408" i="45"/>
  <c r="P146" i="40" s="1"/>
  <c r="P407" i="45"/>
  <c r="N407" i="45"/>
  <c r="L407" i="45"/>
  <c r="P406" i="45"/>
  <c r="N406" i="45"/>
  <c r="L406" i="45"/>
  <c r="P405" i="45"/>
  <c r="N405" i="45"/>
  <c r="L405" i="45"/>
  <c r="F408" i="45"/>
  <c r="D408" i="45"/>
  <c r="J408" i="45" s="1"/>
  <c r="F407" i="45"/>
  <c r="D407" i="45"/>
  <c r="F406" i="45"/>
  <c r="D406" i="45"/>
  <c r="F405" i="45"/>
  <c r="D405" i="45"/>
  <c r="AN402" i="45"/>
  <c r="AL402" i="45"/>
  <c r="AJ402" i="45"/>
  <c r="AH402" i="45"/>
  <c r="AI408" i="45" s="1"/>
  <c r="AN401" i="45"/>
  <c r="AL401" i="45"/>
  <c r="AJ401" i="45"/>
  <c r="AH401" i="45"/>
  <c r="AF402" i="45"/>
  <c r="AD402" i="45"/>
  <c r="AB402" i="45"/>
  <c r="AC402" i="45"/>
  <c r="AF401" i="45"/>
  <c r="AD401" i="45"/>
  <c r="AB401" i="45"/>
  <c r="V402" i="45"/>
  <c r="T402" i="45"/>
  <c r="V401" i="45"/>
  <c r="T401" i="45"/>
  <c r="U407" i="45"/>
  <c r="P402" i="45"/>
  <c r="N402" i="45"/>
  <c r="L402" i="45"/>
  <c r="P401" i="45"/>
  <c r="N401" i="45"/>
  <c r="L401" i="45"/>
  <c r="F402" i="45"/>
  <c r="D402" i="45"/>
  <c r="F401" i="45"/>
  <c r="D401" i="45"/>
  <c r="AN400" i="45"/>
  <c r="AO406" i="45"/>
  <c r="AN399" i="45"/>
  <c r="AL400" i="45"/>
  <c r="AM406" i="45" s="1"/>
  <c r="AL399" i="45"/>
  <c r="AJ400" i="45"/>
  <c r="AJ399" i="45"/>
  <c r="AH400" i="45"/>
  <c r="AH399" i="45"/>
  <c r="AF400" i="45"/>
  <c r="AF399" i="45"/>
  <c r="AD400" i="45"/>
  <c r="AD399" i="45"/>
  <c r="AB400" i="45"/>
  <c r="AC406" i="45" s="1"/>
  <c r="AB399" i="45"/>
  <c r="V400" i="45"/>
  <c r="W406" i="45" s="1"/>
  <c r="V399" i="45"/>
  <c r="T400" i="45"/>
  <c r="T399" i="45"/>
  <c r="P400" i="45"/>
  <c r="P399" i="45"/>
  <c r="Z565" i="46" s="1"/>
  <c r="N400" i="45"/>
  <c r="Z501" i="46" s="1"/>
  <c r="N399" i="45"/>
  <c r="L400" i="45"/>
  <c r="L399" i="45"/>
  <c r="F400" i="45"/>
  <c r="F399" i="45"/>
  <c r="J399" i="45"/>
  <c r="D400" i="45"/>
  <c r="D399" i="45"/>
  <c r="AN396" i="45"/>
  <c r="AL396" i="45"/>
  <c r="AJ396" i="45"/>
  <c r="AH396" i="45"/>
  <c r="AN395" i="45"/>
  <c r="AL395" i="45"/>
  <c r="AJ395" i="45"/>
  <c r="AK395" i="45" s="1"/>
  <c r="AH395" i="45"/>
  <c r="AF396" i="45"/>
  <c r="AD396" i="45"/>
  <c r="AB396" i="45"/>
  <c r="AF395" i="45"/>
  <c r="AD395" i="45"/>
  <c r="AB395" i="45"/>
  <c r="V396" i="45"/>
  <c r="T396" i="45"/>
  <c r="V395" i="45"/>
  <c r="T395" i="45"/>
  <c r="P396" i="45"/>
  <c r="N396" i="45"/>
  <c r="O402" i="45"/>
  <c r="L396" i="45"/>
  <c r="P395" i="45"/>
  <c r="N395" i="45"/>
  <c r="L395" i="45"/>
  <c r="F396" i="45"/>
  <c r="D396" i="45"/>
  <c r="F395" i="45"/>
  <c r="D395" i="45"/>
  <c r="AQ394" i="45"/>
  <c r="AQ393" i="45"/>
  <c r="AN390" i="45"/>
  <c r="AL390" i="45"/>
  <c r="AJ390" i="45"/>
  <c r="AH390" i="45"/>
  <c r="AF390" i="45"/>
  <c r="AD390" i="45"/>
  <c r="AB390" i="45"/>
  <c r="V390" i="45"/>
  <c r="T390" i="45"/>
  <c r="P390" i="45"/>
  <c r="N390" i="45"/>
  <c r="L390" i="45"/>
  <c r="M146" i="40" s="1"/>
  <c r="F390" i="45"/>
  <c r="D390" i="45"/>
  <c r="E396" i="45"/>
  <c r="AN389" i="45"/>
  <c r="AL389" i="45"/>
  <c r="AJ389" i="45"/>
  <c r="AH389" i="45"/>
  <c r="AF389" i="45"/>
  <c r="AD389" i="45"/>
  <c r="AE395" i="45"/>
  <c r="AB389" i="45"/>
  <c r="V389" i="45"/>
  <c r="T389" i="45"/>
  <c r="P389" i="45"/>
  <c r="N389" i="45"/>
  <c r="O395" i="45"/>
  <c r="L389" i="45"/>
  <c r="F389" i="45"/>
  <c r="D389" i="45"/>
  <c r="AQ388" i="45"/>
  <c r="AQ387" i="45"/>
  <c r="Z26" i="12" s="1"/>
  <c r="AN384" i="45"/>
  <c r="AL384" i="45"/>
  <c r="AJ384" i="45"/>
  <c r="AK390" i="45" s="1"/>
  <c r="AH384" i="45"/>
  <c r="AI384" i="45" s="1"/>
  <c r="AF384" i="45"/>
  <c r="AD384" i="45"/>
  <c r="AB384" i="45"/>
  <c r="V384" i="45"/>
  <c r="T384" i="45"/>
  <c r="L269" i="40" s="1"/>
  <c r="P384" i="45"/>
  <c r="N384" i="45"/>
  <c r="O390" i="45" s="1"/>
  <c r="L384" i="45"/>
  <c r="L146" i="40"/>
  <c r="F384" i="45"/>
  <c r="AQ383" i="45"/>
  <c r="AQ382" i="45"/>
  <c r="AQ381" i="45"/>
  <c r="Z19" i="12" s="1"/>
  <c r="AB11" i="9" s="1"/>
  <c r="AQ377" i="45"/>
  <c r="AR383" i="45"/>
  <c r="AQ376" i="45"/>
  <c r="AQ375" i="45"/>
  <c r="Z12" i="12" s="1"/>
  <c r="AB12" i="12" s="1"/>
  <c r="AN378" i="45"/>
  <c r="AL378" i="45"/>
  <c r="AJ378" i="45"/>
  <c r="AH378" i="45"/>
  <c r="AF378" i="45"/>
  <c r="AD378" i="45"/>
  <c r="AE384" i="45" s="1"/>
  <c r="AB378" i="45"/>
  <c r="V378" i="45"/>
  <c r="T378" i="45"/>
  <c r="P378" i="45"/>
  <c r="N378" i="45"/>
  <c r="L378" i="45"/>
  <c r="F378" i="45"/>
  <c r="BM352" i="45"/>
  <c r="DJ352" i="45" s="1"/>
  <c r="BL352" i="45"/>
  <c r="BK352" i="45"/>
  <c r="BI352" i="45"/>
  <c r="BH352" i="45"/>
  <c r="BG352" i="45"/>
  <c r="BE352" i="45"/>
  <c r="BD352" i="45"/>
  <c r="DI352" i="45"/>
  <c r="V533" i="45"/>
  <c r="AR350" i="45"/>
  <c r="AR349" i="45"/>
  <c r="X350" i="45"/>
  <c r="W350" i="45"/>
  <c r="X349" i="45"/>
  <c r="Z471" i="46" s="1"/>
  <c r="W349" i="45"/>
  <c r="L350" i="45"/>
  <c r="J350" i="45"/>
  <c r="J532" i="45" s="1"/>
  <c r="I350" i="45"/>
  <c r="L349" i="45"/>
  <c r="L531" i="45"/>
  <c r="Z356" i="46" s="1"/>
  <c r="J349" i="45"/>
  <c r="I349" i="45"/>
  <c r="B348" i="45"/>
  <c r="B530" i="45"/>
  <c r="BM346" i="45"/>
  <c r="BL346" i="45"/>
  <c r="BK346" i="45"/>
  <c r="BI346" i="45"/>
  <c r="BH346" i="45"/>
  <c r="BG346" i="45"/>
  <c r="BE346" i="45"/>
  <c r="BD346" i="45"/>
  <c r="AR346" i="45"/>
  <c r="AR344" i="45"/>
  <c r="AR343" i="45"/>
  <c r="W346" i="45"/>
  <c r="W345" i="45"/>
  <c r="W344" i="45"/>
  <c r="W343" i="45"/>
  <c r="I346" i="45"/>
  <c r="I345" i="45"/>
  <c r="I344" i="45"/>
  <c r="I343" i="45"/>
  <c r="L345" i="45"/>
  <c r="L344" i="45"/>
  <c r="L526" i="45" s="1"/>
  <c r="L343" i="45"/>
  <c r="J345" i="45"/>
  <c r="J527" i="45" s="1"/>
  <c r="Z168" i="46" s="1"/>
  <c r="J344" i="45"/>
  <c r="K350" i="45" s="1"/>
  <c r="J343" i="45"/>
  <c r="J525" i="45" s="1"/>
  <c r="B342" i="45"/>
  <c r="B524" i="45" s="1"/>
  <c r="BL340" i="45"/>
  <c r="L367" i="45" s="1"/>
  <c r="BI340" i="45"/>
  <c r="DK340" i="45"/>
  <c r="BE340" i="45"/>
  <c r="BD340" i="45"/>
  <c r="AR340" i="45"/>
  <c r="AR337" i="45"/>
  <c r="W340" i="45"/>
  <c r="W339" i="45"/>
  <c r="W338" i="45"/>
  <c r="W337" i="45"/>
  <c r="X337" i="45"/>
  <c r="Z457" i="46" s="1"/>
  <c r="L340" i="45"/>
  <c r="L522" i="45"/>
  <c r="J340" i="45"/>
  <c r="AI81" i="40" s="1"/>
  <c r="I340" i="45"/>
  <c r="L339" i="45"/>
  <c r="J339" i="45"/>
  <c r="J521" i="45"/>
  <c r="Z161" i="46" s="1"/>
  <c r="I339" i="45"/>
  <c r="L338" i="45"/>
  <c r="J338" i="45"/>
  <c r="J520" i="45"/>
  <c r="I338" i="45"/>
  <c r="L337" i="45"/>
  <c r="L519" i="45"/>
  <c r="M519" i="45"/>
  <c r="J337" i="45"/>
  <c r="I337" i="45"/>
  <c r="B336" i="45"/>
  <c r="B518" i="45"/>
  <c r="BO334" i="45"/>
  <c r="BM334" i="45"/>
  <c r="BL334" i="45"/>
  <c r="BK334" i="45"/>
  <c r="BI334" i="45"/>
  <c r="DJ334" i="45" s="1"/>
  <c r="BH334" i="45"/>
  <c r="BG334" i="45"/>
  <c r="BE334" i="45"/>
  <c r="BD334" i="45"/>
  <c r="AR334" i="45"/>
  <c r="AR333" i="45"/>
  <c r="AR331" i="45"/>
  <c r="W334" i="45"/>
  <c r="W333" i="45"/>
  <c r="W332" i="45"/>
  <c r="W331" i="45"/>
  <c r="L334" i="45"/>
  <c r="J334" i="45"/>
  <c r="J516" i="45" s="1"/>
  <c r="I334" i="45"/>
  <c r="L333" i="45"/>
  <c r="J333" i="45"/>
  <c r="I333" i="45"/>
  <c r="L332" i="45"/>
  <c r="L514" i="45" s="1"/>
  <c r="Z336" i="46" s="1"/>
  <c r="J332" i="45"/>
  <c r="I332" i="45"/>
  <c r="L331" i="45"/>
  <c r="L513" i="45"/>
  <c r="J331" i="45"/>
  <c r="J513" i="45" s="1"/>
  <c r="I331" i="45"/>
  <c r="DJ328" i="45"/>
  <c r="BL328" i="45"/>
  <c r="BK328" i="45"/>
  <c r="BH328" i="45"/>
  <c r="BG328" i="45"/>
  <c r="DK328" i="45"/>
  <c r="BD328" i="45"/>
  <c r="AR328" i="45"/>
  <c r="AR327" i="45"/>
  <c r="AR326" i="45"/>
  <c r="AR325" i="45"/>
  <c r="W328" i="45"/>
  <c r="W327" i="45"/>
  <c r="W326" i="45"/>
  <c r="W325" i="45"/>
  <c r="L328" i="45"/>
  <c r="J328" i="45"/>
  <c r="I328" i="45"/>
  <c r="L327" i="45"/>
  <c r="J327" i="45"/>
  <c r="I327" i="45"/>
  <c r="L326" i="45"/>
  <c r="M326" i="45" s="1"/>
  <c r="J326" i="45"/>
  <c r="I326" i="45"/>
  <c r="L325" i="45"/>
  <c r="L507" i="45" s="1"/>
  <c r="M513" i="45" s="1"/>
  <c r="J325" i="45"/>
  <c r="J507" i="45"/>
  <c r="I325" i="45"/>
  <c r="DJ322" i="45"/>
  <c r="BL322" i="45"/>
  <c r="BK322" i="45"/>
  <c r="BH322" i="45"/>
  <c r="BG322" i="45"/>
  <c r="BD322" i="45"/>
  <c r="AR322" i="45"/>
  <c r="AR321" i="45"/>
  <c r="AR320" i="45"/>
  <c r="W322" i="45"/>
  <c r="W321" i="45"/>
  <c r="W320" i="45"/>
  <c r="W319" i="45"/>
  <c r="L322" i="45"/>
  <c r="J322" i="45"/>
  <c r="I322" i="45"/>
  <c r="L321" i="45"/>
  <c r="L503" i="45" s="1"/>
  <c r="J321" i="45"/>
  <c r="I321" i="45"/>
  <c r="L320" i="45"/>
  <c r="L502" i="45"/>
  <c r="J320" i="45"/>
  <c r="J502" i="45" s="1"/>
  <c r="I320" i="45"/>
  <c r="L319" i="45"/>
  <c r="L501" i="45" s="1"/>
  <c r="J319" i="45"/>
  <c r="J501" i="45"/>
  <c r="I319" i="45"/>
  <c r="BM316" i="45"/>
  <c r="BL316" i="45"/>
  <c r="DI316" i="45" s="1"/>
  <c r="BK316" i="45"/>
  <c r="DH316" i="45" s="1"/>
  <c r="BI316" i="45"/>
  <c r="DJ316" i="45" s="1"/>
  <c r="BH316" i="45"/>
  <c r="BG316" i="45"/>
  <c r="W316" i="45"/>
  <c r="W315" i="45"/>
  <c r="W314" i="45"/>
  <c r="W313" i="45"/>
  <c r="L316" i="45"/>
  <c r="J316" i="45"/>
  <c r="I316" i="45"/>
  <c r="L315" i="45"/>
  <c r="L497" i="45" s="1"/>
  <c r="J315" i="45"/>
  <c r="J497" i="45"/>
  <c r="L314" i="45"/>
  <c r="M320" i="45" s="1"/>
  <c r="K314" i="45"/>
  <c r="L313" i="45"/>
  <c r="L495" i="45" s="1"/>
  <c r="K313" i="45"/>
  <c r="DK310" i="45"/>
  <c r="DJ310" i="45"/>
  <c r="DI310" i="45"/>
  <c r="DH310" i="45"/>
  <c r="W310" i="45"/>
  <c r="W309" i="45"/>
  <c r="W308" i="45"/>
  <c r="W307" i="45"/>
  <c r="I310" i="45"/>
  <c r="L310" i="45"/>
  <c r="AD129" i="40" s="1"/>
  <c r="K310" i="45"/>
  <c r="L309" i="45"/>
  <c r="L491" i="45" s="1"/>
  <c r="M491" i="45" s="1"/>
  <c r="K309" i="45"/>
  <c r="K308" i="45"/>
  <c r="K307" i="45"/>
  <c r="AQ308" i="45"/>
  <c r="AH138" i="9"/>
  <c r="AQ307" i="45"/>
  <c r="M308" i="45"/>
  <c r="M307" i="45"/>
  <c r="DK304" i="45"/>
  <c r="DJ304" i="45"/>
  <c r="DI304" i="45"/>
  <c r="DH304" i="45"/>
  <c r="Z304" i="45"/>
  <c r="W304" i="45"/>
  <c r="W303" i="45"/>
  <c r="W302" i="45"/>
  <c r="W301" i="45"/>
  <c r="K304" i="45"/>
  <c r="K303" i="45"/>
  <c r="K302" i="45"/>
  <c r="K301" i="45"/>
  <c r="I304" i="45"/>
  <c r="AA301" i="45"/>
  <c r="Z302" i="45"/>
  <c r="Z484" i="45" s="1"/>
  <c r="M304" i="45"/>
  <c r="M303" i="45"/>
  <c r="T302" i="45"/>
  <c r="U302" i="45" s="1"/>
  <c r="R302" i="45"/>
  <c r="AA302" i="45" s="1"/>
  <c r="P302" i="45"/>
  <c r="N302" i="45"/>
  <c r="M302" i="45"/>
  <c r="AQ304" i="45"/>
  <c r="AQ303" i="45"/>
  <c r="AH132" i="9"/>
  <c r="AJ132" i="9" s="1"/>
  <c r="AQ302" i="45"/>
  <c r="AQ301" i="45"/>
  <c r="AH130" i="9" s="1"/>
  <c r="U301" i="45"/>
  <c r="S301" i="45"/>
  <c r="Q301" i="45"/>
  <c r="O301" i="45"/>
  <c r="M301" i="45"/>
  <c r="DK298" i="45"/>
  <c r="DJ298" i="45"/>
  <c r="DI298" i="45"/>
  <c r="DH298" i="45"/>
  <c r="W298" i="45"/>
  <c r="W297" i="45"/>
  <c r="W296" i="45"/>
  <c r="U298" i="45"/>
  <c r="U297" i="45"/>
  <c r="U296" i="45"/>
  <c r="U295" i="45"/>
  <c r="S298" i="45"/>
  <c r="S297" i="45"/>
  <c r="S296" i="45"/>
  <c r="S295" i="45"/>
  <c r="Q298" i="45"/>
  <c r="Q297" i="45"/>
  <c r="Q296" i="45"/>
  <c r="Q295" i="45"/>
  <c r="O298" i="45"/>
  <c r="O297" i="45"/>
  <c r="O296" i="45"/>
  <c r="O295" i="45"/>
  <c r="M298" i="45"/>
  <c r="M296" i="45"/>
  <c r="M295" i="45"/>
  <c r="K298" i="45"/>
  <c r="K297" i="45"/>
  <c r="K296" i="45"/>
  <c r="K295" i="45"/>
  <c r="AQ298" i="45"/>
  <c r="AB30" i="40" s="1"/>
  <c r="AB46" i="40" s="1"/>
  <c r="DI69" i="28" s="1"/>
  <c r="DI80" i="28" s="1"/>
  <c r="AQ297" i="45"/>
  <c r="AH125" i="9" s="1"/>
  <c r="AJ125" i="9" s="1"/>
  <c r="AQ296" i="45"/>
  <c r="AH124" i="9" s="1"/>
  <c r="AQ295" i="45"/>
  <c r="DK292" i="45"/>
  <c r="DJ292" i="45"/>
  <c r="DI292" i="45"/>
  <c r="DH292" i="45"/>
  <c r="W292" i="45"/>
  <c r="W291" i="45"/>
  <c r="W290" i="45"/>
  <c r="U292" i="45"/>
  <c r="U291" i="45"/>
  <c r="U290" i="45"/>
  <c r="U289" i="45"/>
  <c r="S292" i="45"/>
  <c r="S291" i="45"/>
  <c r="S290" i="45"/>
  <c r="S289" i="45"/>
  <c r="Q292" i="45"/>
  <c r="Q291" i="45"/>
  <c r="Q290" i="45"/>
  <c r="Q289" i="45"/>
  <c r="O292" i="45"/>
  <c r="O291" i="45"/>
  <c r="O290" i="45"/>
  <c r="O289" i="45"/>
  <c r="M292" i="45"/>
  <c r="M290" i="45"/>
  <c r="M289" i="45"/>
  <c r="K292" i="45"/>
  <c r="K291" i="45"/>
  <c r="K290" i="45"/>
  <c r="K289" i="45"/>
  <c r="L291" i="45"/>
  <c r="L473" i="45" s="1"/>
  <c r="M473" i="45" s="1"/>
  <c r="AQ292" i="45"/>
  <c r="AA30" i="40" s="1"/>
  <c r="AQ290" i="45"/>
  <c r="AH117" i="9" s="1"/>
  <c r="V289" i="45"/>
  <c r="DK286" i="45"/>
  <c r="DJ286" i="45"/>
  <c r="DI286" i="45"/>
  <c r="DH286" i="45"/>
  <c r="W285" i="45"/>
  <c r="W284" i="45"/>
  <c r="W283" i="45"/>
  <c r="U286" i="45"/>
  <c r="U285" i="45"/>
  <c r="U284" i="45"/>
  <c r="U283" i="45"/>
  <c r="S286" i="45"/>
  <c r="S285" i="45"/>
  <c r="S284" i="45"/>
  <c r="S283" i="45"/>
  <c r="Q286" i="45"/>
  <c r="Q285" i="45"/>
  <c r="Q284" i="45"/>
  <c r="Q283" i="45"/>
  <c r="O286" i="45"/>
  <c r="O285" i="45"/>
  <c r="O284" i="45"/>
  <c r="O283" i="45"/>
  <c r="M286" i="45"/>
  <c r="M285" i="45"/>
  <c r="M284" i="45"/>
  <c r="M283" i="45"/>
  <c r="K286" i="45"/>
  <c r="K285" i="45"/>
  <c r="K284" i="45"/>
  <c r="K283" i="45"/>
  <c r="AQ286" i="45"/>
  <c r="Z30" i="40" s="1"/>
  <c r="Z46" i="40" s="1"/>
  <c r="DG69" i="28" s="1"/>
  <c r="DG80" i="28" s="1"/>
  <c r="AQ285" i="45"/>
  <c r="AH111" i="9"/>
  <c r="AR111" i="9" s="1"/>
  <c r="AQ284" i="45"/>
  <c r="AH110" i="9" s="1"/>
  <c r="AQ283" i="45"/>
  <c r="AH109" i="9" s="1"/>
  <c r="AR109" i="9" s="1"/>
  <c r="DK280" i="45"/>
  <c r="DJ280" i="45"/>
  <c r="DI280" i="45"/>
  <c r="CD280" i="45"/>
  <c r="DH280" i="45" s="1"/>
  <c r="U280" i="45"/>
  <c r="S280" i="45"/>
  <c r="S279" i="45"/>
  <c r="S278" i="45"/>
  <c r="Q280" i="45"/>
  <c r="Q279" i="45"/>
  <c r="Q278" i="45"/>
  <c r="Q277" i="45"/>
  <c r="O280" i="45"/>
  <c r="O279" i="45"/>
  <c r="O278" i="45"/>
  <c r="O277" i="45"/>
  <c r="M280" i="45"/>
  <c r="M279" i="45"/>
  <c r="M278" i="45"/>
  <c r="M277" i="45"/>
  <c r="K280" i="45"/>
  <c r="K279" i="45"/>
  <c r="K278" i="45"/>
  <c r="K277" i="45"/>
  <c r="W279" i="45"/>
  <c r="W278" i="45"/>
  <c r="W277" i="45"/>
  <c r="U279" i="45"/>
  <c r="U278" i="45"/>
  <c r="U277" i="45"/>
  <c r="AQ279" i="45"/>
  <c r="AR285" i="45" s="1"/>
  <c r="AQ278" i="45"/>
  <c r="AH103" i="9" s="1"/>
  <c r="AR103" i="9" s="1"/>
  <c r="AQ277" i="45"/>
  <c r="DK274" i="45"/>
  <c r="DJ274" i="45"/>
  <c r="CJ274" i="45"/>
  <c r="CD274" i="45"/>
  <c r="BZ274" i="45"/>
  <c r="BU274" i="45"/>
  <c r="BK274" i="45"/>
  <c r="DH274" i="45" s="1"/>
  <c r="BG274" i="45"/>
  <c r="AC274" i="45"/>
  <c r="AC273" i="45"/>
  <c r="AC272" i="45"/>
  <c r="AC271" i="45"/>
  <c r="V274" i="45"/>
  <c r="AQ274" i="45" s="1"/>
  <c r="U274" i="45"/>
  <c r="Q274" i="45"/>
  <c r="Q273" i="45"/>
  <c r="Q272" i="45"/>
  <c r="Q271" i="45"/>
  <c r="O274" i="45"/>
  <c r="O273" i="45"/>
  <c r="O272" i="45"/>
  <c r="O271" i="45"/>
  <c r="M274" i="45"/>
  <c r="M273" i="45"/>
  <c r="M272" i="45"/>
  <c r="M271" i="45"/>
  <c r="W273" i="45"/>
  <c r="W272" i="45"/>
  <c r="W271" i="45"/>
  <c r="U273" i="45"/>
  <c r="U272" i="45"/>
  <c r="U271" i="45"/>
  <c r="AQ273" i="45"/>
  <c r="AH97" i="9" s="1"/>
  <c r="AR97" i="9" s="1"/>
  <c r="AQ272" i="45"/>
  <c r="AH96" i="9"/>
  <c r="AQ271" i="45"/>
  <c r="AH95" i="9" s="1"/>
  <c r="AJ95" i="9" s="1"/>
  <c r="AE268" i="45"/>
  <c r="AE267" i="45"/>
  <c r="AE266" i="45"/>
  <c r="AE265" i="45"/>
  <c r="AC268" i="45"/>
  <c r="AC267" i="45"/>
  <c r="AC266" i="45"/>
  <c r="AC265" i="45"/>
  <c r="W268" i="45"/>
  <c r="W267" i="45"/>
  <c r="W266" i="45"/>
  <c r="W265" i="45"/>
  <c r="U268" i="45"/>
  <c r="U267" i="45"/>
  <c r="U266" i="45"/>
  <c r="U265" i="45"/>
  <c r="Q268" i="45"/>
  <c r="Q267" i="45"/>
  <c r="Q266" i="45"/>
  <c r="Q265" i="45"/>
  <c r="O268" i="45"/>
  <c r="O267" i="45"/>
  <c r="O266" i="45"/>
  <c r="O265" i="45"/>
  <c r="M268" i="45"/>
  <c r="M267" i="45"/>
  <c r="M266" i="45"/>
  <c r="M265" i="45"/>
  <c r="G268" i="45"/>
  <c r="G267" i="45"/>
  <c r="G266" i="45"/>
  <c r="G265" i="45"/>
  <c r="E268" i="45"/>
  <c r="E267" i="45"/>
  <c r="E266" i="45"/>
  <c r="E265" i="45"/>
  <c r="J268" i="45"/>
  <c r="J267" i="45"/>
  <c r="AQ267" i="45" s="1"/>
  <c r="AH90" i="9" s="1"/>
  <c r="J266" i="45"/>
  <c r="J265" i="45"/>
  <c r="K271" i="45"/>
  <c r="AE262" i="45"/>
  <c r="AE261" i="45"/>
  <c r="AE260" i="45"/>
  <c r="AE259" i="45"/>
  <c r="AC262" i="45"/>
  <c r="AC261" i="45"/>
  <c r="AC260" i="45"/>
  <c r="AC259" i="45"/>
  <c r="W262" i="45"/>
  <c r="W261" i="45"/>
  <c r="W260" i="45"/>
  <c r="W259" i="45"/>
  <c r="U262" i="45"/>
  <c r="U261" i="45"/>
  <c r="U260" i="45"/>
  <c r="U259" i="45"/>
  <c r="Q262" i="45"/>
  <c r="Q261" i="45"/>
  <c r="Q260" i="45"/>
  <c r="Q259" i="45"/>
  <c r="O262" i="45"/>
  <c r="O261" i="45"/>
  <c r="O260" i="45"/>
  <c r="O259" i="45"/>
  <c r="M262" i="45"/>
  <c r="M261" i="45"/>
  <c r="M260" i="45"/>
  <c r="M259" i="45"/>
  <c r="G262" i="45"/>
  <c r="G261" i="45"/>
  <c r="G260" i="45"/>
  <c r="G259" i="45"/>
  <c r="E262" i="45"/>
  <c r="E261" i="45"/>
  <c r="E260" i="45"/>
  <c r="E259" i="45"/>
  <c r="J262" i="45"/>
  <c r="AQ262" i="45" s="1"/>
  <c r="J261" i="45"/>
  <c r="J260" i="45"/>
  <c r="AQ260" i="45"/>
  <c r="AH82" i="9" s="1"/>
  <c r="AJ82" i="9" s="1"/>
  <c r="J259" i="45"/>
  <c r="K259" i="45" s="1"/>
  <c r="AI256" i="45"/>
  <c r="AI255" i="45"/>
  <c r="AI254" i="45"/>
  <c r="AI253" i="45"/>
  <c r="AG256" i="45"/>
  <c r="AG255" i="45"/>
  <c r="AG254" i="45"/>
  <c r="AG253" i="45"/>
  <c r="AE256" i="45"/>
  <c r="AE255" i="45"/>
  <c r="AE254" i="45"/>
  <c r="AE253" i="45"/>
  <c r="AC256" i="45"/>
  <c r="AC255" i="45"/>
  <c r="AC254" i="45"/>
  <c r="AC253" i="45"/>
  <c r="W256" i="45"/>
  <c r="W255" i="45"/>
  <c r="W254" i="45"/>
  <c r="W253" i="45"/>
  <c r="U256" i="45"/>
  <c r="U255" i="45"/>
  <c r="U254" i="45"/>
  <c r="U253" i="45"/>
  <c r="Q256" i="45"/>
  <c r="Q255" i="45"/>
  <c r="Q254" i="45"/>
  <c r="Q253" i="45"/>
  <c r="O256" i="45"/>
  <c r="O255" i="45"/>
  <c r="O254" i="45"/>
  <c r="O253" i="45"/>
  <c r="M256" i="45"/>
  <c r="M255" i="45"/>
  <c r="M254" i="45"/>
  <c r="M253" i="45"/>
  <c r="G256" i="45"/>
  <c r="G255" i="45"/>
  <c r="G254" i="45"/>
  <c r="G253" i="45"/>
  <c r="E256" i="45"/>
  <c r="E255" i="45"/>
  <c r="E254" i="45"/>
  <c r="E253" i="45"/>
  <c r="J256" i="45"/>
  <c r="J255" i="45"/>
  <c r="J254" i="45"/>
  <c r="J253" i="45"/>
  <c r="AG250" i="45"/>
  <c r="AG249" i="45"/>
  <c r="AG248" i="45"/>
  <c r="AG247" i="45"/>
  <c r="AE250" i="45"/>
  <c r="AE249" i="45"/>
  <c r="AE248" i="45"/>
  <c r="AE247" i="45"/>
  <c r="AC250" i="45"/>
  <c r="AC249" i="45"/>
  <c r="AC248" i="45"/>
  <c r="AC247" i="45"/>
  <c r="W250" i="45"/>
  <c r="W249" i="45"/>
  <c r="W248" i="45"/>
  <c r="W247" i="45"/>
  <c r="U250" i="45"/>
  <c r="U249" i="45"/>
  <c r="U248" i="45"/>
  <c r="U247" i="45"/>
  <c r="Q250" i="45"/>
  <c r="Q249" i="45"/>
  <c r="Q248" i="45"/>
  <c r="Q247" i="45"/>
  <c r="O250" i="45"/>
  <c r="O249" i="45"/>
  <c r="O248" i="45"/>
  <c r="O247" i="45"/>
  <c r="M250" i="45"/>
  <c r="M249" i="45"/>
  <c r="M248" i="45"/>
  <c r="M247" i="45"/>
  <c r="G250" i="45"/>
  <c r="G249" i="45"/>
  <c r="G248" i="45"/>
  <c r="G247" i="45"/>
  <c r="E250" i="45"/>
  <c r="E249" i="45"/>
  <c r="E248" i="45"/>
  <c r="E247" i="45"/>
  <c r="AM249" i="45"/>
  <c r="AM248" i="45"/>
  <c r="AM247" i="45"/>
  <c r="AK249" i="45"/>
  <c r="AK248" i="45"/>
  <c r="AK247" i="45"/>
  <c r="AI249" i="45"/>
  <c r="AI248" i="45"/>
  <c r="AI247" i="45"/>
  <c r="J250" i="45"/>
  <c r="J249" i="45"/>
  <c r="J248" i="45"/>
  <c r="AQ248" i="45"/>
  <c r="AH68" i="9" s="1"/>
  <c r="AJ68" i="9" s="1"/>
  <c r="J247" i="45"/>
  <c r="AO244" i="45"/>
  <c r="AO243" i="45"/>
  <c r="AO242" i="45"/>
  <c r="AO241" i="45"/>
  <c r="AM244" i="45"/>
  <c r="AM243" i="45"/>
  <c r="AM242" i="45"/>
  <c r="AM241" i="45"/>
  <c r="AK244" i="45"/>
  <c r="AK243" i="45"/>
  <c r="AK242" i="45"/>
  <c r="AK241" i="45"/>
  <c r="AI244" i="45"/>
  <c r="AI243" i="45"/>
  <c r="AI242" i="45"/>
  <c r="AI241" i="45"/>
  <c r="AG244" i="45"/>
  <c r="AG243" i="45"/>
  <c r="AG242" i="45"/>
  <c r="AG241" i="45"/>
  <c r="AE244" i="45"/>
  <c r="AE243" i="45"/>
  <c r="AE242" i="45"/>
  <c r="AE241" i="45"/>
  <c r="AC244" i="45"/>
  <c r="AC243" i="45"/>
  <c r="AC242" i="45"/>
  <c r="AC241" i="45"/>
  <c r="W244" i="45"/>
  <c r="W243" i="45"/>
  <c r="W242" i="45"/>
  <c r="W241" i="45"/>
  <c r="U244" i="45"/>
  <c r="U243" i="45"/>
  <c r="U242" i="45"/>
  <c r="U241" i="45"/>
  <c r="Q244" i="45"/>
  <c r="Q243" i="45"/>
  <c r="Q242" i="45"/>
  <c r="Q241" i="45"/>
  <c r="O244" i="45"/>
  <c r="O243" i="45"/>
  <c r="O242" i="45"/>
  <c r="O241" i="45"/>
  <c r="M244" i="45"/>
  <c r="M243" i="45"/>
  <c r="M242" i="45"/>
  <c r="M241" i="45"/>
  <c r="G244" i="45"/>
  <c r="G243" i="45"/>
  <c r="G242" i="45"/>
  <c r="G241" i="45"/>
  <c r="E244" i="45"/>
  <c r="E243" i="45"/>
  <c r="E242" i="45"/>
  <c r="E241" i="45"/>
  <c r="J244" i="45"/>
  <c r="J243" i="45"/>
  <c r="J242" i="45"/>
  <c r="J241" i="45"/>
  <c r="AO238" i="45"/>
  <c r="AO237" i="45"/>
  <c r="AO236" i="45"/>
  <c r="AO235" i="45"/>
  <c r="AM238" i="45"/>
  <c r="AM237" i="45"/>
  <c r="AM236" i="45"/>
  <c r="AM235" i="45"/>
  <c r="AK238" i="45"/>
  <c r="AK237" i="45"/>
  <c r="AK236" i="45"/>
  <c r="AK235" i="45"/>
  <c r="AI238" i="45"/>
  <c r="AI237" i="45"/>
  <c r="AI236" i="45"/>
  <c r="AI235" i="45"/>
  <c r="AG238" i="45"/>
  <c r="AG237" i="45"/>
  <c r="AG236" i="45"/>
  <c r="AE238" i="45"/>
  <c r="AE237" i="45"/>
  <c r="AE236" i="45"/>
  <c r="AE235" i="45"/>
  <c r="AC238" i="45"/>
  <c r="AC237" i="45"/>
  <c r="AC236" i="45"/>
  <c r="AC235" i="45"/>
  <c r="W238" i="45"/>
  <c r="W237" i="45"/>
  <c r="W236" i="45"/>
  <c r="W235" i="45"/>
  <c r="U238" i="45"/>
  <c r="U237" i="45"/>
  <c r="U236" i="45"/>
  <c r="U235" i="45"/>
  <c r="Q238" i="45"/>
  <c r="Q237" i="45"/>
  <c r="Q236" i="45"/>
  <c r="Q235" i="45"/>
  <c r="O238" i="45"/>
  <c r="O237" i="45"/>
  <c r="O236" i="45"/>
  <c r="O235" i="45"/>
  <c r="M238" i="45"/>
  <c r="M237" i="45"/>
  <c r="M236" i="45"/>
  <c r="M235" i="45"/>
  <c r="E238" i="45"/>
  <c r="E237" i="45"/>
  <c r="E236" i="45"/>
  <c r="E235" i="45"/>
  <c r="J238" i="45"/>
  <c r="AQ238" i="45"/>
  <c r="J237" i="45"/>
  <c r="J236" i="45"/>
  <c r="AQ236" i="45" s="1"/>
  <c r="AH54" i="9" s="1"/>
  <c r="J235" i="45"/>
  <c r="AO232" i="45"/>
  <c r="AO231" i="45"/>
  <c r="AO230" i="45"/>
  <c r="AO229" i="45"/>
  <c r="AM232" i="45"/>
  <c r="AM231" i="45"/>
  <c r="AM230" i="45"/>
  <c r="AM229" i="45"/>
  <c r="AK232" i="45"/>
  <c r="AK231" i="45"/>
  <c r="AK230" i="45"/>
  <c r="AK229" i="45"/>
  <c r="AI232" i="45"/>
  <c r="AI231" i="45"/>
  <c r="AI230" i="45"/>
  <c r="AI229" i="45"/>
  <c r="AE232" i="45"/>
  <c r="AE231" i="45"/>
  <c r="AE230" i="45"/>
  <c r="AE229" i="45"/>
  <c r="AC232" i="45"/>
  <c r="AC231" i="45"/>
  <c r="AC230" i="45"/>
  <c r="AC229" i="45"/>
  <c r="W232" i="45"/>
  <c r="W231" i="45"/>
  <c r="W230" i="45"/>
  <c r="W229" i="45"/>
  <c r="U232" i="45"/>
  <c r="U231" i="45"/>
  <c r="U230" i="45"/>
  <c r="U229" i="45"/>
  <c r="Q232" i="45"/>
  <c r="Q231" i="45"/>
  <c r="Q230" i="45"/>
  <c r="Q229" i="45"/>
  <c r="O232" i="45"/>
  <c r="O231" i="45"/>
  <c r="O230" i="45"/>
  <c r="O229" i="45"/>
  <c r="M232" i="45"/>
  <c r="M231" i="45"/>
  <c r="M230" i="45"/>
  <c r="M229" i="45"/>
  <c r="E232" i="45"/>
  <c r="E231" i="45"/>
  <c r="E230" i="45"/>
  <c r="E229" i="45"/>
  <c r="J232" i="45"/>
  <c r="J231" i="45"/>
  <c r="J230" i="45"/>
  <c r="J229" i="45"/>
  <c r="AO226" i="45"/>
  <c r="AO225" i="45"/>
  <c r="AO224" i="45"/>
  <c r="AO223" i="45"/>
  <c r="AM226" i="45"/>
  <c r="AM225" i="45"/>
  <c r="AM224" i="45"/>
  <c r="AM223" i="45"/>
  <c r="AK226" i="45"/>
  <c r="AK225" i="45"/>
  <c r="AK224" i="45"/>
  <c r="AK223" i="45"/>
  <c r="AI226" i="45"/>
  <c r="AI225" i="45"/>
  <c r="AI224" i="45"/>
  <c r="AI223" i="45"/>
  <c r="AE226" i="45"/>
  <c r="AE225" i="45"/>
  <c r="AE224" i="45"/>
  <c r="AE223" i="45"/>
  <c r="AC226" i="45"/>
  <c r="AC225" i="45"/>
  <c r="AC224" i="45"/>
  <c r="AC223" i="45"/>
  <c r="W226" i="45"/>
  <c r="W225" i="45"/>
  <c r="W224" i="45"/>
  <c r="W223" i="45"/>
  <c r="U226" i="45"/>
  <c r="U225" i="45"/>
  <c r="U224" i="45"/>
  <c r="U223" i="45"/>
  <c r="Q226" i="45"/>
  <c r="Q225" i="45"/>
  <c r="Q224" i="45"/>
  <c r="Q223" i="45"/>
  <c r="O226" i="45"/>
  <c r="O225" i="45"/>
  <c r="O224" i="45"/>
  <c r="O223" i="45"/>
  <c r="M226" i="45"/>
  <c r="M225" i="45"/>
  <c r="M224" i="45"/>
  <c r="M223" i="45"/>
  <c r="E226" i="45"/>
  <c r="E225" i="45"/>
  <c r="E224" i="45"/>
  <c r="E223" i="45"/>
  <c r="J226" i="45"/>
  <c r="P81" i="40" s="1"/>
  <c r="J225" i="45"/>
  <c r="AQ225" i="45" s="1"/>
  <c r="AH41" i="9" s="1"/>
  <c r="J224" i="45"/>
  <c r="AQ224" i="45" s="1"/>
  <c r="J223" i="45"/>
  <c r="AQ223" i="45"/>
  <c r="AO220" i="45"/>
  <c r="AO219" i="45"/>
  <c r="AM220" i="45"/>
  <c r="AM219" i="45"/>
  <c r="AK220" i="45"/>
  <c r="AK219" i="45"/>
  <c r="AI220" i="45"/>
  <c r="AI219" i="45"/>
  <c r="AE220" i="45"/>
  <c r="AE219" i="45"/>
  <c r="AC220" i="45"/>
  <c r="AC219" i="45"/>
  <c r="W220" i="45"/>
  <c r="W219" i="45"/>
  <c r="U220" i="45"/>
  <c r="U219" i="45"/>
  <c r="Q220" i="45"/>
  <c r="Q219" i="45"/>
  <c r="O220" i="45"/>
  <c r="O219" i="45"/>
  <c r="M220" i="45"/>
  <c r="M219" i="45"/>
  <c r="E220" i="45"/>
  <c r="E219" i="45"/>
  <c r="J220" i="45"/>
  <c r="J219" i="45"/>
  <c r="J218" i="45"/>
  <c r="AQ218" i="45" s="1"/>
  <c r="J217" i="45"/>
  <c r="AO214" i="45"/>
  <c r="AO213" i="45"/>
  <c r="AM214" i="45"/>
  <c r="AM213" i="45"/>
  <c r="AK214" i="45"/>
  <c r="AK213" i="45"/>
  <c r="AI214" i="45"/>
  <c r="AI213" i="45"/>
  <c r="AE214" i="45"/>
  <c r="AE213" i="45"/>
  <c r="AC214" i="45"/>
  <c r="AC213" i="45"/>
  <c r="W214" i="45"/>
  <c r="W213" i="45"/>
  <c r="U214" i="45"/>
  <c r="U213" i="45"/>
  <c r="Q214" i="45"/>
  <c r="Q213" i="45"/>
  <c r="O214" i="45"/>
  <c r="O213" i="45"/>
  <c r="M214" i="45"/>
  <c r="M213" i="45"/>
  <c r="E214" i="45"/>
  <c r="E213" i="45"/>
  <c r="J214" i="45"/>
  <c r="AQ214" i="45"/>
  <c r="J213" i="45"/>
  <c r="AR212" i="45"/>
  <c r="AR211" i="45"/>
  <c r="J212" i="45"/>
  <c r="J211" i="45"/>
  <c r="AO208" i="45"/>
  <c r="AM208" i="45"/>
  <c r="AK208" i="45"/>
  <c r="AI208" i="45"/>
  <c r="AE208" i="45"/>
  <c r="AC208" i="45"/>
  <c r="W208" i="45"/>
  <c r="U208" i="45"/>
  <c r="Q208" i="45"/>
  <c r="O208" i="45"/>
  <c r="M208" i="45"/>
  <c r="J208" i="45"/>
  <c r="J207" i="45"/>
  <c r="AQ207" i="45" s="1"/>
  <c r="AR206" i="45"/>
  <c r="AR205" i="45"/>
  <c r="AM202" i="45"/>
  <c r="AK202" i="45"/>
  <c r="AI202" i="45"/>
  <c r="AE202" i="45"/>
  <c r="AC202" i="45"/>
  <c r="W202" i="45"/>
  <c r="U202" i="45"/>
  <c r="Q202" i="45"/>
  <c r="O202" i="45"/>
  <c r="M202" i="45"/>
  <c r="D202" i="45"/>
  <c r="AR201" i="45"/>
  <c r="AR200" i="45"/>
  <c r="AR199" i="45"/>
  <c r="D196" i="45"/>
  <c r="E202" i="45" s="1"/>
  <c r="B192" i="45"/>
  <c r="B374" i="45" s="1"/>
  <c r="BR171" i="45"/>
  <c r="BQ171" i="45"/>
  <c r="BP171" i="45"/>
  <c r="BO171" i="45"/>
  <c r="BM171" i="45"/>
  <c r="BL171" i="45"/>
  <c r="BK171" i="45"/>
  <c r="BI171" i="45"/>
  <c r="BH171" i="45"/>
  <c r="BG171" i="45"/>
  <c r="BD171" i="45"/>
  <c r="BC171" i="45"/>
  <c r="T167" i="45"/>
  <c r="T168" i="45" s="1"/>
  <c r="T169" i="45" s="1"/>
  <c r="T170" i="45" s="1"/>
  <c r="R167" i="45"/>
  <c r="R168" i="45" s="1"/>
  <c r="R169" i="45" s="1"/>
  <c r="R170" i="45" s="1"/>
  <c r="P167" i="45"/>
  <c r="P168" i="45" s="1"/>
  <c r="P169" i="45" s="1"/>
  <c r="P170" i="45" s="1"/>
  <c r="DJ170" i="45"/>
  <c r="DI170" i="45"/>
  <c r="DJ169" i="45"/>
  <c r="DI169" i="45"/>
  <c r="DJ168" i="45"/>
  <c r="DI168" i="45"/>
  <c r="DJ167" i="45"/>
  <c r="N167" i="45"/>
  <c r="N168" i="45" s="1"/>
  <c r="N169" i="45" s="1"/>
  <c r="AU166" i="45"/>
  <c r="BR165" i="45"/>
  <c r="BQ165" i="45"/>
  <c r="BP165" i="45"/>
  <c r="BO165" i="45"/>
  <c r="BM165" i="45"/>
  <c r="BL165" i="45"/>
  <c r="BK165" i="45"/>
  <c r="AJ117" i="40" s="1"/>
  <c r="BI165" i="45"/>
  <c r="BH165" i="45"/>
  <c r="BG165" i="45"/>
  <c r="AJ69" i="40" s="1"/>
  <c r="BE165" i="45"/>
  <c r="BD165" i="45"/>
  <c r="BC165" i="45"/>
  <c r="T161" i="45"/>
  <c r="T162" i="45" s="1"/>
  <c r="T163" i="45" s="1"/>
  <c r="T164" i="45" s="1"/>
  <c r="R161" i="45"/>
  <c r="R162" i="45"/>
  <c r="R163" i="45" s="1"/>
  <c r="R164" i="45" s="1"/>
  <c r="P161" i="45"/>
  <c r="P162" i="45" s="1"/>
  <c r="P163" i="45" s="1"/>
  <c r="P164" i="45" s="1"/>
  <c r="DR161" i="45"/>
  <c r="DT161" i="45" s="1"/>
  <c r="DJ164" i="45"/>
  <c r="DI164" i="45"/>
  <c r="DH164" i="45"/>
  <c r="DJ163" i="45"/>
  <c r="DI163" i="45"/>
  <c r="DH163" i="45"/>
  <c r="DJ162" i="45"/>
  <c r="DI162" i="45"/>
  <c r="DH162" i="45"/>
  <c r="DJ161" i="45"/>
  <c r="DI161" i="45"/>
  <c r="DH161" i="45"/>
  <c r="X161" i="45"/>
  <c r="N161" i="45"/>
  <c r="N162" i="45" s="1"/>
  <c r="N163" i="45" s="1"/>
  <c r="AU160" i="45"/>
  <c r="BR159" i="45"/>
  <c r="BP159" i="45"/>
  <c r="BO159" i="45"/>
  <c r="BM159" i="45"/>
  <c r="BL159" i="45"/>
  <c r="AI118" i="40" s="1"/>
  <c r="BK159" i="45"/>
  <c r="AI117" i="40" s="1"/>
  <c r="BI159" i="45"/>
  <c r="BH159" i="45"/>
  <c r="BG159" i="45"/>
  <c r="AI69" i="40" s="1"/>
  <c r="BE159" i="45"/>
  <c r="BD159" i="45"/>
  <c r="BC159" i="45"/>
  <c r="DT158" i="45"/>
  <c r="T155" i="45"/>
  <c r="T156" i="45" s="1"/>
  <c r="T157" i="45" s="1"/>
  <c r="T158" i="45" s="1"/>
  <c r="R155" i="45"/>
  <c r="R156" i="45" s="1"/>
  <c r="R157" i="45" s="1"/>
  <c r="R158" i="45" s="1"/>
  <c r="P155" i="45"/>
  <c r="P156" i="45"/>
  <c r="P157" i="45" s="1"/>
  <c r="P158" i="45" s="1"/>
  <c r="DJ158" i="45"/>
  <c r="DI158" i="45"/>
  <c r="DH158" i="45"/>
  <c r="DJ157" i="45"/>
  <c r="DI157" i="45"/>
  <c r="DH157" i="45"/>
  <c r="DJ156" i="45"/>
  <c r="DI156" i="45"/>
  <c r="DH156" i="45"/>
  <c r="DJ155" i="45"/>
  <c r="DI155" i="45"/>
  <c r="DI159" i="45" s="1"/>
  <c r="AI18" i="40" s="1"/>
  <c r="DH155" i="45"/>
  <c r="AU154" i="45"/>
  <c r="CN153" i="45"/>
  <c r="CM153" i="45"/>
  <c r="CJ153" i="45"/>
  <c r="CI153" i="45"/>
  <c r="CF153" i="45"/>
  <c r="CE153" i="45"/>
  <c r="CD153" i="45"/>
  <c r="CA153" i="45"/>
  <c r="BZ153" i="45"/>
  <c r="BY153" i="45"/>
  <c r="BV153" i="45"/>
  <c r="BU153" i="45"/>
  <c r="BT153" i="45"/>
  <c r="BP153" i="45"/>
  <c r="BO153" i="45"/>
  <c r="BM153" i="45"/>
  <c r="BL153" i="45"/>
  <c r="BK153" i="45"/>
  <c r="BI153" i="45"/>
  <c r="BH153" i="45"/>
  <c r="AH70" i="40" s="1"/>
  <c r="BI66" i="40" s="1"/>
  <c r="BG153" i="45"/>
  <c r="AH69" i="40" s="1"/>
  <c r="BE153" i="45"/>
  <c r="BD153" i="45"/>
  <c r="BC153" i="45"/>
  <c r="DT152" i="45"/>
  <c r="T149" i="45"/>
  <c r="T150" i="45"/>
  <c r="T151" i="45" s="1"/>
  <c r="T152" i="45" s="1"/>
  <c r="R149" i="45"/>
  <c r="R150" i="45"/>
  <c r="R151" i="45" s="1"/>
  <c r="R152" i="45" s="1"/>
  <c r="P149" i="45"/>
  <c r="P150" i="45" s="1"/>
  <c r="P151" i="45" s="1"/>
  <c r="P152" i="45" s="1"/>
  <c r="DU149" i="45"/>
  <c r="DU150" i="45" s="1"/>
  <c r="DU148" i="45"/>
  <c r="DJ152" i="45"/>
  <c r="DI152" i="45"/>
  <c r="DH152" i="45"/>
  <c r="DJ151" i="45"/>
  <c r="DJ153" i="45" s="1"/>
  <c r="DI151" i="45"/>
  <c r="DH151" i="45"/>
  <c r="DJ150" i="45"/>
  <c r="DI150" i="45"/>
  <c r="DH150" i="45"/>
  <c r="DJ149" i="45"/>
  <c r="DI149" i="45"/>
  <c r="DH149" i="45"/>
  <c r="B148" i="45"/>
  <c r="B330" i="45" s="1"/>
  <c r="B512" i="45" s="1"/>
  <c r="CN147" i="45"/>
  <c r="CM147" i="45"/>
  <c r="CJ147" i="45"/>
  <c r="CI147" i="45"/>
  <c r="CF147" i="45"/>
  <c r="CE147" i="45"/>
  <c r="CD147" i="45"/>
  <c r="CA147" i="45"/>
  <c r="BZ147" i="45"/>
  <c r="BY147" i="45"/>
  <c r="BV147" i="45"/>
  <c r="BU147" i="45"/>
  <c r="BT147" i="45"/>
  <c r="BP147" i="45"/>
  <c r="BO147" i="45"/>
  <c r="BL147" i="45"/>
  <c r="BK147" i="45"/>
  <c r="AG117" i="40"/>
  <c r="BD147" i="45"/>
  <c r="BC147" i="45"/>
  <c r="DT146" i="45"/>
  <c r="T143" i="45"/>
  <c r="T144" i="45" s="1"/>
  <c r="T145" i="45" s="1"/>
  <c r="T146" i="45" s="1"/>
  <c r="R143" i="45"/>
  <c r="R144" i="45" s="1"/>
  <c r="R145" i="45" s="1"/>
  <c r="R146" i="45" s="1"/>
  <c r="P143" i="45"/>
  <c r="P144" i="45" s="1"/>
  <c r="P145" i="45" s="1"/>
  <c r="P146" i="45" s="1"/>
  <c r="BG144" i="45"/>
  <c r="DH144" i="45" s="1"/>
  <c r="BG143" i="45"/>
  <c r="DH143" i="45" s="1"/>
  <c r="DI146" i="45"/>
  <c r="DH146" i="45"/>
  <c r="DI145" i="45"/>
  <c r="DH145" i="45"/>
  <c r="DI144" i="45"/>
  <c r="BH143" i="45"/>
  <c r="BH147" i="45" s="1"/>
  <c r="B142" i="45"/>
  <c r="B324" i="45" s="1"/>
  <c r="B506" i="45" s="1"/>
  <c r="CN141" i="45"/>
  <c r="CM141" i="45"/>
  <c r="CJ141" i="45"/>
  <c r="CI141" i="45"/>
  <c r="CF141" i="45"/>
  <c r="CE141" i="45"/>
  <c r="CD141" i="45"/>
  <c r="CA141" i="45"/>
  <c r="BZ141" i="45"/>
  <c r="BY141" i="45"/>
  <c r="BV141" i="45"/>
  <c r="BU141" i="45"/>
  <c r="BT141" i="45"/>
  <c r="BP141" i="45"/>
  <c r="BO141" i="45"/>
  <c r="BD141" i="45"/>
  <c r="BC141" i="45"/>
  <c r="DT140" i="45"/>
  <c r="T137" i="45"/>
  <c r="T138" i="45"/>
  <c r="T139" i="45" s="1"/>
  <c r="T140" i="45" s="1"/>
  <c r="R137" i="45"/>
  <c r="R138" i="45" s="1"/>
  <c r="R139" i="45" s="1"/>
  <c r="R140" i="45" s="1"/>
  <c r="P137" i="45"/>
  <c r="P138" i="45"/>
  <c r="P139" i="45" s="1"/>
  <c r="P140" i="45" s="1"/>
  <c r="BL139" i="45"/>
  <c r="BL141" i="45" s="1"/>
  <c r="AF18" i="40" s="1"/>
  <c r="BK139" i="45"/>
  <c r="BL138" i="45"/>
  <c r="BK138" i="45"/>
  <c r="BH139" i="45"/>
  <c r="BG139" i="45"/>
  <c r="BH138" i="45"/>
  <c r="BH141" i="45"/>
  <c r="AF70" i="40" s="1"/>
  <c r="BG138" i="45"/>
  <c r="BG141" i="45"/>
  <c r="AF69" i="40" s="1"/>
  <c r="BK137" i="45"/>
  <c r="B136" i="45"/>
  <c r="B318" i="45" s="1"/>
  <c r="B500" i="45" s="1"/>
  <c r="CN135" i="45"/>
  <c r="CM135" i="45"/>
  <c r="CJ135" i="45"/>
  <c r="CI135" i="45"/>
  <c r="CF135" i="45"/>
  <c r="CE135" i="45"/>
  <c r="CD135" i="45"/>
  <c r="CA135" i="45"/>
  <c r="BZ135" i="45"/>
  <c r="BY135" i="45"/>
  <c r="BV135" i="45"/>
  <c r="BU135" i="45"/>
  <c r="BT135" i="45"/>
  <c r="BP135" i="45"/>
  <c r="DI135" i="45" s="1"/>
  <c r="BO135" i="45"/>
  <c r="BL135" i="45"/>
  <c r="BK135" i="45"/>
  <c r="BH135" i="45"/>
  <c r="BG135" i="45"/>
  <c r="AE69" i="40"/>
  <c r="BF64" i="40" s="1"/>
  <c r="BD135" i="45"/>
  <c r="BC135" i="45"/>
  <c r="T131" i="45"/>
  <c r="T132" i="45" s="1"/>
  <c r="T133" i="45" s="1"/>
  <c r="T134" i="45" s="1"/>
  <c r="R131" i="45"/>
  <c r="R132" i="45"/>
  <c r="R133" i="45" s="1"/>
  <c r="R134" i="45" s="1"/>
  <c r="P131" i="45"/>
  <c r="P132" i="45"/>
  <c r="P133" i="45" s="1"/>
  <c r="P134" i="45" s="1"/>
  <c r="B130" i="45"/>
  <c r="AU130" i="45" s="1"/>
  <c r="CN129" i="45"/>
  <c r="CM129" i="45"/>
  <c r="CJ129" i="45"/>
  <c r="CI129" i="45"/>
  <c r="CF129" i="45"/>
  <c r="CE129" i="45"/>
  <c r="CD129" i="45"/>
  <c r="CA129" i="45"/>
  <c r="BZ129" i="45"/>
  <c r="BY129" i="45"/>
  <c r="BV129" i="45"/>
  <c r="BU129" i="45"/>
  <c r="BT129" i="45"/>
  <c r="BP129" i="45"/>
  <c r="BO129" i="45"/>
  <c r="BL129" i="45"/>
  <c r="BK129" i="45"/>
  <c r="BH129" i="45"/>
  <c r="BG129" i="45"/>
  <c r="BD129" i="45"/>
  <c r="BC129" i="45"/>
  <c r="T125" i="45"/>
  <c r="T126" i="45" s="1"/>
  <c r="T127" i="45" s="1"/>
  <c r="T128" i="45" s="1"/>
  <c r="R125" i="45"/>
  <c r="R126" i="45" s="1"/>
  <c r="R127" i="45" s="1"/>
  <c r="R128" i="45" s="1"/>
  <c r="DH127" i="45"/>
  <c r="P125" i="45"/>
  <c r="P126" i="45" s="1"/>
  <c r="P127" i="45" s="1"/>
  <c r="P128" i="45" s="1"/>
  <c r="B124" i="45"/>
  <c r="AU124" i="45" s="1"/>
  <c r="CN123" i="45"/>
  <c r="CM123" i="45"/>
  <c r="CJ123" i="45"/>
  <c r="AC239" i="40" s="1"/>
  <c r="CI123" i="45"/>
  <c r="CF123" i="45"/>
  <c r="CE123" i="45"/>
  <c r="CD123" i="45"/>
  <c r="CA123" i="45"/>
  <c r="BZ123" i="45"/>
  <c r="BY123" i="45"/>
  <c r="BV123" i="45"/>
  <c r="BU123" i="45"/>
  <c r="AC175" i="40" s="1"/>
  <c r="BT123" i="45"/>
  <c r="BP123" i="45"/>
  <c r="BO123" i="45"/>
  <c r="BL123" i="45"/>
  <c r="AC118" i="40" s="1"/>
  <c r="AC18" i="40" s="1"/>
  <c r="BK123" i="45"/>
  <c r="BH123" i="45"/>
  <c r="BG123" i="45"/>
  <c r="BD123" i="45"/>
  <c r="BC123" i="45"/>
  <c r="H119" i="45"/>
  <c r="A121" i="45"/>
  <c r="A303" i="45" s="1"/>
  <c r="A485" i="45" s="1"/>
  <c r="B118" i="45"/>
  <c r="AU118" i="45" s="1"/>
  <c r="CN117" i="45"/>
  <c r="CM117" i="45"/>
  <c r="CJ117" i="45"/>
  <c r="CI117" i="45"/>
  <c r="CF117" i="45"/>
  <c r="AB172" i="40" s="1"/>
  <c r="BC164" i="40" s="1"/>
  <c r="CE117" i="45"/>
  <c r="AB177" i="40" s="1"/>
  <c r="CD117" i="45"/>
  <c r="AB167" i="40" s="1"/>
  <c r="CA117" i="45"/>
  <c r="BZ117" i="45"/>
  <c r="BY117" i="45"/>
  <c r="BV117" i="45"/>
  <c r="BU117" i="45"/>
  <c r="BT117" i="45"/>
  <c r="BP117" i="45"/>
  <c r="BO117" i="45"/>
  <c r="BL117" i="45"/>
  <c r="BK117" i="45"/>
  <c r="AB117" i="40"/>
  <c r="BH117" i="45"/>
  <c r="BG117" i="45"/>
  <c r="AB69" i="40" s="1"/>
  <c r="Z116" i="45"/>
  <c r="Z119" i="45"/>
  <c r="Z120" i="45"/>
  <c r="Z121" i="45" s="1"/>
  <c r="Z122" i="45" s="1"/>
  <c r="Z125" i="45" s="1"/>
  <c r="Z126" i="45" s="1"/>
  <c r="Z127" i="45" s="1"/>
  <c r="Z128" i="45" s="1"/>
  <c r="Z131" i="45" s="1"/>
  <c r="Z132" i="45" s="1"/>
  <c r="Z133" i="45" s="1"/>
  <c r="Z134" i="45" s="1"/>
  <c r="Z137" i="45" s="1"/>
  <c r="Z138" i="45" s="1"/>
  <c r="Z139" i="45" s="1"/>
  <c r="Z140" i="45" s="1"/>
  <c r="Z143" i="45" s="1"/>
  <c r="Z144" i="45" s="1"/>
  <c r="Z145" i="45" s="1"/>
  <c r="Z146" i="45" s="1"/>
  <c r="Z149" i="45" s="1"/>
  <c r="Z150" i="45" s="1"/>
  <c r="Z151" i="45" s="1"/>
  <c r="Z152" i="45" s="1"/>
  <c r="T116" i="45"/>
  <c r="R116" i="45"/>
  <c r="R119" i="45"/>
  <c r="P116" i="45"/>
  <c r="P119" i="45"/>
  <c r="P120" i="45" s="1"/>
  <c r="P121" i="45" s="1"/>
  <c r="P122" i="45" s="1"/>
  <c r="N116" i="45"/>
  <c r="L116" i="45"/>
  <c r="J116" i="45"/>
  <c r="J119" i="45" s="1"/>
  <c r="B112" i="45"/>
  <c r="AU112" i="45" s="1"/>
  <c r="CJ111" i="45"/>
  <c r="AA239" i="40" s="1"/>
  <c r="CI111" i="45"/>
  <c r="AA238" i="40" s="1"/>
  <c r="CF111" i="45"/>
  <c r="AA172" i="40" s="1"/>
  <c r="BB164" i="40" s="1"/>
  <c r="CE111" i="45"/>
  <c r="AA177" i="40" s="1"/>
  <c r="CD111" i="45"/>
  <c r="CA111" i="45"/>
  <c r="BZ111" i="45"/>
  <c r="BY111" i="45"/>
  <c r="AA166" i="40" s="1"/>
  <c r="BV111" i="45"/>
  <c r="AA170" i="40"/>
  <c r="BU111" i="45"/>
  <c r="BT111" i="45"/>
  <c r="AA165" i="40" s="1"/>
  <c r="BP111" i="45"/>
  <c r="BO111" i="45"/>
  <c r="BL111" i="45"/>
  <c r="BK111" i="45"/>
  <c r="BH111" i="45"/>
  <c r="AA70" i="40"/>
  <c r="BB66" i="40" s="1"/>
  <c r="BG111" i="45"/>
  <c r="AA69" i="40" s="1"/>
  <c r="BB64" i="40" s="1"/>
  <c r="B106" i="45"/>
  <c r="B288" i="45" s="1"/>
  <c r="B470" i="45" s="1"/>
  <c r="CJ105" i="45"/>
  <c r="CI105" i="45"/>
  <c r="CF105" i="45"/>
  <c r="Z172" i="40" s="1"/>
  <c r="CD105" i="45"/>
  <c r="Z167" i="40" s="1"/>
  <c r="CA105" i="45"/>
  <c r="BZ105" i="45"/>
  <c r="Z176" i="40" s="1"/>
  <c r="BY105" i="45"/>
  <c r="Z166" i="40" s="1"/>
  <c r="BV105" i="45"/>
  <c r="Z170" i="40" s="1"/>
  <c r="BU105" i="45"/>
  <c r="Z175" i="40" s="1"/>
  <c r="BT105" i="45"/>
  <c r="BO105" i="45"/>
  <c r="BL105" i="45"/>
  <c r="Z118" i="40"/>
  <c r="BA118" i="40" s="1"/>
  <c r="BK105" i="45"/>
  <c r="Z117" i="40" s="1"/>
  <c r="BA116" i="40" s="1"/>
  <c r="BH105" i="45"/>
  <c r="BG105" i="45"/>
  <c r="V104" i="45"/>
  <c r="W103" i="45"/>
  <c r="V101" i="45"/>
  <c r="W101" i="45" s="1"/>
  <c r="B100" i="45"/>
  <c r="CJ99" i="45"/>
  <c r="CI99" i="45"/>
  <c r="Y238" i="40" s="1"/>
  <c r="AZ237" i="40" s="1"/>
  <c r="CF99" i="45"/>
  <c r="Y172" i="40" s="1"/>
  <c r="AZ164" i="40" s="1"/>
  <c r="CD99" i="45"/>
  <c r="CA99" i="45"/>
  <c r="BZ99" i="45"/>
  <c r="BY99" i="45"/>
  <c r="Y166" i="40" s="1"/>
  <c r="BV99" i="45"/>
  <c r="Y170" i="40" s="1"/>
  <c r="BU99" i="45"/>
  <c r="Y175" i="40" s="1"/>
  <c r="BT99" i="45"/>
  <c r="BL99" i="45"/>
  <c r="Y118" i="40" s="1"/>
  <c r="AZ118" i="40" s="1"/>
  <c r="BK99" i="45"/>
  <c r="Y117" i="40" s="1"/>
  <c r="AZ116" i="40" s="1"/>
  <c r="BH99" i="45"/>
  <c r="BG99" i="45"/>
  <c r="Y69" i="40" s="1"/>
  <c r="AZ64" i="40" s="1"/>
  <c r="W98" i="45"/>
  <c r="W97" i="45"/>
  <c r="W96" i="45"/>
  <c r="W95" i="45"/>
  <c r="R95" i="45"/>
  <c r="R96" i="45" s="1"/>
  <c r="R97" i="45" s="1"/>
  <c r="R98" i="45" s="1"/>
  <c r="R101" i="45" s="1"/>
  <c r="R102" i="45" s="1"/>
  <c r="R103" i="45" s="1"/>
  <c r="R104" i="45" s="1"/>
  <c r="R107" i="45" s="1"/>
  <c r="R108" i="45" s="1"/>
  <c r="R109" i="45" s="1"/>
  <c r="R110" i="45" s="1"/>
  <c r="R113" i="45" s="1"/>
  <c r="R114" i="45" s="1"/>
  <c r="DI97" i="45"/>
  <c r="DH97" i="45"/>
  <c r="T95" i="45"/>
  <c r="T96" i="45" s="1"/>
  <c r="P95" i="45"/>
  <c r="P96" i="45"/>
  <c r="N95" i="45"/>
  <c r="N96" i="45" s="1"/>
  <c r="L95" i="45"/>
  <c r="J95" i="45"/>
  <c r="CD93" i="45"/>
  <c r="DH93" i="45"/>
  <c r="BZ93" i="45"/>
  <c r="BU93" i="45"/>
  <c r="X175" i="40" s="1"/>
  <c r="AQ92" i="45"/>
  <c r="AQ91" i="45"/>
  <c r="AQ90" i="45"/>
  <c r="AQ89" i="45"/>
  <c r="DF87" i="45"/>
  <c r="DE87" i="45"/>
  <c r="DC87" i="45"/>
  <c r="DB87" i="45"/>
  <c r="CZ87" i="45"/>
  <c r="CY87" i="45"/>
  <c r="CW87" i="45"/>
  <c r="CV87" i="45"/>
  <c r="CT87" i="45"/>
  <c r="CS87" i="45"/>
  <c r="CQ87" i="45"/>
  <c r="W283" i="40" s="1"/>
  <c r="CP87" i="45"/>
  <c r="W282" i="40" s="1"/>
  <c r="CJ87" i="45"/>
  <c r="W239" i="40" s="1"/>
  <c r="CI87" i="45"/>
  <c r="W238" i="40" s="1"/>
  <c r="CE87" i="45"/>
  <c r="CD87" i="45"/>
  <c r="BZ87" i="45"/>
  <c r="BY87" i="45"/>
  <c r="W166" i="40" s="1"/>
  <c r="BU87" i="45"/>
  <c r="BT87" i="45"/>
  <c r="BP87" i="45"/>
  <c r="BO87" i="45"/>
  <c r="BL87" i="45"/>
  <c r="BK87" i="45"/>
  <c r="BA87" i="45"/>
  <c r="AZ87" i="45"/>
  <c r="AX87" i="45"/>
  <c r="AW87" i="45"/>
  <c r="BH86" i="45"/>
  <c r="DI86" i="45" s="1"/>
  <c r="BG86" i="45"/>
  <c r="DH86" i="45" s="1"/>
  <c r="BH85" i="45"/>
  <c r="DI85" i="45" s="1"/>
  <c r="BG85" i="45"/>
  <c r="DH85" i="45"/>
  <c r="BH84" i="45"/>
  <c r="DI84" i="45" s="1"/>
  <c r="BG84" i="45"/>
  <c r="DH84" i="45" s="1"/>
  <c r="BH83" i="45"/>
  <c r="BG83" i="45"/>
  <c r="DF81" i="45"/>
  <c r="DE81" i="45"/>
  <c r="DC81" i="45"/>
  <c r="DB81" i="45"/>
  <c r="CZ81" i="45"/>
  <c r="CY81" i="45"/>
  <c r="CW81" i="45"/>
  <c r="CV81" i="45"/>
  <c r="CT81" i="45"/>
  <c r="CS81" i="45"/>
  <c r="CQ81" i="45"/>
  <c r="V283" i="40" s="1"/>
  <c r="CP81" i="45"/>
  <c r="V282" i="40" s="1"/>
  <c r="CJ81" i="45"/>
  <c r="V239" i="40" s="1"/>
  <c r="CI81" i="45"/>
  <c r="V238" i="40" s="1"/>
  <c r="CE81" i="45"/>
  <c r="CD81" i="45"/>
  <c r="BZ81" i="45"/>
  <c r="BY81" i="45"/>
  <c r="V166" i="40" s="1"/>
  <c r="BU81" i="45"/>
  <c r="V175" i="40" s="1"/>
  <c r="BT81" i="45"/>
  <c r="BP81" i="45"/>
  <c r="BO81" i="45"/>
  <c r="BL81" i="45"/>
  <c r="BK81" i="45"/>
  <c r="BA81" i="45"/>
  <c r="AZ81" i="45"/>
  <c r="AX81" i="45"/>
  <c r="AW81" i="45"/>
  <c r="BH80" i="45"/>
  <c r="DI80" i="45" s="1"/>
  <c r="BG80" i="45"/>
  <c r="DH80" i="45" s="1"/>
  <c r="BH79" i="45"/>
  <c r="DI79" i="45" s="1"/>
  <c r="BG79" i="45"/>
  <c r="BH78" i="45"/>
  <c r="DI78" i="45"/>
  <c r="BG78" i="45"/>
  <c r="DH78" i="45"/>
  <c r="BH77" i="45"/>
  <c r="BG77" i="45"/>
  <c r="DH77" i="45" s="1"/>
  <c r="DF75" i="45"/>
  <c r="DE75" i="45"/>
  <c r="DC75" i="45"/>
  <c r="DB75" i="45"/>
  <c r="CZ75" i="45"/>
  <c r="CY75" i="45"/>
  <c r="CW75" i="45"/>
  <c r="CV75" i="45"/>
  <c r="CT75" i="45"/>
  <c r="CS75" i="45"/>
  <c r="CQ75" i="45"/>
  <c r="CP75" i="45"/>
  <c r="CJ75" i="45"/>
  <c r="U239" i="40" s="1"/>
  <c r="CI75" i="45"/>
  <c r="U238" i="40" s="1"/>
  <c r="CE75" i="45"/>
  <c r="CD75" i="45"/>
  <c r="BZ75" i="45"/>
  <c r="BY75" i="45"/>
  <c r="BU75" i="45"/>
  <c r="BT75" i="45"/>
  <c r="U165" i="40" s="1"/>
  <c r="BP75" i="45"/>
  <c r="BO75" i="45"/>
  <c r="BL75" i="45"/>
  <c r="BK75" i="45"/>
  <c r="BA75" i="45"/>
  <c r="AZ75" i="45"/>
  <c r="AX75" i="45"/>
  <c r="AW75" i="45"/>
  <c r="AL71" i="45"/>
  <c r="AL72" i="45" s="1"/>
  <c r="AL73" i="45" s="1"/>
  <c r="AL74" i="45" s="1"/>
  <c r="BH74" i="45"/>
  <c r="DI74" i="45"/>
  <c r="BG74" i="45"/>
  <c r="DH74" i="45" s="1"/>
  <c r="BH73" i="45"/>
  <c r="BG73" i="45"/>
  <c r="DH73" i="45" s="1"/>
  <c r="BH72" i="45"/>
  <c r="BG72" i="45"/>
  <c r="DH72" i="45" s="1"/>
  <c r="BH71" i="45"/>
  <c r="DI71" i="45" s="1"/>
  <c r="BG71" i="45"/>
  <c r="DF69" i="45"/>
  <c r="DE69" i="45"/>
  <c r="DC69" i="45"/>
  <c r="DB69" i="45"/>
  <c r="CZ69" i="45"/>
  <c r="CY69" i="45"/>
  <c r="CW69" i="45"/>
  <c r="CV69" i="45"/>
  <c r="CT69" i="45"/>
  <c r="CS69" i="45"/>
  <c r="CQ69" i="45"/>
  <c r="T283" i="40"/>
  <c r="CP69" i="45"/>
  <c r="CJ69" i="45"/>
  <c r="CI69" i="45"/>
  <c r="CE69" i="45"/>
  <c r="CD69" i="45"/>
  <c r="BZ69" i="45"/>
  <c r="T176" i="40" s="1"/>
  <c r="BY69" i="45"/>
  <c r="T166" i="40" s="1"/>
  <c r="BU69" i="45"/>
  <c r="T175" i="40" s="1"/>
  <c r="BT69" i="45"/>
  <c r="BP69" i="45"/>
  <c r="BO69" i="45"/>
  <c r="BL69" i="45"/>
  <c r="T118" i="40" s="1"/>
  <c r="BK69" i="45"/>
  <c r="BA69" i="45"/>
  <c r="AZ69" i="45"/>
  <c r="AX69" i="45"/>
  <c r="AW69" i="45"/>
  <c r="BH68" i="45"/>
  <c r="DI68" i="45" s="1"/>
  <c r="BG68" i="45"/>
  <c r="BH67" i="45"/>
  <c r="BG67" i="45"/>
  <c r="DH67" i="45" s="1"/>
  <c r="BH66" i="45"/>
  <c r="DI66" i="45" s="1"/>
  <c r="DI69" i="45" s="1"/>
  <c r="T18" i="40" s="1"/>
  <c r="BG66" i="45"/>
  <c r="BH65" i="45"/>
  <c r="BG65" i="45"/>
  <c r="DH65" i="45" s="1"/>
  <c r="DF63" i="45"/>
  <c r="DE63" i="45"/>
  <c r="DC63" i="45"/>
  <c r="DB63" i="45"/>
  <c r="CZ63" i="45"/>
  <c r="CY63" i="45"/>
  <c r="CW63" i="45"/>
  <c r="CV63" i="45"/>
  <c r="CT63" i="45"/>
  <c r="CS63" i="45"/>
  <c r="CQ63" i="45"/>
  <c r="CP63" i="45"/>
  <c r="S282" i="40" s="1"/>
  <c r="CJ63" i="45"/>
  <c r="S239" i="40" s="1"/>
  <c r="CI63" i="45"/>
  <c r="S238" i="40" s="1"/>
  <c r="CE63" i="45"/>
  <c r="S176" i="40" s="1"/>
  <c r="CD63" i="45"/>
  <c r="S167" i="40" s="1"/>
  <c r="BZ63" i="45"/>
  <c r="BY63" i="45"/>
  <c r="BU63" i="45"/>
  <c r="BT63" i="45"/>
  <c r="S165" i="40" s="1"/>
  <c r="BP63" i="45"/>
  <c r="BO63" i="45"/>
  <c r="BL63" i="45"/>
  <c r="S118" i="40" s="1"/>
  <c r="BK63" i="45"/>
  <c r="BA63" i="45"/>
  <c r="AZ63" i="45"/>
  <c r="AX63" i="45"/>
  <c r="AW63" i="45"/>
  <c r="AO62" i="45"/>
  <c r="AO61" i="45"/>
  <c r="AO60" i="45"/>
  <c r="AO59" i="45"/>
  <c r="BH62" i="45"/>
  <c r="DI62" i="45" s="1"/>
  <c r="BG62" i="45"/>
  <c r="DH62" i="45" s="1"/>
  <c r="BH61" i="45"/>
  <c r="DI61" i="45" s="1"/>
  <c r="BG61" i="45"/>
  <c r="DH61" i="45" s="1"/>
  <c r="BH60" i="45"/>
  <c r="BG60" i="45"/>
  <c r="DH60" i="45" s="1"/>
  <c r="BH59" i="45"/>
  <c r="DI59" i="45" s="1"/>
  <c r="BG59" i="45"/>
  <c r="DH59" i="45"/>
  <c r="AL59" i="45"/>
  <c r="AL60" i="45" s="1"/>
  <c r="AJ59" i="45"/>
  <c r="AK59" i="45" s="1"/>
  <c r="AH59" i="45"/>
  <c r="AF59" i="45"/>
  <c r="AF60" i="45" s="1"/>
  <c r="AG59" i="45"/>
  <c r="AD59" i="45"/>
  <c r="AE59" i="45"/>
  <c r="AB59" i="45"/>
  <c r="V59" i="45"/>
  <c r="W59" i="45" s="1"/>
  <c r="T59" i="45"/>
  <c r="U59" i="45" s="1"/>
  <c r="R59" i="45"/>
  <c r="R60" i="45" s="1"/>
  <c r="R61" i="45" s="1"/>
  <c r="R62" i="45" s="1"/>
  <c r="R65" i="45" s="1"/>
  <c r="R66" i="45" s="1"/>
  <c r="R67" i="45" s="1"/>
  <c r="R68" i="45" s="1"/>
  <c r="R71" i="45" s="1"/>
  <c r="R72" i="45" s="1"/>
  <c r="R73" i="45" s="1"/>
  <c r="R74" i="45" s="1"/>
  <c r="R77" i="45" s="1"/>
  <c r="R78" i="45" s="1"/>
  <c r="R79" i="45" s="1"/>
  <c r="R80" i="45" s="1"/>
  <c r="R83" i="45" s="1"/>
  <c r="R84" i="45" s="1"/>
  <c r="R85" i="45" s="1"/>
  <c r="R86" i="45" s="1"/>
  <c r="P59" i="45"/>
  <c r="P60" i="45"/>
  <c r="Q60" i="45" s="1"/>
  <c r="N59" i="45"/>
  <c r="L59" i="45"/>
  <c r="L60" i="45" s="1"/>
  <c r="F59" i="45"/>
  <c r="F60" i="45" s="1"/>
  <c r="D59" i="45"/>
  <c r="E59" i="45"/>
  <c r="AO56" i="45"/>
  <c r="AO55" i="45"/>
  <c r="AO54" i="45"/>
  <c r="AO53" i="45"/>
  <c r="AM56" i="45"/>
  <c r="AM55" i="45"/>
  <c r="AM54" i="45"/>
  <c r="AM53" i="45"/>
  <c r="AK56" i="45"/>
  <c r="AK55" i="45"/>
  <c r="AK54" i="45"/>
  <c r="AK53" i="45"/>
  <c r="AI56" i="45"/>
  <c r="AI55" i="45"/>
  <c r="AI54" i="45"/>
  <c r="AI53" i="45"/>
  <c r="AG56" i="45"/>
  <c r="AG55" i="45"/>
  <c r="AG54" i="45"/>
  <c r="AE56" i="45"/>
  <c r="AE55" i="45"/>
  <c r="AE54" i="45"/>
  <c r="AE53" i="45"/>
  <c r="AC56" i="45"/>
  <c r="AC55" i="45"/>
  <c r="AC54" i="45"/>
  <c r="AC53" i="45"/>
  <c r="W56" i="45"/>
  <c r="W55" i="45"/>
  <c r="W54" i="45"/>
  <c r="W53" i="45"/>
  <c r="U56" i="45"/>
  <c r="U55" i="45"/>
  <c r="U54" i="45"/>
  <c r="U53" i="45"/>
  <c r="Q56" i="45"/>
  <c r="Q55" i="45"/>
  <c r="Q54" i="45"/>
  <c r="Q53" i="45"/>
  <c r="O56" i="45"/>
  <c r="O55" i="45"/>
  <c r="O54" i="45"/>
  <c r="O53" i="45"/>
  <c r="M56" i="45"/>
  <c r="M55" i="45"/>
  <c r="M54" i="45"/>
  <c r="M53" i="45"/>
  <c r="E56" i="45"/>
  <c r="E55" i="45"/>
  <c r="E54" i="45"/>
  <c r="E53" i="45"/>
  <c r="DI56" i="45"/>
  <c r="DH56" i="45"/>
  <c r="DI55" i="45"/>
  <c r="DH55" i="45"/>
  <c r="DI54" i="45"/>
  <c r="DH54" i="45"/>
  <c r="DI53" i="45"/>
  <c r="DH53" i="45"/>
  <c r="J56" i="45"/>
  <c r="J55" i="45"/>
  <c r="AQ55" i="45"/>
  <c r="J54" i="45"/>
  <c r="J53" i="45"/>
  <c r="AQ53" i="45"/>
  <c r="AO50" i="45"/>
  <c r="AO49" i="45"/>
  <c r="AO48" i="45"/>
  <c r="AO47" i="45"/>
  <c r="AM50" i="45"/>
  <c r="AM49" i="45"/>
  <c r="AM48" i="45"/>
  <c r="AM47" i="45"/>
  <c r="AK50" i="45"/>
  <c r="AK49" i="45"/>
  <c r="AK48" i="45"/>
  <c r="AK47" i="45"/>
  <c r="AI50" i="45"/>
  <c r="AI49" i="45"/>
  <c r="AI48" i="45"/>
  <c r="AI47" i="45"/>
  <c r="AE50" i="45"/>
  <c r="AE49" i="45"/>
  <c r="AE48" i="45"/>
  <c r="AE47" i="45"/>
  <c r="AC50" i="45"/>
  <c r="AC49" i="45"/>
  <c r="AC48" i="45"/>
  <c r="AC47" i="45"/>
  <c r="U50" i="45"/>
  <c r="U49" i="45"/>
  <c r="U48" i="45"/>
  <c r="U47" i="45"/>
  <c r="Q50" i="45"/>
  <c r="Q49" i="45"/>
  <c r="Q48" i="45"/>
  <c r="Q47" i="45"/>
  <c r="O50" i="45"/>
  <c r="O49" i="45"/>
  <c r="O48" i="45"/>
  <c r="O47" i="45"/>
  <c r="M50" i="45"/>
  <c r="M49" i="45"/>
  <c r="M48" i="45"/>
  <c r="M47" i="45"/>
  <c r="E50" i="45"/>
  <c r="E49" i="45"/>
  <c r="E48" i="45"/>
  <c r="E47" i="45"/>
  <c r="DI50" i="45"/>
  <c r="DH50" i="45"/>
  <c r="DI49" i="45"/>
  <c r="DH49" i="45"/>
  <c r="DI48" i="45"/>
  <c r="DH48" i="45"/>
  <c r="DI47" i="45"/>
  <c r="DH47" i="45"/>
  <c r="J50" i="45"/>
  <c r="J49" i="45"/>
  <c r="J48" i="45"/>
  <c r="J47" i="45"/>
  <c r="AO44" i="45"/>
  <c r="AO43" i="45"/>
  <c r="AO42" i="45"/>
  <c r="AO41" i="45"/>
  <c r="AM44" i="45"/>
  <c r="AM43" i="45"/>
  <c r="AM42" i="45"/>
  <c r="AM41" i="45"/>
  <c r="AK44" i="45"/>
  <c r="AK43" i="45"/>
  <c r="AK42" i="45"/>
  <c r="AK41" i="45"/>
  <c r="AI44" i="45"/>
  <c r="AI43" i="45"/>
  <c r="AI42" i="45"/>
  <c r="AI41" i="45"/>
  <c r="AE44" i="45"/>
  <c r="AE43" i="45"/>
  <c r="AE42" i="45"/>
  <c r="AE41" i="45"/>
  <c r="AC44" i="45"/>
  <c r="AC43" i="45"/>
  <c r="AC42" i="45"/>
  <c r="AC41" i="45"/>
  <c r="W44" i="45"/>
  <c r="W43" i="45"/>
  <c r="W42" i="45"/>
  <c r="W41" i="45"/>
  <c r="U44" i="45"/>
  <c r="U43" i="45"/>
  <c r="U42" i="45"/>
  <c r="U41" i="45"/>
  <c r="Q44" i="45"/>
  <c r="Q43" i="45"/>
  <c r="Q42" i="45"/>
  <c r="Q41" i="45"/>
  <c r="O44" i="45"/>
  <c r="O43" i="45"/>
  <c r="O42" i="45"/>
  <c r="O41" i="45"/>
  <c r="M44" i="45"/>
  <c r="M43" i="45"/>
  <c r="M42" i="45"/>
  <c r="M41" i="45"/>
  <c r="E44" i="45"/>
  <c r="E43" i="45"/>
  <c r="E42" i="45"/>
  <c r="E41" i="45"/>
  <c r="DI44" i="45"/>
  <c r="DH44" i="45"/>
  <c r="DH45" i="45" s="1"/>
  <c r="DI43" i="45"/>
  <c r="DH43" i="45"/>
  <c r="DI42" i="45"/>
  <c r="DH42" i="45"/>
  <c r="DI41" i="45"/>
  <c r="DH41" i="45"/>
  <c r="J44" i="45"/>
  <c r="AQ44" i="45"/>
  <c r="J50" i="12" s="1"/>
  <c r="J43" i="45"/>
  <c r="J42" i="45"/>
  <c r="AQ42" i="45" s="1"/>
  <c r="J41" i="45"/>
  <c r="B44" i="45"/>
  <c r="A44" i="45"/>
  <c r="B43" i="45"/>
  <c r="A43" i="45"/>
  <c r="A225" i="45" s="1"/>
  <c r="A407" i="45" s="1"/>
  <c r="B42" i="45"/>
  <c r="B224" i="45" s="1"/>
  <c r="B406" i="45" s="1"/>
  <c r="A42" i="45"/>
  <c r="AT42" i="45" s="1"/>
  <c r="B41" i="45"/>
  <c r="B223" i="45" s="1"/>
  <c r="B405" i="45" s="1"/>
  <c r="A41" i="45"/>
  <c r="AO38" i="45"/>
  <c r="AO37" i="45"/>
  <c r="AO36" i="45"/>
  <c r="AO35" i="45"/>
  <c r="AM38" i="45"/>
  <c r="AM37" i="45"/>
  <c r="AM36" i="45"/>
  <c r="AM35" i="45"/>
  <c r="AK38" i="45"/>
  <c r="AK37" i="45"/>
  <c r="AK36" i="45"/>
  <c r="AK35" i="45"/>
  <c r="AI38" i="45"/>
  <c r="AI37" i="45"/>
  <c r="AI36" i="45"/>
  <c r="AI35" i="45"/>
  <c r="AE38" i="45"/>
  <c r="AE37" i="45"/>
  <c r="AE36" i="45"/>
  <c r="AE35" i="45"/>
  <c r="AC38" i="45"/>
  <c r="AC37" i="45"/>
  <c r="AC36" i="45"/>
  <c r="AC35" i="45"/>
  <c r="W38" i="45"/>
  <c r="W37" i="45"/>
  <c r="W36" i="45"/>
  <c r="W35" i="45"/>
  <c r="U38" i="45"/>
  <c r="U37" i="45"/>
  <c r="U36" i="45"/>
  <c r="U35" i="45"/>
  <c r="Q38" i="45"/>
  <c r="Q37" i="45"/>
  <c r="Q36" i="45"/>
  <c r="Q35" i="45"/>
  <c r="O38" i="45"/>
  <c r="O37" i="45"/>
  <c r="O36" i="45"/>
  <c r="O35" i="45"/>
  <c r="M38" i="45"/>
  <c r="M37" i="45"/>
  <c r="M36" i="45"/>
  <c r="M35" i="45"/>
  <c r="E38" i="45"/>
  <c r="E37" i="45"/>
  <c r="E36" i="45"/>
  <c r="E35" i="45"/>
  <c r="DI38" i="45"/>
  <c r="DH38" i="45"/>
  <c r="DI37" i="45"/>
  <c r="DH37" i="45"/>
  <c r="DI36" i="45"/>
  <c r="DH36" i="45"/>
  <c r="DI35" i="45"/>
  <c r="DH35" i="45"/>
  <c r="J38" i="45"/>
  <c r="J37" i="45"/>
  <c r="J36" i="45"/>
  <c r="J35" i="45"/>
  <c r="AO32" i="45"/>
  <c r="AO31" i="45"/>
  <c r="AO30" i="45"/>
  <c r="AO29" i="45"/>
  <c r="AM32" i="45"/>
  <c r="AM31" i="45"/>
  <c r="AM30" i="45"/>
  <c r="AM29" i="45"/>
  <c r="AK32" i="45"/>
  <c r="AK31" i="45"/>
  <c r="AK30" i="45"/>
  <c r="AK29" i="45"/>
  <c r="AI32" i="45"/>
  <c r="AI31" i="45"/>
  <c r="AI30" i="45"/>
  <c r="AI29" i="45"/>
  <c r="AE32" i="45"/>
  <c r="AE31" i="45"/>
  <c r="AE30" i="45"/>
  <c r="AE29" i="45"/>
  <c r="AC32" i="45"/>
  <c r="AC31" i="45"/>
  <c r="AC30" i="45"/>
  <c r="AC29" i="45"/>
  <c r="W32" i="45"/>
  <c r="W31" i="45"/>
  <c r="W30" i="45"/>
  <c r="W29" i="45"/>
  <c r="U32" i="45"/>
  <c r="U31" i="45"/>
  <c r="U30" i="45"/>
  <c r="U29" i="45"/>
  <c r="Q32" i="45"/>
  <c r="Q31" i="45"/>
  <c r="Q30" i="45"/>
  <c r="Q29" i="45"/>
  <c r="O32" i="45"/>
  <c r="O31" i="45"/>
  <c r="O30" i="45"/>
  <c r="O29" i="45"/>
  <c r="M32" i="45"/>
  <c r="M31" i="45"/>
  <c r="M30" i="45"/>
  <c r="M29" i="45"/>
  <c r="E32" i="45"/>
  <c r="E31" i="45"/>
  <c r="E30" i="45"/>
  <c r="E29" i="45"/>
  <c r="DI32" i="45"/>
  <c r="DH32" i="45"/>
  <c r="DI31" i="45"/>
  <c r="DH31" i="45"/>
  <c r="DI30" i="45"/>
  <c r="DH30" i="45"/>
  <c r="DI29" i="45"/>
  <c r="DH29" i="45"/>
  <c r="J32" i="45"/>
  <c r="J31" i="45"/>
  <c r="J30" i="45"/>
  <c r="J29" i="45"/>
  <c r="AO26" i="45"/>
  <c r="AO25" i="45"/>
  <c r="AO24" i="45"/>
  <c r="AM26" i="45"/>
  <c r="AM25" i="45"/>
  <c r="AM24" i="45"/>
  <c r="AM23" i="45"/>
  <c r="AK26" i="45"/>
  <c r="AK25" i="45"/>
  <c r="AK24" i="45"/>
  <c r="AK23" i="45"/>
  <c r="AI26" i="45"/>
  <c r="AI25" i="45"/>
  <c r="AI24" i="45"/>
  <c r="AI23" i="45"/>
  <c r="AE26" i="45"/>
  <c r="AE25" i="45"/>
  <c r="AE24" i="45"/>
  <c r="AE23" i="45"/>
  <c r="AC26" i="45"/>
  <c r="AC25" i="45"/>
  <c r="AC24" i="45"/>
  <c r="AC23" i="45"/>
  <c r="W26" i="45"/>
  <c r="W25" i="45"/>
  <c r="W24" i="45"/>
  <c r="W23" i="45"/>
  <c r="U26" i="45"/>
  <c r="U25" i="45"/>
  <c r="U24" i="45"/>
  <c r="U23" i="45"/>
  <c r="Q26" i="45"/>
  <c r="Q25" i="45"/>
  <c r="Q24" i="45"/>
  <c r="Q23" i="45"/>
  <c r="O26" i="45"/>
  <c r="O25" i="45"/>
  <c r="O24" i="45"/>
  <c r="O23" i="45"/>
  <c r="M26" i="45"/>
  <c r="M25" i="45"/>
  <c r="M24" i="45"/>
  <c r="M23" i="45"/>
  <c r="DI26" i="45"/>
  <c r="DH26" i="45"/>
  <c r="DI25" i="45"/>
  <c r="DH25" i="45"/>
  <c r="DI24" i="45"/>
  <c r="DH24" i="45"/>
  <c r="DI23" i="45"/>
  <c r="DH23" i="45"/>
  <c r="J26" i="45"/>
  <c r="K32" i="45" s="1"/>
  <c r="J25" i="45"/>
  <c r="J24" i="45"/>
  <c r="K30" i="45" s="1"/>
  <c r="J23" i="45"/>
  <c r="AM20" i="45"/>
  <c r="AM19" i="45"/>
  <c r="AM18" i="45"/>
  <c r="AM17" i="45"/>
  <c r="AK20" i="45"/>
  <c r="AK19" i="45"/>
  <c r="AI20" i="45"/>
  <c r="AI19" i="45"/>
  <c r="AE20" i="45"/>
  <c r="AE19" i="45"/>
  <c r="AE18" i="45"/>
  <c r="AE17" i="45"/>
  <c r="AC20" i="45"/>
  <c r="AC19" i="45"/>
  <c r="AC18" i="45"/>
  <c r="W20" i="45"/>
  <c r="W19" i="45"/>
  <c r="W18" i="45"/>
  <c r="W17" i="45"/>
  <c r="U20" i="45"/>
  <c r="U19" i="45"/>
  <c r="U18" i="45"/>
  <c r="U17" i="45"/>
  <c r="Q20" i="45"/>
  <c r="Q19" i="45"/>
  <c r="O20" i="45"/>
  <c r="O19" i="45"/>
  <c r="O18" i="45"/>
  <c r="O17" i="45"/>
  <c r="M20" i="45"/>
  <c r="M19" i="45"/>
  <c r="DI20" i="45"/>
  <c r="DH20" i="45"/>
  <c r="DI19" i="45"/>
  <c r="DH19" i="45"/>
  <c r="DI18" i="45"/>
  <c r="DH18" i="45"/>
  <c r="DI17" i="45"/>
  <c r="DH17" i="45"/>
  <c r="D20" i="45"/>
  <c r="D19" i="45"/>
  <c r="E25" i="45"/>
  <c r="D18" i="45"/>
  <c r="E18" i="45"/>
  <c r="D17" i="45"/>
  <c r="J17" i="45"/>
  <c r="J12" i="45"/>
  <c r="AQ12" i="45" s="1"/>
  <c r="J11" i="45"/>
  <c r="D14" i="45"/>
  <c r="J14" i="45" s="1"/>
  <c r="D13" i="45"/>
  <c r="J13" i="45" s="1"/>
  <c r="AQ13" i="45" s="1"/>
  <c r="DI14" i="45"/>
  <c r="DH14" i="45"/>
  <c r="DI13" i="45"/>
  <c r="DH13" i="45"/>
  <c r="DI12" i="45"/>
  <c r="DH12" i="45"/>
  <c r="DI11" i="45"/>
  <c r="DH11" i="45"/>
  <c r="AB11" i="45"/>
  <c r="AC17" i="45"/>
  <c r="AU10" i="45"/>
  <c r="CF7" i="45"/>
  <c r="CA7" i="45"/>
  <c r="BM7" i="45"/>
  <c r="BW7" i="45" s="1"/>
  <c r="CB7" i="45" s="1"/>
  <c r="CG7" i="45" s="1"/>
  <c r="CK7" i="45" s="1"/>
  <c r="DJ7" i="45" s="1"/>
  <c r="BB7" i="45"/>
  <c r="BA7" i="45"/>
  <c r="BD7" i="45"/>
  <c r="AZ7" i="45"/>
  <c r="A1" i="45"/>
  <c r="AT1" i="45" s="1"/>
  <c r="A413" i="40"/>
  <c r="A431" i="40" s="1"/>
  <c r="A412" i="40"/>
  <c r="A430" i="40" s="1"/>
  <c r="A411" i="40"/>
  <c r="A429" i="40" s="1"/>
  <c r="A410" i="40"/>
  <c r="A428" i="40" s="1"/>
  <c r="A409" i="40"/>
  <c r="A427" i="40" s="1"/>
  <c r="A408" i="40"/>
  <c r="A426" i="40" s="1"/>
  <c r="A407" i="40"/>
  <c r="A425" i="40" s="1"/>
  <c r="A406" i="40"/>
  <c r="A424" i="40" s="1"/>
  <c r="A405" i="40"/>
  <c r="A423" i="40" s="1"/>
  <c r="A404" i="40"/>
  <c r="A422" i="40" s="1"/>
  <c r="A403" i="40"/>
  <c r="A421" i="40" s="1"/>
  <c r="A402" i="40"/>
  <c r="A420" i="40" s="1"/>
  <c r="A401" i="40"/>
  <c r="A419" i="40" s="1"/>
  <c r="A400" i="40"/>
  <c r="A418" i="40" s="1"/>
  <c r="A399" i="40"/>
  <c r="A417" i="40" s="1"/>
  <c r="X395" i="40"/>
  <c r="AV390" i="40"/>
  <c r="AV389" i="40"/>
  <c r="AV388" i="40"/>
  <c r="AV387" i="40"/>
  <c r="AV386" i="40"/>
  <c r="AV385" i="40"/>
  <c r="AV384" i="40"/>
  <c r="AT390" i="40"/>
  <c r="AT389" i="40"/>
  <c r="AT388" i="40"/>
  <c r="AT387" i="40"/>
  <c r="AT386" i="40"/>
  <c r="AT385" i="40"/>
  <c r="AT384" i="40"/>
  <c r="S390" i="40"/>
  <c r="R390" i="40"/>
  <c r="Q390" i="40"/>
  <c r="Q413" i="40" s="1"/>
  <c r="P390" i="40"/>
  <c r="O390" i="40"/>
  <c r="N390" i="40"/>
  <c r="M390" i="40"/>
  <c r="L390" i="40"/>
  <c r="U389" i="40"/>
  <c r="R389" i="40"/>
  <c r="Q389" i="40"/>
  <c r="P389" i="40"/>
  <c r="O389" i="40"/>
  <c r="N389" i="40"/>
  <c r="M389" i="40"/>
  <c r="L389" i="40"/>
  <c r="T388" i="40"/>
  <c r="R388" i="40"/>
  <c r="Q388" i="40"/>
  <c r="P388" i="40"/>
  <c r="O388" i="40"/>
  <c r="N388" i="40"/>
  <c r="M388" i="40"/>
  <c r="L388" i="40"/>
  <c r="R387" i="40"/>
  <c r="Q387" i="40"/>
  <c r="P387" i="40"/>
  <c r="O387" i="40"/>
  <c r="N387" i="40"/>
  <c r="M387" i="40"/>
  <c r="L387" i="40"/>
  <c r="V386" i="40"/>
  <c r="U386" i="40"/>
  <c r="R386" i="40"/>
  <c r="Q386" i="40"/>
  <c r="P386" i="40"/>
  <c r="O386" i="40"/>
  <c r="N386" i="40"/>
  <c r="M386" i="40"/>
  <c r="L386" i="40"/>
  <c r="X385" i="40"/>
  <c r="W385" i="40"/>
  <c r="R385" i="40"/>
  <c r="Q385" i="40"/>
  <c r="P385" i="40"/>
  <c r="O385" i="40"/>
  <c r="N385" i="40"/>
  <c r="M385" i="40"/>
  <c r="L385" i="40"/>
  <c r="Y384" i="40"/>
  <c r="Y383" i="40" s="1"/>
  <c r="DF67" i="28" s="1"/>
  <c r="X384" i="40"/>
  <c r="R384" i="40"/>
  <c r="Q384" i="40"/>
  <c r="P384" i="40"/>
  <c r="Q407" i="40" s="1"/>
  <c r="O384" i="40"/>
  <c r="N384" i="40"/>
  <c r="M384" i="40"/>
  <c r="L384" i="40"/>
  <c r="AO383" i="40"/>
  <c r="DV68" i="28" s="1"/>
  <c r="AN383" i="40"/>
  <c r="AM383" i="40"/>
  <c r="AL383" i="40"/>
  <c r="DS68" i="28" s="1"/>
  <c r="AK383" i="40"/>
  <c r="AJ383" i="40"/>
  <c r="AI383" i="40"/>
  <c r="AH383" i="40"/>
  <c r="AG383" i="40"/>
  <c r="AF383" i="40"/>
  <c r="AE383" i="40"/>
  <c r="AD383" i="40"/>
  <c r="DK68" i="28" s="1"/>
  <c r="AC383" i="40"/>
  <c r="AB383" i="40"/>
  <c r="AA383" i="40"/>
  <c r="Z383" i="40"/>
  <c r="Y382" i="40"/>
  <c r="X382" i="40"/>
  <c r="DE65" i="28" s="1"/>
  <c r="R382" i="40"/>
  <c r="Q382" i="40"/>
  <c r="P382" i="40"/>
  <c r="O382" i="40"/>
  <c r="N382" i="40"/>
  <c r="M382" i="40"/>
  <c r="L382" i="40"/>
  <c r="AO381" i="40"/>
  <c r="AN381" i="40"/>
  <c r="AM381" i="40"/>
  <c r="AL381" i="40"/>
  <c r="AO380" i="40"/>
  <c r="AN380" i="40"/>
  <c r="AM380" i="40"/>
  <c r="AL380" i="40"/>
  <c r="AO379" i="40"/>
  <c r="AN379" i="40"/>
  <c r="AM379" i="40"/>
  <c r="AL379" i="40"/>
  <c r="AO378" i="40"/>
  <c r="AN378" i="40"/>
  <c r="AM378" i="40"/>
  <c r="AL378" i="40"/>
  <c r="AS374" i="40"/>
  <c r="B374" i="40"/>
  <c r="AU373" i="40"/>
  <c r="A371" i="40"/>
  <c r="A367" i="40"/>
  <c r="AK359" i="40"/>
  <c r="AJ359" i="40"/>
  <c r="AI359" i="40"/>
  <c r="AH359" i="40"/>
  <c r="AG359" i="40"/>
  <c r="AF359" i="40"/>
  <c r="AE359" i="40"/>
  <c r="AD359" i="40"/>
  <c r="AK358" i="40"/>
  <c r="AJ358" i="40"/>
  <c r="AI358" i="40"/>
  <c r="AH358" i="40"/>
  <c r="AG358" i="40"/>
  <c r="AF358" i="40"/>
  <c r="AE358" i="40"/>
  <c r="AD358" i="40"/>
  <c r="A330" i="40"/>
  <c r="A338" i="40" s="1"/>
  <c r="A345" i="40" s="1"/>
  <c r="A329" i="40"/>
  <c r="A337" i="40" s="1"/>
  <c r="A320" i="40"/>
  <c r="A366" i="40" s="1"/>
  <c r="A319" i="40"/>
  <c r="A365" i="40"/>
  <c r="A318" i="40"/>
  <c r="A364" i="40" s="1"/>
  <c r="A317" i="40"/>
  <c r="A325" i="40" s="1"/>
  <c r="A333" i="40" s="1"/>
  <c r="A341" i="40" s="1"/>
  <c r="A363" i="40"/>
  <c r="W319" i="40"/>
  <c r="AS315" i="40"/>
  <c r="B315" i="40"/>
  <c r="AU314" i="40"/>
  <c r="A312" i="40"/>
  <c r="P296" i="40"/>
  <c r="O296" i="40"/>
  <c r="N296" i="40"/>
  <c r="AV295" i="40"/>
  <c r="X295" i="40"/>
  <c r="W295" i="40"/>
  <c r="W292" i="40" s="1"/>
  <c r="W301" i="40" s="1"/>
  <c r="V295" i="40"/>
  <c r="U295" i="40"/>
  <c r="T295" i="40"/>
  <c r="S295" i="40"/>
  <c r="R295" i="40"/>
  <c r="Q295" i="40"/>
  <c r="Q296" i="40" s="1"/>
  <c r="AK292" i="40"/>
  <c r="AJ292" i="40"/>
  <c r="AK293" i="40" s="1"/>
  <c r="AI292" i="40"/>
  <c r="AH292" i="40"/>
  <c r="AG292" i="40"/>
  <c r="AF292" i="40"/>
  <c r="AE292" i="40"/>
  <c r="AE293" i="40" s="1"/>
  <c r="AD292" i="40"/>
  <c r="AC292" i="40"/>
  <c r="AB292" i="40"/>
  <c r="AA292" i="40"/>
  <c r="Z292" i="40"/>
  <c r="AA293" i="40" s="1"/>
  <c r="Y292" i="40"/>
  <c r="Y301" i="40" s="1"/>
  <c r="AV301" i="40" s="1"/>
  <c r="P292" i="40"/>
  <c r="P301" i="40" s="1"/>
  <c r="O292" i="40"/>
  <c r="O301" i="40" s="1"/>
  <c r="N292" i="40"/>
  <c r="N301" i="40" s="1"/>
  <c r="X283" i="40"/>
  <c r="U283" i="40"/>
  <c r="S283" i="40"/>
  <c r="R283" i="40"/>
  <c r="Q283" i="40"/>
  <c r="P283" i="40"/>
  <c r="O283" i="40"/>
  <c r="X282" i="40"/>
  <c r="U282" i="40"/>
  <c r="T282" i="40"/>
  <c r="N282" i="40"/>
  <c r="M282" i="40"/>
  <c r="L282" i="40"/>
  <c r="L284" i="40" s="1"/>
  <c r="M281" i="40" s="1"/>
  <c r="Z279" i="40"/>
  <c r="Y279" i="40"/>
  <c r="X279" i="40"/>
  <c r="W279" i="40"/>
  <c r="V279" i="40"/>
  <c r="U279" i="40"/>
  <c r="T279" i="40"/>
  <c r="S279" i="40"/>
  <c r="R279" i="40"/>
  <c r="Q279" i="40"/>
  <c r="P279" i="40"/>
  <c r="O279" i="40"/>
  <c r="O308" i="40" s="1"/>
  <c r="N279" i="40"/>
  <c r="N308" i="40" s="1"/>
  <c r="M279" i="40"/>
  <c r="M308" i="40" s="1"/>
  <c r="L279" i="40"/>
  <c r="L308" i="40"/>
  <c r="AA278" i="40"/>
  <c r="AA279" i="40" s="1"/>
  <c r="Y269" i="40"/>
  <c r="W269" i="40"/>
  <c r="U269" i="40"/>
  <c r="O269" i="40"/>
  <c r="N269" i="40"/>
  <c r="M269" i="40"/>
  <c r="K269" i="40"/>
  <c r="Z261" i="40"/>
  <c r="W359" i="40"/>
  <c r="V359" i="40"/>
  <c r="U359" i="40"/>
  <c r="T359" i="40"/>
  <c r="S359" i="40"/>
  <c r="R359" i="40"/>
  <c r="Q359" i="40"/>
  <c r="P359" i="40"/>
  <c r="AB250" i="40"/>
  <c r="AA250" i="40"/>
  <c r="AA269" i="40" s="1"/>
  <c r="Z250" i="40"/>
  <c r="AA247" i="40" s="1"/>
  <c r="Y250" i="40"/>
  <c r="X250" i="40"/>
  <c r="W250" i="40"/>
  <c r="V250" i="40"/>
  <c r="U250" i="40"/>
  <c r="T250" i="40"/>
  <c r="S250" i="40"/>
  <c r="R250" i="40"/>
  <c r="Q250" i="40"/>
  <c r="P250" i="40"/>
  <c r="O250" i="40"/>
  <c r="N250" i="40"/>
  <c r="M250" i="40"/>
  <c r="L250" i="40"/>
  <c r="K250" i="40"/>
  <c r="BB250" i="40"/>
  <c r="BC250" i="40"/>
  <c r="BB249" i="40"/>
  <c r="BC249" i="40" s="1"/>
  <c r="O239" i="40"/>
  <c r="K240" i="40"/>
  <c r="L237" i="40" s="1"/>
  <c r="AB239" i="40"/>
  <c r="Z239" i="40"/>
  <c r="BA239" i="40" s="1"/>
  <c r="Y239" i="40"/>
  <c r="AZ239" i="40"/>
  <c r="X239" i="40"/>
  <c r="T239" i="40"/>
  <c r="R239" i="40"/>
  <c r="Q239" i="40"/>
  <c r="P239" i="40"/>
  <c r="N239" i="40"/>
  <c r="M239" i="40"/>
  <c r="AC238" i="40"/>
  <c r="AB238" i="40"/>
  <c r="Z238" i="40"/>
  <c r="BA237" i="40" s="1"/>
  <c r="X238" i="40"/>
  <c r="T238" i="40"/>
  <c r="L238" i="40"/>
  <c r="BB238" i="40"/>
  <c r="BA238" i="40"/>
  <c r="AZ238" i="40"/>
  <c r="T234" i="40"/>
  <c r="S234" i="40"/>
  <c r="S320" i="40" s="1"/>
  <c r="R234" i="40"/>
  <c r="R320" i="40" s="1"/>
  <c r="Q234" i="40"/>
  <c r="P234" i="40"/>
  <c r="O234" i="40"/>
  <c r="N234" i="40"/>
  <c r="N320" i="40" s="1"/>
  <c r="O222" i="40"/>
  <c r="O223" i="40" s="1"/>
  <c r="N222" i="40"/>
  <c r="AC214" i="40"/>
  <c r="AD214" i="40" s="1"/>
  <c r="AE214" i="40" s="1"/>
  <c r="AF214" i="40" s="1"/>
  <c r="AG214" i="40" s="1"/>
  <c r="AH214" i="40" s="1"/>
  <c r="AI214" i="40" s="1"/>
  <c r="AJ214" i="40" s="1"/>
  <c r="AK214" i="40" s="1"/>
  <c r="AB214" i="40"/>
  <c r="AA214" i="40"/>
  <c r="Z214" i="40"/>
  <c r="W358" i="40"/>
  <c r="V358" i="40"/>
  <c r="U358" i="40"/>
  <c r="X200" i="40"/>
  <c r="X198" i="40"/>
  <c r="X196" i="40"/>
  <c r="A200" i="40"/>
  <c r="A207" i="40" s="1"/>
  <c r="A218" i="40" s="1"/>
  <c r="L198" i="40"/>
  <c r="A198" i="40"/>
  <c r="A206" i="40" s="1"/>
  <c r="A217" i="40" s="1"/>
  <c r="L196" i="40"/>
  <c r="A196" i="40"/>
  <c r="A205" i="40" s="1"/>
  <c r="A216" i="40" s="1"/>
  <c r="AB200" i="40"/>
  <c r="AA200" i="40"/>
  <c r="Z200" i="40"/>
  <c r="Y200" i="40"/>
  <c r="AB198" i="40"/>
  <c r="AA198" i="40"/>
  <c r="Z198" i="40"/>
  <c r="AA199" i="40" s="1"/>
  <c r="Y198" i="40"/>
  <c r="AB196" i="40"/>
  <c r="AA196" i="40"/>
  <c r="Z196" i="40"/>
  <c r="Y196" i="40"/>
  <c r="W198" i="40"/>
  <c r="V198" i="40"/>
  <c r="U198" i="40"/>
  <c r="T198" i="40"/>
  <c r="S198" i="40"/>
  <c r="R198" i="40"/>
  <c r="Q198" i="40"/>
  <c r="P198" i="40"/>
  <c r="O198" i="40"/>
  <c r="N198" i="40"/>
  <c r="M198" i="40"/>
  <c r="W196" i="40"/>
  <c r="V196" i="40"/>
  <c r="V194" i="40" s="1"/>
  <c r="U196" i="40"/>
  <c r="T196" i="40"/>
  <c r="S196" i="40"/>
  <c r="R196" i="40"/>
  <c r="Q196" i="40"/>
  <c r="P196" i="40"/>
  <c r="O196" i="40"/>
  <c r="N196" i="40"/>
  <c r="M196" i="40"/>
  <c r="A186" i="40"/>
  <c r="A185" i="40"/>
  <c r="A184" i="40"/>
  <c r="L186" i="40"/>
  <c r="L380" i="40" s="1"/>
  <c r="L185" i="40"/>
  <c r="L184" i="40"/>
  <c r="BB179" i="40"/>
  <c r="BB177" i="40"/>
  <c r="AZ176" i="40"/>
  <c r="A176" i="40"/>
  <c r="A175" i="40"/>
  <c r="BG176" i="40"/>
  <c r="BH176" i="40" s="1"/>
  <c r="BI176" i="40" s="1"/>
  <c r="BJ176" i="40" s="1"/>
  <c r="BK176" i="40"/>
  <c r="BL176" i="40" s="1"/>
  <c r="BG175" i="40"/>
  <c r="BB175" i="40"/>
  <c r="BC175" i="40" s="1"/>
  <c r="AK174" i="40"/>
  <c r="AJ174" i="40"/>
  <c r="AI174" i="40"/>
  <c r="AH174" i="40"/>
  <c r="AG174" i="40"/>
  <c r="AF174" i="40"/>
  <c r="AE174" i="40"/>
  <c r="AC177" i="40"/>
  <c r="AC176" i="40"/>
  <c r="AA176" i="40"/>
  <c r="AB175" i="40"/>
  <c r="AA175" i="40"/>
  <c r="Y176" i="40"/>
  <c r="AZ165" i="40" s="1"/>
  <c r="W176" i="40"/>
  <c r="V176" i="40"/>
  <c r="U176" i="40"/>
  <c r="W175" i="40"/>
  <c r="U175" i="40"/>
  <c r="S175" i="40"/>
  <c r="S174" i="40" s="1"/>
  <c r="AK172" i="40"/>
  <c r="AJ172" i="40"/>
  <c r="AI172" i="40"/>
  <c r="AI169" i="40" s="1"/>
  <c r="AH172" i="40"/>
  <c r="AG172" i="40"/>
  <c r="AF172" i="40"/>
  <c r="AE172" i="40"/>
  <c r="AC172" i="40"/>
  <c r="X172" i="40"/>
  <c r="AB171" i="40"/>
  <c r="AA171" i="40"/>
  <c r="Z171" i="40"/>
  <c r="Y171" i="40"/>
  <c r="X171" i="40"/>
  <c r="AC170" i="40"/>
  <c r="AB170" i="40"/>
  <c r="X170" i="40"/>
  <c r="AK169" i="40"/>
  <c r="AH169" i="40"/>
  <c r="AD169" i="40"/>
  <c r="Y167" i="40"/>
  <c r="X167" i="40"/>
  <c r="W167" i="40"/>
  <c r="V167" i="40"/>
  <c r="U167" i="40"/>
  <c r="T167" i="40"/>
  <c r="R167" i="40"/>
  <c r="R164" i="40" s="1"/>
  <c r="Q167" i="40"/>
  <c r="P167" i="40"/>
  <c r="O167" i="40"/>
  <c r="N167" i="40"/>
  <c r="M167" i="40"/>
  <c r="L167" i="40"/>
  <c r="AC166" i="40"/>
  <c r="AB166" i="40"/>
  <c r="X166" i="40"/>
  <c r="U166" i="40"/>
  <c r="S166" i="40"/>
  <c r="R166" i="40"/>
  <c r="Q166" i="40"/>
  <c r="P166" i="40"/>
  <c r="O166" i="40"/>
  <c r="N166" i="40"/>
  <c r="M166" i="40"/>
  <c r="L166" i="40"/>
  <c r="Z165" i="40"/>
  <c r="X165" i="40"/>
  <c r="W165" i="40"/>
  <c r="V165" i="40"/>
  <c r="T165" i="40"/>
  <c r="R165" i="40"/>
  <c r="Q165" i="40"/>
  <c r="P165" i="40"/>
  <c r="O165" i="40"/>
  <c r="N165" i="40"/>
  <c r="M165" i="40"/>
  <c r="L165" i="40"/>
  <c r="AK164" i="40"/>
  <c r="AJ164" i="40"/>
  <c r="AI164" i="40"/>
  <c r="AH164" i="40"/>
  <c r="AG164" i="40"/>
  <c r="AF164" i="40"/>
  <c r="AE164" i="40"/>
  <c r="AD164" i="40"/>
  <c r="L162" i="40"/>
  <c r="BF162" i="40"/>
  <c r="T159" i="40"/>
  <c r="T319" i="40" s="1"/>
  <c r="S159" i="40"/>
  <c r="R159" i="40"/>
  <c r="R319" i="40" s="1"/>
  <c r="Q159" i="40"/>
  <c r="Q319" i="40" s="1"/>
  <c r="P159" i="40"/>
  <c r="P319" i="40" s="1"/>
  <c r="O159" i="40"/>
  <c r="O319" i="40" s="1"/>
  <c r="N159" i="40"/>
  <c r="Y146" i="40"/>
  <c r="T146" i="40"/>
  <c r="N146" i="40"/>
  <c r="K146" i="40"/>
  <c r="L147" i="40" s="1"/>
  <c r="AE140" i="40"/>
  <c r="AF140" i="40" s="1"/>
  <c r="AG140" i="40" s="1"/>
  <c r="AH140" i="40" s="1"/>
  <c r="AI140" i="40" s="1"/>
  <c r="AJ140" i="40" s="1"/>
  <c r="AK140" i="40" s="1"/>
  <c r="Z140" i="40"/>
  <c r="BA131" i="40" s="1"/>
  <c r="BA132" i="40" s="1"/>
  <c r="X357" i="40"/>
  <c r="W357" i="40"/>
  <c r="V357" i="40"/>
  <c r="U357" i="40"/>
  <c r="T357" i="40"/>
  <c r="S357" i="40"/>
  <c r="R357" i="40"/>
  <c r="Q357" i="40"/>
  <c r="P357" i="40"/>
  <c r="AZ132" i="40"/>
  <c r="BB133" i="40"/>
  <c r="BC133" i="40" s="1"/>
  <c r="BD133" i="40" s="1"/>
  <c r="BE133" i="40" s="1"/>
  <c r="BF133" i="40" s="1"/>
  <c r="BG133" i="40" s="1"/>
  <c r="BH133" i="40" s="1"/>
  <c r="BI133" i="40" s="1"/>
  <c r="BJ133" i="40" s="1"/>
  <c r="BK133" i="40" s="1"/>
  <c r="BL133" i="40" s="1"/>
  <c r="BM133" i="40" s="1"/>
  <c r="BN133" i="40" s="1"/>
  <c r="BO133" i="40" s="1"/>
  <c r="BP133" i="40" s="1"/>
  <c r="BQ133" i="40" s="1"/>
  <c r="BR133" i="40" s="1"/>
  <c r="BS133" i="40" s="1"/>
  <c r="BB131" i="40"/>
  <c r="BJ130" i="40"/>
  <c r="BK130" i="40" s="1"/>
  <c r="BL130" i="40" s="1"/>
  <c r="BO130" i="40"/>
  <c r="BB130" i="40"/>
  <c r="BC130" i="40"/>
  <c r="BD130" i="40" s="1"/>
  <c r="BE130" i="40" s="1"/>
  <c r="BE117" i="40" s="1"/>
  <c r="AJ129" i="40"/>
  <c r="AI129" i="40"/>
  <c r="AJ130" i="40" s="1"/>
  <c r="AJ364" i="40" s="1"/>
  <c r="AH129" i="40"/>
  <c r="AF129" i="40"/>
  <c r="AF146" i="40" s="1"/>
  <c r="AE129" i="40"/>
  <c r="AC129" i="40"/>
  <c r="AB129" i="40"/>
  <c r="AB146" i="40"/>
  <c r="AA129" i="40"/>
  <c r="Z129" i="40"/>
  <c r="Y129" i="40"/>
  <c r="X129" i="40"/>
  <c r="W129" i="40"/>
  <c r="V129" i="40"/>
  <c r="U129" i="40"/>
  <c r="T129" i="40"/>
  <c r="S129" i="40"/>
  <c r="R129" i="40"/>
  <c r="Q129" i="40"/>
  <c r="P129" i="40"/>
  <c r="O129" i="40"/>
  <c r="N129" i="40"/>
  <c r="M129" i="40"/>
  <c r="L129" i="40"/>
  <c r="K129" i="40"/>
  <c r="L130" i="40" s="1"/>
  <c r="BB127" i="40"/>
  <c r="BC127" i="40" s="1"/>
  <c r="BD127" i="40" s="1"/>
  <c r="BG127" i="40"/>
  <c r="BF125" i="40"/>
  <c r="BG125" i="40"/>
  <c r="BB125" i="40"/>
  <c r="BC125" i="40"/>
  <c r="BF124" i="40"/>
  <c r="BB124" i="40"/>
  <c r="BC124" i="40" s="1"/>
  <c r="BH124" i="40"/>
  <c r="BI124" i="40" s="1"/>
  <c r="BG123" i="40"/>
  <c r="BH123" i="40" s="1"/>
  <c r="BI123" i="40" s="1"/>
  <c r="BJ123" i="40" s="1"/>
  <c r="BK123" i="40" s="1"/>
  <c r="BL123" i="40" s="1"/>
  <c r="BM123" i="40" s="1"/>
  <c r="BN123" i="40" s="1"/>
  <c r="BO123" i="40" s="1"/>
  <c r="BP123" i="40" s="1"/>
  <c r="BQ123" i="40" s="1"/>
  <c r="BR123" i="40" s="1"/>
  <c r="BS123" i="40" s="1"/>
  <c r="BB123" i="40"/>
  <c r="BC123" i="40" s="1"/>
  <c r="BD123" i="40" s="1"/>
  <c r="BE123" i="40" s="1"/>
  <c r="BF121" i="40"/>
  <c r="AK118" i="40"/>
  <c r="AJ118" i="40"/>
  <c r="AH118" i="40"/>
  <c r="AG118" i="40"/>
  <c r="AE118" i="40"/>
  <c r="AD118" i="40"/>
  <c r="AB118" i="40"/>
  <c r="AA118" i="40"/>
  <c r="BB118" i="40" s="1"/>
  <c r="X118" i="40"/>
  <c r="W118" i="40"/>
  <c r="V118" i="40"/>
  <c r="U118" i="40"/>
  <c r="AK117" i="40"/>
  <c r="AH117" i="40"/>
  <c r="AE117" i="40"/>
  <c r="AD117" i="40"/>
  <c r="BE116" i="40" s="1"/>
  <c r="AC117" i="40"/>
  <c r="AA117" i="40"/>
  <c r="X117" i="40"/>
  <c r="W117" i="40"/>
  <c r="V117" i="40"/>
  <c r="U117" i="40"/>
  <c r="T117" i="40"/>
  <c r="S117" i="40"/>
  <c r="R117" i="40"/>
  <c r="Q117" i="40"/>
  <c r="P117" i="40"/>
  <c r="O117" i="40"/>
  <c r="N117" i="40"/>
  <c r="M117" i="40"/>
  <c r="L117" i="40"/>
  <c r="L116" i="40"/>
  <c r="BA117" i="40"/>
  <c r="AZ117" i="40"/>
  <c r="T113" i="40"/>
  <c r="T318" i="40" s="1"/>
  <c r="S113" i="40"/>
  <c r="R113" i="40"/>
  <c r="R318" i="40" s="1"/>
  <c r="Q113" i="40"/>
  <c r="P113" i="40"/>
  <c r="P318" i="40" s="1"/>
  <c r="O113" i="40"/>
  <c r="N113" i="40"/>
  <c r="N318" i="40" s="1"/>
  <c r="Y93" i="40"/>
  <c r="AE92" i="40"/>
  <c r="AF92" i="40" s="1"/>
  <c r="AG92" i="40" s="1"/>
  <c r="AH92" i="40" s="1"/>
  <c r="AI92" i="40" s="1"/>
  <c r="AJ92" i="40" s="1"/>
  <c r="AD92" i="40"/>
  <c r="AC92" i="40"/>
  <c r="AB92" i="40"/>
  <c r="AA92" i="40"/>
  <c r="Z92" i="40"/>
  <c r="X356" i="40"/>
  <c r="W356" i="40"/>
  <c r="V356" i="40"/>
  <c r="U356" i="40"/>
  <c r="T356" i="40"/>
  <c r="S356" i="40"/>
  <c r="R356" i="40"/>
  <c r="Q356" i="40"/>
  <c r="P356" i="40"/>
  <c r="AJ81" i="40"/>
  <c r="AH81" i="40"/>
  <c r="AG81" i="40"/>
  <c r="AE81" i="40"/>
  <c r="AD81" i="40"/>
  <c r="AC81" i="40"/>
  <c r="AC99" i="40" s="1"/>
  <c r="AC100" i="40" s="1"/>
  <c r="AB81" i="40"/>
  <c r="AB99" i="40" s="1"/>
  <c r="AA81" i="40"/>
  <c r="Z81" i="40"/>
  <c r="Z99" i="40" s="1"/>
  <c r="Y81" i="40"/>
  <c r="X81" i="40"/>
  <c r="V81" i="40"/>
  <c r="N81" i="40"/>
  <c r="M81" i="40"/>
  <c r="BB80" i="40"/>
  <c r="BC80" i="40" s="1"/>
  <c r="BF79" i="40"/>
  <c r="BG79" i="40" s="1"/>
  <c r="BH79" i="40" s="1"/>
  <c r="BG78" i="40"/>
  <c r="BH78" i="40" s="1"/>
  <c r="BI78" i="40" s="1"/>
  <c r="BJ78" i="40" s="1"/>
  <c r="BK78" i="40" s="1"/>
  <c r="BL78" i="40" s="1"/>
  <c r="BM78" i="40" s="1"/>
  <c r="BN78" i="40" s="1"/>
  <c r="BO78" i="40" s="1"/>
  <c r="BP78" i="40" s="1"/>
  <c r="BQ78" i="40" s="1"/>
  <c r="BR78" i="40" s="1"/>
  <c r="BS78" i="40" s="1"/>
  <c r="BB77" i="40"/>
  <c r="BC77" i="40" s="1"/>
  <c r="BG73" i="40"/>
  <c r="BG72" i="40"/>
  <c r="BG74" i="40" s="1"/>
  <c r="BB73" i="40"/>
  <c r="BC73" i="40"/>
  <c r="BB72" i="40"/>
  <c r="BC72" i="40" s="1"/>
  <c r="BI73" i="40"/>
  <c r="BJ73" i="40"/>
  <c r="BK73" i="40" s="1"/>
  <c r="BL73" i="40" s="1"/>
  <c r="BB71" i="40"/>
  <c r="BC71" i="40"/>
  <c r="AJ70" i="40"/>
  <c r="BK66" i="40" s="1"/>
  <c r="AI70" i="40"/>
  <c r="AE70" i="40"/>
  <c r="AC70" i="40"/>
  <c r="AB70" i="40"/>
  <c r="Z70" i="40"/>
  <c r="BA66" i="40" s="1"/>
  <c r="Y70" i="40"/>
  <c r="AZ66" i="40" s="1"/>
  <c r="X70" i="40"/>
  <c r="AD69" i="40"/>
  <c r="BE64" i="40" s="1"/>
  <c r="AC69" i="40"/>
  <c r="Z69" i="40"/>
  <c r="BA64" i="40" s="1"/>
  <c r="X69" i="40"/>
  <c r="R69" i="40"/>
  <c r="Q69" i="40"/>
  <c r="P69" i="40"/>
  <c r="O69" i="40"/>
  <c r="N69" i="40"/>
  <c r="BF66" i="40"/>
  <c r="BF65" i="40"/>
  <c r="T63" i="40"/>
  <c r="T11" i="40" s="1"/>
  <c r="S63" i="40"/>
  <c r="R63" i="40"/>
  <c r="Q63" i="40"/>
  <c r="P63" i="40"/>
  <c r="O63" i="40"/>
  <c r="N63" i="40"/>
  <c r="N11" i="40" s="1"/>
  <c r="AG61" i="40"/>
  <c r="T59" i="40"/>
  <c r="S59" i="40"/>
  <c r="R59" i="40"/>
  <c r="Q59" i="40"/>
  <c r="P59" i="40"/>
  <c r="O59" i="40"/>
  <c r="N59" i="40"/>
  <c r="AU56" i="40"/>
  <c r="J46" i="40"/>
  <c r="I46" i="40"/>
  <c r="J47" i="40" s="1"/>
  <c r="J49" i="40" s="1"/>
  <c r="H46" i="40"/>
  <c r="G46" i="40"/>
  <c r="F46" i="40"/>
  <c r="F48" i="40" s="1"/>
  <c r="E46" i="40"/>
  <c r="D46" i="40"/>
  <c r="C46" i="40"/>
  <c r="C48" i="40" s="1"/>
  <c r="B46" i="40"/>
  <c r="J44" i="40"/>
  <c r="I44" i="40"/>
  <c r="H44" i="40"/>
  <c r="G44" i="40"/>
  <c r="F44" i="40"/>
  <c r="E44" i="40"/>
  <c r="D44" i="40"/>
  <c r="C44" i="40"/>
  <c r="B44" i="40"/>
  <c r="AJ39" i="40"/>
  <c r="AI39" i="40"/>
  <c r="Y9" i="20" s="1"/>
  <c r="AH39" i="40"/>
  <c r="K38" i="85" s="1"/>
  <c r="AF39" i="40"/>
  <c r="AE39" i="40"/>
  <c r="AE360" i="40" s="1"/>
  <c r="AD39" i="40"/>
  <c r="AC39" i="40"/>
  <c r="AB39" i="40"/>
  <c r="AA39" i="40"/>
  <c r="AA360" i="40" s="1"/>
  <c r="Z39" i="40"/>
  <c r="Z360" i="40" s="1"/>
  <c r="Y39" i="40"/>
  <c r="W39" i="40"/>
  <c r="V39" i="40"/>
  <c r="L9" i="20" s="1"/>
  <c r="U39" i="40"/>
  <c r="T39" i="40"/>
  <c r="S39" i="40"/>
  <c r="R39" i="40"/>
  <c r="Q39" i="40"/>
  <c r="Q360" i="40" s="1"/>
  <c r="P39" i="40"/>
  <c r="P360" i="40" s="1"/>
  <c r="O39" i="40"/>
  <c r="E9" i="20" s="1"/>
  <c r="N39" i="40"/>
  <c r="D9" i="20" s="1"/>
  <c r="M39" i="40"/>
  <c r="C9" i="20" s="1"/>
  <c r="L39" i="40"/>
  <c r="B9" i="20" s="1"/>
  <c r="F33" i="40"/>
  <c r="E33" i="40"/>
  <c r="D33" i="40"/>
  <c r="C33" i="40"/>
  <c r="B33" i="40"/>
  <c r="C34" i="40" s="1"/>
  <c r="N31" i="40"/>
  <c r="N367" i="40" s="1"/>
  <c r="M31" i="40"/>
  <c r="M367" i="40" s="1"/>
  <c r="L31" i="40"/>
  <c r="K31" i="40"/>
  <c r="J31" i="40"/>
  <c r="I31" i="40"/>
  <c r="H31" i="40"/>
  <c r="G31" i="40"/>
  <c r="F31" i="40"/>
  <c r="E31" i="40"/>
  <c r="D31" i="40"/>
  <c r="C31" i="40"/>
  <c r="B31" i="40"/>
  <c r="AJ30" i="40"/>
  <c r="AI30" i="40"/>
  <c r="AH30" i="40"/>
  <c r="AI31" i="40" s="1"/>
  <c r="AI367" i="40" s="1"/>
  <c r="AG30" i="40"/>
  <c r="AF30" i="40"/>
  <c r="AE30" i="40"/>
  <c r="N27" i="40"/>
  <c r="M27" i="40"/>
  <c r="L27" i="40"/>
  <c r="K27" i="40"/>
  <c r="J27" i="40"/>
  <c r="I27" i="40"/>
  <c r="I36" i="40" s="1"/>
  <c r="H27" i="40"/>
  <c r="H36" i="40" s="1"/>
  <c r="G27" i="40"/>
  <c r="G36" i="40"/>
  <c r="H37" i="40" s="1"/>
  <c r="F27" i="40"/>
  <c r="E27" i="40"/>
  <c r="E36" i="40" s="1"/>
  <c r="D27" i="40"/>
  <c r="D36" i="40" s="1"/>
  <c r="C27" i="40"/>
  <c r="B27" i="40"/>
  <c r="B36" i="40"/>
  <c r="B21" i="40"/>
  <c r="B24" i="40" s="1"/>
  <c r="Q17" i="40"/>
  <c r="L17" i="40"/>
  <c r="J17" i="40"/>
  <c r="G17" i="40"/>
  <c r="G16" i="40"/>
  <c r="G20" i="40" s="1"/>
  <c r="G21" i="40" s="1"/>
  <c r="X17" i="40"/>
  <c r="F16" i="40"/>
  <c r="F21" i="40" s="1"/>
  <c r="E16" i="40"/>
  <c r="E21" i="40" s="1"/>
  <c r="D16" i="40"/>
  <c r="D21" i="40" s="1"/>
  <c r="D22" i="40" s="1"/>
  <c r="C16" i="40"/>
  <c r="C21" i="40" s="1"/>
  <c r="C22" i="40" s="1"/>
  <c r="J14" i="40"/>
  <c r="I14" i="40"/>
  <c r="H14" i="40"/>
  <c r="G14" i="40"/>
  <c r="F14" i="40"/>
  <c r="E14" i="40"/>
  <c r="D14" i="40"/>
  <c r="C14" i="40"/>
  <c r="B14" i="40"/>
  <c r="AV5" i="40"/>
  <c r="AV374" i="40" s="1"/>
  <c r="AT5" i="40"/>
  <c r="AT374" i="40" s="1"/>
  <c r="C5" i="40"/>
  <c r="O125" i="20"/>
  <c r="O126" i="20"/>
  <c r="A121" i="20"/>
  <c r="A120" i="20"/>
  <c r="A119" i="20"/>
  <c r="A118" i="20"/>
  <c r="A114" i="20"/>
  <c r="A113" i="20"/>
  <c r="A112" i="20"/>
  <c r="A111" i="20"/>
  <c r="AA106" i="20"/>
  <c r="Z106" i="20"/>
  <c r="X106" i="20"/>
  <c r="V106" i="20"/>
  <c r="AA105" i="20"/>
  <c r="Z105" i="20"/>
  <c r="X105" i="20"/>
  <c r="V105" i="20"/>
  <c r="AA104" i="20"/>
  <c r="Z104" i="20"/>
  <c r="Z108" i="20" s="1"/>
  <c r="Z122" i="20" s="1"/>
  <c r="Y104" i="20"/>
  <c r="X104" i="20"/>
  <c r="W104" i="20"/>
  <c r="V104" i="20"/>
  <c r="P74" i="20"/>
  <c r="DG29" i="28" s="1"/>
  <c r="K74" i="20"/>
  <c r="K73" i="20"/>
  <c r="K68" i="20"/>
  <c r="J68" i="20"/>
  <c r="Z65" i="20"/>
  <c r="DQ28" i="28" s="1"/>
  <c r="Y65" i="20"/>
  <c r="X65" i="20"/>
  <c r="V65" i="20"/>
  <c r="U65" i="20"/>
  <c r="H26" i="85" s="1"/>
  <c r="T65" i="20"/>
  <c r="S65" i="20"/>
  <c r="F26" i="85" s="1"/>
  <c r="F150" i="85" s="1"/>
  <c r="R65" i="20"/>
  <c r="E26" i="85" s="1"/>
  <c r="Q65" i="20"/>
  <c r="D26" i="85" s="1"/>
  <c r="P65" i="20"/>
  <c r="C26" i="85" s="1"/>
  <c r="C150" i="85" s="1"/>
  <c r="O65" i="20"/>
  <c r="M65" i="20"/>
  <c r="DD28" i="28" s="1"/>
  <c r="L65" i="20"/>
  <c r="DC28" i="28" s="1"/>
  <c r="K65" i="20"/>
  <c r="DB28" i="28" s="1"/>
  <c r="J65" i="20"/>
  <c r="DA28" i="28" s="1"/>
  <c r="I65" i="20"/>
  <c r="CZ28" i="28" s="1"/>
  <c r="T16" i="20"/>
  <c r="S16" i="20"/>
  <c r="R16" i="20"/>
  <c r="Q16" i="20"/>
  <c r="P16" i="20"/>
  <c r="O16" i="20"/>
  <c r="N16" i="20"/>
  <c r="M16" i="20"/>
  <c r="L16" i="20"/>
  <c r="K16" i="20"/>
  <c r="J16" i="20"/>
  <c r="Z13" i="20"/>
  <c r="Y13" i="20"/>
  <c r="X13" i="20"/>
  <c r="X16" i="20" s="1"/>
  <c r="W13" i="20"/>
  <c r="W16" i="20" s="1"/>
  <c r="V13" i="20"/>
  <c r="V16" i="20"/>
  <c r="U13" i="20"/>
  <c r="T13" i="20"/>
  <c r="S13" i="20"/>
  <c r="R13" i="20"/>
  <c r="C5" i="20"/>
  <c r="D5" i="20" s="1"/>
  <c r="E5" i="20" s="1"/>
  <c r="A1" i="20"/>
  <c r="A235" i="29"/>
  <c r="A234" i="29"/>
  <c r="B233" i="29"/>
  <c r="B232" i="29"/>
  <c r="B231" i="29"/>
  <c r="B230" i="29"/>
  <c r="B229" i="29"/>
  <c r="A232" i="29"/>
  <c r="A231" i="29"/>
  <c r="A230" i="29"/>
  <c r="A229" i="29"/>
  <c r="E227" i="29"/>
  <c r="A225" i="29"/>
  <c r="A224" i="29"/>
  <c r="B223" i="29"/>
  <c r="B222" i="29"/>
  <c r="B221" i="29"/>
  <c r="B220" i="29"/>
  <c r="B219" i="29"/>
  <c r="A222" i="29"/>
  <c r="A221" i="29"/>
  <c r="A220" i="29"/>
  <c r="A219" i="29"/>
  <c r="E217" i="29"/>
  <c r="A215" i="29"/>
  <c r="A214" i="29"/>
  <c r="B213" i="29"/>
  <c r="B212" i="29"/>
  <c r="B211" i="29"/>
  <c r="B210" i="29"/>
  <c r="B209" i="29"/>
  <c r="A212" i="29"/>
  <c r="A211" i="29"/>
  <c r="A210" i="29"/>
  <c r="A209" i="29"/>
  <c r="CT210" i="29"/>
  <c r="CU210" i="29" s="1"/>
  <c r="E207" i="29"/>
  <c r="AT199" i="29"/>
  <c r="AT200" i="29" s="1"/>
  <c r="AT204" i="29" s="1"/>
  <c r="AP204" i="29"/>
  <c r="AP203" i="29"/>
  <c r="A204" i="29"/>
  <c r="A203" i="29"/>
  <c r="DF204" i="29"/>
  <c r="DF203" i="29"/>
  <c r="DB204" i="29"/>
  <c r="DB203" i="29"/>
  <c r="CX204" i="29"/>
  <c r="CY204" i="29" s="1"/>
  <c r="CX203" i="29"/>
  <c r="CT204" i="29"/>
  <c r="CT203" i="29"/>
  <c r="CU203" i="29" s="1"/>
  <c r="CL204" i="29"/>
  <c r="CL203" i="29"/>
  <c r="DF202" i="29"/>
  <c r="DG202" i="29"/>
  <c r="DB202" i="29"/>
  <c r="Z31" i="20" s="1"/>
  <c r="M13" i="85" s="1"/>
  <c r="CX202" i="29"/>
  <c r="Y31" i="20" s="1"/>
  <c r="CT202" i="29"/>
  <c r="CL202" i="29"/>
  <c r="V31" i="20" s="1"/>
  <c r="CH204" i="29"/>
  <c r="CM204" i="29" s="1"/>
  <c r="CH203" i="29"/>
  <c r="CI203" i="29" s="1"/>
  <c r="CH202" i="29"/>
  <c r="CM202" i="29"/>
  <c r="CD204" i="29"/>
  <c r="CD203" i="29"/>
  <c r="CD202" i="29"/>
  <c r="BZ204" i="29"/>
  <c r="BZ203" i="29"/>
  <c r="CE203" i="29" s="1"/>
  <c r="BZ202" i="29"/>
  <c r="BV204" i="29"/>
  <c r="BV203" i="29"/>
  <c r="BV202" i="29"/>
  <c r="BW202" i="29" s="1"/>
  <c r="BR202" i="29"/>
  <c r="BN202" i="29"/>
  <c r="BJ202" i="29"/>
  <c r="B202" i="29"/>
  <c r="B201" i="29"/>
  <c r="B200" i="29"/>
  <c r="B199" i="29"/>
  <c r="B198" i="29"/>
  <c r="CI201" i="29"/>
  <c r="CI200" i="29"/>
  <c r="CI199" i="29"/>
  <c r="CI198" i="29"/>
  <c r="CE201" i="29"/>
  <c r="CE200" i="29"/>
  <c r="CE199" i="29"/>
  <c r="CE198" i="29"/>
  <c r="CA201" i="29"/>
  <c r="CA200" i="29"/>
  <c r="CA199" i="29"/>
  <c r="CA198" i="29"/>
  <c r="BW201" i="29"/>
  <c r="BW200" i="29"/>
  <c r="BW198" i="29"/>
  <c r="BS201" i="29"/>
  <c r="BS200" i="29"/>
  <c r="BS198" i="29"/>
  <c r="BO201" i="29"/>
  <c r="BO200" i="29"/>
  <c r="BO198" i="29"/>
  <c r="BK198" i="29"/>
  <c r="A201" i="29"/>
  <c r="A200" i="29"/>
  <c r="A199" i="29"/>
  <c r="A198" i="29"/>
  <c r="BR199" i="29"/>
  <c r="BR204" i="29" s="1"/>
  <c r="BN199" i="29"/>
  <c r="BN203" i="29"/>
  <c r="BJ199" i="29"/>
  <c r="BJ204" i="29" s="1"/>
  <c r="BF200" i="29"/>
  <c r="BF204" i="29" s="1"/>
  <c r="BF199" i="29"/>
  <c r="AX199" i="29"/>
  <c r="DG201" i="29"/>
  <c r="DG200" i="29"/>
  <c r="DH199" i="29"/>
  <c r="DG199" i="29"/>
  <c r="DH198" i="29"/>
  <c r="DG198" i="29"/>
  <c r="DD201" i="29"/>
  <c r="DC201" i="29"/>
  <c r="DD200" i="29"/>
  <c r="DC200" i="29"/>
  <c r="DD199" i="29"/>
  <c r="DC199" i="29"/>
  <c r="DD198" i="29"/>
  <c r="DC198" i="29"/>
  <c r="CZ201" i="29"/>
  <c r="CY201" i="29"/>
  <c r="CZ200" i="29"/>
  <c r="CY200" i="29"/>
  <c r="CZ199" i="29"/>
  <c r="CY199" i="29"/>
  <c r="CZ198" i="29"/>
  <c r="CY198" i="29"/>
  <c r="CV201" i="29"/>
  <c r="CV200" i="29"/>
  <c r="CU200" i="29"/>
  <c r="CV199" i="29"/>
  <c r="CU199" i="29"/>
  <c r="CV198" i="29"/>
  <c r="CU198" i="29"/>
  <c r="CN201" i="29"/>
  <c r="CM201" i="29"/>
  <c r="CN200" i="29"/>
  <c r="CM200" i="29"/>
  <c r="CN199" i="29"/>
  <c r="CM199" i="29"/>
  <c r="CN198" i="29"/>
  <c r="CM198" i="29"/>
  <c r="BB198" i="29"/>
  <c r="BG198" i="29" s="1"/>
  <c r="W11" i="28" s="1"/>
  <c r="BC198" i="29"/>
  <c r="AY198" i="29"/>
  <c r="AT194" i="29"/>
  <c r="AY194" i="29" s="1"/>
  <c r="AT193" i="29"/>
  <c r="AT192" i="29"/>
  <c r="L74" i="20" s="1"/>
  <c r="DC29" i="28" s="1"/>
  <c r="A194" i="29"/>
  <c r="A193" i="29"/>
  <c r="CL194" i="29"/>
  <c r="CL193" i="29"/>
  <c r="CH194" i="29"/>
  <c r="CI194" i="29" s="1"/>
  <c r="CH193" i="29"/>
  <c r="CD194" i="29"/>
  <c r="CD193" i="29"/>
  <c r="CM192" i="29"/>
  <c r="CM190" i="29"/>
  <c r="CM189" i="29"/>
  <c r="CM188" i="29"/>
  <c r="CI192" i="29"/>
  <c r="CI190" i="29"/>
  <c r="CI189" i="29"/>
  <c r="CI188" i="29"/>
  <c r="CE190" i="29"/>
  <c r="CE189" i="29"/>
  <c r="CE188" i="29"/>
  <c r="BZ194" i="29"/>
  <c r="BZ193" i="29"/>
  <c r="BZ192" i="29"/>
  <c r="CE192" i="29" s="1"/>
  <c r="BV194" i="29"/>
  <c r="BV193" i="29"/>
  <c r="BV192" i="29"/>
  <c r="BN194" i="29"/>
  <c r="BO194" i="29" s="1"/>
  <c r="BN193" i="29"/>
  <c r="BN192" i="29"/>
  <c r="BO192" i="29" s="1"/>
  <c r="BJ194" i="29"/>
  <c r="BJ193" i="29"/>
  <c r="BJ192" i="29"/>
  <c r="BF194" i="29"/>
  <c r="BF193" i="29"/>
  <c r="BF192" i="29"/>
  <c r="BB194" i="29"/>
  <c r="BC194" i="29" s="1"/>
  <c r="BB193" i="29"/>
  <c r="BB192" i="29"/>
  <c r="N74" i="20" s="1"/>
  <c r="DE29" i="28" s="1"/>
  <c r="BC192" i="29"/>
  <c r="AX194" i="29"/>
  <c r="AX193" i="29"/>
  <c r="AX192" i="29"/>
  <c r="B192" i="29"/>
  <c r="B191" i="29"/>
  <c r="B190" i="29"/>
  <c r="B189" i="29"/>
  <c r="B188" i="29"/>
  <c r="CL191" i="29"/>
  <c r="CM191" i="29" s="1"/>
  <c r="CH191" i="29"/>
  <c r="CD191" i="29"/>
  <c r="CI191" i="29"/>
  <c r="CA191" i="29"/>
  <c r="CA190" i="29"/>
  <c r="CA189" i="29"/>
  <c r="CA188" i="29"/>
  <c r="BO191" i="29"/>
  <c r="BO190" i="29"/>
  <c r="BO189" i="29"/>
  <c r="BO188" i="29"/>
  <c r="BK191" i="29"/>
  <c r="BK190" i="29"/>
  <c r="BK189" i="29"/>
  <c r="BK188" i="29"/>
  <c r="BG191" i="29"/>
  <c r="Z29" i="28" s="1"/>
  <c r="BG190" i="29"/>
  <c r="Y29" i="28" s="1"/>
  <c r="BG189" i="29"/>
  <c r="X29" i="28" s="1"/>
  <c r="BG188" i="29"/>
  <c r="W29" i="28" s="1"/>
  <c r="BC191" i="29"/>
  <c r="BC190" i="29"/>
  <c r="BC189" i="29"/>
  <c r="BC188" i="29"/>
  <c r="AY191" i="29"/>
  <c r="AY190" i="29"/>
  <c r="AY189" i="29"/>
  <c r="AY188" i="29"/>
  <c r="A191" i="29"/>
  <c r="A190" i="29"/>
  <c r="A189" i="29"/>
  <c r="A188" i="29"/>
  <c r="BR191" i="29"/>
  <c r="BR190" i="29"/>
  <c r="BR189" i="29"/>
  <c r="BR188" i="29"/>
  <c r="BR193" i="29" s="1"/>
  <c r="BS193" i="29" s="1"/>
  <c r="BF184" i="29"/>
  <c r="O73" i="20"/>
  <c r="DF30" i="28" s="1"/>
  <c r="BB184" i="29"/>
  <c r="AX184" i="29"/>
  <c r="AT184" i="29"/>
  <c r="B184" i="29"/>
  <c r="B183" i="29"/>
  <c r="B182" i="29"/>
  <c r="B181" i="29"/>
  <c r="B180" i="29"/>
  <c r="BG183" i="29"/>
  <c r="Z30" i="28" s="1"/>
  <c r="BG182" i="29"/>
  <c r="Y30" i="28" s="1"/>
  <c r="BG181" i="29"/>
  <c r="X30" i="28" s="1"/>
  <c r="BG180" i="29"/>
  <c r="W30" i="28" s="1"/>
  <c r="BC183" i="29"/>
  <c r="BC182" i="29"/>
  <c r="BC181" i="29"/>
  <c r="BC180" i="29"/>
  <c r="AY183" i="29"/>
  <c r="AY182" i="29"/>
  <c r="AY181" i="29"/>
  <c r="AY180" i="29"/>
  <c r="A183" i="29"/>
  <c r="A182" i="29"/>
  <c r="A181" i="29"/>
  <c r="A180" i="29"/>
  <c r="BJ183" i="29"/>
  <c r="BJ182" i="29"/>
  <c r="BK182" i="29" s="1"/>
  <c r="BK181" i="29"/>
  <c r="BK180" i="29"/>
  <c r="D173" i="29"/>
  <c r="D172" i="29"/>
  <c r="D171" i="29"/>
  <c r="D175" i="29" s="1"/>
  <c r="D170" i="29"/>
  <c r="A176" i="29"/>
  <c r="A175" i="29"/>
  <c r="DB176" i="29"/>
  <c r="DB175" i="29"/>
  <c r="DB174" i="29"/>
  <c r="Z68" i="20" s="1"/>
  <c r="CX176" i="29"/>
  <c r="CX175" i="29"/>
  <c r="CY175" i="29" s="1"/>
  <c r="CX174" i="29"/>
  <c r="Y68" i="20" s="1"/>
  <c r="CT176" i="29"/>
  <c r="CT175" i="29"/>
  <c r="CT174" i="29"/>
  <c r="X68" i="20" s="1"/>
  <c r="CH176" i="29"/>
  <c r="CH175" i="29"/>
  <c r="CH174" i="29"/>
  <c r="CI174" i="29" s="1"/>
  <c r="CD176" i="29"/>
  <c r="CE176" i="29" s="1"/>
  <c r="CD175" i="29"/>
  <c r="CD174" i="29"/>
  <c r="BZ176" i="29"/>
  <c r="BZ175" i="29"/>
  <c r="BZ174" i="29"/>
  <c r="BV176" i="29"/>
  <c r="BW176" i="29" s="1"/>
  <c r="BV175" i="29"/>
  <c r="BV174" i="29"/>
  <c r="R68" i="20" s="1"/>
  <c r="BR176" i="29"/>
  <c r="BR175" i="29"/>
  <c r="BR174" i="29"/>
  <c r="Q68" i="20"/>
  <c r="BN176" i="29"/>
  <c r="BN175" i="29"/>
  <c r="BN174" i="29"/>
  <c r="BF176" i="29"/>
  <c r="BF175" i="29"/>
  <c r="BF174" i="29"/>
  <c r="O68" i="20"/>
  <c r="BB176" i="29"/>
  <c r="BB175" i="29"/>
  <c r="BC175" i="29" s="1"/>
  <c r="BB174" i="29"/>
  <c r="N68" i="20" s="1"/>
  <c r="AX176" i="29"/>
  <c r="AY176" i="29" s="1"/>
  <c r="AX175" i="29"/>
  <c r="AY175" i="29" s="1"/>
  <c r="AX174" i="29"/>
  <c r="AT176" i="29"/>
  <c r="AT175" i="29"/>
  <c r="AT174" i="29"/>
  <c r="AQ174" i="29"/>
  <c r="B174" i="29"/>
  <c r="B173" i="29"/>
  <c r="B172" i="29"/>
  <c r="B171" i="29"/>
  <c r="B170" i="29"/>
  <c r="DC173" i="29"/>
  <c r="DC172" i="29"/>
  <c r="DC171" i="29"/>
  <c r="DC170" i="29"/>
  <c r="CY173" i="29"/>
  <c r="CY172" i="29"/>
  <c r="CY171" i="29"/>
  <c r="CY170" i="29"/>
  <c r="CU172" i="29"/>
  <c r="CU171" i="29"/>
  <c r="CU170" i="29"/>
  <c r="CU175" i="29"/>
  <c r="CI173" i="29"/>
  <c r="CI172" i="29"/>
  <c r="CI171" i="29"/>
  <c r="CI170" i="29"/>
  <c r="CE173" i="29"/>
  <c r="CE172" i="29"/>
  <c r="CE171" i="29"/>
  <c r="CE170" i="29"/>
  <c r="CA173" i="29"/>
  <c r="CA172" i="29"/>
  <c r="CA171" i="29"/>
  <c r="CA170" i="29"/>
  <c r="BW173" i="29"/>
  <c r="BW172" i="29"/>
  <c r="BW171" i="29"/>
  <c r="BW170" i="29"/>
  <c r="BS172" i="29"/>
  <c r="BS171" i="29"/>
  <c r="BS170" i="29"/>
  <c r="BO172" i="29"/>
  <c r="BO171" i="29"/>
  <c r="BO170" i="29"/>
  <c r="BJ176" i="29"/>
  <c r="BJ175" i="29"/>
  <c r="BJ173" i="29"/>
  <c r="BJ174" i="29" s="1"/>
  <c r="P68" i="20" s="1"/>
  <c r="BG173" i="29"/>
  <c r="BG172" i="29"/>
  <c r="BG171" i="29"/>
  <c r="BG170" i="29"/>
  <c r="BC173" i="29"/>
  <c r="BC172" i="29"/>
  <c r="BC171" i="29"/>
  <c r="BC170" i="29"/>
  <c r="AY173" i="29"/>
  <c r="AY172" i="29"/>
  <c r="AY171" i="29"/>
  <c r="AY170" i="29"/>
  <c r="AP172" i="29"/>
  <c r="AU172" i="29"/>
  <c r="AP171" i="29"/>
  <c r="AP170" i="29"/>
  <c r="AL172" i="29"/>
  <c r="AL171" i="29"/>
  <c r="AL170" i="29"/>
  <c r="AL175" i="29" s="1"/>
  <c r="A173" i="29"/>
  <c r="A172" i="29"/>
  <c r="A171" i="29"/>
  <c r="A170" i="29"/>
  <c r="CL172" i="29"/>
  <c r="CL173" i="29" s="1"/>
  <c r="BK172" i="29"/>
  <c r="BK171" i="29"/>
  <c r="BK170" i="29"/>
  <c r="DF171" i="29"/>
  <c r="CM171" i="29"/>
  <c r="DG170" i="29"/>
  <c r="CL170" i="29"/>
  <c r="CQ170" i="29" s="1"/>
  <c r="AH173" i="29"/>
  <c r="AH172" i="29"/>
  <c r="AM172" i="29" s="1"/>
  <c r="AH171" i="29"/>
  <c r="AM171" i="29"/>
  <c r="AH170" i="29"/>
  <c r="AH176" i="29"/>
  <c r="AD173" i="29"/>
  <c r="AD172" i="29"/>
  <c r="AD171" i="29"/>
  <c r="AD170" i="29"/>
  <c r="AD175" i="29"/>
  <c r="Z173" i="29"/>
  <c r="Z172" i="29"/>
  <c r="AA172" i="29" s="1"/>
  <c r="Z171" i="29"/>
  <c r="Z170" i="29"/>
  <c r="V173" i="29"/>
  <c r="V172" i="29"/>
  <c r="V171" i="29"/>
  <c r="V170" i="29"/>
  <c r="R173" i="29"/>
  <c r="R172" i="29"/>
  <c r="W172" i="29"/>
  <c r="R171" i="29"/>
  <c r="R170" i="29"/>
  <c r="N173" i="29"/>
  <c r="N172" i="29"/>
  <c r="N171" i="29"/>
  <c r="N170" i="29"/>
  <c r="J173" i="29"/>
  <c r="J172" i="29"/>
  <c r="K172" i="29" s="1"/>
  <c r="J171" i="29"/>
  <c r="J170" i="29"/>
  <c r="F173" i="29"/>
  <c r="G173" i="29"/>
  <c r="F172" i="29"/>
  <c r="G172" i="29" s="1"/>
  <c r="F171" i="29"/>
  <c r="F170" i="29"/>
  <c r="AP166" i="29"/>
  <c r="AP165" i="29"/>
  <c r="F164" i="29"/>
  <c r="B65" i="20"/>
  <c r="F163" i="29"/>
  <c r="F162" i="29"/>
  <c r="F161" i="29"/>
  <c r="F160" i="29"/>
  <c r="D164" i="29"/>
  <c r="D163" i="29"/>
  <c r="D162" i="29"/>
  <c r="D161" i="29"/>
  <c r="D160" i="29"/>
  <c r="A166" i="29"/>
  <c r="A165" i="29"/>
  <c r="DB166" i="29"/>
  <c r="DC166" i="29" s="1"/>
  <c r="DB165" i="29"/>
  <c r="CX166" i="29"/>
  <c r="CY166" i="29" s="1"/>
  <c r="CX165" i="29"/>
  <c r="CT166" i="29"/>
  <c r="CT165" i="29"/>
  <c r="CL166" i="29"/>
  <c r="CL165" i="29"/>
  <c r="CH166" i="29"/>
  <c r="CI166" i="29" s="1"/>
  <c r="CH165" i="29"/>
  <c r="CD166" i="29"/>
  <c r="CE166" i="29"/>
  <c r="CD165" i="29"/>
  <c r="CE165" i="29" s="1"/>
  <c r="BZ166" i="29"/>
  <c r="CA166" i="29" s="1"/>
  <c r="BZ165" i="29"/>
  <c r="BV166" i="29"/>
  <c r="BV165" i="29"/>
  <c r="CA165" i="29" s="1"/>
  <c r="BJ166" i="29"/>
  <c r="BK166" i="29"/>
  <c r="BJ165" i="29"/>
  <c r="BF166" i="29"/>
  <c r="BF165" i="29"/>
  <c r="BG165" i="29" s="1"/>
  <c r="AX166" i="29"/>
  <c r="AX165" i="29"/>
  <c r="BC165" i="29" s="1"/>
  <c r="AT166" i="29"/>
  <c r="AY166" i="29" s="1"/>
  <c r="AT165" i="29"/>
  <c r="AU165" i="29" s="1"/>
  <c r="AL166" i="29"/>
  <c r="AL165" i="29"/>
  <c r="AH166" i="29"/>
  <c r="AH165" i="29"/>
  <c r="DC164" i="29"/>
  <c r="DC163" i="29"/>
  <c r="DC162" i="29"/>
  <c r="DC161" i="29"/>
  <c r="DC160" i="29"/>
  <c r="CY164" i="29"/>
  <c r="CY163" i="29"/>
  <c r="CY162" i="29"/>
  <c r="CY161" i="29"/>
  <c r="CY160" i="29"/>
  <c r="CU163" i="29"/>
  <c r="CU162" i="29"/>
  <c r="CU161" i="29"/>
  <c r="CU160" i="29"/>
  <c r="CM164" i="29"/>
  <c r="CM163" i="29"/>
  <c r="CM162" i="29"/>
  <c r="CM161" i="29"/>
  <c r="CM160" i="29"/>
  <c r="CI164" i="29"/>
  <c r="CI163" i="29"/>
  <c r="CI162" i="29"/>
  <c r="CI161" i="29"/>
  <c r="CI160" i="29"/>
  <c r="CA164" i="29"/>
  <c r="CA163" i="29"/>
  <c r="CA162" i="29"/>
  <c r="CA161" i="29"/>
  <c r="CA160" i="29"/>
  <c r="BW164" i="29"/>
  <c r="BW163" i="29"/>
  <c r="BW162" i="29"/>
  <c r="BW160" i="29"/>
  <c r="BS164" i="29"/>
  <c r="BS163" i="29"/>
  <c r="BS162" i="29"/>
  <c r="BS160" i="29"/>
  <c r="BO164" i="29"/>
  <c r="BO163" i="29"/>
  <c r="BO162" i="29"/>
  <c r="BO160" i="29"/>
  <c r="BK164" i="29"/>
  <c r="BK163" i="29"/>
  <c r="BK162" i="29"/>
  <c r="BK161" i="29"/>
  <c r="BK160" i="29"/>
  <c r="BG164" i="29"/>
  <c r="BG163" i="29"/>
  <c r="Z28" i="28" s="1"/>
  <c r="BG162" i="29"/>
  <c r="Y28" i="28" s="1"/>
  <c r="BG161" i="29"/>
  <c r="X28" i="28" s="1"/>
  <c r="BG160" i="29"/>
  <c r="W28" i="28" s="1"/>
  <c r="BB166" i="29"/>
  <c r="BB165" i="29"/>
  <c r="BB164" i="29"/>
  <c r="BC164" i="29"/>
  <c r="AY164" i="29"/>
  <c r="AY163" i="29"/>
  <c r="AY162" i="29"/>
  <c r="AY161" i="29"/>
  <c r="AY160" i="29"/>
  <c r="AU164" i="29"/>
  <c r="AU163" i="29"/>
  <c r="AU162" i="29"/>
  <c r="AU161" i="29"/>
  <c r="AU160" i="29"/>
  <c r="AM164" i="29"/>
  <c r="AM163" i="29"/>
  <c r="AM162" i="29"/>
  <c r="AM161" i="29"/>
  <c r="AM160" i="29"/>
  <c r="B164" i="29"/>
  <c r="B163" i="29"/>
  <c r="B162" i="29"/>
  <c r="B161" i="29"/>
  <c r="B160" i="29"/>
  <c r="CF164" i="29"/>
  <c r="CF163" i="29" s="1"/>
  <c r="CE164" i="29"/>
  <c r="CE163" i="29"/>
  <c r="BC163" i="29"/>
  <c r="BC162" i="29"/>
  <c r="BC161" i="29"/>
  <c r="BC160" i="29"/>
  <c r="A163" i="29"/>
  <c r="A162" i="29"/>
  <c r="A161" i="29"/>
  <c r="A160" i="29"/>
  <c r="DF165" i="29"/>
  <c r="DG165" i="29" s="1"/>
  <c r="DG163" i="29"/>
  <c r="DG162" i="29"/>
  <c r="DF166" i="29"/>
  <c r="CE162" i="29"/>
  <c r="CE161" i="29"/>
  <c r="CE160" i="29"/>
  <c r="DG161" i="29"/>
  <c r="DG160" i="29"/>
  <c r="BR161" i="29"/>
  <c r="BN161" i="29"/>
  <c r="BN165" i="29" s="1"/>
  <c r="AD164" i="29"/>
  <c r="AE164" i="29" s="1"/>
  <c r="AI164" i="29"/>
  <c r="AD163" i="29"/>
  <c r="AD162" i="29"/>
  <c r="AI162" i="29"/>
  <c r="AD161" i="29"/>
  <c r="AD160" i="29"/>
  <c r="Z164" i="29"/>
  <c r="G65" i="20"/>
  <c r="Z163" i="29"/>
  <c r="AA163" i="29" s="1"/>
  <c r="Z162" i="29"/>
  <c r="Z161" i="29"/>
  <c r="Z160" i="29"/>
  <c r="V164" i="29"/>
  <c r="V163" i="29"/>
  <c r="V162" i="29"/>
  <c r="V161" i="29"/>
  <c r="V160" i="29"/>
  <c r="V165" i="29" s="1"/>
  <c r="W165" i="29" s="1"/>
  <c r="R164" i="29"/>
  <c r="E65" i="20"/>
  <c r="R163" i="29"/>
  <c r="R162" i="29"/>
  <c r="R161" i="29"/>
  <c r="R160" i="29"/>
  <c r="N164" i="29"/>
  <c r="N163" i="29"/>
  <c r="N162" i="29"/>
  <c r="N161" i="29"/>
  <c r="N160" i="29"/>
  <c r="N166" i="29" s="1"/>
  <c r="J164" i="29"/>
  <c r="C65" i="20"/>
  <c r="K164" i="29"/>
  <c r="J163" i="29"/>
  <c r="J162" i="29"/>
  <c r="O162" i="29" s="1"/>
  <c r="J161" i="29"/>
  <c r="J160" i="29"/>
  <c r="A156" i="29"/>
  <c r="A155" i="29"/>
  <c r="B154" i="29"/>
  <c r="B153" i="29"/>
  <c r="B152" i="29"/>
  <c r="B151" i="29"/>
  <c r="B150" i="29"/>
  <c r="A153" i="29"/>
  <c r="A152" i="29"/>
  <c r="A151" i="29"/>
  <c r="A150" i="29"/>
  <c r="E148" i="29"/>
  <c r="A146" i="29"/>
  <c r="A145" i="29"/>
  <c r="B144" i="29"/>
  <c r="B143" i="29"/>
  <c r="B142" i="29"/>
  <c r="B141" i="29"/>
  <c r="B140" i="29"/>
  <c r="A143" i="29"/>
  <c r="A142" i="29"/>
  <c r="A141" i="29"/>
  <c r="A140" i="29"/>
  <c r="E138" i="29"/>
  <c r="A136" i="29"/>
  <c r="A135" i="29"/>
  <c r="B134" i="29"/>
  <c r="B133" i="29"/>
  <c r="B132" i="29"/>
  <c r="B131" i="29"/>
  <c r="B130" i="29"/>
  <c r="A133" i="29"/>
  <c r="A132" i="29"/>
  <c r="A131" i="29"/>
  <c r="A130" i="29"/>
  <c r="E128" i="29"/>
  <c r="A126" i="29"/>
  <c r="A125" i="29"/>
  <c r="DB126" i="29"/>
  <c r="DB125" i="29"/>
  <c r="DB124" i="29"/>
  <c r="Z53" i="20" s="1"/>
  <c r="CX126" i="29"/>
  <c r="CX125" i="29"/>
  <c r="CX124" i="29"/>
  <c r="Y53" i="20" s="1"/>
  <c r="CH125" i="29"/>
  <c r="CD126" i="29"/>
  <c r="CD125" i="29"/>
  <c r="CD124" i="29"/>
  <c r="T53" i="20" s="1"/>
  <c r="DK23" i="28" s="1"/>
  <c r="BV126" i="29"/>
  <c r="BV125" i="29"/>
  <c r="BV124" i="29"/>
  <c r="R53" i="20" s="1"/>
  <c r="E20" i="85" s="1"/>
  <c r="E144" i="85" s="1"/>
  <c r="BR126" i="29"/>
  <c r="BR125" i="29"/>
  <c r="BR124" i="29"/>
  <c r="Q53" i="20" s="1"/>
  <c r="BN126" i="29"/>
  <c r="BN125" i="29"/>
  <c r="BN124" i="29"/>
  <c r="BJ126" i="29"/>
  <c r="BJ125" i="29"/>
  <c r="BJ124" i="29"/>
  <c r="P53" i="20"/>
  <c r="DG23" i="28" s="1"/>
  <c r="BF126" i="29"/>
  <c r="BF125" i="29"/>
  <c r="BF124" i="29"/>
  <c r="O53" i="20" s="1"/>
  <c r="BB126" i="29"/>
  <c r="BB125" i="29"/>
  <c r="BB124" i="29"/>
  <c r="N53" i="20" s="1"/>
  <c r="AX126" i="29"/>
  <c r="AX125" i="29"/>
  <c r="AX124" i="29"/>
  <c r="M53" i="20" s="1"/>
  <c r="DD23" i="28" s="1"/>
  <c r="AT126" i="29"/>
  <c r="AT125" i="29"/>
  <c r="AT124" i="29"/>
  <c r="L53" i="20" s="1"/>
  <c r="AP126" i="29"/>
  <c r="AP125" i="29"/>
  <c r="AP124" i="29"/>
  <c r="K53" i="20" s="1"/>
  <c r="DB23" i="28" s="1"/>
  <c r="AL126" i="29"/>
  <c r="AL125" i="29"/>
  <c r="AL124" i="29"/>
  <c r="J53" i="20" s="1"/>
  <c r="DA23" i="28" s="1"/>
  <c r="AH126" i="29"/>
  <c r="AH125" i="29"/>
  <c r="AH124" i="29"/>
  <c r="I53" i="20" s="1"/>
  <c r="AD126" i="29"/>
  <c r="AD125" i="29"/>
  <c r="AD124" i="29"/>
  <c r="H53" i="20" s="1"/>
  <c r="Z126" i="29"/>
  <c r="Z125" i="29"/>
  <c r="Z124" i="29"/>
  <c r="G53" i="20" s="1"/>
  <c r="B124" i="29"/>
  <c r="B123" i="29"/>
  <c r="B122" i="29"/>
  <c r="B121" i="29"/>
  <c r="B120" i="29"/>
  <c r="CL123" i="29"/>
  <c r="V126" i="29"/>
  <c r="V125" i="29"/>
  <c r="V123" i="29"/>
  <c r="V124" i="29" s="1"/>
  <c r="F53" i="20" s="1"/>
  <c r="R126" i="29"/>
  <c r="R125" i="29"/>
  <c r="R123" i="29"/>
  <c r="R124" i="29" s="1"/>
  <c r="E53" i="20" s="1"/>
  <c r="N126" i="29"/>
  <c r="N125" i="29"/>
  <c r="N123" i="29"/>
  <c r="N124" i="29"/>
  <c r="D53" i="20" s="1"/>
  <c r="J126" i="29"/>
  <c r="J125" i="29"/>
  <c r="J123" i="29"/>
  <c r="J124" i="29" s="1"/>
  <c r="C53" i="20" s="1"/>
  <c r="F126" i="29"/>
  <c r="D126" i="29"/>
  <c r="F125" i="29"/>
  <c r="D125" i="29"/>
  <c r="F123" i="29"/>
  <c r="D123" i="29"/>
  <c r="D124" i="29"/>
  <c r="A123" i="29"/>
  <c r="A122" i="29"/>
  <c r="A121" i="29"/>
  <c r="A120" i="29"/>
  <c r="CT125" i="29"/>
  <c r="CT123" i="29"/>
  <c r="CT122" i="29"/>
  <c r="CH122" i="29"/>
  <c r="BC23" i="28" s="1"/>
  <c r="BZ125" i="29"/>
  <c r="BZ123" i="29"/>
  <c r="BZ122" i="29"/>
  <c r="CL121" i="29"/>
  <c r="CL124" i="29"/>
  <c r="V53" i="20" s="1"/>
  <c r="DM23" i="28" s="1"/>
  <c r="DF120" i="29"/>
  <c r="DF125" i="29" s="1"/>
  <c r="E118" i="29"/>
  <c r="A116" i="29"/>
  <c r="A115" i="29"/>
  <c r="B114" i="29"/>
  <c r="B113" i="29"/>
  <c r="B112" i="29"/>
  <c r="B111" i="29"/>
  <c r="B110" i="29"/>
  <c r="A113" i="29"/>
  <c r="A112" i="29"/>
  <c r="A111" i="29"/>
  <c r="A110" i="29"/>
  <c r="CT111" i="29"/>
  <c r="CT131" i="29" s="1"/>
  <c r="E108" i="29"/>
  <c r="DF106" i="29"/>
  <c r="DF105" i="29"/>
  <c r="DF104" i="29"/>
  <c r="DB106" i="29"/>
  <c r="DB105" i="29"/>
  <c r="DB104" i="29"/>
  <c r="CX106" i="29"/>
  <c r="CX105" i="29"/>
  <c r="CX104" i="29"/>
  <c r="CT106" i="29"/>
  <c r="CT105" i="29"/>
  <c r="CT104" i="29"/>
  <c r="CL106" i="29"/>
  <c r="CL105" i="29"/>
  <c r="CL104" i="29"/>
  <c r="CH106" i="29"/>
  <c r="CH105" i="29"/>
  <c r="CH104" i="29"/>
  <c r="CD106" i="29"/>
  <c r="CD105" i="29"/>
  <c r="CD104" i="29"/>
  <c r="BZ106" i="29"/>
  <c r="BZ105" i="29"/>
  <c r="BZ104" i="29"/>
  <c r="BV106" i="29"/>
  <c r="BV105" i="29"/>
  <c r="BV104" i="29"/>
  <c r="BR106" i="29"/>
  <c r="BR105" i="29"/>
  <c r="BR104" i="29"/>
  <c r="BN106" i="29"/>
  <c r="BN105" i="29"/>
  <c r="BN104" i="29"/>
  <c r="BJ106" i="29"/>
  <c r="BJ105" i="29"/>
  <c r="BJ104" i="29"/>
  <c r="P48" i="20" s="1"/>
  <c r="BF106" i="29"/>
  <c r="BF105" i="29"/>
  <c r="BF104" i="29"/>
  <c r="O48" i="20" s="1"/>
  <c r="BB106" i="29"/>
  <c r="BB105" i="29"/>
  <c r="BB104" i="29"/>
  <c r="N48" i="20" s="1"/>
  <c r="AX106" i="29"/>
  <c r="AX105" i="29"/>
  <c r="AX104" i="29"/>
  <c r="M48" i="20" s="1"/>
  <c r="AT106" i="29"/>
  <c r="AT105" i="29"/>
  <c r="AT104" i="29"/>
  <c r="L48" i="20" s="1"/>
  <c r="AP106" i="29"/>
  <c r="AP105" i="29"/>
  <c r="AP104" i="29"/>
  <c r="K48" i="20" s="1"/>
  <c r="AL106" i="29"/>
  <c r="AL105" i="29"/>
  <c r="AL104" i="29"/>
  <c r="J48" i="20" s="1"/>
  <c r="AH106" i="29"/>
  <c r="AH105" i="29"/>
  <c r="AH104" i="29"/>
  <c r="I48" i="20" s="1"/>
  <c r="AD106" i="29"/>
  <c r="AD105" i="29"/>
  <c r="AD104" i="29"/>
  <c r="H48" i="20" s="1"/>
  <c r="Z106" i="29"/>
  <c r="Z105" i="29"/>
  <c r="Z104" i="29"/>
  <c r="G48" i="20" s="1"/>
  <c r="V106" i="29"/>
  <c r="V105" i="29"/>
  <c r="V104" i="29"/>
  <c r="F48" i="20" s="1"/>
  <c r="R106" i="29"/>
  <c r="R105" i="29"/>
  <c r="R104" i="29"/>
  <c r="E48" i="20"/>
  <c r="N106" i="29"/>
  <c r="N105" i="29"/>
  <c r="N104" i="29"/>
  <c r="D48" i="20"/>
  <c r="J106" i="29"/>
  <c r="J105" i="29"/>
  <c r="J104" i="29"/>
  <c r="C48" i="20"/>
  <c r="F106" i="29"/>
  <c r="F105" i="29"/>
  <c r="F104" i="29"/>
  <c r="B48" i="20" s="1"/>
  <c r="D106" i="29"/>
  <c r="D105" i="29"/>
  <c r="D104" i="29"/>
  <c r="A106" i="29"/>
  <c r="A105" i="29"/>
  <c r="B104" i="29"/>
  <c r="B103" i="29"/>
  <c r="B102" i="29"/>
  <c r="B101" i="29"/>
  <c r="B100" i="29"/>
  <c r="A103" i="29"/>
  <c r="A102" i="29"/>
  <c r="A101" i="29"/>
  <c r="A100" i="29"/>
  <c r="E98" i="29"/>
  <c r="DF96" i="29"/>
  <c r="DF95" i="29"/>
  <c r="DF94" i="29"/>
  <c r="DB96" i="29"/>
  <c r="DB95" i="29"/>
  <c r="DB94" i="29"/>
  <c r="CX96" i="29"/>
  <c r="CX95" i="29"/>
  <c r="CX94" i="29"/>
  <c r="CT96" i="29"/>
  <c r="CT95" i="29"/>
  <c r="CT94" i="29"/>
  <c r="CL96" i="29"/>
  <c r="CL95" i="29"/>
  <c r="CL94" i="29"/>
  <c r="CH96" i="29"/>
  <c r="CH95" i="29"/>
  <c r="CH94" i="29"/>
  <c r="CD96" i="29"/>
  <c r="CD95" i="29"/>
  <c r="CD94" i="29"/>
  <c r="BZ96" i="29"/>
  <c r="BZ95" i="29"/>
  <c r="BZ94" i="29"/>
  <c r="BV96" i="29"/>
  <c r="BV95" i="29"/>
  <c r="BV94" i="29"/>
  <c r="BR96" i="29"/>
  <c r="BR95" i="29"/>
  <c r="BR94" i="29"/>
  <c r="BN96" i="29"/>
  <c r="BN95" i="29"/>
  <c r="BN94" i="29"/>
  <c r="BJ96" i="29"/>
  <c r="BJ95" i="29"/>
  <c r="BJ94" i="29"/>
  <c r="P46" i="20" s="1"/>
  <c r="BF96" i="29"/>
  <c r="BF95" i="29"/>
  <c r="BF94" i="29"/>
  <c r="O46" i="20" s="1"/>
  <c r="BB96" i="29"/>
  <c r="BB95" i="29"/>
  <c r="BB94" i="29"/>
  <c r="N46" i="20" s="1"/>
  <c r="AX96" i="29"/>
  <c r="AX95" i="29"/>
  <c r="AX94" i="29"/>
  <c r="M46" i="20" s="1"/>
  <c r="AT96" i="29"/>
  <c r="AT95" i="29"/>
  <c r="AT94" i="29"/>
  <c r="L46" i="20" s="1"/>
  <c r="AP96" i="29"/>
  <c r="AP95" i="29"/>
  <c r="AP94" i="29"/>
  <c r="K46" i="20"/>
  <c r="AL96" i="29"/>
  <c r="AL95" i="29"/>
  <c r="AL94" i="29"/>
  <c r="J46" i="20" s="1"/>
  <c r="AH96" i="29"/>
  <c r="AH95" i="29"/>
  <c r="AH94" i="29"/>
  <c r="I46" i="20" s="1"/>
  <c r="AD96" i="29"/>
  <c r="AD95" i="29"/>
  <c r="AD94" i="29"/>
  <c r="H46" i="20" s="1"/>
  <c r="Z96" i="29"/>
  <c r="Z95" i="29"/>
  <c r="Z94" i="29"/>
  <c r="G46" i="20" s="1"/>
  <c r="V96" i="29"/>
  <c r="V95" i="29"/>
  <c r="V94" i="29"/>
  <c r="F46" i="20" s="1"/>
  <c r="R96" i="29"/>
  <c r="R95" i="29"/>
  <c r="R94" i="29"/>
  <c r="E46" i="20" s="1"/>
  <c r="N96" i="29"/>
  <c r="N95" i="29"/>
  <c r="N94" i="29"/>
  <c r="D46" i="20" s="1"/>
  <c r="J96" i="29"/>
  <c r="J95" i="29"/>
  <c r="J94" i="29"/>
  <c r="C46" i="20"/>
  <c r="F96" i="29"/>
  <c r="F95" i="29"/>
  <c r="F94" i="29"/>
  <c r="B46" i="20" s="1"/>
  <c r="D96" i="29"/>
  <c r="D95" i="29"/>
  <c r="D94" i="29"/>
  <c r="A96" i="29"/>
  <c r="A95" i="29"/>
  <c r="B94" i="29"/>
  <c r="B93" i="29"/>
  <c r="B92" i="29"/>
  <c r="B91" i="29"/>
  <c r="B90" i="29"/>
  <c r="A93" i="29"/>
  <c r="A92" i="29"/>
  <c r="A91" i="29"/>
  <c r="A90" i="29"/>
  <c r="E88" i="29"/>
  <c r="D86" i="29"/>
  <c r="D85" i="29"/>
  <c r="D83" i="29"/>
  <c r="D84" i="29" s="1"/>
  <c r="A86" i="29"/>
  <c r="A85" i="29"/>
  <c r="DB86" i="29"/>
  <c r="DB85" i="29"/>
  <c r="DB84" i="29"/>
  <c r="Z43" i="20" s="1"/>
  <c r="CX86" i="29"/>
  <c r="CX85" i="29"/>
  <c r="CX84" i="29"/>
  <c r="Y43" i="20" s="1"/>
  <c r="CT85" i="29"/>
  <c r="AT86" i="29"/>
  <c r="AT85" i="29"/>
  <c r="AT84" i="29"/>
  <c r="AP85" i="29"/>
  <c r="AL86" i="29"/>
  <c r="AL85" i="29"/>
  <c r="AL84" i="29"/>
  <c r="J43" i="20" s="1"/>
  <c r="AH86" i="29"/>
  <c r="AH85" i="29"/>
  <c r="AH84" i="29"/>
  <c r="I43" i="20" s="1"/>
  <c r="AD86" i="29"/>
  <c r="AE86" i="29" s="1"/>
  <c r="AD85" i="29"/>
  <c r="AD84" i="29"/>
  <c r="H43" i="20" s="1"/>
  <c r="Z86" i="29"/>
  <c r="Z85" i="29"/>
  <c r="Z84" i="29"/>
  <c r="B84" i="29"/>
  <c r="B83" i="29"/>
  <c r="B82" i="29"/>
  <c r="B81" i="29"/>
  <c r="B80" i="29"/>
  <c r="DG81" i="29"/>
  <c r="DC83" i="29"/>
  <c r="DC82" i="29"/>
  <c r="DC81" i="29"/>
  <c r="DC80" i="29"/>
  <c r="CY83" i="29"/>
  <c r="CY82" i="29"/>
  <c r="CY81" i="29"/>
  <c r="CY80" i="29"/>
  <c r="CU83" i="29"/>
  <c r="CU81" i="29"/>
  <c r="CU80" i="29"/>
  <c r="BF83" i="29"/>
  <c r="BG83" i="29" s="1"/>
  <c r="Z20" i="28" s="1"/>
  <c r="AX83" i="29"/>
  <c r="AU83" i="29"/>
  <c r="AU82" i="29"/>
  <c r="AU81" i="29"/>
  <c r="AU80" i="29"/>
  <c r="AQ83" i="29"/>
  <c r="AQ81" i="29"/>
  <c r="AQ80" i="29"/>
  <c r="AM83" i="29"/>
  <c r="AM82" i="29"/>
  <c r="AM81" i="29"/>
  <c r="AM80" i="29"/>
  <c r="AI83" i="29"/>
  <c r="AI82" i="29"/>
  <c r="AI81" i="29"/>
  <c r="AI80" i="29"/>
  <c r="AE83" i="29"/>
  <c r="AE82" i="29"/>
  <c r="AE81" i="29"/>
  <c r="AE80" i="29"/>
  <c r="AA83" i="29"/>
  <c r="AA82" i="29"/>
  <c r="AA81" i="29"/>
  <c r="AA80" i="29"/>
  <c r="V86" i="29"/>
  <c r="V85" i="29"/>
  <c r="V83" i="29"/>
  <c r="V84" i="29"/>
  <c r="F43" i="20" s="1"/>
  <c r="R86" i="29"/>
  <c r="R85" i="29"/>
  <c r="S85" i="29" s="1"/>
  <c r="R83" i="29"/>
  <c r="R84" i="29" s="1"/>
  <c r="E43" i="20" s="1"/>
  <c r="N86" i="29"/>
  <c r="N85" i="29"/>
  <c r="N83" i="29"/>
  <c r="N84" i="29"/>
  <c r="D43" i="20" s="1"/>
  <c r="J86" i="29"/>
  <c r="J85" i="29"/>
  <c r="J83" i="29"/>
  <c r="J84" i="29" s="1"/>
  <c r="C43" i="20" s="1"/>
  <c r="F86" i="29"/>
  <c r="G86" i="29" s="1"/>
  <c r="F85" i="29"/>
  <c r="F83" i="29"/>
  <c r="F84" i="29" s="1"/>
  <c r="B43" i="20" s="1"/>
  <c r="A83" i="29"/>
  <c r="A82" i="29"/>
  <c r="A81" i="29"/>
  <c r="A80" i="29"/>
  <c r="CT82" i="29"/>
  <c r="BB85" i="29"/>
  <c r="BB83" i="29"/>
  <c r="BB82" i="29"/>
  <c r="BB86" i="29" s="1"/>
  <c r="AY82" i="29"/>
  <c r="AY80" i="29"/>
  <c r="AP82" i="29"/>
  <c r="AP84" i="29" s="1"/>
  <c r="AQ82" i="29"/>
  <c r="W82" i="29"/>
  <c r="W81" i="29"/>
  <c r="W80" i="29"/>
  <c r="S82" i="29"/>
  <c r="S81" i="29"/>
  <c r="S80" i="29"/>
  <c r="O82" i="29"/>
  <c r="O81" i="29"/>
  <c r="O80" i="29"/>
  <c r="K82" i="29"/>
  <c r="K81" i="29"/>
  <c r="K80" i="29"/>
  <c r="G82" i="29"/>
  <c r="G81" i="29"/>
  <c r="G80" i="29"/>
  <c r="BC81" i="29"/>
  <c r="BC80" i="29"/>
  <c r="AX81" i="29"/>
  <c r="DF80" i="29"/>
  <c r="DG80" i="29" s="1"/>
  <c r="CL83" i="29"/>
  <c r="CL82" i="29"/>
  <c r="CL81" i="29"/>
  <c r="CL80" i="29"/>
  <c r="CM80" i="29"/>
  <c r="CH83" i="29"/>
  <c r="CH82" i="29"/>
  <c r="CH81" i="29"/>
  <c r="CH80" i="29"/>
  <c r="CD83" i="29"/>
  <c r="CD113" i="29" s="1"/>
  <c r="CE113" i="29" s="1"/>
  <c r="CD82" i="29"/>
  <c r="CE82" i="29"/>
  <c r="CD81" i="29"/>
  <c r="CE81" i="29" s="1"/>
  <c r="CD80" i="29"/>
  <c r="CE80" i="29"/>
  <c r="BZ83" i="29"/>
  <c r="BZ82" i="29"/>
  <c r="CA82" i="29"/>
  <c r="BZ81" i="29"/>
  <c r="CA81" i="29" s="1"/>
  <c r="BZ80" i="29"/>
  <c r="BV83" i="29"/>
  <c r="BW83" i="29"/>
  <c r="BV82" i="29"/>
  <c r="BW82" i="29" s="1"/>
  <c r="BV81" i="29"/>
  <c r="BW81" i="29"/>
  <c r="BV80" i="29"/>
  <c r="BW80" i="29" s="1"/>
  <c r="BR83" i="29"/>
  <c r="BR82" i="29"/>
  <c r="BS82" i="29" s="1"/>
  <c r="BR81" i="29"/>
  <c r="BS81" i="29"/>
  <c r="BR80" i="29"/>
  <c r="BO83" i="29"/>
  <c r="BN83" i="29"/>
  <c r="BN82" i="29"/>
  <c r="BO82" i="29"/>
  <c r="BN81" i="29"/>
  <c r="BN80" i="29"/>
  <c r="BO80" i="29"/>
  <c r="BJ83" i="29"/>
  <c r="BJ82" i="29"/>
  <c r="BK82" i="29" s="1"/>
  <c r="BJ81" i="29"/>
  <c r="BK81" i="29" s="1"/>
  <c r="BJ80" i="29"/>
  <c r="BK80" i="29" s="1"/>
  <c r="BF82" i="29"/>
  <c r="BF86" i="29" s="1"/>
  <c r="BF81" i="29"/>
  <c r="BG81" i="29"/>
  <c r="X20" i="28" s="1"/>
  <c r="BF80" i="29"/>
  <c r="BG80" i="29" s="1"/>
  <c r="W20" i="28" s="1"/>
  <c r="E78" i="29"/>
  <c r="D76" i="29"/>
  <c r="D75" i="29"/>
  <c r="D73" i="29"/>
  <c r="D74" i="29" s="1"/>
  <c r="A76" i="29"/>
  <c r="A75" i="29"/>
  <c r="DF76" i="29"/>
  <c r="DF75" i="29"/>
  <c r="DF74" i="29"/>
  <c r="AA40" i="20" s="1"/>
  <c r="DB76" i="29"/>
  <c r="DB75" i="29"/>
  <c r="DC75" i="29" s="1"/>
  <c r="DB74" i="29"/>
  <c r="Z40" i="20" s="1"/>
  <c r="M16" i="85" s="1"/>
  <c r="M56" i="85" s="1"/>
  <c r="CT76" i="29"/>
  <c r="CT75" i="29"/>
  <c r="CT74" i="29"/>
  <c r="X40" i="20" s="1"/>
  <c r="CH76" i="29"/>
  <c r="CI76" i="29" s="1"/>
  <c r="CH75" i="29"/>
  <c r="CH74" i="29"/>
  <c r="BR76" i="29"/>
  <c r="BR75" i="29"/>
  <c r="BR74" i="29"/>
  <c r="Q40" i="20" s="1"/>
  <c r="BN76" i="29"/>
  <c r="BN75" i="29"/>
  <c r="BO75" i="29" s="1"/>
  <c r="BN74" i="29"/>
  <c r="BO74" i="29" s="1"/>
  <c r="AX76" i="29"/>
  <c r="AY76" i="29" s="1"/>
  <c r="AX75" i="29"/>
  <c r="AX74" i="29"/>
  <c r="M40" i="20"/>
  <c r="DD19" i="28" s="1"/>
  <c r="AT76" i="29"/>
  <c r="AT75" i="29"/>
  <c r="AT74" i="29"/>
  <c r="AU74" i="29" s="1"/>
  <c r="AP76" i="29"/>
  <c r="AP75" i="29"/>
  <c r="AP74" i="29"/>
  <c r="K40" i="20"/>
  <c r="DB19" i="28" s="1"/>
  <c r="AL76" i="29"/>
  <c r="AL75" i="29"/>
  <c r="AL74" i="29"/>
  <c r="AH76" i="29"/>
  <c r="AI76" i="29" s="1"/>
  <c r="AH75" i="29"/>
  <c r="AI75" i="29" s="1"/>
  <c r="AH74" i="29"/>
  <c r="I40" i="20" s="1"/>
  <c r="AD76" i="29"/>
  <c r="AD75" i="29"/>
  <c r="AD74" i="29"/>
  <c r="H40" i="20" s="1"/>
  <c r="Z76" i="29"/>
  <c r="Z75" i="29"/>
  <c r="Z74" i="29"/>
  <c r="B74" i="29"/>
  <c r="B73" i="29"/>
  <c r="B72" i="29"/>
  <c r="B71" i="29"/>
  <c r="B70" i="29"/>
  <c r="DG71" i="29"/>
  <c r="DG70" i="29"/>
  <c r="DC73" i="29"/>
  <c r="DC72" i="29"/>
  <c r="DC71" i="29"/>
  <c r="DC70" i="29"/>
  <c r="CY73" i="29"/>
  <c r="CY72" i="29"/>
  <c r="CY71" i="29"/>
  <c r="CU73" i="29"/>
  <c r="CU72" i="29"/>
  <c r="CU71" i="29"/>
  <c r="CU70" i="29"/>
  <c r="CI73" i="29"/>
  <c r="CI72" i="29"/>
  <c r="CI71" i="29"/>
  <c r="CI70" i="29"/>
  <c r="CD76" i="29"/>
  <c r="CD75" i="29"/>
  <c r="CE75" i="29" s="1"/>
  <c r="CD73" i="29"/>
  <c r="CE73" i="29"/>
  <c r="CA72" i="29"/>
  <c r="CA71" i="29"/>
  <c r="BW73" i="29"/>
  <c r="BW72" i="29"/>
  <c r="BW71" i="29"/>
  <c r="BS72" i="29"/>
  <c r="BS71" i="29"/>
  <c r="BS70" i="29"/>
  <c r="BO73" i="29"/>
  <c r="BO72" i="29"/>
  <c r="BO71" i="29"/>
  <c r="BO70" i="29"/>
  <c r="BK73" i="29"/>
  <c r="BK70" i="29"/>
  <c r="BB76" i="29"/>
  <c r="BB75" i="29"/>
  <c r="BB73" i="29"/>
  <c r="AY73" i="29"/>
  <c r="AY72" i="29"/>
  <c r="AY71" i="29"/>
  <c r="AY70" i="29"/>
  <c r="AU73" i="29"/>
  <c r="AU72" i="29"/>
  <c r="AU71" i="29"/>
  <c r="AU70" i="29"/>
  <c r="AQ73" i="29"/>
  <c r="AQ72" i="29"/>
  <c r="AQ71" i="29"/>
  <c r="AQ70" i="29"/>
  <c r="AM73" i="29"/>
  <c r="AM72" i="29"/>
  <c r="AM71" i="29"/>
  <c r="AM70" i="29"/>
  <c r="AI73" i="29"/>
  <c r="AI72" i="29"/>
  <c r="AI71" i="29"/>
  <c r="AI70" i="29"/>
  <c r="AE73" i="29"/>
  <c r="AE72" i="29"/>
  <c r="AE71" i="29"/>
  <c r="AE70" i="29"/>
  <c r="AA73" i="29"/>
  <c r="AA72" i="29"/>
  <c r="AA71" i="29"/>
  <c r="AA70" i="29"/>
  <c r="V76" i="29"/>
  <c r="W76" i="29" s="1"/>
  <c r="V75" i="29"/>
  <c r="V73" i="29"/>
  <c r="V74" i="29"/>
  <c r="F40" i="20" s="1"/>
  <c r="R76" i="29"/>
  <c r="R75" i="29"/>
  <c r="R73" i="29"/>
  <c r="R74" i="29"/>
  <c r="N76" i="29"/>
  <c r="N75" i="29"/>
  <c r="N73" i="29"/>
  <c r="N74" i="29"/>
  <c r="D40" i="20" s="1"/>
  <c r="J76" i="29"/>
  <c r="K76" i="29" s="1"/>
  <c r="J75" i="29"/>
  <c r="J73" i="29"/>
  <c r="J74" i="29"/>
  <c r="F76" i="29"/>
  <c r="F75" i="29"/>
  <c r="F73" i="29"/>
  <c r="A73" i="29"/>
  <c r="A72" i="29"/>
  <c r="A71" i="29"/>
  <c r="A70" i="29"/>
  <c r="CE72" i="29"/>
  <c r="CE71" i="29"/>
  <c r="CE70" i="29"/>
  <c r="BJ72" i="29"/>
  <c r="BK72" i="29" s="1"/>
  <c r="BJ71" i="29"/>
  <c r="BK71" i="29"/>
  <c r="BJ75" i="29"/>
  <c r="BK75" i="29" s="1"/>
  <c r="BG73" i="29"/>
  <c r="Z19" i="28" s="1"/>
  <c r="BH72" i="29"/>
  <c r="BG72" i="29"/>
  <c r="Y19" i="28" s="1"/>
  <c r="BC72" i="29"/>
  <c r="BC71" i="29"/>
  <c r="BC70" i="29"/>
  <c r="W72" i="29"/>
  <c r="W71" i="29"/>
  <c r="W70" i="29"/>
  <c r="S72" i="29"/>
  <c r="S71" i="29"/>
  <c r="S70" i="29"/>
  <c r="O72" i="29"/>
  <c r="O71" i="29"/>
  <c r="O70" i="29"/>
  <c r="K72" i="29"/>
  <c r="K71" i="29"/>
  <c r="K70" i="29"/>
  <c r="G72" i="29"/>
  <c r="G71" i="29"/>
  <c r="G70" i="29"/>
  <c r="BG71" i="29"/>
  <c r="X19" i="28" s="1"/>
  <c r="CX70" i="29"/>
  <c r="CX75" i="29" s="1"/>
  <c r="CL73" i="29"/>
  <c r="BI19" i="28" s="1"/>
  <c r="CM73" i="29"/>
  <c r="CL72" i="29"/>
  <c r="CM72" i="29"/>
  <c r="CL71" i="29"/>
  <c r="CM71" i="29"/>
  <c r="CL70" i="29"/>
  <c r="BZ70" i="29"/>
  <c r="BV70" i="29"/>
  <c r="BV76" i="29"/>
  <c r="BF70" i="29"/>
  <c r="BF76" i="29" s="1"/>
  <c r="E68" i="29"/>
  <c r="A66" i="29"/>
  <c r="A65" i="29"/>
  <c r="B64" i="29"/>
  <c r="B63" i="29"/>
  <c r="B62" i="29"/>
  <c r="B61" i="29"/>
  <c r="B60" i="29"/>
  <c r="A63" i="29"/>
  <c r="A62" i="29"/>
  <c r="A61" i="29"/>
  <c r="A60" i="29"/>
  <c r="CT63" i="29"/>
  <c r="DB63" i="29"/>
  <c r="DX219" i="47" s="1"/>
  <c r="DC63" i="29"/>
  <c r="DB62" i="29"/>
  <c r="DX218" i="47" s="1"/>
  <c r="DB61" i="29"/>
  <c r="DB60" i="29"/>
  <c r="CX63" i="29"/>
  <c r="CX62" i="29"/>
  <c r="CY62" i="29" s="1"/>
  <c r="CX61" i="29"/>
  <c r="CX60" i="29"/>
  <c r="CY60" i="29"/>
  <c r="CU61" i="29"/>
  <c r="CT60" i="29"/>
  <c r="CL63" i="29"/>
  <c r="CL62" i="29"/>
  <c r="CL61" i="29"/>
  <c r="CL60" i="29"/>
  <c r="CH62" i="29"/>
  <c r="CI62" i="29" s="1"/>
  <c r="CH61" i="29"/>
  <c r="CH60" i="29"/>
  <c r="CI60" i="29"/>
  <c r="CD63" i="29"/>
  <c r="CD62" i="29"/>
  <c r="CD61" i="29"/>
  <c r="DX158" i="47" s="1"/>
  <c r="CD60" i="29"/>
  <c r="BZ60" i="29"/>
  <c r="BV63" i="29"/>
  <c r="BW63" i="29"/>
  <c r="BV62" i="29"/>
  <c r="BV61" i="29"/>
  <c r="BV60" i="29"/>
  <c r="BR62" i="29"/>
  <c r="BR61" i="29"/>
  <c r="BS60" i="29"/>
  <c r="BR60" i="29"/>
  <c r="BN63" i="29"/>
  <c r="BO63" i="29"/>
  <c r="BN212" i="29"/>
  <c r="BN222" i="29" s="1"/>
  <c r="BN62" i="29"/>
  <c r="BN61" i="29"/>
  <c r="BO61" i="29"/>
  <c r="BP60" i="29"/>
  <c r="BN60" i="29"/>
  <c r="BT60" i="29"/>
  <c r="BJ63" i="29"/>
  <c r="BJ62" i="29"/>
  <c r="BJ61" i="29"/>
  <c r="BJ65" i="29"/>
  <c r="BJ60" i="29"/>
  <c r="BK60" i="29"/>
  <c r="BF63" i="29"/>
  <c r="DX90" i="47" s="1"/>
  <c r="BG63" i="29"/>
  <c r="BF62" i="29"/>
  <c r="BF61" i="29"/>
  <c r="BG61" i="29" s="1"/>
  <c r="BF60" i="29"/>
  <c r="BG60" i="29"/>
  <c r="BB62" i="29"/>
  <c r="BB61" i="29"/>
  <c r="BH61" i="29" s="1"/>
  <c r="BB60" i="29"/>
  <c r="AX63" i="29"/>
  <c r="AX62" i="29"/>
  <c r="BD62" i="29" s="1"/>
  <c r="AX61" i="29"/>
  <c r="AY61" i="29" s="1"/>
  <c r="AX60" i="29"/>
  <c r="AT63" i="29"/>
  <c r="AT62" i="29"/>
  <c r="AT61" i="29"/>
  <c r="AT60" i="29"/>
  <c r="AT65" i="29" s="1"/>
  <c r="AP63" i="29"/>
  <c r="AQ63" i="29" s="1"/>
  <c r="AP62" i="29"/>
  <c r="AP61" i="29"/>
  <c r="AP60" i="29"/>
  <c r="AP65" i="29" s="1"/>
  <c r="AL63" i="29"/>
  <c r="AM63" i="29"/>
  <c r="AM62" i="29"/>
  <c r="AL62" i="29"/>
  <c r="AL61" i="29"/>
  <c r="AM61" i="29" s="1"/>
  <c r="AL60" i="29"/>
  <c r="AL65" i="29" s="1"/>
  <c r="AH63" i="29"/>
  <c r="AN63" i="29" s="1"/>
  <c r="AH62" i="29"/>
  <c r="AN62" i="29" s="1"/>
  <c r="AH61" i="29"/>
  <c r="AH60" i="29"/>
  <c r="AI60" i="29" s="1"/>
  <c r="AD62" i="29"/>
  <c r="AD61" i="29"/>
  <c r="AD60" i="29"/>
  <c r="AF60" i="29" s="1"/>
  <c r="Z62" i="29"/>
  <c r="AF62" i="29" s="1"/>
  <c r="Z61" i="29"/>
  <c r="Z60" i="29"/>
  <c r="V62" i="29"/>
  <c r="W62" i="29" s="1"/>
  <c r="X61" i="29"/>
  <c r="V61" i="29"/>
  <c r="W61" i="29" s="1"/>
  <c r="V60" i="29"/>
  <c r="R62" i="29"/>
  <c r="X62" i="29" s="1"/>
  <c r="R61" i="29"/>
  <c r="S61" i="29" s="1"/>
  <c r="R60" i="29"/>
  <c r="S60" i="29" s="1"/>
  <c r="N62" i="29"/>
  <c r="N61" i="29"/>
  <c r="N60" i="29"/>
  <c r="O60" i="29" s="1"/>
  <c r="J62" i="29"/>
  <c r="J112" i="29" s="1"/>
  <c r="J61" i="29"/>
  <c r="K61" i="29"/>
  <c r="J60" i="29"/>
  <c r="F62" i="29"/>
  <c r="D62" i="29"/>
  <c r="F61" i="29"/>
  <c r="D61" i="29"/>
  <c r="F60" i="29"/>
  <c r="G60" i="29" s="1"/>
  <c r="D60" i="29"/>
  <c r="E58" i="29"/>
  <c r="CA53" i="29"/>
  <c r="CA50" i="29"/>
  <c r="AU53" i="29"/>
  <c r="AU52" i="29"/>
  <c r="AU51" i="29"/>
  <c r="AU50" i="29"/>
  <c r="AQ53" i="29"/>
  <c r="AQ52" i="29"/>
  <c r="AQ51" i="29"/>
  <c r="AQ50" i="29"/>
  <c r="AM53" i="29"/>
  <c r="AM52" i="29"/>
  <c r="AM51" i="29"/>
  <c r="D56" i="29"/>
  <c r="D55" i="29"/>
  <c r="D54" i="29"/>
  <c r="A56" i="29"/>
  <c r="A55" i="29"/>
  <c r="DF56" i="29"/>
  <c r="DG56" i="29" s="1"/>
  <c r="DF55" i="29"/>
  <c r="DG55" i="29" s="1"/>
  <c r="DF54" i="29"/>
  <c r="DB56" i="29"/>
  <c r="DB55" i="29"/>
  <c r="DB54" i="29"/>
  <c r="CX56" i="29"/>
  <c r="CX55" i="29"/>
  <c r="CY55" i="29"/>
  <c r="CX54" i="29"/>
  <c r="CL56" i="29"/>
  <c r="CM56" i="29" s="1"/>
  <c r="CL55" i="29"/>
  <c r="CL54" i="29"/>
  <c r="CH56" i="29"/>
  <c r="CH55" i="29"/>
  <c r="CH54" i="29"/>
  <c r="U34" i="20" s="1"/>
  <c r="CD56" i="29"/>
  <c r="CD55" i="29"/>
  <c r="CD54" i="29"/>
  <c r="BV56" i="29"/>
  <c r="BV55" i="29"/>
  <c r="BV54" i="29"/>
  <c r="BW54" i="29" s="1"/>
  <c r="BR56" i="29"/>
  <c r="BS56" i="29"/>
  <c r="BR55" i="29"/>
  <c r="BR54" i="29"/>
  <c r="BN56" i="29"/>
  <c r="BN55" i="29"/>
  <c r="BN54" i="29"/>
  <c r="Q34" i="20" s="1"/>
  <c r="BJ56" i="29"/>
  <c r="BJ55" i="29"/>
  <c r="BK55" i="29" s="1"/>
  <c r="BJ54" i="29"/>
  <c r="BF56" i="29"/>
  <c r="BF55" i="29"/>
  <c r="BG55" i="29" s="1"/>
  <c r="BF54" i="29"/>
  <c r="O34" i="20"/>
  <c r="BB56" i="29"/>
  <c r="BB55" i="29"/>
  <c r="BB54" i="29"/>
  <c r="N34" i="20" s="1"/>
  <c r="AX56" i="29"/>
  <c r="AX55" i="29"/>
  <c r="AX54" i="29"/>
  <c r="AT54" i="29"/>
  <c r="AP54" i="29"/>
  <c r="AD56" i="29"/>
  <c r="AD55" i="29"/>
  <c r="AD54" i="29"/>
  <c r="H34" i="20" s="1"/>
  <c r="Z56" i="29"/>
  <c r="Z55" i="29"/>
  <c r="Z54" i="29"/>
  <c r="G34" i="20"/>
  <c r="V56" i="29"/>
  <c r="W56" i="29" s="1"/>
  <c r="V55" i="29"/>
  <c r="V54" i="29"/>
  <c r="F34" i="20" s="1"/>
  <c r="R56" i="29"/>
  <c r="R55" i="29"/>
  <c r="R54" i="29"/>
  <c r="N56" i="29"/>
  <c r="N55" i="29"/>
  <c r="N54" i="29"/>
  <c r="D34" i="20"/>
  <c r="J56" i="29"/>
  <c r="J55" i="29"/>
  <c r="J54" i="29"/>
  <c r="C34" i="20" s="1"/>
  <c r="F56" i="29"/>
  <c r="F55" i="29"/>
  <c r="F54" i="29"/>
  <c r="B54" i="29"/>
  <c r="B53" i="29"/>
  <c r="B52" i="29"/>
  <c r="B51" i="29"/>
  <c r="B50" i="29"/>
  <c r="DG51" i="29"/>
  <c r="DG50" i="29"/>
  <c r="DC53" i="29"/>
  <c r="DC52" i="29"/>
  <c r="DC51" i="29"/>
  <c r="DC50" i="29"/>
  <c r="CY53" i="29"/>
  <c r="CY52" i="29"/>
  <c r="CY51" i="29"/>
  <c r="CY50" i="29"/>
  <c r="CT56" i="29"/>
  <c r="CT55" i="29"/>
  <c r="CT53" i="29"/>
  <c r="CM53" i="29"/>
  <c r="CM52" i="29"/>
  <c r="CM51" i="29"/>
  <c r="CM50" i="29"/>
  <c r="CI53" i="29"/>
  <c r="CI52" i="29"/>
  <c r="CI51" i="29"/>
  <c r="CI50" i="29"/>
  <c r="CE53" i="29"/>
  <c r="CE52" i="29"/>
  <c r="CE51" i="29"/>
  <c r="CE50" i="29"/>
  <c r="BW53" i="29"/>
  <c r="BW52" i="29"/>
  <c r="BW51" i="29"/>
  <c r="BW50" i="29"/>
  <c r="BS53" i="29"/>
  <c r="BS52" i="29"/>
  <c r="BS51" i="29"/>
  <c r="BS50" i="29"/>
  <c r="BO53" i="29"/>
  <c r="BO52" i="29"/>
  <c r="BO51" i="29"/>
  <c r="BO50" i="29"/>
  <c r="BK53" i="29"/>
  <c r="BK52" i="29"/>
  <c r="BK51" i="29"/>
  <c r="BK50" i="29"/>
  <c r="BG53" i="29"/>
  <c r="BG52" i="29"/>
  <c r="BG51" i="29"/>
  <c r="BG50" i="29"/>
  <c r="BC52" i="29"/>
  <c r="BC51" i="29"/>
  <c r="BC50" i="29"/>
  <c r="AY53" i="29"/>
  <c r="AY52" i="29"/>
  <c r="AY51" i="29"/>
  <c r="AY50" i="29"/>
  <c r="AH56" i="29"/>
  <c r="AH55" i="29"/>
  <c r="AH53" i="29"/>
  <c r="AI53" i="29"/>
  <c r="AE52" i="29"/>
  <c r="AE51" i="29"/>
  <c r="AE50" i="29"/>
  <c r="AA52" i="29"/>
  <c r="AA51" i="29"/>
  <c r="AA50" i="29"/>
  <c r="W52" i="29"/>
  <c r="W51" i="29"/>
  <c r="W50" i="29"/>
  <c r="S52" i="29"/>
  <c r="S51" i="29"/>
  <c r="S50" i="29"/>
  <c r="O52" i="29"/>
  <c r="O51" i="29"/>
  <c r="O50" i="29"/>
  <c r="K52" i="29"/>
  <c r="K51" i="29"/>
  <c r="K50" i="29"/>
  <c r="G52" i="29"/>
  <c r="G51" i="29"/>
  <c r="G50" i="29"/>
  <c r="A53" i="29"/>
  <c r="A52" i="29"/>
  <c r="A51" i="29"/>
  <c r="A50" i="29"/>
  <c r="CU50" i="29"/>
  <c r="BZ52" i="29"/>
  <c r="CA52" i="29" s="1"/>
  <c r="BZ51" i="29"/>
  <c r="BZ56" i="29" s="1"/>
  <c r="AI52" i="29"/>
  <c r="AI51" i="29"/>
  <c r="AI50" i="29"/>
  <c r="AL50" i="29"/>
  <c r="E48" i="29"/>
  <c r="A46" i="29"/>
  <c r="A45" i="29"/>
  <c r="DF46" i="29"/>
  <c r="DF45" i="29"/>
  <c r="DF44" i="29"/>
  <c r="DL44" i="29" s="1"/>
  <c r="DB46" i="29"/>
  <c r="DD46" i="29"/>
  <c r="DB45" i="29"/>
  <c r="DB44" i="29"/>
  <c r="CX46" i="29"/>
  <c r="CX45" i="29"/>
  <c r="DD45" i="29" s="1"/>
  <c r="CX44" i="29"/>
  <c r="CT46" i="29"/>
  <c r="CZ46" i="29" s="1"/>
  <c r="CT45" i="29"/>
  <c r="CV45" i="29" s="1"/>
  <c r="CZ45" i="29"/>
  <c r="CT44" i="29"/>
  <c r="CL46" i="29"/>
  <c r="CL45" i="29"/>
  <c r="CR45" i="29"/>
  <c r="CL44" i="29"/>
  <c r="CN44" i="29" s="1"/>
  <c r="CH46" i="29"/>
  <c r="CN46" i="29" s="1"/>
  <c r="CH45" i="29"/>
  <c r="CH44" i="29"/>
  <c r="CD46" i="29"/>
  <c r="CD45" i="29"/>
  <c r="CD44" i="29"/>
  <c r="BZ46" i="29"/>
  <c r="CF46" i="29"/>
  <c r="BZ45" i="29"/>
  <c r="BZ44" i="29"/>
  <c r="BV46" i="29"/>
  <c r="BV45" i="29"/>
  <c r="BV44" i="29"/>
  <c r="R28" i="20" s="1"/>
  <c r="B44" i="29"/>
  <c r="B43" i="29"/>
  <c r="B42" i="29"/>
  <c r="B41" i="29"/>
  <c r="B40" i="29"/>
  <c r="A43" i="29"/>
  <c r="A42" i="29"/>
  <c r="A41" i="29"/>
  <c r="A40" i="29"/>
  <c r="DH43" i="29"/>
  <c r="DH42" i="29"/>
  <c r="DH41" i="29"/>
  <c r="DG41" i="29"/>
  <c r="DH40" i="29"/>
  <c r="DG40" i="29"/>
  <c r="DD43" i="29"/>
  <c r="DC43" i="29"/>
  <c r="DD42" i="29"/>
  <c r="DC42" i="29"/>
  <c r="DD41" i="29"/>
  <c r="DC41" i="29"/>
  <c r="DD40" i="29"/>
  <c r="DC40" i="29"/>
  <c r="CZ43" i="29"/>
  <c r="CY43" i="29"/>
  <c r="CZ42" i="29"/>
  <c r="CY42" i="29"/>
  <c r="CZ41" i="29"/>
  <c r="CY41" i="29"/>
  <c r="CZ40" i="29"/>
  <c r="CY40" i="29"/>
  <c r="CV43" i="29"/>
  <c r="CU43" i="29"/>
  <c r="CV42" i="29"/>
  <c r="CV41" i="29"/>
  <c r="CV40" i="29"/>
  <c r="CU40" i="29"/>
  <c r="CN43" i="29"/>
  <c r="CM43" i="29"/>
  <c r="CN42" i="29"/>
  <c r="CM42" i="29"/>
  <c r="CN41" i="29"/>
  <c r="CM41" i="29"/>
  <c r="CN40" i="29"/>
  <c r="CM40" i="29"/>
  <c r="CJ43" i="29"/>
  <c r="CI43" i="29"/>
  <c r="CJ42" i="29"/>
  <c r="CI42" i="29"/>
  <c r="CJ41" i="29"/>
  <c r="CI41" i="29"/>
  <c r="CJ40" i="29"/>
  <c r="CI40" i="29"/>
  <c r="CF43" i="29"/>
  <c r="CE43" i="29"/>
  <c r="CF42" i="29"/>
  <c r="CE42" i="29"/>
  <c r="CF41" i="29"/>
  <c r="CE41" i="29"/>
  <c r="CF40" i="29"/>
  <c r="CE40" i="29"/>
  <c r="CB43" i="29"/>
  <c r="CA43" i="29"/>
  <c r="CB42" i="29"/>
  <c r="CA42" i="29"/>
  <c r="CB41" i="29"/>
  <c r="CB40" i="29"/>
  <c r="CA40" i="29"/>
  <c r="BW43" i="29"/>
  <c r="BW42" i="29"/>
  <c r="BW41" i="29"/>
  <c r="BW40" i="29"/>
  <c r="E38" i="29"/>
  <c r="D36" i="29"/>
  <c r="D35" i="29"/>
  <c r="D33" i="29"/>
  <c r="D34" i="29" s="1"/>
  <c r="A36" i="29"/>
  <c r="A35" i="29"/>
  <c r="DF35" i="29"/>
  <c r="DB36" i="29"/>
  <c r="DD36" i="29" s="1"/>
  <c r="DB35" i="29"/>
  <c r="DB34" i="29"/>
  <c r="Z19" i="20" s="1"/>
  <c r="CX36" i="29"/>
  <c r="CX35" i="29"/>
  <c r="CX34" i="29"/>
  <c r="CT36" i="29"/>
  <c r="CT35" i="29"/>
  <c r="CT34" i="29"/>
  <c r="X19" i="20" s="1"/>
  <c r="CZ34" i="29"/>
  <c r="CL36" i="29"/>
  <c r="CL35" i="29"/>
  <c r="CN35" i="29" s="1"/>
  <c r="CL34" i="29"/>
  <c r="CD36" i="29"/>
  <c r="CD35" i="29"/>
  <c r="CF35" i="29" s="1"/>
  <c r="CD34" i="29"/>
  <c r="BZ35" i="29"/>
  <c r="CB35" i="29"/>
  <c r="BV36" i="29"/>
  <c r="BX36" i="29" s="1"/>
  <c r="BV35" i="29"/>
  <c r="BV34" i="29"/>
  <c r="BR36" i="29"/>
  <c r="BR35" i="29"/>
  <c r="BR34" i="29"/>
  <c r="BN36" i="29"/>
  <c r="BP36" i="29" s="1"/>
  <c r="BN35" i="29"/>
  <c r="BN34" i="29"/>
  <c r="BJ36" i="29"/>
  <c r="BJ35" i="29"/>
  <c r="BP35" i="29"/>
  <c r="BJ34" i="29"/>
  <c r="BF36" i="29"/>
  <c r="BH36" i="29"/>
  <c r="BF35" i="29"/>
  <c r="BF34" i="29"/>
  <c r="BB36" i="29"/>
  <c r="BB35" i="29"/>
  <c r="BC35" i="29" s="1"/>
  <c r="BB34" i="29"/>
  <c r="AX36" i="29"/>
  <c r="AX35" i="29"/>
  <c r="AX34" i="29"/>
  <c r="AT36" i="29"/>
  <c r="AT35" i="29"/>
  <c r="AT34" i="29"/>
  <c r="AP36" i="29"/>
  <c r="AV36" i="29" s="1"/>
  <c r="AP35" i="29"/>
  <c r="AV35" i="29" s="1"/>
  <c r="AP34" i="29"/>
  <c r="AQ34" i="29" s="1"/>
  <c r="AL36" i="29"/>
  <c r="AL35" i="29"/>
  <c r="AL34" i="29"/>
  <c r="AN34" i="29"/>
  <c r="AH36" i="29"/>
  <c r="AH35" i="29"/>
  <c r="AH34" i="29"/>
  <c r="AD36" i="29"/>
  <c r="AD35" i="29"/>
  <c r="AD34" i="29"/>
  <c r="Z36" i="29"/>
  <c r="AF36" i="29" s="1"/>
  <c r="Z35" i="29"/>
  <c r="AF35" i="29"/>
  <c r="Z34" i="29"/>
  <c r="B34" i="29"/>
  <c r="B33" i="29"/>
  <c r="B32" i="29"/>
  <c r="B31" i="29"/>
  <c r="B30" i="29"/>
  <c r="DH31" i="29"/>
  <c r="DH30" i="29"/>
  <c r="CH36" i="29"/>
  <c r="CN36" i="29" s="1"/>
  <c r="CH35" i="29"/>
  <c r="CH33" i="29"/>
  <c r="AQ33" i="29"/>
  <c r="AQ32" i="29"/>
  <c r="AQ31" i="29"/>
  <c r="AQ30" i="29"/>
  <c r="AI33" i="29"/>
  <c r="AI32" i="29"/>
  <c r="AI31" i="29"/>
  <c r="AI30" i="29"/>
  <c r="V36" i="29"/>
  <c r="V35" i="29"/>
  <c r="V33" i="29"/>
  <c r="AB33" i="29" s="1"/>
  <c r="R36" i="29"/>
  <c r="R35" i="29"/>
  <c r="R33" i="29"/>
  <c r="N36" i="29"/>
  <c r="N35" i="29"/>
  <c r="N33" i="29"/>
  <c r="O33" i="29" s="1"/>
  <c r="J36" i="29"/>
  <c r="J35" i="29"/>
  <c r="K35" i="29" s="1"/>
  <c r="J33" i="29"/>
  <c r="F36" i="29"/>
  <c r="F35" i="29"/>
  <c r="F33" i="29"/>
  <c r="G33" i="29" s="1"/>
  <c r="A33" i="29"/>
  <c r="A32" i="29"/>
  <c r="A31" i="29"/>
  <c r="A30" i="29"/>
  <c r="BZ32" i="29"/>
  <c r="W32" i="29"/>
  <c r="W31" i="29"/>
  <c r="W30" i="29"/>
  <c r="S32" i="29"/>
  <c r="S31" i="29"/>
  <c r="S30" i="29"/>
  <c r="O32" i="29"/>
  <c r="O31" i="29"/>
  <c r="O30" i="29"/>
  <c r="K32" i="29"/>
  <c r="K31" i="29"/>
  <c r="K30" i="29"/>
  <c r="G32" i="29"/>
  <c r="G31" i="29"/>
  <c r="G30" i="29"/>
  <c r="DG31" i="29"/>
  <c r="DG30" i="29"/>
  <c r="DD33" i="29"/>
  <c r="DC33" i="29"/>
  <c r="DD32" i="29"/>
  <c r="DC32" i="29"/>
  <c r="DD31" i="29"/>
  <c r="DC31" i="29"/>
  <c r="DD30" i="29"/>
  <c r="DC30" i="29"/>
  <c r="CZ33" i="29"/>
  <c r="CY33" i="29"/>
  <c r="CZ32" i="29"/>
  <c r="CY32" i="29"/>
  <c r="CZ31" i="29"/>
  <c r="CY31" i="29"/>
  <c r="CZ30" i="29"/>
  <c r="CY30" i="29"/>
  <c r="CV33" i="29"/>
  <c r="CU33" i="29"/>
  <c r="CV32" i="29"/>
  <c r="CU32" i="29"/>
  <c r="CV31" i="29"/>
  <c r="CU31" i="29"/>
  <c r="CU30" i="29"/>
  <c r="CM33" i="29"/>
  <c r="CN32" i="29"/>
  <c r="CM32" i="29"/>
  <c r="CN31" i="29"/>
  <c r="CM31" i="29"/>
  <c r="CN30" i="29"/>
  <c r="CM30" i="29"/>
  <c r="CJ32" i="29"/>
  <c r="CI32" i="29"/>
  <c r="CJ31" i="29"/>
  <c r="CI31" i="29"/>
  <c r="CJ30" i="29"/>
  <c r="CI30" i="29"/>
  <c r="CF33" i="29"/>
  <c r="CE33" i="29"/>
  <c r="CE32" i="29"/>
  <c r="CF31" i="29"/>
  <c r="CE31" i="29"/>
  <c r="CF30" i="29"/>
  <c r="CE30" i="29"/>
  <c r="CB33" i="29"/>
  <c r="CB31" i="29"/>
  <c r="CA31" i="29"/>
  <c r="CB30" i="29"/>
  <c r="CA30" i="29"/>
  <c r="BX33" i="29"/>
  <c r="BW33" i="29"/>
  <c r="BX32" i="29"/>
  <c r="BW32" i="29"/>
  <c r="BX31" i="29"/>
  <c r="BW31" i="29"/>
  <c r="BX30" i="29"/>
  <c r="BW30" i="29"/>
  <c r="BT33" i="29"/>
  <c r="BT32" i="29"/>
  <c r="BS32" i="29"/>
  <c r="BT31" i="29"/>
  <c r="BS31" i="29"/>
  <c r="BT30" i="29"/>
  <c r="BS30" i="29"/>
  <c r="BP33" i="29"/>
  <c r="BO33" i="29"/>
  <c r="BP32" i="29"/>
  <c r="BO32" i="29"/>
  <c r="BP31" i="29"/>
  <c r="BO31" i="29"/>
  <c r="BP30" i="29"/>
  <c r="BO30" i="29"/>
  <c r="BL33" i="29"/>
  <c r="BK33" i="29"/>
  <c r="BL32" i="29"/>
  <c r="BK32" i="29"/>
  <c r="BL31" i="29"/>
  <c r="BK31" i="29"/>
  <c r="BL30" i="29"/>
  <c r="BK30" i="29"/>
  <c r="BH33" i="29"/>
  <c r="BG33" i="29"/>
  <c r="Z14" i="28" s="1"/>
  <c r="BH32" i="29"/>
  <c r="BG32" i="29"/>
  <c r="Y14" i="28" s="1"/>
  <c r="BH31" i="29"/>
  <c r="BG31" i="29"/>
  <c r="X14" i="28" s="1"/>
  <c r="X37" i="28" s="1"/>
  <c r="BH30" i="29"/>
  <c r="BG30" i="29"/>
  <c r="W14" i="28" s="1"/>
  <c r="BD33" i="29"/>
  <c r="BC33" i="29"/>
  <c r="BD32" i="29"/>
  <c r="BC32" i="29"/>
  <c r="BD31" i="29"/>
  <c r="BC31" i="29"/>
  <c r="BD30" i="29"/>
  <c r="BC30" i="29"/>
  <c r="AZ33" i="29"/>
  <c r="AY33" i="29"/>
  <c r="AZ32" i="29"/>
  <c r="AY32" i="29"/>
  <c r="AZ31" i="29"/>
  <c r="AY31" i="29"/>
  <c r="AZ30" i="29"/>
  <c r="AY30" i="29"/>
  <c r="AV33" i="29"/>
  <c r="AU33" i="29"/>
  <c r="AV32" i="29"/>
  <c r="AU32" i="29"/>
  <c r="AV31" i="29"/>
  <c r="AU31" i="29"/>
  <c r="AV30" i="29"/>
  <c r="AU30" i="29"/>
  <c r="AN33" i="29"/>
  <c r="AM33" i="29"/>
  <c r="AN32" i="29"/>
  <c r="AM32" i="29"/>
  <c r="AN31" i="29"/>
  <c r="AM31" i="29"/>
  <c r="AN30" i="29"/>
  <c r="AM30" i="29"/>
  <c r="AF33" i="29"/>
  <c r="AE33" i="29"/>
  <c r="AF32" i="29"/>
  <c r="AE32" i="29"/>
  <c r="AF31" i="29"/>
  <c r="AE31" i="29"/>
  <c r="AF30" i="29"/>
  <c r="AE30" i="29"/>
  <c r="AA33" i="29"/>
  <c r="AB32" i="29"/>
  <c r="AA32" i="29"/>
  <c r="AB31" i="29"/>
  <c r="AA31" i="29"/>
  <c r="AB30" i="29"/>
  <c r="AA30" i="29"/>
  <c r="E28" i="29"/>
  <c r="D26" i="29"/>
  <c r="D25" i="29"/>
  <c r="D23" i="29"/>
  <c r="D24" i="29" s="1"/>
  <c r="A26" i="29"/>
  <c r="A25" i="29"/>
  <c r="DF25" i="29"/>
  <c r="DB26" i="29"/>
  <c r="DC56" i="29" s="1"/>
  <c r="DB25" i="29"/>
  <c r="CX26" i="29"/>
  <c r="CX25" i="29"/>
  <c r="CL26" i="29"/>
  <c r="CL25" i="29"/>
  <c r="CH26" i="29"/>
  <c r="CI56" i="29"/>
  <c r="CH25" i="29"/>
  <c r="CD26" i="29"/>
  <c r="CE46" i="29" s="1"/>
  <c r="CD25" i="29"/>
  <c r="BV26" i="29"/>
  <c r="BW56" i="29" s="1"/>
  <c r="BV25" i="29"/>
  <c r="BN26" i="29"/>
  <c r="BO56" i="29"/>
  <c r="BN25" i="29"/>
  <c r="BO55" i="29" s="1"/>
  <c r="DB24" i="29"/>
  <c r="CX24" i="29"/>
  <c r="CY44" i="29" s="1"/>
  <c r="CL24" i="29"/>
  <c r="CM54" i="29" s="1"/>
  <c r="CH24" i="29"/>
  <c r="CI54" i="29" s="1"/>
  <c r="CD24" i="29"/>
  <c r="BV24" i="29"/>
  <c r="BR26" i="29"/>
  <c r="BR25" i="29"/>
  <c r="BS55" i="29" s="1"/>
  <c r="BR24" i="29"/>
  <c r="BS24" i="29" s="1"/>
  <c r="BN24" i="29"/>
  <c r="BJ26" i="29"/>
  <c r="BJ25" i="29"/>
  <c r="BJ24" i="29"/>
  <c r="P11" i="20" s="1"/>
  <c r="BF26" i="29"/>
  <c r="BG56" i="29" s="1"/>
  <c r="BF25" i="29"/>
  <c r="BF24" i="29"/>
  <c r="BB26" i="29"/>
  <c r="BC56" i="29" s="1"/>
  <c r="BB25" i="29"/>
  <c r="AX26" i="29"/>
  <c r="AX25" i="29"/>
  <c r="AX24" i="29"/>
  <c r="M11" i="20" s="1"/>
  <c r="AT26" i="29"/>
  <c r="AU56" i="29" s="1"/>
  <c r="AT25" i="29"/>
  <c r="AU55" i="29"/>
  <c r="AT24" i="29"/>
  <c r="Y77" i="17"/>
  <c r="AP26" i="29"/>
  <c r="AQ56" i="29" s="1"/>
  <c r="AP25" i="29"/>
  <c r="AQ55" i="29"/>
  <c r="AP24" i="29"/>
  <c r="W77" i="17"/>
  <c r="AL26" i="29"/>
  <c r="AM56" i="29"/>
  <c r="AL25" i="29"/>
  <c r="AM55" i="29" s="1"/>
  <c r="AL24" i="29"/>
  <c r="AH26" i="29"/>
  <c r="AH25" i="29"/>
  <c r="AI25" i="29" s="1"/>
  <c r="AI55" i="29"/>
  <c r="AH24" i="29"/>
  <c r="I11" i="20" s="1"/>
  <c r="S77" i="17"/>
  <c r="B24" i="29"/>
  <c r="B23" i="29"/>
  <c r="B22" i="29"/>
  <c r="B21" i="29"/>
  <c r="B20" i="29"/>
  <c r="DH23" i="29"/>
  <c r="BB23" i="29"/>
  <c r="F98" i="9" s="1"/>
  <c r="BC53" i="29"/>
  <c r="AY23" i="29"/>
  <c r="AY22" i="29"/>
  <c r="BD22" i="29" s="1"/>
  <c r="AY21" i="29"/>
  <c r="AY20" i="29"/>
  <c r="AU23" i="29"/>
  <c r="AU22" i="29"/>
  <c r="AU21" i="29"/>
  <c r="AU20" i="29"/>
  <c r="AQ23" i="29"/>
  <c r="AQ22" i="29"/>
  <c r="AQ21" i="29"/>
  <c r="AQ20" i="29"/>
  <c r="AM23" i="29"/>
  <c r="AM22" i="29"/>
  <c r="AM21" i="29"/>
  <c r="AM20" i="29"/>
  <c r="AI23" i="29"/>
  <c r="AI22" i="29"/>
  <c r="AI21" i="29"/>
  <c r="AI20" i="29"/>
  <c r="AD26" i="29"/>
  <c r="AD25" i="29"/>
  <c r="AD23" i="29"/>
  <c r="F56" i="9"/>
  <c r="Z26" i="29"/>
  <c r="Z25" i="29"/>
  <c r="Z23" i="29"/>
  <c r="F49" i="9" s="1"/>
  <c r="Z63" i="29"/>
  <c r="V26" i="29"/>
  <c r="V25" i="29"/>
  <c r="W55" i="29" s="1"/>
  <c r="V23" i="29"/>
  <c r="V24" i="29" s="1"/>
  <c r="W54" i="29" s="1"/>
  <c r="R26" i="29"/>
  <c r="S56" i="29" s="1"/>
  <c r="R25" i="29"/>
  <c r="S55" i="29" s="1"/>
  <c r="R23" i="29"/>
  <c r="N26" i="29"/>
  <c r="N25" i="29"/>
  <c r="O55" i="29" s="1"/>
  <c r="N23" i="29"/>
  <c r="O23" i="29" s="1"/>
  <c r="J26" i="29"/>
  <c r="J25" i="29"/>
  <c r="K55" i="29"/>
  <c r="J23" i="29"/>
  <c r="F26" i="29"/>
  <c r="G56" i="29" s="1"/>
  <c r="F25" i="29"/>
  <c r="G55" i="29" s="1"/>
  <c r="F23" i="29"/>
  <c r="A23" i="29"/>
  <c r="A22" i="29"/>
  <c r="A21" i="29"/>
  <c r="A20" i="29"/>
  <c r="DC22" i="29"/>
  <c r="DC21" i="29"/>
  <c r="DC20" i="29"/>
  <c r="CT22" i="29"/>
  <c r="CT21" i="29"/>
  <c r="F166" i="9"/>
  <c r="AE22" i="29"/>
  <c r="AE21" i="29"/>
  <c r="AE20" i="29"/>
  <c r="AA22" i="29"/>
  <c r="AA21" i="29"/>
  <c r="AA20" i="29"/>
  <c r="W22" i="29"/>
  <c r="W21" i="29"/>
  <c r="W20" i="29"/>
  <c r="S22" i="29"/>
  <c r="S21" i="29"/>
  <c r="S20" i="29"/>
  <c r="O22" i="29"/>
  <c r="O21" i="29"/>
  <c r="O20" i="29"/>
  <c r="K22" i="29"/>
  <c r="K21" i="29"/>
  <c r="K20" i="29"/>
  <c r="G22" i="29"/>
  <c r="G21" i="29"/>
  <c r="G20" i="29"/>
  <c r="DG21" i="29"/>
  <c r="DL21" i="29" s="1"/>
  <c r="DG20" i="29"/>
  <c r="DH20" i="29" s="1"/>
  <c r="BZ21" i="29"/>
  <c r="CY23" i="29"/>
  <c r="CY22" i="29"/>
  <c r="CY21" i="29"/>
  <c r="CY20" i="29"/>
  <c r="CU23" i="29"/>
  <c r="CV23" i="29" s="1"/>
  <c r="CU20" i="29"/>
  <c r="CM23" i="29"/>
  <c r="CM22" i="29"/>
  <c r="CM21" i="29"/>
  <c r="CM20" i="29"/>
  <c r="CI23" i="29"/>
  <c r="CJ23" i="29"/>
  <c r="CI22" i="29"/>
  <c r="CJ22" i="29"/>
  <c r="CI21" i="29"/>
  <c r="CI20" i="29"/>
  <c r="CE23" i="29"/>
  <c r="CE22" i="29"/>
  <c r="CE21" i="29"/>
  <c r="CF20" i="29"/>
  <c r="CE20" i="29"/>
  <c r="CA22" i="29"/>
  <c r="CF22" i="29" s="1"/>
  <c r="CA20" i="29"/>
  <c r="CB20" i="29" s="1"/>
  <c r="BW23" i="29"/>
  <c r="BW22" i="29"/>
  <c r="BX22" i="29" s="1"/>
  <c r="BW21" i="29"/>
  <c r="BX21" i="29" s="1"/>
  <c r="BW20" i="29"/>
  <c r="BS22" i="29"/>
  <c r="BS21" i="29"/>
  <c r="BT21" i="29" s="1"/>
  <c r="BS20" i="29"/>
  <c r="BX20" i="29" s="1"/>
  <c r="BO23" i="29"/>
  <c r="BO22" i="29"/>
  <c r="BP22" i="29" s="1"/>
  <c r="BO21" i="29"/>
  <c r="BP21" i="29" s="1"/>
  <c r="BO20" i="29"/>
  <c r="BP20" i="29" s="1"/>
  <c r="BK23" i="29"/>
  <c r="BK22" i="29"/>
  <c r="BT22" i="29"/>
  <c r="BK21" i="29"/>
  <c r="BL21" i="29"/>
  <c r="BK20" i="29"/>
  <c r="BL20" i="29" s="1"/>
  <c r="BG23" i="29"/>
  <c r="Z10" i="28" s="1"/>
  <c r="BG22" i="29"/>
  <c r="Y10" i="28" s="1"/>
  <c r="BG21" i="29"/>
  <c r="X10" i="28" s="1"/>
  <c r="BG20" i="29"/>
  <c r="W10" i="28" s="1"/>
  <c r="BC22" i="29"/>
  <c r="BC21" i="29"/>
  <c r="BD21" i="29" s="1"/>
  <c r="BC20" i="29"/>
  <c r="BH20" i="29" s="1"/>
  <c r="E18" i="29"/>
  <c r="AP16" i="29"/>
  <c r="AP15" i="29"/>
  <c r="AP14" i="29"/>
  <c r="U13" i="40" s="1"/>
  <c r="AH16" i="29"/>
  <c r="AH15" i="29"/>
  <c r="AH14" i="29"/>
  <c r="S76" i="17" s="1"/>
  <c r="DB16" i="29"/>
  <c r="DB15" i="29"/>
  <c r="CX16" i="29"/>
  <c r="CY86" i="29" s="1"/>
  <c r="CX15" i="29"/>
  <c r="CY15" i="29" s="1"/>
  <c r="CT16" i="29"/>
  <c r="CT15" i="29"/>
  <c r="CV15" i="29" s="1"/>
  <c r="CL16" i="29"/>
  <c r="CL15" i="29"/>
  <c r="CH16" i="29"/>
  <c r="CI16" i="29" s="1"/>
  <c r="CH15" i="29"/>
  <c r="CI75" i="29" s="1"/>
  <c r="CD16" i="29"/>
  <c r="CE26" i="29" s="1"/>
  <c r="CD15" i="29"/>
  <c r="CM15" i="29" s="1"/>
  <c r="BZ16" i="29"/>
  <c r="BZ15" i="29"/>
  <c r="CB15" i="29" s="1"/>
  <c r="BV16" i="29"/>
  <c r="BV15" i="29"/>
  <c r="BR16" i="29"/>
  <c r="BS26" i="29"/>
  <c r="BR15" i="29"/>
  <c r="BT15" i="29"/>
  <c r="BJ16" i="29"/>
  <c r="BJ15" i="29"/>
  <c r="BF16" i="29"/>
  <c r="BF15" i="29"/>
  <c r="BG25" i="29" s="1"/>
  <c r="BH15" i="29"/>
  <c r="BB16" i="29"/>
  <c r="BC16" i="29" s="1"/>
  <c r="BB15" i="29"/>
  <c r="AX16" i="29"/>
  <c r="AX15" i="29"/>
  <c r="AT16" i="29"/>
  <c r="AU36" i="29" s="1"/>
  <c r="AT15" i="29"/>
  <c r="AL16" i="29"/>
  <c r="AM76" i="29" s="1"/>
  <c r="AM26" i="29"/>
  <c r="AL15" i="29"/>
  <c r="AD16" i="29"/>
  <c r="AE36" i="29"/>
  <c r="AD15" i="29"/>
  <c r="AE85" i="29" s="1"/>
  <c r="Z16" i="29"/>
  <c r="AE16" i="29" s="1"/>
  <c r="Z15" i="29"/>
  <c r="V16" i="29"/>
  <c r="W86" i="29" s="1"/>
  <c r="W16" i="29"/>
  <c r="V15" i="29"/>
  <c r="R16" i="29"/>
  <c r="T15" i="29"/>
  <c r="R15" i="29"/>
  <c r="S75" i="29"/>
  <c r="N16" i="29"/>
  <c r="N15" i="29"/>
  <c r="O75" i="29"/>
  <c r="J16" i="29"/>
  <c r="J15" i="29"/>
  <c r="F16" i="29"/>
  <c r="D16" i="29"/>
  <c r="E16" i="29" s="1"/>
  <c r="F15" i="29"/>
  <c r="G75" i="29"/>
  <c r="D15" i="29"/>
  <c r="E15" i="29"/>
  <c r="CL14" i="29"/>
  <c r="CN202" i="29" s="1"/>
  <c r="CH14" i="29"/>
  <c r="U7" i="20" s="1"/>
  <c r="U14" i="20" s="1"/>
  <c r="CD14" i="29"/>
  <c r="T7" i="20" s="1"/>
  <c r="BV14" i="29"/>
  <c r="BN16" i="29"/>
  <c r="BN15" i="29"/>
  <c r="BP15" i="29"/>
  <c r="BP16" i="29" s="1"/>
  <c r="BN14" i="29"/>
  <c r="BJ14" i="29"/>
  <c r="BF14" i="29"/>
  <c r="Y13" i="40" s="1"/>
  <c r="Y14" i="40" s="1"/>
  <c r="BB14" i="29"/>
  <c r="X13" i="40" s="1"/>
  <c r="AX14" i="29"/>
  <c r="AA76" i="17" s="1"/>
  <c r="AT14" i="29"/>
  <c r="AL14" i="29"/>
  <c r="AD14" i="29"/>
  <c r="Z14" i="29"/>
  <c r="O76" i="17" s="1"/>
  <c r="F14" i="29"/>
  <c r="D13" i="29"/>
  <c r="D14" i="29" s="1"/>
  <c r="K13" i="40"/>
  <c r="K36" i="40" s="1"/>
  <c r="DC13" i="29"/>
  <c r="CV13" i="34"/>
  <c r="CV43" i="34" s="1"/>
  <c r="DC12" i="29"/>
  <c r="CV12" i="34" s="1"/>
  <c r="CV42" i="34" s="1"/>
  <c r="DC11" i="29"/>
  <c r="CV11" i="34" s="1"/>
  <c r="CV41" i="34" s="1"/>
  <c r="DC10" i="29"/>
  <c r="CV10" i="34" s="1"/>
  <c r="CY13" i="29"/>
  <c r="CR13" i="34" s="1"/>
  <c r="CR43" i="34" s="1"/>
  <c r="CY12" i="29"/>
  <c r="CR12" i="34"/>
  <c r="CR42" i="34" s="1"/>
  <c r="CY11" i="29"/>
  <c r="CR11" i="34" s="1"/>
  <c r="CR23" i="34" s="1"/>
  <c r="CY10" i="29"/>
  <c r="CR10" i="34" s="1"/>
  <c r="CR22" i="34" s="1"/>
  <c r="CV13" i="29"/>
  <c r="BS47" i="28" s="1"/>
  <c r="CU13" i="29"/>
  <c r="CN13" i="34"/>
  <c r="CM13" i="29"/>
  <c r="CF13" i="34" s="1"/>
  <c r="CM12" i="29"/>
  <c r="CF12" i="34" s="1"/>
  <c r="CF18" i="34" s="1"/>
  <c r="CM11" i="29"/>
  <c r="CF11" i="34" s="1"/>
  <c r="CF35" i="34" s="1"/>
  <c r="CM10" i="29"/>
  <c r="CF10" i="34" s="1"/>
  <c r="CI13" i="29"/>
  <c r="CB13" i="34"/>
  <c r="CB43" i="34" s="1"/>
  <c r="CI12" i="29"/>
  <c r="CB12" i="34" s="1"/>
  <c r="CI11" i="29"/>
  <c r="CB11" i="34" s="1"/>
  <c r="CI10" i="29"/>
  <c r="CB10" i="34" s="1"/>
  <c r="CB40" i="34" s="1"/>
  <c r="CE12" i="29"/>
  <c r="BX12" i="34" s="1"/>
  <c r="CE11" i="29"/>
  <c r="BX11" i="34" s="1"/>
  <c r="CE10" i="29"/>
  <c r="BX10" i="34" s="1"/>
  <c r="BX40" i="34" s="1"/>
  <c r="BZ13" i="29"/>
  <c r="BZ14" i="29" s="1"/>
  <c r="S7" i="20" s="1"/>
  <c r="BW13" i="29"/>
  <c r="BP13" i="34" s="1"/>
  <c r="BW12" i="29"/>
  <c r="BP12" i="34" s="1"/>
  <c r="BP36" i="34" s="1"/>
  <c r="BW11" i="29"/>
  <c r="BP11" i="34"/>
  <c r="BP29" i="34" s="1"/>
  <c r="BW10" i="29"/>
  <c r="BP10" i="34"/>
  <c r="BR14" i="29"/>
  <c r="BR13" i="29"/>
  <c r="BO13" i="29"/>
  <c r="BL13" i="34" s="1"/>
  <c r="BL19" i="34" s="1"/>
  <c r="BL25" i="34" s="1"/>
  <c r="BL31" i="34" s="1"/>
  <c r="BL37" i="34" s="1"/>
  <c r="BL43" i="34" s="1"/>
  <c r="BO12" i="29"/>
  <c r="BL12" i="34"/>
  <c r="BL18" i="34" s="1"/>
  <c r="BL24" i="34" s="1"/>
  <c r="BL30" i="34" s="1"/>
  <c r="BL36" i="34" s="1"/>
  <c r="BL42" i="34" s="1"/>
  <c r="BO11" i="29"/>
  <c r="BL11" i="34" s="1"/>
  <c r="BL17" i="34" s="1"/>
  <c r="BL23" i="34" s="1"/>
  <c r="BL29" i="34" s="1"/>
  <c r="BL35" i="34" s="1"/>
  <c r="BL41" i="34" s="1"/>
  <c r="BO10" i="29"/>
  <c r="BL10" i="34"/>
  <c r="BL22" i="34" s="1"/>
  <c r="BK13" i="29"/>
  <c r="BK12" i="29"/>
  <c r="BK11" i="29"/>
  <c r="BK10" i="29"/>
  <c r="BH10" i="34"/>
  <c r="BG13" i="29"/>
  <c r="BG12" i="29"/>
  <c r="Y8" i="28" s="1"/>
  <c r="BD12" i="34"/>
  <c r="BD24" i="34" s="1"/>
  <c r="BG11" i="29"/>
  <c r="X8" i="28" s="1"/>
  <c r="BG10" i="29"/>
  <c r="BC13" i="29"/>
  <c r="AZ13" i="34"/>
  <c r="BC12" i="29"/>
  <c r="AZ12" i="34" s="1"/>
  <c r="AZ24" i="34" s="1"/>
  <c r="BC11" i="29"/>
  <c r="AZ11" i="34" s="1"/>
  <c r="BC10" i="29"/>
  <c r="AZ10" i="34" s="1"/>
  <c r="AZ22" i="34" s="1"/>
  <c r="AY13" i="29"/>
  <c r="AV13" i="34" s="1"/>
  <c r="AY12" i="29"/>
  <c r="AV12" i="34" s="1"/>
  <c r="AY11" i="29"/>
  <c r="AV11" i="34"/>
  <c r="AV41" i="34" s="1"/>
  <c r="AY10" i="29"/>
  <c r="AV10" i="34" s="1"/>
  <c r="AU13" i="29"/>
  <c r="AR13" i="34" s="1"/>
  <c r="AR43" i="34" s="1"/>
  <c r="AU12" i="29"/>
  <c r="AR12" i="34" s="1"/>
  <c r="AU11" i="29"/>
  <c r="AR11" i="34" s="1"/>
  <c r="AU10" i="29"/>
  <c r="AR10" i="34" s="1"/>
  <c r="AR34" i="34" s="1"/>
  <c r="AM13" i="29"/>
  <c r="AJ13" i="34" s="1"/>
  <c r="AM12" i="29"/>
  <c r="AJ12" i="34" s="1"/>
  <c r="AJ42" i="34" s="1"/>
  <c r="AM11" i="29"/>
  <c r="AJ11" i="34" s="1"/>
  <c r="AM10" i="29"/>
  <c r="AJ10" i="34" s="1"/>
  <c r="AE13" i="29"/>
  <c r="AB13" i="34" s="1"/>
  <c r="AB31" i="34" s="1"/>
  <c r="AE12" i="29"/>
  <c r="AB12" i="34" s="1"/>
  <c r="AB42" i="34" s="1"/>
  <c r="AE11" i="29"/>
  <c r="AB11" i="34" s="1"/>
  <c r="AB35" i="34" s="1"/>
  <c r="AE10" i="29"/>
  <c r="AB10" i="34" s="1"/>
  <c r="AA12" i="29"/>
  <c r="X12" i="34" s="1"/>
  <c r="AA11" i="29"/>
  <c r="X11" i="34"/>
  <c r="AA10" i="29"/>
  <c r="X10" i="34" s="1"/>
  <c r="X28" i="34" s="1"/>
  <c r="V13" i="29"/>
  <c r="R13" i="29"/>
  <c r="S33" i="29" s="1"/>
  <c r="N13" i="29"/>
  <c r="D28" i="9" s="1"/>
  <c r="O73" i="29"/>
  <c r="J13" i="29"/>
  <c r="D21" i="9" s="1"/>
  <c r="G12" i="29"/>
  <c r="D21" i="12" s="1"/>
  <c r="J23" i="38" s="1"/>
  <c r="G11" i="29"/>
  <c r="D20" i="12" s="1"/>
  <c r="G10" i="29"/>
  <c r="DF15" i="29"/>
  <c r="DG35" i="29" s="1"/>
  <c r="CU12" i="29"/>
  <c r="CN12" i="34" s="1"/>
  <c r="CU11" i="29"/>
  <c r="CN11" i="34" s="1"/>
  <c r="CN29" i="34" s="1"/>
  <c r="CU10" i="29"/>
  <c r="CN10" i="34" s="1"/>
  <c r="CN28" i="34" s="1"/>
  <c r="CA12" i="29"/>
  <c r="BT12" i="34" s="1"/>
  <c r="BT36" i="34" s="1"/>
  <c r="CA11" i="29"/>
  <c r="BT11" i="34" s="1"/>
  <c r="BT23" i="34" s="1"/>
  <c r="CA10" i="29"/>
  <c r="BT10" i="34" s="1"/>
  <c r="BS12" i="29"/>
  <c r="BS11" i="29"/>
  <c r="BS10" i="29"/>
  <c r="W12" i="29"/>
  <c r="T12" i="34"/>
  <c r="T42" i="34" s="1"/>
  <c r="W11" i="29"/>
  <c r="T11" i="34" s="1"/>
  <c r="T23" i="34" s="1"/>
  <c r="W10" i="29"/>
  <c r="T10" i="34" s="1"/>
  <c r="T28" i="34" s="1"/>
  <c r="S12" i="29"/>
  <c r="P12" i="34" s="1"/>
  <c r="S11" i="29"/>
  <c r="P11" i="34" s="1"/>
  <c r="P35" i="34" s="1"/>
  <c r="S10" i="29"/>
  <c r="P10" i="34"/>
  <c r="P34" i="34" s="1"/>
  <c r="O12" i="29"/>
  <c r="L12" i="34" s="1"/>
  <c r="L18" i="34" s="1"/>
  <c r="O11" i="29"/>
  <c r="L11" i="34" s="1"/>
  <c r="L41" i="34" s="1"/>
  <c r="O10" i="29"/>
  <c r="L10" i="34" s="1"/>
  <c r="K12" i="29"/>
  <c r="H12" i="34" s="1"/>
  <c r="H18" i="34" s="1"/>
  <c r="K11" i="29"/>
  <c r="H11" i="34" s="1"/>
  <c r="H23" i="34" s="1"/>
  <c r="K10" i="29"/>
  <c r="H10" i="34"/>
  <c r="H22" i="34" s="1"/>
  <c r="DH11" i="29"/>
  <c r="CF47" i="28" s="1"/>
  <c r="DG11" i="29"/>
  <c r="CZ11" i="34"/>
  <c r="DG10" i="29"/>
  <c r="CZ10" i="34" s="1"/>
  <c r="E8" i="29"/>
  <c r="AD6" i="29"/>
  <c r="AH6" i="29" s="1"/>
  <c r="AL6" i="29" s="1"/>
  <c r="AP6" i="29" s="1"/>
  <c r="AT6" i="29" s="1"/>
  <c r="AX6" i="29" s="1"/>
  <c r="BB6" i="29" s="1"/>
  <c r="BF6" i="29" s="1"/>
  <c r="BJ6" i="29" s="1"/>
  <c r="BN6" i="29" s="1"/>
  <c r="A1" i="29"/>
  <c r="G69" i="89"/>
  <c r="G68" i="89"/>
  <c r="G66" i="89"/>
  <c r="D67" i="89"/>
  <c r="G64" i="89"/>
  <c r="G63" i="89"/>
  <c r="G62" i="89"/>
  <c r="G61" i="89"/>
  <c r="G59" i="89"/>
  <c r="G58" i="89"/>
  <c r="G57" i="89"/>
  <c r="G56" i="89"/>
  <c r="M58" i="89"/>
  <c r="L58" i="89"/>
  <c r="K58" i="89"/>
  <c r="J58" i="89"/>
  <c r="M57" i="89"/>
  <c r="L57" i="89"/>
  <c r="J57" i="89"/>
  <c r="G54" i="89"/>
  <c r="G53" i="89"/>
  <c r="G52" i="89"/>
  <c r="AJ33" i="89"/>
  <c r="U32" i="89"/>
  <c r="S46" i="89"/>
  <c r="S39" i="89"/>
  <c r="P32" i="89"/>
  <c r="S38" i="89"/>
  <c r="P31" i="89"/>
  <c r="AO30" i="89"/>
  <c r="AO29" i="89"/>
  <c r="P30" i="89"/>
  <c r="AH32" i="89"/>
  <c r="AH31" i="89"/>
  <c r="AH30" i="89"/>
  <c r="AH29" i="89"/>
  <c r="AA32" i="89"/>
  <c r="AA31" i="89"/>
  <c r="AD30" i="89"/>
  <c r="AA30" i="89"/>
  <c r="AD29" i="89"/>
  <c r="AA29" i="89"/>
  <c r="U30" i="89"/>
  <c r="S30" i="89"/>
  <c r="U29" i="89"/>
  <c r="R29" i="89"/>
  <c r="P29" i="89"/>
  <c r="Q36" i="89" s="1"/>
  <c r="G32" i="89"/>
  <c r="K31" i="89"/>
  <c r="G31" i="89"/>
  <c r="K30" i="89"/>
  <c r="G30" i="89"/>
  <c r="K29" i="89"/>
  <c r="G29" i="89"/>
  <c r="R26" i="89"/>
  <c r="AO25" i="89"/>
  <c r="AO24" i="89"/>
  <c r="AO23" i="89"/>
  <c r="AO22" i="89"/>
  <c r="AJ23" i="89"/>
  <c r="AJ22" i="89"/>
  <c r="AH25" i="89"/>
  <c r="AH24" i="89"/>
  <c r="AH22" i="89"/>
  <c r="AD25" i="89"/>
  <c r="AA25" i="89"/>
  <c r="AD24" i="89"/>
  <c r="AA24" i="89"/>
  <c r="AD23" i="89"/>
  <c r="AA23" i="89"/>
  <c r="AD22" i="89"/>
  <c r="AA22" i="89"/>
  <c r="U25" i="89"/>
  <c r="U24" i="89"/>
  <c r="U23" i="89"/>
  <c r="U22" i="89"/>
  <c r="P25" i="89"/>
  <c r="P24" i="89"/>
  <c r="P23" i="89"/>
  <c r="T23" i="89" s="1"/>
  <c r="Q30" i="89"/>
  <c r="P22" i="89"/>
  <c r="K25" i="89"/>
  <c r="G25" i="89"/>
  <c r="AB25" i="89" s="1"/>
  <c r="C25" i="89"/>
  <c r="K24" i="89"/>
  <c r="G24" i="89"/>
  <c r="C24" i="89"/>
  <c r="K23" i="89"/>
  <c r="G23" i="89"/>
  <c r="C23" i="89"/>
  <c r="D23" i="89" s="1"/>
  <c r="K22" i="89"/>
  <c r="G22" i="89"/>
  <c r="C22" i="89"/>
  <c r="AO18" i="89"/>
  <c r="AO17" i="89"/>
  <c r="AO16" i="89"/>
  <c r="AO15" i="89"/>
  <c r="AJ19" i="89"/>
  <c r="AN18" i="89"/>
  <c r="AN17" i="89"/>
  <c r="AN24" i="89"/>
  <c r="AN16" i="89"/>
  <c r="AN23" i="89"/>
  <c r="AN15" i="89"/>
  <c r="I19" i="89"/>
  <c r="AC19" i="89" s="1"/>
  <c r="K18" i="89"/>
  <c r="G18" i="89"/>
  <c r="C18" i="89"/>
  <c r="D25" i="89" s="1"/>
  <c r="K17" i="89"/>
  <c r="G17" i="89"/>
  <c r="H24" i="89" s="1"/>
  <c r="C17" i="89"/>
  <c r="C16" i="89"/>
  <c r="C15" i="89"/>
  <c r="AH18" i="89"/>
  <c r="AH17" i="89"/>
  <c r="AH16" i="89"/>
  <c r="AH15" i="89"/>
  <c r="AD18" i="89"/>
  <c r="AA18" i="89"/>
  <c r="AB18" i="89"/>
  <c r="AD17" i="89"/>
  <c r="AA17" i="89"/>
  <c r="AD16" i="89"/>
  <c r="AA16" i="89"/>
  <c r="AA19" i="89" s="1"/>
  <c r="AD15" i="89"/>
  <c r="AA15" i="89"/>
  <c r="S19" i="89"/>
  <c r="U18" i="89"/>
  <c r="U17" i="89"/>
  <c r="U16" i="89"/>
  <c r="U15" i="89"/>
  <c r="P18" i="89"/>
  <c r="R17" i="89"/>
  <c r="P17" i="89"/>
  <c r="R16" i="89"/>
  <c r="S23" i="89"/>
  <c r="P16" i="89"/>
  <c r="Q16" i="89" s="1"/>
  <c r="R15" i="89"/>
  <c r="P15" i="89"/>
  <c r="K16" i="89"/>
  <c r="G16" i="89"/>
  <c r="K15" i="89"/>
  <c r="G15" i="89"/>
  <c r="AO11" i="89"/>
  <c r="AO10" i="89"/>
  <c r="AO9" i="89"/>
  <c r="AO8" i="89"/>
  <c r="AC12" i="89"/>
  <c r="G12" i="89"/>
  <c r="C11" i="89"/>
  <c r="C10" i="89"/>
  <c r="AN11" i="89"/>
  <c r="AN10" i="89"/>
  <c r="AN9" i="89"/>
  <c r="AN8" i="89"/>
  <c r="AJ11" i="89"/>
  <c r="AJ10" i="89"/>
  <c r="AJ9" i="89"/>
  <c r="AJ8" i="89"/>
  <c r="AH11" i="89"/>
  <c r="AH10" i="89"/>
  <c r="AH9" i="89"/>
  <c r="AH8" i="89"/>
  <c r="I11" i="89"/>
  <c r="I10" i="89"/>
  <c r="I17" i="89"/>
  <c r="I9" i="89"/>
  <c r="AC9" i="89" s="1"/>
  <c r="I8" i="89"/>
  <c r="AD11" i="89"/>
  <c r="AD10" i="89"/>
  <c r="AC10" i="89"/>
  <c r="AD9" i="89"/>
  <c r="AD8" i="89"/>
  <c r="U11" i="89"/>
  <c r="U10" i="89"/>
  <c r="U9" i="89"/>
  <c r="U8" i="89"/>
  <c r="R11" i="89"/>
  <c r="P11" i="89"/>
  <c r="R10" i="89"/>
  <c r="P10" i="89"/>
  <c r="R9" i="89"/>
  <c r="P9" i="89"/>
  <c r="R8" i="89"/>
  <c r="P8" i="89"/>
  <c r="K11" i="89"/>
  <c r="L18" i="89" s="1"/>
  <c r="K10" i="89"/>
  <c r="K9" i="89"/>
  <c r="K8" i="89"/>
  <c r="EB224" i="47"/>
  <c r="EB223" i="47"/>
  <c r="DV224" i="47"/>
  <c r="DV223" i="47"/>
  <c r="DL227" i="47"/>
  <c r="W224" i="47"/>
  <c r="BI224" i="47" s="1"/>
  <c r="W223" i="47"/>
  <c r="B222" i="47"/>
  <c r="DM226" i="47"/>
  <c r="DM225" i="47"/>
  <c r="DM223" i="47"/>
  <c r="AZ227" i="47"/>
  <c r="DI225" i="47"/>
  <c r="BA224" i="47"/>
  <c r="BA223" i="47"/>
  <c r="DX223" i="47"/>
  <c r="DP224" i="47"/>
  <c r="DP223" i="47"/>
  <c r="DQ230" i="47" s="1"/>
  <c r="DJ224" i="47"/>
  <c r="DI224" i="47"/>
  <c r="DJ223" i="47"/>
  <c r="DI223" i="47"/>
  <c r="DB224" i="47"/>
  <c r="DC223" i="47"/>
  <c r="DB223" i="47"/>
  <c r="CV224" i="47"/>
  <c r="CU224" i="47"/>
  <c r="CV223" i="47"/>
  <c r="CU223" i="47"/>
  <c r="BJ223" i="47"/>
  <c r="BI223" i="47"/>
  <c r="GR13" i="38" s="1"/>
  <c r="BF224" i="47"/>
  <c r="BF223" i="47"/>
  <c r="BC223" i="47"/>
  <c r="BC227" i="47" s="1"/>
  <c r="AH224" i="47"/>
  <c r="AH223" i="47"/>
  <c r="AA224" i="47"/>
  <c r="AA223" i="47"/>
  <c r="S224" i="47"/>
  <c r="S223" i="47"/>
  <c r="L224" i="47"/>
  <c r="L223" i="47"/>
  <c r="G224" i="47"/>
  <c r="F224" i="47"/>
  <c r="G223" i="47"/>
  <c r="F223" i="47"/>
  <c r="EB219" i="47"/>
  <c r="EB218" i="47"/>
  <c r="EB217" i="47"/>
  <c r="EB216" i="47"/>
  <c r="DV219" i="47"/>
  <c r="DV218" i="47"/>
  <c r="DV217" i="47"/>
  <c r="DV216" i="47"/>
  <c r="DT220" i="47"/>
  <c r="DH220" i="47"/>
  <c r="DA220" i="47"/>
  <c r="CT220" i="47"/>
  <c r="BE220" i="47"/>
  <c r="AZ220" i="47"/>
  <c r="AJ61" i="40" s="1"/>
  <c r="P26" i="89"/>
  <c r="AG220" i="47"/>
  <c r="K26" i="89" s="1"/>
  <c r="AJ10" i="40"/>
  <c r="K220" i="47"/>
  <c r="AJ63" i="40"/>
  <c r="F220" i="47"/>
  <c r="E220" i="47"/>
  <c r="AJ59" i="40" s="1"/>
  <c r="BK67" i="40" s="1"/>
  <c r="BL60" i="40" s="1"/>
  <c r="B215" i="47"/>
  <c r="DM219" i="47"/>
  <c r="DM218" i="47"/>
  <c r="DM216" i="47"/>
  <c r="R219" i="47"/>
  <c r="DL217" i="47"/>
  <c r="DP217" i="47" s="1"/>
  <c r="DQ217" i="47" s="1"/>
  <c r="DP219" i="47"/>
  <c r="DQ219" i="47" s="1"/>
  <c r="DP218" i="47"/>
  <c r="DQ218" i="47" s="1"/>
  <c r="DP216" i="47"/>
  <c r="DJ219" i="47"/>
  <c r="DI219" i="47"/>
  <c r="DJ218" i="47"/>
  <c r="DI218" i="47"/>
  <c r="DJ217" i="47"/>
  <c r="DI217" i="47"/>
  <c r="DJ216" i="47"/>
  <c r="DI216" i="47"/>
  <c r="DC219" i="47"/>
  <c r="DB219" i="47"/>
  <c r="DC218" i="47"/>
  <c r="DB218" i="47"/>
  <c r="DC217" i="47"/>
  <c r="DB217" i="47"/>
  <c r="DB216" i="47"/>
  <c r="CU219" i="47"/>
  <c r="CV218" i="47"/>
  <c r="CU218" i="47"/>
  <c r="CV217" i="47"/>
  <c r="CU217" i="47"/>
  <c r="CV216" i="47"/>
  <c r="CU216" i="47"/>
  <c r="BJ220" i="47"/>
  <c r="BJ219" i="47"/>
  <c r="BI219" i="47"/>
  <c r="BJ218" i="47"/>
  <c r="BI218" i="47"/>
  <c r="AI218" i="47" s="1"/>
  <c r="BJ217" i="47"/>
  <c r="BI217" i="47"/>
  <c r="AI217" i="47" s="1"/>
  <c r="BJ216" i="47"/>
  <c r="BF219" i="47"/>
  <c r="BF218" i="47"/>
  <c r="BF217" i="47"/>
  <c r="BF216" i="47"/>
  <c r="BC219" i="47"/>
  <c r="BA219" i="47"/>
  <c r="BC218" i="47"/>
  <c r="BA218" i="47"/>
  <c r="BC217" i="47"/>
  <c r="BD224" i="47" s="1"/>
  <c r="BA217" i="47"/>
  <c r="BC216" i="47"/>
  <c r="BA216" i="47"/>
  <c r="AH219" i="47"/>
  <c r="AH218" i="47"/>
  <c r="AH217" i="47"/>
  <c r="AH216" i="47"/>
  <c r="AA220" i="47"/>
  <c r="AC219" i="47"/>
  <c r="AA219" i="47"/>
  <c r="AC218" i="47"/>
  <c r="AA218" i="47"/>
  <c r="AC217" i="47"/>
  <c r="AA217" i="47"/>
  <c r="AA216" i="47"/>
  <c r="W216" i="47"/>
  <c r="U218" i="47"/>
  <c r="S218" i="47"/>
  <c r="S217" i="47"/>
  <c r="S216" i="47"/>
  <c r="L219" i="47"/>
  <c r="L218" i="47"/>
  <c r="L217" i="47"/>
  <c r="L216" i="47"/>
  <c r="F219" i="47"/>
  <c r="F218" i="47"/>
  <c r="F217" i="47"/>
  <c r="G216" i="47"/>
  <c r="F216" i="47"/>
  <c r="EB212" i="47"/>
  <c r="EB211" i="47"/>
  <c r="EB210" i="47"/>
  <c r="EB209" i="47"/>
  <c r="DV212" i="47"/>
  <c r="DV211" i="47"/>
  <c r="DV210" i="47"/>
  <c r="DV209" i="47"/>
  <c r="DT213" i="47"/>
  <c r="DQ213" i="47"/>
  <c r="DQ212" i="47"/>
  <c r="DQ211" i="47"/>
  <c r="DQ210" i="47"/>
  <c r="DQ209" i="47"/>
  <c r="DL213" i="47"/>
  <c r="AH19" i="89" s="1"/>
  <c r="DH213" i="47"/>
  <c r="AD19" i="89" s="1"/>
  <c r="DA213" i="47"/>
  <c r="CT213" i="47"/>
  <c r="BE213" i="47"/>
  <c r="AZ213" i="47"/>
  <c r="AG213" i="47"/>
  <c r="AI10" i="40" s="1"/>
  <c r="AA213" i="47"/>
  <c r="W213" i="47"/>
  <c r="AI113" i="40" s="1"/>
  <c r="R213" i="47"/>
  <c r="K213" i="47"/>
  <c r="AI63" i="40" s="1"/>
  <c r="AI11" i="40" s="1"/>
  <c r="F213" i="47"/>
  <c r="B208" i="47"/>
  <c r="DJ212" i="47"/>
  <c r="DI212" i="47"/>
  <c r="DJ211" i="47"/>
  <c r="DI211" i="47"/>
  <c r="DJ210" i="47"/>
  <c r="DJ209" i="47"/>
  <c r="F212" i="47"/>
  <c r="E212" i="47"/>
  <c r="F211" i="47"/>
  <c r="E211" i="47"/>
  <c r="F210" i="47"/>
  <c r="E210" i="47"/>
  <c r="DX212" i="47"/>
  <c r="DX211" i="47"/>
  <c r="DX209" i="47"/>
  <c r="DN212" i="47"/>
  <c r="DM212" i="47"/>
  <c r="DN211" i="47"/>
  <c r="DM211" i="47"/>
  <c r="DN210" i="47"/>
  <c r="DM210" i="47"/>
  <c r="DN209" i="47"/>
  <c r="DM209" i="47"/>
  <c r="DD212" i="47"/>
  <c r="DC212" i="47"/>
  <c r="DB212" i="47"/>
  <c r="DD211" i="47"/>
  <c r="DC211" i="47"/>
  <c r="DB211" i="47"/>
  <c r="DD210" i="47"/>
  <c r="DC210" i="47"/>
  <c r="DB210" i="47"/>
  <c r="DD209" i="47"/>
  <c r="DC209" i="47"/>
  <c r="DB209" i="47"/>
  <c r="CW212" i="47"/>
  <c r="CV212" i="47"/>
  <c r="CU212" i="47"/>
  <c r="CW211" i="47"/>
  <c r="CV211" i="47"/>
  <c r="CU211" i="47"/>
  <c r="CW210" i="47"/>
  <c r="CV210" i="47"/>
  <c r="CU210" i="47"/>
  <c r="CW209" i="47"/>
  <c r="CV209" i="47"/>
  <c r="CU209" i="47"/>
  <c r="BJ213" i="47"/>
  <c r="BJ212" i="47"/>
  <c r="BJ211" i="47"/>
  <c r="BJ210" i="47"/>
  <c r="BJ209" i="47"/>
  <c r="BI209" i="47"/>
  <c r="BF212" i="47"/>
  <c r="BF211" i="47"/>
  <c r="BF210" i="47"/>
  <c r="BF209" i="47"/>
  <c r="BC212" i="47"/>
  <c r="BA212" i="47"/>
  <c r="BC211" i="47"/>
  <c r="BA211" i="47"/>
  <c r="BC210" i="47"/>
  <c r="BA210" i="47"/>
  <c r="BC209" i="47"/>
  <c r="BA209" i="47"/>
  <c r="AH212" i="47"/>
  <c r="AH211" i="47"/>
  <c r="AH210" i="47"/>
  <c r="AH209" i="47"/>
  <c r="AC212" i="47"/>
  <c r="AA212" i="47"/>
  <c r="X212" i="47"/>
  <c r="AC211" i="47"/>
  <c r="AA211" i="47"/>
  <c r="X211" i="47"/>
  <c r="AC210" i="47"/>
  <c r="AA210" i="47"/>
  <c r="X210" i="47"/>
  <c r="Y210" i="47" s="1"/>
  <c r="AC209" i="47"/>
  <c r="AA209" i="47"/>
  <c r="X209" i="47"/>
  <c r="S212" i="47"/>
  <c r="S211" i="47"/>
  <c r="S210" i="47"/>
  <c r="U209" i="47"/>
  <c r="S209" i="47"/>
  <c r="L212" i="47"/>
  <c r="L211" i="47"/>
  <c r="L210" i="47"/>
  <c r="L209" i="47"/>
  <c r="F209" i="47"/>
  <c r="EB205" i="47"/>
  <c r="EB204" i="47"/>
  <c r="EB203" i="47"/>
  <c r="EB202" i="47"/>
  <c r="DV205" i="47"/>
  <c r="DV204" i="47"/>
  <c r="DV203" i="47"/>
  <c r="DV202" i="47"/>
  <c r="DT206" i="47"/>
  <c r="AO12" i="89" s="1"/>
  <c r="DQ205" i="47"/>
  <c r="DQ204" i="47"/>
  <c r="DQ203" i="47"/>
  <c r="DL206" i="47"/>
  <c r="AH12" i="89" s="1"/>
  <c r="DJ205" i="47"/>
  <c r="DJ204" i="47"/>
  <c r="DJ203" i="47"/>
  <c r="DJ202" i="47"/>
  <c r="DH206" i="47"/>
  <c r="AD12" i="89" s="1"/>
  <c r="DA206" i="47"/>
  <c r="CT206" i="47"/>
  <c r="BS206" i="47"/>
  <c r="BS205" i="47"/>
  <c r="BS204" i="47"/>
  <c r="BS203" i="47"/>
  <c r="BS202" i="47"/>
  <c r="BE206" i="47"/>
  <c r="U12" i="89"/>
  <c r="AZ206" i="47"/>
  <c r="P12" i="89" s="1"/>
  <c r="AG206" i="47"/>
  <c r="W206" i="47"/>
  <c r="AH113" i="40"/>
  <c r="R206" i="47"/>
  <c r="S213" i="47"/>
  <c r="K206" i="47"/>
  <c r="AH63" i="40"/>
  <c r="AH11" i="40" s="1"/>
  <c r="B201" i="47"/>
  <c r="X205" i="47"/>
  <c r="X204" i="47"/>
  <c r="X203" i="47"/>
  <c r="X202" i="47"/>
  <c r="DX203" i="47"/>
  <c r="EA203" i="47" s="1"/>
  <c r="DN205" i="47"/>
  <c r="DN204" i="47"/>
  <c r="DN203" i="47"/>
  <c r="DN202" i="47"/>
  <c r="DD205" i="47"/>
  <c r="DC205" i="47"/>
  <c r="DB205" i="47"/>
  <c r="DD204" i="47"/>
  <c r="DC204" i="47"/>
  <c r="DB204" i="47"/>
  <c r="DD203" i="47"/>
  <c r="DC203" i="47"/>
  <c r="DB203" i="47"/>
  <c r="DD202" i="47"/>
  <c r="DC202" i="47"/>
  <c r="DB202" i="47"/>
  <c r="CW205" i="47"/>
  <c r="CX212" i="47" s="1"/>
  <c r="CV205" i="47"/>
  <c r="CW204" i="47"/>
  <c r="CV204" i="47"/>
  <c r="CW203" i="47"/>
  <c r="CV203" i="47"/>
  <c r="CW202" i="47"/>
  <c r="CV202" i="47"/>
  <c r="BO206" i="47"/>
  <c r="BJ206" i="47"/>
  <c r="BO205" i="47"/>
  <c r="BO204" i="47"/>
  <c r="BJ204" i="47"/>
  <c r="BO203" i="47"/>
  <c r="BJ203" i="47"/>
  <c r="BO202" i="47"/>
  <c r="BJ202" i="47"/>
  <c r="BF205" i="47"/>
  <c r="BF204" i="47"/>
  <c r="BF203" i="47"/>
  <c r="BF202" i="47"/>
  <c r="BC205" i="47"/>
  <c r="BA205" i="47"/>
  <c r="Q11" i="89" s="1"/>
  <c r="BC204" i="47"/>
  <c r="BD211" i="47" s="1"/>
  <c r="BA204" i="47"/>
  <c r="Q10" i="89" s="1"/>
  <c r="BC203" i="47"/>
  <c r="BA203" i="47"/>
  <c r="Q9" i="89" s="1"/>
  <c r="BC202" i="47"/>
  <c r="BA202" i="47"/>
  <c r="Q8" i="89" s="1"/>
  <c r="AA206" i="47"/>
  <c r="AC205" i="47"/>
  <c r="AA205" i="47"/>
  <c r="AC204" i="47"/>
  <c r="AA204" i="47"/>
  <c r="AC203" i="47"/>
  <c r="AC202" i="47"/>
  <c r="AA202" i="47"/>
  <c r="S205" i="47"/>
  <c r="S204" i="47"/>
  <c r="S203" i="47"/>
  <c r="S202" i="47"/>
  <c r="L205" i="47"/>
  <c r="L204" i="47"/>
  <c r="L203" i="47"/>
  <c r="L202" i="47"/>
  <c r="F206" i="47"/>
  <c r="F205" i="47"/>
  <c r="E205" i="47"/>
  <c r="F204" i="47"/>
  <c r="E204" i="47"/>
  <c r="F203" i="47"/>
  <c r="E203" i="47"/>
  <c r="BL203" i="47" s="1"/>
  <c r="F202" i="47"/>
  <c r="E202" i="47"/>
  <c r="DA197" i="47"/>
  <c r="DD213" i="47" s="1"/>
  <c r="CT197" i="47"/>
  <c r="W197" i="47"/>
  <c r="X213" i="47" s="1"/>
  <c r="R197" i="47"/>
  <c r="E196" i="47"/>
  <c r="E195" i="47"/>
  <c r="I211" i="47" s="1"/>
  <c r="E194" i="47"/>
  <c r="I210" i="47" s="1"/>
  <c r="E193" i="47"/>
  <c r="DA190" i="47"/>
  <c r="CT190" i="47"/>
  <c r="W190" i="47"/>
  <c r="X206" i="47" s="1"/>
  <c r="R190" i="47"/>
  <c r="R191" i="47" s="1"/>
  <c r="E189" i="47"/>
  <c r="E188" i="47"/>
  <c r="E187" i="47"/>
  <c r="E186" i="47"/>
  <c r="DH181" i="47"/>
  <c r="DH180" i="47"/>
  <c r="DA182" i="47"/>
  <c r="BS182" i="47"/>
  <c r="BS181" i="47"/>
  <c r="BS180" i="47"/>
  <c r="BS179" i="47"/>
  <c r="BE182" i="47"/>
  <c r="AO181" i="47"/>
  <c r="AO180" i="47"/>
  <c r="W182" i="47"/>
  <c r="DC182" i="47" s="1"/>
  <c r="R182" i="47"/>
  <c r="S206" i="47" s="1"/>
  <c r="K182" i="47"/>
  <c r="AG63" i="40" s="1"/>
  <c r="AG11" i="40" s="1"/>
  <c r="F182" i="47"/>
  <c r="E182" i="47"/>
  <c r="B181" i="47"/>
  <c r="B177" i="47"/>
  <c r="EH179" i="47"/>
  <c r="EH178" i="47"/>
  <c r="DX181" i="47"/>
  <c r="DX180" i="47"/>
  <c r="DX179" i="47"/>
  <c r="DX178" i="47"/>
  <c r="DR181" i="47"/>
  <c r="DR180" i="47"/>
  <c r="DR179" i="47"/>
  <c r="DP178" i="47"/>
  <c r="DP182" i="47" s="1"/>
  <c r="DQ206" i="47" s="1"/>
  <c r="DL181" i="47"/>
  <c r="DN181" i="47" s="1"/>
  <c r="DL180" i="47"/>
  <c r="DL179" i="47"/>
  <c r="DL178" i="47"/>
  <c r="DH178" i="47"/>
  <c r="DC181" i="47"/>
  <c r="DB181" i="47"/>
  <c r="DC180" i="47"/>
  <c r="DB180" i="47"/>
  <c r="DC179" i="47"/>
  <c r="DB179" i="47"/>
  <c r="DC178" i="47"/>
  <c r="DB178" i="47"/>
  <c r="CT181" i="47"/>
  <c r="CU205" i="47" s="1"/>
  <c r="CT180" i="47"/>
  <c r="CT179" i="47"/>
  <c r="CU203" i="47"/>
  <c r="CT178" i="47"/>
  <c r="CU202" i="47"/>
  <c r="BL181" i="47"/>
  <c r="BJ181" i="47"/>
  <c r="BI181" i="47"/>
  <c r="U181" i="47" s="1"/>
  <c r="BL180" i="47"/>
  <c r="BJ180" i="47"/>
  <c r="BI180" i="47"/>
  <c r="AD180" i="47" s="1"/>
  <c r="BO179" i="47"/>
  <c r="BL179" i="47"/>
  <c r="BJ179" i="47"/>
  <c r="BI179" i="47"/>
  <c r="H179" i="47" s="1"/>
  <c r="BO178" i="47"/>
  <c r="BL178" i="47"/>
  <c r="BJ178" i="47"/>
  <c r="BI178" i="47"/>
  <c r="H178" i="47" s="1"/>
  <c r="BF181" i="47"/>
  <c r="BF180" i="47"/>
  <c r="BF179" i="47"/>
  <c r="BF178" i="47"/>
  <c r="AK178" i="47"/>
  <c r="BS178" i="47" s="1"/>
  <c r="AA182" i="47"/>
  <c r="AC181" i="47"/>
  <c r="AA181" i="47"/>
  <c r="AC180" i="47"/>
  <c r="AA180" i="47"/>
  <c r="AC179" i="47"/>
  <c r="AA179" i="47"/>
  <c r="AC178" i="47"/>
  <c r="AA178" i="47"/>
  <c r="S181" i="47"/>
  <c r="S180" i="47"/>
  <c r="S179" i="47"/>
  <c r="S178" i="47"/>
  <c r="L181" i="47"/>
  <c r="L180" i="47"/>
  <c r="L179" i="47"/>
  <c r="L178" i="47"/>
  <c r="H181" i="47"/>
  <c r="G181" i="47"/>
  <c r="F181" i="47"/>
  <c r="G180" i="47"/>
  <c r="F180" i="47"/>
  <c r="G179" i="47"/>
  <c r="F179" i="47"/>
  <c r="G178" i="47"/>
  <c r="F178" i="47"/>
  <c r="DA175" i="47"/>
  <c r="DB182" i="47" s="1"/>
  <c r="BS175" i="47"/>
  <c r="BS174" i="47"/>
  <c r="BS173" i="47"/>
  <c r="BS172" i="47"/>
  <c r="BI174" i="47"/>
  <c r="M174" i="47" s="1"/>
  <c r="BI173" i="47"/>
  <c r="BI172" i="47"/>
  <c r="BG172" i="47" s="1"/>
  <c r="BI171" i="47"/>
  <c r="EI171" i="47" s="1"/>
  <c r="BE175" i="47"/>
  <c r="BC175" i="47"/>
  <c r="AZ175" i="47"/>
  <c r="AF61" i="40" s="1"/>
  <c r="W175" i="47"/>
  <c r="AF113" i="40" s="1"/>
  <c r="BH114" i="40" s="1"/>
  <c r="R175" i="47"/>
  <c r="K175" i="47"/>
  <c r="E175" i="47"/>
  <c r="B170" i="47"/>
  <c r="EG174" i="47"/>
  <c r="DH172" i="47"/>
  <c r="DH171" i="47"/>
  <c r="BD174" i="47"/>
  <c r="BD173" i="47"/>
  <c r="BD172" i="47"/>
  <c r="BD171" i="47"/>
  <c r="EH173" i="47"/>
  <c r="EH172" i="47"/>
  <c r="EH171" i="47"/>
  <c r="AO174" i="47"/>
  <c r="AO173" i="47"/>
  <c r="DX174" i="47"/>
  <c r="DP174" i="47"/>
  <c r="DQ181" i="47"/>
  <c r="DP173" i="47"/>
  <c r="DP172" i="47"/>
  <c r="DP175" i="47" s="1"/>
  <c r="DP171" i="47"/>
  <c r="DQ178" i="47"/>
  <c r="DL174" i="47"/>
  <c r="DN173" i="47"/>
  <c r="DL173" i="47"/>
  <c r="DL172" i="47"/>
  <c r="DM179" i="47"/>
  <c r="DL171" i="47"/>
  <c r="DC174" i="47"/>
  <c r="DB174" i="47"/>
  <c r="DC173" i="47"/>
  <c r="DB173" i="47"/>
  <c r="DC172" i="47"/>
  <c r="DB172" i="47"/>
  <c r="DC171" i="47"/>
  <c r="DB171" i="47"/>
  <c r="CT174" i="47"/>
  <c r="DH174" i="47" s="1"/>
  <c r="CT173" i="47"/>
  <c r="CV173" i="47" s="1"/>
  <c r="CT172" i="47"/>
  <c r="CT171" i="47"/>
  <c r="CU178" i="47" s="1"/>
  <c r="BL174" i="47"/>
  <c r="BL173" i="47"/>
  <c r="BO172" i="47"/>
  <c r="BL172" i="47"/>
  <c r="BO171" i="47"/>
  <c r="BL171" i="47"/>
  <c r="BF174" i="47"/>
  <c r="BF173" i="47"/>
  <c r="BF172" i="47"/>
  <c r="BG171" i="47"/>
  <c r="BF171" i="47"/>
  <c r="BA174" i="47"/>
  <c r="BA173" i="47"/>
  <c r="BA172" i="47"/>
  <c r="BA171" i="47"/>
  <c r="AQ172" i="47"/>
  <c r="AR171" i="47"/>
  <c r="AQ171" i="47"/>
  <c r="AK171" i="47"/>
  <c r="BS171" i="47" s="1"/>
  <c r="AC174" i="47"/>
  <c r="AC173" i="47"/>
  <c r="AC172" i="47"/>
  <c r="AC171" i="47"/>
  <c r="S174" i="47"/>
  <c r="S173" i="47"/>
  <c r="S172" i="47"/>
  <c r="S171" i="47"/>
  <c r="L174" i="47"/>
  <c r="L173" i="47"/>
  <c r="L172" i="47"/>
  <c r="M171" i="47"/>
  <c r="L171" i="47"/>
  <c r="G174" i="47"/>
  <c r="G173" i="47"/>
  <c r="G172" i="47"/>
  <c r="G171" i="47"/>
  <c r="DA168" i="47"/>
  <c r="BS168" i="47"/>
  <c r="BS167" i="47"/>
  <c r="BS166" i="47"/>
  <c r="BS165" i="47"/>
  <c r="BI167" i="47"/>
  <c r="BG167" i="47" s="1"/>
  <c r="BI166" i="47"/>
  <c r="BI165" i="47"/>
  <c r="M165" i="47" s="1"/>
  <c r="BI164" i="47"/>
  <c r="BE168" i="47"/>
  <c r="BC168" i="47"/>
  <c r="AZ168" i="47"/>
  <c r="W168" i="47"/>
  <c r="R168" i="47"/>
  <c r="K168" i="47"/>
  <c r="E168" i="47"/>
  <c r="B163" i="47"/>
  <c r="EG167" i="47"/>
  <c r="BD167" i="47"/>
  <c r="BD166" i="47"/>
  <c r="BD165" i="47"/>
  <c r="BD164" i="47"/>
  <c r="AO167" i="47"/>
  <c r="AO166" i="47"/>
  <c r="EI168" i="47"/>
  <c r="EH168" i="47"/>
  <c r="EI166" i="47"/>
  <c r="EH166" i="47"/>
  <c r="EI165" i="47"/>
  <c r="EH165" i="47"/>
  <c r="EI164" i="47"/>
  <c r="EH164" i="47"/>
  <c r="DX166" i="47"/>
  <c r="DX164" i="47"/>
  <c r="DP167" i="47"/>
  <c r="DP166" i="47"/>
  <c r="DR166" i="47" s="1"/>
  <c r="DP165" i="47"/>
  <c r="DR165" i="47" s="1"/>
  <c r="DP164" i="47"/>
  <c r="DL167" i="47"/>
  <c r="DL166" i="47"/>
  <c r="DT166" i="47" s="1"/>
  <c r="DU166" i="47" s="1"/>
  <c r="DM173" i="47"/>
  <c r="DL165" i="47"/>
  <c r="DL164" i="47"/>
  <c r="DL168" i="47" s="1"/>
  <c r="DH165" i="47"/>
  <c r="DH164" i="47"/>
  <c r="DC167" i="47"/>
  <c r="DB167" i="47"/>
  <c r="DC166" i="47"/>
  <c r="DB166" i="47"/>
  <c r="DC165" i="47"/>
  <c r="DB165" i="47"/>
  <c r="DC164" i="47"/>
  <c r="DB164" i="47"/>
  <c r="CV167" i="47"/>
  <c r="CT167" i="47"/>
  <c r="CT166" i="47"/>
  <c r="CU173" i="47" s="1"/>
  <c r="CT165" i="47"/>
  <c r="CV165" i="47"/>
  <c r="CT164" i="47"/>
  <c r="BL167" i="47"/>
  <c r="BL166" i="47"/>
  <c r="BO165" i="47"/>
  <c r="BL165" i="47"/>
  <c r="BO164" i="47"/>
  <c r="BL164" i="47"/>
  <c r="BF167" i="47"/>
  <c r="BF166" i="47"/>
  <c r="BF165" i="47"/>
  <c r="BF164" i="47"/>
  <c r="BA167" i="47"/>
  <c r="BA166" i="47"/>
  <c r="BA165" i="47"/>
  <c r="BA164" i="47"/>
  <c r="AQ165" i="47"/>
  <c r="AQ164" i="47"/>
  <c r="AK164" i="47"/>
  <c r="BS164" i="47" s="1"/>
  <c r="AC167" i="47"/>
  <c r="AC166" i="47"/>
  <c r="AC165" i="47"/>
  <c r="AC164" i="47"/>
  <c r="S167" i="47"/>
  <c r="S166" i="47"/>
  <c r="S165" i="47"/>
  <c r="S164" i="47"/>
  <c r="L167" i="47"/>
  <c r="L166" i="47"/>
  <c r="L165" i="47"/>
  <c r="L164" i="47"/>
  <c r="G167" i="47"/>
  <c r="G166" i="47"/>
  <c r="G165" i="47"/>
  <c r="G164" i="47"/>
  <c r="DL160" i="47"/>
  <c r="DN160" i="47" s="1"/>
  <c r="DL159" i="47"/>
  <c r="DL158" i="47"/>
  <c r="DN158" i="47"/>
  <c r="DM165" i="47"/>
  <c r="DL157" i="47"/>
  <c r="DL161" i="47" s="1"/>
  <c r="DN161" i="47" s="1"/>
  <c r="DA161" i="47"/>
  <c r="BS161" i="47"/>
  <c r="BS160" i="47"/>
  <c r="BS159" i="47"/>
  <c r="BS158" i="47"/>
  <c r="BI160" i="47"/>
  <c r="BG160" i="47" s="1"/>
  <c r="BI159" i="47"/>
  <c r="BI158" i="47"/>
  <c r="BG158" i="47" s="1"/>
  <c r="BI157" i="47"/>
  <c r="BB157" i="47" s="1"/>
  <c r="BE161" i="47"/>
  <c r="AD12" i="40" s="1"/>
  <c r="AD321" i="40" s="1"/>
  <c r="BC161" i="47"/>
  <c r="AZ161" i="47"/>
  <c r="AD61" i="40" s="1"/>
  <c r="W161" i="47"/>
  <c r="R161" i="47"/>
  <c r="K161" i="47"/>
  <c r="E161" i="47"/>
  <c r="G168" i="47" s="1"/>
  <c r="B157" i="47"/>
  <c r="B156" i="47"/>
  <c r="EG160" i="47"/>
  <c r="BD160" i="47"/>
  <c r="BD159" i="47"/>
  <c r="BD158" i="47"/>
  <c r="BD157" i="47"/>
  <c r="AO160" i="47"/>
  <c r="AO159" i="47"/>
  <c r="EI161" i="47"/>
  <c r="EH161" i="47"/>
  <c r="EI159" i="47"/>
  <c r="EH159" i="47"/>
  <c r="EI158" i="47"/>
  <c r="EH158" i="47"/>
  <c r="EI157" i="47"/>
  <c r="EH157" i="47"/>
  <c r="DP160" i="47"/>
  <c r="DR160" i="47" s="1"/>
  <c r="DP159" i="47"/>
  <c r="DT159" i="47" s="1"/>
  <c r="EB159" i="47" s="1"/>
  <c r="DP158" i="47"/>
  <c r="DP157" i="47"/>
  <c r="DQ164" i="47" s="1"/>
  <c r="DR157" i="47"/>
  <c r="DH158" i="47"/>
  <c r="DH157" i="47"/>
  <c r="DI157" i="47" s="1"/>
  <c r="DC160" i="47"/>
  <c r="DB160" i="47"/>
  <c r="DC159" i="47"/>
  <c r="DB159" i="47"/>
  <c r="DC158" i="47"/>
  <c r="DB158" i="47"/>
  <c r="DC157" i="47"/>
  <c r="DB157" i="47"/>
  <c r="CT160" i="47"/>
  <c r="CT159" i="47"/>
  <c r="CT158" i="47"/>
  <c r="CV158" i="47" s="1"/>
  <c r="CU158" i="47"/>
  <c r="CT157" i="47"/>
  <c r="BL160" i="47"/>
  <c r="BL159" i="47"/>
  <c r="BO158" i="47"/>
  <c r="BL158" i="47"/>
  <c r="BM172" i="47" s="1"/>
  <c r="BO157" i="47"/>
  <c r="BL157" i="47"/>
  <c r="BF160" i="47"/>
  <c r="BF159" i="47"/>
  <c r="BF158" i="47"/>
  <c r="BF157" i="47"/>
  <c r="BA160" i="47"/>
  <c r="BA159" i="47"/>
  <c r="BA158" i="47"/>
  <c r="BA157" i="47"/>
  <c r="AQ158" i="47"/>
  <c r="AQ157" i="47"/>
  <c r="AK157" i="47"/>
  <c r="BS157" i="47" s="1"/>
  <c r="AC160" i="47"/>
  <c r="AC159" i="47"/>
  <c r="AC158" i="47"/>
  <c r="AC157" i="47"/>
  <c r="S160" i="47"/>
  <c r="S159" i="47"/>
  <c r="S158" i="47"/>
  <c r="S157" i="47"/>
  <c r="L160" i="47"/>
  <c r="CB98" i="37" s="1"/>
  <c r="L159" i="47"/>
  <c r="CB93" i="37" s="1"/>
  <c r="L158" i="47"/>
  <c r="CB88" i="37" s="1"/>
  <c r="L157" i="47"/>
  <c r="G159" i="47"/>
  <c r="G158" i="47"/>
  <c r="G157" i="47"/>
  <c r="DT154" i="47"/>
  <c r="DH153" i="47"/>
  <c r="DH152" i="47"/>
  <c r="DA154" i="47"/>
  <c r="DB154" i="47" s="1"/>
  <c r="CT154" i="47"/>
  <c r="BS154" i="47"/>
  <c r="BS153" i="47"/>
  <c r="BS152" i="47"/>
  <c r="BS151" i="47"/>
  <c r="BI153" i="47"/>
  <c r="BG153" i="47" s="1"/>
  <c r="BI152" i="47"/>
  <c r="H152" i="47" s="1"/>
  <c r="BI151" i="47"/>
  <c r="EI151" i="47" s="1"/>
  <c r="W154" i="47"/>
  <c r="N154" i="47"/>
  <c r="K154" i="47"/>
  <c r="E154" i="47"/>
  <c r="B149" i="47"/>
  <c r="EH151" i="47"/>
  <c r="EH150" i="47"/>
  <c r="EB153" i="47"/>
  <c r="DX153" i="47"/>
  <c r="EB152" i="47"/>
  <c r="DX152" i="47"/>
  <c r="EB151" i="47"/>
  <c r="DX151" i="47"/>
  <c r="DY151" i="47" s="1"/>
  <c r="EB150" i="47"/>
  <c r="DX150" i="47"/>
  <c r="DV153" i="47"/>
  <c r="DU153" i="47"/>
  <c r="DV152" i="47"/>
  <c r="DU152" i="47"/>
  <c r="DV151" i="47"/>
  <c r="DU151" i="47"/>
  <c r="DU150" i="47"/>
  <c r="DH150" i="47"/>
  <c r="DH154" i="47" s="1"/>
  <c r="DC153" i="47"/>
  <c r="DB153" i="47"/>
  <c r="DC152" i="47"/>
  <c r="DB152" i="47"/>
  <c r="DC151" i="47"/>
  <c r="DB151" i="47"/>
  <c r="DC150" i="47"/>
  <c r="DB150" i="47"/>
  <c r="CU153" i="47"/>
  <c r="CU152" i="47"/>
  <c r="CU151" i="47"/>
  <c r="CU150" i="47"/>
  <c r="BL153" i="47"/>
  <c r="BL152" i="47"/>
  <c r="BO151" i="47"/>
  <c r="BL151" i="47"/>
  <c r="BO150" i="47"/>
  <c r="BL150" i="47"/>
  <c r="BF153" i="47"/>
  <c r="BF152" i="47"/>
  <c r="BF151" i="47"/>
  <c r="BE150" i="47"/>
  <c r="BE154" i="47"/>
  <c r="AK150" i="47"/>
  <c r="BS150" i="47" s="1"/>
  <c r="AC153" i="47"/>
  <c r="AC152" i="47"/>
  <c r="AC151" i="47"/>
  <c r="AC150" i="47"/>
  <c r="R153" i="47"/>
  <c r="CV153" i="47" s="1"/>
  <c r="R152" i="47"/>
  <c r="U152" i="47" s="1"/>
  <c r="R151" i="47"/>
  <c r="R150" i="47"/>
  <c r="O153" i="47"/>
  <c r="O152" i="47"/>
  <c r="O151" i="47"/>
  <c r="O150" i="47"/>
  <c r="L153" i="47"/>
  <c r="L152" i="47"/>
  <c r="L151" i="47"/>
  <c r="L150" i="47"/>
  <c r="G153" i="47"/>
  <c r="G152" i="47"/>
  <c r="G151" i="47"/>
  <c r="G150" i="47"/>
  <c r="DT147" i="47"/>
  <c r="DA147" i="47"/>
  <c r="CT147" i="47"/>
  <c r="BS147" i="47"/>
  <c r="BS146" i="47"/>
  <c r="BS145" i="47"/>
  <c r="BS144" i="47"/>
  <c r="BI146" i="47"/>
  <c r="BI145" i="47"/>
  <c r="P145" i="47" s="1"/>
  <c r="BI144" i="47"/>
  <c r="BI143" i="47"/>
  <c r="BE147" i="47"/>
  <c r="W147" i="47"/>
  <c r="N147" i="47"/>
  <c r="K147" i="47"/>
  <c r="E147" i="47"/>
  <c r="B142" i="47"/>
  <c r="EG146" i="47"/>
  <c r="DH146" i="47"/>
  <c r="DH144" i="47"/>
  <c r="DH143" i="47"/>
  <c r="R146" i="47"/>
  <c r="EH145" i="47"/>
  <c r="EH144" i="47"/>
  <c r="EH143" i="47"/>
  <c r="EB146" i="47"/>
  <c r="DX146" i="47"/>
  <c r="EB145" i="47"/>
  <c r="DX145" i="47"/>
  <c r="EB144" i="47"/>
  <c r="EB143" i="47"/>
  <c r="DV146" i="47"/>
  <c r="DU146" i="47"/>
  <c r="DV145" i="47"/>
  <c r="DU145" i="47"/>
  <c r="DV144" i="47"/>
  <c r="DU144" i="47"/>
  <c r="DV143" i="47"/>
  <c r="DU143" i="47"/>
  <c r="DC146" i="47"/>
  <c r="DB146" i="47"/>
  <c r="DC145" i="47"/>
  <c r="DB145" i="47"/>
  <c r="DC144" i="47"/>
  <c r="DB144" i="47"/>
  <c r="DC143" i="47"/>
  <c r="DB143" i="47"/>
  <c r="CU146" i="47"/>
  <c r="CV145" i="47"/>
  <c r="CU145" i="47"/>
  <c r="CV144" i="47"/>
  <c r="CU144" i="47"/>
  <c r="CV143" i="47"/>
  <c r="CU143" i="47"/>
  <c r="BL146" i="47"/>
  <c r="BL145" i="47"/>
  <c r="BO144" i="47"/>
  <c r="BL144" i="47"/>
  <c r="BO143" i="47"/>
  <c r="BL143" i="47"/>
  <c r="BF146" i="47"/>
  <c r="BF145" i="47"/>
  <c r="BF144" i="47"/>
  <c r="BF143" i="47"/>
  <c r="AQ144" i="47"/>
  <c r="AQ143" i="47"/>
  <c r="AK143" i="47"/>
  <c r="BS143" i="47" s="1"/>
  <c r="AC146" i="47"/>
  <c r="AC145" i="47"/>
  <c r="AC144" i="47"/>
  <c r="AC143" i="47"/>
  <c r="S145" i="47"/>
  <c r="U144" i="47"/>
  <c r="S144" i="47"/>
  <c r="S143" i="47"/>
  <c r="O146" i="47"/>
  <c r="O145" i="47"/>
  <c r="P144" i="47"/>
  <c r="O144" i="47"/>
  <c r="O143" i="47"/>
  <c r="L146" i="47"/>
  <c r="L145" i="47"/>
  <c r="L144" i="47"/>
  <c r="L143" i="47"/>
  <c r="G146" i="47"/>
  <c r="G145" i="47"/>
  <c r="G144" i="47"/>
  <c r="G143" i="47"/>
  <c r="DT140" i="47"/>
  <c r="DA140" i="47"/>
  <c r="CT140" i="47"/>
  <c r="CU147" i="47" s="1"/>
  <c r="BS140" i="47"/>
  <c r="BS139" i="47"/>
  <c r="BS138" i="47"/>
  <c r="BS137" i="47"/>
  <c r="BI139" i="47"/>
  <c r="P139" i="47" s="1"/>
  <c r="BI138" i="47"/>
  <c r="BI137" i="47"/>
  <c r="BI136" i="47"/>
  <c r="BE140" i="47"/>
  <c r="W140" i="47"/>
  <c r="R140" i="47"/>
  <c r="N140" i="47"/>
  <c r="K140" i="47"/>
  <c r="E140" i="47"/>
  <c r="B135" i="47"/>
  <c r="EG139" i="47"/>
  <c r="EI140" i="47"/>
  <c r="EH140" i="47"/>
  <c r="EI138" i="47"/>
  <c r="EH138" i="47"/>
  <c r="EI137" i="47"/>
  <c r="EH137" i="47"/>
  <c r="EI136" i="47"/>
  <c r="EH136" i="47"/>
  <c r="EB139" i="47"/>
  <c r="EB138" i="47"/>
  <c r="DX138" i="47"/>
  <c r="EA138" i="47" s="1"/>
  <c r="EB137" i="47"/>
  <c r="EB136" i="47"/>
  <c r="DX136" i="47"/>
  <c r="DV139" i="47"/>
  <c r="DU139" i="47"/>
  <c r="DV138" i="47"/>
  <c r="DU138" i="47"/>
  <c r="DV137" i="47"/>
  <c r="DU137" i="47"/>
  <c r="DV136" i="47"/>
  <c r="DU136" i="47"/>
  <c r="DH137" i="47"/>
  <c r="DH136" i="47"/>
  <c r="DC139" i="47"/>
  <c r="DB139" i="47"/>
  <c r="DC138" i="47"/>
  <c r="DB138" i="47"/>
  <c r="DC137" i="47"/>
  <c r="DB137" i="47"/>
  <c r="DC136" i="47"/>
  <c r="DB136" i="47"/>
  <c r="CV139" i="47"/>
  <c r="CU139" i="47"/>
  <c r="CV138" i="47"/>
  <c r="CU138" i="47"/>
  <c r="CV137" i="47"/>
  <c r="CU137" i="47"/>
  <c r="CV136" i="47"/>
  <c r="CU136" i="47"/>
  <c r="BL139" i="47"/>
  <c r="BM153" i="47" s="1"/>
  <c r="BL138" i="47"/>
  <c r="BM152" i="47" s="1"/>
  <c r="BO137" i="47"/>
  <c r="BL137" i="47"/>
  <c r="BO136" i="47"/>
  <c r="BP150" i="47" s="1"/>
  <c r="BL136" i="47"/>
  <c r="BF139" i="47"/>
  <c r="BF138" i="47"/>
  <c r="BG137" i="47"/>
  <c r="BF137" i="47"/>
  <c r="BF136" i="47"/>
  <c r="AR137" i="47"/>
  <c r="AQ137" i="47"/>
  <c r="AQ136" i="47"/>
  <c r="AK136" i="47"/>
  <c r="BS136" i="47"/>
  <c r="AC139" i="47"/>
  <c r="AC138" i="47"/>
  <c r="AD137" i="47"/>
  <c r="AC137" i="47"/>
  <c r="AC136" i="47"/>
  <c r="S139" i="47"/>
  <c r="S138" i="47"/>
  <c r="U137" i="47"/>
  <c r="S137" i="47"/>
  <c r="S136" i="47"/>
  <c r="O139" i="47"/>
  <c r="O138" i="47"/>
  <c r="P137" i="47"/>
  <c r="O137" i="47"/>
  <c r="O136" i="47"/>
  <c r="L139" i="47"/>
  <c r="L138" i="47"/>
  <c r="M137" i="47"/>
  <c r="L137" i="47"/>
  <c r="L136" i="47"/>
  <c r="G139" i="47"/>
  <c r="G138" i="47"/>
  <c r="H137" i="47"/>
  <c r="G137" i="47"/>
  <c r="G136" i="47"/>
  <c r="DT133" i="47"/>
  <c r="DU140" i="47" s="1"/>
  <c r="DA133" i="47"/>
  <c r="DB140" i="47" s="1"/>
  <c r="CT133" i="47"/>
  <c r="BS133" i="47"/>
  <c r="BS132" i="47"/>
  <c r="BS131" i="47"/>
  <c r="BS130" i="47"/>
  <c r="BI132" i="47"/>
  <c r="AD132" i="47" s="1"/>
  <c r="BI131" i="47"/>
  <c r="U131" i="47" s="1"/>
  <c r="BI130" i="47"/>
  <c r="BI129" i="47"/>
  <c r="M129" i="47" s="1"/>
  <c r="BE133" i="47"/>
  <c r="W133" i="47"/>
  <c r="R133" i="47"/>
  <c r="N133" i="47"/>
  <c r="K133" i="47"/>
  <c r="E133" i="47"/>
  <c r="B128" i="47"/>
  <c r="EG132" i="47"/>
  <c r="EI133" i="47"/>
  <c r="EH133" i="47"/>
  <c r="EI131" i="47"/>
  <c r="EJ138" i="47" s="1"/>
  <c r="EH131" i="47"/>
  <c r="EI130" i="47"/>
  <c r="EH130" i="47"/>
  <c r="EI129" i="47"/>
  <c r="EJ136" i="47" s="1"/>
  <c r="EH129" i="47"/>
  <c r="EB132" i="47"/>
  <c r="EB131" i="47"/>
  <c r="EB130" i="47"/>
  <c r="EB129" i="47"/>
  <c r="DV132" i="47"/>
  <c r="DV131" i="47"/>
  <c r="DV130" i="47"/>
  <c r="DV129" i="47"/>
  <c r="DU129" i="47"/>
  <c r="DH130" i="47"/>
  <c r="DH129" i="47"/>
  <c r="DC132" i="47"/>
  <c r="DB132" i="47"/>
  <c r="DC131" i="47"/>
  <c r="DB131" i="47"/>
  <c r="DC130" i="47"/>
  <c r="DB130" i="47"/>
  <c r="DC129" i="47"/>
  <c r="DB129" i="47"/>
  <c r="CV132" i="47"/>
  <c r="CV131" i="47"/>
  <c r="CU131" i="47"/>
  <c r="CV130" i="47"/>
  <c r="CU130" i="47"/>
  <c r="CV129" i="47"/>
  <c r="CU129" i="47"/>
  <c r="BL132" i="47"/>
  <c r="BL131" i="47"/>
  <c r="BO130" i="47"/>
  <c r="BL130" i="47"/>
  <c r="BO129" i="47"/>
  <c r="BL129" i="47"/>
  <c r="BF132" i="47"/>
  <c r="BF131" i="47"/>
  <c r="BF130" i="47"/>
  <c r="BF129" i="47"/>
  <c r="AQ130" i="47"/>
  <c r="AQ129" i="47"/>
  <c r="AK129" i="47"/>
  <c r="BS129" i="47"/>
  <c r="AC132" i="47"/>
  <c r="AC131" i="47"/>
  <c r="AC130" i="47"/>
  <c r="AC129" i="47"/>
  <c r="S132" i="47"/>
  <c r="S131" i="47"/>
  <c r="S130" i="47"/>
  <c r="U129" i="47"/>
  <c r="S129" i="47"/>
  <c r="O132" i="47"/>
  <c r="P131" i="47"/>
  <c r="O131" i="47"/>
  <c r="O130" i="47"/>
  <c r="O129" i="47"/>
  <c r="L132" i="47"/>
  <c r="L131" i="47"/>
  <c r="L130" i="47"/>
  <c r="L129" i="47"/>
  <c r="H131" i="47"/>
  <c r="G131" i="47"/>
  <c r="G130" i="47"/>
  <c r="G129" i="47"/>
  <c r="DA126" i="47"/>
  <c r="BS126" i="47"/>
  <c r="BS125" i="47"/>
  <c r="BS124" i="47"/>
  <c r="BS123" i="47"/>
  <c r="BI124" i="47"/>
  <c r="BI123" i="47"/>
  <c r="AR123" i="47" s="1"/>
  <c r="BI122" i="47"/>
  <c r="BE126" i="47"/>
  <c r="W126" i="47"/>
  <c r="R126" i="47"/>
  <c r="N126" i="47"/>
  <c r="K126" i="47"/>
  <c r="AC63" i="40" s="1"/>
  <c r="AC11" i="40" s="1"/>
  <c r="E125" i="47"/>
  <c r="E126" i="47" s="1"/>
  <c r="B121" i="47"/>
  <c r="EG125" i="47"/>
  <c r="CT125" i="47"/>
  <c r="EH124" i="47"/>
  <c r="EH123" i="47"/>
  <c r="EH122" i="47"/>
  <c r="DT125" i="47"/>
  <c r="DU132" i="47" s="1"/>
  <c r="DT124" i="47"/>
  <c r="DT123" i="47"/>
  <c r="DH123" i="47"/>
  <c r="EI126" i="47"/>
  <c r="EI124" i="47"/>
  <c r="EI123" i="47"/>
  <c r="EI122" i="47"/>
  <c r="EB122" i="47"/>
  <c r="DX122" i="47"/>
  <c r="DV122" i="47"/>
  <c r="DU122" i="47"/>
  <c r="DJ122" i="47"/>
  <c r="DI122" i="47"/>
  <c r="DC125" i="47"/>
  <c r="DB125" i="47"/>
  <c r="DC124" i="47"/>
  <c r="DB124" i="47"/>
  <c r="DC123" i="47"/>
  <c r="DB123" i="47"/>
  <c r="DC122" i="47"/>
  <c r="DB122" i="47"/>
  <c r="CV124" i="47"/>
  <c r="CU124" i="47"/>
  <c r="CV123" i="47"/>
  <c r="CU123" i="47"/>
  <c r="CV122" i="47"/>
  <c r="CU122" i="47"/>
  <c r="BL124" i="47"/>
  <c r="BO123" i="47"/>
  <c r="BL123" i="47"/>
  <c r="BO122" i="47"/>
  <c r="BL122" i="47"/>
  <c r="BM122" i="47" s="1"/>
  <c r="BF125" i="47"/>
  <c r="BF124" i="47"/>
  <c r="BF123" i="47"/>
  <c r="BF122" i="47"/>
  <c r="AQ123" i="47"/>
  <c r="AQ122" i="47"/>
  <c r="AK122" i="47"/>
  <c r="BS122" i="47"/>
  <c r="AC125" i="47"/>
  <c r="AC124" i="47"/>
  <c r="AC123" i="47"/>
  <c r="AC122" i="47"/>
  <c r="S125" i="47"/>
  <c r="S124" i="47"/>
  <c r="S123" i="47"/>
  <c r="S122" i="47"/>
  <c r="L124" i="47"/>
  <c r="BX93" i="37" s="1"/>
  <c r="L123" i="47"/>
  <c r="BX88" i="37" s="1"/>
  <c r="L122" i="47"/>
  <c r="BX83" i="37" s="1"/>
  <c r="G124" i="47"/>
  <c r="G123" i="47"/>
  <c r="G122" i="47"/>
  <c r="EI119" i="47"/>
  <c r="EI117" i="47"/>
  <c r="EI116" i="47"/>
  <c r="EI115" i="47"/>
  <c r="DT119" i="47"/>
  <c r="DH119" i="47"/>
  <c r="DA119" i="47"/>
  <c r="CT119" i="47"/>
  <c r="CU119" i="47" s="1"/>
  <c r="BS119" i="47"/>
  <c r="BS118" i="47"/>
  <c r="BS117" i="47"/>
  <c r="BS116" i="47"/>
  <c r="BI118" i="47"/>
  <c r="BI117" i="47"/>
  <c r="M117" i="47" s="1"/>
  <c r="BI116" i="47"/>
  <c r="BI115" i="47"/>
  <c r="AR115" i="47" s="1"/>
  <c r="BE119" i="47"/>
  <c r="AP119" i="47"/>
  <c r="AO119" i="47"/>
  <c r="AL119" i="47"/>
  <c r="AB159" i="40" s="1"/>
  <c r="AB319" i="40" s="1"/>
  <c r="W119" i="47"/>
  <c r="R119" i="47"/>
  <c r="N119" i="47"/>
  <c r="E119" i="47"/>
  <c r="B114" i="47"/>
  <c r="EG118" i="47"/>
  <c r="DJ118" i="47"/>
  <c r="DJ117" i="47"/>
  <c r="DJ116" i="47"/>
  <c r="DJ115" i="47"/>
  <c r="DC118" i="47"/>
  <c r="DC117" i="47"/>
  <c r="DC116" i="47"/>
  <c r="DC115" i="47"/>
  <c r="CV118" i="47"/>
  <c r="CV117" i="47"/>
  <c r="CV116" i="47"/>
  <c r="CV115" i="47"/>
  <c r="K118" i="47"/>
  <c r="L118" i="47" s="1"/>
  <c r="BT98" i="37" s="1"/>
  <c r="EB118" i="47"/>
  <c r="DX118" i="47"/>
  <c r="EA118" i="47" s="1"/>
  <c r="EB117" i="47"/>
  <c r="EB116" i="47"/>
  <c r="EB115" i="47"/>
  <c r="DV118" i="47"/>
  <c r="DU118" i="47"/>
  <c r="DV117" i="47"/>
  <c r="DU117" i="47"/>
  <c r="DV116" i="47"/>
  <c r="DU116" i="47"/>
  <c r="DV115" i="47"/>
  <c r="DU115" i="47"/>
  <c r="BO118" i="47"/>
  <c r="BO117" i="47"/>
  <c r="BL117" i="47"/>
  <c r="BO116" i="47"/>
  <c r="BL116" i="47"/>
  <c r="BO115" i="47"/>
  <c r="BP157" i="47" s="1"/>
  <c r="BL115" i="47"/>
  <c r="BF118" i="47"/>
  <c r="BF117" i="47"/>
  <c r="BF116" i="47"/>
  <c r="BF115" i="47"/>
  <c r="AQ118" i="47"/>
  <c r="AQ117" i="47"/>
  <c r="AQ116" i="47"/>
  <c r="AQ115" i="47"/>
  <c r="AK115" i="47"/>
  <c r="BS115" i="47" s="1"/>
  <c r="AC117" i="47"/>
  <c r="AC116" i="47"/>
  <c r="AC115" i="47"/>
  <c r="S118" i="47"/>
  <c r="S117" i="47"/>
  <c r="S116" i="47"/>
  <c r="S115" i="47"/>
  <c r="L117" i="47"/>
  <c r="BT93" i="37" s="1"/>
  <c r="L116" i="47"/>
  <c r="BT88" i="37" s="1"/>
  <c r="L115" i="47"/>
  <c r="BT83" i="37" s="1"/>
  <c r="G118" i="47"/>
  <c r="G117" i="47"/>
  <c r="G116" i="47"/>
  <c r="G115" i="47"/>
  <c r="DJ111" i="47"/>
  <c r="DJ110" i="47"/>
  <c r="DJ109" i="47"/>
  <c r="DJ108" i="47"/>
  <c r="DC111" i="47"/>
  <c r="DC110" i="47"/>
  <c r="DC109" i="47"/>
  <c r="DC108" i="47"/>
  <c r="CV111" i="47"/>
  <c r="CV109" i="47"/>
  <c r="DT112" i="47"/>
  <c r="DH112" i="47"/>
  <c r="DA112" i="47"/>
  <c r="CT112" i="47"/>
  <c r="BS112" i="47"/>
  <c r="BS111" i="47"/>
  <c r="BS110" i="47"/>
  <c r="BS109" i="47"/>
  <c r="BI111" i="47"/>
  <c r="BI109" i="47"/>
  <c r="H109" i="47" s="1"/>
  <c r="BE112" i="47"/>
  <c r="AA12" i="40" s="1"/>
  <c r="AA321" i="40" s="1"/>
  <c r="BD112" i="47"/>
  <c r="AP112" i="47"/>
  <c r="AO112" i="47"/>
  <c r="AA234" i="40" s="1"/>
  <c r="AA320" i="40" s="1"/>
  <c r="AL111" i="47"/>
  <c r="AL112" i="47"/>
  <c r="W112" i="47"/>
  <c r="K112" i="47"/>
  <c r="B107" i="47"/>
  <c r="DV111" i="47"/>
  <c r="DU111" i="47"/>
  <c r="DI111" i="47"/>
  <c r="DI110" i="47"/>
  <c r="DI109" i="47"/>
  <c r="DI108" i="47"/>
  <c r="DB111" i="47"/>
  <c r="DB110" i="47"/>
  <c r="DB109" i="47"/>
  <c r="DB108" i="47"/>
  <c r="CU111" i="47"/>
  <c r="CU110" i="47"/>
  <c r="CU109" i="47"/>
  <c r="CU108" i="47"/>
  <c r="BD111" i="47"/>
  <c r="BD110" i="47"/>
  <c r="BD109" i="47"/>
  <c r="BD108" i="47"/>
  <c r="DU110" i="47"/>
  <c r="DU109" i="47"/>
  <c r="DU108" i="47"/>
  <c r="R110" i="47"/>
  <c r="BI110" i="47" s="1"/>
  <c r="AR110" i="47" s="1"/>
  <c r="EB111" i="47"/>
  <c r="EB110" i="47"/>
  <c r="DX110" i="47"/>
  <c r="EB109" i="47"/>
  <c r="DX109" i="47"/>
  <c r="DY109" i="47" s="1"/>
  <c r="EB108" i="47"/>
  <c r="DX108" i="47"/>
  <c r="DV108" i="47"/>
  <c r="BO111" i="47"/>
  <c r="BL111" i="47"/>
  <c r="BO110" i="47"/>
  <c r="BL110" i="47"/>
  <c r="BO109" i="47"/>
  <c r="BL109" i="47"/>
  <c r="BO108" i="47"/>
  <c r="BL108" i="47"/>
  <c r="BF111" i="47"/>
  <c r="BF110" i="47"/>
  <c r="BF109" i="47"/>
  <c r="BF108" i="47"/>
  <c r="AQ111" i="47"/>
  <c r="AQ110" i="47"/>
  <c r="AQ109" i="47"/>
  <c r="AQ108" i="47"/>
  <c r="AK108" i="47"/>
  <c r="BS108" i="47" s="1"/>
  <c r="AC111" i="47"/>
  <c r="AC110" i="47"/>
  <c r="AC109" i="47"/>
  <c r="AC108" i="47"/>
  <c r="S111" i="47"/>
  <c r="S109" i="47"/>
  <c r="R108" i="47"/>
  <c r="CV108" i="47" s="1"/>
  <c r="L111" i="47"/>
  <c r="L110" i="47"/>
  <c r="L109" i="47"/>
  <c r="L108" i="47"/>
  <c r="G111" i="47"/>
  <c r="G110" i="47"/>
  <c r="G109" i="47"/>
  <c r="G108" i="47"/>
  <c r="DT105" i="47"/>
  <c r="DJ104" i="47"/>
  <c r="DJ103" i="47"/>
  <c r="DJ102" i="47"/>
  <c r="DJ101" i="47"/>
  <c r="DC103" i="47"/>
  <c r="DC102" i="47"/>
  <c r="DC101" i="47"/>
  <c r="CV103" i="47"/>
  <c r="CV101" i="47"/>
  <c r="DH105" i="47"/>
  <c r="DA105" i="47"/>
  <c r="BS105" i="47"/>
  <c r="BS104" i="47"/>
  <c r="BS103" i="47"/>
  <c r="BS102" i="47"/>
  <c r="BI103" i="47"/>
  <c r="M103" i="47" s="1"/>
  <c r="BI102" i="47"/>
  <c r="BI101" i="47"/>
  <c r="AR101" i="47" s="1"/>
  <c r="BE105" i="47"/>
  <c r="BD105" i="47"/>
  <c r="AP105" i="47"/>
  <c r="AO105" i="47"/>
  <c r="AL104" i="47"/>
  <c r="W104" i="47"/>
  <c r="R105" i="47"/>
  <c r="K105" i="47"/>
  <c r="B100" i="47"/>
  <c r="DI104" i="47"/>
  <c r="DI103" i="47"/>
  <c r="DI102" i="47"/>
  <c r="DI101" i="47"/>
  <c r="DB104" i="47"/>
  <c r="DB103" i="47"/>
  <c r="DB102" i="47"/>
  <c r="DB101" i="47"/>
  <c r="CT104" i="47"/>
  <c r="BD104" i="47"/>
  <c r="BD103" i="47"/>
  <c r="BD102" i="47"/>
  <c r="BD101" i="47"/>
  <c r="CU103" i="47"/>
  <c r="CU101" i="47"/>
  <c r="CT102" i="47"/>
  <c r="CV102" i="47" s="1"/>
  <c r="DX104" i="47"/>
  <c r="EB103" i="47"/>
  <c r="DX103" i="47"/>
  <c r="DX102" i="47"/>
  <c r="EB101" i="47"/>
  <c r="DX101" i="47"/>
  <c r="DV104" i="47"/>
  <c r="DU104" i="47"/>
  <c r="DV103" i="47"/>
  <c r="DU103" i="47"/>
  <c r="DV102" i="47"/>
  <c r="DU102" i="47"/>
  <c r="DV101" i="47"/>
  <c r="DU101" i="47"/>
  <c r="BO103" i="47"/>
  <c r="BL103" i="47"/>
  <c r="BO102" i="47"/>
  <c r="BL102" i="47"/>
  <c r="BO101" i="47"/>
  <c r="BP108" i="47" s="1"/>
  <c r="BL101" i="47"/>
  <c r="BF104" i="47"/>
  <c r="BF103" i="47"/>
  <c r="BF102" i="47"/>
  <c r="BF101" i="47"/>
  <c r="AQ104" i="47"/>
  <c r="AQ103" i="47"/>
  <c r="AQ102" i="47"/>
  <c r="AQ101" i="47"/>
  <c r="AK101" i="47"/>
  <c r="BS101" i="47" s="1"/>
  <c r="AC103" i="47"/>
  <c r="AC102" i="47"/>
  <c r="AC101" i="47"/>
  <c r="S104" i="47"/>
  <c r="S103" i="47"/>
  <c r="S102" i="47"/>
  <c r="S101" i="47"/>
  <c r="L104" i="47"/>
  <c r="L103" i="47"/>
  <c r="L102" i="47"/>
  <c r="L101" i="47"/>
  <c r="G104" i="47"/>
  <c r="G103" i="47"/>
  <c r="G102" i="47"/>
  <c r="G101" i="47"/>
  <c r="DT98" i="47"/>
  <c r="DH98" i="47"/>
  <c r="DA98" i="47"/>
  <c r="CT98" i="47"/>
  <c r="BS98" i="47"/>
  <c r="BS97" i="47"/>
  <c r="BS96" i="47"/>
  <c r="BS95" i="47"/>
  <c r="BI97" i="47"/>
  <c r="BI96" i="47"/>
  <c r="U96" i="47" s="1"/>
  <c r="BI95" i="47"/>
  <c r="BI94" i="47"/>
  <c r="BE98" i="47"/>
  <c r="BD98" i="47"/>
  <c r="AP98" i="47"/>
  <c r="AO98" i="47"/>
  <c r="Z234" i="40" s="1"/>
  <c r="AL98" i="47"/>
  <c r="Z159" i="40" s="1"/>
  <c r="Z319" i="40" s="1"/>
  <c r="W98" i="47"/>
  <c r="Z113" i="40" s="1"/>
  <c r="R98" i="47"/>
  <c r="K98" i="47"/>
  <c r="B93" i="47"/>
  <c r="DV97" i="47"/>
  <c r="DU97" i="47"/>
  <c r="DJ97" i="47"/>
  <c r="DI97" i="47"/>
  <c r="BD97" i="47"/>
  <c r="BD96" i="47"/>
  <c r="BD95" i="47"/>
  <c r="BD94" i="47"/>
  <c r="DU96" i="47"/>
  <c r="DU95" i="47"/>
  <c r="DU94" i="47"/>
  <c r="DJ96" i="47"/>
  <c r="DJ95" i="47"/>
  <c r="DJ94" i="47"/>
  <c r="EB97" i="47"/>
  <c r="DX97" i="47"/>
  <c r="EB96" i="47"/>
  <c r="EB95" i="47"/>
  <c r="DX95" i="47"/>
  <c r="EB94" i="47"/>
  <c r="DX94" i="47"/>
  <c r="DV94" i="47"/>
  <c r="DI94" i="47"/>
  <c r="DC97" i="47"/>
  <c r="DB97" i="47"/>
  <c r="DC96" i="47"/>
  <c r="DB96" i="47"/>
  <c r="DC95" i="47"/>
  <c r="DB95" i="47"/>
  <c r="DC94" i="47"/>
  <c r="DB94" i="47"/>
  <c r="CV97" i="47"/>
  <c r="CU97" i="47"/>
  <c r="CV96" i="47"/>
  <c r="CU96" i="47"/>
  <c r="CV95" i="47"/>
  <c r="CU95" i="47"/>
  <c r="CV94" i="47"/>
  <c r="CU94" i="47"/>
  <c r="BO97" i="47"/>
  <c r="BL97" i="47"/>
  <c r="BO96" i="47"/>
  <c r="BL96" i="47"/>
  <c r="BO95" i="47"/>
  <c r="BL95" i="47"/>
  <c r="BM137" i="47" s="1"/>
  <c r="BO94" i="47"/>
  <c r="BL94" i="47"/>
  <c r="BF97" i="47"/>
  <c r="BF96" i="47"/>
  <c r="BF95" i="47"/>
  <c r="BF94" i="47"/>
  <c r="AQ97" i="47"/>
  <c r="AQ96" i="47"/>
  <c r="AQ95" i="47"/>
  <c r="AQ94" i="47"/>
  <c r="AK94" i="47"/>
  <c r="BS94" i="47" s="1"/>
  <c r="AC97" i="47"/>
  <c r="AC96" i="47"/>
  <c r="AC95" i="47"/>
  <c r="AC94" i="47"/>
  <c r="S97" i="47"/>
  <c r="S96" i="47"/>
  <c r="S95" i="47"/>
  <c r="S94" i="47"/>
  <c r="L97" i="47"/>
  <c r="L96" i="47"/>
  <c r="L95" i="47"/>
  <c r="L94" i="47"/>
  <c r="G97" i="47"/>
  <c r="G96" i="47"/>
  <c r="G95" i="47"/>
  <c r="G94" i="47"/>
  <c r="DT91" i="47"/>
  <c r="O107" i="20" s="1"/>
  <c r="E92" i="47"/>
  <c r="DH91" i="47"/>
  <c r="DA91" i="47"/>
  <c r="CT91" i="47"/>
  <c r="BS91" i="47"/>
  <c r="BS90" i="47"/>
  <c r="BS89" i="47"/>
  <c r="BS88" i="47"/>
  <c r="BI90" i="47"/>
  <c r="U90" i="47" s="1"/>
  <c r="BI89" i="47"/>
  <c r="BI88" i="47"/>
  <c r="H88" i="47" s="1"/>
  <c r="BI87" i="47"/>
  <c r="H87" i="47" s="1"/>
  <c r="BE91" i="47"/>
  <c r="Y12" i="40" s="1"/>
  <c r="Y321" i="40" s="1"/>
  <c r="BD91" i="47"/>
  <c r="AP91" i="47"/>
  <c r="AO91" i="47"/>
  <c r="Y234" i="40" s="1"/>
  <c r="BA235" i="40" s="1"/>
  <c r="AL91" i="47"/>
  <c r="W91" i="47"/>
  <c r="Y113" i="40" s="1"/>
  <c r="R91" i="47"/>
  <c r="K91" i="47"/>
  <c r="Y63" i="40" s="1"/>
  <c r="Y11" i="40" s="1"/>
  <c r="BD90" i="47"/>
  <c r="BD89" i="47"/>
  <c r="BD88" i="47"/>
  <c r="BD87" i="47"/>
  <c r="EB90" i="47"/>
  <c r="EB89" i="47"/>
  <c r="EB88" i="47"/>
  <c r="DX88" i="47"/>
  <c r="EB87" i="47"/>
  <c r="DX87" i="47"/>
  <c r="DV90" i="47"/>
  <c r="DV89" i="47"/>
  <c r="DU89" i="47"/>
  <c r="DV88" i="47"/>
  <c r="DU88" i="47"/>
  <c r="DV87" i="47"/>
  <c r="DU87" i="47"/>
  <c r="DJ90" i="47"/>
  <c r="DJ89" i="47"/>
  <c r="DI89" i="47"/>
  <c r="DJ88" i="47"/>
  <c r="DI88" i="47"/>
  <c r="DJ87" i="47"/>
  <c r="DI87" i="47"/>
  <c r="DC90" i="47"/>
  <c r="DC89" i="47"/>
  <c r="DB89" i="47"/>
  <c r="DC88" i="47"/>
  <c r="DB88" i="47"/>
  <c r="DC87" i="47"/>
  <c r="DB87" i="47"/>
  <c r="CV90" i="47"/>
  <c r="CV89" i="47"/>
  <c r="CU89" i="47"/>
  <c r="CV88" i="47"/>
  <c r="CU88" i="47"/>
  <c r="CV87" i="47"/>
  <c r="CU87" i="47"/>
  <c r="BO90" i="47"/>
  <c r="BP97" i="47" s="1"/>
  <c r="BL90" i="47"/>
  <c r="BO89" i="47"/>
  <c r="BL89" i="47"/>
  <c r="BO88" i="47"/>
  <c r="BL88" i="47"/>
  <c r="BO87" i="47"/>
  <c r="BL87" i="47"/>
  <c r="BF89" i="47"/>
  <c r="BF88" i="47"/>
  <c r="AK87" i="47"/>
  <c r="BS87" i="47"/>
  <c r="AC89" i="47"/>
  <c r="AC88" i="47"/>
  <c r="AC87" i="47"/>
  <c r="L89" i="47"/>
  <c r="L88" i="47"/>
  <c r="L87" i="47"/>
  <c r="G89" i="47"/>
  <c r="G88" i="47"/>
  <c r="G87" i="47"/>
  <c r="BS84" i="47"/>
  <c r="BS83" i="47"/>
  <c r="BS82" i="47"/>
  <c r="BS81" i="47"/>
  <c r="BS80" i="47"/>
  <c r="AL83" i="47"/>
  <c r="W83" i="47"/>
  <c r="S268" i="46" s="1"/>
  <c r="E83" i="47"/>
  <c r="G83" i="47" s="1"/>
  <c r="DT83" i="47"/>
  <c r="DU83" i="47" s="1"/>
  <c r="DH83" i="47"/>
  <c r="DI83" i="47" s="1"/>
  <c r="DA83" i="47"/>
  <c r="CT83" i="47"/>
  <c r="BD84" i="47"/>
  <c r="BD83" i="47"/>
  <c r="AO83" i="47"/>
  <c r="K83" i="47"/>
  <c r="DX82" i="47"/>
  <c r="DX81" i="47"/>
  <c r="DX80" i="47"/>
  <c r="DI82" i="47"/>
  <c r="DC82" i="47"/>
  <c r="DC81" i="47"/>
  <c r="DC80" i="47"/>
  <c r="BD82" i="47"/>
  <c r="BD81" i="47"/>
  <c r="BD80" i="47"/>
  <c r="DB81" i="47"/>
  <c r="DB80" i="47"/>
  <c r="EB82" i="47"/>
  <c r="EB81" i="47"/>
  <c r="EB80" i="47"/>
  <c r="DV82" i="47"/>
  <c r="DU82" i="47"/>
  <c r="DV81" i="47"/>
  <c r="DU81" i="47"/>
  <c r="DU80" i="47"/>
  <c r="CU82" i="47"/>
  <c r="CU81" i="47"/>
  <c r="CU80" i="47"/>
  <c r="BO82" i="47"/>
  <c r="BL82" i="47"/>
  <c r="BO81" i="47"/>
  <c r="BL81" i="47"/>
  <c r="BO80" i="47"/>
  <c r="BL80" i="47"/>
  <c r="BF82" i="47"/>
  <c r="BF81" i="47"/>
  <c r="BE80" i="47"/>
  <c r="AP82" i="47"/>
  <c r="AP81" i="47"/>
  <c r="AP80" i="47"/>
  <c r="AC82" i="47"/>
  <c r="AC81" i="47"/>
  <c r="AC80" i="47"/>
  <c r="R82" i="47"/>
  <c r="R81" i="47"/>
  <c r="S88" i="47" s="1"/>
  <c r="R80" i="47"/>
  <c r="S87" i="47" s="1"/>
  <c r="L82" i="47"/>
  <c r="L81" i="47"/>
  <c r="L80" i="47"/>
  <c r="G82" i="47"/>
  <c r="G81" i="47"/>
  <c r="G80" i="47"/>
  <c r="DT77" i="47"/>
  <c r="DH77" i="47"/>
  <c r="DA77" i="47"/>
  <c r="M105" i="20" s="1"/>
  <c r="CT77" i="47"/>
  <c r="M104" i="20" s="1"/>
  <c r="BI76" i="47"/>
  <c r="M76" i="47" s="1"/>
  <c r="BI75" i="47"/>
  <c r="BI74" i="47"/>
  <c r="BI73" i="47"/>
  <c r="BG73" i="47" s="1"/>
  <c r="BE77" i="47"/>
  <c r="BD77" i="47"/>
  <c r="AP77" i="47"/>
  <c r="AO77" i="47"/>
  <c r="W234" i="40" s="1"/>
  <c r="AK77" i="47"/>
  <c r="BS77" i="47" s="1"/>
  <c r="AJ77" i="47"/>
  <c r="W77" i="47"/>
  <c r="W113" i="40" s="1"/>
  <c r="K77" i="47"/>
  <c r="W63" i="40" s="1"/>
  <c r="W11" i="40" s="1"/>
  <c r="E77" i="47"/>
  <c r="BD76" i="47"/>
  <c r="BD75" i="47"/>
  <c r="BD74" i="47"/>
  <c r="BD73" i="47"/>
  <c r="AL76" i="47"/>
  <c r="AL75" i="47"/>
  <c r="AL74" i="47"/>
  <c r="AL73" i="47"/>
  <c r="DJ76" i="47"/>
  <c r="DI76" i="47"/>
  <c r="DJ75" i="47"/>
  <c r="DI75" i="47"/>
  <c r="DJ74" i="47"/>
  <c r="DJ73" i="47"/>
  <c r="EB76" i="47"/>
  <c r="DX76" i="47"/>
  <c r="EB75" i="47"/>
  <c r="DX75" i="47"/>
  <c r="EB74" i="47"/>
  <c r="DX74" i="47"/>
  <c r="DZ74" i="47" s="1"/>
  <c r="EB73" i="47"/>
  <c r="DX73" i="47"/>
  <c r="DV76" i="47"/>
  <c r="DU76" i="47"/>
  <c r="DV75" i="47"/>
  <c r="DU75" i="47"/>
  <c r="DV74" i="47"/>
  <c r="DU74" i="47"/>
  <c r="DV73" i="47"/>
  <c r="DU73" i="47"/>
  <c r="DI73" i="47"/>
  <c r="DC76" i="47"/>
  <c r="DB76" i="47"/>
  <c r="DC75" i="47"/>
  <c r="DB75" i="47"/>
  <c r="DC74" i="47"/>
  <c r="DB74" i="47"/>
  <c r="DC73" i="47"/>
  <c r="DB73" i="47"/>
  <c r="CU76" i="47"/>
  <c r="CU75" i="47"/>
  <c r="CU74" i="47"/>
  <c r="CU73" i="47"/>
  <c r="BS76" i="47"/>
  <c r="BS75" i="47"/>
  <c r="BS74" i="47"/>
  <c r="BS73" i="47"/>
  <c r="BO76" i="47"/>
  <c r="BL76" i="47"/>
  <c r="BO75" i="47"/>
  <c r="BL75" i="47"/>
  <c r="BO74" i="47"/>
  <c r="BL74" i="47"/>
  <c r="BO73" i="47"/>
  <c r="BL73" i="47"/>
  <c r="BF76" i="47"/>
  <c r="BF75" i="47"/>
  <c r="BG74" i="47"/>
  <c r="BF74" i="47"/>
  <c r="BF73" i="47"/>
  <c r="AQ76" i="47"/>
  <c r="AQ75" i="47"/>
  <c r="AQ74" i="47"/>
  <c r="AQ73" i="47"/>
  <c r="AC76" i="47"/>
  <c r="AC75" i="47"/>
  <c r="AD74" i="47"/>
  <c r="AC74" i="47"/>
  <c r="AC73" i="47"/>
  <c r="R76" i="47"/>
  <c r="R75" i="47"/>
  <c r="R74" i="47"/>
  <c r="R73" i="47"/>
  <c r="L76" i="47"/>
  <c r="L75" i="47"/>
  <c r="L74" i="47"/>
  <c r="L73" i="47"/>
  <c r="G76" i="47"/>
  <c r="G75" i="47"/>
  <c r="G74" i="47"/>
  <c r="H73" i="47"/>
  <c r="G73" i="47"/>
  <c r="DT70" i="47"/>
  <c r="L107" i="20" s="1"/>
  <c r="DH70" i="47"/>
  <c r="DA70" i="47"/>
  <c r="CT70" i="47"/>
  <c r="L104" i="20" s="1"/>
  <c r="BI69" i="47"/>
  <c r="BI68" i="47"/>
  <c r="BG68" i="47" s="1"/>
  <c r="BI67" i="47"/>
  <c r="BG67" i="47" s="1"/>
  <c r="BI66" i="47"/>
  <c r="BE70" i="47"/>
  <c r="BD70" i="47"/>
  <c r="AP70" i="47"/>
  <c r="AO70" i="47"/>
  <c r="V234" i="40" s="1"/>
  <c r="AK70" i="47"/>
  <c r="BS70" i="47" s="1"/>
  <c r="BT70" i="47" s="1"/>
  <c r="AJ70" i="47"/>
  <c r="W70" i="47"/>
  <c r="K70" i="47"/>
  <c r="V63" i="40" s="1"/>
  <c r="E70" i="47"/>
  <c r="V59" i="40" s="1"/>
  <c r="BD69" i="47"/>
  <c r="BD68" i="47"/>
  <c r="BD67" i="47"/>
  <c r="BD66" i="47"/>
  <c r="AL69" i="47"/>
  <c r="AL68" i="47"/>
  <c r="AL67" i="47"/>
  <c r="AL66" i="47"/>
  <c r="DJ69" i="47"/>
  <c r="DI69" i="47"/>
  <c r="DJ68" i="47"/>
  <c r="DI68" i="47"/>
  <c r="DJ67" i="47"/>
  <c r="DJ66" i="47"/>
  <c r="EB69" i="47"/>
  <c r="DX69" i="47"/>
  <c r="EB68" i="47"/>
  <c r="DX68" i="47"/>
  <c r="EB67" i="47"/>
  <c r="DX67" i="47"/>
  <c r="EB66" i="47"/>
  <c r="DX66" i="47"/>
  <c r="DV69" i="47"/>
  <c r="DU69" i="47"/>
  <c r="DV68" i="47"/>
  <c r="DU68" i="47"/>
  <c r="DV67" i="47"/>
  <c r="DU67" i="47"/>
  <c r="DV66" i="47"/>
  <c r="DU66" i="47"/>
  <c r="DC69" i="47"/>
  <c r="DB69" i="47"/>
  <c r="DC68" i="47"/>
  <c r="DB68" i="47"/>
  <c r="DC67" i="47"/>
  <c r="DB67" i="47"/>
  <c r="DC66" i="47"/>
  <c r="DB66" i="47"/>
  <c r="CU69" i="47"/>
  <c r="CU68" i="47"/>
  <c r="CU67" i="47"/>
  <c r="CU66" i="47"/>
  <c r="BS69" i="47"/>
  <c r="BS68" i="47"/>
  <c r="BS67" i="47"/>
  <c r="BT67" i="47" s="1"/>
  <c r="BS66" i="47"/>
  <c r="BO69" i="47"/>
  <c r="BP69" i="47" s="1"/>
  <c r="BL69" i="47"/>
  <c r="BM69" i="47" s="1"/>
  <c r="BO68" i="47"/>
  <c r="BL68" i="47"/>
  <c r="BO67" i="47"/>
  <c r="BL67" i="47"/>
  <c r="BO66" i="47"/>
  <c r="BL66" i="47"/>
  <c r="BF69" i="47"/>
  <c r="BF68" i="47"/>
  <c r="BF67" i="47"/>
  <c r="BF66" i="47"/>
  <c r="AQ69" i="47"/>
  <c r="AQ68" i="47"/>
  <c r="AQ67" i="47"/>
  <c r="AQ66" i="47"/>
  <c r="AC69" i="47"/>
  <c r="AC68" i="47"/>
  <c r="AC67" i="47"/>
  <c r="AC66" i="47"/>
  <c r="R69" i="47"/>
  <c r="R68" i="47"/>
  <c r="R67" i="47"/>
  <c r="CV67" i="47" s="1"/>
  <c r="R66" i="47"/>
  <c r="L69" i="47"/>
  <c r="L68" i="47"/>
  <c r="L67" i="47"/>
  <c r="L66" i="47"/>
  <c r="G69" i="47"/>
  <c r="G68" i="47"/>
  <c r="G67" i="47"/>
  <c r="G66" i="47"/>
  <c r="DX62" i="47"/>
  <c r="DX61" i="47"/>
  <c r="DX60" i="47"/>
  <c r="DX59" i="47"/>
  <c r="DV62" i="47"/>
  <c r="DV61" i="47"/>
  <c r="DV60" i="47"/>
  <c r="DV59" i="47"/>
  <c r="DT63" i="47"/>
  <c r="DJ62" i="47"/>
  <c r="DJ61" i="47"/>
  <c r="DJ60" i="47"/>
  <c r="DJ59" i="47"/>
  <c r="DH63" i="47"/>
  <c r="K106" i="20" s="1"/>
  <c r="DC62" i="47"/>
  <c r="DC61" i="47"/>
  <c r="DC60" i="47"/>
  <c r="DC59" i="47"/>
  <c r="DA63" i="47"/>
  <c r="K105" i="20" s="1"/>
  <c r="CT63" i="47"/>
  <c r="BE63" i="47"/>
  <c r="AP63" i="47"/>
  <c r="AO63" i="47"/>
  <c r="U234" i="40" s="1"/>
  <c r="AK63" i="47"/>
  <c r="AJ63" i="47"/>
  <c r="BO70" i="47" s="1"/>
  <c r="BP70" i="47" s="1"/>
  <c r="W63" i="47"/>
  <c r="AC63" i="47" s="1"/>
  <c r="K63" i="47"/>
  <c r="L63" i="47" s="1"/>
  <c r="E63" i="47"/>
  <c r="AL62" i="47"/>
  <c r="AL61" i="47"/>
  <c r="AL60" i="47"/>
  <c r="AL59" i="47"/>
  <c r="EB62" i="47"/>
  <c r="EB61" i="47"/>
  <c r="EB60" i="47"/>
  <c r="EB59" i="47"/>
  <c r="AC61" i="47"/>
  <c r="AC60" i="47"/>
  <c r="AC59" i="47"/>
  <c r="R62" i="47"/>
  <c r="R61" i="47"/>
  <c r="BI61" i="47" s="1"/>
  <c r="M61" i="47" s="1"/>
  <c r="R60" i="47"/>
  <c r="S60" i="47" s="1"/>
  <c r="R59" i="47"/>
  <c r="L61" i="47"/>
  <c r="L60" i="47"/>
  <c r="L59" i="47"/>
  <c r="G61" i="47"/>
  <c r="G60" i="47"/>
  <c r="G59" i="47"/>
  <c r="CO56" i="47"/>
  <c r="CP56" i="47" s="1"/>
  <c r="CI56" i="47"/>
  <c r="CA56" i="47"/>
  <c r="AX56" i="47"/>
  <c r="AX54" i="47"/>
  <c r="AX53" i="47"/>
  <c r="AL56" i="47"/>
  <c r="AP56" i="47" s="1"/>
  <c r="AL54" i="47"/>
  <c r="AP54" i="47" s="1"/>
  <c r="AL53" i="47"/>
  <c r="AP53" i="47" s="1"/>
  <c r="AL52" i="47"/>
  <c r="AP52" i="47" s="1"/>
  <c r="AY55" i="47"/>
  <c r="AW55" i="47"/>
  <c r="AV55" i="47"/>
  <c r="AU55" i="47"/>
  <c r="AT55" i="47"/>
  <c r="AO55" i="47"/>
  <c r="S759" i="46" s="1"/>
  <c r="AN55" i="47"/>
  <c r="AM55" i="47"/>
  <c r="AK55" i="47"/>
  <c r="AJ55" i="47"/>
  <c r="W55" i="47"/>
  <c r="K55" i="47"/>
  <c r="E55" i="47"/>
  <c r="G62" i="47" s="1"/>
  <c r="CM53" i="47"/>
  <c r="CM52" i="47"/>
  <c r="CO54" i="47"/>
  <c r="CO53" i="47"/>
  <c r="CP53" i="47" s="1"/>
  <c r="CO52" i="47"/>
  <c r="CL52" i="47"/>
  <c r="CH53" i="47"/>
  <c r="CH52" i="47"/>
  <c r="CD54" i="47"/>
  <c r="CD53" i="47"/>
  <c r="CD52" i="47"/>
  <c r="CA54" i="47"/>
  <c r="CA53" i="47"/>
  <c r="CA52" i="47"/>
  <c r="BS56" i="47"/>
  <c r="BS52" i="47"/>
  <c r="BO56" i="47"/>
  <c r="CE56" i="47" s="1"/>
  <c r="BL56" i="47"/>
  <c r="CB56" i="47" s="1"/>
  <c r="BO54" i="47"/>
  <c r="BL54" i="47"/>
  <c r="CB54" i="47" s="1"/>
  <c r="BO53" i="47"/>
  <c r="BL53" i="47"/>
  <c r="CB53" i="47" s="1"/>
  <c r="BO52" i="47"/>
  <c r="CE52" i="47" s="1"/>
  <c r="BL52" i="47"/>
  <c r="CB52" i="47" s="1"/>
  <c r="BE56" i="47"/>
  <c r="BD56" i="47"/>
  <c r="BD55" i="47"/>
  <c r="BE54" i="47"/>
  <c r="BD54" i="47"/>
  <c r="BD53" i="47"/>
  <c r="BE52" i="47"/>
  <c r="BD52" i="47"/>
  <c r="AC56" i="47"/>
  <c r="AC54" i="47"/>
  <c r="AC53" i="47"/>
  <c r="AC52" i="47"/>
  <c r="R56" i="47"/>
  <c r="R54" i="47"/>
  <c r="R53" i="47"/>
  <c r="R52" i="47"/>
  <c r="L56" i="47"/>
  <c r="L54" i="47"/>
  <c r="L53" i="47"/>
  <c r="L52" i="47"/>
  <c r="G56" i="47"/>
  <c r="G54" i="47"/>
  <c r="G53" i="47"/>
  <c r="G52" i="47"/>
  <c r="CA49" i="47"/>
  <c r="AL49" i="47"/>
  <c r="AP49" i="47" s="1"/>
  <c r="AL47" i="47"/>
  <c r="AP47" i="47" s="1"/>
  <c r="AL46" i="47"/>
  <c r="AP46" i="47" s="1"/>
  <c r="AL45" i="47"/>
  <c r="AP45" i="47" s="1"/>
  <c r="CK48" i="47"/>
  <c r="CK47" i="47"/>
  <c r="CG47" i="47"/>
  <c r="CC48" i="47"/>
  <c r="BZ48" i="47"/>
  <c r="AY49" i="47"/>
  <c r="AX49" i="47"/>
  <c r="AW48" i="47"/>
  <c r="AV48" i="47"/>
  <c r="AU48" i="47"/>
  <c r="AT48" i="47"/>
  <c r="AO48" i="47"/>
  <c r="S752" i="46" s="1"/>
  <c r="AI752" i="46" s="1"/>
  <c r="AN48" i="47"/>
  <c r="AM48" i="47"/>
  <c r="AK48" i="47"/>
  <c r="AJ48" i="47"/>
  <c r="W48" i="47"/>
  <c r="S233" i="46" s="1"/>
  <c r="AI233" i="46" s="1"/>
  <c r="K48" i="47"/>
  <c r="E48" i="47"/>
  <c r="S50" i="46" s="1"/>
  <c r="AX47" i="47"/>
  <c r="BS47" i="47" s="1"/>
  <c r="CM49" i="47"/>
  <c r="CL49" i="47"/>
  <c r="CM47" i="47"/>
  <c r="CM46" i="47"/>
  <c r="CL46" i="47"/>
  <c r="CO49" i="47"/>
  <c r="CP49" i="47" s="1"/>
  <c r="CO46" i="47"/>
  <c r="CO45" i="47"/>
  <c r="CM45" i="47"/>
  <c r="CH49" i="47"/>
  <c r="CH46" i="47"/>
  <c r="CH45" i="47"/>
  <c r="CD49" i="47"/>
  <c r="CD47" i="47"/>
  <c r="CD46" i="47"/>
  <c r="CD45" i="47"/>
  <c r="CA47" i="47"/>
  <c r="CA46" i="47"/>
  <c r="CA45" i="47"/>
  <c r="BS49" i="47"/>
  <c r="CI49" i="47" s="1"/>
  <c r="BS46" i="47"/>
  <c r="BS45" i="47"/>
  <c r="BO49" i="47"/>
  <c r="CE49" i="47" s="1"/>
  <c r="BO47" i="47"/>
  <c r="BL47" i="47"/>
  <c r="BO46" i="47"/>
  <c r="BL46" i="47"/>
  <c r="BO45" i="47"/>
  <c r="BL45" i="47"/>
  <c r="BD49" i="47"/>
  <c r="BD48" i="47"/>
  <c r="BE47" i="47"/>
  <c r="S70" i="12" s="1"/>
  <c r="AI70" i="12" s="1"/>
  <c r="BD47" i="47"/>
  <c r="BE46" i="47"/>
  <c r="BD46" i="47"/>
  <c r="BE45" i="47"/>
  <c r="BD45" i="47"/>
  <c r="AC49" i="47"/>
  <c r="AC47" i="47"/>
  <c r="AC46" i="47"/>
  <c r="AC45" i="47"/>
  <c r="R49" i="47"/>
  <c r="R47" i="47"/>
  <c r="R46" i="47"/>
  <c r="R45" i="47"/>
  <c r="L49" i="47"/>
  <c r="L47" i="47"/>
  <c r="L46" i="47"/>
  <c r="L45" i="47"/>
  <c r="G49" i="47"/>
  <c r="G47" i="47"/>
  <c r="G46" i="47"/>
  <c r="G45" i="47"/>
  <c r="CM42" i="47"/>
  <c r="CL42" i="47"/>
  <c r="CA42" i="47"/>
  <c r="AX42" i="47"/>
  <c r="AX41" i="47"/>
  <c r="AX40" i="47"/>
  <c r="BS40" i="47" s="1"/>
  <c r="AL42" i="47"/>
  <c r="AP42" i="47" s="1"/>
  <c r="AL40" i="47"/>
  <c r="AP40" i="47" s="1"/>
  <c r="AL39" i="47"/>
  <c r="AP39" i="47" s="1"/>
  <c r="AL38" i="47"/>
  <c r="AP38" i="47" s="1"/>
  <c r="CO39" i="47"/>
  <c r="CO38" i="47"/>
  <c r="CM39" i="47"/>
  <c r="CK40" i="47"/>
  <c r="CK41" i="47" s="1"/>
  <c r="CG40" i="47"/>
  <c r="CC41" i="47"/>
  <c r="BZ41" i="47"/>
  <c r="AY41" i="47"/>
  <c r="AW41" i="47"/>
  <c r="AV41" i="47"/>
  <c r="AU41" i="47"/>
  <c r="AO41" i="47"/>
  <c r="S745" i="46" s="1"/>
  <c r="AI745" i="46" s="1"/>
  <c r="AN41" i="47"/>
  <c r="AM41" i="47"/>
  <c r="AK41" i="47"/>
  <c r="S589" i="46" s="1"/>
  <c r="AJ41" i="47"/>
  <c r="AL41" i="47" s="1"/>
  <c r="W41" i="47"/>
  <c r="S226" i="46" s="1"/>
  <c r="AI226" i="46" s="1"/>
  <c r="K41" i="47"/>
  <c r="L48" i="47" s="1"/>
  <c r="E41" i="47"/>
  <c r="AT40" i="47"/>
  <c r="CP42" i="47"/>
  <c r="CH42" i="47"/>
  <c r="CH39" i="47"/>
  <c r="CH38" i="47"/>
  <c r="CD42" i="47"/>
  <c r="CD40" i="47"/>
  <c r="CD39" i="47"/>
  <c r="CD38" i="47"/>
  <c r="CA40" i="47"/>
  <c r="CA39" i="47"/>
  <c r="CA38" i="47"/>
  <c r="BS42" i="47"/>
  <c r="BS39" i="47"/>
  <c r="CI39" i="47" s="1"/>
  <c r="BS38" i="47"/>
  <c r="BO42" i="47"/>
  <c r="BL42" i="47"/>
  <c r="CB42" i="47" s="1"/>
  <c r="BO40" i="47"/>
  <c r="CE40" i="47" s="1"/>
  <c r="BO39" i="47"/>
  <c r="BL39" i="47"/>
  <c r="CB39" i="47" s="1"/>
  <c r="BO38" i="47"/>
  <c r="BL38" i="47"/>
  <c r="BE42" i="47"/>
  <c r="BD42" i="47"/>
  <c r="BD41" i="47"/>
  <c r="BD40" i="47"/>
  <c r="BE39" i="47"/>
  <c r="S62" i="12" s="1"/>
  <c r="BD39" i="47"/>
  <c r="BE38" i="47"/>
  <c r="S61" i="12" s="1"/>
  <c r="AI61" i="12" s="1"/>
  <c r="BD38" i="47"/>
  <c r="AC42" i="47"/>
  <c r="AC40" i="47"/>
  <c r="AC39" i="47"/>
  <c r="AC38" i="47"/>
  <c r="R42" i="47"/>
  <c r="R40" i="47"/>
  <c r="R39" i="47"/>
  <c r="R38" i="47"/>
  <c r="L42" i="47"/>
  <c r="L40" i="47"/>
  <c r="L39" i="47"/>
  <c r="L38" i="47"/>
  <c r="G42" i="47"/>
  <c r="G40" i="47"/>
  <c r="G39" i="47"/>
  <c r="G38" i="47"/>
  <c r="CM35" i="47"/>
  <c r="CL35" i="47"/>
  <c r="CA35" i="47"/>
  <c r="AL35" i="47"/>
  <c r="AP35" i="47" s="1"/>
  <c r="AL33" i="47"/>
  <c r="AP33" i="47" s="1"/>
  <c r="AL32" i="47"/>
  <c r="AP32" i="47" s="1"/>
  <c r="AL31" i="47"/>
  <c r="AP31" i="47" s="1"/>
  <c r="CO33" i="47"/>
  <c r="CO32" i="47"/>
  <c r="CO31" i="47"/>
  <c r="CG34" i="47"/>
  <c r="CC34" i="47"/>
  <c r="BZ34" i="47"/>
  <c r="AY34" i="47"/>
  <c r="AX34" i="47"/>
  <c r="AW34" i="47"/>
  <c r="AV34" i="47"/>
  <c r="AU34" i="47"/>
  <c r="AT34" i="47"/>
  <c r="AO34" i="47"/>
  <c r="S738" i="46" s="1"/>
  <c r="AI738" i="46" s="1"/>
  <c r="AN34" i="47"/>
  <c r="AM34" i="47"/>
  <c r="AK34" i="47"/>
  <c r="S582" i="46" s="1"/>
  <c r="AJ34" i="47"/>
  <c r="S517" i="46" s="1"/>
  <c r="AI517" i="46" s="1"/>
  <c r="W34" i="47"/>
  <c r="S219" i="46" s="1"/>
  <c r="AI219" i="46" s="1"/>
  <c r="K34" i="47"/>
  <c r="E34" i="47"/>
  <c r="CP35" i="47"/>
  <c r="CH35" i="47"/>
  <c r="CH33" i="47"/>
  <c r="CH32" i="47"/>
  <c r="CH31" i="47"/>
  <c r="CD35" i="47"/>
  <c r="CD33" i="47"/>
  <c r="CD32" i="47"/>
  <c r="CD31" i="47"/>
  <c r="CA33" i="47"/>
  <c r="CA32" i="47"/>
  <c r="CA31" i="47"/>
  <c r="BS35" i="47"/>
  <c r="CI35" i="47" s="1"/>
  <c r="BS33" i="47"/>
  <c r="CI33" i="47" s="1"/>
  <c r="BS32" i="47"/>
  <c r="CI32" i="47" s="1"/>
  <c r="BS31" i="47"/>
  <c r="CI31" i="47" s="1"/>
  <c r="BO35" i="47"/>
  <c r="BL35" i="47"/>
  <c r="BO33" i="47"/>
  <c r="BL33" i="47"/>
  <c r="CB33" i="47" s="1"/>
  <c r="BO32" i="47"/>
  <c r="BL32" i="47"/>
  <c r="CB32" i="47" s="1"/>
  <c r="BO31" i="47"/>
  <c r="CE31" i="47" s="1"/>
  <c r="BL31" i="47"/>
  <c r="CB31" i="47" s="1"/>
  <c r="BE35" i="47"/>
  <c r="BD35" i="47"/>
  <c r="BD34" i="47"/>
  <c r="BE33" i="47"/>
  <c r="S56" i="12" s="1"/>
  <c r="BD33" i="47"/>
  <c r="BE32" i="47"/>
  <c r="S55" i="12" s="1"/>
  <c r="AI55" i="12" s="1"/>
  <c r="BD32" i="47"/>
  <c r="BE31" i="47"/>
  <c r="BD31" i="47"/>
  <c r="AC35" i="47"/>
  <c r="AC33" i="47"/>
  <c r="AC32" i="47"/>
  <c r="AC31" i="47"/>
  <c r="R35" i="47"/>
  <c r="R33" i="47"/>
  <c r="R32" i="47"/>
  <c r="R31" i="47"/>
  <c r="L35" i="47"/>
  <c r="L33" i="47"/>
  <c r="L32" i="47"/>
  <c r="L31" i="47"/>
  <c r="G35" i="47"/>
  <c r="G33" i="47"/>
  <c r="G32" i="47"/>
  <c r="G31" i="47"/>
  <c r="BO28" i="47"/>
  <c r="CE28" i="47" s="1"/>
  <c r="BL28" i="47"/>
  <c r="BE28" i="47"/>
  <c r="BD28" i="47"/>
  <c r="AL28" i="47"/>
  <c r="AP28" i="47" s="1"/>
  <c r="AL26" i="47"/>
  <c r="AP26" i="47" s="1"/>
  <c r="AL25" i="47"/>
  <c r="AP25" i="47" s="1"/>
  <c r="AL24" i="47"/>
  <c r="AP24" i="47" s="1"/>
  <c r="AC28" i="47"/>
  <c r="R28" i="47"/>
  <c r="L28" i="47"/>
  <c r="G28" i="47"/>
  <c r="B28" i="47"/>
  <c r="B27" i="47"/>
  <c r="B26" i="47"/>
  <c r="B25" i="47"/>
  <c r="B24" i="47"/>
  <c r="CO26" i="47"/>
  <c r="CO25" i="47"/>
  <c r="CO24" i="47"/>
  <c r="CG27" i="47"/>
  <c r="CC27" i="47"/>
  <c r="BZ27" i="47"/>
  <c r="BE26" i="47"/>
  <c r="S49" i="12" s="1"/>
  <c r="BE25" i="47"/>
  <c r="BE24" i="47"/>
  <c r="AY27" i="47"/>
  <c r="AX27" i="47"/>
  <c r="AW27" i="47"/>
  <c r="AV27" i="47"/>
  <c r="AU27" i="47"/>
  <c r="AT27" i="47"/>
  <c r="AO27" i="47"/>
  <c r="S731" i="46" s="1"/>
  <c r="AN27" i="47"/>
  <c r="AM27" i="47"/>
  <c r="AK27" i="47"/>
  <c r="S575" i="46" s="1"/>
  <c r="AJ27" i="47"/>
  <c r="W27" i="47"/>
  <c r="R26" i="47"/>
  <c r="R25" i="47"/>
  <c r="R24" i="47"/>
  <c r="K27" i="47"/>
  <c r="E27" i="47"/>
  <c r="S29" i="46" s="1"/>
  <c r="A27" i="47"/>
  <c r="A26" i="47"/>
  <c r="A25" i="47"/>
  <c r="A24" i="47"/>
  <c r="BS28" i="47"/>
  <c r="CI28" i="47" s="1"/>
  <c r="BS26" i="47"/>
  <c r="BS25" i="47"/>
  <c r="CI25" i="47" s="1"/>
  <c r="BS24" i="47"/>
  <c r="BT24" i="47" s="1"/>
  <c r="BO26" i="47"/>
  <c r="CE26" i="47" s="1"/>
  <c r="BL26" i="47"/>
  <c r="BM26" i="47" s="1"/>
  <c r="BO25" i="47"/>
  <c r="BP25" i="47" s="1"/>
  <c r="BL25" i="47"/>
  <c r="CB25" i="47" s="1"/>
  <c r="BO24" i="47"/>
  <c r="BP24" i="47" s="1"/>
  <c r="BL24" i="47"/>
  <c r="BE21" i="47"/>
  <c r="BD21" i="47"/>
  <c r="AL21" i="47"/>
  <c r="AP21" i="47" s="1"/>
  <c r="AC21" i="47"/>
  <c r="R21" i="47"/>
  <c r="L21" i="47"/>
  <c r="G21" i="47"/>
  <c r="BE14" i="47"/>
  <c r="AL14" i="47"/>
  <c r="AP14" i="47" s="1"/>
  <c r="R14" i="47"/>
  <c r="A1" i="47"/>
  <c r="F194" i="12"/>
  <c r="B198" i="12"/>
  <c r="B227" i="47" s="1"/>
  <c r="B197" i="12"/>
  <c r="B196" i="12"/>
  <c r="B195" i="12"/>
  <c r="B194" i="12"/>
  <c r="A197" i="12"/>
  <c r="A196" i="12"/>
  <c r="A225" i="47" s="1"/>
  <c r="A195" i="12"/>
  <c r="A194" i="12"/>
  <c r="F190" i="12"/>
  <c r="F189" i="12"/>
  <c r="F188" i="12"/>
  <c r="F187" i="12"/>
  <c r="B191" i="12"/>
  <c r="B220" i="47"/>
  <c r="B190" i="12"/>
  <c r="B189" i="12"/>
  <c r="B188" i="12"/>
  <c r="B187" i="12"/>
  <c r="A190" i="12"/>
  <c r="A219" i="47" s="1"/>
  <c r="A189" i="12"/>
  <c r="A163" i="45" s="1"/>
  <c r="A345" i="45" s="1"/>
  <c r="A527" i="45" s="1"/>
  <c r="A188" i="12"/>
  <c r="A217" i="47"/>
  <c r="A187" i="12"/>
  <c r="F183" i="12"/>
  <c r="F182" i="12"/>
  <c r="F181" i="12"/>
  <c r="F180" i="12"/>
  <c r="B184" i="12"/>
  <c r="B213" i="47" s="1"/>
  <c r="B183" i="12"/>
  <c r="B182" i="12"/>
  <c r="B181" i="12"/>
  <c r="B180" i="12"/>
  <c r="A183" i="12"/>
  <c r="A182" i="12"/>
  <c r="A181" i="12"/>
  <c r="A156" i="45" s="1"/>
  <c r="A338" i="45" s="1"/>
  <c r="A520" i="45" s="1"/>
  <c r="A180" i="12"/>
  <c r="F175" i="12"/>
  <c r="F174" i="12"/>
  <c r="F173" i="12"/>
  <c r="B177" i="12"/>
  <c r="B176" i="12"/>
  <c r="B175" i="12"/>
  <c r="B174" i="12"/>
  <c r="B173" i="12"/>
  <c r="B149" i="45"/>
  <c r="A176" i="12"/>
  <c r="A175" i="12"/>
  <c r="A174" i="12"/>
  <c r="A173" i="12"/>
  <c r="A149" i="45" s="1"/>
  <c r="A331" i="45" s="1"/>
  <c r="A513" i="45" s="1"/>
  <c r="F169" i="12"/>
  <c r="F168" i="12"/>
  <c r="F167" i="12"/>
  <c r="F166" i="12"/>
  <c r="B170" i="12"/>
  <c r="B182" i="47" s="1"/>
  <c r="B169" i="12"/>
  <c r="B146" i="45"/>
  <c r="B328" i="45" s="1"/>
  <c r="B510" i="45" s="1"/>
  <c r="B168" i="12"/>
  <c r="B145" i="45" s="1"/>
  <c r="AU145" i="45" s="1"/>
  <c r="B167" i="12"/>
  <c r="B144" i="45" s="1"/>
  <c r="B326" i="45" s="1"/>
  <c r="B508" i="45" s="1"/>
  <c r="B166" i="12"/>
  <c r="A169" i="12"/>
  <c r="A168" i="12"/>
  <c r="A180" i="47" s="1"/>
  <c r="A167" i="12"/>
  <c r="A144" i="45" s="1"/>
  <c r="A326" i="45" s="1"/>
  <c r="A508" i="45" s="1"/>
  <c r="A166" i="12"/>
  <c r="F162" i="12"/>
  <c r="F161" i="12"/>
  <c r="F160" i="12"/>
  <c r="F159" i="12"/>
  <c r="B163" i="12"/>
  <c r="B175" i="47"/>
  <c r="B162" i="12"/>
  <c r="B161" i="12"/>
  <c r="B160" i="12"/>
  <c r="B138" i="45" s="1"/>
  <c r="B320" i="45" s="1"/>
  <c r="B502" i="45" s="1"/>
  <c r="B159" i="12"/>
  <c r="B137" i="45" s="1"/>
  <c r="A162" i="12"/>
  <c r="A174" i="47" s="1"/>
  <c r="A161" i="12"/>
  <c r="A139" i="45" s="1"/>
  <c r="A173" i="47"/>
  <c r="A160" i="12"/>
  <c r="A138" i="45" s="1"/>
  <c r="A320" i="45" s="1"/>
  <c r="A502" i="45" s="1"/>
  <c r="A159" i="12"/>
  <c r="F155" i="12"/>
  <c r="F154" i="12"/>
  <c r="F153" i="12"/>
  <c r="F152" i="12"/>
  <c r="B156" i="12"/>
  <c r="B155" i="12"/>
  <c r="B134" i="45"/>
  <c r="B154" i="12"/>
  <c r="B153" i="12"/>
  <c r="B152" i="12"/>
  <c r="A155" i="12"/>
  <c r="A134" i="45" s="1"/>
  <c r="A154" i="12"/>
  <c r="A133" i="45" s="1"/>
  <c r="AT133" i="45" s="1"/>
  <c r="A315" i="45"/>
  <c r="A497" i="45" s="1"/>
  <c r="A153" i="12"/>
  <c r="A165" i="47" s="1"/>
  <c r="A132" i="45"/>
  <c r="A152" i="12"/>
  <c r="A131" i="45" s="1"/>
  <c r="A313" i="45" s="1"/>
  <c r="A495" i="45" s="1"/>
  <c r="F148" i="12"/>
  <c r="F147" i="12"/>
  <c r="F146" i="12"/>
  <c r="F145" i="12"/>
  <c r="B149" i="12"/>
  <c r="B161" i="47" s="1"/>
  <c r="B148" i="12"/>
  <c r="B160" i="47" s="1"/>
  <c r="B128" i="45"/>
  <c r="B147" i="12"/>
  <c r="B127" i="45" s="1"/>
  <c r="B146" i="12"/>
  <c r="B126" i="45"/>
  <c r="B145" i="12"/>
  <c r="B125" i="45"/>
  <c r="A148" i="12"/>
  <c r="A128" i="45"/>
  <c r="A310" i="45" s="1"/>
  <c r="A492" i="45" s="1"/>
  <c r="A147" i="12"/>
  <c r="A146" i="12"/>
  <c r="A158" i="47"/>
  <c r="A145" i="12"/>
  <c r="A125" i="45"/>
  <c r="F142" i="12"/>
  <c r="F141" i="12"/>
  <c r="F140" i="12"/>
  <c r="F139" i="12"/>
  <c r="F138" i="12"/>
  <c r="B142" i="12"/>
  <c r="B154" i="47" s="1"/>
  <c r="B141" i="12"/>
  <c r="B153" i="47"/>
  <c r="B140" i="12"/>
  <c r="B121" i="45"/>
  <c r="B139" i="12"/>
  <c r="B120" i="45" s="1"/>
  <c r="AU120" i="45" s="1"/>
  <c r="B138" i="12"/>
  <c r="B150" i="47" s="1"/>
  <c r="B119" i="45"/>
  <c r="A141" i="12"/>
  <c r="A153" i="47"/>
  <c r="A140" i="12"/>
  <c r="A152" i="47"/>
  <c r="A139" i="12"/>
  <c r="A138" i="12"/>
  <c r="A119" i="45"/>
  <c r="A301" i="45" s="1"/>
  <c r="A483" i="45" s="1"/>
  <c r="F135" i="12"/>
  <c r="F134" i="12"/>
  <c r="F133" i="12"/>
  <c r="F132" i="12"/>
  <c r="F131" i="12"/>
  <c r="B135" i="12"/>
  <c r="B134" i="12"/>
  <c r="B116" i="45" s="1"/>
  <c r="B133" i="12"/>
  <c r="B115" i="45" s="1"/>
  <c r="B132" i="12"/>
  <c r="B109" i="47" s="1"/>
  <c r="B131" i="12"/>
  <c r="B113" i="45" s="1"/>
  <c r="B295" i="45" s="1"/>
  <c r="B477" i="45" s="1"/>
  <c r="A134" i="12"/>
  <c r="A116" i="45" s="1"/>
  <c r="AT116" i="45" s="1"/>
  <c r="A133" i="12"/>
  <c r="A115" i="45"/>
  <c r="A132" i="12"/>
  <c r="A116" i="47"/>
  <c r="A131" i="12"/>
  <c r="A108" i="47" s="1"/>
  <c r="F128" i="12"/>
  <c r="BP14" i="29" s="1"/>
  <c r="F127" i="12"/>
  <c r="F126" i="12"/>
  <c r="F125" i="12"/>
  <c r="F124" i="12"/>
  <c r="B128" i="12"/>
  <c r="B140" i="47"/>
  <c r="B127" i="12"/>
  <c r="B110" i="45"/>
  <c r="B126" i="12"/>
  <c r="B109" i="45" s="1"/>
  <c r="B291" i="45" s="1"/>
  <c r="B473" i="45" s="1"/>
  <c r="B125" i="12"/>
  <c r="B124" i="12"/>
  <c r="B107" i="45"/>
  <c r="A127" i="12"/>
  <c r="A110" i="45"/>
  <c r="A126" i="12"/>
  <c r="A109" i="45"/>
  <c r="A125" i="12"/>
  <c r="A124" i="12"/>
  <c r="A107" i="45"/>
  <c r="S120" i="12"/>
  <c r="AI120" i="12" s="1"/>
  <c r="S119" i="12"/>
  <c r="S118" i="12"/>
  <c r="S117" i="12"/>
  <c r="F121" i="12"/>
  <c r="F119" i="12"/>
  <c r="F118" i="12"/>
  <c r="F117" i="12"/>
  <c r="B121" i="12"/>
  <c r="B120" i="12"/>
  <c r="B119" i="12"/>
  <c r="B103" i="45" s="1"/>
  <c r="B118" i="12"/>
  <c r="B102" i="45" s="1"/>
  <c r="B117" i="12"/>
  <c r="B101" i="45" s="1"/>
  <c r="A120" i="12"/>
  <c r="A104" i="45" s="1"/>
  <c r="A119" i="12"/>
  <c r="A103" i="45"/>
  <c r="AT103" i="45" s="1"/>
  <c r="A118" i="12"/>
  <c r="A117" i="12"/>
  <c r="S113" i="12"/>
  <c r="S112" i="12"/>
  <c r="AI112" i="12" s="1"/>
  <c r="S111" i="12"/>
  <c r="AI111" i="12" s="1"/>
  <c r="S110" i="12"/>
  <c r="AI110" i="12" s="1"/>
  <c r="F114" i="12"/>
  <c r="F110" i="12"/>
  <c r="B114" i="12"/>
  <c r="B91" i="47" s="1"/>
  <c r="B113" i="12"/>
  <c r="B98" i="45" s="1"/>
  <c r="B280" i="45" s="1"/>
  <c r="B462" i="45" s="1"/>
  <c r="B112" i="12"/>
  <c r="B97" i="45" s="1"/>
  <c r="B111" i="12"/>
  <c r="B96" i="45" s="1"/>
  <c r="B110" i="12"/>
  <c r="B95" i="45" s="1"/>
  <c r="B277" i="45" s="1"/>
  <c r="B459" i="45" s="1"/>
  <c r="A113" i="12"/>
  <c r="A112" i="12"/>
  <c r="A97" i="45"/>
  <c r="A111" i="12"/>
  <c r="A110" i="12"/>
  <c r="A95" i="45"/>
  <c r="AT95" i="45" s="1"/>
  <c r="S105" i="12"/>
  <c r="S104" i="12"/>
  <c r="F107" i="12"/>
  <c r="X39" i="40" s="1"/>
  <c r="F106" i="12"/>
  <c r="F105" i="12"/>
  <c r="F104" i="12"/>
  <c r="F103" i="12"/>
  <c r="B107" i="12"/>
  <c r="B106" i="12"/>
  <c r="B83" i="47" s="1"/>
  <c r="B105" i="12"/>
  <c r="B82" i="47" s="1"/>
  <c r="B104" i="12"/>
  <c r="B81" i="47" s="1"/>
  <c r="B103" i="12"/>
  <c r="J106" i="12"/>
  <c r="J105" i="12"/>
  <c r="T81" i="28" s="1"/>
  <c r="J104" i="12"/>
  <c r="J103" i="12"/>
  <c r="A106" i="12"/>
  <c r="A86" i="45"/>
  <c r="A105" i="12"/>
  <c r="A104" i="12"/>
  <c r="A103" i="12"/>
  <c r="S99" i="12"/>
  <c r="AI99" i="12" s="1"/>
  <c r="S98" i="12"/>
  <c r="AI98" i="12" s="1"/>
  <c r="S97" i="12"/>
  <c r="S96" i="12"/>
  <c r="F100" i="12"/>
  <c r="F99" i="12"/>
  <c r="F98" i="12"/>
  <c r="F97" i="12"/>
  <c r="F96" i="12"/>
  <c r="B100" i="12"/>
  <c r="B77" i="47" s="1"/>
  <c r="B99" i="12"/>
  <c r="B80" i="45" s="1"/>
  <c r="B262" i="45" s="1"/>
  <c r="B444" i="45" s="1"/>
  <c r="B98" i="12"/>
  <c r="B97" i="12"/>
  <c r="B96" i="12"/>
  <c r="A99" i="12"/>
  <c r="A98" i="12"/>
  <c r="A75" i="47" s="1"/>
  <c r="A97" i="12"/>
  <c r="A78" i="45" s="1"/>
  <c r="A96" i="12"/>
  <c r="A77" i="45" s="1"/>
  <c r="S92" i="12"/>
  <c r="AI92" i="12" s="1"/>
  <c r="S91" i="12"/>
  <c r="S90" i="12"/>
  <c r="AI90" i="12" s="1"/>
  <c r="S89" i="12"/>
  <c r="AI89" i="12" s="1"/>
  <c r="F93" i="12"/>
  <c r="F92" i="12"/>
  <c r="F91" i="12"/>
  <c r="F90" i="12"/>
  <c r="F89" i="12"/>
  <c r="B93" i="12"/>
  <c r="B92" i="12"/>
  <c r="B91" i="12"/>
  <c r="B90" i="12"/>
  <c r="B72" i="45" s="1"/>
  <c r="B254" i="45" s="1"/>
  <c r="B436" i="45" s="1"/>
  <c r="B89" i="12"/>
  <c r="B71" i="45" s="1"/>
  <c r="A92" i="12"/>
  <c r="A91" i="12"/>
  <c r="A73" i="45" s="1"/>
  <c r="AT73" i="45" s="1"/>
  <c r="A90" i="12"/>
  <c r="A72" i="45"/>
  <c r="A89" i="12"/>
  <c r="A71" i="45" s="1"/>
  <c r="A253" i="45" s="1"/>
  <c r="A435" i="45" s="1"/>
  <c r="S85" i="12"/>
  <c r="AI85" i="12" s="1"/>
  <c r="S84" i="12"/>
  <c r="AI84" i="12" s="1"/>
  <c r="S83" i="12"/>
  <c r="AI83" i="12" s="1"/>
  <c r="S82" i="12"/>
  <c r="AI82" i="12" s="1"/>
  <c r="F86" i="12"/>
  <c r="F85" i="12"/>
  <c r="F84" i="12"/>
  <c r="F83" i="12"/>
  <c r="F82" i="12"/>
  <c r="B86" i="12"/>
  <c r="B63" i="47" s="1"/>
  <c r="B85" i="12"/>
  <c r="B68" i="45" s="1"/>
  <c r="B84" i="12"/>
  <c r="B67" i="45" s="1"/>
  <c r="B83" i="12"/>
  <c r="B66" i="45"/>
  <c r="B82" i="12"/>
  <c r="A85" i="12"/>
  <c r="A84" i="12"/>
  <c r="A67" i="45" s="1"/>
  <c r="A83" i="12"/>
  <c r="A66" i="45"/>
  <c r="A82" i="12"/>
  <c r="A65" i="45"/>
  <c r="AT65" i="45" s="1"/>
  <c r="F79" i="12"/>
  <c r="F78" i="12"/>
  <c r="F77" i="12"/>
  <c r="F76" i="12"/>
  <c r="F75" i="12"/>
  <c r="B79" i="12"/>
  <c r="B56" i="47" s="1"/>
  <c r="B78" i="12"/>
  <c r="B55" i="47" s="1"/>
  <c r="B77" i="12"/>
  <c r="B76" i="12"/>
  <c r="B75" i="12"/>
  <c r="B59" i="45" s="1"/>
  <c r="A78" i="12"/>
  <c r="A77" i="12"/>
  <c r="A54" i="47" s="1"/>
  <c r="A76" i="12"/>
  <c r="A60" i="45" s="1"/>
  <c r="A75" i="12"/>
  <c r="A59" i="45" s="1"/>
  <c r="A241" i="45" s="1"/>
  <c r="A423" i="45" s="1"/>
  <c r="F72" i="12"/>
  <c r="F71" i="12"/>
  <c r="F70" i="12"/>
  <c r="F69" i="12"/>
  <c r="F68" i="12"/>
  <c r="B72" i="12"/>
  <c r="B49" i="47" s="1"/>
  <c r="B71" i="12"/>
  <c r="B70" i="12"/>
  <c r="B69" i="12"/>
  <c r="B54" i="45" s="1"/>
  <c r="B46" i="47"/>
  <c r="B68" i="12"/>
  <c r="B53" i="45" s="1"/>
  <c r="A71" i="12"/>
  <c r="A48" i="47" s="1"/>
  <c r="A70" i="12"/>
  <c r="A55" i="45" s="1"/>
  <c r="A69" i="12"/>
  <c r="A68" i="12"/>
  <c r="A53" i="45" s="1"/>
  <c r="F65" i="12"/>
  <c r="F64" i="12"/>
  <c r="F63" i="12"/>
  <c r="F62" i="12"/>
  <c r="F61" i="12"/>
  <c r="B65" i="12"/>
  <c r="B42" i="47" s="1"/>
  <c r="B64" i="12"/>
  <c r="B63" i="12"/>
  <c r="B49" i="45" s="1"/>
  <c r="AU49" i="45" s="1"/>
  <c r="B62" i="12"/>
  <c r="B48" i="45" s="1"/>
  <c r="B61" i="12"/>
  <c r="A64" i="12"/>
  <c r="A63" i="12"/>
  <c r="A49" i="45" s="1"/>
  <c r="AT49" i="45" s="1"/>
  <c r="A62" i="12"/>
  <c r="A48" i="45" s="1"/>
  <c r="A230" i="45" s="1"/>
  <c r="A412" i="45" s="1"/>
  <c r="A61" i="12"/>
  <c r="A47" i="45" s="1"/>
  <c r="F58" i="12"/>
  <c r="F57" i="12"/>
  <c r="F56" i="12"/>
  <c r="F55" i="12"/>
  <c r="F54" i="12"/>
  <c r="B58" i="12"/>
  <c r="B57" i="12"/>
  <c r="B34" i="47" s="1"/>
  <c r="B56" i="12"/>
  <c r="B33" i="47" s="1"/>
  <c r="B55" i="12"/>
  <c r="B32" i="47" s="1"/>
  <c r="B54" i="12"/>
  <c r="B31" i="47" s="1"/>
  <c r="A57" i="12"/>
  <c r="A34" i="47" s="1"/>
  <c r="A56" i="12"/>
  <c r="A33" i="47" s="1"/>
  <c r="A55" i="12"/>
  <c r="A54" i="12"/>
  <c r="F51" i="12"/>
  <c r="F50" i="12"/>
  <c r="F49" i="12"/>
  <c r="F48" i="12"/>
  <c r="F47" i="12"/>
  <c r="S43" i="12"/>
  <c r="AI43" i="12" s="1"/>
  <c r="S42" i="12"/>
  <c r="S41" i="12"/>
  <c r="AI41" i="12" s="1"/>
  <c r="S40" i="12"/>
  <c r="AI40" i="12" s="1"/>
  <c r="F44" i="12"/>
  <c r="F43" i="12"/>
  <c r="F42" i="12"/>
  <c r="F41" i="12"/>
  <c r="F40" i="12"/>
  <c r="B44" i="12"/>
  <c r="B21" i="47" s="1"/>
  <c r="B43" i="12"/>
  <c r="B38" i="45" s="1"/>
  <c r="AU38" i="45" s="1"/>
  <c r="B42" i="12"/>
  <c r="B37" i="45" s="1"/>
  <c r="B41" i="12"/>
  <c r="B18" i="47" s="1"/>
  <c r="B40" i="12"/>
  <c r="B35" i="45" s="1"/>
  <c r="B217" i="45" s="1"/>
  <c r="B399" i="45" s="1"/>
  <c r="A43" i="12"/>
  <c r="A38" i="45" s="1"/>
  <c r="AT38" i="45" s="1"/>
  <c r="A42" i="12"/>
  <c r="A41" i="12"/>
  <c r="A18" i="47" s="1"/>
  <c r="A40" i="12"/>
  <c r="A17" i="47" s="1"/>
  <c r="S36" i="12"/>
  <c r="S35" i="12"/>
  <c r="AI35" i="12" s="1"/>
  <c r="S34" i="12"/>
  <c r="S33" i="12"/>
  <c r="F37" i="12"/>
  <c r="F36" i="12"/>
  <c r="F35" i="12"/>
  <c r="F34" i="12"/>
  <c r="F33" i="12"/>
  <c r="B37" i="12"/>
  <c r="B14" i="47"/>
  <c r="B36" i="12"/>
  <c r="B32" i="45" s="1"/>
  <c r="B214" i="45" s="1"/>
  <c r="B396" i="45" s="1"/>
  <c r="B35" i="12"/>
  <c r="B31" i="45" s="1"/>
  <c r="B213" i="45" s="1"/>
  <c r="B395" i="45" s="1"/>
  <c r="B34" i="12"/>
  <c r="B30" i="45" s="1"/>
  <c r="B33" i="12"/>
  <c r="B29" i="45" s="1"/>
  <c r="Z34" i="12"/>
  <c r="Z33" i="12"/>
  <c r="AB25" i="9" s="1"/>
  <c r="A36" i="12"/>
  <c r="A32" i="45" s="1"/>
  <c r="A35" i="12"/>
  <c r="A31" i="45" s="1"/>
  <c r="A213" i="45" s="1"/>
  <c r="A395" i="45" s="1"/>
  <c r="A34" i="12"/>
  <c r="A30" i="45" s="1"/>
  <c r="A33" i="12"/>
  <c r="S29" i="12"/>
  <c r="S28" i="12"/>
  <c r="S27" i="12"/>
  <c r="S26" i="12"/>
  <c r="AI26" i="12" s="1"/>
  <c r="F30" i="12"/>
  <c r="F29" i="12"/>
  <c r="F28" i="12"/>
  <c r="F27" i="12"/>
  <c r="F26" i="12"/>
  <c r="B30" i="12"/>
  <c r="B29" i="12"/>
  <c r="B26" i="45" s="1"/>
  <c r="B208" i="45" s="1"/>
  <c r="B390" i="45" s="1"/>
  <c r="B28" i="12"/>
  <c r="B25" i="45"/>
  <c r="AU25" i="45" s="1"/>
  <c r="B27" i="12"/>
  <c r="B24" i="45"/>
  <c r="B206" i="45" s="1"/>
  <c r="B388" i="45" s="1"/>
  <c r="B26" i="12"/>
  <c r="B23" i="45"/>
  <c r="A29" i="12"/>
  <c r="A26" i="45" s="1"/>
  <c r="A28" i="12"/>
  <c r="A25" i="45" s="1"/>
  <c r="AT25" i="45" s="1"/>
  <c r="A27" i="12"/>
  <c r="A24" i="45" s="1"/>
  <c r="AT24" i="45" s="1"/>
  <c r="A26" i="12"/>
  <c r="A23" i="45" s="1"/>
  <c r="AT23" i="45" s="1"/>
  <c r="S22" i="12"/>
  <c r="AI22" i="12" s="1"/>
  <c r="S21" i="12"/>
  <c r="AI21" i="12" s="1"/>
  <c r="S20" i="12"/>
  <c r="S19" i="12"/>
  <c r="AI19" i="12" s="1"/>
  <c r="F23" i="12"/>
  <c r="F22" i="12"/>
  <c r="F21" i="12"/>
  <c r="F20" i="12"/>
  <c r="F19" i="12"/>
  <c r="D19" i="12"/>
  <c r="J13" i="38" s="1"/>
  <c r="B23" i="12"/>
  <c r="B22" i="12"/>
  <c r="B20" i="45" s="1"/>
  <c r="B14" i="45" s="1"/>
  <c r="AU14" i="45" s="1"/>
  <c r="B21" i="12"/>
  <c r="B19" i="45" s="1"/>
  <c r="B20" i="12"/>
  <c r="B18" i="45" s="1"/>
  <c r="B19" i="12"/>
  <c r="B17" i="45" s="1"/>
  <c r="B18" i="12"/>
  <c r="B16" i="45" s="1"/>
  <c r="Z21" i="12"/>
  <c r="A22" i="12"/>
  <c r="A20" i="45" s="1"/>
  <c r="AT20" i="45" s="1"/>
  <c r="A21" i="12"/>
  <c r="A19" i="45" s="1"/>
  <c r="AT19" i="45" s="1"/>
  <c r="A20" i="12"/>
  <c r="A18" i="45" s="1"/>
  <c r="A19" i="12"/>
  <c r="A17" i="45" s="1"/>
  <c r="S15" i="12"/>
  <c r="AI15" i="12" s="1"/>
  <c r="S14" i="12"/>
  <c r="AI14" i="12" s="1"/>
  <c r="S13" i="12"/>
  <c r="S12" i="12"/>
  <c r="AI12" i="12" s="1"/>
  <c r="F16" i="12"/>
  <c r="F15" i="12"/>
  <c r="F14" i="12"/>
  <c r="F13" i="12"/>
  <c r="F12" i="12"/>
  <c r="B16" i="12"/>
  <c r="B15" i="12"/>
  <c r="B14" i="12"/>
  <c r="B13" i="12"/>
  <c r="B12" i="12"/>
  <c r="Z14" i="12"/>
  <c r="Z13" i="12"/>
  <c r="A15" i="12"/>
  <c r="A14" i="12"/>
  <c r="A13" i="12"/>
  <c r="A12" i="12"/>
  <c r="A1" i="12"/>
  <c r="S820" i="46"/>
  <c r="AI820" i="46" s="1"/>
  <c r="S819" i="46"/>
  <c r="AI819" i="46" s="1"/>
  <c r="B823" i="46"/>
  <c r="B822" i="46"/>
  <c r="B821" i="46"/>
  <c r="B820" i="46"/>
  <c r="B819" i="46"/>
  <c r="A822" i="46"/>
  <c r="A821" i="46"/>
  <c r="A820" i="46"/>
  <c r="A819" i="46"/>
  <c r="S815" i="46"/>
  <c r="S814" i="46"/>
  <c r="S813" i="46"/>
  <c r="S812" i="46"/>
  <c r="AI812" i="46" s="1"/>
  <c r="B816" i="46"/>
  <c r="B815" i="46"/>
  <c r="B814" i="46"/>
  <c r="B813" i="46"/>
  <c r="B812" i="46"/>
  <c r="Z813" i="46"/>
  <c r="Z812" i="46"/>
  <c r="J815" i="46"/>
  <c r="J814" i="46"/>
  <c r="A815" i="46"/>
  <c r="A814" i="46"/>
  <c r="A813" i="46"/>
  <c r="A812" i="46"/>
  <c r="S808" i="46"/>
  <c r="S807" i="46"/>
  <c r="AI807" i="46" s="1"/>
  <c r="S806" i="46"/>
  <c r="D813" i="46" s="1"/>
  <c r="S805" i="46"/>
  <c r="AI805" i="46" s="1"/>
  <c r="B809" i="46"/>
  <c r="B808" i="46"/>
  <c r="B807" i="46"/>
  <c r="B806" i="46"/>
  <c r="B805" i="46"/>
  <c r="A808" i="46"/>
  <c r="A807" i="46"/>
  <c r="A806" i="46"/>
  <c r="A805" i="46"/>
  <c r="S801" i="46"/>
  <c r="AO132" i="47" s="1"/>
  <c r="S800" i="46"/>
  <c r="AO131" i="47" s="1"/>
  <c r="S799" i="46"/>
  <c r="S798" i="46"/>
  <c r="AI798" i="46" s="1"/>
  <c r="B802" i="46"/>
  <c r="B801" i="46"/>
  <c r="B800" i="46"/>
  <c r="B799" i="46"/>
  <c r="B798" i="46"/>
  <c r="Z801" i="46"/>
  <c r="Z800" i="46"/>
  <c r="A801" i="46"/>
  <c r="A800" i="46"/>
  <c r="A799" i="46"/>
  <c r="A798" i="46"/>
  <c r="S794" i="46"/>
  <c r="S793" i="46"/>
  <c r="S792" i="46"/>
  <c r="S791" i="46"/>
  <c r="AI791" i="46" s="1"/>
  <c r="B795" i="46"/>
  <c r="B794" i="46"/>
  <c r="B793" i="46"/>
  <c r="B792" i="46"/>
  <c r="B791" i="46"/>
  <c r="Z794" i="46"/>
  <c r="Z792" i="46"/>
  <c r="Z791" i="46"/>
  <c r="J791" i="46"/>
  <c r="A794" i="46"/>
  <c r="A793" i="46"/>
  <c r="A792" i="46"/>
  <c r="A791" i="46"/>
  <c r="S787" i="46"/>
  <c r="AI787" i="46" s="1"/>
  <c r="S786" i="46"/>
  <c r="AI786" i="46" s="1"/>
  <c r="S785" i="46"/>
  <c r="AI785" i="46" s="1"/>
  <c r="S784" i="46"/>
  <c r="B788" i="46"/>
  <c r="B787" i="46"/>
  <c r="B786" i="46"/>
  <c r="B785" i="46"/>
  <c r="B784" i="46"/>
  <c r="Z786" i="46"/>
  <c r="J787" i="46"/>
  <c r="J786" i="46"/>
  <c r="J785" i="46"/>
  <c r="J784" i="46"/>
  <c r="A787" i="46"/>
  <c r="A786" i="46"/>
  <c r="A785" i="46"/>
  <c r="A784" i="46"/>
  <c r="S780" i="46"/>
  <c r="AI780" i="46" s="1"/>
  <c r="S779" i="46"/>
  <c r="S778" i="46"/>
  <c r="S777" i="46"/>
  <c r="AI777" i="46" s="1"/>
  <c r="B781" i="46"/>
  <c r="B780" i="46"/>
  <c r="B779" i="46"/>
  <c r="B778" i="46"/>
  <c r="B777" i="46"/>
  <c r="Z780" i="46"/>
  <c r="Z778" i="46"/>
  <c r="A780" i="46"/>
  <c r="A779" i="46"/>
  <c r="A778" i="46"/>
  <c r="A777" i="46"/>
  <c r="S773" i="46"/>
  <c r="AI773" i="46" s="1"/>
  <c r="S772" i="46"/>
  <c r="AI772" i="46" s="1"/>
  <c r="S771" i="46"/>
  <c r="S770" i="46"/>
  <c r="AI770" i="46" s="1"/>
  <c r="B774" i="46"/>
  <c r="B773" i="46"/>
  <c r="B772" i="46"/>
  <c r="B771" i="46"/>
  <c r="B770" i="46"/>
  <c r="Z772" i="46"/>
  <c r="A773" i="46"/>
  <c r="A772" i="46"/>
  <c r="A771" i="46"/>
  <c r="A770" i="46"/>
  <c r="S766" i="46"/>
  <c r="AI766" i="46" s="1"/>
  <c r="S765" i="46"/>
  <c r="AI765" i="46" s="1"/>
  <c r="S764" i="46"/>
  <c r="S763" i="46"/>
  <c r="B767" i="46"/>
  <c r="B766" i="46"/>
  <c r="B765" i="46"/>
  <c r="B764" i="46"/>
  <c r="B763" i="46"/>
  <c r="Z766" i="46"/>
  <c r="Z763" i="46"/>
  <c r="A766" i="46"/>
  <c r="A765" i="46"/>
  <c r="A764" i="46"/>
  <c r="A763" i="46"/>
  <c r="S758" i="46"/>
  <c r="S757" i="46"/>
  <c r="AI757" i="46" s="1"/>
  <c r="S756" i="46"/>
  <c r="AI756" i="46" s="1"/>
  <c r="B760" i="46"/>
  <c r="B759" i="46"/>
  <c r="B758" i="46"/>
  <c r="B757" i="46"/>
  <c r="B756" i="46"/>
  <c r="Z757" i="46"/>
  <c r="A759" i="46"/>
  <c r="A758" i="46"/>
  <c r="A757" i="46"/>
  <c r="A756" i="46"/>
  <c r="S751" i="46"/>
  <c r="S750" i="46"/>
  <c r="S749" i="46"/>
  <c r="B753" i="46"/>
  <c r="B752" i="46"/>
  <c r="B751" i="46"/>
  <c r="B750" i="46"/>
  <c r="B749" i="46"/>
  <c r="Z752" i="46"/>
  <c r="AB752" i="46" s="1"/>
  <c r="Z750" i="46"/>
  <c r="Z749" i="46"/>
  <c r="J749" i="46"/>
  <c r="A752" i="46"/>
  <c r="A751" i="46"/>
  <c r="A750" i="46"/>
  <c r="A749" i="46"/>
  <c r="S744" i="46"/>
  <c r="AI744" i="46" s="1"/>
  <c r="S743" i="46"/>
  <c r="AI743" i="46" s="1"/>
  <c r="S742" i="46"/>
  <c r="B746" i="46"/>
  <c r="B745" i="46"/>
  <c r="B744" i="46"/>
  <c r="B743" i="46"/>
  <c r="B742" i="46"/>
  <c r="Z744" i="46"/>
  <c r="Z743" i="46"/>
  <c r="AB744" i="46" s="1"/>
  <c r="J745" i="46"/>
  <c r="L745" i="46" s="1"/>
  <c r="J744" i="46"/>
  <c r="J743" i="46"/>
  <c r="J742" i="46"/>
  <c r="A745" i="46"/>
  <c r="A744" i="46"/>
  <c r="A743" i="46"/>
  <c r="A742" i="46"/>
  <c r="S737" i="46"/>
  <c r="AI737" i="46" s="1"/>
  <c r="S736" i="46"/>
  <c r="S735" i="46"/>
  <c r="AI735" i="46" s="1"/>
  <c r="B739" i="46"/>
  <c r="B738" i="46"/>
  <c r="B737" i="46"/>
  <c r="B736" i="46"/>
  <c r="B735" i="46"/>
  <c r="B734" i="46"/>
  <c r="B741" i="46"/>
  <c r="B748" i="46" s="1"/>
  <c r="B755" i="46" s="1"/>
  <c r="B762" i="46" s="1"/>
  <c r="B769" i="46"/>
  <c r="B776" i="46" s="1"/>
  <c r="B783" i="46" s="1"/>
  <c r="B790" i="46" s="1"/>
  <c r="B797" i="46" s="1"/>
  <c r="B804" i="46" s="1"/>
  <c r="B811" i="46" s="1"/>
  <c r="B818" i="46" s="1"/>
  <c r="Z738" i="46"/>
  <c r="AB738" i="46" s="1"/>
  <c r="Z737" i="46"/>
  <c r="Z735" i="46"/>
  <c r="J738" i="46"/>
  <c r="J737" i="46"/>
  <c r="J736" i="46"/>
  <c r="J735" i="46"/>
  <c r="L736" i="46" s="1"/>
  <c r="A738" i="46"/>
  <c r="A737" i="46"/>
  <c r="A736" i="46"/>
  <c r="A735" i="46"/>
  <c r="S730" i="46"/>
  <c r="AL160" i="47" s="1"/>
  <c r="S729" i="46"/>
  <c r="AL159" i="47" s="1"/>
  <c r="AP159" i="47" s="1"/>
  <c r="S728" i="46"/>
  <c r="AI728" i="46" s="1"/>
  <c r="B732" i="46"/>
  <c r="B731" i="46"/>
  <c r="B730" i="46"/>
  <c r="B729" i="46"/>
  <c r="B728" i="46"/>
  <c r="Z730" i="46"/>
  <c r="Z728" i="46"/>
  <c r="J731" i="46"/>
  <c r="J730" i="46"/>
  <c r="J729" i="46"/>
  <c r="J728" i="46"/>
  <c r="L729" i="46" s="1"/>
  <c r="A731" i="46"/>
  <c r="A730" i="46"/>
  <c r="A729" i="46"/>
  <c r="A728" i="46"/>
  <c r="S721" i="46"/>
  <c r="S720" i="46"/>
  <c r="AI720" i="46" s="1"/>
  <c r="B724" i="46"/>
  <c r="B723" i="46"/>
  <c r="B722" i="46"/>
  <c r="B721" i="46"/>
  <c r="B720" i="46"/>
  <c r="Z720" i="46"/>
  <c r="A723" i="46"/>
  <c r="A722" i="46"/>
  <c r="A721" i="46"/>
  <c r="A720" i="46"/>
  <c r="S716" i="46"/>
  <c r="AL146" i="47" s="1"/>
  <c r="S715" i="46"/>
  <c r="AL145" i="47" s="1"/>
  <c r="S714" i="46"/>
  <c r="AI714" i="46" s="1"/>
  <c r="S713" i="46"/>
  <c r="B717" i="46"/>
  <c r="B716" i="46"/>
  <c r="B715" i="46"/>
  <c r="B714" i="46"/>
  <c r="B713" i="46"/>
  <c r="J716" i="46"/>
  <c r="J715" i="46"/>
  <c r="A716" i="46"/>
  <c r="A715" i="46"/>
  <c r="A714" i="46"/>
  <c r="A713" i="46"/>
  <c r="S709" i="46"/>
  <c r="AL139" i="47" s="1"/>
  <c r="S708" i="46"/>
  <c r="AI708" i="46" s="1"/>
  <c r="S707" i="46"/>
  <c r="S706" i="46"/>
  <c r="AI706" i="46" s="1"/>
  <c r="B710" i="46"/>
  <c r="B709" i="46"/>
  <c r="B708" i="46"/>
  <c r="B707" i="46"/>
  <c r="B706" i="46"/>
  <c r="Z706" i="46"/>
  <c r="A709" i="46"/>
  <c r="A708" i="46"/>
  <c r="A707" i="46"/>
  <c r="A706" i="46"/>
  <c r="S702" i="46"/>
  <c r="S701" i="46"/>
  <c r="S700" i="46"/>
  <c r="AI700" i="46" s="1"/>
  <c r="S699" i="46"/>
  <c r="AI699" i="46" s="1"/>
  <c r="B703" i="46"/>
  <c r="B702" i="46"/>
  <c r="B701" i="46"/>
  <c r="B700" i="46"/>
  <c r="B699" i="46"/>
  <c r="A702" i="46"/>
  <c r="A701" i="46"/>
  <c r="A700" i="46"/>
  <c r="A699" i="46"/>
  <c r="S695" i="46"/>
  <c r="AI695" i="46" s="1"/>
  <c r="S694" i="46"/>
  <c r="AI694" i="46" s="1"/>
  <c r="S693" i="46"/>
  <c r="S692" i="46"/>
  <c r="B696" i="46"/>
  <c r="B695" i="46"/>
  <c r="B694" i="46"/>
  <c r="B693" i="46"/>
  <c r="B692" i="46"/>
  <c r="J692" i="46"/>
  <c r="A695" i="46"/>
  <c r="A694" i="46"/>
  <c r="A693" i="46"/>
  <c r="A692" i="46"/>
  <c r="S687" i="46"/>
  <c r="S686" i="46"/>
  <c r="S685" i="46"/>
  <c r="AI685" i="46" s="1"/>
  <c r="B689" i="46"/>
  <c r="B688" i="46"/>
  <c r="B687" i="46"/>
  <c r="B686" i="46"/>
  <c r="B685" i="46"/>
  <c r="J688" i="46"/>
  <c r="J687" i="46"/>
  <c r="L688" i="46" s="1"/>
  <c r="J686" i="46"/>
  <c r="J685" i="46"/>
  <c r="A688" i="46"/>
  <c r="A687" i="46"/>
  <c r="A686" i="46"/>
  <c r="A685" i="46"/>
  <c r="S681" i="46"/>
  <c r="AI681" i="46" s="1"/>
  <c r="S680" i="46"/>
  <c r="AI680" i="46" s="1"/>
  <c r="S679" i="46"/>
  <c r="AI679" i="46" s="1"/>
  <c r="S678" i="46"/>
  <c r="AI678" i="46" s="1"/>
  <c r="B682" i="46"/>
  <c r="B681" i="46"/>
  <c r="B680" i="46"/>
  <c r="B679" i="46"/>
  <c r="B678" i="46"/>
  <c r="A681" i="46"/>
  <c r="A680" i="46"/>
  <c r="A679" i="46"/>
  <c r="A678" i="46"/>
  <c r="S674" i="46"/>
  <c r="AI674" i="46" s="1"/>
  <c r="S673" i="46"/>
  <c r="AI673" i="46" s="1"/>
  <c r="S672" i="46"/>
  <c r="S671" i="46"/>
  <c r="B675" i="46"/>
  <c r="B674" i="46"/>
  <c r="B673" i="46"/>
  <c r="B672" i="46"/>
  <c r="B671" i="46"/>
  <c r="Z674" i="46"/>
  <c r="A674" i="46"/>
  <c r="A673" i="46"/>
  <c r="A672" i="46"/>
  <c r="A671" i="46"/>
  <c r="S667" i="46"/>
  <c r="S666" i="46"/>
  <c r="S665" i="46"/>
  <c r="S664" i="46"/>
  <c r="AI664" i="46" s="1"/>
  <c r="B668" i="46"/>
  <c r="B667" i="46"/>
  <c r="B666" i="46"/>
  <c r="B665" i="46"/>
  <c r="B664" i="46"/>
  <c r="Z667" i="46"/>
  <c r="Z665" i="46"/>
  <c r="A667" i="46"/>
  <c r="A666" i="46"/>
  <c r="A665" i="46"/>
  <c r="A664" i="46"/>
  <c r="S659" i="46"/>
  <c r="S658" i="46"/>
  <c r="AI658" i="46" s="1"/>
  <c r="S657" i="46"/>
  <c r="T212" i="40"/>
  <c r="T358" i="40" s="1"/>
  <c r="B661" i="46"/>
  <c r="B660" i="46"/>
  <c r="B659" i="46"/>
  <c r="B658" i="46"/>
  <c r="B657" i="46"/>
  <c r="Z657" i="46"/>
  <c r="A660" i="46"/>
  <c r="A659" i="46"/>
  <c r="A658" i="46"/>
  <c r="A657" i="46"/>
  <c r="S652" i="46"/>
  <c r="S651" i="46"/>
  <c r="AI651" i="46" s="1"/>
  <c r="S650" i="46"/>
  <c r="S212" i="40"/>
  <c r="S358" i="40" s="1"/>
  <c r="B654" i="46"/>
  <c r="B653" i="46"/>
  <c r="B652" i="46"/>
  <c r="B651" i="46"/>
  <c r="B650" i="46"/>
  <c r="Z653" i="46"/>
  <c r="A653" i="46"/>
  <c r="A652" i="46"/>
  <c r="A651" i="46"/>
  <c r="A650" i="46"/>
  <c r="S645" i="46"/>
  <c r="AI645" i="46" s="1"/>
  <c r="S644" i="46"/>
  <c r="S643" i="46"/>
  <c r="AI643" i="46" s="1"/>
  <c r="R212" i="40"/>
  <c r="R358" i="40" s="1"/>
  <c r="B647" i="46"/>
  <c r="B646" i="46"/>
  <c r="B645" i="46"/>
  <c r="B644" i="46"/>
  <c r="B643" i="46"/>
  <c r="Z644" i="46"/>
  <c r="Z643" i="46"/>
  <c r="J646" i="46"/>
  <c r="J645" i="46"/>
  <c r="J644" i="46"/>
  <c r="J643" i="46"/>
  <c r="A646" i="46"/>
  <c r="A645" i="46"/>
  <c r="A644" i="46"/>
  <c r="A643" i="46"/>
  <c r="S638" i="46"/>
  <c r="S637" i="46"/>
  <c r="S636" i="46"/>
  <c r="Q212" i="40"/>
  <c r="Q358" i="40" s="1"/>
  <c r="B640" i="46"/>
  <c r="B639" i="46"/>
  <c r="B638" i="46"/>
  <c r="B637" i="46"/>
  <c r="B636" i="46"/>
  <c r="B635" i="46"/>
  <c r="B642" i="46" s="1"/>
  <c r="B649" i="46" s="1"/>
  <c r="B656" i="46"/>
  <c r="B663" i="46" s="1"/>
  <c r="B670" i="46" s="1"/>
  <c r="B677" i="46" s="1"/>
  <c r="B684" i="46" s="1"/>
  <c r="B691" i="46" s="1"/>
  <c r="B698" i="46" s="1"/>
  <c r="B705" i="46" s="1"/>
  <c r="B712" i="46" s="1"/>
  <c r="B719" i="46" s="1"/>
  <c r="Z639" i="46"/>
  <c r="J639" i="46"/>
  <c r="L639" i="46" s="1"/>
  <c r="J638" i="46"/>
  <c r="J637" i="46"/>
  <c r="J636" i="46"/>
  <c r="A639" i="46"/>
  <c r="A638" i="46"/>
  <c r="A637" i="46"/>
  <c r="A636" i="46"/>
  <c r="S631" i="46"/>
  <c r="AI631" i="46" s="1"/>
  <c r="S630" i="46"/>
  <c r="AI630" i="46" s="1"/>
  <c r="S629" i="46"/>
  <c r="AI629" i="46" s="1"/>
  <c r="P212" i="40"/>
  <c r="P358" i="40" s="1"/>
  <c r="B633" i="46"/>
  <c r="B632" i="46"/>
  <c r="B631" i="46"/>
  <c r="B630" i="46"/>
  <c r="B629" i="46"/>
  <c r="Z631" i="46"/>
  <c r="J632" i="46"/>
  <c r="J631" i="46"/>
  <c r="J630" i="46"/>
  <c r="L630" i="46" s="1"/>
  <c r="J629" i="46"/>
  <c r="L629" i="46" s="1"/>
  <c r="A632" i="46"/>
  <c r="A631" i="46"/>
  <c r="A630" i="46"/>
  <c r="A629" i="46"/>
  <c r="S624" i="46"/>
  <c r="S623" i="46"/>
  <c r="S622" i="46"/>
  <c r="AI622" i="46" s="1"/>
  <c r="S621" i="46"/>
  <c r="B625" i="46"/>
  <c r="B624" i="46"/>
  <c r="B623" i="46"/>
  <c r="B622" i="46"/>
  <c r="B621" i="46"/>
  <c r="Z624" i="46"/>
  <c r="A624" i="46"/>
  <c r="A623" i="46"/>
  <c r="A622" i="46"/>
  <c r="A621" i="46"/>
  <c r="S617" i="46"/>
  <c r="S616" i="46"/>
  <c r="S615" i="46"/>
  <c r="S614" i="46"/>
  <c r="B618" i="46"/>
  <c r="B617" i="46"/>
  <c r="B616" i="46"/>
  <c r="B615" i="46"/>
  <c r="B614" i="46"/>
  <c r="Z617" i="46"/>
  <c r="Z616" i="46"/>
  <c r="A617" i="46"/>
  <c r="A616" i="46"/>
  <c r="A615" i="46"/>
  <c r="A614" i="46"/>
  <c r="S610" i="46"/>
  <c r="AI610" i="46" s="1"/>
  <c r="S609" i="46"/>
  <c r="S608" i="46"/>
  <c r="AI608" i="46" s="1"/>
  <c r="S607" i="46"/>
  <c r="AI607" i="46" s="1"/>
  <c r="B611" i="46"/>
  <c r="B610" i="46"/>
  <c r="B609" i="46"/>
  <c r="B608" i="46"/>
  <c r="B607" i="46"/>
  <c r="Z610" i="46"/>
  <c r="Z607" i="46"/>
  <c r="A610" i="46"/>
  <c r="A609" i="46"/>
  <c r="A608" i="46"/>
  <c r="A607" i="46"/>
  <c r="S602" i="46"/>
  <c r="AI602" i="46" s="1"/>
  <c r="S601" i="46"/>
  <c r="AI601" i="46" s="1"/>
  <c r="S600" i="46"/>
  <c r="B604" i="46"/>
  <c r="B603" i="46"/>
  <c r="B602" i="46"/>
  <c r="B601" i="46"/>
  <c r="B600" i="46"/>
  <c r="Z602" i="46"/>
  <c r="Z601" i="46"/>
  <c r="Z600" i="46"/>
  <c r="A603" i="46"/>
  <c r="A602" i="46"/>
  <c r="A601" i="46"/>
  <c r="A600" i="46"/>
  <c r="S595" i="46"/>
  <c r="AI595" i="46" s="1"/>
  <c r="S594" i="46"/>
  <c r="AI594" i="46" s="1"/>
  <c r="S593" i="46"/>
  <c r="AI593" i="46" s="1"/>
  <c r="B597" i="46"/>
  <c r="B596" i="46"/>
  <c r="B595" i="46"/>
  <c r="B594" i="46"/>
  <c r="B593" i="46"/>
  <c r="Z596" i="46"/>
  <c r="Z593" i="46"/>
  <c r="J593" i="46"/>
  <c r="A596" i="46"/>
  <c r="A595" i="46"/>
  <c r="A594" i="46"/>
  <c r="A593" i="46"/>
  <c r="S588" i="46"/>
  <c r="S587" i="46"/>
  <c r="AI587" i="46" s="1"/>
  <c r="S586" i="46"/>
  <c r="B590" i="46"/>
  <c r="B589" i="46"/>
  <c r="B588" i="46"/>
  <c r="B587" i="46"/>
  <c r="B586" i="46"/>
  <c r="Z589" i="46"/>
  <c r="Z587" i="46"/>
  <c r="J589" i="46"/>
  <c r="J588" i="46"/>
  <c r="J587" i="46"/>
  <c r="J586" i="46"/>
  <c r="A589" i="46"/>
  <c r="A588" i="46"/>
  <c r="A587" i="46"/>
  <c r="A586" i="46"/>
  <c r="S581" i="46"/>
  <c r="S580" i="46"/>
  <c r="S579" i="46"/>
  <c r="B583" i="46"/>
  <c r="B582" i="46"/>
  <c r="B581" i="46"/>
  <c r="B580" i="46"/>
  <c r="B579" i="46"/>
  <c r="Z582" i="46"/>
  <c r="Z581" i="46"/>
  <c r="J582" i="46"/>
  <c r="J581" i="46"/>
  <c r="J580" i="46"/>
  <c r="J579" i="46"/>
  <c r="A582" i="46"/>
  <c r="A581" i="46"/>
  <c r="A580" i="46"/>
  <c r="A579" i="46"/>
  <c r="S574" i="46"/>
  <c r="AI574" i="46" s="1"/>
  <c r="S573" i="46"/>
  <c r="AI573" i="46" s="1"/>
  <c r="S572" i="46"/>
  <c r="AI572" i="46" s="1"/>
  <c r="Z574" i="46"/>
  <c r="Z573" i="46"/>
  <c r="J575" i="46"/>
  <c r="J574" i="46"/>
  <c r="J573" i="46"/>
  <c r="J572" i="46"/>
  <c r="L573" i="46" s="1"/>
  <c r="B571" i="46"/>
  <c r="B578" i="46" s="1"/>
  <c r="B585" i="46" s="1"/>
  <c r="B592" i="46" s="1"/>
  <c r="B599" i="46" s="1"/>
  <c r="B606" i="46" s="1"/>
  <c r="B613" i="46" s="1"/>
  <c r="B620" i="46" s="1"/>
  <c r="B569" i="46"/>
  <c r="B568" i="46"/>
  <c r="B567" i="46"/>
  <c r="B566" i="46"/>
  <c r="B565" i="46"/>
  <c r="Z567" i="46"/>
  <c r="Z566" i="46"/>
  <c r="AB566" i="46" s="1"/>
  <c r="J568" i="46"/>
  <c r="J567" i="46"/>
  <c r="J566" i="46"/>
  <c r="J565" i="46"/>
  <c r="L565" i="46" s="1"/>
  <c r="A568" i="46"/>
  <c r="A567" i="46"/>
  <c r="A566" i="46"/>
  <c r="A565" i="46"/>
  <c r="S559" i="46"/>
  <c r="AI559" i="46" s="1"/>
  <c r="S558" i="46"/>
  <c r="AI558" i="46" s="1"/>
  <c r="S557" i="46"/>
  <c r="AI557" i="46" s="1"/>
  <c r="S556" i="46"/>
  <c r="B560" i="46"/>
  <c r="B559" i="46"/>
  <c r="B558" i="46"/>
  <c r="B557" i="46"/>
  <c r="B556" i="46"/>
  <c r="Z558" i="46"/>
  <c r="Z557" i="46"/>
  <c r="A559" i="46"/>
  <c r="A558" i="46"/>
  <c r="A557" i="46"/>
  <c r="A556" i="46"/>
  <c r="S552" i="46"/>
  <c r="AI552" i="46" s="1"/>
  <c r="S551" i="46"/>
  <c r="AI551" i="46" s="1"/>
  <c r="S550" i="46"/>
  <c r="S549" i="46"/>
  <c r="AI549" i="46" s="1"/>
  <c r="B553" i="46"/>
  <c r="B552" i="46"/>
  <c r="B551" i="46"/>
  <c r="B550" i="46"/>
  <c r="B549" i="46"/>
  <c r="Z552" i="46"/>
  <c r="Z551" i="46"/>
  <c r="AB552" i="46" s="1"/>
  <c r="Z550" i="46"/>
  <c r="A552" i="46"/>
  <c r="A551" i="46"/>
  <c r="A550" i="46"/>
  <c r="A549" i="46"/>
  <c r="S545" i="46"/>
  <c r="S544" i="46"/>
  <c r="S543" i="46"/>
  <c r="AI543" i="46" s="1"/>
  <c r="S542" i="46"/>
  <c r="B546" i="46"/>
  <c r="B545" i="46"/>
  <c r="B544" i="46"/>
  <c r="B543" i="46"/>
  <c r="B542" i="46"/>
  <c r="Z545" i="46"/>
  <c r="Z542" i="46"/>
  <c r="A545" i="46"/>
  <c r="A544" i="46"/>
  <c r="A543" i="46"/>
  <c r="A542" i="46"/>
  <c r="S537" i="46"/>
  <c r="S536" i="46"/>
  <c r="AI536" i="46" s="1"/>
  <c r="S535" i="46"/>
  <c r="B539" i="46"/>
  <c r="B538" i="46"/>
  <c r="B537" i="46"/>
  <c r="B536" i="46"/>
  <c r="B535" i="46"/>
  <c r="Z538" i="46"/>
  <c r="Z535" i="46"/>
  <c r="A538" i="46"/>
  <c r="A537" i="46"/>
  <c r="A536" i="46"/>
  <c r="A535" i="46"/>
  <c r="S530" i="46"/>
  <c r="AI530" i="46" s="1"/>
  <c r="S529" i="46"/>
  <c r="S528" i="46"/>
  <c r="AI528" i="46" s="1"/>
  <c r="B532" i="46"/>
  <c r="B531" i="46"/>
  <c r="B530" i="46"/>
  <c r="B529" i="46"/>
  <c r="B528" i="46"/>
  <c r="Z531" i="46"/>
  <c r="Z530" i="46"/>
  <c r="Z529" i="46"/>
  <c r="Z528" i="46"/>
  <c r="J528" i="46"/>
  <c r="A531" i="46"/>
  <c r="A530" i="46"/>
  <c r="A529" i="46"/>
  <c r="A528" i="46"/>
  <c r="S523" i="46"/>
  <c r="S522" i="46"/>
  <c r="AI522" i="46" s="1"/>
  <c r="S521" i="46"/>
  <c r="B525" i="46"/>
  <c r="B524" i="46"/>
  <c r="B523" i="46"/>
  <c r="B522" i="46"/>
  <c r="B521" i="46"/>
  <c r="Z523" i="46"/>
  <c r="Z522" i="46"/>
  <c r="Z521" i="46"/>
  <c r="J524" i="46"/>
  <c r="J523" i="46"/>
  <c r="J522" i="46"/>
  <c r="J521" i="46"/>
  <c r="A524" i="46"/>
  <c r="A523" i="46"/>
  <c r="A522" i="46"/>
  <c r="A521" i="46"/>
  <c r="S516" i="46"/>
  <c r="AI516" i="46" s="1"/>
  <c r="S515" i="46"/>
  <c r="S514" i="46"/>
  <c r="AI514" i="46" s="1"/>
  <c r="B518" i="46"/>
  <c r="B517" i="46"/>
  <c r="B516" i="46"/>
  <c r="B515" i="46"/>
  <c r="B514" i="46"/>
  <c r="Z517" i="46"/>
  <c r="Z514" i="46"/>
  <c r="J517" i="46"/>
  <c r="J516" i="46"/>
  <c r="J515" i="46"/>
  <c r="J514" i="46"/>
  <c r="A517" i="46"/>
  <c r="A516" i="46"/>
  <c r="A515" i="46"/>
  <c r="A514" i="46"/>
  <c r="S509" i="46"/>
  <c r="AI509" i="46" s="1"/>
  <c r="S508" i="46"/>
  <c r="AI508" i="46" s="1"/>
  <c r="S507" i="46"/>
  <c r="AI507" i="46" s="1"/>
  <c r="Z509" i="46"/>
  <c r="Z507" i="46"/>
  <c r="J510" i="46"/>
  <c r="J509" i="46"/>
  <c r="J508" i="46"/>
  <c r="J507" i="46"/>
  <c r="B506" i="46"/>
  <c r="B513" i="46" s="1"/>
  <c r="B520" i="46" s="1"/>
  <c r="B527" i="46" s="1"/>
  <c r="B534" i="46" s="1"/>
  <c r="B541" i="46" s="1"/>
  <c r="B548" i="46" s="1"/>
  <c r="B555" i="46" s="1"/>
  <c r="B504" i="46"/>
  <c r="B503" i="46"/>
  <c r="B502" i="46"/>
  <c r="B501" i="46"/>
  <c r="B500" i="46"/>
  <c r="Z503" i="46"/>
  <c r="Z500" i="46"/>
  <c r="J503" i="46"/>
  <c r="J502" i="46"/>
  <c r="J501" i="46"/>
  <c r="J500" i="46"/>
  <c r="L500" i="46" s="1"/>
  <c r="A503" i="46"/>
  <c r="A502" i="46"/>
  <c r="A501" i="46"/>
  <c r="A500" i="46"/>
  <c r="S472" i="46"/>
  <c r="AI472" i="46" s="1"/>
  <c r="S471" i="46"/>
  <c r="AI471" i="46" s="1"/>
  <c r="B475" i="46"/>
  <c r="B474" i="46"/>
  <c r="B473" i="46"/>
  <c r="B472" i="46"/>
  <c r="B471" i="46"/>
  <c r="Z473" i="46"/>
  <c r="Z472" i="46"/>
  <c r="A474" i="46"/>
  <c r="A473" i="46"/>
  <c r="A472" i="46"/>
  <c r="A471" i="46"/>
  <c r="S467" i="46"/>
  <c r="AI467" i="46" s="1"/>
  <c r="S466" i="46"/>
  <c r="AI466" i="46" s="1"/>
  <c r="S465" i="46"/>
  <c r="AI465" i="46" s="1"/>
  <c r="S464" i="46"/>
  <c r="B468" i="46"/>
  <c r="B467" i="46"/>
  <c r="B466" i="46"/>
  <c r="B465" i="46"/>
  <c r="B464" i="46"/>
  <c r="Z467" i="46"/>
  <c r="Z466" i="46"/>
  <c r="Z465" i="46"/>
  <c r="Z464" i="46"/>
  <c r="A467" i="46"/>
  <c r="A466" i="46"/>
  <c r="A465" i="46"/>
  <c r="A464" i="46"/>
  <c r="S460" i="46"/>
  <c r="AI460" i="46" s="1"/>
  <c r="S459" i="46"/>
  <c r="AI459" i="46" s="1"/>
  <c r="S458" i="46"/>
  <c r="AI458" i="46" s="1"/>
  <c r="S457" i="46"/>
  <c r="AI457" i="46" s="1"/>
  <c r="D460" i="46"/>
  <c r="D459" i="46"/>
  <c r="B461" i="46"/>
  <c r="B460" i="46"/>
  <c r="B459" i="46"/>
  <c r="B458" i="46"/>
  <c r="B457" i="46"/>
  <c r="Z460" i="46"/>
  <c r="Z459" i="46"/>
  <c r="Z458" i="46"/>
  <c r="J460" i="46"/>
  <c r="J459" i="46"/>
  <c r="J458" i="46"/>
  <c r="J457" i="46"/>
  <c r="A460" i="46"/>
  <c r="A459" i="46"/>
  <c r="A458" i="46"/>
  <c r="A457" i="46"/>
  <c r="F458" i="46"/>
  <c r="F457" i="46"/>
  <c r="S453" i="46"/>
  <c r="AI453" i="46" s="1"/>
  <c r="S452" i="46"/>
  <c r="AI452" i="46" s="1"/>
  <c r="S451" i="46"/>
  <c r="AI451" i="46" s="1"/>
  <c r="S450" i="46"/>
  <c r="AI450" i="46" s="1"/>
  <c r="B454" i="46"/>
  <c r="B453" i="46"/>
  <c r="B452" i="46"/>
  <c r="B451" i="46"/>
  <c r="B450" i="46"/>
  <c r="Z453" i="46"/>
  <c r="Z452" i="46"/>
  <c r="Z451" i="46"/>
  <c r="Z450" i="46"/>
  <c r="AB450" i="46" s="1"/>
  <c r="J453" i="46"/>
  <c r="J452" i="46"/>
  <c r="J451" i="46"/>
  <c r="J450" i="46"/>
  <c r="A453" i="46"/>
  <c r="A452" i="46"/>
  <c r="A451" i="46"/>
  <c r="A450" i="46"/>
  <c r="B445" i="46"/>
  <c r="B444" i="46"/>
  <c r="B443" i="46"/>
  <c r="B442" i="46"/>
  <c r="B441" i="46"/>
  <c r="Z444" i="46"/>
  <c r="Z441" i="46"/>
  <c r="A444" i="46"/>
  <c r="A443" i="46"/>
  <c r="A442" i="46"/>
  <c r="A441" i="46"/>
  <c r="S436" i="46"/>
  <c r="AI436" i="46" s="1"/>
  <c r="S435" i="46"/>
  <c r="S434" i="46"/>
  <c r="AI434" i="46" s="1"/>
  <c r="B438" i="46"/>
  <c r="B437" i="46"/>
  <c r="B436" i="46"/>
  <c r="B435" i="46"/>
  <c r="B434" i="46"/>
  <c r="Z437" i="46"/>
  <c r="Z436" i="46"/>
  <c r="Z435" i="46"/>
  <c r="Z434" i="46"/>
  <c r="A437" i="46"/>
  <c r="A436" i="46"/>
  <c r="A435" i="46"/>
  <c r="A434" i="46"/>
  <c r="S430" i="46"/>
  <c r="AI430" i="46" s="1"/>
  <c r="S429" i="46"/>
  <c r="AI429" i="46" s="1"/>
  <c r="S428" i="46"/>
  <c r="AI428" i="46" s="1"/>
  <c r="S427" i="46"/>
  <c r="AI427" i="46" s="1"/>
  <c r="F430" i="46"/>
  <c r="F429" i="46"/>
  <c r="F428" i="46"/>
  <c r="F427" i="46"/>
  <c r="B431" i="46"/>
  <c r="B430" i="46"/>
  <c r="B429" i="46"/>
  <c r="B428" i="46"/>
  <c r="B427" i="46"/>
  <c r="Z430" i="46"/>
  <c r="AB430" i="46" s="1"/>
  <c r="Z429" i="46"/>
  <c r="Z428" i="46"/>
  <c r="Z427" i="46"/>
  <c r="A430" i="46"/>
  <c r="A429" i="46"/>
  <c r="A428" i="46"/>
  <c r="A427" i="46"/>
  <c r="S423" i="46"/>
  <c r="S422" i="46"/>
  <c r="AI422" i="46" s="1"/>
  <c r="S421" i="46"/>
  <c r="S420" i="46"/>
  <c r="AI420" i="46" s="1"/>
  <c r="F423" i="46"/>
  <c r="F422" i="46"/>
  <c r="F420" i="46"/>
  <c r="B424" i="46"/>
  <c r="B423" i="46"/>
  <c r="B422" i="46"/>
  <c r="B421" i="46"/>
  <c r="B420" i="46"/>
  <c r="Z423" i="46"/>
  <c r="Z422" i="46"/>
  <c r="Z421" i="46"/>
  <c r="Z420" i="46"/>
  <c r="A423" i="46"/>
  <c r="A422" i="46"/>
  <c r="A421" i="46"/>
  <c r="A420" i="46"/>
  <c r="S416" i="46"/>
  <c r="S415" i="46"/>
  <c r="AI415" i="46" s="1"/>
  <c r="S414" i="46"/>
  <c r="S413" i="46"/>
  <c r="F415" i="46"/>
  <c r="F414" i="46"/>
  <c r="F413" i="46"/>
  <c r="B417" i="46"/>
  <c r="B416" i="46"/>
  <c r="B415" i="46"/>
  <c r="B414" i="46"/>
  <c r="B413" i="46"/>
  <c r="Z416" i="46"/>
  <c r="Z415" i="46"/>
  <c r="Z413" i="46"/>
  <c r="A416" i="46"/>
  <c r="A415" i="46"/>
  <c r="A414" i="46"/>
  <c r="A413" i="46"/>
  <c r="S409" i="46"/>
  <c r="S408" i="46"/>
  <c r="AI408" i="46" s="1"/>
  <c r="S407" i="46"/>
  <c r="AI407" i="46" s="1"/>
  <c r="S406" i="46"/>
  <c r="F409" i="46"/>
  <c r="F408" i="46"/>
  <c r="F407" i="46"/>
  <c r="F406" i="46"/>
  <c r="B410" i="46"/>
  <c r="B409" i="46"/>
  <c r="B408" i="46"/>
  <c r="B407" i="46"/>
  <c r="B406" i="46"/>
  <c r="Z409" i="46"/>
  <c r="Z408" i="46"/>
  <c r="Z407" i="46"/>
  <c r="Z406" i="46"/>
  <c r="A409" i="46"/>
  <c r="A408" i="46"/>
  <c r="A407" i="46"/>
  <c r="A406" i="46"/>
  <c r="S402" i="46"/>
  <c r="AI402" i="46" s="1"/>
  <c r="S401" i="46"/>
  <c r="AI401" i="46" s="1"/>
  <c r="S400" i="46"/>
  <c r="S399" i="46"/>
  <c r="F403" i="46"/>
  <c r="F402" i="46"/>
  <c r="F401" i="46"/>
  <c r="F400" i="46"/>
  <c r="F399" i="46"/>
  <c r="B403" i="46"/>
  <c r="B402" i="46"/>
  <c r="B401" i="46"/>
  <c r="B400" i="46"/>
  <c r="B399" i="46"/>
  <c r="Z400" i="46"/>
  <c r="Z399" i="46"/>
  <c r="A402" i="46"/>
  <c r="A401" i="46"/>
  <c r="A400" i="46"/>
  <c r="A399" i="46"/>
  <c r="S395" i="46"/>
  <c r="S394" i="46"/>
  <c r="S393" i="46"/>
  <c r="AI393" i="46" s="1"/>
  <c r="S392" i="46"/>
  <c r="AI392" i="46" s="1"/>
  <c r="F396" i="46"/>
  <c r="F395" i="46"/>
  <c r="F394" i="46"/>
  <c r="F393" i="46"/>
  <c r="F392" i="46"/>
  <c r="B396" i="46"/>
  <c r="B395" i="46"/>
  <c r="B394" i="46"/>
  <c r="B393" i="46"/>
  <c r="B392" i="46"/>
  <c r="Z395" i="46"/>
  <c r="Z393" i="46"/>
  <c r="Z392" i="46"/>
  <c r="A395" i="46"/>
  <c r="A394" i="46"/>
  <c r="A393" i="46"/>
  <c r="A392" i="46"/>
  <c r="S388" i="46"/>
  <c r="S387" i="46"/>
  <c r="S386" i="46"/>
  <c r="S385" i="46"/>
  <c r="F389" i="46"/>
  <c r="F388" i="46"/>
  <c r="F387" i="46"/>
  <c r="B389" i="46"/>
  <c r="B388" i="46"/>
  <c r="B387" i="46"/>
  <c r="B386" i="46"/>
  <c r="B385" i="46"/>
  <c r="Z388" i="46"/>
  <c r="Z386" i="46"/>
  <c r="Z385" i="46"/>
  <c r="A388" i="46"/>
  <c r="A387" i="46"/>
  <c r="A386" i="46"/>
  <c r="A385" i="46"/>
  <c r="S357" i="46"/>
  <c r="AI357" i="46" s="1"/>
  <c r="S356" i="46"/>
  <c r="F357" i="46"/>
  <c r="F356" i="46"/>
  <c r="B360" i="46"/>
  <c r="B359" i="46"/>
  <c r="B358" i="46"/>
  <c r="B357" i="46"/>
  <c r="B356" i="46"/>
  <c r="A359" i="46"/>
  <c r="A358" i="46"/>
  <c r="A357" i="46"/>
  <c r="A356" i="46"/>
  <c r="S352" i="46"/>
  <c r="S351" i="46"/>
  <c r="AI351" i="46" s="1"/>
  <c r="S350" i="46"/>
  <c r="AI350" i="46" s="1"/>
  <c r="F352" i="46"/>
  <c r="F351" i="46"/>
  <c r="F350" i="46"/>
  <c r="F349" i="46"/>
  <c r="B353" i="46"/>
  <c r="B352" i="46"/>
  <c r="B351" i="46"/>
  <c r="B350" i="46"/>
  <c r="B349" i="46"/>
  <c r="Z352" i="46"/>
  <c r="Z350" i="46"/>
  <c r="A352" i="46"/>
  <c r="A351" i="46"/>
  <c r="A350" i="46"/>
  <c r="A349" i="46"/>
  <c r="S345" i="46"/>
  <c r="AI345" i="46" s="1"/>
  <c r="S344" i="46"/>
  <c r="S343" i="46"/>
  <c r="AI343" i="46" s="1"/>
  <c r="S342" i="46"/>
  <c r="F345" i="46"/>
  <c r="F344" i="46"/>
  <c r="F343" i="46"/>
  <c r="F342" i="46"/>
  <c r="B346" i="46"/>
  <c r="B345" i="46"/>
  <c r="B344" i="46"/>
  <c r="B343" i="46"/>
  <c r="B342" i="46"/>
  <c r="Z345" i="46"/>
  <c r="Z342" i="46"/>
  <c r="A345" i="46"/>
  <c r="A344" i="46"/>
  <c r="A343" i="46"/>
  <c r="A342" i="46"/>
  <c r="S338" i="46"/>
  <c r="AI338" i="46" s="1"/>
  <c r="S337" i="46"/>
  <c r="AI337" i="46" s="1"/>
  <c r="S336" i="46"/>
  <c r="AI336" i="46" s="1"/>
  <c r="S335" i="46"/>
  <c r="AI335" i="46" s="1"/>
  <c r="F338" i="46"/>
  <c r="F337" i="46"/>
  <c r="F335" i="46"/>
  <c r="B339" i="46"/>
  <c r="B338" i="46"/>
  <c r="B337" i="46"/>
  <c r="B336" i="46"/>
  <c r="B335" i="46"/>
  <c r="Z335" i="46"/>
  <c r="A338" i="46"/>
  <c r="A337" i="46"/>
  <c r="A336" i="46"/>
  <c r="A335" i="46"/>
  <c r="S331" i="46"/>
  <c r="AI331" i="46" s="1"/>
  <c r="S330" i="46"/>
  <c r="S329" i="46"/>
  <c r="S328" i="46"/>
  <c r="AI328" i="46" s="1"/>
  <c r="F331" i="46"/>
  <c r="F330" i="46"/>
  <c r="F329" i="46"/>
  <c r="F328" i="46"/>
  <c r="B332" i="46"/>
  <c r="B331" i="46"/>
  <c r="B330" i="46"/>
  <c r="B329" i="46"/>
  <c r="B328" i="46"/>
  <c r="A331" i="46"/>
  <c r="A330" i="46"/>
  <c r="A329" i="46"/>
  <c r="A328" i="46"/>
  <c r="S324" i="46"/>
  <c r="AI324" i="46" s="1"/>
  <c r="S323" i="46"/>
  <c r="S322" i="46"/>
  <c r="S321" i="46"/>
  <c r="AI321" i="46" s="1"/>
  <c r="F325" i="46"/>
  <c r="AF138" i="40" s="1"/>
  <c r="AF357" i="40" s="1"/>
  <c r="F324" i="46"/>
  <c r="F323" i="46"/>
  <c r="F322" i="46"/>
  <c r="F321" i="46"/>
  <c r="B325" i="46"/>
  <c r="B324" i="46"/>
  <c r="B323" i="46"/>
  <c r="B322" i="46"/>
  <c r="B321" i="46"/>
  <c r="Z323" i="46"/>
  <c r="Z322" i="46"/>
  <c r="Z321" i="46"/>
  <c r="A324" i="46"/>
  <c r="A323" i="46"/>
  <c r="A322" i="46"/>
  <c r="A321" i="46"/>
  <c r="S317" i="46"/>
  <c r="S316" i="46"/>
  <c r="AI316" i="46" s="1"/>
  <c r="S315" i="46"/>
  <c r="AI315" i="46" s="1"/>
  <c r="S314" i="46"/>
  <c r="AI314" i="46" s="1"/>
  <c r="F318" i="46"/>
  <c r="AE138" i="40" s="1"/>
  <c r="AE357" i="40" s="1"/>
  <c r="F317" i="46"/>
  <c r="F316" i="46"/>
  <c r="F315" i="46"/>
  <c r="F314" i="46"/>
  <c r="B318" i="46"/>
  <c r="B317" i="46"/>
  <c r="B316" i="46"/>
  <c r="B315" i="46"/>
  <c r="B314" i="46"/>
  <c r="Z316" i="46"/>
  <c r="A317" i="46"/>
  <c r="A316" i="46"/>
  <c r="A315" i="46"/>
  <c r="A314" i="46"/>
  <c r="S310" i="46"/>
  <c r="S309" i="46"/>
  <c r="S308" i="46"/>
  <c r="AI308" i="46" s="1"/>
  <c r="S307" i="46"/>
  <c r="F310" i="46"/>
  <c r="F309" i="46"/>
  <c r="F308" i="46"/>
  <c r="F307" i="46"/>
  <c r="B311" i="46"/>
  <c r="B310" i="46"/>
  <c r="B309" i="46"/>
  <c r="B308" i="46"/>
  <c r="B307" i="46"/>
  <c r="Z309" i="46"/>
  <c r="Z308" i="46"/>
  <c r="Z307" i="46"/>
  <c r="A310" i="46"/>
  <c r="A309" i="46"/>
  <c r="A308" i="46"/>
  <c r="A307" i="46"/>
  <c r="S303" i="46"/>
  <c r="AI303" i="46" s="1"/>
  <c r="S302" i="46"/>
  <c r="AI302" i="46" s="1"/>
  <c r="S301" i="46"/>
  <c r="S300" i="46"/>
  <c r="B304" i="46"/>
  <c r="B303" i="46"/>
  <c r="B302" i="46"/>
  <c r="B301" i="46"/>
  <c r="B300" i="46"/>
  <c r="Z302" i="46"/>
  <c r="A303" i="46"/>
  <c r="A302" i="46"/>
  <c r="A301" i="46"/>
  <c r="A300" i="46"/>
  <c r="P298" i="46"/>
  <c r="S296" i="46"/>
  <c r="AI296" i="46" s="1"/>
  <c r="S295" i="46"/>
  <c r="AI295" i="46" s="1"/>
  <c r="S294" i="46"/>
  <c r="AI294" i="46" s="1"/>
  <c r="S293" i="46"/>
  <c r="B297" i="46"/>
  <c r="B296" i="46"/>
  <c r="B295" i="46"/>
  <c r="B294" i="46"/>
  <c r="B293" i="46"/>
  <c r="Z295" i="46"/>
  <c r="Z294" i="46"/>
  <c r="J296" i="46"/>
  <c r="J295" i="46"/>
  <c r="A296" i="46"/>
  <c r="A295" i="46"/>
  <c r="A294" i="46"/>
  <c r="A293" i="46"/>
  <c r="S288" i="46"/>
  <c r="S287" i="46"/>
  <c r="S286" i="46"/>
  <c r="B290" i="46"/>
  <c r="B289" i="46"/>
  <c r="B288" i="46"/>
  <c r="B287" i="46"/>
  <c r="B286" i="46"/>
  <c r="Z289" i="46"/>
  <c r="Z288" i="46"/>
  <c r="Z286" i="46"/>
  <c r="A289" i="46"/>
  <c r="A288" i="46"/>
  <c r="A287" i="46"/>
  <c r="A286" i="46"/>
  <c r="S282" i="46"/>
  <c r="S281" i="46"/>
  <c r="AI281" i="46" s="1"/>
  <c r="S280" i="46"/>
  <c r="S279" i="46"/>
  <c r="B283" i="46"/>
  <c r="B282" i="46"/>
  <c r="B281" i="46"/>
  <c r="B280" i="46"/>
  <c r="B279" i="46"/>
  <c r="Z282" i="46"/>
  <c r="Z281" i="46"/>
  <c r="Z280" i="46"/>
  <c r="AB280" i="46" s="1"/>
  <c r="Z279" i="46"/>
  <c r="A282" i="46"/>
  <c r="A281" i="46"/>
  <c r="A280" i="46"/>
  <c r="A279" i="46"/>
  <c r="S275" i="46"/>
  <c r="S274" i="46"/>
  <c r="S273" i="46"/>
  <c r="S272" i="46"/>
  <c r="B276" i="46"/>
  <c r="B275" i="46"/>
  <c r="B274" i="46"/>
  <c r="B273" i="46"/>
  <c r="B272" i="46"/>
  <c r="Z275" i="46"/>
  <c r="Z274" i="46"/>
  <c r="Z273" i="46"/>
  <c r="Z272" i="46"/>
  <c r="J272" i="46"/>
  <c r="A275" i="46"/>
  <c r="A274" i="46"/>
  <c r="A273" i="46"/>
  <c r="A272" i="46"/>
  <c r="S267" i="46"/>
  <c r="AI267" i="46" s="1"/>
  <c r="S266" i="46"/>
  <c r="AI266" i="46" s="1"/>
  <c r="S265" i="46"/>
  <c r="AI265" i="46" s="1"/>
  <c r="B269" i="46"/>
  <c r="B268" i="46"/>
  <c r="B267" i="46"/>
  <c r="B266" i="46"/>
  <c r="B265" i="46"/>
  <c r="Z268" i="46"/>
  <c r="Z267" i="46"/>
  <c r="Z266" i="46"/>
  <c r="Z265" i="46"/>
  <c r="J268" i="46"/>
  <c r="J267" i="46"/>
  <c r="J266" i="46"/>
  <c r="J265" i="46"/>
  <c r="A268" i="46"/>
  <c r="A267" i="46"/>
  <c r="A266" i="46"/>
  <c r="A265" i="46"/>
  <c r="S261" i="46"/>
  <c r="AI261" i="46" s="1"/>
  <c r="S260" i="46"/>
  <c r="AI260" i="46" s="1"/>
  <c r="S259" i="46"/>
  <c r="S258" i="46"/>
  <c r="B262" i="46"/>
  <c r="B261" i="46"/>
  <c r="B260" i="46"/>
  <c r="B259" i="46"/>
  <c r="B258" i="46"/>
  <c r="Z260" i="46"/>
  <c r="Z259" i="46"/>
  <c r="Z258" i="46"/>
  <c r="A261" i="46"/>
  <c r="A260" i="46"/>
  <c r="A259" i="46"/>
  <c r="A258" i="46"/>
  <c r="S254" i="46"/>
  <c r="S253" i="46"/>
  <c r="AI253" i="46" s="1"/>
  <c r="S252" i="46"/>
  <c r="AI252" i="46" s="1"/>
  <c r="S251" i="46"/>
  <c r="B255" i="46"/>
  <c r="B254" i="46"/>
  <c r="B253" i="46"/>
  <c r="B252" i="46"/>
  <c r="B251" i="46"/>
  <c r="Z253" i="46"/>
  <c r="Z251" i="46"/>
  <c r="A254" i="46"/>
  <c r="A253" i="46"/>
  <c r="A252" i="46"/>
  <c r="A251" i="46"/>
  <c r="S247" i="46"/>
  <c r="S246" i="46"/>
  <c r="AI246" i="46" s="1"/>
  <c r="S245" i="46"/>
  <c r="S244" i="46"/>
  <c r="AI244" i="46" s="1"/>
  <c r="B248" i="46"/>
  <c r="B247" i="46"/>
  <c r="B246" i="46"/>
  <c r="B245" i="46"/>
  <c r="B244" i="46"/>
  <c r="Z247" i="46"/>
  <c r="Z245" i="46"/>
  <c r="A247" i="46"/>
  <c r="A246" i="46"/>
  <c r="A245" i="46"/>
  <c r="A244" i="46"/>
  <c r="S239" i="46"/>
  <c r="AI239" i="46" s="1"/>
  <c r="S238" i="46"/>
  <c r="AI238" i="46" s="1"/>
  <c r="S237" i="46"/>
  <c r="B241" i="46"/>
  <c r="B240" i="46"/>
  <c r="B239" i="46"/>
  <c r="B238" i="46"/>
  <c r="B237" i="46"/>
  <c r="Z240" i="46"/>
  <c r="Z239" i="46"/>
  <c r="Z238" i="46"/>
  <c r="AB239" i="46" s="1"/>
  <c r="Z237" i="46"/>
  <c r="A240" i="46"/>
  <c r="A239" i="46"/>
  <c r="A238" i="46"/>
  <c r="A237" i="46"/>
  <c r="S232" i="46"/>
  <c r="AI232" i="46" s="1"/>
  <c r="S231" i="46"/>
  <c r="AI231" i="46" s="1"/>
  <c r="S230" i="46"/>
  <c r="AI230" i="46" s="1"/>
  <c r="B234" i="46"/>
  <c r="B233" i="46"/>
  <c r="B232" i="46"/>
  <c r="B231" i="46"/>
  <c r="B230" i="46"/>
  <c r="Z233" i="46"/>
  <c r="Z232" i="46"/>
  <c r="Z231" i="46"/>
  <c r="Z230" i="46"/>
  <c r="J230" i="46"/>
  <c r="A233" i="46"/>
  <c r="A232" i="46"/>
  <c r="A231" i="46"/>
  <c r="A230" i="46"/>
  <c r="S225" i="46"/>
  <c r="S224" i="46"/>
  <c r="AI224" i="46" s="1"/>
  <c r="S223" i="46"/>
  <c r="AI223" i="46" s="1"/>
  <c r="B227" i="46"/>
  <c r="B226" i="46"/>
  <c r="B225" i="46"/>
  <c r="B224" i="46"/>
  <c r="B223" i="46"/>
  <c r="Z224" i="46"/>
  <c r="Z223" i="46"/>
  <c r="J226" i="46"/>
  <c r="J225" i="46"/>
  <c r="J224" i="46"/>
  <c r="J223" i="46"/>
  <c r="A226" i="46"/>
  <c r="A225" i="46"/>
  <c r="A224" i="46"/>
  <c r="A223" i="46"/>
  <c r="S218" i="46"/>
  <c r="S217" i="46"/>
  <c r="S216" i="46"/>
  <c r="B220" i="46"/>
  <c r="B219" i="46"/>
  <c r="B218" i="46"/>
  <c r="B217" i="46"/>
  <c r="B216" i="46"/>
  <c r="Z218" i="46"/>
  <c r="Z216" i="46"/>
  <c r="J219" i="46"/>
  <c r="J218" i="46"/>
  <c r="J217" i="46"/>
  <c r="J216" i="46"/>
  <c r="A219" i="46"/>
  <c r="A218" i="46"/>
  <c r="A217" i="46"/>
  <c r="A216" i="46"/>
  <c r="S211" i="46"/>
  <c r="AI211" i="46" s="1"/>
  <c r="S210" i="46"/>
  <c r="AI210" i="46" s="1"/>
  <c r="S209" i="46"/>
  <c r="AI209" i="46" s="1"/>
  <c r="Z212" i="46"/>
  <c r="Z209" i="46"/>
  <c r="J212" i="46"/>
  <c r="J211" i="46"/>
  <c r="J210" i="46"/>
  <c r="J209" i="46"/>
  <c r="B208" i="46"/>
  <c r="B215" i="46" s="1"/>
  <c r="B222" i="46" s="1"/>
  <c r="B229" i="46" s="1"/>
  <c r="B236" i="46" s="1"/>
  <c r="B243" i="46" s="1"/>
  <c r="B250" i="46" s="1"/>
  <c r="B257" i="46" s="1"/>
  <c r="B264" i="46" s="1"/>
  <c r="B271" i="46" s="1"/>
  <c r="B278" i="46" s="1"/>
  <c r="B285" i="46" s="1"/>
  <c r="B292" i="46" s="1"/>
  <c r="B299" i="46" s="1"/>
  <c r="B206" i="46"/>
  <c r="B205" i="46"/>
  <c r="B204" i="46"/>
  <c r="B203" i="46"/>
  <c r="B202" i="46"/>
  <c r="Z205" i="46"/>
  <c r="Z204" i="46"/>
  <c r="Z203" i="46"/>
  <c r="Z202" i="46"/>
  <c r="J205" i="46"/>
  <c r="J204" i="46"/>
  <c r="J203" i="46"/>
  <c r="J202" i="46"/>
  <c r="L202" i="46"/>
  <c r="A205" i="46"/>
  <c r="A204" i="46"/>
  <c r="A203" i="46"/>
  <c r="A202" i="46"/>
  <c r="S174" i="46"/>
  <c r="S173" i="46"/>
  <c r="AI173" i="46" s="1"/>
  <c r="F174" i="46"/>
  <c r="F173" i="46"/>
  <c r="B177" i="46"/>
  <c r="B176" i="46"/>
  <c r="B175" i="46"/>
  <c r="B174" i="46"/>
  <c r="B173" i="46"/>
  <c r="Z174" i="46"/>
  <c r="A176" i="46"/>
  <c r="A175" i="46"/>
  <c r="A174" i="46"/>
  <c r="A173" i="46"/>
  <c r="S169" i="46"/>
  <c r="S168" i="46"/>
  <c r="S167" i="46"/>
  <c r="AI167" i="46" s="1"/>
  <c r="S166" i="46"/>
  <c r="AI166" i="46" s="1"/>
  <c r="F169" i="46"/>
  <c r="F168" i="46"/>
  <c r="F167" i="46"/>
  <c r="F166" i="46"/>
  <c r="B170" i="46"/>
  <c r="B169" i="46"/>
  <c r="B168" i="46"/>
  <c r="B167" i="46"/>
  <c r="B166" i="46"/>
  <c r="Z169" i="46"/>
  <c r="Z166" i="46"/>
  <c r="A169" i="46"/>
  <c r="A168" i="46"/>
  <c r="A167" i="46"/>
  <c r="A166" i="46"/>
  <c r="S162" i="46"/>
  <c r="AI162" i="46" s="1"/>
  <c r="S161" i="46"/>
  <c r="S160" i="46"/>
  <c r="AI160" i="46" s="1"/>
  <c r="S159" i="46"/>
  <c r="F162" i="46"/>
  <c r="F161" i="46"/>
  <c r="F160" i="46"/>
  <c r="F159" i="46"/>
  <c r="B163" i="46"/>
  <c r="B162" i="46"/>
  <c r="B161" i="46"/>
  <c r="B160" i="46"/>
  <c r="B159" i="46"/>
  <c r="Z160" i="46"/>
  <c r="A162" i="46"/>
  <c r="A161" i="46"/>
  <c r="A160" i="46"/>
  <c r="A159" i="46"/>
  <c r="S153" i="46"/>
  <c r="F155" i="46"/>
  <c r="F154" i="46"/>
  <c r="F153" i="46"/>
  <c r="F152" i="46"/>
  <c r="B156" i="46"/>
  <c r="B155" i="46"/>
  <c r="B154" i="46"/>
  <c r="B153" i="46"/>
  <c r="B152" i="46"/>
  <c r="Z155" i="46"/>
  <c r="A155" i="46"/>
  <c r="A154" i="46"/>
  <c r="A153" i="46"/>
  <c r="A152" i="46"/>
  <c r="S148" i="46"/>
  <c r="S147" i="46"/>
  <c r="AI147" i="46" s="1"/>
  <c r="S146" i="46"/>
  <c r="S145" i="46"/>
  <c r="F148" i="46"/>
  <c r="F147" i="46"/>
  <c r="F146" i="46"/>
  <c r="F145" i="46"/>
  <c r="B149" i="46"/>
  <c r="B148" i="46"/>
  <c r="B147" i="46"/>
  <c r="B146" i="46"/>
  <c r="B145" i="46"/>
  <c r="Z145" i="46"/>
  <c r="A148" i="46"/>
  <c r="A147" i="46"/>
  <c r="A146" i="46"/>
  <c r="A145" i="46"/>
  <c r="S141" i="46"/>
  <c r="AI141" i="46" s="1"/>
  <c r="S140" i="46"/>
  <c r="S139" i="46"/>
  <c r="AI139" i="46" s="1"/>
  <c r="S138" i="46"/>
  <c r="AI138" i="46" s="1"/>
  <c r="F142" i="46"/>
  <c r="AF90" i="40" s="1"/>
  <c r="AF356" i="40" s="1"/>
  <c r="F141" i="46"/>
  <c r="F140" i="46"/>
  <c r="F139" i="46"/>
  <c r="F138" i="46"/>
  <c r="B142" i="46"/>
  <c r="B141" i="46"/>
  <c r="B140" i="46"/>
  <c r="B139" i="46"/>
  <c r="B138" i="46"/>
  <c r="Z138" i="46"/>
  <c r="A141" i="46"/>
  <c r="A140" i="46"/>
  <c r="A139" i="46"/>
  <c r="A138" i="46"/>
  <c r="S134" i="46"/>
  <c r="S133" i="46"/>
  <c r="S132" i="46"/>
  <c r="S131" i="46"/>
  <c r="F135" i="46"/>
  <c r="AE90" i="40" s="1"/>
  <c r="AE356" i="40" s="1"/>
  <c r="F134" i="46"/>
  <c r="F133" i="46"/>
  <c r="F132" i="46"/>
  <c r="F131" i="46"/>
  <c r="B135" i="46"/>
  <c r="B134" i="46"/>
  <c r="B133" i="46"/>
  <c r="B132" i="46"/>
  <c r="B131" i="46"/>
  <c r="Z133" i="46"/>
  <c r="Z132" i="46"/>
  <c r="A134" i="46"/>
  <c r="A133" i="46"/>
  <c r="A132" i="46"/>
  <c r="A131" i="46"/>
  <c r="S127" i="46"/>
  <c r="AI127" i="46" s="1"/>
  <c r="S126" i="46"/>
  <c r="S125" i="46"/>
  <c r="AI125" i="46" s="1"/>
  <c r="S124" i="46"/>
  <c r="B128" i="46"/>
  <c r="B127" i="46"/>
  <c r="B126" i="46"/>
  <c r="B125" i="46"/>
  <c r="B124" i="46"/>
  <c r="Z127" i="46"/>
  <c r="Z124" i="46"/>
  <c r="A127" i="46"/>
  <c r="A126" i="46"/>
  <c r="A125" i="46"/>
  <c r="A124" i="46"/>
  <c r="S119" i="46"/>
  <c r="S118" i="46"/>
  <c r="AI118" i="46" s="1"/>
  <c r="S117" i="46"/>
  <c r="AI117" i="46" s="1"/>
  <c r="B121" i="46"/>
  <c r="B120" i="46"/>
  <c r="B119" i="46"/>
  <c r="B118" i="46"/>
  <c r="B117" i="46"/>
  <c r="Z120" i="46"/>
  <c r="Z119" i="46"/>
  <c r="Z117" i="46"/>
  <c r="A120" i="46"/>
  <c r="A119" i="46"/>
  <c r="A118" i="46"/>
  <c r="A117" i="46"/>
  <c r="S113" i="46"/>
  <c r="S112" i="46"/>
  <c r="AI112" i="46" s="1"/>
  <c r="S111" i="46"/>
  <c r="AI111" i="46" s="1"/>
  <c r="S110" i="46"/>
  <c r="B114" i="46"/>
  <c r="B113" i="46"/>
  <c r="B112" i="46"/>
  <c r="B111" i="46"/>
  <c r="B110" i="46"/>
  <c r="Z112" i="46"/>
  <c r="Z111" i="46"/>
  <c r="Z110" i="46"/>
  <c r="J113" i="46"/>
  <c r="J112" i="46"/>
  <c r="A113" i="46"/>
  <c r="A112" i="46"/>
  <c r="A111" i="46"/>
  <c r="A110" i="46"/>
  <c r="S106" i="46"/>
  <c r="AI106" i="46" s="1"/>
  <c r="S105" i="46"/>
  <c r="S104" i="46"/>
  <c r="S103" i="46"/>
  <c r="AI103" i="46" s="1"/>
  <c r="B107" i="46"/>
  <c r="B106" i="46"/>
  <c r="B105" i="46"/>
  <c r="B104" i="46"/>
  <c r="B103" i="46"/>
  <c r="Z105" i="46"/>
  <c r="Z104" i="46"/>
  <c r="A106" i="46"/>
  <c r="A105" i="46"/>
  <c r="A104" i="46"/>
  <c r="A103" i="46"/>
  <c r="S99" i="46"/>
  <c r="AI99" i="46" s="1"/>
  <c r="S98" i="46"/>
  <c r="S97" i="46"/>
  <c r="S96" i="46"/>
  <c r="B100" i="46"/>
  <c r="B99" i="46"/>
  <c r="B98" i="46"/>
  <c r="B97" i="46"/>
  <c r="B96" i="46"/>
  <c r="Z98" i="46"/>
  <c r="Z97" i="46"/>
  <c r="Z96" i="46"/>
  <c r="A99" i="46"/>
  <c r="A98" i="46"/>
  <c r="A97" i="46"/>
  <c r="A96" i="46"/>
  <c r="S92" i="46"/>
  <c r="AI92" i="46" s="1"/>
  <c r="S91" i="46"/>
  <c r="AI91" i="46" s="1"/>
  <c r="S90" i="46"/>
  <c r="S89" i="46"/>
  <c r="AI89" i="46" s="1"/>
  <c r="B93" i="46"/>
  <c r="B92" i="46"/>
  <c r="B91" i="46"/>
  <c r="B90" i="46"/>
  <c r="B89" i="46"/>
  <c r="Z91" i="46"/>
  <c r="Z90" i="46"/>
  <c r="J89" i="46"/>
  <c r="A92" i="46"/>
  <c r="A91" i="46"/>
  <c r="A90" i="46"/>
  <c r="A89" i="46"/>
  <c r="S84" i="46"/>
  <c r="AI84" i="46" s="1"/>
  <c r="S83" i="46"/>
  <c r="S82" i="46"/>
  <c r="B86" i="46"/>
  <c r="B85" i="46"/>
  <c r="B84" i="46"/>
  <c r="B83" i="46"/>
  <c r="B82" i="46"/>
  <c r="Z83" i="46"/>
  <c r="Z82" i="46"/>
  <c r="J85" i="46"/>
  <c r="J84" i="46"/>
  <c r="J83" i="46"/>
  <c r="J82" i="46"/>
  <c r="A85" i="46"/>
  <c r="A84" i="46"/>
  <c r="A83" i="46"/>
  <c r="A82" i="46"/>
  <c r="S78" i="46"/>
  <c r="AI78" i="46" s="1"/>
  <c r="S77" i="46"/>
  <c r="S76" i="46"/>
  <c r="AI76" i="46" s="1"/>
  <c r="S75" i="46"/>
  <c r="B79" i="46"/>
  <c r="B78" i="46"/>
  <c r="B77" i="46"/>
  <c r="B76" i="46"/>
  <c r="B75" i="46"/>
  <c r="A78" i="46"/>
  <c r="A77" i="46"/>
  <c r="A76" i="46"/>
  <c r="A75" i="46"/>
  <c r="S71" i="46"/>
  <c r="S70" i="46"/>
  <c r="AI70" i="46" s="1"/>
  <c r="S69" i="46"/>
  <c r="AI69" i="46" s="1"/>
  <c r="S68" i="46"/>
  <c r="B72" i="46"/>
  <c r="B71" i="46"/>
  <c r="B70" i="46"/>
  <c r="B69" i="46"/>
  <c r="B68" i="46"/>
  <c r="A71" i="46"/>
  <c r="A70" i="46"/>
  <c r="A69" i="46"/>
  <c r="A68" i="46"/>
  <c r="S64" i="46"/>
  <c r="AI64" i="46" s="1"/>
  <c r="S63" i="46"/>
  <c r="S62" i="46"/>
  <c r="S61" i="46"/>
  <c r="AI61" i="46" s="1"/>
  <c r="B65" i="46"/>
  <c r="B64" i="46"/>
  <c r="B63" i="46"/>
  <c r="B62" i="46"/>
  <c r="B61" i="46"/>
  <c r="A64" i="46"/>
  <c r="A63" i="46"/>
  <c r="A62" i="46"/>
  <c r="A61" i="46"/>
  <c r="S57" i="46"/>
  <c r="S56" i="46"/>
  <c r="S55" i="46"/>
  <c r="AI55" i="46" s="1"/>
  <c r="S54" i="46"/>
  <c r="AI54" i="46" s="1"/>
  <c r="B58" i="46"/>
  <c r="B57" i="46"/>
  <c r="B56" i="46"/>
  <c r="B55" i="46"/>
  <c r="B54" i="46"/>
  <c r="A57" i="46"/>
  <c r="A56" i="46"/>
  <c r="A55" i="46"/>
  <c r="A54" i="46"/>
  <c r="S49" i="46"/>
  <c r="AI49" i="46" s="1"/>
  <c r="S48" i="46"/>
  <c r="S47" i="46"/>
  <c r="AI47" i="46" s="1"/>
  <c r="B51" i="46"/>
  <c r="B50" i="46"/>
  <c r="B49" i="46"/>
  <c r="B48" i="46"/>
  <c r="B47" i="46"/>
  <c r="A50" i="46"/>
  <c r="A49" i="46"/>
  <c r="A48" i="46"/>
  <c r="A47" i="46"/>
  <c r="S42" i="46"/>
  <c r="AI42" i="46" s="1"/>
  <c r="S41" i="46"/>
  <c r="AI41" i="46" s="1"/>
  <c r="S40" i="46"/>
  <c r="AI40" i="46" s="1"/>
  <c r="B44" i="46"/>
  <c r="B43" i="46"/>
  <c r="B42" i="46"/>
  <c r="B41" i="46"/>
  <c r="B40" i="46"/>
  <c r="J43" i="46"/>
  <c r="J42" i="46"/>
  <c r="J41" i="46"/>
  <c r="J40" i="46"/>
  <c r="A43" i="46"/>
  <c r="A42" i="46"/>
  <c r="A41" i="46"/>
  <c r="A40" i="46"/>
  <c r="S35" i="46"/>
  <c r="S34" i="46"/>
  <c r="S33" i="46"/>
  <c r="B37" i="46"/>
  <c r="B36" i="46"/>
  <c r="B35" i="46"/>
  <c r="B34" i="46"/>
  <c r="B33" i="46"/>
  <c r="B32" i="46"/>
  <c r="B39" i="46"/>
  <c r="B46" i="46" s="1"/>
  <c r="B53" i="46" s="1"/>
  <c r="B60" i="46" s="1"/>
  <c r="B67" i="46" s="1"/>
  <c r="B74" i="46" s="1"/>
  <c r="B81" i="46" s="1"/>
  <c r="B88" i="46" s="1"/>
  <c r="B95" i="46" s="1"/>
  <c r="B102" i="46" s="1"/>
  <c r="B109" i="46" s="1"/>
  <c r="B116" i="46" s="1"/>
  <c r="B123" i="46" s="1"/>
  <c r="B130" i="46" s="1"/>
  <c r="B137" i="46" s="1"/>
  <c r="B144" i="46" s="1"/>
  <c r="B151" i="46" s="1"/>
  <c r="B158" i="46" s="1"/>
  <c r="B165" i="46"/>
  <c r="B172" i="46" s="1"/>
  <c r="B179" i="46" s="1"/>
  <c r="B186" i="46" s="1"/>
  <c r="B193" i="46" s="1"/>
  <c r="J36" i="46"/>
  <c r="J35" i="46"/>
  <c r="J34" i="46"/>
  <c r="J33" i="46"/>
  <c r="A36" i="46"/>
  <c r="A35" i="46"/>
  <c r="A34" i="46"/>
  <c r="A33" i="46"/>
  <c r="S28" i="46"/>
  <c r="AI28" i="46" s="1"/>
  <c r="S27" i="46"/>
  <c r="S26" i="46"/>
  <c r="AI26" i="46" s="1"/>
  <c r="J29" i="46"/>
  <c r="J28" i="46"/>
  <c r="J27" i="46"/>
  <c r="J26" i="46"/>
  <c r="B23" i="46"/>
  <c r="B22" i="46"/>
  <c r="B21" i="46"/>
  <c r="B20" i="46"/>
  <c r="B19" i="46"/>
  <c r="J22" i="46"/>
  <c r="J21" i="46"/>
  <c r="J20" i="46"/>
  <c r="J19" i="46"/>
  <c r="A22" i="46"/>
  <c r="A21" i="46"/>
  <c r="A20" i="46"/>
  <c r="A19" i="46"/>
  <c r="J15" i="46"/>
  <c r="J14" i="46"/>
  <c r="J13" i="46"/>
  <c r="J12" i="46"/>
  <c r="AC138" i="40"/>
  <c r="AC357" i="40" s="1"/>
  <c r="AC90" i="40"/>
  <c r="AC356" i="40" s="1"/>
  <c r="AB138" i="40"/>
  <c r="AB357" i="40" s="1"/>
  <c r="AA138" i="40"/>
  <c r="AA357" i="40" s="1"/>
  <c r="Y359" i="40"/>
  <c r="Y358" i="40"/>
  <c r="X359" i="40"/>
  <c r="X358" i="40"/>
  <c r="DX213" i="37"/>
  <c r="DX214" i="37"/>
  <c r="EH213" i="37"/>
  <c r="EG213" i="37"/>
  <c r="EG214" i="37" s="1"/>
  <c r="BX214" i="37" s="1"/>
  <c r="EF213" i="37"/>
  <c r="EF214" i="37" s="1"/>
  <c r="EE213" i="37"/>
  <c r="EE214" i="37" s="1"/>
  <c r="ED213" i="37"/>
  <c r="ED214" i="37" s="1"/>
  <c r="EC213" i="37"/>
  <c r="EC214" i="37"/>
  <c r="EB213" i="37"/>
  <c r="EB214" i="37" s="1"/>
  <c r="EA213" i="37"/>
  <c r="EA214" i="37" s="1"/>
  <c r="DZ213" i="37"/>
  <c r="DZ214" i="37" s="1"/>
  <c r="DX208" i="37"/>
  <c r="DX209" i="37" s="1"/>
  <c r="EH208" i="37"/>
  <c r="EG208" i="37"/>
  <c r="EG209" i="37" s="1"/>
  <c r="BX209" i="37" s="1"/>
  <c r="EF208" i="37"/>
  <c r="EF209" i="37" s="1"/>
  <c r="EE208" i="37"/>
  <c r="EE209" i="37" s="1"/>
  <c r="ED208" i="37"/>
  <c r="ED209" i="37" s="1"/>
  <c r="EC208" i="37"/>
  <c r="EC209" i="37" s="1"/>
  <c r="EB208" i="37"/>
  <c r="EB209" i="37" s="1"/>
  <c r="EA208" i="37"/>
  <c r="EA209" i="37" s="1"/>
  <c r="DZ208" i="37"/>
  <c r="DZ209" i="37" s="1"/>
  <c r="DX203" i="37"/>
  <c r="DX204" i="37" s="1"/>
  <c r="EH203" i="37"/>
  <c r="EG203" i="37"/>
  <c r="EG204" i="37" s="1"/>
  <c r="EF203" i="37"/>
  <c r="EF204" i="37"/>
  <c r="EE203" i="37"/>
  <c r="EE204" i="37" s="1"/>
  <c r="ED203" i="37"/>
  <c r="ED204" i="37"/>
  <c r="EC203" i="37"/>
  <c r="EC204" i="37" s="1"/>
  <c r="EB203" i="37"/>
  <c r="EB204" i="37" s="1"/>
  <c r="EA203" i="37"/>
  <c r="EA204" i="37"/>
  <c r="DZ203" i="37"/>
  <c r="DZ204" i="37"/>
  <c r="D203" i="37"/>
  <c r="D208" i="37" s="1"/>
  <c r="D213" i="37" s="1"/>
  <c r="D202" i="37"/>
  <c r="D207" i="37" s="1"/>
  <c r="D212" i="37" s="1"/>
  <c r="D201" i="37"/>
  <c r="D206" i="37"/>
  <c r="D211" i="37" s="1"/>
  <c r="DX198" i="37"/>
  <c r="DX199" i="37" s="1"/>
  <c r="EH198" i="37"/>
  <c r="EG198" i="37"/>
  <c r="EG199" i="37"/>
  <c r="EF198" i="37"/>
  <c r="EF199" i="37" s="1"/>
  <c r="EE198" i="37"/>
  <c r="EE199" i="37"/>
  <c r="ED198" i="37"/>
  <c r="ED199" i="37" s="1"/>
  <c r="EC198" i="37"/>
  <c r="EC199" i="37"/>
  <c r="EB198" i="37"/>
  <c r="EB199" i="37"/>
  <c r="EA198" i="37"/>
  <c r="EA199" i="37"/>
  <c r="DZ198" i="37"/>
  <c r="DZ199" i="37" s="1"/>
  <c r="D180" i="37"/>
  <c r="D185" i="37"/>
  <c r="D190" i="37" s="1"/>
  <c r="D179" i="37"/>
  <c r="D184" i="37" s="1"/>
  <c r="D189" i="37" s="1"/>
  <c r="D178" i="37"/>
  <c r="D183" i="37" s="1"/>
  <c r="D188" i="37" s="1"/>
  <c r="D157" i="37"/>
  <c r="D162" i="37" s="1"/>
  <c r="D167" i="37"/>
  <c r="D156" i="37"/>
  <c r="D161" i="37" s="1"/>
  <c r="D166" i="37" s="1"/>
  <c r="D155" i="37"/>
  <c r="D160" i="37" s="1"/>
  <c r="D165" i="37" s="1"/>
  <c r="DX144" i="37"/>
  <c r="DX145" i="37" s="1"/>
  <c r="EH144" i="37"/>
  <c r="EG144" i="37"/>
  <c r="EG145" i="37" s="1"/>
  <c r="BX145" i="37"/>
  <c r="EF144" i="37"/>
  <c r="EF145" i="37"/>
  <c r="EE144" i="37"/>
  <c r="EE145" i="37" s="1"/>
  <c r="ED144" i="37"/>
  <c r="ED145" i="37"/>
  <c r="EC144" i="37"/>
  <c r="EC145" i="37"/>
  <c r="EB144" i="37"/>
  <c r="EB145" i="37" s="1"/>
  <c r="EA144" i="37"/>
  <c r="EA145" i="37" s="1"/>
  <c r="DZ144" i="37"/>
  <c r="DZ145" i="37"/>
  <c r="DX139" i="37"/>
  <c r="DX140" i="37"/>
  <c r="EH139" i="37"/>
  <c r="EG139" i="37"/>
  <c r="EG140" i="37" s="1"/>
  <c r="BX140" i="37" s="1"/>
  <c r="EF139" i="37"/>
  <c r="EF140" i="37" s="1"/>
  <c r="EE139" i="37"/>
  <c r="EE140" i="37"/>
  <c r="ED139" i="37"/>
  <c r="ED140" i="37"/>
  <c r="EC139" i="37"/>
  <c r="EC140" i="37"/>
  <c r="EB139" i="37"/>
  <c r="EB140" i="37" s="1"/>
  <c r="EA139" i="37"/>
  <c r="EA140" i="37"/>
  <c r="DZ139" i="37"/>
  <c r="DZ140" i="37"/>
  <c r="DX134" i="37"/>
  <c r="DX135" i="37"/>
  <c r="EH134" i="37"/>
  <c r="EG134" i="37"/>
  <c r="EG135" i="37" s="1"/>
  <c r="EF134" i="37"/>
  <c r="EF135" i="37" s="1"/>
  <c r="EE134" i="37"/>
  <c r="EE135" i="37" s="1"/>
  <c r="ED134" i="37"/>
  <c r="ED135" i="37" s="1"/>
  <c r="EC134" i="37"/>
  <c r="EC135" i="37" s="1"/>
  <c r="EB134" i="37"/>
  <c r="EB135" i="37" s="1"/>
  <c r="EA134" i="37"/>
  <c r="EA135" i="37" s="1"/>
  <c r="DZ134" i="37"/>
  <c r="DZ135" i="37" s="1"/>
  <c r="D134" i="37"/>
  <c r="D139" i="37" s="1"/>
  <c r="D144" i="37" s="1"/>
  <c r="D133" i="37"/>
  <c r="D138" i="37" s="1"/>
  <c r="D143" i="37" s="1"/>
  <c r="D132" i="37"/>
  <c r="D137" i="37" s="1"/>
  <c r="D142" i="37" s="1"/>
  <c r="DX129" i="37"/>
  <c r="DX130" i="37"/>
  <c r="EH129" i="37"/>
  <c r="EG129" i="37"/>
  <c r="EG130" i="37" s="1"/>
  <c r="EF129" i="37"/>
  <c r="EF130" i="37" s="1"/>
  <c r="EE129" i="37"/>
  <c r="EE130" i="37" s="1"/>
  <c r="ED129" i="37"/>
  <c r="ED130" i="37" s="1"/>
  <c r="EC129" i="37"/>
  <c r="EC130" i="37" s="1"/>
  <c r="EB129" i="37"/>
  <c r="EB130" i="37" s="1"/>
  <c r="EA129" i="37"/>
  <c r="EA130" i="37" s="1"/>
  <c r="DZ129" i="37"/>
  <c r="DZ130" i="37" s="1"/>
  <c r="EA122" i="37"/>
  <c r="DZ122" i="37"/>
  <c r="BX121" i="37" s="1"/>
  <c r="EA117" i="37"/>
  <c r="DZ117" i="37"/>
  <c r="EA112" i="37"/>
  <c r="DZ112" i="37"/>
  <c r="EB112" i="37" s="1"/>
  <c r="D111" i="37"/>
  <c r="D116" i="37" s="1"/>
  <c r="D121" i="37" s="1"/>
  <c r="D110" i="37"/>
  <c r="D115" i="37"/>
  <c r="D120" i="37" s="1"/>
  <c r="D109" i="37"/>
  <c r="D114" i="37"/>
  <c r="D119" i="37"/>
  <c r="EA107" i="37"/>
  <c r="DZ107" i="37"/>
  <c r="EB107" i="37" s="1"/>
  <c r="EG97" i="37"/>
  <c r="EG98" i="37"/>
  <c r="EF97" i="37"/>
  <c r="EF98" i="37" s="1"/>
  <c r="CH97" i="37"/>
  <c r="CH96" i="37"/>
  <c r="CH95" i="37"/>
  <c r="CD97" i="37"/>
  <c r="CD96" i="37"/>
  <c r="CD95" i="37"/>
  <c r="BZ97" i="37"/>
  <c r="BZ96" i="37"/>
  <c r="BZ95" i="37"/>
  <c r="BV97" i="37"/>
  <c r="BV96" i="37"/>
  <c r="BV95" i="37"/>
  <c r="BR97" i="37"/>
  <c r="BR96" i="37"/>
  <c r="BR95" i="37"/>
  <c r="EG92" i="37"/>
  <c r="EG93" i="37"/>
  <c r="EF92" i="37"/>
  <c r="EF93" i="37"/>
  <c r="CH92" i="37"/>
  <c r="CH91" i="37"/>
  <c r="CH90" i="37"/>
  <c r="CD92" i="37"/>
  <c r="CD91" i="37"/>
  <c r="CD90" i="37"/>
  <c r="BZ92" i="37"/>
  <c r="BZ91" i="37"/>
  <c r="BZ90" i="37"/>
  <c r="BV92" i="37"/>
  <c r="BV91" i="37"/>
  <c r="BV90" i="37"/>
  <c r="BR92" i="37"/>
  <c r="BR91" i="37"/>
  <c r="BR90" i="37"/>
  <c r="EG87" i="37"/>
  <c r="EG88" i="37"/>
  <c r="EF87" i="37"/>
  <c r="EF88" i="37"/>
  <c r="CH87" i="37"/>
  <c r="CH86" i="37"/>
  <c r="CH85" i="37"/>
  <c r="CD87" i="37"/>
  <c r="CD86" i="37"/>
  <c r="CD85" i="37"/>
  <c r="BZ87" i="37"/>
  <c r="BZ86" i="37"/>
  <c r="BZ85" i="37"/>
  <c r="BV87" i="37"/>
  <c r="BV86" i="37"/>
  <c r="BV85" i="37"/>
  <c r="BR87" i="37"/>
  <c r="BR86" i="37"/>
  <c r="BR85" i="37"/>
  <c r="D87" i="37"/>
  <c r="D92" i="37" s="1"/>
  <c r="D97" i="37" s="1"/>
  <c r="D86" i="37"/>
  <c r="D91" i="37"/>
  <c r="D96" i="37" s="1"/>
  <c r="D85" i="37"/>
  <c r="D90" i="37" s="1"/>
  <c r="D95" i="37" s="1"/>
  <c r="CB83" i="37"/>
  <c r="EG82" i="37"/>
  <c r="EG83" i="37"/>
  <c r="EF82" i="37"/>
  <c r="EF83" i="37"/>
  <c r="CH82" i="37"/>
  <c r="CH81" i="37"/>
  <c r="CH80" i="37"/>
  <c r="CD82" i="37"/>
  <c r="CD81" i="37"/>
  <c r="CD80" i="37"/>
  <c r="BZ82" i="37"/>
  <c r="BZ81" i="37"/>
  <c r="BZ80" i="37"/>
  <c r="BV82" i="37"/>
  <c r="BV81" i="37"/>
  <c r="BV80" i="37"/>
  <c r="BR82" i="37"/>
  <c r="BR81" i="37"/>
  <c r="BR80" i="37"/>
  <c r="EG79" i="37"/>
  <c r="EH79" i="37" s="1"/>
  <c r="EI79" i="37" s="1"/>
  <c r="EJ79" i="37" s="1"/>
  <c r="EK79" i="37"/>
  <c r="EL79" i="37" s="1"/>
  <c r="EM79" i="37" s="1"/>
  <c r="EN79" i="37" s="1"/>
  <c r="EO79" i="37" s="1"/>
  <c r="EP79" i="37" s="1"/>
  <c r="EQ79" i="37" s="1"/>
  <c r="ER79" i="37" s="1"/>
  <c r="DD75" i="37"/>
  <c r="DD70" i="37"/>
  <c r="DD65" i="37"/>
  <c r="BX65" i="37"/>
  <c r="F386" i="46" s="1"/>
  <c r="D64" i="37"/>
  <c r="D69" i="37"/>
  <c r="D74" i="37"/>
  <c r="D63" i="37"/>
  <c r="D68" i="37" s="1"/>
  <c r="D73" i="37" s="1"/>
  <c r="D62" i="37"/>
  <c r="D67" i="37"/>
  <c r="D72" i="37" s="1"/>
  <c r="DD60" i="37"/>
  <c r="BX60" i="37"/>
  <c r="F385" i="46" s="1"/>
  <c r="EG51" i="37"/>
  <c r="EG52" i="37"/>
  <c r="EF51" i="37"/>
  <c r="EF52" i="37" s="1"/>
  <c r="EE51" i="37"/>
  <c r="EE52" i="37" s="1"/>
  <c r="ED51" i="37"/>
  <c r="ED52" i="37" s="1"/>
  <c r="EC51" i="37"/>
  <c r="EC52" i="37" s="1"/>
  <c r="EB51" i="37"/>
  <c r="EB52" i="37" s="1"/>
  <c r="EA51" i="37"/>
  <c r="EA52" i="37" s="1"/>
  <c r="DZ51" i="37"/>
  <c r="DZ52" i="37"/>
  <c r="EG46" i="37"/>
  <c r="EG47" i="37" s="1"/>
  <c r="EF46" i="37"/>
  <c r="EF47" i="37"/>
  <c r="EE46" i="37"/>
  <c r="EE47" i="37"/>
  <c r="ED46" i="37"/>
  <c r="ED47" i="37" s="1"/>
  <c r="EC46" i="37"/>
  <c r="EC47" i="37"/>
  <c r="EB46" i="37"/>
  <c r="EB47" i="37"/>
  <c r="EA46" i="37"/>
  <c r="EA47" i="37"/>
  <c r="DZ46" i="37"/>
  <c r="DZ47" i="37" s="1"/>
  <c r="EH41" i="37"/>
  <c r="EG42" i="37"/>
  <c r="EG41" i="37"/>
  <c r="EF42" i="37"/>
  <c r="EF41" i="37"/>
  <c r="EE42" i="37"/>
  <c r="EE41" i="37"/>
  <c r="ED42" i="37" s="1"/>
  <c r="ED41" i="37"/>
  <c r="EC42" i="37"/>
  <c r="EC41" i="37"/>
  <c r="EB42" i="37"/>
  <c r="EB41" i="37"/>
  <c r="EA42" i="37"/>
  <c r="EA41" i="37"/>
  <c r="DZ42" i="37" s="1"/>
  <c r="DZ41" i="37"/>
  <c r="D41" i="37"/>
  <c r="D46" i="37" s="1"/>
  <c r="D51" i="37" s="1"/>
  <c r="D40" i="37"/>
  <c r="D45" i="37"/>
  <c r="D50" i="37" s="1"/>
  <c r="D39" i="37"/>
  <c r="D44" i="37" s="1"/>
  <c r="D49" i="37" s="1"/>
  <c r="EH36" i="37"/>
  <c r="EH37" i="37"/>
  <c r="EG36" i="37"/>
  <c r="EG37" i="37" s="1"/>
  <c r="EF36" i="37"/>
  <c r="EF37" i="37" s="1"/>
  <c r="EE36" i="37"/>
  <c r="EE37" i="37"/>
  <c r="ED36" i="37"/>
  <c r="ED37" i="37"/>
  <c r="EC36" i="37"/>
  <c r="EC37" i="37" s="1"/>
  <c r="EB36" i="37"/>
  <c r="EB37" i="37" s="1"/>
  <c r="EA36" i="37"/>
  <c r="EA37" i="37"/>
  <c r="DZ36" i="37"/>
  <c r="DZ37" i="37"/>
  <c r="DZ33" i="37"/>
  <c r="DX126" i="37"/>
  <c r="DX195" i="37" s="1"/>
  <c r="ED29" i="37"/>
  <c r="EB29" i="37"/>
  <c r="EH29" i="37" s="1"/>
  <c r="DZ29" i="37"/>
  <c r="EH28" i="37"/>
  <c r="EG28" i="37"/>
  <c r="EF28" i="37"/>
  <c r="EE28" i="37"/>
  <c r="ED28" i="37"/>
  <c r="EC28" i="37"/>
  <c r="EB28" i="37"/>
  <c r="EA28" i="37"/>
  <c r="DZ28" i="37"/>
  <c r="CT28" i="37"/>
  <c r="CT27" i="37"/>
  <c r="CT26" i="37"/>
  <c r="CH28" i="37"/>
  <c r="CH51" i="37" s="1"/>
  <c r="CH27" i="37"/>
  <c r="CH50" i="37" s="1"/>
  <c r="CH26" i="37"/>
  <c r="CH49" i="37" s="1"/>
  <c r="CD28" i="37"/>
  <c r="CD51" i="37" s="1"/>
  <c r="CD27" i="37"/>
  <c r="CD50" i="37" s="1"/>
  <c r="CD26" i="37"/>
  <c r="CD49" i="37" s="1"/>
  <c r="BZ28" i="37"/>
  <c r="BZ51" i="37" s="1"/>
  <c r="BZ27" i="37"/>
  <c r="BZ50" i="37" s="1"/>
  <c r="BZ26" i="37"/>
  <c r="BZ49" i="37" s="1"/>
  <c r="BV28" i="37"/>
  <c r="BV51" i="37" s="1"/>
  <c r="BV27" i="37"/>
  <c r="BV50" i="37" s="1"/>
  <c r="BV26" i="37"/>
  <c r="BV49" i="37" s="1"/>
  <c r="BR28" i="37"/>
  <c r="BR51" i="37" s="1"/>
  <c r="BR27" i="37"/>
  <c r="BR50" i="37" s="1"/>
  <c r="BR26" i="37"/>
  <c r="BR49" i="37" s="1"/>
  <c r="BR142" i="37" s="1"/>
  <c r="BR165" i="37" s="1"/>
  <c r="BR188" i="37" s="1"/>
  <c r="BN28" i="37"/>
  <c r="BN51" i="37" s="1"/>
  <c r="BN27" i="37"/>
  <c r="BN50" i="37" s="1"/>
  <c r="BN143" i="37" s="1"/>
  <c r="BN212" i="37" s="1"/>
  <c r="BN26" i="37"/>
  <c r="BN49" i="37" s="1"/>
  <c r="BN119" i="37" s="1"/>
  <c r="BJ28" i="37"/>
  <c r="BJ51" i="37" s="1"/>
  <c r="BJ121" i="37" s="1"/>
  <c r="BJ27" i="37"/>
  <c r="BJ50" i="37" s="1"/>
  <c r="BJ26" i="37"/>
  <c r="BJ49" i="37" s="1"/>
  <c r="BJ119" i="37" s="1"/>
  <c r="BF28" i="37"/>
  <c r="BF51" i="37" s="1"/>
  <c r="BF121" i="37" s="1"/>
  <c r="BF27" i="37"/>
  <c r="BF50" i="37" s="1"/>
  <c r="BF120" i="37" s="1"/>
  <c r="BF26" i="37"/>
  <c r="BF49" i="37" s="1"/>
  <c r="BF119" i="37" s="1"/>
  <c r="BB28" i="37"/>
  <c r="BB51" i="37" s="1"/>
  <c r="BB27" i="37"/>
  <c r="BB50" i="37" s="1"/>
  <c r="BB26" i="37"/>
  <c r="BB49" i="37" s="1"/>
  <c r="BB142" i="37" s="1"/>
  <c r="AX28" i="37"/>
  <c r="AX51" i="37" s="1"/>
  <c r="AX121" i="37" s="1"/>
  <c r="AX27" i="37"/>
  <c r="AX50" i="37" s="1"/>
  <c r="AX120" i="37" s="1"/>
  <c r="AX26" i="37"/>
  <c r="AX49" i="37" s="1"/>
  <c r="AX72" i="37" s="1"/>
  <c r="AT28" i="37"/>
  <c r="AT51" i="37" s="1"/>
  <c r="AT27" i="37"/>
  <c r="AT50" i="37" s="1"/>
  <c r="AT143" i="37" s="1"/>
  <c r="AT26" i="37"/>
  <c r="AT49" i="37" s="1"/>
  <c r="AP28" i="37"/>
  <c r="AP51" i="37" s="1"/>
  <c r="AP121" i="37" s="1"/>
  <c r="AP27" i="37"/>
  <c r="AP50" i="37" s="1"/>
  <c r="AP143" i="37" s="1"/>
  <c r="AP26" i="37"/>
  <c r="AP49" i="37" s="1"/>
  <c r="AL28" i="37"/>
  <c r="AL51" i="37" s="1"/>
  <c r="AL144" i="37" s="1"/>
  <c r="AL213" i="37" s="1"/>
  <c r="AL27" i="37"/>
  <c r="AL50" i="37" s="1"/>
  <c r="AL26" i="37"/>
  <c r="AL49" i="37" s="1"/>
  <c r="AL119" i="37" s="1"/>
  <c r="AH28" i="37"/>
  <c r="AH51" i="37" s="1"/>
  <c r="AH121" i="37" s="1"/>
  <c r="AH27" i="37"/>
  <c r="AH50" i="37" s="1"/>
  <c r="AH26" i="37"/>
  <c r="AH49" i="37" s="1"/>
  <c r="AH72" i="37" s="1"/>
  <c r="AD28" i="37"/>
  <c r="AD51" i="37" s="1"/>
  <c r="AD144" i="37" s="1"/>
  <c r="AD27" i="37"/>
  <c r="AD50" i="37" s="1"/>
  <c r="AD120" i="37" s="1"/>
  <c r="AD26" i="37"/>
  <c r="AD49" i="37" s="1"/>
  <c r="AD119" i="37" s="1"/>
  <c r="Z28" i="37"/>
  <c r="Z51" i="37" s="1"/>
  <c r="Z27" i="37"/>
  <c r="Z50" i="37" s="1"/>
  <c r="Z120" i="37" s="1"/>
  <c r="Z26" i="37"/>
  <c r="Z49" i="37" s="1"/>
  <c r="Z72" i="37" s="1"/>
  <c r="V28" i="37"/>
  <c r="V51" i="37" s="1"/>
  <c r="V121" i="37" s="1"/>
  <c r="V27" i="37"/>
  <c r="V50" i="37" s="1"/>
  <c r="V120" i="37" s="1"/>
  <c r="V26" i="37"/>
  <c r="V49" i="37" s="1"/>
  <c r="R28" i="37"/>
  <c r="R51" i="37" s="1"/>
  <c r="R27" i="37"/>
  <c r="R50" i="37" s="1"/>
  <c r="R120" i="37" s="1"/>
  <c r="R26" i="37"/>
  <c r="R49" i="37" s="1"/>
  <c r="R72" i="37" s="1"/>
  <c r="N28" i="37"/>
  <c r="N51" i="37" s="1"/>
  <c r="N27" i="37"/>
  <c r="N50" i="37" s="1"/>
  <c r="N120" i="37" s="1"/>
  <c r="N26" i="37"/>
  <c r="N49" i="37" s="1"/>
  <c r="N72" i="37" s="1"/>
  <c r="J28" i="37"/>
  <c r="J51" i="37" s="1"/>
  <c r="J144" i="37" s="1"/>
  <c r="J27" i="37"/>
  <c r="J50" i="37" s="1"/>
  <c r="J120" i="37" s="1"/>
  <c r="J26" i="37"/>
  <c r="J49" i="37" s="1"/>
  <c r="J72" i="37" s="1"/>
  <c r="BP24" i="37"/>
  <c r="EH23" i="37"/>
  <c r="EH24" i="37" s="1"/>
  <c r="EG23" i="37"/>
  <c r="EG24" i="37" s="1"/>
  <c r="EF23" i="37"/>
  <c r="EF24" i="37" s="1"/>
  <c r="EE23" i="37"/>
  <c r="EE24" i="37" s="1"/>
  <c r="ED23" i="37"/>
  <c r="ED24" i="37" s="1"/>
  <c r="EC23" i="37"/>
  <c r="EC24" i="37" s="1"/>
  <c r="EB23" i="37"/>
  <c r="EB24" i="37" s="1"/>
  <c r="EA23" i="37"/>
  <c r="EA24" i="37" s="1"/>
  <c r="DZ23" i="37"/>
  <c r="DZ24" i="37" s="1"/>
  <c r="CT23" i="37"/>
  <c r="CT22" i="37"/>
  <c r="CT21" i="37"/>
  <c r="CH23" i="37"/>
  <c r="CH46" i="37" s="1"/>
  <c r="CH22" i="37"/>
  <c r="CH45" i="37" s="1"/>
  <c r="CH21" i="37"/>
  <c r="CH44" i="37" s="1"/>
  <c r="CD23" i="37"/>
  <c r="CD46" i="37" s="1"/>
  <c r="CD22" i="37"/>
  <c r="CD45" i="37" s="1"/>
  <c r="CD21" i="37"/>
  <c r="CD44" i="37" s="1"/>
  <c r="BZ23" i="37"/>
  <c r="BZ46" i="37" s="1"/>
  <c r="BZ22" i="37"/>
  <c r="BZ45" i="37" s="1"/>
  <c r="BZ21" i="37"/>
  <c r="BZ44" i="37" s="1"/>
  <c r="BV23" i="37"/>
  <c r="BV46" i="37" s="1"/>
  <c r="BV22" i="37"/>
  <c r="BV45" i="37" s="1"/>
  <c r="BV21" i="37"/>
  <c r="BV44" i="37" s="1"/>
  <c r="BV137" i="37" s="1"/>
  <c r="BV206" i="37" s="1"/>
  <c r="BR23" i="37"/>
  <c r="BR46" i="37" s="1"/>
  <c r="BR116" i="37" s="1"/>
  <c r="BR22" i="37"/>
  <c r="BR45" i="37" s="1"/>
  <c r="BR21" i="37"/>
  <c r="BR44" i="37" s="1"/>
  <c r="BN23" i="37"/>
  <c r="BN46" i="37" s="1"/>
  <c r="BN139" i="37" s="1"/>
  <c r="BN208" i="37" s="1"/>
  <c r="BN22" i="37"/>
  <c r="BN45" i="37" s="1"/>
  <c r="BN21" i="37"/>
  <c r="BN44" i="37" s="1"/>
  <c r="BJ23" i="37"/>
  <c r="BJ46" i="37" s="1"/>
  <c r="BJ139" i="37" s="1"/>
  <c r="BJ22" i="37"/>
  <c r="BJ45" i="37" s="1"/>
  <c r="BJ115" i="37" s="1"/>
  <c r="BJ21" i="37"/>
  <c r="BJ44" i="37" s="1"/>
  <c r="BJ137" i="37" s="1"/>
  <c r="BF23" i="37"/>
  <c r="BF46" i="37" s="1"/>
  <c r="BF139" i="37" s="1"/>
  <c r="BF22" i="37"/>
  <c r="BF45" i="37" s="1"/>
  <c r="BF21" i="37"/>
  <c r="BF44" i="37" s="1"/>
  <c r="BB23" i="37"/>
  <c r="BB46" i="37" s="1"/>
  <c r="BB139" i="37" s="1"/>
  <c r="BB208" i="37" s="1"/>
  <c r="BB22" i="37"/>
  <c r="BB45" i="37" s="1"/>
  <c r="BB21" i="37"/>
  <c r="BB44" i="37" s="1"/>
  <c r="BB114" i="37" s="1"/>
  <c r="AX23" i="37"/>
  <c r="AX46" i="37" s="1"/>
  <c r="AX116" i="37" s="1"/>
  <c r="AX22" i="37"/>
  <c r="AX45" i="37" s="1"/>
  <c r="AX21" i="37"/>
  <c r="AX44" i="37" s="1"/>
  <c r="AX114" i="37" s="1"/>
  <c r="AT23" i="37"/>
  <c r="AT46" i="37" s="1"/>
  <c r="AT139" i="37" s="1"/>
  <c r="AT22" i="37"/>
  <c r="AT45" i="37" s="1"/>
  <c r="AT115" i="37" s="1"/>
  <c r="AT21" i="37"/>
  <c r="AT44" i="37" s="1"/>
  <c r="AP23" i="37"/>
  <c r="AP46" i="37" s="1"/>
  <c r="AP69" i="37" s="1"/>
  <c r="AP22" i="37"/>
  <c r="AP45" i="37" s="1"/>
  <c r="AP115" i="37" s="1"/>
  <c r="AP21" i="37"/>
  <c r="AP44" i="37" s="1"/>
  <c r="AP137" i="37" s="1"/>
  <c r="AL23" i="37"/>
  <c r="AL46" i="37" s="1"/>
  <c r="AL69" i="37" s="1"/>
  <c r="AL22" i="37"/>
  <c r="AL45" i="37" s="1"/>
  <c r="AL115" i="37" s="1"/>
  <c r="AL21" i="37"/>
  <c r="AL44" i="37" s="1"/>
  <c r="AL137" i="37" s="1"/>
  <c r="AL206" i="37" s="1"/>
  <c r="AH23" i="37"/>
  <c r="AH46" i="37" s="1"/>
  <c r="AH139" i="37" s="1"/>
  <c r="AH22" i="37"/>
  <c r="AH45" i="37" s="1"/>
  <c r="AH21" i="37"/>
  <c r="AH44" i="37" s="1"/>
  <c r="AH67" i="37" s="1"/>
  <c r="AD23" i="37"/>
  <c r="AD46" i="37" s="1"/>
  <c r="AD22" i="37"/>
  <c r="AD45" i="37" s="1"/>
  <c r="AD138" i="37" s="1"/>
  <c r="AD21" i="37"/>
  <c r="AD44" i="37" s="1"/>
  <c r="AD67" i="37" s="1"/>
  <c r="Z23" i="37"/>
  <c r="Z46" i="37" s="1"/>
  <c r="Z22" i="37"/>
  <c r="Z45" i="37" s="1"/>
  <c r="Z115" i="37" s="1"/>
  <c r="Z21" i="37"/>
  <c r="Z44" i="37" s="1"/>
  <c r="V23" i="37"/>
  <c r="V46" i="37" s="1"/>
  <c r="V139" i="37" s="1"/>
  <c r="V208" i="37" s="1"/>
  <c r="V22" i="37"/>
  <c r="V45" i="37" s="1"/>
  <c r="V138" i="37" s="1"/>
  <c r="V207" i="37" s="1"/>
  <c r="V21" i="37"/>
  <c r="V44" i="37" s="1"/>
  <c r="V137" i="37" s="1"/>
  <c r="R23" i="37"/>
  <c r="R46" i="37" s="1"/>
  <c r="R116" i="37" s="1"/>
  <c r="R22" i="37"/>
  <c r="R45" i="37" s="1"/>
  <c r="R68" i="37" s="1"/>
  <c r="R21" i="37"/>
  <c r="R44" i="37" s="1"/>
  <c r="N23" i="37"/>
  <c r="N46" i="37" s="1"/>
  <c r="N22" i="37"/>
  <c r="N45" i="37" s="1"/>
  <c r="N68" i="37" s="1"/>
  <c r="N21" i="37"/>
  <c r="N44" i="37" s="1"/>
  <c r="N137" i="37" s="1"/>
  <c r="J23" i="37"/>
  <c r="J46" i="37" s="1"/>
  <c r="J22" i="37"/>
  <c r="J45" i="37" s="1"/>
  <c r="J115" i="37" s="1"/>
  <c r="J21" i="37"/>
  <c r="J44" i="37" s="1"/>
  <c r="EH18" i="37"/>
  <c r="EH19" i="37" s="1"/>
  <c r="EG18" i="37"/>
  <c r="EG19" i="37" s="1"/>
  <c r="EF18" i="37"/>
  <c r="EF19" i="37" s="1"/>
  <c r="EE18" i="37"/>
  <c r="EE19" i="37" s="1"/>
  <c r="ED18" i="37"/>
  <c r="ED19" i="37" s="1"/>
  <c r="EC18" i="37"/>
  <c r="EC19" i="37" s="1"/>
  <c r="EB18" i="37"/>
  <c r="EB19" i="37" s="1"/>
  <c r="EA18" i="37"/>
  <c r="EA19" i="37" s="1"/>
  <c r="DZ18" i="37"/>
  <c r="DZ19" i="37" s="1"/>
  <c r="CT18" i="37"/>
  <c r="CT17" i="37"/>
  <c r="CT16" i="37"/>
  <c r="CH18" i="37"/>
  <c r="CH41" i="37" s="1"/>
  <c r="CH17" i="37"/>
  <c r="CH40" i="37" s="1"/>
  <c r="CH16" i="37"/>
  <c r="CH39" i="37" s="1"/>
  <c r="CD18" i="37"/>
  <c r="CD41" i="37" s="1"/>
  <c r="CD17" i="37"/>
  <c r="CD40" i="37" s="1"/>
  <c r="CD16" i="37"/>
  <c r="CD39" i="37" s="1"/>
  <c r="BZ18" i="37"/>
  <c r="BZ41" i="37" s="1"/>
  <c r="BZ17" i="37"/>
  <c r="BZ40" i="37" s="1"/>
  <c r="BZ16" i="37"/>
  <c r="BZ39" i="37" s="1"/>
  <c r="BV18" i="37"/>
  <c r="BV41" i="37" s="1"/>
  <c r="BV17" i="37"/>
  <c r="BV40" i="37" s="1"/>
  <c r="BV110" i="37" s="1"/>
  <c r="BV16" i="37"/>
  <c r="BV39" i="37" s="1"/>
  <c r="BR18" i="37"/>
  <c r="BR41" i="37" s="1"/>
  <c r="BR134" i="37" s="1"/>
  <c r="BR203" i="37" s="1"/>
  <c r="BR17" i="37"/>
  <c r="BR40" i="37" s="1"/>
  <c r="BR16" i="37"/>
  <c r="BR39" i="37" s="1"/>
  <c r="BN18" i="37"/>
  <c r="BN41" i="37" s="1"/>
  <c r="BN17" i="37"/>
  <c r="BN40" i="37" s="1"/>
  <c r="BN16" i="37"/>
  <c r="BN39" i="37" s="1"/>
  <c r="BJ18" i="37"/>
  <c r="BJ41" i="37" s="1"/>
  <c r="BJ17" i="37"/>
  <c r="BJ40" i="37" s="1"/>
  <c r="BJ110" i="37" s="1"/>
  <c r="BJ16" i="37"/>
  <c r="BJ39" i="37" s="1"/>
  <c r="BJ109" i="37" s="1"/>
  <c r="BF18" i="37"/>
  <c r="BF41" i="37" s="1"/>
  <c r="BF111" i="37" s="1"/>
  <c r="BF17" i="37"/>
  <c r="BF40" i="37" s="1"/>
  <c r="BF16" i="37"/>
  <c r="BF39" i="37" s="1"/>
  <c r="BB18" i="37"/>
  <c r="BB41" i="37" s="1"/>
  <c r="BB17" i="37"/>
  <c r="BB40" i="37" s="1"/>
  <c r="BB110" i="37" s="1"/>
  <c r="BB16" i="37"/>
  <c r="BB39" i="37" s="1"/>
  <c r="AX18" i="37"/>
  <c r="AX41" i="37" s="1"/>
  <c r="AX64" i="37" s="1"/>
  <c r="AX17" i="37"/>
  <c r="AX40" i="37" s="1"/>
  <c r="AX16" i="37"/>
  <c r="AX39" i="37" s="1"/>
  <c r="AX109" i="37" s="1"/>
  <c r="AT18" i="37"/>
  <c r="AT41" i="37" s="1"/>
  <c r="AT17" i="37"/>
  <c r="AT40" i="37" s="1"/>
  <c r="AT110" i="37" s="1"/>
  <c r="AT16" i="37"/>
  <c r="AT39" i="37" s="1"/>
  <c r="AP18" i="37"/>
  <c r="AP41" i="37" s="1"/>
  <c r="AP111" i="37" s="1"/>
  <c r="AP17" i="37"/>
  <c r="AP40" i="37" s="1"/>
  <c r="AP63" i="37" s="1"/>
  <c r="AP16" i="37"/>
  <c r="AP39" i="37" s="1"/>
  <c r="AP62" i="37" s="1"/>
  <c r="AL18" i="37"/>
  <c r="AL41" i="37" s="1"/>
  <c r="AL17" i="37"/>
  <c r="AL40" i="37" s="1"/>
  <c r="AL16" i="37"/>
  <c r="AL39" i="37" s="1"/>
  <c r="AL62" i="37" s="1"/>
  <c r="AH18" i="37"/>
  <c r="AH41" i="37" s="1"/>
  <c r="AH17" i="37"/>
  <c r="AH40" i="37" s="1"/>
  <c r="AH133" i="37" s="1"/>
  <c r="AH202" i="37" s="1"/>
  <c r="AH16" i="37"/>
  <c r="AH39" i="37" s="1"/>
  <c r="AD18" i="37"/>
  <c r="AD41" i="37" s="1"/>
  <c r="AD17" i="37"/>
  <c r="AD40" i="37" s="1"/>
  <c r="AD133" i="37" s="1"/>
  <c r="AD156" i="37" s="1"/>
  <c r="AD179" i="37" s="1"/>
  <c r="AD16" i="37"/>
  <c r="AD39" i="37" s="1"/>
  <c r="AD132" i="37" s="1"/>
  <c r="Z18" i="37"/>
  <c r="Z41" i="37" s="1"/>
  <c r="Z17" i="37"/>
  <c r="Z40" i="37" s="1"/>
  <c r="Z16" i="37"/>
  <c r="Z39" i="37" s="1"/>
  <c r="V18" i="37"/>
  <c r="V41" i="37" s="1"/>
  <c r="V134" i="37" s="1"/>
  <c r="V17" i="37"/>
  <c r="V40" i="37" s="1"/>
  <c r="V16" i="37"/>
  <c r="V39" i="37" s="1"/>
  <c r="R18" i="37"/>
  <c r="R41" i="37" s="1"/>
  <c r="R111" i="37" s="1"/>
  <c r="R17" i="37"/>
  <c r="R40" i="37" s="1"/>
  <c r="R16" i="37"/>
  <c r="R39" i="37" s="1"/>
  <c r="R62" i="37" s="1"/>
  <c r="N18" i="37"/>
  <c r="N41" i="37" s="1"/>
  <c r="N134" i="37" s="1"/>
  <c r="N203" i="37" s="1"/>
  <c r="N17" i="37"/>
  <c r="N40" i="37" s="1"/>
  <c r="N16" i="37"/>
  <c r="N39" i="37" s="1"/>
  <c r="J18" i="37"/>
  <c r="J41" i="37" s="1"/>
  <c r="J134" i="37" s="1"/>
  <c r="J17" i="37"/>
  <c r="J40" i="37" s="1"/>
  <c r="J133" i="37" s="1"/>
  <c r="J156" i="37" s="1"/>
  <c r="J179" i="37" s="1"/>
  <c r="J16" i="37"/>
  <c r="J39" i="37" s="1"/>
  <c r="J132" i="37" s="1"/>
  <c r="D18" i="37"/>
  <c r="D23" i="37" s="1"/>
  <c r="D28" i="37" s="1"/>
  <c r="D17" i="37"/>
  <c r="D22" i="37"/>
  <c r="D27" i="37" s="1"/>
  <c r="D16" i="37"/>
  <c r="D21" i="37" s="1"/>
  <c r="D26" i="37" s="1"/>
  <c r="EP14" i="37"/>
  <c r="EO14" i="37"/>
  <c r="EH13" i="37"/>
  <c r="EH14" i="37" s="1"/>
  <c r="EG13" i="37"/>
  <c r="EG14" i="37"/>
  <c r="EF13" i="37"/>
  <c r="EF14" i="37"/>
  <c r="EE13" i="37"/>
  <c r="EE14" i="37" s="1"/>
  <c r="ED13" i="37"/>
  <c r="ED14" i="37" s="1"/>
  <c r="EC13" i="37"/>
  <c r="EC14" i="37"/>
  <c r="EB13" i="37"/>
  <c r="EB14" i="37"/>
  <c r="EA13" i="37"/>
  <c r="EA14" i="37" s="1"/>
  <c r="DZ13" i="37"/>
  <c r="DZ14" i="37" s="1"/>
  <c r="CT13" i="37"/>
  <c r="CT12" i="37"/>
  <c r="CT11" i="37"/>
  <c r="CH13" i="37"/>
  <c r="CH36" i="37" s="1"/>
  <c r="CH12" i="37"/>
  <c r="CH35" i="37" s="1"/>
  <c r="CH11" i="37"/>
  <c r="CH34" i="37" s="1"/>
  <c r="CD13" i="37"/>
  <c r="CD36" i="37" s="1"/>
  <c r="CD12" i="37"/>
  <c r="CD35" i="37" s="1"/>
  <c r="CD11" i="37"/>
  <c r="CD34" i="37" s="1"/>
  <c r="BZ13" i="37"/>
  <c r="BZ36" i="37" s="1"/>
  <c r="BZ12" i="37"/>
  <c r="BZ35" i="37" s="1"/>
  <c r="BZ11" i="37"/>
  <c r="BZ34" i="37" s="1"/>
  <c r="BV13" i="37"/>
  <c r="BV36" i="37" s="1"/>
  <c r="BV106" i="37" s="1"/>
  <c r="BV12" i="37"/>
  <c r="BV35" i="37" s="1"/>
  <c r="BV105" i="37" s="1"/>
  <c r="BV11" i="37"/>
  <c r="BV34" i="37" s="1"/>
  <c r="BR13" i="37"/>
  <c r="BR36" i="37" s="1"/>
  <c r="BR12" i="37"/>
  <c r="BR35" i="37" s="1"/>
  <c r="BR11" i="37"/>
  <c r="BR34" i="37" s="1"/>
  <c r="BR127" i="37" s="1"/>
  <c r="BR196" i="37" s="1"/>
  <c r="BN13" i="37"/>
  <c r="BN36" i="37" s="1"/>
  <c r="BN12" i="37"/>
  <c r="BN35" i="37" s="1"/>
  <c r="BN11" i="37"/>
  <c r="BN34" i="37" s="1"/>
  <c r="BN127" i="37" s="1"/>
  <c r="BJ13" i="37"/>
  <c r="BJ36" i="37" s="1"/>
  <c r="BJ129" i="37" s="1"/>
  <c r="BJ12" i="37"/>
  <c r="BJ35" i="37" s="1"/>
  <c r="BJ128" i="37" s="1"/>
  <c r="BJ151" i="37" s="1"/>
  <c r="BJ174" i="37" s="1"/>
  <c r="BJ11" i="37"/>
  <c r="BJ34" i="37" s="1"/>
  <c r="BJ104" i="37" s="1"/>
  <c r="BF13" i="37"/>
  <c r="BF36" i="37" s="1"/>
  <c r="BF12" i="37"/>
  <c r="BF35" i="37" s="1"/>
  <c r="BF11" i="37"/>
  <c r="BF34" i="37" s="1"/>
  <c r="BB13" i="37"/>
  <c r="BB36" i="37" s="1"/>
  <c r="BB129" i="37" s="1"/>
  <c r="BB198" i="37" s="1"/>
  <c r="BB12" i="37"/>
  <c r="BB35" i="37" s="1"/>
  <c r="BB11" i="37"/>
  <c r="BB34" i="37" s="1"/>
  <c r="BB127" i="37" s="1"/>
  <c r="BB196" i="37" s="1"/>
  <c r="AX13" i="37"/>
  <c r="AX36" i="37" s="1"/>
  <c r="AX129" i="37" s="1"/>
  <c r="AX12" i="37"/>
  <c r="AX35" i="37" s="1"/>
  <c r="AX105" i="37" s="1"/>
  <c r="AX11" i="37"/>
  <c r="AX34" i="37" s="1"/>
  <c r="AX57" i="37" s="1"/>
  <c r="AT13" i="37"/>
  <c r="AT36" i="37" s="1"/>
  <c r="AT129" i="37" s="1"/>
  <c r="AT12" i="37"/>
  <c r="AT35" i="37" s="1"/>
  <c r="AT58" i="37" s="1"/>
  <c r="AT11" i="37"/>
  <c r="AT34" i="37"/>
  <c r="AP13" i="37"/>
  <c r="AP36" i="37" s="1"/>
  <c r="AP12" i="37"/>
  <c r="AP35" i="37" s="1"/>
  <c r="AP58" i="37" s="1"/>
  <c r="AP11" i="37"/>
  <c r="AP34" i="37" s="1"/>
  <c r="AP57" i="37" s="1"/>
  <c r="AL13" i="37"/>
  <c r="AL36" i="37" s="1"/>
  <c r="AL59" i="37" s="1"/>
  <c r="AL12" i="37"/>
  <c r="AL35" i="37" s="1"/>
  <c r="AL128" i="37" s="1"/>
  <c r="AL11" i="37"/>
  <c r="AL34" i="37" s="1"/>
  <c r="AL127" i="37" s="1"/>
  <c r="AH13" i="37"/>
  <c r="AH36" i="37" s="1"/>
  <c r="AH59" i="37" s="1"/>
  <c r="AH12" i="37"/>
  <c r="AH35" i="37" s="1"/>
  <c r="AH105" i="37" s="1"/>
  <c r="AH11" i="37"/>
  <c r="AH34" i="37" s="1"/>
  <c r="AD13" i="37"/>
  <c r="AD36" i="37" s="1"/>
  <c r="AD106" i="37" s="1"/>
  <c r="AD12" i="37"/>
  <c r="AD35" i="37" s="1"/>
  <c r="AD11" i="37"/>
  <c r="AD34" i="37" s="1"/>
  <c r="AD104" i="37" s="1"/>
  <c r="Z13" i="37"/>
  <c r="Z36" i="37" s="1"/>
  <c r="Z12" i="37"/>
  <c r="Z35" i="37" s="1"/>
  <c r="Z105" i="37" s="1"/>
  <c r="Z11" i="37"/>
  <c r="Z34" i="37" s="1"/>
  <c r="Z104" i="37" s="1"/>
  <c r="V13" i="37"/>
  <c r="V36" i="37" s="1"/>
  <c r="V59" i="37" s="1"/>
  <c r="V12" i="37"/>
  <c r="V35" i="37" s="1"/>
  <c r="V11" i="37"/>
  <c r="V34" i="37" s="1"/>
  <c r="V127" i="37" s="1"/>
  <c r="R13" i="37"/>
  <c r="R36" i="37" s="1"/>
  <c r="R12" i="37"/>
  <c r="R35" i="37" s="1"/>
  <c r="R105" i="37" s="1"/>
  <c r="R11" i="37"/>
  <c r="R34" i="37" s="1"/>
  <c r="R127" i="37" s="1"/>
  <c r="N13" i="37"/>
  <c r="N36" i="37" s="1"/>
  <c r="N59" i="37" s="1"/>
  <c r="N12" i="37"/>
  <c r="N35" i="37" s="1"/>
  <c r="N11" i="37"/>
  <c r="N34" i="37" s="1"/>
  <c r="N104" i="37" s="1"/>
  <c r="J13" i="37"/>
  <c r="J36" i="37" s="1"/>
  <c r="J106" i="37" s="1"/>
  <c r="J12" i="37"/>
  <c r="J35" i="37" s="1"/>
  <c r="J11" i="37"/>
  <c r="J34" i="37" s="1"/>
  <c r="EA10" i="37"/>
  <c r="J4" i="37"/>
  <c r="N4" i="37" s="1"/>
  <c r="R4" i="37" s="1"/>
  <c r="V4" i="37" s="1"/>
  <c r="Z4" i="37" s="1"/>
  <c r="AD4" i="37" s="1"/>
  <c r="AH4" i="37" s="1"/>
  <c r="AL4" i="37" s="1"/>
  <c r="AP4" i="37" s="1"/>
  <c r="AT4" i="37" s="1"/>
  <c r="AX4" i="37" s="1"/>
  <c r="BB4" i="37" s="1"/>
  <c r="BF4" i="37" s="1"/>
  <c r="BJ4" i="37" s="1"/>
  <c r="BN4" i="37" s="1"/>
  <c r="BR4" i="37" s="1"/>
  <c r="BV4" i="37" s="1"/>
  <c r="BZ4" i="37" s="1"/>
  <c r="CD4" i="37" s="1"/>
  <c r="CH4" i="37" s="1"/>
  <c r="CL4" i="37" s="1"/>
  <c r="CP4" i="37" s="1"/>
  <c r="CT4" i="37" s="1"/>
  <c r="CX4" i="37" s="1"/>
  <c r="DB4" i="37" s="1"/>
  <c r="DG4" i="37" s="1"/>
  <c r="GN27" i="38"/>
  <c r="GN26" i="38"/>
  <c r="GN25" i="38"/>
  <c r="GM28" i="38"/>
  <c r="IA25" i="38" s="1"/>
  <c r="GH27" i="38"/>
  <c r="GH26" i="38"/>
  <c r="GH25" i="38"/>
  <c r="GB27" i="38"/>
  <c r="GB26" i="38"/>
  <c r="GB25" i="38"/>
  <c r="FV27" i="38"/>
  <c r="FV26" i="38"/>
  <c r="FV25" i="38"/>
  <c r="FT28" i="38"/>
  <c r="HX25" i="38" s="1"/>
  <c r="FN27" i="38"/>
  <c r="FN26" i="38"/>
  <c r="FN25" i="38"/>
  <c r="FH28" i="38"/>
  <c r="FF27" i="38"/>
  <c r="FF26" i="38"/>
  <c r="FF25" i="38"/>
  <c r="EX27" i="38"/>
  <c r="EX26" i="38"/>
  <c r="EX25" i="38"/>
  <c r="EP27" i="38"/>
  <c r="EP26" i="38"/>
  <c r="EP25" i="38"/>
  <c r="EJ28" i="38"/>
  <c r="EH27" i="38"/>
  <c r="EH26" i="38"/>
  <c r="EH25" i="38"/>
  <c r="EF28" i="38"/>
  <c r="HS25" i="38" s="1"/>
  <c r="EB28" i="38"/>
  <c r="DZ27" i="38"/>
  <c r="DZ26" i="38"/>
  <c r="DZ25" i="38"/>
  <c r="DX28" i="38"/>
  <c r="DT28" i="38"/>
  <c r="F120" i="12" s="1"/>
  <c r="DR27" i="38"/>
  <c r="DR26" i="38"/>
  <c r="DR25" i="38"/>
  <c r="DP28" i="38"/>
  <c r="DJ27" i="38"/>
  <c r="DJ26" i="38"/>
  <c r="DJ25" i="38"/>
  <c r="DH28" i="38"/>
  <c r="DD28" i="38"/>
  <c r="DB27" i="38"/>
  <c r="DB26" i="38"/>
  <c r="DB25" i="38"/>
  <c r="CZ28" i="38"/>
  <c r="CV28" i="38"/>
  <c r="CT27" i="38"/>
  <c r="CT26" i="38"/>
  <c r="CT25" i="38"/>
  <c r="CR28" i="38"/>
  <c r="CN28" i="38"/>
  <c r="CL27" i="38"/>
  <c r="CL26" i="38"/>
  <c r="CL25" i="38"/>
  <c r="CJ28" i="38"/>
  <c r="CF28" i="38"/>
  <c r="CB28" i="38"/>
  <c r="BX28" i="38"/>
  <c r="BV27" i="38"/>
  <c r="BV26" i="38"/>
  <c r="BV25" i="38"/>
  <c r="BT28" i="38"/>
  <c r="BP28" i="38"/>
  <c r="BL28" i="38"/>
  <c r="BH28" i="38"/>
  <c r="BD28" i="38"/>
  <c r="AZ28" i="38"/>
  <c r="AV28" i="38"/>
  <c r="AR28" i="38"/>
  <c r="AJ28" i="38"/>
  <c r="AF28" i="38"/>
  <c r="AB28" i="38"/>
  <c r="X28" i="38"/>
  <c r="T28" i="38"/>
  <c r="L28" i="38"/>
  <c r="H28" i="38"/>
  <c r="D27" i="38"/>
  <c r="D26" i="38"/>
  <c r="D25" i="38"/>
  <c r="IQ27" i="38"/>
  <c r="IP27" i="38"/>
  <c r="IQ26" i="38"/>
  <c r="IP26" i="38"/>
  <c r="IQ25" i="38"/>
  <c r="IP25" i="38"/>
  <c r="IK27" i="38"/>
  <c r="IJ27" i="38"/>
  <c r="IK26" i="38"/>
  <c r="IJ26" i="38"/>
  <c r="IK25" i="38"/>
  <c r="IJ25" i="38"/>
  <c r="GS20" i="38"/>
  <c r="GN22" i="38"/>
  <c r="GN21" i="38"/>
  <c r="GN20" i="38"/>
  <c r="GM23" i="38"/>
  <c r="IA21" i="38" s="1"/>
  <c r="GH22" i="38"/>
  <c r="GH21" i="38"/>
  <c r="GH20" i="38"/>
  <c r="GB22" i="38"/>
  <c r="GB21" i="38"/>
  <c r="GB20" i="38"/>
  <c r="FV22" i="38"/>
  <c r="FV21" i="38"/>
  <c r="FV20" i="38"/>
  <c r="FN22" i="38"/>
  <c r="FN21" i="38"/>
  <c r="FN20" i="38"/>
  <c r="FH23" i="38"/>
  <c r="FF22" i="38"/>
  <c r="FF21" i="38"/>
  <c r="FF20" i="38"/>
  <c r="EZ23" i="38"/>
  <c r="EX22" i="38"/>
  <c r="EX21" i="38"/>
  <c r="EX20" i="38"/>
  <c r="EV23" i="38"/>
  <c r="ER23" i="38"/>
  <c r="EP22" i="38"/>
  <c r="EP21" i="38"/>
  <c r="EP20" i="38"/>
  <c r="EN23" i="38"/>
  <c r="EJ23" i="38"/>
  <c r="EH22" i="38"/>
  <c r="EH21" i="38"/>
  <c r="EH20" i="38"/>
  <c r="EF23" i="38"/>
  <c r="EB23" i="38"/>
  <c r="DZ22" i="38"/>
  <c r="DZ21" i="38"/>
  <c r="DZ20" i="38"/>
  <c r="DX23" i="38"/>
  <c r="DZ23" i="38" s="1"/>
  <c r="DR22" i="38"/>
  <c r="DR21" i="38"/>
  <c r="DR20" i="38"/>
  <c r="DP23" i="38"/>
  <c r="DL23" i="38"/>
  <c r="F112" i="12" s="1"/>
  <c r="DJ22" i="38"/>
  <c r="DJ21" i="38"/>
  <c r="DJ20" i="38"/>
  <c r="DH23" i="38"/>
  <c r="DD23" i="38"/>
  <c r="DB22" i="38"/>
  <c r="DB21" i="38"/>
  <c r="DB20" i="38"/>
  <c r="CZ23" i="38"/>
  <c r="CV23" i="38"/>
  <c r="CT22" i="38"/>
  <c r="CT21" i="38"/>
  <c r="CT20" i="38"/>
  <c r="CR23" i="38"/>
  <c r="CN23" i="38"/>
  <c r="CL22" i="38"/>
  <c r="CL21" i="38"/>
  <c r="CL20" i="38"/>
  <c r="CJ23" i="38"/>
  <c r="CF23" i="38"/>
  <c r="CB23" i="38"/>
  <c r="BX23" i="38"/>
  <c r="BV22" i="38"/>
  <c r="BV21" i="38"/>
  <c r="BV20" i="38"/>
  <c r="BT23" i="38"/>
  <c r="BP23" i="38"/>
  <c r="BL23" i="38"/>
  <c r="BH23" i="38"/>
  <c r="BD23" i="38"/>
  <c r="AZ23" i="38"/>
  <c r="AV23" i="38"/>
  <c r="AR23" i="38"/>
  <c r="AN23" i="38"/>
  <c r="AJ23" i="38"/>
  <c r="AF23" i="38"/>
  <c r="AB23" i="38"/>
  <c r="X23" i="38"/>
  <c r="T23" i="38"/>
  <c r="P23" i="38"/>
  <c r="L23" i="38"/>
  <c r="H23" i="38"/>
  <c r="D22" i="38"/>
  <c r="D21" i="38"/>
  <c r="D20" i="38"/>
  <c r="IQ22" i="38"/>
  <c r="IP22" i="38"/>
  <c r="IQ21" i="38"/>
  <c r="IP21" i="38"/>
  <c r="IK22" i="38"/>
  <c r="IJ22" i="38"/>
  <c r="IW22" i="38" s="1"/>
  <c r="IK21" i="38"/>
  <c r="IJ21" i="38"/>
  <c r="IR20" i="38"/>
  <c r="IQ20" i="38"/>
  <c r="IP20" i="38"/>
  <c r="IL20" i="38"/>
  <c r="IK20" i="38"/>
  <c r="IX20" i="38" s="1"/>
  <c r="IJ20" i="38"/>
  <c r="IW20" i="38" s="1"/>
  <c r="GS17" i="38"/>
  <c r="GS16" i="38"/>
  <c r="GS15" i="38"/>
  <c r="GR18" i="38"/>
  <c r="GN17" i="38"/>
  <c r="GN16" i="38"/>
  <c r="GN15" i="38"/>
  <c r="GM18" i="38"/>
  <c r="IA15" i="38" s="1"/>
  <c r="GH17" i="38"/>
  <c r="GH16" i="38"/>
  <c r="GH15" i="38"/>
  <c r="GB17" i="38"/>
  <c r="GB16" i="38"/>
  <c r="GB15" i="38"/>
  <c r="FV17" i="38"/>
  <c r="FV16" i="38"/>
  <c r="FV15" i="38"/>
  <c r="FN17" i="38"/>
  <c r="FN16" i="38"/>
  <c r="FN15" i="38"/>
  <c r="FH18" i="38"/>
  <c r="FF17" i="38"/>
  <c r="FF16" i="38"/>
  <c r="FF15" i="38"/>
  <c r="EZ18" i="38"/>
  <c r="EX17" i="38"/>
  <c r="EX16" i="38"/>
  <c r="EX15" i="38"/>
  <c r="EV18" i="38"/>
  <c r="ER18" i="38"/>
  <c r="EP17" i="38"/>
  <c r="EP16" i="38"/>
  <c r="EP15" i="38"/>
  <c r="EN18" i="38"/>
  <c r="EJ18" i="38"/>
  <c r="EH17" i="38"/>
  <c r="EH16" i="38"/>
  <c r="EH15" i="38"/>
  <c r="EF18" i="38"/>
  <c r="EB18" i="38"/>
  <c r="DZ17" i="38"/>
  <c r="DZ16" i="38"/>
  <c r="DZ15" i="38"/>
  <c r="DX18" i="38"/>
  <c r="HR16" i="38" s="1"/>
  <c r="DR17" i="38"/>
  <c r="DR16" i="38"/>
  <c r="DR15" i="38"/>
  <c r="DP18" i="38"/>
  <c r="HQ16" i="38" s="1"/>
  <c r="DL18" i="38"/>
  <c r="F111" i="12" s="1"/>
  <c r="DJ17" i="38"/>
  <c r="DJ16" i="38"/>
  <c r="DJ15" i="38"/>
  <c r="DH18" i="38"/>
  <c r="DD18" i="38"/>
  <c r="DB17" i="38"/>
  <c r="DB16" i="38"/>
  <c r="DB15" i="38"/>
  <c r="CZ18" i="38"/>
  <c r="CV18" i="38"/>
  <c r="CT17" i="38"/>
  <c r="CT16" i="38"/>
  <c r="CT15" i="38"/>
  <c r="CR18" i="38"/>
  <c r="CN18" i="38"/>
  <c r="CL17" i="38"/>
  <c r="CL16" i="38"/>
  <c r="CL15" i="38"/>
  <c r="CJ18" i="38"/>
  <c r="CF18" i="38"/>
  <c r="CB18" i="38"/>
  <c r="BX18" i="38"/>
  <c r="BV17" i="38"/>
  <c r="BV16" i="38"/>
  <c r="BV15" i="38"/>
  <c r="BT18" i="38"/>
  <c r="BP18" i="38"/>
  <c r="BL18" i="38"/>
  <c r="BH18" i="38"/>
  <c r="BD18" i="38"/>
  <c r="AZ18" i="38"/>
  <c r="AV18" i="38"/>
  <c r="AR18" i="38"/>
  <c r="AN18" i="38"/>
  <c r="AJ18" i="38"/>
  <c r="AF18" i="38"/>
  <c r="AB18" i="38"/>
  <c r="X18" i="38"/>
  <c r="T18" i="38"/>
  <c r="P18" i="38"/>
  <c r="L18" i="38"/>
  <c r="H18" i="38"/>
  <c r="D17" i="38"/>
  <c r="D16" i="38"/>
  <c r="D15" i="38"/>
  <c r="IR17" i="38"/>
  <c r="IQ17" i="38"/>
  <c r="IP17" i="38"/>
  <c r="IR16" i="38"/>
  <c r="IQ16" i="38"/>
  <c r="IP16" i="38"/>
  <c r="IR15" i="38"/>
  <c r="IQ15" i="38"/>
  <c r="IP15" i="38"/>
  <c r="IL17" i="38"/>
  <c r="IK17" i="38"/>
  <c r="IJ17" i="38"/>
  <c r="IL16" i="38"/>
  <c r="IX16" i="38" s="1"/>
  <c r="IK16" i="38"/>
  <c r="IJ16" i="38"/>
  <c r="IW16" i="38" s="1"/>
  <c r="IL15" i="38"/>
  <c r="IK15" i="38"/>
  <c r="IJ15" i="38"/>
  <c r="GS12" i="38"/>
  <c r="GS11" i="38"/>
  <c r="GS10" i="38"/>
  <c r="GN12" i="38"/>
  <c r="GN11" i="38"/>
  <c r="GN10" i="38"/>
  <c r="GH12" i="38"/>
  <c r="GH11" i="38"/>
  <c r="GH10" i="38"/>
  <c r="GB12" i="38"/>
  <c r="GB11" i="38"/>
  <c r="GB10" i="38"/>
  <c r="FV12" i="38"/>
  <c r="FV11" i="38"/>
  <c r="FV10" i="38"/>
  <c r="FN12" i="38"/>
  <c r="FN11" i="38"/>
  <c r="FN10" i="38"/>
  <c r="FF12" i="38"/>
  <c r="FF11" i="38"/>
  <c r="FF10" i="38"/>
  <c r="EZ13" i="38"/>
  <c r="EX12" i="38"/>
  <c r="EX11" i="38"/>
  <c r="EX10" i="38"/>
  <c r="EV13" i="38"/>
  <c r="HU12" i="38" s="1"/>
  <c r="ER13" i="38"/>
  <c r="EP12" i="38"/>
  <c r="EP11" i="38"/>
  <c r="EP10" i="38"/>
  <c r="EN13" i="38"/>
  <c r="EJ13" i="38"/>
  <c r="EH12" i="38"/>
  <c r="EH11" i="38"/>
  <c r="EH10" i="38"/>
  <c r="EF13" i="38"/>
  <c r="EB13" i="38"/>
  <c r="DZ12" i="38"/>
  <c r="DZ11" i="38"/>
  <c r="DZ10" i="38"/>
  <c r="DX13" i="38"/>
  <c r="HR11" i="38" s="1"/>
  <c r="DR12" i="38"/>
  <c r="DR11" i="38"/>
  <c r="DR10" i="38"/>
  <c r="DP13" i="38"/>
  <c r="DL13" i="38"/>
  <c r="DJ12" i="38"/>
  <c r="DJ11" i="38"/>
  <c r="DJ10" i="38"/>
  <c r="DH13" i="38"/>
  <c r="DD13" i="38"/>
  <c r="DB12" i="38"/>
  <c r="DB11" i="38"/>
  <c r="DB10" i="38"/>
  <c r="CZ13" i="38"/>
  <c r="CV13" i="38"/>
  <c r="CT12" i="38"/>
  <c r="CT11" i="38"/>
  <c r="CT10" i="38"/>
  <c r="CR13" i="38"/>
  <c r="CN13" i="38"/>
  <c r="CL12" i="38"/>
  <c r="CL11" i="38"/>
  <c r="CL10" i="38"/>
  <c r="CJ13" i="38"/>
  <c r="CF13" i="38"/>
  <c r="CB13" i="38"/>
  <c r="BX13" i="38"/>
  <c r="BV12" i="38"/>
  <c r="BV11" i="38"/>
  <c r="BV10" i="38"/>
  <c r="BT13" i="38"/>
  <c r="BP13" i="38"/>
  <c r="BL13" i="38"/>
  <c r="BH13" i="38"/>
  <c r="BD13" i="38"/>
  <c r="AZ13" i="38"/>
  <c r="AV13" i="38"/>
  <c r="AR13" i="38"/>
  <c r="AN13" i="38"/>
  <c r="AJ13" i="38"/>
  <c r="AF13" i="38"/>
  <c r="AB13" i="38"/>
  <c r="X13" i="38"/>
  <c r="T13" i="38"/>
  <c r="P13" i="38"/>
  <c r="L13" i="38"/>
  <c r="H13" i="38"/>
  <c r="IL12" i="38"/>
  <c r="IK12" i="38"/>
  <c r="IJ12" i="38"/>
  <c r="IW12" i="38" s="1"/>
  <c r="IL11" i="38"/>
  <c r="IX11" i="38" s="1"/>
  <c r="IK11" i="38"/>
  <c r="IJ11" i="38"/>
  <c r="IX10" i="38"/>
  <c r="IR12" i="38"/>
  <c r="IQ12" i="38"/>
  <c r="IP12" i="38"/>
  <c r="IR11" i="38"/>
  <c r="IQ11" i="38"/>
  <c r="IP11" i="38"/>
  <c r="IR10" i="38"/>
  <c r="IQ10" i="38"/>
  <c r="IL10" i="38"/>
  <c r="IK10" i="38"/>
  <c r="N5" i="38"/>
  <c r="V5" i="38"/>
  <c r="AD5" i="38" s="1"/>
  <c r="AL5" i="38" s="1"/>
  <c r="AT5" i="38" s="1"/>
  <c r="BB5" i="38" s="1"/>
  <c r="BJ5" i="38" s="1"/>
  <c r="BR5" i="38" s="1"/>
  <c r="BZ5" i="38" s="1"/>
  <c r="CH5" i="38" s="1"/>
  <c r="CP5" i="38" s="1"/>
  <c r="CX5" i="38" s="1"/>
  <c r="DF5" i="38" s="1"/>
  <c r="DN5" i="38" s="1"/>
  <c r="DV5" i="38" s="1"/>
  <c r="ED5" i="38" s="1"/>
  <c r="EL5" i="38" s="1"/>
  <c r="ET5" i="38" s="1"/>
  <c r="FB5" i="38" s="1"/>
  <c r="FJ5" i="38" s="1"/>
  <c r="FR5" i="38" s="1"/>
  <c r="FZ5" i="38" s="1"/>
  <c r="GE5" i="38" s="1"/>
  <c r="GK5" i="38" s="1"/>
  <c r="GQ5" i="38" s="1"/>
  <c r="GW5" i="38" s="1"/>
  <c r="A1" i="38"/>
  <c r="BS88" i="28"/>
  <c r="BR88" i="28"/>
  <c r="BQ88" i="28"/>
  <c r="BP88" i="28"/>
  <c r="BI88" i="28"/>
  <c r="BH88" i="28"/>
  <c r="BG88" i="28"/>
  <c r="BF88" i="28"/>
  <c r="BX84" i="28"/>
  <c r="BW84" i="28"/>
  <c r="BV84" i="28"/>
  <c r="BU84" i="28"/>
  <c r="BT84" i="28"/>
  <c r="BS84" i="28"/>
  <c r="BR84" i="28"/>
  <c r="BQ84" i="28"/>
  <c r="BP84" i="28"/>
  <c r="BX83" i="28"/>
  <c r="BW83" i="28"/>
  <c r="BV83" i="28"/>
  <c r="BU83" i="28"/>
  <c r="BT83" i="28"/>
  <c r="BS83" i="28"/>
  <c r="BR83" i="28"/>
  <c r="BQ83" i="28"/>
  <c r="BP83" i="28"/>
  <c r="DH82" i="28"/>
  <c r="AJ82" i="28" s="1"/>
  <c r="DG82" i="28"/>
  <c r="DF82" i="28"/>
  <c r="X82" i="28" s="1"/>
  <c r="DE82" i="28"/>
  <c r="U82" i="28" s="1"/>
  <c r="DD82" i="28"/>
  <c r="P82" i="28" s="1"/>
  <c r="CH84" i="28"/>
  <c r="CG84" i="28"/>
  <c r="CF84" i="28"/>
  <c r="CE84" i="28"/>
  <c r="CH83" i="28"/>
  <c r="CG83" i="28"/>
  <c r="CF83" i="28"/>
  <c r="CE83" i="28"/>
  <c r="CC84" i="28"/>
  <c r="CB84" i="28"/>
  <c r="CA84" i="28"/>
  <c r="BZ84" i="28"/>
  <c r="CC83" i="28"/>
  <c r="CB83" i="28"/>
  <c r="CA83" i="28"/>
  <c r="BZ83" i="28"/>
  <c r="BN84" i="28"/>
  <c r="BM84" i="28"/>
  <c r="BL84" i="28"/>
  <c r="BK84" i="28"/>
  <c r="BN83" i="28"/>
  <c r="BM83" i="28"/>
  <c r="BL83" i="28"/>
  <c r="BK83" i="28"/>
  <c r="BI84" i="28"/>
  <c r="BH84" i="28"/>
  <c r="BG84" i="28"/>
  <c r="BF84" i="28"/>
  <c r="BI83" i="28"/>
  <c r="BH83" i="28"/>
  <c r="BG83" i="28"/>
  <c r="BF83" i="28"/>
  <c r="BD84" i="28"/>
  <c r="BC84" i="28"/>
  <c r="BB84" i="28"/>
  <c r="BA84" i="28"/>
  <c r="BD83" i="28"/>
  <c r="BC83" i="28"/>
  <c r="BB83" i="28"/>
  <c r="BA83" i="28"/>
  <c r="AY84" i="28"/>
  <c r="AX84" i="28"/>
  <c r="AW84" i="28"/>
  <c r="AV84" i="28"/>
  <c r="AY83" i="28"/>
  <c r="AX83" i="28"/>
  <c r="AW83" i="28"/>
  <c r="AV83" i="28"/>
  <c r="AT84" i="28"/>
  <c r="AS84" i="28"/>
  <c r="AR84" i="28"/>
  <c r="AQ84" i="28"/>
  <c r="AT83" i="28"/>
  <c r="AS83" i="28"/>
  <c r="AR83" i="28"/>
  <c r="AQ83" i="28"/>
  <c r="AO84" i="28"/>
  <c r="AN84" i="28"/>
  <c r="AM84" i="28"/>
  <c r="AL84" i="28"/>
  <c r="AO83" i="28"/>
  <c r="AN83" i="28"/>
  <c r="AM83" i="28"/>
  <c r="AL83" i="28"/>
  <c r="AJ84" i="28"/>
  <c r="AI84" i="28"/>
  <c r="AH84" i="28"/>
  <c r="AG84" i="28"/>
  <c r="AJ83" i="28"/>
  <c r="AI83" i="28"/>
  <c r="AH83" i="28"/>
  <c r="AG83" i="28"/>
  <c r="AE84" i="28"/>
  <c r="AD84" i="28"/>
  <c r="AC84" i="28"/>
  <c r="AB84" i="28"/>
  <c r="AE83" i="28"/>
  <c r="AD83" i="28"/>
  <c r="AC83" i="28"/>
  <c r="AB83" i="28"/>
  <c r="Z84" i="28"/>
  <c r="Y84" i="28"/>
  <c r="X84" i="28"/>
  <c r="W84" i="28"/>
  <c r="Z83" i="28"/>
  <c r="Y83" i="28"/>
  <c r="X83" i="28"/>
  <c r="W83" i="28"/>
  <c r="U84" i="28"/>
  <c r="T84" i="28"/>
  <c r="S84" i="28"/>
  <c r="R84" i="28"/>
  <c r="U83" i="28"/>
  <c r="T83" i="28"/>
  <c r="S83" i="28"/>
  <c r="R83" i="28"/>
  <c r="P84" i="28"/>
  <c r="O84" i="28"/>
  <c r="N84" i="28"/>
  <c r="M84" i="28"/>
  <c r="P83" i="28"/>
  <c r="O83" i="28"/>
  <c r="N83" i="28"/>
  <c r="M83" i="28"/>
  <c r="DU68" i="28"/>
  <c r="DT68" i="28"/>
  <c r="DR68" i="28"/>
  <c r="DQ68" i="28"/>
  <c r="DP68" i="28"/>
  <c r="DO68" i="28"/>
  <c r="DN68" i="28"/>
  <c r="DM68" i="28"/>
  <c r="DL68" i="28"/>
  <c r="DJ68" i="28"/>
  <c r="DI68" i="28"/>
  <c r="DH67" i="28"/>
  <c r="DG67" i="28"/>
  <c r="DR64" i="28"/>
  <c r="DQ64" i="28"/>
  <c r="DQ63" i="28"/>
  <c r="DR63" i="28" s="1"/>
  <c r="DS63" i="28" s="1"/>
  <c r="DT63" i="28" s="1"/>
  <c r="DU63" i="28" s="1"/>
  <c r="DV63" i="28" s="1"/>
  <c r="DW63" i="28" s="1"/>
  <c r="DI61" i="28"/>
  <c r="DQ57" i="28"/>
  <c r="DR57" i="28" s="1"/>
  <c r="DS57" i="28" s="1"/>
  <c r="DT57" i="28" s="1"/>
  <c r="DU57" i="28" s="1"/>
  <c r="DV57" i="28" s="1"/>
  <c r="DW57" i="28" s="1"/>
  <c r="DQ53" i="28"/>
  <c r="CF56" i="28"/>
  <c r="CF55" i="28"/>
  <c r="CF53" i="28"/>
  <c r="AL55" i="28"/>
  <c r="AL53" i="28"/>
  <c r="N53" i="28"/>
  <c r="M53" i="28"/>
  <c r="DR58" i="28"/>
  <c r="DU53" i="28"/>
  <c r="DT53" i="28"/>
  <c r="DS53" i="28"/>
  <c r="DR53" i="28"/>
  <c r="DP53" i="28"/>
  <c r="DO53" i="28"/>
  <c r="DN53" i="28"/>
  <c r="DM53" i="28"/>
  <c r="DL53" i="28"/>
  <c r="DK53" i="28"/>
  <c r="DJ53" i="28"/>
  <c r="DI53" i="28"/>
  <c r="DH53" i="28"/>
  <c r="DG53" i="28"/>
  <c r="DF53" i="28"/>
  <c r="DE53" i="28"/>
  <c r="DD53" i="28"/>
  <c r="CK58" i="28"/>
  <c r="CJ58" i="28"/>
  <c r="CH58" i="28"/>
  <c r="CG58" i="28"/>
  <c r="CJ56" i="28"/>
  <c r="CH56" i="28"/>
  <c r="CG56" i="28"/>
  <c r="CJ55" i="28"/>
  <c r="CH55" i="28"/>
  <c r="CG55" i="28"/>
  <c r="CK53" i="28"/>
  <c r="CJ53" i="28"/>
  <c r="CH53" i="28"/>
  <c r="CG53" i="28"/>
  <c r="AS56" i="28"/>
  <c r="AQ56" i="28"/>
  <c r="AS55" i="28"/>
  <c r="AR55" i="28"/>
  <c r="AQ55" i="28"/>
  <c r="AS53" i="28"/>
  <c r="AR53" i="28"/>
  <c r="AQ53" i="28"/>
  <c r="AG56" i="28"/>
  <c r="AJ55" i="28"/>
  <c r="AI55" i="28"/>
  <c r="AH55" i="28"/>
  <c r="AG55" i="28"/>
  <c r="AJ53" i="28"/>
  <c r="AI53" i="28"/>
  <c r="AH53" i="28"/>
  <c r="AG53" i="28"/>
  <c r="K54" i="28"/>
  <c r="J54" i="28"/>
  <c r="K53" i="28"/>
  <c r="J53" i="28"/>
  <c r="BI47" i="28"/>
  <c r="BD47" i="28"/>
  <c r="AY47" i="28"/>
  <c r="AT47" i="28"/>
  <c r="AO47" i="28"/>
  <c r="AJ47" i="28"/>
  <c r="DC47" i="28"/>
  <c r="CE47" i="28"/>
  <c r="CC47" i="28"/>
  <c r="CB47" i="28"/>
  <c r="CA47" i="28"/>
  <c r="BZ47" i="28"/>
  <c r="BX47" i="28"/>
  <c r="BW47" i="28"/>
  <c r="BV47" i="28"/>
  <c r="BU47" i="28"/>
  <c r="BR47" i="28"/>
  <c r="Q35" i="82" s="1"/>
  <c r="Y35" i="82" s="1"/>
  <c r="BQ47" i="28"/>
  <c r="BP47" i="28"/>
  <c r="BN47" i="28"/>
  <c r="BM47" i="28"/>
  <c r="BL47" i="28"/>
  <c r="BK47" i="28"/>
  <c r="BH47" i="28"/>
  <c r="BG47" i="28"/>
  <c r="BF47" i="28"/>
  <c r="BC47" i="28"/>
  <c r="BB47" i="28"/>
  <c r="BA47" i="28"/>
  <c r="AX47" i="28"/>
  <c r="AW47" i="28"/>
  <c r="AV47" i="28"/>
  <c r="AS47" i="28"/>
  <c r="AR47" i="28"/>
  <c r="AQ47" i="28"/>
  <c r="AN47" i="28"/>
  <c r="AM47" i="28"/>
  <c r="AL47" i="28"/>
  <c r="AI47" i="28"/>
  <c r="AH47" i="28"/>
  <c r="AG47" i="28"/>
  <c r="AE47" i="28"/>
  <c r="AD47" i="28"/>
  <c r="AC47" i="28"/>
  <c r="AB47" i="28"/>
  <c r="Z47" i="28"/>
  <c r="Y47" i="28"/>
  <c r="X47" i="28"/>
  <c r="W47" i="28"/>
  <c r="U47" i="28"/>
  <c r="T47" i="28"/>
  <c r="S47" i="28"/>
  <c r="R47" i="28"/>
  <c r="P47" i="28"/>
  <c r="O47" i="28"/>
  <c r="N47" i="28"/>
  <c r="M47" i="28"/>
  <c r="K47" i="28"/>
  <c r="J47" i="28"/>
  <c r="I47" i="28"/>
  <c r="H47" i="28"/>
  <c r="DU33" i="28"/>
  <c r="DS33" i="28"/>
  <c r="DR33" i="28"/>
  <c r="DQ33" i="28"/>
  <c r="DP33" i="28"/>
  <c r="DO33" i="28"/>
  <c r="DN33" i="28"/>
  <c r="DM33" i="28"/>
  <c r="DL33" i="28"/>
  <c r="DK33" i="28"/>
  <c r="DJ33" i="28"/>
  <c r="DH33" i="28"/>
  <c r="DG33" i="28"/>
  <c r="DF33" i="28"/>
  <c r="DE33" i="28"/>
  <c r="DD33" i="28"/>
  <c r="DC33" i="28"/>
  <c r="DB33" i="28"/>
  <c r="DA33" i="28"/>
  <c r="CZ33" i="28"/>
  <c r="CY33" i="28"/>
  <c r="DK28" i="28"/>
  <c r="DI28" i="28"/>
  <c r="R23" i="82" s="1"/>
  <c r="Z23" i="82" s="1"/>
  <c r="DH28" i="28"/>
  <c r="CH28" i="28"/>
  <c r="D23" i="82" s="1"/>
  <c r="CG28" i="28"/>
  <c r="CF28" i="28"/>
  <c r="CE28" i="28"/>
  <c r="CC28" i="28"/>
  <c r="CB28" i="28"/>
  <c r="CA28" i="28"/>
  <c r="BZ28" i="28"/>
  <c r="BX28" i="28"/>
  <c r="BW28" i="28"/>
  <c r="BV28" i="28"/>
  <c r="BU28" i="28"/>
  <c r="BS28" i="28"/>
  <c r="BR28" i="28"/>
  <c r="Q23" i="82" s="1"/>
  <c r="Y23" i="82" s="1"/>
  <c r="BQ28" i="28"/>
  <c r="BP28" i="28"/>
  <c r="BL29" i="28"/>
  <c r="BK29" i="28"/>
  <c r="BN28" i="28"/>
  <c r="BM28" i="28"/>
  <c r="BL28" i="28"/>
  <c r="BK28" i="28"/>
  <c r="BI29" i="28"/>
  <c r="BH29" i="28"/>
  <c r="BG29" i="28"/>
  <c r="BF29" i="28"/>
  <c r="BI28" i="28"/>
  <c r="BH28" i="28"/>
  <c r="BG28" i="28"/>
  <c r="BF28" i="28"/>
  <c r="BD29" i="28"/>
  <c r="BC29" i="28"/>
  <c r="BB29" i="28"/>
  <c r="BA29" i="28"/>
  <c r="BD28" i="28"/>
  <c r="BC28" i="28"/>
  <c r="BB28" i="28"/>
  <c r="BA28" i="28"/>
  <c r="AY29" i="28"/>
  <c r="AX29" i="28"/>
  <c r="AW29" i="28"/>
  <c r="AV29" i="28"/>
  <c r="AY28" i="28"/>
  <c r="AX28" i="28"/>
  <c r="AW28" i="28"/>
  <c r="AV28" i="28"/>
  <c r="AT29" i="28"/>
  <c r="AS29" i="28"/>
  <c r="AR29" i="28"/>
  <c r="AQ29" i="28"/>
  <c r="AT28" i="28"/>
  <c r="AS28" i="28"/>
  <c r="AR28" i="28"/>
  <c r="AQ28" i="28"/>
  <c r="AO29" i="28"/>
  <c r="AN29" i="28"/>
  <c r="AM29" i="28"/>
  <c r="AL29" i="28"/>
  <c r="AO28" i="28"/>
  <c r="AN28" i="28"/>
  <c r="AM28" i="28"/>
  <c r="AL28" i="28"/>
  <c r="AJ29" i="28"/>
  <c r="AI29" i="28"/>
  <c r="AH29" i="28"/>
  <c r="AG29" i="28"/>
  <c r="AJ28" i="28"/>
  <c r="AI28" i="28"/>
  <c r="AH28" i="28"/>
  <c r="AG28" i="28"/>
  <c r="AE30" i="28"/>
  <c r="AD30" i="28"/>
  <c r="AC30" i="28"/>
  <c r="AB30" i="28"/>
  <c r="AE29" i="28"/>
  <c r="AD29" i="28"/>
  <c r="AC29" i="28"/>
  <c r="AB29" i="28"/>
  <c r="AE28" i="28"/>
  <c r="AD28" i="28"/>
  <c r="AC28" i="28"/>
  <c r="AB28" i="28"/>
  <c r="U30" i="28"/>
  <c r="T30" i="28"/>
  <c r="S30" i="28"/>
  <c r="R30" i="28"/>
  <c r="U29" i="28"/>
  <c r="T29" i="28"/>
  <c r="S29" i="28"/>
  <c r="R29" i="28"/>
  <c r="U28" i="28"/>
  <c r="T28" i="28"/>
  <c r="S28" i="28"/>
  <c r="R28" i="28"/>
  <c r="P30" i="28"/>
  <c r="O30" i="28"/>
  <c r="N30" i="28"/>
  <c r="M30" i="28"/>
  <c r="P29" i="28"/>
  <c r="O29" i="28"/>
  <c r="N29" i="28"/>
  <c r="M29" i="28"/>
  <c r="P28" i="28"/>
  <c r="O28" i="28"/>
  <c r="N28" i="28"/>
  <c r="M28" i="28"/>
  <c r="K30" i="28"/>
  <c r="J30" i="28"/>
  <c r="I30" i="28"/>
  <c r="H30" i="28"/>
  <c r="K29" i="28"/>
  <c r="J29" i="28"/>
  <c r="I29" i="28"/>
  <c r="H29" i="28"/>
  <c r="K28" i="28"/>
  <c r="J28" i="28"/>
  <c r="I28" i="28"/>
  <c r="H28" i="28"/>
  <c r="F28" i="28"/>
  <c r="E28" i="28"/>
  <c r="D28" i="28"/>
  <c r="C28" i="28"/>
  <c r="CF23" i="28"/>
  <c r="CE23" i="28"/>
  <c r="CC23" i="28"/>
  <c r="CB23" i="28"/>
  <c r="CA23" i="28"/>
  <c r="BZ23" i="28"/>
  <c r="BX23" i="28"/>
  <c r="BW23" i="28"/>
  <c r="BV23" i="28"/>
  <c r="BU23" i="28"/>
  <c r="BS23" i="28"/>
  <c r="BR23" i="28"/>
  <c r="Q18" i="82" s="1"/>
  <c r="Y18" i="82" s="1"/>
  <c r="BQ23" i="28"/>
  <c r="BP23" i="28"/>
  <c r="BN23" i="28"/>
  <c r="BM23" i="28"/>
  <c r="BI23" i="28"/>
  <c r="BH23" i="28"/>
  <c r="BG23" i="28"/>
  <c r="BF23" i="28"/>
  <c r="BD23" i="28"/>
  <c r="BB23" i="28"/>
  <c r="BA23" i="28"/>
  <c r="AY23" i="28"/>
  <c r="AX23" i="28"/>
  <c r="AW23" i="28"/>
  <c r="AV23" i="28"/>
  <c r="AT23" i="28"/>
  <c r="AR23" i="28"/>
  <c r="AQ23" i="28"/>
  <c r="AO23" i="28"/>
  <c r="AN23" i="28"/>
  <c r="AM23" i="28"/>
  <c r="AL23" i="28"/>
  <c r="AJ23" i="28"/>
  <c r="AI23" i="28"/>
  <c r="AH23" i="28"/>
  <c r="AG23" i="28"/>
  <c r="AE23" i="28"/>
  <c r="AD23" i="28"/>
  <c r="AC23" i="28"/>
  <c r="AB23" i="28"/>
  <c r="U23" i="28"/>
  <c r="T23" i="28"/>
  <c r="S23" i="28"/>
  <c r="R23" i="28"/>
  <c r="P23" i="28"/>
  <c r="O23" i="28"/>
  <c r="N23" i="28"/>
  <c r="M23" i="28"/>
  <c r="K23" i="28"/>
  <c r="J23" i="28"/>
  <c r="I23" i="28"/>
  <c r="H23" i="28"/>
  <c r="F23" i="28"/>
  <c r="E23" i="28"/>
  <c r="D23" i="28"/>
  <c r="C23" i="28"/>
  <c r="CH20" i="28"/>
  <c r="D14" i="82" s="1"/>
  <c r="CG20" i="28"/>
  <c r="CF20" i="28"/>
  <c r="CE20" i="28"/>
  <c r="CH19" i="28"/>
  <c r="D13" i="82" s="1"/>
  <c r="CG19" i="28"/>
  <c r="CF19" i="28"/>
  <c r="CE19" i="28"/>
  <c r="CE39" i="28" s="1"/>
  <c r="CC20" i="28"/>
  <c r="CB20" i="28"/>
  <c r="CA20" i="28"/>
  <c r="BZ20" i="28"/>
  <c r="CC19" i="28"/>
  <c r="CB19" i="28"/>
  <c r="CA19" i="28"/>
  <c r="BZ19" i="28"/>
  <c r="BX20" i="28"/>
  <c r="BW20" i="28"/>
  <c r="BV20" i="28"/>
  <c r="BU20" i="28"/>
  <c r="BX19" i="28"/>
  <c r="BW19" i="28"/>
  <c r="BV19" i="28"/>
  <c r="BU19" i="28"/>
  <c r="BS20" i="28"/>
  <c r="BQ20" i="28"/>
  <c r="BP20" i="28"/>
  <c r="BS19" i="28"/>
  <c r="BR19" i="28"/>
  <c r="Q13" i="82" s="1"/>
  <c r="Y13" i="82" s="1"/>
  <c r="BQ19" i="28"/>
  <c r="BP19" i="28"/>
  <c r="BN20" i="28"/>
  <c r="BL20" i="28"/>
  <c r="BK20" i="28"/>
  <c r="BN19" i="28"/>
  <c r="BM19" i="28"/>
  <c r="BK19" i="28"/>
  <c r="BI20" i="28"/>
  <c r="BH20" i="28"/>
  <c r="BF20" i="28"/>
  <c r="BH19" i="28"/>
  <c r="BG19" i="28"/>
  <c r="BC20" i="28"/>
  <c r="BB20" i="28"/>
  <c r="BD19" i="28"/>
  <c r="BC19" i="28"/>
  <c r="BB19" i="28"/>
  <c r="BA19" i="28"/>
  <c r="AX20" i="28"/>
  <c r="AW20" i="28"/>
  <c r="AV20" i="28"/>
  <c r="AY19" i="28"/>
  <c r="AX19" i="28"/>
  <c r="AW19" i="28"/>
  <c r="AV19" i="28"/>
  <c r="AT20" i="28"/>
  <c r="AR20" i="28"/>
  <c r="AQ20" i="28"/>
  <c r="AT19" i="28"/>
  <c r="AS19" i="28"/>
  <c r="AR19" i="28"/>
  <c r="AO20" i="28"/>
  <c r="AN20" i="28"/>
  <c r="AM20" i="28"/>
  <c r="AL20" i="28"/>
  <c r="AO19" i="28"/>
  <c r="AN19" i="28"/>
  <c r="AM19" i="28"/>
  <c r="AL19" i="28"/>
  <c r="AJ20" i="28"/>
  <c r="AI20" i="28"/>
  <c r="AH20" i="28"/>
  <c r="AG20" i="28"/>
  <c r="AJ19" i="28"/>
  <c r="AI19" i="28"/>
  <c r="AH19" i="28"/>
  <c r="AG19" i="28"/>
  <c r="AD20" i="28"/>
  <c r="AC20" i="28"/>
  <c r="AB20" i="28"/>
  <c r="AE19" i="28"/>
  <c r="AD19" i="28"/>
  <c r="AC19" i="28"/>
  <c r="AB19" i="28"/>
  <c r="T20" i="28"/>
  <c r="S20" i="28"/>
  <c r="R20" i="28"/>
  <c r="U19" i="28"/>
  <c r="T19" i="28"/>
  <c r="S19" i="28"/>
  <c r="R19" i="28"/>
  <c r="O20" i="28"/>
  <c r="N20" i="28"/>
  <c r="M20" i="28"/>
  <c r="P19" i="28"/>
  <c r="O19" i="28"/>
  <c r="N19" i="28"/>
  <c r="M19" i="28"/>
  <c r="K19" i="28"/>
  <c r="J19" i="28"/>
  <c r="I19" i="28"/>
  <c r="H19" i="28"/>
  <c r="F19" i="28"/>
  <c r="E19" i="28"/>
  <c r="D19" i="28"/>
  <c r="C19" i="28"/>
  <c r="CH16" i="28"/>
  <c r="CG16" i="28"/>
  <c r="CF16" i="28"/>
  <c r="CE16" i="28"/>
  <c r="CC16" i="28"/>
  <c r="CB16" i="28"/>
  <c r="CA16" i="28"/>
  <c r="BZ16" i="28"/>
  <c r="BX16" i="28"/>
  <c r="BW16" i="28"/>
  <c r="BV16" i="28"/>
  <c r="BU16" i="28"/>
  <c r="BS16" i="28"/>
  <c r="BP16" i="28"/>
  <c r="BN16" i="28"/>
  <c r="BL16" i="28"/>
  <c r="BI16" i="28"/>
  <c r="BH16" i="28"/>
  <c r="BG16" i="28"/>
  <c r="BF16" i="28"/>
  <c r="BD16" i="28"/>
  <c r="BC16" i="28"/>
  <c r="BB16" i="28"/>
  <c r="BA16" i="28"/>
  <c r="AY16" i="28"/>
  <c r="AX16" i="28"/>
  <c r="AW16" i="28"/>
  <c r="AV16" i="28"/>
  <c r="AT16" i="28"/>
  <c r="AS16" i="28"/>
  <c r="AR16" i="28"/>
  <c r="AQ16" i="28"/>
  <c r="AO16" i="28"/>
  <c r="AN16" i="28"/>
  <c r="AM16" i="28"/>
  <c r="AL16" i="28"/>
  <c r="AG15" i="28"/>
  <c r="AG14" i="28"/>
  <c r="CF14" i="28"/>
  <c r="CE14" i="28"/>
  <c r="CC14" i="28"/>
  <c r="CB14" i="28"/>
  <c r="CA14" i="28"/>
  <c r="BZ14" i="28"/>
  <c r="BX14" i="28"/>
  <c r="BW14" i="28"/>
  <c r="BV14" i="28"/>
  <c r="BU14" i="28"/>
  <c r="BS14" i="28"/>
  <c r="BR14" i="28"/>
  <c r="BQ14" i="28"/>
  <c r="BP14" i="28"/>
  <c r="BN14" i="28"/>
  <c r="BM14" i="28"/>
  <c r="BL14" i="28"/>
  <c r="BK14" i="28"/>
  <c r="BI14" i="28"/>
  <c r="BH14" i="28"/>
  <c r="BG14" i="28"/>
  <c r="BF14" i="28"/>
  <c r="BD14" i="28"/>
  <c r="BC14" i="28"/>
  <c r="BB14" i="28"/>
  <c r="BA14" i="28"/>
  <c r="AY14" i="28"/>
  <c r="AX14" i="28"/>
  <c r="AW14" i="28"/>
  <c r="AV14" i="28"/>
  <c r="AT14" i="28"/>
  <c r="AS14" i="28"/>
  <c r="AR14" i="28"/>
  <c r="AQ14" i="28"/>
  <c r="AO14" i="28"/>
  <c r="AN14" i="28"/>
  <c r="AM14" i="28"/>
  <c r="AL14" i="28"/>
  <c r="AJ14" i="28"/>
  <c r="AI14" i="28"/>
  <c r="AH14" i="28"/>
  <c r="AE14" i="28"/>
  <c r="AD14" i="28"/>
  <c r="AC14" i="28"/>
  <c r="AH48" i="28" s="1"/>
  <c r="AB14" i="28"/>
  <c r="AB48" i="28"/>
  <c r="U14" i="28"/>
  <c r="T14" i="28"/>
  <c r="T48" i="28" s="1"/>
  <c r="S14" i="28"/>
  <c r="R14" i="28"/>
  <c r="P14" i="28"/>
  <c r="O14" i="28"/>
  <c r="N14" i="28"/>
  <c r="M14" i="28"/>
  <c r="R48" i="28" s="1"/>
  <c r="K14" i="28"/>
  <c r="J14" i="28"/>
  <c r="I14" i="28"/>
  <c r="H14" i="28"/>
  <c r="F14" i="28"/>
  <c r="E14" i="28"/>
  <c r="D14" i="28"/>
  <c r="C14" i="28"/>
  <c r="H48" i="28" s="1"/>
  <c r="DI11" i="28"/>
  <c r="DH11" i="28"/>
  <c r="DG11" i="28"/>
  <c r="DF11" i="28"/>
  <c r="DE11" i="28"/>
  <c r="U11" i="28" s="1"/>
  <c r="DD11" i="28"/>
  <c r="P11" i="28" s="1"/>
  <c r="DC11" i="28"/>
  <c r="CH11" i="28"/>
  <c r="CG11" i="28"/>
  <c r="CF11" i="28"/>
  <c r="CE11" i="28"/>
  <c r="CF10" i="28"/>
  <c r="CE10" i="28"/>
  <c r="CC11" i="28"/>
  <c r="CB11" i="28"/>
  <c r="CA11" i="28"/>
  <c r="BZ11" i="28"/>
  <c r="CC10" i="28"/>
  <c r="CC13" i="28" s="1"/>
  <c r="CB10" i="28"/>
  <c r="CA10" i="28"/>
  <c r="BZ10" i="28"/>
  <c r="BX11" i="28"/>
  <c r="BW11" i="28"/>
  <c r="BV11" i="28"/>
  <c r="BU11" i="28"/>
  <c r="BX10" i="28"/>
  <c r="BW10" i="28"/>
  <c r="BV10" i="28"/>
  <c r="BU10" i="28"/>
  <c r="BS11" i="28"/>
  <c r="BR11" i="28"/>
  <c r="BQ11" i="28"/>
  <c r="BP11" i="28"/>
  <c r="BS10" i="28"/>
  <c r="BS13" i="28" s="1"/>
  <c r="BS17" i="28" s="1"/>
  <c r="BP10" i="28"/>
  <c r="BM11" i="28"/>
  <c r="BL11" i="28"/>
  <c r="BK11" i="28"/>
  <c r="BN10" i="28"/>
  <c r="BM10" i="28"/>
  <c r="BL10" i="28"/>
  <c r="BK10" i="28"/>
  <c r="BI11" i="28"/>
  <c r="BH11" i="28"/>
  <c r="BG11" i="28"/>
  <c r="BF11" i="28"/>
  <c r="BI10" i="28"/>
  <c r="BH10" i="28"/>
  <c r="BG10" i="28"/>
  <c r="BF10" i="28"/>
  <c r="BD11" i="28"/>
  <c r="BC11" i="28"/>
  <c r="BB11" i="28"/>
  <c r="BA11" i="28"/>
  <c r="BD10" i="28"/>
  <c r="BC10" i="28"/>
  <c r="BB10" i="28"/>
  <c r="BA10" i="28"/>
  <c r="AY11" i="28"/>
  <c r="AX11" i="28"/>
  <c r="AW11" i="28"/>
  <c r="AV11" i="28"/>
  <c r="AY10" i="28"/>
  <c r="AX10" i="28"/>
  <c r="AW10" i="28"/>
  <c r="AV10" i="28"/>
  <c r="AT11" i="28"/>
  <c r="AS11" i="28"/>
  <c r="AR11" i="28"/>
  <c r="AQ11" i="28"/>
  <c r="AT10" i="28"/>
  <c r="AS10" i="28"/>
  <c r="AQ10" i="28"/>
  <c r="AO11" i="28"/>
  <c r="AN11" i="28"/>
  <c r="AM11" i="28"/>
  <c r="AL11" i="28"/>
  <c r="AO10" i="28"/>
  <c r="AN10" i="28"/>
  <c r="AM10" i="28"/>
  <c r="AL10" i="28"/>
  <c r="AJ11" i="28"/>
  <c r="AI11" i="28"/>
  <c r="AH11" i="28"/>
  <c r="AG11" i="28"/>
  <c r="AJ10" i="28"/>
  <c r="AI10" i="28"/>
  <c r="AH10" i="28"/>
  <c r="AG10" i="28"/>
  <c r="AE11" i="28"/>
  <c r="AD11" i="28"/>
  <c r="AC11" i="28"/>
  <c r="AB11" i="28"/>
  <c r="AE10" i="28"/>
  <c r="AE13" i="28" s="1"/>
  <c r="AE36" i="28" s="1"/>
  <c r="AD10" i="28"/>
  <c r="AC10" i="28"/>
  <c r="AB10" i="28"/>
  <c r="U10" i="28"/>
  <c r="T10" i="28"/>
  <c r="S10" i="28"/>
  <c r="R10" i="28"/>
  <c r="P10" i="28"/>
  <c r="O10" i="28"/>
  <c r="N10" i="28"/>
  <c r="M10" i="28"/>
  <c r="K10" i="28"/>
  <c r="J10" i="28"/>
  <c r="I10" i="28"/>
  <c r="H10" i="28"/>
  <c r="F10" i="28"/>
  <c r="E10" i="28"/>
  <c r="D10" i="28"/>
  <c r="C10" i="28"/>
  <c r="CF8" i="28"/>
  <c r="CE8" i="28"/>
  <c r="CC8" i="28"/>
  <c r="CB8" i="28"/>
  <c r="CA8" i="28"/>
  <c r="CA13" i="28" s="1"/>
  <c r="CA17" i="28" s="1"/>
  <c r="BZ8" i="28"/>
  <c r="BX8" i="28"/>
  <c r="BW8" i="28"/>
  <c r="BV8" i="28"/>
  <c r="BV13" i="28" s="1"/>
  <c r="BU8" i="28"/>
  <c r="BS8" i="28"/>
  <c r="BR8" i="28"/>
  <c r="BQ8" i="28"/>
  <c r="BP8" i="28"/>
  <c r="BP13" i="28" s="1"/>
  <c r="BP36" i="28" s="1"/>
  <c r="BN8" i="28"/>
  <c r="BM8" i="28"/>
  <c r="BL8" i="28"/>
  <c r="BK8" i="28"/>
  <c r="BI8" i="28"/>
  <c r="BH8" i="28"/>
  <c r="BG8" i="28"/>
  <c r="BF8" i="28"/>
  <c r="BD8" i="28"/>
  <c r="BC8" i="28"/>
  <c r="BB8" i="28"/>
  <c r="BB13" i="28" s="1"/>
  <c r="BB36" i="28" s="1"/>
  <c r="BA8" i="28"/>
  <c r="AY8" i="28"/>
  <c r="AX8" i="28"/>
  <c r="AW8" i="28"/>
  <c r="AW37" i="28" s="1"/>
  <c r="AV8" i="28"/>
  <c r="AT8" i="28"/>
  <c r="AS8" i="28"/>
  <c r="AR8" i="28"/>
  <c r="AQ8" i="28"/>
  <c r="AO8" i="28"/>
  <c r="AN8" i="28"/>
  <c r="AM8" i="28"/>
  <c r="AM13" i="28" s="1"/>
  <c r="AL8" i="28"/>
  <c r="AJ8" i="28"/>
  <c r="AI8" i="28"/>
  <c r="AH8" i="28"/>
  <c r="AH13" i="28" s="1"/>
  <c r="AG8" i="28"/>
  <c r="AE8" i="28"/>
  <c r="AD8" i="28"/>
  <c r="AI46" i="28" s="1"/>
  <c r="AC8" i="28"/>
  <c r="AC13" i="28" s="1"/>
  <c r="AB8" i="28"/>
  <c r="U8" i="28"/>
  <c r="T8" i="28"/>
  <c r="T46" i="28" s="1"/>
  <c r="S8" i="28"/>
  <c r="R8" i="28"/>
  <c r="P8" i="28"/>
  <c r="P46" i="28" s="1"/>
  <c r="O8" i="28"/>
  <c r="N8" i="28"/>
  <c r="M8" i="28"/>
  <c r="K8" i="28"/>
  <c r="J8" i="28"/>
  <c r="J46" i="28" s="1"/>
  <c r="I8" i="28"/>
  <c r="H8" i="28"/>
  <c r="H37" i="28" s="1"/>
  <c r="F8" i="28"/>
  <c r="E8" i="28"/>
  <c r="D8" i="28"/>
  <c r="C8" i="28"/>
  <c r="DB6" i="28"/>
  <c r="DC6" i="28"/>
  <c r="DD6" i="28" s="1"/>
  <c r="DE6" i="28"/>
  <c r="DF6" i="28" s="1"/>
  <c r="DG6" i="28" s="1"/>
  <c r="DH6" i="28" s="1"/>
  <c r="K6" i="28"/>
  <c r="P6" i="28" s="1"/>
  <c r="U6" i="28" s="1"/>
  <c r="J6" i="28"/>
  <c r="O6" i="28" s="1"/>
  <c r="T6" i="28" s="1"/>
  <c r="I6" i="28"/>
  <c r="N6" i="28" s="1"/>
  <c r="S6" i="28" s="1"/>
  <c r="H6" i="28"/>
  <c r="M6" i="28"/>
  <c r="R6" i="28" s="1"/>
  <c r="BF5" i="28"/>
  <c r="BA5" i="28"/>
  <c r="AV5" i="28"/>
  <c r="AQ5" i="28"/>
  <c r="AL5" i="28"/>
  <c r="W5" i="28"/>
  <c r="R5" i="28"/>
  <c r="M5" i="28"/>
  <c r="A1" i="53"/>
  <c r="Q129" i="85"/>
  <c r="P129" i="85"/>
  <c r="O129" i="85"/>
  <c r="N129" i="85"/>
  <c r="M129" i="85"/>
  <c r="L129" i="85"/>
  <c r="K129" i="85"/>
  <c r="J129" i="85"/>
  <c r="I129" i="85"/>
  <c r="H129" i="85"/>
  <c r="G129" i="85"/>
  <c r="F129" i="85"/>
  <c r="E129" i="85"/>
  <c r="D129" i="85"/>
  <c r="C129" i="85"/>
  <c r="P128" i="85"/>
  <c r="O128" i="85"/>
  <c r="N128" i="85"/>
  <c r="M128" i="85"/>
  <c r="L128" i="85"/>
  <c r="K128" i="85"/>
  <c r="J128" i="85"/>
  <c r="I128" i="85"/>
  <c r="H128" i="85"/>
  <c r="G128" i="85"/>
  <c r="F128" i="85"/>
  <c r="E128" i="85"/>
  <c r="D128" i="85"/>
  <c r="C128" i="85"/>
  <c r="Q86" i="85"/>
  <c r="Q128" i="85" s="1"/>
  <c r="Q44" i="85"/>
  <c r="C38" i="85"/>
  <c r="I38" i="85"/>
  <c r="I120" i="85" s="1"/>
  <c r="G26" i="85"/>
  <c r="G150" i="85" s="1"/>
  <c r="E13" i="85"/>
  <c r="D13" i="85"/>
  <c r="D137" i="85" s="1"/>
  <c r="C13" i="85"/>
  <c r="C53" i="85" s="1"/>
  <c r="DC23" i="28"/>
  <c r="CZ23" i="28"/>
  <c r="CY23" i="28"/>
  <c r="DH19" i="28"/>
  <c r="DJ8" i="28"/>
  <c r="B174" i="9"/>
  <c r="B146" i="9"/>
  <c r="A48" i="9"/>
  <c r="A160" i="9" s="1"/>
  <c r="P48" i="9"/>
  <c r="B55" i="9"/>
  <c r="B168" i="9"/>
  <c r="T49" i="9"/>
  <c r="P53" i="9"/>
  <c r="J53" i="9"/>
  <c r="B127" i="9"/>
  <c r="J46" i="9"/>
  <c r="A76" i="9"/>
  <c r="L75" i="9"/>
  <c r="P19" i="9"/>
  <c r="P27" i="9"/>
  <c r="B34" i="9"/>
  <c r="J90" i="9"/>
  <c r="AP95" i="9"/>
  <c r="T91" i="9"/>
  <c r="N125" i="9"/>
  <c r="T125" i="9"/>
  <c r="N132" i="9"/>
  <c r="P172" i="9"/>
  <c r="P173" i="9"/>
  <c r="N187" i="9"/>
  <c r="J172" i="9"/>
  <c r="J158" i="9"/>
  <c r="P187" i="9"/>
  <c r="T174" i="9"/>
  <c r="L28" i="34"/>
  <c r="L16" i="34"/>
  <c r="P36" i="34"/>
  <c r="X36" i="34"/>
  <c r="AF40" i="34"/>
  <c r="CB23" i="34"/>
  <c r="CJ29" i="34"/>
  <c r="CJ25" i="34"/>
  <c r="CV19" i="34"/>
  <c r="BJ42" i="34"/>
  <c r="AE24" i="34"/>
  <c r="AI25" i="34"/>
  <c r="AM23" i="34"/>
  <c r="AL43" i="34"/>
  <c r="AM25" i="34"/>
  <c r="CE22" i="34"/>
  <c r="BV41" i="34"/>
  <c r="BW29" i="34"/>
  <c r="CE29" i="34"/>
  <c r="AH48" i="34"/>
  <c r="AI42" i="34"/>
  <c r="BO30" i="34"/>
  <c r="BK30" i="34"/>
  <c r="BN41" i="34"/>
  <c r="BO29" i="34"/>
  <c r="B43" i="34"/>
  <c r="AF43" i="34"/>
  <c r="AF31" i="34"/>
  <c r="AJ29" i="34"/>
  <c r="AV37" i="34"/>
  <c r="AV25" i="34"/>
  <c r="AZ41" i="34"/>
  <c r="BT28" i="34"/>
  <c r="CB36" i="34"/>
  <c r="CV18" i="34"/>
  <c r="CZ22" i="34"/>
  <c r="AE25" i="34"/>
  <c r="AI24" i="34"/>
  <c r="J41" i="34"/>
  <c r="BR41" i="34"/>
  <c r="BS29" i="34"/>
  <c r="BZ41" i="34"/>
  <c r="CA29" i="34"/>
  <c r="CI29" i="34"/>
  <c r="AM24" i="34"/>
  <c r="CP41" i="34"/>
  <c r="CQ23" i="34"/>
  <c r="AA25" i="34"/>
  <c r="BJ40" i="34"/>
  <c r="BK28" i="34"/>
  <c r="CF40" i="34"/>
  <c r="A43" i="34"/>
  <c r="A25" i="34"/>
  <c r="AD40" i="34"/>
  <c r="AL40" i="34"/>
  <c r="CD41" i="34"/>
  <c r="CE24" i="34"/>
  <c r="BG25" i="34"/>
  <c r="A31" i="34"/>
  <c r="G31" i="34"/>
  <c r="K31" i="34"/>
  <c r="AI31" i="34"/>
  <c r="BG30" i="34"/>
  <c r="CU29" i="34"/>
  <c r="CH41" i="34"/>
  <c r="N43" i="34"/>
  <c r="O31" i="34"/>
  <c r="V43" i="34"/>
  <c r="V49" i="34" s="1"/>
  <c r="AT43" i="34"/>
  <c r="BF40" i="34"/>
  <c r="BG28" i="34"/>
  <c r="CL49" i="34"/>
  <c r="CM43" i="34"/>
  <c r="F40" i="34"/>
  <c r="J49" i="34"/>
  <c r="K43" i="34"/>
  <c r="BN40" i="34"/>
  <c r="BO28" i="34"/>
  <c r="BS28" i="34"/>
  <c r="CI28" i="34"/>
  <c r="CM31" i="34"/>
  <c r="CL46" i="34"/>
  <c r="CM28" i="34"/>
  <c r="H51" i="36"/>
  <c r="P51" i="36"/>
  <c r="AF45" i="36"/>
  <c r="AF51" i="36"/>
  <c r="AJ45" i="36"/>
  <c r="AJ51" i="36" s="1"/>
  <c r="AJ63" i="36"/>
  <c r="AL45" i="36"/>
  <c r="AL51" i="36" s="1"/>
  <c r="AL33" i="36"/>
  <c r="AL57" i="36" s="1"/>
  <c r="AN45" i="36"/>
  <c r="AN51" i="36" s="1"/>
  <c r="AN33" i="36"/>
  <c r="AN57" i="36" s="1"/>
  <c r="AP45" i="36"/>
  <c r="AP51" i="36" s="1"/>
  <c r="AP33" i="36"/>
  <c r="AP57" i="36" s="1"/>
  <c r="AR45" i="36"/>
  <c r="AR63" i="36"/>
  <c r="AR33" i="36"/>
  <c r="AR57" i="36" s="1"/>
  <c r="AT45" i="36"/>
  <c r="AT51" i="36" s="1"/>
  <c r="AT33" i="36"/>
  <c r="AT57" i="36"/>
  <c r="AV45" i="36"/>
  <c r="AV51" i="36"/>
  <c r="AV33" i="36"/>
  <c r="AX45" i="36"/>
  <c r="AX51" i="36" s="1"/>
  <c r="AX33" i="36"/>
  <c r="AL36" i="36"/>
  <c r="AL60" i="36" s="1"/>
  <c r="AR35" i="36"/>
  <c r="AR59" i="36" s="1"/>
  <c r="AT36" i="36"/>
  <c r="AT60" i="36" s="1"/>
  <c r="AX34" i="36"/>
  <c r="AX58" i="36" s="1"/>
  <c r="AZ35" i="36"/>
  <c r="AZ59" i="36" s="1"/>
  <c r="F46" i="36"/>
  <c r="F58" i="36" s="1"/>
  <c r="H48" i="36"/>
  <c r="H60" i="36" s="1"/>
  <c r="L45" i="36"/>
  <c r="L51" i="36" s="1"/>
  <c r="N46" i="36"/>
  <c r="N52" i="36"/>
  <c r="P48" i="36"/>
  <c r="T45" i="36"/>
  <c r="T51" i="36"/>
  <c r="V46" i="36"/>
  <c r="X48" i="36"/>
  <c r="X54" i="36" s="1"/>
  <c r="AB45" i="36"/>
  <c r="AD46" i="36"/>
  <c r="AD58" i="36"/>
  <c r="AV46" i="36"/>
  <c r="AV58" i="36" s="1"/>
  <c r="H52" i="36"/>
  <c r="Z51" i="36"/>
  <c r="AN52" i="36"/>
  <c r="AR51" i="36"/>
  <c r="AT54" i="36"/>
  <c r="H63" i="36"/>
  <c r="J66" i="36"/>
  <c r="N66" i="36"/>
  <c r="AB66" i="36"/>
  <c r="AJ64" i="36"/>
  <c r="AN63" i="36"/>
  <c r="AP66" i="36"/>
  <c r="AT66" i="36"/>
  <c r="J52" i="36"/>
  <c r="Z52" i="36"/>
  <c r="AX52" i="36"/>
  <c r="BB34" i="36"/>
  <c r="L36" i="36"/>
  <c r="L60" i="36" s="1"/>
  <c r="N36" i="36"/>
  <c r="N60" i="36" s="1"/>
  <c r="P36" i="36"/>
  <c r="P60" i="36" s="1"/>
  <c r="V36" i="36"/>
  <c r="X36" i="36"/>
  <c r="X60" i="36"/>
  <c r="Z36" i="36"/>
  <c r="Z60" i="36" s="1"/>
  <c r="AB36" i="36"/>
  <c r="AB60" i="36"/>
  <c r="AD36" i="36"/>
  <c r="AN34" i="36"/>
  <c r="AN58" i="36"/>
  <c r="AV34" i="36"/>
  <c r="F48" i="36"/>
  <c r="F60" i="36"/>
  <c r="L46" i="36"/>
  <c r="L52" i="36" s="1"/>
  <c r="V48" i="36"/>
  <c r="V54" i="36" s="1"/>
  <c r="AD48" i="36"/>
  <c r="AD60" i="36" s="1"/>
  <c r="AL46" i="36"/>
  <c r="AL52" i="36" s="1"/>
  <c r="H54" i="36"/>
  <c r="Z54" i="36"/>
  <c r="BB64" i="36"/>
  <c r="P63" i="36"/>
  <c r="Z64" i="36"/>
  <c r="AR64" i="36"/>
  <c r="AV63" i="36"/>
  <c r="AX66" i="36"/>
  <c r="BB63" i="36"/>
  <c r="BB45" i="36"/>
  <c r="F65" i="36"/>
  <c r="F47" i="36"/>
  <c r="F59" i="36" s="1"/>
  <c r="H65" i="36"/>
  <c r="H47" i="36"/>
  <c r="H53" i="36" s="1"/>
  <c r="H59" i="36"/>
  <c r="J65" i="36"/>
  <c r="J47" i="36"/>
  <c r="J53" i="36" s="1"/>
  <c r="J59" i="36"/>
  <c r="L65" i="36"/>
  <c r="L47" i="36"/>
  <c r="L53" i="36"/>
  <c r="N65" i="36"/>
  <c r="N47" i="36"/>
  <c r="P65" i="36"/>
  <c r="R65" i="36"/>
  <c r="R47" i="36"/>
  <c r="T65" i="36"/>
  <c r="T47" i="36"/>
  <c r="T53" i="36" s="1"/>
  <c r="V65" i="36"/>
  <c r="V47" i="36"/>
  <c r="X65" i="36"/>
  <c r="X47" i="36"/>
  <c r="Z65" i="36"/>
  <c r="Z47" i="36"/>
  <c r="Z59" i="36"/>
  <c r="AB65" i="36"/>
  <c r="AB47" i="36"/>
  <c r="AB53" i="36"/>
  <c r="AD65" i="36"/>
  <c r="AD47" i="36"/>
  <c r="AD59" i="36"/>
  <c r="AF65" i="36"/>
  <c r="AF53" i="36"/>
  <c r="AJ65" i="36"/>
  <c r="AJ53" i="36"/>
  <c r="AL65" i="36"/>
  <c r="AL47" i="36"/>
  <c r="AL59" i="36" s="1"/>
  <c r="AN65" i="36"/>
  <c r="AN53" i="36"/>
  <c r="AP65" i="36"/>
  <c r="AR65" i="36"/>
  <c r="AR53" i="36"/>
  <c r="AT65" i="36"/>
  <c r="AT47" i="36"/>
  <c r="AT53" i="36" s="1"/>
  <c r="AX65" i="36"/>
  <c r="AZ65" i="36"/>
  <c r="AN35" i="36"/>
  <c r="AN59" i="36" s="1"/>
  <c r="AP36" i="36"/>
  <c r="BB46" i="36"/>
  <c r="L48" i="36"/>
  <c r="AH48" i="36"/>
  <c r="AH54" i="36" s="1"/>
  <c r="AL48" i="36"/>
  <c r="AP47" i="36"/>
  <c r="P54" i="36"/>
  <c r="AD54" i="36"/>
  <c r="Z66" i="36"/>
  <c r="L54" i="36"/>
  <c r="AB54" i="36"/>
  <c r="AF66" i="36"/>
  <c r="AF48" i="36"/>
  <c r="AN66" i="36"/>
  <c r="AN48" i="36"/>
  <c r="AV66" i="36"/>
  <c r="AV48" i="36"/>
  <c r="AV54" i="36" s="1"/>
  <c r="AN36" i="36"/>
  <c r="J48" i="36"/>
  <c r="J60" i="36"/>
  <c r="AP48" i="36"/>
  <c r="AP54" i="36" s="1"/>
  <c r="AL54" i="36"/>
  <c r="T66" i="36"/>
  <c r="AZ66" i="36"/>
  <c r="AR67" i="22"/>
  <c r="AR68" i="22" s="1"/>
  <c r="AZ67" i="22"/>
  <c r="AZ68" i="22" s="1"/>
  <c r="AX73" i="22"/>
  <c r="AX74" i="22" s="1"/>
  <c r="Z73" i="22"/>
  <c r="Z74" i="22" s="1"/>
  <c r="AP73" i="22"/>
  <c r="AP74" i="22" s="1"/>
  <c r="AP17" i="22"/>
  <c r="BI12" i="17"/>
  <c r="BK12" i="17" s="1"/>
  <c r="BM12" i="17" s="1"/>
  <c r="BO12" i="17" s="1"/>
  <c r="BQ12" i="17" s="1"/>
  <c r="BI52" i="17"/>
  <c r="BK52" i="17" s="1"/>
  <c r="BM52" i="17" s="1"/>
  <c r="BO52" i="17" s="1"/>
  <c r="BQ52" i="17" s="1"/>
  <c r="AQ17" i="45"/>
  <c r="K17" i="45"/>
  <c r="J48" i="12"/>
  <c r="BH7" i="45"/>
  <c r="BL7" i="45" s="1"/>
  <c r="BU7" i="45" s="1"/>
  <c r="BZ7" i="45" s="1"/>
  <c r="CE7" i="45" s="1"/>
  <c r="CJ7" i="45" s="1"/>
  <c r="BP7" i="45" s="1"/>
  <c r="CQ7" i="45" s="1"/>
  <c r="CT7" i="45" s="1"/>
  <c r="CW7" i="45" s="1"/>
  <c r="CZ7" i="45" s="1"/>
  <c r="DC7" i="45" s="1"/>
  <c r="DF7" i="45" s="1"/>
  <c r="DI7" i="45" s="1"/>
  <c r="E17" i="45"/>
  <c r="E19" i="45"/>
  <c r="K23" i="45"/>
  <c r="E26" i="45"/>
  <c r="AQ30" i="45"/>
  <c r="AQ32" i="45"/>
  <c r="AQ36" i="45"/>
  <c r="J41" i="12" s="1"/>
  <c r="V33" i="9" s="1"/>
  <c r="X33" i="9" s="1"/>
  <c r="AQ38" i="45"/>
  <c r="G59" i="45"/>
  <c r="M59" i="45"/>
  <c r="Q59" i="45"/>
  <c r="J18" i="45"/>
  <c r="AQ18" i="45" s="1"/>
  <c r="J20" i="12" s="1"/>
  <c r="V12" i="9" s="1"/>
  <c r="X12" i="9" s="1"/>
  <c r="AQ24" i="45"/>
  <c r="AQ26" i="45"/>
  <c r="E23" i="45"/>
  <c r="AU32" i="45"/>
  <c r="D60" i="45"/>
  <c r="E60" i="45" s="1"/>
  <c r="AQ29" i="45"/>
  <c r="AQ31" i="45"/>
  <c r="AQ37" i="45"/>
  <c r="AQ41" i="45"/>
  <c r="AQ43" i="45"/>
  <c r="AQ47" i="45"/>
  <c r="AQ49" i="45"/>
  <c r="AR49" i="45" s="1"/>
  <c r="J19" i="45"/>
  <c r="AU35" i="45"/>
  <c r="K43" i="45"/>
  <c r="K95" i="45"/>
  <c r="O95" i="45"/>
  <c r="L96" i="45"/>
  <c r="U95" i="45"/>
  <c r="DI77" i="45"/>
  <c r="L119" i="45"/>
  <c r="T119" i="45"/>
  <c r="J96" i="45"/>
  <c r="J97" i="45"/>
  <c r="K97" i="45" s="1"/>
  <c r="AU98" i="45"/>
  <c r="N119" i="45"/>
  <c r="N120" i="45" s="1"/>
  <c r="DI143" i="45"/>
  <c r="D384" i="45"/>
  <c r="AR273" i="45"/>
  <c r="BG147" i="45"/>
  <c r="AG69" i="40" s="1"/>
  <c r="K232" i="45"/>
  <c r="K244" i="45"/>
  <c r="AQ268" i="45"/>
  <c r="AH91" i="9" s="1"/>
  <c r="W289" i="45"/>
  <c r="AQ309" i="45"/>
  <c r="AH139" i="9" s="1"/>
  <c r="M309" i="45"/>
  <c r="M313" i="45"/>
  <c r="AQ313" i="45"/>
  <c r="M315" i="45"/>
  <c r="M319" i="45"/>
  <c r="K320" i="45"/>
  <c r="M503" i="45"/>
  <c r="DK322" i="45"/>
  <c r="M325" i="45"/>
  <c r="K331" i="45"/>
  <c r="M332" i="45"/>
  <c r="K334" i="45"/>
  <c r="L521" i="45"/>
  <c r="M339" i="45"/>
  <c r="AQ339" i="45"/>
  <c r="AQ231" i="45"/>
  <c r="AH48" i="9"/>
  <c r="AJ48" i="9" s="1"/>
  <c r="AQ241" i="45"/>
  <c r="AH60" i="9" s="1"/>
  <c r="AQ243" i="45"/>
  <c r="AH62" i="9"/>
  <c r="AJ62" i="9" s="1"/>
  <c r="K248" i="45"/>
  <c r="K250" i="45"/>
  <c r="AQ259" i="45"/>
  <c r="AH81" i="9" s="1"/>
  <c r="AJ81" i="9" s="1"/>
  <c r="AQ261" i="45"/>
  <c r="AH83" i="9" s="1"/>
  <c r="AJ83" i="9" s="1"/>
  <c r="K268" i="45"/>
  <c r="M321" i="45"/>
  <c r="J510" i="45"/>
  <c r="K516" i="45" s="1"/>
  <c r="K328" i="45"/>
  <c r="DH328" i="45"/>
  <c r="L516" i="45"/>
  <c r="M334" i="45"/>
  <c r="K340" i="45"/>
  <c r="L527" i="45"/>
  <c r="Z351" i="46" s="1"/>
  <c r="AB351" i="46" s="1"/>
  <c r="M345" i="45"/>
  <c r="K220" i="45"/>
  <c r="K231" i="45"/>
  <c r="K243" i="45"/>
  <c r="M291" i="45"/>
  <c r="AR302" i="45"/>
  <c r="AR304" i="45"/>
  <c r="K315" i="45"/>
  <c r="K319" i="45"/>
  <c r="K322" i="45"/>
  <c r="K325" i="45"/>
  <c r="L508" i="45"/>
  <c r="M331" i="45"/>
  <c r="J514" i="45"/>
  <c r="K332" i="45"/>
  <c r="AQ332" i="45"/>
  <c r="AR338" i="45" s="1"/>
  <c r="DI334" i="45"/>
  <c r="AR351" i="45"/>
  <c r="DI340" i="45"/>
  <c r="M297" i="45"/>
  <c r="M497" i="45"/>
  <c r="L504" i="45"/>
  <c r="M322" i="45"/>
  <c r="M328" i="45"/>
  <c r="M338" i="45"/>
  <c r="H533" i="45"/>
  <c r="I533" i="45" s="1"/>
  <c r="H534" i="45"/>
  <c r="I351" i="45"/>
  <c r="K507" i="45"/>
  <c r="M337" i="45"/>
  <c r="K339" i="45"/>
  <c r="M343" i="45"/>
  <c r="K345" i="45"/>
  <c r="W351" i="45"/>
  <c r="U384" i="45"/>
  <c r="AC390" i="45"/>
  <c r="AK396" i="45"/>
  <c r="AO396" i="45"/>
  <c r="E401" i="45"/>
  <c r="W402" i="45"/>
  <c r="E407" i="45"/>
  <c r="M408" i="45"/>
  <c r="U405" i="45"/>
  <c r="AI405" i="45"/>
  <c r="AI406" i="45"/>
  <c r="AM407" i="45"/>
  <c r="AM408" i="45"/>
  <c r="K456" i="45"/>
  <c r="W384" i="45"/>
  <c r="W401" i="45"/>
  <c r="AM401" i="45"/>
  <c r="AC405" i="45"/>
  <c r="J412" i="45"/>
  <c r="M528" i="45"/>
  <c r="M522" i="45"/>
  <c r="K527" i="45"/>
  <c r="DJ346" i="45"/>
  <c r="AC396" i="45"/>
  <c r="M401" i="45"/>
  <c r="Q402" i="45"/>
  <c r="E405" i="45"/>
  <c r="AI407" i="45"/>
  <c r="AI413" i="45"/>
  <c r="K338" i="45"/>
  <c r="M340" i="45"/>
  <c r="M346" i="45"/>
  <c r="M384" i="45"/>
  <c r="J396" i="45"/>
  <c r="AE396" i="45"/>
  <c r="J400" i="45"/>
  <c r="Z20" i="46" s="1"/>
  <c r="E402" i="45"/>
  <c r="AE402" i="45"/>
  <c r="O405" i="45"/>
  <c r="AM412" i="45"/>
  <c r="AK401" i="45"/>
  <c r="AK402" i="45"/>
  <c r="AE408" i="45"/>
  <c r="E411" i="45"/>
  <c r="O411" i="45"/>
  <c r="O412" i="45"/>
  <c r="U411" i="45"/>
  <c r="U413" i="45"/>
  <c r="U414" i="45"/>
  <c r="J419" i="45"/>
  <c r="AK417" i="45"/>
  <c r="AM418" i="45"/>
  <c r="G423" i="45"/>
  <c r="E426" i="45"/>
  <c r="M423" i="45"/>
  <c r="J424" i="45"/>
  <c r="M425" i="45"/>
  <c r="W423" i="45"/>
  <c r="AG424" i="45"/>
  <c r="AI425" i="45"/>
  <c r="AE426" i="45"/>
  <c r="G429" i="45"/>
  <c r="G431" i="45"/>
  <c r="M429" i="45"/>
  <c r="M431" i="45"/>
  <c r="AE430" i="45"/>
  <c r="AI431" i="45"/>
  <c r="AI432" i="45"/>
  <c r="G435" i="45"/>
  <c r="J436" i="45"/>
  <c r="W435" i="45"/>
  <c r="AE435" i="45"/>
  <c r="AC436" i="45"/>
  <c r="AE437" i="45"/>
  <c r="AC438" i="45"/>
  <c r="E443" i="45"/>
  <c r="AC444" i="45"/>
  <c r="E425" i="45"/>
  <c r="Q424" i="45"/>
  <c r="Q426" i="45"/>
  <c r="W426" i="45"/>
  <c r="AC424" i="45"/>
  <c r="AG426" i="45"/>
  <c r="E436" i="45"/>
  <c r="O435" i="45"/>
  <c r="Q441" i="45"/>
  <c r="G447" i="45"/>
  <c r="J448" i="45"/>
  <c r="K454" i="45" s="1"/>
  <c r="M449" i="45"/>
  <c r="AE447" i="45"/>
  <c r="AC420" i="45"/>
  <c r="J423" i="45"/>
  <c r="M424" i="45"/>
  <c r="J425" i="45"/>
  <c r="Z49" i="46" s="1"/>
  <c r="M426" i="45"/>
  <c r="W425" i="45"/>
  <c r="AC426" i="45"/>
  <c r="E429" i="45"/>
  <c r="AC430" i="45"/>
  <c r="AC432" i="45"/>
  <c r="Q450" i="45"/>
  <c r="AE450" i="45"/>
  <c r="G424" i="45"/>
  <c r="Q423" i="45"/>
  <c r="AI423" i="45"/>
  <c r="AO426" i="45"/>
  <c r="O438" i="45"/>
  <c r="U438" i="45"/>
  <c r="J441" i="45"/>
  <c r="Z68" i="46" s="1"/>
  <c r="J443" i="45"/>
  <c r="O449" i="45"/>
  <c r="AE449" i="45"/>
  <c r="W447" i="45"/>
  <c r="O454" i="45"/>
  <c r="Q456" i="45"/>
  <c r="AQ454" i="45"/>
  <c r="Z104" i="12" s="1"/>
  <c r="AB96" i="9" s="1"/>
  <c r="M461" i="45"/>
  <c r="Q461" i="45"/>
  <c r="U459" i="45"/>
  <c r="U461" i="45"/>
  <c r="M466" i="45"/>
  <c r="O468" i="45"/>
  <c r="M471" i="45"/>
  <c r="Q471" i="45"/>
  <c r="K473" i="45"/>
  <c r="O473" i="45"/>
  <c r="W473" i="45"/>
  <c r="W474" i="45"/>
  <c r="M479" i="45"/>
  <c r="U477" i="45"/>
  <c r="Q483" i="45"/>
  <c r="AQ485" i="45"/>
  <c r="K485" i="45"/>
  <c r="K489" i="45"/>
  <c r="W497" i="45"/>
  <c r="W491" i="45"/>
  <c r="AQ473" i="45"/>
  <c r="Z126" i="12" s="1"/>
  <c r="AI80" i="28" s="1"/>
  <c r="M480" i="45"/>
  <c r="AQ478" i="45"/>
  <c r="Z132" i="12" s="1"/>
  <c r="AM80" i="28" s="1"/>
  <c r="K483" i="45"/>
  <c r="M485" i="45"/>
  <c r="AQ486" i="45"/>
  <c r="AB133" i="9" s="1"/>
  <c r="M489" i="45"/>
  <c r="I497" i="45"/>
  <c r="I491" i="45"/>
  <c r="W498" i="45"/>
  <c r="W492" i="45"/>
  <c r="I507" i="45"/>
  <c r="I501" i="45"/>
  <c r="AQ501" i="45"/>
  <c r="AQ455" i="45"/>
  <c r="Z105" i="12"/>
  <c r="AB97" i="9" s="1"/>
  <c r="AQ466" i="45"/>
  <c r="M483" i="45"/>
  <c r="K492" i="45"/>
  <c r="K486" i="45"/>
  <c r="W495" i="45"/>
  <c r="W489" i="45"/>
  <c r="I504" i="45"/>
  <c r="O483" i="45"/>
  <c r="I490" i="45"/>
  <c r="AQ484" i="45"/>
  <c r="Z139" i="12" s="1"/>
  <c r="W496" i="45"/>
  <c r="AQ497" i="45"/>
  <c r="Z154" i="12" s="1"/>
  <c r="I486" i="45"/>
  <c r="I489" i="45"/>
  <c r="I496" i="45"/>
  <c r="W508" i="45"/>
  <c r="W510" i="45"/>
  <c r="AQ516" i="45"/>
  <c r="I519" i="45"/>
  <c r="I510" i="45"/>
  <c r="W507" i="45"/>
  <c r="W509" i="45"/>
  <c r="AQ521" i="45"/>
  <c r="Z182" i="12" s="1"/>
  <c r="BW80" i="28" s="1"/>
  <c r="AQ527" i="45"/>
  <c r="I509" i="45"/>
  <c r="AQ513" i="45"/>
  <c r="I520" i="45"/>
  <c r="I515" i="45"/>
  <c r="W513" i="45"/>
  <c r="W515" i="45"/>
  <c r="W516" i="45"/>
  <c r="I522" i="45"/>
  <c r="I525" i="45"/>
  <c r="I532" i="45"/>
  <c r="AQ528" i="45"/>
  <c r="I527" i="45"/>
  <c r="I516" i="45"/>
  <c r="AT157" i="40"/>
  <c r="E24" i="40"/>
  <c r="C315" i="40"/>
  <c r="AV315" i="40"/>
  <c r="AV232" i="40"/>
  <c r="AV111" i="40"/>
  <c r="C24" i="40"/>
  <c r="C25" i="40" s="1"/>
  <c r="AI46" i="40"/>
  <c r="DP69" i="28" s="1"/>
  <c r="DP80" i="28" s="1"/>
  <c r="BD124" i="40"/>
  <c r="BC117" i="40"/>
  <c r="BC116" i="40"/>
  <c r="F36" i="40"/>
  <c r="E28" i="40"/>
  <c r="BD125" i="40"/>
  <c r="BH125" i="40"/>
  <c r="AJ99" i="40"/>
  <c r="AH318" i="40"/>
  <c r="BD175" i="40"/>
  <c r="BE175" i="40" s="1"/>
  <c r="BE164" i="40" s="1"/>
  <c r="L287" i="40"/>
  <c r="L285" i="40"/>
  <c r="L289" i="40" s="1"/>
  <c r="W251" i="40"/>
  <c r="W366" i="40" s="1"/>
  <c r="P302" i="40"/>
  <c r="AD293" i="40"/>
  <c r="AH293" i="40"/>
  <c r="O293" i="40"/>
  <c r="A353" i="40"/>
  <c r="A360" i="40"/>
  <c r="A391" i="40"/>
  <c r="A414" i="40" s="1"/>
  <c r="A432" i="40" s="1"/>
  <c r="P293" i="40"/>
  <c r="P308" i="40"/>
  <c r="A326" i="40"/>
  <c r="A334" i="40"/>
  <c r="A342" i="40" s="1"/>
  <c r="A328" i="40"/>
  <c r="A336" i="40" s="1"/>
  <c r="A344" i="40" s="1"/>
  <c r="A352" i="40" s="1"/>
  <c r="A359" i="40"/>
  <c r="A327" i="40"/>
  <c r="A335" i="40" s="1"/>
  <c r="A343" i="40" s="1"/>
  <c r="O405" i="40"/>
  <c r="M407" i="40"/>
  <c r="E142" i="20"/>
  <c r="F5" i="20"/>
  <c r="S22" i="20"/>
  <c r="S17" i="20"/>
  <c r="CY19" i="28"/>
  <c r="DQ11" i="28"/>
  <c r="DQ19" i="28"/>
  <c r="D16" i="85"/>
  <c r="D98" i="85" s="1"/>
  <c r="Z212" i="29"/>
  <c r="Z113" i="29"/>
  <c r="AA123" i="29" s="1"/>
  <c r="AA63" i="29"/>
  <c r="G20" i="85"/>
  <c r="G60" i="85" s="1"/>
  <c r="BK65" i="29"/>
  <c r="AQ65" i="29"/>
  <c r="DH15" i="29"/>
  <c r="CA73" i="29"/>
  <c r="BZ63" i="29"/>
  <c r="BZ212" i="29" s="1"/>
  <c r="K16" i="29"/>
  <c r="S16" i="29"/>
  <c r="AA16" i="29"/>
  <c r="AF15" i="29"/>
  <c r="AF16" i="29" s="1"/>
  <c r="AY16" i="29"/>
  <c r="BD15" i="29"/>
  <c r="BL15" i="29"/>
  <c r="BL16" i="29" s="1"/>
  <c r="BS16" i="29"/>
  <c r="BX15" i="29"/>
  <c r="BX16" i="29" s="1"/>
  <c r="CF15" i="29"/>
  <c r="CN15" i="29"/>
  <c r="CN16" i="29" s="1"/>
  <c r="CZ15" i="29"/>
  <c r="BB24" i="29"/>
  <c r="BS25" i="29"/>
  <c r="CM24" i="29"/>
  <c r="BO26" i="29"/>
  <c r="BW26" i="29"/>
  <c r="CI26" i="29"/>
  <c r="CM26" i="29"/>
  <c r="CY26" i="29"/>
  <c r="F34" i="29"/>
  <c r="B19" i="20" s="1"/>
  <c r="J34" i="29"/>
  <c r="G78" i="17"/>
  <c r="N34" i="29"/>
  <c r="R34" i="29"/>
  <c r="V34" i="29"/>
  <c r="CJ33" i="29"/>
  <c r="AA36" i="29"/>
  <c r="AI34" i="29"/>
  <c r="AI36" i="29"/>
  <c r="AM36" i="29"/>
  <c r="BG34" i="29"/>
  <c r="BK35" i="29"/>
  <c r="BL36" i="29"/>
  <c r="BO36" i="29"/>
  <c r="BZ34" i="29"/>
  <c r="S19" i="20" s="1"/>
  <c r="CA35" i="29"/>
  <c r="CU35" i="29"/>
  <c r="CY36" i="29"/>
  <c r="DH35" i="29"/>
  <c r="BW46" i="29"/>
  <c r="CF45" i="29"/>
  <c r="CI45" i="29"/>
  <c r="CJ46" i="29"/>
  <c r="CM46" i="29"/>
  <c r="CY45" i="29"/>
  <c r="F209" i="29"/>
  <c r="F110" i="29"/>
  <c r="F211" i="29"/>
  <c r="G211" i="29" s="1"/>
  <c r="F112" i="29"/>
  <c r="F63" i="29"/>
  <c r="F65" i="29"/>
  <c r="F66" i="29"/>
  <c r="J211" i="29"/>
  <c r="R209" i="29"/>
  <c r="S209" i="29" s="1"/>
  <c r="R110" i="29"/>
  <c r="V210" i="29"/>
  <c r="V220" i="29" s="1"/>
  <c r="V111" i="29"/>
  <c r="V65" i="29"/>
  <c r="W65" i="29" s="1"/>
  <c r="Z211" i="29"/>
  <c r="Z112" i="29"/>
  <c r="Z132" i="29" s="1"/>
  <c r="AE60" i="29"/>
  <c r="AH209" i="29"/>
  <c r="AI209" i="29" s="1"/>
  <c r="AH110" i="29"/>
  <c r="AH211" i="29"/>
  <c r="AI211" i="29" s="1"/>
  <c r="AH112" i="29"/>
  <c r="AH64" i="29"/>
  <c r="S43" i="40"/>
  <c r="AH66" i="29"/>
  <c r="AN60" i="29"/>
  <c r="AL211" i="29"/>
  <c r="AL215" i="29" s="1"/>
  <c r="AM215" i="29" s="1"/>
  <c r="AL112" i="29"/>
  <c r="AM122" i="29" s="1"/>
  <c r="AL66" i="29"/>
  <c r="AQ60" i="29"/>
  <c r="AQ62" i="29"/>
  <c r="BC60" i="29"/>
  <c r="BB63" i="29"/>
  <c r="BF209" i="29"/>
  <c r="BG209" i="29" s="1"/>
  <c r="BF110" i="29"/>
  <c r="BF115" i="29" s="1"/>
  <c r="BG125" i="29" s="1"/>
  <c r="BL60" i="29"/>
  <c r="BN112" i="29"/>
  <c r="BO122" i="29" s="1"/>
  <c r="BP62" i="29"/>
  <c r="CY75" i="29"/>
  <c r="AA76" i="29"/>
  <c r="AI74" i="29"/>
  <c r="AY74" i="29"/>
  <c r="BS83" i="29"/>
  <c r="CA83" i="29"/>
  <c r="G84" i="29"/>
  <c r="K85" i="29"/>
  <c r="O86" i="29"/>
  <c r="O13" i="29"/>
  <c r="L13" i="34" s="1"/>
  <c r="L43" i="34" s="1"/>
  <c r="S13" i="29"/>
  <c r="P13" i="34" s="1"/>
  <c r="P19" i="34" s="1"/>
  <c r="BS13" i="29"/>
  <c r="CA13" i="29"/>
  <c r="BT13" i="34" s="1"/>
  <c r="BT31" i="34" s="1"/>
  <c r="G14" i="29"/>
  <c r="D23" i="12" s="1"/>
  <c r="AE14" i="29"/>
  <c r="BC14" i="29"/>
  <c r="BK14" i="29"/>
  <c r="BO16" i="29"/>
  <c r="G15" i="29"/>
  <c r="BG15" i="29"/>
  <c r="BS15" i="29"/>
  <c r="CA15" i="29"/>
  <c r="CB16" i="29"/>
  <c r="CU15" i="29"/>
  <c r="DC15" i="29"/>
  <c r="BS23" i="29"/>
  <c r="BX23" i="29" s="1"/>
  <c r="CA23" i="29"/>
  <c r="G23" i="29"/>
  <c r="G25" i="29"/>
  <c r="K25" i="29"/>
  <c r="S23" i="29"/>
  <c r="S25" i="29"/>
  <c r="W23" i="29"/>
  <c r="AA23" i="29"/>
  <c r="AE23" i="29"/>
  <c r="AE25" i="29"/>
  <c r="BC23" i="29"/>
  <c r="DD22" i="29"/>
  <c r="AM24" i="29"/>
  <c r="AU26" i="29"/>
  <c r="CT24" i="29"/>
  <c r="CU44" i="29" s="1"/>
  <c r="CH34" i="29"/>
  <c r="AA35" i="29"/>
  <c r="CY35" i="29"/>
  <c r="BW45" i="29"/>
  <c r="BZ54" i="29"/>
  <c r="S34" i="20" s="1"/>
  <c r="J210" i="29"/>
  <c r="J111" i="29"/>
  <c r="R63" i="29"/>
  <c r="V209" i="29"/>
  <c r="V110" i="29"/>
  <c r="AD211" i="29"/>
  <c r="AD221" i="29" s="1"/>
  <c r="AD112" i="29"/>
  <c r="AL210" i="29"/>
  <c r="AL111" i="29"/>
  <c r="AP210" i="29"/>
  <c r="AP111" i="29"/>
  <c r="AP212" i="29"/>
  <c r="AP113" i="29"/>
  <c r="AQ123" i="29" s="1"/>
  <c r="AX210" i="29"/>
  <c r="AX65" i="29"/>
  <c r="BB211" i="29"/>
  <c r="BF212" i="29"/>
  <c r="BF113" i="29"/>
  <c r="CL64" i="29"/>
  <c r="CL65" i="29"/>
  <c r="BG76" i="29"/>
  <c r="AE74" i="29"/>
  <c r="AY75" i="29"/>
  <c r="BO76" i="29"/>
  <c r="CU75" i="29"/>
  <c r="DC76" i="29"/>
  <c r="K86" i="29"/>
  <c r="CY85" i="29"/>
  <c r="DC86" i="29"/>
  <c r="CE14" i="29"/>
  <c r="CY16" i="29"/>
  <c r="CE24" i="29"/>
  <c r="BO25" i="29"/>
  <c r="BW25" i="29"/>
  <c r="CE25" i="29"/>
  <c r="CM25" i="29"/>
  <c r="CY25" i="29"/>
  <c r="DG25" i="29"/>
  <c r="BS33" i="29"/>
  <c r="CA33" i="29"/>
  <c r="CV60" i="29"/>
  <c r="AA34" i="29"/>
  <c r="AB35" i="29"/>
  <c r="AE35" i="29"/>
  <c r="AY34" i="29"/>
  <c r="BG36" i="29"/>
  <c r="BT36" i="29"/>
  <c r="BW36" i="29"/>
  <c r="BZ36" i="29"/>
  <c r="CF36" i="29" s="1"/>
  <c r="CM35" i="29"/>
  <c r="DC35" i="29"/>
  <c r="CU41" i="29"/>
  <c r="BQ16" i="28" s="1"/>
  <c r="CU51" i="29"/>
  <c r="BZ55" i="29"/>
  <c r="D209" i="29"/>
  <c r="D110" i="29"/>
  <c r="D111" i="29"/>
  <c r="D211" i="29"/>
  <c r="D63" i="29"/>
  <c r="R211" i="29"/>
  <c r="R112" i="29"/>
  <c r="R66" i="29"/>
  <c r="S66" i="29" s="1"/>
  <c r="Z209" i="29"/>
  <c r="Z110" i="29"/>
  <c r="Z64" i="29"/>
  <c r="AA64" i="29" s="1"/>
  <c r="AD210" i="29"/>
  <c r="AD111" i="29"/>
  <c r="AD116" i="29" s="1"/>
  <c r="AH210" i="29"/>
  <c r="AH111" i="29"/>
  <c r="AH113" i="29"/>
  <c r="AH65" i="29"/>
  <c r="AN65" i="29" s="1"/>
  <c r="AL209" i="29"/>
  <c r="AL110" i="29"/>
  <c r="AL64" i="29"/>
  <c r="T43" i="40"/>
  <c r="AT212" i="29"/>
  <c r="AT113" i="29"/>
  <c r="AX209" i="29"/>
  <c r="AX110" i="29"/>
  <c r="AY110" i="29" s="1"/>
  <c r="BB210" i="29"/>
  <c r="BB111" i="29"/>
  <c r="BF66" i="29"/>
  <c r="BG66" i="29" s="1"/>
  <c r="BJ210" i="29"/>
  <c r="BK210" i="29" s="1"/>
  <c r="BJ111" i="29"/>
  <c r="BK111" i="29" s="1"/>
  <c r="BK61" i="29"/>
  <c r="BP61" i="29"/>
  <c r="BK63" i="29"/>
  <c r="BV66" i="29"/>
  <c r="BZ61" i="29"/>
  <c r="CF61" i="29" s="1"/>
  <c r="CH63" i="29"/>
  <c r="CH212" i="29" s="1"/>
  <c r="BW76" i="29"/>
  <c r="AE75" i="29"/>
  <c r="AQ74" i="29"/>
  <c r="BS74" i="29"/>
  <c r="CU76" i="29"/>
  <c r="AE84" i="29"/>
  <c r="AI85" i="29"/>
  <c r="AM86" i="29"/>
  <c r="AU86" i="29"/>
  <c r="G13" i="29"/>
  <c r="D22" i="12" s="1"/>
  <c r="H22" i="12" s="1"/>
  <c r="CE13" i="29"/>
  <c r="BX13" i="34" s="1"/>
  <c r="BG14" i="29"/>
  <c r="BO14" i="29"/>
  <c r="O15" i="29"/>
  <c r="BC15" i="29"/>
  <c r="BK15" i="29"/>
  <c r="CE15" i="29"/>
  <c r="CZ16" i="29"/>
  <c r="G26" i="29"/>
  <c r="S26" i="29"/>
  <c r="W26" i="29"/>
  <c r="AA26" i="29"/>
  <c r="AI24" i="29"/>
  <c r="AI26" i="29"/>
  <c r="CV30" i="29"/>
  <c r="CV61" i="29"/>
  <c r="CU52" i="29"/>
  <c r="AA53" i="29"/>
  <c r="E60" i="29"/>
  <c r="N209" i="29"/>
  <c r="N219" i="29" s="1"/>
  <c r="N229" i="29" s="1"/>
  <c r="N110" i="29"/>
  <c r="O61" i="29"/>
  <c r="R210" i="29"/>
  <c r="R220" i="29"/>
  <c r="R111" i="29"/>
  <c r="S62" i="29"/>
  <c r="R65" i="29"/>
  <c r="S65" i="29" s="1"/>
  <c r="V211" i="29"/>
  <c r="V221" i="29" s="1"/>
  <c r="V112" i="29"/>
  <c r="V66" i="29"/>
  <c r="AA60" i="29"/>
  <c r="AD209" i="29"/>
  <c r="AD219" i="29" s="1"/>
  <c r="AD110" i="29"/>
  <c r="AI61" i="29"/>
  <c r="AI63" i="29"/>
  <c r="AM60" i="29"/>
  <c r="AN61" i="29"/>
  <c r="AL212" i="29"/>
  <c r="AL222" i="29" s="1"/>
  <c r="AL232" i="29" s="1"/>
  <c r="AL113" i="29"/>
  <c r="AP209" i="29"/>
  <c r="AP110" i="29"/>
  <c r="AP211" i="29"/>
  <c r="AP213" i="29"/>
  <c r="AP64" i="29"/>
  <c r="U43" i="40" s="1"/>
  <c r="AP66" i="29"/>
  <c r="AT211" i="29"/>
  <c r="AT112" i="29"/>
  <c r="AT132" i="29" s="1"/>
  <c r="AT142" i="29" s="1"/>
  <c r="AU63" i="29"/>
  <c r="AY60" i="29"/>
  <c r="BC61" i="29"/>
  <c r="BF210" i="29"/>
  <c r="BG210" i="29" s="1"/>
  <c r="BF111" i="29"/>
  <c r="BF65" i="29"/>
  <c r="BL61" i="29"/>
  <c r="BL63" i="29"/>
  <c r="BR63" i="29"/>
  <c r="CD112" i="29"/>
  <c r="AA75" i="29"/>
  <c r="AQ75" i="29"/>
  <c r="AU76" i="29"/>
  <c r="BS75" i="29"/>
  <c r="DG75" i="29"/>
  <c r="BC85" i="29"/>
  <c r="O85" i="29"/>
  <c r="AQ85" i="29"/>
  <c r="BO60" i="29"/>
  <c r="BR209" i="29"/>
  <c r="BS209" i="29" s="1"/>
  <c r="BR110" i="29"/>
  <c r="BS61" i="29"/>
  <c r="CE60" i="29"/>
  <c r="CH209" i="29"/>
  <c r="CI209" i="29" s="1"/>
  <c r="CL210" i="29"/>
  <c r="CM62" i="29"/>
  <c r="CU60" i="29"/>
  <c r="CX209" i="29"/>
  <c r="CX219" i="29" s="1"/>
  <c r="CX229" i="29" s="1"/>
  <c r="CX110" i="29"/>
  <c r="DB210" i="29"/>
  <c r="DB111" i="29"/>
  <c r="DC62" i="29"/>
  <c r="DB65" i="29"/>
  <c r="CT65" i="29"/>
  <c r="CU65" i="29" s="1"/>
  <c r="BG70" i="29"/>
  <c r="W19" i="28" s="1"/>
  <c r="BW70" i="29"/>
  <c r="CA70" i="29"/>
  <c r="CY70" i="29"/>
  <c r="BR84" i="29"/>
  <c r="BS84" i="29" s="1"/>
  <c r="BV85" i="29"/>
  <c r="BW85" i="29" s="1"/>
  <c r="CD85" i="29"/>
  <c r="CE85" i="29"/>
  <c r="BC82" i="29"/>
  <c r="BF84" i="29"/>
  <c r="DF84" i="29"/>
  <c r="AA43" i="20"/>
  <c r="N17" i="85" s="1"/>
  <c r="DF86" i="29"/>
  <c r="BG86" i="29"/>
  <c r="CX212" i="29"/>
  <c r="CX113" i="29"/>
  <c r="CY113" i="29" s="1"/>
  <c r="DB209" i="29"/>
  <c r="DC209" i="29" s="1"/>
  <c r="DB110" i="29"/>
  <c r="DB64" i="29"/>
  <c r="DF210" i="29"/>
  <c r="DF111" i="29"/>
  <c r="DF131" i="29" s="1"/>
  <c r="DF65" i="29"/>
  <c r="DG65" i="29" s="1"/>
  <c r="CL74" i="29"/>
  <c r="BF75" i="29"/>
  <c r="BG75" i="29" s="1"/>
  <c r="BJ74" i="29"/>
  <c r="P40" i="20" s="1"/>
  <c r="BJ76" i="29"/>
  <c r="BK76" i="29" s="1"/>
  <c r="BV75" i="29"/>
  <c r="BW75" i="29"/>
  <c r="BZ74" i="29"/>
  <c r="CX74" i="29"/>
  <c r="Y40" i="20" s="1"/>
  <c r="DP19" i="28" s="1"/>
  <c r="CX76" i="29"/>
  <c r="CY76" i="29" s="1"/>
  <c r="AY81" i="29"/>
  <c r="AX85" i="29"/>
  <c r="AY85" i="29"/>
  <c r="BJ209" i="29"/>
  <c r="BJ219" i="29" s="1"/>
  <c r="BJ110" i="29"/>
  <c r="BN210" i="29"/>
  <c r="BN65" i="29"/>
  <c r="BR211" i="29"/>
  <c r="BR112" i="29"/>
  <c r="BS112" i="29" s="1"/>
  <c r="BR66" i="29"/>
  <c r="BV212" i="29"/>
  <c r="BV222" i="29" s="1"/>
  <c r="BV113" i="29"/>
  <c r="BW123" i="29" s="1"/>
  <c r="BZ209" i="29"/>
  <c r="CD210" i="29"/>
  <c r="CD111" i="29"/>
  <c r="CJ111" i="29" s="1"/>
  <c r="CD65" i="29"/>
  <c r="CH211" i="29"/>
  <c r="CH112" i="29"/>
  <c r="CH66" i="29"/>
  <c r="CL212" i="29"/>
  <c r="CL222" i="29" s="1"/>
  <c r="CL113" i="29"/>
  <c r="CX211" i="29"/>
  <c r="CX112" i="29"/>
  <c r="CY63" i="29"/>
  <c r="DC60" i="29"/>
  <c r="DB212" i="29"/>
  <c r="DC212" i="29" s="1"/>
  <c r="DB113" i="29"/>
  <c r="DF209" i="29"/>
  <c r="DG61" i="29"/>
  <c r="CT212" i="29"/>
  <c r="CT113" i="29"/>
  <c r="BJ85" i="29"/>
  <c r="BK85" i="29" s="1"/>
  <c r="BR85" i="29"/>
  <c r="BS85" i="29" s="1"/>
  <c r="BV84" i="29"/>
  <c r="BV86" i="29"/>
  <c r="BW86" i="29"/>
  <c r="BZ85" i="29"/>
  <c r="CA85" i="29" s="1"/>
  <c r="CD86" i="29"/>
  <c r="CE86" i="29" s="1"/>
  <c r="G83" i="29"/>
  <c r="O83" i="29"/>
  <c r="S83" i="29"/>
  <c r="DF85" i="29"/>
  <c r="DG85" i="29" s="1"/>
  <c r="BF85" i="29"/>
  <c r="BG85" i="29" s="1"/>
  <c r="BN113" i="29"/>
  <c r="BN209" i="29"/>
  <c r="BN110" i="29"/>
  <c r="BR210" i="29"/>
  <c r="BR111" i="29"/>
  <c r="BR65" i="29"/>
  <c r="BV211" i="29"/>
  <c r="BV112" i="29"/>
  <c r="CD209" i="29"/>
  <c r="CD214" i="29" s="1"/>
  <c r="CE214" i="29" s="1"/>
  <c r="CD110" i="29"/>
  <c r="CH111" i="29"/>
  <c r="CL211" i="29"/>
  <c r="CL221" i="29" s="1"/>
  <c r="CL112" i="29"/>
  <c r="CT209" i="29"/>
  <c r="CT110" i="29"/>
  <c r="CT130" i="29" s="1"/>
  <c r="CZ63" i="29"/>
  <c r="DD60" i="29"/>
  <c r="DB211" i="29"/>
  <c r="DB112" i="29"/>
  <c r="DB66" i="29"/>
  <c r="DH61" i="29"/>
  <c r="BF74" i="29"/>
  <c r="BV74" i="29"/>
  <c r="BW74" i="29" s="1"/>
  <c r="AX84" i="29"/>
  <c r="M43" i="20"/>
  <c r="CT141" i="29"/>
  <c r="BQ27" i="28" s="1"/>
  <c r="CT124" i="29"/>
  <c r="X53" i="20" s="1"/>
  <c r="CT126" i="29"/>
  <c r="F124" i="29"/>
  <c r="B53" i="20" s="1"/>
  <c r="CI122" i="29"/>
  <c r="CH124" i="29"/>
  <c r="BS174" i="29"/>
  <c r="BO174" i="29"/>
  <c r="BK174" i="29"/>
  <c r="CU174" i="29"/>
  <c r="O160" i="29"/>
  <c r="AE162" i="29"/>
  <c r="DF164" i="29"/>
  <c r="AI161" i="29"/>
  <c r="BO161" i="29"/>
  <c r="CU164" i="29"/>
  <c r="K170" i="29"/>
  <c r="S170" i="29"/>
  <c r="AA170" i="29"/>
  <c r="AI170" i="29"/>
  <c r="CL174" i="29"/>
  <c r="CL176" i="29"/>
  <c r="AL173" i="29"/>
  <c r="AM173" i="29" s="1"/>
  <c r="AP173" i="29"/>
  <c r="AQ173" i="29" s="1"/>
  <c r="BO173" i="29"/>
  <c r="BS173" i="29"/>
  <c r="CU173" i="29"/>
  <c r="AL176" i="29"/>
  <c r="AM176" i="29" s="1"/>
  <c r="AP176" i="29"/>
  <c r="D174" i="29"/>
  <c r="G174" i="29" s="1"/>
  <c r="BW189" i="29"/>
  <c r="BS189" i="29"/>
  <c r="N165" i="29"/>
  <c r="R166" i="29"/>
  <c r="S166" i="29" s="1"/>
  <c r="Z166" i="29"/>
  <c r="BN166" i="29"/>
  <c r="BO166" i="29" s="1"/>
  <c r="BR166" i="29"/>
  <c r="F174" i="29"/>
  <c r="F176" i="29"/>
  <c r="J175" i="29"/>
  <c r="N176" i="29"/>
  <c r="R175" i="29"/>
  <c r="V174" i="29"/>
  <c r="W174" i="29" s="1"/>
  <c r="V176" i="29"/>
  <c r="Z175" i="29"/>
  <c r="AE175" i="29" s="1"/>
  <c r="AD174" i="29"/>
  <c r="H68" i="20" s="1"/>
  <c r="AD176" i="29"/>
  <c r="AH175" i="29"/>
  <c r="DF175" i="29"/>
  <c r="DG175" i="29"/>
  <c r="AU170" i="29"/>
  <c r="AQ172" i="29"/>
  <c r="BW190" i="29"/>
  <c r="BS190" i="29"/>
  <c r="BR194" i="29"/>
  <c r="BK204" i="29"/>
  <c r="BW204" i="29"/>
  <c r="K160" i="29"/>
  <c r="S160" i="29"/>
  <c r="BW161" i="29"/>
  <c r="D165" i="29"/>
  <c r="G170" i="29"/>
  <c r="O170" i="29"/>
  <c r="W170" i="29"/>
  <c r="AE170" i="29"/>
  <c r="AI171" i="29"/>
  <c r="DG171" i="29"/>
  <c r="CL175" i="29"/>
  <c r="CQ175" i="29" s="1"/>
  <c r="BK173" i="29"/>
  <c r="AM170" i="29"/>
  <c r="BG184" i="29"/>
  <c r="BS191" i="29"/>
  <c r="BW191" i="29"/>
  <c r="J174" i="29"/>
  <c r="C68" i="20" s="1"/>
  <c r="R174" i="29"/>
  <c r="E68" i="20" s="1"/>
  <c r="Z174" i="29"/>
  <c r="G68" i="20" s="1"/>
  <c r="DF172" i="29"/>
  <c r="BW188" i="29"/>
  <c r="BS188" i="29"/>
  <c r="BR192" i="29"/>
  <c r="BW193" i="29"/>
  <c r="CA193" i="29"/>
  <c r="CI204" i="29"/>
  <c r="CY202" i="29"/>
  <c r="AX203" i="29"/>
  <c r="BF203" i="29"/>
  <c r="BK199" i="29"/>
  <c r="BO199" i="29"/>
  <c r="BS199" i="29"/>
  <c r="BW199" i="29"/>
  <c r="BJ203" i="29"/>
  <c r="BO203" i="29" s="1"/>
  <c r="BR203" i="29"/>
  <c r="BW203" i="29" s="1"/>
  <c r="CM203" i="29"/>
  <c r="AT203" i="29"/>
  <c r="CA192" i="29"/>
  <c r="CE191" i="29"/>
  <c r="BB199" i="29"/>
  <c r="BG199" i="29" s="1"/>
  <c r="X11" i="28" s="1"/>
  <c r="BC199" i="29"/>
  <c r="BK200" i="29"/>
  <c r="S16" i="89"/>
  <c r="AB24" i="89"/>
  <c r="CE35" i="47"/>
  <c r="CG48" i="47"/>
  <c r="BW52" i="47"/>
  <c r="CB35" i="47"/>
  <c r="CI40" i="47"/>
  <c r="CI52" i="47"/>
  <c r="CG41" i="47"/>
  <c r="BS54" i="47"/>
  <c r="BI60" i="47"/>
  <c r="H60" i="47" s="1"/>
  <c r="BF80" i="47"/>
  <c r="CV80" i="47"/>
  <c r="CV82" i="47"/>
  <c r="BE83" i="47"/>
  <c r="BF90" i="47" s="1"/>
  <c r="CU102" i="47"/>
  <c r="W105" i="47"/>
  <c r="DC106" i="47" s="1"/>
  <c r="DC104" i="47"/>
  <c r="BI104" i="47"/>
  <c r="U104" i="47" s="1"/>
  <c r="AC118" i="47"/>
  <c r="BL104" i="47"/>
  <c r="BM104" i="47" s="1"/>
  <c r="G90" i="47"/>
  <c r="S89" i="47"/>
  <c r="BW97" i="47"/>
  <c r="BN97" i="47" s="1"/>
  <c r="BM110" i="47"/>
  <c r="EB102" i="47"/>
  <c r="EA102" i="47" s="1"/>
  <c r="CU104" i="47"/>
  <c r="AR118" i="47"/>
  <c r="BG118" i="47"/>
  <c r="M118" i="47"/>
  <c r="DU125" i="47"/>
  <c r="DU130" i="47"/>
  <c r="BF133" i="47"/>
  <c r="P132" i="47"/>
  <c r="M132" i="47"/>
  <c r="L140" i="47"/>
  <c r="H144" i="47"/>
  <c r="M143" i="47"/>
  <c r="P143" i="47"/>
  <c r="U143" i="47"/>
  <c r="AD144" i="47"/>
  <c r="AD146" i="47"/>
  <c r="BM145" i="47"/>
  <c r="CU157" i="47"/>
  <c r="DR159" i="47"/>
  <c r="DT160" i="47"/>
  <c r="DB147" i="47"/>
  <c r="DV150" i="47"/>
  <c r="BI150" i="47"/>
  <c r="M150" i="47" s="1"/>
  <c r="DT157" i="47"/>
  <c r="DC147" i="47"/>
  <c r="BF150" i="47"/>
  <c r="DQ157" i="47"/>
  <c r="DQ160" i="47"/>
  <c r="DQ166" i="47"/>
  <c r="DQ159" i="47"/>
  <c r="DP161" i="47"/>
  <c r="DN159" i="47"/>
  <c r="CU165" i="47"/>
  <c r="CV166" i="47"/>
  <c r="DM164" i="47"/>
  <c r="DN165" i="47"/>
  <c r="DR164" i="47"/>
  <c r="DT165" i="47"/>
  <c r="DV165" i="47" s="1"/>
  <c r="CV172" i="47"/>
  <c r="DM174" i="47"/>
  <c r="DQ173" i="47"/>
  <c r="DR174" i="47"/>
  <c r="DN164" i="47"/>
  <c r="DT164" i="47"/>
  <c r="DT174" i="47"/>
  <c r="EI179" i="47"/>
  <c r="BG179" i="47"/>
  <c r="BW203" i="47"/>
  <c r="BM203" i="47"/>
  <c r="DM180" i="47"/>
  <c r="CU172" i="47"/>
  <c r="CT175" i="47"/>
  <c r="DN172" i="47"/>
  <c r="DR171" i="47"/>
  <c r="DQ174" i="47"/>
  <c r="CU180" i="47"/>
  <c r="CV180" i="47"/>
  <c r="CT182" i="47"/>
  <c r="CU206" i="47" s="1"/>
  <c r="DN180" i="47"/>
  <c r="BI203" i="47"/>
  <c r="BL204" i="47"/>
  <c r="CU204" i="47"/>
  <c r="DM205" i="47"/>
  <c r="DV206" i="47"/>
  <c r="DB213" i="47"/>
  <c r="BD219" i="47"/>
  <c r="DT181" i="47"/>
  <c r="DB206" i="47"/>
  <c r="DN206" i="47"/>
  <c r="BD210" i="47"/>
  <c r="BD212" i="47"/>
  <c r="E213" i="47"/>
  <c r="AI59" i="40" s="1"/>
  <c r="G210" i="47"/>
  <c r="G217" i="47"/>
  <c r="BI210" i="47"/>
  <c r="H210" i="47" s="1"/>
  <c r="AC213" i="47"/>
  <c r="BF225" i="47"/>
  <c r="DT180" i="47"/>
  <c r="EB180" i="47" s="1"/>
  <c r="EA180" i="47" s="1"/>
  <c r="BL202" i="47"/>
  <c r="DM204" i="47"/>
  <c r="DC206" i="47"/>
  <c r="DJ206" i="47"/>
  <c r="DQ202" i="47"/>
  <c r="G209" i="47"/>
  <c r="DM213" i="47"/>
  <c r="BD217" i="47"/>
  <c r="CV181" i="47"/>
  <c r="BA206" i="47"/>
  <c r="Q12" i="89" s="1"/>
  <c r="BC213" i="47"/>
  <c r="G212" i="47"/>
  <c r="G219" i="47"/>
  <c r="BI212" i="47"/>
  <c r="AI212" i="47" s="1"/>
  <c r="DF211" i="47"/>
  <c r="DC213" i="47"/>
  <c r="AD219" i="47"/>
  <c r="BI216" i="47"/>
  <c r="BK223" i="47" s="1"/>
  <c r="DC216" i="47"/>
  <c r="R220" i="47"/>
  <c r="S220" i="47" s="1"/>
  <c r="DM217" i="47"/>
  <c r="W220" i="47"/>
  <c r="DJ220" i="47"/>
  <c r="H223" i="47"/>
  <c r="AI223" i="47"/>
  <c r="BB224" i="47"/>
  <c r="AC223" i="47"/>
  <c r="BD223" i="47"/>
  <c r="L213" i="47"/>
  <c r="AH213" i="47"/>
  <c r="BF213" i="47"/>
  <c r="DJ213" i="47"/>
  <c r="CV219" i="47"/>
  <c r="S219" i="47"/>
  <c r="L220" i="47"/>
  <c r="AH220" i="47"/>
  <c r="BF220" i="47"/>
  <c r="AI224" i="47"/>
  <c r="AI219" i="47"/>
  <c r="BD216" i="47"/>
  <c r="BG219" i="47"/>
  <c r="H224" i="47"/>
  <c r="M224" i="47"/>
  <c r="U224" i="47"/>
  <c r="BB223" i="47"/>
  <c r="EE29" i="37"/>
  <c r="EC29" i="37"/>
  <c r="IX12" i="38"/>
  <c r="R53" i="9"/>
  <c r="BJ48" i="34"/>
  <c r="BF46" i="34"/>
  <c r="BG40" i="34"/>
  <c r="CL47" i="34"/>
  <c r="BS41" i="34"/>
  <c r="BJ46" i="34"/>
  <c r="BK40" i="34"/>
  <c r="AD53" i="36"/>
  <c r="AP60" i="36"/>
  <c r="AF54" i="36"/>
  <c r="AV57" i="36"/>
  <c r="AB59" i="36"/>
  <c r="T59" i="36"/>
  <c r="L59" i="36"/>
  <c r="AL53" i="36"/>
  <c r="V60" i="36"/>
  <c r="Z70" i="46"/>
  <c r="AQ419" i="45"/>
  <c r="Z34" i="46"/>
  <c r="Z324" i="46"/>
  <c r="M527" i="45"/>
  <c r="Z344" i="46"/>
  <c r="AR309" i="45"/>
  <c r="AR315" i="45"/>
  <c r="L97" i="45"/>
  <c r="M96" i="45"/>
  <c r="J273" i="46"/>
  <c r="J27" i="12"/>
  <c r="Z159" i="12"/>
  <c r="BF80" i="28" s="1"/>
  <c r="L533" i="45"/>
  <c r="M351" i="45"/>
  <c r="Z148" i="46"/>
  <c r="Z154" i="46"/>
  <c r="AR319" i="45"/>
  <c r="D61" i="45"/>
  <c r="J19" i="12"/>
  <c r="Z338" i="46"/>
  <c r="K96" i="45"/>
  <c r="AR42" i="45"/>
  <c r="Z190" i="12"/>
  <c r="AQ396" i="45"/>
  <c r="Z36" i="12" s="1"/>
  <c r="AB28" i="9" s="1"/>
  <c r="V534" i="45"/>
  <c r="W534" i="45" s="1"/>
  <c r="W352" i="45"/>
  <c r="J533" i="45"/>
  <c r="K351" i="45"/>
  <c r="AR332" i="45"/>
  <c r="DH147" i="45"/>
  <c r="AG17" i="40" s="1"/>
  <c r="AR43" i="45"/>
  <c r="J49" i="12"/>
  <c r="J35" i="12"/>
  <c r="V27" i="9" s="1"/>
  <c r="J29" i="12"/>
  <c r="V21" i="9" s="1"/>
  <c r="K24" i="45"/>
  <c r="K18" i="45"/>
  <c r="AR38" i="45"/>
  <c r="J43" i="12"/>
  <c r="J36" i="12"/>
  <c r="AR32" i="45"/>
  <c r="F142" i="20"/>
  <c r="G5" i="20"/>
  <c r="BB200" i="29"/>
  <c r="CI111" i="29"/>
  <c r="BR131" i="29"/>
  <c r="BS111" i="29"/>
  <c r="BS121" i="29"/>
  <c r="BK209" i="29"/>
  <c r="BK74" i="29"/>
  <c r="DB130" i="29"/>
  <c r="DB116" i="29"/>
  <c r="DC120" i="29"/>
  <c r="DC110" i="29"/>
  <c r="BL65" i="29"/>
  <c r="BG65" i="29"/>
  <c r="AQ120" i="29"/>
  <c r="AP115" i="29"/>
  <c r="BK121" i="29"/>
  <c r="AT133" i="29"/>
  <c r="AU123" i="29"/>
  <c r="AU113" i="29"/>
  <c r="AM209" i="29"/>
  <c r="AH131" i="29"/>
  <c r="AI121" i="29"/>
  <c r="AN111" i="29"/>
  <c r="AI111" i="29"/>
  <c r="AD220" i="29"/>
  <c r="AD224" i="29" s="1"/>
  <c r="AE210" i="29"/>
  <c r="W209" i="29"/>
  <c r="BD23" i="29"/>
  <c r="BH23" i="29"/>
  <c r="AI66" i="29"/>
  <c r="AH115" i="29"/>
  <c r="R214" i="29"/>
  <c r="S214" i="29" s="1"/>
  <c r="F221" i="29"/>
  <c r="F231" i="29" s="1"/>
  <c r="G209" i="29"/>
  <c r="CB34" i="29"/>
  <c r="CA34" i="29"/>
  <c r="Z133" i="29"/>
  <c r="AY84" i="29"/>
  <c r="CL133" i="29"/>
  <c r="CL143" i="29" s="1"/>
  <c r="BI27" i="28" s="1"/>
  <c r="CM123" i="29"/>
  <c r="CM113" i="29"/>
  <c r="BR214" i="29"/>
  <c r="BS214" i="29" s="1"/>
  <c r="BR219" i="29"/>
  <c r="BR215" i="29"/>
  <c r="BS215" i="29"/>
  <c r="BZ57" i="29"/>
  <c r="G66" i="29"/>
  <c r="CL132" i="29"/>
  <c r="CM112" i="29"/>
  <c r="CM122" i="29"/>
  <c r="BR220" i="29"/>
  <c r="BS210" i="29"/>
  <c r="DB222" i="29"/>
  <c r="DD112" i="29"/>
  <c r="CA209" i="29"/>
  <c r="DB219" i="29"/>
  <c r="DB131" i="29"/>
  <c r="DB141" i="29" s="1"/>
  <c r="CA27" i="28" s="1"/>
  <c r="DC111" i="29"/>
  <c r="DC121" i="29"/>
  <c r="CM210" i="29"/>
  <c r="BT63" i="29"/>
  <c r="BS63" i="29"/>
  <c r="BX63" i="29"/>
  <c r="DX111" i="47"/>
  <c r="AP219" i="29"/>
  <c r="AP229" i="29" s="1"/>
  <c r="AQ209" i="29"/>
  <c r="AI65" i="29"/>
  <c r="AH220" i="29"/>
  <c r="AI210" i="29"/>
  <c r="BG113" i="29"/>
  <c r="AY65" i="29"/>
  <c r="AQ111" i="29"/>
  <c r="AD132" i="29"/>
  <c r="AD142" i="29" s="1"/>
  <c r="R212" i="29"/>
  <c r="BF219" i="29"/>
  <c r="BF229" i="29" s="1"/>
  <c r="AI64" i="29"/>
  <c r="AN64" i="29"/>
  <c r="AA112" i="29"/>
  <c r="W210" i="29"/>
  <c r="CA63" i="29"/>
  <c r="DX125" i="47"/>
  <c r="CB63" i="29"/>
  <c r="DF219" i="29"/>
  <c r="DF214" i="29"/>
  <c r="DG214" i="29" s="1"/>
  <c r="DG209" i="29"/>
  <c r="BO65" i="29"/>
  <c r="BJ130" i="29"/>
  <c r="BK110" i="29"/>
  <c r="BK120" i="29"/>
  <c r="AM212" i="29"/>
  <c r="AE209" i="29"/>
  <c r="BC121" i="29"/>
  <c r="AE121" i="29"/>
  <c r="AD131" i="29"/>
  <c r="AE111" i="29"/>
  <c r="Z219" i="29"/>
  <c r="AA209" i="29"/>
  <c r="AX220" i="29"/>
  <c r="AY210" i="29"/>
  <c r="AL131" i="29"/>
  <c r="AL141" i="29"/>
  <c r="AM121" i="29"/>
  <c r="AM111" i="29"/>
  <c r="F132" i="29"/>
  <c r="BP65" i="29"/>
  <c r="BB203" i="29"/>
  <c r="BG203" i="29" s="1"/>
  <c r="DG172" i="29"/>
  <c r="DB132" i="29"/>
  <c r="DC122" i="29"/>
  <c r="DC112" i="29"/>
  <c r="BV221" i="29"/>
  <c r="BV231" i="29" s="1"/>
  <c r="BW211" i="29"/>
  <c r="CH132" i="29"/>
  <c r="CN112" i="29"/>
  <c r="CI112" i="29"/>
  <c r="BR221" i="29"/>
  <c r="BR231" i="29" s="1"/>
  <c r="CA231" i="29" s="1"/>
  <c r="BS211" i="29"/>
  <c r="DF220" i="29"/>
  <c r="DG210" i="29"/>
  <c r="DB220" i="29"/>
  <c r="DB230" i="29" s="1"/>
  <c r="BF131" i="29"/>
  <c r="BF141" i="29" s="1"/>
  <c r="BG111" i="29"/>
  <c r="BG121" i="29"/>
  <c r="X23" i="28" s="1"/>
  <c r="AE110" i="29"/>
  <c r="AD130" i="29"/>
  <c r="AE120" i="29"/>
  <c r="V132" i="29"/>
  <c r="AA132" i="29" s="1"/>
  <c r="S111" i="29"/>
  <c r="N130" i="29"/>
  <c r="AF110" i="29"/>
  <c r="AA110" i="29"/>
  <c r="R132" i="29"/>
  <c r="S122" i="29"/>
  <c r="S112" i="29"/>
  <c r="D130" i="29"/>
  <c r="E120" i="29"/>
  <c r="BF222" i="29"/>
  <c r="BG212" i="29"/>
  <c r="CF23" i="29"/>
  <c r="CB23" i="29"/>
  <c r="AL221" i="29"/>
  <c r="AL231" i="29" s="1"/>
  <c r="AM211" i="29"/>
  <c r="AH132" i="29"/>
  <c r="AH142" i="29" s="1"/>
  <c r="Z221" i="29"/>
  <c r="AA211" i="29"/>
  <c r="R64" i="29"/>
  <c r="BG210" i="47"/>
  <c r="BK217" i="47"/>
  <c r="BB210" i="47"/>
  <c r="AD210" i="47"/>
  <c r="AI210" i="47"/>
  <c r="U210" i="47"/>
  <c r="M210" i="47"/>
  <c r="GG18" i="38"/>
  <c r="BB203" i="47"/>
  <c r="AI203" i="47"/>
  <c r="GA18" i="38"/>
  <c r="BF226" i="47"/>
  <c r="CV220" i="47"/>
  <c r="U216" i="47"/>
  <c r="M216" i="47"/>
  <c r="BK216" i="47"/>
  <c r="BG216" i="47"/>
  <c r="BB216" i="47"/>
  <c r="AI216" i="47"/>
  <c r="H216" i="47"/>
  <c r="GM13" i="38"/>
  <c r="BE227" i="47"/>
  <c r="AK12" i="40" s="1"/>
  <c r="AK321" i="40" s="1"/>
  <c r="H212" i="47"/>
  <c r="BI213" i="47"/>
  <c r="Z231" i="29"/>
  <c r="AA221" i="29"/>
  <c r="DB142" i="29"/>
  <c r="BZ222" i="29"/>
  <c r="BZ232" i="29" s="1"/>
  <c r="CA212" i="29"/>
  <c r="BR229" i="29"/>
  <c r="BF232" i="29"/>
  <c r="DF230" i="29"/>
  <c r="DB140" i="29"/>
  <c r="DB135" i="29"/>
  <c r="BJ150" i="29"/>
  <c r="BJ140" i="29"/>
  <c r="BV232" i="29"/>
  <c r="AD230" i="29"/>
  <c r="AH141" i="29"/>
  <c r="AM131" i="29"/>
  <c r="C16" i="85"/>
  <c r="CL231" i="29"/>
  <c r="DB232" i="29"/>
  <c r="CB27" i="28"/>
  <c r="F225" i="47"/>
  <c r="GS21" i="38"/>
  <c r="L225" i="47"/>
  <c r="AA225" i="47"/>
  <c r="F175" i="46"/>
  <c r="DH12" i="29"/>
  <c r="CG47" i="28" s="1"/>
  <c r="AM140" i="40"/>
  <c r="BC131" i="40"/>
  <c r="BC132" i="40" s="1"/>
  <c r="AL92" i="40"/>
  <c r="AM92" i="40" s="1"/>
  <c r="AN92" i="40" s="1"/>
  <c r="AO92" i="40" s="1"/>
  <c r="AP92" i="40" s="1"/>
  <c r="AQ92" i="40" s="1"/>
  <c r="AR92" i="40" s="1"/>
  <c r="AC17" i="89"/>
  <c r="I24" i="89"/>
  <c r="I31" i="89" s="1"/>
  <c r="I38" i="89" s="1"/>
  <c r="I45" i="89" s="1"/>
  <c r="S31" i="89"/>
  <c r="S32" i="89"/>
  <c r="D32" i="89"/>
  <c r="H31" i="89"/>
  <c r="G9" i="89"/>
  <c r="AA9" i="89" s="1"/>
  <c r="G10" i="89"/>
  <c r="AA10" i="89" s="1"/>
  <c r="G11" i="89"/>
  <c r="S26" i="89"/>
  <c r="R33" i="89"/>
  <c r="H29" i="89"/>
  <c r="H36" i="89"/>
  <c r="D22" i="89"/>
  <c r="AN33" i="89"/>
  <c r="AN45" i="89"/>
  <c r="AB31" i="89"/>
  <c r="C12" i="89"/>
  <c r="AN140" i="40"/>
  <c r="AO140" i="40" s="1"/>
  <c r="AP140" i="40" s="1"/>
  <c r="AQ140" i="40" s="1"/>
  <c r="AR140" i="40" s="1"/>
  <c r="I352" i="45"/>
  <c r="BF227" i="47"/>
  <c r="U33" i="89"/>
  <c r="AD31" i="89"/>
  <c r="AC225" i="47"/>
  <c r="G225" i="47"/>
  <c r="BI225" i="47"/>
  <c r="BK225" i="47" s="1"/>
  <c r="DB225" i="47"/>
  <c r="S225" i="47"/>
  <c r="DF16" i="29"/>
  <c r="DH200" i="29"/>
  <c r="D188" i="9"/>
  <c r="DG12" i="29"/>
  <c r="CZ12" i="34" s="1"/>
  <c r="DG82" i="29"/>
  <c r="DG72" i="29"/>
  <c r="CG8" i="28"/>
  <c r="CU225" i="47"/>
  <c r="GS22" i="38"/>
  <c r="F188" i="9"/>
  <c r="DG52" i="29"/>
  <c r="DF26" i="29"/>
  <c r="CG10" i="28"/>
  <c r="DG42" i="29"/>
  <c r="CG14" i="28"/>
  <c r="DH32" i="29"/>
  <c r="DF36" i="29"/>
  <c r="DF62" i="29"/>
  <c r="DH62" i="29"/>
  <c r="DP225" i="47"/>
  <c r="AD224" i="47"/>
  <c r="U225" i="47"/>
  <c r="BG225" i="47"/>
  <c r="BB225" i="47"/>
  <c r="DH358" i="45"/>
  <c r="DI65" i="45"/>
  <c r="M95" i="45"/>
  <c r="K47" i="45"/>
  <c r="K54" i="45"/>
  <c r="P408" i="40"/>
  <c r="DI33" i="45"/>
  <c r="DH39" i="45"/>
  <c r="K50" i="45"/>
  <c r="AD60" i="45"/>
  <c r="AD61" i="45" s="1"/>
  <c r="AD62" i="45" s="1"/>
  <c r="AD65" i="45" s="1"/>
  <c r="V102" i="45"/>
  <c r="W102" i="45"/>
  <c r="DH105" i="45"/>
  <c r="DH21" i="45"/>
  <c r="AQ25" i="45"/>
  <c r="K38" i="45"/>
  <c r="K37" i="45"/>
  <c r="N60" i="45"/>
  <c r="T60" i="45"/>
  <c r="K71" i="40"/>
  <c r="L68" i="40" s="1"/>
  <c r="AQ14" i="45"/>
  <c r="J15" i="12" s="1"/>
  <c r="L69" i="40"/>
  <c r="AR55" i="45"/>
  <c r="J63" i="12"/>
  <c r="AR267" i="45"/>
  <c r="AG60" i="45"/>
  <c r="AF61" i="45"/>
  <c r="AG61" i="45" s="1"/>
  <c r="E24" i="45"/>
  <c r="K53" i="45"/>
  <c r="AQ54" i="45"/>
  <c r="J62" i="12" s="1"/>
  <c r="V54" i="9" s="1"/>
  <c r="X54" i="9" s="1"/>
  <c r="V60" i="45"/>
  <c r="W60" i="45" s="1"/>
  <c r="J202" i="45"/>
  <c r="E208" i="45"/>
  <c r="K224" i="45"/>
  <c r="AH102" i="9"/>
  <c r="AR277" i="45"/>
  <c r="AR283" i="45"/>
  <c r="U390" i="45"/>
  <c r="U396" i="45"/>
  <c r="AM413" i="45"/>
  <c r="AM419" i="45"/>
  <c r="DI72" i="45"/>
  <c r="AQ237" i="45"/>
  <c r="K237" i="45"/>
  <c r="K255" i="45"/>
  <c r="AQ249" i="45"/>
  <c r="AH69" i="9" s="1"/>
  <c r="AJ69" i="9" s="1"/>
  <c r="K249" i="45"/>
  <c r="J531" i="45"/>
  <c r="K349" i="45"/>
  <c r="AM59" i="45"/>
  <c r="AK70" i="40"/>
  <c r="BL66" i="40" s="1"/>
  <c r="K235" i="45"/>
  <c r="K247" i="45"/>
  <c r="AQ247" i="45"/>
  <c r="W430" i="45"/>
  <c r="AM431" i="45"/>
  <c r="AQ50" i="45"/>
  <c r="DI111" i="45"/>
  <c r="DH135" i="45"/>
  <c r="BK141" i="45"/>
  <c r="DJ159" i="45"/>
  <c r="AH40" i="9"/>
  <c r="AH119" i="9"/>
  <c r="AR292" i="45"/>
  <c r="AR298" i="45"/>
  <c r="K256" i="45"/>
  <c r="DH346" i="45"/>
  <c r="DK346" i="45"/>
  <c r="AR393" i="45"/>
  <c r="J414" i="45"/>
  <c r="K420" i="45" s="1"/>
  <c r="E414" i="45"/>
  <c r="AK412" i="45"/>
  <c r="G432" i="45"/>
  <c r="J426" i="45"/>
  <c r="K426" i="45"/>
  <c r="U424" i="45"/>
  <c r="AE424" i="45"/>
  <c r="V107" i="45"/>
  <c r="K253" i="45"/>
  <c r="AQ253" i="45"/>
  <c r="AR259" i="45" s="1"/>
  <c r="J498" i="45"/>
  <c r="K316" i="45"/>
  <c r="DK316" i="45"/>
  <c r="J515" i="45"/>
  <c r="K333" i="45"/>
  <c r="L520" i="45"/>
  <c r="M344" i="45"/>
  <c r="M390" i="45"/>
  <c r="M396" i="45"/>
  <c r="AM390" i="45"/>
  <c r="AM396" i="45"/>
  <c r="W408" i="45"/>
  <c r="AC419" i="45"/>
  <c r="AC413" i="45"/>
  <c r="AM414" i="45"/>
  <c r="AM420" i="45"/>
  <c r="O418" i="45"/>
  <c r="O424" i="45"/>
  <c r="G425" i="45"/>
  <c r="AI426" i="45"/>
  <c r="AH104" i="9"/>
  <c r="AR279" i="45"/>
  <c r="V471" i="45"/>
  <c r="W471" i="45" s="1"/>
  <c r="W477" i="45"/>
  <c r="AQ289" i="45"/>
  <c r="AR289" i="45" s="1"/>
  <c r="W295" i="45"/>
  <c r="L492" i="45"/>
  <c r="AQ492" i="45" s="1"/>
  <c r="Z148" i="12" s="1"/>
  <c r="AY80" i="28" s="1"/>
  <c r="AQ310" i="45"/>
  <c r="M310" i="45"/>
  <c r="L515" i="45"/>
  <c r="M333" i="45"/>
  <c r="J522" i="45"/>
  <c r="Z162" i="46" s="1"/>
  <c r="K346" i="45"/>
  <c r="Q401" i="45"/>
  <c r="J407" i="45"/>
  <c r="M405" i="45"/>
  <c r="O407" i="45"/>
  <c r="M411" i="45"/>
  <c r="Q414" i="45"/>
  <c r="W414" i="45"/>
  <c r="E420" i="45"/>
  <c r="AC418" i="45"/>
  <c r="AI424" i="45"/>
  <c r="J432" i="45"/>
  <c r="Z57" i="46"/>
  <c r="M436" i="45"/>
  <c r="AR278" i="45"/>
  <c r="AR314" i="45"/>
  <c r="AE412" i="45"/>
  <c r="AK419" i="45"/>
  <c r="Q437" i="45"/>
  <c r="Q438" i="45"/>
  <c r="AI436" i="45"/>
  <c r="V456" i="45"/>
  <c r="W456" i="45" s="1"/>
  <c r="AR284" i="45"/>
  <c r="AQ291" i="45"/>
  <c r="AR295" i="45"/>
  <c r="E413" i="45"/>
  <c r="M412" i="45"/>
  <c r="M438" i="45"/>
  <c r="W438" i="45"/>
  <c r="W444" i="45"/>
  <c r="Q442" i="45"/>
  <c r="W437" i="45"/>
  <c r="U453" i="45"/>
  <c r="O467" i="45"/>
  <c r="W465" i="45"/>
  <c r="I508" i="45"/>
  <c r="W520" i="45"/>
  <c r="AC449" i="45"/>
  <c r="AC450" i="45"/>
  <c r="Q468" i="45"/>
  <c r="W527" i="45"/>
  <c r="IW11" i="38"/>
  <c r="IX17" i="38"/>
  <c r="IW25" i="38"/>
  <c r="IW17" i="38"/>
  <c r="IW26" i="38"/>
  <c r="HT16" i="38"/>
  <c r="HT17" i="38"/>
  <c r="AT138" i="37"/>
  <c r="AT207" i="37" s="1"/>
  <c r="HT15" i="38"/>
  <c r="AL120" i="37"/>
  <c r="EG29" i="37"/>
  <c r="EF29" i="37"/>
  <c r="EI29" i="37"/>
  <c r="AG227" i="47"/>
  <c r="AH227" i="47" s="1"/>
  <c r="AH226" i="47"/>
  <c r="K32" i="89"/>
  <c r="L32" i="89" s="1"/>
  <c r="EB225" i="47"/>
  <c r="L167" i="9"/>
  <c r="DJ84" i="29"/>
  <c r="AB43" i="20" s="1"/>
  <c r="DJ86" i="29"/>
  <c r="T14" i="20"/>
  <c r="T17" i="20"/>
  <c r="AF293" i="40"/>
  <c r="P303" i="45"/>
  <c r="AB278" i="40"/>
  <c r="N484" i="45"/>
  <c r="O484" i="45" s="1"/>
  <c r="AA99" i="40"/>
  <c r="AB100" i="40" s="1"/>
  <c r="W199" i="40"/>
  <c r="R303" i="45"/>
  <c r="R304" i="45" s="1"/>
  <c r="S302" i="45"/>
  <c r="M130" i="40"/>
  <c r="M364" i="40" s="1"/>
  <c r="X265" i="40"/>
  <c r="X266" i="40" s="1"/>
  <c r="AH46" i="40"/>
  <c r="T303" i="45"/>
  <c r="T304" i="45" s="1"/>
  <c r="N175" i="45"/>
  <c r="O174" i="45"/>
  <c r="J187" i="9"/>
  <c r="J49" i="9"/>
  <c r="J54" i="9"/>
  <c r="L82" i="9"/>
  <c r="AP118" i="9"/>
  <c r="P158" i="9"/>
  <c r="AJ109" i="9"/>
  <c r="J111" i="9"/>
  <c r="AM111" i="9" s="1"/>
  <c r="N61" i="45"/>
  <c r="O60" i="45"/>
  <c r="J529" i="46"/>
  <c r="AE60" i="45"/>
  <c r="AF117" i="40"/>
  <c r="BG116" i="40" s="1"/>
  <c r="AF17" i="40"/>
  <c r="AQ202" i="45"/>
  <c r="L81" i="40"/>
  <c r="K208" i="45"/>
  <c r="M521" i="45"/>
  <c r="V61" i="45"/>
  <c r="AF62" i="45"/>
  <c r="AH116" i="9"/>
  <c r="AR116" i="9" s="1"/>
  <c r="J57" i="12"/>
  <c r="AH67" i="9"/>
  <c r="AR247" i="45"/>
  <c r="T99" i="40"/>
  <c r="K522" i="45"/>
  <c r="W107" i="45"/>
  <c r="V108" i="45"/>
  <c r="K521" i="45"/>
  <c r="AR249" i="45"/>
  <c r="AD32" i="89"/>
  <c r="DI226" i="47"/>
  <c r="DH227" i="47"/>
  <c r="AD33" i="89" s="1"/>
  <c r="AC278" i="40"/>
  <c r="AB279" i="40"/>
  <c r="AE61" i="45"/>
  <c r="V109" i="45"/>
  <c r="W109" i="45" s="1"/>
  <c r="W108" i="45"/>
  <c r="V110" i="45"/>
  <c r="J188" i="9"/>
  <c r="EQ18" i="37"/>
  <c r="EQ19" i="37" s="1"/>
  <c r="U36" i="89"/>
  <c r="BF230" i="47"/>
  <c r="D37" i="89"/>
  <c r="S15" i="89"/>
  <c r="BT42" i="47"/>
  <c r="BP52" i="47"/>
  <c r="CI26" i="47"/>
  <c r="AO84" i="47"/>
  <c r="X234" i="40" s="1"/>
  <c r="X320" i="40" s="1"/>
  <c r="CE24" i="47"/>
  <c r="CE39" i="47"/>
  <c r="BF35" i="47"/>
  <c r="CB46" i="47"/>
  <c r="EI144" i="47"/>
  <c r="CE45" i="47"/>
  <c r="CV61" i="47"/>
  <c r="DY67" i="47"/>
  <c r="AC77" i="47"/>
  <c r="CV81" i="47"/>
  <c r="K33" i="89"/>
  <c r="BD225" i="47"/>
  <c r="AI225" i="47"/>
  <c r="GR23" i="38"/>
  <c r="IB20" i="38" s="1"/>
  <c r="Z474" i="46"/>
  <c r="W355" i="45"/>
  <c r="V537" i="45"/>
  <c r="W537" i="45" s="1"/>
  <c r="M352" i="45"/>
  <c r="J534" i="45"/>
  <c r="Z176" i="46"/>
  <c r="K355" i="45"/>
  <c r="AK81" i="40"/>
  <c r="AK78" i="40" s="1"/>
  <c r="K352" i="45"/>
  <c r="DV225" i="47"/>
  <c r="AO31" i="89"/>
  <c r="W356" i="45"/>
  <c r="V538" i="45"/>
  <c r="W538" i="45" s="1"/>
  <c r="DF126" i="29"/>
  <c r="CG23" i="28"/>
  <c r="J189" i="9"/>
  <c r="DG204" i="29"/>
  <c r="GS26" i="38"/>
  <c r="F176" i="46"/>
  <c r="F226" i="47"/>
  <c r="DK160" i="29"/>
  <c r="AA31" i="20"/>
  <c r="AK69" i="40"/>
  <c r="L537" i="45"/>
  <c r="M537" i="45" s="1"/>
  <c r="M355" i="45"/>
  <c r="I356" i="45"/>
  <c r="I355" i="45"/>
  <c r="H537" i="45"/>
  <c r="I537" i="45" s="1"/>
  <c r="AK30" i="40"/>
  <c r="BF231" i="47"/>
  <c r="DK170" i="29"/>
  <c r="DJ171" i="29"/>
  <c r="L226" i="47"/>
  <c r="F359" i="46"/>
  <c r="AA226" i="47"/>
  <c r="AR352" i="45"/>
  <c r="K227" i="47"/>
  <c r="DH13" i="29"/>
  <c r="F197" i="12" s="1"/>
  <c r="G226" i="47"/>
  <c r="E227" i="47"/>
  <c r="BI226" i="47"/>
  <c r="M226" i="47" s="1"/>
  <c r="W227" i="47"/>
  <c r="AC226" i="47"/>
  <c r="G227" i="47"/>
  <c r="F227" i="47"/>
  <c r="S226" i="47"/>
  <c r="R227" i="47"/>
  <c r="BJ227" i="47"/>
  <c r="DB226" i="47"/>
  <c r="DA227" i="47"/>
  <c r="DG83" i="29"/>
  <c r="CH8" i="28"/>
  <c r="D4" i="82" s="1"/>
  <c r="F34" i="82" s="1"/>
  <c r="DH201" i="29"/>
  <c r="DG13" i="29"/>
  <c r="CZ13" i="34"/>
  <c r="D189" i="9"/>
  <c r="DG73" i="29"/>
  <c r="CT227" i="47"/>
  <c r="CU226" i="47"/>
  <c r="GS27" i="38"/>
  <c r="AA227" i="47"/>
  <c r="DF24" i="29"/>
  <c r="F189" i="9"/>
  <c r="DG43" i="29"/>
  <c r="DG53" i="29"/>
  <c r="CH10" i="28"/>
  <c r="D6" i="82" s="1"/>
  <c r="DF63" i="29"/>
  <c r="CH14" i="28"/>
  <c r="DH33" i="29"/>
  <c r="DF34" i="29"/>
  <c r="AA19" i="20" s="1"/>
  <c r="DH63" i="29"/>
  <c r="DX226" i="47"/>
  <c r="DP226" i="47"/>
  <c r="DQ226" i="47" s="1"/>
  <c r="CH23" i="28"/>
  <c r="D18" i="82" s="1"/>
  <c r="DF124" i="29"/>
  <c r="AA53" i="20" s="1"/>
  <c r="EB226" i="47"/>
  <c r="AK39" i="40"/>
  <c r="AI359" i="46"/>
  <c r="K36" i="89"/>
  <c r="DI230" i="47"/>
  <c r="AD36" i="89"/>
  <c r="CK55" i="28"/>
  <c r="BP130" i="40"/>
  <c r="BS130" i="40" s="1"/>
  <c r="BM73" i="40"/>
  <c r="BN73" i="40" s="1"/>
  <c r="BO73" i="40" s="1"/>
  <c r="BP73" i="40" s="1"/>
  <c r="BQ73" i="40" s="1"/>
  <c r="BR73" i="40" s="1"/>
  <c r="BS73" i="40" s="1"/>
  <c r="L160" i="9"/>
  <c r="AD360" i="40"/>
  <c r="G38" i="85"/>
  <c r="G78" i="85" s="1"/>
  <c r="DK47" i="28"/>
  <c r="T9" i="20"/>
  <c r="AN30" i="34"/>
  <c r="AZ28" i="34"/>
  <c r="BT19" i="34"/>
  <c r="AN23" i="34"/>
  <c r="DJ165" i="29"/>
  <c r="DK165" i="29" s="1"/>
  <c r="DK161" i="29"/>
  <c r="BI48" i="17"/>
  <c r="BK48" i="17" s="1"/>
  <c r="BM48" i="17" s="1"/>
  <c r="BO48" i="17" s="1"/>
  <c r="BQ48" i="17" s="1"/>
  <c r="AR355" i="45"/>
  <c r="Z478" i="46"/>
  <c r="AZ73" i="22"/>
  <c r="AZ74" i="22" s="1"/>
  <c r="DK202" i="29"/>
  <c r="BB69" i="22"/>
  <c r="BB67" i="22" s="1"/>
  <c r="BB68" i="22" s="1"/>
  <c r="BB31" i="22"/>
  <c r="BB33" i="22" s="1"/>
  <c r="BN46" i="34"/>
  <c r="BS40" i="34"/>
  <c r="BO40" i="34"/>
  <c r="V46" i="34"/>
  <c r="AR24" i="34"/>
  <c r="AU29" i="34"/>
  <c r="AY29" i="34"/>
  <c r="AT41" i="34"/>
  <c r="AU41" i="34" s="1"/>
  <c r="Z43" i="34"/>
  <c r="AA31" i="34"/>
  <c r="BR46" i="34"/>
  <c r="CI22" i="34"/>
  <c r="CD40" i="34"/>
  <c r="CY24" i="34"/>
  <c r="CU24" i="34"/>
  <c r="CT42" i="34"/>
  <c r="CX46" i="34"/>
  <c r="CY40" i="34"/>
  <c r="P33" i="9"/>
  <c r="N33" i="9"/>
  <c r="J33" i="9"/>
  <c r="J82" i="9"/>
  <c r="AM82" i="9" s="1"/>
  <c r="N82" i="9"/>
  <c r="T82" i="9"/>
  <c r="P96" i="9"/>
  <c r="BP25" i="34"/>
  <c r="CB18" i="34"/>
  <c r="CV34" i="34"/>
  <c r="F49" i="34"/>
  <c r="G43" i="34"/>
  <c r="CM24" i="34"/>
  <c r="AD43" i="34"/>
  <c r="AE43" i="34" s="1"/>
  <c r="AE31" i="34"/>
  <c r="AP40" i="34"/>
  <c r="AQ28" i="34"/>
  <c r="P20" i="9"/>
  <c r="N26" i="9"/>
  <c r="N53" i="9"/>
  <c r="P54" i="9"/>
  <c r="J70" i="9"/>
  <c r="N77" i="9"/>
  <c r="J40" i="34"/>
  <c r="K28" i="34"/>
  <c r="V41" i="34"/>
  <c r="AA29" i="34"/>
  <c r="Z41" i="34"/>
  <c r="CA30" i="34"/>
  <c r="BR42" i="34"/>
  <c r="P84" i="9"/>
  <c r="AQ24" i="34"/>
  <c r="CD42" i="34"/>
  <c r="O28" i="34"/>
  <c r="W30" i="34"/>
  <c r="V42" i="34"/>
  <c r="V48" i="34" s="1"/>
  <c r="BK31" i="34"/>
  <c r="BJ43" i="34"/>
  <c r="CM40" i="34"/>
  <c r="J62" i="9"/>
  <c r="P62" i="9"/>
  <c r="BW30" i="34"/>
  <c r="R40" i="34"/>
  <c r="W40" i="34" s="1"/>
  <c r="CQ40" i="34"/>
  <c r="CU40" i="34"/>
  <c r="J186" i="9"/>
  <c r="AT42" i="34"/>
  <c r="AX40" i="34"/>
  <c r="BB46" i="34" s="1"/>
  <c r="P83" i="9"/>
  <c r="DT227" i="47"/>
  <c r="AO32" i="89"/>
  <c r="DV226" i="47"/>
  <c r="BC66" i="17"/>
  <c r="BB53" i="22"/>
  <c r="BR48" i="34"/>
  <c r="BV48" i="34"/>
  <c r="J46" i="34"/>
  <c r="K40" i="34"/>
  <c r="N46" i="34"/>
  <c r="BI25" i="17"/>
  <c r="BK25" i="17" s="1"/>
  <c r="BM25" i="17" s="1"/>
  <c r="BO25" i="17" s="1"/>
  <c r="BQ25" i="17" s="1"/>
  <c r="BF52" i="47"/>
  <c r="AG113" i="40"/>
  <c r="AC206" i="47"/>
  <c r="R83" i="47"/>
  <c r="BR139" i="37"/>
  <c r="BR208" i="37" s="1"/>
  <c r="BN142" i="37"/>
  <c r="AH230" i="47"/>
  <c r="BE44" i="17"/>
  <c r="BH10" i="22"/>
  <c r="BJ10" i="22" s="1"/>
  <c r="BL10" i="22" s="1"/>
  <c r="BN10" i="22" s="1"/>
  <c r="BP10" i="22" s="1"/>
  <c r="K356" i="45"/>
  <c r="J538" i="45"/>
  <c r="Z181" i="46"/>
  <c r="J539" i="45"/>
  <c r="J537" i="45"/>
  <c r="Z180" i="46"/>
  <c r="K534" i="45"/>
  <c r="CL28" i="28"/>
  <c r="DX14" i="37"/>
  <c r="BC234" i="47"/>
  <c r="U37" i="89"/>
  <c r="N16" i="85"/>
  <c r="H38" i="89"/>
  <c r="DH183" i="45"/>
  <c r="H539" i="45"/>
  <c r="I539" i="45" s="1"/>
  <c r="AB230" i="47"/>
  <c r="F363" i="46"/>
  <c r="T230" i="47"/>
  <c r="F180" i="46"/>
  <c r="DL10" i="29"/>
  <c r="F201" i="12" s="1"/>
  <c r="AD37" i="89"/>
  <c r="AC230" i="47"/>
  <c r="G230" i="47"/>
  <c r="BI230" i="47"/>
  <c r="H230" i="47" s="1"/>
  <c r="DB230" i="47"/>
  <c r="S230" i="47"/>
  <c r="BG230" i="47"/>
  <c r="D193" i="9"/>
  <c r="DK10" i="29"/>
  <c r="DD10" i="34" s="1"/>
  <c r="DD16" i="34" s="1"/>
  <c r="DD22" i="34" s="1"/>
  <c r="DK80" i="29"/>
  <c r="DK70" i="29"/>
  <c r="DL198" i="29"/>
  <c r="CJ8" i="28"/>
  <c r="CJ14" i="28"/>
  <c r="CU230" i="47"/>
  <c r="DJ60" i="29"/>
  <c r="DJ110" i="29" s="1"/>
  <c r="DK110" i="29" s="1"/>
  <c r="CJ10" i="28"/>
  <c r="F193" i="9"/>
  <c r="DK40" i="29"/>
  <c r="DK50" i="29"/>
  <c r="DM234" i="47"/>
  <c r="BF233" i="47"/>
  <c r="U39" i="89"/>
  <c r="AZ234" i="47"/>
  <c r="P39" i="89"/>
  <c r="AQ537" i="45"/>
  <c r="Z363" i="46"/>
  <c r="L538" i="45"/>
  <c r="AR356" i="45"/>
  <c r="H538" i="45"/>
  <c r="AB38" i="89"/>
  <c r="DL60" i="29"/>
  <c r="DK120" i="29"/>
  <c r="DX230" i="47"/>
  <c r="DY230" i="47" s="1"/>
  <c r="DL30" i="29"/>
  <c r="P40" i="89"/>
  <c r="I538" i="45"/>
  <c r="AO36" i="89"/>
  <c r="DV230" i="47"/>
  <c r="EB230" i="47"/>
  <c r="DJ130" i="29"/>
  <c r="DJ140" i="29" s="1"/>
  <c r="CJ27" i="28" s="1"/>
  <c r="CJ23" i="28"/>
  <c r="DI232" i="47"/>
  <c r="AD38" i="89"/>
  <c r="DI233" i="47"/>
  <c r="DH234" i="47"/>
  <c r="AD40" i="89" s="1"/>
  <c r="AD39" i="89"/>
  <c r="AJ33" i="22"/>
  <c r="AP35" i="22"/>
  <c r="AF53" i="22"/>
  <c r="AH33" i="22"/>
  <c r="AH73" i="22"/>
  <c r="AH74" i="22" s="1"/>
  <c r="AJ6" i="22"/>
  <c r="AI6" i="17"/>
  <c r="AD74" i="22"/>
  <c r="AT74" i="22"/>
  <c r="BB74" i="22"/>
  <c r="X74" i="22"/>
  <c r="AB74" i="22"/>
  <c r="AN74" i="22"/>
  <c r="AR74" i="22"/>
  <c r="AL6" i="22"/>
  <c r="AN6" i="22" s="1"/>
  <c r="AK6" i="17"/>
  <c r="AM6" i="17"/>
  <c r="CQ66" i="29"/>
  <c r="CQ113" i="29"/>
  <c r="CQ123" i="29"/>
  <c r="CR113" i="29"/>
  <c r="CP133" i="29"/>
  <c r="CQ133" i="29" s="1"/>
  <c r="CN37" i="34"/>
  <c r="CN43" i="34"/>
  <c r="CN42" i="34"/>
  <c r="CN30" i="34"/>
  <c r="CN36" i="34"/>
  <c r="AQ400" i="45"/>
  <c r="AB130" i="9"/>
  <c r="O544" i="45"/>
  <c r="Z141" i="12"/>
  <c r="AT80" i="28" s="1"/>
  <c r="AQ414" i="45"/>
  <c r="Z57" i="12" s="1"/>
  <c r="AB49" i="9" s="1"/>
  <c r="AD49" i="9" s="1"/>
  <c r="U546" i="45"/>
  <c r="Q546" i="45"/>
  <c r="K414" i="45"/>
  <c r="Z36" i="46"/>
  <c r="Q545" i="45"/>
  <c r="Q544" i="45"/>
  <c r="AQ432" i="45"/>
  <c r="N46" i="40"/>
  <c r="AQ441" i="45"/>
  <c r="Z89" i="12" s="1"/>
  <c r="H76" i="28" s="1"/>
  <c r="Z48" i="46"/>
  <c r="AQ424" i="45"/>
  <c r="Z69" i="12" s="1"/>
  <c r="AB61" i="9" s="1"/>
  <c r="Z15" i="46"/>
  <c r="N99" i="40"/>
  <c r="AH112" i="9"/>
  <c r="AH123" i="9"/>
  <c r="AR301" i="45"/>
  <c r="K491" i="45"/>
  <c r="Z126" i="46"/>
  <c r="AQ491" i="45"/>
  <c r="K501" i="45"/>
  <c r="Z131" i="46"/>
  <c r="AB131" i="46" s="1"/>
  <c r="K495" i="45"/>
  <c r="I498" i="45"/>
  <c r="Z402" i="46"/>
  <c r="AB131" i="9"/>
  <c r="AR484" i="45"/>
  <c r="AC437" i="45"/>
  <c r="Z62" i="46"/>
  <c r="AQ208" i="45"/>
  <c r="AR208" i="45" s="1"/>
  <c r="K214" i="45"/>
  <c r="AQ229" i="45"/>
  <c r="K229" i="45"/>
  <c r="AH56" i="9"/>
  <c r="R30" i="40"/>
  <c r="K272" i="45"/>
  <c r="AQ266" i="45"/>
  <c r="AQ465" i="45"/>
  <c r="AR310" i="45"/>
  <c r="AH74" i="9"/>
  <c r="AR253" i="45"/>
  <c r="AE417" i="45"/>
  <c r="AE423" i="45"/>
  <c r="AE431" i="45"/>
  <c r="AE425" i="45"/>
  <c r="E432" i="45"/>
  <c r="E438" i="45"/>
  <c r="U431" i="45"/>
  <c r="Z758" i="46"/>
  <c r="U437" i="45"/>
  <c r="AC435" i="45"/>
  <c r="AC429" i="45"/>
  <c r="AG430" i="45"/>
  <c r="AG432" i="45"/>
  <c r="AG438" i="45"/>
  <c r="Z779" i="46"/>
  <c r="AB780" i="46" s="1"/>
  <c r="U455" i="45"/>
  <c r="W450" i="45"/>
  <c r="U456" i="45"/>
  <c r="X269" i="40"/>
  <c r="Z787" i="46"/>
  <c r="AB787" i="46" s="1"/>
  <c r="AQ456" i="45"/>
  <c r="Z692" i="46"/>
  <c r="O459" i="45"/>
  <c r="Z693" i="46"/>
  <c r="AQ460" i="45"/>
  <c r="Y222" i="40"/>
  <c r="U480" i="45"/>
  <c r="Z815" i="46"/>
  <c r="M492" i="45"/>
  <c r="Z310" i="46"/>
  <c r="Z76" i="46"/>
  <c r="AB124" i="9"/>
  <c r="AH137" i="9"/>
  <c r="AR313" i="45"/>
  <c r="AR307" i="45"/>
  <c r="Z20" i="12"/>
  <c r="AB12" i="9" s="1"/>
  <c r="AD12" i="9" s="1"/>
  <c r="AR382" i="45"/>
  <c r="AQ399" i="45"/>
  <c r="Z19" i="46"/>
  <c r="J402" i="45"/>
  <c r="E408" i="45"/>
  <c r="O472" i="45"/>
  <c r="Z700" i="46"/>
  <c r="O466" i="45"/>
  <c r="AH98" i="9"/>
  <c r="AR98" i="9" s="1"/>
  <c r="X30" i="40"/>
  <c r="AR296" i="45"/>
  <c r="Z486" i="45"/>
  <c r="Z307" i="45"/>
  <c r="Z308" i="45" s="1"/>
  <c r="Z309" i="45" s="1"/>
  <c r="Z310" i="45" s="1"/>
  <c r="Z313" i="45" s="1"/>
  <c r="Z314" i="45" s="1"/>
  <c r="Z315" i="45" s="1"/>
  <c r="Z316" i="45" s="1"/>
  <c r="Z319" i="45" s="1"/>
  <c r="Z320" i="45" s="1"/>
  <c r="Z321" i="45" s="1"/>
  <c r="Z322" i="45" s="1"/>
  <c r="Z325" i="45" s="1"/>
  <c r="Z326" i="45" s="1"/>
  <c r="Z327" i="45" s="1"/>
  <c r="Z328" i="45" s="1"/>
  <c r="Z331" i="45" s="1"/>
  <c r="Z332" i="45" s="1"/>
  <c r="Z333" i="45" s="1"/>
  <c r="Z334" i="45" s="1"/>
  <c r="Z337" i="45" s="1"/>
  <c r="Z338" i="45" s="1"/>
  <c r="Z339" i="45" s="1"/>
  <c r="Z340" i="45" s="1"/>
  <c r="Z343" i="45" s="1"/>
  <c r="Z344" i="45" s="1"/>
  <c r="Z345" i="45" s="1"/>
  <c r="Z346" i="45" s="1"/>
  <c r="Z349" i="45" s="1"/>
  <c r="Z350" i="45" s="1"/>
  <c r="Z351" i="45" s="1"/>
  <c r="Z352" i="45" s="1"/>
  <c r="Z355" i="45" s="1"/>
  <c r="Z356" i="45" s="1"/>
  <c r="Z357" i="45" s="1"/>
  <c r="Z358" i="45" s="1"/>
  <c r="M420" i="45"/>
  <c r="R146" i="40"/>
  <c r="S147" i="40" s="1"/>
  <c r="Z226" i="46"/>
  <c r="W454" i="45"/>
  <c r="W460" i="45"/>
  <c r="AQ459" i="45"/>
  <c r="Z89" i="46"/>
  <c r="U474" i="45"/>
  <c r="Z808" i="46"/>
  <c r="AQ490" i="45"/>
  <c r="AB138" i="9" s="1"/>
  <c r="K496" i="45"/>
  <c r="Z125" i="46"/>
  <c r="K490" i="45"/>
  <c r="AR303" i="45"/>
  <c r="AR290" i="45"/>
  <c r="AQ235" i="45"/>
  <c r="AR274" i="45"/>
  <c r="K478" i="45"/>
  <c r="K465" i="45"/>
  <c r="AM423" i="45"/>
  <c r="Z699" i="46"/>
  <c r="W99" i="40"/>
  <c r="AQ242" i="45"/>
  <c r="K242" i="45"/>
  <c r="AQ250" i="45"/>
  <c r="T81" i="40"/>
  <c r="M413" i="45"/>
  <c r="R99" i="40"/>
  <c r="Z43" i="46"/>
  <c r="U417" i="45"/>
  <c r="Z742" i="46"/>
  <c r="O442" i="45"/>
  <c r="Z543" i="46"/>
  <c r="O462" i="45"/>
  <c r="O456" i="45"/>
  <c r="X222" i="40"/>
  <c r="Q465" i="45"/>
  <c r="AH28" i="9"/>
  <c r="AR214" i="45"/>
  <c r="V280" i="45"/>
  <c r="W274" i="45"/>
  <c r="O465" i="45"/>
  <c r="M478" i="45"/>
  <c r="M472" i="45"/>
  <c r="Z287" i="46"/>
  <c r="W418" i="45"/>
  <c r="K459" i="45"/>
  <c r="AQ420" i="45"/>
  <c r="Z64" i="12" s="1"/>
  <c r="AH20" i="9"/>
  <c r="AJ20" i="9" s="1"/>
  <c r="AR207" i="45"/>
  <c r="AR381" i="45"/>
  <c r="J395" i="45"/>
  <c r="AQ395" i="45" s="1"/>
  <c r="O401" i="45"/>
  <c r="Z502" i="46"/>
  <c r="Q408" i="45"/>
  <c r="Z568" i="46"/>
  <c r="P99" i="40"/>
  <c r="Z29" i="46"/>
  <c r="Q405" i="45"/>
  <c r="Z629" i="46"/>
  <c r="AB629" i="46" s="1"/>
  <c r="Z572" i="46"/>
  <c r="AB573" i="46" s="1"/>
  <c r="P222" i="40"/>
  <c r="Z632" i="46"/>
  <c r="U406" i="45"/>
  <c r="Z729" i="46"/>
  <c r="Z515" i="46"/>
  <c r="Z637" i="46"/>
  <c r="O419" i="45"/>
  <c r="Z638" i="46"/>
  <c r="AG425" i="45"/>
  <c r="AG419" i="45"/>
  <c r="O423" i="45"/>
  <c r="Z650" i="46"/>
  <c r="O431" i="45"/>
  <c r="Z659" i="46"/>
  <c r="G443" i="45"/>
  <c r="G437" i="45"/>
  <c r="Z680" i="46"/>
  <c r="W222" i="40"/>
  <c r="W223" i="40" s="1"/>
  <c r="W225" i="40" s="1"/>
  <c r="W343" i="40" s="1"/>
  <c r="Z681" i="46"/>
  <c r="X99" i="40"/>
  <c r="Z85" i="46"/>
  <c r="K462" i="45"/>
  <c r="Z92" i="46"/>
  <c r="Z695" i="46"/>
  <c r="U465" i="45"/>
  <c r="Z798" i="46"/>
  <c r="O471" i="45"/>
  <c r="AQ480" i="45"/>
  <c r="AB126" i="9" s="1"/>
  <c r="AD126" i="9" s="1"/>
  <c r="AH39" i="9"/>
  <c r="AQ226" i="45"/>
  <c r="K273" i="45"/>
  <c r="K497" i="45"/>
  <c r="O384" i="45"/>
  <c r="AI401" i="45"/>
  <c r="AI395" i="45"/>
  <c r="M418" i="45"/>
  <c r="M437" i="45"/>
  <c r="U449" i="45"/>
  <c r="O455" i="45"/>
  <c r="U454" i="45"/>
  <c r="AC454" i="45"/>
  <c r="O480" i="45"/>
  <c r="O474" i="45"/>
  <c r="U471" i="45"/>
  <c r="O408" i="45"/>
  <c r="U408" i="45"/>
  <c r="AO411" i="45"/>
  <c r="AO405" i="45"/>
  <c r="AO408" i="45"/>
  <c r="AE419" i="45"/>
  <c r="AE420" i="45"/>
  <c r="J429" i="45"/>
  <c r="J437" i="45"/>
  <c r="O447" i="45"/>
  <c r="V126" i="40"/>
  <c r="W390" i="45"/>
  <c r="AR387" i="45"/>
  <c r="U395" i="45"/>
  <c r="J390" i="45"/>
  <c r="AI402" i="45"/>
  <c r="J405" i="45"/>
  <c r="K411" i="45" s="1"/>
  <c r="AC408" i="45"/>
  <c r="J411" i="45"/>
  <c r="Q412" i="45"/>
  <c r="AG420" i="45"/>
  <c r="W417" i="45"/>
  <c r="U425" i="45"/>
  <c r="AG418" i="45"/>
  <c r="AI419" i="45"/>
  <c r="U222" i="40"/>
  <c r="E448" i="45"/>
  <c r="O450" i="45"/>
  <c r="W395" i="45"/>
  <c r="AO390" i="45"/>
  <c r="E395" i="45"/>
  <c r="AE401" i="45"/>
  <c r="O406" i="45"/>
  <c r="Q407" i="45"/>
  <c r="AC407" i="45"/>
  <c r="AE414" i="45"/>
  <c r="AK406" i="45"/>
  <c r="AK413" i="45"/>
  <c r="M419" i="45"/>
  <c r="Q413" i="45"/>
  <c r="AO412" i="45"/>
  <c r="J418" i="45"/>
  <c r="Q420" i="45"/>
  <c r="AC423" i="45"/>
  <c r="AI417" i="45"/>
  <c r="G430" i="45"/>
  <c r="Q430" i="45"/>
  <c r="AK430" i="45"/>
  <c r="U441" i="45"/>
  <c r="AC441" i="45"/>
  <c r="AQ213" i="45"/>
  <c r="AH27" i="9" s="1"/>
  <c r="K213" i="45"/>
  <c r="AQ254" i="45"/>
  <c r="AR254" i="45" s="1"/>
  <c r="K254" i="45"/>
  <c r="AE390" i="45"/>
  <c r="U402" i="45"/>
  <c r="AI396" i="45"/>
  <c r="M402" i="45"/>
  <c r="O146" i="40"/>
  <c r="P147" i="40" s="1"/>
  <c r="E423" i="45"/>
  <c r="J417" i="45"/>
  <c r="AR388" i="45"/>
  <c r="AR394" i="45"/>
  <c r="Z27" i="12"/>
  <c r="AB19" i="9" s="1"/>
  <c r="AD19" i="9" s="1"/>
  <c r="E406" i="45"/>
  <c r="W405" i="45"/>
  <c r="AE411" i="45"/>
  <c r="AE405" i="45"/>
  <c r="M414" i="45"/>
  <c r="AC414" i="45"/>
  <c r="AK429" i="45"/>
  <c r="AK423" i="45"/>
  <c r="O432" i="45"/>
  <c r="T222" i="40"/>
  <c r="T223" i="40" s="1"/>
  <c r="E450" i="45"/>
  <c r="AE441" i="45"/>
  <c r="Q222" i="40"/>
  <c r="AO414" i="45"/>
  <c r="AM417" i="45"/>
  <c r="Q432" i="45"/>
  <c r="W432" i="45"/>
  <c r="AI429" i="45"/>
  <c r="AM430" i="45"/>
  <c r="Q444" i="45"/>
  <c r="U448" i="45"/>
  <c r="Z771" i="46"/>
  <c r="U450" i="45"/>
  <c r="V269" i="40"/>
  <c r="W270" i="40" s="1"/>
  <c r="U444" i="45"/>
  <c r="Z773" i="46"/>
  <c r="K226" i="45"/>
  <c r="AQ220" i="45"/>
  <c r="O81" i="40"/>
  <c r="Q384" i="45"/>
  <c r="K222" i="40"/>
  <c r="Q396" i="45"/>
  <c r="M222" i="40"/>
  <c r="N223" i="40" s="1"/>
  <c r="Q390" i="45"/>
  <c r="AC401" i="45"/>
  <c r="AC395" i="45"/>
  <c r="E419" i="45"/>
  <c r="J413" i="45"/>
  <c r="Q411" i="45"/>
  <c r="W413" i="45"/>
  <c r="W419" i="45"/>
  <c r="AK408" i="45"/>
  <c r="O429" i="45"/>
  <c r="AR44" i="45"/>
  <c r="J117" i="46"/>
  <c r="J120" i="45"/>
  <c r="N121" i="45"/>
  <c r="N122" i="45" s="1"/>
  <c r="R120" i="45"/>
  <c r="J720" i="46"/>
  <c r="AR24" i="45"/>
  <c r="J33" i="12"/>
  <c r="V25" i="9" s="1"/>
  <c r="J47" i="12"/>
  <c r="V39" i="9" s="1"/>
  <c r="AQ95" i="45"/>
  <c r="AR95" i="45" s="1"/>
  <c r="DI105" i="45"/>
  <c r="J56" i="12"/>
  <c r="V48" i="9" s="1"/>
  <c r="DI27" i="45"/>
  <c r="AJ60" i="45"/>
  <c r="AK60" i="45" s="1"/>
  <c r="G60" i="45"/>
  <c r="F61" i="45"/>
  <c r="F62" i="45" s="1"/>
  <c r="J60" i="45"/>
  <c r="J14" i="12"/>
  <c r="J61" i="12"/>
  <c r="V53" i="9" s="1"/>
  <c r="X53" i="9" s="1"/>
  <c r="M60" i="45"/>
  <c r="J231" i="46"/>
  <c r="L61" i="45"/>
  <c r="O96" i="45"/>
  <c r="N97" i="45"/>
  <c r="J13" i="12"/>
  <c r="AL61" i="45"/>
  <c r="AM66" i="45"/>
  <c r="AM60" i="45"/>
  <c r="J792" i="46"/>
  <c r="T97" i="45"/>
  <c r="U96" i="45"/>
  <c r="J59" i="45"/>
  <c r="AQ59" i="45" s="1"/>
  <c r="AH143" i="37"/>
  <c r="AH73" i="37"/>
  <c r="AH120" i="37"/>
  <c r="Z144" i="37"/>
  <c r="Z213" i="37" s="1"/>
  <c r="DY21" i="37"/>
  <c r="DY26" i="37"/>
  <c r="BN120" i="37"/>
  <c r="BN104" i="37"/>
  <c r="BJ144" i="37"/>
  <c r="BJ167" i="37" s="1"/>
  <c r="BJ190" i="37" s="1"/>
  <c r="AT68" i="37"/>
  <c r="Y357" i="40"/>
  <c r="AX142" i="37"/>
  <c r="AX165" i="37" s="1"/>
  <c r="AX188" i="37" s="1"/>
  <c r="AX127" i="37"/>
  <c r="AX150" i="37" s="1"/>
  <c r="AX173" i="37" s="1"/>
  <c r="AL138" i="37"/>
  <c r="AL161" i="37" s="1"/>
  <c r="AL184" i="37" s="1"/>
  <c r="AP116" i="37"/>
  <c r="AA90" i="40"/>
  <c r="AA356" i="40" s="1"/>
  <c r="AB90" i="40"/>
  <c r="AB356" i="40" s="1"/>
  <c r="B384" i="46"/>
  <c r="B306" i="46"/>
  <c r="AT71" i="45"/>
  <c r="AT131" i="45"/>
  <c r="AU174" i="45"/>
  <c r="B356" i="45"/>
  <c r="B538" i="45" s="1"/>
  <c r="V98" i="9"/>
  <c r="A212" i="45"/>
  <c r="A394" i="45" s="1"/>
  <c r="AT30" i="45"/>
  <c r="AI140" i="46"/>
  <c r="DZ226" i="47"/>
  <c r="IA26" i="38"/>
  <c r="IA27" i="38" s="1"/>
  <c r="AD130" i="40"/>
  <c r="AD364" i="40" s="1"/>
  <c r="AD126" i="40"/>
  <c r="AB565" i="46"/>
  <c r="AG46" i="40"/>
  <c r="A224" i="45"/>
  <c r="A406" i="45" s="1"/>
  <c r="AU71" i="45"/>
  <c r="B253" i="45"/>
  <c r="B435" i="45" s="1"/>
  <c r="O194" i="40"/>
  <c r="L240" i="40"/>
  <c r="M237" i="40" s="1"/>
  <c r="DI67" i="45"/>
  <c r="BH69" i="45"/>
  <c r="T70" i="40" s="1"/>
  <c r="AR95" i="9"/>
  <c r="AT95" i="9" s="1"/>
  <c r="V19" i="9"/>
  <c r="X19" i="9" s="1"/>
  <c r="X296" i="40"/>
  <c r="A206" i="45"/>
  <c r="A388" i="45" s="1"/>
  <c r="V97" i="9"/>
  <c r="T147" i="40"/>
  <c r="B236" i="45"/>
  <c r="B418" i="45" s="1"/>
  <c r="AU54" i="45"/>
  <c r="B302" i="45"/>
  <c r="B484" i="45" s="1"/>
  <c r="U130" i="40"/>
  <c r="U364" i="40" s="1"/>
  <c r="U126" i="40"/>
  <c r="B231" i="45"/>
  <c r="B413" i="45" s="1"/>
  <c r="DI60" i="45"/>
  <c r="DI63" i="45" s="1"/>
  <c r="S18" i="40" s="1"/>
  <c r="BH63" i="45"/>
  <c r="S70" i="40" s="1"/>
  <c r="M126" i="40"/>
  <c r="BH81" i="45"/>
  <c r="V70" i="40" s="1"/>
  <c r="AT128" i="45"/>
  <c r="Z169" i="40"/>
  <c r="DI21" i="45"/>
  <c r="DH153" i="45"/>
  <c r="AH17" i="40" s="1"/>
  <c r="R408" i="40"/>
  <c r="P412" i="40"/>
  <c r="DI15" i="45"/>
  <c r="DH57" i="45"/>
  <c r="DH68" i="45"/>
  <c r="BA163" i="40"/>
  <c r="BA164" i="40"/>
  <c r="BG63" i="45"/>
  <c r="S69" i="40" s="1"/>
  <c r="AB82" i="40"/>
  <c r="AB363" i="40" s="1"/>
  <c r="P251" i="40"/>
  <c r="P366" i="40" s="1"/>
  <c r="DH79" i="45"/>
  <c r="DH81" i="45" s="1"/>
  <c r="V17" i="40" s="1"/>
  <c r="BG81" i="45"/>
  <c r="V69" i="40" s="1"/>
  <c r="AU106" i="45"/>
  <c r="BG75" i="45"/>
  <c r="U69" i="40" s="1"/>
  <c r="DH71" i="45"/>
  <c r="DH75" i="45" s="1"/>
  <c r="U17" i="40" s="1"/>
  <c r="N180" i="45"/>
  <c r="N181" i="45" s="1"/>
  <c r="N182" i="45" s="1"/>
  <c r="O186" i="45" s="1"/>
  <c r="A205" i="45"/>
  <c r="A387" i="45" s="1"/>
  <c r="DH15" i="45"/>
  <c r="T194" i="40"/>
  <c r="Q411" i="40"/>
  <c r="Q412" i="40"/>
  <c r="P413" i="40"/>
  <c r="S303" i="45"/>
  <c r="AD78" i="40"/>
  <c r="AV292" i="40"/>
  <c r="AR104" i="9"/>
  <c r="AF46" i="40"/>
  <c r="DM69" i="28" s="1"/>
  <c r="Z162" i="12"/>
  <c r="BD66" i="40"/>
  <c r="N82" i="40"/>
  <c r="N363" i="40" s="1"/>
  <c r="M194" i="40"/>
  <c r="Q292" i="40"/>
  <c r="Q301" i="40" s="1"/>
  <c r="Q302" i="40" s="1"/>
  <c r="Q408" i="40"/>
  <c r="AA146" i="40"/>
  <c r="AB147" i="40" s="1"/>
  <c r="A202" i="45"/>
  <c r="A384" i="45" s="1"/>
  <c r="D48" i="40"/>
  <c r="N130" i="40"/>
  <c r="N364" i="40" s="1"/>
  <c r="O270" i="40"/>
  <c r="B202" i="45"/>
  <c r="B384" i="45" s="1"/>
  <c r="AU72" i="45"/>
  <c r="AT175" i="45"/>
  <c r="Q130" i="40"/>
  <c r="Q364" i="40" s="1"/>
  <c r="AJ146" i="40"/>
  <c r="AT31" i="45"/>
  <c r="AI27" i="40"/>
  <c r="B207" i="45"/>
  <c r="B389" i="45" s="1"/>
  <c r="DJ364" i="45"/>
  <c r="J174" i="9"/>
  <c r="A25" i="9"/>
  <c r="A18" i="9"/>
  <c r="AJ26" i="9"/>
  <c r="N151" i="9"/>
  <c r="P168" i="9"/>
  <c r="J168" i="9"/>
  <c r="A174" i="9"/>
  <c r="A132" i="9"/>
  <c r="L53" i="9"/>
  <c r="J84" i="9"/>
  <c r="L109" i="9"/>
  <c r="P126" i="9"/>
  <c r="N133" i="9"/>
  <c r="J126" i="9"/>
  <c r="J140" i="9"/>
  <c r="T139" i="9"/>
  <c r="P140" i="9"/>
  <c r="N110" i="9"/>
  <c r="J153" i="9"/>
  <c r="AJ12" i="9"/>
  <c r="N19" i="9"/>
  <c r="B197" i="9"/>
  <c r="B148" i="9"/>
  <c r="B22" i="9"/>
  <c r="B155" i="9"/>
  <c r="B106" i="9"/>
  <c r="B50" i="9"/>
  <c r="J20" i="9"/>
  <c r="N27" i="9"/>
  <c r="AP110" i="9"/>
  <c r="T110" i="9"/>
  <c r="N116" i="9"/>
  <c r="A62" i="9"/>
  <c r="P28" i="9"/>
  <c r="N48" i="9"/>
  <c r="J48" i="9"/>
  <c r="P18" i="9"/>
  <c r="J18" i="9"/>
  <c r="P49" i="9"/>
  <c r="L89" i="9"/>
  <c r="J173" i="9"/>
  <c r="R173" i="9" s="1"/>
  <c r="A34" i="34"/>
  <c r="H28" i="34"/>
  <c r="H40" i="34"/>
  <c r="H34" i="34"/>
  <c r="CZ24" i="34"/>
  <c r="CZ42" i="34"/>
  <c r="CZ30" i="34"/>
  <c r="AA9" i="20"/>
  <c r="DF28" i="28"/>
  <c r="DL28" i="28"/>
  <c r="DD47" i="28"/>
  <c r="DQ47" i="28"/>
  <c r="L17" i="85"/>
  <c r="L141" i="85" s="1"/>
  <c r="DI23" i="28"/>
  <c r="I20" i="85"/>
  <c r="I60" i="85" s="1"/>
  <c r="DM28" i="28"/>
  <c r="I26" i="85"/>
  <c r="AD46" i="28"/>
  <c r="BD18" i="34"/>
  <c r="BD36" i="34"/>
  <c r="CF43" i="34"/>
  <c r="CF19" i="34"/>
  <c r="CJ41" i="34"/>
  <c r="BX18" i="34"/>
  <c r="CF34" i="34"/>
  <c r="A26" i="9"/>
  <c r="K14" i="40"/>
  <c r="X35" i="34"/>
  <c r="AJ36" i="34"/>
  <c r="DP44" i="29"/>
  <c r="DN175" i="29"/>
  <c r="DS175" i="29" s="1"/>
  <c r="CP143" i="29"/>
  <c r="CQ143" i="29" s="1"/>
  <c r="Z41" i="12"/>
  <c r="AB33" i="9" s="1"/>
  <c r="AD33" i="9" s="1"/>
  <c r="Z63" i="46"/>
  <c r="K443" i="45"/>
  <c r="AH53" i="9"/>
  <c r="AJ53" i="9" s="1"/>
  <c r="AR241" i="45"/>
  <c r="AR235" i="45"/>
  <c r="Z110" i="12"/>
  <c r="Z106" i="12"/>
  <c r="AB98" i="9" s="1"/>
  <c r="X46" i="40"/>
  <c r="DE69" i="28" s="1"/>
  <c r="DE80" i="28" s="1"/>
  <c r="Z117" i="12"/>
  <c r="AB80" i="28" s="1"/>
  <c r="AR465" i="45"/>
  <c r="AB109" i="9"/>
  <c r="K405" i="45"/>
  <c r="AQ405" i="45"/>
  <c r="Z26" i="46"/>
  <c r="AH42" i="9"/>
  <c r="AJ42" i="9" s="1"/>
  <c r="P30" i="40"/>
  <c r="O99" i="40"/>
  <c r="O100" i="40" s="1"/>
  <c r="Z22" i="46"/>
  <c r="K402" i="45"/>
  <c r="AQ402" i="45"/>
  <c r="AR402" i="45" s="1"/>
  <c r="K408" i="45"/>
  <c r="AR266" i="45"/>
  <c r="AH89" i="9"/>
  <c r="AJ89" i="9" s="1"/>
  <c r="AR272" i="45"/>
  <c r="AH21" i="9"/>
  <c r="T46" i="40"/>
  <c r="Z78" i="12"/>
  <c r="AB70" i="9" s="1"/>
  <c r="K418" i="45"/>
  <c r="AQ418" i="45"/>
  <c r="Z134" i="12"/>
  <c r="AO80" i="28" s="1"/>
  <c r="AR486" i="45"/>
  <c r="W286" i="45"/>
  <c r="W280" i="45"/>
  <c r="AQ280" i="45"/>
  <c r="AR286" i="45" s="1"/>
  <c r="V462" i="45"/>
  <c r="W468" i="45" s="1"/>
  <c r="AR248" i="45"/>
  <c r="AR490" i="45"/>
  <c r="Z146" i="12"/>
  <c r="AW80" i="28" s="1"/>
  <c r="Z147" i="12"/>
  <c r="AB147" i="12" s="1"/>
  <c r="AQ411" i="45"/>
  <c r="Z54" i="12" s="1"/>
  <c r="AB46" i="9" s="1"/>
  <c r="AD46" i="9" s="1"/>
  <c r="Z33" i="46"/>
  <c r="AQ390" i="45"/>
  <c r="M46" i="40" s="1"/>
  <c r="Z40" i="12"/>
  <c r="AB40" i="12" s="1"/>
  <c r="AR399" i="45"/>
  <c r="AH46" i="9"/>
  <c r="AR229" i="45"/>
  <c r="Z40" i="46"/>
  <c r="AQ417" i="45"/>
  <c r="Z61" i="12" s="1"/>
  <c r="K417" i="45"/>
  <c r="AH75" i="9"/>
  <c r="Z35" i="46"/>
  <c r="K419" i="45"/>
  <c r="K413" i="45"/>
  <c r="AJ61" i="45"/>
  <c r="J793" i="46"/>
  <c r="G61" i="45"/>
  <c r="K59" i="45"/>
  <c r="J47" i="46"/>
  <c r="AM67" i="45"/>
  <c r="AL62" i="45"/>
  <c r="AM61" i="45"/>
  <c r="BB150" i="37"/>
  <c r="BB173" i="37" s="1"/>
  <c r="B313" i="46"/>
  <c r="B320" i="46" s="1"/>
  <c r="B327" i="46" s="1"/>
  <c r="B334" i="46" s="1"/>
  <c r="B341" i="46" s="1"/>
  <c r="B348" i="46" s="1"/>
  <c r="B355" i="46" s="1"/>
  <c r="B362" i="46" s="1"/>
  <c r="B369" i="46" s="1"/>
  <c r="B376" i="46" s="1"/>
  <c r="B391" i="46"/>
  <c r="B398" i="46"/>
  <c r="B405" i="46" s="1"/>
  <c r="B412" i="46" s="1"/>
  <c r="B419" i="46" s="1"/>
  <c r="AM173" i="9"/>
  <c r="CR143" i="29"/>
  <c r="BN27" i="28"/>
  <c r="O46" i="40"/>
  <c r="Z43" i="12"/>
  <c r="Z35" i="12"/>
  <c r="W462" i="45"/>
  <c r="AH105" i="9"/>
  <c r="AJ105" i="9" s="1"/>
  <c r="AR280" i="45"/>
  <c r="Y30" i="40"/>
  <c r="O122" i="45"/>
  <c r="AR59" i="45"/>
  <c r="J68" i="12"/>
  <c r="V60" i="9" s="1"/>
  <c r="K37" i="89"/>
  <c r="L37" i="89" s="1"/>
  <c r="AH231" i="47"/>
  <c r="DJ231" i="47"/>
  <c r="BB8" i="22"/>
  <c r="F232" i="47"/>
  <c r="P362" i="45"/>
  <c r="U43" i="89"/>
  <c r="DP20" i="29"/>
  <c r="DI234" i="47"/>
  <c r="GY16" i="38"/>
  <c r="DL11" i="29"/>
  <c r="BJ231" i="47" s="1"/>
  <c r="AB231" i="47"/>
  <c r="T231" i="47"/>
  <c r="DY19" i="37"/>
  <c r="N193" i="9"/>
  <c r="N46" i="28"/>
  <c r="BG46" i="28"/>
  <c r="CG37" i="28"/>
  <c r="BV48" i="28"/>
  <c r="S11" i="28"/>
  <c r="R11" i="28"/>
  <c r="K357" i="45"/>
  <c r="AL81" i="40"/>
  <c r="I357" i="45"/>
  <c r="U44" i="89"/>
  <c r="P37" i="89"/>
  <c r="AA231" i="47"/>
  <c r="F364" i="46"/>
  <c r="DX19" i="37"/>
  <c r="F181" i="46"/>
  <c r="F231" i="47"/>
  <c r="BF238" i="47"/>
  <c r="J194" i="9"/>
  <c r="AC231" i="47"/>
  <c r="BI231" i="47"/>
  <c r="U231" i="47" s="1"/>
  <c r="G231" i="47"/>
  <c r="DB231" i="47"/>
  <c r="CU231" i="47"/>
  <c r="CK8" i="28"/>
  <c r="CK13" i="28" s="1"/>
  <c r="CK36" i="28" s="1"/>
  <c r="CK61" i="28" s="1"/>
  <c r="D194" i="9"/>
  <c r="L194" i="9" s="1"/>
  <c r="DJ15" i="29"/>
  <c r="DS15" i="29" s="1"/>
  <c r="DK11" i="29"/>
  <c r="DD11" i="34" s="1"/>
  <c r="DD35" i="34" s="1"/>
  <c r="DL199" i="29"/>
  <c r="DK71" i="29"/>
  <c r="CK10" i="28"/>
  <c r="DK81" i="29"/>
  <c r="DK85" i="29"/>
  <c r="AI479" i="46"/>
  <c r="DJ25" i="29"/>
  <c r="DK41" i="29"/>
  <c r="F194" i="9"/>
  <c r="T193" i="9" s="1"/>
  <c r="DK75" i="29"/>
  <c r="DK51" i="29"/>
  <c r="DK25" i="29"/>
  <c r="GX18" i="38"/>
  <c r="AI231" i="47"/>
  <c r="BB231" i="47"/>
  <c r="BK231" i="47"/>
  <c r="BG231" i="47"/>
  <c r="H231" i="47"/>
  <c r="M231" i="47"/>
  <c r="DO203" i="29"/>
  <c r="DK204" i="29"/>
  <c r="L62" i="47"/>
  <c r="CM28" i="28"/>
  <c r="C23" i="82" s="1"/>
  <c r="AB65" i="20"/>
  <c r="DS28" i="28" s="1"/>
  <c r="DK163" i="29"/>
  <c r="DJ166" i="29"/>
  <c r="DK166" i="29"/>
  <c r="DK162" i="29"/>
  <c r="DJ35" i="29"/>
  <c r="CK14" i="28"/>
  <c r="DJ61" i="29"/>
  <c r="DJ125" i="29"/>
  <c r="CK23" i="28"/>
  <c r="GY20" i="38"/>
  <c r="H25" i="89"/>
  <c r="AA26" i="89"/>
  <c r="AB26" i="89" s="1"/>
  <c r="D30" i="89"/>
  <c r="D29" i="89"/>
  <c r="AC227" i="47"/>
  <c r="AD66" i="45"/>
  <c r="AE65" i="45"/>
  <c r="AE62" i="45"/>
  <c r="S385" i="40"/>
  <c r="S408" i="40" s="1"/>
  <c r="U230" i="47"/>
  <c r="BK230" i="47"/>
  <c r="W110" i="45"/>
  <c r="AA382" i="40"/>
  <c r="DH65" i="28" s="1"/>
  <c r="V113" i="45"/>
  <c r="V114" i="45" s="1"/>
  <c r="AC279" i="40"/>
  <c r="AD278" i="40"/>
  <c r="DJ209" i="29"/>
  <c r="Z201" i="12"/>
  <c r="AB193" i="9" s="1"/>
  <c r="GX13" i="38"/>
  <c r="IC10" i="38" s="1"/>
  <c r="BB230" i="47"/>
  <c r="R82" i="9"/>
  <c r="AD49" i="34"/>
  <c r="AI43" i="34"/>
  <c r="DF113" i="29"/>
  <c r="DG63" i="29"/>
  <c r="DF212" i="29"/>
  <c r="DG212" i="29" s="1"/>
  <c r="H226" i="47"/>
  <c r="AD230" i="47"/>
  <c r="AI230" i="47"/>
  <c r="S40" i="34"/>
  <c r="DP227" i="47"/>
  <c r="EB227" i="47"/>
  <c r="CI40" i="34"/>
  <c r="CH46" i="34"/>
  <c r="Z49" i="34"/>
  <c r="AA43" i="34"/>
  <c r="BB226" i="47"/>
  <c r="GR28" i="38"/>
  <c r="BK226" i="47"/>
  <c r="U226" i="47"/>
  <c r="O61" i="45"/>
  <c r="N62" i="45"/>
  <c r="O62" i="45" s="1"/>
  <c r="IA10" i="38"/>
  <c r="IA11" i="38"/>
  <c r="AD140" i="29"/>
  <c r="AD136" i="29"/>
  <c r="CM132" i="29"/>
  <c r="CH142" i="29"/>
  <c r="AX230" i="29"/>
  <c r="AT153" i="29"/>
  <c r="M533" i="45"/>
  <c r="Z358" i="46"/>
  <c r="AQ533" i="45"/>
  <c r="J274" i="46"/>
  <c r="BK203" i="29"/>
  <c r="DC66" i="29"/>
  <c r="CT115" i="29"/>
  <c r="CU125" i="29" s="1"/>
  <c r="CU123" i="29"/>
  <c r="DC123" i="29"/>
  <c r="DC113" i="29"/>
  <c r="DB114" i="29"/>
  <c r="CL232" i="29"/>
  <c r="CE65" i="29"/>
  <c r="A358" i="40"/>
  <c r="A351" i="40"/>
  <c r="O43" i="40"/>
  <c r="AT152" i="29"/>
  <c r="AU152" i="29" s="1"/>
  <c r="CM212" i="29"/>
  <c r="DV164" i="47"/>
  <c r="BS194" i="29"/>
  <c r="BW194" i="29"/>
  <c r="AD225" i="29"/>
  <c r="AE225" i="29"/>
  <c r="AD229" i="29"/>
  <c r="R230" i="29"/>
  <c r="AD72" i="37"/>
  <c r="AD142" i="37"/>
  <c r="AD211" i="37" s="1"/>
  <c r="BI31" i="47"/>
  <c r="U31" i="47" s="1"/>
  <c r="AH140" i="9"/>
  <c r="Z343" i="46"/>
  <c r="Z28" i="46"/>
  <c r="DG46" i="29"/>
  <c r="BD131" i="40"/>
  <c r="AT143" i="29"/>
  <c r="D140" i="29"/>
  <c r="CU113" i="29"/>
  <c r="Z142" i="29"/>
  <c r="AE132" i="29"/>
  <c r="CL142" i="29"/>
  <c r="BH27" i="28" s="1"/>
  <c r="DB133" i="29"/>
  <c r="BK210" i="47"/>
  <c r="U203" i="47"/>
  <c r="BK203" i="47"/>
  <c r="M203" i="47"/>
  <c r="BG203" i="47"/>
  <c r="H203" i="47"/>
  <c r="AD203" i="47"/>
  <c r="BK150" i="47"/>
  <c r="AT18" i="45"/>
  <c r="CL48" i="47"/>
  <c r="DV159" i="47"/>
  <c r="DU159" i="47"/>
  <c r="Z479" i="46"/>
  <c r="K528" i="45"/>
  <c r="AD231" i="29"/>
  <c r="AE221" i="29"/>
  <c r="AJ113" i="40"/>
  <c r="BK119" i="40" s="1"/>
  <c r="BL114" i="40" s="1"/>
  <c r="AI176" i="29"/>
  <c r="K174" i="29"/>
  <c r="B68" i="20"/>
  <c r="BJ214" i="29"/>
  <c r="BK214" i="29" s="1"/>
  <c r="J98" i="45"/>
  <c r="J91" i="46"/>
  <c r="M78" i="17"/>
  <c r="M84" i="17" s="1"/>
  <c r="F19" i="20"/>
  <c r="F20" i="20" s="1"/>
  <c r="E78" i="17"/>
  <c r="E85" i="17" s="1"/>
  <c r="AT59" i="36"/>
  <c r="B83" i="45"/>
  <c r="AU83" i="45" s="1"/>
  <c r="B89" i="45"/>
  <c r="B271" i="45" s="1"/>
  <c r="B453" i="45" s="1"/>
  <c r="B152" i="45"/>
  <c r="AU152" i="45" s="1"/>
  <c r="B205" i="47"/>
  <c r="A157" i="45"/>
  <c r="A211" i="47"/>
  <c r="B162" i="45"/>
  <c r="B217" i="47"/>
  <c r="B223" i="47"/>
  <c r="B167" i="45"/>
  <c r="B349" i="45" s="1"/>
  <c r="B531" i="45" s="1"/>
  <c r="B61" i="47"/>
  <c r="A67" i="47"/>
  <c r="B94" i="47"/>
  <c r="B98" i="47"/>
  <c r="A101" i="47"/>
  <c r="B103" i="47"/>
  <c r="B129" i="47"/>
  <c r="B133" i="47"/>
  <c r="A136" i="47"/>
  <c r="A146" i="47"/>
  <c r="B146" i="47"/>
  <c r="A151" i="47"/>
  <c r="B166" i="47"/>
  <c r="AD217" i="47"/>
  <c r="U217" i="47"/>
  <c r="BB219" i="47"/>
  <c r="H219" i="47"/>
  <c r="BK224" i="47"/>
  <c r="BG224" i="47"/>
  <c r="F167" i="9"/>
  <c r="CT26" i="29"/>
  <c r="CU56" i="29" s="1"/>
  <c r="CT62" i="29"/>
  <c r="F11" i="20"/>
  <c r="M77" i="17"/>
  <c r="BG54" i="29"/>
  <c r="O11" i="20"/>
  <c r="CN33" i="29"/>
  <c r="CI33" i="29"/>
  <c r="Q78" i="17"/>
  <c r="H19" i="20"/>
  <c r="AE34" i="29"/>
  <c r="K19" i="20"/>
  <c r="BL35" i="29"/>
  <c r="BG35" i="29"/>
  <c r="CJ44" i="29"/>
  <c r="AU62" i="29"/>
  <c r="CR61" i="29"/>
  <c r="CN61" i="29"/>
  <c r="CM61" i="29"/>
  <c r="DX216" i="47"/>
  <c r="DH60" i="29"/>
  <c r="F74" i="29"/>
  <c r="G73" i="29"/>
  <c r="O161" i="29"/>
  <c r="J165" i="29"/>
  <c r="K161" i="29"/>
  <c r="F175" i="29"/>
  <c r="G171" i="29"/>
  <c r="J176" i="29"/>
  <c r="K171" i="29"/>
  <c r="AI293" i="40"/>
  <c r="AJ293" i="40"/>
  <c r="A92" i="45"/>
  <c r="A274" i="45" s="1"/>
  <c r="A456" i="45" s="1"/>
  <c r="A101" i="45"/>
  <c r="A283" i="45" s="1"/>
  <c r="A465" i="45" s="1"/>
  <c r="AC165" i="40"/>
  <c r="AB165" i="40"/>
  <c r="DI117" i="45"/>
  <c r="AB176" i="40"/>
  <c r="A167" i="45"/>
  <c r="AT167" i="45" s="1"/>
  <c r="AH84" i="9"/>
  <c r="V30" i="40"/>
  <c r="J508" i="45"/>
  <c r="K326" i="45"/>
  <c r="L509" i="45"/>
  <c r="M327" i="45"/>
  <c r="DH340" i="45"/>
  <c r="AI390" i="45"/>
  <c r="AO423" i="45"/>
  <c r="E430" i="45"/>
  <c r="J430" i="45"/>
  <c r="O444" i="45"/>
  <c r="V222" i="40"/>
  <c r="V223" i="40" s="1"/>
  <c r="O209" i="29"/>
  <c r="S210" i="29"/>
  <c r="K111" i="29"/>
  <c r="S63" i="29"/>
  <c r="AP215" i="29"/>
  <c r="AQ215" i="29" s="1"/>
  <c r="BT23" i="29"/>
  <c r="K122" i="29"/>
  <c r="BG120" i="29"/>
  <c r="W23" i="28" s="1"/>
  <c r="X65" i="29"/>
  <c r="W30" i="40"/>
  <c r="AR231" i="45"/>
  <c r="Z176" i="12"/>
  <c r="K502" i="45"/>
  <c r="Z442" i="46"/>
  <c r="AD216" i="47"/>
  <c r="K78" i="17"/>
  <c r="E19" i="20"/>
  <c r="CF34" i="29"/>
  <c r="Z53" i="36"/>
  <c r="R53" i="36"/>
  <c r="AX57" i="36"/>
  <c r="Z82" i="28"/>
  <c r="S531" i="46"/>
  <c r="AI531" i="46" s="1"/>
  <c r="B25" i="12"/>
  <c r="A89" i="45"/>
  <c r="A83" i="45"/>
  <c r="A265" i="45" s="1"/>
  <c r="A447" i="45" s="1"/>
  <c r="B84" i="45"/>
  <c r="B90" i="45"/>
  <c r="B158" i="45"/>
  <c r="B212" i="47"/>
  <c r="A168" i="45"/>
  <c r="AT168" i="45" s="1"/>
  <c r="A224" i="47"/>
  <c r="B168" i="45"/>
  <c r="B224" i="47"/>
  <c r="A11" i="47"/>
  <c r="B19" i="47"/>
  <c r="BE40" i="47"/>
  <c r="S63" i="12" s="1"/>
  <c r="A38" i="47"/>
  <c r="CM40" i="47"/>
  <c r="A45" i="47"/>
  <c r="B48" i="47"/>
  <c r="A55" i="47"/>
  <c r="B52" i="47"/>
  <c r="EA61" i="47"/>
  <c r="A59" i="47"/>
  <c r="B62" i="47"/>
  <c r="A68" i="47"/>
  <c r="B67" i="47"/>
  <c r="A76" i="47"/>
  <c r="B74" i="47"/>
  <c r="A82" i="47"/>
  <c r="A87" i="47"/>
  <c r="B90" i="47"/>
  <c r="A96" i="47"/>
  <c r="B95" i="47"/>
  <c r="A102" i="47"/>
  <c r="B104" i="47"/>
  <c r="A109" i="47"/>
  <c r="B110" i="47"/>
  <c r="A118" i="47"/>
  <c r="B116" i="47"/>
  <c r="DU124" i="47"/>
  <c r="DV125" i="47"/>
  <c r="A125" i="47"/>
  <c r="B123" i="47"/>
  <c r="DU131" i="47"/>
  <c r="A129" i="47"/>
  <c r="B130" i="47"/>
  <c r="A137" i="47"/>
  <c r="B138" i="47"/>
  <c r="A143" i="47"/>
  <c r="B143" i="47"/>
  <c r="B147" i="47"/>
  <c r="M158" i="47"/>
  <c r="A160" i="47"/>
  <c r="B158" i="47"/>
  <c r="A166" i="47"/>
  <c r="B167" i="47"/>
  <c r="CV174" i="47"/>
  <c r="A172" i="47"/>
  <c r="B171" i="47"/>
  <c r="U179" i="47"/>
  <c r="CV179" i="47"/>
  <c r="B178" i="47"/>
  <c r="B209" i="47"/>
  <c r="AI61" i="40"/>
  <c r="P19" i="89"/>
  <c r="Q26" i="89" s="1"/>
  <c r="BA213" i="47"/>
  <c r="BA220" i="47"/>
  <c r="DN213" i="47"/>
  <c r="U219" i="47"/>
  <c r="DC224" i="47"/>
  <c r="AC224" i="47"/>
  <c r="AB30" i="89"/>
  <c r="BH13" i="34"/>
  <c r="BH19" i="34"/>
  <c r="BH31" i="34"/>
  <c r="BH25" i="34"/>
  <c r="L13" i="40"/>
  <c r="B7" i="20"/>
  <c r="E76" i="17"/>
  <c r="E82" i="17" s="1"/>
  <c r="V13" i="40"/>
  <c r="V14" i="40" s="1"/>
  <c r="Y76" i="17"/>
  <c r="L7" i="20"/>
  <c r="AU24" i="29"/>
  <c r="Z13" i="40"/>
  <c r="P7" i="20"/>
  <c r="BK24" i="29"/>
  <c r="BC76" i="29"/>
  <c r="AJ15" i="29"/>
  <c r="AJ16" i="29" s="1"/>
  <c r="AI35" i="29"/>
  <c r="AR15" i="29"/>
  <c r="AQ25" i="29"/>
  <c r="BH21" i="29"/>
  <c r="CN22" i="29"/>
  <c r="CU22" i="29"/>
  <c r="F14" i="9"/>
  <c r="F24" i="29"/>
  <c r="G54" i="29" s="1"/>
  <c r="G53" i="29"/>
  <c r="V11" i="20"/>
  <c r="AS77" i="17" s="1"/>
  <c r="AQ35" i="29"/>
  <c r="R19" i="20"/>
  <c r="AK78" i="17" s="1"/>
  <c r="BX34" i="29"/>
  <c r="AA55" i="29"/>
  <c r="M34" i="20"/>
  <c r="AY54" i="29"/>
  <c r="L62" i="29"/>
  <c r="G62" i="29"/>
  <c r="P62" i="29"/>
  <c r="K62" i="29"/>
  <c r="O62" i="29"/>
  <c r="T62" i="29"/>
  <c r="AE62" i="29"/>
  <c r="AD66" i="29"/>
  <c r="AV62" i="29"/>
  <c r="BV64" i="29"/>
  <c r="BW61" i="29"/>
  <c r="BS80" i="29"/>
  <c r="BR86" i="29"/>
  <c r="BS86" i="29" s="1"/>
  <c r="S164" i="29"/>
  <c r="O164" i="29"/>
  <c r="W163" i="29"/>
  <c r="S163" i="29"/>
  <c r="AA162" i="29"/>
  <c r="W162" i="29"/>
  <c r="AE161" i="29"/>
  <c r="Z165" i="29"/>
  <c r="AA161" i="29"/>
  <c r="N175" i="29"/>
  <c r="O175" i="29" s="1"/>
  <c r="O171" i="29"/>
  <c r="S173" i="29"/>
  <c r="W173" i="29"/>
  <c r="AA173" i="29"/>
  <c r="AE173" i="29"/>
  <c r="AI173" i="29"/>
  <c r="BW174" i="29"/>
  <c r="D176" i="29"/>
  <c r="G176" i="29"/>
  <c r="L73" i="20"/>
  <c r="DC30" i="28" s="1"/>
  <c r="AY184" i="29"/>
  <c r="Q43" i="20"/>
  <c r="D65" i="20"/>
  <c r="AF169" i="40"/>
  <c r="BG164" i="40"/>
  <c r="BB163" i="40"/>
  <c r="BC177" i="40"/>
  <c r="BC163" i="40" s="1"/>
  <c r="BD177" i="40"/>
  <c r="BE177" i="40" s="1"/>
  <c r="BF177" i="40" s="1"/>
  <c r="BG177" i="40" s="1"/>
  <c r="J20" i="45"/>
  <c r="E20" i="45"/>
  <c r="AQ23" i="45"/>
  <c r="K29" i="45"/>
  <c r="B60" i="45"/>
  <c r="AU60" i="45" s="1"/>
  <c r="A74" i="45"/>
  <c r="A85" i="45"/>
  <c r="A114" i="45"/>
  <c r="A122" i="45"/>
  <c r="A126" i="45"/>
  <c r="A140" i="45"/>
  <c r="A145" i="45"/>
  <c r="A158" i="45"/>
  <c r="AT158" i="45" s="1"/>
  <c r="A164" i="45"/>
  <c r="A169" i="45"/>
  <c r="A351" i="45" s="1"/>
  <c r="A533" i="45" s="1"/>
  <c r="A539" i="45" s="1"/>
  <c r="A545" i="45" s="1"/>
  <c r="A551" i="45" s="1"/>
  <c r="O396" i="45"/>
  <c r="AQ474" i="45"/>
  <c r="Z127" i="12" s="1"/>
  <c r="M474" i="45"/>
  <c r="AQ477" i="45"/>
  <c r="AQ479" i="45"/>
  <c r="D219" i="29"/>
  <c r="AX130" i="29"/>
  <c r="CA61" i="29"/>
  <c r="AD214" i="29"/>
  <c r="AE214" i="29" s="1"/>
  <c r="AQ211" i="29"/>
  <c r="BF214" i="29"/>
  <c r="BG214" i="29" s="1"/>
  <c r="J131" i="29"/>
  <c r="G65" i="29"/>
  <c r="AM210" i="29"/>
  <c r="J90" i="46"/>
  <c r="AR268" i="45"/>
  <c r="J54" i="36"/>
  <c r="I78" i="17"/>
  <c r="I84" i="17" s="1"/>
  <c r="D19" i="20"/>
  <c r="P31" i="34"/>
  <c r="S155" i="46"/>
  <c r="AI155" i="46" s="1"/>
  <c r="S47" i="12"/>
  <c r="A90" i="45"/>
  <c r="AT90" i="45" s="1"/>
  <c r="A84" i="45"/>
  <c r="B85" i="45"/>
  <c r="AU85" i="45" s="1"/>
  <c r="B91" i="45"/>
  <c r="AU91" i="45" s="1"/>
  <c r="A150" i="45"/>
  <c r="A332" i="45" s="1"/>
  <c r="A514" i="45" s="1"/>
  <c r="A203" i="47"/>
  <c r="B203" i="47"/>
  <c r="B150" i="45"/>
  <c r="A155" i="45"/>
  <c r="AT155" i="45" s="1"/>
  <c r="A209" i="47"/>
  <c r="B164" i="45"/>
  <c r="B346" i="45" s="1"/>
  <c r="B528" i="45" s="1"/>
  <c r="B219" i="47"/>
  <c r="A12" i="47"/>
  <c r="B11" i="47"/>
  <c r="B20" i="47"/>
  <c r="A39" i="47"/>
  <c r="B39" i="47"/>
  <c r="A46" i="47"/>
  <c r="AX48" i="47"/>
  <c r="CL47" i="47"/>
  <c r="B45" i="47"/>
  <c r="A52" i="47"/>
  <c r="A60" i="47"/>
  <c r="B59" i="47"/>
  <c r="B68" i="47"/>
  <c r="A73" i="47"/>
  <c r="B75" i="47"/>
  <c r="A83" i="47"/>
  <c r="A88" i="47"/>
  <c r="B87" i="47"/>
  <c r="A97" i="47"/>
  <c r="B96" i="47"/>
  <c r="A103" i="47"/>
  <c r="B101" i="47"/>
  <c r="B105" i="47"/>
  <c r="A110" i="47"/>
  <c r="B111" i="47"/>
  <c r="A115" i="47"/>
  <c r="B117" i="47"/>
  <c r="EB124" i="47"/>
  <c r="DQ158" i="47"/>
  <c r="A122" i="47"/>
  <c r="B124" i="47"/>
  <c r="A130" i="47"/>
  <c r="B131" i="47"/>
  <c r="A138" i="47"/>
  <c r="B139" i="47"/>
  <c r="A144" i="47"/>
  <c r="B144" i="47"/>
  <c r="B152" i="47"/>
  <c r="A157" i="47"/>
  <c r="B159" i="47"/>
  <c r="DN157" i="47"/>
  <c r="BB165" i="47"/>
  <c r="CU174" i="47"/>
  <c r="DN166" i="47"/>
  <c r="A167" i="47"/>
  <c r="B164" i="47"/>
  <c r="CV171" i="47"/>
  <c r="DT173" i="47"/>
  <c r="EB173" i="47" s="1"/>
  <c r="DX172" i="47"/>
  <c r="B172" i="47"/>
  <c r="CV178" i="47"/>
  <c r="B179" i="47"/>
  <c r="B202" i="47"/>
  <c r="M217" i="47"/>
  <c r="M219" i="47"/>
  <c r="U26" i="89"/>
  <c r="AZ15" i="29"/>
  <c r="AY25" i="29"/>
  <c r="DD15" i="29"/>
  <c r="DD16" i="29" s="1"/>
  <c r="DC85" i="29"/>
  <c r="BL22" i="29"/>
  <c r="BH22" i="29"/>
  <c r="DH21" i="29"/>
  <c r="DD21" i="29"/>
  <c r="F35" i="9"/>
  <c r="R24" i="29"/>
  <c r="S54" i="29"/>
  <c r="S53" i="29"/>
  <c r="CY54" i="29"/>
  <c r="CM55" i="29"/>
  <c r="CM45" i="29"/>
  <c r="G36" i="29"/>
  <c r="AA78" i="17"/>
  <c r="AA85" i="17" s="1"/>
  <c r="M19" i="20"/>
  <c r="DD14" i="28" s="1"/>
  <c r="AZ34" i="29"/>
  <c r="AY55" i="29"/>
  <c r="T60" i="29"/>
  <c r="N66" i="29"/>
  <c r="BX61" i="29"/>
  <c r="CR63" i="29"/>
  <c r="CM63" i="29"/>
  <c r="CV63" i="29"/>
  <c r="CU63" i="29"/>
  <c r="DX205" i="47"/>
  <c r="DY205" i="47" s="1"/>
  <c r="G76" i="29"/>
  <c r="CA80" i="29"/>
  <c r="BZ86" i="29"/>
  <c r="CA86" i="29" s="1"/>
  <c r="CI82" i="29"/>
  <c r="BH83" i="29"/>
  <c r="O163" i="29"/>
  <c r="K163" i="29"/>
  <c r="AM165" i="29"/>
  <c r="R176" i="29"/>
  <c r="S176" i="29" s="1"/>
  <c r="S171" i="29"/>
  <c r="AY192" i="29"/>
  <c r="CM194" i="29"/>
  <c r="CY203" i="29"/>
  <c r="DK203" i="29"/>
  <c r="DG203" i="29"/>
  <c r="H65" i="20"/>
  <c r="CY28" i="28" s="1"/>
  <c r="N73" i="20"/>
  <c r="DE30" i="28" s="1"/>
  <c r="AH12" i="40"/>
  <c r="Q43" i="40"/>
  <c r="BH72" i="40"/>
  <c r="BI72" i="40" s="1"/>
  <c r="BB117" i="40"/>
  <c r="AG293" i="40"/>
  <c r="BC7" i="45"/>
  <c r="BG7" i="45"/>
  <c r="BK7" i="45" s="1"/>
  <c r="BT7" i="45" s="1"/>
  <c r="BY7" i="45" s="1"/>
  <c r="CD7" i="45" s="1"/>
  <c r="CI7" i="45" s="1"/>
  <c r="BO7" i="45" s="1"/>
  <c r="CP7" i="45" s="1"/>
  <c r="CS7" i="45" s="1"/>
  <c r="CV7" i="45" s="1"/>
  <c r="CY7" i="45"/>
  <c r="DB7" i="45" s="1"/>
  <c r="DE7" i="45" s="1"/>
  <c r="DH7" i="45" s="1"/>
  <c r="K36" i="45"/>
  <c r="K42" i="45"/>
  <c r="B56" i="45"/>
  <c r="AU56" i="45" s="1"/>
  <c r="B79" i="45"/>
  <c r="DI93" i="45"/>
  <c r="X18" i="40"/>
  <c r="X176" i="40"/>
  <c r="X174" i="40" s="1"/>
  <c r="DI99" i="45"/>
  <c r="AA167" i="40"/>
  <c r="DH111" i="45"/>
  <c r="B122" i="45"/>
  <c r="BH116" i="40"/>
  <c r="B170" i="45"/>
  <c r="AU170" i="45" s="1"/>
  <c r="AQ217" i="45"/>
  <c r="AR223" i="45" s="1"/>
  <c r="K223" i="45"/>
  <c r="AQ232" i="45"/>
  <c r="Q81" i="40"/>
  <c r="AH133" i="9"/>
  <c r="AC30" i="40"/>
  <c r="L496" i="45"/>
  <c r="M314" i="45"/>
  <c r="M507" i="45"/>
  <c r="AM395" i="45"/>
  <c r="AM402" i="45"/>
  <c r="AE418" i="45"/>
  <c r="AE444" i="45"/>
  <c r="K460" i="45"/>
  <c r="Q472" i="45"/>
  <c r="Q478" i="45"/>
  <c r="Q473" i="45"/>
  <c r="AB34" i="29"/>
  <c r="AM64" i="29"/>
  <c r="DC210" i="29"/>
  <c r="W211" i="29"/>
  <c r="AD215" i="29"/>
  <c r="AE215" i="29" s="1"/>
  <c r="K121" i="29"/>
  <c r="DB214" i="29"/>
  <c r="DC214" i="29" s="1"/>
  <c r="BL110" i="29"/>
  <c r="AL220" i="29"/>
  <c r="BC37" i="28"/>
  <c r="HQ12" i="38"/>
  <c r="AJ57" i="36"/>
  <c r="T57" i="36"/>
  <c r="AD52" i="36"/>
  <c r="B86" i="45"/>
  <c r="B268" i="45" s="1"/>
  <c r="B450" i="45" s="1"/>
  <c r="B92" i="45"/>
  <c r="B204" i="47"/>
  <c r="B151" i="45"/>
  <c r="B333" i="45" s="1"/>
  <c r="B515" i="45" s="1"/>
  <c r="B216" i="47"/>
  <c r="B161" i="45"/>
  <c r="B343" i="45" s="1"/>
  <c r="B525" i="45" s="1"/>
  <c r="A170" i="45"/>
  <c r="A226" i="47"/>
  <c r="A13" i="47"/>
  <c r="B12" i="47"/>
  <c r="B17" i="47"/>
  <c r="A40" i="47"/>
  <c r="B40" i="47"/>
  <c r="A47" i="47"/>
  <c r="R55" i="47"/>
  <c r="A53" i="47"/>
  <c r="B54" i="47"/>
  <c r="A61" i="47"/>
  <c r="B60" i="47"/>
  <c r="A66" i="47"/>
  <c r="B69" i="47"/>
  <c r="A74" i="47"/>
  <c r="B76" i="47"/>
  <c r="A80" i="47"/>
  <c r="B80" i="47"/>
  <c r="A89" i="47"/>
  <c r="B88" i="47"/>
  <c r="H96" i="47"/>
  <c r="B97" i="47"/>
  <c r="A104" i="47"/>
  <c r="A111" i="47"/>
  <c r="B118" i="47"/>
  <c r="EB125" i="47"/>
  <c r="A123" i="47"/>
  <c r="B125" i="47"/>
  <c r="A131" i="47"/>
  <c r="B132" i="47"/>
  <c r="A139" i="47"/>
  <c r="B136" i="47"/>
  <c r="DX144" i="47"/>
  <c r="A145" i="47"/>
  <c r="B145" i="47"/>
  <c r="A150" i="47"/>
  <c r="BB160" i="47"/>
  <c r="A164" i="47"/>
  <c r="B165" i="47"/>
  <c r="AR172" i="47"/>
  <c r="CU179" i="47"/>
  <c r="CU181" i="47"/>
  <c r="DM178" i="47"/>
  <c r="B180" i="47"/>
  <c r="A210" i="47"/>
  <c r="BB217" i="47"/>
  <c r="B218" i="47"/>
  <c r="B225" i="47"/>
  <c r="AA13" i="40"/>
  <c r="Q7" i="20"/>
  <c r="Q22" i="20" s="1"/>
  <c r="BS14" i="29"/>
  <c r="Q76" i="17"/>
  <c r="Q82" i="17" s="1"/>
  <c r="H7" i="20"/>
  <c r="AC76" i="17"/>
  <c r="AC82" i="17" s="1"/>
  <c r="BC34" i="29"/>
  <c r="N7" i="20"/>
  <c r="T16" i="29"/>
  <c r="AZ16" i="29"/>
  <c r="AY26" i="29"/>
  <c r="BK25" i="29"/>
  <c r="BW16" i="29"/>
  <c r="DC26" i="29"/>
  <c r="CB22" i="29"/>
  <c r="CN20" i="29"/>
  <c r="DD20" i="29"/>
  <c r="CZ20" i="29"/>
  <c r="U77" i="17"/>
  <c r="J11" i="20"/>
  <c r="DA10" i="28" s="1"/>
  <c r="CF32" i="29"/>
  <c r="CA32" i="29"/>
  <c r="BZ62" i="29"/>
  <c r="CB32" i="29"/>
  <c r="AU34" i="29"/>
  <c r="AY35" i="29"/>
  <c r="CZ35" i="29"/>
  <c r="DD35" i="29"/>
  <c r="DC36" i="29"/>
  <c r="CZ44" i="29"/>
  <c r="DD44" i="29"/>
  <c r="B34" i="20"/>
  <c r="K34" i="20"/>
  <c r="AQ54" i="29"/>
  <c r="AB60" i="29"/>
  <c r="AZ60" i="29"/>
  <c r="BD60" i="29"/>
  <c r="BS62" i="29"/>
  <c r="BX62" i="29"/>
  <c r="DX202" i="47"/>
  <c r="EA202" i="47" s="1"/>
  <c r="CZ60" i="29"/>
  <c r="S162" i="29"/>
  <c r="W161" i="29"/>
  <c r="R165" i="29"/>
  <c r="S165" i="29" s="1"/>
  <c r="S161" i="29"/>
  <c r="V166" i="29"/>
  <c r="W166" i="29" s="1"/>
  <c r="F65" i="20"/>
  <c r="AA164" i="29"/>
  <c r="W164" i="29"/>
  <c r="F166" i="29"/>
  <c r="K173" i="29"/>
  <c r="V175" i="29"/>
  <c r="W171" i="29"/>
  <c r="Z176" i="29"/>
  <c r="AA171" i="29"/>
  <c r="AE171" i="29"/>
  <c r="BJ184" i="29"/>
  <c r="BN180" i="29"/>
  <c r="BR180" i="29" s="1"/>
  <c r="BK183" i="29"/>
  <c r="CI193" i="29"/>
  <c r="C19" i="20"/>
  <c r="AJ12" i="40"/>
  <c r="AJ321" i="40" s="1"/>
  <c r="R13" i="40"/>
  <c r="BD249" i="40"/>
  <c r="BE249" i="40" s="1"/>
  <c r="U251" i="40"/>
  <c r="U366" i="40" s="1"/>
  <c r="U265" i="40"/>
  <c r="U266" i="40" s="1"/>
  <c r="M284" i="40"/>
  <c r="K31" i="45"/>
  <c r="K55" i="45"/>
  <c r="K49" i="45"/>
  <c r="W104" i="45"/>
  <c r="Z382" i="40"/>
  <c r="DG65" i="28" s="1"/>
  <c r="AG70" i="40"/>
  <c r="BH66" i="40" s="1"/>
  <c r="DI147" i="45"/>
  <c r="AG18" i="40" s="1"/>
  <c r="A162" i="45"/>
  <c r="A344" i="45" s="1"/>
  <c r="A526" i="45" s="1"/>
  <c r="M316" i="45"/>
  <c r="L498" i="45"/>
  <c r="J503" i="45"/>
  <c r="K321" i="45"/>
  <c r="DI322" i="45"/>
  <c r="K327" i="45"/>
  <c r="J509" i="45"/>
  <c r="K509" i="45" s="1"/>
  <c r="L510" i="45"/>
  <c r="AG129" i="40"/>
  <c r="AG146" i="40" s="1"/>
  <c r="AO420" i="45"/>
  <c r="W424" i="45"/>
  <c r="M432" i="45"/>
  <c r="O477" i="45"/>
  <c r="W485" i="45"/>
  <c r="M486" i="45"/>
  <c r="Z303" i="46"/>
  <c r="EB220" i="47"/>
  <c r="K19" i="89"/>
  <c r="L26" i="89" s="1"/>
  <c r="BH30" i="34"/>
  <c r="BH24" i="34"/>
  <c r="BH18" i="34"/>
  <c r="BH12" i="34"/>
  <c r="CI14" i="29"/>
  <c r="CV16" i="29"/>
  <c r="BD20" i="29"/>
  <c r="CN23" i="29"/>
  <c r="N24" i="29"/>
  <c r="CJ35" i="29"/>
  <c r="AZ35" i="29"/>
  <c r="AC78" i="17"/>
  <c r="CN45" i="29"/>
  <c r="L61" i="29"/>
  <c r="AI62" i="29"/>
  <c r="AQ61" i="29"/>
  <c r="BT61" i="29"/>
  <c r="CA60" i="29"/>
  <c r="CN62" i="29"/>
  <c r="BB74" i="29"/>
  <c r="BC74" i="29" s="1"/>
  <c r="CD74" i="29"/>
  <c r="T40" i="20" s="1"/>
  <c r="CM83" i="29"/>
  <c r="CU111" i="29"/>
  <c r="CU121" i="29"/>
  <c r="CY174" i="29"/>
  <c r="BN204" i="29"/>
  <c r="BO204" i="29"/>
  <c r="G7" i="20"/>
  <c r="I7" i="20"/>
  <c r="L11" i="20"/>
  <c r="R11" i="20"/>
  <c r="E34" i="20"/>
  <c r="N65" i="20"/>
  <c r="DE28" i="28" s="1"/>
  <c r="O74" i="20"/>
  <c r="DF29" i="28" s="1"/>
  <c r="W13" i="40"/>
  <c r="W14" i="40" s="1"/>
  <c r="Q13" i="40"/>
  <c r="DK334" i="45"/>
  <c r="W532" i="45"/>
  <c r="DL20" i="29"/>
  <c r="G26" i="89"/>
  <c r="DG15" i="29"/>
  <c r="J14" i="29"/>
  <c r="K14" i="29" s="1"/>
  <c r="N14" i="29"/>
  <c r="O34" i="29" s="1"/>
  <c r="R14" i="29"/>
  <c r="V14" i="29"/>
  <c r="BS73" i="29"/>
  <c r="AM14" i="29"/>
  <c r="AY24" i="29"/>
  <c r="BG24" i="29"/>
  <c r="CI24" i="29"/>
  <c r="AI84" i="29"/>
  <c r="AQ24" i="29"/>
  <c r="W33" i="29"/>
  <c r="S78" i="17"/>
  <c r="BH34" i="29"/>
  <c r="BS34" i="29"/>
  <c r="CE45" i="29"/>
  <c r="CI46" i="29"/>
  <c r="CL125" i="29"/>
  <c r="CM170" i="29"/>
  <c r="DC202" i="29"/>
  <c r="K7" i="20"/>
  <c r="M7" i="20"/>
  <c r="M8" i="20" s="1"/>
  <c r="O7" i="20"/>
  <c r="O22" i="20" s="1"/>
  <c r="S31" i="20"/>
  <c r="DJ11" i="28" s="1"/>
  <c r="U31" i="20"/>
  <c r="M74" i="20"/>
  <c r="DD29" i="28" s="1"/>
  <c r="S13" i="40"/>
  <c r="S44" i="40" s="1"/>
  <c r="DK352" i="45"/>
  <c r="W459" i="45"/>
  <c r="Z707" i="46"/>
  <c r="AB707" i="46" s="1"/>
  <c r="O479" i="45"/>
  <c r="DI213" i="47"/>
  <c r="BD23" i="34"/>
  <c r="BD11" i="34"/>
  <c r="BD41" i="34" s="1"/>
  <c r="BD29" i="34"/>
  <c r="BD17" i="34"/>
  <c r="BH17" i="34"/>
  <c r="BH11" i="34"/>
  <c r="BH41" i="34" s="1"/>
  <c r="BH29" i="34"/>
  <c r="BH23" i="34"/>
  <c r="CM14" i="29"/>
  <c r="K53" i="29"/>
  <c r="Z24" i="29"/>
  <c r="AE53" i="29"/>
  <c r="BW44" i="29"/>
  <c r="CM44" i="29"/>
  <c r="Y78" i="17"/>
  <c r="AA62" i="29"/>
  <c r="CL126" i="29"/>
  <c r="V7" i="20"/>
  <c r="K11" i="20"/>
  <c r="DB10" i="28" s="1"/>
  <c r="I19" i="20"/>
  <c r="L19" i="20"/>
  <c r="O19" i="20"/>
  <c r="T13" i="40"/>
  <c r="AB293" i="40"/>
  <c r="K267" i="45"/>
  <c r="U467" i="45"/>
  <c r="Q474" i="45"/>
  <c r="AW23" i="17"/>
  <c r="AY23" i="17" s="1"/>
  <c r="BA23" i="17" s="1"/>
  <c r="AQ34" i="17"/>
  <c r="AQ39" i="17" s="1"/>
  <c r="AQ46" i="17" s="1"/>
  <c r="AQ59" i="17" s="1"/>
  <c r="AH46" i="36"/>
  <c r="AH52" i="36" s="1"/>
  <c r="AH64" i="36"/>
  <c r="AH34" i="36"/>
  <c r="AH58" i="36" s="1"/>
  <c r="BD226" i="47"/>
  <c r="AN68" i="22"/>
  <c r="V73" i="22"/>
  <c r="V74" i="22" s="1"/>
  <c r="AL74" i="22"/>
  <c r="AB63" i="36"/>
  <c r="AN64" i="36"/>
  <c r="AR46" i="36"/>
  <c r="AR52" i="36" s="1"/>
  <c r="L33" i="36"/>
  <c r="L57" i="36"/>
  <c r="AF33" i="36"/>
  <c r="AF57" i="36" s="1"/>
  <c r="AH33" i="36"/>
  <c r="AH57" i="36" s="1"/>
  <c r="J45" i="36"/>
  <c r="N45" i="36"/>
  <c r="N57" i="36"/>
  <c r="R46" i="36"/>
  <c r="R52" i="36" s="1"/>
  <c r="AD45" i="36"/>
  <c r="AT52" i="36"/>
  <c r="R63" i="36"/>
  <c r="AB64" i="36"/>
  <c r="AI22" i="34"/>
  <c r="CD43" i="34"/>
  <c r="AY30" i="34"/>
  <c r="BW31" i="34"/>
  <c r="BZ40" i="34"/>
  <c r="CQ31" i="34"/>
  <c r="J69" i="9"/>
  <c r="R69" i="9" s="1"/>
  <c r="DL46" i="29"/>
  <c r="DX75" i="37"/>
  <c r="B231" i="47"/>
  <c r="A232" i="47"/>
  <c r="B176" i="45"/>
  <c r="AU176" i="45" s="1"/>
  <c r="A173" i="45"/>
  <c r="A174" i="45"/>
  <c r="A356" i="45" s="1"/>
  <c r="BB53" i="36"/>
  <c r="CX43" i="34"/>
  <c r="DB46" i="34"/>
  <c r="O543" i="45"/>
  <c r="U544" i="45"/>
  <c r="CQ176" i="29"/>
  <c r="CQ166" i="29"/>
  <c r="CR22" i="29"/>
  <c r="T46" i="36"/>
  <c r="T52" i="36" s="1"/>
  <c r="V64" i="36"/>
  <c r="Z63" i="36"/>
  <c r="AD63" i="36"/>
  <c r="AF35" i="36"/>
  <c r="AF59" i="36"/>
  <c r="AH45" i="36"/>
  <c r="AH51" i="36" s="1"/>
  <c r="AJ35" i="36"/>
  <c r="AJ59" i="36" s="1"/>
  <c r="AX35" i="36"/>
  <c r="AX59" i="36" s="1"/>
  <c r="L34" i="36"/>
  <c r="L58" i="36"/>
  <c r="P33" i="36"/>
  <c r="P57" i="36" s="1"/>
  <c r="R33" i="36"/>
  <c r="R57" i="36"/>
  <c r="T34" i="36"/>
  <c r="T58" i="36" s="1"/>
  <c r="X33" i="36"/>
  <c r="Z33" i="36"/>
  <c r="Z57" i="36" s="1"/>
  <c r="AB34" i="36"/>
  <c r="AB58" i="36"/>
  <c r="AZ34" i="36"/>
  <c r="AZ58" i="36" s="1"/>
  <c r="V51" i="36"/>
  <c r="X46" i="36"/>
  <c r="X52" i="36" s="1"/>
  <c r="R51" i="36"/>
  <c r="AZ52" i="36"/>
  <c r="J64" i="36"/>
  <c r="CE23" i="34"/>
  <c r="AT40" i="34"/>
  <c r="BF41" i="34"/>
  <c r="B193" i="9"/>
  <c r="AA241" i="47"/>
  <c r="DX70" i="37"/>
  <c r="B230" i="47"/>
  <c r="A231" i="47"/>
  <c r="B175" i="45"/>
  <c r="AU175" i="45" s="1"/>
  <c r="A176" i="45"/>
  <c r="P38" i="89"/>
  <c r="AT179" i="45"/>
  <c r="A361" i="45"/>
  <c r="CQ174" i="29"/>
  <c r="CQ204" i="29"/>
  <c r="CR21" i="29"/>
  <c r="P46" i="36"/>
  <c r="DX65" i="37"/>
  <c r="B361" i="45"/>
  <c r="B543" i="45" s="1"/>
  <c r="AU179" i="45"/>
  <c r="CQ203" i="29"/>
  <c r="CR20" i="29"/>
  <c r="AU37" i="17"/>
  <c r="AY48" i="17"/>
  <c r="P34" i="36"/>
  <c r="X34" i="36"/>
  <c r="X58" i="36" s="1"/>
  <c r="Z34" i="36"/>
  <c r="Z58" i="36" s="1"/>
  <c r="DL45" i="29"/>
  <c r="DX60" i="37"/>
  <c r="BD230" i="47"/>
  <c r="A364" i="45"/>
  <c r="AT182" i="45"/>
  <c r="CQ193" i="29"/>
  <c r="CR46" i="29"/>
  <c r="CR23" i="29"/>
  <c r="CQ16" i="29"/>
  <c r="DH364" i="45"/>
  <c r="B237" i="47"/>
  <c r="A240" i="47"/>
  <c r="A238" i="47"/>
  <c r="B182" i="45"/>
  <c r="AU182" i="45" s="1"/>
  <c r="A181" i="45"/>
  <c r="CP85" i="29"/>
  <c r="CQ85" i="29"/>
  <c r="CQ30" i="29"/>
  <c r="A237" i="47"/>
  <c r="B239" i="47"/>
  <c r="B181" i="45"/>
  <c r="B363" i="45" s="1"/>
  <c r="B545" i="45" s="1"/>
  <c r="A180" i="45"/>
  <c r="A362" i="45" s="1"/>
  <c r="B180" i="45"/>
  <c r="CR44" i="29"/>
  <c r="CP36" i="29"/>
  <c r="CV36" i="29" s="1"/>
  <c r="CP34" i="29"/>
  <c r="CV34" i="29" s="1"/>
  <c r="DC29" i="34"/>
  <c r="O77" i="17"/>
  <c r="AA24" i="29"/>
  <c r="BE234" i="47"/>
  <c r="BF232" i="47"/>
  <c r="S24" i="29"/>
  <c r="AR58" i="36"/>
  <c r="Z317" i="46"/>
  <c r="M498" i="45"/>
  <c r="AQ498" i="45"/>
  <c r="AR498" i="45" s="1"/>
  <c r="BZ211" i="29"/>
  <c r="CA211" i="29" s="1"/>
  <c r="DX124" i="47"/>
  <c r="CA62" i="29"/>
  <c r="CB62" i="29"/>
  <c r="S62" i="47"/>
  <c r="BH74" i="40"/>
  <c r="BH65" i="40" s="1"/>
  <c r="AX140" i="29"/>
  <c r="AX150" i="29"/>
  <c r="AR483" i="45"/>
  <c r="Z131" i="12"/>
  <c r="E77" i="17"/>
  <c r="B11" i="20"/>
  <c r="G24" i="29"/>
  <c r="M504" i="45"/>
  <c r="DZ216" i="47"/>
  <c r="DX204" i="47"/>
  <c r="CT66" i="29"/>
  <c r="CZ62" i="29"/>
  <c r="DB143" i="29"/>
  <c r="CC27" i="28" s="1"/>
  <c r="DB134" i="29"/>
  <c r="BG31" i="47"/>
  <c r="AD235" i="29"/>
  <c r="AD234" i="29"/>
  <c r="CT140" i="29"/>
  <c r="BP27" i="28" s="1"/>
  <c r="CT135" i="29"/>
  <c r="CQ34" i="29"/>
  <c r="CR34" i="29"/>
  <c r="W19" i="20"/>
  <c r="J12" i="85" s="1"/>
  <c r="BF47" i="34"/>
  <c r="BK41" i="34"/>
  <c r="BG41" i="34"/>
  <c r="BJ47" i="34"/>
  <c r="CJ24" i="29"/>
  <c r="CN24" i="29"/>
  <c r="H41" i="20"/>
  <c r="B261" i="45"/>
  <c r="B443" i="45" s="1"/>
  <c r="AU79" i="45"/>
  <c r="A337" i="45"/>
  <c r="A519" i="45" s="1"/>
  <c r="AT150" i="45"/>
  <c r="D229" i="29"/>
  <c r="AT122" i="45"/>
  <c r="A304" i="45"/>
  <c r="A486" i="45" s="1"/>
  <c r="J26" i="12"/>
  <c r="V18" i="9" s="1"/>
  <c r="X18" i="9" s="1"/>
  <c r="AR23" i="45"/>
  <c r="AR29" i="45"/>
  <c r="AA165" i="29"/>
  <c r="AE66" i="29"/>
  <c r="B22" i="45"/>
  <c r="AU22" i="45" s="1"/>
  <c r="B32" i="12"/>
  <c r="B39" i="12" s="1"/>
  <c r="K85" i="17"/>
  <c r="K84" i="17"/>
  <c r="Z152" i="46"/>
  <c r="K508" i="45"/>
  <c r="Z146" i="46"/>
  <c r="AQ508" i="45"/>
  <c r="BD237" i="40"/>
  <c r="J101" i="45"/>
  <c r="K101" i="45" s="1"/>
  <c r="K98" i="45"/>
  <c r="J92" i="46"/>
  <c r="AE231" i="29"/>
  <c r="K436" i="45"/>
  <c r="DJ219" i="29"/>
  <c r="DK209" i="29"/>
  <c r="AD279" i="40"/>
  <c r="AV278" i="40"/>
  <c r="AE278" i="40"/>
  <c r="AD67" i="45"/>
  <c r="AE66" i="45"/>
  <c r="N51" i="36"/>
  <c r="S32" i="20"/>
  <c r="F13" i="85"/>
  <c r="G76" i="17"/>
  <c r="G81" i="17" s="1"/>
  <c r="C7" i="20"/>
  <c r="C14" i="20" s="1"/>
  <c r="M13" i="40"/>
  <c r="K84" i="29"/>
  <c r="I24" i="20"/>
  <c r="I14" i="20"/>
  <c r="I22" i="20"/>
  <c r="CZ8" i="28"/>
  <c r="I32" i="20"/>
  <c r="I26" i="20"/>
  <c r="CE74" i="29"/>
  <c r="Z331" i="46"/>
  <c r="AQ510" i="45"/>
  <c r="Z175" i="12" s="1"/>
  <c r="M510" i="45"/>
  <c r="M516" i="45"/>
  <c r="AT162" i="45"/>
  <c r="M285" i="40"/>
  <c r="M287" i="40"/>
  <c r="BF249" i="40"/>
  <c r="BF237" i="40" s="1"/>
  <c r="BE237" i="40"/>
  <c r="AH321" i="40"/>
  <c r="BG115" i="29"/>
  <c r="A350" i="45"/>
  <c r="A532" i="45" s="1"/>
  <c r="A538" i="45" s="1"/>
  <c r="A544" i="45" s="1"/>
  <c r="A550" i="45" s="1"/>
  <c r="B40" i="20"/>
  <c r="G74" i="29"/>
  <c r="AE176" i="29"/>
  <c r="AE142" i="29"/>
  <c r="BE131" i="40"/>
  <c r="BE132" i="40" s="1"/>
  <c r="BD132" i="40"/>
  <c r="AU153" i="29"/>
  <c r="J531" i="46"/>
  <c r="AA405" i="40"/>
  <c r="AU181" i="45"/>
  <c r="CE40" i="34"/>
  <c r="CI43" i="34"/>
  <c r="CH49" i="34"/>
  <c r="BH35" i="34"/>
  <c r="M76" i="17"/>
  <c r="M82" i="17" s="1"/>
  <c r="P13" i="40"/>
  <c r="F7" i="20"/>
  <c r="W24" i="29"/>
  <c r="W14" i="29"/>
  <c r="AA14" i="29"/>
  <c r="W84" i="29"/>
  <c r="O54" i="29"/>
  <c r="I77" i="17"/>
  <c r="D11" i="20"/>
  <c r="Z147" i="46"/>
  <c r="AQ503" i="45"/>
  <c r="Z140" i="46"/>
  <c r="K503" i="45"/>
  <c r="AG30" i="28"/>
  <c r="BN181" i="29"/>
  <c r="BN182" i="29" s="1"/>
  <c r="BN183" i="29" s="1"/>
  <c r="BO183" i="29" s="1"/>
  <c r="BO180" i="29"/>
  <c r="Z315" i="46"/>
  <c r="AQ496" i="45"/>
  <c r="M502" i="45"/>
  <c r="M496" i="45"/>
  <c r="K77" i="17"/>
  <c r="E11" i="20"/>
  <c r="W74" i="29"/>
  <c r="W34" i="29"/>
  <c r="AB125" i="9"/>
  <c r="AD125" i="9" s="1"/>
  <c r="AQ20" i="45"/>
  <c r="M69" i="40"/>
  <c r="K26" i="45"/>
  <c r="K20" i="45"/>
  <c r="AB168" i="9"/>
  <c r="AH168" i="9" s="1"/>
  <c r="AJ168" i="9" s="1"/>
  <c r="BS80" i="28"/>
  <c r="Z330" i="46"/>
  <c r="M509" i="45"/>
  <c r="M515" i="45"/>
  <c r="O176" i="29"/>
  <c r="K176" i="29"/>
  <c r="CY14" i="28"/>
  <c r="Z196" i="12"/>
  <c r="DH113" i="29"/>
  <c r="DG123" i="29"/>
  <c r="DG113" i="29"/>
  <c r="DF133" i="29"/>
  <c r="Z153" i="12"/>
  <c r="AR496" i="45"/>
  <c r="AE279" i="40"/>
  <c r="AF278" i="40"/>
  <c r="AG278" i="40" s="1"/>
  <c r="Z173" i="12"/>
  <c r="AB165" i="9" s="1"/>
  <c r="AH165" i="9" s="1"/>
  <c r="AJ165" i="9" s="1"/>
  <c r="CV66" i="29"/>
  <c r="CU66" i="29"/>
  <c r="BC23" i="17"/>
  <c r="J22" i="12"/>
  <c r="DB144" i="29"/>
  <c r="BS180" i="29"/>
  <c r="AR516" i="45"/>
  <c r="BE163" i="40"/>
  <c r="Z161" i="12"/>
  <c r="AB153" i="9" s="1"/>
  <c r="AR503" i="45"/>
  <c r="G16" i="85"/>
  <c r="BZ221" i="29"/>
  <c r="BZ231" i="29" s="1"/>
  <c r="BO182" i="29"/>
  <c r="GY21" i="38"/>
  <c r="K38" i="89"/>
  <c r="DJ232" i="47"/>
  <c r="DL12" i="29"/>
  <c r="GY22" i="38"/>
  <c r="Z358" i="40"/>
  <c r="L539" i="45"/>
  <c r="M357" i="45"/>
  <c r="F365" i="46"/>
  <c r="AA232" i="47"/>
  <c r="DX24" i="37"/>
  <c r="F182" i="46"/>
  <c r="M539" i="45"/>
  <c r="Z365" i="46"/>
  <c r="AL129" i="40"/>
  <c r="AL146" i="40" s="1"/>
  <c r="AB232" i="47"/>
  <c r="T232" i="47"/>
  <c r="DY24" i="37"/>
  <c r="BI232" i="47"/>
  <c r="AD232" i="47" s="1"/>
  <c r="G232" i="47"/>
  <c r="DB232" i="47"/>
  <c r="BG232" i="47"/>
  <c r="M232" i="47"/>
  <c r="GX23" i="38"/>
  <c r="S232" i="47"/>
  <c r="P195" i="9"/>
  <c r="DK12" i="29"/>
  <c r="DD12" i="34" s="1"/>
  <c r="DK72" i="29"/>
  <c r="DK82" i="29"/>
  <c r="DJ16" i="29"/>
  <c r="DS16" i="29" s="1"/>
  <c r="DK86" i="29"/>
  <c r="DL200" i="29"/>
  <c r="D195" i="9"/>
  <c r="CL8" i="28"/>
  <c r="DK42" i="29"/>
  <c r="CU232" i="47"/>
  <c r="DK16" i="29"/>
  <c r="DK76" i="29"/>
  <c r="DK52" i="29"/>
  <c r="CL10" i="28"/>
  <c r="DJ26" i="29"/>
  <c r="F195" i="9"/>
  <c r="T194" i="9" s="1"/>
  <c r="CL23" i="28"/>
  <c r="AI182" i="46"/>
  <c r="M358" i="45"/>
  <c r="L540" i="45"/>
  <c r="BD69" i="22"/>
  <c r="BD67" i="22" s="1"/>
  <c r="DK164" i="29"/>
  <c r="BD73" i="22"/>
  <c r="BD74" i="22" s="1"/>
  <c r="BB35" i="36"/>
  <c r="BB59" i="36" s="1"/>
  <c r="DJ126" i="29"/>
  <c r="Z366" i="46"/>
  <c r="DO160" i="29"/>
  <c r="AG234" i="47"/>
  <c r="AH234" i="47" s="1"/>
  <c r="AH233" i="47"/>
  <c r="K39" i="89"/>
  <c r="AL10" i="40"/>
  <c r="DJ234" i="47"/>
  <c r="GY25" i="38"/>
  <c r="AH40" i="89"/>
  <c r="Z69" i="22"/>
  <c r="Z67" i="22" s="1"/>
  <c r="Z71" i="22" s="1"/>
  <c r="AD69" i="22"/>
  <c r="AD67" i="22" s="1"/>
  <c r="AD71" i="22" s="1"/>
  <c r="BF202" i="29"/>
  <c r="G33" i="40"/>
  <c r="G34" i="40" s="1"/>
  <c r="L28" i="40"/>
  <c r="S360" i="40"/>
  <c r="D18" i="89"/>
  <c r="D24" i="89"/>
  <c r="N29" i="89"/>
  <c r="AF29" i="89" s="1"/>
  <c r="N23" i="89"/>
  <c r="S17" i="89"/>
  <c r="S24" i="89"/>
  <c r="AB15" i="89"/>
  <c r="R36" i="89"/>
  <c r="S29" i="89"/>
  <c r="AB29" i="89"/>
  <c r="AA33" i="89"/>
  <c r="D36" i="89"/>
  <c r="AC45" i="89"/>
  <c r="AC38" i="89"/>
  <c r="H22" i="89"/>
  <c r="AB23" i="89"/>
  <c r="H23" i="89"/>
  <c r="AJ26" i="89"/>
  <c r="G71" i="89"/>
  <c r="AB36" i="89"/>
  <c r="AA40" i="89"/>
  <c r="D43" i="89"/>
  <c r="C19" i="89"/>
  <c r="N31" i="89"/>
  <c r="N16" i="89"/>
  <c r="N36" i="89"/>
  <c r="N39" i="89"/>
  <c r="N32" i="89"/>
  <c r="AF32" i="89" s="1"/>
  <c r="N10" i="89"/>
  <c r="N17" i="89"/>
  <c r="N11" i="89"/>
  <c r="T11" i="89" s="1"/>
  <c r="N22" i="89"/>
  <c r="N8" i="89"/>
  <c r="O15" i="89" s="1"/>
  <c r="N24" i="89"/>
  <c r="N25" i="89"/>
  <c r="N37" i="89"/>
  <c r="N18" i="89"/>
  <c r="N15" i="89"/>
  <c r="N9" i="89"/>
  <c r="H18" i="89"/>
  <c r="AA11" i="89"/>
  <c r="G8" i="89"/>
  <c r="H15" i="89" s="1"/>
  <c r="AA12" i="89"/>
  <c r="AB12" i="89"/>
  <c r="AB22" i="89"/>
  <c r="H30" i="89"/>
  <c r="G33" i="89"/>
  <c r="H33" i="89" s="1"/>
  <c r="H37" i="89"/>
  <c r="H39" i="89"/>
  <c r="AB32" i="89"/>
  <c r="H32" i="89"/>
  <c r="AB44" i="89"/>
  <c r="H45" i="89"/>
  <c r="AC31" i="89"/>
  <c r="L33" i="89"/>
  <c r="D45" i="89"/>
  <c r="D46" i="89"/>
  <c r="H44" i="89"/>
  <c r="K358" i="45"/>
  <c r="J540" i="45"/>
  <c r="J543" i="45"/>
  <c r="Z187" i="46" s="1"/>
  <c r="AB187" i="46" s="1"/>
  <c r="Z481" i="46"/>
  <c r="Z485" i="46"/>
  <c r="AB485" i="46" s="1"/>
  <c r="W357" i="45"/>
  <c r="V539" i="45"/>
  <c r="W539" i="45" s="1"/>
  <c r="AR357" i="45"/>
  <c r="K538" i="45"/>
  <c r="Z182" i="46"/>
  <c r="AQ539" i="45"/>
  <c r="Z203" i="12" s="1"/>
  <c r="K539" i="45"/>
  <c r="I358" i="45"/>
  <c r="H540" i="45"/>
  <c r="AR358" i="45"/>
  <c r="AA8" i="89"/>
  <c r="O18" i="89"/>
  <c r="AF18" i="89"/>
  <c r="S36" i="89"/>
  <c r="R43" i="89"/>
  <c r="S43" i="89" s="1"/>
  <c r="AF22" i="89"/>
  <c r="AF31" i="89"/>
  <c r="T15" i="89"/>
  <c r="AF15" i="89"/>
  <c r="AG15" i="89" s="1"/>
  <c r="D19" i="89"/>
  <c r="AF23" i="89"/>
  <c r="AG23" i="89" s="1"/>
  <c r="W358" i="45"/>
  <c r="V540" i="45"/>
  <c r="W540" i="45" s="1"/>
  <c r="AR539" i="45"/>
  <c r="I540" i="45"/>
  <c r="AG18" i="89"/>
  <c r="W363" i="45"/>
  <c r="Z115" i="20"/>
  <c r="BE49" i="17"/>
  <c r="BG49" i="17" s="1"/>
  <c r="BI49" i="17" s="1"/>
  <c r="DL13" i="29"/>
  <c r="AC233" i="47"/>
  <c r="E234" i="47"/>
  <c r="AL59" i="40" s="1"/>
  <c r="G233" i="47"/>
  <c r="DA234" i="47"/>
  <c r="DB233" i="47"/>
  <c r="AL113" i="40"/>
  <c r="BM119" i="40" s="1"/>
  <c r="BN114" i="40" s="1"/>
  <c r="GY26" i="38"/>
  <c r="BL74" i="22"/>
  <c r="U13" i="28"/>
  <c r="CF13" i="28"/>
  <c r="CF36" i="28" s="1"/>
  <c r="R37" i="28"/>
  <c r="AG48" i="28"/>
  <c r="BG48" i="28"/>
  <c r="BQ48" i="28"/>
  <c r="AG82" i="28"/>
  <c r="AI82" i="28"/>
  <c r="O37" i="28"/>
  <c r="AC46" i="28"/>
  <c r="BP46" i="28"/>
  <c r="AH82" i="28"/>
  <c r="Y82" i="28"/>
  <c r="AW13" i="28"/>
  <c r="AW36" i="28" s="1"/>
  <c r="O11" i="28"/>
  <c r="AX67" i="22"/>
  <c r="AX68" i="22" s="1"/>
  <c r="AI34" i="12"/>
  <c r="DY102" i="47"/>
  <c r="P23" i="34"/>
  <c r="BP28" i="34"/>
  <c r="AB41" i="34"/>
  <c r="P29" i="34"/>
  <c r="CB37" i="34"/>
  <c r="BX35" i="34"/>
  <c r="DE23" i="28"/>
  <c r="Y37" i="28"/>
  <c r="DZ158" i="47"/>
  <c r="BP22" i="34"/>
  <c r="BL28" i="34"/>
  <c r="BX41" i="34"/>
  <c r="DF23" i="28"/>
  <c r="BX17" i="34"/>
  <c r="U9" i="20"/>
  <c r="L131" i="9"/>
  <c r="AB17" i="34"/>
  <c r="BP16" i="34"/>
  <c r="BL16" i="34"/>
  <c r="AJ41" i="34"/>
  <c r="BX37" i="34"/>
  <c r="AB39" i="89"/>
  <c r="AL61" i="40"/>
  <c r="O26" i="85"/>
  <c r="O152" i="85" s="1"/>
  <c r="O150" i="85" s="1"/>
  <c r="AA233" i="47"/>
  <c r="F366" i="46"/>
  <c r="F183" i="46"/>
  <c r="F233" i="47"/>
  <c r="DX29" i="37"/>
  <c r="AB233" i="47"/>
  <c r="DY29" i="37"/>
  <c r="T233" i="47"/>
  <c r="K234" i="47"/>
  <c r="BI233" i="47"/>
  <c r="H233" i="47"/>
  <c r="R234" i="47"/>
  <c r="S233" i="47"/>
  <c r="U233" i="47"/>
  <c r="S234" i="47"/>
  <c r="CU233" i="47"/>
  <c r="CT234" i="47"/>
  <c r="CM8" i="28"/>
  <c r="C4" i="82" s="1"/>
  <c r="DL201" i="29"/>
  <c r="DK83" i="29"/>
  <c r="DJ63" i="29"/>
  <c r="D196" i="9"/>
  <c r="DK13" i="29"/>
  <c r="DD13" i="34" s="1"/>
  <c r="DK73" i="29"/>
  <c r="AA234" i="47"/>
  <c r="F234" i="47"/>
  <c r="DX30" i="37"/>
  <c r="DY30" i="37"/>
  <c r="T234" i="47"/>
  <c r="CU234" i="47"/>
  <c r="DK53" i="29"/>
  <c r="CM10" i="28"/>
  <c r="F196" i="9"/>
  <c r="DK43" i="29"/>
  <c r="DJ24" i="29"/>
  <c r="DL33" i="29"/>
  <c r="AB234" i="47"/>
  <c r="DK44" i="29"/>
  <c r="AI183" i="46"/>
  <c r="BN73" i="22" l="1"/>
  <c r="BN74" i="22" s="1"/>
  <c r="EA125" i="47"/>
  <c r="DY202" i="47"/>
  <c r="D173" i="46"/>
  <c r="GS13" i="38"/>
  <c r="AL18" i="89"/>
  <c r="EA122" i="47"/>
  <c r="DZ203" i="47"/>
  <c r="D756" i="46"/>
  <c r="P335" i="40"/>
  <c r="T60" i="40"/>
  <c r="IA20" i="38"/>
  <c r="IA22" i="38" s="1"/>
  <c r="S189" i="12"/>
  <c r="AI189" i="12" s="1"/>
  <c r="AK337" i="40"/>
  <c r="AJ62" i="40"/>
  <c r="HX26" i="38"/>
  <c r="EK96" i="37" s="1"/>
  <c r="BL86" i="40"/>
  <c r="Q17" i="89"/>
  <c r="L39" i="89"/>
  <c r="L38" i="89"/>
  <c r="Q23" i="89"/>
  <c r="Q29" i="89"/>
  <c r="L24" i="89"/>
  <c r="L31" i="89"/>
  <c r="T10" i="89"/>
  <c r="Q45" i="89"/>
  <c r="S59" i="17"/>
  <c r="M85" i="17"/>
  <c r="G59" i="17"/>
  <c r="W59" i="17"/>
  <c r="AL56" i="28"/>
  <c r="Q59" i="17"/>
  <c r="E81" i="17"/>
  <c r="AH56" i="28"/>
  <c r="Q81" i="17"/>
  <c r="AO39" i="17"/>
  <c r="N147" i="9"/>
  <c r="N154" i="9"/>
  <c r="BC19" i="34"/>
  <c r="L31" i="22"/>
  <c r="L33" i="22" s="1"/>
  <c r="N35" i="22"/>
  <c r="H31" i="22"/>
  <c r="H33" i="22" s="1"/>
  <c r="H35" i="22" s="1"/>
  <c r="H56" i="22" s="1"/>
  <c r="H59" i="22" s="1"/>
  <c r="W191" i="47"/>
  <c r="U132" i="47"/>
  <c r="FL13" i="38"/>
  <c r="HW12" i="38" s="1"/>
  <c r="BG115" i="47"/>
  <c r="H145" i="47"/>
  <c r="S153" i="47"/>
  <c r="BB158" i="47"/>
  <c r="H172" i="47"/>
  <c r="EI145" i="47"/>
  <c r="EJ145" i="47" s="1"/>
  <c r="AC105" i="47"/>
  <c r="D715" i="46"/>
  <c r="AI715" i="46"/>
  <c r="AK715" i="46" s="1"/>
  <c r="U88" i="47"/>
  <c r="M131" i="47"/>
  <c r="AD131" i="47"/>
  <c r="BM146" i="47"/>
  <c r="AD139" i="47"/>
  <c r="P151" i="47"/>
  <c r="BG151" i="47"/>
  <c r="H171" i="47"/>
  <c r="BB171" i="47"/>
  <c r="M145" i="47"/>
  <c r="AD150" i="47"/>
  <c r="AD172" i="47"/>
  <c r="AD171" i="47"/>
  <c r="AR158" i="47"/>
  <c r="H158" i="47"/>
  <c r="M90" i="47"/>
  <c r="AD158" i="47"/>
  <c r="AD145" i="47"/>
  <c r="BK103" i="47"/>
  <c r="M88" i="47"/>
  <c r="T65" i="40"/>
  <c r="T317" i="40" s="1"/>
  <c r="U103" i="47"/>
  <c r="BG131" i="47"/>
  <c r="BF154" i="47"/>
  <c r="AD151" i="47"/>
  <c r="EI150" i="47"/>
  <c r="BW137" i="47"/>
  <c r="BQ137" i="47" s="1"/>
  <c r="DB175" i="47"/>
  <c r="AR88" i="47"/>
  <c r="U150" i="47"/>
  <c r="AD96" i="47"/>
  <c r="U158" i="47"/>
  <c r="AC113" i="40"/>
  <c r="S105" i="20" s="1"/>
  <c r="U115" i="47"/>
  <c r="BW129" i="47"/>
  <c r="BN129" i="47" s="1"/>
  <c r="U171" i="47"/>
  <c r="BP115" i="47"/>
  <c r="M96" i="47"/>
  <c r="EI172" i="47"/>
  <c r="M160" i="47"/>
  <c r="P150" i="47"/>
  <c r="BK151" i="47"/>
  <c r="H151" i="47"/>
  <c r="K119" i="47"/>
  <c r="L119" i="47" s="1"/>
  <c r="BT99" i="37" s="1"/>
  <c r="DB77" i="47"/>
  <c r="CN83" i="37"/>
  <c r="H139" i="47"/>
  <c r="M151" i="47"/>
  <c r="S60" i="40"/>
  <c r="AI318" i="40"/>
  <c r="AI334" i="40" s="1"/>
  <c r="AI114" i="40"/>
  <c r="AD231" i="47"/>
  <c r="DZ230" i="47"/>
  <c r="M230" i="47"/>
  <c r="DJ227" i="47"/>
  <c r="H225" i="47"/>
  <c r="AD225" i="47"/>
  <c r="M225" i="47"/>
  <c r="DU181" i="47"/>
  <c r="BP143" i="47"/>
  <c r="AC147" i="47"/>
  <c r="CV213" i="47"/>
  <c r="DB220" i="47"/>
  <c r="DQ224" i="47"/>
  <c r="BD231" i="47"/>
  <c r="G234" i="47"/>
  <c r="U232" i="47"/>
  <c r="H232" i="47"/>
  <c r="AI232" i="47"/>
  <c r="BK232" i="47"/>
  <c r="BB232" i="47"/>
  <c r="AI8" i="40"/>
  <c r="CP33" i="47"/>
  <c r="BF46" i="47"/>
  <c r="AQ52" i="47"/>
  <c r="EA69" i="47"/>
  <c r="AD73" i="47"/>
  <c r="AR73" i="47"/>
  <c r="BW82" i="47"/>
  <c r="DU119" i="47"/>
  <c r="EH125" i="47"/>
  <c r="BM150" i="47"/>
  <c r="G203" i="47"/>
  <c r="EB213" i="47"/>
  <c r="BD218" i="47"/>
  <c r="CU220" i="47"/>
  <c r="DZ224" i="47"/>
  <c r="U63" i="40"/>
  <c r="V64" i="40" s="1"/>
  <c r="BP80" i="47"/>
  <c r="BO83" i="47"/>
  <c r="BP83" i="47" s="1"/>
  <c r="BP94" i="47"/>
  <c r="S98" i="47"/>
  <c r="DC98" i="47"/>
  <c r="U157" i="47"/>
  <c r="BK179" i="47"/>
  <c r="BW110" i="47"/>
  <c r="BQ110" i="47" s="1"/>
  <c r="BF182" i="47"/>
  <c r="H14" i="80"/>
  <c r="G14" i="80"/>
  <c r="J21" i="80"/>
  <c r="I21" i="80"/>
  <c r="I23" i="80" s="1"/>
  <c r="M82" i="28"/>
  <c r="N82" i="28"/>
  <c r="O82" i="28"/>
  <c r="BK49" i="17"/>
  <c r="BM49" i="17" s="1"/>
  <c r="BO49" i="17" s="1"/>
  <c r="BQ49" i="17" s="1"/>
  <c r="V115" i="45"/>
  <c r="W114" i="45"/>
  <c r="G62" i="45"/>
  <c r="F65" i="45"/>
  <c r="BH177" i="40"/>
  <c r="BG163" i="40"/>
  <c r="AG29" i="89"/>
  <c r="AL29" i="89"/>
  <c r="K43" i="20"/>
  <c r="AQ84" i="29"/>
  <c r="AB132" i="12"/>
  <c r="AL80" i="28"/>
  <c r="G24" i="20"/>
  <c r="G14" i="20"/>
  <c r="G22" i="20"/>
  <c r="CI212" i="29"/>
  <c r="CH222" i="29"/>
  <c r="B310" i="45"/>
  <c r="B492" i="45" s="1"/>
  <c r="AU128" i="45"/>
  <c r="BO176" i="29"/>
  <c r="AD68" i="45"/>
  <c r="AE67" i="45"/>
  <c r="CA40" i="34"/>
  <c r="CD46" i="34"/>
  <c r="O66" i="29"/>
  <c r="T66" i="29"/>
  <c r="CV22" i="29"/>
  <c r="CZ22" i="29"/>
  <c r="BS192" i="29"/>
  <c r="BW192" i="29"/>
  <c r="CD130" i="29"/>
  <c r="CD140" i="29" s="1"/>
  <c r="AV27" i="28" s="1"/>
  <c r="CE120" i="29"/>
  <c r="BB51" i="36"/>
  <c r="BB57" i="36"/>
  <c r="A50" i="45"/>
  <c r="A41" i="47"/>
  <c r="AV40" i="34"/>
  <c r="AV34" i="34"/>
  <c r="AV28" i="34"/>
  <c r="AV22" i="34"/>
  <c r="AM25" i="29"/>
  <c r="AM35" i="29"/>
  <c r="AM15" i="29"/>
  <c r="AN15" i="29"/>
  <c r="AN16" i="29" s="1"/>
  <c r="AM85" i="29"/>
  <c r="BG20" i="28"/>
  <c r="CL85" i="29"/>
  <c r="CM85" i="29" s="1"/>
  <c r="CL84" i="29"/>
  <c r="CL111" i="29"/>
  <c r="CL86" i="29"/>
  <c r="CM86" i="29" s="1"/>
  <c r="CL220" i="29"/>
  <c r="CM81" i="29"/>
  <c r="DC124" i="29"/>
  <c r="AH70" i="9"/>
  <c r="AJ70" i="9" s="1"/>
  <c r="T30" i="40"/>
  <c r="AR250" i="45"/>
  <c r="DG76" i="29"/>
  <c r="DG16" i="29"/>
  <c r="DG86" i="29"/>
  <c r="DG26" i="29"/>
  <c r="BJ229" i="29"/>
  <c r="BK219" i="29"/>
  <c r="BW66" i="29"/>
  <c r="BX66" i="29"/>
  <c r="V131" i="29"/>
  <c r="V141" i="29" s="1"/>
  <c r="W121" i="29"/>
  <c r="W111" i="29"/>
  <c r="U40" i="20"/>
  <c r="CI74" i="29"/>
  <c r="BV40" i="34"/>
  <c r="BW28" i="34"/>
  <c r="CA28" i="34"/>
  <c r="CI30" i="34"/>
  <c r="CM30" i="34"/>
  <c r="BF131" i="40"/>
  <c r="K515" i="45"/>
  <c r="AR480" i="45"/>
  <c r="W113" i="45"/>
  <c r="DF222" i="29"/>
  <c r="Z167" i="12"/>
  <c r="AB159" i="9" s="1"/>
  <c r="AR217" i="45"/>
  <c r="Q19" i="89"/>
  <c r="DH8" i="28"/>
  <c r="AX46" i="34"/>
  <c r="AU40" i="34"/>
  <c r="AY40" i="34"/>
  <c r="AT46" i="34"/>
  <c r="W175" i="29"/>
  <c r="AA175" i="29"/>
  <c r="F15" i="9"/>
  <c r="AR417" i="45"/>
  <c r="B426" i="46"/>
  <c r="B433" i="46" s="1"/>
  <c r="B440" i="46" s="1"/>
  <c r="B449" i="46"/>
  <c r="B456" i="46" s="1"/>
  <c r="B463" i="46" s="1"/>
  <c r="B470" i="46" s="1"/>
  <c r="B477" i="46" s="1"/>
  <c r="B484" i="46" s="1"/>
  <c r="B491" i="46" s="1"/>
  <c r="AR213" i="45"/>
  <c r="AR424" i="45"/>
  <c r="Z62" i="12"/>
  <c r="J121" i="45"/>
  <c r="J118" i="46"/>
  <c r="BP23" i="34"/>
  <c r="CV227" i="47"/>
  <c r="CU227" i="47"/>
  <c r="DB227" i="47"/>
  <c r="DC227" i="47"/>
  <c r="DH141" i="45"/>
  <c r="AQ426" i="45"/>
  <c r="S99" i="40"/>
  <c r="S100" i="40" s="1"/>
  <c r="S102" i="40" s="1"/>
  <c r="S341" i="40" s="1"/>
  <c r="Z50" i="46"/>
  <c r="AB50" i="46" s="1"/>
  <c r="V142" i="29"/>
  <c r="AA142" i="29" s="1"/>
  <c r="BB212" i="47"/>
  <c r="CB36" i="29"/>
  <c r="AU173" i="29"/>
  <c r="BV132" i="29"/>
  <c r="BW122" i="29"/>
  <c r="BW112" i="29"/>
  <c r="AM66" i="29"/>
  <c r="AN66" i="29"/>
  <c r="W220" i="29"/>
  <c r="V230" i="29"/>
  <c r="W230" i="29" s="1"/>
  <c r="K25" i="45"/>
  <c r="K19" i="45"/>
  <c r="AQ19" i="45"/>
  <c r="AR25" i="45" s="1"/>
  <c r="AN54" i="36"/>
  <c r="AN60" i="36"/>
  <c r="G40" i="34"/>
  <c r="F46" i="34"/>
  <c r="AS46" i="28"/>
  <c r="AN46" i="28"/>
  <c r="AX46" i="28"/>
  <c r="BC46" i="28"/>
  <c r="IW27" i="38"/>
  <c r="IA28" i="38"/>
  <c r="AI174" i="46"/>
  <c r="D181" i="46"/>
  <c r="H181" i="46" s="1"/>
  <c r="D174" i="46"/>
  <c r="H174" i="46" s="1"/>
  <c r="A12" i="45"/>
  <c r="AT12" i="45" s="1"/>
  <c r="A200" i="45"/>
  <c r="A382" i="45" s="1"/>
  <c r="D29" i="12"/>
  <c r="H29" i="12" s="1"/>
  <c r="AI29" i="12"/>
  <c r="A37" i="45"/>
  <c r="A19" i="47"/>
  <c r="L22" i="34"/>
  <c r="L40" i="34"/>
  <c r="L34" i="34"/>
  <c r="DX171" i="47"/>
  <c r="DX143" i="47"/>
  <c r="DX147" i="47" s="1"/>
  <c r="CR60" i="29"/>
  <c r="CL66" i="29"/>
  <c r="CN60" i="29"/>
  <c r="CM60" i="29"/>
  <c r="CL209" i="29"/>
  <c r="CL110" i="29"/>
  <c r="Z254" i="46"/>
  <c r="M444" i="45"/>
  <c r="V146" i="40"/>
  <c r="V147" i="40" s="1"/>
  <c r="W449" i="45"/>
  <c r="W443" i="45"/>
  <c r="AJ66" i="36"/>
  <c r="AJ48" i="36"/>
  <c r="AJ36" i="36"/>
  <c r="AJ60" i="36" s="1"/>
  <c r="AI23" i="34"/>
  <c r="AD41" i="34"/>
  <c r="AI41" i="34" s="1"/>
  <c r="AE23" i="34"/>
  <c r="AL49" i="34"/>
  <c r="AM43" i="34"/>
  <c r="AH49" i="34"/>
  <c r="R41" i="34"/>
  <c r="S29" i="34"/>
  <c r="W29" i="34"/>
  <c r="AE28" i="34"/>
  <c r="AA28" i="34"/>
  <c r="Z40" i="34"/>
  <c r="AD46" i="34" s="1"/>
  <c r="CE42" i="34"/>
  <c r="CX14" i="29"/>
  <c r="CZ202" i="29" s="1"/>
  <c r="AD213" i="47"/>
  <c r="H213" i="47"/>
  <c r="BB213" i="47"/>
  <c r="BG213" i="47"/>
  <c r="M213" i="47"/>
  <c r="AI213" i="47"/>
  <c r="BB58" i="36"/>
  <c r="BB52" i="36"/>
  <c r="O25" i="89"/>
  <c r="AF25" i="89"/>
  <c r="CA221" i="29"/>
  <c r="BN219" i="29"/>
  <c r="BS219" i="29" s="1"/>
  <c r="BN214" i="29"/>
  <c r="BO214" i="29" s="1"/>
  <c r="BO209" i="29"/>
  <c r="F64" i="29"/>
  <c r="F113" i="29"/>
  <c r="G63" i="29"/>
  <c r="F212" i="29"/>
  <c r="G212" i="29" s="1"/>
  <c r="AJ40" i="34"/>
  <c r="AJ34" i="34"/>
  <c r="BA20" i="28"/>
  <c r="CH84" i="29"/>
  <c r="CH85" i="29"/>
  <c r="CI85" i="29" s="1"/>
  <c r="CH110" i="29"/>
  <c r="CI80" i="29"/>
  <c r="CH86" i="29"/>
  <c r="CI86" i="29" s="1"/>
  <c r="T24" i="89"/>
  <c r="AF24" i="89"/>
  <c r="F32" i="20"/>
  <c r="F15" i="20"/>
  <c r="V62" i="45"/>
  <c r="W61" i="45"/>
  <c r="BN133" i="29"/>
  <c r="BO123" i="29"/>
  <c r="BO113" i="29"/>
  <c r="BT113" i="29"/>
  <c r="O32" i="89"/>
  <c r="AB33" i="89"/>
  <c r="Z153" i="46"/>
  <c r="AQ29" i="34"/>
  <c r="N281" i="40"/>
  <c r="N284" i="40" s="1"/>
  <c r="M298" i="40"/>
  <c r="J141" i="29"/>
  <c r="BW64" i="29"/>
  <c r="CT211" i="29"/>
  <c r="CT213" i="29" s="1"/>
  <c r="CV62" i="29"/>
  <c r="CT112" i="29"/>
  <c r="CU62" i="29"/>
  <c r="AR533" i="45"/>
  <c r="IB26" i="38"/>
  <c r="IB25" i="38"/>
  <c r="GS28" i="38"/>
  <c r="AP6" i="22"/>
  <c r="AO6" i="17"/>
  <c r="U213" i="47"/>
  <c r="CA36" i="29"/>
  <c r="L98" i="45"/>
  <c r="M97" i="45"/>
  <c r="Z63" i="12"/>
  <c r="AB55" i="9" s="1"/>
  <c r="AR419" i="45"/>
  <c r="BX31" i="34"/>
  <c r="BX19" i="34"/>
  <c r="AX219" i="29"/>
  <c r="AX214" i="29"/>
  <c r="AY214" i="29" s="1"/>
  <c r="AY209" i="29"/>
  <c r="AI113" i="29"/>
  <c r="AH133" i="29"/>
  <c r="AH143" i="29" s="1"/>
  <c r="AI123" i="29"/>
  <c r="AH130" i="29"/>
  <c r="AM130" i="29" s="1"/>
  <c r="AN110" i="29"/>
  <c r="AH114" i="29"/>
  <c r="AH116" i="29"/>
  <c r="AI120" i="29"/>
  <c r="AI110" i="29"/>
  <c r="A350" i="40"/>
  <c r="A357" i="40"/>
  <c r="E390" i="45"/>
  <c r="J384" i="45"/>
  <c r="CI41" i="34"/>
  <c r="CH47" i="34"/>
  <c r="CM41" i="34"/>
  <c r="IW15" i="38"/>
  <c r="IW21" i="38"/>
  <c r="DM202" i="47"/>
  <c r="DT178" i="47"/>
  <c r="EB178" i="47" s="1"/>
  <c r="EA178" i="47" s="1"/>
  <c r="DN178" i="47"/>
  <c r="DL182" i="47"/>
  <c r="I18" i="89"/>
  <c r="AC11" i="89"/>
  <c r="G67" i="89"/>
  <c r="N30" i="89"/>
  <c r="T30" i="89" s="1"/>
  <c r="CZ41" i="34"/>
  <c r="CZ17" i="34"/>
  <c r="K33" i="29"/>
  <c r="P28" i="38"/>
  <c r="K13" i="29"/>
  <c r="H13" i="34" s="1"/>
  <c r="K83" i="29"/>
  <c r="P61" i="29"/>
  <c r="T61" i="29"/>
  <c r="N210" i="29"/>
  <c r="N214" i="29" s="1"/>
  <c r="O214" i="29" s="1"/>
  <c r="N65" i="29"/>
  <c r="N111" i="29"/>
  <c r="BZ75" i="29"/>
  <c r="CA75" i="29" s="1"/>
  <c r="AQ19" i="28"/>
  <c r="BZ76" i="29"/>
  <c r="CA76" i="29" s="1"/>
  <c r="BZ219" i="29"/>
  <c r="BZ110" i="29"/>
  <c r="C40" i="20"/>
  <c r="K74" i="29"/>
  <c r="E40" i="20"/>
  <c r="S74" i="29"/>
  <c r="G40" i="20"/>
  <c r="G41" i="20" s="1"/>
  <c r="AA74" i="29"/>
  <c r="L40" i="20"/>
  <c r="DC19" i="28" s="1"/>
  <c r="E437" i="45"/>
  <c r="J431" i="45"/>
  <c r="E431" i="45"/>
  <c r="O430" i="45"/>
  <c r="O436" i="45"/>
  <c r="Z658" i="46"/>
  <c r="Z536" i="46"/>
  <c r="U435" i="45"/>
  <c r="Z756" i="46"/>
  <c r="AB756" i="46" s="1"/>
  <c r="AK756" i="46" s="1"/>
  <c r="U429" i="45"/>
  <c r="Z544" i="46"/>
  <c r="Z666" i="46"/>
  <c r="O437" i="45"/>
  <c r="AQ437" i="45"/>
  <c r="Z84" i="12" s="1"/>
  <c r="AB76" i="9" s="1"/>
  <c r="AD76" i="9" s="1"/>
  <c r="O443" i="45"/>
  <c r="AQ436" i="45"/>
  <c r="W436" i="45"/>
  <c r="M448" i="45"/>
  <c r="Z252" i="46"/>
  <c r="M442" i="45"/>
  <c r="T48" i="36"/>
  <c r="T54" i="36" s="1"/>
  <c r="T36" i="36"/>
  <c r="T60" i="36" s="1"/>
  <c r="X57" i="36"/>
  <c r="X51" i="36"/>
  <c r="F41" i="34"/>
  <c r="G29" i="34"/>
  <c r="K29" i="34"/>
  <c r="O40" i="34"/>
  <c r="R46" i="34"/>
  <c r="R42" i="34"/>
  <c r="S30" i="34"/>
  <c r="AG32" i="89"/>
  <c r="AL32" i="89"/>
  <c r="O165" i="29"/>
  <c r="L62" i="45"/>
  <c r="M61" i="45"/>
  <c r="J232" i="46"/>
  <c r="L232" i="46" s="1"/>
  <c r="U232" i="46" s="1"/>
  <c r="Z364" i="46"/>
  <c r="AQ538" i="45"/>
  <c r="DJ172" i="29"/>
  <c r="DJ173" i="29" s="1"/>
  <c r="DJ175" i="29"/>
  <c r="DO171" i="29"/>
  <c r="DK171" i="29"/>
  <c r="O179" i="45"/>
  <c r="N176" i="45"/>
  <c r="O175" i="45"/>
  <c r="CD220" i="29"/>
  <c r="CE210" i="29"/>
  <c r="BE125" i="40"/>
  <c r="BE118" i="40" s="1"/>
  <c r="BD118" i="40"/>
  <c r="AB110" i="9"/>
  <c r="AD110" i="9" s="1"/>
  <c r="AF110" i="9" s="1"/>
  <c r="Z118" i="12"/>
  <c r="AR466" i="45"/>
  <c r="A159" i="47"/>
  <c r="A127" i="45"/>
  <c r="BH34" i="34"/>
  <c r="BH22" i="34"/>
  <c r="BH16" i="34"/>
  <c r="BH40" i="34"/>
  <c r="BH28" i="34"/>
  <c r="BP35" i="34"/>
  <c r="BP41" i="34"/>
  <c r="AQ36" i="29"/>
  <c r="AQ26" i="29"/>
  <c r="AU16" i="29"/>
  <c r="AQ66" i="29"/>
  <c r="AR16" i="29"/>
  <c r="BS176" i="29"/>
  <c r="BK176" i="29"/>
  <c r="CP75" i="29"/>
  <c r="CQ75" i="29" s="1"/>
  <c r="CQ71" i="29"/>
  <c r="BL19" i="28"/>
  <c r="CP111" i="29"/>
  <c r="DJ62" i="29"/>
  <c r="DJ36" i="29"/>
  <c r="CL14" i="28"/>
  <c r="CL48" i="28" s="1"/>
  <c r="DL32" i="29"/>
  <c r="BK202" i="29"/>
  <c r="BF201" i="29"/>
  <c r="CU115" i="29"/>
  <c r="BF234" i="47"/>
  <c r="AL12" i="40"/>
  <c r="U40" i="89"/>
  <c r="AD51" i="36"/>
  <c r="AD57" i="36"/>
  <c r="S388" i="40"/>
  <c r="AM68" i="45"/>
  <c r="AL65" i="45"/>
  <c r="AM62" i="45"/>
  <c r="AY42" i="34"/>
  <c r="AT48" i="34"/>
  <c r="AU42" i="34"/>
  <c r="S386" i="40"/>
  <c r="AF65" i="45"/>
  <c r="AG62" i="45"/>
  <c r="DF112" i="29"/>
  <c r="DH112" i="29" s="1"/>
  <c r="DF64" i="29"/>
  <c r="DX225" i="47"/>
  <c r="DZ225" i="47" s="1"/>
  <c r="DF66" i="29"/>
  <c r="DG62" i="29"/>
  <c r="DB136" i="29"/>
  <c r="BZ65" i="29"/>
  <c r="BZ111" i="29"/>
  <c r="BZ64" i="29"/>
  <c r="CA64" i="29" s="1"/>
  <c r="DX123" i="47"/>
  <c r="DZ123" i="47" s="1"/>
  <c r="BZ210" i="29"/>
  <c r="BZ66" i="29"/>
  <c r="D131" i="29"/>
  <c r="D115" i="29"/>
  <c r="E125" i="29" s="1"/>
  <c r="Z189" i="12"/>
  <c r="AR527" i="45"/>
  <c r="A32" i="47"/>
  <c r="AZ25" i="34"/>
  <c r="AZ31" i="34"/>
  <c r="W75" i="29"/>
  <c r="W15" i="29"/>
  <c r="W85" i="29"/>
  <c r="W25" i="29"/>
  <c r="X15" i="29"/>
  <c r="X16" i="29" s="1"/>
  <c r="W35" i="29"/>
  <c r="BC86" i="29"/>
  <c r="BG16" i="29"/>
  <c r="BC26" i="29"/>
  <c r="BD16" i="29"/>
  <c r="BC36" i="29"/>
  <c r="CI15" i="29"/>
  <c r="CJ15" i="29"/>
  <c r="CJ16" i="29" s="1"/>
  <c r="CI35" i="29"/>
  <c r="CI25" i="29"/>
  <c r="AS20" i="28"/>
  <c r="BZ112" i="29"/>
  <c r="BZ84" i="29"/>
  <c r="AP112" i="29"/>
  <c r="AP221" i="29"/>
  <c r="AP86" i="29"/>
  <c r="AQ86" i="29" s="1"/>
  <c r="AI163" i="29"/>
  <c r="AE163" i="29"/>
  <c r="BG166" i="29"/>
  <c r="BC166" i="29"/>
  <c r="D31" i="89"/>
  <c r="D38" i="89"/>
  <c r="CQ201" i="29"/>
  <c r="CP202" i="29"/>
  <c r="CU202" i="29" s="1"/>
  <c r="CR201" i="29"/>
  <c r="CU201" i="29"/>
  <c r="BN11" i="28"/>
  <c r="T36" i="89"/>
  <c r="AF36" i="89"/>
  <c r="AG36" i="89" s="1"/>
  <c r="K76" i="17"/>
  <c r="O13" i="40"/>
  <c r="O44" i="40" s="1"/>
  <c r="S84" i="29"/>
  <c r="AJ62" i="45"/>
  <c r="AK61" i="45"/>
  <c r="R46" i="40"/>
  <c r="AR420" i="45"/>
  <c r="AK63" i="40"/>
  <c r="L227" i="47"/>
  <c r="K498" i="45"/>
  <c r="Z134" i="46"/>
  <c r="AI112" i="29"/>
  <c r="AI122" i="29"/>
  <c r="AU19" i="45"/>
  <c r="B13" i="45"/>
  <c r="B195" i="45" s="1"/>
  <c r="B377" i="45" s="1"/>
  <c r="B201" i="45"/>
  <c r="B383" i="45" s="1"/>
  <c r="B47" i="45"/>
  <c r="B38" i="47"/>
  <c r="CQ84" i="29"/>
  <c r="W43" i="20"/>
  <c r="AV16" i="34"/>
  <c r="AF16" i="89"/>
  <c r="T16" i="89"/>
  <c r="O16" i="89"/>
  <c r="AH30" i="28"/>
  <c r="AU78" i="17"/>
  <c r="AU85" i="17" s="1"/>
  <c r="O36" i="89"/>
  <c r="AJ30" i="28"/>
  <c r="BO181" i="29"/>
  <c r="CT145" i="29"/>
  <c r="N40" i="20"/>
  <c r="AW37" i="17"/>
  <c r="AY37" i="17" s="1"/>
  <c r="K543" i="45"/>
  <c r="O23" i="89"/>
  <c r="T29" i="89"/>
  <c r="Z183" i="46"/>
  <c r="K540" i="45"/>
  <c r="DL62" i="29"/>
  <c r="BG249" i="40"/>
  <c r="J102" i="45"/>
  <c r="J103" i="45" s="1"/>
  <c r="K103" i="45" s="1"/>
  <c r="AQ509" i="45"/>
  <c r="AB119" i="9"/>
  <c r="AD119" i="9" s="1"/>
  <c r="AF126" i="9" s="1"/>
  <c r="CT64" i="29"/>
  <c r="CT67" i="29" s="1"/>
  <c r="E7" i="20"/>
  <c r="P52" i="36"/>
  <c r="P58" i="36"/>
  <c r="BR181" i="29"/>
  <c r="CE16" i="29"/>
  <c r="BJ72" i="40"/>
  <c r="BI74" i="40"/>
  <c r="BI65" i="40" s="1"/>
  <c r="BI64" i="40"/>
  <c r="Z133" i="12"/>
  <c r="AN80" i="28" s="1"/>
  <c r="AR485" i="45"/>
  <c r="AR479" i="45"/>
  <c r="A35" i="45"/>
  <c r="AT35" i="45" s="1"/>
  <c r="B10" i="47"/>
  <c r="AU90" i="45"/>
  <c r="B272" i="45"/>
  <c r="B454" i="45" s="1"/>
  <c r="BB17" i="22"/>
  <c r="BB35" i="22" s="1"/>
  <c r="BB56" i="22" s="1"/>
  <c r="BB59" i="22" s="1"/>
  <c r="BC79" i="17"/>
  <c r="J61" i="45"/>
  <c r="J48" i="46"/>
  <c r="K60" i="45"/>
  <c r="AH35" i="9"/>
  <c r="AJ35" i="9" s="1"/>
  <c r="O30" i="40"/>
  <c r="P31" i="40" s="1"/>
  <c r="P367" i="40" s="1"/>
  <c r="AR220" i="45"/>
  <c r="AR226" i="45"/>
  <c r="AR460" i="45"/>
  <c r="Z111" i="12"/>
  <c r="AB103" i="9" s="1"/>
  <c r="AD103" i="9" s="1"/>
  <c r="AB118" i="9"/>
  <c r="AD118" i="9" s="1"/>
  <c r="AF125" i="9" s="1"/>
  <c r="AA41" i="34"/>
  <c r="BP17" i="34"/>
  <c r="AC234" i="47"/>
  <c r="AK113" i="40"/>
  <c r="AL114" i="40" s="1"/>
  <c r="Z337" i="46"/>
  <c r="AQ515" i="45"/>
  <c r="M520" i="45"/>
  <c r="M526" i="45"/>
  <c r="AQ520" i="45"/>
  <c r="BK229" i="29"/>
  <c r="AB182" i="9"/>
  <c r="CW80" i="28"/>
  <c r="W176" i="29"/>
  <c r="AQ176" i="29"/>
  <c r="AU176" i="29"/>
  <c r="O43" i="20"/>
  <c r="DF20" i="28" s="1"/>
  <c r="BG84" i="29"/>
  <c r="DG229" i="29"/>
  <c r="CF16" i="29"/>
  <c r="W110" i="29"/>
  <c r="V115" i="29"/>
  <c r="AB110" i="29"/>
  <c r="V116" i="29"/>
  <c r="V130" i="29"/>
  <c r="W120" i="29"/>
  <c r="AQ76" i="29"/>
  <c r="K520" i="45"/>
  <c r="AQ514" i="45"/>
  <c r="AR514" i="45" s="1"/>
  <c r="K514" i="45"/>
  <c r="AR47" i="45"/>
  <c r="J54" i="12"/>
  <c r="V46" i="9" s="1"/>
  <c r="X46" i="9" s="1"/>
  <c r="AR53" i="45"/>
  <c r="BR47" i="34"/>
  <c r="BO41" i="34"/>
  <c r="BN47" i="34"/>
  <c r="CT168" i="47"/>
  <c r="CU175" i="47" s="1"/>
  <c r="CU164" i="47"/>
  <c r="CU171" i="47"/>
  <c r="DQ167" i="47"/>
  <c r="DP168" i="47"/>
  <c r="DQ168" i="47" s="1"/>
  <c r="DR167" i="47"/>
  <c r="DN171" i="47"/>
  <c r="DT171" i="47"/>
  <c r="EB171" i="47" s="1"/>
  <c r="DL175" i="47"/>
  <c r="DM182" i="47" s="1"/>
  <c r="DM171" i="47"/>
  <c r="DN179" i="47"/>
  <c r="DM203" i="47"/>
  <c r="Q19" i="20"/>
  <c r="AI78" i="17" s="1"/>
  <c r="AI84" i="17" s="1"/>
  <c r="BT34" i="29"/>
  <c r="T19" i="20"/>
  <c r="AO78" i="17" s="1"/>
  <c r="AO84" i="17" s="1"/>
  <c r="CE34" i="29"/>
  <c r="E62" i="29"/>
  <c r="D112" i="29"/>
  <c r="BN66" i="29"/>
  <c r="BN64" i="29"/>
  <c r="BN211" i="29"/>
  <c r="BO62" i="29"/>
  <c r="BT62" i="29"/>
  <c r="DX115" i="47"/>
  <c r="BX60" i="29"/>
  <c r="BW60" i="29"/>
  <c r="CB60" i="29"/>
  <c r="BV65" i="29"/>
  <c r="BV110" i="29"/>
  <c r="BV209" i="29"/>
  <c r="BW209" i="29" s="1"/>
  <c r="DX159" i="47"/>
  <c r="DY159" i="47" s="1"/>
  <c r="CE62" i="29"/>
  <c r="CJ62" i="29"/>
  <c r="CD66" i="29"/>
  <c r="CF62" i="29"/>
  <c r="DX131" i="47"/>
  <c r="CD211" i="29"/>
  <c r="CL76" i="29"/>
  <c r="CM76" i="29" s="1"/>
  <c r="BF19" i="28"/>
  <c r="CM70" i="29"/>
  <c r="K73" i="29"/>
  <c r="S73" i="29"/>
  <c r="R113" i="29"/>
  <c r="CE76" i="29"/>
  <c r="AM74" i="29"/>
  <c r="J40" i="20"/>
  <c r="DA19" i="28" s="1"/>
  <c r="K219" i="45"/>
  <c r="AQ219" i="45"/>
  <c r="K225" i="45"/>
  <c r="AQ230" i="45"/>
  <c r="K236" i="45"/>
  <c r="K230" i="45"/>
  <c r="K262" i="45"/>
  <c r="AQ256" i="45"/>
  <c r="U81" i="40"/>
  <c r="AC417" i="45"/>
  <c r="AC411" i="45"/>
  <c r="Z56" i="12"/>
  <c r="AB48" i="9" s="1"/>
  <c r="AD48" i="9" s="1"/>
  <c r="AI412" i="45"/>
  <c r="AI418" i="45"/>
  <c r="E418" i="45"/>
  <c r="E424" i="45"/>
  <c r="Z586" i="46"/>
  <c r="AB586" i="46" s="1"/>
  <c r="Q417" i="45"/>
  <c r="Z646" i="46"/>
  <c r="AB650" i="46" s="1"/>
  <c r="Z524" i="46"/>
  <c r="AB524" i="46" s="1"/>
  <c r="O420" i="45"/>
  <c r="R222" i="40"/>
  <c r="O426" i="45"/>
  <c r="U426" i="45"/>
  <c r="U420" i="45"/>
  <c r="Z745" i="46"/>
  <c r="AB749" i="46" s="1"/>
  <c r="R269" i="40"/>
  <c r="S270" i="40" s="1"/>
  <c r="S272" i="40" s="1"/>
  <c r="S344" i="40" s="1"/>
  <c r="AO424" i="45"/>
  <c r="AO418" i="45"/>
  <c r="AO425" i="45"/>
  <c r="AO419" i="45"/>
  <c r="AK432" i="45"/>
  <c r="AK426" i="45"/>
  <c r="AD48" i="34"/>
  <c r="AA42" i="34"/>
  <c r="AE42" i="34"/>
  <c r="Z48" i="34"/>
  <c r="BI234" i="47"/>
  <c r="U234" i="47" s="1"/>
  <c r="L234" i="47"/>
  <c r="DI99" i="37" s="1"/>
  <c r="DX99" i="37" s="1"/>
  <c r="AL63" i="40"/>
  <c r="AL11" i="40" s="1"/>
  <c r="T98" i="45"/>
  <c r="U97" i="45"/>
  <c r="AD141" i="29"/>
  <c r="AD135" i="29"/>
  <c r="CT222" i="29"/>
  <c r="CU212" i="29"/>
  <c r="S40" i="20"/>
  <c r="CA74" i="29"/>
  <c r="O29" i="89"/>
  <c r="H16" i="89"/>
  <c r="GY23" i="38"/>
  <c r="DY131" i="47"/>
  <c r="CQ15" i="29"/>
  <c r="AM220" i="29"/>
  <c r="AL230" i="29"/>
  <c r="AR477" i="45"/>
  <c r="AB123" i="9"/>
  <c r="G175" i="29"/>
  <c r="K175" i="29"/>
  <c r="CD115" i="29"/>
  <c r="CM142" i="29"/>
  <c r="BC27" i="28"/>
  <c r="O185" i="45"/>
  <c r="O181" i="45"/>
  <c r="O97" i="45"/>
  <c r="N98" i="45"/>
  <c r="AB139" i="9"/>
  <c r="AD139" i="9" s="1"/>
  <c r="AF139" i="9" s="1"/>
  <c r="AR491" i="45"/>
  <c r="AX48" i="34"/>
  <c r="DH34" i="29"/>
  <c r="Z229" i="29"/>
  <c r="AE229" i="29" s="1"/>
  <c r="R222" i="29"/>
  <c r="S212" i="29"/>
  <c r="BR151" i="29"/>
  <c r="BR141" i="29"/>
  <c r="BI220" i="47"/>
  <c r="AC220" i="47"/>
  <c r="M212" i="47"/>
  <c r="GG28" i="38"/>
  <c r="BG212" i="47"/>
  <c r="AD212" i="47"/>
  <c r="U212" i="47"/>
  <c r="BK219" i="47"/>
  <c r="BN203" i="47"/>
  <c r="BU203" i="47"/>
  <c r="F68" i="20"/>
  <c r="AA174" i="29"/>
  <c r="CM74" i="29"/>
  <c r="V40" i="20"/>
  <c r="CY212" i="29"/>
  <c r="CX222" i="29"/>
  <c r="AT221" i="29"/>
  <c r="AU211" i="29"/>
  <c r="X66" i="29"/>
  <c r="W66" i="29"/>
  <c r="BJ115" i="29"/>
  <c r="BL111" i="29"/>
  <c r="R221" i="29"/>
  <c r="R231" i="29" s="1"/>
  <c r="S211" i="29"/>
  <c r="R213" i="29"/>
  <c r="CM65" i="29"/>
  <c r="AM75" i="29"/>
  <c r="B139" i="45"/>
  <c r="A143" i="45"/>
  <c r="A325" i="45" s="1"/>
  <c r="A507" i="45" s="1"/>
  <c r="A178" i="47"/>
  <c r="A204" i="47"/>
  <c r="A151" i="45"/>
  <c r="B156" i="45"/>
  <c r="B338" i="45" s="1"/>
  <c r="B520" i="45" s="1"/>
  <c r="B210" i="47"/>
  <c r="A216" i="47"/>
  <c r="DZ164" i="47"/>
  <c r="AV34" i="29"/>
  <c r="W78" i="17"/>
  <c r="W84" i="17" s="1"/>
  <c r="BD36" i="29"/>
  <c r="AY36" i="29"/>
  <c r="BP34" i="29"/>
  <c r="BL34" i="29"/>
  <c r="P19" i="20"/>
  <c r="P37" i="20" s="1"/>
  <c r="BK34" i="29"/>
  <c r="BT35" i="29"/>
  <c r="BS35" i="29"/>
  <c r="BX35" i="29"/>
  <c r="BJ211" i="29"/>
  <c r="DX96" i="47"/>
  <c r="BJ64" i="29"/>
  <c r="BJ66" i="29"/>
  <c r="BL66" i="29" s="1"/>
  <c r="BK62" i="29"/>
  <c r="BL62" i="29"/>
  <c r="CB61" i="29"/>
  <c r="AC171" i="40"/>
  <c r="DI123" i="45"/>
  <c r="X162" i="45"/>
  <c r="J464" i="46"/>
  <c r="L464" i="46" s="1"/>
  <c r="U464" i="46" s="1"/>
  <c r="D378" i="45"/>
  <c r="J378" i="45" s="1"/>
  <c r="J196" i="45"/>
  <c r="GX28" i="38"/>
  <c r="IC26" i="38" s="1"/>
  <c r="BG233" i="47"/>
  <c r="M233" i="47"/>
  <c r="DK56" i="29"/>
  <c r="DK46" i="29"/>
  <c r="DK26" i="29"/>
  <c r="L195" i="9"/>
  <c r="N65" i="45"/>
  <c r="AA166" i="29"/>
  <c r="S64" i="29"/>
  <c r="BD163" i="40"/>
  <c r="S34" i="29"/>
  <c r="CY30" i="34"/>
  <c r="K22" i="20"/>
  <c r="K15" i="20"/>
  <c r="DK19" i="28"/>
  <c r="T41" i="20"/>
  <c r="B173" i="47"/>
  <c r="AH49" i="9"/>
  <c r="AJ49" i="9" s="1"/>
  <c r="AR232" i="45"/>
  <c r="AR238" i="45"/>
  <c r="Q30" i="40"/>
  <c r="A36" i="45"/>
  <c r="AT36" i="45" s="1"/>
  <c r="R215" i="29"/>
  <c r="S215" i="29" s="1"/>
  <c r="L17" i="20"/>
  <c r="L22" i="20"/>
  <c r="L24" i="20"/>
  <c r="CD215" i="29"/>
  <c r="CE215" i="29" s="1"/>
  <c r="CH219" i="29"/>
  <c r="AQ430" i="45"/>
  <c r="K430" i="45"/>
  <c r="Z55" i="46"/>
  <c r="DC220" i="47"/>
  <c r="CE110" i="29"/>
  <c r="DK35" i="29"/>
  <c r="DL35" i="29"/>
  <c r="DK45" i="29"/>
  <c r="DK55" i="29"/>
  <c r="R362" i="45"/>
  <c r="N125" i="45"/>
  <c r="AR497" i="45"/>
  <c r="K424" i="45"/>
  <c r="Z41" i="46"/>
  <c r="AB41" i="46" s="1"/>
  <c r="AK41" i="46" s="1"/>
  <c r="W41" i="34"/>
  <c r="V47" i="34"/>
  <c r="AR31" i="45"/>
  <c r="J28" i="12"/>
  <c r="V20" i="9" s="1"/>
  <c r="X20" i="9" s="1"/>
  <c r="Z27" i="9" s="1"/>
  <c r="N140" i="29"/>
  <c r="BJ131" i="29"/>
  <c r="BK131" i="29" s="1"/>
  <c r="S175" i="29"/>
  <c r="CZ113" i="29"/>
  <c r="CV113" i="29"/>
  <c r="CT133" i="29"/>
  <c r="CX132" i="29"/>
  <c r="CY122" i="29"/>
  <c r="CY112" i="29"/>
  <c r="BJ112" i="29"/>
  <c r="BK122" i="29" s="1"/>
  <c r="W112" i="29"/>
  <c r="AB112" i="29"/>
  <c r="W122" i="29"/>
  <c r="O120" i="29"/>
  <c r="O110" i="29"/>
  <c r="CM64" i="29"/>
  <c r="CE36" i="29"/>
  <c r="K34" i="29"/>
  <c r="BI125" i="40"/>
  <c r="BJ125" i="40" s="1"/>
  <c r="BK125" i="40" s="1"/>
  <c r="BH118" i="40"/>
  <c r="A171" i="47"/>
  <c r="A137" i="45"/>
  <c r="A319" i="45" s="1"/>
  <c r="A501" i="45" s="1"/>
  <c r="A205" i="47"/>
  <c r="A152" i="45"/>
  <c r="B211" i="47"/>
  <c r="B157" i="45"/>
  <c r="S110" i="47"/>
  <c r="BX36" i="34"/>
  <c r="BX42" i="34"/>
  <c r="AO76" i="17"/>
  <c r="DK8" i="28"/>
  <c r="DK46" i="28" s="1"/>
  <c r="G6" i="85"/>
  <c r="G131" i="85" s="1"/>
  <c r="T22" i="20"/>
  <c r="T143" i="20"/>
  <c r="T28" i="20"/>
  <c r="DK16" i="28" s="1"/>
  <c r="CF21" i="29"/>
  <c r="BC55" i="29"/>
  <c r="BC25" i="29"/>
  <c r="BO54" i="29"/>
  <c r="BO24" i="29"/>
  <c r="DC45" i="29"/>
  <c r="DC25" i="29"/>
  <c r="G19" i="20"/>
  <c r="AF34" i="29"/>
  <c r="O78" i="17"/>
  <c r="S28" i="20"/>
  <c r="S29" i="20" s="1"/>
  <c r="CB44" i="29"/>
  <c r="DH46" i="29"/>
  <c r="DC46" i="29"/>
  <c r="AH54" i="29"/>
  <c r="AH212" i="29"/>
  <c r="G43" i="20"/>
  <c r="G44" i="20" s="1"/>
  <c r="AA84" i="29"/>
  <c r="BK165" i="29"/>
  <c r="BO165" i="29"/>
  <c r="AU171" i="29"/>
  <c r="AQ171" i="29"/>
  <c r="AP175" i="29"/>
  <c r="BS175" i="29"/>
  <c r="BK175" i="29"/>
  <c r="BO175" i="29"/>
  <c r="AE448" i="45"/>
  <c r="DF229" i="29"/>
  <c r="DF224" i="29"/>
  <c r="BC24" i="29"/>
  <c r="AC77" i="17"/>
  <c r="EA97" i="47"/>
  <c r="DM172" i="47"/>
  <c r="DT172" i="47"/>
  <c r="DV172" i="47" s="1"/>
  <c r="L54" i="12"/>
  <c r="AF36" i="34"/>
  <c r="AF30" i="34"/>
  <c r="CP194" i="29"/>
  <c r="CQ194" i="29" s="1"/>
  <c r="CP191" i="29"/>
  <c r="CP192" i="29" s="1"/>
  <c r="CQ192" i="29" s="1"/>
  <c r="BM29" i="28"/>
  <c r="CT116" i="29"/>
  <c r="CU126" i="29" s="1"/>
  <c r="CU46" i="29"/>
  <c r="CY209" i="29"/>
  <c r="AH215" i="29"/>
  <c r="AI215" i="29" s="1"/>
  <c r="BF220" i="29"/>
  <c r="CU120" i="29"/>
  <c r="L47" i="46"/>
  <c r="U47" i="46" s="1"/>
  <c r="AQ40" i="34"/>
  <c r="AP46" i="34"/>
  <c r="K432" i="45"/>
  <c r="AH55" i="9"/>
  <c r="AJ55" i="9" s="1"/>
  <c r="AR243" i="45"/>
  <c r="AR237" i="45"/>
  <c r="T61" i="45"/>
  <c r="U60" i="45"/>
  <c r="J750" i="46"/>
  <c r="DG219" i="29"/>
  <c r="BZ27" i="28"/>
  <c r="AD115" i="29"/>
  <c r="Z143" i="29"/>
  <c r="BX110" i="29"/>
  <c r="BR64" i="29"/>
  <c r="BR212" i="29"/>
  <c r="BR113" i="29"/>
  <c r="AP131" i="29"/>
  <c r="AQ121" i="29"/>
  <c r="F219" i="29"/>
  <c r="AQ443" i="45"/>
  <c r="A96" i="45"/>
  <c r="A120" i="45"/>
  <c r="B303" i="45"/>
  <c r="B485" i="45" s="1"/>
  <c r="AU121" i="45"/>
  <c r="BI56" i="47"/>
  <c r="M56" i="47" s="1"/>
  <c r="U113" i="40"/>
  <c r="U135" i="40" s="1"/>
  <c r="DC63" i="47"/>
  <c r="K112" i="20" s="1"/>
  <c r="BG95" i="47"/>
  <c r="H95" i="47"/>
  <c r="AD95" i="47"/>
  <c r="S22" i="89"/>
  <c r="R18" i="89"/>
  <c r="T18" i="89" s="1"/>
  <c r="AB17" i="89"/>
  <c r="O35" i="29"/>
  <c r="S15" i="29"/>
  <c r="O25" i="29"/>
  <c r="P15" i="29"/>
  <c r="P16" i="29" s="1"/>
  <c r="CJ21" i="29"/>
  <c r="BZ26" i="29"/>
  <c r="F131" i="9"/>
  <c r="F134" i="9" s="1"/>
  <c r="CA21" i="29"/>
  <c r="CB21" i="29" s="1"/>
  <c r="AR10" i="28"/>
  <c r="AR13" i="28" s="1"/>
  <c r="BZ25" i="29"/>
  <c r="CA25" i="29" s="1"/>
  <c r="CA51" i="29"/>
  <c r="BZ24" i="29"/>
  <c r="CA41" i="29"/>
  <c r="K56" i="29"/>
  <c r="K26" i="29"/>
  <c r="AD24" i="29"/>
  <c r="AD63" i="29"/>
  <c r="Q35" i="20"/>
  <c r="AY63" i="29"/>
  <c r="AX212" i="29"/>
  <c r="AX113" i="29"/>
  <c r="AZ63" i="29"/>
  <c r="BD63" i="29"/>
  <c r="BJ212" i="29"/>
  <c r="BP63" i="29"/>
  <c r="DX117" i="47"/>
  <c r="BW62" i="29"/>
  <c r="BZ126" i="29"/>
  <c r="AS23" i="28"/>
  <c r="BZ124" i="29"/>
  <c r="S53" i="20" s="1"/>
  <c r="DJ23" i="28" s="1"/>
  <c r="S18" i="82" s="1"/>
  <c r="AA18" i="82" s="1"/>
  <c r="U360" i="40"/>
  <c r="DB47" i="28"/>
  <c r="K9" i="20"/>
  <c r="BH175" i="40"/>
  <c r="BG162" i="40"/>
  <c r="AB174" i="40"/>
  <c r="H120" i="45"/>
  <c r="J385" i="46"/>
  <c r="W478" i="45"/>
  <c r="W484" i="45"/>
  <c r="Q21" i="80"/>
  <c r="Q23" i="80" s="1"/>
  <c r="AH40" i="20" s="1"/>
  <c r="AH47" i="36"/>
  <c r="AH65" i="36"/>
  <c r="AH35" i="36"/>
  <c r="AH59" i="36" s="1"/>
  <c r="AH53" i="36"/>
  <c r="AP64" i="36"/>
  <c r="AP34" i="36"/>
  <c r="AP46" i="36"/>
  <c r="AP52" i="36" s="1"/>
  <c r="AV60" i="36"/>
  <c r="AZ60" i="36"/>
  <c r="AP222" i="29"/>
  <c r="AQ212" i="29"/>
  <c r="DY104" i="47"/>
  <c r="CJ88" i="37"/>
  <c r="W53" i="29"/>
  <c r="F42" i="9"/>
  <c r="T41" i="9" s="1"/>
  <c r="K162" i="29"/>
  <c r="J166" i="29"/>
  <c r="AC167" i="40"/>
  <c r="DH123" i="45"/>
  <c r="DH165" i="45"/>
  <c r="AJ17" i="40" s="1"/>
  <c r="M495" i="45"/>
  <c r="M501" i="45"/>
  <c r="Z314" i="46"/>
  <c r="AQ495" i="45"/>
  <c r="AJ75" i="22"/>
  <c r="AJ73" i="22" s="1"/>
  <c r="AJ74" i="22" s="1"/>
  <c r="DI33" i="28"/>
  <c r="R48" i="36"/>
  <c r="R36" i="36"/>
  <c r="R60" i="36" s="1"/>
  <c r="R66" i="36"/>
  <c r="R54" i="36"/>
  <c r="B48" i="34"/>
  <c r="B18" i="34"/>
  <c r="AN16" i="34"/>
  <c r="AN34" i="34"/>
  <c r="O41" i="34"/>
  <c r="N47" i="34"/>
  <c r="R43" i="34"/>
  <c r="W43" i="34" s="1"/>
  <c r="S31" i="34"/>
  <c r="W31" i="34"/>
  <c r="CT114" i="29"/>
  <c r="CU124" i="29" s="1"/>
  <c r="CP86" i="29"/>
  <c r="CQ86" i="29" s="1"/>
  <c r="BP24" i="29"/>
  <c r="AZ62" i="29"/>
  <c r="CZ110" i="29"/>
  <c r="O180" i="45"/>
  <c r="O121" i="45"/>
  <c r="P61" i="45"/>
  <c r="Z54" i="46"/>
  <c r="AQ429" i="45"/>
  <c r="Z75" i="12" s="1"/>
  <c r="AB67" i="9" s="1"/>
  <c r="AD67" i="9" s="1"/>
  <c r="AH61" i="9"/>
  <c r="AR242" i="45"/>
  <c r="AT47" i="34"/>
  <c r="BJ49" i="34"/>
  <c r="BK43" i="34"/>
  <c r="F42" i="34"/>
  <c r="AR50" i="45"/>
  <c r="AQ407" i="45"/>
  <c r="DZ104" i="47"/>
  <c r="AH214" i="29"/>
  <c r="AI214" i="29" s="1"/>
  <c r="G142" i="20"/>
  <c r="H5" i="20"/>
  <c r="DF173" i="29"/>
  <c r="DG173" i="29" s="1"/>
  <c r="DF176" i="29"/>
  <c r="DG176" i="29" s="1"/>
  <c r="DF174" i="29"/>
  <c r="AA68" i="20" s="1"/>
  <c r="BS66" i="29"/>
  <c r="DH110" i="29"/>
  <c r="AP130" i="29"/>
  <c r="AQ110" i="29"/>
  <c r="BB220" i="29"/>
  <c r="BC210" i="29"/>
  <c r="AL130" i="29"/>
  <c r="AM120" i="29"/>
  <c r="AL115" i="29"/>
  <c r="AN115" i="29" s="1"/>
  <c r="AM110" i="29"/>
  <c r="BB212" i="29"/>
  <c r="BB222" i="29" s="1"/>
  <c r="BH63" i="29"/>
  <c r="BC63" i="29"/>
  <c r="DH44" i="29"/>
  <c r="A237" i="45"/>
  <c r="A419" i="45" s="1"/>
  <c r="AT55" i="45"/>
  <c r="A62" i="45"/>
  <c r="AT62" i="45" s="1"/>
  <c r="A62" i="47"/>
  <c r="A80" i="45"/>
  <c r="A81" i="47"/>
  <c r="U81" i="28"/>
  <c r="L106" i="12"/>
  <c r="CO40" i="47"/>
  <c r="CO41" i="47" s="1"/>
  <c r="CH40" i="47"/>
  <c r="CH47" i="47"/>
  <c r="BM52" i="47"/>
  <c r="CV62" i="47"/>
  <c r="BI62" i="47"/>
  <c r="M62" i="47" s="1"/>
  <c r="AR136" i="47"/>
  <c r="BG136" i="47"/>
  <c r="CT161" i="47"/>
  <c r="CV161" i="47" s="1"/>
  <c r="CV157" i="47"/>
  <c r="AK61" i="40"/>
  <c r="AK62" i="40" s="1"/>
  <c r="BA227" i="47"/>
  <c r="P33" i="89"/>
  <c r="T8" i="89"/>
  <c r="U76" i="17"/>
  <c r="U81" i="17" s="1"/>
  <c r="J7" i="20"/>
  <c r="DA8" i="28" s="1"/>
  <c r="AM34" i="29"/>
  <c r="AM84" i="29"/>
  <c r="O16" i="29"/>
  <c r="O26" i="29"/>
  <c r="AA25" i="29"/>
  <c r="AA85" i="29"/>
  <c r="AE15" i="29"/>
  <c r="AA15" i="29"/>
  <c r="AV15" i="29"/>
  <c r="AV16" i="29" s="1"/>
  <c r="AU35" i="29"/>
  <c r="AU15" i="29"/>
  <c r="AU25" i="29"/>
  <c r="AY15" i="29"/>
  <c r="AU75" i="29"/>
  <c r="CU21" i="29"/>
  <c r="CV21" i="29" s="1"/>
  <c r="BQ10" i="28"/>
  <c r="BQ13" i="28" s="1"/>
  <c r="CT25" i="29"/>
  <c r="AD65" i="29"/>
  <c r="AE65" i="29" s="1"/>
  <c r="AE61" i="29"/>
  <c r="BB65" i="29"/>
  <c r="BB209" i="29"/>
  <c r="BB110" i="29"/>
  <c r="BB116" i="29" s="1"/>
  <c r="L43" i="20"/>
  <c r="DC20" i="28" s="1"/>
  <c r="AU84" i="29"/>
  <c r="D5" i="40"/>
  <c r="E5" i="40" s="1"/>
  <c r="C374" i="40"/>
  <c r="BH127" i="40"/>
  <c r="BG117" i="40"/>
  <c r="J447" i="45"/>
  <c r="E447" i="45"/>
  <c r="M453" i="45"/>
  <c r="M447" i="45"/>
  <c r="Q449" i="45"/>
  <c r="Z623" i="46"/>
  <c r="Q455" i="45"/>
  <c r="Q459" i="45"/>
  <c r="Q453" i="45"/>
  <c r="AQ453" i="45"/>
  <c r="AQ467" i="45"/>
  <c r="Z701" i="46"/>
  <c r="Z103" i="46"/>
  <c r="AB103" i="46" s="1"/>
  <c r="AK103" i="46" s="1"/>
  <c r="K477" i="45"/>
  <c r="AQ471" i="45"/>
  <c r="I59" i="17"/>
  <c r="D109" i="89"/>
  <c r="X174" i="45"/>
  <c r="J478" i="46"/>
  <c r="AP223" i="29"/>
  <c r="K80" i="20" s="1"/>
  <c r="K77" i="20"/>
  <c r="K78" i="20" s="1"/>
  <c r="V219" i="29"/>
  <c r="V214" i="29"/>
  <c r="W214" i="29" s="1"/>
  <c r="F130" i="29"/>
  <c r="G110" i="29"/>
  <c r="F115" i="29"/>
  <c r="B104" i="45"/>
  <c r="B286" i="45" s="1"/>
  <c r="B468" i="45" s="1"/>
  <c r="A146" i="45"/>
  <c r="DY166" i="47"/>
  <c r="FD13" i="38"/>
  <c r="HV11" i="38" s="1"/>
  <c r="EI81" i="37" s="1"/>
  <c r="M164" i="47"/>
  <c r="AR164" i="47"/>
  <c r="Q22" i="89"/>
  <c r="Q15" i="89"/>
  <c r="BS36" i="29"/>
  <c r="BS76" i="29"/>
  <c r="CB45" i="29"/>
  <c r="DX89" i="47"/>
  <c r="DX91" i="47" s="1"/>
  <c r="BF64" i="29"/>
  <c r="BG62" i="29"/>
  <c r="BF211" i="29"/>
  <c r="BF112" i="29"/>
  <c r="BG122" i="29" s="1"/>
  <c r="Y23" i="28" s="1"/>
  <c r="W160" i="29"/>
  <c r="AA160" i="29"/>
  <c r="BC238" i="40"/>
  <c r="BD250" i="40"/>
  <c r="BD239" i="40" s="1"/>
  <c r="BD13" i="40" s="1"/>
  <c r="AH131" i="9"/>
  <c r="AJ131" i="9" s="1"/>
  <c r="AR308" i="45"/>
  <c r="L532" i="45"/>
  <c r="M350" i="45"/>
  <c r="M356" i="45"/>
  <c r="P21" i="80"/>
  <c r="P23" i="80" s="1"/>
  <c r="AG40" i="20" s="1"/>
  <c r="AV47" i="36"/>
  <c r="AV53" i="36" s="1"/>
  <c r="AV35" i="36"/>
  <c r="AV59" i="36" s="1"/>
  <c r="BK23" i="28"/>
  <c r="CV234" i="47"/>
  <c r="AF279" i="40"/>
  <c r="B364" i="45"/>
  <c r="B546" i="45" s="1"/>
  <c r="DC43" i="34"/>
  <c r="DB49" i="34"/>
  <c r="BC54" i="29"/>
  <c r="DH117" i="45"/>
  <c r="B151" i="47"/>
  <c r="BF215" i="29"/>
  <c r="BG215" i="29" s="1"/>
  <c r="G34" i="29"/>
  <c r="CU110" i="29"/>
  <c r="AQ213" i="29"/>
  <c r="AQ462" i="45"/>
  <c r="J594" i="46"/>
  <c r="R121" i="45"/>
  <c r="J721" i="46"/>
  <c r="AK384" i="45"/>
  <c r="K396" i="45"/>
  <c r="M99" i="40"/>
  <c r="N100" i="40" s="1"/>
  <c r="N102" i="40" s="1"/>
  <c r="N341" i="40" s="1"/>
  <c r="AK59" i="40"/>
  <c r="AL60" i="40" s="1"/>
  <c r="BI227" i="47"/>
  <c r="AD227" i="47" s="1"/>
  <c r="AB140" i="9"/>
  <c r="AD140" i="9" s="1"/>
  <c r="AR492" i="45"/>
  <c r="AH219" i="29"/>
  <c r="G120" i="29"/>
  <c r="BW202" i="47"/>
  <c r="BU202" i="47" s="1"/>
  <c r="BN202" i="47"/>
  <c r="AD104" i="47"/>
  <c r="H104" i="47"/>
  <c r="M104" i="47"/>
  <c r="CH221" i="29"/>
  <c r="CI211" i="29"/>
  <c r="BO212" i="29"/>
  <c r="AY120" i="29"/>
  <c r="Z130" i="29"/>
  <c r="AE130" i="29" s="1"/>
  <c r="AA120" i="29"/>
  <c r="D212" i="29"/>
  <c r="D113" i="29"/>
  <c r="E63" i="29"/>
  <c r="AB132" i="9"/>
  <c r="AD132" i="9" s="1"/>
  <c r="Z140" i="12"/>
  <c r="AS80" i="28" s="1"/>
  <c r="BF48" i="28"/>
  <c r="BF37" i="28"/>
  <c r="B241" i="45"/>
  <c r="B423" i="45" s="1"/>
  <c r="AU59" i="45"/>
  <c r="B65" i="45"/>
  <c r="B73" i="45"/>
  <c r="B73" i="47"/>
  <c r="A91" i="45"/>
  <c r="B226" i="47"/>
  <c r="AT41" i="47"/>
  <c r="BE41" i="47" s="1"/>
  <c r="BL40" i="47"/>
  <c r="BM47" i="47" s="1"/>
  <c r="AC70" i="47"/>
  <c r="EA74" i="47"/>
  <c r="P124" i="47"/>
  <c r="AD124" i="47"/>
  <c r="M124" i="47"/>
  <c r="H143" i="47"/>
  <c r="BK143" i="47"/>
  <c r="BI205" i="47"/>
  <c r="BK212" i="47" s="1"/>
  <c r="G205" i="47"/>
  <c r="BL205" i="47"/>
  <c r="BQ202" i="47"/>
  <c r="BC220" i="47"/>
  <c r="BD220" i="47" s="1"/>
  <c r="I15" i="89"/>
  <c r="AC8" i="89"/>
  <c r="AR17" i="34"/>
  <c r="AR23" i="34"/>
  <c r="AU14" i="29"/>
  <c r="AY14" i="29"/>
  <c r="K15" i="29"/>
  <c r="H15" i="29"/>
  <c r="H16" i="29" s="1"/>
  <c r="BR10" i="28"/>
  <c r="Q6" i="82" s="1"/>
  <c r="Y6" i="82" s="1"/>
  <c r="CU42" i="29"/>
  <c r="BR16" i="28" s="1"/>
  <c r="CE54" i="29"/>
  <c r="T34" i="20"/>
  <c r="T35" i="20" s="1"/>
  <c r="DG54" i="29"/>
  <c r="D64" i="29"/>
  <c r="D65" i="29"/>
  <c r="E65" i="29" s="1"/>
  <c r="D66" i="29"/>
  <c r="E66" i="29" s="1"/>
  <c r="E61" i="29"/>
  <c r="D210" i="29"/>
  <c r="D214" i="29" s="1"/>
  <c r="AZ61" i="29"/>
  <c r="AV61" i="29"/>
  <c r="AT210" i="29"/>
  <c r="AT111" i="29"/>
  <c r="BG82" i="29"/>
  <c r="Y20" i="28" s="1"/>
  <c r="BO81" i="29"/>
  <c r="BN85" i="29"/>
  <c r="BO85" i="29" s="1"/>
  <c r="BN84" i="29"/>
  <c r="BO84" i="29" s="1"/>
  <c r="BN86" i="29"/>
  <c r="BO86" i="29" s="1"/>
  <c r="BN111" i="29"/>
  <c r="BP111" i="29" s="1"/>
  <c r="AX86" i="29"/>
  <c r="AY86" i="29" s="1"/>
  <c r="AX111" i="29"/>
  <c r="CA194" i="29"/>
  <c r="CE194" i="29"/>
  <c r="V82" i="40"/>
  <c r="V363" i="40" s="1"/>
  <c r="BD117" i="40"/>
  <c r="O441" i="45"/>
  <c r="Z671" i="46"/>
  <c r="Z549" i="46"/>
  <c r="Q443" i="45"/>
  <c r="Z673" i="46"/>
  <c r="W442" i="45"/>
  <c r="W448" i="45"/>
  <c r="AC448" i="45"/>
  <c r="AC442" i="45"/>
  <c r="M450" i="45"/>
  <c r="K468" i="45"/>
  <c r="Z99" i="46"/>
  <c r="AQ468" i="45"/>
  <c r="AR474" i="45" s="1"/>
  <c r="U472" i="45"/>
  <c r="Z799" i="46"/>
  <c r="AB799" i="46" s="1"/>
  <c r="U466" i="45"/>
  <c r="AQ472" i="45"/>
  <c r="Z106" i="46"/>
  <c r="K480" i="45"/>
  <c r="K474" i="45"/>
  <c r="BG29" i="34"/>
  <c r="BK29" i="34"/>
  <c r="BB43" i="34"/>
  <c r="BG31" i="34"/>
  <c r="AH230" i="29"/>
  <c r="AI230" i="29" s="1"/>
  <c r="AI220" i="29"/>
  <c r="IX15" i="38"/>
  <c r="BM205" i="47"/>
  <c r="DG44" i="29"/>
  <c r="DX116" i="47"/>
  <c r="DY116" i="47" s="1"/>
  <c r="BV210" i="29"/>
  <c r="BV111" i="29"/>
  <c r="AQ502" i="45"/>
  <c r="AR508" i="45" s="1"/>
  <c r="Z139" i="46"/>
  <c r="CT41" i="34"/>
  <c r="CT47" i="34" s="1"/>
  <c r="CY23" i="34"/>
  <c r="CU23" i="34"/>
  <c r="AE30" i="34"/>
  <c r="AA30" i="34"/>
  <c r="DB234" i="47"/>
  <c r="AA176" i="29"/>
  <c r="A181" i="47"/>
  <c r="CA16" i="29"/>
  <c r="V215" i="29"/>
  <c r="W215" i="29" s="1"/>
  <c r="N11" i="20"/>
  <c r="DE10" i="28" s="1"/>
  <c r="V231" i="29"/>
  <c r="AA231" i="29" s="1"/>
  <c r="R40" i="20"/>
  <c r="S227" i="47"/>
  <c r="AF42" i="34"/>
  <c r="A220" i="45"/>
  <c r="A402" i="45" s="1"/>
  <c r="J651" i="46"/>
  <c r="L651" i="46" s="1"/>
  <c r="J530" i="46"/>
  <c r="L530" i="46" s="1"/>
  <c r="U530" i="46" s="1"/>
  <c r="DC126" i="29"/>
  <c r="DC116" i="29"/>
  <c r="CX133" i="29"/>
  <c r="DD113" i="29"/>
  <c r="CY123" i="29"/>
  <c r="AE219" i="29"/>
  <c r="BH35" i="29"/>
  <c r="T120" i="45"/>
  <c r="J819" i="46"/>
  <c r="L819" i="46" s="1"/>
  <c r="U819" i="46" s="1"/>
  <c r="BG13" i="28"/>
  <c r="BF13" i="28"/>
  <c r="BF46" i="28"/>
  <c r="L650" i="46"/>
  <c r="A31" i="47"/>
  <c r="B35" i="47"/>
  <c r="B53" i="47"/>
  <c r="B74" i="45"/>
  <c r="B78" i="45"/>
  <c r="B260" i="45" s="1"/>
  <c r="B442" i="45" s="1"/>
  <c r="B206" i="47"/>
  <c r="B155" i="45"/>
  <c r="B163" i="45"/>
  <c r="A223" i="47"/>
  <c r="CV74" i="47"/>
  <c r="U74" i="47"/>
  <c r="BI202" i="47"/>
  <c r="DZ202" i="47" s="1"/>
  <c r="S152" i="46"/>
  <c r="D159" i="46" s="1"/>
  <c r="H159" i="46" s="1"/>
  <c r="G202" i="47"/>
  <c r="I202" i="47"/>
  <c r="CY202" i="47" s="1"/>
  <c r="BG217" i="47"/>
  <c r="H217" i="47"/>
  <c r="AA82" i="17"/>
  <c r="AA81" i="17"/>
  <c r="R7" i="20"/>
  <c r="BW24" i="29"/>
  <c r="BX24" i="29" s="1"/>
  <c r="CA14" i="29"/>
  <c r="BW14" i="29"/>
  <c r="BW34" i="29"/>
  <c r="CU16" i="29"/>
  <c r="DC16" i="29"/>
  <c r="G61" i="29"/>
  <c r="F210" i="29"/>
  <c r="F111" i="29"/>
  <c r="BR20" i="28"/>
  <c r="Q14" i="82" s="1"/>
  <c r="CT84" i="29"/>
  <c r="X43" i="20" s="1"/>
  <c r="DC203" i="29"/>
  <c r="J438" i="45"/>
  <c r="AQ438" i="45" s="1"/>
  <c r="E444" i="45"/>
  <c r="Z246" i="46"/>
  <c r="M443" i="45"/>
  <c r="Z764" i="46"/>
  <c r="U436" i="45"/>
  <c r="U442" i="45"/>
  <c r="Z614" i="46"/>
  <c r="Q447" i="45"/>
  <c r="AX41" i="34"/>
  <c r="BC29" i="34"/>
  <c r="CE30" i="34"/>
  <c r="BZ42" i="34"/>
  <c r="DK15" i="29"/>
  <c r="AR260" i="45"/>
  <c r="J110" i="12"/>
  <c r="Q99" i="40"/>
  <c r="BA234" i="47"/>
  <c r="DK60" i="29"/>
  <c r="BC40" i="34"/>
  <c r="DI227" i="47"/>
  <c r="AE211" i="29"/>
  <c r="CM211" i="29"/>
  <c r="BW212" i="29"/>
  <c r="BZ113" i="29"/>
  <c r="AA122" i="29"/>
  <c r="AQ64" i="29"/>
  <c r="CA54" i="29"/>
  <c r="AA113" i="29"/>
  <c r="R219" i="29"/>
  <c r="DB115" i="29"/>
  <c r="CH48" i="47"/>
  <c r="BS203" i="29"/>
  <c r="CM174" i="29"/>
  <c r="AB288" i="46"/>
  <c r="H756" i="46"/>
  <c r="B70" i="47"/>
  <c r="B137" i="47"/>
  <c r="B102" i="47"/>
  <c r="A117" i="47"/>
  <c r="A124" i="47"/>
  <c r="DY74" i="47"/>
  <c r="AR69" i="47"/>
  <c r="AD69" i="47"/>
  <c r="M69" i="47"/>
  <c r="M144" i="47"/>
  <c r="BG144" i="47"/>
  <c r="CU154" i="47"/>
  <c r="EA159" i="47"/>
  <c r="DN167" i="47"/>
  <c r="DT167" i="47"/>
  <c r="EB167" i="47" s="1"/>
  <c r="AH10" i="40"/>
  <c r="K12" i="89"/>
  <c r="L19" i="89" s="1"/>
  <c r="DL220" i="47"/>
  <c r="AH23" i="89"/>
  <c r="AL23" i="89" s="1"/>
  <c r="DM224" i="47"/>
  <c r="L30" i="89"/>
  <c r="DH45" i="29"/>
  <c r="DG45" i="29"/>
  <c r="CT54" i="29"/>
  <c r="CU54" i="29" s="1"/>
  <c r="CU53" i="29"/>
  <c r="AE56" i="29"/>
  <c r="DC61" i="29"/>
  <c r="DX217" i="47"/>
  <c r="CI165" i="29"/>
  <c r="L68" i="20"/>
  <c r="AU174" i="29"/>
  <c r="DC175" i="29"/>
  <c r="BI118" i="40"/>
  <c r="BF117" i="40"/>
  <c r="BF116" i="40"/>
  <c r="BF11" i="40" s="1"/>
  <c r="B108" i="45"/>
  <c r="U418" i="45"/>
  <c r="Z736" i="46"/>
  <c r="AB737" i="46" s="1"/>
  <c r="AK737" i="46" s="1"/>
  <c r="U412" i="45"/>
  <c r="AI420" i="45"/>
  <c r="AI414" i="45"/>
  <c r="E435" i="45"/>
  <c r="J435" i="45"/>
  <c r="M441" i="45"/>
  <c r="M435" i="45"/>
  <c r="Z244" i="46"/>
  <c r="AB244" i="46" s="1"/>
  <c r="AB765" i="46"/>
  <c r="H21" i="80"/>
  <c r="H23" i="80" s="1"/>
  <c r="AH66" i="36"/>
  <c r="AH36" i="36"/>
  <c r="AH60" i="36" s="1"/>
  <c r="AB37" i="89"/>
  <c r="DF46" i="34"/>
  <c r="DG40" i="34"/>
  <c r="AB26" i="46"/>
  <c r="Q46" i="40"/>
  <c r="AE174" i="29"/>
  <c r="EJ179" i="47"/>
  <c r="AY203" i="29"/>
  <c r="AV52" i="36"/>
  <c r="R13" i="28"/>
  <c r="R17" i="28" s="1"/>
  <c r="BK46" i="28"/>
  <c r="A54" i="45"/>
  <c r="A108" i="45"/>
  <c r="B131" i="45"/>
  <c r="EJ133" i="47"/>
  <c r="AR144" i="47"/>
  <c r="DQ171" i="47"/>
  <c r="DN174" i="47"/>
  <c r="DM181" i="47"/>
  <c r="CW213" i="47"/>
  <c r="AH61" i="40"/>
  <c r="AI62" i="40" s="1"/>
  <c r="I26" i="89"/>
  <c r="BD10" i="34"/>
  <c r="W8" i="28"/>
  <c r="W46" i="28" s="1"/>
  <c r="CU85" i="29"/>
  <c r="CZ21" i="29"/>
  <c r="CA56" i="29"/>
  <c r="R34" i="20"/>
  <c r="AY165" i="29"/>
  <c r="DI81" i="45"/>
  <c r="V18" i="40" s="1"/>
  <c r="AH126" i="9"/>
  <c r="AJ126" i="9" s="1"/>
  <c r="J519" i="45"/>
  <c r="AQ519" i="45" s="1"/>
  <c r="K343" i="45"/>
  <c r="K337" i="45"/>
  <c r="L525" i="45"/>
  <c r="AQ525" i="45" s="1"/>
  <c r="M349" i="45"/>
  <c r="AO407" i="45"/>
  <c r="AO401" i="45"/>
  <c r="O414" i="45"/>
  <c r="Z510" i="46"/>
  <c r="AB510" i="46" s="1"/>
  <c r="P269" i="40"/>
  <c r="Z731" i="46"/>
  <c r="AB735" i="46" s="1"/>
  <c r="AK735" i="46" s="1"/>
  <c r="AM405" i="45"/>
  <c r="AM411" i="45"/>
  <c r="Z516" i="46"/>
  <c r="O413" i="45"/>
  <c r="BB202" i="29"/>
  <c r="BB201" i="29" s="1"/>
  <c r="BG201" i="29" s="1"/>
  <c r="Z11" i="28" s="1"/>
  <c r="AB17" i="22"/>
  <c r="AB35" i="22" s="1"/>
  <c r="AZ53" i="22"/>
  <c r="BA65" i="17"/>
  <c r="AM141" i="29"/>
  <c r="BH64" i="40"/>
  <c r="AB106" i="46"/>
  <c r="AK106" i="46" s="1"/>
  <c r="B169" i="45"/>
  <c r="BP46" i="47"/>
  <c r="CH54" i="47"/>
  <c r="CO47" i="47"/>
  <c r="AC104" i="47"/>
  <c r="S289" i="46"/>
  <c r="S290" i="46" s="1"/>
  <c r="DJ123" i="47"/>
  <c r="EB123" i="47"/>
  <c r="CU132" i="47"/>
  <c r="CV125" i="47"/>
  <c r="CU125" i="47"/>
  <c r="BL133" i="47"/>
  <c r="S140" i="47"/>
  <c r="M181" i="47"/>
  <c r="BG181" i="47"/>
  <c r="AD181" i="47"/>
  <c r="BT16" i="29"/>
  <c r="CJ20" i="29"/>
  <c r="CN21" i="29"/>
  <c r="AN35" i="29"/>
  <c r="G35" i="20"/>
  <c r="CJ60" i="29"/>
  <c r="DX129" i="47"/>
  <c r="DY129" i="47" s="1"/>
  <c r="CF60" i="29"/>
  <c r="DX157" i="47"/>
  <c r="DY157" i="47" s="1"/>
  <c r="BS161" i="29"/>
  <c r="BR165" i="29"/>
  <c r="U16" i="20"/>
  <c r="BN88" i="28"/>
  <c r="BD88" i="28"/>
  <c r="BM88" i="28"/>
  <c r="BC88" i="28"/>
  <c r="BL88" i="28"/>
  <c r="BB88" i="28"/>
  <c r="BK88" i="28"/>
  <c r="BA88" i="28"/>
  <c r="AQ244" i="45"/>
  <c r="AR244" i="45" s="1"/>
  <c r="S81" i="40"/>
  <c r="T78" i="40" s="1"/>
  <c r="M406" i="45"/>
  <c r="Z210" i="46"/>
  <c r="AE413" i="45"/>
  <c r="AE407" i="45"/>
  <c r="CY29" i="34"/>
  <c r="CX41" i="34"/>
  <c r="T33" i="9"/>
  <c r="F43" i="9"/>
  <c r="R70" i="9"/>
  <c r="R126" i="9"/>
  <c r="D190" i="9"/>
  <c r="C33" i="89"/>
  <c r="DF110" i="29"/>
  <c r="DG60" i="29"/>
  <c r="BD234" i="47"/>
  <c r="AK10" i="40"/>
  <c r="J47" i="34"/>
  <c r="A94" i="47"/>
  <c r="B309" i="45"/>
  <c r="B491" i="45" s="1"/>
  <c r="AU127" i="45"/>
  <c r="B133" i="45"/>
  <c r="B315" i="45" s="1"/>
  <c r="B497" i="45" s="1"/>
  <c r="A212" i="47"/>
  <c r="L55" i="47"/>
  <c r="H74" i="47"/>
  <c r="AR74" i="47"/>
  <c r="M74" i="47"/>
  <c r="AL105" i="47"/>
  <c r="BO105" i="47" s="1"/>
  <c r="BO104" i="47"/>
  <c r="BP104" i="47" s="1"/>
  <c r="R143" i="20"/>
  <c r="DI123" i="47"/>
  <c r="AC140" i="47"/>
  <c r="AO161" i="47"/>
  <c r="AB16" i="89"/>
  <c r="CZ23" i="29"/>
  <c r="CE55" i="29"/>
  <c r="AN36" i="29"/>
  <c r="BD35" i="29"/>
  <c r="O56" i="29"/>
  <c r="BW55" i="29"/>
  <c r="AM65" i="29"/>
  <c r="G85" i="29"/>
  <c r="AY83" i="29"/>
  <c r="P20" i="28"/>
  <c r="Y247" i="40"/>
  <c r="Y256" i="40" s="1"/>
  <c r="Y265" i="40"/>
  <c r="Y266" i="40" s="1"/>
  <c r="O59" i="45"/>
  <c r="J650" i="46"/>
  <c r="R81" i="40"/>
  <c r="K238" i="45"/>
  <c r="AQ255" i="45"/>
  <c r="K261" i="45"/>
  <c r="K260" i="45"/>
  <c r="K266" i="45"/>
  <c r="AQ265" i="45"/>
  <c r="K265" i="45"/>
  <c r="K461" i="45"/>
  <c r="Z84" i="46"/>
  <c r="AB85" i="46" s="1"/>
  <c r="M484" i="45"/>
  <c r="Z301" i="46"/>
  <c r="AR489" i="45"/>
  <c r="AP43" i="34"/>
  <c r="AU31" i="34"/>
  <c r="AQ31" i="34"/>
  <c r="BC30" i="34"/>
  <c r="BB42" i="34"/>
  <c r="AO46" i="17"/>
  <c r="AO59" i="17" s="1"/>
  <c r="AN37" i="28"/>
  <c r="BC48" i="28"/>
  <c r="BR48" i="28"/>
  <c r="Q36" i="82" s="1"/>
  <c r="Y36" i="82" s="1"/>
  <c r="CG48" i="28"/>
  <c r="BS39" i="28"/>
  <c r="CC39" i="28"/>
  <c r="AB764" i="46"/>
  <c r="A56" i="45"/>
  <c r="A238" i="45" s="1"/>
  <c r="A420" i="45" s="1"/>
  <c r="A113" i="45"/>
  <c r="A179" i="47"/>
  <c r="A202" i="47"/>
  <c r="S653" i="46"/>
  <c r="AI653" i="46" s="1"/>
  <c r="AQ53" i="47"/>
  <c r="U76" i="47"/>
  <c r="A132" i="47"/>
  <c r="BK144" i="47"/>
  <c r="AD218" i="47"/>
  <c r="I16" i="89"/>
  <c r="BO15" i="29"/>
  <c r="CQ14" i="29"/>
  <c r="BW15" i="29"/>
  <c r="AM16" i="29"/>
  <c r="DD23" i="29"/>
  <c r="AA77" i="17"/>
  <c r="Z11" i="20"/>
  <c r="U78" i="17"/>
  <c r="J19" i="20"/>
  <c r="DA14" i="28" s="1"/>
  <c r="CI55" i="29"/>
  <c r="S76" i="29"/>
  <c r="BJ86" i="29"/>
  <c r="BK86" i="29" s="1"/>
  <c r="S86" i="29"/>
  <c r="F165" i="29"/>
  <c r="K165" i="29" s="1"/>
  <c r="BD116" i="40"/>
  <c r="BF164" i="40"/>
  <c r="AE169" i="40"/>
  <c r="AA169" i="40"/>
  <c r="AC19" i="40"/>
  <c r="DH159" i="45"/>
  <c r="AI17" i="40" s="1"/>
  <c r="W396" i="45"/>
  <c r="DF47" i="34"/>
  <c r="DG41" i="34"/>
  <c r="DC30" i="34"/>
  <c r="DG30" i="34"/>
  <c r="AI48" i="28"/>
  <c r="AO37" i="28"/>
  <c r="AY37" i="28"/>
  <c r="BI37" i="28"/>
  <c r="BS37" i="28"/>
  <c r="CC37" i="28"/>
  <c r="F143" i="20"/>
  <c r="AQ54" i="47"/>
  <c r="DZ69" i="47"/>
  <c r="B66" i="47"/>
  <c r="BP76" i="47"/>
  <c r="DY76" i="47"/>
  <c r="EH132" i="47"/>
  <c r="CV133" i="47"/>
  <c r="DZ136" i="47"/>
  <c r="BM151" i="47"/>
  <c r="EJ166" i="47"/>
  <c r="BW164" i="47"/>
  <c r="BU164" i="47" s="1"/>
  <c r="L206" i="47"/>
  <c r="I205" i="47"/>
  <c r="I212" i="47"/>
  <c r="AO19" i="89"/>
  <c r="G16" i="29"/>
  <c r="O36" i="29"/>
  <c r="BK36" i="29"/>
  <c r="CE35" i="29"/>
  <c r="CU36" i="29"/>
  <c r="CJ45" i="29"/>
  <c r="AA56" i="29"/>
  <c r="AY56" i="29"/>
  <c r="DC54" i="29"/>
  <c r="AB62" i="29"/>
  <c r="DD63" i="29"/>
  <c r="BC184" i="29"/>
  <c r="M73" i="20"/>
  <c r="DD30" i="28" s="1"/>
  <c r="CE193" i="29"/>
  <c r="Y270" i="40"/>
  <c r="N303" i="45"/>
  <c r="O302" i="45"/>
  <c r="B234" i="47"/>
  <c r="DX50" i="37"/>
  <c r="DY50" i="37"/>
  <c r="BD65" i="36"/>
  <c r="BD47" i="36"/>
  <c r="D37" i="28"/>
  <c r="N37" i="28"/>
  <c r="AO46" i="28"/>
  <c r="AY46" i="28"/>
  <c r="BD46" i="28"/>
  <c r="BS46" i="28"/>
  <c r="BX13" i="28"/>
  <c r="BX17" i="28" s="1"/>
  <c r="BX21" i="28" s="1"/>
  <c r="D13" i="28"/>
  <c r="BK48" i="28"/>
  <c r="CE37" i="28"/>
  <c r="L815" i="46"/>
  <c r="U815" i="46" s="1"/>
  <c r="A61" i="45"/>
  <c r="A243" i="45" s="1"/>
  <c r="A425" i="45" s="1"/>
  <c r="BP39" i="47"/>
  <c r="AQ45" i="47"/>
  <c r="AQ56" i="47"/>
  <c r="BM80" i="47"/>
  <c r="BI77" i="47"/>
  <c r="AD77" i="47" s="1"/>
  <c r="DV77" i="47"/>
  <c r="M114" i="20" s="1"/>
  <c r="BW87" i="47"/>
  <c r="BQ87" i="47" s="1"/>
  <c r="B89" i="47"/>
  <c r="P143" i="20"/>
  <c r="S119" i="47"/>
  <c r="EJ137" i="47"/>
  <c r="EH167" i="47"/>
  <c r="BD168" i="47"/>
  <c r="DC168" i="47"/>
  <c r="BP202" i="47"/>
  <c r="DR178" i="47"/>
  <c r="DE212" i="47"/>
  <c r="Y211" i="47"/>
  <c r="AC216" i="47"/>
  <c r="S349" i="46"/>
  <c r="AI349" i="46" s="1"/>
  <c r="L17" i="89"/>
  <c r="D17" i="89"/>
  <c r="G19" i="89"/>
  <c r="H19" i="89" s="1"/>
  <c r="L36" i="89"/>
  <c r="Q31" i="89"/>
  <c r="D35" i="9"/>
  <c r="K75" i="29"/>
  <c r="S36" i="29"/>
  <c r="G35" i="29"/>
  <c r="AZ36" i="29"/>
  <c r="BO34" i="29"/>
  <c r="BW35" i="29"/>
  <c r="CB46" i="29"/>
  <c r="DC44" i="29"/>
  <c r="AV63" i="29"/>
  <c r="BC75" i="29"/>
  <c r="AE76" i="29"/>
  <c r="DG166" i="29"/>
  <c r="CM166" i="29"/>
  <c r="Y169" i="40"/>
  <c r="DX51" i="37"/>
  <c r="DY51" i="37"/>
  <c r="N194" i="9"/>
  <c r="AB37" i="28"/>
  <c r="E13" i="28"/>
  <c r="E36" i="28" s="1"/>
  <c r="O13" i="28"/>
  <c r="AI13" i="28"/>
  <c r="AI36" i="28" s="1"/>
  <c r="AN13" i="28"/>
  <c r="AN36" i="28" s="1"/>
  <c r="AS13" i="28"/>
  <c r="AX13" i="28"/>
  <c r="AX36" i="28" s="1"/>
  <c r="BH13" i="28"/>
  <c r="BH36" i="28" s="1"/>
  <c r="BM13" i="28"/>
  <c r="N48" i="28"/>
  <c r="S37" i="28"/>
  <c r="AM48" i="28"/>
  <c r="AW48" i="28"/>
  <c r="BL48" i="28"/>
  <c r="CA48" i="28"/>
  <c r="CF48" i="28"/>
  <c r="D359" i="46"/>
  <c r="H359" i="46" s="1"/>
  <c r="L638" i="46"/>
  <c r="U638" i="46" s="1"/>
  <c r="BT35" i="47"/>
  <c r="BT52" i="47"/>
  <c r="EA59" i="47"/>
  <c r="U68" i="47"/>
  <c r="EA73" i="47"/>
  <c r="DZ122" i="47"/>
  <c r="DV154" i="47"/>
  <c r="DF213" i="47"/>
  <c r="L15" i="89"/>
  <c r="Q24" i="89"/>
  <c r="BD13" i="34"/>
  <c r="BD37" i="34" s="1"/>
  <c r="Z8" i="28"/>
  <c r="Z46" i="28" s="1"/>
  <c r="K36" i="29"/>
  <c r="AE26" i="29"/>
  <c r="CM16" i="29"/>
  <c r="S35" i="29"/>
  <c r="F35" i="20"/>
  <c r="AE55" i="29"/>
  <c r="BD61" i="29"/>
  <c r="AY193" i="29"/>
  <c r="BG65" i="40"/>
  <c r="BC179" i="40"/>
  <c r="BD179" i="40" s="1"/>
  <c r="BE179" i="40" s="1"/>
  <c r="BB165" i="40"/>
  <c r="P405" i="40"/>
  <c r="W533" i="45"/>
  <c r="M462" i="45"/>
  <c r="X146" i="40"/>
  <c r="Y147" i="40" s="1"/>
  <c r="Y149" i="40" s="1"/>
  <c r="Y342" i="40" s="1"/>
  <c r="M490" i="45"/>
  <c r="O21" i="80"/>
  <c r="J144" i="9"/>
  <c r="P154" i="9"/>
  <c r="CP65" i="29"/>
  <c r="CR65" i="29" s="1"/>
  <c r="CQ60" i="29"/>
  <c r="CP209" i="29"/>
  <c r="CP64" i="29"/>
  <c r="CP35" i="29"/>
  <c r="CU165" i="29"/>
  <c r="BC176" i="29"/>
  <c r="CA175" i="29"/>
  <c r="CM193" i="29"/>
  <c r="BS204" i="29"/>
  <c r="CA204" i="29"/>
  <c r="DC204" i="29"/>
  <c r="O272" i="40"/>
  <c r="O344" i="40" s="1"/>
  <c r="R251" i="40"/>
  <c r="R366" i="40" s="1"/>
  <c r="O408" i="40"/>
  <c r="DH27" i="45"/>
  <c r="K44" i="45"/>
  <c r="DI39" i="45"/>
  <c r="DI45" i="45"/>
  <c r="DI57" i="45"/>
  <c r="DH63" i="45"/>
  <c r="S17" i="40" s="1"/>
  <c r="BC64" i="40"/>
  <c r="BG66" i="40"/>
  <c r="L368" i="45"/>
  <c r="L549" i="45"/>
  <c r="M367" i="45"/>
  <c r="DI346" i="45"/>
  <c r="L222" i="40"/>
  <c r="Q406" i="45"/>
  <c r="AB537" i="46"/>
  <c r="AN53" i="22"/>
  <c r="R21" i="80"/>
  <c r="CQ30" i="34"/>
  <c r="L20" i="9"/>
  <c r="P34" i="9"/>
  <c r="J74" i="9"/>
  <c r="R74" i="9" s="1"/>
  <c r="J88" i="9"/>
  <c r="AJ116" i="9"/>
  <c r="N175" i="9"/>
  <c r="L187" i="9"/>
  <c r="HO26" i="38"/>
  <c r="BD232" i="47"/>
  <c r="C47" i="89"/>
  <c r="CU166" i="29"/>
  <c r="S172" i="29"/>
  <c r="CA176" i="29"/>
  <c r="BO202" i="29"/>
  <c r="CI202" i="29"/>
  <c r="CT220" i="29"/>
  <c r="M28" i="40"/>
  <c r="D34" i="40"/>
  <c r="BC118" i="40"/>
  <c r="R197" i="40"/>
  <c r="P199" i="40"/>
  <c r="L206" i="40"/>
  <c r="BC239" i="40"/>
  <c r="S251" i="40"/>
  <c r="S366" i="40" s="1"/>
  <c r="AQ11" i="45"/>
  <c r="DJ165" i="45"/>
  <c r="DI274" i="45"/>
  <c r="DI328" i="45"/>
  <c r="DH352" i="45"/>
  <c r="Q395" i="45"/>
  <c r="AO402" i="45"/>
  <c r="AQ408" i="45"/>
  <c r="AR414" i="45" s="1"/>
  <c r="E442" i="45"/>
  <c r="AQ489" i="45"/>
  <c r="I513" i="45"/>
  <c r="J17" i="22"/>
  <c r="F31" i="22"/>
  <c r="F33" i="22" s="1"/>
  <c r="AT53" i="22"/>
  <c r="S21" i="80"/>
  <c r="S23" i="80" s="1"/>
  <c r="AJ46" i="36"/>
  <c r="AJ52" i="36" s="1"/>
  <c r="CI23" i="34"/>
  <c r="CU30" i="34"/>
  <c r="AJ18" i="9"/>
  <c r="T19" i="9"/>
  <c r="N89" i="9"/>
  <c r="N160" i="9"/>
  <c r="N179" i="9"/>
  <c r="AL36" i="89"/>
  <c r="HO27" i="38"/>
  <c r="CY165" i="29"/>
  <c r="AH174" i="29"/>
  <c r="AI174" i="29" s="1"/>
  <c r="CQ172" i="29"/>
  <c r="BG174" i="29"/>
  <c r="CE174" i="29"/>
  <c r="BK193" i="29"/>
  <c r="BS202" i="29"/>
  <c r="G28" i="40"/>
  <c r="E34" i="40"/>
  <c r="BB132" i="40"/>
  <c r="X164" i="40"/>
  <c r="BC237" i="40"/>
  <c r="AR18" i="45"/>
  <c r="K241" i="45"/>
  <c r="DH334" i="45"/>
  <c r="U401" i="45"/>
  <c r="W412" i="45"/>
  <c r="AC412" i="45"/>
  <c r="AM429" i="45"/>
  <c r="G436" i="45"/>
  <c r="E449" i="45"/>
  <c r="AC456" i="45"/>
  <c r="W467" i="45"/>
  <c r="K484" i="45"/>
  <c r="Z716" i="46"/>
  <c r="I492" i="45"/>
  <c r="AK95" i="17"/>
  <c r="AM95" i="17" s="1"/>
  <c r="AO95" i="17" s="1"/>
  <c r="AQ95" i="17" s="1"/>
  <c r="AS95" i="17" s="1"/>
  <c r="AU95" i="17" s="1"/>
  <c r="AW95" i="17" s="1"/>
  <c r="AY95" i="17" s="1"/>
  <c r="BA95" i="17" s="1"/>
  <c r="BC95" i="17" s="1"/>
  <c r="BE95" i="17" s="1"/>
  <c r="BG95" i="17" s="1"/>
  <c r="BI95" i="17" s="1"/>
  <c r="BK95" i="17" s="1"/>
  <c r="BM95" i="17" s="1"/>
  <c r="BO95" i="17" s="1"/>
  <c r="BQ95" i="17" s="1"/>
  <c r="AP53" i="22"/>
  <c r="AP56" i="22" s="1"/>
  <c r="AP59" i="22" s="1"/>
  <c r="L21" i="80"/>
  <c r="N64" i="36"/>
  <c r="O29" i="34"/>
  <c r="AI29" i="34"/>
  <c r="BC31" i="34"/>
  <c r="CT43" i="34"/>
  <c r="AJ19" i="9"/>
  <c r="AJ41" i="9"/>
  <c r="R46" i="9"/>
  <c r="L61" i="9"/>
  <c r="L76" i="9"/>
  <c r="N83" i="9"/>
  <c r="L103" i="9"/>
  <c r="L118" i="9"/>
  <c r="N118" i="9"/>
  <c r="L125" i="9"/>
  <c r="T132" i="9"/>
  <c r="L147" i="9"/>
  <c r="T146" i="9"/>
  <c r="L154" i="9"/>
  <c r="AM187" i="9"/>
  <c r="G40" i="89"/>
  <c r="H40" i="89" s="1"/>
  <c r="AL69" i="40"/>
  <c r="K21" i="80"/>
  <c r="K23" i="80" s="1"/>
  <c r="DC176" i="29"/>
  <c r="I37" i="40"/>
  <c r="BD164" i="40"/>
  <c r="BD165" i="40"/>
  <c r="Q199" i="40"/>
  <c r="Z197" i="40"/>
  <c r="AC293" i="40"/>
  <c r="DH33" i="45"/>
  <c r="BJ64" i="40"/>
  <c r="DH322" i="45"/>
  <c r="AM384" i="45"/>
  <c r="AC384" i="45"/>
  <c r="M395" i="45"/>
  <c r="AE406" i="45"/>
  <c r="AG423" i="45"/>
  <c r="W453" i="45"/>
  <c r="Z702" i="46"/>
  <c r="AB706" i="46" s="1"/>
  <c r="W521" i="45"/>
  <c r="Z17" i="22"/>
  <c r="Z35" i="22" s="1"/>
  <c r="L53" i="22"/>
  <c r="J14" i="80"/>
  <c r="M21" i="80"/>
  <c r="T21" i="80"/>
  <c r="T23" i="80" s="1"/>
  <c r="H98" i="9"/>
  <c r="P102" i="9" s="1"/>
  <c r="S28" i="34"/>
  <c r="L40" i="9"/>
  <c r="L70" i="9"/>
  <c r="L126" i="9"/>
  <c r="D162" i="9"/>
  <c r="P182" i="9"/>
  <c r="AL70" i="40"/>
  <c r="BM66" i="40" s="1"/>
  <c r="CP76" i="29"/>
  <c r="CQ76" i="29" s="1"/>
  <c r="CP222" i="29"/>
  <c r="CU204" i="29"/>
  <c r="BG176" i="29"/>
  <c r="BJ66" i="40"/>
  <c r="BB116" i="40"/>
  <c r="X199" i="40"/>
  <c r="R410" i="40"/>
  <c r="S413" i="40"/>
  <c r="DJ171" i="45"/>
  <c r="K513" i="45"/>
  <c r="AO395" i="45"/>
  <c r="J401" i="45"/>
  <c r="J406" i="45"/>
  <c r="W407" i="45"/>
  <c r="AK407" i="45"/>
  <c r="W411" i="45"/>
  <c r="E417" i="45"/>
  <c r="Z687" i="46"/>
  <c r="K471" i="45"/>
  <c r="Z708" i="46"/>
  <c r="AB709" i="46" s="1"/>
  <c r="AD709" i="46" s="1"/>
  <c r="Z715" i="46"/>
  <c r="AB715" i="46" s="1"/>
  <c r="W486" i="45"/>
  <c r="I521" i="45"/>
  <c r="AI59" i="17"/>
  <c r="C30" i="99"/>
  <c r="C44" i="99" s="1"/>
  <c r="BK41" i="17"/>
  <c r="BM41" i="17" s="1"/>
  <c r="N21" i="80"/>
  <c r="N23" i="80" s="1"/>
  <c r="AE40" i="20" s="1"/>
  <c r="R59" i="36"/>
  <c r="J13" i="9"/>
  <c r="R27" i="9"/>
  <c r="N55" i="9"/>
  <c r="J68" i="9"/>
  <c r="R68" i="9" s="1"/>
  <c r="P82" i="9"/>
  <c r="L102" i="9"/>
  <c r="J110" i="9"/>
  <c r="AM110" i="9" s="1"/>
  <c r="N173" i="9"/>
  <c r="R168" i="9"/>
  <c r="Q543" i="45"/>
  <c r="O546" i="45"/>
  <c r="O552" i="45"/>
  <c r="CP74" i="29"/>
  <c r="S366" i="46"/>
  <c r="D366" i="46" s="1"/>
  <c r="H366" i="46" s="1"/>
  <c r="H77" i="47"/>
  <c r="DV171" i="47"/>
  <c r="M180" i="47"/>
  <c r="BK153" i="47"/>
  <c r="BK152" i="47"/>
  <c r="CU140" i="47"/>
  <c r="S74" i="47"/>
  <c r="BW69" i="47"/>
  <c r="DB98" i="47"/>
  <c r="BM54" i="47"/>
  <c r="M95" i="47"/>
  <c r="BP123" i="47"/>
  <c r="BW143" i="47"/>
  <c r="BN143" i="47" s="1"/>
  <c r="BL147" i="47"/>
  <c r="BM147" i="47" s="1"/>
  <c r="BI147" i="47"/>
  <c r="H147" i="47" s="1"/>
  <c r="U160" i="47"/>
  <c r="BG62" i="47"/>
  <c r="BK118" i="47"/>
  <c r="BG178" i="47"/>
  <c r="CV146" i="47"/>
  <c r="BT54" i="47"/>
  <c r="CF83" i="37"/>
  <c r="D139" i="46"/>
  <c r="H139" i="46" s="1"/>
  <c r="AQ21" i="47"/>
  <c r="G34" i="47"/>
  <c r="CH41" i="47"/>
  <c r="AL55" i="47"/>
  <c r="AP55" i="47" s="1"/>
  <c r="BW76" i="47"/>
  <c r="BQ76" i="47" s="1"/>
  <c r="AR95" i="47"/>
  <c r="H103" i="47"/>
  <c r="M139" i="47"/>
  <c r="O147" i="47"/>
  <c r="U153" i="47"/>
  <c r="T114" i="40"/>
  <c r="S160" i="40"/>
  <c r="BG123" i="47"/>
  <c r="BB174" i="47"/>
  <c r="U174" i="47"/>
  <c r="AR165" i="47"/>
  <c r="AR129" i="47"/>
  <c r="BG101" i="47"/>
  <c r="H160" i="47"/>
  <c r="EB172" i="47"/>
  <c r="EA172" i="47" s="1"/>
  <c r="DZ87" i="47"/>
  <c r="DC140" i="47"/>
  <c r="CI24" i="47"/>
  <c r="BM202" i="47"/>
  <c r="AR104" i="47"/>
  <c r="EV28" i="38"/>
  <c r="HU27" i="38" s="1"/>
  <c r="BX116" i="37"/>
  <c r="BT28" i="47"/>
  <c r="U95" i="47"/>
  <c r="DZ95" i="47"/>
  <c r="AC112" i="47"/>
  <c r="BM143" i="47"/>
  <c r="U139" i="47"/>
  <c r="AD153" i="47"/>
  <c r="BG103" i="47"/>
  <c r="AD178" i="47"/>
  <c r="EI174" i="47"/>
  <c r="P153" i="47"/>
  <c r="AR103" i="47"/>
  <c r="BG180" i="47"/>
  <c r="AD129" i="47"/>
  <c r="AD103" i="47"/>
  <c r="BN82" i="47"/>
  <c r="AI716" i="46"/>
  <c r="AC161" i="47"/>
  <c r="CV140" i="47"/>
  <c r="DU90" i="47"/>
  <c r="S146" i="47"/>
  <c r="BG104" i="47"/>
  <c r="DI164" i="47"/>
  <c r="P152" i="47"/>
  <c r="BK139" i="47"/>
  <c r="S75" i="47"/>
  <c r="DT84" i="47"/>
  <c r="N107" i="20" s="1"/>
  <c r="M73" i="47"/>
  <c r="D528" i="46"/>
  <c r="BF42" i="47"/>
  <c r="BP42" i="47"/>
  <c r="BP95" i="47"/>
  <c r="BP110" i="47"/>
  <c r="G126" i="47"/>
  <c r="BG139" i="47"/>
  <c r="AD152" i="47"/>
  <c r="BG152" i="47"/>
  <c r="L154" i="47"/>
  <c r="D272" i="46"/>
  <c r="H272" i="46" s="1"/>
  <c r="DZ103" i="47"/>
  <c r="DB112" i="47"/>
  <c r="EJ123" i="47"/>
  <c r="BG129" i="47"/>
  <c r="U123" i="47"/>
  <c r="H129" i="47"/>
  <c r="R147" i="47"/>
  <c r="H153" i="47"/>
  <c r="P129" i="47"/>
  <c r="AD160" i="47"/>
  <c r="M153" i="47"/>
  <c r="AL174" i="47"/>
  <c r="AP174" i="47" s="1"/>
  <c r="AR174" i="47" s="1"/>
  <c r="G147" i="47"/>
  <c r="AQ89" i="47"/>
  <c r="M152" i="47"/>
  <c r="S81" i="47"/>
  <c r="DZ67" i="47"/>
  <c r="BM42" i="47"/>
  <c r="BM89" i="47"/>
  <c r="BM139" i="47"/>
  <c r="DV105" i="47"/>
  <c r="DC105" i="47"/>
  <c r="BW115" i="47"/>
  <c r="BQ115" i="47" s="1"/>
  <c r="S133" i="47"/>
  <c r="CP38" i="47"/>
  <c r="CP46" i="47"/>
  <c r="T149" i="40"/>
  <c r="T342" i="40" s="1"/>
  <c r="BM53" i="47"/>
  <c r="BI14" i="47"/>
  <c r="M14" i="47" s="1"/>
  <c r="BF21" i="47"/>
  <c r="AQ39" i="47"/>
  <c r="CD48" i="47"/>
  <c r="Q60" i="40"/>
  <c r="P64" i="40"/>
  <c r="BF40" i="47"/>
  <c r="BW24" i="47"/>
  <c r="CQ24" i="47" s="1"/>
  <c r="S52" i="47"/>
  <c r="BF47" i="47"/>
  <c r="T225" i="40"/>
  <c r="T343" i="40" s="1"/>
  <c r="S596" i="46"/>
  <c r="AI596" i="46" s="1"/>
  <c r="AI597" i="46" s="1"/>
  <c r="S46" i="47"/>
  <c r="E143" i="20"/>
  <c r="BW47" i="47"/>
  <c r="BQ47" i="47" s="1"/>
  <c r="AQ47" i="47"/>
  <c r="G41" i="47"/>
  <c r="CB47" i="47"/>
  <c r="S38" i="47"/>
  <c r="BP31" i="47"/>
  <c r="I143" i="20"/>
  <c r="BT40" i="47"/>
  <c r="CA34" i="47"/>
  <c r="AL48" i="47"/>
  <c r="AP48" i="47" s="1"/>
  <c r="AQ49" i="47"/>
  <c r="BI42" i="47"/>
  <c r="AR42" i="47" s="1"/>
  <c r="BI24" i="47"/>
  <c r="BK31" i="47" s="1"/>
  <c r="AQ31" i="47"/>
  <c r="BS48" i="47"/>
  <c r="CI48" i="47" s="1"/>
  <c r="BI45" i="47"/>
  <c r="BG45" i="47" s="1"/>
  <c r="R48" i="47"/>
  <c r="O60" i="40"/>
  <c r="S538" i="46"/>
  <c r="AI538" i="46" s="1"/>
  <c r="BP49" i="47"/>
  <c r="AC41" i="47"/>
  <c r="BW40" i="47"/>
  <c r="S43" i="46"/>
  <c r="AI43" i="46" s="1"/>
  <c r="AI44" i="46" s="1"/>
  <c r="D581" i="46"/>
  <c r="H581" i="46" s="1"/>
  <c r="BS27" i="47"/>
  <c r="BT27" i="47" s="1"/>
  <c r="BI26" i="47"/>
  <c r="U26" i="47" s="1"/>
  <c r="AQ35" i="47"/>
  <c r="S45" i="47"/>
  <c r="P60" i="40"/>
  <c r="S36" i="46"/>
  <c r="AI36" i="46" s="1"/>
  <c r="S68" i="12"/>
  <c r="BI40" i="47"/>
  <c r="U40" i="47" s="1"/>
  <c r="CI47" i="47"/>
  <c r="BW33" i="47"/>
  <c r="CQ33" i="47" s="1"/>
  <c r="BT25" i="47"/>
  <c r="BI28" i="47"/>
  <c r="AR28" i="47" s="1"/>
  <c r="G48" i="47"/>
  <c r="CI45" i="47"/>
  <c r="BT31" i="47"/>
  <c r="BT32" i="47"/>
  <c r="BE34" i="47"/>
  <c r="S57" i="12" s="1"/>
  <c r="S49" i="47"/>
  <c r="D759" i="46"/>
  <c r="H759" i="46" s="1"/>
  <c r="S8" i="40"/>
  <c r="AP41" i="47"/>
  <c r="R41" i="47"/>
  <c r="CB26" i="47"/>
  <c r="BP56" i="47"/>
  <c r="S59" i="47"/>
  <c r="BP26" i="47"/>
  <c r="AQ28" i="47"/>
  <c r="BF39" i="47"/>
  <c r="BM33" i="47"/>
  <c r="S31" i="47"/>
  <c r="BF32" i="47"/>
  <c r="S149" i="40"/>
  <c r="S342" i="40" s="1"/>
  <c r="BT39" i="47"/>
  <c r="D650" i="46"/>
  <c r="H650" i="46" s="1"/>
  <c r="BI47" i="47"/>
  <c r="BG47" i="47" s="1"/>
  <c r="BO48" i="47"/>
  <c r="CE48" i="47" s="1"/>
  <c r="BL126" i="47"/>
  <c r="BM133" i="47" s="1"/>
  <c r="W84" i="47"/>
  <c r="AC84" i="47" s="1"/>
  <c r="AD123" i="47"/>
  <c r="H180" i="47"/>
  <c r="BG90" i="47"/>
  <c r="EJ172" i="47"/>
  <c r="BK180" i="47"/>
  <c r="BM111" i="47"/>
  <c r="Y320" i="40"/>
  <c r="Y336" i="40" s="1"/>
  <c r="S126" i="47"/>
  <c r="DV91" i="47"/>
  <c r="O114" i="20" s="1"/>
  <c r="DV181" i="47"/>
  <c r="BK178" i="47"/>
  <c r="BK131" i="47"/>
  <c r="BW90" i="47"/>
  <c r="BN90" i="47" s="1"/>
  <c r="CV98" i="47"/>
  <c r="AD109" i="47"/>
  <c r="DZ109" i="47"/>
  <c r="AR116" i="47"/>
  <c r="L133" i="47"/>
  <c r="S154" i="12"/>
  <c r="AI154" i="12" s="1"/>
  <c r="EB181" i="47"/>
  <c r="EA181" i="47" s="1"/>
  <c r="BM171" i="47"/>
  <c r="M115" i="47"/>
  <c r="AR90" i="47"/>
  <c r="X235" i="40"/>
  <c r="DZ180" i="47"/>
  <c r="CU77" i="47"/>
  <c r="BI82" i="47"/>
  <c r="BK82" i="47" s="1"/>
  <c r="EJ126" i="47"/>
  <c r="L125" i="47"/>
  <c r="BX98" i="37" s="1"/>
  <c r="M101" i="47"/>
  <c r="D146" i="46"/>
  <c r="H146" i="46" s="1"/>
  <c r="D261" i="46"/>
  <c r="H261" i="46" s="1"/>
  <c r="D820" i="46"/>
  <c r="H820" i="46" s="1"/>
  <c r="AD115" i="47"/>
  <c r="EJ171" i="47"/>
  <c r="S688" i="46"/>
  <c r="AI688" i="46" s="1"/>
  <c r="BP88" i="47"/>
  <c r="H90" i="47"/>
  <c r="AC182" i="47"/>
  <c r="EA76" i="47"/>
  <c r="AD90" i="47"/>
  <c r="U61" i="47"/>
  <c r="D303" i="46"/>
  <c r="H303" i="46" s="1"/>
  <c r="P123" i="47"/>
  <c r="DC77" i="47"/>
  <c r="M112" i="20" s="1"/>
  <c r="CV110" i="47"/>
  <c r="L70" i="47"/>
  <c r="BK158" i="47"/>
  <c r="EH160" i="47"/>
  <c r="BL118" i="47"/>
  <c r="BM118" i="47" s="1"/>
  <c r="BG124" i="47"/>
  <c r="U101" i="47"/>
  <c r="EA81" i="47"/>
  <c r="BW103" i="47"/>
  <c r="DZ110" i="47"/>
  <c r="H115" i="47"/>
  <c r="M123" i="47"/>
  <c r="BW157" i="47"/>
  <c r="BU157" i="47" s="1"/>
  <c r="S175" i="47"/>
  <c r="AA235" i="40"/>
  <c r="H123" i="47"/>
  <c r="CF88" i="37"/>
  <c r="EA87" i="47"/>
  <c r="DC175" i="47"/>
  <c r="CV68" i="47"/>
  <c r="AQ98" i="47"/>
  <c r="BL70" i="47"/>
  <c r="BM70" i="47" s="1"/>
  <c r="DU91" i="47"/>
  <c r="L77" i="47"/>
  <c r="AC98" i="47"/>
  <c r="CN93" i="37"/>
  <c r="D265" i="46"/>
  <c r="H265" i="46" s="1"/>
  <c r="AL63" i="47"/>
  <c r="AQ77" i="47"/>
  <c r="BW96" i="47"/>
  <c r="BU96" i="47" s="1"/>
  <c r="BM117" i="47"/>
  <c r="E102" i="85"/>
  <c r="I144" i="85"/>
  <c r="I102" i="85"/>
  <c r="L99" i="85"/>
  <c r="D53" i="85"/>
  <c r="D95" i="85"/>
  <c r="E60" i="85"/>
  <c r="C95" i="85"/>
  <c r="AH47" i="89"/>
  <c r="DM248" i="47"/>
  <c r="DM241" i="47"/>
  <c r="DI189" i="45"/>
  <c r="AB46" i="89"/>
  <c r="AA47" i="89"/>
  <c r="G47" i="89"/>
  <c r="AB47" i="89" s="1"/>
  <c r="AC31" i="20"/>
  <c r="BF69" i="22" s="1"/>
  <c r="BF67" i="22" s="1"/>
  <c r="BF68" i="22" s="1"/>
  <c r="DS202" i="29"/>
  <c r="BH74" i="22"/>
  <c r="DX49" i="37"/>
  <c r="DY49" i="37"/>
  <c r="P46" i="89"/>
  <c r="AZ247" i="47"/>
  <c r="BE247" i="47" s="1"/>
  <c r="AB82" i="28"/>
  <c r="R82" i="28"/>
  <c r="W82" i="28"/>
  <c r="AC82" i="28"/>
  <c r="S82" i="28"/>
  <c r="T82" i="28"/>
  <c r="AD82" i="28"/>
  <c r="AE82" i="28"/>
  <c r="AH37" i="28"/>
  <c r="BV37" i="28"/>
  <c r="CK46" i="28"/>
  <c r="AW46" i="28"/>
  <c r="CA37" i="28"/>
  <c r="BQ37" i="28"/>
  <c r="CJ37" i="28"/>
  <c r="CJ62" i="28" s="1"/>
  <c r="BB37" i="28"/>
  <c r="BL39" i="28"/>
  <c r="BX39" i="28"/>
  <c r="AH46" i="28"/>
  <c r="BV46" i="28"/>
  <c r="K13" i="28"/>
  <c r="K17" i="28" s="1"/>
  <c r="AE46" i="28"/>
  <c r="AO13" i="28"/>
  <c r="AY13" i="28"/>
  <c r="AY17" i="28" s="1"/>
  <c r="BI13" i="28"/>
  <c r="BI17" i="28" s="1"/>
  <c r="BI38" i="28" s="1"/>
  <c r="AS37" i="28"/>
  <c r="AG37" i="28"/>
  <c r="A1" i="22"/>
  <c r="S46" i="28"/>
  <c r="AX37" i="28"/>
  <c r="BG37" i="28"/>
  <c r="BQ46" i="28"/>
  <c r="A1" i="9"/>
  <c r="A1" i="34"/>
  <c r="AS17" i="28"/>
  <c r="AS32" i="28" s="1"/>
  <c r="AS43" i="28" s="1"/>
  <c r="AS36" i="28"/>
  <c r="AY36" i="28"/>
  <c r="Y46" i="28"/>
  <c r="CK48" i="28"/>
  <c r="AD13" i="28"/>
  <c r="AD17" i="28" s="1"/>
  <c r="BX46" i="28"/>
  <c r="AD37" i="28"/>
  <c r="CJ46" i="28"/>
  <c r="BN50" i="28"/>
  <c r="H46" i="28"/>
  <c r="AO48" i="28"/>
  <c r="CA36" i="28"/>
  <c r="CC48" i="28"/>
  <c r="CF37" i="28"/>
  <c r="BB48" i="28"/>
  <c r="M48" i="28"/>
  <c r="CH46" i="28"/>
  <c r="D34" i="82" s="1"/>
  <c r="BN46" i="28"/>
  <c r="C37" i="28"/>
  <c r="AG46" i="28"/>
  <c r="AQ46" i="28"/>
  <c r="BA46" i="28"/>
  <c r="BZ46" i="28"/>
  <c r="CE46" i="28"/>
  <c r="J13" i="28"/>
  <c r="J36" i="28" s="1"/>
  <c r="T13" i="28"/>
  <c r="E17" i="28"/>
  <c r="E38" i="28" s="1"/>
  <c r="BD48" i="28"/>
  <c r="BP39" i="28"/>
  <c r="BZ39" i="28"/>
  <c r="CH39" i="28"/>
  <c r="CH37" i="28"/>
  <c r="D27" i="82" s="1"/>
  <c r="AR37" i="28"/>
  <c r="P13" i="28"/>
  <c r="CF17" i="28"/>
  <c r="CF38" i="28" s="1"/>
  <c r="AT46" i="28"/>
  <c r="AH17" i="28"/>
  <c r="AH21" i="28" s="1"/>
  <c r="AH25" i="28" s="1"/>
  <c r="AH42" i="28" s="1"/>
  <c r="CB48" i="28"/>
  <c r="AI37" i="28"/>
  <c r="BV114" i="37"/>
  <c r="AH106" i="37"/>
  <c r="AH58" i="37"/>
  <c r="BJ105" i="37"/>
  <c r="BF144" i="37"/>
  <c r="BF167" i="37" s="1"/>
  <c r="BF190" i="37" s="1"/>
  <c r="BJ138" i="37"/>
  <c r="BJ116" i="37"/>
  <c r="J129" i="37"/>
  <c r="J198" i="37" s="1"/>
  <c r="BB133" i="37"/>
  <c r="BB156" i="37" s="1"/>
  <c r="BB179" i="37" s="1"/>
  <c r="J111" i="37"/>
  <c r="BF142" i="37"/>
  <c r="BV128" i="37"/>
  <c r="BV197" i="37" s="1"/>
  <c r="BB106" i="37"/>
  <c r="AH129" i="37"/>
  <c r="AH152" i="37" s="1"/>
  <c r="AH175" i="37" s="1"/>
  <c r="Z142" i="37"/>
  <c r="Z165" i="37" s="1"/>
  <c r="Z188" i="37" s="1"/>
  <c r="BB152" i="37"/>
  <c r="BB175" i="37" s="1"/>
  <c r="BB137" i="37"/>
  <c r="AX119" i="37"/>
  <c r="BJ106" i="37"/>
  <c r="BJ198" i="37"/>
  <c r="BJ152" i="37"/>
  <c r="BJ175" i="37" s="1"/>
  <c r="J142" i="37"/>
  <c r="V69" i="37"/>
  <c r="J119" i="37"/>
  <c r="BN116" i="37"/>
  <c r="J63" i="37"/>
  <c r="V114" i="37"/>
  <c r="J110" i="37"/>
  <c r="V67" i="37"/>
  <c r="V116" i="37"/>
  <c r="AX132" i="37"/>
  <c r="AX155" i="37" s="1"/>
  <c r="AX178" i="37" s="1"/>
  <c r="BF134" i="37"/>
  <c r="J59" i="37"/>
  <c r="AX196" i="37"/>
  <c r="BJ132" i="37"/>
  <c r="BJ155" i="37" s="1"/>
  <c r="BJ178" i="37" s="1"/>
  <c r="BR157" i="37"/>
  <c r="BR180" i="37" s="1"/>
  <c r="AH114" i="37"/>
  <c r="AD63" i="37"/>
  <c r="N62" i="37"/>
  <c r="N132" i="37"/>
  <c r="N155" i="37" s="1"/>
  <c r="N178" i="37" s="1"/>
  <c r="V206" i="37"/>
  <c r="V160" i="37"/>
  <c r="V183" i="37" s="1"/>
  <c r="Z116" i="37"/>
  <c r="Z139" i="37"/>
  <c r="Z208" i="37" s="1"/>
  <c r="V162" i="37"/>
  <c r="V185" i="37" s="1"/>
  <c r="BB104" i="37"/>
  <c r="BR211" i="37"/>
  <c r="AL68" i="37"/>
  <c r="AH128" i="37"/>
  <c r="AH151" i="37" s="1"/>
  <c r="AH174" i="37" s="1"/>
  <c r="BV129" i="37"/>
  <c r="BV152" i="37" s="1"/>
  <c r="BV175" i="37" s="1"/>
  <c r="AP73" i="37"/>
  <c r="BF143" i="37"/>
  <c r="IA16" i="38"/>
  <c r="IA17" i="38" s="1"/>
  <c r="BJ114" i="37"/>
  <c r="AX73" i="37"/>
  <c r="BV160" i="37"/>
  <c r="BV183" i="37" s="1"/>
  <c r="HU11" i="38"/>
  <c r="EH81" i="37" s="1"/>
  <c r="Z119" i="37"/>
  <c r="Z138" i="37"/>
  <c r="DB28" i="38"/>
  <c r="AX143" i="37"/>
  <c r="AX212" i="37" s="1"/>
  <c r="BJ225" i="47"/>
  <c r="J121" i="37"/>
  <c r="F196" i="12"/>
  <c r="HW10" i="38"/>
  <c r="HW13" i="38" s="1"/>
  <c r="AL129" i="37"/>
  <c r="AL198" i="37" s="1"/>
  <c r="AX104" i="37"/>
  <c r="AL57" i="37"/>
  <c r="V144" i="37"/>
  <c r="V167" i="37" s="1"/>
  <c r="V190" i="37" s="1"/>
  <c r="Z68" i="37"/>
  <c r="HU10" i="38"/>
  <c r="EH80" i="37" s="1"/>
  <c r="J74" i="37"/>
  <c r="HW11" i="38"/>
  <c r="EK12" i="37" s="1"/>
  <c r="AL106" i="37"/>
  <c r="AP74" i="37"/>
  <c r="BR162" i="37"/>
  <c r="BR185" i="37" s="1"/>
  <c r="V74" i="37"/>
  <c r="L646" i="46"/>
  <c r="AI146" i="46"/>
  <c r="AB602" i="46"/>
  <c r="AK602" i="46" s="1"/>
  <c r="S760" i="46"/>
  <c r="AB766" i="46"/>
  <c r="AB812" i="46"/>
  <c r="AB758" i="46"/>
  <c r="AD765" i="46" s="1"/>
  <c r="D40" i="46"/>
  <c r="H40" i="46" s="1"/>
  <c r="D75" i="46"/>
  <c r="H75" i="46" s="1"/>
  <c r="L89" i="46"/>
  <c r="U89" i="46" s="1"/>
  <c r="D700" i="46"/>
  <c r="H700" i="46" s="1"/>
  <c r="AB91" i="46"/>
  <c r="AK91" i="46" s="1"/>
  <c r="AB394" i="46"/>
  <c r="D744" i="46"/>
  <c r="H744" i="46" s="1"/>
  <c r="D33" i="46"/>
  <c r="H33" i="46" s="1"/>
  <c r="D465" i="46"/>
  <c r="H465" i="46" s="1"/>
  <c r="AB671" i="46"/>
  <c r="D757" i="46"/>
  <c r="H757" i="46" s="1"/>
  <c r="D674" i="46"/>
  <c r="H674" i="46" s="1"/>
  <c r="AB36" i="46"/>
  <c r="AK26" i="46"/>
  <c r="AL167" i="47"/>
  <c r="BO167" i="47" s="1"/>
  <c r="BW167" i="47" s="1"/>
  <c r="AB416" i="46"/>
  <c r="D664" i="46"/>
  <c r="H664" i="46" s="1"/>
  <c r="AB699" i="46"/>
  <c r="AK699" i="46" s="1"/>
  <c r="AB118" i="46"/>
  <c r="AK118" i="46" s="1"/>
  <c r="L686" i="46"/>
  <c r="D415" i="46"/>
  <c r="H415" i="46" s="1"/>
  <c r="D471" i="46"/>
  <c r="H471" i="46" s="1"/>
  <c r="AB92" i="46"/>
  <c r="AK92" i="46" s="1"/>
  <c r="D474" i="46"/>
  <c r="H474" i="46" s="1"/>
  <c r="AB96" i="46"/>
  <c r="S140" i="12"/>
  <c r="AI140" i="12" s="1"/>
  <c r="AB233" i="46"/>
  <c r="S168" i="12"/>
  <c r="AI168" i="12" s="1"/>
  <c r="L459" i="46"/>
  <c r="AB472" i="46"/>
  <c r="AD472" i="46" s="1"/>
  <c r="L579" i="46"/>
  <c r="U579" i="46" s="1"/>
  <c r="L594" i="46"/>
  <c r="U594" i="46" s="1"/>
  <c r="AK812" i="46"/>
  <c r="AB247" i="46"/>
  <c r="D259" i="46"/>
  <c r="H259" i="46" s="1"/>
  <c r="AB544" i="46"/>
  <c r="AB593" i="46"/>
  <c r="AK593" i="46" s="1"/>
  <c r="AO168" i="47"/>
  <c r="AO182" i="47"/>
  <c r="L274" i="46"/>
  <c r="U274" i="46" s="1"/>
  <c r="D706" i="46"/>
  <c r="H706" i="46" s="1"/>
  <c r="AO138" i="47"/>
  <c r="D112" i="46"/>
  <c r="L118" i="46"/>
  <c r="U118" i="46" s="1"/>
  <c r="D472" i="46"/>
  <c r="H472" i="46" s="1"/>
  <c r="D134" i="46"/>
  <c r="H134" i="46" s="1"/>
  <c r="AI813" i="46"/>
  <c r="D436" i="46"/>
  <c r="H436" i="46" s="1"/>
  <c r="L26" i="46"/>
  <c r="D64" i="46"/>
  <c r="H64" i="46" s="1"/>
  <c r="D69" i="46"/>
  <c r="H69" i="46" s="1"/>
  <c r="AB140" i="46"/>
  <c r="AK140" i="46" s="1"/>
  <c r="D408" i="46"/>
  <c r="H408" i="46" s="1"/>
  <c r="AI657" i="46"/>
  <c r="AB267" i="46"/>
  <c r="D238" i="46"/>
  <c r="H238" i="46" s="1"/>
  <c r="D773" i="46"/>
  <c r="H773" i="46" s="1"/>
  <c r="D523" i="46"/>
  <c r="H523" i="46" s="1"/>
  <c r="AB574" i="46"/>
  <c r="AK574" i="46" s="1"/>
  <c r="S590" i="46"/>
  <c r="AB794" i="46"/>
  <c r="AD794" i="46" s="1"/>
  <c r="D602" i="46"/>
  <c r="H602" i="46" s="1"/>
  <c r="D780" i="46"/>
  <c r="H780" i="46" s="1"/>
  <c r="D302" i="46"/>
  <c r="AI667" i="46"/>
  <c r="AI75" i="46"/>
  <c r="L721" i="46"/>
  <c r="U721" i="46" s="1"/>
  <c r="AB40" i="46"/>
  <c r="AK40" i="46" s="1"/>
  <c r="AB480" i="46"/>
  <c r="AK480" i="46" s="1"/>
  <c r="AB344" i="46"/>
  <c r="D786" i="46"/>
  <c r="H786" i="46" s="1"/>
  <c r="D515" i="46"/>
  <c r="H515" i="46" s="1"/>
  <c r="AB29" i="46"/>
  <c r="AB182" i="46"/>
  <c r="AK182" i="46" s="1"/>
  <c r="AB54" i="46"/>
  <c r="AK54" i="46" s="1"/>
  <c r="D516" i="46"/>
  <c r="H516" i="46" s="1"/>
  <c r="AI521" i="46"/>
  <c r="AI581" i="46"/>
  <c r="AI589" i="46"/>
  <c r="AB681" i="46"/>
  <c r="AK681" i="46" s="1"/>
  <c r="D338" i="46"/>
  <c r="H338" i="46" s="1"/>
  <c r="D737" i="46"/>
  <c r="H737" i="46" s="1"/>
  <c r="D140" i="46"/>
  <c r="H140" i="46" s="1"/>
  <c r="L644" i="46"/>
  <c r="U644" i="46" s="1"/>
  <c r="D707" i="46"/>
  <c r="H707" i="46" s="1"/>
  <c r="L749" i="46"/>
  <c r="D751" i="46"/>
  <c r="H751" i="46" s="1"/>
  <c r="D233" i="46"/>
  <c r="H233" i="46" s="1"/>
  <c r="D49" i="46"/>
  <c r="H49" i="46" s="1"/>
  <c r="L567" i="46"/>
  <c r="L580" i="46"/>
  <c r="N580" i="46" s="1"/>
  <c r="D47" i="46"/>
  <c r="H47" i="46" s="1"/>
  <c r="AB395" i="46"/>
  <c r="L507" i="46"/>
  <c r="N507" i="46" s="1"/>
  <c r="L593" i="46"/>
  <c r="U593" i="46" s="1"/>
  <c r="D467" i="46"/>
  <c r="H467" i="46" s="1"/>
  <c r="D798" i="46"/>
  <c r="H798" i="46" s="1"/>
  <c r="D819" i="46"/>
  <c r="H819" i="46" s="1"/>
  <c r="D316" i="46"/>
  <c r="H316" i="46" s="1"/>
  <c r="AD393" i="46"/>
  <c r="S188" i="12"/>
  <c r="AI188" i="12" s="1"/>
  <c r="AB331" i="46"/>
  <c r="AK331" i="46" s="1"/>
  <c r="D133" i="46"/>
  <c r="H133" i="46" s="1"/>
  <c r="S475" i="46"/>
  <c r="F475" i="46" s="1"/>
  <c r="AB543" i="46"/>
  <c r="AK543" i="46" s="1"/>
  <c r="BO159" i="47"/>
  <c r="BW159" i="47" s="1"/>
  <c r="AB337" i="46"/>
  <c r="AK337" i="46" s="1"/>
  <c r="N736" i="46"/>
  <c r="AB621" i="46"/>
  <c r="AB442" i="46"/>
  <c r="U729" i="46"/>
  <c r="AI133" i="46"/>
  <c r="AI435" i="46"/>
  <c r="D125" i="46"/>
  <c r="H125" i="46" s="1"/>
  <c r="D230" i="46"/>
  <c r="H230" i="46" s="1"/>
  <c r="D226" i="46"/>
  <c r="H226" i="46" s="1"/>
  <c r="D89" i="46"/>
  <c r="AB90" i="46"/>
  <c r="D148" i="46"/>
  <c r="H148" i="46" s="1"/>
  <c r="S174" i="12"/>
  <c r="AI174" i="12" s="1"/>
  <c r="S180" i="12"/>
  <c r="AI180" i="12" s="1"/>
  <c r="AB289" i="46"/>
  <c r="S148" i="12"/>
  <c r="AI148" i="12" s="1"/>
  <c r="S166" i="12"/>
  <c r="AI166" i="12" s="1"/>
  <c r="D344" i="46"/>
  <c r="AB422" i="46"/>
  <c r="D435" i="46"/>
  <c r="H435" i="46" s="1"/>
  <c r="D434" i="46"/>
  <c r="H434" i="46" s="1"/>
  <c r="AB452" i="46"/>
  <c r="AK452" i="46" s="1"/>
  <c r="AB459" i="46"/>
  <c r="AK459" i="46" s="1"/>
  <c r="AB530" i="46"/>
  <c r="AD537" i="46" s="1"/>
  <c r="S546" i="46"/>
  <c r="D609" i="46"/>
  <c r="H609" i="46" s="1"/>
  <c r="AB674" i="46"/>
  <c r="L692" i="46"/>
  <c r="U692" i="46" s="1"/>
  <c r="D701" i="46"/>
  <c r="H701" i="46" s="1"/>
  <c r="D345" i="46"/>
  <c r="H345" i="46" s="1"/>
  <c r="D104" i="46"/>
  <c r="H104" i="46" s="1"/>
  <c r="S182" i="12"/>
  <c r="AI182" i="12" s="1"/>
  <c r="AB205" i="46"/>
  <c r="AB308" i="46"/>
  <c r="AK308" i="46" s="1"/>
  <c r="AK430" i="46"/>
  <c r="AB531" i="46"/>
  <c r="AK531" i="46" s="1"/>
  <c r="AB545" i="46"/>
  <c r="AD552" i="46" s="1"/>
  <c r="D457" i="46"/>
  <c r="H457" i="46" s="1"/>
  <c r="D521" i="46"/>
  <c r="H521" i="46" s="1"/>
  <c r="AI758" i="46"/>
  <c r="D745" i="46"/>
  <c r="H745" i="46" s="1"/>
  <c r="D588" i="46"/>
  <c r="H588" i="46" s="1"/>
  <c r="D685" i="46"/>
  <c r="H685" i="46" s="1"/>
  <c r="AB133" i="46"/>
  <c r="S183" i="12"/>
  <c r="AI183" i="12" s="1"/>
  <c r="L203" i="46"/>
  <c r="AB414" i="46"/>
  <c r="AB465" i="46"/>
  <c r="L502" i="46"/>
  <c r="D549" i="46"/>
  <c r="H549" i="46" s="1"/>
  <c r="D268" i="46"/>
  <c r="H268" i="46" s="1"/>
  <c r="AB806" i="46"/>
  <c r="D636" i="46"/>
  <c r="H636" i="46" s="1"/>
  <c r="D659" i="46"/>
  <c r="H659" i="46" s="1"/>
  <c r="S746" i="46"/>
  <c r="L791" i="46"/>
  <c r="U791" i="46" s="1"/>
  <c r="AI33" i="46"/>
  <c r="D70" i="46"/>
  <c r="H70" i="46" s="1"/>
  <c r="D735" i="46"/>
  <c r="H735" i="46" s="1"/>
  <c r="S128" i="46"/>
  <c r="S132" i="12"/>
  <c r="AI132" i="12" s="1"/>
  <c r="L460" i="46"/>
  <c r="U460" i="46" s="1"/>
  <c r="L503" i="46"/>
  <c r="L510" i="46"/>
  <c r="D680" i="46"/>
  <c r="H680" i="46" s="1"/>
  <c r="D708" i="46"/>
  <c r="H708" i="46" s="1"/>
  <c r="D110" i="46"/>
  <c r="H110" i="46" s="1"/>
  <c r="D183" i="46"/>
  <c r="H183" i="46" s="1"/>
  <c r="S431" i="46"/>
  <c r="F431" i="46" s="1"/>
  <c r="L566" i="46"/>
  <c r="N573" i="46" s="1"/>
  <c r="AI57" i="46"/>
  <c r="AI759" i="46"/>
  <c r="AB49" i="46"/>
  <c r="AK49" i="46" s="1"/>
  <c r="AB230" i="46"/>
  <c r="AK230" i="46" s="1"/>
  <c r="AB266" i="46"/>
  <c r="AK266" i="46" s="1"/>
  <c r="AB275" i="46"/>
  <c r="L296" i="46"/>
  <c r="U296" i="46" s="1"/>
  <c r="AB420" i="46"/>
  <c r="AB501" i="46"/>
  <c r="S532" i="46"/>
  <c r="AK552" i="46"/>
  <c r="AB617" i="46"/>
  <c r="L631" i="46"/>
  <c r="U631" i="46" s="1"/>
  <c r="AB657" i="46"/>
  <c r="AB784" i="46"/>
  <c r="AI454" i="46"/>
  <c r="AB146" i="46"/>
  <c r="S611" i="46"/>
  <c r="AI801" i="46"/>
  <c r="AB638" i="46"/>
  <c r="AB124" i="46"/>
  <c r="AD131" i="46" s="1"/>
  <c r="D168" i="46"/>
  <c r="H168" i="46" s="1"/>
  <c r="AB251" i="46"/>
  <c r="S162" i="12"/>
  <c r="AI162" i="12" s="1"/>
  <c r="D420" i="46"/>
  <c r="H420" i="46" s="1"/>
  <c r="L529" i="46"/>
  <c r="U529" i="46" s="1"/>
  <c r="D351" i="46"/>
  <c r="H351" i="46" s="1"/>
  <c r="D559" i="46"/>
  <c r="H559" i="46" s="1"/>
  <c r="H528" i="46"/>
  <c r="D765" i="46"/>
  <c r="H765" i="46" s="1"/>
  <c r="D742" i="46"/>
  <c r="H742" i="46" s="1"/>
  <c r="D78" i="46"/>
  <c r="H78" i="46" s="1"/>
  <c r="D350" i="46"/>
  <c r="H350" i="46" s="1"/>
  <c r="AI729" i="46"/>
  <c r="AK629" i="46"/>
  <c r="D118" i="46"/>
  <c r="H118" i="46" s="1"/>
  <c r="AI168" i="46"/>
  <c r="AB34" i="46"/>
  <c r="AI650" i="46"/>
  <c r="D35" i="46"/>
  <c r="H35" i="46" s="1"/>
  <c r="D147" i="46"/>
  <c r="H147" i="46" s="1"/>
  <c r="L218" i="46"/>
  <c r="U218" i="46" s="1"/>
  <c r="AB232" i="46"/>
  <c r="AD239" i="46" s="1"/>
  <c r="AB253" i="46"/>
  <c r="AK253" i="46" s="1"/>
  <c r="AB282" i="46"/>
  <c r="D294" i="46"/>
  <c r="AB408" i="46"/>
  <c r="AI431" i="46"/>
  <c r="L575" i="46"/>
  <c r="U575" i="46" s="1"/>
  <c r="AB601" i="46"/>
  <c r="AK601" i="46" s="1"/>
  <c r="U629" i="46"/>
  <c r="AI161" i="46"/>
  <c r="S173" i="12"/>
  <c r="AI173" i="12" s="1"/>
  <c r="AI750" i="46"/>
  <c r="D543" i="46"/>
  <c r="H543" i="46" s="1"/>
  <c r="D337" i="46"/>
  <c r="H337" i="46" s="1"/>
  <c r="D331" i="46"/>
  <c r="H331" i="46" s="1"/>
  <c r="S353" i="46"/>
  <c r="F353" i="46" s="1"/>
  <c r="AJ138" i="40" s="1"/>
  <c r="AB293" i="46"/>
  <c r="AB335" i="46"/>
  <c r="AK335" i="46" s="1"/>
  <c r="AB716" i="46"/>
  <c r="AB55" i="46"/>
  <c r="AK55" i="46" s="1"/>
  <c r="AI806" i="46"/>
  <c r="S146" i="12"/>
  <c r="AI146" i="12" s="1"/>
  <c r="AB500" i="46"/>
  <c r="AL180" i="47"/>
  <c r="BO180" i="47" s="1"/>
  <c r="BW180" i="47" s="1"/>
  <c r="D514" i="46"/>
  <c r="H514" i="46" s="1"/>
  <c r="AI148" i="46"/>
  <c r="AI330" i="46"/>
  <c r="D141" i="46"/>
  <c r="H141" i="46" s="1"/>
  <c r="AB83" i="46"/>
  <c r="AD90" i="46" s="1"/>
  <c r="D106" i="46"/>
  <c r="AB110" i="46"/>
  <c r="AB224" i="46"/>
  <c r="AK224" i="46" s="1"/>
  <c r="AB237" i="46"/>
  <c r="AB254" i="46"/>
  <c r="AD254" i="46" s="1"/>
  <c r="AB268" i="46"/>
  <c r="AB409" i="46"/>
  <c r="AD416" i="46" s="1"/>
  <c r="AB423" i="46"/>
  <c r="AD430" i="46" s="1"/>
  <c r="AB436" i="46"/>
  <c r="AK436" i="46" s="1"/>
  <c r="AB521" i="46"/>
  <c r="D558" i="46"/>
  <c r="H558" i="46" s="1"/>
  <c r="AI609" i="46"/>
  <c r="AI611" i="46" s="1"/>
  <c r="AI659" i="46"/>
  <c r="S131" i="12"/>
  <c r="AI131" i="12" s="1"/>
  <c r="AB720" i="46"/>
  <c r="AK720" i="46" s="1"/>
  <c r="L735" i="46"/>
  <c r="U735" i="46" s="1"/>
  <c r="D749" i="46"/>
  <c r="H749" i="46" s="1"/>
  <c r="D785" i="46"/>
  <c r="H785" i="46" s="1"/>
  <c r="D787" i="46"/>
  <c r="H787" i="46" s="1"/>
  <c r="D800" i="46"/>
  <c r="H800" i="46" s="1"/>
  <c r="D473" i="46"/>
  <c r="H473" i="46" s="1"/>
  <c r="D427" i="46"/>
  <c r="H427" i="46" s="1"/>
  <c r="AK766" i="46"/>
  <c r="AB309" i="46"/>
  <c r="AB322" i="46"/>
  <c r="AD392" i="46"/>
  <c r="L743" i="46"/>
  <c r="U743" i="46" s="1"/>
  <c r="AB317" i="46"/>
  <c r="L793" i="46"/>
  <c r="U793" i="46" s="1"/>
  <c r="D608" i="46"/>
  <c r="H608" i="46" s="1"/>
  <c r="S339" i="46"/>
  <c r="S170" i="46"/>
  <c r="F170" i="46" s="1"/>
  <c r="AJ90" i="40" s="1"/>
  <c r="AJ356" i="40" s="1"/>
  <c r="D752" i="46"/>
  <c r="H752" i="46" s="1"/>
  <c r="D766" i="46"/>
  <c r="H766" i="46" s="1"/>
  <c r="S454" i="46"/>
  <c r="AB632" i="46"/>
  <c r="D357" i="46"/>
  <c r="H357" i="46" s="1"/>
  <c r="L22" i="46"/>
  <c r="L28" i="46"/>
  <c r="U28" i="46" s="1"/>
  <c r="L210" i="46"/>
  <c r="U210" i="46" s="1"/>
  <c r="AB238" i="46"/>
  <c r="AK238" i="46" s="1"/>
  <c r="L267" i="46"/>
  <c r="D466" i="46"/>
  <c r="H466" i="46" s="1"/>
  <c r="D550" i="46"/>
  <c r="H550" i="46" s="1"/>
  <c r="D589" i="46"/>
  <c r="H589" i="46" s="1"/>
  <c r="D621" i="46"/>
  <c r="H621" i="46" s="1"/>
  <c r="AB296" i="46"/>
  <c r="AK296" i="46" s="1"/>
  <c r="AB302" i="46"/>
  <c r="AK302" i="46" s="1"/>
  <c r="AB402" i="46"/>
  <c r="AK402" i="46" s="1"/>
  <c r="AB365" i="46"/>
  <c r="AK365" i="46" s="1"/>
  <c r="AB154" i="46"/>
  <c r="D801" i="46"/>
  <c r="H801" i="46" s="1"/>
  <c r="D395" i="46"/>
  <c r="H395" i="46" s="1"/>
  <c r="AB314" i="46"/>
  <c r="AK314" i="46" s="1"/>
  <c r="AI339" i="46"/>
  <c r="L728" i="46"/>
  <c r="U728" i="46" s="1"/>
  <c r="U745" i="46"/>
  <c r="AB678" i="46"/>
  <c r="AK678" i="46" s="1"/>
  <c r="A207" i="45"/>
  <c r="A389" i="45" s="1"/>
  <c r="A201" i="45"/>
  <c r="A383" i="45" s="1"/>
  <c r="AT56" i="45"/>
  <c r="AU167" i="45"/>
  <c r="J28" i="38"/>
  <c r="AU164" i="45"/>
  <c r="B352" i="45"/>
  <c r="B534" i="45" s="1"/>
  <c r="AU26" i="45"/>
  <c r="AT121" i="45"/>
  <c r="AB32" i="9"/>
  <c r="AD32" i="9" s="1"/>
  <c r="B357" i="45"/>
  <c r="B539" i="45" s="1"/>
  <c r="D47" i="12"/>
  <c r="H47" i="12" s="1"/>
  <c r="AT149" i="45"/>
  <c r="Z53" i="9"/>
  <c r="AT59" i="45"/>
  <c r="S37" i="12"/>
  <c r="AT169" i="45"/>
  <c r="AB27" i="12"/>
  <c r="AB20" i="12"/>
  <c r="AU20" i="45"/>
  <c r="AU144" i="45"/>
  <c r="B220" i="45"/>
  <c r="B402" i="45" s="1"/>
  <c r="AU148" i="45"/>
  <c r="B334" i="45"/>
  <c r="B516" i="45" s="1"/>
  <c r="A14" i="45"/>
  <c r="AT14" i="45" s="1"/>
  <c r="AU146" i="45"/>
  <c r="AU78" i="45"/>
  <c r="AT144" i="45"/>
  <c r="L33" i="12"/>
  <c r="U33" i="12" s="1"/>
  <c r="D62" i="12"/>
  <c r="H62" i="12" s="1"/>
  <c r="D98" i="12"/>
  <c r="CT23" i="38" s="1"/>
  <c r="L27" i="12"/>
  <c r="AT101" i="45"/>
  <c r="AB190" i="12"/>
  <c r="AU42" i="45"/>
  <c r="AB174" i="9"/>
  <c r="A255" i="45"/>
  <c r="A437" i="45" s="1"/>
  <c r="D41" i="12"/>
  <c r="A340" i="45"/>
  <c r="A522" i="45" s="1"/>
  <c r="B267" i="45"/>
  <c r="B449" i="45" s="1"/>
  <c r="AU89" i="45"/>
  <c r="A285" i="45"/>
  <c r="A467" i="45" s="1"/>
  <c r="AB81" i="9"/>
  <c r="AB56" i="9"/>
  <c r="AD56" i="9" s="1"/>
  <c r="A231" i="45"/>
  <c r="A413" i="45" s="1"/>
  <c r="AT163" i="45"/>
  <c r="T80" i="28"/>
  <c r="A217" i="45"/>
  <c r="A399" i="45" s="1"/>
  <c r="AI47" i="12"/>
  <c r="AT43" i="45"/>
  <c r="AB162" i="12"/>
  <c r="B300" i="45"/>
  <c r="B482" i="45" s="1"/>
  <c r="AB105" i="12"/>
  <c r="S80" i="28"/>
  <c r="AU138" i="45"/>
  <c r="B294" i="45"/>
  <c r="B476" i="45" s="1"/>
  <c r="AT137" i="45"/>
  <c r="AU142" i="45"/>
  <c r="AU41" i="45"/>
  <c r="H21" i="12"/>
  <c r="AT174" i="45"/>
  <c r="A247" i="45"/>
  <c r="A429" i="45" s="1"/>
  <c r="A298" i="45"/>
  <c r="A480" i="45" s="1"/>
  <c r="AT48" i="45"/>
  <c r="A277" i="45"/>
  <c r="A459" i="45" s="1"/>
  <c r="AT156" i="45"/>
  <c r="AT119" i="45"/>
  <c r="L14" i="12"/>
  <c r="AL8" i="40"/>
  <c r="IB16" i="38"/>
  <c r="GS18" i="38"/>
  <c r="IB15" i="38"/>
  <c r="IB17" i="38"/>
  <c r="AI50" i="46"/>
  <c r="AK50" i="46" s="1"/>
  <c r="D218" i="46"/>
  <c r="H218" i="46" s="1"/>
  <c r="AI218" i="46"/>
  <c r="P235" i="40"/>
  <c r="P320" i="40"/>
  <c r="AI180" i="46"/>
  <c r="AI184" i="46" s="1"/>
  <c r="D180" i="46"/>
  <c r="H180" i="46" s="1"/>
  <c r="D91" i="46"/>
  <c r="H91" i="46" s="1"/>
  <c r="D132" i="46"/>
  <c r="H132" i="46" s="1"/>
  <c r="D57" i="46"/>
  <c r="H57" i="46" s="1"/>
  <c r="Q64" i="40"/>
  <c r="AI686" i="46"/>
  <c r="D686" i="46"/>
  <c r="H686" i="46" s="1"/>
  <c r="D481" i="46"/>
  <c r="H481" i="46" s="1"/>
  <c r="AI481" i="46"/>
  <c r="IC15" i="38"/>
  <c r="IC16" i="38"/>
  <c r="GY18" i="38"/>
  <c r="Q37" i="89"/>
  <c r="Q44" i="89"/>
  <c r="L22" i="89"/>
  <c r="D694" i="46"/>
  <c r="H694" i="46" s="1"/>
  <c r="AI687" i="46"/>
  <c r="AI815" i="46"/>
  <c r="AO146" i="47"/>
  <c r="Q38" i="89"/>
  <c r="BO174" i="47"/>
  <c r="BW174" i="47" s="1"/>
  <c r="BN174" i="47" s="1"/>
  <c r="S181" i="12"/>
  <c r="D777" i="46"/>
  <c r="H777" i="46" s="1"/>
  <c r="D687" i="46"/>
  <c r="H687" i="46" s="1"/>
  <c r="AK422" i="46"/>
  <c r="D580" i="46"/>
  <c r="H580" i="46" s="1"/>
  <c r="D593" i="46"/>
  <c r="H593" i="46" s="1"/>
  <c r="D586" i="46"/>
  <c r="H586" i="46" s="1"/>
  <c r="AI586" i="46"/>
  <c r="AI794" i="46"/>
  <c r="D794" i="46"/>
  <c r="H794" i="46" s="1"/>
  <c r="EA90" i="47"/>
  <c r="DZ90" i="47"/>
  <c r="EA150" i="47"/>
  <c r="DZ150" i="47"/>
  <c r="AO175" i="47"/>
  <c r="L16" i="89"/>
  <c r="L23" i="89"/>
  <c r="AL15" i="89"/>
  <c r="L25" i="89"/>
  <c r="S235" i="40"/>
  <c r="AI153" i="46"/>
  <c r="D153" i="46"/>
  <c r="H153" i="46" s="1"/>
  <c r="D99" i="46"/>
  <c r="H99" i="46" s="1"/>
  <c r="AK351" i="46"/>
  <c r="S149" i="46"/>
  <c r="F149" i="46" s="1"/>
  <c r="AG90" i="40" s="1"/>
  <c r="AG356" i="40" s="1"/>
  <c r="AI644" i="46"/>
  <c r="D651" i="46"/>
  <c r="H651" i="46" s="1"/>
  <c r="D738" i="46"/>
  <c r="H738" i="46" s="1"/>
  <c r="AI731" i="46"/>
  <c r="Q11" i="40"/>
  <c r="Q65" i="40"/>
  <c r="Q317" i="40" s="1"/>
  <c r="D175" i="46"/>
  <c r="H175" i="46" s="1"/>
  <c r="AI175" i="46"/>
  <c r="AI177" i="46" s="1"/>
  <c r="S177" i="46"/>
  <c r="F177" i="46" s="1"/>
  <c r="D478" i="46"/>
  <c r="H478" i="46" s="1"/>
  <c r="S482" i="46"/>
  <c r="D535" i="46"/>
  <c r="H535" i="46" s="1"/>
  <c r="AI535" i="46"/>
  <c r="AI579" i="46"/>
  <c r="D579" i="46"/>
  <c r="H579" i="46" s="1"/>
  <c r="D713" i="46"/>
  <c r="H713" i="46" s="1"/>
  <c r="AI763" i="46"/>
  <c r="S767" i="46"/>
  <c r="P105" i="20"/>
  <c r="Z318" i="40"/>
  <c r="Q32" i="89"/>
  <c r="T32" i="89"/>
  <c r="Q39" i="89"/>
  <c r="R11" i="40"/>
  <c r="R64" i="40"/>
  <c r="P114" i="40"/>
  <c r="O114" i="40"/>
  <c r="O318" i="40"/>
  <c r="O334" i="40" s="1"/>
  <c r="D365" i="46"/>
  <c r="H365" i="46" s="1"/>
  <c r="D358" i="46"/>
  <c r="H358" i="46" s="1"/>
  <c r="AI358" i="46"/>
  <c r="D480" i="46"/>
  <c r="H480" i="46" s="1"/>
  <c r="GY13" i="38"/>
  <c r="S203" i="12"/>
  <c r="AI203" i="12" s="1"/>
  <c r="IC11" i="38"/>
  <c r="IC12" i="38" s="1"/>
  <c r="AJ318" i="40"/>
  <c r="AJ8" i="40"/>
  <c r="AJ9" i="40" s="1"/>
  <c r="AI461" i="46"/>
  <c r="D658" i="46"/>
  <c r="H658" i="46" s="1"/>
  <c r="D309" i="46"/>
  <c r="H309" i="46" s="1"/>
  <c r="S424" i="46"/>
  <c r="D428" i="46"/>
  <c r="H428" i="46" s="1"/>
  <c r="AI421" i="46"/>
  <c r="S461" i="46"/>
  <c r="D458" i="46"/>
  <c r="H458" i="46" s="1"/>
  <c r="AI537" i="46"/>
  <c r="AK537" i="46" s="1"/>
  <c r="D537" i="46"/>
  <c r="H537" i="46" s="1"/>
  <c r="D587" i="46"/>
  <c r="H587" i="46" s="1"/>
  <c r="D594" i="46"/>
  <c r="H594" i="46" s="1"/>
  <c r="D600" i="46"/>
  <c r="H600" i="46" s="1"/>
  <c r="D607" i="46"/>
  <c r="H607" i="46" s="1"/>
  <c r="AI600" i="46"/>
  <c r="DY145" i="47"/>
  <c r="D343" i="46"/>
  <c r="H343" i="46" s="1"/>
  <c r="IA12" i="38"/>
  <c r="IA13" i="38" s="1"/>
  <c r="S176" i="12"/>
  <c r="D162" i="46"/>
  <c r="H162" i="46" s="1"/>
  <c r="D155" i="46"/>
  <c r="H155" i="46" s="1"/>
  <c r="D665" i="46"/>
  <c r="H665" i="46" s="1"/>
  <c r="AI275" i="46"/>
  <c r="S220" i="46"/>
  <c r="D763" i="46"/>
  <c r="H763" i="46" s="1"/>
  <c r="D321" i="46"/>
  <c r="H321" i="46" s="1"/>
  <c r="D253" i="46"/>
  <c r="H253" i="46" s="1"/>
  <c r="GS23" i="38"/>
  <c r="IB21" i="38"/>
  <c r="IB22" i="38" s="1"/>
  <c r="D113" i="46"/>
  <c r="AI113" i="46"/>
  <c r="AI216" i="46"/>
  <c r="D216" i="46"/>
  <c r="H216" i="46" s="1"/>
  <c r="AI234" i="46"/>
  <c r="AI395" i="46"/>
  <c r="AK395" i="46" s="1"/>
  <c r="D402" i="46"/>
  <c r="H402" i="46" s="1"/>
  <c r="D422" i="46"/>
  <c r="H422" i="46" s="1"/>
  <c r="D429" i="46"/>
  <c r="H429" i="46" s="1"/>
  <c r="AI464" i="46"/>
  <c r="AI468" i="46" s="1"/>
  <c r="S468" i="46"/>
  <c r="D464" i="46"/>
  <c r="H464" i="46" s="1"/>
  <c r="AI159" i="46"/>
  <c r="D166" i="46"/>
  <c r="H166" i="46" s="1"/>
  <c r="AI225" i="46"/>
  <c r="AI227" i="46" s="1"/>
  <c r="D225" i="46"/>
  <c r="H225" i="46" s="1"/>
  <c r="AI309" i="46"/>
  <c r="T25" i="89"/>
  <c r="Q25" i="89"/>
  <c r="AI132" i="46"/>
  <c r="D671" i="46"/>
  <c r="H671" i="46" s="1"/>
  <c r="AI671" i="46"/>
  <c r="D182" i="46"/>
  <c r="H182" i="46" s="1"/>
  <c r="D246" i="46"/>
  <c r="H246" i="46" s="1"/>
  <c r="S163" i="46"/>
  <c r="F163" i="46" s="1"/>
  <c r="AI90" i="40" s="1"/>
  <c r="AI356" i="40" s="1"/>
  <c r="D770" i="46"/>
  <c r="H770" i="46" s="1"/>
  <c r="AI749" i="46"/>
  <c r="AK749" i="46" s="1"/>
  <c r="S169" i="12"/>
  <c r="AI169" i="12" s="1"/>
  <c r="IB11" i="38"/>
  <c r="IB10" i="38"/>
  <c r="AI83" i="46"/>
  <c r="D83" i="46"/>
  <c r="H83" i="46" s="1"/>
  <c r="S135" i="46"/>
  <c r="D176" i="46"/>
  <c r="H176" i="46" s="1"/>
  <c r="D169" i="46"/>
  <c r="H169" i="46" s="1"/>
  <c r="AI169" i="46"/>
  <c r="D217" i="46"/>
  <c r="H217" i="46" s="1"/>
  <c r="AI217" i="46"/>
  <c r="D231" i="46"/>
  <c r="H231" i="46" s="1"/>
  <c r="D224" i="46"/>
  <c r="H224" i="46" s="1"/>
  <c r="S227" i="46"/>
  <c r="AI245" i="46"/>
  <c r="D252" i="46"/>
  <c r="H252" i="46" s="1"/>
  <c r="D245" i="46"/>
  <c r="H245" i="46" s="1"/>
  <c r="D281" i="46"/>
  <c r="H281" i="46" s="1"/>
  <c r="AI287" i="46"/>
  <c r="D315" i="46"/>
  <c r="H315" i="46" s="1"/>
  <c r="D308" i="46"/>
  <c r="H308" i="46" s="1"/>
  <c r="S346" i="46"/>
  <c r="F346" i="46" s="1"/>
  <c r="AI138" i="40" s="1"/>
  <c r="AI357" i="40" s="1"/>
  <c r="AI342" i="46"/>
  <c r="D342" i="46"/>
  <c r="H342" i="46" s="1"/>
  <c r="AI352" i="46"/>
  <c r="AI353" i="46" s="1"/>
  <c r="D352" i="46"/>
  <c r="H352" i="46" s="1"/>
  <c r="AI387" i="46"/>
  <c r="D423" i="46"/>
  <c r="H423" i="46" s="1"/>
  <c r="AI423" i="46"/>
  <c r="D430" i="46"/>
  <c r="H430" i="46" s="1"/>
  <c r="D282" i="46"/>
  <c r="H282" i="46" s="1"/>
  <c r="AI388" i="46"/>
  <c r="U749" i="46"/>
  <c r="AH33" i="89"/>
  <c r="D582" i="46"/>
  <c r="H582" i="46" s="1"/>
  <c r="AI258" i="46"/>
  <c r="AI282" i="46"/>
  <c r="D105" i="46"/>
  <c r="D657" i="46"/>
  <c r="H657" i="46" s="1"/>
  <c r="S167" i="12"/>
  <c r="Q114" i="40"/>
  <c r="Q335" i="40"/>
  <c r="U686" i="46"/>
  <c r="EA124" i="47"/>
  <c r="AH64" i="40"/>
  <c r="AI742" i="46"/>
  <c r="AI746" i="46" s="1"/>
  <c r="AI344" i="46"/>
  <c r="D678" i="46"/>
  <c r="H678" i="46" s="1"/>
  <c r="AI105" i="46"/>
  <c r="AL138" i="47"/>
  <c r="AL140" i="47" s="1"/>
  <c r="AK765" i="46"/>
  <c r="D784" i="46"/>
  <c r="H784" i="46" s="1"/>
  <c r="D805" i="46"/>
  <c r="H805" i="46" s="1"/>
  <c r="O225" i="40"/>
  <c r="O343" i="40" s="1"/>
  <c r="Y272" i="40"/>
  <c r="Y344" i="40" s="1"/>
  <c r="S583" i="46"/>
  <c r="D167" i="46"/>
  <c r="H167" i="46" s="1"/>
  <c r="D614" i="46"/>
  <c r="H614" i="46" s="1"/>
  <c r="AL147" i="47"/>
  <c r="D160" i="46"/>
  <c r="H160" i="46" s="1"/>
  <c r="D601" i="46"/>
  <c r="H601" i="46" s="1"/>
  <c r="P149" i="40"/>
  <c r="P342" i="40" s="1"/>
  <c r="AI582" i="46"/>
  <c r="D666" i="46"/>
  <c r="H666" i="46" s="1"/>
  <c r="DY97" i="47"/>
  <c r="EA101" i="47"/>
  <c r="DZ102" i="47"/>
  <c r="DY171" i="47"/>
  <c r="Q18" i="89"/>
  <c r="BS36" i="28"/>
  <c r="AD36" i="28"/>
  <c r="T17" i="28"/>
  <c r="T36" i="28"/>
  <c r="F204" i="12"/>
  <c r="CM47" i="28"/>
  <c r="C35" i="82" s="1"/>
  <c r="BJ233" i="47"/>
  <c r="CY24" i="29"/>
  <c r="CY84" i="29"/>
  <c r="CY34" i="29"/>
  <c r="HU15" i="38"/>
  <c r="EH85" i="37" s="1"/>
  <c r="HU16" i="38"/>
  <c r="HU17" i="38"/>
  <c r="EX18" i="38"/>
  <c r="HU22" i="38"/>
  <c r="HU20" i="38"/>
  <c r="HU21" i="38"/>
  <c r="D119" i="12"/>
  <c r="AI119" i="12"/>
  <c r="EA94" i="47"/>
  <c r="DY94" i="47"/>
  <c r="O36" i="28"/>
  <c r="O17" i="28"/>
  <c r="F203" i="12"/>
  <c r="CL47" i="28"/>
  <c r="BJ232" i="47"/>
  <c r="DZ153" i="47"/>
  <c r="EA153" i="47"/>
  <c r="DY153" i="47"/>
  <c r="BS38" i="28"/>
  <c r="BS21" i="28"/>
  <c r="BS32" i="28"/>
  <c r="BS43" i="28" s="1"/>
  <c r="N98" i="85"/>
  <c r="N140" i="85"/>
  <c r="V41" i="20"/>
  <c r="DM8" i="28"/>
  <c r="V28" i="20"/>
  <c r="DM16" i="28" s="1"/>
  <c r="M143" i="20"/>
  <c r="M24" i="20"/>
  <c r="M41" i="20"/>
  <c r="M12" i="20"/>
  <c r="AI27" i="12"/>
  <c r="D34" i="12"/>
  <c r="L38" i="85"/>
  <c r="L120" i="85" s="1"/>
  <c r="AI360" i="40"/>
  <c r="L90" i="9"/>
  <c r="L83" i="9"/>
  <c r="DY108" i="47"/>
  <c r="AM17" i="28"/>
  <c r="AM36" i="28"/>
  <c r="K17" i="20"/>
  <c r="K143" i="20"/>
  <c r="K12" i="20"/>
  <c r="K26" i="20"/>
  <c r="K14" i="20"/>
  <c r="E16" i="85"/>
  <c r="E56" i="85" s="1"/>
  <c r="DI19" i="28"/>
  <c r="R13" i="82" s="1"/>
  <c r="Z13" i="82" s="1"/>
  <c r="N99" i="85"/>
  <c r="N57" i="85"/>
  <c r="CY47" i="28"/>
  <c r="R360" i="40"/>
  <c r="CJ40" i="34"/>
  <c r="CJ16" i="34"/>
  <c r="R41" i="20"/>
  <c r="DZ144" i="47"/>
  <c r="EA144" i="47"/>
  <c r="DY216" i="47"/>
  <c r="DY223" i="47"/>
  <c r="BU39" i="28"/>
  <c r="HQ27" i="38"/>
  <c r="HQ25" i="38"/>
  <c r="Y11" i="20"/>
  <c r="AY77" i="17" s="1"/>
  <c r="B210" i="9"/>
  <c r="B140" i="9"/>
  <c r="B112" i="9"/>
  <c r="B28" i="9"/>
  <c r="B35" i="9"/>
  <c r="B91" i="9"/>
  <c r="L18" i="9"/>
  <c r="L25" i="9"/>
  <c r="T105" i="9"/>
  <c r="F113" i="9"/>
  <c r="B196" i="9"/>
  <c r="BB17" i="28"/>
  <c r="BB21" i="28" s="1"/>
  <c r="AC37" i="28"/>
  <c r="E84" i="17"/>
  <c r="G20" i="20"/>
  <c r="AA84" i="17"/>
  <c r="DX220" i="47"/>
  <c r="EA205" i="47"/>
  <c r="Q14" i="20"/>
  <c r="DI10" i="28"/>
  <c r="R6" i="82" s="1"/>
  <c r="Z6" i="82" s="1"/>
  <c r="R37" i="20"/>
  <c r="Q84" i="17"/>
  <c r="Q85" i="17"/>
  <c r="CC46" i="28"/>
  <c r="AV46" i="28"/>
  <c r="AJ18" i="34"/>
  <c r="D9" i="82"/>
  <c r="F36" i="82" s="1"/>
  <c r="CH48" i="28"/>
  <c r="D36" i="82" s="1"/>
  <c r="CZ25" i="34"/>
  <c r="CZ19" i="34"/>
  <c r="CZ43" i="34"/>
  <c r="CZ37" i="34"/>
  <c r="AF25" i="34"/>
  <c r="CJ28" i="34"/>
  <c r="S4" i="82"/>
  <c r="AA4" i="82" s="1"/>
  <c r="DZ209" i="47"/>
  <c r="DY209" i="47"/>
  <c r="DX206" i="47"/>
  <c r="DY204" i="47"/>
  <c r="AI28" i="12"/>
  <c r="D28" i="12"/>
  <c r="R23" i="38" s="1"/>
  <c r="D35" i="12"/>
  <c r="B181" i="9"/>
  <c r="B83" i="9"/>
  <c r="B69" i="9"/>
  <c r="B97" i="9"/>
  <c r="B167" i="9"/>
  <c r="B104" i="9"/>
  <c r="B160" i="9"/>
  <c r="B27" i="9"/>
  <c r="B132" i="9"/>
  <c r="B41" i="9"/>
  <c r="B195" i="9"/>
  <c r="F50" i="9"/>
  <c r="K24" i="20"/>
  <c r="B188" i="9"/>
  <c r="M37" i="28"/>
  <c r="M46" i="28"/>
  <c r="BX37" i="28"/>
  <c r="HS11" i="38"/>
  <c r="HS12" i="38"/>
  <c r="CF28" i="34"/>
  <c r="CF22" i="34"/>
  <c r="CF16" i="34"/>
  <c r="CZ10" i="28"/>
  <c r="CZ13" i="28" s="1"/>
  <c r="I15" i="20"/>
  <c r="I41" i="20"/>
  <c r="CZ19" i="28"/>
  <c r="AB360" i="40"/>
  <c r="R9" i="20"/>
  <c r="F127" i="9"/>
  <c r="AW17" i="28"/>
  <c r="AC48" i="28"/>
  <c r="J48" i="28"/>
  <c r="CH13" i="28"/>
  <c r="DZ124" i="47"/>
  <c r="G8" i="20"/>
  <c r="O20" i="20"/>
  <c r="U32" i="20"/>
  <c r="DL11" i="28"/>
  <c r="K20" i="20"/>
  <c r="DB14" i="28"/>
  <c r="DB48" i="28" s="1"/>
  <c r="BX36" i="28"/>
  <c r="R46" i="28"/>
  <c r="DL15" i="29"/>
  <c r="DL16" i="29" s="1"/>
  <c r="CJ47" i="28"/>
  <c r="BJ230" i="47"/>
  <c r="R62" i="9"/>
  <c r="HS10" i="38"/>
  <c r="M44" i="20"/>
  <c r="AF19" i="34"/>
  <c r="B76" i="9"/>
  <c r="B48" i="9"/>
  <c r="B62" i="9"/>
  <c r="N38" i="85"/>
  <c r="AK360" i="40"/>
  <c r="HR15" i="38"/>
  <c r="P43" i="34"/>
  <c r="P25" i="34"/>
  <c r="B90" i="9"/>
  <c r="F13" i="28"/>
  <c r="F36" i="28" s="1"/>
  <c r="K46" i="28"/>
  <c r="BD13" i="28"/>
  <c r="BD17" i="28" s="1"/>
  <c r="BI46" i="28"/>
  <c r="BJ224" i="47"/>
  <c r="F195" i="12"/>
  <c r="B31" i="34"/>
  <c r="B19" i="34"/>
  <c r="B49" i="34"/>
  <c r="B25" i="34"/>
  <c r="B37" i="34"/>
  <c r="AN35" i="34"/>
  <c r="AN41" i="34"/>
  <c r="AN29" i="34"/>
  <c r="A75" i="9"/>
  <c r="A47" i="9"/>
  <c r="A110" i="9" s="1"/>
  <c r="A33" i="9"/>
  <c r="A40" i="9"/>
  <c r="L54" i="9"/>
  <c r="BX49" i="28"/>
  <c r="CK17" i="28"/>
  <c r="CK32" i="28" s="1"/>
  <c r="I12" i="20"/>
  <c r="G143" i="20"/>
  <c r="G26" i="20"/>
  <c r="G32" i="20"/>
  <c r="B32" i="20"/>
  <c r="B24" i="20"/>
  <c r="AL46" i="28"/>
  <c r="A68" i="9"/>
  <c r="B139" i="9"/>
  <c r="AM126" i="9"/>
  <c r="T46" i="9"/>
  <c r="HR17" i="38"/>
  <c r="A54" i="9"/>
  <c r="B118" i="9"/>
  <c r="D38" i="85"/>
  <c r="D120" i="85" s="1"/>
  <c r="BU46" i="28"/>
  <c r="BN13" i="28"/>
  <c r="DX154" i="47"/>
  <c r="X41" i="34"/>
  <c r="X17" i="34"/>
  <c r="X23" i="34"/>
  <c r="X29" i="34"/>
  <c r="DI16" i="28"/>
  <c r="R29" i="20"/>
  <c r="L26" i="85"/>
  <c r="DP28" i="28"/>
  <c r="R14" i="40"/>
  <c r="S14" i="40"/>
  <c r="F202" i="12"/>
  <c r="CK47" i="28"/>
  <c r="B111" i="9"/>
  <c r="DO23" i="28"/>
  <c r="K20" i="85"/>
  <c r="K60" i="85" s="1"/>
  <c r="Q9" i="82"/>
  <c r="Y9" i="82" s="1"/>
  <c r="BW48" i="28"/>
  <c r="BR37" i="28"/>
  <c r="Q27" i="82" s="1"/>
  <c r="Y27" i="82" s="1"/>
  <c r="HQ21" i="38"/>
  <c r="DR23" i="38"/>
  <c r="HQ20" i="38"/>
  <c r="HQ22" i="38"/>
  <c r="BP30" i="34"/>
  <c r="BP18" i="34"/>
  <c r="C44" i="20"/>
  <c r="S48" i="28"/>
  <c r="BN39" i="28"/>
  <c r="K37" i="20"/>
  <c r="K144" i="20" s="1"/>
  <c r="Y85" i="17"/>
  <c r="Y84" i="17"/>
  <c r="O24" i="20"/>
  <c r="AE76" i="17"/>
  <c r="AE81" i="17" s="1"/>
  <c r="Q17" i="20"/>
  <c r="Q32" i="20"/>
  <c r="AI76" i="17"/>
  <c r="DY212" i="47"/>
  <c r="DZ205" i="47"/>
  <c r="P37" i="34"/>
  <c r="A61" i="9"/>
  <c r="B153" i="9"/>
  <c r="DR47" i="28"/>
  <c r="B20" i="9"/>
  <c r="HQ26" i="38"/>
  <c r="G66" i="85"/>
  <c r="G108" i="85" s="1"/>
  <c r="B70" i="9"/>
  <c r="B125" i="9"/>
  <c r="I37" i="28"/>
  <c r="I46" i="28"/>
  <c r="I13" i="28"/>
  <c r="I17" i="28" s="1"/>
  <c r="AR46" i="28"/>
  <c r="AM46" i="28"/>
  <c r="AM37" i="28"/>
  <c r="BA37" i="28"/>
  <c r="EP13" i="38"/>
  <c r="D26" i="12"/>
  <c r="D43" i="12"/>
  <c r="AH28" i="38" s="1"/>
  <c r="AI36" i="12"/>
  <c r="CN24" i="34"/>
  <c r="CN18" i="34"/>
  <c r="AV19" i="34"/>
  <c r="AV43" i="34"/>
  <c r="AV31" i="34"/>
  <c r="AM76" i="17"/>
  <c r="T8" i="20"/>
  <c r="S143" i="20"/>
  <c r="F6" i="85"/>
  <c r="F89" i="85" s="1"/>
  <c r="CF25" i="34"/>
  <c r="CF37" i="34"/>
  <c r="CF31" i="34"/>
  <c r="DO19" i="28"/>
  <c r="K16" i="85"/>
  <c r="K140" i="85" s="1"/>
  <c r="DR19" i="28"/>
  <c r="AJ40" i="20"/>
  <c r="R48" i="9"/>
  <c r="R84" i="9"/>
  <c r="U14" i="12"/>
  <c r="EA89" i="47"/>
  <c r="EA103" i="47"/>
  <c r="F44" i="20"/>
  <c r="L19" i="9"/>
  <c r="L188" i="9"/>
  <c r="S20" i="20"/>
  <c r="EA110" i="47"/>
  <c r="L41" i="9"/>
  <c r="L69" i="9"/>
  <c r="DH16" i="29"/>
  <c r="S35" i="20"/>
  <c r="R90" i="9"/>
  <c r="N13" i="28"/>
  <c r="CY48" i="28"/>
  <c r="J15" i="20"/>
  <c r="T21" i="9"/>
  <c r="L48" i="9"/>
  <c r="L138" i="9"/>
  <c r="L182" i="9"/>
  <c r="B20" i="20"/>
  <c r="AM188" i="9"/>
  <c r="DY101" i="47"/>
  <c r="L28" i="9"/>
  <c r="E41" i="20"/>
  <c r="I44" i="20"/>
  <c r="T61" i="9"/>
  <c r="T75" i="9"/>
  <c r="T117" i="9"/>
  <c r="J94" i="85"/>
  <c r="J52" i="85"/>
  <c r="J136" i="85"/>
  <c r="AK85" i="17"/>
  <c r="AK84" i="17"/>
  <c r="E66" i="85"/>
  <c r="E108" i="85" s="1"/>
  <c r="E150" i="85"/>
  <c r="AI70" i="17"/>
  <c r="AE78" i="17"/>
  <c r="L8" i="20"/>
  <c r="E12" i="85"/>
  <c r="DD20" i="28"/>
  <c r="C66" i="85"/>
  <c r="C108" i="85" s="1"/>
  <c r="G47" i="85"/>
  <c r="AB56" i="22"/>
  <c r="AB59" i="22" s="1"/>
  <c r="U17" i="20"/>
  <c r="AK70" i="17"/>
  <c r="V15" i="20"/>
  <c r="V22" i="20"/>
  <c r="B14" i="20"/>
  <c r="L32" i="20"/>
  <c r="R20" i="20"/>
  <c r="M37" i="20"/>
  <c r="M144" i="20" s="1"/>
  <c r="AL9" i="22"/>
  <c r="AL69" i="22" s="1"/>
  <c r="AL67" i="22" s="1"/>
  <c r="AL68" i="22" s="1"/>
  <c r="H13" i="85"/>
  <c r="H137" i="85" s="1"/>
  <c r="L57" i="85"/>
  <c r="F12" i="85"/>
  <c r="F52" i="85" s="1"/>
  <c r="G89" i="85"/>
  <c r="N56" i="85"/>
  <c r="AK76" i="17"/>
  <c r="F20" i="85"/>
  <c r="F102" i="85" s="1"/>
  <c r="C137" i="85"/>
  <c r="AV57" i="40"/>
  <c r="V108" i="20"/>
  <c r="V119" i="20" s="1"/>
  <c r="AB43" i="40"/>
  <c r="V8" i="20"/>
  <c r="I6" i="85"/>
  <c r="I131" i="85" s="1"/>
  <c r="B41" i="20"/>
  <c r="B44" i="20"/>
  <c r="L41" i="20"/>
  <c r="DI14" i="28"/>
  <c r="M22" i="20"/>
  <c r="U11" i="20"/>
  <c r="AQ77" i="17" s="1"/>
  <c r="Q20" i="20"/>
  <c r="DJ14" i="28"/>
  <c r="DJ37" i="28" s="1"/>
  <c r="S27" i="82" s="1"/>
  <c r="AA27" i="82" s="1"/>
  <c r="AT57" i="40"/>
  <c r="R77" i="20"/>
  <c r="R78" i="20" s="1"/>
  <c r="DB8" i="28"/>
  <c r="DB13" i="28" s="1"/>
  <c r="K32" i="20"/>
  <c r="V35" i="20"/>
  <c r="V32" i="20"/>
  <c r="B26" i="20"/>
  <c r="L44" i="20"/>
  <c r="M14" i="20"/>
  <c r="M20" i="20"/>
  <c r="R8" i="20"/>
  <c r="D6" i="85"/>
  <c r="AM78" i="17"/>
  <c r="AM84" i="17" s="1"/>
  <c r="E6" i="85"/>
  <c r="AV157" i="40"/>
  <c r="AT111" i="40"/>
  <c r="AV68" i="22"/>
  <c r="AO85" i="17"/>
  <c r="F22" i="20"/>
  <c r="DN14" i="28"/>
  <c r="K41" i="20"/>
  <c r="V143" i="20"/>
  <c r="DF14" i="28"/>
  <c r="L14" i="20"/>
  <c r="M26" i="20"/>
  <c r="M15" i="20"/>
  <c r="B37" i="20"/>
  <c r="B50" i="20" s="1"/>
  <c r="B54" i="20" s="1"/>
  <c r="Q41" i="20"/>
  <c r="AK77" i="17"/>
  <c r="T11" i="28"/>
  <c r="N141" i="85"/>
  <c r="DR20" i="28"/>
  <c r="R32" i="20"/>
  <c r="R17" i="20"/>
  <c r="AT315" i="40"/>
  <c r="J35" i="22"/>
  <c r="J56" i="22" s="1"/>
  <c r="J59" i="22" s="1"/>
  <c r="AS76" i="17"/>
  <c r="V14" i="20"/>
  <c r="L26" i="20"/>
  <c r="DC8" i="28"/>
  <c r="M17" i="20"/>
  <c r="M32" i="20"/>
  <c r="N11" i="28"/>
  <c r="J44" i="20"/>
  <c r="AT232" i="40"/>
  <c r="M11" i="28"/>
  <c r="V17" i="20"/>
  <c r="L143" i="20"/>
  <c r="J8" i="20"/>
  <c r="DA46" i="28" s="1"/>
  <c r="DD8" i="28"/>
  <c r="V17" i="22"/>
  <c r="V35" i="22" s="1"/>
  <c r="Q143" i="20"/>
  <c r="DD10" i="28"/>
  <c r="AP202" i="29"/>
  <c r="E37" i="40"/>
  <c r="F37" i="40"/>
  <c r="R335" i="40"/>
  <c r="K78" i="85"/>
  <c r="K174" i="85"/>
  <c r="K120" i="85"/>
  <c r="R307" i="45"/>
  <c r="S307" i="45" s="1"/>
  <c r="AC200" i="40"/>
  <c r="AA304" i="45"/>
  <c r="S304" i="45"/>
  <c r="R486" i="45"/>
  <c r="F22" i="40"/>
  <c r="F24" i="40"/>
  <c r="F25" i="40" s="1"/>
  <c r="G22" i="40"/>
  <c r="G24" i="40"/>
  <c r="DO47" i="28"/>
  <c r="O102" i="40"/>
  <c r="O341" i="40" s="1"/>
  <c r="Q235" i="40"/>
  <c r="Z251" i="40"/>
  <c r="Z366" i="40" s="1"/>
  <c r="Q160" i="40"/>
  <c r="AB169" i="40"/>
  <c r="AB18" i="40" s="1"/>
  <c r="DL47" i="28"/>
  <c r="H16" i="40"/>
  <c r="H20" i="40" s="1"/>
  <c r="H48" i="40" s="1"/>
  <c r="BF163" i="40"/>
  <c r="R82" i="40"/>
  <c r="R363" i="40" s="1"/>
  <c r="AC164" i="40"/>
  <c r="R292" i="40"/>
  <c r="R301" i="40" s="1"/>
  <c r="Z293" i="40"/>
  <c r="AC78" i="40"/>
  <c r="AD79" i="40" s="1"/>
  <c r="R296" i="40"/>
  <c r="AZ163" i="40"/>
  <c r="P8" i="40"/>
  <c r="R484" i="45"/>
  <c r="O199" i="40"/>
  <c r="U44" i="40"/>
  <c r="I28" i="40"/>
  <c r="BA236" i="40"/>
  <c r="BA240" i="40" s="1"/>
  <c r="BB235" i="40" s="1"/>
  <c r="BB243" i="40" s="1"/>
  <c r="P106" i="20"/>
  <c r="F28" i="40"/>
  <c r="AF126" i="40"/>
  <c r="Y197" i="40"/>
  <c r="Z201" i="40"/>
  <c r="X270" i="40"/>
  <c r="S296" i="40"/>
  <c r="M408" i="40"/>
  <c r="G37" i="40"/>
  <c r="T44" i="40"/>
  <c r="R100" i="40"/>
  <c r="O147" i="40"/>
  <c r="O149" i="40" s="1"/>
  <c r="O342" i="40" s="1"/>
  <c r="AG130" i="40"/>
  <c r="AG364" i="40" s="1"/>
  <c r="Q293" i="40"/>
  <c r="Q308" i="40" s="1"/>
  <c r="W272" i="40"/>
  <c r="W344" i="40" s="1"/>
  <c r="DP47" i="28"/>
  <c r="E22" i="40"/>
  <c r="Q27" i="40"/>
  <c r="V360" i="40"/>
  <c r="G9" i="20"/>
  <c r="N65" i="40"/>
  <c r="N317" i="40" s="1"/>
  <c r="AJ64" i="40"/>
  <c r="H28" i="40"/>
  <c r="DG47" i="28"/>
  <c r="N410" i="40"/>
  <c r="M147" i="40"/>
  <c r="Q194" i="40"/>
  <c r="N28" i="40"/>
  <c r="L71" i="40"/>
  <c r="L376" i="40" s="1"/>
  <c r="AA108" i="20"/>
  <c r="AL62" i="40"/>
  <c r="D24" i="40"/>
  <c r="X14" i="40"/>
  <c r="AI65" i="40"/>
  <c r="AI317" i="40" s="1"/>
  <c r="O47" i="40"/>
  <c r="R47" i="40"/>
  <c r="C47" i="40"/>
  <c r="C49" i="40" s="1"/>
  <c r="G120" i="85"/>
  <c r="R160" i="40"/>
  <c r="DH47" i="28"/>
  <c r="Q9" i="20"/>
  <c r="W174" i="40"/>
  <c r="M197" i="40"/>
  <c r="N247" i="40"/>
  <c r="N256" i="40" s="1"/>
  <c r="M270" i="40"/>
  <c r="AG126" i="40"/>
  <c r="AJ114" i="40"/>
  <c r="F34" i="40"/>
  <c r="T14" i="40"/>
  <c r="H9" i="20"/>
  <c r="D47" i="40"/>
  <c r="D49" i="40" s="1"/>
  <c r="AI64" i="40"/>
  <c r="G174" i="85"/>
  <c r="S336" i="40"/>
  <c r="X108" i="20"/>
  <c r="Q410" i="40"/>
  <c r="BC25" i="34"/>
  <c r="AY31" i="34"/>
  <c r="N53" i="22"/>
  <c r="W85" i="17"/>
  <c r="P144" i="9"/>
  <c r="P151" i="9"/>
  <c r="I85" i="17"/>
  <c r="AI85" i="17"/>
  <c r="AU84" i="17"/>
  <c r="AC81" i="17"/>
  <c r="T119" i="9"/>
  <c r="M81" i="17"/>
  <c r="G82" i="17"/>
  <c r="AJ140" i="9"/>
  <c r="AT202" i="29"/>
  <c r="AY202" i="29" s="1"/>
  <c r="BC202" i="29"/>
  <c r="BK201" i="29"/>
  <c r="X17" i="22"/>
  <c r="X18" i="22" s="1"/>
  <c r="Z53" i="22"/>
  <c r="Z56" i="22" s="1"/>
  <c r="Z59" i="22" s="1"/>
  <c r="R35" i="22"/>
  <c r="CA202" i="29"/>
  <c r="BD35" i="34"/>
  <c r="T34" i="9"/>
  <c r="AP103" i="9"/>
  <c r="AT103" i="9" s="1"/>
  <c r="N174" i="9"/>
  <c r="P40" i="9"/>
  <c r="N28" i="9"/>
  <c r="T159" i="9"/>
  <c r="N75" i="9"/>
  <c r="AZ43" i="34"/>
  <c r="J21" i="9"/>
  <c r="CJ22" i="34"/>
  <c r="N182" i="9"/>
  <c r="N181" i="9"/>
  <c r="T89" i="9"/>
  <c r="R104" i="9"/>
  <c r="AM186" i="9"/>
  <c r="N188" i="9"/>
  <c r="P189" i="9"/>
  <c r="CR30" i="34"/>
  <c r="CR36" i="34"/>
  <c r="AX43" i="34"/>
  <c r="AY43" i="34" s="1"/>
  <c r="BX43" i="34"/>
  <c r="AJ46" i="9"/>
  <c r="AD109" i="9"/>
  <c r="H19" i="34"/>
  <c r="H16" i="34"/>
  <c r="N167" i="9"/>
  <c r="P109" i="9"/>
  <c r="J109" i="9"/>
  <c r="P159" i="9"/>
  <c r="P76" i="9"/>
  <c r="N189" i="9"/>
  <c r="A29" i="34"/>
  <c r="A23" i="34"/>
  <c r="CJ18" i="34"/>
  <c r="CJ34" i="34"/>
  <c r="P174" i="9"/>
  <c r="T67" i="9"/>
  <c r="J42" i="9"/>
  <c r="R42" i="9" s="1"/>
  <c r="J47" i="9"/>
  <c r="R47" i="9" s="1"/>
  <c r="J67" i="9"/>
  <c r="J71" i="9" s="1"/>
  <c r="T62" i="9"/>
  <c r="N91" i="9"/>
  <c r="T90" i="9"/>
  <c r="J138" i="9"/>
  <c r="R138" i="9" s="1"/>
  <c r="N180" i="9"/>
  <c r="J147" i="9"/>
  <c r="P160" i="9"/>
  <c r="CB19" i="34"/>
  <c r="L19" i="34"/>
  <c r="AD159" i="9"/>
  <c r="L37" i="34"/>
  <c r="BX25" i="34"/>
  <c r="AD81" i="9"/>
  <c r="AD61" i="9"/>
  <c r="BD30" i="34"/>
  <c r="N96" i="9"/>
  <c r="N20" i="9"/>
  <c r="N68" i="9"/>
  <c r="N76" i="9"/>
  <c r="AF19" i="9"/>
  <c r="AD131" i="9"/>
  <c r="AF131" i="9" s="1"/>
  <c r="AP116" i="9"/>
  <c r="AT116" i="9" s="1"/>
  <c r="AZ34" i="34"/>
  <c r="P188" i="9"/>
  <c r="X27" i="9"/>
  <c r="A49" i="34"/>
  <c r="AF23" i="34"/>
  <c r="CJ36" i="34"/>
  <c r="AN37" i="34"/>
  <c r="AF29" i="34"/>
  <c r="T26" i="9"/>
  <c r="P68" i="9"/>
  <c r="P110" i="9"/>
  <c r="T109" i="9"/>
  <c r="P186" i="9"/>
  <c r="N195" i="9"/>
  <c r="J76" i="9"/>
  <c r="R76" i="9" s="1"/>
  <c r="L31" i="34"/>
  <c r="AJ75" i="9"/>
  <c r="AJ61" i="9"/>
  <c r="BD42" i="34"/>
  <c r="AM90" i="9"/>
  <c r="X48" i="9"/>
  <c r="J179" i="9"/>
  <c r="AM179" i="9" s="1"/>
  <c r="AZ19" i="34"/>
  <c r="AZ16" i="34"/>
  <c r="AP109" i="9"/>
  <c r="AT109" i="9" s="1"/>
  <c r="AY13" i="34"/>
  <c r="A37" i="34"/>
  <c r="A41" i="34"/>
  <c r="CJ30" i="34"/>
  <c r="AN31" i="34"/>
  <c r="AF35" i="34"/>
  <c r="P175" i="9"/>
  <c r="P139" i="9"/>
  <c r="P91" i="9"/>
  <c r="T48" i="9"/>
  <c r="T68" i="9"/>
  <c r="J117" i="9"/>
  <c r="AM117" i="9" s="1"/>
  <c r="J160" i="9"/>
  <c r="AZ37" i="34"/>
  <c r="CF42" i="34"/>
  <c r="AY37" i="34"/>
  <c r="CF24" i="34"/>
  <c r="N153" i="9"/>
  <c r="CJ24" i="34"/>
  <c r="N166" i="9"/>
  <c r="L25" i="34"/>
  <c r="CZ31" i="34"/>
  <c r="AJ27" i="9"/>
  <c r="AJ21" i="9"/>
  <c r="AZ40" i="34"/>
  <c r="AJ67" i="9"/>
  <c r="A35" i="34"/>
  <c r="A47" i="34"/>
  <c r="AN19" i="34"/>
  <c r="AN43" i="34"/>
  <c r="AF41" i="34"/>
  <c r="T54" i="9"/>
  <c r="J159" i="9"/>
  <c r="AM159" i="9" s="1"/>
  <c r="T172" i="9"/>
  <c r="R194" i="9"/>
  <c r="AM194" i="9"/>
  <c r="P39" i="9"/>
  <c r="N39" i="9"/>
  <c r="J39" i="9"/>
  <c r="J40" i="9"/>
  <c r="N46" i="9"/>
  <c r="P56" i="9"/>
  <c r="N56" i="9"/>
  <c r="N63" i="9"/>
  <c r="P61" i="9"/>
  <c r="J60" i="9"/>
  <c r="R60" i="9" s="1"/>
  <c r="J61" i="9"/>
  <c r="R61" i="9" s="1"/>
  <c r="P60" i="9"/>
  <c r="N60" i="9"/>
  <c r="T74" i="9"/>
  <c r="P74" i="9"/>
  <c r="P75" i="9"/>
  <c r="J75" i="9"/>
  <c r="N74" i="9"/>
  <c r="N81" i="9"/>
  <c r="AM74" i="9"/>
  <c r="T88" i="9"/>
  <c r="P89" i="9"/>
  <c r="N88" i="9"/>
  <c r="J89" i="9"/>
  <c r="P88" i="9"/>
  <c r="R88" i="9"/>
  <c r="N97" i="9"/>
  <c r="AJ97" i="9"/>
  <c r="T97" i="9"/>
  <c r="T102" i="9"/>
  <c r="P103" i="9"/>
  <c r="J103" i="9"/>
  <c r="J130" i="9"/>
  <c r="AM130" i="9" s="1"/>
  <c r="P130" i="9"/>
  <c r="N130" i="9"/>
  <c r="T126" i="9"/>
  <c r="J145" i="9"/>
  <c r="N145" i="9"/>
  <c r="P146" i="9"/>
  <c r="P145" i="9"/>
  <c r="J146" i="9"/>
  <c r="R146" i="9" s="1"/>
  <c r="T55" i="9"/>
  <c r="B207" i="9"/>
  <c r="B179" i="9"/>
  <c r="P35" i="9"/>
  <c r="N35" i="9"/>
  <c r="J35" i="9"/>
  <c r="R35" i="9" s="1"/>
  <c r="N42" i="9"/>
  <c r="P41" i="9"/>
  <c r="N40" i="9"/>
  <c r="T40" i="9"/>
  <c r="N117" i="9"/>
  <c r="P118" i="9"/>
  <c r="P117" i="9"/>
  <c r="AP117" i="9"/>
  <c r="J118" i="9"/>
  <c r="AJ11" i="9"/>
  <c r="J12" i="9"/>
  <c r="J11" i="9"/>
  <c r="J26" i="9"/>
  <c r="R26" i="9" s="1"/>
  <c r="T25" i="9"/>
  <c r="J25" i="9"/>
  <c r="P25" i="9"/>
  <c r="N25" i="9"/>
  <c r="N32" i="9"/>
  <c r="T166" i="9"/>
  <c r="J22" i="9"/>
  <c r="R18" i="9"/>
  <c r="R117" i="9"/>
  <c r="J176" i="9"/>
  <c r="AM174" i="9"/>
  <c r="R174" i="9"/>
  <c r="N95" i="9"/>
  <c r="B201" i="9"/>
  <c r="B208" i="9"/>
  <c r="B152" i="9"/>
  <c r="B138" i="9"/>
  <c r="B131" i="9"/>
  <c r="B26" i="9"/>
  <c r="B54" i="9"/>
  <c r="B103" i="9"/>
  <c r="B166" i="9"/>
  <c r="B117" i="9"/>
  <c r="B33" i="9"/>
  <c r="B187" i="9"/>
  <c r="B96" i="9"/>
  <c r="B61" i="9"/>
  <c r="B194" i="9"/>
  <c r="B173" i="9"/>
  <c r="B82" i="9"/>
  <c r="B124" i="9"/>
  <c r="B40" i="9"/>
  <c r="B110" i="9"/>
  <c r="B180" i="9"/>
  <c r="B159" i="9"/>
  <c r="B75" i="9"/>
  <c r="B19" i="9"/>
  <c r="B145" i="9"/>
  <c r="B68" i="9"/>
  <c r="B89" i="9"/>
  <c r="L32" i="9"/>
  <c r="D36" i="9"/>
  <c r="F169" i="9"/>
  <c r="AJ39" i="9"/>
  <c r="N104" i="9"/>
  <c r="AP104" i="9"/>
  <c r="AT104" i="9" s="1"/>
  <c r="P105" i="9"/>
  <c r="AJ133" i="9"/>
  <c r="B162" i="9"/>
  <c r="P104" i="9"/>
  <c r="J105" i="9"/>
  <c r="R105" i="9" s="1"/>
  <c r="J182" i="9"/>
  <c r="AM182" i="9" s="1"/>
  <c r="A90" i="9"/>
  <c r="N47" i="9"/>
  <c r="T124" i="9"/>
  <c r="P125" i="9"/>
  <c r="P124" i="9"/>
  <c r="N146" i="9"/>
  <c r="N139" i="9"/>
  <c r="T138" i="9"/>
  <c r="J154" i="9"/>
  <c r="AM154" i="9" s="1"/>
  <c r="P153" i="9"/>
  <c r="J77" i="9"/>
  <c r="AM77" i="9" s="1"/>
  <c r="P77" i="9"/>
  <c r="P81" i="9"/>
  <c r="N119" i="9"/>
  <c r="P119" i="9"/>
  <c r="N126" i="9"/>
  <c r="P137" i="9"/>
  <c r="N144" i="9"/>
  <c r="P165" i="9"/>
  <c r="R153" i="9"/>
  <c r="AM153" i="9"/>
  <c r="AD97" i="9"/>
  <c r="J63" i="9"/>
  <c r="R63" i="9" s="1"/>
  <c r="AJ40" i="9"/>
  <c r="N137" i="9"/>
  <c r="R140" i="9"/>
  <c r="AM140" i="9"/>
  <c r="A125" i="9"/>
  <c r="A202" i="9"/>
  <c r="AJ56" i="9"/>
  <c r="J95" i="9"/>
  <c r="N61" i="9"/>
  <c r="J55" i="9"/>
  <c r="R55" i="9" s="1"/>
  <c r="T53" i="9"/>
  <c r="F57" i="9"/>
  <c r="N69" i="9"/>
  <c r="P69" i="9"/>
  <c r="N90" i="9"/>
  <c r="J83" i="9"/>
  <c r="R83" i="9" s="1"/>
  <c r="F85" i="9"/>
  <c r="J96" i="9"/>
  <c r="AM96" i="9" s="1"/>
  <c r="P95" i="9"/>
  <c r="R96" i="9"/>
  <c r="T95" i="9"/>
  <c r="L104" i="9"/>
  <c r="N111" i="9"/>
  <c r="AP111" i="9"/>
  <c r="AT111" i="9" s="1"/>
  <c r="P111" i="9"/>
  <c r="R111" i="9"/>
  <c r="AD25" i="9"/>
  <c r="AF32" i="9" s="1"/>
  <c r="X97" i="9"/>
  <c r="AM104" i="9"/>
  <c r="T103" i="9"/>
  <c r="N161" i="9"/>
  <c r="P161" i="9"/>
  <c r="J161" i="9"/>
  <c r="N168" i="9"/>
  <c r="J180" i="9"/>
  <c r="N186" i="9"/>
  <c r="T179" i="9"/>
  <c r="AJ104" i="9"/>
  <c r="L193" i="9"/>
  <c r="R186" i="9"/>
  <c r="J190" i="9"/>
  <c r="AJ60" i="9"/>
  <c r="P179" i="9"/>
  <c r="A209" i="9"/>
  <c r="A97" i="9"/>
  <c r="A181" i="9"/>
  <c r="A111" i="9"/>
  <c r="A83" i="9"/>
  <c r="T42" i="9"/>
  <c r="P42" i="9"/>
  <c r="N49" i="9"/>
  <c r="T118" i="9"/>
  <c r="R137" i="9"/>
  <c r="T161" i="9"/>
  <c r="J119" i="9"/>
  <c r="AM119" i="9" s="1"/>
  <c r="A201" i="9"/>
  <c r="A208" i="9"/>
  <c r="A180" i="9"/>
  <c r="A145" i="9"/>
  <c r="J151" i="9"/>
  <c r="R151" i="9" s="1"/>
  <c r="AJ91" i="9"/>
  <c r="P47" i="9"/>
  <c r="B211" i="9"/>
  <c r="B43" i="9"/>
  <c r="B120" i="9"/>
  <c r="B190" i="9"/>
  <c r="B78" i="9"/>
  <c r="B113" i="9"/>
  <c r="B64" i="9"/>
  <c r="B85" i="9"/>
  <c r="B169" i="9"/>
  <c r="N18" i="9"/>
  <c r="AD28" i="9"/>
  <c r="J28" i="9"/>
  <c r="P32" i="9"/>
  <c r="L116" i="9"/>
  <c r="D120" i="9"/>
  <c r="L120" i="9" s="1"/>
  <c r="N123" i="9"/>
  <c r="P123" i="9"/>
  <c r="J123" i="9"/>
  <c r="AM123" i="9" s="1"/>
  <c r="J133" i="9"/>
  <c r="R133" i="9" s="1"/>
  <c r="P133" i="9"/>
  <c r="J139" i="9"/>
  <c r="R139" i="9" s="1"/>
  <c r="AJ138" i="9"/>
  <c r="T137" i="9"/>
  <c r="P152" i="9"/>
  <c r="T151" i="9"/>
  <c r="J167" i="9"/>
  <c r="AM167" i="9" s="1"/>
  <c r="P167" i="9"/>
  <c r="T167" i="9"/>
  <c r="AM168" i="9"/>
  <c r="B141" i="9"/>
  <c r="A104" i="9"/>
  <c r="N84" i="9"/>
  <c r="N54" i="9"/>
  <c r="J81" i="9"/>
  <c r="J85" i="9" s="1"/>
  <c r="AM85" i="9" s="1"/>
  <c r="N140" i="9"/>
  <c r="N138" i="9"/>
  <c r="P67" i="9"/>
  <c r="A27" i="9"/>
  <c r="A20" i="9"/>
  <c r="A41" i="9"/>
  <c r="A34" i="9"/>
  <c r="A55" i="9"/>
  <c r="A69" i="9"/>
  <c r="N21" i="9"/>
  <c r="P21" i="9"/>
  <c r="T18" i="9"/>
  <c r="J34" i="9"/>
  <c r="R34" i="9" s="1"/>
  <c r="N41" i="9"/>
  <c r="N34" i="9"/>
  <c r="T35" i="9"/>
  <c r="J56" i="9"/>
  <c r="R56" i="9" s="1"/>
  <c r="P55" i="9"/>
  <c r="N62" i="9"/>
  <c r="P70" i="9"/>
  <c r="N70" i="9"/>
  <c r="AD70" i="9"/>
  <c r="L77" i="9"/>
  <c r="AM84" i="9"/>
  <c r="AP96" i="9"/>
  <c r="N103" i="9"/>
  <c r="T96" i="9"/>
  <c r="D106" i="9"/>
  <c r="L113" i="9" s="1"/>
  <c r="J116" i="9"/>
  <c r="R116" i="9" s="1"/>
  <c r="N112" i="9"/>
  <c r="L158" i="9"/>
  <c r="L151" i="9"/>
  <c r="R158" i="9"/>
  <c r="J195" i="9"/>
  <c r="R195" i="9" s="1"/>
  <c r="AJ84" i="9"/>
  <c r="P193" i="9"/>
  <c r="AD138" i="9"/>
  <c r="X25" i="9"/>
  <c r="Z25" i="9" s="1"/>
  <c r="AD96" i="9"/>
  <c r="AF103" i="9" s="1"/>
  <c r="AJ74" i="9"/>
  <c r="X21" i="9"/>
  <c r="AD11" i="9"/>
  <c r="B202" i="9"/>
  <c r="B209" i="9"/>
  <c r="T154" i="9"/>
  <c r="D197" i="9"/>
  <c r="L197" i="9" s="1"/>
  <c r="F36" i="9"/>
  <c r="AJ137" i="9"/>
  <c r="AD130" i="9"/>
  <c r="J193" i="9"/>
  <c r="N158" i="9"/>
  <c r="AJ54" i="9"/>
  <c r="AJ130" i="9"/>
  <c r="J14" i="9"/>
  <c r="P63" i="9"/>
  <c r="T181" i="9"/>
  <c r="AM158" i="9"/>
  <c r="AD123" i="9"/>
  <c r="P194" i="9"/>
  <c r="X60" i="9"/>
  <c r="Z60" i="9" s="1"/>
  <c r="AD124" i="9"/>
  <c r="AJ123" i="9"/>
  <c r="AD55" i="9"/>
  <c r="AD133" i="9"/>
  <c r="AJ139" i="9"/>
  <c r="T130" i="9"/>
  <c r="R33" i="9"/>
  <c r="L46" i="9"/>
  <c r="T47" i="9"/>
  <c r="D64" i="9"/>
  <c r="D99" i="9"/>
  <c r="L106" i="9" s="1"/>
  <c r="D113" i="9"/>
  <c r="T116" i="9"/>
  <c r="F197" i="9"/>
  <c r="R20" i="9"/>
  <c r="X39" i="9"/>
  <c r="AJ28" i="9"/>
  <c r="AJ112" i="9"/>
  <c r="AJ119" i="9"/>
  <c r="U459" i="46"/>
  <c r="AK27" i="40"/>
  <c r="AK31" i="40"/>
  <c r="AK367" i="40" s="1"/>
  <c r="AB287" i="46"/>
  <c r="AB286" i="46"/>
  <c r="AB315" i="46"/>
  <c r="AK315" i="46" s="1"/>
  <c r="AU84" i="45"/>
  <c r="B266" i="45"/>
  <c r="B448" i="45" s="1"/>
  <c r="P485" i="45"/>
  <c r="Q485" i="45" s="1"/>
  <c r="Q303" i="45"/>
  <c r="AB639" i="46"/>
  <c r="M223" i="40"/>
  <c r="AB366" i="46"/>
  <c r="AD165" i="9"/>
  <c r="AG147" i="40"/>
  <c r="AG149" i="40" s="1"/>
  <c r="AG342" i="40" s="1"/>
  <c r="B312" i="45"/>
  <c r="B494" i="45" s="1"/>
  <c r="L62" i="12"/>
  <c r="AB791" i="46"/>
  <c r="AK791" i="46" s="1"/>
  <c r="AJ102" i="9"/>
  <c r="AR102" i="9"/>
  <c r="CR80" i="28"/>
  <c r="CM80" i="28"/>
  <c r="CH80" i="28"/>
  <c r="L568" i="46"/>
  <c r="AB575" i="46"/>
  <c r="L581" i="46"/>
  <c r="U581" i="46" s="1"/>
  <c r="L785" i="46"/>
  <c r="P194" i="40"/>
  <c r="P191" i="40" s="1"/>
  <c r="AK46" i="40"/>
  <c r="DR69" i="28" s="1"/>
  <c r="L458" i="46"/>
  <c r="U458" i="46" s="1"/>
  <c r="L457" i="46"/>
  <c r="U457" i="46" s="1"/>
  <c r="AB352" i="46"/>
  <c r="AB188" i="9"/>
  <c r="AH188" i="9" s="1"/>
  <c r="AJ188" i="9" s="1"/>
  <c r="AU86" i="45"/>
  <c r="U80" i="28"/>
  <c r="N646" i="46"/>
  <c r="AB393" i="46"/>
  <c r="AK393" i="46" s="1"/>
  <c r="AB82" i="46"/>
  <c r="T484" i="45"/>
  <c r="AB338" i="46"/>
  <c r="AK338" i="46" s="1"/>
  <c r="AB294" i="46"/>
  <c r="AK294" i="46" s="1"/>
  <c r="AB421" i="46"/>
  <c r="AB336" i="46"/>
  <c r="AK336" i="46" s="1"/>
  <c r="V127" i="40"/>
  <c r="AB89" i="46"/>
  <c r="AK89" i="46" s="1"/>
  <c r="AB111" i="46"/>
  <c r="AB112" i="46"/>
  <c r="AK112" i="46" s="1"/>
  <c r="AB132" i="46"/>
  <c r="AB169" i="46"/>
  <c r="AB216" i="46"/>
  <c r="AB473" i="46"/>
  <c r="AK473" i="46" s="1"/>
  <c r="AB549" i="46"/>
  <c r="AK549" i="46" s="1"/>
  <c r="B12" i="45"/>
  <c r="B194" i="45" s="1"/>
  <c r="B376" i="45" s="1"/>
  <c r="AU18" i="45"/>
  <c r="AB199" i="40"/>
  <c r="AB194" i="40"/>
  <c r="AB222" i="40" s="1"/>
  <c r="Q251" i="40"/>
  <c r="Q366" i="40" s="1"/>
  <c r="P247" i="40"/>
  <c r="P256" i="40" s="1"/>
  <c r="V270" i="40"/>
  <c r="V272" i="40" s="1"/>
  <c r="V344" i="40" s="1"/>
  <c r="R411" i="40"/>
  <c r="R412" i="40"/>
  <c r="AT170" i="45"/>
  <c r="A352" i="45"/>
  <c r="A534" i="45" s="1"/>
  <c r="A540" i="45" s="1"/>
  <c r="A546" i="45" s="1"/>
  <c r="A552" i="45" s="1"/>
  <c r="V55" i="9"/>
  <c r="X55" i="9" s="1"/>
  <c r="L63" i="12"/>
  <c r="U63" i="12" s="1"/>
  <c r="B304" i="45"/>
  <c r="B486" i="45" s="1"/>
  <c r="AU122" i="45"/>
  <c r="AB479" i="46"/>
  <c r="AK479" i="46" s="1"/>
  <c r="L514" i="46"/>
  <c r="U82" i="40"/>
  <c r="U363" i="40" s="1"/>
  <c r="B273" i="45"/>
  <c r="B455" i="45" s="1"/>
  <c r="AU161" i="45"/>
  <c r="P410" i="40"/>
  <c r="AU113" i="45"/>
  <c r="AU136" i="45"/>
  <c r="U147" i="40"/>
  <c r="S197" i="40"/>
  <c r="Z265" i="40"/>
  <c r="Z266" i="40" s="1"/>
  <c r="Y251" i="40"/>
  <c r="Y366" i="40" s="1"/>
  <c r="AB106" i="12"/>
  <c r="BB80" i="28"/>
  <c r="AB133" i="12"/>
  <c r="Z27" i="40"/>
  <c r="L508" i="46"/>
  <c r="P304" i="45"/>
  <c r="AC198" i="40" s="1"/>
  <c r="AB252" i="46"/>
  <c r="AK252" i="46" s="1"/>
  <c r="AD714" i="46"/>
  <c r="V40" i="9"/>
  <c r="X40" i="9" s="1"/>
  <c r="Z40" i="9" s="1"/>
  <c r="L48" i="12"/>
  <c r="AB258" i="46"/>
  <c r="AD258" i="46" s="1"/>
  <c r="AB342" i="46"/>
  <c r="AB399" i="46"/>
  <c r="AB152" i="46"/>
  <c r="AF130" i="40"/>
  <c r="AF364" i="40" s="1"/>
  <c r="AB281" i="46"/>
  <c r="AK281" i="46" s="1"/>
  <c r="U223" i="40"/>
  <c r="AB126" i="46"/>
  <c r="AD133" i="46" s="1"/>
  <c r="AB364" i="46"/>
  <c r="L61" i="12"/>
  <c r="AB20" i="46"/>
  <c r="L266" i="46"/>
  <c r="U266" i="46" s="1"/>
  <c r="AB295" i="46"/>
  <c r="AD295" i="46" s="1"/>
  <c r="AB435" i="46"/>
  <c r="AB451" i="46"/>
  <c r="AB458" i="46"/>
  <c r="AK458" i="46" s="1"/>
  <c r="AB502" i="46"/>
  <c r="L515" i="46"/>
  <c r="U515" i="46" s="1"/>
  <c r="L716" i="46"/>
  <c r="U716" i="46" s="1"/>
  <c r="L742" i="46"/>
  <c r="AB13" i="12"/>
  <c r="U174" i="40"/>
  <c r="T197" i="40"/>
  <c r="S292" i="40"/>
  <c r="S301" i="40" s="1"/>
  <c r="S302" i="40" s="1"/>
  <c r="AA164" i="40"/>
  <c r="Q82" i="40"/>
  <c r="Q363" i="40" s="1"/>
  <c r="AI82" i="40"/>
  <c r="AI363" i="40" s="1"/>
  <c r="AB356" i="46"/>
  <c r="AB793" i="46"/>
  <c r="AD394" i="46"/>
  <c r="AJ25" i="9"/>
  <c r="V174" i="40"/>
  <c r="R199" i="40"/>
  <c r="X194" i="40"/>
  <c r="T292" i="40"/>
  <c r="T293" i="40" s="1"/>
  <c r="T308" i="40" s="1"/>
  <c r="Q405" i="40"/>
  <c r="P407" i="40"/>
  <c r="M383" i="40"/>
  <c r="M411" i="40"/>
  <c r="M412" i="40"/>
  <c r="M413" i="40"/>
  <c r="B306" i="45"/>
  <c r="B488" i="45" s="1"/>
  <c r="AJ103" i="9"/>
  <c r="AB218" i="46"/>
  <c r="AB770" i="46"/>
  <c r="AK770" i="46" s="1"/>
  <c r="AB415" i="46"/>
  <c r="L91" i="46"/>
  <c r="A13" i="45"/>
  <c r="AU109" i="45"/>
  <c r="AB181" i="46"/>
  <c r="AK181" i="46" s="1"/>
  <c r="AB155" i="46"/>
  <c r="AK155" i="46" s="1"/>
  <c r="L204" i="46"/>
  <c r="L223" i="46"/>
  <c r="U223" i="46" s="1"/>
  <c r="L231" i="46"/>
  <c r="AB279" i="46"/>
  <c r="AB345" i="46"/>
  <c r="AB392" i="46"/>
  <c r="L521" i="46"/>
  <c r="U521" i="46" s="1"/>
  <c r="AB542" i="46"/>
  <c r="AB551" i="46"/>
  <c r="AK551" i="46" s="1"/>
  <c r="L574" i="46"/>
  <c r="U574" i="46" s="1"/>
  <c r="L637" i="46"/>
  <c r="N637" i="46" s="1"/>
  <c r="L687" i="46"/>
  <c r="U687" i="46" s="1"/>
  <c r="AB750" i="46"/>
  <c r="Y201" i="40"/>
  <c r="AB702" i="46"/>
  <c r="T199" i="40"/>
  <c r="P270" i="40"/>
  <c r="P272" i="40" s="1"/>
  <c r="P344" i="40" s="1"/>
  <c r="V296" i="40"/>
  <c r="Q383" i="40"/>
  <c r="P383" i="40"/>
  <c r="O410" i="40"/>
  <c r="N412" i="40"/>
  <c r="L42" i="46"/>
  <c r="U42" i="46" s="1"/>
  <c r="AB139" i="46"/>
  <c r="AK139" i="46" s="1"/>
  <c r="AB209" i="46"/>
  <c r="AK209" i="46" s="1"/>
  <c r="L509" i="46"/>
  <c r="L645" i="46"/>
  <c r="S164" i="40"/>
  <c r="AB57" i="12"/>
  <c r="M240" i="40"/>
  <c r="N237" i="40" s="1"/>
  <c r="N240" i="40" s="1"/>
  <c r="L792" i="46"/>
  <c r="N792" i="46" s="1"/>
  <c r="P223" i="40"/>
  <c r="P225" i="40" s="1"/>
  <c r="P343" i="40" s="1"/>
  <c r="AB166" i="46"/>
  <c r="AK166" i="46" s="1"/>
  <c r="AB204" i="46"/>
  <c r="AB434" i="46"/>
  <c r="AK434" i="46" s="1"/>
  <c r="L452" i="46"/>
  <c r="U452" i="46" s="1"/>
  <c r="AB471" i="46"/>
  <c r="AK471" i="46" s="1"/>
  <c r="AB517" i="46"/>
  <c r="BI116" i="40"/>
  <c r="V102" i="9"/>
  <c r="X102" i="9" s="1"/>
  <c r="W81" i="28"/>
  <c r="L110" i="12"/>
  <c r="AT125" i="45"/>
  <c r="A307" i="45"/>
  <c r="A489" i="45" s="1"/>
  <c r="B316" i="45"/>
  <c r="B498" i="45" s="1"/>
  <c r="AU134" i="45"/>
  <c r="B321" i="45"/>
  <c r="B503" i="45" s="1"/>
  <c r="AU139" i="45"/>
  <c r="AT143" i="45"/>
  <c r="B345" i="45"/>
  <c r="B527" i="45" s="1"/>
  <c r="AU163" i="45"/>
  <c r="H47" i="40"/>
  <c r="H49" i="40" s="1"/>
  <c r="G48" i="40"/>
  <c r="G47" i="40"/>
  <c r="G49" i="40" s="1"/>
  <c r="Y78" i="40"/>
  <c r="Y82" i="40"/>
  <c r="Y363" i="40" s="1"/>
  <c r="Z78" i="40"/>
  <c r="AH82" i="40"/>
  <c r="AH363" i="40" s="1"/>
  <c r="AG99" i="40"/>
  <c r="N362" i="45"/>
  <c r="O367" i="45"/>
  <c r="R363" i="45"/>
  <c r="S368" i="45"/>
  <c r="AA362" i="45"/>
  <c r="AB127" i="12"/>
  <c r="AJ80" i="28"/>
  <c r="BC80" i="28"/>
  <c r="AB146" i="9"/>
  <c r="AB154" i="12"/>
  <c r="AD154" i="12" s="1"/>
  <c r="AF132" i="9"/>
  <c r="AG127" i="40"/>
  <c r="AF133" i="9"/>
  <c r="U573" i="46"/>
  <c r="L47" i="12"/>
  <c r="V35" i="9"/>
  <c r="X35" i="9" s="1"/>
  <c r="L49" i="12"/>
  <c r="V41" i="9"/>
  <c r="X41" i="9" s="1"/>
  <c r="L589" i="46"/>
  <c r="U589" i="46" s="1"/>
  <c r="A199" i="45"/>
  <c r="A381" i="45" s="1"/>
  <c r="AT17" i="45"/>
  <c r="A11" i="45"/>
  <c r="A193" i="45" s="1"/>
  <c r="A375" i="45" s="1"/>
  <c r="B199" i="45"/>
  <c r="B381" i="45" s="1"/>
  <c r="AU17" i="45"/>
  <c r="B11" i="45"/>
  <c r="B193" i="45" s="1"/>
  <c r="B375" i="45" s="1"/>
  <c r="AU30" i="45"/>
  <c r="B212" i="45"/>
  <c r="B394" i="45" s="1"/>
  <c r="A219" i="45"/>
  <c r="A401" i="45" s="1"/>
  <c r="AT37" i="45"/>
  <c r="B250" i="45"/>
  <c r="B432" i="45" s="1"/>
  <c r="AU68" i="45"/>
  <c r="A259" i="45"/>
  <c r="A441" i="45" s="1"/>
  <c r="AT77" i="45"/>
  <c r="V95" i="9"/>
  <c r="X95" i="9" s="1"/>
  <c r="R81" i="28"/>
  <c r="B278" i="45"/>
  <c r="B460" i="45" s="1"/>
  <c r="AU96" i="45"/>
  <c r="A289" i="45"/>
  <c r="A471" i="45" s="1"/>
  <c r="AT107" i="45"/>
  <c r="B289" i="45"/>
  <c r="B471" i="45" s="1"/>
  <c r="AU107" i="45"/>
  <c r="AU115" i="45"/>
  <c r="B297" i="45"/>
  <c r="B479" i="45" s="1"/>
  <c r="B301" i="45"/>
  <c r="B483" i="45" s="1"/>
  <c r="AU119" i="45"/>
  <c r="B308" i="45"/>
  <c r="B490" i="45" s="1"/>
  <c r="AU126" i="45"/>
  <c r="B290" i="45"/>
  <c r="B472" i="45" s="1"/>
  <c r="AU108" i="45"/>
  <c r="A321" i="45"/>
  <c r="A503" i="45" s="1"/>
  <c r="AT139" i="45"/>
  <c r="AA46" i="40"/>
  <c r="AA47" i="40" s="1"/>
  <c r="AA31" i="40"/>
  <c r="AA367" i="40" s="1"/>
  <c r="AB301" i="46"/>
  <c r="AB300" i="46"/>
  <c r="AL82" i="40"/>
  <c r="AK82" i="40"/>
  <c r="AK363" i="40" s="1"/>
  <c r="AB321" i="46"/>
  <c r="AK321" i="46" s="1"/>
  <c r="B362" i="45"/>
  <c r="B544" i="45" s="1"/>
  <c r="AU180" i="45"/>
  <c r="AB538" i="46"/>
  <c r="U650" i="46"/>
  <c r="U231" i="46"/>
  <c r="L272" i="46"/>
  <c r="U272" i="46" s="1"/>
  <c r="L268" i="46"/>
  <c r="AB274" i="46"/>
  <c r="AD274" i="46" s="1"/>
  <c r="AB273" i="46"/>
  <c r="AB460" i="46"/>
  <c r="AB567" i="46"/>
  <c r="AB731" i="46"/>
  <c r="AB730" i="46"/>
  <c r="AD737" i="46" s="1"/>
  <c r="AU12" i="45"/>
  <c r="AT67" i="45"/>
  <c r="A249" i="45"/>
  <c r="A431" i="45" s="1"/>
  <c r="AT78" i="45"/>
  <c r="A260" i="45"/>
  <c r="A442" i="45" s="1"/>
  <c r="V96" i="9"/>
  <c r="X96" i="9" s="1"/>
  <c r="S81" i="28"/>
  <c r="L105" i="12"/>
  <c r="U105" i="12" s="1"/>
  <c r="L104" i="12"/>
  <c r="B284" i="45"/>
  <c r="B466" i="45" s="1"/>
  <c r="AU102" i="45"/>
  <c r="AU116" i="45"/>
  <c r="B298" i="45"/>
  <c r="B480" i="45" s="1"/>
  <c r="L378" i="40"/>
  <c r="L183" i="40"/>
  <c r="L224" i="40" s="1"/>
  <c r="N194" i="40"/>
  <c r="N197" i="40"/>
  <c r="O197" i="40"/>
  <c r="U197" i="40"/>
  <c r="V197" i="40"/>
  <c r="U194" i="40"/>
  <c r="U195" i="40" s="1"/>
  <c r="U365" i="40" s="1"/>
  <c r="AA197" i="40"/>
  <c r="AA194" i="40"/>
  <c r="AA222" i="40" s="1"/>
  <c r="BB237" i="40"/>
  <c r="AA265" i="40"/>
  <c r="AA266" i="40" s="1"/>
  <c r="T265" i="40"/>
  <c r="T266" i="40" s="1"/>
  <c r="T251" i="40"/>
  <c r="T366" i="40" s="1"/>
  <c r="L383" i="40"/>
  <c r="M410" i="40"/>
  <c r="AL18" i="40"/>
  <c r="AK99" i="40"/>
  <c r="AK100" i="40" s="1"/>
  <c r="BL80" i="28"/>
  <c r="AD168" i="9"/>
  <c r="AB316" i="46"/>
  <c r="B242" i="45"/>
  <c r="B424" i="45" s="1"/>
  <c r="A272" i="45"/>
  <c r="A454" i="45" s="1"/>
  <c r="AC31" i="40"/>
  <c r="AC367" i="40" s="1"/>
  <c r="AC27" i="40"/>
  <c r="AC46" i="40"/>
  <c r="DJ69" i="28" s="1"/>
  <c r="X80" i="28"/>
  <c r="B196" i="45"/>
  <c r="B378" i="45" s="1"/>
  <c r="A196" i="45"/>
  <c r="A378" i="45" s="1"/>
  <c r="L720" i="46"/>
  <c r="U720" i="46" s="1"/>
  <c r="AJ82" i="40"/>
  <c r="AJ363" i="40" s="1"/>
  <c r="B200" i="45"/>
  <c r="B382" i="45" s="1"/>
  <c r="AB217" i="46"/>
  <c r="L41" i="46"/>
  <c r="U41" i="46" s="1"/>
  <c r="L83" i="46"/>
  <c r="U83" i="46" s="1"/>
  <c r="AB97" i="46"/>
  <c r="AB120" i="46"/>
  <c r="AB161" i="46"/>
  <c r="L205" i="46"/>
  <c r="L209" i="46"/>
  <c r="L212" i="46"/>
  <c r="L224" i="46"/>
  <c r="U224" i="46" s="1"/>
  <c r="AB231" i="46"/>
  <c r="AB429" i="46"/>
  <c r="AK429" i="46" s="1"/>
  <c r="AB428" i="46"/>
  <c r="AK428" i="46" s="1"/>
  <c r="L450" i="46"/>
  <c r="L451" i="46"/>
  <c r="AB515" i="46"/>
  <c r="AB614" i="46"/>
  <c r="AB610" i="46"/>
  <c r="AU80" i="45"/>
  <c r="AK233" i="46"/>
  <c r="L211" i="46"/>
  <c r="L524" i="46"/>
  <c r="N408" i="40"/>
  <c r="N383" i="40"/>
  <c r="AB195" i="9"/>
  <c r="AH195" i="9" s="1"/>
  <c r="AJ195" i="9" s="1"/>
  <c r="AB145" i="9"/>
  <c r="AT83" i="45"/>
  <c r="Q78" i="40"/>
  <c r="Q87" i="40" s="1"/>
  <c r="AU151" i="45"/>
  <c r="Z405" i="40"/>
  <c r="AB343" i="46"/>
  <c r="A358" i="45"/>
  <c r="AT176" i="45"/>
  <c r="AB307" i="46"/>
  <c r="AB303" i="46"/>
  <c r="R302" i="40"/>
  <c r="AB35" i="46"/>
  <c r="L528" i="46"/>
  <c r="O407" i="40"/>
  <c r="AB19" i="12"/>
  <c r="AD19" i="12" s="1"/>
  <c r="AB18" i="9"/>
  <c r="AD18" i="9" s="1"/>
  <c r="AU95" i="45"/>
  <c r="AB568" i="46"/>
  <c r="L750" i="46"/>
  <c r="AB203" i="46"/>
  <c r="AB202" i="46"/>
  <c r="L226" i="46"/>
  <c r="L225" i="46"/>
  <c r="V28" i="9"/>
  <c r="X28" i="9" s="1"/>
  <c r="L36" i="12"/>
  <c r="U36" i="12" s="1"/>
  <c r="V11" i="9"/>
  <c r="X11" i="9" s="1"/>
  <c r="Z18" i="9" s="1"/>
  <c r="L19" i="12"/>
  <c r="L20" i="12"/>
  <c r="N27" i="12" s="1"/>
  <c r="U785" i="46"/>
  <c r="AU23" i="45"/>
  <c r="B205" i="45"/>
  <c r="B387" i="45" s="1"/>
  <c r="AT104" i="45"/>
  <c r="A286" i="45"/>
  <c r="A468" i="45" s="1"/>
  <c r="AR117" i="9"/>
  <c r="AJ117" i="9"/>
  <c r="AT138" i="45"/>
  <c r="AB701" i="46"/>
  <c r="AB700" i="46"/>
  <c r="AK700" i="46" s="1"/>
  <c r="AB427" i="46"/>
  <c r="AD427" i="46" s="1"/>
  <c r="AB713" i="46"/>
  <c r="AB14" i="12"/>
  <c r="B279" i="45"/>
  <c r="B461" i="45" s="1"/>
  <c r="AU97" i="45"/>
  <c r="A218" i="45"/>
  <c r="A400" i="45" s="1"/>
  <c r="L92" i="46"/>
  <c r="U92" i="46" s="1"/>
  <c r="AU173" i="45"/>
  <c r="AU31" i="45"/>
  <c r="AB798" i="46"/>
  <c r="T485" i="45"/>
  <c r="U485" i="45" s="1"/>
  <c r="U303" i="45"/>
  <c r="R194" i="40"/>
  <c r="Z155" i="12"/>
  <c r="AB159" i="12" s="1"/>
  <c r="AE46" i="40"/>
  <c r="AF27" i="40"/>
  <c r="AB131" i="12"/>
  <c r="U47" i="12"/>
  <c r="AB323" i="46"/>
  <c r="AB324" i="46"/>
  <c r="AK324" i="46" s="1"/>
  <c r="AB457" i="46"/>
  <c r="AK457" i="46" s="1"/>
  <c r="AB453" i="46"/>
  <c r="AK453" i="46" s="1"/>
  <c r="AB481" i="46"/>
  <c r="AB134" i="12"/>
  <c r="AU24" i="45"/>
  <c r="AK465" i="46"/>
  <c r="B327" i="45"/>
  <c r="B509" i="45" s="1"/>
  <c r="AB413" i="46"/>
  <c r="AD420" i="46" s="1"/>
  <c r="L223" i="40"/>
  <c r="M82" i="40"/>
  <c r="M363" i="40" s="1"/>
  <c r="M78" i="40"/>
  <c r="S247" i="40"/>
  <c r="S256" i="40" s="1"/>
  <c r="P363" i="45"/>
  <c r="Q368" i="45"/>
  <c r="L43" i="46"/>
  <c r="AB99" i="46"/>
  <c r="AK99" i="46" s="1"/>
  <c r="AB105" i="46"/>
  <c r="L113" i="46"/>
  <c r="U113" i="46" s="1"/>
  <c r="N126" i="40"/>
  <c r="O126" i="40"/>
  <c r="W126" i="40"/>
  <c r="W127" i="40" s="1"/>
  <c r="V130" i="40"/>
  <c r="V364" i="40" s="1"/>
  <c r="AC130" i="40"/>
  <c r="AC364" i="40" s="1"/>
  <c r="AC126" i="40"/>
  <c r="AC146" i="40"/>
  <c r="AC147" i="40" s="1"/>
  <c r="AA174" i="40"/>
  <c r="AA18" i="40" s="1"/>
  <c r="M185" i="40"/>
  <c r="L379" i="40"/>
  <c r="AB197" i="40"/>
  <c r="AB201" i="40"/>
  <c r="AB265" i="40"/>
  <c r="AB266" i="40" s="1"/>
  <c r="N270" i="40"/>
  <c r="N272" i="40" s="1"/>
  <c r="N344" i="40" s="1"/>
  <c r="R405" i="40"/>
  <c r="A226" i="45"/>
  <c r="A408" i="45" s="1"/>
  <c r="AT44" i="45"/>
  <c r="W164" i="40"/>
  <c r="AB310" i="46"/>
  <c r="AB151" i="9"/>
  <c r="S82" i="40"/>
  <c r="S363" i="40" s="1"/>
  <c r="BF118" i="40"/>
  <c r="AE18" i="40"/>
  <c r="P126" i="40"/>
  <c r="O130" i="40"/>
  <c r="O364" i="40" s="1"/>
  <c r="W130" i="40"/>
  <c r="W364" i="40" s="1"/>
  <c r="X126" i="40"/>
  <c r="AD146" i="40"/>
  <c r="AD147" i="40" s="1"/>
  <c r="AE126" i="40"/>
  <c r="AE127" i="40" s="1"/>
  <c r="P195" i="40"/>
  <c r="P365" i="40" s="1"/>
  <c r="V265" i="40"/>
  <c r="V266" i="40" s="1"/>
  <c r="V247" i="40"/>
  <c r="V256" i="40" s="1"/>
  <c r="O383" i="40"/>
  <c r="O411" i="40"/>
  <c r="N411" i="40"/>
  <c r="O413" i="40"/>
  <c r="N413" i="40"/>
  <c r="AJ46" i="40"/>
  <c r="AJ31" i="40"/>
  <c r="AJ367" i="40" s="1"/>
  <c r="AJ27" i="40"/>
  <c r="E48" i="40"/>
  <c r="F47" i="40"/>
  <c r="F49" i="40" s="1"/>
  <c r="E47" i="40"/>
  <c r="E49" i="40" s="1"/>
  <c r="AZ13" i="40"/>
  <c r="AD99" i="40"/>
  <c r="AD100" i="40" s="1"/>
  <c r="AD82" i="40"/>
  <c r="AD363" i="40" s="1"/>
  <c r="AE78" i="40"/>
  <c r="AE79" i="40" s="1"/>
  <c r="P130" i="40"/>
  <c r="P364" i="40" s="1"/>
  <c r="X130" i="40"/>
  <c r="X364" i="40" s="1"/>
  <c r="AE130" i="40"/>
  <c r="AE364" i="40" s="1"/>
  <c r="AE146" i="40"/>
  <c r="AF147" i="40" s="1"/>
  <c r="AF149" i="40" s="1"/>
  <c r="AF342" i="40" s="1"/>
  <c r="Y174" i="40"/>
  <c r="Y18" i="40" s="1"/>
  <c r="N199" i="40"/>
  <c r="M199" i="40"/>
  <c r="Z194" i="40"/>
  <c r="Z222" i="40" s="1"/>
  <c r="Z223" i="40" s="1"/>
  <c r="Z225" i="40" s="1"/>
  <c r="Z343" i="40" s="1"/>
  <c r="L194" i="40"/>
  <c r="M195" i="40" s="1"/>
  <c r="M365" i="40" s="1"/>
  <c r="L205" i="40"/>
  <c r="O251" i="40"/>
  <c r="O366" i="40" s="1"/>
  <c r="N251" i="40"/>
  <c r="N366" i="40" s="1"/>
  <c r="O247" i="40"/>
  <c r="W265" i="40"/>
  <c r="W266" i="40" s="1"/>
  <c r="W247" i="40"/>
  <c r="V251" i="40"/>
  <c r="V366" i="40" s="1"/>
  <c r="Q270" i="40"/>
  <c r="Q272" i="40" s="1"/>
  <c r="Q344" i="40" s="1"/>
  <c r="X292" i="40"/>
  <c r="W296" i="40"/>
  <c r="R407" i="40"/>
  <c r="O412" i="40"/>
  <c r="L90" i="46"/>
  <c r="U90" i="46" s="1"/>
  <c r="AL78" i="40"/>
  <c r="AL79" i="40" s="1"/>
  <c r="AG47" i="40"/>
  <c r="K72" i="40"/>
  <c r="AB558" i="46"/>
  <c r="AK558" i="46" s="1"/>
  <c r="AB667" i="46"/>
  <c r="AB13" i="9"/>
  <c r="AD13" i="9" s="1"/>
  <c r="AB21" i="12"/>
  <c r="AK21" i="12" s="1"/>
  <c r="A292" i="45"/>
  <c r="A474" i="45" s="1"/>
  <c r="AT110" i="45"/>
  <c r="B292" i="45"/>
  <c r="B474" i="45" s="1"/>
  <c r="AU110" i="45"/>
  <c r="B331" i="45"/>
  <c r="B513" i="45" s="1"/>
  <c r="AU149" i="45"/>
  <c r="AE99" i="40"/>
  <c r="AE82" i="40"/>
  <c r="AE363" i="40" s="1"/>
  <c r="L119" i="40"/>
  <c r="L132" i="40" s="1"/>
  <c r="L148" i="40" s="1"/>
  <c r="Q126" i="40"/>
  <c r="Q135" i="40" s="1"/>
  <c r="L164" i="40"/>
  <c r="L179" i="40" s="1"/>
  <c r="T164" i="40"/>
  <c r="AC169" i="40"/>
  <c r="AB210" i="46"/>
  <c r="AK210" i="46" s="1"/>
  <c r="L230" i="46"/>
  <c r="U230" i="46" s="1"/>
  <c r="AB516" i="46"/>
  <c r="AK516" i="46" s="1"/>
  <c r="AB600" i="46"/>
  <c r="L643" i="46"/>
  <c r="M184" i="40"/>
  <c r="M378" i="40" s="1"/>
  <c r="U164" i="40"/>
  <c r="O164" i="40"/>
  <c r="Z164" i="40"/>
  <c r="Z17" i="40" s="1"/>
  <c r="Q164" i="40"/>
  <c r="AB164" i="40"/>
  <c r="X169" i="40"/>
  <c r="P411" i="40"/>
  <c r="AJ111" i="9"/>
  <c r="AB659" i="46"/>
  <c r="AB226" i="46"/>
  <c r="AK226" i="46" s="1"/>
  <c r="L219" i="46"/>
  <c r="N164" i="40"/>
  <c r="V164" i="40"/>
  <c r="P164" i="40"/>
  <c r="AB751" i="46"/>
  <c r="L48" i="46"/>
  <c r="U48" i="46" s="1"/>
  <c r="AB33" i="46"/>
  <c r="L117" i="46"/>
  <c r="U117" i="46" s="1"/>
  <c r="AB125" i="46"/>
  <c r="AK125" i="46" s="1"/>
  <c r="AB225" i="46"/>
  <c r="AB272" i="46"/>
  <c r="AB41" i="12"/>
  <c r="AB180" i="46"/>
  <c r="AB162" i="46"/>
  <c r="AD162" i="46" s="1"/>
  <c r="L273" i="46"/>
  <c r="L35" i="46"/>
  <c r="AB119" i="46"/>
  <c r="AB792" i="46"/>
  <c r="AB813" i="46"/>
  <c r="AA201" i="40"/>
  <c r="L636" i="46"/>
  <c r="L632" i="46"/>
  <c r="L731" i="46"/>
  <c r="U731" i="46" s="1"/>
  <c r="L730" i="46"/>
  <c r="A242" i="45"/>
  <c r="A424" i="45" s="1"/>
  <c r="AT60" i="45"/>
  <c r="A268" i="45"/>
  <c r="A450" i="45" s="1"/>
  <c r="AT86" i="45"/>
  <c r="DH66" i="45"/>
  <c r="DH69" i="45" s="1"/>
  <c r="T17" i="40" s="1"/>
  <c r="BG69" i="45"/>
  <c r="T69" i="40" s="1"/>
  <c r="B204" i="45"/>
  <c r="B386" i="45" s="1"/>
  <c r="A346" i="45"/>
  <c r="A528" i="45" s="1"/>
  <c r="AT164" i="45"/>
  <c r="AT114" i="45"/>
  <c r="A296" i="45"/>
  <c r="A478" i="45" s="1"/>
  <c r="B340" i="45"/>
  <c r="B522" i="45" s="1"/>
  <c r="AU158" i="45"/>
  <c r="W31" i="40"/>
  <c r="W367" i="40" s="1"/>
  <c r="W27" i="40"/>
  <c r="B358" i="45"/>
  <c r="B540" i="45" s="1"/>
  <c r="X27" i="40"/>
  <c r="A349" i="45"/>
  <c r="A531" i="45" s="1"/>
  <c r="A537" i="45" s="1"/>
  <c r="A543" i="45" s="1"/>
  <c r="A549" i="45" s="1"/>
  <c r="A363" i="45"/>
  <c r="AT181" i="45"/>
  <c r="L522" i="46"/>
  <c r="L523" i="46"/>
  <c r="AB536" i="46"/>
  <c r="AB535" i="46"/>
  <c r="L587" i="46"/>
  <c r="L588" i="46"/>
  <c r="AB643" i="46"/>
  <c r="L738" i="46"/>
  <c r="L737" i="46"/>
  <c r="AT26" i="45"/>
  <c r="A208" i="45"/>
  <c r="A390" i="45" s="1"/>
  <c r="AB26" i="9"/>
  <c r="AD26" i="9" s="1"/>
  <c r="AF26" i="9" s="1"/>
  <c r="AB34" i="12"/>
  <c r="AD34" i="12" s="1"/>
  <c r="AK87" i="40"/>
  <c r="B238" i="45"/>
  <c r="B420" i="45" s="1"/>
  <c r="AB644" i="46"/>
  <c r="V14" i="9"/>
  <c r="X14" i="9" s="1"/>
  <c r="L26" i="12"/>
  <c r="AT74" i="45"/>
  <c r="A256" i="45"/>
  <c r="A438" i="45" s="1"/>
  <c r="B344" i="45"/>
  <c r="B526" i="45" s="1"/>
  <c r="AU162" i="45"/>
  <c r="AD200" i="40"/>
  <c r="AE200" i="40" s="1"/>
  <c r="AC201" i="40"/>
  <c r="DM80" i="28"/>
  <c r="AD153" i="9"/>
  <c r="AH153" i="9"/>
  <c r="AJ153" i="9" s="1"/>
  <c r="U27" i="12"/>
  <c r="AB63" i="46"/>
  <c r="J62" i="28"/>
  <c r="AB745" i="46"/>
  <c r="AK745" i="46" s="1"/>
  <c r="A266" i="45"/>
  <c r="A448" i="45" s="1"/>
  <c r="AT84" i="45"/>
  <c r="AT145" i="45"/>
  <c r="A327" i="45"/>
  <c r="A509" i="45" s="1"/>
  <c r="AK34" i="12"/>
  <c r="AB183" i="46"/>
  <c r="AT92" i="45"/>
  <c r="AT180" i="45"/>
  <c r="O82" i="40"/>
  <c r="O363" i="40" s="1"/>
  <c r="P78" i="40"/>
  <c r="P82" i="40"/>
  <c r="P363" i="40" s="1"/>
  <c r="AB772" i="46"/>
  <c r="AD772" i="46" s="1"/>
  <c r="AB771" i="46"/>
  <c r="DO69" i="28"/>
  <c r="AI47" i="40"/>
  <c r="AI49" i="40" s="1"/>
  <c r="W197" i="40"/>
  <c r="W194" i="40"/>
  <c r="W191" i="40" s="1"/>
  <c r="X197" i="40"/>
  <c r="Y194" i="40"/>
  <c r="Y199" i="40"/>
  <c r="Z199" i="40"/>
  <c r="AA17" i="40"/>
  <c r="AT140" i="45"/>
  <c r="A322" i="45"/>
  <c r="A504" i="45" s="1"/>
  <c r="B339" i="45"/>
  <c r="B521" i="45" s="1"/>
  <c r="AU157" i="45"/>
  <c r="AB154" i="9"/>
  <c r="BI80" i="28"/>
  <c r="AT41" i="45"/>
  <c r="A223" i="45"/>
  <c r="A405" i="45" s="1"/>
  <c r="B226" i="45"/>
  <c r="B408" i="45" s="1"/>
  <c r="AU44" i="45"/>
  <c r="AU100" i="45"/>
  <c r="B282" i="45"/>
  <c r="B464" i="45" s="1"/>
  <c r="BB239" i="40"/>
  <c r="AR110" i="9"/>
  <c r="AT110" i="9" s="1"/>
  <c r="AJ110" i="9"/>
  <c r="S126" i="40"/>
  <c r="R126" i="40"/>
  <c r="R135" i="40" s="1"/>
  <c r="R130" i="40"/>
  <c r="R364" i="40" s="1"/>
  <c r="AI126" i="40"/>
  <c r="AH146" i="40"/>
  <c r="AH147" i="40" s="1"/>
  <c r="AH149" i="40" s="1"/>
  <c r="AH342" i="40" s="1"/>
  <c r="AH126" i="40"/>
  <c r="AH135" i="40" s="1"/>
  <c r="DO75" i="28" s="1"/>
  <c r="AU156" i="45"/>
  <c r="S223" i="40"/>
  <c r="S225" i="40" s="1"/>
  <c r="S343" i="40" s="1"/>
  <c r="R223" i="40"/>
  <c r="R225" i="40" s="1"/>
  <c r="R343" i="40" s="1"/>
  <c r="M405" i="40"/>
  <c r="N405" i="40"/>
  <c r="AH130" i="40"/>
  <c r="AH364" i="40" s="1"/>
  <c r="AU92" i="45"/>
  <c r="B274" i="45"/>
  <c r="B456" i="45" s="1"/>
  <c r="X31" i="40"/>
  <c r="X367" i="40" s="1"/>
  <c r="Y223" i="40"/>
  <c r="B332" i="45"/>
  <c r="B514" i="45" s="1"/>
  <c r="AU150" i="45"/>
  <c r="A308" i="45"/>
  <c r="A490" i="45" s="1"/>
  <c r="AT126" i="45"/>
  <c r="AU168" i="45"/>
  <c r="B350" i="45"/>
  <c r="B532" i="45" s="1"/>
  <c r="AT89" i="45"/>
  <c r="A271" i="45"/>
  <c r="A453" i="45" s="1"/>
  <c r="Z146" i="40"/>
  <c r="Z130" i="40"/>
  <c r="Z364" i="40" s="1"/>
  <c r="Z126" i="40"/>
  <c r="AA126" i="40"/>
  <c r="AT173" i="45"/>
  <c r="A355" i="45"/>
  <c r="AB27" i="9"/>
  <c r="AD27" i="9" s="1"/>
  <c r="AB35" i="12"/>
  <c r="AK35" i="12" s="1"/>
  <c r="AB36" i="12"/>
  <c r="R293" i="40"/>
  <c r="R308" i="40" s="1"/>
  <c r="S293" i="40"/>
  <c r="S308" i="40" s="1"/>
  <c r="M116" i="40"/>
  <c r="M119" i="40" s="1"/>
  <c r="L120" i="40"/>
  <c r="AD787" i="46"/>
  <c r="AC250" i="40"/>
  <c r="T486" i="45"/>
  <c r="U304" i="45"/>
  <c r="AK744" i="46"/>
  <c r="AB35" i="9"/>
  <c r="AD35" i="9" s="1"/>
  <c r="V49" i="9"/>
  <c r="X49" i="9" s="1"/>
  <c r="L57" i="12"/>
  <c r="AB503" i="46"/>
  <c r="AB507" i="46"/>
  <c r="L516" i="46"/>
  <c r="L517" i="46"/>
  <c r="AB801" i="46"/>
  <c r="AB805" i="46"/>
  <c r="AK805" i="46" s="1"/>
  <c r="AU16" i="45"/>
  <c r="B198" i="45"/>
  <c r="B380" i="45" s="1"/>
  <c r="B211" i="45"/>
  <c r="B393" i="45" s="1"/>
  <c r="AU29" i="45"/>
  <c r="A229" i="45"/>
  <c r="A411" i="45" s="1"/>
  <c r="AT47" i="45"/>
  <c r="AT53" i="45"/>
  <c r="A235" i="45"/>
  <c r="A417" i="45" s="1"/>
  <c r="AU53" i="45"/>
  <c r="B235" i="45"/>
  <c r="B417" i="45" s="1"/>
  <c r="A248" i="45"/>
  <c r="A430" i="45" s="1"/>
  <c r="AT66" i="45"/>
  <c r="M251" i="40"/>
  <c r="M366" i="40" s="1"/>
  <c r="M247" i="40"/>
  <c r="L251" i="40"/>
  <c r="U247" i="40"/>
  <c r="U256" i="40" s="1"/>
  <c r="T247" i="40"/>
  <c r="AB247" i="40"/>
  <c r="AB248" i="40" s="1"/>
  <c r="AB251" i="40"/>
  <c r="AB366" i="40" s="1"/>
  <c r="AB269" i="40"/>
  <c r="AC265" i="40"/>
  <c r="AC266" i="40" s="1"/>
  <c r="V292" i="40"/>
  <c r="U296" i="40"/>
  <c r="B225" i="45"/>
  <c r="B407" i="45" s="1"/>
  <c r="AU43" i="45"/>
  <c r="DI51" i="45"/>
  <c r="Z174" i="40"/>
  <c r="Z18" i="40" s="1"/>
  <c r="BA165" i="40"/>
  <c r="BA13" i="40" s="1"/>
  <c r="DI153" i="45"/>
  <c r="AH18" i="40" s="1"/>
  <c r="AB27" i="40"/>
  <c r="AC28" i="40" s="1"/>
  <c r="AA27" i="40"/>
  <c r="AB31" i="40"/>
  <c r="AB367" i="40" s="1"/>
  <c r="AI99" i="40"/>
  <c r="AJ100" i="40" s="1"/>
  <c r="AJ102" i="40" s="1"/>
  <c r="AJ341" i="40" s="1"/>
  <c r="AJ78" i="40"/>
  <c r="AK79" i="40" s="1"/>
  <c r="Y100" i="40"/>
  <c r="X100" i="40"/>
  <c r="AH31" i="40"/>
  <c r="AH367" i="40" s="1"/>
  <c r="AH27" i="40"/>
  <c r="AG27" i="40"/>
  <c r="Z169" i="12"/>
  <c r="AG31" i="40"/>
  <c r="AG367" i="40" s="1"/>
  <c r="T126" i="40"/>
  <c r="T135" i="40" s="1"/>
  <c r="T130" i="40"/>
  <c r="T364" i="40" s="1"/>
  <c r="S130" i="40"/>
  <c r="S364" i="40" s="1"/>
  <c r="AB130" i="40"/>
  <c r="AB364" i="40" s="1"/>
  <c r="AA130" i="40"/>
  <c r="AA364" i="40" s="1"/>
  <c r="AB126" i="40"/>
  <c r="AI130" i="40"/>
  <c r="AI364" i="40" s="1"/>
  <c r="AI146" i="40"/>
  <c r="AJ126" i="40"/>
  <c r="Z100" i="40"/>
  <c r="AA100" i="40"/>
  <c r="U26" i="46"/>
  <c r="A279" i="45"/>
  <c r="A461" i="45" s="1"/>
  <c r="AT97" i="45"/>
  <c r="AU104" i="45"/>
  <c r="AT109" i="45"/>
  <c r="A291" i="45"/>
  <c r="A473" i="45" s="1"/>
  <c r="N78" i="40"/>
  <c r="O78" i="40"/>
  <c r="U61" i="12"/>
  <c r="Q100" i="40"/>
  <c r="Q102" i="40" s="1"/>
  <c r="Q341" i="40" s="1"/>
  <c r="P100" i="40"/>
  <c r="P102" i="40" s="1"/>
  <c r="P341" i="40" s="1"/>
  <c r="AK714" i="46"/>
  <c r="AB742" i="46"/>
  <c r="AB743" i="46"/>
  <c r="AA256" i="40"/>
  <c r="AU74" i="45"/>
  <c r="B256" i="45"/>
  <c r="B438" i="45" s="1"/>
  <c r="B319" i="45"/>
  <c r="B501" i="45" s="1"/>
  <c r="AU137" i="45"/>
  <c r="Z19" i="9"/>
  <c r="AB127" i="46"/>
  <c r="B248" i="45"/>
  <c r="B430" i="45" s="1"/>
  <c r="AU66" i="45"/>
  <c r="A254" i="45"/>
  <c r="A436" i="45" s="1"/>
  <c r="AT72" i="45"/>
  <c r="AT91" i="45"/>
  <c r="A273" i="45"/>
  <c r="A455" i="45" s="1"/>
  <c r="A297" i="45"/>
  <c r="A479" i="45" s="1"/>
  <c r="AT115" i="45"/>
  <c r="AT134" i="45"/>
  <c r="A316" i="45"/>
  <c r="A498" i="45" s="1"/>
  <c r="Z82" i="40"/>
  <c r="Z363" i="40" s="1"/>
  <c r="AA78" i="40"/>
  <c r="AA79" i="40" s="1"/>
  <c r="AA82" i="40"/>
  <c r="AA363" i="40" s="1"/>
  <c r="AH78" i="40"/>
  <c r="AH99" i="40"/>
  <c r="AI78" i="40"/>
  <c r="Y126" i="40"/>
  <c r="Y135" i="40" s="1"/>
  <c r="Y130" i="40"/>
  <c r="Y364" i="40" s="1"/>
  <c r="BB13" i="40"/>
  <c r="Q197" i="40"/>
  <c r="P197" i="40"/>
  <c r="U199" i="40"/>
  <c r="V199" i="40"/>
  <c r="DI73" i="45"/>
  <c r="DI75" i="45" s="1"/>
  <c r="U18" i="40" s="1"/>
  <c r="BH75" i="45"/>
  <c r="U70" i="40" s="1"/>
  <c r="L216" i="46"/>
  <c r="L217" i="46"/>
  <c r="U217" i="46" s="1"/>
  <c r="AB240" i="46"/>
  <c r="AB260" i="46"/>
  <c r="AB259" i="46"/>
  <c r="AD259" i="46" s="1"/>
  <c r="AB401" i="46"/>
  <c r="AD401" i="46" s="1"/>
  <c r="AB400" i="46"/>
  <c r="AB437" i="46"/>
  <c r="AB441" i="46"/>
  <c r="AB529" i="46"/>
  <c r="L572" i="46"/>
  <c r="L586" i="46"/>
  <c r="L582" i="46"/>
  <c r="L786" i="46"/>
  <c r="A314" i="45"/>
  <c r="A496" i="45" s="1"/>
  <c r="AT132" i="45"/>
  <c r="AB78" i="40"/>
  <c r="AC82" i="40"/>
  <c r="AC363" i="40" s="1"/>
  <c r="AZ78" i="40"/>
  <c r="AZ79" i="40" s="1"/>
  <c r="BA78" i="40"/>
  <c r="AB141" i="12"/>
  <c r="Z821" i="46"/>
  <c r="V42" i="9"/>
  <c r="X42" i="9" s="1"/>
  <c r="L50" i="12"/>
  <c r="AB773" i="46"/>
  <c r="AK773" i="46" s="1"/>
  <c r="AB550" i="46"/>
  <c r="AD550" i="46" s="1"/>
  <c r="AB658" i="46"/>
  <c r="AK658" i="46" s="1"/>
  <c r="L787" i="46"/>
  <c r="U787" i="46" s="1"/>
  <c r="AT113" i="45"/>
  <c r="A295" i="45"/>
  <c r="A477" i="45" s="1"/>
  <c r="X247" i="40"/>
  <c r="X256" i="40" s="1"/>
  <c r="X251" i="40"/>
  <c r="X366" i="40" s="1"/>
  <c r="AR96" i="9"/>
  <c r="AJ96" i="9"/>
  <c r="AB572" i="46"/>
  <c r="AB779" i="46"/>
  <c r="AB134" i="46"/>
  <c r="AB138" i="46"/>
  <c r="AD138" i="46" s="1"/>
  <c r="AB464" i="46"/>
  <c r="L501" i="46"/>
  <c r="AB523" i="46"/>
  <c r="AB522" i="46"/>
  <c r="AB582" i="46"/>
  <c r="L744" i="46"/>
  <c r="AU101" i="45"/>
  <c r="B283" i="45"/>
  <c r="B465" i="45" s="1"/>
  <c r="DH83" i="45"/>
  <c r="DH87" i="45" s="1"/>
  <c r="W17" i="40" s="1"/>
  <c r="BG87" i="45"/>
  <c r="W69" i="40" s="1"/>
  <c r="Q302" i="45"/>
  <c r="P484" i="45"/>
  <c r="Q484" i="45" s="1"/>
  <c r="AK267" i="46"/>
  <c r="L15" i="12"/>
  <c r="U15" i="12" s="1"/>
  <c r="R247" i="40"/>
  <c r="S265" i="40"/>
  <c r="Z247" i="40"/>
  <c r="AA248" i="40" s="1"/>
  <c r="Z269" i="40"/>
  <c r="N407" i="40"/>
  <c r="X383" i="40"/>
  <c r="DE67" i="28" s="1"/>
  <c r="R413" i="40"/>
  <c r="DI83" i="45"/>
  <c r="DI87" i="45" s="1"/>
  <c r="W18" i="40" s="1"/>
  <c r="BH87" i="45"/>
  <c r="W70" i="40" s="1"/>
  <c r="L21" i="46"/>
  <c r="L27" i="46"/>
  <c r="U27" i="46" s="1"/>
  <c r="AB113" i="46"/>
  <c r="AB117" i="46"/>
  <c r="AK117" i="46" s="1"/>
  <c r="AD395" i="46"/>
  <c r="AB407" i="46"/>
  <c r="AD414" i="46" s="1"/>
  <c r="AB406" i="46"/>
  <c r="L453" i="46"/>
  <c r="AB466" i="46"/>
  <c r="A214" i="45"/>
  <c r="A396" i="45" s="1"/>
  <c r="AT32" i="45"/>
  <c r="B219" i="45"/>
  <c r="B401" i="45" s="1"/>
  <c r="AU37" i="45"/>
  <c r="AU48" i="45"/>
  <c r="B230" i="45"/>
  <c r="B412" i="45" s="1"/>
  <c r="AU103" i="45"/>
  <c r="B285" i="45"/>
  <c r="B467" i="45" s="1"/>
  <c r="AT30" i="40"/>
  <c r="AF31" i="40"/>
  <c r="AF367" i="40" s="1"/>
  <c r="S194" i="40"/>
  <c r="S199" i="40"/>
  <c r="AA251" i="40"/>
  <c r="AA366" i="40" s="1"/>
  <c r="U292" i="40"/>
  <c r="U301" i="40" s="1"/>
  <c r="T296" i="40"/>
  <c r="AK787" i="46"/>
  <c r="Q247" i="40"/>
  <c r="AF140" i="9"/>
  <c r="L29" i="46"/>
  <c r="U29" i="46" s="1"/>
  <c r="AB467" i="46"/>
  <c r="DH51" i="45"/>
  <c r="AB624" i="46"/>
  <c r="AB98" i="46"/>
  <c r="AK780" i="46"/>
  <c r="Q223" i="40"/>
  <c r="Q225" i="40" s="1"/>
  <c r="Q343" i="40" s="1"/>
  <c r="AB729" i="46"/>
  <c r="AB19" i="46"/>
  <c r="AD26" i="46" s="1"/>
  <c r="AB666" i="46"/>
  <c r="R383" i="40"/>
  <c r="BF105" i="37"/>
  <c r="BF128" i="37"/>
  <c r="BF151" i="37" s="1"/>
  <c r="BF174" i="37" s="1"/>
  <c r="BN196" i="37"/>
  <c r="BN150" i="37"/>
  <c r="BN173" i="37" s="1"/>
  <c r="V62" i="37"/>
  <c r="V109" i="37"/>
  <c r="V132" i="37"/>
  <c r="V155" i="37" s="1"/>
  <c r="V178" i="37" s="1"/>
  <c r="R74" i="37"/>
  <c r="R121" i="37"/>
  <c r="R144" i="37"/>
  <c r="R167" i="37" s="1"/>
  <c r="R190" i="37" s="1"/>
  <c r="AT144" i="37"/>
  <c r="AT167" i="37" s="1"/>
  <c r="AT190" i="37" s="1"/>
  <c r="AT121" i="37"/>
  <c r="AP129" i="37"/>
  <c r="AP106" i="37"/>
  <c r="AP59" i="37"/>
  <c r="V133" i="37"/>
  <c r="V110" i="37"/>
  <c r="V63" i="37"/>
  <c r="BF132" i="37"/>
  <c r="BF155" i="37" s="1"/>
  <c r="BF178" i="37" s="1"/>
  <c r="BF109" i="37"/>
  <c r="Z63" i="37"/>
  <c r="Z133" i="37"/>
  <c r="Z156" i="37" s="1"/>
  <c r="Z179" i="37" s="1"/>
  <c r="Z110" i="37"/>
  <c r="Z111" i="37"/>
  <c r="Z134" i="37"/>
  <c r="Z64" i="37"/>
  <c r="AP212" i="37"/>
  <c r="AP166" i="37"/>
  <c r="AP189" i="37" s="1"/>
  <c r="AL133" i="37"/>
  <c r="AL63" i="37"/>
  <c r="AL110" i="37"/>
  <c r="BV119" i="37"/>
  <c r="BV142" i="37"/>
  <c r="AH132" i="37"/>
  <c r="AH201" i="37" s="1"/>
  <c r="AH109" i="37"/>
  <c r="AH62" i="37"/>
  <c r="N206" i="37"/>
  <c r="N160" i="37"/>
  <c r="N183" i="37" s="1"/>
  <c r="H813" i="46"/>
  <c r="J202" i="37"/>
  <c r="J64" i="37"/>
  <c r="AL104" i="37"/>
  <c r="V161" i="37"/>
  <c r="V184" i="37" s="1"/>
  <c r="AX166" i="37"/>
  <c r="AX189" i="37" s="1"/>
  <c r="AX211" i="37"/>
  <c r="Z69" i="37"/>
  <c r="AT161" i="37"/>
  <c r="AT184" i="37" s="1"/>
  <c r="AP120" i="37"/>
  <c r="BJ133" i="37"/>
  <c r="Z167" i="37"/>
  <c r="Z190" i="37" s="1"/>
  <c r="H715" i="46"/>
  <c r="AP144" i="37"/>
  <c r="AP167" i="37" s="1"/>
  <c r="AP190" i="37" s="1"/>
  <c r="BF116" i="37"/>
  <c r="N109" i="37"/>
  <c r="AP114" i="37"/>
  <c r="BB162" i="37"/>
  <c r="BB185" i="37" s="1"/>
  <c r="AD165" i="37"/>
  <c r="AD188" i="37" s="1"/>
  <c r="AL160" i="37"/>
  <c r="AL183" i="37" s="1"/>
  <c r="F184" i="46"/>
  <c r="AL90" i="40" s="1"/>
  <c r="BV151" i="37"/>
  <c r="BV174" i="37" s="1"/>
  <c r="R132" i="37"/>
  <c r="N67" i="37"/>
  <c r="N115" i="37"/>
  <c r="J138" i="37"/>
  <c r="J207" i="37" s="1"/>
  <c r="BJ197" i="37"/>
  <c r="BB202" i="37"/>
  <c r="N138" i="37"/>
  <c r="AD110" i="37"/>
  <c r="BV133" i="37"/>
  <c r="BV156" i="37" s="1"/>
  <c r="BV179" i="37" s="1"/>
  <c r="N114" i="37"/>
  <c r="R109" i="37"/>
  <c r="AL142" i="37"/>
  <c r="AL211" i="37" s="1"/>
  <c r="AD202" i="37"/>
  <c r="BR119" i="37"/>
  <c r="Y356" i="40"/>
  <c r="V203" i="37"/>
  <c r="V157" i="37"/>
  <c r="V180" i="37" s="1"/>
  <c r="AD155" i="37"/>
  <c r="AD178" i="37" s="1"/>
  <c r="AD201" i="37"/>
  <c r="BF115" i="37"/>
  <c r="BF138" i="37"/>
  <c r="BJ111" i="37"/>
  <c r="BJ134" i="37"/>
  <c r="AP206" i="37"/>
  <c r="AP160" i="37"/>
  <c r="AP183" i="37" s="1"/>
  <c r="BF208" i="37"/>
  <c r="BF162" i="37"/>
  <c r="BF185" i="37" s="1"/>
  <c r="BB165" i="37"/>
  <c r="BB188" i="37" s="1"/>
  <c r="BB211" i="37"/>
  <c r="AH138" i="37"/>
  <c r="AH115" i="37"/>
  <c r="AH68" i="37"/>
  <c r="AT166" i="37"/>
  <c r="AT189" i="37" s="1"/>
  <c r="AT212" i="37"/>
  <c r="BB105" i="37"/>
  <c r="BB128" i="37"/>
  <c r="N63" i="37"/>
  <c r="N110" i="37"/>
  <c r="AT109" i="37"/>
  <c r="AT62" i="37"/>
  <c r="BB111" i="37"/>
  <c r="BB134" i="37"/>
  <c r="AD116" i="37"/>
  <c r="AD139" i="37"/>
  <c r="AD69" i="37"/>
  <c r="BR137" i="37"/>
  <c r="BR114" i="37"/>
  <c r="AT72" i="37"/>
  <c r="AT142" i="37"/>
  <c r="AT119" i="37"/>
  <c r="BN162" i="37"/>
  <c r="BN185" i="37" s="1"/>
  <c r="AP139" i="37"/>
  <c r="AX74" i="37"/>
  <c r="AX62" i="37"/>
  <c r="AT133" i="37"/>
  <c r="AT63" i="37"/>
  <c r="AT74" i="37"/>
  <c r="R128" i="37"/>
  <c r="R197" i="37" s="1"/>
  <c r="AH110" i="37"/>
  <c r="AX144" i="37"/>
  <c r="R58" i="37"/>
  <c r="AL72" i="37"/>
  <c r="N157" i="37"/>
  <c r="N180" i="37" s="1"/>
  <c r="AT105" i="37"/>
  <c r="V196" i="37"/>
  <c r="V150" i="37"/>
  <c r="V173" i="37" s="1"/>
  <c r="BJ127" i="37"/>
  <c r="BB206" i="37"/>
  <c r="BB160" i="37"/>
  <c r="BB183" i="37" s="1"/>
  <c r="N129" i="37"/>
  <c r="N106" i="37"/>
  <c r="AP128" i="37"/>
  <c r="AP105" i="37"/>
  <c r="AT120" i="37"/>
  <c r="AT73" i="37"/>
  <c r="BB120" i="37"/>
  <c r="BB143" i="37"/>
  <c r="AH156" i="37"/>
  <c r="AH179" i="37" s="1"/>
  <c r="AL121" i="37"/>
  <c r="Z359" i="40"/>
  <c r="AD109" i="37"/>
  <c r="BJ142" i="37"/>
  <c r="AD129" i="37"/>
  <c r="BR150" i="37"/>
  <c r="BR173" i="37" s="1"/>
  <c r="AL74" i="37"/>
  <c r="Z57" i="37"/>
  <c r="AH63" i="37"/>
  <c r="Z128" i="37"/>
  <c r="Z197" i="37" s="1"/>
  <c r="AP127" i="37"/>
  <c r="Z106" i="37"/>
  <c r="Z59" i="37"/>
  <c r="Z129" i="37"/>
  <c r="J157" i="37"/>
  <c r="J180" i="37" s="1"/>
  <c r="J203" i="37"/>
  <c r="R134" i="37"/>
  <c r="R203" i="37" s="1"/>
  <c r="R64" i="37"/>
  <c r="Z62" i="37"/>
  <c r="Z132" i="37"/>
  <c r="Z109" i="37"/>
  <c r="AH134" i="37"/>
  <c r="AH203" i="37" s="1"/>
  <c r="AH64" i="37"/>
  <c r="AP132" i="37"/>
  <c r="AP109" i="37"/>
  <c r="AD137" i="37"/>
  <c r="AD114" i="37"/>
  <c r="BN137" i="37"/>
  <c r="BN160" i="37" s="1"/>
  <c r="BN183" i="37" s="1"/>
  <c r="BN114" i="37"/>
  <c r="V143" i="37"/>
  <c r="V73" i="37"/>
  <c r="AT128" i="37"/>
  <c r="R133" i="37"/>
  <c r="R110" i="37"/>
  <c r="R63" i="37"/>
  <c r="V111" i="37"/>
  <c r="V64" i="37"/>
  <c r="AP104" i="37"/>
  <c r="BV115" i="37"/>
  <c r="BV138" i="37"/>
  <c r="AP119" i="37"/>
  <c r="AP72" i="37"/>
  <c r="AP142" i="37"/>
  <c r="AP211" i="37" s="1"/>
  <c r="BB144" i="37"/>
  <c r="BB121" i="37"/>
  <c r="AD62" i="37"/>
  <c r="BB119" i="37"/>
  <c r="AD59" i="37"/>
  <c r="BN166" i="37"/>
  <c r="BN189" i="37" s="1"/>
  <c r="H344" i="46"/>
  <c r="Z127" i="37"/>
  <c r="BR104" i="37"/>
  <c r="Z58" i="37"/>
  <c r="AP67" i="37"/>
  <c r="AD127" i="37"/>
  <c r="AD57" i="37"/>
  <c r="BR110" i="37"/>
  <c r="BR133" i="37"/>
  <c r="BV144" i="37"/>
  <c r="BV121" i="37"/>
  <c r="AL196" i="37"/>
  <c r="AL150" i="37"/>
  <c r="AL173" i="37" s="1"/>
  <c r="N133" i="37"/>
  <c r="N202" i="37" s="1"/>
  <c r="BN134" i="37"/>
  <c r="BN111" i="37"/>
  <c r="BB138" i="37"/>
  <c r="BB115" i="37"/>
  <c r="V201" i="37"/>
  <c r="N121" i="37"/>
  <c r="N144" i="37"/>
  <c r="N213" i="37" s="1"/>
  <c r="AL207" i="37"/>
  <c r="BJ213" i="37"/>
  <c r="AL167" i="37"/>
  <c r="AL190" i="37" s="1"/>
  <c r="J68" i="37"/>
  <c r="AT132" i="37"/>
  <c r="AH111" i="37"/>
  <c r="N74" i="37"/>
  <c r="AD128" i="37"/>
  <c r="AD58" i="37"/>
  <c r="AD105" i="37"/>
  <c r="V115" i="37"/>
  <c r="V68" i="37"/>
  <c r="AX67" i="37"/>
  <c r="AX137" i="37"/>
  <c r="BX115" i="37"/>
  <c r="BR111" i="37"/>
  <c r="AH137" i="37"/>
  <c r="BB116" i="37"/>
  <c r="H173" i="46"/>
  <c r="S29" i="98"/>
  <c r="R37" i="98"/>
  <c r="R39" i="98" s="1"/>
  <c r="R35" i="98"/>
  <c r="AB45" i="89"/>
  <c r="P16" i="85"/>
  <c r="BD34" i="36"/>
  <c r="BD46" i="36"/>
  <c r="BD52" i="36" s="1"/>
  <c r="Z486" i="46"/>
  <c r="AB486" i="46" s="1"/>
  <c r="DF212" i="47"/>
  <c r="E197" i="47"/>
  <c r="I213" i="47" s="1"/>
  <c r="CX211" i="47"/>
  <c r="DF204" i="47"/>
  <c r="CX209" i="47"/>
  <c r="DF203" i="47"/>
  <c r="S518" i="46"/>
  <c r="H31" i="47"/>
  <c r="DU180" i="47"/>
  <c r="DU173" i="47"/>
  <c r="S40" i="47"/>
  <c r="S47" i="47"/>
  <c r="BM39" i="47"/>
  <c r="BM46" i="47"/>
  <c r="AC62" i="47"/>
  <c r="S240" i="46"/>
  <c r="D247" i="46" s="1"/>
  <c r="H247" i="46" s="1"/>
  <c r="BL55" i="47"/>
  <c r="AC55" i="47"/>
  <c r="AG62" i="40"/>
  <c r="S11" i="40"/>
  <c r="T64" i="40"/>
  <c r="S64" i="40"/>
  <c r="S65" i="40"/>
  <c r="AD63" i="40"/>
  <c r="L161" i="47"/>
  <c r="CB99" i="37" s="1"/>
  <c r="BL161" i="47"/>
  <c r="M159" i="47"/>
  <c r="BB159" i="47"/>
  <c r="H159" i="47"/>
  <c r="AD159" i="47"/>
  <c r="BG159" i="47"/>
  <c r="DZ159" i="47"/>
  <c r="U159" i="47"/>
  <c r="S576" i="46"/>
  <c r="AI575" i="46"/>
  <c r="BP116" i="47"/>
  <c r="BP102" i="47"/>
  <c r="BP109" i="47"/>
  <c r="BP130" i="47"/>
  <c r="BP144" i="47"/>
  <c r="AI682" i="46"/>
  <c r="EB164" i="47"/>
  <c r="EA164" i="47" s="1"/>
  <c r="DU171" i="47"/>
  <c r="AQ40" i="47"/>
  <c r="BI33" i="47"/>
  <c r="AQ33" i="47"/>
  <c r="D70" i="12"/>
  <c r="AD31" i="47"/>
  <c r="AR31" i="47"/>
  <c r="M31" i="47"/>
  <c r="AI237" i="46"/>
  <c r="D237" i="46"/>
  <c r="H237" i="46" s="1"/>
  <c r="D244" i="46"/>
  <c r="H244" i="46" s="1"/>
  <c r="S248" i="46"/>
  <c r="D254" i="46"/>
  <c r="H254" i="46" s="1"/>
  <c r="BQ129" i="47"/>
  <c r="BX143" i="47"/>
  <c r="AR159" i="47"/>
  <c r="Y235" i="40"/>
  <c r="X272" i="40"/>
  <c r="X344" i="40" s="1"/>
  <c r="AZ235" i="40"/>
  <c r="BW130" i="47"/>
  <c r="BG42" i="47"/>
  <c r="M42" i="47"/>
  <c r="AL166" i="47"/>
  <c r="AI736" i="46"/>
  <c r="D736" i="46"/>
  <c r="H736" i="46" s="1"/>
  <c r="P736" i="46" s="1"/>
  <c r="AI751" i="46"/>
  <c r="AL181" i="47"/>
  <c r="S753" i="46"/>
  <c r="BW88" i="47"/>
  <c r="BM95" i="47"/>
  <c r="AR97" i="47"/>
  <c r="AD97" i="47"/>
  <c r="M97" i="47"/>
  <c r="AQ105" i="47"/>
  <c r="DJ106" i="47"/>
  <c r="EJ131" i="47"/>
  <c r="EJ159" i="47"/>
  <c r="P122" i="47"/>
  <c r="AR122" i="47"/>
  <c r="U122" i="47"/>
  <c r="BG122" i="47"/>
  <c r="H122" i="47"/>
  <c r="AD122" i="47"/>
  <c r="BK157" i="47"/>
  <c r="M122" i="47"/>
  <c r="AF63" i="40"/>
  <c r="L175" i="47"/>
  <c r="CJ99" i="37" s="1"/>
  <c r="L182" i="47"/>
  <c r="CN99" i="37" s="1"/>
  <c r="T235" i="40"/>
  <c r="T320" i="40"/>
  <c r="T336" i="40" s="1"/>
  <c r="DZ172" i="47"/>
  <c r="BH137" i="40"/>
  <c r="U172" i="47"/>
  <c r="S682" i="46"/>
  <c r="AI666" i="46"/>
  <c r="S739" i="46"/>
  <c r="D673" i="46"/>
  <c r="H673" i="46" s="1"/>
  <c r="D300" i="46"/>
  <c r="H300" i="46" s="1"/>
  <c r="S403" i="46"/>
  <c r="D643" i="46"/>
  <c r="H643" i="46" s="1"/>
  <c r="AI636" i="46"/>
  <c r="U636" i="46"/>
  <c r="AI652" i="46"/>
  <c r="D652" i="46"/>
  <c r="H652" i="46" s="1"/>
  <c r="AI665" i="46"/>
  <c r="S668" i="46"/>
  <c r="D699" i="46"/>
  <c r="H699" i="46" s="1"/>
  <c r="S696" i="46"/>
  <c r="F696" i="46" s="1"/>
  <c r="D692" i="46"/>
  <c r="H692" i="46" s="1"/>
  <c r="AI692" i="46"/>
  <c r="AI701" i="46"/>
  <c r="AL131" i="47"/>
  <c r="BO131" i="47" s="1"/>
  <c r="BW131" i="47" s="1"/>
  <c r="S703" i="46"/>
  <c r="W320" i="40"/>
  <c r="X336" i="40" s="1"/>
  <c r="W256" i="40"/>
  <c r="BK96" i="47"/>
  <c r="AR89" i="47"/>
  <c r="O106" i="20"/>
  <c r="DJ91" i="47"/>
  <c r="O113" i="20" s="1"/>
  <c r="BP103" i="47"/>
  <c r="Z320" i="40"/>
  <c r="Z235" i="40"/>
  <c r="BP151" i="47"/>
  <c r="BW151" i="47"/>
  <c r="BL168" i="47"/>
  <c r="BG165" i="47"/>
  <c r="FD18" i="38"/>
  <c r="U165" i="47"/>
  <c r="H165" i="47"/>
  <c r="CJ93" i="37"/>
  <c r="N319" i="40"/>
  <c r="O335" i="40" s="1"/>
  <c r="N225" i="40"/>
  <c r="N343" i="40" s="1"/>
  <c r="AI29" i="46"/>
  <c r="AI48" i="46"/>
  <c r="S51" i="46"/>
  <c r="D55" i="46"/>
  <c r="H55" i="46" s="1"/>
  <c r="AI71" i="46"/>
  <c r="D71" i="46"/>
  <c r="H71" i="46" s="1"/>
  <c r="D76" i="46"/>
  <c r="H76" i="46" s="1"/>
  <c r="S79" i="46"/>
  <c r="AI637" i="46"/>
  <c r="D637" i="46"/>
  <c r="H637" i="46" s="1"/>
  <c r="P637" i="46" s="1"/>
  <c r="AI693" i="46"/>
  <c r="D693" i="46"/>
  <c r="H693" i="46" s="1"/>
  <c r="D702" i="46"/>
  <c r="H702" i="46" s="1"/>
  <c r="AI702" i="46"/>
  <c r="AI771" i="46"/>
  <c r="AI774" i="46" s="1"/>
  <c r="D778" i="46"/>
  <c r="H778" i="46" s="1"/>
  <c r="CE54" i="47"/>
  <c r="BP54" i="47"/>
  <c r="DI70" i="47"/>
  <c r="L106" i="20"/>
  <c r="DJ70" i="47"/>
  <c r="L113" i="20" s="1"/>
  <c r="DI129" i="47"/>
  <c r="DI136" i="47"/>
  <c r="AR130" i="47"/>
  <c r="AD130" i="47"/>
  <c r="EJ140" i="47"/>
  <c r="EI139" i="47"/>
  <c r="DV140" i="47"/>
  <c r="BF140" i="47"/>
  <c r="AE63" i="40"/>
  <c r="L168" i="47"/>
  <c r="CF99" i="37" s="1"/>
  <c r="FD23" i="38"/>
  <c r="HV21" i="38" s="1"/>
  <c r="BB166" i="47"/>
  <c r="CJ98" i="37"/>
  <c r="BK181" i="47"/>
  <c r="FL28" i="38"/>
  <c r="DZ174" i="47"/>
  <c r="BO98" i="47"/>
  <c r="H174" i="47"/>
  <c r="BS34" i="47"/>
  <c r="D743" i="46"/>
  <c r="H743" i="46" s="1"/>
  <c r="D750" i="46"/>
  <c r="H750" i="46" s="1"/>
  <c r="AL132" i="47"/>
  <c r="AL161" i="47"/>
  <c r="D48" i="46"/>
  <c r="H48" i="46" s="1"/>
  <c r="D42" i="46"/>
  <c r="H42" i="46" s="1"/>
  <c r="AI35" i="46"/>
  <c r="D54" i="46"/>
  <c r="H54" i="46" s="1"/>
  <c r="D61" i="46"/>
  <c r="H61" i="46" s="1"/>
  <c r="AI623" i="46"/>
  <c r="D623" i="46"/>
  <c r="H623" i="46" s="1"/>
  <c r="D638" i="46"/>
  <c r="H638" i="46" s="1"/>
  <c r="D645" i="46"/>
  <c r="H645" i="46" s="1"/>
  <c r="AI638" i="46"/>
  <c r="BM25" i="47"/>
  <c r="BM32" i="47"/>
  <c r="BM28" i="47"/>
  <c r="CB28" i="47"/>
  <c r="BM35" i="47"/>
  <c r="AL34" i="47"/>
  <c r="AP34" i="47" s="1"/>
  <c r="BO34" i="47"/>
  <c r="CE34" i="47" s="1"/>
  <c r="S639" i="46"/>
  <c r="AD66" i="47"/>
  <c r="AR66" i="47"/>
  <c r="H66" i="47"/>
  <c r="M66" i="47"/>
  <c r="BG66" i="47"/>
  <c r="BK73" i="47"/>
  <c r="BW158" i="47"/>
  <c r="BN158" i="47" s="1"/>
  <c r="BP158" i="47"/>
  <c r="AD165" i="47"/>
  <c r="BH114" i="37"/>
  <c r="BP115" i="37"/>
  <c r="EB117" i="37"/>
  <c r="BX114" i="37"/>
  <c r="S21" i="47"/>
  <c r="BI21" i="47"/>
  <c r="BG21" i="47" s="1"/>
  <c r="S28" i="47"/>
  <c r="BP66" i="47"/>
  <c r="BP73" i="47"/>
  <c r="BK102" i="47"/>
  <c r="U102" i="47"/>
  <c r="H102" i="47"/>
  <c r="R60" i="40"/>
  <c r="R65" i="40"/>
  <c r="R144" i="20"/>
  <c r="AF135" i="40"/>
  <c r="DM75" i="28" s="1"/>
  <c r="U637" i="46"/>
  <c r="BP40" i="47"/>
  <c r="BQ52" i="47"/>
  <c r="BH120" i="37"/>
  <c r="EB122" i="37"/>
  <c r="BI32" i="47"/>
  <c r="AQ32" i="47"/>
  <c r="CB38" i="47"/>
  <c r="BM38" i="47"/>
  <c r="BW38" i="47"/>
  <c r="BU38" i="47" s="1"/>
  <c r="CI38" i="47"/>
  <c r="BT45" i="47"/>
  <c r="BT38" i="47"/>
  <c r="BI38" i="47"/>
  <c r="H38" i="47" s="1"/>
  <c r="AQ38" i="47"/>
  <c r="CM48" i="47"/>
  <c r="S61" i="47"/>
  <c r="S54" i="47"/>
  <c r="BM67" i="47"/>
  <c r="BM74" i="47"/>
  <c r="BT68" i="47"/>
  <c r="BT75" i="47"/>
  <c r="O140" i="47"/>
  <c r="O133" i="47"/>
  <c r="BI133" i="47"/>
  <c r="BW136" i="47"/>
  <c r="BN136" i="47" s="1"/>
  <c r="BI140" i="47"/>
  <c r="G140" i="47"/>
  <c r="BG145" i="47"/>
  <c r="U145" i="47"/>
  <c r="DU154" i="47"/>
  <c r="DV147" i="47"/>
  <c r="DU147" i="47"/>
  <c r="CV151" i="47"/>
  <c r="U151" i="47"/>
  <c r="S151" i="47"/>
  <c r="D232" i="46"/>
  <c r="H232" i="46" s="1"/>
  <c r="D239" i="46"/>
  <c r="H239" i="46" s="1"/>
  <c r="V113" i="40"/>
  <c r="W114" i="40" s="1"/>
  <c r="DC70" i="47"/>
  <c r="L112" i="20" s="1"/>
  <c r="BK74" i="47"/>
  <c r="M67" i="47"/>
  <c r="AR67" i="47"/>
  <c r="H67" i="47"/>
  <c r="BW101" i="47"/>
  <c r="BM108" i="47"/>
  <c r="CV106" i="47"/>
  <c r="S105" i="47"/>
  <c r="AD117" i="47"/>
  <c r="BG117" i="47"/>
  <c r="S150" i="47"/>
  <c r="CV150" i="47"/>
  <c r="R102" i="40"/>
  <c r="R341" i="40" s="1"/>
  <c r="BG174" i="47"/>
  <c r="AD174" i="47"/>
  <c r="D758" i="46"/>
  <c r="H758" i="46" s="1"/>
  <c r="D644" i="46"/>
  <c r="H644" i="46" s="1"/>
  <c r="AL173" i="47"/>
  <c r="S134" i="12"/>
  <c r="AI134" i="12" s="1"/>
  <c r="AH114" i="40"/>
  <c r="AG318" i="40"/>
  <c r="AH334" i="40" s="1"/>
  <c r="AG114" i="40"/>
  <c r="BN103" i="47"/>
  <c r="AP160" i="47"/>
  <c r="BO160" i="47"/>
  <c r="BK129" i="47"/>
  <c r="DZ60" i="47"/>
  <c r="M60" i="47"/>
  <c r="AI280" i="46"/>
  <c r="AK280" i="46" s="1"/>
  <c r="D287" i="46"/>
  <c r="H287" i="46" s="1"/>
  <c r="D393" i="46"/>
  <c r="H393" i="46" s="1"/>
  <c r="AI386" i="46"/>
  <c r="S139" i="12"/>
  <c r="AI529" i="46"/>
  <c r="D529" i="46"/>
  <c r="H529" i="46" s="1"/>
  <c r="D536" i="46"/>
  <c r="H536" i="46" s="1"/>
  <c r="AI542" i="46"/>
  <c r="D542" i="46"/>
  <c r="H542" i="46" s="1"/>
  <c r="AI588" i="46"/>
  <c r="D595" i="46"/>
  <c r="H595" i="46" s="1"/>
  <c r="S39" i="47"/>
  <c r="S32" i="47"/>
  <c r="BF45" i="47"/>
  <c r="BF38" i="47"/>
  <c r="CE38" i="47"/>
  <c r="BP45" i="47"/>
  <c r="BP38" i="47"/>
  <c r="BI39" i="47"/>
  <c r="AQ46" i="47"/>
  <c r="H47" i="47"/>
  <c r="U47" i="47"/>
  <c r="AR47" i="47"/>
  <c r="CE47" i="47"/>
  <c r="BP47" i="47"/>
  <c r="CP45" i="47"/>
  <c r="CP52" i="47"/>
  <c r="S56" i="47"/>
  <c r="U56" i="47"/>
  <c r="AD67" i="47"/>
  <c r="P146" i="47"/>
  <c r="H146" i="47"/>
  <c r="U146" i="47"/>
  <c r="BG146" i="47"/>
  <c r="S152" i="47"/>
  <c r="CV152" i="47"/>
  <c r="AI515" i="46"/>
  <c r="D522" i="46"/>
  <c r="H522" i="46" s="1"/>
  <c r="CE32" i="47"/>
  <c r="BW32" i="47"/>
  <c r="BQ32" i="47" s="1"/>
  <c r="CH34" i="47"/>
  <c r="CE53" i="47"/>
  <c r="BP53" i="47"/>
  <c r="BL77" i="47"/>
  <c r="G77" i="47"/>
  <c r="W59" i="40"/>
  <c r="W65" i="40" s="1"/>
  <c r="W317" i="40" s="1"/>
  <c r="DJ82" i="47"/>
  <c r="AQ82" i="47"/>
  <c r="DB83" i="47"/>
  <c r="DA84" i="47"/>
  <c r="DB91" i="47" s="1"/>
  <c r="DB90" i="47"/>
  <c r="Y159" i="40"/>
  <c r="Y319" i="40" s="1"/>
  <c r="Z335" i="40" s="1"/>
  <c r="BO91" i="47"/>
  <c r="AA113" i="40"/>
  <c r="DC112" i="47"/>
  <c r="DC113" i="47"/>
  <c r="AR109" i="47"/>
  <c r="M109" i="47"/>
  <c r="BG109" i="47"/>
  <c r="U109" i="47"/>
  <c r="BP117" i="47"/>
  <c r="DV133" i="47"/>
  <c r="L147" i="47"/>
  <c r="DB168" i="47"/>
  <c r="DB161" i="47"/>
  <c r="CF98" i="37"/>
  <c r="AD179" i="47"/>
  <c r="M179" i="47"/>
  <c r="FT18" i="38"/>
  <c r="HX15" i="38" s="1"/>
  <c r="O11" i="40"/>
  <c r="O65" i="40"/>
  <c r="O64" i="40"/>
  <c r="O160" i="40"/>
  <c r="DR161" i="47"/>
  <c r="BT33" i="47"/>
  <c r="BW26" i="47"/>
  <c r="BT26" i="47"/>
  <c r="BL27" i="47"/>
  <c r="BF28" i="47"/>
  <c r="BF33" i="47"/>
  <c r="CI42" i="47"/>
  <c r="BT49" i="47"/>
  <c r="AQ42" i="47"/>
  <c r="BM45" i="47"/>
  <c r="CB45" i="47"/>
  <c r="BW45" i="47"/>
  <c r="CQ45" i="47" s="1"/>
  <c r="CI46" i="47"/>
  <c r="BT46" i="47"/>
  <c r="U66" i="47"/>
  <c r="CV66" i="47"/>
  <c r="R70" i="47"/>
  <c r="CV70" i="47" s="1"/>
  <c r="L111" i="20" s="1"/>
  <c r="BT74" i="47"/>
  <c r="AD59" i="40"/>
  <c r="DM168" i="47"/>
  <c r="P11" i="40"/>
  <c r="P65" i="40"/>
  <c r="S114" i="40"/>
  <c r="S318" i="40"/>
  <c r="S334" i="40" s="1"/>
  <c r="O320" i="40"/>
  <c r="O235" i="40"/>
  <c r="AI126" i="46"/>
  <c r="S147" i="12"/>
  <c r="AI147" i="12" s="1"/>
  <c r="AK147" i="12" s="1"/>
  <c r="BO77" i="47"/>
  <c r="BP77" i="47" s="1"/>
  <c r="Z63" i="40"/>
  <c r="L105" i="47"/>
  <c r="L98" i="47"/>
  <c r="BM115" i="47"/>
  <c r="DI130" i="47"/>
  <c r="DI137" i="47"/>
  <c r="EI132" i="47"/>
  <c r="BG147" i="47"/>
  <c r="BF147" i="47"/>
  <c r="S168" i="47"/>
  <c r="S161" i="47"/>
  <c r="CJ83" i="37"/>
  <c r="Q320" i="40"/>
  <c r="U630" i="46"/>
  <c r="DM175" i="47"/>
  <c r="AI616" i="46"/>
  <c r="D616" i="46"/>
  <c r="H616" i="46" s="1"/>
  <c r="CE42" i="47"/>
  <c r="BW42" i="47"/>
  <c r="CP39" i="47"/>
  <c r="S69" i="12"/>
  <c r="AI69" i="12" s="1"/>
  <c r="BI46" i="47"/>
  <c r="AD46" i="47" s="1"/>
  <c r="BW46" i="47"/>
  <c r="BQ46" i="47" s="1"/>
  <c r="BG56" i="47"/>
  <c r="U60" i="47"/>
  <c r="S67" i="47"/>
  <c r="CV60" i="47"/>
  <c r="DV70" i="47"/>
  <c r="L114" i="20" s="1"/>
  <c r="S82" i="47"/>
  <c r="CV75" i="47"/>
  <c r="BM82" i="47"/>
  <c r="BM75" i="47"/>
  <c r="AD76" i="47"/>
  <c r="DZ76" i="47"/>
  <c r="E84" i="47"/>
  <c r="X59" i="40" s="1"/>
  <c r="S85" i="46"/>
  <c r="S86" i="46" s="1"/>
  <c r="BP87" i="47"/>
  <c r="U178" i="47"/>
  <c r="EI178" i="47"/>
  <c r="EJ178" i="47" s="1"/>
  <c r="M178" i="47"/>
  <c r="FT13" i="38"/>
  <c r="U180" i="47"/>
  <c r="FT23" i="38"/>
  <c r="HX21" i="38" s="1"/>
  <c r="T160" i="40"/>
  <c r="S319" i="40"/>
  <c r="S335" i="40" s="1"/>
  <c r="CO48" i="47"/>
  <c r="U67" i="47"/>
  <c r="V159" i="40"/>
  <c r="DB105" i="47"/>
  <c r="BK122" i="47"/>
  <c r="O154" i="47"/>
  <c r="BP171" i="47"/>
  <c r="BW178" i="47"/>
  <c r="BU178" i="47" s="1"/>
  <c r="DR175" i="47"/>
  <c r="DU84" i="47"/>
  <c r="S560" i="46"/>
  <c r="DJ77" i="47"/>
  <c r="M113" i="20" s="1"/>
  <c r="DY81" i="47"/>
  <c r="EJ130" i="47"/>
  <c r="BW171" i="47"/>
  <c r="BX202" i="47" s="1"/>
  <c r="T8" i="40"/>
  <c r="T12" i="40" s="1"/>
  <c r="T321" i="40" s="1"/>
  <c r="S107" i="46"/>
  <c r="CP31" i="47"/>
  <c r="S33" i="47"/>
  <c r="BO55" i="47"/>
  <c r="BM97" i="47"/>
  <c r="BK109" i="47"/>
  <c r="CU112" i="47"/>
  <c r="DZ146" i="47"/>
  <c r="BM159" i="47"/>
  <c r="EI160" i="47"/>
  <c r="EH174" i="47"/>
  <c r="R235" i="40"/>
  <c r="BP137" i="47"/>
  <c r="BW102" i="47"/>
  <c r="BM174" i="47"/>
  <c r="EI167" i="47"/>
  <c r="BW179" i="47"/>
  <c r="DZ178" i="47"/>
  <c r="HN22" i="38"/>
  <c r="HN21" i="38"/>
  <c r="HN20" i="38"/>
  <c r="DV160" i="47"/>
  <c r="EB160" i="47"/>
  <c r="AI279" i="46"/>
  <c r="S283" i="46"/>
  <c r="AI307" i="46"/>
  <c r="S311" i="46"/>
  <c r="S145" i="12"/>
  <c r="AI145" i="12" s="1"/>
  <c r="AI406" i="46"/>
  <c r="D406" i="46"/>
  <c r="H406" i="46" s="1"/>
  <c r="S410" i="46"/>
  <c r="AI550" i="46"/>
  <c r="AI553" i="46" s="1"/>
  <c r="D557" i="46"/>
  <c r="H557" i="46" s="1"/>
  <c r="D792" i="46"/>
  <c r="H792" i="46" s="1"/>
  <c r="S795" i="46"/>
  <c r="AI792" i="46"/>
  <c r="AI799" i="46"/>
  <c r="S802" i="46"/>
  <c r="D806" i="46"/>
  <c r="H806" i="46" s="1"/>
  <c r="D799" i="46"/>
  <c r="H799" i="46" s="1"/>
  <c r="S816" i="46"/>
  <c r="D814" i="46"/>
  <c r="H814" i="46" s="1"/>
  <c r="S133" i="12"/>
  <c r="AI133" i="12" s="1"/>
  <c r="AO145" i="47"/>
  <c r="AI814" i="46"/>
  <c r="BM73" i="47"/>
  <c r="BW66" i="47"/>
  <c r="BN66" i="47" s="1"/>
  <c r="BM66" i="47"/>
  <c r="D314" i="46"/>
  <c r="H314" i="46" s="1"/>
  <c r="D307" i="46"/>
  <c r="H307" i="46" s="1"/>
  <c r="S108" i="47"/>
  <c r="BI108" i="47"/>
  <c r="BK108" i="47" s="1"/>
  <c r="R112" i="47"/>
  <c r="CV113" i="47" s="1"/>
  <c r="BM109" i="47"/>
  <c r="BW109" i="47"/>
  <c r="BN109" i="47" s="1"/>
  <c r="BO112" i="47"/>
  <c r="AA159" i="40"/>
  <c r="AR111" i="47"/>
  <c r="AD111" i="47"/>
  <c r="M111" i="47"/>
  <c r="U111" i="47"/>
  <c r="BG111" i="47"/>
  <c r="H111" i="47"/>
  <c r="DU112" i="47"/>
  <c r="DV112" i="47"/>
  <c r="AQ119" i="47"/>
  <c r="M167" i="47"/>
  <c r="DV157" i="47"/>
  <c r="DU157" i="47"/>
  <c r="EB157" i="47"/>
  <c r="AI268" i="46"/>
  <c r="AI269" i="46" s="1"/>
  <c r="S269" i="46"/>
  <c r="D275" i="46"/>
  <c r="H275" i="46" s="1"/>
  <c r="D273" i="46"/>
  <c r="H273" i="46" s="1"/>
  <c r="S276" i="46"/>
  <c r="D280" i="46"/>
  <c r="AI273" i="46"/>
  <c r="D286" i="46"/>
  <c r="H286" i="46" s="1"/>
  <c r="AI286" i="46"/>
  <c r="S318" i="46"/>
  <c r="D324" i="46"/>
  <c r="H324" i="46" s="1"/>
  <c r="AI385" i="46"/>
  <c r="S389" i="46"/>
  <c r="D392" i="46"/>
  <c r="H392" i="46" s="1"/>
  <c r="D394" i="46"/>
  <c r="H394" i="46" s="1"/>
  <c r="S396" i="46"/>
  <c r="AO139" i="47"/>
  <c r="AI808" i="46"/>
  <c r="D815" i="46"/>
  <c r="H815" i="46" s="1"/>
  <c r="U59" i="40"/>
  <c r="G63" i="47"/>
  <c r="G70" i="47"/>
  <c r="BT66" i="47"/>
  <c r="DZ66" i="47"/>
  <c r="EA66" i="47"/>
  <c r="DY66" i="47"/>
  <c r="W64" i="40"/>
  <c r="V11" i="40"/>
  <c r="DZ75" i="47"/>
  <c r="H75" i="47"/>
  <c r="AF12" i="40"/>
  <c r="AF321" i="40" s="1"/>
  <c r="AV321" i="40" s="1"/>
  <c r="BF175" i="47"/>
  <c r="AI254" i="46"/>
  <c r="D317" i="46"/>
  <c r="H317" i="46" s="1"/>
  <c r="AI317" i="46"/>
  <c r="AI318" i="46" s="1"/>
  <c r="BA245" i="40"/>
  <c r="BA243" i="40"/>
  <c r="BA242" i="40"/>
  <c r="S90" i="47"/>
  <c r="R84" i="47"/>
  <c r="BQ82" i="47"/>
  <c r="H61" i="47"/>
  <c r="BK68" i="47"/>
  <c r="BG61" i="47"/>
  <c r="AD61" i="47"/>
  <c r="AR61" i="47"/>
  <c r="BP203" i="47"/>
  <c r="BW172" i="47"/>
  <c r="BQ172" i="47" s="1"/>
  <c r="BL175" i="47"/>
  <c r="G175" i="47"/>
  <c r="BI175" i="47"/>
  <c r="BG175" i="47" s="1"/>
  <c r="BI182" i="47"/>
  <c r="H182" i="47" s="1"/>
  <c r="G182" i="47"/>
  <c r="AG12" i="40"/>
  <c r="BF206" i="47"/>
  <c r="DZ61" i="47"/>
  <c r="DH159" i="47"/>
  <c r="D260" i="46"/>
  <c r="H260" i="46" s="1"/>
  <c r="AO133" i="47"/>
  <c r="BF70" i="47"/>
  <c r="D266" i="46"/>
  <c r="H266" i="46" s="1"/>
  <c r="AI259" i="46"/>
  <c r="S126" i="12"/>
  <c r="D295" i="46"/>
  <c r="H295" i="46" s="1"/>
  <c r="AI288" i="46"/>
  <c r="AK288" i="46" s="1"/>
  <c r="D288" i="46"/>
  <c r="AI310" i="46"/>
  <c r="D310" i="46"/>
  <c r="H310" i="46" s="1"/>
  <c r="AI322" i="46"/>
  <c r="S160" i="12"/>
  <c r="AI160" i="12" s="1"/>
  <c r="S325" i="46"/>
  <c r="D322" i="46"/>
  <c r="H322" i="46" s="1"/>
  <c r="S332" i="46"/>
  <c r="F332" i="46" s="1"/>
  <c r="AG138" i="40" s="1"/>
  <c r="D335" i="46"/>
  <c r="H335" i="46" s="1"/>
  <c r="D328" i="46"/>
  <c r="H328" i="46" s="1"/>
  <c r="AI399" i="46"/>
  <c r="D399" i="46"/>
  <c r="H399" i="46" s="1"/>
  <c r="S152" i="12"/>
  <c r="AI152" i="12" s="1"/>
  <c r="D409" i="46"/>
  <c r="H409" i="46" s="1"/>
  <c r="AI409" i="46"/>
  <c r="AI413" i="46"/>
  <c r="S417" i="46"/>
  <c r="D551" i="46"/>
  <c r="H551" i="46" s="1"/>
  <c r="D544" i="46"/>
  <c r="H544" i="46" s="1"/>
  <c r="AI544" i="46"/>
  <c r="AK544" i="46" s="1"/>
  <c r="AI556" i="46"/>
  <c r="AI560" i="46" s="1"/>
  <c r="S618" i="46"/>
  <c r="AI614" i="46"/>
  <c r="AQ80" i="47"/>
  <c r="AQ87" i="47"/>
  <c r="DJ80" i="47"/>
  <c r="BM81" i="47"/>
  <c r="BM88" i="47"/>
  <c r="BW81" i="47"/>
  <c r="DY80" i="47"/>
  <c r="EA80" i="47"/>
  <c r="AL84" i="47"/>
  <c r="BO84" i="47" s="1"/>
  <c r="AP83" i="47"/>
  <c r="DJ83" i="47" s="1"/>
  <c r="AD89" i="47"/>
  <c r="M173" i="47"/>
  <c r="U173" i="47"/>
  <c r="BK173" i="47"/>
  <c r="EI173" i="47"/>
  <c r="EJ173" i="47" s="1"/>
  <c r="BG173" i="47"/>
  <c r="H173" i="47"/>
  <c r="FL23" i="38"/>
  <c r="HW20" i="38" s="1"/>
  <c r="BB173" i="47"/>
  <c r="AD173" i="47"/>
  <c r="AI300" i="46"/>
  <c r="S304" i="46"/>
  <c r="S138" i="12"/>
  <c r="AI323" i="46"/>
  <c r="D323" i="46"/>
  <c r="H323" i="46" s="1"/>
  <c r="S161" i="12"/>
  <c r="D615" i="46"/>
  <c r="H615" i="46" s="1"/>
  <c r="AI615" i="46"/>
  <c r="BW73" i="47"/>
  <c r="BX73" i="47" s="1"/>
  <c r="BT73" i="47"/>
  <c r="M106" i="20"/>
  <c r="DI77" i="47"/>
  <c r="DJ81" i="47"/>
  <c r="BI81" i="47"/>
  <c r="AD81" i="47" s="1"/>
  <c r="AQ81" i="47"/>
  <c r="AQ88" i="47"/>
  <c r="DU160" i="47"/>
  <c r="S262" i="46"/>
  <c r="D330" i="46"/>
  <c r="H330" i="46" s="1"/>
  <c r="S83" i="47"/>
  <c r="AI617" i="46"/>
  <c r="D617" i="46"/>
  <c r="H617" i="46" s="1"/>
  <c r="AI621" i="46"/>
  <c r="S625" i="46"/>
  <c r="D672" i="46"/>
  <c r="H672" i="46" s="1"/>
  <c r="S675" i="46"/>
  <c r="AI672" i="46"/>
  <c r="D679" i="46"/>
  <c r="H679" i="46" s="1"/>
  <c r="AI707" i="46"/>
  <c r="AK707" i="46" s="1"/>
  <c r="S125" i="12"/>
  <c r="D125" i="12" s="1"/>
  <c r="D714" i="46"/>
  <c r="H714" i="46" s="1"/>
  <c r="S774" i="46"/>
  <c r="D772" i="46"/>
  <c r="H772" i="46" s="1"/>
  <c r="BW74" i="47"/>
  <c r="BN74" i="47" s="1"/>
  <c r="DH84" i="47"/>
  <c r="EB83" i="47"/>
  <c r="DI90" i="47"/>
  <c r="BU82" i="47"/>
  <c r="BP96" i="47"/>
  <c r="BP89" i="47"/>
  <c r="BM124" i="47"/>
  <c r="BM131" i="47"/>
  <c r="BM166" i="47"/>
  <c r="BP179" i="47"/>
  <c r="BP165" i="47"/>
  <c r="BW165" i="47"/>
  <c r="BQ165" i="47" s="1"/>
  <c r="DV167" i="47"/>
  <c r="AE61" i="40"/>
  <c r="AF62" i="40" s="1"/>
  <c r="DN168" i="47"/>
  <c r="BA175" i="47"/>
  <c r="BA168" i="47"/>
  <c r="AB63" i="40"/>
  <c r="S297" i="46"/>
  <c r="AI293" i="46"/>
  <c r="D293" i="46"/>
  <c r="H293" i="46" s="1"/>
  <c r="D329" i="46"/>
  <c r="H329" i="46" s="1"/>
  <c r="AI329" i="46"/>
  <c r="D336" i="46"/>
  <c r="AI400" i="46"/>
  <c r="AK400" i="46" s="1"/>
  <c r="S153" i="12"/>
  <c r="D400" i="46"/>
  <c r="H400" i="46" s="1"/>
  <c r="D407" i="46"/>
  <c r="H407" i="46" s="1"/>
  <c r="AI414" i="46"/>
  <c r="D421" i="46"/>
  <c r="D414" i="46"/>
  <c r="H414" i="46" s="1"/>
  <c r="AI545" i="46"/>
  <c r="D552" i="46"/>
  <c r="H552" i="46" s="1"/>
  <c r="D721" i="46"/>
  <c r="H721" i="46" s="1"/>
  <c r="AI721" i="46"/>
  <c r="DV63" i="47"/>
  <c r="K114" i="20" s="1"/>
  <c r="K107" i="20"/>
  <c r="CT84" i="47"/>
  <c r="CU83" i="47"/>
  <c r="CU90" i="47"/>
  <c r="CV83" i="47"/>
  <c r="BM123" i="47"/>
  <c r="BW123" i="47"/>
  <c r="BN123" i="47" s="1"/>
  <c r="D413" i="46"/>
  <c r="H413" i="46" s="1"/>
  <c r="D622" i="46"/>
  <c r="H622" i="46" s="1"/>
  <c r="BM180" i="47"/>
  <c r="BB167" i="47"/>
  <c r="D267" i="46"/>
  <c r="H267" i="46" s="1"/>
  <c r="S553" i="46"/>
  <c r="D556" i="46"/>
  <c r="H556" i="46" s="1"/>
  <c r="DU70" i="47"/>
  <c r="G161" i="47"/>
  <c r="G133" i="47"/>
  <c r="DX83" i="47"/>
  <c r="DX84" i="47" s="1"/>
  <c r="DX70" i="47"/>
  <c r="BI70" i="47"/>
  <c r="AI63" i="46"/>
  <c r="D63" i="46"/>
  <c r="H63" i="46" s="1"/>
  <c r="S65" i="46"/>
  <c r="AI68" i="46"/>
  <c r="S72" i="46"/>
  <c r="AI110" i="46"/>
  <c r="D117" i="46"/>
  <c r="H117" i="46" s="1"/>
  <c r="S114" i="46"/>
  <c r="AI124" i="46"/>
  <c r="D124" i="46"/>
  <c r="H124" i="46" s="1"/>
  <c r="D131" i="46"/>
  <c r="H131" i="46" s="1"/>
  <c r="AI134" i="46"/>
  <c r="S155" i="12"/>
  <c r="S159" i="12"/>
  <c r="S142" i="46"/>
  <c r="D258" i="46"/>
  <c r="H258" i="46" s="1"/>
  <c r="S255" i="46"/>
  <c r="AI713" i="46"/>
  <c r="D720" i="46"/>
  <c r="H720" i="46" s="1"/>
  <c r="AI784" i="46"/>
  <c r="AI788" i="46" s="1"/>
  <c r="D791" i="46"/>
  <c r="H791" i="46" s="1"/>
  <c r="S788" i="46"/>
  <c r="S809" i="46"/>
  <c r="D812" i="46"/>
  <c r="H812" i="46" s="1"/>
  <c r="BP75" i="47"/>
  <c r="BP68" i="47"/>
  <c r="DC91" i="47"/>
  <c r="O112" i="20" s="1"/>
  <c r="O105" i="20"/>
  <c r="BM101" i="47"/>
  <c r="BM94" i="47"/>
  <c r="BM136" i="47"/>
  <c r="Z12" i="40"/>
  <c r="Z321" i="40" s="1"/>
  <c r="Z337" i="40" s="1"/>
  <c r="BF112" i="47"/>
  <c r="BF98" i="47"/>
  <c r="DV98" i="47"/>
  <c r="H101" i="47"/>
  <c r="BK115" i="47"/>
  <c r="AD101" i="47"/>
  <c r="DZ101" i="47"/>
  <c r="DJ105" i="47"/>
  <c r="DI105" i="47"/>
  <c r="BN157" i="47"/>
  <c r="BM157" i="47"/>
  <c r="EJ158" i="47"/>
  <c r="EJ165" i="47"/>
  <c r="M166" i="47"/>
  <c r="U166" i="47"/>
  <c r="DZ166" i="47"/>
  <c r="AD166" i="47"/>
  <c r="BG166" i="47"/>
  <c r="H166" i="47"/>
  <c r="AR62" i="47"/>
  <c r="DV180" i="47"/>
  <c r="BX122" i="37"/>
  <c r="BX119" i="37"/>
  <c r="D77" i="46"/>
  <c r="H77" i="46" s="1"/>
  <c r="D84" i="46"/>
  <c r="H84" i="46" s="1"/>
  <c r="AI77" i="46"/>
  <c r="AI90" i="46"/>
  <c r="D90" i="46"/>
  <c r="H90" i="46" s="1"/>
  <c r="S93" i="46"/>
  <c r="E91" i="47" s="1"/>
  <c r="D96" i="46"/>
  <c r="H96" i="46" s="1"/>
  <c r="AI96" i="46"/>
  <c r="AI247" i="46"/>
  <c r="AI778" i="46"/>
  <c r="S781" i="46"/>
  <c r="AI793" i="46"/>
  <c r="D793" i="46"/>
  <c r="H793" i="46" s="1"/>
  <c r="D807" i="46"/>
  <c r="H807" i="46" s="1"/>
  <c r="AI800" i="46"/>
  <c r="BI59" i="47"/>
  <c r="CV59" i="47"/>
  <c r="S66" i="47"/>
  <c r="R63" i="47"/>
  <c r="K104" i="20"/>
  <c r="CU70" i="47"/>
  <c r="CV76" i="47"/>
  <c r="S76" i="47"/>
  <c r="AA63" i="40"/>
  <c r="AA11" i="40" s="1"/>
  <c r="L112" i="47"/>
  <c r="DI158" i="47"/>
  <c r="DI165" i="47"/>
  <c r="EB165" i="47"/>
  <c r="DU172" i="47"/>
  <c r="BU97" i="47"/>
  <c r="BQ97" i="47"/>
  <c r="AI764" i="46"/>
  <c r="D771" i="46"/>
  <c r="H771" i="46" s="1"/>
  <c r="D764" i="46"/>
  <c r="H764" i="46" s="1"/>
  <c r="AI779" i="46"/>
  <c r="D779" i="46"/>
  <c r="H779" i="46" s="1"/>
  <c r="BW95" i="47"/>
  <c r="BM158" i="47"/>
  <c r="BM116" i="47"/>
  <c r="BW116" i="47"/>
  <c r="BN116" i="47" s="1"/>
  <c r="BF168" i="47"/>
  <c r="AE12" i="40"/>
  <c r="AE321" i="40" s="1"/>
  <c r="AE337" i="40" s="1"/>
  <c r="AI142" i="46"/>
  <c r="M77" i="47"/>
  <c r="BX120" i="37"/>
  <c r="AL70" i="47"/>
  <c r="L105" i="20"/>
  <c r="DB70" i="47"/>
  <c r="U73" i="47"/>
  <c r="S73" i="47"/>
  <c r="R77" i="47"/>
  <c r="CV73" i="47"/>
  <c r="DZ73" i="47"/>
  <c r="DX77" i="47"/>
  <c r="DY73" i="47"/>
  <c r="BF77" i="47"/>
  <c r="M107" i="20"/>
  <c r="DU77" i="47"/>
  <c r="S80" i="47"/>
  <c r="BI80" i="47"/>
  <c r="M80" i="47" s="1"/>
  <c r="BW89" i="47"/>
  <c r="BQ89" i="47" s="1"/>
  <c r="DY87" i="47"/>
  <c r="BK95" i="47"/>
  <c r="AD88" i="47"/>
  <c r="BG88" i="47"/>
  <c r="BF105" i="47"/>
  <c r="AB234" i="40"/>
  <c r="AB235" i="40" s="1"/>
  <c r="BO119" i="47"/>
  <c r="AC61" i="40"/>
  <c r="AD62" i="40" s="1"/>
  <c r="BA161" i="47"/>
  <c r="BK159" i="47"/>
  <c r="U124" i="47"/>
  <c r="H124" i="47"/>
  <c r="M157" i="47"/>
  <c r="BG157" i="47"/>
  <c r="AD157" i="47"/>
  <c r="AR157" i="47"/>
  <c r="H157" i="47"/>
  <c r="BM165" i="47"/>
  <c r="AE113" i="40"/>
  <c r="AC175" i="47"/>
  <c r="AC168" i="47"/>
  <c r="BM173" i="47"/>
  <c r="BB172" i="47"/>
  <c r="FL18" i="38"/>
  <c r="HW17" i="38" s="1"/>
  <c r="CN98" i="37"/>
  <c r="DY68" i="47"/>
  <c r="H69" i="47"/>
  <c r="L90" i="47"/>
  <c r="BL83" i="47"/>
  <c r="BM90" i="47" s="1"/>
  <c r="K84" i="47"/>
  <c r="L83" i="47"/>
  <c r="BP101" i="47"/>
  <c r="BP136" i="47"/>
  <c r="BW108" i="47"/>
  <c r="BP129" i="47"/>
  <c r="BP122" i="47"/>
  <c r="BP164" i="47"/>
  <c r="BW122" i="47"/>
  <c r="BQ122" i="47" s="1"/>
  <c r="AI97" i="46"/>
  <c r="D97" i="46"/>
  <c r="D103" i="46"/>
  <c r="H103" i="46" s="1"/>
  <c r="S717" i="46"/>
  <c r="F717" i="46" s="1"/>
  <c r="AB212" i="40" s="1"/>
  <c r="AB358" i="40" s="1"/>
  <c r="BT69" i="47"/>
  <c r="BT76" i="47"/>
  <c r="BK75" i="47"/>
  <c r="AD68" i="47"/>
  <c r="AR68" i="47"/>
  <c r="M68" i="47"/>
  <c r="H68" i="47"/>
  <c r="BP82" i="47"/>
  <c r="BW75" i="47"/>
  <c r="BX82" i="47" s="1"/>
  <c r="EA75" i="47"/>
  <c r="DY75" i="47"/>
  <c r="AR76" i="47"/>
  <c r="BG76" i="47"/>
  <c r="H76" i="47"/>
  <c r="DJ98" i="47"/>
  <c r="DI98" i="47"/>
  <c r="CV119" i="47"/>
  <c r="DB119" i="47"/>
  <c r="AD113" i="40"/>
  <c r="BI161" i="47"/>
  <c r="BB161" i="47" s="1"/>
  <c r="DC161" i="47"/>
  <c r="DV174" i="47"/>
  <c r="EB174" i="47"/>
  <c r="EA174" i="47" s="1"/>
  <c r="U69" i="47"/>
  <c r="S69" i="47"/>
  <c r="CV69" i="47"/>
  <c r="BW68" i="47"/>
  <c r="BN68" i="47" s="1"/>
  <c r="BM68" i="47"/>
  <c r="DZ68" i="47"/>
  <c r="EA68" i="47"/>
  <c r="BK76" i="47"/>
  <c r="BG69" i="47"/>
  <c r="AC90" i="47"/>
  <c r="DC83" i="47"/>
  <c r="AC83" i="47"/>
  <c r="BM138" i="47"/>
  <c r="BM96" i="47"/>
  <c r="BM103" i="47"/>
  <c r="BK111" i="47"/>
  <c r="U97" i="47"/>
  <c r="DZ97" i="47"/>
  <c r="BG97" i="47"/>
  <c r="H97" i="47"/>
  <c r="BK104" i="47"/>
  <c r="DU105" i="47"/>
  <c r="DU98" i="47"/>
  <c r="BW111" i="47"/>
  <c r="DJ113" i="47"/>
  <c r="DJ112" i="47"/>
  <c r="AQ112" i="47"/>
  <c r="BK124" i="47"/>
  <c r="AR117" i="47"/>
  <c r="H117" i="47"/>
  <c r="U117" i="47"/>
  <c r="DI119" i="47"/>
  <c r="DJ119" i="47"/>
  <c r="BF161" i="47"/>
  <c r="BD161" i="47"/>
  <c r="DB133" i="47"/>
  <c r="DC126" i="47"/>
  <c r="AE59" i="40"/>
  <c r="AE8" i="40" s="1"/>
  <c r="BI168" i="47"/>
  <c r="U168" i="47" s="1"/>
  <c r="M172" i="47"/>
  <c r="CN88" i="37"/>
  <c r="D68" i="46"/>
  <c r="H68" i="46" s="1"/>
  <c r="D808" i="46"/>
  <c r="H808" i="46" s="1"/>
  <c r="EA82" i="47"/>
  <c r="BK97" i="47"/>
  <c r="BD175" i="47"/>
  <c r="D681" i="46"/>
  <c r="H681" i="46" s="1"/>
  <c r="S68" i="47"/>
  <c r="EA62" i="47"/>
  <c r="BW117" i="47"/>
  <c r="BQ117" i="47" s="1"/>
  <c r="BP172" i="47"/>
  <c r="BM181" i="47"/>
  <c r="BM76" i="47"/>
  <c r="BP81" i="47"/>
  <c r="BM102" i="47"/>
  <c r="EJ161" i="47"/>
  <c r="BK172" i="47"/>
  <c r="BK117" i="47"/>
  <c r="BK166" i="47"/>
  <c r="CY211" i="47"/>
  <c r="DF210" i="47"/>
  <c r="Y212" i="47"/>
  <c r="O23" i="80"/>
  <c r="AF40" i="20" s="1"/>
  <c r="R23" i="80"/>
  <c r="Z120" i="20"/>
  <c r="Z119" i="20"/>
  <c r="Z118" i="20"/>
  <c r="Z121" i="20" s="1"/>
  <c r="X367" i="45"/>
  <c r="X368" i="45" s="1"/>
  <c r="X369" i="45" s="1"/>
  <c r="X370" i="45" s="1"/>
  <c r="Z487" i="46"/>
  <c r="Q13" i="85"/>
  <c r="Q137" i="85" s="1"/>
  <c r="P13" i="85"/>
  <c r="DU11" i="28"/>
  <c r="DO202" i="29"/>
  <c r="BH9" i="22"/>
  <c r="BH69" i="22" s="1"/>
  <c r="BH67" i="22" s="1"/>
  <c r="BH68" i="22" s="1"/>
  <c r="F188" i="46"/>
  <c r="HN17" i="38"/>
  <c r="HN16" i="38"/>
  <c r="HN15" i="38"/>
  <c r="AB43" i="89"/>
  <c r="AR361" i="45"/>
  <c r="L543" i="45"/>
  <c r="HN12" i="38"/>
  <c r="HN11" i="38"/>
  <c r="BH40" i="22"/>
  <c r="BI44" i="17"/>
  <c r="BK44" i="17"/>
  <c r="BG44" i="17"/>
  <c r="AY22" i="17"/>
  <c r="BA22" i="17" s="1"/>
  <c r="BE23" i="17"/>
  <c r="Y87" i="17"/>
  <c r="R53" i="22"/>
  <c r="AD56" i="22"/>
  <c r="AD59" i="22" s="1"/>
  <c r="BA37" i="17"/>
  <c r="BC37" i="17" s="1"/>
  <c r="BE37" i="17" s="1"/>
  <c r="AW38" i="17"/>
  <c r="AU39" i="17"/>
  <c r="AU46" i="17" s="1"/>
  <c r="AU59" i="17" s="1"/>
  <c r="AS39" i="17"/>
  <c r="AS46" i="17" s="1"/>
  <c r="AS59" i="17" s="1"/>
  <c r="T53" i="22"/>
  <c r="X53" i="22"/>
  <c r="AL53" i="22"/>
  <c r="V53" i="22"/>
  <c r="V56" i="22" s="1"/>
  <c r="V59" i="22" s="1"/>
  <c r="AR53" i="22"/>
  <c r="M46" i="17"/>
  <c r="M59" i="17" s="1"/>
  <c r="U46" i="17"/>
  <c r="AC46" i="17"/>
  <c r="AC59" i="17" s="1"/>
  <c r="U59" i="17"/>
  <c r="EA111" i="47"/>
  <c r="DZ111" i="47"/>
  <c r="D66" i="85"/>
  <c r="D108" i="85" s="1"/>
  <c r="D150" i="85"/>
  <c r="I174" i="85"/>
  <c r="I78" i="85"/>
  <c r="X46" i="28"/>
  <c r="BB46" i="28"/>
  <c r="BL46" i="28"/>
  <c r="O48" i="28"/>
  <c r="Y48" i="28"/>
  <c r="AD48" i="28"/>
  <c r="AT48" i="28"/>
  <c r="AY48" i="28"/>
  <c r="BI48" i="28"/>
  <c r="BN48" i="28"/>
  <c r="BN37" i="28"/>
  <c r="BS48" i="28"/>
  <c r="BX48" i="28"/>
  <c r="BI36" i="28"/>
  <c r="E47" i="85"/>
  <c r="E89" i="85"/>
  <c r="HR12" i="38"/>
  <c r="DZ13" i="38"/>
  <c r="EP18" i="38"/>
  <c r="HS17" i="38"/>
  <c r="EX23" i="38"/>
  <c r="HT21" i="38"/>
  <c r="EP23" i="38"/>
  <c r="S23" i="12"/>
  <c r="D33" i="12"/>
  <c r="AI33" i="12"/>
  <c r="AI37" i="12" s="1"/>
  <c r="D40" i="12"/>
  <c r="AI42" i="12"/>
  <c r="D42" i="12"/>
  <c r="D92" i="12"/>
  <c r="CL28" i="38" s="1"/>
  <c r="D99" i="12"/>
  <c r="DZ129" i="47"/>
  <c r="EA145" i="47"/>
  <c r="DZ145" i="47"/>
  <c r="DY226" i="47"/>
  <c r="DZ219" i="47"/>
  <c r="H24" i="34"/>
  <c r="H30" i="34"/>
  <c r="H42" i="34"/>
  <c r="H36" i="34"/>
  <c r="L42" i="34"/>
  <c r="L24" i="34"/>
  <c r="L30" i="34"/>
  <c r="L36" i="34"/>
  <c r="P24" i="34"/>
  <c r="P18" i="34"/>
  <c r="P42" i="34"/>
  <c r="P30" i="34"/>
  <c r="T24" i="34"/>
  <c r="T30" i="34"/>
  <c r="T18" i="34"/>
  <c r="T36" i="34"/>
  <c r="CN40" i="34"/>
  <c r="CN16" i="34"/>
  <c r="CN34" i="34"/>
  <c r="CN22" i="34"/>
  <c r="AB28" i="34"/>
  <c r="AB40" i="34"/>
  <c r="AB16" i="34"/>
  <c r="AB34" i="34"/>
  <c r="AB22" i="34"/>
  <c r="AB19" i="34"/>
  <c r="AB25" i="34"/>
  <c r="AB43" i="34"/>
  <c r="AB37" i="34"/>
  <c r="AJ23" i="34"/>
  <c r="AJ35" i="34"/>
  <c r="AJ17" i="34"/>
  <c r="AR28" i="34"/>
  <c r="AR40" i="34"/>
  <c r="AR16" i="34"/>
  <c r="AR22" i="34"/>
  <c r="AR37" i="34"/>
  <c r="AR25" i="34"/>
  <c r="AR19" i="34"/>
  <c r="AR31" i="34"/>
  <c r="AZ23" i="34"/>
  <c r="AZ17" i="34"/>
  <c r="AZ29" i="34"/>
  <c r="AZ35" i="34"/>
  <c r="BP24" i="34"/>
  <c r="BP42" i="34"/>
  <c r="BX29" i="34"/>
  <c r="BX23" i="34"/>
  <c r="CB28" i="34"/>
  <c r="CB34" i="34"/>
  <c r="CB22" i="34"/>
  <c r="CB16" i="34"/>
  <c r="CF30" i="34"/>
  <c r="CF36" i="34"/>
  <c r="CN25" i="34"/>
  <c r="CN19" i="34"/>
  <c r="CN31" i="34"/>
  <c r="CR29" i="34"/>
  <c r="CR35" i="34"/>
  <c r="CR17" i="34"/>
  <c r="CR41" i="34"/>
  <c r="CV22" i="34"/>
  <c r="CV16" i="34"/>
  <c r="CV28" i="34"/>
  <c r="CV40" i="34"/>
  <c r="C8" i="85"/>
  <c r="DG10" i="28"/>
  <c r="AG77" i="17"/>
  <c r="D12" i="85"/>
  <c r="D94" i="85" s="1"/>
  <c r="DH14" i="28"/>
  <c r="DP20" i="28"/>
  <c r="C20" i="85"/>
  <c r="C60" i="85" s="1"/>
  <c r="M20" i="85"/>
  <c r="DQ23" i="28"/>
  <c r="DG28" i="28"/>
  <c r="Q74" i="20"/>
  <c r="R74" i="20" s="1"/>
  <c r="W360" i="40"/>
  <c r="M9" i="20"/>
  <c r="V9" i="20"/>
  <c r="DM47" i="28"/>
  <c r="Z9" i="20"/>
  <c r="M38" i="85"/>
  <c r="M120" i="85" s="1"/>
  <c r="M177" i="85" s="1"/>
  <c r="AJ360" i="40"/>
  <c r="A40" i="34"/>
  <c r="A28" i="34"/>
  <c r="A46" i="34"/>
  <c r="A22" i="34"/>
  <c r="A16" i="34"/>
  <c r="A36" i="34"/>
  <c r="A42" i="34"/>
  <c r="A30" i="34"/>
  <c r="A24" i="34"/>
  <c r="A48" i="34"/>
  <c r="CJ35" i="34"/>
  <c r="CJ23" i="34"/>
  <c r="CJ17" i="34"/>
  <c r="CJ19" i="34"/>
  <c r="CJ37" i="34"/>
  <c r="CJ31" i="34"/>
  <c r="CJ43" i="34"/>
  <c r="A63" i="9"/>
  <c r="A77" i="9"/>
  <c r="A49" i="9"/>
  <c r="A210" i="9" s="1"/>
  <c r="B203" i="9"/>
  <c r="B182" i="9"/>
  <c r="B175" i="9"/>
  <c r="B126" i="9"/>
  <c r="B105" i="9"/>
  <c r="B161" i="9"/>
  <c r="B154" i="9"/>
  <c r="B147" i="9"/>
  <c r="B98" i="9"/>
  <c r="B42" i="9"/>
  <c r="B77" i="9"/>
  <c r="B189" i="9"/>
  <c r="B133" i="9"/>
  <c r="B119" i="9"/>
  <c r="B56" i="9"/>
  <c r="B84" i="9"/>
  <c r="B21" i="9"/>
  <c r="B49" i="9"/>
  <c r="B63" i="9"/>
  <c r="D50" i="9"/>
  <c r="L55" i="9"/>
  <c r="L63" i="9"/>
  <c r="L56" i="9"/>
  <c r="T56" i="9"/>
  <c r="L67" i="9"/>
  <c r="D78" i="9"/>
  <c r="L74" i="9"/>
  <c r="T70" i="9"/>
  <c r="F78" i="9"/>
  <c r="L95" i="9"/>
  <c r="L88" i="9"/>
  <c r="T84" i="9"/>
  <c r="F92" i="9"/>
  <c r="T104" i="9"/>
  <c r="F106" i="9"/>
  <c r="T131" i="9"/>
  <c r="L146" i="9"/>
  <c r="D148" i="9"/>
  <c r="T145" i="9"/>
  <c r="L181" i="9"/>
  <c r="L174" i="9"/>
  <c r="CJ13" i="28"/>
  <c r="E37" i="28"/>
  <c r="J37" i="28"/>
  <c r="T37" i="28"/>
  <c r="M13" i="28"/>
  <c r="M36" i="28" s="1"/>
  <c r="Z13" i="28"/>
  <c r="Z36" i="28" s="1"/>
  <c r="AB13" i="28"/>
  <c r="BD37" i="28"/>
  <c r="AG13" i="28"/>
  <c r="AG17" i="28" s="1"/>
  <c r="AG38" i="28" s="1"/>
  <c r="AL13" i="28"/>
  <c r="AL17" i="28" s="1"/>
  <c r="AQ13" i="28"/>
  <c r="AQ36" i="28" s="1"/>
  <c r="AV13" i="28"/>
  <c r="AV36" i="28" s="1"/>
  <c r="BA13" i="28"/>
  <c r="BA17" i="28" s="1"/>
  <c r="BK13" i="28"/>
  <c r="BK36" i="28" s="1"/>
  <c r="BZ13" i="28"/>
  <c r="BZ17" i="28" s="1"/>
  <c r="P9" i="20"/>
  <c r="AF360" i="40"/>
  <c r="F66" i="85"/>
  <c r="F108" i="85" s="1"/>
  <c r="S30" i="12"/>
  <c r="EA109" i="47"/>
  <c r="D15" i="9"/>
  <c r="DJ18" i="38"/>
  <c r="DJ23" i="38"/>
  <c r="S44" i="12"/>
  <c r="DX105" i="47"/>
  <c r="CE13" i="28"/>
  <c r="CE36" i="28" s="1"/>
  <c r="F37" i="28"/>
  <c r="BA48" i="28"/>
  <c r="CE48" i="28"/>
  <c r="BK39" i="28"/>
  <c r="BQ39" i="28"/>
  <c r="BV39" i="28"/>
  <c r="CA39" i="28"/>
  <c r="CF39" i="28"/>
  <c r="AH41" i="28"/>
  <c r="BB41" i="28"/>
  <c r="Q44" i="40"/>
  <c r="M35" i="20"/>
  <c r="DJ13" i="38"/>
  <c r="DY218" i="47"/>
  <c r="L60" i="9"/>
  <c r="L130" i="9"/>
  <c r="T188" i="9"/>
  <c r="AM189" i="9"/>
  <c r="N13" i="85"/>
  <c r="DR11" i="28"/>
  <c r="AA11" i="20"/>
  <c r="CB39" i="28"/>
  <c r="CB46" i="28"/>
  <c r="CB37" i="28"/>
  <c r="K48" i="28"/>
  <c r="K37" i="28"/>
  <c r="U48" i="28"/>
  <c r="U37" i="28"/>
  <c r="AE37" i="28"/>
  <c r="AJ48" i="28"/>
  <c r="AE48" i="28"/>
  <c r="BK37" i="28"/>
  <c r="BU37" i="28"/>
  <c r="BU48" i="28"/>
  <c r="BZ48" i="28"/>
  <c r="BZ37" i="28"/>
  <c r="H38" i="85"/>
  <c r="P17" i="28"/>
  <c r="P38" i="28" s="1"/>
  <c r="BB40" i="28"/>
  <c r="BB25" i="28"/>
  <c r="BB42" i="28" s="1"/>
  <c r="AH36" i="28"/>
  <c r="CA38" i="28"/>
  <c r="CA21" i="28"/>
  <c r="CA40" i="28" s="1"/>
  <c r="AQ17" i="28"/>
  <c r="R21" i="28"/>
  <c r="R38" i="28"/>
  <c r="R32" i="28"/>
  <c r="R43" i="28" s="1"/>
  <c r="CZ14" i="28"/>
  <c r="I37" i="20"/>
  <c r="I20" i="20"/>
  <c r="S84" i="17"/>
  <c r="S85" i="17"/>
  <c r="DC10" i="28"/>
  <c r="DC13" i="28" s="1"/>
  <c r="DC36" i="28" s="1"/>
  <c r="L15" i="20"/>
  <c r="L37" i="20"/>
  <c r="L12" i="20"/>
  <c r="AC85" i="17"/>
  <c r="AC84" i="17"/>
  <c r="N17" i="20"/>
  <c r="N32" i="20"/>
  <c r="N24" i="20"/>
  <c r="N14" i="20"/>
  <c r="N22" i="20"/>
  <c r="N35" i="20"/>
  <c r="N8" i="20"/>
  <c r="N26" i="20"/>
  <c r="DE8" i="28"/>
  <c r="H14" i="20"/>
  <c r="H24" i="20"/>
  <c r="H44" i="20"/>
  <c r="H26" i="20"/>
  <c r="H143" i="20"/>
  <c r="H20" i="20"/>
  <c r="H32" i="20"/>
  <c r="H22" i="20"/>
  <c r="H35" i="20"/>
  <c r="H8" i="20"/>
  <c r="CY46" i="28" s="1"/>
  <c r="I8" i="20"/>
  <c r="CZ46" i="28" s="1"/>
  <c r="CY8" i="28"/>
  <c r="CY37" i="28" s="1"/>
  <c r="AA14" i="40"/>
  <c r="DY179" i="47"/>
  <c r="D17" i="85"/>
  <c r="DH20" i="28"/>
  <c r="Q44" i="20"/>
  <c r="P41" i="20"/>
  <c r="P32" i="20"/>
  <c r="P17" i="20"/>
  <c r="Q8" i="20"/>
  <c r="C6" i="85"/>
  <c r="C89" i="85" s="1"/>
  <c r="P15" i="20"/>
  <c r="DG8" i="28"/>
  <c r="P22" i="20"/>
  <c r="P14" i="20"/>
  <c r="AG76" i="17"/>
  <c r="AG82" i="17" s="1"/>
  <c r="Y81" i="17"/>
  <c r="Y82" i="17"/>
  <c r="L14" i="40"/>
  <c r="L36" i="40"/>
  <c r="L37" i="40" s="1"/>
  <c r="M14" i="40"/>
  <c r="BH37" i="34"/>
  <c r="BH43" i="34"/>
  <c r="AL37" i="28"/>
  <c r="AL48" i="28"/>
  <c r="BB32" i="28"/>
  <c r="BB38" i="28"/>
  <c r="BP17" i="28"/>
  <c r="BP32" i="28" s="1"/>
  <c r="BP43" i="28" s="1"/>
  <c r="BH17" i="28"/>
  <c r="CL39" i="28"/>
  <c r="CL46" i="28"/>
  <c r="AC17" i="28"/>
  <c r="AC38" i="28" s="1"/>
  <c r="AC36" i="28"/>
  <c r="U36" i="28"/>
  <c r="U17" i="28"/>
  <c r="BC78" i="17"/>
  <c r="N12" i="85"/>
  <c r="DR14" i="28"/>
  <c r="BW46" i="28"/>
  <c r="BW37" i="28"/>
  <c r="BW13" i="28"/>
  <c r="BW39" i="28"/>
  <c r="P37" i="28"/>
  <c r="P48" i="28"/>
  <c r="Z37" i="28"/>
  <c r="Z48" i="28"/>
  <c r="AQ37" i="28"/>
  <c r="AQ48" i="28"/>
  <c r="AV48" i="28"/>
  <c r="AV37" i="28"/>
  <c r="BP48" i="28"/>
  <c r="BP37" i="28"/>
  <c r="DT20" i="28"/>
  <c r="Q17" i="85"/>
  <c r="P17" i="85"/>
  <c r="AX17" i="28"/>
  <c r="R36" i="28"/>
  <c r="AO17" i="28"/>
  <c r="AO36" i="28"/>
  <c r="F53" i="85"/>
  <c r="F137" i="85"/>
  <c r="B38" i="20"/>
  <c r="AS21" i="28"/>
  <c r="AS25" i="28" s="1"/>
  <c r="AI63" i="12"/>
  <c r="D63" i="12"/>
  <c r="EA204" i="47"/>
  <c r="DY211" i="47"/>
  <c r="DD17" i="34"/>
  <c r="DD23" i="34" s="1"/>
  <c r="DD29" i="34"/>
  <c r="DD41" i="34"/>
  <c r="N41" i="20"/>
  <c r="DE19" i="28"/>
  <c r="Q14" i="40"/>
  <c r="P14" i="40"/>
  <c r="I150" i="85"/>
  <c r="I66" i="85"/>
  <c r="I108" i="85" s="1"/>
  <c r="AM85" i="17"/>
  <c r="H66" i="85"/>
  <c r="H108" i="85" s="1"/>
  <c r="H150" i="85"/>
  <c r="M140" i="85"/>
  <c r="M98" i="85"/>
  <c r="EH18" i="38"/>
  <c r="HS16" i="38"/>
  <c r="HS15" i="38"/>
  <c r="HT22" i="38"/>
  <c r="HT20" i="38"/>
  <c r="AI20" i="12"/>
  <c r="D27" i="12"/>
  <c r="AI49" i="12"/>
  <c r="D49" i="12"/>
  <c r="S93" i="12"/>
  <c r="AI91" i="12"/>
  <c r="AI93" i="12" s="1"/>
  <c r="D91" i="12"/>
  <c r="CL23" i="38" s="1"/>
  <c r="S100" i="12"/>
  <c r="AI96" i="12"/>
  <c r="D96" i="12"/>
  <c r="D104" i="12"/>
  <c r="D111" i="12"/>
  <c r="AI104" i="12"/>
  <c r="AI113" i="12"/>
  <c r="AI114" i="12" s="1"/>
  <c r="S114" i="12"/>
  <c r="D120" i="12"/>
  <c r="AI117" i="12"/>
  <c r="D117" i="12"/>
  <c r="DY89" i="47"/>
  <c r="DZ89" i="47"/>
  <c r="DZ117" i="47"/>
  <c r="DZ152" i="47"/>
  <c r="DY152" i="47"/>
  <c r="DZ157" i="47"/>
  <c r="DY164" i="47"/>
  <c r="DZ179" i="47"/>
  <c r="DY203" i="47"/>
  <c r="CZ35" i="34"/>
  <c r="CZ29" i="34"/>
  <c r="CZ23" i="34"/>
  <c r="P22" i="34"/>
  <c r="P16" i="34"/>
  <c r="P40" i="34"/>
  <c r="P28" i="34"/>
  <c r="BT34" i="34"/>
  <c r="BT22" i="34"/>
  <c r="BT40" i="34"/>
  <c r="BT16" i="34"/>
  <c r="CN35" i="34"/>
  <c r="CN41" i="34"/>
  <c r="CN17" i="34"/>
  <c r="CN23" i="34"/>
  <c r="J18" i="38"/>
  <c r="H20" i="12"/>
  <c r="AB29" i="34"/>
  <c r="AB23" i="34"/>
  <c r="AJ30" i="34"/>
  <c r="AJ24" i="34"/>
  <c r="AR35" i="34"/>
  <c r="AR29" i="34"/>
  <c r="AR41" i="34"/>
  <c r="BD16" i="34"/>
  <c r="BD40" i="34"/>
  <c r="BP43" i="34"/>
  <c r="BP37" i="34"/>
  <c r="BP31" i="34"/>
  <c r="BP19" i="34"/>
  <c r="CB35" i="34"/>
  <c r="CB29" i="34"/>
  <c r="CB41" i="34"/>
  <c r="CB17" i="34"/>
  <c r="CR24" i="34"/>
  <c r="CR18" i="34"/>
  <c r="CV17" i="34"/>
  <c r="CV29" i="34"/>
  <c r="CV23" i="34"/>
  <c r="CV35" i="34"/>
  <c r="CV25" i="34"/>
  <c r="CV37" i="34"/>
  <c r="CV31" i="34"/>
  <c r="X9" i="20"/>
  <c r="AH360" i="40"/>
  <c r="AF18" i="34"/>
  <c r="AF24" i="34"/>
  <c r="AN24" i="34"/>
  <c r="AN18" i="34"/>
  <c r="AN42" i="34"/>
  <c r="AN36" i="34"/>
  <c r="A39" i="9"/>
  <c r="A74" i="9"/>
  <c r="A81" i="9"/>
  <c r="A67" i="9"/>
  <c r="A32" i="9"/>
  <c r="A46" i="9"/>
  <c r="A207" i="9" s="1"/>
  <c r="A53" i="9"/>
  <c r="A60" i="9"/>
  <c r="B102" i="9"/>
  <c r="B25" i="9"/>
  <c r="B158" i="9"/>
  <c r="B74" i="9"/>
  <c r="B130" i="9"/>
  <c r="B32" i="9"/>
  <c r="CZ39" i="28"/>
  <c r="U46" i="28"/>
  <c r="AJ37" i="28"/>
  <c r="AJ46" i="28"/>
  <c r="AJ13" i="28"/>
  <c r="AJ36" i="28" s="1"/>
  <c r="AT13" i="28"/>
  <c r="AT17" i="28" s="1"/>
  <c r="AT37" i="28"/>
  <c r="I13" i="85"/>
  <c r="DM11" i="28"/>
  <c r="DM10" i="28" s="1"/>
  <c r="DM13" i="28" s="1"/>
  <c r="DM36" i="28" s="1"/>
  <c r="DJ28" i="28"/>
  <c r="I9" i="20"/>
  <c r="CZ47" i="28"/>
  <c r="DI47" i="28"/>
  <c r="R35" i="82" s="1"/>
  <c r="Z35" i="82" s="1"/>
  <c r="E38" i="85"/>
  <c r="AE17" i="28"/>
  <c r="DY111" i="47"/>
  <c r="DY118" i="47"/>
  <c r="BU13" i="28"/>
  <c r="L39" i="9"/>
  <c r="R40" i="9"/>
  <c r="T39" i="9"/>
  <c r="T63" i="9"/>
  <c r="L81" i="9"/>
  <c r="D85" i="9"/>
  <c r="T77" i="9"/>
  <c r="L124" i="9"/>
  <c r="R159" i="9"/>
  <c r="T158" i="9"/>
  <c r="L166" i="9"/>
  <c r="CJ48" i="28"/>
  <c r="CG46" i="28"/>
  <c r="DB18" i="38"/>
  <c r="DB23" i="38"/>
  <c r="D36" i="12"/>
  <c r="EA116" i="47"/>
  <c r="D71" i="9"/>
  <c r="C13" i="28"/>
  <c r="H13" i="28"/>
  <c r="EA136" i="47"/>
  <c r="EA152" i="47"/>
  <c r="L21" i="9"/>
  <c r="D155" i="9"/>
  <c r="L162" i="9" s="1"/>
  <c r="F162" i="9"/>
  <c r="D176" i="9"/>
  <c r="CA32" i="28"/>
  <c r="CA43" i="28" s="1"/>
  <c r="CL13" i="28"/>
  <c r="CL17" i="28" s="1"/>
  <c r="P36" i="28"/>
  <c r="AS38" i="28"/>
  <c r="AM21" i="28"/>
  <c r="BX32" i="28"/>
  <c r="BX38" i="28"/>
  <c r="F237" i="47"/>
  <c r="F187" i="46"/>
  <c r="BG70" i="47"/>
  <c r="BE84" i="47"/>
  <c r="BF83" i="47"/>
  <c r="S106" i="12"/>
  <c r="BK67" i="47"/>
  <c r="AR60" i="47"/>
  <c r="BG60" i="47"/>
  <c r="AD60" i="47"/>
  <c r="CQ52" i="47"/>
  <c r="BN52" i="47"/>
  <c r="D251" i="46"/>
  <c r="H251" i="46" s="1"/>
  <c r="AI251" i="46"/>
  <c r="CP32" i="47"/>
  <c r="CO27" i="47"/>
  <c r="DV83" i="47"/>
  <c r="AD47" i="47"/>
  <c r="M47" i="47"/>
  <c r="AI104" i="46"/>
  <c r="D111" i="46"/>
  <c r="H111" i="46" s="1"/>
  <c r="D223" i="46"/>
  <c r="H223" i="46" s="1"/>
  <c r="AI301" i="46"/>
  <c r="D301" i="46"/>
  <c r="H301" i="46" s="1"/>
  <c r="AI730" i="46"/>
  <c r="S732" i="46"/>
  <c r="R27" i="47"/>
  <c r="S212" i="46"/>
  <c r="AC34" i="47"/>
  <c r="L34" i="47"/>
  <c r="L41" i="47"/>
  <c r="BN110" i="47"/>
  <c r="BU110" i="47"/>
  <c r="AI624" i="46"/>
  <c r="D624" i="46"/>
  <c r="H624" i="46" s="1"/>
  <c r="HS26" i="38"/>
  <c r="HS27" i="38"/>
  <c r="D279" i="46"/>
  <c r="AI272" i="46"/>
  <c r="AI523" i="46"/>
  <c r="D530" i="46"/>
  <c r="H530" i="46" s="1"/>
  <c r="BM24" i="47"/>
  <c r="CB24" i="47"/>
  <c r="BM31" i="47"/>
  <c r="CE25" i="47"/>
  <c r="BW25" i="47"/>
  <c r="BU25" i="47" s="1"/>
  <c r="BP32" i="47"/>
  <c r="BP28" i="47"/>
  <c r="BW28" i="47"/>
  <c r="CQ28" i="47" s="1"/>
  <c r="BP35" i="47"/>
  <c r="BP33" i="47"/>
  <c r="CE33" i="47"/>
  <c r="BW39" i="47"/>
  <c r="CE46" i="47"/>
  <c r="DC133" i="47"/>
  <c r="R154" i="47"/>
  <c r="G154" i="47"/>
  <c r="DU164" i="47"/>
  <c r="BW35" i="47"/>
  <c r="BT47" i="47"/>
  <c r="AC48" i="47"/>
  <c r="U159" i="40"/>
  <c r="EA67" i="47"/>
  <c r="BL140" i="47"/>
  <c r="EJ164" i="47"/>
  <c r="S124" i="12"/>
  <c r="BE27" i="47"/>
  <c r="BI35" i="47"/>
  <c r="U35" i="47" s="1"/>
  <c r="BW31" i="47"/>
  <c r="S53" i="47"/>
  <c r="AF59" i="40"/>
  <c r="R8" i="40"/>
  <c r="DE211" i="47"/>
  <c r="E190" i="47"/>
  <c r="CY210" i="47"/>
  <c r="DF202" i="47"/>
  <c r="Y209" i="47"/>
  <c r="DE209" i="47"/>
  <c r="CW206" i="47"/>
  <c r="CY205" i="47"/>
  <c r="DD206" i="47"/>
  <c r="DF206" i="47" s="1"/>
  <c r="Y318" i="40"/>
  <c r="W318" i="40"/>
  <c r="U235" i="40"/>
  <c r="U320" i="40"/>
  <c r="V235" i="40"/>
  <c r="W235" i="40"/>
  <c r="V320" i="40"/>
  <c r="BT77" i="47"/>
  <c r="BM87" i="47"/>
  <c r="BM130" i="47"/>
  <c r="BK165" i="47"/>
  <c r="BX117" i="37"/>
  <c r="DX63" i="47"/>
  <c r="BM129" i="47"/>
  <c r="DQ175" i="47"/>
  <c r="EA95" i="47"/>
  <c r="EJ168" i="47"/>
  <c r="BP178" i="47"/>
  <c r="CY212" i="47"/>
  <c r="J212" i="47"/>
  <c r="I209" i="47"/>
  <c r="CY209" i="47" s="1"/>
  <c r="CX210" i="47"/>
  <c r="DE210" i="47"/>
  <c r="Y213" i="47"/>
  <c r="BX40" i="28"/>
  <c r="BX25" i="28"/>
  <c r="BX42" i="28" s="1"/>
  <c r="BX41" i="28"/>
  <c r="H19" i="12"/>
  <c r="CG13" i="28"/>
  <c r="CG36" i="28" s="1"/>
  <c r="L189" i="9"/>
  <c r="R35" i="20"/>
  <c r="HT18" i="38"/>
  <c r="S13" i="28"/>
  <c r="X13" i="28"/>
  <c r="X36" i="28" s="1"/>
  <c r="DY138" i="47"/>
  <c r="G102" i="85"/>
  <c r="G144" i="85"/>
  <c r="L196" i="9"/>
  <c r="E8" i="85"/>
  <c r="R15" i="20"/>
  <c r="BD36" i="28"/>
  <c r="BG36" i="28"/>
  <c r="BG17" i="28"/>
  <c r="D17" i="28"/>
  <c r="D32" i="28" s="1"/>
  <c r="D43" i="28" s="1"/>
  <c r="D36" i="28"/>
  <c r="R188" i="9"/>
  <c r="T187" i="9"/>
  <c r="L139" i="9"/>
  <c r="L132" i="9"/>
  <c r="D141" i="9"/>
  <c r="L148" i="9" s="1"/>
  <c r="L137" i="9"/>
  <c r="AM137" i="9"/>
  <c r="F141" i="9"/>
  <c r="T133" i="9"/>
  <c r="L144" i="9"/>
  <c r="T140" i="9"/>
  <c r="R144" i="9"/>
  <c r="AM144" i="9"/>
  <c r="F155" i="9"/>
  <c r="T153" i="9"/>
  <c r="L161" i="9"/>
  <c r="L168" i="9"/>
  <c r="L175" i="9"/>
  <c r="D169" i="9"/>
  <c r="AM172" i="9"/>
  <c r="F176" i="9"/>
  <c r="R172" i="9"/>
  <c r="T186" i="9"/>
  <c r="R187" i="9"/>
  <c r="CJ39" i="28"/>
  <c r="CJ64" i="28" s="1"/>
  <c r="DD34" i="34"/>
  <c r="DD40" i="34"/>
  <c r="DD28" i="34"/>
  <c r="O82" i="17"/>
  <c r="O81" i="17"/>
  <c r="DK14" i="28"/>
  <c r="G12" i="85"/>
  <c r="G39" i="85" s="1"/>
  <c r="T20" i="20"/>
  <c r="L20" i="85"/>
  <c r="DP23" i="28"/>
  <c r="R18" i="82"/>
  <c r="Z18" i="82" s="1"/>
  <c r="M95" i="85"/>
  <c r="M53" i="85"/>
  <c r="M137" i="85"/>
  <c r="L20" i="20"/>
  <c r="F9" i="20"/>
  <c r="C174" i="85"/>
  <c r="C78" i="85"/>
  <c r="C120" i="85"/>
  <c r="BH37" i="28"/>
  <c r="BH46" i="28"/>
  <c r="BM46" i="28"/>
  <c r="CA46" i="28"/>
  <c r="CF46" i="28"/>
  <c r="I48" i="28"/>
  <c r="X48" i="28"/>
  <c r="AN48" i="28"/>
  <c r="AS48" i="28"/>
  <c r="AX48" i="28"/>
  <c r="BH48" i="28"/>
  <c r="BM48" i="28"/>
  <c r="BM37" i="28"/>
  <c r="HT12" i="38"/>
  <c r="HT10" i="38"/>
  <c r="HT11" i="38"/>
  <c r="DY125" i="47"/>
  <c r="DZ118" i="47"/>
  <c r="DZ171" i="47"/>
  <c r="DY178" i="47"/>
  <c r="DZ181" i="47"/>
  <c r="DY181" i="47"/>
  <c r="DX182" i="47"/>
  <c r="DZ212" i="47"/>
  <c r="DY219" i="47"/>
  <c r="P17" i="34"/>
  <c r="P41" i="34"/>
  <c r="T41" i="34"/>
  <c r="T17" i="34"/>
  <c r="T35" i="34"/>
  <c r="T29" i="34"/>
  <c r="BT42" i="34"/>
  <c r="BT18" i="34"/>
  <c r="BT30" i="34"/>
  <c r="BT24" i="34"/>
  <c r="X22" i="34"/>
  <c r="X16" i="34"/>
  <c r="X34" i="34"/>
  <c r="X40" i="34"/>
  <c r="X24" i="34"/>
  <c r="X42" i="34"/>
  <c r="X18" i="34"/>
  <c r="X30" i="34"/>
  <c r="AB24" i="34"/>
  <c r="AB30" i="34"/>
  <c r="AB18" i="34"/>
  <c r="AB36" i="34"/>
  <c r="AV17" i="34"/>
  <c r="AV35" i="34"/>
  <c r="AV29" i="34"/>
  <c r="AV23" i="34"/>
  <c r="BL40" i="34"/>
  <c r="BL34" i="34"/>
  <c r="BX28" i="34"/>
  <c r="BX34" i="34"/>
  <c r="BX16" i="34"/>
  <c r="BX22" i="34"/>
  <c r="CB31" i="34"/>
  <c r="CB25" i="34"/>
  <c r="CF17" i="34"/>
  <c r="CF23" i="34"/>
  <c r="CF41" i="34"/>
  <c r="CF29" i="34"/>
  <c r="CR34" i="34"/>
  <c r="CR28" i="34"/>
  <c r="CR40" i="34"/>
  <c r="CR16" i="34"/>
  <c r="CR19" i="34"/>
  <c r="CR31" i="34"/>
  <c r="CR25" i="34"/>
  <c r="CR37" i="34"/>
  <c r="CV36" i="34"/>
  <c r="CV24" i="34"/>
  <c r="CV30" i="34"/>
  <c r="D22" i="9"/>
  <c r="L27" i="9"/>
  <c r="L33" i="9"/>
  <c r="L26" i="9"/>
  <c r="D57" i="9"/>
  <c r="L62" i="9"/>
  <c r="T69" i="9"/>
  <c r="F71" i="9"/>
  <c r="L84" i="9"/>
  <c r="L91" i="9"/>
  <c r="L111" i="9"/>
  <c r="L123" i="9"/>
  <c r="B35" i="20"/>
  <c r="Z14" i="40"/>
  <c r="AI86" i="12"/>
  <c r="HR21" i="38"/>
  <c r="HR20" i="38"/>
  <c r="HR22" i="38"/>
  <c r="AI13" i="12"/>
  <c r="S16" i="12"/>
  <c r="AI62" i="12"/>
  <c r="AI97" i="12"/>
  <c r="D97" i="12"/>
  <c r="D105" i="12"/>
  <c r="D112" i="12"/>
  <c r="AI105" i="12"/>
  <c r="AK105" i="12" s="1"/>
  <c r="D118" i="12"/>
  <c r="S121" i="12"/>
  <c r="AI118" i="12"/>
  <c r="DY88" i="47"/>
  <c r="DZ88" i="47"/>
  <c r="DY95" i="47"/>
  <c r="Z66" i="20"/>
  <c r="M26" i="85"/>
  <c r="Y360" i="40"/>
  <c r="DF47" i="28"/>
  <c r="O9" i="20"/>
  <c r="DJ47" i="28"/>
  <c r="S35" i="82" s="1"/>
  <c r="AA35" i="82" s="1"/>
  <c r="F38" i="85"/>
  <c r="B28" i="34"/>
  <c r="B46" i="34"/>
  <c r="B16" i="34"/>
  <c r="B34" i="34"/>
  <c r="B22" i="34"/>
  <c r="B36" i="34"/>
  <c r="B24" i="34"/>
  <c r="B30" i="34"/>
  <c r="B42" i="34"/>
  <c r="AF28" i="34"/>
  <c r="AF16" i="34"/>
  <c r="AF22" i="34"/>
  <c r="AF34" i="34"/>
  <c r="AN40" i="34"/>
  <c r="AN22" i="34"/>
  <c r="AN28" i="34"/>
  <c r="B200" i="9"/>
  <c r="B186" i="9"/>
  <c r="B151" i="9"/>
  <c r="B116" i="9"/>
  <c r="B88" i="9"/>
  <c r="B60" i="9"/>
  <c r="B67" i="9"/>
  <c r="B172" i="9"/>
  <c r="B137" i="9"/>
  <c r="B109" i="9"/>
  <c r="B81" i="9"/>
  <c r="B18" i="9"/>
  <c r="B46" i="9"/>
  <c r="B39" i="9"/>
  <c r="B165" i="9"/>
  <c r="B144" i="9"/>
  <c r="B123" i="9"/>
  <c r="B95" i="9"/>
  <c r="B53" i="9"/>
  <c r="B176" i="9"/>
  <c r="B92" i="9"/>
  <c r="B57" i="9"/>
  <c r="B134" i="9"/>
  <c r="B36" i="9"/>
  <c r="B183" i="9"/>
  <c r="B99" i="9"/>
  <c r="B29" i="9"/>
  <c r="B71" i="9"/>
  <c r="F99" i="9"/>
  <c r="L97" i="9"/>
  <c r="R49" i="9"/>
  <c r="EA146" i="47"/>
  <c r="L117" i="9"/>
  <c r="F120" i="9"/>
  <c r="D127" i="9"/>
  <c r="F183" i="9"/>
  <c r="EA171" i="47"/>
  <c r="H23" i="12"/>
  <c r="AM82" i="17"/>
  <c r="AM81" i="17"/>
  <c r="CM46" i="28"/>
  <c r="C34" i="82" s="1"/>
  <c r="HU23" i="38"/>
  <c r="CM39" i="28"/>
  <c r="CM64" i="28" s="1"/>
  <c r="DC14" i="28"/>
  <c r="Y13" i="28"/>
  <c r="BV17" i="28"/>
  <c r="BV36" i="28"/>
  <c r="L47" i="9"/>
  <c r="D92" i="9"/>
  <c r="T195" i="9"/>
  <c r="DE47" i="28"/>
  <c r="X360" i="40"/>
  <c r="N9" i="20"/>
  <c r="BR46" i="28"/>
  <c r="Q34" i="82" s="1"/>
  <c r="Y34" i="82" s="1"/>
  <c r="Q4" i="82"/>
  <c r="Y4" i="82" s="1"/>
  <c r="BL37" i="28"/>
  <c r="CG39" i="28"/>
  <c r="S14" i="20"/>
  <c r="L159" i="9"/>
  <c r="BC13" i="28"/>
  <c r="CB13" i="28"/>
  <c r="DB13" i="38"/>
  <c r="D90" i="12"/>
  <c r="BL13" i="28"/>
  <c r="AI233" i="47"/>
  <c r="AD233" i="47"/>
  <c r="BK233" i="47"/>
  <c r="BB233" i="47"/>
  <c r="K40" i="89"/>
  <c r="L40" i="89" s="1"/>
  <c r="O13" i="85"/>
  <c r="DS11" i="28"/>
  <c r="AB11" i="20"/>
  <c r="BE77" i="17" s="1"/>
  <c r="DS20" i="28"/>
  <c r="O17" i="85"/>
  <c r="H14" i="82"/>
  <c r="J14" i="82"/>
  <c r="I14" i="82"/>
  <c r="DD43" i="34"/>
  <c r="DD31" i="34"/>
  <c r="DD19" i="34"/>
  <c r="DD25" i="34" s="1"/>
  <c r="DD37" i="34"/>
  <c r="CM13" i="28"/>
  <c r="C8" i="82" s="1"/>
  <c r="C6" i="82"/>
  <c r="I4" i="82"/>
  <c r="L4" i="82"/>
  <c r="J4" i="82"/>
  <c r="H4" i="82"/>
  <c r="M361" i="45"/>
  <c r="M362" i="45"/>
  <c r="L544" i="45"/>
  <c r="AM70" i="40"/>
  <c r="AM18" i="40" s="1"/>
  <c r="AM69" i="40"/>
  <c r="AQ540" i="45"/>
  <c r="Z204" i="12" s="1"/>
  <c r="AB204" i="12" s="1"/>
  <c r="AL99" i="40"/>
  <c r="AL30" i="40"/>
  <c r="K361" i="45"/>
  <c r="J367" i="45"/>
  <c r="BF74" i="22"/>
  <c r="DC234" i="47"/>
  <c r="DO161" i="29"/>
  <c r="DN166" i="29"/>
  <c r="DO166" i="29" s="1"/>
  <c r="DN165" i="29"/>
  <c r="DO165" i="29" s="1"/>
  <c r="O66" i="85"/>
  <c r="H23" i="82"/>
  <c r="I23" i="82"/>
  <c r="J23" i="82"/>
  <c r="DS19" i="28"/>
  <c r="O16" i="85"/>
  <c r="O56" i="85" s="1"/>
  <c r="J13" i="82"/>
  <c r="I13" i="82"/>
  <c r="H13" i="82"/>
  <c r="AD234" i="47"/>
  <c r="H234" i="47"/>
  <c r="DJ14" i="29"/>
  <c r="BK234" i="47"/>
  <c r="BB234" i="47"/>
  <c r="BG234" i="47"/>
  <c r="AI234" i="47"/>
  <c r="M234" i="47"/>
  <c r="DX233" i="47"/>
  <c r="DJ212" i="29"/>
  <c r="DL63" i="29"/>
  <c r="DJ113" i="29"/>
  <c r="DK123" i="29" s="1"/>
  <c r="DK63" i="29"/>
  <c r="BG37" i="17"/>
  <c r="V545" i="45"/>
  <c r="W545" i="45" s="1"/>
  <c r="V367" i="45"/>
  <c r="W362" i="45"/>
  <c r="V544" i="45"/>
  <c r="W544" i="45" s="1"/>
  <c r="W361" i="45"/>
  <c r="V543" i="45"/>
  <c r="W543" i="45" s="1"/>
  <c r="AL22" i="89"/>
  <c r="AG22" i="89"/>
  <c r="N12" i="89"/>
  <c r="T9" i="89"/>
  <c r="AF37" i="89"/>
  <c r="AG37" i="89" s="1"/>
  <c r="T37" i="89"/>
  <c r="O22" i="89"/>
  <c r="N26" i="89"/>
  <c r="T22" i="89"/>
  <c r="O31" i="89"/>
  <c r="T31" i="89"/>
  <c r="DK54" i="29"/>
  <c r="CM14" i="28"/>
  <c r="C9" i="82" s="1"/>
  <c r="AL31" i="89"/>
  <c r="AG31" i="89"/>
  <c r="AF30" i="89"/>
  <c r="T39" i="89"/>
  <c r="O39" i="89"/>
  <c r="AF39" i="89"/>
  <c r="AG39" i="89" s="1"/>
  <c r="H33" i="40"/>
  <c r="H34" i="40" s="1"/>
  <c r="AQ118" i="40"/>
  <c r="AR118" i="40" s="1"/>
  <c r="DD36" i="34"/>
  <c r="DD30" i="34"/>
  <c r="DD18" i="34"/>
  <c r="DD24" i="34" s="1"/>
  <c r="DD42" i="34"/>
  <c r="I361" i="45"/>
  <c r="H543" i="45"/>
  <c r="O17" i="89"/>
  <c r="N19" i="89"/>
  <c r="AF17" i="89"/>
  <c r="O24" i="89"/>
  <c r="T17" i="89"/>
  <c r="BD68" i="22"/>
  <c r="IC21" i="38"/>
  <c r="IC20" i="38"/>
  <c r="DJ34" i="29"/>
  <c r="AH159" i="9"/>
  <c r="AJ159" i="9" s="1"/>
  <c r="BH80" i="28"/>
  <c r="CU116" i="29"/>
  <c r="BG131" i="40"/>
  <c r="BF132" i="40"/>
  <c r="CA66" i="29"/>
  <c r="CB66" i="29"/>
  <c r="M286" i="40"/>
  <c r="M289" i="40"/>
  <c r="M36" i="40"/>
  <c r="F95" i="85"/>
  <c r="DI141" i="45"/>
  <c r="AH32" i="9"/>
  <c r="AJ32" i="9" s="1"/>
  <c r="DO74" i="28"/>
  <c r="U91" i="46"/>
  <c r="CU26" i="29"/>
  <c r="DV173" i="47"/>
  <c r="DT175" i="47"/>
  <c r="BW70" i="47"/>
  <c r="AT85" i="45"/>
  <c r="A267" i="45"/>
  <c r="A449" i="45" s="1"/>
  <c r="BK118" i="40"/>
  <c r="BL125" i="40"/>
  <c r="T411" i="40"/>
  <c r="S411" i="40"/>
  <c r="Y127" i="40"/>
  <c r="AA65" i="20"/>
  <c r="DG164" i="29"/>
  <c r="O40" i="20"/>
  <c r="BG74" i="29"/>
  <c r="DB221" i="29"/>
  <c r="DC211" i="29"/>
  <c r="DB213" i="29"/>
  <c r="CT219" i="29"/>
  <c r="CT214" i="29"/>
  <c r="CU214" i="29" s="1"/>
  <c r="CU209" i="29"/>
  <c r="BX65" i="29"/>
  <c r="BT65" i="29"/>
  <c r="BS65" i="29"/>
  <c r="BT110" i="29"/>
  <c r="BN116" i="29"/>
  <c r="BP110" i="29"/>
  <c r="BN115" i="29"/>
  <c r="BO120" i="29"/>
  <c r="BO110" i="29"/>
  <c r="BN130" i="29"/>
  <c r="BN114" i="29"/>
  <c r="CH130" i="29"/>
  <c r="CI120" i="29"/>
  <c r="CI110" i="29"/>
  <c r="CH116" i="29"/>
  <c r="CH115" i="29"/>
  <c r="CJ110" i="29"/>
  <c r="BN232" i="29"/>
  <c r="CE122" i="29"/>
  <c r="CJ112" i="29"/>
  <c r="CE112" i="29"/>
  <c r="CD132" i="29"/>
  <c r="CD116" i="29"/>
  <c r="CD114" i="29"/>
  <c r="B16" i="47"/>
  <c r="B46" i="12"/>
  <c r="G98" i="85"/>
  <c r="G140" i="85"/>
  <c r="AB167" i="9"/>
  <c r="J97" i="46"/>
  <c r="C8" i="20"/>
  <c r="C41" i="20"/>
  <c r="C32" i="20"/>
  <c r="C24" i="20"/>
  <c r="J17" i="85"/>
  <c r="DN20" i="28"/>
  <c r="O32" i="20"/>
  <c r="O8" i="20"/>
  <c r="O17" i="20"/>
  <c r="O15" i="20"/>
  <c r="O26" i="20"/>
  <c r="O143" i="20"/>
  <c r="O14" i="20"/>
  <c r="P8" i="20"/>
  <c r="S14" i="29"/>
  <c r="O84" i="29"/>
  <c r="N13" i="40"/>
  <c r="I76" i="17"/>
  <c r="O24" i="29"/>
  <c r="O74" i="29"/>
  <c r="BH42" i="34"/>
  <c r="BH36" i="34"/>
  <c r="C20" i="20"/>
  <c r="P73" i="20"/>
  <c r="BK184" i="29"/>
  <c r="BH139" i="40"/>
  <c r="AE77" i="17"/>
  <c r="DF10" i="28"/>
  <c r="AT157" i="45"/>
  <c r="A339" i="45"/>
  <c r="A521" i="45" s="1"/>
  <c r="Y27" i="40"/>
  <c r="Z31" i="40"/>
  <c r="Z367" i="40" s="1"/>
  <c r="Y31" i="40"/>
  <c r="Y367" i="40" s="1"/>
  <c r="AR405" i="45"/>
  <c r="Z47" i="12"/>
  <c r="AR411" i="45"/>
  <c r="AB102" i="9"/>
  <c r="AD102" i="9" s="1"/>
  <c r="AB111" i="12"/>
  <c r="AB110" i="12"/>
  <c r="AK573" i="46"/>
  <c r="AD573" i="46"/>
  <c r="EK95" i="37"/>
  <c r="AB176" i="12"/>
  <c r="C35" i="20"/>
  <c r="C26" i="20"/>
  <c r="AB153" i="46"/>
  <c r="BP80" i="28"/>
  <c r="AG279" i="40"/>
  <c r="AH278" i="40"/>
  <c r="DG133" i="29"/>
  <c r="DF143" i="29"/>
  <c r="AR26" i="45"/>
  <c r="AR20" i="45"/>
  <c r="AB148" i="46"/>
  <c r="AB147" i="46"/>
  <c r="F24" i="20"/>
  <c r="F8" i="20"/>
  <c r="F41" i="20"/>
  <c r="F37" i="20"/>
  <c r="F14" i="20"/>
  <c r="F12" i="20"/>
  <c r="F26" i="20"/>
  <c r="N298" i="40"/>
  <c r="N299" i="40" s="1"/>
  <c r="N306" i="40"/>
  <c r="DK219" i="29"/>
  <c r="DJ229" i="29"/>
  <c r="B28" i="45"/>
  <c r="B9" i="47"/>
  <c r="D7" i="20"/>
  <c r="O12" i="20"/>
  <c r="O35" i="20"/>
  <c r="AC47" i="40"/>
  <c r="W80" i="28"/>
  <c r="N47" i="40"/>
  <c r="AK420" i="46"/>
  <c r="B34" i="45"/>
  <c r="BR80" i="28"/>
  <c r="G56" i="85"/>
  <c r="BN184" i="29"/>
  <c r="BO184" i="29" s="1"/>
  <c r="AI30" i="28"/>
  <c r="O44" i="20"/>
  <c r="B265" i="45"/>
  <c r="B447" i="45" s="1"/>
  <c r="J96" i="46"/>
  <c r="L96" i="46" s="1"/>
  <c r="AF118" i="40"/>
  <c r="BG118" i="40" s="1"/>
  <c r="O14" i="29"/>
  <c r="O37" i="20"/>
  <c r="DF8" i="28"/>
  <c r="AD193" i="9"/>
  <c r="AH193" i="9"/>
  <c r="AJ193" i="9" s="1"/>
  <c r="CE43" i="34"/>
  <c r="CD49" i="34"/>
  <c r="DX231" i="47"/>
  <c r="DK61" i="29"/>
  <c r="DJ65" i="29"/>
  <c r="DJ210" i="29"/>
  <c r="DJ111" i="29"/>
  <c r="DL61" i="29"/>
  <c r="I36" i="28"/>
  <c r="AB61" i="12"/>
  <c r="AB53" i="9"/>
  <c r="AD53" i="9" s="1"/>
  <c r="AF53" i="9" s="1"/>
  <c r="J57" i="36"/>
  <c r="J51" i="36"/>
  <c r="BM36" i="28"/>
  <c r="BM17" i="28"/>
  <c r="R308" i="45"/>
  <c r="U736" i="46"/>
  <c r="AK40" i="12"/>
  <c r="AR46" i="47"/>
  <c r="G11" i="20"/>
  <c r="AA54" i="29"/>
  <c r="K44" i="20"/>
  <c r="K35" i="20"/>
  <c r="CC36" i="28"/>
  <c r="CC17" i="28"/>
  <c r="AB62" i="12"/>
  <c r="AB54" i="9"/>
  <c r="AD54" i="9" s="1"/>
  <c r="AR396" i="45"/>
  <c r="Z29" i="12"/>
  <c r="AX80" i="28"/>
  <c r="AB148" i="12"/>
  <c r="AD544" i="46"/>
  <c r="AI475" i="46"/>
  <c r="BJ162" i="37"/>
  <c r="BJ185" i="37" s="1"/>
  <c r="BJ208" i="37"/>
  <c r="AT198" i="37"/>
  <c r="AT152" i="37"/>
  <c r="AT175" i="37" s="1"/>
  <c r="CR36" i="29"/>
  <c r="CQ36" i="29"/>
  <c r="CK37" i="28"/>
  <c r="CK62" i="28" s="1"/>
  <c r="CK39" i="28"/>
  <c r="CK64" i="28" s="1"/>
  <c r="BI21" i="28"/>
  <c r="M271" i="40"/>
  <c r="K531" i="45"/>
  <c r="AQ531" i="45"/>
  <c r="Z173" i="46"/>
  <c r="K537" i="45"/>
  <c r="J34" i="12"/>
  <c r="AR30" i="45"/>
  <c r="AR36" i="45"/>
  <c r="D716" i="46"/>
  <c r="H716" i="46" s="1"/>
  <c r="AI709" i="46"/>
  <c r="S710" i="46"/>
  <c r="D709" i="46"/>
  <c r="H709" i="46" s="1"/>
  <c r="U127" i="40"/>
  <c r="AK752" i="46"/>
  <c r="AH212" i="37"/>
  <c r="AH166" i="37"/>
  <c r="AH189" i="37" s="1"/>
  <c r="AB474" i="46"/>
  <c r="AB478" i="46"/>
  <c r="BZ47" i="34"/>
  <c r="CE41" i="34"/>
  <c r="CD47" i="34"/>
  <c r="CA41" i="34"/>
  <c r="AT137" i="37"/>
  <c r="AT67" i="37"/>
  <c r="AT114" i="37"/>
  <c r="AX68" i="37"/>
  <c r="AX138" i="37"/>
  <c r="AX115" i="37"/>
  <c r="BJ160" i="37"/>
  <c r="BJ183" i="37" s="1"/>
  <c r="BJ206" i="37"/>
  <c r="BN206" i="37"/>
  <c r="BR115" i="37"/>
  <c r="BR138" i="37"/>
  <c r="J213" i="37"/>
  <c r="J167" i="37"/>
  <c r="J190" i="37" s="1"/>
  <c r="AH67" i="22"/>
  <c r="AJ71" i="22"/>
  <c r="AJ67" i="22" s="1"/>
  <c r="AJ68" i="22" s="1"/>
  <c r="J42" i="34"/>
  <c r="K30" i="34"/>
  <c r="O30" i="34"/>
  <c r="AL42" i="34"/>
  <c r="AQ30" i="34"/>
  <c r="AM30" i="34"/>
  <c r="AK738" i="46"/>
  <c r="N20" i="85"/>
  <c r="DR23" i="28"/>
  <c r="CI54" i="47"/>
  <c r="BW54" i="47"/>
  <c r="Z47" i="46"/>
  <c r="AQ423" i="45"/>
  <c r="K429" i="45"/>
  <c r="K423" i="45"/>
  <c r="L19" i="46"/>
  <c r="L20" i="46"/>
  <c r="AI27" i="46"/>
  <c r="D34" i="46"/>
  <c r="H34" i="46" s="1"/>
  <c r="S30" i="46"/>
  <c r="L33" i="46"/>
  <c r="L34" i="46"/>
  <c r="D56" i="46"/>
  <c r="H56" i="46" s="1"/>
  <c r="AI56" i="46"/>
  <c r="S58" i="46"/>
  <c r="L85" i="46"/>
  <c r="L84" i="46"/>
  <c r="AI98" i="46"/>
  <c r="D98" i="46"/>
  <c r="S100" i="46"/>
  <c r="BF237" i="47"/>
  <c r="AH182" i="9"/>
  <c r="AJ182" i="9" s="1"/>
  <c r="AD182" i="9"/>
  <c r="L271" i="40"/>
  <c r="L253" i="40"/>
  <c r="L381" i="40"/>
  <c r="DN69" i="28"/>
  <c r="AH47" i="40"/>
  <c r="AK239" i="46"/>
  <c r="AR80" i="28"/>
  <c r="AB140" i="12"/>
  <c r="AD213" i="37"/>
  <c r="AD167" i="37"/>
  <c r="AD190" i="37" s="1"/>
  <c r="L29" i="12"/>
  <c r="R54" i="9"/>
  <c r="S33" i="89"/>
  <c r="R40" i="89"/>
  <c r="AI478" i="46"/>
  <c r="AB693" i="46"/>
  <c r="AX152" i="37"/>
  <c r="AX175" i="37" s="1"/>
  <c r="AX198" i="37"/>
  <c r="AL151" i="37"/>
  <c r="AL174" i="37" s="1"/>
  <c r="AL197" i="37"/>
  <c r="GN18" i="38"/>
  <c r="HZ15" i="38"/>
  <c r="HZ16" i="38"/>
  <c r="GH18" i="38"/>
  <c r="BJ141" i="29"/>
  <c r="BK141" i="29" s="1"/>
  <c r="BJ132" i="29"/>
  <c r="AM123" i="29"/>
  <c r="AM113" i="29"/>
  <c r="AL133" i="29"/>
  <c r="AN113" i="29"/>
  <c r="CH113" i="29"/>
  <c r="CJ113" i="29" s="1"/>
  <c r="DX139" i="47"/>
  <c r="CI63" i="29"/>
  <c r="DX167" i="47"/>
  <c r="CN63" i="29"/>
  <c r="BV219" i="29"/>
  <c r="BV213" i="29"/>
  <c r="BW213" i="29" s="1"/>
  <c r="D215" i="29"/>
  <c r="D213" i="29"/>
  <c r="D223" i="29" s="1"/>
  <c r="U19" i="20"/>
  <c r="CJ34" i="29"/>
  <c r="CI34" i="29"/>
  <c r="CN34" i="29"/>
  <c r="AR345" i="45"/>
  <c r="AR339" i="45"/>
  <c r="BF133" i="37"/>
  <c r="BF110" i="37"/>
  <c r="BN109" i="37"/>
  <c r="BN132" i="37"/>
  <c r="BV132" i="37"/>
  <c r="BV109" i="37"/>
  <c r="BV134" i="37"/>
  <c r="BV111" i="37"/>
  <c r="J67" i="37"/>
  <c r="J137" i="37"/>
  <c r="J114" i="37"/>
  <c r="R67" i="37"/>
  <c r="R114" i="37"/>
  <c r="R137" i="37"/>
  <c r="AH144" i="37"/>
  <c r="AH74" i="37"/>
  <c r="BR120" i="37"/>
  <c r="BR143" i="37"/>
  <c r="Z357" i="40"/>
  <c r="AB246" i="46"/>
  <c r="AB245" i="46"/>
  <c r="BK101" i="47"/>
  <c r="U94" i="47"/>
  <c r="BK94" i="47"/>
  <c r="AD94" i="47"/>
  <c r="H94" i="47"/>
  <c r="M94" i="47"/>
  <c r="AR94" i="47"/>
  <c r="BG94" i="47"/>
  <c r="EB104" i="47"/>
  <c r="EA104" i="47" s="1"/>
  <c r="CT105" i="47"/>
  <c r="CV104" i="47"/>
  <c r="DX112" i="47"/>
  <c r="EA108" i="47"/>
  <c r="DY115" i="47"/>
  <c r="M110" i="47"/>
  <c r="AD110" i="47"/>
  <c r="U110" i="47"/>
  <c r="BG110" i="47"/>
  <c r="H110" i="47"/>
  <c r="BK110" i="47"/>
  <c r="AB8" i="40"/>
  <c r="AB59" i="40"/>
  <c r="AB113" i="40"/>
  <c r="AC119" i="47"/>
  <c r="DC119" i="47"/>
  <c r="AC126" i="47"/>
  <c r="BF119" i="47"/>
  <c r="BF126" i="47"/>
  <c r="DV119" i="47"/>
  <c r="AB12" i="40"/>
  <c r="AB321" i="40" s="1"/>
  <c r="EJ124" i="47"/>
  <c r="EI118" i="47"/>
  <c r="EH146" i="47"/>
  <c r="EH139" i="47"/>
  <c r="BK145" i="47"/>
  <c r="DZ138" i="47"/>
  <c r="AD138" i="47"/>
  <c r="U138" i="47"/>
  <c r="P138" i="47"/>
  <c r="M138" i="47"/>
  <c r="H138" i="47"/>
  <c r="BK138" i="47"/>
  <c r="BG138" i="47"/>
  <c r="BW144" i="47"/>
  <c r="BM144" i="47"/>
  <c r="DY143" i="47"/>
  <c r="DZ143" i="47"/>
  <c r="DZ151" i="47"/>
  <c r="EA151" i="47"/>
  <c r="AC154" i="47"/>
  <c r="BI154" i="47"/>
  <c r="AD154" i="47" s="1"/>
  <c r="DC154" i="47"/>
  <c r="BL154" i="47"/>
  <c r="CV160" i="47"/>
  <c r="CU167" i="47"/>
  <c r="CU160" i="47"/>
  <c r="EB166" i="47"/>
  <c r="EA166" i="47" s="1"/>
  <c r="DV166" i="47"/>
  <c r="S81" i="17"/>
  <c r="S82" i="17"/>
  <c r="F21" i="9"/>
  <c r="J24" i="29"/>
  <c r="J63" i="29"/>
  <c r="K23" i="29"/>
  <c r="F28" i="9"/>
  <c r="O53" i="29"/>
  <c r="N63" i="29"/>
  <c r="N64" i="29" s="1"/>
  <c r="BK56" i="29"/>
  <c r="BK26" i="29"/>
  <c r="BA78" i="17"/>
  <c r="M12" i="85"/>
  <c r="DQ14" i="28"/>
  <c r="CF44" i="29"/>
  <c r="CE44" i="29"/>
  <c r="AL54" i="29"/>
  <c r="AM50" i="29"/>
  <c r="P60" i="29"/>
  <c r="J209" i="29"/>
  <c r="J64" i="29"/>
  <c r="L60" i="29"/>
  <c r="J66" i="29"/>
  <c r="J110" i="29"/>
  <c r="J65" i="29"/>
  <c r="L65" i="29" s="1"/>
  <c r="K60" i="29"/>
  <c r="J132" i="29"/>
  <c r="K112" i="29"/>
  <c r="N211" i="29"/>
  <c r="N112" i="29"/>
  <c r="AA61" i="29"/>
  <c r="AF61" i="29"/>
  <c r="Z65" i="29"/>
  <c r="Z66" i="29"/>
  <c r="Z210" i="29"/>
  <c r="Z111" i="29"/>
  <c r="AU60" i="29"/>
  <c r="AT209" i="29"/>
  <c r="AT110" i="29"/>
  <c r="AV60" i="29"/>
  <c r="AT66" i="29"/>
  <c r="AV66" i="29" s="1"/>
  <c r="AT64" i="29"/>
  <c r="AY62" i="29"/>
  <c r="AX211" i="29"/>
  <c r="AX64" i="29"/>
  <c r="AX112" i="29"/>
  <c r="AZ112" i="29" s="1"/>
  <c r="AX66" i="29"/>
  <c r="BH62" i="29"/>
  <c r="BC62" i="29"/>
  <c r="BB112" i="29"/>
  <c r="BB64" i="29"/>
  <c r="CI176" i="29"/>
  <c r="CM176" i="29"/>
  <c r="CY176" i="29"/>
  <c r="CU176" i="29"/>
  <c r="AW78" i="17"/>
  <c r="K12" i="85"/>
  <c r="DO14" i="28"/>
  <c r="DH23" i="28"/>
  <c r="D20" i="85"/>
  <c r="DO28" i="28"/>
  <c r="K26" i="85"/>
  <c r="Y66" i="20"/>
  <c r="M186" i="40"/>
  <c r="M164" i="40"/>
  <c r="A349" i="40"/>
  <c r="A356" i="40"/>
  <c r="AI59" i="45"/>
  <c r="AH60" i="45"/>
  <c r="P97" i="45"/>
  <c r="J693" i="46"/>
  <c r="L693" i="46" s="1"/>
  <c r="AQ96" i="45"/>
  <c r="J201" i="37"/>
  <c r="J155" i="37"/>
  <c r="J178" i="37" s="1"/>
  <c r="DK172" i="29"/>
  <c r="R485" i="45"/>
  <c r="AA303" i="45"/>
  <c r="AT208" i="37"/>
  <c r="AT162" i="37"/>
  <c r="AT185" i="37" s="1"/>
  <c r="CZ18" i="34"/>
  <c r="CZ36" i="34"/>
  <c r="D133" i="29"/>
  <c r="E123" i="29"/>
  <c r="D222" i="29" s="1"/>
  <c r="D232" i="29" s="1"/>
  <c r="BR224" i="29"/>
  <c r="BR225" i="29"/>
  <c r="BS225" i="29" s="1"/>
  <c r="BR230" i="29"/>
  <c r="AJ60" i="40"/>
  <c r="CY211" i="29"/>
  <c r="CX221" i="29"/>
  <c r="J220" i="29"/>
  <c r="K210" i="29"/>
  <c r="AZ65" i="29"/>
  <c r="AV65" i="29"/>
  <c r="AU65" i="29"/>
  <c r="S110" i="29"/>
  <c r="R130" i="29"/>
  <c r="R115" i="29"/>
  <c r="S120" i="29"/>
  <c r="R116" i="29"/>
  <c r="K211" i="29"/>
  <c r="J221" i="29"/>
  <c r="G112" i="29"/>
  <c r="F114" i="29"/>
  <c r="G122" i="29"/>
  <c r="F116" i="29"/>
  <c r="AB111" i="9"/>
  <c r="AD111" i="9" s="1"/>
  <c r="AF118" i="9" s="1"/>
  <c r="Z119" i="12"/>
  <c r="AR473" i="45"/>
  <c r="X59" i="36"/>
  <c r="X53" i="36"/>
  <c r="V58" i="36"/>
  <c r="V52" i="36"/>
  <c r="E53" i="85"/>
  <c r="E95" i="85"/>
  <c r="E137" i="85"/>
  <c r="J105" i="37"/>
  <c r="J58" i="37"/>
  <c r="J128" i="37"/>
  <c r="R59" i="37"/>
  <c r="R129" i="37"/>
  <c r="R106" i="37"/>
  <c r="V129" i="37"/>
  <c r="V106" i="37"/>
  <c r="AL58" i="37"/>
  <c r="AL105" i="37"/>
  <c r="AT57" i="37"/>
  <c r="AT104" i="37"/>
  <c r="AT127" i="37"/>
  <c r="AT106" i="37"/>
  <c r="AT59" i="37"/>
  <c r="AX106" i="37"/>
  <c r="AX59" i="37"/>
  <c r="BF104" i="37"/>
  <c r="BF127" i="37"/>
  <c r="BF106" i="37"/>
  <c r="BF129" i="37"/>
  <c r="BN105" i="37"/>
  <c r="BN128" i="37"/>
  <c r="BR129" i="37"/>
  <c r="BR106" i="37"/>
  <c r="AD111" i="37"/>
  <c r="AD134" i="37"/>
  <c r="AD64" i="37"/>
  <c r="AL132" i="37"/>
  <c r="AL109" i="37"/>
  <c r="AL64" i="37"/>
  <c r="AL134" i="37"/>
  <c r="AL111" i="37"/>
  <c r="AP64" i="37"/>
  <c r="AP134" i="37"/>
  <c r="AX111" i="37"/>
  <c r="AX134" i="37"/>
  <c r="V142" i="37"/>
  <c r="V119" i="37"/>
  <c r="V72" i="37"/>
  <c r="Z73" i="37"/>
  <c r="Z143" i="37"/>
  <c r="X223" i="40"/>
  <c r="BN165" i="37"/>
  <c r="BN188" i="37" s="1"/>
  <c r="BN211" i="37"/>
  <c r="AH208" i="37"/>
  <c r="AH162" i="37"/>
  <c r="AH185" i="37" s="1"/>
  <c r="AH118" i="9"/>
  <c r="AR291" i="45"/>
  <c r="AR297" i="45"/>
  <c r="AD30" i="40"/>
  <c r="AR316" i="45"/>
  <c r="AP233" i="29"/>
  <c r="BJ145" i="29"/>
  <c r="AE126" i="29"/>
  <c r="AE116" i="29"/>
  <c r="F142" i="29"/>
  <c r="E61" i="45"/>
  <c r="D62" i="45"/>
  <c r="DH65" i="29"/>
  <c r="DC65" i="29"/>
  <c r="BB221" i="29"/>
  <c r="BB213" i="29"/>
  <c r="BC211" i="29"/>
  <c r="AQ210" i="29"/>
  <c r="AP214" i="29"/>
  <c r="AQ214" i="29" s="1"/>
  <c r="AP220" i="29"/>
  <c r="W48" i="28"/>
  <c r="AR48" i="28"/>
  <c r="HS20" i="38"/>
  <c r="HS22" i="38"/>
  <c r="EH23" i="38"/>
  <c r="HS21" i="38"/>
  <c r="FF23" i="38"/>
  <c r="AH116" i="37"/>
  <c r="AH69" i="37"/>
  <c r="Q431" i="45"/>
  <c r="Z652" i="46"/>
  <c r="Q425" i="45"/>
  <c r="Z595" i="46"/>
  <c r="AQ425" i="45"/>
  <c r="T269" i="40"/>
  <c r="Z759" i="46"/>
  <c r="U432" i="45"/>
  <c r="AG429" i="45"/>
  <c r="AG435" i="45"/>
  <c r="AI438" i="45"/>
  <c r="G442" i="45"/>
  <c r="J442" i="45"/>
  <c r="G448" i="45"/>
  <c r="G450" i="45"/>
  <c r="J444" i="45"/>
  <c r="G444" i="45"/>
  <c r="J449" i="45"/>
  <c r="G449" i="45"/>
  <c r="Z622" i="46"/>
  <c r="Z679" i="46"/>
  <c r="Q454" i="45"/>
  <c r="AQ448" i="45"/>
  <c r="Q448" i="45"/>
  <c r="W146" i="40"/>
  <c r="Z261" i="46"/>
  <c r="M456" i="45"/>
  <c r="AQ450" i="45"/>
  <c r="AR400" i="45"/>
  <c r="DV227" i="47"/>
  <c r="AO33" i="89"/>
  <c r="BW42" i="34"/>
  <c r="BS42" i="34"/>
  <c r="R189" i="9"/>
  <c r="F190" i="9"/>
  <c r="R150" i="37"/>
  <c r="R173" i="37" s="1"/>
  <c r="R196" i="37"/>
  <c r="AH14" i="9"/>
  <c r="AJ14" i="9" s="1"/>
  <c r="V122" i="20"/>
  <c r="V115" i="20"/>
  <c r="V120" i="20"/>
  <c r="V118" i="20"/>
  <c r="AQ431" i="45"/>
  <c r="Z56" i="46"/>
  <c r="DQ225" i="47"/>
  <c r="H17" i="89"/>
  <c r="AC24" i="89"/>
  <c r="C140" i="85"/>
  <c r="C98" i="85"/>
  <c r="C56" i="85"/>
  <c r="DB145" i="29"/>
  <c r="DB146" i="29"/>
  <c r="BC212" i="29"/>
  <c r="BC203" i="29"/>
  <c r="AL140" i="29"/>
  <c r="AL135" i="29"/>
  <c r="R232" i="29"/>
  <c r="DC219" i="29"/>
  <c r="DB229" i="29"/>
  <c r="DB224" i="29"/>
  <c r="AQ125" i="29"/>
  <c r="AQ115" i="29"/>
  <c r="BM204" i="47"/>
  <c r="BW204" i="47"/>
  <c r="BN204" i="47" s="1"/>
  <c r="AD161" i="47"/>
  <c r="BN76" i="47"/>
  <c r="BU76" i="47"/>
  <c r="BS166" i="29"/>
  <c r="BW166" i="29"/>
  <c r="U53" i="20"/>
  <c r="BR132" i="29"/>
  <c r="BX112" i="29"/>
  <c r="BS122" i="29"/>
  <c r="BN220" i="29"/>
  <c r="BO210" i="29"/>
  <c r="L16" i="85"/>
  <c r="DG19" i="28"/>
  <c r="CD133" i="29"/>
  <c r="CE123" i="29"/>
  <c r="S121" i="29"/>
  <c r="R131" i="29"/>
  <c r="BG112" i="29"/>
  <c r="BF132" i="29"/>
  <c r="AH222" i="29"/>
  <c r="AI212" i="29"/>
  <c r="BF133" i="29"/>
  <c r="BG123" i="29"/>
  <c r="Z23" i="28" s="1"/>
  <c r="BT112" i="29"/>
  <c r="BO112" i="29"/>
  <c r="BN132" i="29"/>
  <c r="AL132" i="29"/>
  <c r="AN112" i="29"/>
  <c r="AM112" i="29"/>
  <c r="AL116" i="29"/>
  <c r="AL114" i="29"/>
  <c r="D56" i="85"/>
  <c r="D140" i="85"/>
  <c r="V59" i="36"/>
  <c r="V53" i="36"/>
  <c r="AJ54" i="36"/>
  <c r="CQ41" i="34"/>
  <c r="CU41" i="34"/>
  <c r="CP47" i="34"/>
  <c r="O46" i="28"/>
  <c r="J104" i="37"/>
  <c r="J57" i="37"/>
  <c r="J127" i="37"/>
  <c r="N57" i="37"/>
  <c r="N127" i="37"/>
  <c r="V57" i="37"/>
  <c r="V104" i="37"/>
  <c r="BN133" i="37"/>
  <c r="BN110" i="37"/>
  <c r="BR109" i="37"/>
  <c r="BR132" i="37"/>
  <c r="J69" i="37"/>
  <c r="J139" i="37"/>
  <c r="J116" i="37"/>
  <c r="N116" i="37"/>
  <c r="N139" i="37"/>
  <c r="N69" i="37"/>
  <c r="R69" i="37"/>
  <c r="R139" i="37"/>
  <c r="AT69" i="37"/>
  <c r="AT116" i="37"/>
  <c r="N143" i="37"/>
  <c r="N73" i="37"/>
  <c r="R142" i="37"/>
  <c r="R119" i="37"/>
  <c r="AD143" i="37"/>
  <c r="AD73" i="37"/>
  <c r="AL73" i="37"/>
  <c r="AL143" i="37"/>
  <c r="BJ120" i="37"/>
  <c r="BJ143" i="37"/>
  <c r="BN144" i="37"/>
  <c r="BN121" i="37"/>
  <c r="AI34" i="46"/>
  <c r="D41" i="46"/>
  <c r="H41" i="46" s="1"/>
  <c r="D119" i="46"/>
  <c r="H119" i="46" s="1"/>
  <c r="AI119" i="46"/>
  <c r="D126" i="46"/>
  <c r="S360" i="46"/>
  <c r="AI356" i="46"/>
  <c r="A29" i="45"/>
  <c r="A10" i="47"/>
  <c r="B61" i="45"/>
  <c r="U64" i="40"/>
  <c r="U11" i="40"/>
  <c r="DJ63" i="47"/>
  <c r="K113" i="20" s="1"/>
  <c r="AQ70" i="47"/>
  <c r="BP67" i="47"/>
  <c r="BW67" i="47"/>
  <c r="BQ67" i="47" s="1"/>
  <c r="BP74" i="47"/>
  <c r="V65" i="40"/>
  <c r="BW80" i="47"/>
  <c r="BU80" i="47" s="1"/>
  <c r="BA114" i="40"/>
  <c r="Z114" i="40"/>
  <c r="O104" i="20"/>
  <c r="CU98" i="47"/>
  <c r="CV91" i="47"/>
  <c r="O111" i="20" s="1"/>
  <c r="EA131" i="47"/>
  <c r="DZ131" i="47"/>
  <c r="BG209" i="47"/>
  <c r="AI209" i="47"/>
  <c r="AD209" i="47"/>
  <c r="M209" i="47"/>
  <c r="H209" i="47"/>
  <c r="BK209" i="47"/>
  <c r="BB209" i="47"/>
  <c r="GG13" i="38"/>
  <c r="DF209" i="47"/>
  <c r="C26" i="89"/>
  <c r="H17" i="34"/>
  <c r="H41" i="34"/>
  <c r="H35" i="34"/>
  <c r="H29" i="34"/>
  <c r="L29" i="34"/>
  <c r="L35" i="34"/>
  <c r="L23" i="34"/>
  <c r="L17" i="34"/>
  <c r="T22" i="34"/>
  <c r="T16" i="34"/>
  <c r="T40" i="34"/>
  <c r="T34" i="34"/>
  <c r="BT41" i="34"/>
  <c r="BT35" i="34"/>
  <c r="BT17" i="34"/>
  <c r="BT29" i="34"/>
  <c r="L35" i="9"/>
  <c r="D29" i="9"/>
  <c r="D42" i="9"/>
  <c r="W73" i="29"/>
  <c r="V63" i="29"/>
  <c r="W83" i="29"/>
  <c r="AN28" i="38"/>
  <c r="W13" i="29"/>
  <c r="T13" i="34" s="1"/>
  <c r="AA13" i="29"/>
  <c r="X13" i="34" s="1"/>
  <c r="AJ28" i="34"/>
  <c r="AJ16" i="34"/>
  <c r="AJ22" i="34"/>
  <c r="AJ25" i="34"/>
  <c r="AJ31" i="34"/>
  <c r="AJ43" i="34"/>
  <c r="AJ19" i="34"/>
  <c r="AJ37" i="34"/>
  <c r="AR36" i="34"/>
  <c r="AR42" i="34"/>
  <c r="AR18" i="34"/>
  <c r="AR30" i="34"/>
  <c r="AV18" i="34"/>
  <c r="AV30" i="34"/>
  <c r="AV42" i="34"/>
  <c r="AV36" i="34"/>
  <c r="AV24" i="34"/>
  <c r="AZ30" i="34"/>
  <c r="AZ42" i="34"/>
  <c r="AZ18" i="34"/>
  <c r="AZ36" i="34"/>
  <c r="U143" i="20"/>
  <c r="U22" i="20"/>
  <c r="U35" i="20"/>
  <c r="AQ76" i="17"/>
  <c r="DL8" i="28"/>
  <c r="U8" i="20"/>
  <c r="U41" i="20"/>
  <c r="U28" i="20"/>
  <c r="H6" i="85"/>
  <c r="AI160" i="29"/>
  <c r="AE160" i="29"/>
  <c r="AD165" i="29"/>
  <c r="AD166" i="29"/>
  <c r="CQ165" i="29"/>
  <c r="CM165" i="29"/>
  <c r="D166" i="29"/>
  <c r="O173" i="29"/>
  <c r="N174" i="29"/>
  <c r="AM174" i="29"/>
  <c r="DP11" i="28"/>
  <c r="DP10" i="28" s="1"/>
  <c r="L13" i="85"/>
  <c r="J14" i="20"/>
  <c r="J22" i="20"/>
  <c r="J26" i="20"/>
  <c r="J28" i="40"/>
  <c r="J36" i="40"/>
  <c r="K28" i="40"/>
  <c r="BD238" i="40"/>
  <c r="BE250" i="40"/>
  <c r="AC174" i="40"/>
  <c r="AR218" i="45"/>
  <c r="AH33" i="9"/>
  <c r="AJ33" i="9" s="1"/>
  <c r="Z328" i="46"/>
  <c r="AB328" i="46" s="1"/>
  <c r="AQ507" i="45"/>
  <c r="DJ340" i="45"/>
  <c r="J526" i="45"/>
  <c r="K344" i="45"/>
  <c r="Z211" i="46"/>
  <c r="M407" i="45"/>
  <c r="AP67" i="22"/>
  <c r="AP68" i="22" s="1"/>
  <c r="L534" i="45"/>
  <c r="AQ534" i="45" s="1"/>
  <c r="AK129" i="40"/>
  <c r="CQ82" i="29"/>
  <c r="CP221" i="29"/>
  <c r="CP112" i="29"/>
  <c r="BM20" i="28"/>
  <c r="BM39" i="28" s="1"/>
  <c r="CQ44" i="29"/>
  <c r="CV44" i="29"/>
  <c r="AE40" i="34"/>
  <c r="Z46" i="34"/>
  <c r="AA40" i="34"/>
  <c r="EJ144" i="47"/>
  <c r="EJ151" i="47"/>
  <c r="BU103" i="47"/>
  <c r="BQ103" i="47"/>
  <c r="BX110" i="47"/>
  <c r="DG36" i="29"/>
  <c r="DH36" i="29"/>
  <c r="F222" i="29"/>
  <c r="DF141" i="29"/>
  <c r="DG131" i="29"/>
  <c r="AI125" i="29"/>
  <c r="AI115" i="29"/>
  <c r="K533" i="45"/>
  <c r="Z175" i="46"/>
  <c r="AB175" i="46" s="1"/>
  <c r="EH90" i="37"/>
  <c r="EI21" i="37"/>
  <c r="CU182" i="47"/>
  <c r="CV175" i="47"/>
  <c r="AC8" i="40"/>
  <c r="AC59" i="40"/>
  <c r="AI175" i="29"/>
  <c r="AM175" i="29"/>
  <c r="CI121" i="29"/>
  <c r="CN111" i="29"/>
  <c r="CH131" i="29"/>
  <c r="CI66" i="29"/>
  <c r="CN66" i="29"/>
  <c r="CE121" i="29"/>
  <c r="CE111" i="29"/>
  <c r="CD131" i="29"/>
  <c r="BW113" i="29"/>
  <c r="BV133" i="29"/>
  <c r="DB215" i="29"/>
  <c r="DC215" i="29" s="1"/>
  <c r="BJ222" i="29"/>
  <c r="BK212" i="29"/>
  <c r="BJ215" i="29"/>
  <c r="BK215" i="29" s="1"/>
  <c r="BJ220" i="29"/>
  <c r="AT222" i="29"/>
  <c r="AU212" i="29"/>
  <c r="AL214" i="29"/>
  <c r="AM214" i="29" s="1"/>
  <c r="AL213" i="29"/>
  <c r="AL219" i="29"/>
  <c r="AF112" i="29"/>
  <c r="AE112" i="29"/>
  <c r="AE122" i="29"/>
  <c r="BF114" i="29"/>
  <c r="BF130" i="29"/>
  <c r="BG110" i="29"/>
  <c r="G64" i="29"/>
  <c r="L43" i="40"/>
  <c r="L44" i="40" s="1"/>
  <c r="F220" i="29"/>
  <c r="G210" i="29"/>
  <c r="Z42" i="46"/>
  <c r="K425" i="45"/>
  <c r="N170" i="45"/>
  <c r="O173" i="45" s="1"/>
  <c r="O169" i="45"/>
  <c r="L120" i="45"/>
  <c r="J300" i="46"/>
  <c r="L300" i="46" s="1"/>
  <c r="AR37" i="45"/>
  <c r="J42" i="12"/>
  <c r="AP53" i="36"/>
  <c r="AP59" i="36"/>
  <c r="N59" i="36"/>
  <c r="N53" i="36"/>
  <c r="AX60" i="36"/>
  <c r="AX54" i="36"/>
  <c r="AU43" i="34"/>
  <c r="AT49" i="34"/>
  <c r="N49" i="34"/>
  <c r="O43" i="34"/>
  <c r="BW41" i="34"/>
  <c r="BV47" i="34"/>
  <c r="BO42" i="34"/>
  <c r="BN48" i="34"/>
  <c r="BK42" i="34"/>
  <c r="DJ28" i="38"/>
  <c r="DR28" i="38"/>
  <c r="N105" i="37"/>
  <c r="N58" i="37"/>
  <c r="N128" i="37"/>
  <c r="V128" i="37"/>
  <c r="V105" i="37"/>
  <c r="V58" i="37"/>
  <c r="AH104" i="37"/>
  <c r="AH57" i="37"/>
  <c r="AH127" i="37"/>
  <c r="AX128" i="37"/>
  <c r="AX58" i="37"/>
  <c r="BR105" i="37"/>
  <c r="BR128" i="37"/>
  <c r="AP133" i="37"/>
  <c r="AP110" i="37"/>
  <c r="AX63" i="37"/>
  <c r="AX133" i="37"/>
  <c r="AX110" i="37"/>
  <c r="AD115" i="37"/>
  <c r="AD68" i="37"/>
  <c r="AL116" i="37"/>
  <c r="AL139" i="37"/>
  <c r="AP138" i="37"/>
  <c r="AP68" i="37"/>
  <c r="BF114" i="37"/>
  <c r="BF137" i="37"/>
  <c r="J73" i="37"/>
  <c r="J143" i="37"/>
  <c r="R73" i="37"/>
  <c r="R143" i="37"/>
  <c r="AD74" i="37"/>
  <c r="AD121" i="37"/>
  <c r="EJ29" i="37"/>
  <c r="EK29" i="37"/>
  <c r="L36" i="46"/>
  <c r="L40" i="46"/>
  <c r="AI62" i="46"/>
  <c r="D62" i="46"/>
  <c r="H62" i="46" s="1"/>
  <c r="AI82" i="46"/>
  <c r="D82" i="46"/>
  <c r="H82" i="46" s="1"/>
  <c r="AI131" i="46"/>
  <c r="D138" i="46"/>
  <c r="H138" i="46" s="1"/>
  <c r="D416" i="46"/>
  <c r="AI416" i="46"/>
  <c r="AI56" i="12"/>
  <c r="D56" i="12"/>
  <c r="B50" i="45"/>
  <c r="B41" i="47"/>
  <c r="A69" i="47"/>
  <c r="B84" i="47"/>
  <c r="AL27" i="47"/>
  <c r="AP27" i="47" s="1"/>
  <c r="S510" i="46"/>
  <c r="S632" i="46"/>
  <c r="BO27" i="47"/>
  <c r="S48" i="12"/>
  <c r="BI25" i="47"/>
  <c r="S42" i="47"/>
  <c r="S35" i="47"/>
  <c r="AY48" i="47"/>
  <c r="BL48" i="47" s="1"/>
  <c r="BE49" i="47"/>
  <c r="BL49" i="47"/>
  <c r="BF54" i="47"/>
  <c r="S77" i="12"/>
  <c r="BI54" i="47"/>
  <c r="BT56" i="47"/>
  <c r="BW56" i="47"/>
  <c r="CP54" i="47"/>
  <c r="BS53" i="47"/>
  <c r="BE53" i="47"/>
  <c r="EI125" i="47"/>
  <c r="EJ129" i="47"/>
  <c r="EJ122" i="47"/>
  <c r="G160" i="47"/>
  <c r="BL125" i="47"/>
  <c r="G125" i="47"/>
  <c r="G132" i="47"/>
  <c r="S120" i="46"/>
  <c r="BI125" i="47"/>
  <c r="CF93" i="37"/>
  <c r="BK167" i="47"/>
  <c r="BK174" i="47"/>
  <c r="H167" i="47"/>
  <c r="U167" i="47"/>
  <c r="FD28" i="38"/>
  <c r="AD167" i="47"/>
  <c r="DR173" i="47"/>
  <c r="DQ180" i="47"/>
  <c r="AF318" i="40"/>
  <c r="DR182" i="47"/>
  <c r="DQ182" i="47"/>
  <c r="CV182" i="47"/>
  <c r="S182" i="47"/>
  <c r="G204" i="47"/>
  <c r="I204" i="47"/>
  <c r="J211" i="47" s="1"/>
  <c r="BI204" i="47"/>
  <c r="G211" i="47"/>
  <c r="E206" i="47"/>
  <c r="S154" i="46"/>
  <c r="H204" i="47"/>
  <c r="BC206" i="47"/>
  <c r="BD213" i="47" s="1"/>
  <c r="BD209" i="47"/>
  <c r="AJ11" i="40"/>
  <c r="AJ65" i="40"/>
  <c r="CZ40" i="34"/>
  <c r="CZ16" i="34"/>
  <c r="CZ34" i="34"/>
  <c r="CZ28" i="34"/>
  <c r="BP34" i="34"/>
  <c r="BP40" i="34"/>
  <c r="BX24" i="34"/>
  <c r="BX30" i="34"/>
  <c r="CB30" i="34"/>
  <c r="CB24" i="34"/>
  <c r="CB42" i="34"/>
  <c r="F176" i="12"/>
  <c r="BJ205" i="47"/>
  <c r="BA77" i="17"/>
  <c r="CJ54" i="28"/>
  <c r="M8" i="85"/>
  <c r="DQ10" i="28"/>
  <c r="AB36" i="29"/>
  <c r="W36" i="29"/>
  <c r="CI36" i="29"/>
  <c r="CJ36" i="29"/>
  <c r="CE63" i="29"/>
  <c r="DX160" i="47"/>
  <c r="CF63" i="29"/>
  <c r="DX132" i="47"/>
  <c r="EA132" i="47" s="1"/>
  <c r="CD64" i="29"/>
  <c r="CJ63" i="29"/>
  <c r="CD212" i="29"/>
  <c r="CD213" i="29" s="1"/>
  <c r="CE213" i="29" s="1"/>
  <c r="DX165" i="47"/>
  <c r="DX137" i="47"/>
  <c r="CI61" i="29"/>
  <c r="CH65" i="29"/>
  <c r="CH64" i="29"/>
  <c r="CH210" i="29"/>
  <c r="CZ61" i="29"/>
  <c r="DD61" i="29"/>
  <c r="DX210" i="47"/>
  <c r="CY61" i="29"/>
  <c r="CX65" i="29"/>
  <c r="CX64" i="29"/>
  <c r="CX210" i="29"/>
  <c r="CX66" i="29"/>
  <c r="CX111" i="29"/>
  <c r="BK83" i="29"/>
  <c r="BJ113" i="29"/>
  <c r="AE20" i="28"/>
  <c r="BJ84" i="29"/>
  <c r="CE83" i="29"/>
  <c r="AY20" i="28"/>
  <c r="CD84" i="29"/>
  <c r="CI83" i="29"/>
  <c r="BD20" i="28"/>
  <c r="BC83" i="29"/>
  <c r="BB84" i="29"/>
  <c r="BB113" i="29"/>
  <c r="BB114" i="29" s="1"/>
  <c r="U20" i="28"/>
  <c r="M17" i="85"/>
  <c r="DQ20" i="28"/>
  <c r="C36" i="40"/>
  <c r="C28" i="40"/>
  <c r="D28" i="40"/>
  <c r="AG169" i="40"/>
  <c r="AJ169" i="40"/>
  <c r="K35" i="45"/>
  <c r="K41" i="45"/>
  <c r="AQ35" i="45"/>
  <c r="O163" i="45"/>
  <c r="O167" i="45"/>
  <c r="N164" i="45"/>
  <c r="O168" i="45" s="1"/>
  <c r="Z685" i="46"/>
  <c r="AB685" i="46" s="1"/>
  <c r="Z556" i="46"/>
  <c r="O453" i="45"/>
  <c r="M460" i="45"/>
  <c r="M454" i="45"/>
  <c r="Z785" i="46"/>
  <c r="U460" i="45"/>
  <c r="Z694" i="46"/>
  <c r="AQ461" i="45"/>
  <c r="I514" i="45"/>
  <c r="W522" i="45"/>
  <c r="AQ522" i="45"/>
  <c r="W531" i="45"/>
  <c r="W525" i="45"/>
  <c r="CE31" i="34"/>
  <c r="CI31" i="34"/>
  <c r="CP43" i="34"/>
  <c r="CU31" i="34"/>
  <c r="A56" i="9"/>
  <c r="A28" i="9"/>
  <c r="A42" i="9"/>
  <c r="A35" i="9"/>
  <c r="A70" i="9"/>
  <c r="T28" i="9"/>
  <c r="T60" i="9"/>
  <c r="F64" i="9"/>
  <c r="AM88" i="9"/>
  <c r="J97" i="9"/>
  <c r="P97" i="9"/>
  <c r="AP97" i="9"/>
  <c r="AT97" i="9" s="1"/>
  <c r="N109" i="9"/>
  <c r="AP102" i="9"/>
  <c r="AT102" i="9" s="1"/>
  <c r="AV102" i="9" s="1"/>
  <c r="N102" i="9"/>
  <c r="L105" i="9"/>
  <c r="P112" i="9"/>
  <c r="T112" i="9"/>
  <c r="P116" i="9"/>
  <c r="L112" i="9"/>
  <c r="L119" i="9"/>
  <c r="R112" i="9"/>
  <c r="T111" i="9"/>
  <c r="AM112" i="9"/>
  <c r="J124" i="9"/>
  <c r="AM124" i="9" s="1"/>
  <c r="J125" i="9"/>
  <c r="AJ124" i="9"/>
  <c r="N124" i="9"/>
  <c r="R124" i="9"/>
  <c r="T123" i="9"/>
  <c r="J131" i="9"/>
  <c r="J132" i="9"/>
  <c r="R132" i="9" s="1"/>
  <c r="N131" i="9"/>
  <c r="P131" i="9"/>
  <c r="L145" i="9"/>
  <c r="L152" i="9"/>
  <c r="T144" i="9"/>
  <c r="F148" i="9"/>
  <c r="R145" i="9"/>
  <c r="J152" i="9"/>
  <c r="N152" i="9"/>
  <c r="T152" i="9"/>
  <c r="J166" i="9"/>
  <c r="R166" i="9" s="1"/>
  <c r="J165" i="9"/>
  <c r="N172" i="9"/>
  <c r="P166" i="9"/>
  <c r="N165" i="9"/>
  <c r="L172" i="9"/>
  <c r="L165" i="9"/>
  <c r="R175" i="9"/>
  <c r="AM175" i="9"/>
  <c r="L180" i="9"/>
  <c r="L173" i="9"/>
  <c r="J181" i="9"/>
  <c r="T180" i="9"/>
  <c r="P180" i="9"/>
  <c r="P181" i="9"/>
  <c r="L179" i="9"/>
  <c r="D183" i="9"/>
  <c r="L186" i="9"/>
  <c r="N45" i="89"/>
  <c r="N38" i="89"/>
  <c r="N43" i="89"/>
  <c r="N44" i="89"/>
  <c r="AD47" i="34"/>
  <c r="Z47" i="34"/>
  <c r="BD227" i="47"/>
  <c r="AI226" i="47"/>
  <c r="BG226" i="47"/>
  <c r="AD226" i="47"/>
  <c r="BJ226" i="47"/>
  <c r="CH47" i="28"/>
  <c r="D35" i="82" s="1"/>
  <c r="AD161" i="37"/>
  <c r="AD184" i="37" s="1"/>
  <c r="AD207" i="37"/>
  <c r="HY17" i="38"/>
  <c r="HY16" i="38"/>
  <c r="HY15" i="38"/>
  <c r="W132" i="29"/>
  <c r="R142" i="29"/>
  <c r="W142" i="29" s="1"/>
  <c r="BF151" i="29"/>
  <c r="BW222" i="29"/>
  <c r="BB204" i="29"/>
  <c r="BG200" i="29"/>
  <c r="Y11" i="28" s="1"/>
  <c r="DN175" i="47"/>
  <c r="BG150" i="47"/>
  <c r="H150" i="47"/>
  <c r="BQ123" i="47"/>
  <c r="CE209" i="29"/>
  <c r="CD219" i="29"/>
  <c r="K17" i="85"/>
  <c r="DO20" i="28"/>
  <c r="R43" i="20"/>
  <c r="BW84" i="29"/>
  <c r="DH111" i="29"/>
  <c r="DG121" i="29"/>
  <c r="DF115" i="29"/>
  <c r="DG111" i="29"/>
  <c r="DF116" i="29"/>
  <c r="DD110" i="29"/>
  <c r="CX130" i="29"/>
  <c r="CX115" i="29"/>
  <c r="CY110" i="29"/>
  <c r="CY120" i="29"/>
  <c r="CH214" i="29"/>
  <c r="CI214" i="29" s="1"/>
  <c r="BV116" i="29"/>
  <c r="BX111" i="29"/>
  <c r="BV131" i="29"/>
  <c r="BV114" i="29"/>
  <c r="BW111" i="29"/>
  <c r="BR130" i="29"/>
  <c r="BR115" i="29"/>
  <c r="BS110" i="29"/>
  <c r="BS120" i="29"/>
  <c r="BR114" i="29"/>
  <c r="BR116" i="29"/>
  <c r="AU112" i="29"/>
  <c r="AU122" i="29"/>
  <c r="BH111" i="29"/>
  <c r="BC111" i="29"/>
  <c r="BB131" i="29"/>
  <c r="BB115" i="29"/>
  <c r="O210" i="29"/>
  <c r="N215" i="29"/>
  <c r="O215" i="29" s="1"/>
  <c r="N220" i="29"/>
  <c r="E121" i="29"/>
  <c r="D220" i="29" s="1"/>
  <c r="D116" i="29"/>
  <c r="E126" i="29" s="1"/>
  <c r="AV113" i="29"/>
  <c r="AQ113" i="29"/>
  <c r="AP114" i="29"/>
  <c r="AP133" i="29"/>
  <c r="BT25" i="34"/>
  <c r="BT43" i="34"/>
  <c r="BT37" i="34"/>
  <c r="AH221" i="29"/>
  <c r="AH213" i="29"/>
  <c r="G85" i="17"/>
  <c r="G84" i="17"/>
  <c r="Z222" i="29"/>
  <c r="AA212" i="29"/>
  <c r="AH174" i="9"/>
  <c r="AJ174" i="9" s="1"/>
  <c r="AD174" i="9"/>
  <c r="Z61" i="46"/>
  <c r="I534" i="45"/>
  <c r="Z443" i="46"/>
  <c r="M514" i="45"/>
  <c r="M508" i="45"/>
  <c r="Z329" i="46"/>
  <c r="P59" i="36"/>
  <c r="P53" i="36"/>
  <c r="AB51" i="36"/>
  <c r="AB57" i="36"/>
  <c r="A195" i="9"/>
  <c r="A139" i="9"/>
  <c r="A118" i="9"/>
  <c r="A167" i="9"/>
  <c r="A153" i="9"/>
  <c r="A188" i="9"/>
  <c r="A146" i="9"/>
  <c r="HQ11" i="38"/>
  <c r="HQ10" i="38"/>
  <c r="DR13" i="38"/>
  <c r="HR10" i="38"/>
  <c r="EH13" i="38"/>
  <c r="EX13" i="38"/>
  <c r="HQ15" i="38"/>
  <c r="DR18" i="38"/>
  <c r="DZ18" i="38"/>
  <c r="HQ17" i="38"/>
  <c r="HR25" i="38"/>
  <c r="HR27" i="38"/>
  <c r="DZ28" i="38"/>
  <c r="EH28" i="38"/>
  <c r="HR26" i="38"/>
  <c r="EB10" i="37"/>
  <c r="EA33" i="37"/>
  <c r="DZ126" i="37" s="1"/>
  <c r="DZ195" i="37" s="1"/>
  <c r="R57" i="37"/>
  <c r="R104" i="37"/>
  <c r="BN106" i="37"/>
  <c r="BN129" i="37"/>
  <c r="BV104" i="37"/>
  <c r="BV127" i="37"/>
  <c r="J109" i="37"/>
  <c r="J62" i="37"/>
  <c r="N111" i="37"/>
  <c r="N64" i="37"/>
  <c r="AT134" i="37"/>
  <c r="AT64" i="37"/>
  <c r="AT111" i="37"/>
  <c r="BB132" i="37"/>
  <c r="BB109" i="37"/>
  <c r="R115" i="37"/>
  <c r="R138" i="37"/>
  <c r="Z67" i="37"/>
  <c r="Z137" i="37"/>
  <c r="Z114" i="37"/>
  <c r="AL114" i="37"/>
  <c r="AL67" i="37"/>
  <c r="AX69" i="37"/>
  <c r="AX139" i="37"/>
  <c r="BN115" i="37"/>
  <c r="BN138" i="37"/>
  <c r="BV116" i="37"/>
  <c r="BV139" i="37"/>
  <c r="N119" i="37"/>
  <c r="N142" i="37"/>
  <c r="Z74" i="37"/>
  <c r="Z121" i="37"/>
  <c r="AH142" i="37"/>
  <c r="AH119" i="37"/>
  <c r="BR144" i="37"/>
  <c r="BR121" i="37"/>
  <c r="BV120" i="37"/>
  <c r="BV143" i="37"/>
  <c r="AI145" i="46"/>
  <c r="D145" i="46"/>
  <c r="H145" i="46" s="1"/>
  <c r="AI274" i="46"/>
  <c r="D274" i="46"/>
  <c r="AI394" i="46"/>
  <c r="D401" i="46"/>
  <c r="H401" i="46" s="1"/>
  <c r="AI580" i="46"/>
  <c r="AU67" i="45"/>
  <c r="B249" i="45"/>
  <c r="B431" i="45" s="1"/>
  <c r="D89" i="12"/>
  <c r="S86" i="12"/>
  <c r="B119" i="47"/>
  <c r="B112" i="47"/>
  <c r="B307" i="45"/>
  <c r="B489" i="45" s="1"/>
  <c r="AU125" i="45"/>
  <c r="B132" i="45"/>
  <c r="B168" i="47"/>
  <c r="B143" i="45"/>
  <c r="CD34" i="47"/>
  <c r="CD41" i="47"/>
  <c r="CO34" i="47"/>
  <c r="CM41" i="47"/>
  <c r="BW94" i="47"/>
  <c r="EA96" i="47"/>
  <c r="DY110" i="47"/>
  <c r="DX98" i="47"/>
  <c r="DY103" i="47"/>
  <c r="DZ96" i="47"/>
  <c r="BG130" i="47"/>
  <c r="H130" i="47"/>
  <c r="U130" i="47"/>
  <c r="BK130" i="47"/>
  <c r="P130" i="47"/>
  <c r="BK137" i="47"/>
  <c r="M130" i="47"/>
  <c r="BM178" i="47"/>
  <c r="BM164" i="47"/>
  <c r="L29" i="89"/>
  <c r="E36" i="89"/>
  <c r="E30" i="89"/>
  <c r="E23" i="89"/>
  <c r="E31" i="89"/>
  <c r="E16" i="89"/>
  <c r="E29" i="89"/>
  <c r="E32" i="89"/>
  <c r="E18" i="89"/>
  <c r="E17" i="89"/>
  <c r="E12" i="89"/>
  <c r="E45" i="89"/>
  <c r="E24" i="89"/>
  <c r="E25" i="89"/>
  <c r="E22" i="89"/>
  <c r="E15" i="89"/>
  <c r="E39" i="89"/>
  <c r="E38" i="89"/>
  <c r="BV6" i="29"/>
  <c r="BZ6" i="29" s="1"/>
  <c r="CD6" i="29" s="1"/>
  <c r="CH6" i="29" s="1"/>
  <c r="CL6" i="29" s="1"/>
  <c r="CP6" i="29" s="1"/>
  <c r="CT6" i="29" s="1"/>
  <c r="CX6" i="29" s="1"/>
  <c r="DB6" i="29" s="1"/>
  <c r="DF6" i="29" s="1"/>
  <c r="DJ6" i="29" s="1"/>
  <c r="DN6" i="29" s="1"/>
  <c r="DR6" i="29" s="1"/>
  <c r="BR6" i="29"/>
  <c r="N19" i="20"/>
  <c r="BD34" i="29"/>
  <c r="Y19" i="20"/>
  <c r="DD34" i="29"/>
  <c r="AM132" i="9"/>
  <c r="T360" i="40"/>
  <c r="J9" i="20"/>
  <c r="DA47" i="28"/>
  <c r="Q318" i="40"/>
  <c r="R114" i="40"/>
  <c r="DF65" i="28"/>
  <c r="Y405" i="40"/>
  <c r="Y165" i="40"/>
  <c r="DH99" i="45"/>
  <c r="AK411" i="45"/>
  <c r="AK405" i="45"/>
  <c r="Z580" i="46"/>
  <c r="AQ412" i="45"/>
  <c r="Q418" i="45"/>
  <c r="Q146" i="40"/>
  <c r="Z219" i="46"/>
  <c r="Q419" i="45"/>
  <c r="Z588" i="46"/>
  <c r="Z645" i="46"/>
  <c r="U479" i="45"/>
  <c r="Z814" i="46"/>
  <c r="AR66" i="36"/>
  <c r="AR36" i="36"/>
  <c r="AR48" i="36"/>
  <c r="AR54" i="36" s="1"/>
  <c r="AZ63" i="36"/>
  <c r="AZ33" i="36"/>
  <c r="AZ57" i="36" s="1"/>
  <c r="AZ45" i="36"/>
  <c r="AZ51" i="36" s="1"/>
  <c r="B29" i="34"/>
  <c r="B47" i="34"/>
  <c r="B23" i="34"/>
  <c r="B17" i="34"/>
  <c r="B41" i="34"/>
  <c r="AL41" i="34"/>
  <c r="AQ23" i="34"/>
  <c r="CI24" i="34"/>
  <c r="CH42" i="34"/>
  <c r="AN40" i="89"/>
  <c r="AN47" i="89"/>
  <c r="G220" i="47"/>
  <c r="BQ203" i="47"/>
  <c r="BU52" i="47"/>
  <c r="CM175" i="29"/>
  <c r="Z138" i="12"/>
  <c r="Z356" i="40"/>
  <c r="S234" i="46"/>
  <c r="A98" i="45"/>
  <c r="A90" i="47"/>
  <c r="A102" i="45"/>
  <c r="A95" i="47"/>
  <c r="R34" i="47"/>
  <c r="BL34" i="47"/>
  <c r="BI52" i="47"/>
  <c r="S75" i="12"/>
  <c r="AX55" i="47"/>
  <c r="BS55" i="47" s="1"/>
  <c r="BG75" i="47"/>
  <c r="AR75" i="47"/>
  <c r="AD75" i="47"/>
  <c r="M75" i="47"/>
  <c r="U75" i="47"/>
  <c r="BF87" i="47"/>
  <c r="DV80" i="47"/>
  <c r="S103" i="12"/>
  <c r="H89" i="47"/>
  <c r="U89" i="47"/>
  <c r="BG89" i="47"/>
  <c r="M89" i="47"/>
  <c r="DV124" i="47"/>
  <c r="DT126" i="47"/>
  <c r="DB126" i="47"/>
  <c r="AC133" i="47"/>
  <c r="DR158" i="47"/>
  <c r="DQ165" i="47"/>
  <c r="DT158" i="47"/>
  <c r="EJ157" i="47"/>
  <c r="DF205" i="47"/>
  <c r="AD26" i="89"/>
  <c r="DI220" i="47"/>
  <c r="CM34" i="29"/>
  <c r="V19" i="20"/>
  <c r="W60" i="29"/>
  <c r="X60" i="29"/>
  <c r="AA86" i="29"/>
  <c r="AM166" i="29"/>
  <c r="AE172" i="29"/>
  <c r="AI172" i="29"/>
  <c r="CQ173" i="29"/>
  <c r="CM173" i="29"/>
  <c r="AQ170" i="29"/>
  <c r="BW175" i="29"/>
  <c r="BG192" i="29"/>
  <c r="BK192" i="29"/>
  <c r="BO193" i="29"/>
  <c r="CE204" i="29"/>
  <c r="I47" i="40"/>
  <c r="I49" i="40" s="1"/>
  <c r="BJ124" i="40"/>
  <c r="AQ48" i="45"/>
  <c r="K48" i="45"/>
  <c r="AQ56" i="45"/>
  <c r="K56" i="45"/>
  <c r="X163" i="45"/>
  <c r="J465" i="46"/>
  <c r="AR224" i="45"/>
  <c r="K274" i="45"/>
  <c r="W81" i="40"/>
  <c r="Z579" i="46"/>
  <c r="AB579" i="46" s="1"/>
  <c r="Z636" i="46"/>
  <c r="Z594" i="46"/>
  <c r="AB594" i="46" s="1"/>
  <c r="AK594" i="46" s="1"/>
  <c r="Z651" i="46"/>
  <c r="AB651" i="46" s="1"/>
  <c r="Z603" i="46"/>
  <c r="Z660" i="46"/>
  <c r="AB660" i="46" s="1"/>
  <c r="Q436" i="45"/>
  <c r="Z608" i="46"/>
  <c r="W526" i="45"/>
  <c r="G21" i="80"/>
  <c r="B21" i="80" s="1"/>
  <c r="AF52" i="36"/>
  <c r="AH40" i="34"/>
  <c r="AM22" i="34"/>
  <c r="CL42" i="34"/>
  <c r="BN43" i="34"/>
  <c r="BO31" i="34"/>
  <c r="BS31" i="34"/>
  <c r="J32" i="9"/>
  <c r="T32" i="9"/>
  <c r="J91" i="9"/>
  <c r="AJ90" i="9"/>
  <c r="DI358" i="45"/>
  <c r="DL22" i="29"/>
  <c r="DH22" i="29"/>
  <c r="DC40" i="34"/>
  <c r="DO204" i="29"/>
  <c r="CV20" i="29"/>
  <c r="CQ24" i="29"/>
  <c r="CR24" i="29" s="1"/>
  <c r="W7" i="20"/>
  <c r="W44" i="20" s="1"/>
  <c r="CY42" i="34"/>
  <c r="DF211" i="29"/>
  <c r="CC80" i="28"/>
  <c r="B47" i="47"/>
  <c r="B55" i="45"/>
  <c r="BF31" i="47"/>
  <c r="S54" i="12"/>
  <c r="BO41" i="47"/>
  <c r="S646" i="46"/>
  <c r="S524" i="46"/>
  <c r="EA60" i="47"/>
  <c r="AL77" i="47"/>
  <c r="EA88" i="47"/>
  <c r="AR87" i="47"/>
  <c r="U87" i="47"/>
  <c r="M87" i="47"/>
  <c r="BG87" i="47"/>
  <c r="AD87" i="47"/>
  <c r="BG96" i="47"/>
  <c r="AR96" i="47"/>
  <c r="P118" i="47"/>
  <c r="U118" i="47"/>
  <c r="AD118" i="47"/>
  <c r="H118" i="47"/>
  <c r="H132" i="47"/>
  <c r="BG132" i="47"/>
  <c r="AD136" i="47"/>
  <c r="U136" i="47"/>
  <c r="P136" i="47"/>
  <c r="M136" i="47"/>
  <c r="H136" i="47"/>
  <c r="BK136" i="47"/>
  <c r="BG143" i="47"/>
  <c r="AR143" i="47"/>
  <c r="AD143" i="47"/>
  <c r="EI143" i="47"/>
  <c r="EI146" i="47"/>
  <c r="M146" i="47"/>
  <c r="BK146" i="47"/>
  <c r="DM167" i="47"/>
  <c r="DH182" i="47"/>
  <c r="CU213" i="47"/>
  <c r="CV206" i="47"/>
  <c r="DQ216" i="47"/>
  <c r="DQ223" i="47"/>
  <c r="AO26" i="89"/>
  <c r="DV220" i="47"/>
  <c r="AD223" i="47"/>
  <c r="DZ223" i="47"/>
  <c r="BG223" i="47"/>
  <c r="M223" i="47"/>
  <c r="U223" i="47"/>
  <c r="E46" i="89"/>
  <c r="BL23" i="29"/>
  <c r="BP23" i="29"/>
  <c r="Q11" i="20"/>
  <c r="BS54" i="29"/>
  <c r="CY56" i="29"/>
  <c r="CY46" i="29"/>
  <c r="CZ36" i="29"/>
  <c r="AU54" i="29"/>
  <c r="L34" i="20"/>
  <c r="L35" i="20" s="1"/>
  <c r="CE56" i="29"/>
  <c r="BB66" i="29"/>
  <c r="DX130" i="47"/>
  <c r="CJ61" i="29"/>
  <c r="CE61" i="29"/>
  <c r="CR62" i="29"/>
  <c r="DX173" i="47"/>
  <c r="EA173" i="47" s="1"/>
  <c r="CI81" i="29"/>
  <c r="CM82" i="29"/>
  <c r="CU82" i="29"/>
  <c r="CT86" i="29"/>
  <c r="CU86" i="29" s="1"/>
  <c r="AU85" i="29"/>
  <c r="DC165" i="29"/>
  <c r="BC193" i="29"/>
  <c r="BG193" i="29"/>
  <c r="Q8" i="40"/>
  <c r="P160" i="40"/>
  <c r="O8" i="40"/>
  <c r="L270" i="40"/>
  <c r="T174" i="40"/>
  <c r="DH129" i="45"/>
  <c r="S30" i="40"/>
  <c r="AH63" i="9"/>
  <c r="AJ63" i="9" s="1"/>
  <c r="J504" i="45"/>
  <c r="AF81" i="40"/>
  <c r="Z630" i="46"/>
  <c r="Z508" i="46"/>
  <c r="Z664" i="46"/>
  <c r="Q435" i="45"/>
  <c r="Q460" i="45"/>
  <c r="Z686" i="46"/>
  <c r="Z688" i="46"/>
  <c r="AB688" i="46" s="1"/>
  <c r="Z559" i="46"/>
  <c r="AB559" i="46" s="1"/>
  <c r="M465" i="45"/>
  <c r="M459" i="45"/>
  <c r="U473" i="45"/>
  <c r="Z807" i="46"/>
  <c r="E59" i="17"/>
  <c r="AA59" i="17"/>
  <c r="L96" i="9"/>
  <c r="D33" i="89"/>
  <c r="C40" i="89"/>
  <c r="BD51" i="36"/>
  <c r="BD57" i="36"/>
  <c r="DN172" i="29"/>
  <c r="DS172" i="29" s="1"/>
  <c r="CQ164" i="29"/>
  <c r="W65" i="20"/>
  <c r="X66" i="20" s="1"/>
  <c r="CQ46" i="29"/>
  <c r="CV46" i="29"/>
  <c r="AK12" i="12"/>
  <c r="B140" i="45"/>
  <c r="B174" i="47"/>
  <c r="BS41" i="47"/>
  <c r="CA48" i="47"/>
  <c r="CA41" i="47"/>
  <c r="G55" i="47"/>
  <c r="S660" i="46"/>
  <c r="S603" i="46"/>
  <c r="DY69" i="47"/>
  <c r="DZ94" i="47"/>
  <c r="M102" i="47"/>
  <c r="BG102" i="47"/>
  <c r="AD102" i="47"/>
  <c r="AR102" i="47"/>
  <c r="BK123" i="47"/>
  <c r="BG116" i="47"/>
  <c r="AD116" i="47"/>
  <c r="U116" i="47"/>
  <c r="BK116" i="47"/>
  <c r="M116" i="47"/>
  <c r="H116" i="47"/>
  <c r="BW150" i="47"/>
  <c r="CU166" i="47"/>
  <c r="CV159" i="47"/>
  <c r="CU159" i="47"/>
  <c r="BK171" i="47"/>
  <c r="BB164" i="47"/>
  <c r="H164" i="47"/>
  <c r="BG164" i="47"/>
  <c r="AD164" i="47"/>
  <c r="U164" i="47"/>
  <c r="BK164" i="47"/>
  <c r="DQ179" i="47"/>
  <c r="DQ172" i="47"/>
  <c r="DR172" i="47"/>
  <c r="BM179" i="47"/>
  <c r="EB206" i="47"/>
  <c r="G218" i="47"/>
  <c r="BI211" i="47"/>
  <c r="AI12" i="40"/>
  <c r="DV213" i="47"/>
  <c r="BG218" i="47"/>
  <c r="BB218" i="47"/>
  <c r="M218" i="47"/>
  <c r="H218" i="47"/>
  <c r="DZ218" i="47"/>
  <c r="U19" i="89"/>
  <c r="AN26" i="89"/>
  <c r="BG26" i="29"/>
  <c r="BK16" i="29"/>
  <c r="BH16" i="29"/>
  <c r="T165" i="9"/>
  <c r="CM36" i="29"/>
  <c r="CI44" i="29"/>
  <c r="AI56" i="29"/>
  <c r="P34" i="20"/>
  <c r="P35" i="20" s="1"/>
  <c r="BK54" i="29"/>
  <c r="BH60" i="29"/>
  <c r="CL75" i="29"/>
  <c r="CM75" i="29" s="1"/>
  <c r="BC73" i="29"/>
  <c r="BH73" i="29"/>
  <c r="AI86" i="29"/>
  <c r="CH126" i="29"/>
  <c r="CI126" i="29" s="1"/>
  <c r="M68" i="20"/>
  <c r="AY174" i="29"/>
  <c r="BG175" i="29"/>
  <c r="S68" i="20"/>
  <c r="T68" i="20" s="1"/>
  <c r="U68" i="20" s="1"/>
  <c r="V68" i="20" s="1"/>
  <c r="CA174" i="29"/>
  <c r="CI175" i="29"/>
  <c r="CE175" i="29"/>
  <c r="BG194" i="29"/>
  <c r="BK194" i="29"/>
  <c r="AY199" i="29"/>
  <c r="AX200" i="29"/>
  <c r="AX204" i="29"/>
  <c r="AY204" i="29" s="1"/>
  <c r="X31" i="20"/>
  <c r="AC360" i="40"/>
  <c r="S9" i="20"/>
  <c r="BG64" i="40"/>
  <c r="BC66" i="40"/>
  <c r="O302" i="40"/>
  <c r="AC59" i="45"/>
  <c r="AB60" i="45"/>
  <c r="DI129" i="45"/>
  <c r="AD70" i="40"/>
  <c r="DI165" i="45"/>
  <c r="AJ18" i="40" s="1"/>
  <c r="J389" i="45"/>
  <c r="N147" i="40"/>
  <c r="N149" i="40" s="1"/>
  <c r="N342" i="40" s="1"/>
  <c r="AM424" i="45"/>
  <c r="AK431" i="45"/>
  <c r="Z672" i="46"/>
  <c r="Z615" i="46"/>
  <c r="U447" i="45"/>
  <c r="Z777" i="46"/>
  <c r="Q479" i="45"/>
  <c r="U483" i="45"/>
  <c r="Z819" i="46"/>
  <c r="W528" i="45"/>
  <c r="AG59" i="17"/>
  <c r="P35" i="22"/>
  <c r="P53" i="22"/>
  <c r="R34" i="36"/>
  <c r="R58" i="36" s="1"/>
  <c r="R64" i="36"/>
  <c r="AL34" i="36"/>
  <c r="AL58" i="36" s="1"/>
  <c r="AL64" i="36"/>
  <c r="BV43" i="34"/>
  <c r="BZ49" i="34" s="1"/>
  <c r="CA31" i="34"/>
  <c r="T160" i="9"/>
  <c r="DJ183" i="45"/>
  <c r="DH171" i="45"/>
  <c r="AK17" i="40" s="1"/>
  <c r="CP124" i="29"/>
  <c r="CP125" i="29"/>
  <c r="CP126" i="29"/>
  <c r="CQ80" i="29"/>
  <c r="CP110" i="29"/>
  <c r="CQ51" i="29"/>
  <c r="CP210" i="29"/>
  <c r="CP56" i="29"/>
  <c r="CQ56" i="29" s="1"/>
  <c r="CP55" i="29"/>
  <c r="CQ55" i="29" s="1"/>
  <c r="D479" i="46"/>
  <c r="H479" i="46" s="1"/>
  <c r="A20" i="47"/>
  <c r="B36" i="45"/>
  <c r="B62" i="45"/>
  <c r="A68" i="45"/>
  <c r="A79" i="45"/>
  <c r="B77" i="45"/>
  <c r="B108" i="47"/>
  <c r="B114" i="45"/>
  <c r="B13" i="47"/>
  <c r="B122" i="47"/>
  <c r="CV164" i="47"/>
  <c r="DM166" i="47"/>
  <c r="DT179" i="47"/>
  <c r="AG59" i="40"/>
  <c r="E37" i="89"/>
  <c r="D133" i="9"/>
  <c r="L15" i="29"/>
  <c r="L16" i="29" s="1"/>
  <c r="AB15" i="29"/>
  <c r="AB16" i="29" s="1"/>
  <c r="W76" i="17"/>
  <c r="BT20" i="29"/>
  <c r="DC55" i="29"/>
  <c r="BO35" i="29"/>
  <c r="AB61" i="29"/>
  <c r="AU61" i="29"/>
  <c r="DD62" i="29"/>
  <c r="O76" i="29"/>
  <c r="O172" i="29"/>
  <c r="CA203" i="29"/>
  <c r="T31" i="20"/>
  <c r="V33" i="36"/>
  <c r="V57" i="36" s="1"/>
  <c r="CP42" i="34"/>
  <c r="CU42" i="34" s="1"/>
  <c r="W28" i="34"/>
  <c r="A230" i="47"/>
  <c r="BB36" i="36"/>
  <c r="S363" i="46"/>
  <c r="D370" i="46" s="1"/>
  <c r="S364" i="46"/>
  <c r="BD53" i="36"/>
  <c r="E44" i="89"/>
  <c r="A161" i="45"/>
  <c r="A218" i="47"/>
  <c r="B115" i="47"/>
  <c r="CT126" i="47"/>
  <c r="B126" i="47"/>
  <c r="BL182" i="47"/>
  <c r="AU166" i="29"/>
  <c r="CM172" i="29"/>
  <c r="BC174" i="29"/>
  <c r="DC174" i="29"/>
  <c r="AF34" i="36"/>
  <c r="AF58" i="36" s="1"/>
  <c r="AT34" i="36"/>
  <c r="AT58" i="36" s="1"/>
  <c r="BB48" i="36"/>
  <c r="BB54" i="36" s="1"/>
  <c r="DB42" i="34"/>
  <c r="E43" i="89"/>
  <c r="H43" i="89"/>
  <c r="I203" i="47"/>
  <c r="CE202" i="29"/>
  <c r="BD35" i="36"/>
  <c r="BD59" i="36" s="1"/>
  <c r="BD233" i="47"/>
  <c r="DT233" i="47"/>
  <c r="DP233" i="47" s="1"/>
  <c r="IC25" i="38"/>
  <c r="EA157" i="47" l="1"/>
  <c r="AJ13" i="40"/>
  <c r="DX119" i="47"/>
  <c r="DY158" i="47"/>
  <c r="EJ81" i="37"/>
  <c r="DY123" i="47"/>
  <c r="AJ334" i="40"/>
  <c r="GY28" i="38"/>
  <c r="EA123" i="47"/>
  <c r="IA23" i="38"/>
  <c r="AI85" i="46"/>
  <c r="AI86" i="46" s="1"/>
  <c r="AH62" i="40"/>
  <c r="DZ116" i="47"/>
  <c r="D289" i="46"/>
  <c r="H289" i="46" s="1"/>
  <c r="AK114" i="40"/>
  <c r="D346" i="46"/>
  <c r="D296" i="46"/>
  <c r="H296" i="46" s="1"/>
  <c r="HU25" i="38"/>
  <c r="EI26" i="37" s="1"/>
  <c r="EH49" i="37" s="1"/>
  <c r="AI289" i="46"/>
  <c r="AK289" i="46" s="1"/>
  <c r="AM296" i="46" s="1"/>
  <c r="AT113" i="40"/>
  <c r="W105" i="20" s="1"/>
  <c r="BE114" i="40"/>
  <c r="BE139" i="40" s="1"/>
  <c r="AI366" i="46"/>
  <c r="AK366" i="46" s="1"/>
  <c r="S37" i="46"/>
  <c r="Q46" i="89"/>
  <c r="T46" i="89"/>
  <c r="D152" i="46"/>
  <c r="H152" i="46" s="1"/>
  <c r="AC149" i="40"/>
  <c r="AC342" i="40" s="1"/>
  <c r="S597" i="46"/>
  <c r="D597" i="46" s="1"/>
  <c r="H597" i="46" s="1"/>
  <c r="HX27" i="38"/>
  <c r="HX28" i="38" s="1"/>
  <c r="S127" i="12"/>
  <c r="S128" i="12" s="1"/>
  <c r="D128" i="12" s="1"/>
  <c r="H128" i="12" s="1"/>
  <c r="S204" i="12"/>
  <c r="AI204" i="12" s="1"/>
  <c r="D373" i="46"/>
  <c r="H373" i="46" s="1"/>
  <c r="AI152" i="46"/>
  <c r="AK152" i="46" s="1"/>
  <c r="AC135" i="40"/>
  <c r="DJ75" i="28" s="1"/>
  <c r="AK8" i="40"/>
  <c r="AL9" i="40" s="1"/>
  <c r="AC318" i="40"/>
  <c r="U82" i="17"/>
  <c r="AD98" i="9"/>
  <c r="J102" i="9"/>
  <c r="N56" i="22"/>
  <c r="N59" i="22" s="1"/>
  <c r="AP98" i="9"/>
  <c r="AT98" i="9" s="1"/>
  <c r="X98" i="9"/>
  <c r="P98" i="9"/>
  <c r="J98" i="9"/>
  <c r="R98" i="9" s="1"/>
  <c r="C13" i="99"/>
  <c r="P137" i="85"/>
  <c r="P95" i="85"/>
  <c r="P53" i="85"/>
  <c r="DT11" i="28"/>
  <c r="P99" i="85"/>
  <c r="P57" i="85"/>
  <c r="P140" i="85"/>
  <c r="P98" i="85"/>
  <c r="P56" i="85"/>
  <c r="CX213" i="47"/>
  <c r="CY213" i="47"/>
  <c r="R9" i="40"/>
  <c r="R41" i="40" s="1"/>
  <c r="R353" i="40" s="1"/>
  <c r="BL41" i="47"/>
  <c r="CB41" i="47" s="1"/>
  <c r="BM77" i="47"/>
  <c r="BU129" i="47"/>
  <c r="BN164" i="47"/>
  <c r="BL119" i="47"/>
  <c r="BW119" i="47" s="1"/>
  <c r="BN119" i="47" s="1"/>
  <c r="DZ108" i="47"/>
  <c r="BQ164" i="47"/>
  <c r="M46" i="47"/>
  <c r="U114" i="40"/>
  <c r="U144" i="40" s="1"/>
  <c r="U350" i="40" s="1"/>
  <c r="AR77" i="47"/>
  <c r="BG77" i="47"/>
  <c r="AI248" i="46"/>
  <c r="BK69" i="47"/>
  <c r="BU66" i="47"/>
  <c r="S70" i="47"/>
  <c r="K145" i="20"/>
  <c r="BP90" i="47"/>
  <c r="BI119" i="47"/>
  <c r="H119" i="47" s="1"/>
  <c r="V114" i="40"/>
  <c r="U70" i="47"/>
  <c r="BN137" i="47"/>
  <c r="R145" i="20"/>
  <c r="D36" i="46"/>
  <c r="H36" i="46" s="1"/>
  <c r="FN13" i="38"/>
  <c r="DR168" i="47"/>
  <c r="BX164" i="47"/>
  <c r="L126" i="47"/>
  <c r="BX99" i="37" s="1"/>
  <c r="DT168" i="47"/>
  <c r="DV168" i="47" s="1"/>
  <c r="BU90" i="47"/>
  <c r="BQ157" i="47"/>
  <c r="DZ62" i="47"/>
  <c r="BU137" i="47"/>
  <c r="R49" i="40"/>
  <c r="R345" i="40" s="1"/>
  <c r="BO161" i="47"/>
  <c r="BW161" i="47" s="1"/>
  <c r="S654" i="46"/>
  <c r="DU174" i="47"/>
  <c r="BF18" i="38"/>
  <c r="EJ12" i="37"/>
  <c r="EJ35" i="37" s="1"/>
  <c r="DU167" i="47"/>
  <c r="U42" i="47"/>
  <c r="D43" i="46"/>
  <c r="H43" i="46" s="1"/>
  <c r="AM338" i="46"/>
  <c r="HW16" i="38"/>
  <c r="EK17" i="37" s="1"/>
  <c r="HV22" i="38"/>
  <c r="W231" i="46"/>
  <c r="AK36" i="46"/>
  <c r="BK202" i="47"/>
  <c r="AR24" i="47"/>
  <c r="BU143" i="47"/>
  <c r="CV168" i="47"/>
  <c r="AL64" i="40"/>
  <c r="EA83" i="47"/>
  <c r="HW15" i="38"/>
  <c r="EJ85" i="37" s="1"/>
  <c r="BQ73" i="47"/>
  <c r="H98" i="12"/>
  <c r="BX76" i="47"/>
  <c r="J23" i="80"/>
  <c r="HN27" i="38"/>
  <c r="BQ17" i="28"/>
  <c r="BQ32" i="28" s="1"/>
  <c r="BQ43" i="28" s="1"/>
  <c r="BQ36" i="28"/>
  <c r="AR36" i="28"/>
  <c r="AR17" i="28"/>
  <c r="T87" i="40"/>
  <c r="CE131" i="29"/>
  <c r="BV220" i="29"/>
  <c r="BV230" i="29" s="1"/>
  <c r="BW210" i="29"/>
  <c r="I22" i="89"/>
  <c r="AC15" i="89"/>
  <c r="CU45" i="29"/>
  <c r="CU55" i="29"/>
  <c r="CU25" i="29"/>
  <c r="GN28" i="38"/>
  <c r="HZ26" i="38"/>
  <c r="BZ220" i="29"/>
  <c r="BZ214" i="29"/>
  <c r="CA214" i="29" s="1"/>
  <c r="CA210" i="29"/>
  <c r="BZ215" i="29"/>
  <c r="CA215" i="29" s="1"/>
  <c r="BZ213" i="29"/>
  <c r="CA213" i="29" s="1"/>
  <c r="E384" i="45"/>
  <c r="BV214" i="29"/>
  <c r="BW214" i="29" s="1"/>
  <c r="K102" i="45"/>
  <c r="AD40" i="47"/>
  <c r="O30" i="89"/>
  <c r="BN87" i="47"/>
  <c r="T100" i="40"/>
  <c r="T102" i="40" s="1"/>
  <c r="T341" i="40" s="1"/>
  <c r="AW49" i="28"/>
  <c r="BR13" i="28"/>
  <c r="BF48" i="34"/>
  <c r="BB48" i="34"/>
  <c r="BG42" i="34"/>
  <c r="BC42" i="34"/>
  <c r="K435" i="45"/>
  <c r="K441" i="45"/>
  <c r="AY121" i="29"/>
  <c r="AY111" i="29"/>
  <c r="AX131" i="29"/>
  <c r="AX115" i="29"/>
  <c r="G125" i="29"/>
  <c r="G115" i="29"/>
  <c r="Z49" i="12"/>
  <c r="BS123" i="29"/>
  <c r="BS113" i="29"/>
  <c r="BR133" i="29"/>
  <c r="AQ175" i="29"/>
  <c r="AU175" i="29"/>
  <c r="N126" i="45"/>
  <c r="O125" i="45"/>
  <c r="BJ221" i="29"/>
  <c r="BK211" i="29"/>
  <c r="BJ213" i="29"/>
  <c r="BK213" i="29" s="1"/>
  <c r="AT231" i="29"/>
  <c r="AU221" i="29"/>
  <c r="AD220" i="47"/>
  <c r="BB220" i="47"/>
  <c r="BG220" i="47"/>
  <c r="H220" i="47"/>
  <c r="DB14" i="29"/>
  <c r="DC213" i="29" s="1"/>
  <c r="AI220" i="47"/>
  <c r="M220" i="47"/>
  <c r="U220" i="47"/>
  <c r="BK220" i="47"/>
  <c r="W116" i="29"/>
  <c r="W126" i="29"/>
  <c r="K82" i="17"/>
  <c r="K81" i="17"/>
  <c r="AQ221" i="29"/>
  <c r="AP231" i="29"/>
  <c r="CM120" i="29"/>
  <c r="CL114" i="29"/>
  <c r="CL115" i="29"/>
  <c r="CL116" i="29"/>
  <c r="CL130" i="29"/>
  <c r="CM110" i="29"/>
  <c r="BV46" i="34"/>
  <c r="BW40" i="34"/>
  <c r="AT50" i="45"/>
  <c r="A232" i="45"/>
  <c r="A414" i="45" s="1"/>
  <c r="DN176" i="29"/>
  <c r="DY96" i="47"/>
  <c r="U580" i="46"/>
  <c r="W580" i="46" s="1"/>
  <c r="Z140" i="29"/>
  <c r="EA165" i="47"/>
  <c r="R49" i="34"/>
  <c r="J41" i="20"/>
  <c r="BU87" i="47"/>
  <c r="BK112" i="29"/>
  <c r="BI32" i="28"/>
  <c r="L84" i="40"/>
  <c r="AE82" i="17"/>
  <c r="U318" i="40"/>
  <c r="U334" i="40" s="1"/>
  <c r="AW38" i="28"/>
  <c r="R81" i="9"/>
  <c r="BD31" i="34"/>
  <c r="BZ36" i="28"/>
  <c r="AK764" i="46"/>
  <c r="BI63" i="47"/>
  <c r="BG63" i="47" s="1"/>
  <c r="AD56" i="47"/>
  <c r="M147" i="47"/>
  <c r="S44" i="46"/>
  <c r="D51" i="46" s="1"/>
  <c r="H51" i="46" s="1"/>
  <c r="AB84" i="46"/>
  <c r="AK84" i="46" s="1"/>
  <c r="AF259" i="46"/>
  <c r="AA191" i="40"/>
  <c r="U43" i="46"/>
  <c r="AB587" i="46"/>
  <c r="AK587" i="46" s="1"/>
  <c r="AM594" i="46" s="1"/>
  <c r="Z46" i="9"/>
  <c r="L64" i="9"/>
  <c r="A173" i="9"/>
  <c r="J113" i="9"/>
  <c r="R179" i="9"/>
  <c r="N105" i="9"/>
  <c r="J20" i="20"/>
  <c r="DY225" i="47"/>
  <c r="AN17" i="28"/>
  <c r="CY74" i="29"/>
  <c r="DX227" i="47"/>
  <c r="DZ227" i="47" s="1"/>
  <c r="AB63" i="12"/>
  <c r="AB64" i="12"/>
  <c r="D356" i="46"/>
  <c r="H356" i="46" s="1"/>
  <c r="L531" i="46"/>
  <c r="U531" i="46" s="1"/>
  <c r="D349" i="46"/>
  <c r="H349" i="46" s="1"/>
  <c r="AD681" i="46"/>
  <c r="AI17" i="28"/>
  <c r="AI21" i="28" s="1"/>
  <c r="AI25" i="28" s="1"/>
  <c r="AI27" i="28" s="1"/>
  <c r="BQ69" i="47"/>
  <c r="L23" i="80"/>
  <c r="S78" i="40"/>
  <c r="T79" i="40" s="1"/>
  <c r="T97" i="40" s="1"/>
  <c r="T349" i="40" s="1"/>
  <c r="R78" i="40"/>
  <c r="BS165" i="29"/>
  <c r="BW165" i="29"/>
  <c r="CP47" i="47"/>
  <c r="BD22" i="34"/>
  <c r="BD28" i="34"/>
  <c r="BD34" i="34"/>
  <c r="AH26" i="89"/>
  <c r="DM227" i="47"/>
  <c r="DP220" i="47"/>
  <c r="DM220" i="47"/>
  <c r="CA42" i="34"/>
  <c r="BZ48" i="34"/>
  <c r="G121" i="29"/>
  <c r="G111" i="29"/>
  <c r="F131" i="29"/>
  <c r="G131" i="29" s="1"/>
  <c r="AT220" i="29"/>
  <c r="AU210" i="29"/>
  <c r="AH229" i="29"/>
  <c r="AI219" i="29"/>
  <c r="AH224" i="29"/>
  <c r="AI224" i="29" s="1"/>
  <c r="Z75" i="46"/>
  <c r="AB76" i="46" s="1"/>
  <c r="AD83" i="46" s="1"/>
  <c r="AF83" i="46" s="1"/>
  <c r="K453" i="45"/>
  <c r="K447" i="45"/>
  <c r="AQ447" i="45"/>
  <c r="BC209" i="29"/>
  <c r="BB219" i="29"/>
  <c r="BB214" i="29"/>
  <c r="BC214" i="29" s="1"/>
  <c r="BB215" i="29"/>
  <c r="BC215" i="29" s="1"/>
  <c r="Q33" i="89"/>
  <c r="Q40" i="89"/>
  <c r="CA46" i="29"/>
  <c r="CA26" i="29"/>
  <c r="Z91" i="12"/>
  <c r="AR443" i="45"/>
  <c r="BR222" i="29"/>
  <c r="BS212" i="29"/>
  <c r="BR213" i="29"/>
  <c r="BS213" i="29" s="1"/>
  <c r="CY133" i="29"/>
  <c r="CT143" i="29"/>
  <c r="CU133" i="29"/>
  <c r="CX232" i="29"/>
  <c r="CY222" i="29"/>
  <c r="AM230" i="29"/>
  <c r="CT232" i="29"/>
  <c r="DC222" i="29"/>
  <c r="CU222" i="29"/>
  <c r="V78" i="40"/>
  <c r="U78" i="40"/>
  <c r="U79" i="40" s="1"/>
  <c r="CU168" i="47"/>
  <c r="AR515" i="45"/>
  <c r="AR521" i="45"/>
  <c r="J49" i="46"/>
  <c r="L49" i="46" s="1"/>
  <c r="U49" i="46" s="1"/>
  <c r="W49" i="46" s="1"/>
  <c r="K61" i="45"/>
  <c r="AV112" i="29"/>
  <c r="AP132" i="29"/>
  <c r="AP116" i="29"/>
  <c r="AQ112" i="29"/>
  <c r="AQ122" i="29"/>
  <c r="CQ80" i="28"/>
  <c r="CV80" i="28"/>
  <c r="CL80" i="28"/>
  <c r="CB80" i="28"/>
  <c r="AB181" i="9"/>
  <c r="CG80" i="28"/>
  <c r="CA65" i="29"/>
  <c r="CF65" i="29"/>
  <c r="AM65" i="45"/>
  <c r="T19" i="40"/>
  <c r="CR111" i="29"/>
  <c r="CP131" i="29"/>
  <c r="CQ111" i="29"/>
  <c r="CQ121" i="29"/>
  <c r="CV111" i="29"/>
  <c r="A309" i="45"/>
  <c r="A491" i="45" s="1"/>
  <c r="AT127" i="45"/>
  <c r="CD230" i="29"/>
  <c r="CM230" i="29" s="1"/>
  <c r="CE220" i="29"/>
  <c r="DJ176" i="29"/>
  <c r="DK176" i="29" s="1"/>
  <c r="IB27" i="38"/>
  <c r="IB28" i="38" s="1"/>
  <c r="S41" i="34"/>
  <c r="R47" i="34"/>
  <c r="CL215" i="29"/>
  <c r="CM215" i="29" s="1"/>
  <c r="CL219" i="29"/>
  <c r="CM209" i="29"/>
  <c r="CL214" i="29"/>
  <c r="CM214" i="29" s="1"/>
  <c r="CL213" i="29"/>
  <c r="CM213" i="29" s="1"/>
  <c r="BO229" i="29"/>
  <c r="CL131" i="29"/>
  <c r="CM131" i="29" s="1"/>
  <c r="CM111" i="29"/>
  <c r="CM121" i="29"/>
  <c r="F66" i="45"/>
  <c r="G65" i="45"/>
  <c r="CQ209" i="29"/>
  <c r="CP219" i="29"/>
  <c r="BG64" i="29"/>
  <c r="BL64" i="29"/>
  <c r="BJ74" i="40"/>
  <c r="BJ65" i="40" s="1"/>
  <c r="BK72" i="40"/>
  <c r="BP112" i="29"/>
  <c r="L72" i="40"/>
  <c r="L73" i="40" s="1"/>
  <c r="BP118" i="47"/>
  <c r="AD20" i="12"/>
  <c r="K43" i="40"/>
  <c r="K44" i="40" s="1"/>
  <c r="E64" i="29"/>
  <c r="Z103" i="12"/>
  <c r="AR459" i="45"/>
  <c r="S18" i="89"/>
  <c r="S25" i="89"/>
  <c r="CI222" i="29"/>
  <c r="CH232" i="29"/>
  <c r="AA130" i="29"/>
  <c r="J143" i="20"/>
  <c r="BK66" i="29"/>
  <c r="M68" i="40"/>
  <c r="M71" i="40" s="1"/>
  <c r="M72" i="40" s="1"/>
  <c r="M73" i="40" s="1"/>
  <c r="DZ182" i="47"/>
  <c r="BW77" i="47"/>
  <c r="BQ77" i="47" s="1"/>
  <c r="G84" i="47"/>
  <c r="L85" i="9"/>
  <c r="BD19" i="34"/>
  <c r="H62" i="47"/>
  <c r="AK286" i="46"/>
  <c r="H56" i="47"/>
  <c r="AR14" i="47"/>
  <c r="AB191" i="40"/>
  <c r="AD744" i="46"/>
  <c r="AU13" i="45"/>
  <c r="P307" i="45"/>
  <c r="Q307" i="45" s="1"/>
  <c r="AA28" i="40"/>
  <c r="A117" i="9"/>
  <c r="AM138" i="9"/>
  <c r="A138" i="9"/>
  <c r="AJ98" i="9"/>
  <c r="J148" i="9"/>
  <c r="AM148" i="9" s="1"/>
  <c r="DC39" i="28"/>
  <c r="J37" i="20"/>
  <c r="J38" i="20" s="1"/>
  <c r="J12" i="20"/>
  <c r="Y7" i="20"/>
  <c r="Y41" i="20" s="1"/>
  <c r="E32" i="28"/>
  <c r="E43" i="28" s="1"/>
  <c r="HZ25" i="38"/>
  <c r="EM95" i="37" s="1"/>
  <c r="AU133" i="45"/>
  <c r="AB708" i="46"/>
  <c r="AD715" i="46" s="1"/>
  <c r="H294" i="46"/>
  <c r="AK132" i="12"/>
  <c r="H89" i="46"/>
  <c r="AB46" i="28"/>
  <c r="H47" i="89"/>
  <c r="CP40" i="47"/>
  <c r="DV178" i="47"/>
  <c r="BN69" i="47"/>
  <c r="CQ35" i="29"/>
  <c r="CR35" i="29"/>
  <c r="CV35" i="29"/>
  <c r="BF179" i="40"/>
  <c r="BE165" i="40"/>
  <c r="N304" i="45"/>
  <c r="N485" i="45"/>
  <c r="O485" i="45" s="1"/>
  <c r="O303" i="45"/>
  <c r="U84" i="17"/>
  <c r="U85" i="17"/>
  <c r="AC16" i="89"/>
  <c r="I23" i="89"/>
  <c r="AC26" i="89"/>
  <c r="I33" i="89"/>
  <c r="F215" i="29"/>
  <c r="G215" i="29" s="1"/>
  <c r="F214" i="29"/>
  <c r="G214" i="29" s="1"/>
  <c r="DI8" i="28"/>
  <c r="R22" i="20"/>
  <c r="R14" i="20"/>
  <c r="R12" i="20" s="1"/>
  <c r="S8" i="20"/>
  <c r="BT111" i="29"/>
  <c r="BO121" i="29"/>
  <c r="BO111" i="29"/>
  <c r="BN131" i="29"/>
  <c r="BG205" i="47"/>
  <c r="GA28" i="38"/>
  <c r="GH28" i="38" s="1"/>
  <c r="M205" i="47"/>
  <c r="BK205" i="47"/>
  <c r="AD205" i="47"/>
  <c r="BB205" i="47"/>
  <c r="U205" i="47"/>
  <c r="AI205" i="47"/>
  <c r="H205" i="47"/>
  <c r="CB40" i="47"/>
  <c r="BM40" i="47"/>
  <c r="B255" i="45"/>
  <c r="B437" i="45" s="1"/>
  <c r="AU73" i="45"/>
  <c r="CH231" i="29"/>
  <c r="CI231" i="29" s="1"/>
  <c r="CI221" i="29"/>
  <c r="J722" i="46"/>
  <c r="L722" i="46" s="1"/>
  <c r="R122" i="45"/>
  <c r="J723" i="46" s="1"/>
  <c r="L723" i="46" s="1"/>
  <c r="N723" i="46" s="1"/>
  <c r="H723" i="46" s="1"/>
  <c r="D723" i="46" s="1"/>
  <c r="S723" i="46" s="1"/>
  <c r="G130" i="29"/>
  <c r="F140" i="29"/>
  <c r="BH65" i="29"/>
  <c r="BC65" i="29"/>
  <c r="BD65" i="29"/>
  <c r="F48" i="34"/>
  <c r="G42" i="34"/>
  <c r="Q61" i="45"/>
  <c r="P62" i="45"/>
  <c r="J595" i="46"/>
  <c r="L595" i="46" s="1"/>
  <c r="U595" i="46" s="1"/>
  <c r="O166" i="29"/>
  <c r="K166" i="29"/>
  <c r="AP232" i="29"/>
  <c r="AQ232" i="29" s="1"/>
  <c r="AQ222" i="29"/>
  <c r="J386" i="46"/>
  <c r="H121" i="45"/>
  <c r="AY113" i="29"/>
  <c r="AZ113" i="29"/>
  <c r="AX133" i="29"/>
  <c r="AY123" i="29"/>
  <c r="F213" i="29"/>
  <c r="BS64" i="29"/>
  <c r="BX64" i="29"/>
  <c r="BF116" i="29"/>
  <c r="CQ191" i="29"/>
  <c r="CT188" i="29"/>
  <c r="BN29" i="28"/>
  <c r="AR262" i="45"/>
  <c r="AR256" i="45"/>
  <c r="U30" i="40"/>
  <c r="AH77" i="9"/>
  <c r="AJ77" i="9" s="1"/>
  <c r="BP111" i="47"/>
  <c r="W115" i="29"/>
  <c r="W125" i="29"/>
  <c r="S43" i="20"/>
  <c r="CA84" i="29"/>
  <c r="AF66" i="45"/>
  <c r="AG65" i="45"/>
  <c r="Z202" i="12"/>
  <c r="AR538" i="45"/>
  <c r="N131" i="29"/>
  <c r="O121" i="29"/>
  <c r="O111" i="29"/>
  <c r="N115" i="29"/>
  <c r="AC18" i="89"/>
  <c r="I25" i="89"/>
  <c r="M98" i="45"/>
  <c r="L101" i="45"/>
  <c r="J275" i="46"/>
  <c r="L275" i="46" s="1"/>
  <c r="U275" i="46" s="1"/>
  <c r="W62" i="45"/>
  <c r="V65" i="45"/>
  <c r="S382" i="40"/>
  <c r="S405" i="40" s="1"/>
  <c r="F133" i="29"/>
  <c r="F143" i="29" s="1"/>
  <c r="G113" i="29"/>
  <c r="G123" i="29"/>
  <c r="DL19" i="28"/>
  <c r="H16" i="85"/>
  <c r="V43" i="20"/>
  <c r="CM84" i="29"/>
  <c r="BI175" i="40"/>
  <c r="BH162" i="40"/>
  <c r="BO131" i="29"/>
  <c r="CA120" i="29"/>
  <c r="BZ130" i="29"/>
  <c r="CF110" i="29"/>
  <c r="CA110" i="29"/>
  <c r="BZ114" i="29"/>
  <c r="CB114" i="29" s="1"/>
  <c r="BZ115" i="29"/>
  <c r="BZ116" i="29"/>
  <c r="CA116" i="29" s="1"/>
  <c r="AJ58" i="36"/>
  <c r="BJ116" i="29"/>
  <c r="DK37" i="28"/>
  <c r="AT61" i="45"/>
  <c r="A82" i="9"/>
  <c r="DJ16" i="28"/>
  <c r="P147" i="47"/>
  <c r="W13" i="28"/>
  <c r="W37" i="28"/>
  <c r="BW205" i="47"/>
  <c r="BN205" i="47" s="1"/>
  <c r="BB130" i="29"/>
  <c r="BC110" i="29"/>
  <c r="BC120" i="29"/>
  <c r="BD110" i="29"/>
  <c r="BG220" i="29"/>
  <c r="BF230" i="29"/>
  <c r="BF224" i="29"/>
  <c r="AI54" i="29"/>
  <c r="I34" i="20"/>
  <c r="I35" i="20" s="1"/>
  <c r="AR225" i="45"/>
  <c r="AR219" i="45"/>
  <c r="AH34" i="9"/>
  <c r="AJ34" i="9" s="1"/>
  <c r="BR182" i="29"/>
  <c r="BS181" i="29"/>
  <c r="DF132" i="29"/>
  <c r="DG122" i="29"/>
  <c r="DL112" i="29"/>
  <c r="DK62" i="29"/>
  <c r="DJ66" i="29"/>
  <c r="DK66" i="29" s="1"/>
  <c r="DX232" i="47"/>
  <c r="DJ211" i="29"/>
  <c r="DJ112" i="29"/>
  <c r="L465" i="46"/>
  <c r="A194" i="45"/>
  <c r="A376" i="45" s="1"/>
  <c r="AM131" i="9"/>
  <c r="BX113" i="29"/>
  <c r="DG174" i="29"/>
  <c r="J17" i="20"/>
  <c r="DG112" i="29"/>
  <c r="R110" i="9"/>
  <c r="DY150" i="47"/>
  <c r="BP66" i="29"/>
  <c r="N54" i="12"/>
  <c r="AL165" i="37"/>
  <c r="AL188" i="37" s="1"/>
  <c r="AB75" i="12"/>
  <c r="CN110" i="29"/>
  <c r="CT215" i="29"/>
  <c r="CU215" i="29" s="1"/>
  <c r="DJ64" i="29"/>
  <c r="DU178" i="47"/>
  <c r="HV12" i="38"/>
  <c r="L174" i="85"/>
  <c r="EA117" i="47"/>
  <c r="CL37" i="28"/>
  <c r="CL62" i="28" s="1"/>
  <c r="BB49" i="28"/>
  <c r="P20" i="20"/>
  <c r="AW39" i="17"/>
  <c r="AW46" i="17" s="1"/>
  <c r="AW59" i="17" s="1"/>
  <c r="AL40" i="20"/>
  <c r="DW19" i="28"/>
  <c r="AD149" i="40"/>
  <c r="AD342" i="40" s="1"/>
  <c r="AD62" i="47"/>
  <c r="AK29" i="46"/>
  <c r="AI696" i="46"/>
  <c r="BF213" i="37"/>
  <c r="AB800" i="46"/>
  <c r="AK800" i="46" s="1"/>
  <c r="AD127" i="40"/>
  <c r="P27" i="40"/>
  <c r="P28" i="40" s="1"/>
  <c r="AD517" i="46"/>
  <c r="AT27" i="40"/>
  <c r="A131" i="9"/>
  <c r="N98" i="9"/>
  <c r="AV110" i="9"/>
  <c r="J24" i="20"/>
  <c r="DY154" i="47"/>
  <c r="DX126" i="47"/>
  <c r="R28" i="38"/>
  <c r="E21" i="28"/>
  <c r="E41" i="28" s="1"/>
  <c r="AB757" i="46"/>
  <c r="CP232" i="29"/>
  <c r="CY232" i="29" s="1"/>
  <c r="CQ222" i="29"/>
  <c r="AB137" i="9"/>
  <c r="AD137" i="9" s="1"/>
  <c r="AF137" i="9" s="1"/>
  <c r="Z145" i="12"/>
  <c r="AH88" i="9"/>
  <c r="AJ88" i="9" s="1"/>
  <c r="AR265" i="45"/>
  <c r="AR271" i="45"/>
  <c r="B313" i="45"/>
  <c r="B495" i="45" s="1"/>
  <c r="AU131" i="45"/>
  <c r="CB113" i="29"/>
  <c r="BZ133" i="29"/>
  <c r="CA123" i="29"/>
  <c r="CA113" i="29"/>
  <c r="CF113" i="29"/>
  <c r="AD202" i="47"/>
  <c r="GA13" i="38"/>
  <c r="AI202" i="47"/>
  <c r="U202" i="47"/>
  <c r="M202" i="47"/>
  <c r="BG202" i="47"/>
  <c r="BB202" i="47"/>
  <c r="B337" i="45"/>
  <c r="B519" i="45" s="1"/>
  <c r="AU155" i="45"/>
  <c r="CX143" i="29"/>
  <c r="DC133" i="29"/>
  <c r="Z160" i="12"/>
  <c r="AR502" i="45"/>
  <c r="AB117" i="9"/>
  <c r="AD117" i="9" s="1"/>
  <c r="AF117" i="9" s="1"/>
  <c r="AR472" i="45"/>
  <c r="Z125" i="12"/>
  <c r="AR478" i="45"/>
  <c r="AU65" i="45"/>
  <c r="B247" i="45"/>
  <c r="B429" i="45" s="1"/>
  <c r="M532" i="45"/>
  <c r="Z357" i="46"/>
  <c r="AQ532" i="45"/>
  <c r="Z195" i="12" s="1"/>
  <c r="BF221" i="29"/>
  <c r="BF231" i="29" s="1"/>
  <c r="BG211" i="29"/>
  <c r="BF213" i="29"/>
  <c r="AT146" i="45"/>
  <c r="A328" i="45"/>
  <c r="A510" i="45" s="1"/>
  <c r="AR471" i="45"/>
  <c r="Z124" i="12"/>
  <c r="AB116" i="9"/>
  <c r="AD116" i="9" s="1"/>
  <c r="BH117" i="40"/>
  <c r="BH138" i="40" s="1"/>
  <c r="BI127" i="40"/>
  <c r="A262" i="45"/>
  <c r="A444" i="45" s="1"/>
  <c r="AT80" i="45"/>
  <c r="BC220" i="29"/>
  <c r="BB230" i="29"/>
  <c r="H142" i="20"/>
  <c r="I5" i="20"/>
  <c r="AR501" i="45"/>
  <c r="AR495" i="45"/>
  <c r="Z152" i="12"/>
  <c r="W221" i="29"/>
  <c r="AX222" i="29"/>
  <c r="AX232" i="29" s="1"/>
  <c r="AY212" i="29"/>
  <c r="CA24" i="29"/>
  <c r="S11" i="20"/>
  <c r="G219" i="29"/>
  <c r="F229" i="29"/>
  <c r="G229" i="29" s="1"/>
  <c r="BK115" i="29"/>
  <c r="BK125" i="29"/>
  <c r="BL115" i="29"/>
  <c r="DM19" i="28"/>
  <c r="I16" i="85"/>
  <c r="AH47" i="34"/>
  <c r="CE211" i="29"/>
  <c r="CD221" i="29"/>
  <c r="BV130" i="29"/>
  <c r="BV115" i="29"/>
  <c r="BW120" i="29"/>
  <c r="BW110" i="29"/>
  <c r="CB110" i="29"/>
  <c r="BN221" i="29"/>
  <c r="BO211" i="29"/>
  <c r="BN215" i="29"/>
  <c r="BO215" i="29" s="1"/>
  <c r="BL119" i="40"/>
  <c r="BM114" i="40" s="1"/>
  <c r="AK318" i="40"/>
  <c r="AK334" i="40" s="1"/>
  <c r="E20" i="20"/>
  <c r="E12" i="20"/>
  <c r="E35" i="20"/>
  <c r="E32" i="20"/>
  <c r="E24" i="20"/>
  <c r="E15" i="20"/>
  <c r="E26" i="20"/>
  <c r="E44" i="20"/>
  <c r="E37" i="20"/>
  <c r="E14" i="20"/>
  <c r="CA122" i="29"/>
  <c r="CF112" i="29"/>
  <c r="BZ132" i="29"/>
  <c r="CB112" i="29"/>
  <c r="CA112" i="29"/>
  <c r="D141" i="29"/>
  <c r="D135" i="29"/>
  <c r="O65" i="29"/>
  <c r="T65" i="29"/>
  <c r="DM206" i="47"/>
  <c r="DN182" i="47"/>
  <c r="AI116" i="29"/>
  <c r="AI126" i="29"/>
  <c r="DF232" i="29"/>
  <c r="DG232" i="29" s="1"/>
  <c r="DG222" i="29"/>
  <c r="DC115" i="29"/>
  <c r="DC125" i="29"/>
  <c r="AK60" i="40"/>
  <c r="AK65" i="40"/>
  <c r="AK317" i="40" s="1"/>
  <c r="J751" i="46"/>
  <c r="L751" i="46" s="1"/>
  <c r="U751" i="46" s="1"/>
  <c r="U61" i="45"/>
  <c r="T62" i="45"/>
  <c r="CI219" i="29"/>
  <c r="CH229" i="29"/>
  <c r="S123" i="29"/>
  <c r="R133" i="29"/>
  <c r="R143" i="29" s="1"/>
  <c r="S113" i="29"/>
  <c r="R114" i="29"/>
  <c r="BT66" i="29"/>
  <c r="BO66" i="29"/>
  <c r="S387" i="40"/>
  <c r="S410" i="40" s="1"/>
  <c r="AJ65" i="45"/>
  <c r="AK62" i="45"/>
  <c r="O37" i="89"/>
  <c r="BL112" i="29"/>
  <c r="BJ135" i="29"/>
  <c r="BF32" i="28"/>
  <c r="BF49" i="28"/>
  <c r="BF21" i="28"/>
  <c r="BF38" i="28"/>
  <c r="M17" i="28"/>
  <c r="J98" i="46"/>
  <c r="L98" i="46" s="1"/>
  <c r="BD43" i="34"/>
  <c r="Z21" i="46"/>
  <c r="AQ401" i="45"/>
  <c r="K401" i="45"/>
  <c r="CX47" i="34"/>
  <c r="CY41" i="34"/>
  <c r="DC41" i="34"/>
  <c r="K525" i="45"/>
  <c r="K519" i="45"/>
  <c r="AT131" i="29"/>
  <c r="AZ111" i="29"/>
  <c r="AU121" i="29"/>
  <c r="AU111" i="29"/>
  <c r="D110" i="89"/>
  <c r="X175" i="45"/>
  <c r="J479" i="46"/>
  <c r="L479" i="46" s="1"/>
  <c r="U479" i="46" s="1"/>
  <c r="DC132" i="29"/>
  <c r="CX142" i="29"/>
  <c r="W231" i="29"/>
  <c r="DZ115" i="47"/>
  <c r="EA115" i="47"/>
  <c r="DY122" i="47"/>
  <c r="AG16" i="89"/>
  <c r="AL16" i="89"/>
  <c r="AK11" i="40"/>
  <c r="AK64" i="40"/>
  <c r="CA111" i="29"/>
  <c r="BZ131" i="29"/>
  <c r="CF111" i="29"/>
  <c r="CA121" i="29"/>
  <c r="H31" i="34"/>
  <c r="H37" i="34"/>
  <c r="BN153" i="29"/>
  <c r="BN143" i="29"/>
  <c r="DF48" i="34"/>
  <c r="DG42" i="34"/>
  <c r="BE55" i="47"/>
  <c r="AR60" i="36"/>
  <c r="J32" i="20"/>
  <c r="Z159" i="46"/>
  <c r="AB159" i="46" s="1"/>
  <c r="EA143" i="47"/>
  <c r="BJ151" i="29"/>
  <c r="J104" i="45"/>
  <c r="U149" i="40"/>
  <c r="U342" i="40" s="1"/>
  <c r="HV10" i="38"/>
  <c r="EI80" i="37" s="1"/>
  <c r="EI82" i="37" s="1"/>
  <c r="EI83" i="37" s="1"/>
  <c r="P21" i="28"/>
  <c r="P25" i="28" s="1"/>
  <c r="DY136" i="47"/>
  <c r="DY117" i="47"/>
  <c r="U62" i="47"/>
  <c r="BX179" i="47"/>
  <c r="BP55" i="47"/>
  <c r="BW104" i="47"/>
  <c r="AT63" i="40"/>
  <c r="Z202" i="37"/>
  <c r="AB528" i="46"/>
  <c r="AD528" i="46" s="1"/>
  <c r="AF528" i="46" s="1"/>
  <c r="AC127" i="40"/>
  <c r="N184" i="40"/>
  <c r="AD771" i="46"/>
  <c r="AK180" i="46"/>
  <c r="AK102" i="40"/>
  <c r="AK341" i="40" s="1"/>
  <c r="AB736" i="46"/>
  <c r="AD743" i="46" s="1"/>
  <c r="AF743" i="46" s="1"/>
  <c r="AB104" i="46"/>
  <c r="AD111" i="46" s="1"/>
  <c r="AF111" i="46" s="1"/>
  <c r="R270" i="40"/>
  <c r="R272" i="40" s="1"/>
  <c r="R344" i="40" s="1"/>
  <c r="A103" i="9"/>
  <c r="A187" i="9"/>
  <c r="J50" i="9"/>
  <c r="R50" i="9" s="1"/>
  <c r="H25" i="34"/>
  <c r="H43" i="34"/>
  <c r="DR73" i="28"/>
  <c r="BI49" i="28"/>
  <c r="HR18" i="38"/>
  <c r="HQ28" i="38"/>
  <c r="II16" i="38"/>
  <c r="IV16" i="38" s="1"/>
  <c r="D50" i="46"/>
  <c r="H50" i="46" s="1"/>
  <c r="D37" i="12"/>
  <c r="H37" i="12" s="1"/>
  <c r="S187" i="12"/>
  <c r="AI187" i="12" s="1"/>
  <c r="BQ143" i="47"/>
  <c r="CQ74" i="29"/>
  <c r="W40" i="20"/>
  <c r="J12" i="12"/>
  <c r="AR17" i="45"/>
  <c r="CQ64" i="29"/>
  <c r="CV64" i="29"/>
  <c r="AQ43" i="34"/>
  <c r="AP49" i="34"/>
  <c r="BB47" i="34"/>
  <c r="BC41" i="34"/>
  <c r="AX47" i="34"/>
  <c r="AY41" i="34"/>
  <c r="BF17" i="28"/>
  <c r="BF36" i="28"/>
  <c r="BW121" i="29"/>
  <c r="BV151" i="29" s="1"/>
  <c r="CB111" i="29"/>
  <c r="BK227" i="47"/>
  <c r="U227" i="47"/>
  <c r="BG227" i="47"/>
  <c r="BB227" i="47"/>
  <c r="DF14" i="29"/>
  <c r="DK14" i="29" s="1"/>
  <c r="AI227" i="47"/>
  <c r="H227" i="47"/>
  <c r="Y46" i="40"/>
  <c r="Z113" i="12"/>
  <c r="AR462" i="45"/>
  <c r="V229" i="29"/>
  <c r="V225" i="29"/>
  <c r="W225" i="29" s="1"/>
  <c r="W219" i="29"/>
  <c r="V224" i="29"/>
  <c r="A302" i="45"/>
  <c r="A484" i="45" s="1"/>
  <c r="AT120" i="45"/>
  <c r="AV111" i="29"/>
  <c r="H26" i="89"/>
  <c r="CA44" i="29"/>
  <c r="A334" i="45"/>
  <c r="A516" i="45" s="1"/>
  <c r="AT152" i="45"/>
  <c r="Z76" i="12"/>
  <c r="AR430" i="45"/>
  <c r="R31" i="40"/>
  <c r="R367" i="40" s="1"/>
  <c r="R27" i="40"/>
  <c r="R28" i="40" s="1"/>
  <c r="Q31" i="40"/>
  <c r="Q367" i="40" s="1"/>
  <c r="O65" i="45"/>
  <c r="J535" i="46"/>
  <c r="L535" i="46" s="1"/>
  <c r="U535" i="46" s="1"/>
  <c r="N66" i="45"/>
  <c r="AQ196" i="45"/>
  <c r="AR202" i="45" s="1"/>
  <c r="K81" i="40"/>
  <c r="K202" i="45"/>
  <c r="A333" i="45"/>
  <c r="A515" i="45" s="1"/>
  <c r="AT151" i="45"/>
  <c r="CE115" i="29"/>
  <c r="CE125" i="29"/>
  <c r="AD145" i="29"/>
  <c r="AD146" i="29"/>
  <c r="BW65" i="29"/>
  <c r="CB65" i="29"/>
  <c r="BT64" i="29"/>
  <c r="BO64" i="29"/>
  <c r="Z174" i="12"/>
  <c r="AR509" i="45"/>
  <c r="Z168" i="12"/>
  <c r="AB169" i="12" s="1"/>
  <c r="CF66" i="29"/>
  <c r="AC80" i="28"/>
  <c r="AB118" i="12"/>
  <c r="M538" i="45"/>
  <c r="F47" i="34"/>
  <c r="G41" i="34"/>
  <c r="K41" i="34"/>
  <c r="K431" i="45"/>
  <c r="K437" i="45"/>
  <c r="K390" i="45"/>
  <c r="L99" i="40"/>
  <c r="M100" i="40" s="1"/>
  <c r="AQ384" i="45"/>
  <c r="K384" i="45"/>
  <c r="AI124" i="29"/>
  <c r="AI114" i="29"/>
  <c r="AX229" i="29"/>
  <c r="AX224" i="29"/>
  <c r="CU122" i="29"/>
  <c r="CU112" i="29"/>
  <c r="CZ112" i="29"/>
  <c r="CT132" i="29"/>
  <c r="O281" i="40"/>
  <c r="O284" i="40" s="1"/>
  <c r="N287" i="40"/>
  <c r="N285" i="40"/>
  <c r="U43" i="20"/>
  <c r="CI84" i="29"/>
  <c r="AG25" i="89"/>
  <c r="AL25" i="89"/>
  <c r="CM66" i="29"/>
  <c r="CR66" i="29"/>
  <c r="BZ46" i="34"/>
  <c r="W115" i="45"/>
  <c r="AQ115" i="45"/>
  <c r="J133" i="12" s="1"/>
  <c r="V116" i="45"/>
  <c r="P46" i="40"/>
  <c r="Z50" i="12"/>
  <c r="AR408" i="45"/>
  <c r="AU169" i="45"/>
  <c r="B351" i="45"/>
  <c r="B533" i="45" s="1"/>
  <c r="M531" i="45"/>
  <c r="Z349" i="46"/>
  <c r="M525" i="45"/>
  <c r="A290" i="45"/>
  <c r="A472" i="45" s="1"/>
  <c r="AT108" i="45"/>
  <c r="Z64" i="46"/>
  <c r="U99" i="40"/>
  <c r="U100" i="40" s="1"/>
  <c r="U102" i="40" s="1"/>
  <c r="U341" i="40" s="1"/>
  <c r="K438" i="45"/>
  <c r="BG43" i="34"/>
  <c r="BF49" i="34"/>
  <c r="D315" i="40"/>
  <c r="D374" i="40"/>
  <c r="AP140" i="29"/>
  <c r="AP136" i="29"/>
  <c r="AP135" i="29"/>
  <c r="K99" i="40"/>
  <c r="AQ378" i="45"/>
  <c r="DG14" i="28"/>
  <c r="C12" i="85"/>
  <c r="AG78" i="17"/>
  <c r="O31" i="40"/>
  <c r="O367" i="40" s="1"/>
  <c r="O27" i="40"/>
  <c r="O28" i="40" s="1"/>
  <c r="DH66" i="29"/>
  <c r="DG66" i="29"/>
  <c r="AM146" i="9"/>
  <c r="EA129" i="47"/>
  <c r="U87" i="40"/>
  <c r="AP213" i="37"/>
  <c r="AI49" i="28"/>
  <c r="CY43" i="34"/>
  <c r="CX49" i="34"/>
  <c r="CT230" i="29"/>
  <c r="DC230" i="29" s="1"/>
  <c r="CU220" i="29"/>
  <c r="DC220" i="29"/>
  <c r="M549" i="45"/>
  <c r="Z377" i="46"/>
  <c r="AB377" i="46" s="1"/>
  <c r="DB47" i="34"/>
  <c r="AT54" i="45"/>
  <c r="A236" i="45"/>
  <c r="A418" i="45" s="1"/>
  <c r="R225" i="29"/>
  <c r="S225" i="29" s="1"/>
  <c r="R224" i="29"/>
  <c r="R229" i="29"/>
  <c r="S219" i="29"/>
  <c r="T121" i="45"/>
  <c r="J820" i="46"/>
  <c r="L820" i="46" s="1"/>
  <c r="U820" i="46" s="1"/>
  <c r="AF63" i="29"/>
  <c r="AD212" i="29"/>
  <c r="AD113" i="29"/>
  <c r="AE63" i="29"/>
  <c r="AD64" i="29"/>
  <c r="AT96" i="45"/>
  <c r="A278" i="45"/>
  <c r="A460" i="45" s="1"/>
  <c r="AP141" i="29"/>
  <c r="O85" i="17"/>
  <c r="O84" i="17"/>
  <c r="AO81" i="17"/>
  <c r="AO82" i="17"/>
  <c r="BK64" i="29"/>
  <c r="BP64" i="29"/>
  <c r="E77" i="20"/>
  <c r="E78" i="20" s="1"/>
  <c r="R223" i="29"/>
  <c r="S213" i="29"/>
  <c r="O98" i="45"/>
  <c r="N101" i="45"/>
  <c r="J794" i="46"/>
  <c r="L794" i="46" s="1"/>
  <c r="U794" i="46" s="1"/>
  <c r="W794" i="46" s="1"/>
  <c r="T101" i="45"/>
  <c r="U98" i="45"/>
  <c r="AR413" i="45"/>
  <c r="AR230" i="45"/>
  <c r="AR236" i="45"/>
  <c r="AH47" i="9"/>
  <c r="AJ47" i="9" s="1"/>
  <c r="CE66" i="29"/>
  <c r="CJ66" i="29"/>
  <c r="D132" i="29"/>
  <c r="D136" i="29" s="1"/>
  <c r="E122" i="29"/>
  <c r="D221" i="29" s="1"/>
  <c r="AR520" i="45"/>
  <c r="Z181" i="12"/>
  <c r="BH249" i="40"/>
  <c r="BG237" i="40"/>
  <c r="BG11" i="40" s="1"/>
  <c r="AU47" i="45"/>
  <c r="B229" i="45"/>
  <c r="B411" i="45" s="1"/>
  <c r="W31" i="20"/>
  <c r="CQ202" i="29"/>
  <c r="CR202" i="29"/>
  <c r="AR436" i="45"/>
  <c r="Z83" i="12"/>
  <c r="AB75" i="9" s="1"/>
  <c r="AD75" i="9" s="1"/>
  <c r="BZ229" i="29"/>
  <c r="CA219" i="29"/>
  <c r="AH136" i="29"/>
  <c r="AH134" i="29"/>
  <c r="AH144" i="29" s="1"/>
  <c r="AH140" i="29"/>
  <c r="AH135" i="29"/>
  <c r="AM135" i="29" s="1"/>
  <c r="AR6" i="22"/>
  <c r="AQ6" i="17"/>
  <c r="CU211" i="29"/>
  <c r="CT221" i="29"/>
  <c r="AG24" i="89"/>
  <c r="AL24" i="89"/>
  <c r="BN229" i="29"/>
  <c r="BS229" i="29" s="1"/>
  <c r="BO219" i="29"/>
  <c r="J21" i="12"/>
  <c r="AR19" i="45"/>
  <c r="S46" i="40"/>
  <c r="AR432" i="45"/>
  <c r="Z71" i="12"/>
  <c r="AB63" i="9" s="1"/>
  <c r="AD63" i="9" s="1"/>
  <c r="AF70" i="9" s="1"/>
  <c r="AR426" i="45"/>
  <c r="K121" i="45"/>
  <c r="J122" i="45"/>
  <c r="J119" i="46"/>
  <c r="L119" i="46" s="1"/>
  <c r="U119" i="46" s="1"/>
  <c r="AT201" i="29"/>
  <c r="FF13" i="38"/>
  <c r="AQ435" i="45"/>
  <c r="Z82" i="12" s="1"/>
  <c r="D114" i="29"/>
  <c r="E124" i="29" s="1"/>
  <c r="BD111" i="29"/>
  <c r="BK151" i="29"/>
  <c r="AE41" i="34"/>
  <c r="BH164" i="40"/>
  <c r="S43" i="34"/>
  <c r="BH110" i="29"/>
  <c r="I68" i="20"/>
  <c r="L29" i="9"/>
  <c r="BV215" i="29"/>
  <c r="BW215" i="29" s="1"/>
  <c r="BS131" i="29"/>
  <c r="L28" i="12"/>
  <c r="AH157" i="37"/>
  <c r="AH180" i="37" s="1"/>
  <c r="AB28" i="40"/>
  <c r="BZ225" i="29"/>
  <c r="CA225" i="29" s="1"/>
  <c r="II11" i="38"/>
  <c r="IV11" i="38" s="1"/>
  <c r="N33" i="89"/>
  <c r="DC48" i="28"/>
  <c r="AM81" i="9"/>
  <c r="BD25" i="34"/>
  <c r="CL64" i="28"/>
  <c r="AV17" i="28"/>
  <c r="AV49" i="28" s="1"/>
  <c r="N12" i="20"/>
  <c r="N15" i="20"/>
  <c r="U20" i="12"/>
  <c r="HN26" i="38"/>
  <c r="N61" i="12"/>
  <c r="L732" i="46"/>
  <c r="N650" i="46"/>
  <c r="T82" i="40"/>
  <c r="T363" i="40" s="1"/>
  <c r="AB514" i="46"/>
  <c r="AD514" i="46" s="1"/>
  <c r="AF514" i="46" s="1"/>
  <c r="X195" i="40"/>
  <c r="X365" i="40" s="1"/>
  <c r="AF138" i="9"/>
  <c r="A166" i="9"/>
  <c r="T98" i="9"/>
  <c r="Q195" i="40"/>
  <c r="Q365" i="40" s="1"/>
  <c r="DD46" i="28"/>
  <c r="DG48" i="28"/>
  <c r="BG202" i="29"/>
  <c r="EI11" i="37"/>
  <c r="EI34" i="37" s="1"/>
  <c r="DY124" i="47"/>
  <c r="H28" i="12"/>
  <c r="AK671" i="46"/>
  <c r="AM678" i="46" s="1"/>
  <c r="BR39" i="28"/>
  <c r="BU115" i="47"/>
  <c r="AQ406" i="45"/>
  <c r="Z27" i="46"/>
  <c r="K406" i="45"/>
  <c r="K412" i="45"/>
  <c r="L369" i="45"/>
  <c r="M368" i="45"/>
  <c r="L550" i="45"/>
  <c r="CQ65" i="29"/>
  <c r="CV65" i="29"/>
  <c r="AR261" i="45"/>
  <c r="AH76" i="9"/>
  <c r="AJ76" i="9" s="1"/>
  <c r="AR255" i="45"/>
  <c r="DG120" i="29"/>
  <c r="DF130" i="29"/>
  <c r="DG110" i="29"/>
  <c r="DL110" i="29"/>
  <c r="DF114" i="29"/>
  <c r="DZ217" i="47"/>
  <c r="DY224" i="47"/>
  <c r="H202" i="47"/>
  <c r="J652" i="46"/>
  <c r="L652" i="46" s="1"/>
  <c r="U652" i="46" s="1"/>
  <c r="Z120" i="12"/>
  <c r="AE80" i="28" s="1"/>
  <c r="AR468" i="45"/>
  <c r="AB112" i="9"/>
  <c r="AD112" i="9" s="1"/>
  <c r="AF119" i="9" s="1"/>
  <c r="CA45" i="29"/>
  <c r="AM115" i="29"/>
  <c r="AM125" i="29"/>
  <c r="K407" i="45"/>
  <c r="BC165" i="40"/>
  <c r="BC13" i="40" s="1"/>
  <c r="AP58" i="36"/>
  <c r="Q77" i="17"/>
  <c r="AE54" i="29"/>
  <c r="AE24" i="29"/>
  <c r="H11" i="20"/>
  <c r="AR56" i="47"/>
  <c r="CA55" i="29"/>
  <c r="AE115" i="29"/>
  <c r="AE125" i="29"/>
  <c r="BJ118" i="40"/>
  <c r="CR64" i="29"/>
  <c r="AA219" i="29"/>
  <c r="F16" i="85"/>
  <c r="S41" i="20"/>
  <c r="DJ19" i="28"/>
  <c r="S13" i="82" s="1"/>
  <c r="AA13" i="82" s="1"/>
  <c r="V140" i="29"/>
  <c r="V136" i="29"/>
  <c r="V135" i="29"/>
  <c r="M227" i="47"/>
  <c r="DH64" i="29"/>
  <c r="DL36" i="29"/>
  <c r="DK36" i="29"/>
  <c r="DO175" i="29"/>
  <c r="DK175" i="29"/>
  <c r="M62" i="45"/>
  <c r="J233" i="46"/>
  <c r="L233" i="46" s="1"/>
  <c r="U233" i="46" s="1"/>
  <c r="U234" i="46" s="1"/>
  <c r="L65" i="45"/>
  <c r="R48" i="34"/>
  <c r="S42" i="34"/>
  <c r="W42" i="34"/>
  <c r="AB19" i="89"/>
  <c r="CB64" i="29"/>
  <c r="BN213" i="29"/>
  <c r="BO213" i="29" s="1"/>
  <c r="CD48" i="34"/>
  <c r="CA132" i="29"/>
  <c r="BV152" i="29"/>
  <c r="BV142" i="29"/>
  <c r="CL225" i="29"/>
  <c r="CM225" i="29" s="1"/>
  <c r="CM220" i="29"/>
  <c r="CL230" i="29"/>
  <c r="AD71" i="45"/>
  <c r="T385" i="40"/>
  <c r="T408" i="40" s="1"/>
  <c r="AE68" i="45"/>
  <c r="BH163" i="40"/>
  <c r="BI177" i="40"/>
  <c r="AB40" i="89"/>
  <c r="CV147" i="47"/>
  <c r="U147" i="47"/>
  <c r="S147" i="47"/>
  <c r="BU89" i="47"/>
  <c r="BX88" i="47"/>
  <c r="HU26" i="38"/>
  <c r="HU28" i="38" s="1"/>
  <c r="BN115" i="47"/>
  <c r="D596" i="46"/>
  <c r="H596" i="46" s="1"/>
  <c r="AD147" i="47"/>
  <c r="EI147" i="47"/>
  <c r="EJ147" i="47" s="1"/>
  <c r="X113" i="40"/>
  <c r="X135" i="40" s="1"/>
  <c r="BA126" i="40" s="1"/>
  <c r="BB126" i="40" s="1"/>
  <c r="BC126" i="40" s="1"/>
  <c r="BD126" i="40" s="1"/>
  <c r="BE126" i="40" s="1"/>
  <c r="BF126" i="40" s="1"/>
  <c r="BG126" i="40" s="1"/>
  <c r="BH126" i="40" s="1"/>
  <c r="BI126" i="40" s="1"/>
  <c r="BJ126" i="40" s="1"/>
  <c r="BK126" i="40" s="1"/>
  <c r="BL126" i="40" s="1"/>
  <c r="BM126" i="40" s="1"/>
  <c r="BN126" i="40" s="1"/>
  <c r="BO126" i="40" s="1"/>
  <c r="BP126" i="40" s="1"/>
  <c r="BQ126" i="40" s="1"/>
  <c r="BR126" i="40" s="1"/>
  <c r="BS126" i="40" s="1"/>
  <c r="CQ47" i="47"/>
  <c r="BM160" i="47"/>
  <c r="BU24" i="47"/>
  <c r="BX159" i="47"/>
  <c r="CI27" i="47"/>
  <c r="DZ147" i="47"/>
  <c r="BX69" i="47"/>
  <c r="BU69" i="47"/>
  <c r="FN18" i="38"/>
  <c r="D325" i="46"/>
  <c r="H325" i="46" s="1"/>
  <c r="AP13" i="38"/>
  <c r="AI760" i="46"/>
  <c r="AD14" i="47"/>
  <c r="S12" i="40"/>
  <c r="S321" i="40" s="1"/>
  <c r="BN47" i="47"/>
  <c r="BP119" i="47"/>
  <c r="BN89" i="47"/>
  <c r="V149" i="40"/>
  <c r="V342" i="40" s="1"/>
  <c r="V8" i="40"/>
  <c r="V12" i="40" s="1"/>
  <c r="V321" i="40" s="1"/>
  <c r="BM168" i="47"/>
  <c r="AK146" i="46"/>
  <c r="AM146" i="46" s="1"/>
  <c r="BX157" i="47"/>
  <c r="BK46" i="47"/>
  <c r="BN33" i="47"/>
  <c r="BG14" i="47"/>
  <c r="U46" i="47"/>
  <c r="BN24" i="47"/>
  <c r="S539" i="46"/>
  <c r="D539" i="46" s="1"/>
  <c r="H539" i="46" s="1"/>
  <c r="BU47" i="47"/>
  <c r="BU46" i="47"/>
  <c r="BG46" i="47"/>
  <c r="AR40" i="47"/>
  <c r="D545" i="46"/>
  <c r="H545" i="46" s="1"/>
  <c r="CP48" i="47"/>
  <c r="AI654" i="46"/>
  <c r="AQ48" i="47"/>
  <c r="U14" i="47"/>
  <c r="H46" i="47"/>
  <c r="H14" i="47"/>
  <c r="AQ55" i="47"/>
  <c r="BX47" i="47"/>
  <c r="W736" i="46"/>
  <c r="BQ24" i="47"/>
  <c r="AR38" i="47"/>
  <c r="BK33" i="47"/>
  <c r="BK47" i="47"/>
  <c r="BG40" i="47"/>
  <c r="BG38" i="47"/>
  <c r="BX33" i="47"/>
  <c r="P336" i="40"/>
  <c r="H42" i="47"/>
  <c r="CQ32" i="47"/>
  <c r="D746" i="46"/>
  <c r="H746" i="46" s="1"/>
  <c r="M26" i="47"/>
  <c r="AP167" i="47"/>
  <c r="AQ167" i="47" s="1"/>
  <c r="AI68" i="12"/>
  <c r="D68" i="12"/>
  <c r="S48" i="47"/>
  <c r="S55" i="47"/>
  <c r="H26" i="47"/>
  <c r="U38" i="47"/>
  <c r="BX40" i="47"/>
  <c r="H70" i="12"/>
  <c r="H40" i="47"/>
  <c r="AK538" i="46"/>
  <c r="AM538" i="46" s="1"/>
  <c r="D538" i="46"/>
  <c r="H538" i="46" s="1"/>
  <c r="AR45" i="47"/>
  <c r="U45" i="47"/>
  <c r="H45" i="47"/>
  <c r="M45" i="47"/>
  <c r="AD45" i="47"/>
  <c r="AD38" i="47"/>
  <c r="BG26" i="47"/>
  <c r="BU33" i="47"/>
  <c r="BF34" i="47"/>
  <c r="AD42" i="47"/>
  <c r="BK40" i="47"/>
  <c r="AK657" i="46"/>
  <c r="BU40" i="47"/>
  <c r="BQ40" i="47"/>
  <c r="BN40" i="47"/>
  <c r="CQ40" i="47"/>
  <c r="M24" i="47"/>
  <c r="H24" i="47"/>
  <c r="U24" i="47"/>
  <c r="BG24" i="47"/>
  <c r="AD24" i="47"/>
  <c r="AD26" i="47"/>
  <c r="AR26" i="47"/>
  <c r="BQ33" i="47"/>
  <c r="M40" i="47"/>
  <c r="T337" i="40"/>
  <c r="W638" i="46"/>
  <c r="M28" i="47"/>
  <c r="U28" i="47"/>
  <c r="BG28" i="47"/>
  <c r="AD28" i="47"/>
  <c r="H28" i="47"/>
  <c r="BU117" i="47"/>
  <c r="AR80" i="47"/>
  <c r="BX171" i="47"/>
  <c r="BK66" i="47"/>
  <c r="H105" i="46"/>
  <c r="BU171" i="47"/>
  <c r="M81" i="47"/>
  <c r="AD80" i="47"/>
  <c r="K108" i="20"/>
  <c r="K122" i="20" s="1"/>
  <c r="S689" i="46"/>
  <c r="D689" i="46" s="1"/>
  <c r="H689" i="46" s="1"/>
  <c r="AO140" i="47"/>
  <c r="BO140" i="47" s="1"/>
  <c r="BW140" i="47" s="1"/>
  <c r="BQ140" i="47" s="1"/>
  <c r="Z336" i="40"/>
  <c r="BW118" i="47"/>
  <c r="BN118" i="47" s="1"/>
  <c r="BN117" i="47"/>
  <c r="D161" i="12"/>
  <c r="H161" i="12" s="1"/>
  <c r="H59" i="47"/>
  <c r="BQ171" i="47"/>
  <c r="BU75" i="47"/>
  <c r="AC91" i="47"/>
  <c r="U80" i="47"/>
  <c r="D695" i="46"/>
  <c r="H695" i="46" s="1"/>
  <c r="BM175" i="47"/>
  <c r="BP159" i="47"/>
  <c r="EJ167" i="47"/>
  <c r="BQ96" i="47"/>
  <c r="H82" i="47"/>
  <c r="BG82" i="47"/>
  <c r="AD82" i="47"/>
  <c r="M82" i="47"/>
  <c r="U82" i="47"/>
  <c r="AR82" i="47"/>
  <c r="BN171" i="47"/>
  <c r="U688" i="46"/>
  <c r="H112" i="46"/>
  <c r="AF112" i="46" s="1"/>
  <c r="EJ125" i="47"/>
  <c r="BX103" i="47"/>
  <c r="BQ75" i="47"/>
  <c r="BX97" i="47"/>
  <c r="D688" i="46"/>
  <c r="H688" i="46" s="1"/>
  <c r="AA64" i="40"/>
  <c r="H302" i="46"/>
  <c r="AA135" i="40"/>
  <c r="DH75" i="28" s="1"/>
  <c r="M145" i="20"/>
  <c r="BK89" i="47"/>
  <c r="M59" i="47"/>
  <c r="AF11" i="40"/>
  <c r="BX117" i="47"/>
  <c r="BN75" i="47"/>
  <c r="AE62" i="40"/>
  <c r="W8" i="40"/>
  <c r="W12" i="40" s="1"/>
  <c r="W321" i="40" s="1"/>
  <c r="BN96" i="47"/>
  <c r="L108" i="20"/>
  <c r="L119" i="20" s="1"/>
  <c r="BQ90" i="47"/>
  <c r="AG64" i="40"/>
  <c r="AF64" i="40"/>
  <c r="DZ82" i="47"/>
  <c r="C32" i="85"/>
  <c r="K102" i="85"/>
  <c r="C131" i="85"/>
  <c r="K144" i="85"/>
  <c r="F136" i="85"/>
  <c r="F94" i="85"/>
  <c r="F114" i="85" s="1"/>
  <c r="L78" i="85"/>
  <c r="C47" i="85"/>
  <c r="K56" i="85"/>
  <c r="D37" i="85"/>
  <c r="D125" i="85" s="1"/>
  <c r="D126" i="85" s="1"/>
  <c r="E98" i="85"/>
  <c r="D52" i="85"/>
  <c r="D78" i="85"/>
  <c r="D174" i="85"/>
  <c r="E140" i="85"/>
  <c r="E32" i="85"/>
  <c r="F32" i="85"/>
  <c r="D136" i="85"/>
  <c r="V368" i="45"/>
  <c r="W367" i="45"/>
  <c r="V549" i="45"/>
  <c r="W549" i="45" s="1"/>
  <c r="J368" i="45"/>
  <c r="J549" i="45"/>
  <c r="K367" i="45"/>
  <c r="HN25" i="38"/>
  <c r="HO25" i="38"/>
  <c r="BF240" i="47"/>
  <c r="BF247" i="47"/>
  <c r="AY38" i="28"/>
  <c r="AY32" i="28"/>
  <c r="AY43" i="28" s="1"/>
  <c r="AY21" i="28"/>
  <c r="AY41" i="28" s="1"/>
  <c r="U49" i="28"/>
  <c r="K36" i="28"/>
  <c r="BP38" i="28"/>
  <c r="AM49" i="28"/>
  <c r="BQ38" i="28"/>
  <c r="CF49" i="28"/>
  <c r="AH32" i="28"/>
  <c r="AH43" i="28" s="1"/>
  <c r="AH40" i="28"/>
  <c r="BR17" i="28"/>
  <c r="CF32" i="28"/>
  <c r="CF43" i="28" s="1"/>
  <c r="Q11" i="82"/>
  <c r="Y11" i="82" s="1"/>
  <c r="BQ21" i="28"/>
  <c r="AI32" i="28"/>
  <c r="AI43" i="28" s="1"/>
  <c r="AI38" i="28"/>
  <c r="AJ17" i="28"/>
  <c r="CF21" i="28"/>
  <c r="CF41" i="28" s="1"/>
  <c r="E25" i="28"/>
  <c r="E27" i="28" s="1"/>
  <c r="DI48" i="28"/>
  <c r="R36" i="82" s="1"/>
  <c r="Z36" i="82" s="1"/>
  <c r="J17" i="28"/>
  <c r="J21" i="28" s="1"/>
  <c r="AH38" i="28"/>
  <c r="X17" i="28"/>
  <c r="X38" i="28" s="1"/>
  <c r="AM38" i="28"/>
  <c r="F17" i="28"/>
  <c r="F21" i="28" s="1"/>
  <c r="E40" i="28"/>
  <c r="BA36" i="28"/>
  <c r="Z488" i="46"/>
  <c r="AB488" i="46" s="1"/>
  <c r="BJ207" i="37"/>
  <c r="BJ161" i="37"/>
  <c r="BJ184" i="37" s="1"/>
  <c r="AX201" i="37"/>
  <c r="BF211" i="37"/>
  <c r="BF165" i="37"/>
  <c r="BF188" i="37" s="1"/>
  <c r="AH198" i="37"/>
  <c r="EH82" i="37"/>
  <c r="EH83" i="37" s="1"/>
  <c r="Z211" i="37"/>
  <c r="Z151" i="37"/>
  <c r="Z174" i="37" s="1"/>
  <c r="BV198" i="37"/>
  <c r="J152" i="37"/>
  <c r="J175" i="37" s="1"/>
  <c r="BF201" i="37"/>
  <c r="N201" i="37"/>
  <c r="BJ201" i="37"/>
  <c r="J165" i="37"/>
  <c r="J188" i="37" s="1"/>
  <c r="J211" i="37"/>
  <c r="N167" i="37"/>
  <c r="N190" i="37" s="1"/>
  <c r="AT213" i="37"/>
  <c r="BF197" i="37"/>
  <c r="AH155" i="37"/>
  <c r="AH178" i="37" s="1"/>
  <c r="AL152" i="37"/>
  <c r="AL175" i="37" s="1"/>
  <c r="AH197" i="37"/>
  <c r="BF157" i="37"/>
  <c r="BF180" i="37" s="1"/>
  <c r="BF203" i="37"/>
  <c r="N156" i="37"/>
  <c r="N179" i="37" s="1"/>
  <c r="AP165" i="37"/>
  <c r="AP188" i="37" s="1"/>
  <c r="EI12" i="37"/>
  <c r="EK11" i="37"/>
  <c r="EK34" i="37" s="1"/>
  <c r="EJ57" i="37" s="1"/>
  <c r="EJ80" i="37"/>
  <c r="Z161" i="37"/>
  <c r="Z184" i="37" s="1"/>
  <c r="Z207" i="37"/>
  <c r="V213" i="37"/>
  <c r="HS13" i="38"/>
  <c r="EI16" i="37"/>
  <c r="EI39" i="37" s="1"/>
  <c r="HW21" i="38"/>
  <c r="EK22" i="37" s="1"/>
  <c r="HU13" i="38"/>
  <c r="HW22" i="38"/>
  <c r="Z162" i="37"/>
  <c r="Z185" i="37" s="1"/>
  <c r="BF166" i="37"/>
  <c r="BF189" i="37" s="1"/>
  <c r="BF212" i="37"/>
  <c r="N593" i="46"/>
  <c r="P593" i="46" s="1"/>
  <c r="AD36" i="46"/>
  <c r="AD758" i="46"/>
  <c r="AK650" i="46"/>
  <c r="D318" i="46"/>
  <c r="H318" i="46" s="1"/>
  <c r="N594" i="46"/>
  <c r="P594" i="46" s="1"/>
  <c r="AK674" i="46"/>
  <c r="AM681" i="46" s="1"/>
  <c r="AK472" i="46"/>
  <c r="AM479" i="46" s="1"/>
  <c r="D135" i="46"/>
  <c r="H135" i="46" s="1"/>
  <c r="AK309" i="46"/>
  <c r="AM309" i="46" s="1"/>
  <c r="D767" i="46"/>
  <c r="H767" i="46" s="1"/>
  <c r="AD593" i="46"/>
  <c r="AF593" i="46" s="1"/>
  <c r="AK758" i="46"/>
  <c r="AK317" i="46"/>
  <c r="AM324" i="46" s="1"/>
  <c r="F128" i="46"/>
  <c r="AD90" i="40" s="1"/>
  <c r="AD356" i="40" s="1"/>
  <c r="AF395" i="46"/>
  <c r="AD118" i="46"/>
  <c r="AF118" i="46" s="1"/>
  <c r="AK218" i="46"/>
  <c r="AD40" i="46"/>
  <c r="AF40" i="46" s="1"/>
  <c r="AK63" i="46"/>
  <c r="BO139" i="47"/>
  <c r="BP139" i="47" s="1"/>
  <c r="AD720" i="46"/>
  <c r="AF720" i="46" s="1"/>
  <c r="AD422" i="46"/>
  <c r="AF422" i="46" s="1"/>
  <c r="AK342" i="46"/>
  <c r="AM342" i="46" s="1"/>
  <c r="N644" i="46"/>
  <c r="P644" i="46" s="1"/>
  <c r="AD510" i="46"/>
  <c r="AF162" i="46"/>
  <c r="AK131" i="12"/>
  <c r="D227" i="46"/>
  <c r="H227" i="46" s="1"/>
  <c r="N274" i="46"/>
  <c r="AD240" i="46"/>
  <c r="AD674" i="46"/>
  <c r="AF674" i="46" s="1"/>
  <c r="AD716" i="46"/>
  <c r="AF716" i="46" s="1"/>
  <c r="AK133" i="46"/>
  <c r="AM140" i="46" s="1"/>
  <c r="AF472" i="46"/>
  <c r="AF744" i="46"/>
  <c r="AD756" i="46"/>
  <c r="AF756" i="46" s="1"/>
  <c r="AD225" i="46"/>
  <c r="AF225" i="46" s="1"/>
  <c r="AK132" i="46"/>
  <c r="AM132" i="46" s="1"/>
  <c r="AI539" i="46"/>
  <c r="AD322" i="46"/>
  <c r="AF322" i="46" s="1"/>
  <c r="AM812" i="46"/>
  <c r="D37" i="46"/>
  <c r="H37" i="46" s="1"/>
  <c r="U507" i="46"/>
  <c r="AD308" i="46"/>
  <c r="AF308" i="46" s="1"/>
  <c r="AK105" i="46"/>
  <c r="AM112" i="46" s="1"/>
  <c r="AK96" i="46"/>
  <c r="AM96" i="46" s="1"/>
  <c r="AD112" i="46"/>
  <c r="AM315" i="46"/>
  <c r="AP139" i="47"/>
  <c r="DH139" i="47" s="1"/>
  <c r="AK90" i="46"/>
  <c r="AK93" i="46" s="1"/>
  <c r="AF393" i="46"/>
  <c r="N579" i="46"/>
  <c r="P579" i="46" s="1"/>
  <c r="AD574" i="46"/>
  <c r="D188" i="12"/>
  <c r="H188" i="12" s="1"/>
  <c r="AK521" i="46"/>
  <c r="AD344" i="46"/>
  <c r="AF344" i="46" s="1"/>
  <c r="AD479" i="46"/>
  <c r="AF479" i="46" s="1"/>
  <c r="AD408" i="46"/>
  <c r="AF408" i="46" s="1"/>
  <c r="AK344" i="46"/>
  <c r="AM344" i="46" s="1"/>
  <c r="AK35" i="46"/>
  <c r="AK716" i="46"/>
  <c r="AB297" i="46"/>
  <c r="AB93" i="46"/>
  <c r="AB424" i="46"/>
  <c r="AD531" i="46"/>
  <c r="AD289" i="46"/>
  <c r="W224" i="46"/>
  <c r="N223" i="46"/>
  <c r="P223" i="46" s="1"/>
  <c r="AK779" i="46"/>
  <c r="N217" i="46"/>
  <c r="AK644" i="46"/>
  <c r="AK169" i="46"/>
  <c r="D92" i="46"/>
  <c r="H92" i="46" s="1"/>
  <c r="H98" i="46"/>
  <c r="AD224" i="46"/>
  <c r="AF224" i="46" s="1"/>
  <c r="AK408" i="46"/>
  <c r="AK272" i="46"/>
  <c r="AI79" i="46"/>
  <c r="AK409" i="46"/>
  <c r="AM409" i="46" s="1"/>
  <c r="D753" i="46"/>
  <c r="H753" i="46" s="1"/>
  <c r="AD351" i="46"/>
  <c r="AF351" i="46" s="1"/>
  <c r="AD423" i="46"/>
  <c r="N35" i="46"/>
  <c r="P35" i="46" s="1"/>
  <c r="N514" i="46"/>
  <c r="P514" i="46" s="1"/>
  <c r="AK282" i="46"/>
  <c r="D482" i="46"/>
  <c r="AD639" i="46"/>
  <c r="AD110" i="46"/>
  <c r="AF110" i="46" s="1"/>
  <c r="AK423" i="46"/>
  <c r="AM430" i="46" s="1"/>
  <c r="K46" i="89"/>
  <c r="L46" i="89" s="1"/>
  <c r="W48" i="46"/>
  <c r="AB318" i="46"/>
  <c r="AD318" i="46" s="1"/>
  <c r="AM402" i="46"/>
  <c r="AK659" i="46"/>
  <c r="AK806" i="46"/>
  <c r="AI163" i="46"/>
  <c r="AD335" i="46"/>
  <c r="AF335" i="46" s="1"/>
  <c r="AK293" i="46"/>
  <c r="H288" i="46"/>
  <c r="AF288" i="46" s="1"/>
  <c r="AK295" i="46"/>
  <c r="AM295" i="46" s="1"/>
  <c r="AK794" i="46"/>
  <c r="AM794" i="46" s="1"/>
  <c r="AD237" i="46"/>
  <c r="AF237" i="46" s="1"/>
  <c r="AI170" i="46"/>
  <c r="AK111" i="46"/>
  <c r="AM118" i="46" s="1"/>
  <c r="P650" i="46"/>
  <c r="AD273" i="46"/>
  <c r="AF273" i="46" s="1"/>
  <c r="AK750" i="46"/>
  <c r="AK83" i="46"/>
  <c r="D85" i="46"/>
  <c r="H85" i="46" s="1"/>
  <c r="AD266" i="46"/>
  <c r="AF266" i="46" s="1"/>
  <c r="AK713" i="46"/>
  <c r="AM720" i="46" s="1"/>
  <c r="AI51" i="46"/>
  <c r="N28" i="46"/>
  <c r="AM106" i="46"/>
  <c r="D590" i="46"/>
  <c r="H590" i="46" s="1"/>
  <c r="AK258" i="46"/>
  <c r="H106" i="46"/>
  <c r="AB546" i="46"/>
  <c r="AF550" i="46"/>
  <c r="AK621" i="46"/>
  <c r="AD617" i="46"/>
  <c r="AF617" i="46" s="1"/>
  <c r="AD621" i="46"/>
  <c r="AF621" i="46" s="1"/>
  <c r="AK530" i="46"/>
  <c r="AM537" i="46" s="1"/>
  <c r="N531" i="46"/>
  <c r="D174" i="12"/>
  <c r="H174" i="12" s="1"/>
  <c r="AD402" i="46"/>
  <c r="AF402" i="46" s="1"/>
  <c r="AK435" i="46"/>
  <c r="AM435" i="46" s="1"/>
  <c r="AD441" i="46"/>
  <c r="N529" i="46"/>
  <c r="P529" i="46" s="1"/>
  <c r="AD209" i="46"/>
  <c r="AD524" i="46"/>
  <c r="AI625" i="46"/>
  <c r="AF131" i="46"/>
  <c r="AI283" i="46"/>
  <c r="AM429" i="46"/>
  <c r="D173" i="12"/>
  <c r="H173" i="12" s="1"/>
  <c r="AK237" i="46"/>
  <c r="AM237" i="46" s="1"/>
  <c r="AK113" i="46"/>
  <c r="AM113" i="46" s="1"/>
  <c r="AD813" i="46"/>
  <c r="AF813" i="46" s="1"/>
  <c r="AD474" i="46"/>
  <c r="AF474" i="46" s="1"/>
  <c r="AB504" i="46"/>
  <c r="AD140" i="46"/>
  <c r="AF140" i="46" s="1"/>
  <c r="D553" i="46"/>
  <c r="H553" i="46" s="1"/>
  <c r="AI332" i="46"/>
  <c r="AI689" i="46"/>
  <c r="AK617" i="46"/>
  <c r="AI262" i="46"/>
  <c r="BQ167" i="47"/>
  <c r="AO147" i="47"/>
  <c r="BO147" i="47" s="1"/>
  <c r="BW147" i="47" s="1"/>
  <c r="U792" i="46"/>
  <c r="D139" i="12"/>
  <c r="H139" i="12" s="1"/>
  <c r="AK638" i="46"/>
  <c r="AD105" i="46"/>
  <c r="AD119" i="46"/>
  <c r="AF119" i="46" s="1"/>
  <c r="P580" i="46"/>
  <c r="AB255" i="46"/>
  <c r="AD282" i="46"/>
  <c r="AF282" i="46" s="1"/>
  <c r="AB290" i="46"/>
  <c r="D187" i="12"/>
  <c r="H187" i="12" s="1"/>
  <c r="AI767" i="46"/>
  <c r="AK586" i="46"/>
  <c r="AM593" i="46" s="1"/>
  <c r="W735" i="46"/>
  <c r="AF430" i="46"/>
  <c r="L227" i="46"/>
  <c r="AK254" i="46"/>
  <c r="D431" i="46"/>
  <c r="H431" i="46" s="1"/>
  <c r="N510" i="46"/>
  <c r="AD309" i="46"/>
  <c r="AF309" i="46" s="1"/>
  <c r="AD99" i="46"/>
  <c r="AF99" i="46" s="1"/>
  <c r="AD798" i="46"/>
  <c r="AF798" i="46" s="1"/>
  <c r="AD293" i="46"/>
  <c r="AK545" i="46"/>
  <c r="AM552" i="46" s="1"/>
  <c r="AF420" i="46"/>
  <c r="N638" i="46"/>
  <c r="P638" i="46" s="1"/>
  <c r="N743" i="46"/>
  <c r="P743" i="46" s="1"/>
  <c r="D583" i="46"/>
  <c r="H583" i="46" s="1"/>
  <c r="N460" i="46"/>
  <c r="AD103" i="46"/>
  <c r="AF103" i="46" s="1"/>
  <c r="AF765" i="46"/>
  <c r="AK535" i="46"/>
  <c r="AD296" i="46"/>
  <c r="AF296" i="46" s="1"/>
  <c r="AB283" i="46"/>
  <c r="AD409" i="46"/>
  <c r="AF409" i="46" s="1"/>
  <c r="D234" i="46"/>
  <c r="H234" i="46" s="1"/>
  <c r="H279" i="46"/>
  <c r="AD459" i="46"/>
  <c r="AF459" i="46" s="1"/>
  <c r="AK772" i="46"/>
  <c r="AM772" i="46" s="1"/>
  <c r="AK667" i="46"/>
  <c r="AD800" i="46"/>
  <c r="AF800" i="46" s="1"/>
  <c r="D180" i="12"/>
  <c r="H180" i="12" s="1"/>
  <c r="AF239" i="46"/>
  <c r="AM99" i="46"/>
  <c r="AI128" i="46"/>
  <c r="D760" i="46"/>
  <c r="H760" i="46" s="1"/>
  <c r="AD582" i="46"/>
  <c r="AF582" i="46" s="1"/>
  <c r="AM558" i="46"/>
  <c r="AK813" i="46"/>
  <c r="AD91" i="46"/>
  <c r="AF91" i="46" s="1"/>
  <c r="H97" i="46"/>
  <c r="AK110" i="46"/>
  <c r="AM110" i="46" s="1"/>
  <c r="AK414" i="46"/>
  <c r="D132" i="12"/>
  <c r="AD624" i="46"/>
  <c r="AF624" i="46" s="1"/>
  <c r="L504" i="46"/>
  <c r="AD33" i="46"/>
  <c r="AF33" i="46" s="1"/>
  <c r="AD96" i="46"/>
  <c r="AF96" i="46" s="1"/>
  <c r="AB703" i="46"/>
  <c r="N232" i="46"/>
  <c r="P232" i="46" s="1"/>
  <c r="AK731" i="46"/>
  <c r="AM738" i="46" s="1"/>
  <c r="AB403" i="46"/>
  <c r="L511" i="46"/>
  <c r="D189" i="12"/>
  <c r="H189" i="12" s="1"/>
  <c r="AK275" i="46"/>
  <c r="D183" i="12"/>
  <c r="H183" i="12" s="1"/>
  <c r="D177" i="46"/>
  <c r="H177" i="46" s="1"/>
  <c r="AD275" i="46"/>
  <c r="AF275" i="46" s="1"/>
  <c r="H113" i="46"/>
  <c r="P217" i="46"/>
  <c r="S170" i="12"/>
  <c r="F170" i="12" s="1"/>
  <c r="CR14" i="29" s="1"/>
  <c r="AD549" i="46"/>
  <c r="AF549" i="46" s="1"/>
  <c r="AK798" i="46"/>
  <c r="AM805" i="46" s="1"/>
  <c r="N230" i="46"/>
  <c r="P230" i="46" s="1"/>
  <c r="U514" i="46"/>
  <c r="U267" i="46"/>
  <c r="W274" i="46" s="1"/>
  <c r="AI65" i="46"/>
  <c r="AD217" i="46"/>
  <c r="AF217" i="46" s="1"/>
  <c r="AD542" i="46"/>
  <c r="AF542" i="46" s="1"/>
  <c r="AF392" i="46"/>
  <c r="D410" i="46"/>
  <c r="AK542" i="46"/>
  <c r="AM549" i="46" s="1"/>
  <c r="N210" i="46"/>
  <c r="U508" i="46"/>
  <c r="W515" i="46" s="1"/>
  <c r="L532" i="46"/>
  <c r="AK517" i="46"/>
  <c r="N742" i="46"/>
  <c r="P742" i="46" s="1"/>
  <c r="D297" i="46"/>
  <c r="H297" i="46" s="1"/>
  <c r="AK421" i="46"/>
  <c r="AM428" i="46" s="1"/>
  <c r="AF133" i="46"/>
  <c r="AF715" i="46"/>
  <c r="H274" i="46"/>
  <c r="AF274" i="46" s="1"/>
  <c r="AD238" i="46"/>
  <c r="AF238" i="46" s="1"/>
  <c r="AK247" i="46"/>
  <c r="AD41" i="46"/>
  <c r="AF41" i="46" s="1"/>
  <c r="AK610" i="46"/>
  <c r="AB487" i="46"/>
  <c r="AI816" i="46"/>
  <c r="AK126" i="46"/>
  <c r="AD779" i="46"/>
  <c r="AF779" i="46" s="1"/>
  <c r="AD89" i="46"/>
  <c r="AD791" i="46"/>
  <c r="AF791" i="46" s="1"/>
  <c r="AM331" i="46"/>
  <c r="N212" i="46"/>
  <c r="N735" i="46"/>
  <c r="P735" i="46" s="1"/>
  <c r="AD345" i="46"/>
  <c r="AF345" i="46" s="1"/>
  <c r="D353" i="46"/>
  <c r="H353" i="46" s="1"/>
  <c r="AK162" i="46"/>
  <c r="AM162" i="46" s="1"/>
  <c r="AD551" i="46"/>
  <c r="AF551" i="46" s="1"/>
  <c r="L234" i="46"/>
  <c r="AD146" i="46"/>
  <c r="AF146" i="46" s="1"/>
  <c r="AD294" i="46"/>
  <c r="AK85" i="46"/>
  <c r="AM92" i="46" s="1"/>
  <c r="AD471" i="46"/>
  <c r="AF471" i="46" s="1"/>
  <c r="AI675" i="46"/>
  <c r="AD738" i="46"/>
  <c r="AF738" i="46" s="1"/>
  <c r="AK232" i="46"/>
  <c r="AM239" i="46" s="1"/>
  <c r="AD558" i="46"/>
  <c r="AF558" i="46" s="1"/>
  <c r="AK352" i="46"/>
  <c r="BO145" i="47"/>
  <c r="BP145" i="47" s="1"/>
  <c r="AK124" i="46"/>
  <c r="AM124" i="46" s="1"/>
  <c r="AI546" i="46"/>
  <c r="AD286" i="46"/>
  <c r="AF286" i="46" s="1"/>
  <c r="AD187" i="46"/>
  <c r="AF90" i="46"/>
  <c r="BP205" i="47"/>
  <c r="AI325" i="46"/>
  <c r="AI809" i="46"/>
  <c r="AK771" i="46"/>
  <c r="AI703" i="46"/>
  <c r="AB717" i="46"/>
  <c r="AD678" i="46"/>
  <c r="AF678" i="46" s="1"/>
  <c r="AD139" i="46"/>
  <c r="AF139" i="46" s="1"/>
  <c r="AD232" i="46"/>
  <c r="AF232" i="46" s="1"/>
  <c r="AK600" i="46"/>
  <c r="AM600" i="46" s="1"/>
  <c r="AD302" i="46"/>
  <c r="L93" i="46"/>
  <c r="AD657" i="46"/>
  <c r="AF657" i="46" s="1"/>
  <c r="L206" i="46"/>
  <c r="AK217" i="46"/>
  <c r="AM224" i="46" s="1"/>
  <c r="N575" i="46"/>
  <c r="L461" i="46"/>
  <c r="AB553" i="46"/>
  <c r="F482" i="46"/>
  <c r="AD323" i="46"/>
  <c r="AF323" i="46" s="1"/>
  <c r="AD575" i="46"/>
  <c r="AF537" i="46"/>
  <c r="D58" i="46"/>
  <c r="H58" i="46" s="1"/>
  <c r="AD421" i="46"/>
  <c r="AP145" i="47"/>
  <c r="AR145" i="47" s="1"/>
  <c r="AI424" i="46"/>
  <c r="AK793" i="46"/>
  <c r="AK702" i="46"/>
  <c r="AK666" i="46"/>
  <c r="AM787" i="46"/>
  <c r="AD301" i="46"/>
  <c r="AF301" i="46" s="1"/>
  <c r="AK33" i="46"/>
  <c r="AM40" i="46" s="1"/>
  <c r="AK161" i="46"/>
  <c r="AD161" i="46"/>
  <c r="AF737" i="46"/>
  <c r="W581" i="46"/>
  <c r="AK339" i="46"/>
  <c r="AD415" i="46"/>
  <c r="AF415" i="46" s="1"/>
  <c r="AK415" i="46"/>
  <c r="AM422" i="46" s="1"/>
  <c r="AD400" i="46"/>
  <c r="AF400" i="46" s="1"/>
  <c r="AD442" i="46"/>
  <c r="AB396" i="46"/>
  <c r="AK401" i="46"/>
  <c r="D30" i="12"/>
  <c r="H30" i="12" s="1"/>
  <c r="S149" i="12"/>
  <c r="F149" i="12" s="1"/>
  <c r="D147" i="12"/>
  <c r="H147" i="12" s="1"/>
  <c r="D145" i="12"/>
  <c r="H145" i="12" s="1"/>
  <c r="AK162" i="12"/>
  <c r="Z28" i="9"/>
  <c r="D169" i="12"/>
  <c r="H169" i="12" s="1"/>
  <c r="D44" i="12"/>
  <c r="H44" i="12" s="1"/>
  <c r="AD27" i="12"/>
  <c r="AD41" i="12"/>
  <c r="AF63" i="9"/>
  <c r="AF56" i="9"/>
  <c r="AF55" i="9"/>
  <c r="AD188" i="9"/>
  <c r="AH18" i="38"/>
  <c r="H41" i="12"/>
  <c r="AK41" i="12"/>
  <c r="AM41" i="12" s="1"/>
  <c r="AK19" i="12"/>
  <c r="AM19" i="12" s="1"/>
  <c r="AK133" i="12"/>
  <c r="AF35" i="9"/>
  <c r="AB155" i="12"/>
  <c r="AD162" i="12" s="1"/>
  <c r="AK36" i="12"/>
  <c r="AI30" i="12"/>
  <c r="AD140" i="12"/>
  <c r="AB196" i="9"/>
  <c r="AD196" i="9" s="1"/>
  <c r="AI181" i="12"/>
  <c r="AI184" i="12" s="1"/>
  <c r="AI44" i="12"/>
  <c r="AF20" i="12"/>
  <c r="AD195" i="9"/>
  <c r="FV23" i="38"/>
  <c r="F468" i="46"/>
  <c r="D468" i="46"/>
  <c r="AI590" i="46"/>
  <c r="AK287" i="46"/>
  <c r="AM294" i="46" s="1"/>
  <c r="Y35" i="20"/>
  <c r="BB242" i="40"/>
  <c r="IB12" i="38"/>
  <c r="IB13" i="38" s="1"/>
  <c r="W60" i="40"/>
  <c r="D167" i="12"/>
  <c r="H167" i="12" s="1"/>
  <c r="D255" i="46"/>
  <c r="H255" i="46" s="1"/>
  <c r="D160" i="12"/>
  <c r="H160" i="12" s="1"/>
  <c r="AP131" i="47"/>
  <c r="DH131" i="47" s="1"/>
  <c r="BU174" i="47"/>
  <c r="AK97" i="46"/>
  <c r="BO138" i="47"/>
  <c r="AP138" i="47"/>
  <c r="AI346" i="46"/>
  <c r="AI176" i="12"/>
  <c r="AK176" i="12" s="1"/>
  <c r="D176" i="12"/>
  <c r="H176" i="12" s="1"/>
  <c r="D461" i="46"/>
  <c r="F461" i="46"/>
  <c r="S184" i="12"/>
  <c r="IB23" i="38"/>
  <c r="AK481" i="46"/>
  <c r="AL13" i="40"/>
  <c r="AI781" i="46"/>
  <c r="D332" i="46"/>
  <c r="H332" i="46" s="1"/>
  <c r="AF293" i="46"/>
  <c r="D739" i="46"/>
  <c r="H739" i="46" s="1"/>
  <c r="BQ174" i="47"/>
  <c r="P334" i="40"/>
  <c r="AF758" i="46"/>
  <c r="AF427" i="46"/>
  <c r="BO146" i="47"/>
  <c r="AP146" i="47"/>
  <c r="AR146" i="47" s="1"/>
  <c r="D79" i="46"/>
  <c r="H79" i="46" s="1"/>
  <c r="D181" i="12"/>
  <c r="H181" i="12" s="1"/>
  <c r="G240" i="47"/>
  <c r="AK90" i="40"/>
  <c r="H346" i="46"/>
  <c r="AK259" i="46"/>
  <c r="AM266" i="46" s="1"/>
  <c r="D475" i="46"/>
  <c r="H475" i="46" s="1"/>
  <c r="AK550" i="46"/>
  <c r="AM550" i="46" s="1"/>
  <c r="AI139" i="12"/>
  <c r="AF544" i="46"/>
  <c r="IC17" i="38"/>
  <c r="IC18" i="38" s="1"/>
  <c r="Z334" i="40"/>
  <c r="BA244" i="40"/>
  <c r="BA246" i="40" s="1"/>
  <c r="BX205" i="47"/>
  <c r="AI220" i="46"/>
  <c r="D170" i="46"/>
  <c r="H170" i="46" s="1"/>
  <c r="DP8" i="28"/>
  <c r="DP39" i="28" s="1"/>
  <c r="AI125" i="12"/>
  <c r="AK784" i="46"/>
  <c r="AM791" i="46" s="1"/>
  <c r="AI167" i="12"/>
  <c r="AI170" i="12" s="1"/>
  <c r="AI389" i="46"/>
  <c r="V60" i="40"/>
  <c r="AI297" i="46"/>
  <c r="BN23" i="38"/>
  <c r="D788" i="46"/>
  <c r="H788" i="46" s="1"/>
  <c r="D774" i="46"/>
  <c r="H774" i="46" s="1"/>
  <c r="D86" i="46"/>
  <c r="H86" i="46" s="1"/>
  <c r="AM125" i="46"/>
  <c r="D184" i="46"/>
  <c r="H184" i="46" s="1"/>
  <c r="CK43" i="28"/>
  <c r="T32" i="28"/>
  <c r="J50" i="20"/>
  <c r="F131" i="85"/>
  <c r="G173" i="85" s="1"/>
  <c r="HR13" i="38"/>
  <c r="F37" i="85"/>
  <c r="F182" i="85" s="1"/>
  <c r="F183" i="85" s="1"/>
  <c r="M38" i="20"/>
  <c r="L99" i="9"/>
  <c r="CL36" i="28"/>
  <c r="CL61" i="28" s="1"/>
  <c r="AL36" i="28"/>
  <c r="C11" i="85"/>
  <c r="C14" i="85" s="1"/>
  <c r="W27" i="12"/>
  <c r="G37" i="85"/>
  <c r="G182" i="85" s="1"/>
  <c r="G183" i="85" s="1"/>
  <c r="H119" i="12"/>
  <c r="AK27" i="12"/>
  <c r="AM34" i="12" s="1"/>
  <c r="G119" i="85"/>
  <c r="R13" i="38"/>
  <c r="H26" i="12"/>
  <c r="AI81" i="17"/>
  <c r="AI82" i="17"/>
  <c r="AY76" i="17"/>
  <c r="Y22" i="20"/>
  <c r="Y17" i="20"/>
  <c r="AD32" i="28"/>
  <c r="AD38" i="28"/>
  <c r="AD21" i="28"/>
  <c r="AC32" i="28"/>
  <c r="AC43" i="28" s="1"/>
  <c r="L71" i="9"/>
  <c r="J144" i="20"/>
  <c r="H111" i="12"/>
  <c r="EI22" i="37"/>
  <c r="EH45" i="37" s="1"/>
  <c r="EH68" i="37" s="1"/>
  <c r="EH91" i="37"/>
  <c r="EH92" i="37" s="1"/>
  <c r="EH93" i="37" s="1"/>
  <c r="BD21" i="28"/>
  <c r="BD41" i="28" s="1"/>
  <c r="F47" i="85"/>
  <c r="F72" i="85" s="1"/>
  <c r="F144" i="85"/>
  <c r="M37" i="40"/>
  <c r="DH29" i="28"/>
  <c r="AC21" i="28"/>
  <c r="AC25" i="28" s="1"/>
  <c r="DH37" i="28"/>
  <c r="Z17" i="28"/>
  <c r="Z21" i="28" s="1"/>
  <c r="Z40" i="28" s="1"/>
  <c r="AG36" i="28"/>
  <c r="AR49" i="28"/>
  <c r="AM32" i="28"/>
  <c r="EH86" i="37"/>
  <c r="EH87" i="37" s="1"/>
  <c r="EH88" i="37" s="1"/>
  <c r="EI17" i="37"/>
  <c r="EI40" i="37" s="1"/>
  <c r="BN17" i="28"/>
  <c r="BN36" i="28"/>
  <c r="CK49" i="28"/>
  <c r="CK38" i="28"/>
  <c r="CK63" i="28" s="1"/>
  <c r="CK21" i="28"/>
  <c r="T49" i="28"/>
  <c r="O21" i="28"/>
  <c r="O38" i="28"/>
  <c r="DZ220" i="47"/>
  <c r="DH46" i="28"/>
  <c r="K50" i="20"/>
  <c r="K38" i="20"/>
  <c r="AT36" i="28"/>
  <c r="AS41" i="28"/>
  <c r="M176" i="85"/>
  <c r="M174" i="85" s="1"/>
  <c r="DI13" i="28"/>
  <c r="R8" i="82" s="1"/>
  <c r="Z8" i="82" s="1"/>
  <c r="D8" i="82"/>
  <c r="H8" i="82" s="1"/>
  <c r="CH36" i="28"/>
  <c r="D26" i="82" s="1"/>
  <c r="CH17" i="28"/>
  <c r="T21" i="28"/>
  <c r="T38" i="28"/>
  <c r="AN21" i="28"/>
  <c r="AN41" i="28" s="1"/>
  <c r="HQ23" i="38"/>
  <c r="L66" i="85"/>
  <c r="L108" i="85" s="1"/>
  <c r="L150" i="85"/>
  <c r="AN38" i="28"/>
  <c r="HU18" i="38"/>
  <c r="O32" i="28"/>
  <c r="O43" i="28" s="1"/>
  <c r="DL10" i="28"/>
  <c r="DL13" i="28" s="1"/>
  <c r="AW21" i="28"/>
  <c r="AW32" i="28"/>
  <c r="BB51" i="28" s="1"/>
  <c r="H35" i="12"/>
  <c r="Z23" i="38"/>
  <c r="AN49" i="28"/>
  <c r="DH48" i="28"/>
  <c r="H43" i="12"/>
  <c r="L57" i="9"/>
  <c r="K98" i="85"/>
  <c r="I47" i="85"/>
  <c r="N17" i="28"/>
  <c r="N49" i="28" s="1"/>
  <c r="N36" i="28"/>
  <c r="A89" i="9"/>
  <c r="A152" i="9"/>
  <c r="A96" i="9"/>
  <c r="A159" i="9"/>
  <c r="A124" i="9"/>
  <c r="A194" i="9"/>
  <c r="N176" i="85"/>
  <c r="N174" i="85" s="1"/>
  <c r="N120" i="85"/>
  <c r="N177" i="85" s="1"/>
  <c r="N78" i="85"/>
  <c r="N175" i="85" s="1"/>
  <c r="R38" i="20"/>
  <c r="Z18" i="38"/>
  <c r="H34" i="12"/>
  <c r="AF34" i="12" s="1"/>
  <c r="BS25" i="28"/>
  <c r="BS42" i="28" s="1"/>
  <c r="BS41" i="28"/>
  <c r="BS40" i="28"/>
  <c r="S74" i="20"/>
  <c r="T74" i="20" s="1"/>
  <c r="DI29" i="28"/>
  <c r="DD39" i="28"/>
  <c r="G52" i="85"/>
  <c r="G72" i="85" s="1"/>
  <c r="F60" i="85"/>
  <c r="E52" i="85"/>
  <c r="E72" i="85" s="1"/>
  <c r="H95" i="85"/>
  <c r="AS81" i="17"/>
  <c r="AS82" i="17"/>
  <c r="DB39" i="28"/>
  <c r="C102" i="85"/>
  <c r="V12" i="20"/>
  <c r="H8" i="85"/>
  <c r="H11" i="85" s="1"/>
  <c r="U37" i="20"/>
  <c r="U38" i="20" s="1"/>
  <c r="DC46" i="28"/>
  <c r="AE85" i="17"/>
  <c r="AE84" i="17"/>
  <c r="DD13" i="28"/>
  <c r="I89" i="85"/>
  <c r="AK82" i="17"/>
  <c r="AK81" i="17"/>
  <c r="E136" i="85"/>
  <c r="E94" i="85"/>
  <c r="E121" i="85" s="1"/>
  <c r="DB17" i="28"/>
  <c r="DB36" i="28"/>
  <c r="U15" i="20"/>
  <c r="U12" i="20" s="1"/>
  <c r="R9" i="82"/>
  <c r="Z9" i="82" s="1"/>
  <c r="DI37" i="28"/>
  <c r="R27" i="82" s="1"/>
  <c r="Z27" i="82" s="1"/>
  <c r="DB37" i="28"/>
  <c r="D131" i="85"/>
  <c r="D47" i="85"/>
  <c r="E77" i="85" s="1"/>
  <c r="D89" i="85"/>
  <c r="D119" i="85" s="1"/>
  <c r="S9" i="82"/>
  <c r="AA9" i="82" s="1"/>
  <c r="DJ48" i="28"/>
  <c r="S36" i="82" s="1"/>
  <c r="AA36" i="82" s="1"/>
  <c r="DK48" i="28"/>
  <c r="F39" i="85"/>
  <c r="H53" i="85"/>
  <c r="M50" i="20"/>
  <c r="E37" i="85"/>
  <c r="E83" i="85" s="1"/>
  <c r="E84" i="85" s="1"/>
  <c r="E131" i="85"/>
  <c r="DD37" i="28"/>
  <c r="AA127" i="40"/>
  <c r="Y225" i="40"/>
  <c r="Y343" i="40" s="1"/>
  <c r="W248" i="40"/>
  <c r="W267" i="40" s="1"/>
  <c r="W352" i="40" s="1"/>
  <c r="X119" i="20"/>
  <c r="X120" i="20"/>
  <c r="X115" i="20"/>
  <c r="X122" i="20"/>
  <c r="X118" i="20"/>
  <c r="G25" i="40"/>
  <c r="V191" i="40"/>
  <c r="W192" i="40" s="1"/>
  <c r="P12" i="40"/>
  <c r="P321" i="40" s="1"/>
  <c r="AD102" i="40"/>
  <c r="AD341" i="40" s="1"/>
  <c r="AB195" i="40"/>
  <c r="AB365" i="40" s="1"/>
  <c r="I16" i="40"/>
  <c r="I20" i="40" s="1"/>
  <c r="I21" i="40" s="1"/>
  <c r="T322" i="40"/>
  <c r="T329" i="40" s="1"/>
  <c r="Z160" i="40"/>
  <c r="O49" i="40"/>
  <c r="O345" i="40" s="1"/>
  <c r="T334" i="40"/>
  <c r="BB245" i="40"/>
  <c r="AG135" i="40"/>
  <c r="AG136" i="40" s="1"/>
  <c r="DN74" i="28"/>
  <c r="D25" i="40"/>
  <c r="E25" i="40"/>
  <c r="L377" i="40"/>
  <c r="R489" i="45"/>
  <c r="H21" i="40"/>
  <c r="H22" i="40" s="1"/>
  <c r="U225" i="40"/>
  <c r="U343" i="40" s="1"/>
  <c r="BA160" i="40"/>
  <c r="BA170" i="40" s="1"/>
  <c r="N248" i="40"/>
  <c r="U191" i="40"/>
  <c r="AK36" i="40"/>
  <c r="Q304" i="45"/>
  <c r="Q191" i="40"/>
  <c r="Q209" i="40" s="1"/>
  <c r="F5" i="40"/>
  <c r="E315" i="40"/>
  <c r="E374" i="40"/>
  <c r="AA307" i="45"/>
  <c r="DS73" i="28"/>
  <c r="M401" i="40"/>
  <c r="P486" i="45"/>
  <c r="AA120" i="20"/>
  <c r="AA122" i="20"/>
  <c r="AA121" i="20" s="1"/>
  <c r="AA115" i="20"/>
  <c r="AA119" i="20"/>
  <c r="AA118" i="20"/>
  <c r="AM105" i="9"/>
  <c r="R56" i="22"/>
  <c r="R59" i="22" s="1"/>
  <c r="R123" i="9"/>
  <c r="X35" i="22"/>
  <c r="X56" i="22" s="1"/>
  <c r="AF18" i="9"/>
  <c r="AF130" i="9"/>
  <c r="AF124" i="9"/>
  <c r="J162" i="9"/>
  <c r="R162" i="9" s="1"/>
  <c r="CF54" i="28" s="1"/>
  <c r="R182" i="9"/>
  <c r="R130" i="9"/>
  <c r="AM76" i="9"/>
  <c r="Z48" i="9"/>
  <c r="Z55" i="9"/>
  <c r="Z35" i="9"/>
  <c r="AM109" i="9"/>
  <c r="R109" i="9"/>
  <c r="BC43" i="34"/>
  <c r="BB49" i="34"/>
  <c r="AX49" i="34"/>
  <c r="AM133" i="9"/>
  <c r="J36" i="9"/>
  <c r="R36" i="9" s="1"/>
  <c r="J141" i="9"/>
  <c r="R141" i="9" s="1"/>
  <c r="AR54" i="28" s="1"/>
  <c r="AM160" i="9"/>
  <c r="R160" i="9"/>
  <c r="J57" i="9"/>
  <c r="R57" i="9" s="1"/>
  <c r="R71" i="9"/>
  <c r="AM145" i="9"/>
  <c r="J183" i="9"/>
  <c r="R67" i="9"/>
  <c r="AT96" i="9"/>
  <c r="AV103" i="9" s="1"/>
  <c r="R147" i="9"/>
  <c r="R149" i="9" s="1"/>
  <c r="AM147" i="9"/>
  <c r="AV104" i="9"/>
  <c r="AM195" i="9"/>
  <c r="AM166" i="9"/>
  <c r="AV111" i="9"/>
  <c r="T81" i="9"/>
  <c r="R85" i="9"/>
  <c r="J15" i="9"/>
  <c r="J43" i="9"/>
  <c r="R43" i="9" s="1"/>
  <c r="R39" i="9"/>
  <c r="Z102" i="9"/>
  <c r="J120" i="9"/>
  <c r="R120" i="9" s="1"/>
  <c r="AJ54" i="28" s="1"/>
  <c r="R77" i="9"/>
  <c r="R95" i="9"/>
  <c r="AM95" i="9"/>
  <c r="AM161" i="9"/>
  <c r="R103" i="9"/>
  <c r="AM103" i="9"/>
  <c r="J64" i="9"/>
  <c r="R64" i="9" s="1"/>
  <c r="L127" i="9"/>
  <c r="AT117" i="9"/>
  <c r="AV117" i="9" s="1"/>
  <c r="AM89" i="9"/>
  <c r="R89" i="9"/>
  <c r="R75" i="9"/>
  <c r="AM75" i="9"/>
  <c r="R118" i="9"/>
  <c r="AM118" i="9"/>
  <c r="J78" i="9"/>
  <c r="AM78" i="9" s="1"/>
  <c r="Z21" i="9"/>
  <c r="R180" i="9"/>
  <c r="AM180" i="9"/>
  <c r="AM139" i="9"/>
  <c r="J29" i="9"/>
  <c r="R25" i="9"/>
  <c r="AF33" i="9"/>
  <c r="R193" i="9"/>
  <c r="AM193" i="9"/>
  <c r="R119" i="9"/>
  <c r="AM151" i="9"/>
  <c r="R167" i="9"/>
  <c r="AM102" i="9"/>
  <c r="J106" i="9"/>
  <c r="R106" i="9" s="1"/>
  <c r="AH54" i="28" s="1"/>
  <c r="R102" i="9"/>
  <c r="R154" i="9"/>
  <c r="J127" i="9"/>
  <c r="R127" i="9" s="1"/>
  <c r="AL54" i="28" s="1"/>
  <c r="AM83" i="9"/>
  <c r="R161" i="9"/>
  <c r="AM116" i="9"/>
  <c r="N528" i="46"/>
  <c r="P528" i="46" s="1"/>
  <c r="AB431" i="46"/>
  <c r="AD431" i="46" s="1"/>
  <c r="N515" i="46"/>
  <c r="P515" i="46" s="1"/>
  <c r="AD288" i="46"/>
  <c r="U651" i="46"/>
  <c r="W651" i="46" s="1"/>
  <c r="N651" i="46"/>
  <c r="P651" i="46" s="1"/>
  <c r="AB475" i="46"/>
  <c r="W195" i="40"/>
  <c r="W365" i="40" s="1"/>
  <c r="U528" i="46"/>
  <c r="W528" i="46" s="1"/>
  <c r="AD428" i="46"/>
  <c r="AF428" i="46" s="1"/>
  <c r="AK413" i="46"/>
  <c r="AM420" i="46" s="1"/>
  <c r="AK751" i="46"/>
  <c r="AM751" i="46" s="1"/>
  <c r="AK582" i="46"/>
  <c r="AB728" i="46"/>
  <c r="AB732" i="46" s="1"/>
  <c r="AB47" i="40"/>
  <c r="AB49" i="40" s="1"/>
  <c r="AK392" i="46"/>
  <c r="AB518" i="46"/>
  <c r="AD436" i="46"/>
  <c r="AF436" i="46" s="1"/>
  <c r="N645" i="46"/>
  <c r="P645" i="46" s="1"/>
  <c r="U645" i="46"/>
  <c r="AK216" i="46"/>
  <c r="AM216" i="46" s="1"/>
  <c r="AD216" i="46"/>
  <c r="AF216" i="46" s="1"/>
  <c r="W459" i="46"/>
  <c r="AD21" i="12"/>
  <c r="AF21" i="12" s="1"/>
  <c r="X191" i="40"/>
  <c r="X192" i="40" s="1"/>
  <c r="U742" i="46"/>
  <c r="W749" i="46" s="1"/>
  <c r="AB461" i="46"/>
  <c r="AD342" i="46"/>
  <c r="AF342" i="46" s="1"/>
  <c r="T301" i="40"/>
  <c r="U302" i="40" s="1"/>
  <c r="N464" i="46"/>
  <c r="AD435" i="46"/>
  <c r="AF435" i="46" s="1"/>
  <c r="AD324" i="46"/>
  <c r="AF324" i="46" s="1"/>
  <c r="V144" i="40"/>
  <c r="V350" i="40" s="1"/>
  <c r="U35" i="46"/>
  <c r="W35" i="46" s="1"/>
  <c r="AD486" i="46"/>
  <c r="AF25" i="9"/>
  <c r="N224" i="46"/>
  <c r="P224" i="46" s="1"/>
  <c r="AB795" i="46"/>
  <c r="AB37" i="46"/>
  <c r="DH69" i="28"/>
  <c r="DH80" i="28" s="1"/>
  <c r="AM436" i="46"/>
  <c r="U509" i="46"/>
  <c r="N509" i="46"/>
  <c r="U62" i="12"/>
  <c r="N459" i="46"/>
  <c r="N749" i="46"/>
  <c r="P749" i="46" s="1"/>
  <c r="N48" i="46"/>
  <c r="P48" i="46" s="1"/>
  <c r="AD473" i="46"/>
  <c r="AF473" i="46" s="1"/>
  <c r="U136" i="40"/>
  <c r="AT11" i="45"/>
  <c r="AD466" i="46"/>
  <c r="AF466" i="46" s="1"/>
  <c r="L220" i="46"/>
  <c r="M381" i="40"/>
  <c r="M404" i="40" s="1"/>
  <c r="N521" i="46"/>
  <c r="P521" i="46" s="1"/>
  <c r="AD315" i="46"/>
  <c r="AF714" i="46"/>
  <c r="P792" i="46"/>
  <c r="AK76" i="46"/>
  <c r="AB107" i="46"/>
  <c r="N581" i="46"/>
  <c r="P581" i="46" s="1"/>
  <c r="AD465" i="46"/>
  <c r="AF465" i="46" s="1"/>
  <c r="AD352" i="46"/>
  <c r="AF352" i="46" s="1"/>
  <c r="AB206" i="46"/>
  <c r="AD233" i="46"/>
  <c r="AF233" i="46" s="1"/>
  <c r="AM480" i="46"/>
  <c r="AD338" i="46"/>
  <c r="AF338" i="46" s="1"/>
  <c r="Z820" i="46"/>
  <c r="AB820" i="46" s="1"/>
  <c r="U484" i="45"/>
  <c r="Z722" i="46"/>
  <c r="R136" i="40"/>
  <c r="L569" i="46"/>
  <c r="AB346" i="46"/>
  <c r="AB135" i="12"/>
  <c r="AF295" i="46"/>
  <c r="AK345" i="46"/>
  <c r="AM345" i="46" s="1"/>
  <c r="AD480" i="46"/>
  <c r="AF480" i="46" s="1"/>
  <c r="AD279" i="46"/>
  <c r="M253" i="40"/>
  <c r="M254" i="40" s="1"/>
  <c r="AD757" i="46"/>
  <c r="AF757" i="46" s="1"/>
  <c r="AK273" i="46"/>
  <c r="AM280" i="46" s="1"/>
  <c r="AM744" i="46"/>
  <c r="AB417" i="46"/>
  <c r="AD310" i="46"/>
  <c r="AF310" i="46" s="1"/>
  <c r="AM465" i="46"/>
  <c r="N42" i="46"/>
  <c r="P42" i="46" s="1"/>
  <c r="AD106" i="46"/>
  <c r="AB304" i="46"/>
  <c r="AD304" i="46" s="1"/>
  <c r="AB576" i="46"/>
  <c r="A195" i="45"/>
  <c r="A377" i="45" s="1"/>
  <c r="AT13" i="45"/>
  <c r="AD429" i="46"/>
  <c r="AF429" i="46" s="1"/>
  <c r="AD751" i="46"/>
  <c r="AF751" i="46" s="1"/>
  <c r="Q127" i="40"/>
  <c r="Q144" i="40" s="1"/>
  <c r="Q350" i="40" s="1"/>
  <c r="AB661" i="46"/>
  <c r="AM288" i="46"/>
  <c r="AF552" i="46"/>
  <c r="AK279" i="46"/>
  <c r="AK454" i="46"/>
  <c r="AD407" i="46"/>
  <c r="AF407" i="46" s="1"/>
  <c r="N574" i="46"/>
  <c r="N751" i="46"/>
  <c r="P751" i="46" s="1"/>
  <c r="M205" i="40"/>
  <c r="AE147" i="40"/>
  <c r="AE149" i="40" s="1"/>
  <c r="AE342" i="40" s="1"/>
  <c r="AE100" i="40"/>
  <c r="AE102" i="40" s="1"/>
  <c r="AE341" i="40" s="1"/>
  <c r="V248" i="40"/>
  <c r="AB339" i="46"/>
  <c r="AD399" i="46"/>
  <c r="AF399" i="46" s="1"/>
  <c r="AC199" i="40"/>
  <c r="AD198" i="40"/>
  <c r="AD287" i="46"/>
  <c r="AF287" i="46" s="1"/>
  <c r="AM773" i="46"/>
  <c r="AM780" i="46"/>
  <c r="X257" i="40"/>
  <c r="Y257" i="40"/>
  <c r="AJ28" i="40"/>
  <c r="AJ41" i="40" s="1"/>
  <c r="AJ353" i="40" s="1"/>
  <c r="AJ36" i="40"/>
  <c r="AB311" i="46"/>
  <c r="AD307" i="46"/>
  <c r="AF307" i="46" s="1"/>
  <c r="AD314" i="46"/>
  <c r="AF314" i="46" s="1"/>
  <c r="N363" i="45"/>
  <c r="O368" i="45"/>
  <c r="T127" i="40"/>
  <c r="T144" i="40" s="1"/>
  <c r="T350" i="40" s="1"/>
  <c r="AD300" i="46"/>
  <c r="AF300" i="46" s="1"/>
  <c r="W144" i="40"/>
  <c r="W350" i="40" s="1"/>
  <c r="U226" i="46"/>
  <c r="N226" i="46"/>
  <c r="P226" i="46" s="1"/>
  <c r="N211" i="46"/>
  <c r="U211" i="46"/>
  <c r="W218" i="46" s="1"/>
  <c r="N218" i="46"/>
  <c r="P218" i="46" s="1"/>
  <c r="AK231" i="46"/>
  <c r="AD231" i="46"/>
  <c r="AF231" i="46" s="1"/>
  <c r="Q486" i="45"/>
  <c r="AH146" i="9"/>
  <c r="AJ146" i="9" s="1"/>
  <c r="AD146" i="9"/>
  <c r="AF146" i="9" s="1"/>
  <c r="AD126" i="46"/>
  <c r="AB468" i="46"/>
  <c r="AK14" i="12"/>
  <c r="AM21" i="12" s="1"/>
  <c r="L203" i="40"/>
  <c r="U268" i="46"/>
  <c r="X127" i="40"/>
  <c r="W135" i="40"/>
  <c r="AZ126" i="40" s="1"/>
  <c r="AF258" i="46"/>
  <c r="AK300" i="46"/>
  <c r="AM321" i="46"/>
  <c r="W90" i="46"/>
  <c r="AD141" i="12"/>
  <c r="AD529" i="46"/>
  <c r="AF529" i="46" s="1"/>
  <c r="AD132" i="46"/>
  <c r="AF132" i="46" s="1"/>
  <c r="L739" i="46"/>
  <c r="N739" i="46" s="1"/>
  <c r="AB276" i="46"/>
  <c r="Y293" i="40"/>
  <c r="X301" i="40"/>
  <c r="X293" i="40"/>
  <c r="X308" i="40" s="1"/>
  <c r="P135" i="40"/>
  <c r="Q136" i="40" s="1"/>
  <c r="P127" i="40"/>
  <c r="P144" i="40" s="1"/>
  <c r="AK225" i="46"/>
  <c r="AK28" i="40"/>
  <c r="AD303" i="46"/>
  <c r="AF303" i="46" s="1"/>
  <c r="AK303" i="46"/>
  <c r="AM303" i="46" s="1"/>
  <c r="AM233" i="46"/>
  <c r="AK460" i="46"/>
  <c r="AM460" i="46" s="1"/>
  <c r="AD460" i="46"/>
  <c r="AF460" i="46" s="1"/>
  <c r="AA363" i="45"/>
  <c r="S369" i="45"/>
  <c r="R364" i="45"/>
  <c r="U273" i="46"/>
  <c r="AF254" i="46"/>
  <c r="O135" i="40"/>
  <c r="O127" i="40"/>
  <c r="DL69" i="28"/>
  <c r="AF47" i="40"/>
  <c r="AH145" i="9"/>
  <c r="AJ145" i="9" s="1"/>
  <c r="AD145" i="9"/>
  <c r="N209" i="46"/>
  <c r="U209" i="46"/>
  <c r="L213" i="46"/>
  <c r="N195" i="40"/>
  <c r="N365" i="40" s="1"/>
  <c r="O191" i="40"/>
  <c r="P192" i="40" s="1"/>
  <c r="O195" i="40"/>
  <c r="O365" i="40" s="1"/>
  <c r="AD538" i="46"/>
  <c r="AF538" i="46" s="1"/>
  <c r="AD545" i="46"/>
  <c r="AB454" i="46"/>
  <c r="N191" i="40"/>
  <c r="N209" i="40" s="1"/>
  <c r="AD331" i="46"/>
  <c r="AF331" i="46" s="1"/>
  <c r="Z721" i="46"/>
  <c r="AB721" i="46" s="1"/>
  <c r="AD721" i="46" s="1"/>
  <c r="AF721" i="46" s="1"/>
  <c r="U104" i="12"/>
  <c r="AD210" i="46"/>
  <c r="N127" i="40"/>
  <c r="N135" i="40"/>
  <c r="AA195" i="40"/>
  <c r="AA365" i="40" s="1"/>
  <c r="AD280" i="46"/>
  <c r="N29" i="46"/>
  <c r="AH127" i="40"/>
  <c r="AL100" i="40"/>
  <c r="AL102" i="40" s="1"/>
  <c r="AK310" i="46"/>
  <c r="AL97" i="40"/>
  <c r="U19" i="12"/>
  <c r="AG28" i="40"/>
  <c r="AB739" i="46"/>
  <c r="M191" i="40"/>
  <c r="N192" i="40" s="1"/>
  <c r="AD600" i="46"/>
  <c r="AF600" i="46" s="1"/>
  <c r="AD169" i="46"/>
  <c r="AF169" i="46" s="1"/>
  <c r="N90" i="46"/>
  <c r="P90" i="46" s="1"/>
  <c r="P364" i="45"/>
  <c r="Q370" i="45" s="1"/>
  <c r="Q369" i="45"/>
  <c r="R195" i="40"/>
  <c r="R365" i="40" s="1"/>
  <c r="R191" i="40"/>
  <c r="N233" i="46"/>
  <c r="P233" i="46" s="1"/>
  <c r="AK343" i="46"/>
  <c r="AM343" i="46" s="1"/>
  <c r="AD343" i="46"/>
  <c r="AF343" i="46" s="1"/>
  <c r="AD316" i="46"/>
  <c r="AF316" i="46" s="1"/>
  <c r="AK316" i="46"/>
  <c r="AF127" i="40"/>
  <c r="U110" i="12"/>
  <c r="M379" i="40"/>
  <c r="M402" i="40" s="1"/>
  <c r="M206" i="40"/>
  <c r="AB234" i="46"/>
  <c r="L746" i="46"/>
  <c r="AL87" i="40"/>
  <c r="AL88" i="40" s="1"/>
  <c r="AK323" i="46"/>
  <c r="AF423" i="46"/>
  <c r="N185" i="40"/>
  <c r="N206" i="40" s="1"/>
  <c r="N508" i="46"/>
  <c r="AD713" i="46"/>
  <c r="AF713" i="46" s="1"/>
  <c r="AB127" i="40"/>
  <c r="AD125" i="46"/>
  <c r="AF125" i="46" s="1"/>
  <c r="O256" i="40"/>
  <c r="P248" i="40"/>
  <c r="P267" i="40" s="1"/>
  <c r="O248" i="40"/>
  <c r="O267" i="40" s="1"/>
  <c r="AD434" i="46"/>
  <c r="AF434" i="46" s="1"/>
  <c r="AK427" i="46"/>
  <c r="AM434" i="46" s="1"/>
  <c r="AD707" i="46"/>
  <c r="AF707" i="46" s="1"/>
  <c r="U750" i="46"/>
  <c r="W750" i="46" s="1"/>
  <c r="N750" i="46"/>
  <c r="P750" i="46" s="1"/>
  <c r="V195" i="40"/>
  <c r="V365" i="40" s="1"/>
  <c r="K62" i="28"/>
  <c r="N231" i="46"/>
  <c r="P231" i="46" s="1"/>
  <c r="U643" i="46"/>
  <c r="W650" i="46" s="1"/>
  <c r="L647" i="46"/>
  <c r="N273" i="46"/>
  <c r="P273" i="46" s="1"/>
  <c r="AU11" i="45"/>
  <c r="U219" i="46"/>
  <c r="N219" i="46"/>
  <c r="M162" i="40"/>
  <c r="M179" i="40" s="1"/>
  <c r="M180" i="40" s="1"/>
  <c r="L180" i="40"/>
  <c r="L188" i="40" s="1"/>
  <c r="DQ69" i="28"/>
  <c r="AJ47" i="40"/>
  <c r="AJ49" i="40" s="1"/>
  <c r="AK47" i="40"/>
  <c r="AB147" i="9"/>
  <c r="BD80" i="28"/>
  <c r="AD317" i="46"/>
  <c r="AF317" i="46" s="1"/>
  <c r="AK466" i="46"/>
  <c r="AM466" i="46" s="1"/>
  <c r="L51" i="12"/>
  <c r="AB753" i="46"/>
  <c r="AF19" i="12"/>
  <c r="AK701" i="46"/>
  <c r="AD666" i="46"/>
  <c r="AF666" i="46" s="1"/>
  <c r="AD134" i="12"/>
  <c r="AH151" i="9"/>
  <c r="AJ151" i="9" s="1"/>
  <c r="AD151" i="9"/>
  <c r="AD281" i="46"/>
  <c r="AF281" i="46" s="1"/>
  <c r="U225" i="46"/>
  <c r="W225" i="46" s="1"/>
  <c r="N225" i="46"/>
  <c r="P225" i="46" s="1"/>
  <c r="AB569" i="46"/>
  <c r="AD97" i="46"/>
  <c r="AB325" i="46"/>
  <c r="AD321" i="46"/>
  <c r="AF321" i="46" s="1"/>
  <c r="U49" i="12"/>
  <c r="Z79" i="40"/>
  <c r="O184" i="40"/>
  <c r="N378" i="40"/>
  <c r="N401" i="40" s="1"/>
  <c r="N205" i="40"/>
  <c r="AK138" i="46"/>
  <c r="O79" i="40"/>
  <c r="O87" i="40"/>
  <c r="AB270" i="40"/>
  <c r="AB272" i="40" s="1"/>
  <c r="AB344" i="40" s="1"/>
  <c r="U517" i="46"/>
  <c r="N517" i="46"/>
  <c r="AI135" i="40"/>
  <c r="AI127" i="40"/>
  <c r="AI144" i="40" s="1"/>
  <c r="BJ128" i="40" s="1"/>
  <c r="DP74" i="28"/>
  <c r="U738" i="46"/>
  <c r="W745" i="46" s="1"/>
  <c r="N738" i="46"/>
  <c r="P738" i="46" s="1"/>
  <c r="N745" i="46"/>
  <c r="P745" i="46" s="1"/>
  <c r="X28" i="40"/>
  <c r="L518" i="46"/>
  <c r="L454" i="46"/>
  <c r="U453" i="46"/>
  <c r="U454" i="46" s="1"/>
  <c r="AK522" i="46"/>
  <c r="AD522" i="46"/>
  <c r="AF522" i="46" s="1"/>
  <c r="AB525" i="46"/>
  <c r="L30" i="46"/>
  <c r="Z135" i="40"/>
  <c r="DG75" i="28" s="1"/>
  <c r="Z127" i="40"/>
  <c r="Z144" i="40" s="1"/>
  <c r="Z350" i="40" s="1"/>
  <c r="N26" i="12"/>
  <c r="N33" i="12"/>
  <c r="DR72" i="28"/>
  <c r="U522" i="46"/>
  <c r="W522" i="46" s="1"/>
  <c r="L525" i="46"/>
  <c r="N522" i="46"/>
  <c r="P522" i="46" s="1"/>
  <c r="N524" i="46"/>
  <c r="Q256" i="40"/>
  <c r="Q257" i="40" s="1"/>
  <c r="Q248" i="40"/>
  <c r="Q267" i="40" s="1"/>
  <c r="Q352" i="40" s="1"/>
  <c r="U30" i="46"/>
  <c r="AD752" i="46"/>
  <c r="AF752" i="46" s="1"/>
  <c r="AB774" i="46"/>
  <c r="U293" i="40"/>
  <c r="U308" i="40" s="1"/>
  <c r="AK523" i="46"/>
  <c r="AF772" i="46"/>
  <c r="AK572" i="46"/>
  <c r="AD572" i="46"/>
  <c r="X248" i="40"/>
  <c r="X267" i="40" s="1"/>
  <c r="X352" i="40" s="1"/>
  <c r="Y248" i="40"/>
  <c r="Y267" i="40" s="1"/>
  <c r="Y352" i="40" s="1"/>
  <c r="AD437" i="46"/>
  <c r="AB438" i="46"/>
  <c r="AB161" i="9"/>
  <c r="BN80" i="28"/>
  <c r="AB173" i="12"/>
  <c r="AK173" i="12" s="1"/>
  <c r="T256" i="40"/>
  <c r="T257" i="40" s="1"/>
  <c r="T248" i="40"/>
  <c r="T267" i="40" s="1"/>
  <c r="T352" i="40" s="1"/>
  <c r="Z147" i="40"/>
  <c r="Z149" i="40" s="1"/>
  <c r="Z342" i="40" s="1"/>
  <c r="AA147" i="40"/>
  <c r="AA149" i="40" s="1"/>
  <c r="AA342" i="40" s="1"/>
  <c r="AT342" i="40" s="1"/>
  <c r="S135" i="40"/>
  <c r="S136" i="40" s="1"/>
  <c r="S127" i="40"/>
  <c r="S144" i="40" s="1"/>
  <c r="S350" i="40" s="1"/>
  <c r="P87" i="40"/>
  <c r="Q79" i="40"/>
  <c r="Q97" i="40" s="1"/>
  <c r="Q349" i="40" s="1"/>
  <c r="P79" i="40"/>
  <c r="P97" i="40" s="1"/>
  <c r="N636" i="46"/>
  <c r="P636" i="46" s="1"/>
  <c r="N643" i="46"/>
  <c r="P643" i="46" s="1"/>
  <c r="L640" i="46"/>
  <c r="AD260" i="46"/>
  <c r="AF260" i="46" s="1"/>
  <c r="AD267" i="46"/>
  <c r="AF267" i="46" s="1"/>
  <c r="AD799" i="46"/>
  <c r="AF799" i="46" s="1"/>
  <c r="AD806" i="46"/>
  <c r="AF806" i="46" s="1"/>
  <c r="AD543" i="46"/>
  <c r="AF543" i="46" s="1"/>
  <c r="AD536" i="46"/>
  <c r="AF536" i="46" s="1"/>
  <c r="AK706" i="46"/>
  <c r="AM706" i="46" s="1"/>
  <c r="AD706" i="46"/>
  <c r="AF706" i="46" s="1"/>
  <c r="AD251" i="46"/>
  <c r="AF251" i="46" s="1"/>
  <c r="AD244" i="46"/>
  <c r="AF244" i="46" s="1"/>
  <c r="AD742" i="46"/>
  <c r="AF742" i="46" s="1"/>
  <c r="AK742" i="46"/>
  <c r="AM749" i="46" s="1"/>
  <c r="AB746" i="46"/>
  <c r="AC79" i="40"/>
  <c r="AB79" i="40"/>
  <c r="AD745" i="46"/>
  <c r="AF745" i="46" s="1"/>
  <c r="N639" i="46"/>
  <c r="L633" i="46"/>
  <c r="N27" i="46"/>
  <c r="AB241" i="46"/>
  <c r="AM752" i="46"/>
  <c r="U26" i="12"/>
  <c r="W33" i="12" s="1"/>
  <c r="AK624" i="46"/>
  <c r="AK799" i="46"/>
  <c r="AF794" i="46"/>
  <c r="AK729" i="46"/>
  <c r="AD736" i="46"/>
  <c r="AF736" i="46" s="1"/>
  <c r="AK536" i="46"/>
  <c r="AM543" i="46" s="1"/>
  <c r="AK467" i="46"/>
  <c r="AD467" i="46"/>
  <c r="AF467" i="46" s="1"/>
  <c r="U730" i="46"/>
  <c r="U732" i="46" s="1"/>
  <c r="AD464" i="46"/>
  <c r="AF464" i="46" s="1"/>
  <c r="AK464" i="46"/>
  <c r="AM464" i="46" s="1"/>
  <c r="AD773" i="46"/>
  <c r="AF773" i="46" s="1"/>
  <c r="AD780" i="46"/>
  <c r="AF780" i="46" s="1"/>
  <c r="U786" i="46"/>
  <c r="W793" i="46" s="1"/>
  <c r="N793" i="46"/>
  <c r="P793" i="46" s="1"/>
  <c r="N216" i="46"/>
  <c r="P216" i="46" s="1"/>
  <c r="U216" i="46"/>
  <c r="U248" i="40"/>
  <c r="U267" i="40" s="1"/>
  <c r="U352" i="40" s="1"/>
  <c r="AK507" i="46"/>
  <c r="AD507" i="46"/>
  <c r="U588" i="46"/>
  <c r="N588" i="46"/>
  <c r="P588" i="46" s="1"/>
  <c r="AH100" i="40"/>
  <c r="AI100" i="40"/>
  <c r="AI102" i="40" s="1"/>
  <c r="AI341" i="40" s="1"/>
  <c r="AK743" i="46"/>
  <c r="AD750" i="46"/>
  <c r="AF750" i="46" s="1"/>
  <c r="AC269" i="40"/>
  <c r="AC247" i="40"/>
  <c r="AC248" i="40" s="1"/>
  <c r="AC251" i="40"/>
  <c r="AC366" i="40" s="1"/>
  <c r="AD250" i="40"/>
  <c r="AD247" i="40" s="1"/>
  <c r="AD265" i="40"/>
  <c r="AD266" i="40" s="1"/>
  <c r="DO80" i="28"/>
  <c r="DP70" i="28"/>
  <c r="R256" i="40"/>
  <c r="R248" i="40"/>
  <c r="R267" i="40" s="1"/>
  <c r="R352" i="40" s="1"/>
  <c r="S248" i="40"/>
  <c r="S267" i="40" s="1"/>
  <c r="S352" i="40" s="1"/>
  <c r="AD127" i="46"/>
  <c r="AK127" i="46"/>
  <c r="AB128" i="46"/>
  <c r="AJ127" i="40"/>
  <c r="AJ144" i="40" s="1"/>
  <c r="DQ74" i="28"/>
  <c r="AJ135" i="40"/>
  <c r="AK643" i="46"/>
  <c r="AD650" i="46"/>
  <c r="AF650" i="46" s="1"/>
  <c r="AB86" i="46"/>
  <c r="T191" i="40"/>
  <c r="S195" i="40"/>
  <c r="S365" i="40" s="1"/>
  <c r="S191" i="40"/>
  <c r="AD523" i="46"/>
  <c r="AF523" i="46" s="1"/>
  <c r="AD530" i="46"/>
  <c r="AF530" i="46" s="1"/>
  <c r="N57" i="12"/>
  <c r="Y191" i="40"/>
  <c r="Y209" i="40" s="1"/>
  <c r="Z195" i="40"/>
  <c r="Z365" i="40" s="1"/>
  <c r="Z191" i="40"/>
  <c r="AA192" i="40" s="1"/>
  <c r="Y195" i="40"/>
  <c r="Y365" i="40" s="1"/>
  <c r="U744" i="46"/>
  <c r="AD201" i="40"/>
  <c r="AF787" i="46"/>
  <c r="AK260" i="46"/>
  <c r="AB121" i="46"/>
  <c r="AD117" i="46"/>
  <c r="AF117" i="46" s="1"/>
  <c r="Z270" i="40"/>
  <c r="Z272" i="40" s="1"/>
  <c r="Z344" i="40" s="1"/>
  <c r="AA270" i="40"/>
  <c r="AA272" i="40" s="1"/>
  <c r="AA344" i="40" s="1"/>
  <c r="AK407" i="46"/>
  <c r="AM407" i="46" s="1"/>
  <c r="P209" i="40"/>
  <c r="N582" i="46"/>
  <c r="P582" i="46" s="1"/>
  <c r="N589" i="46"/>
  <c r="P589" i="46" s="1"/>
  <c r="U582" i="46"/>
  <c r="W589" i="46" s="1"/>
  <c r="R127" i="40"/>
  <c r="R144" i="40" s="1"/>
  <c r="R350" i="40" s="1"/>
  <c r="AI28" i="40"/>
  <c r="AH28" i="40"/>
  <c r="AD805" i="46"/>
  <c r="AF805" i="46" s="1"/>
  <c r="AD812" i="46"/>
  <c r="AF812" i="46" s="1"/>
  <c r="M132" i="40"/>
  <c r="N116" i="40"/>
  <c r="N119" i="40" s="1"/>
  <c r="M377" i="40"/>
  <c r="M400" i="40" s="1"/>
  <c r="M120" i="40"/>
  <c r="M121" i="40" s="1"/>
  <c r="AB184" i="46"/>
  <c r="AK183" i="46"/>
  <c r="DI70" i="28"/>
  <c r="U587" i="46"/>
  <c r="N587" i="46"/>
  <c r="P587" i="46" s="1"/>
  <c r="L583" i="46"/>
  <c r="U572" i="46"/>
  <c r="W579" i="46" s="1"/>
  <c r="N572" i="46"/>
  <c r="L576" i="46"/>
  <c r="AB223" i="40"/>
  <c r="AB225" i="40" s="1"/>
  <c r="AB343" i="40" s="1"/>
  <c r="AA223" i="40"/>
  <c r="AA225" i="40" s="1"/>
  <c r="AA343" i="40" s="1"/>
  <c r="AH154" i="9"/>
  <c r="AJ154" i="9" s="1"/>
  <c r="AD154" i="9"/>
  <c r="U737" i="46"/>
  <c r="N737" i="46"/>
  <c r="P737" i="46" s="1"/>
  <c r="AF138" i="46"/>
  <c r="AB135" i="46"/>
  <c r="AD134" i="46"/>
  <c r="AF134" i="46" s="1"/>
  <c r="U523" i="46"/>
  <c r="N523" i="46"/>
  <c r="P523" i="46" s="1"/>
  <c r="N530" i="46"/>
  <c r="P530" i="46" s="1"/>
  <c r="AF771" i="46"/>
  <c r="AK134" i="46"/>
  <c r="N87" i="40"/>
  <c r="N79" i="40"/>
  <c r="N516" i="46"/>
  <c r="P516" i="46" s="1"/>
  <c r="U516" i="46"/>
  <c r="AD749" i="46"/>
  <c r="AF749" i="46" s="1"/>
  <c r="AD413" i="46"/>
  <c r="AF413" i="46" s="1"/>
  <c r="AB410" i="46"/>
  <c r="AD406" i="46"/>
  <c r="AF406" i="46" s="1"/>
  <c r="AI147" i="40"/>
  <c r="AI149" i="40" s="1"/>
  <c r="AI342" i="40" s="1"/>
  <c r="AJ147" i="40"/>
  <c r="AJ149" i="40" s="1"/>
  <c r="AJ342" i="40" s="1"/>
  <c r="AJ87" i="40"/>
  <c r="AK88" i="40" s="1"/>
  <c r="DQ73" i="28"/>
  <c r="AJ79" i="40"/>
  <c r="AJ97" i="40" s="1"/>
  <c r="AJ349" i="40" s="1"/>
  <c r="T195" i="40"/>
  <c r="T365" i="40" s="1"/>
  <c r="AB539" i="46"/>
  <c r="N744" i="46"/>
  <c r="P744" i="46" s="1"/>
  <c r="AD98" i="46"/>
  <c r="AB100" i="46"/>
  <c r="AD113" i="46"/>
  <c r="AD120" i="46"/>
  <c r="AB114" i="46"/>
  <c r="Z248" i="40"/>
  <c r="Z267" i="40" s="1"/>
  <c r="Z352" i="40" s="1"/>
  <c r="Z256" i="40"/>
  <c r="AK244" i="46"/>
  <c r="Z49" i="9"/>
  <c r="Z42" i="9"/>
  <c r="BA79" i="40"/>
  <c r="BB78" i="40"/>
  <c r="N586" i="46"/>
  <c r="P586" i="46" s="1"/>
  <c r="L590" i="46"/>
  <c r="U586" i="46"/>
  <c r="W586" i="46" s="1"/>
  <c r="DP73" i="28"/>
  <c r="AI79" i="40"/>
  <c r="AI87" i="40"/>
  <c r="DP72" i="28" s="1"/>
  <c r="AB192" i="40"/>
  <c r="AB209" i="40"/>
  <c r="AD124" i="46"/>
  <c r="AF124" i="46" s="1"/>
  <c r="V293" i="40"/>
  <c r="V308" i="40" s="1"/>
  <c r="W293" i="40"/>
  <c r="W308" i="40" s="1"/>
  <c r="V301" i="40"/>
  <c r="AD801" i="46"/>
  <c r="AF801" i="46" s="1"/>
  <c r="AK801" i="46"/>
  <c r="U486" i="45"/>
  <c r="Z822" i="46"/>
  <c r="AB822" i="46" s="1"/>
  <c r="AI345" i="40"/>
  <c r="DP78" i="28"/>
  <c r="AD247" i="46"/>
  <c r="AF247" i="46" s="1"/>
  <c r="Z157" i="37"/>
  <c r="Z180" i="37" s="1"/>
  <c r="Z203" i="37"/>
  <c r="BV202" i="37"/>
  <c r="R201" i="37"/>
  <c r="R155" i="37"/>
  <c r="R178" i="37" s="1"/>
  <c r="AL156" i="37"/>
  <c r="AL179" i="37" s="1"/>
  <c r="AL202" i="37"/>
  <c r="AF315" i="46"/>
  <c r="H126" i="46"/>
  <c r="R213" i="37"/>
  <c r="J161" i="37"/>
  <c r="J184" i="37" s="1"/>
  <c r="N207" i="37"/>
  <c r="N161" i="37"/>
  <c r="N184" i="37" s="1"/>
  <c r="AP198" i="37"/>
  <c r="AP152" i="37"/>
  <c r="AP175" i="37" s="1"/>
  <c r="BJ202" i="37"/>
  <c r="BJ156" i="37"/>
  <c r="BJ179" i="37" s="1"/>
  <c r="V202" i="37"/>
  <c r="V156" i="37"/>
  <c r="V179" i="37" s="1"/>
  <c r="BV211" i="37"/>
  <c r="BV165" i="37"/>
  <c r="BV188" i="37" s="1"/>
  <c r="R151" i="37"/>
  <c r="R174" i="37" s="1"/>
  <c r="H280" i="46"/>
  <c r="BB167" i="37"/>
  <c r="BB190" i="37" s="1"/>
  <c r="BB213" i="37"/>
  <c r="AP201" i="37"/>
  <c r="AP155" i="37"/>
  <c r="AP178" i="37" s="1"/>
  <c r="BJ211" i="37"/>
  <c r="BJ165" i="37"/>
  <c r="BJ188" i="37" s="1"/>
  <c r="BR206" i="37"/>
  <c r="BR160" i="37"/>
  <c r="BR183" i="37" s="1"/>
  <c r="R157" i="37"/>
  <c r="R180" i="37" s="1"/>
  <c r="AX206" i="37"/>
  <c r="AX160" i="37"/>
  <c r="AX183" i="37" s="1"/>
  <c r="AP151" i="37"/>
  <c r="AP174" i="37" s="1"/>
  <c r="AP197" i="37"/>
  <c r="BF161" i="37"/>
  <c r="BF184" i="37" s="1"/>
  <c r="BF207" i="37"/>
  <c r="AD197" i="37"/>
  <c r="AD151" i="37"/>
  <c r="AD174" i="37" s="1"/>
  <c r="AD150" i="37"/>
  <c r="AD173" i="37" s="1"/>
  <c r="AD196" i="37"/>
  <c r="AT201" i="37"/>
  <c r="AT155" i="37"/>
  <c r="AT178" i="37" s="1"/>
  <c r="BB207" i="37"/>
  <c r="BB161" i="37"/>
  <c r="BB184" i="37" s="1"/>
  <c r="V212" i="37"/>
  <c r="V166" i="37"/>
  <c r="V189" i="37" s="1"/>
  <c r="Z198" i="37"/>
  <c r="Z152" i="37"/>
  <c r="Z175" i="37" s="1"/>
  <c r="BB151" i="37"/>
  <c r="BB174" i="37" s="1"/>
  <c r="BB197" i="37"/>
  <c r="BV213" i="37"/>
  <c r="BV167" i="37"/>
  <c r="BV190" i="37" s="1"/>
  <c r="R156" i="37"/>
  <c r="R179" i="37" s="1"/>
  <c r="R202" i="37"/>
  <c r="N152" i="37"/>
  <c r="N175" i="37" s="1"/>
  <c r="N198" i="37"/>
  <c r="AD160" i="37"/>
  <c r="AD183" i="37" s="1"/>
  <c r="AD206" i="37"/>
  <c r="BN203" i="37"/>
  <c r="BN157" i="37"/>
  <c r="BN180" i="37" s="1"/>
  <c r="BR202" i="37"/>
  <c r="BR156" i="37"/>
  <c r="BR179" i="37" s="1"/>
  <c r="BV161" i="37"/>
  <c r="BV184" i="37" s="1"/>
  <c r="BV207" i="37"/>
  <c r="AT197" i="37"/>
  <c r="AT151" i="37"/>
  <c r="AT174" i="37" s="1"/>
  <c r="Z155" i="37"/>
  <c r="Z178" i="37" s="1"/>
  <c r="Z201" i="37"/>
  <c r="BB166" i="37"/>
  <c r="BB189" i="37" s="1"/>
  <c r="BB212" i="37"/>
  <c r="AP208" i="37"/>
  <c r="AP162" i="37"/>
  <c r="AP185" i="37" s="1"/>
  <c r="BB157" i="37"/>
  <c r="BB180" i="37" s="1"/>
  <c r="BB203" i="37"/>
  <c r="AH161" i="37"/>
  <c r="AH184" i="37" s="1"/>
  <c r="AH207" i="37"/>
  <c r="Z150" i="37"/>
  <c r="Z173" i="37" s="1"/>
  <c r="Z196" i="37"/>
  <c r="BJ150" i="37"/>
  <c r="BJ173" i="37" s="1"/>
  <c r="BJ196" i="37"/>
  <c r="AD198" i="37"/>
  <c r="AD152" i="37"/>
  <c r="AD175" i="37" s="1"/>
  <c r="BJ157" i="37"/>
  <c r="BJ180" i="37" s="1"/>
  <c r="BJ203" i="37"/>
  <c r="AD162" i="37"/>
  <c r="AD185" i="37" s="1"/>
  <c r="AD208" i="37"/>
  <c r="AH160" i="37"/>
  <c r="AH183" i="37" s="1"/>
  <c r="AH206" i="37"/>
  <c r="AP150" i="37"/>
  <c r="AP173" i="37" s="1"/>
  <c r="AP196" i="37"/>
  <c r="AX213" i="37"/>
  <c r="AX167" i="37"/>
  <c r="AX190" i="37" s="1"/>
  <c r="AT202" i="37"/>
  <c r="AT156" i="37"/>
  <c r="AT179" i="37" s="1"/>
  <c r="AT211" i="37"/>
  <c r="AT165" i="37"/>
  <c r="AT188" i="37" s="1"/>
  <c r="AJ357" i="40"/>
  <c r="S30" i="98"/>
  <c r="S15" i="98" s="1"/>
  <c r="Q95" i="85"/>
  <c r="Q53" i="85"/>
  <c r="D13" i="99"/>
  <c r="BD58" i="36"/>
  <c r="DO162" i="29"/>
  <c r="BN66" i="40"/>
  <c r="D93" i="46"/>
  <c r="H93" i="46" s="1"/>
  <c r="BP91" i="47"/>
  <c r="BP84" i="47"/>
  <c r="AL175" i="47"/>
  <c r="BO175" i="47" s="1"/>
  <c r="BP206" i="47" s="1"/>
  <c r="BO173" i="47"/>
  <c r="AP173" i="47"/>
  <c r="AR32" i="47"/>
  <c r="AD32" i="47"/>
  <c r="H32" i="47"/>
  <c r="M32" i="47"/>
  <c r="BG32" i="47"/>
  <c r="U32" i="47"/>
  <c r="EI91" i="37"/>
  <c r="EJ22" i="37"/>
  <c r="EI45" i="37" s="1"/>
  <c r="EI68" i="37" s="1"/>
  <c r="T66" i="40"/>
  <c r="S66" i="40"/>
  <c r="S317" i="40"/>
  <c r="BG81" i="47"/>
  <c r="AI668" i="46"/>
  <c r="D417" i="46"/>
  <c r="AI403" i="46"/>
  <c r="AI72" i="46"/>
  <c r="AI802" i="46"/>
  <c r="HX10" i="38"/>
  <c r="HX12" i="38"/>
  <c r="FV13" i="38"/>
  <c r="HX11" i="38"/>
  <c r="GB18" i="38"/>
  <c r="HX16" i="38"/>
  <c r="HX17" i="38"/>
  <c r="DH160" i="47"/>
  <c r="AR160" i="47"/>
  <c r="BQ158" i="47"/>
  <c r="BU158" i="47"/>
  <c r="BP105" i="47"/>
  <c r="BP98" i="47"/>
  <c r="D703" i="46"/>
  <c r="F703" i="46"/>
  <c r="AR33" i="47"/>
  <c r="EJ146" i="47"/>
  <c r="BX32" i="47"/>
  <c r="U81" i="47"/>
  <c r="D424" i="46"/>
  <c r="AR59" i="47"/>
  <c r="M108" i="20"/>
  <c r="M121" i="20" s="1"/>
  <c r="H81" i="47"/>
  <c r="BQ178" i="47"/>
  <c r="AK399" i="46"/>
  <c r="V319" i="40"/>
  <c r="W335" i="40" s="1"/>
  <c r="W160" i="40"/>
  <c r="V225" i="40"/>
  <c r="V343" i="40" s="1"/>
  <c r="T9" i="40"/>
  <c r="BU136" i="47"/>
  <c r="BQ136" i="47"/>
  <c r="AE11" i="40"/>
  <c r="AE13" i="40" s="1"/>
  <c r="AE64" i="40"/>
  <c r="HV17" i="38"/>
  <c r="HV16" i="38"/>
  <c r="HV15" i="38"/>
  <c r="FF18" i="38"/>
  <c r="AL133" i="47"/>
  <c r="BO133" i="47" s="1"/>
  <c r="BW133" i="47" s="1"/>
  <c r="BQ133" i="47" s="1"/>
  <c r="BO181" i="47"/>
  <c r="AL182" i="47"/>
  <c r="BO182" i="47" s="1"/>
  <c r="BW182" i="47" s="1"/>
  <c r="BN182" i="47" s="1"/>
  <c r="E112" i="47"/>
  <c r="E105" i="47"/>
  <c r="BW160" i="47"/>
  <c r="BQ25" i="47"/>
  <c r="DZ81" i="47"/>
  <c r="DY90" i="47"/>
  <c r="D675" i="46"/>
  <c r="H675" i="46" s="1"/>
  <c r="CQ42" i="47"/>
  <c r="BU42" i="47"/>
  <c r="BQ42" i="47"/>
  <c r="BN42" i="47"/>
  <c r="Z11" i="40"/>
  <c r="Z64" i="40"/>
  <c r="BN32" i="47"/>
  <c r="BU32" i="47"/>
  <c r="AD133" i="47"/>
  <c r="U133" i="47"/>
  <c r="M133" i="47"/>
  <c r="H133" i="47"/>
  <c r="HW25" i="38"/>
  <c r="HW27" i="38"/>
  <c r="HW26" i="38"/>
  <c r="FV28" i="38"/>
  <c r="AA336" i="40"/>
  <c r="BN130" i="47"/>
  <c r="BU130" i="47"/>
  <c r="BQ130" i="47"/>
  <c r="AK575" i="46"/>
  <c r="AI576" i="46"/>
  <c r="AD11" i="40"/>
  <c r="AD64" i="40"/>
  <c r="CV112" i="47"/>
  <c r="BN25" i="47"/>
  <c r="AR81" i="47"/>
  <c r="O336" i="40"/>
  <c r="BX178" i="47"/>
  <c r="AF681" i="46"/>
  <c r="D152" i="12"/>
  <c r="H152" i="12" s="1"/>
  <c r="D781" i="46"/>
  <c r="H781" i="46" s="1"/>
  <c r="U59" i="47"/>
  <c r="U8" i="40"/>
  <c r="U9" i="40" s="1"/>
  <c r="M168" i="47"/>
  <c r="DY83" i="47"/>
  <c r="BG168" i="47"/>
  <c r="D625" i="46"/>
  <c r="H625" i="46" s="1"/>
  <c r="D290" i="46"/>
  <c r="H290" i="46" s="1"/>
  <c r="D311" i="46"/>
  <c r="BQ179" i="47"/>
  <c r="BN179" i="47"/>
  <c r="BU179" i="47"/>
  <c r="AD65" i="40"/>
  <c r="BF60" i="40"/>
  <c r="AD87" i="40"/>
  <c r="DK72" i="28" s="1"/>
  <c r="BQ45" i="47"/>
  <c r="BU45" i="47"/>
  <c r="BN45" i="47"/>
  <c r="BX45" i="47"/>
  <c r="BM27" i="47"/>
  <c r="CB27" i="47"/>
  <c r="BG133" i="47"/>
  <c r="Q105" i="20"/>
  <c r="AA318" i="40"/>
  <c r="AA334" i="40" s="1"/>
  <c r="AA114" i="40"/>
  <c r="AA144" i="40" s="1"/>
  <c r="AA350" i="40" s="1"/>
  <c r="V318" i="40"/>
  <c r="W334" i="40" s="1"/>
  <c r="V135" i="40"/>
  <c r="V136" i="40" s="1"/>
  <c r="CQ38" i="47"/>
  <c r="BQ38" i="47"/>
  <c r="BN38" i="47"/>
  <c r="BX52" i="47"/>
  <c r="W636" i="46"/>
  <c r="BU102" i="47"/>
  <c r="BN102" i="47"/>
  <c r="N105" i="20"/>
  <c r="DB84" i="47"/>
  <c r="DC84" i="47"/>
  <c r="N112" i="20" s="1"/>
  <c r="AD140" i="47"/>
  <c r="M140" i="47"/>
  <c r="U140" i="47"/>
  <c r="P140" i="47"/>
  <c r="BK147" i="47"/>
  <c r="H140" i="47"/>
  <c r="BG140" i="47"/>
  <c r="BK140" i="47"/>
  <c r="AI639" i="46"/>
  <c r="AK639" i="46" s="1"/>
  <c r="U639" i="46"/>
  <c r="U640" i="46" s="1"/>
  <c r="U33" i="47"/>
  <c r="M33" i="47"/>
  <c r="BG33" i="47"/>
  <c r="H33" i="47"/>
  <c r="AD33" i="47"/>
  <c r="AI240" i="46"/>
  <c r="D240" i="46"/>
  <c r="H240" i="46" s="1"/>
  <c r="DZ59" i="47"/>
  <c r="BG59" i="47"/>
  <c r="BB168" i="47"/>
  <c r="BP160" i="47"/>
  <c r="BO132" i="47"/>
  <c r="AP132" i="47"/>
  <c r="BU151" i="47"/>
  <c r="BN151" i="47"/>
  <c r="BX151" i="47"/>
  <c r="BQ151" i="47"/>
  <c r="S640" i="46"/>
  <c r="AI739" i="46"/>
  <c r="AK736" i="46"/>
  <c r="AK739" i="46" s="1"/>
  <c r="AP161" i="47"/>
  <c r="AR161" i="47" s="1"/>
  <c r="BK81" i="47"/>
  <c r="FV18" i="38"/>
  <c r="S135" i="12"/>
  <c r="W743" i="46"/>
  <c r="H91" i="12"/>
  <c r="D121" i="12"/>
  <c r="H121" i="12" s="1"/>
  <c r="D69" i="12"/>
  <c r="U336" i="40"/>
  <c r="AD59" i="47"/>
  <c r="T335" i="40"/>
  <c r="CQ46" i="47"/>
  <c r="BN46" i="47"/>
  <c r="R336" i="40"/>
  <c r="Q336" i="40"/>
  <c r="BN26" i="47"/>
  <c r="CQ26" i="47"/>
  <c r="BU26" i="47"/>
  <c r="BQ26" i="47"/>
  <c r="AK515" i="46"/>
  <c r="AI518" i="46"/>
  <c r="BN101" i="47"/>
  <c r="BU101" i="47"/>
  <c r="BX115" i="47"/>
  <c r="BQ101" i="47"/>
  <c r="P133" i="47"/>
  <c r="R317" i="40"/>
  <c r="R333" i="40" s="1"/>
  <c r="R66" i="40"/>
  <c r="D146" i="12"/>
  <c r="H146" i="12" s="1"/>
  <c r="AP166" i="47"/>
  <c r="BO166" i="47"/>
  <c r="AL168" i="47"/>
  <c r="BO168" i="47" s="1"/>
  <c r="S241" i="46"/>
  <c r="D248" i="46" s="1"/>
  <c r="H248" i="46" s="1"/>
  <c r="BQ102" i="47"/>
  <c r="AI753" i="46"/>
  <c r="P66" i="40"/>
  <c r="P317" i="40"/>
  <c r="Q66" i="40"/>
  <c r="M21" i="47"/>
  <c r="AD21" i="47"/>
  <c r="BK21" i="47"/>
  <c r="H21" i="47"/>
  <c r="BK28" i="47"/>
  <c r="U21" i="47"/>
  <c r="AR21" i="47"/>
  <c r="BU88" i="47"/>
  <c r="BQ88" i="47"/>
  <c r="BN88" i="47"/>
  <c r="BK88" i="47"/>
  <c r="CQ25" i="47"/>
  <c r="BP174" i="47"/>
  <c r="AK529" i="46"/>
  <c r="AI532" i="46"/>
  <c r="EJ139" i="47"/>
  <c r="AZ245" i="40"/>
  <c r="AZ236" i="40"/>
  <c r="AZ240" i="40" s="1"/>
  <c r="AZ243" i="40"/>
  <c r="AZ242" i="40"/>
  <c r="FN23" i="38"/>
  <c r="BQ81" i="47"/>
  <c r="D154" i="12"/>
  <c r="H154" i="12" s="1"/>
  <c r="AF154" i="12" s="1"/>
  <c r="D682" i="46"/>
  <c r="H682" i="46" s="1"/>
  <c r="D140" i="12"/>
  <c r="H140" i="12" s="1"/>
  <c r="D114" i="46"/>
  <c r="H114" i="46" s="1"/>
  <c r="HV20" i="38"/>
  <c r="EI90" i="37" s="1"/>
  <c r="BN178" i="47"/>
  <c r="D269" i="46"/>
  <c r="H269" i="46" s="1"/>
  <c r="HX22" i="38"/>
  <c r="HX20" i="38"/>
  <c r="EK90" i="37" s="1"/>
  <c r="EL90" i="37" s="1"/>
  <c r="EM90" i="37" s="1"/>
  <c r="EN90" i="37" s="1"/>
  <c r="EO90" i="37" s="1"/>
  <c r="EP90" i="37" s="1"/>
  <c r="EQ90" i="37" s="1"/>
  <c r="ER90" i="37" s="1"/>
  <c r="O66" i="40"/>
  <c r="O317" i="40"/>
  <c r="O333" i="40" s="1"/>
  <c r="AR39" i="47"/>
  <c r="BG39" i="47"/>
  <c r="AD39" i="47"/>
  <c r="M39" i="47"/>
  <c r="U39" i="47"/>
  <c r="H39" i="47"/>
  <c r="BK39" i="47"/>
  <c r="M38" i="47"/>
  <c r="BK45" i="47"/>
  <c r="BK38" i="47"/>
  <c r="W637" i="46"/>
  <c r="CI34" i="47"/>
  <c r="BT34" i="47"/>
  <c r="W644" i="46"/>
  <c r="EJ174" i="47"/>
  <c r="BQ108" i="47"/>
  <c r="BX108" i="47"/>
  <c r="BN108" i="47"/>
  <c r="DY77" i="47"/>
  <c r="DZ77" i="47"/>
  <c r="M115" i="20" s="1"/>
  <c r="CU84" i="47"/>
  <c r="CU91" i="47"/>
  <c r="N104" i="20"/>
  <c r="CV84" i="47"/>
  <c r="N111" i="20" s="1"/>
  <c r="AG357" i="40"/>
  <c r="AG144" i="40"/>
  <c r="BH115" i="40"/>
  <c r="F311" i="46"/>
  <c r="AD138" i="40" s="1"/>
  <c r="BE115" i="40" s="1"/>
  <c r="U60" i="40"/>
  <c r="U97" i="40" s="1"/>
  <c r="U349" i="40" s="1"/>
  <c r="AD318" i="40"/>
  <c r="T105" i="20"/>
  <c r="BF114" i="40"/>
  <c r="AD8" i="40"/>
  <c r="AD114" i="40"/>
  <c r="AD135" i="40"/>
  <c r="AB320" i="40"/>
  <c r="AB336" i="40" s="1"/>
  <c r="AB256" i="40"/>
  <c r="AB257" i="40" s="1"/>
  <c r="AI155" i="12"/>
  <c r="AK155" i="12" s="1"/>
  <c r="D155" i="12"/>
  <c r="H155" i="12" s="1"/>
  <c r="BU180" i="47"/>
  <c r="BQ131" i="47"/>
  <c r="BN131" i="47"/>
  <c r="BU131" i="47"/>
  <c r="D396" i="46"/>
  <c r="H396" i="46" s="1"/>
  <c r="AE318" i="40"/>
  <c r="AF334" i="40" s="1"/>
  <c r="H161" i="47"/>
  <c r="R106" i="20"/>
  <c r="S156" i="12"/>
  <c r="D618" i="46"/>
  <c r="H618" i="46" s="1"/>
  <c r="H92" i="12"/>
  <c r="AK322" i="46"/>
  <c r="H168" i="47"/>
  <c r="BU122" i="47"/>
  <c r="BN122" i="47"/>
  <c r="BX122" i="47"/>
  <c r="BX129" i="47"/>
  <c r="D72" i="46"/>
  <c r="H72" i="46" s="1"/>
  <c r="BN180" i="47"/>
  <c r="BN165" i="47"/>
  <c r="BU165" i="47"/>
  <c r="BX165" i="47"/>
  <c r="D133" i="12"/>
  <c r="D126" i="12"/>
  <c r="AI126" i="12"/>
  <c r="AF394" i="46"/>
  <c r="S112" i="47"/>
  <c r="AK406" i="46"/>
  <c r="AI410" i="46"/>
  <c r="BN95" i="47"/>
  <c r="BQ95" i="47"/>
  <c r="BX95" i="47"/>
  <c r="BX102" i="47"/>
  <c r="AI159" i="12"/>
  <c r="AK159" i="12" s="1"/>
  <c r="D159" i="12"/>
  <c r="H159" i="12" s="1"/>
  <c r="S163" i="12"/>
  <c r="F163" i="12" s="1"/>
  <c r="BX130" i="47"/>
  <c r="BX123" i="47"/>
  <c r="D304" i="46"/>
  <c r="H304" i="46" s="1"/>
  <c r="AQ90" i="47"/>
  <c r="AQ83" i="47"/>
  <c r="BI83" i="47"/>
  <c r="AR83" i="47" s="1"/>
  <c r="BQ109" i="47"/>
  <c r="BU109" i="47"/>
  <c r="D802" i="46"/>
  <c r="F802" i="46"/>
  <c r="BX109" i="47"/>
  <c r="AF414" i="46"/>
  <c r="D339" i="46"/>
  <c r="BN73" i="47"/>
  <c r="H80" i="47"/>
  <c r="BG80" i="47"/>
  <c r="BK87" i="47"/>
  <c r="AD70" i="47"/>
  <c r="AR70" i="47"/>
  <c r="H70" i="47"/>
  <c r="X159" i="40"/>
  <c r="AG321" i="40"/>
  <c r="AH337" i="40" s="1"/>
  <c r="DZ80" i="47"/>
  <c r="U105" i="20"/>
  <c r="U65" i="40"/>
  <c r="U66" i="40" s="1"/>
  <c r="BG161" i="47"/>
  <c r="AI114" i="46"/>
  <c r="D162" i="12"/>
  <c r="H162" i="12" s="1"/>
  <c r="BK80" i="47"/>
  <c r="U77" i="47"/>
  <c r="CV77" i="47"/>
  <c r="M111" i="20" s="1"/>
  <c r="S77" i="47"/>
  <c r="BK77" i="47"/>
  <c r="BQ116" i="47"/>
  <c r="BU116" i="47"/>
  <c r="BX116" i="47"/>
  <c r="AI717" i="46"/>
  <c r="AM714" i="46"/>
  <c r="AM707" i="46"/>
  <c r="D262" i="46"/>
  <c r="H262" i="46" s="1"/>
  <c r="D560" i="46"/>
  <c r="H560" i="46" s="1"/>
  <c r="BU167" i="47"/>
  <c r="BN167" i="47"/>
  <c r="BU172" i="47"/>
  <c r="BX203" i="47"/>
  <c r="BN172" i="47"/>
  <c r="BX172" i="47"/>
  <c r="EH95" i="37"/>
  <c r="U108" i="47"/>
  <c r="M108" i="47"/>
  <c r="H108" i="47"/>
  <c r="AR108" i="47"/>
  <c r="AD108" i="47"/>
  <c r="BG108" i="47"/>
  <c r="AK792" i="46"/>
  <c r="AI795" i="46"/>
  <c r="BX137" i="47"/>
  <c r="DI84" i="47"/>
  <c r="DI91" i="47"/>
  <c r="N106" i="20"/>
  <c r="F795" i="46"/>
  <c r="D795" i="46"/>
  <c r="BN81" i="47"/>
  <c r="BK168" i="47"/>
  <c r="AD168" i="47"/>
  <c r="BU68" i="47"/>
  <c r="BQ68" i="47"/>
  <c r="BX68" i="47"/>
  <c r="BM83" i="47"/>
  <c r="BW83" i="47"/>
  <c r="BN83" i="47" s="1"/>
  <c r="AI93" i="46"/>
  <c r="AP84" i="47"/>
  <c r="U161" i="47"/>
  <c r="BX81" i="47"/>
  <c r="D166" i="12"/>
  <c r="H166" i="12" s="1"/>
  <c r="V267" i="40"/>
  <c r="V352" i="40" s="1"/>
  <c r="M70" i="47"/>
  <c r="BG60" i="40"/>
  <c r="AE65" i="40"/>
  <c r="AE60" i="40"/>
  <c r="AE97" i="40" s="1"/>
  <c r="AE349" i="40" s="1"/>
  <c r="AE87" i="40"/>
  <c r="BN111" i="47"/>
  <c r="BU111" i="47"/>
  <c r="BQ111" i="47"/>
  <c r="BX111" i="47"/>
  <c r="AK268" i="46"/>
  <c r="AM400" i="46"/>
  <c r="BQ74" i="47"/>
  <c r="BU74" i="47"/>
  <c r="BG182" i="47"/>
  <c r="U182" i="47"/>
  <c r="BK182" i="47"/>
  <c r="M182" i="47"/>
  <c r="AD182" i="47"/>
  <c r="AA209" i="40"/>
  <c r="AA319" i="40"/>
  <c r="Q106" i="20"/>
  <c r="AA160" i="40"/>
  <c r="AB160" i="40"/>
  <c r="BX118" i="47"/>
  <c r="D283" i="46"/>
  <c r="H283" i="46" s="1"/>
  <c r="BQ180" i="47"/>
  <c r="D403" i="46"/>
  <c r="H403" i="46" s="1"/>
  <c r="X63" i="40"/>
  <c r="L91" i="47"/>
  <c r="L84" i="47"/>
  <c r="BL84" i="47"/>
  <c r="BG114" i="40"/>
  <c r="AE135" i="40"/>
  <c r="AE114" i="40"/>
  <c r="AE144" i="40" s="1"/>
  <c r="AE350" i="40" s="1"/>
  <c r="S63" i="47"/>
  <c r="CV63" i="47"/>
  <c r="K111" i="20" s="1"/>
  <c r="D168" i="12"/>
  <c r="H168" i="12" s="1"/>
  <c r="AI161" i="12"/>
  <c r="S84" i="47"/>
  <c r="S91" i="47"/>
  <c r="EI27" i="37"/>
  <c r="AF114" i="40"/>
  <c r="AF144" i="40" s="1"/>
  <c r="BG128" i="40" s="1"/>
  <c r="M161" i="47"/>
  <c r="AI153" i="12"/>
  <c r="D153" i="12"/>
  <c r="H153" i="12" s="1"/>
  <c r="D276" i="46"/>
  <c r="H276" i="46" s="1"/>
  <c r="BQ159" i="47"/>
  <c r="BN159" i="47"/>
  <c r="BU159" i="47"/>
  <c r="F816" i="46"/>
  <c r="AB259" i="40" s="1"/>
  <c r="AB359" i="40" s="1"/>
  <c r="D816" i="46"/>
  <c r="AI311" i="46"/>
  <c r="AK307" i="46"/>
  <c r="AM314" i="46" s="1"/>
  <c r="F410" i="46"/>
  <c r="BU123" i="47"/>
  <c r="BU81" i="47"/>
  <c r="AA337" i="40"/>
  <c r="DZ70" i="47"/>
  <c r="L115" i="20" s="1"/>
  <c r="BU73" i="47"/>
  <c r="BX75" i="47"/>
  <c r="BU108" i="47"/>
  <c r="BX89" i="47"/>
  <c r="BX96" i="47"/>
  <c r="BU95" i="47"/>
  <c r="D809" i="46"/>
  <c r="F809" i="46"/>
  <c r="AA259" i="40" s="1"/>
  <c r="D142" i="46"/>
  <c r="H142" i="46" s="1"/>
  <c r="D149" i="46"/>
  <c r="H149" i="46" s="1"/>
  <c r="AB11" i="40"/>
  <c r="AB13" i="40" s="1"/>
  <c r="AC64" i="40"/>
  <c r="AB64" i="40"/>
  <c r="AI138" i="12"/>
  <c r="D138" i="12"/>
  <c r="H138" i="12" s="1"/>
  <c r="EK21" i="37"/>
  <c r="EJ90" i="37"/>
  <c r="AK614" i="46"/>
  <c r="AI618" i="46"/>
  <c r="AD175" i="47"/>
  <c r="BB175" i="47"/>
  <c r="EI175" i="47"/>
  <c r="EJ175" i="47" s="1"/>
  <c r="M175" i="47"/>
  <c r="U175" i="47"/>
  <c r="H175" i="47"/>
  <c r="BK175" i="47"/>
  <c r="BP112" i="47"/>
  <c r="BX158" i="47"/>
  <c r="BQ66" i="47"/>
  <c r="BX66" i="47"/>
  <c r="DE213" i="47"/>
  <c r="J209" i="47"/>
  <c r="DU19" i="28"/>
  <c r="Q16" i="85"/>
  <c r="DV19" i="28"/>
  <c r="R16" i="85"/>
  <c r="BI21" i="17"/>
  <c r="G238" i="47"/>
  <c r="K44" i="89"/>
  <c r="L44" i="89" s="1"/>
  <c r="DJ238" i="47"/>
  <c r="AH238" i="47"/>
  <c r="AO70" i="40"/>
  <c r="M543" i="45"/>
  <c r="Z370" i="46"/>
  <c r="AB370" i="46" s="1"/>
  <c r="AD377" i="46" s="1"/>
  <c r="BC22" i="17"/>
  <c r="BG23" i="17"/>
  <c r="BI23" i="17" s="1"/>
  <c r="AY38" i="17"/>
  <c r="H42" i="12"/>
  <c r="AH23" i="38"/>
  <c r="H33" i="12"/>
  <c r="P33" i="12" s="1"/>
  <c r="Z13" i="38"/>
  <c r="F119" i="85"/>
  <c r="G136" i="85"/>
  <c r="G162" i="85" s="1"/>
  <c r="AG81" i="17"/>
  <c r="L22" i="9"/>
  <c r="P32" i="28"/>
  <c r="P43" i="28" s="1"/>
  <c r="L78" i="9"/>
  <c r="CE17" i="28"/>
  <c r="CE32" i="28" s="1"/>
  <c r="M102" i="85"/>
  <c r="M60" i="85"/>
  <c r="G32" i="85"/>
  <c r="BK17" i="28"/>
  <c r="M78" i="85"/>
  <c r="M175" i="85" s="1"/>
  <c r="CJ17" i="28"/>
  <c r="CJ36" i="28"/>
  <c r="CJ61" i="28" s="1"/>
  <c r="C91" i="85"/>
  <c r="C93" i="85" s="1"/>
  <c r="C133" i="85"/>
  <c r="C135" i="85" s="1"/>
  <c r="C49" i="85"/>
  <c r="CT28" i="38"/>
  <c r="H99" i="12"/>
  <c r="AH13" i="38"/>
  <c r="H40" i="12"/>
  <c r="AB36" i="28"/>
  <c r="AB17" i="28"/>
  <c r="AG49" i="28" s="1"/>
  <c r="G94" i="85"/>
  <c r="CG17" i="28"/>
  <c r="CG32" i="28" s="1"/>
  <c r="CG43" i="28" s="1"/>
  <c r="L155" i="9"/>
  <c r="P49" i="28"/>
  <c r="AH49" i="28"/>
  <c r="AH27" i="28"/>
  <c r="C144" i="85"/>
  <c r="A203" i="9"/>
  <c r="A112" i="9"/>
  <c r="A91" i="9"/>
  <c r="A189" i="9"/>
  <c r="A175" i="9"/>
  <c r="A196" i="9"/>
  <c r="A98" i="9"/>
  <c r="A84" i="9"/>
  <c r="A154" i="9"/>
  <c r="A119" i="9"/>
  <c r="A182" i="9"/>
  <c r="A168" i="9"/>
  <c r="A140" i="9"/>
  <c r="A161" i="9"/>
  <c r="A133" i="9"/>
  <c r="A126" i="9"/>
  <c r="A105" i="9"/>
  <c r="A147" i="9"/>
  <c r="D39" i="85"/>
  <c r="E39" i="85"/>
  <c r="D32" i="85"/>
  <c r="HT23" i="38"/>
  <c r="DX234" i="47"/>
  <c r="DZ234" i="47" s="1"/>
  <c r="AI121" i="12"/>
  <c r="D100" i="12"/>
  <c r="H100" i="12" s="1"/>
  <c r="HS18" i="38"/>
  <c r="BU36" i="28"/>
  <c r="BU17" i="28"/>
  <c r="BZ49" i="28" s="1"/>
  <c r="AI23" i="12"/>
  <c r="AK20" i="12"/>
  <c r="AX21" i="28"/>
  <c r="AX38" i="28"/>
  <c r="AX32" i="28"/>
  <c r="BC84" i="17"/>
  <c r="BC85" i="17"/>
  <c r="AQ21" i="28"/>
  <c r="AQ38" i="28"/>
  <c r="AQ32" i="28"/>
  <c r="DY233" i="47"/>
  <c r="D93" i="12"/>
  <c r="K21" i="28"/>
  <c r="K25" i="28" s="1"/>
  <c r="DC37" i="28"/>
  <c r="AS40" i="28"/>
  <c r="H36" i="28"/>
  <c r="H17" i="28"/>
  <c r="H117" i="12"/>
  <c r="CT13" i="38"/>
  <c r="H96" i="12"/>
  <c r="R18" i="38"/>
  <c r="H27" i="12"/>
  <c r="J56" i="20"/>
  <c r="J54" i="20"/>
  <c r="J51" i="20"/>
  <c r="AO32" i="28"/>
  <c r="AO43" i="28" s="1"/>
  <c r="AO21" i="28"/>
  <c r="AO38" i="28"/>
  <c r="BZ32" i="28"/>
  <c r="BZ21" i="28"/>
  <c r="BZ38" i="28"/>
  <c r="N52" i="85"/>
  <c r="N94" i="85"/>
  <c r="BB43" i="28"/>
  <c r="DG13" i="28"/>
  <c r="DG37" i="28"/>
  <c r="DE13" i="28"/>
  <c r="DE36" i="28" s="1"/>
  <c r="DE46" i="28"/>
  <c r="L38" i="20"/>
  <c r="L50" i="20"/>
  <c r="L144" i="20"/>
  <c r="L145" i="20" s="1"/>
  <c r="R25" i="28"/>
  <c r="R41" i="28"/>
  <c r="R40" i="28"/>
  <c r="AG21" i="28"/>
  <c r="AG32" i="28"/>
  <c r="DR10" i="28"/>
  <c r="AA81" i="20"/>
  <c r="BC77" i="17"/>
  <c r="AJ11" i="20"/>
  <c r="CK54" i="28"/>
  <c r="N8" i="85"/>
  <c r="C36" i="28"/>
  <c r="C17" i="28"/>
  <c r="H63" i="12"/>
  <c r="BF23" i="38"/>
  <c r="P38" i="20"/>
  <c r="AE70" i="17"/>
  <c r="P77" i="20"/>
  <c r="P78" i="20" s="1"/>
  <c r="P144" i="20"/>
  <c r="P145" i="20" s="1"/>
  <c r="Z43" i="40"/>
  <c r="Z44" i="40" s="1"/>
  <c r="DH39" i="28"/>
  <c r="CY39" i="28"/>
  <c r="BA32" i="28"/>
  <c r="BA38" i="28"/>
  <c r="BA21" i="28"/>
  <c r="DZ233" i="47"/>
  <c r="CM36" i="28"/>
  <c r="AE21" i="28"/>
  <c r="AE40" i="28" s="1"/>
  <c r="D21" i="28"/>
  <c r="D40" i="28" s="1"/>
  <c r="D38" i="28"/>
  <c r="K38" i="28"/>
  <c r="AX49" i="28"/>
  <c r="Z28" i="38"/>
  <c r="H36" i="12"/>
  <c r="E174" i="85"/>
  <c r="E120" i="85"/>
  <c r="E182" i="85"/>
  <c r="E183" i="85" s="1"/>
  <c r="E78" i="85"/>
  <c r="S23" i="82"/>
  <c r="AA23" i="82" s="1"/>
  <c r="H120" i="12"/>
  <c r="H49" i="12"/>
  <c r="AP23" i="38"/>
  <c r="DU20" i="28"/>
  <c r="AE43" i="20"/>
  <c r="AQ49" i="28"/>
  <c r="AL32" i="28"/>
  <c r="AL38" i="28"/>
  <c r="AL49" i="28"/>
  <c r="AL21" i="28"/>
  <c r="BW36" i="28"/>
  <c r="BW17" i="28"/>
  <c r="BH32" i="28"/>
  <c r="BH21" i="28"/>
  <c r="BH38" i="28"/>
  <c r="P12" i="20"/>
  <c r="D99" i="85"/>
  <c r="D57" i="85"/>
  <c r="D141" i="85"/>
  <c r="I144" i="20"/>
  <c r="I145" i="20" s="1"/>
  <c r="I38" i="20"/>
  <c r="I50" i="20"/>
  <c r="CA25" i="28"/>
  <c r="CA42" i="28" s="1"/>
  <c r="CA41" i="28"/>
  <c r="N95" i="85"/>
  <c r="N53" i="85"/>
  <c r="N137" i="85"/>
  <c r="AE38" i="28"/>
  <c r="AE32" i="28"/>
  <c r="I137" i="85"/>
  <c r="I53" i="85"/>
  <c r="I95" i="85"/>
  <c r="I8" i="85"/>
  <c r="P141" i="85"/>
  <c r="U38" i="28"/>
  <c r="U32" i="28"/>
  <c r="U43" i="28" s="1"/>
  <c r="CM17" i="28"/>
  <c r="C11" i="82" s="1"/>
  <c r="I11" i="82" s="1"/>
  <c r="U21" i="28"/>
  <c r="U40" i="28" s="1"/>
  <c r="K32" i="28"/>
  <c r="K43" i="28" s="1"/>
  <c r="AI100" i="12"/>
  <c r="BP21" i="28"/>
  <c r="BP41" i="28" s="1"/>
  <c r="A144" i="9"/>
  <c r="A137" i="9"/>
  <c r="A151" i="9"/>
  <c r="A165" i="9"/>
  <c r="A193" i="9"/>
  <c r="A109" i="9"/>
  <c r="A102" i="9"/>
  <c r="A123" i="9"/>
  <c r="A116" i="9"/>
  <c r="A186" i="9"/>
  <c r="A172" i="9"/>
  <c r="A95" i="9"/>
  <c r="A130" i="9"/>
  <c r="A179" i="9"/>
  <c r="A200" i="9"/>
  <c r="A158" i="9"/>
  <c r="A88" i="9"/>
  <c r="H104" i="12"/>
  <c r="B51" i="20"/>
  <c r="B56" i="20"/>
  <c r="E42" i="28"/>
  <c r="DA48" i="28"/>
  <c r="CZ48" i="28"/>
  <c r="CZ37" i="28"/>
  <c r="H120" i="85"/>
  <c r="H174" i="85"/>
  <c r="H78" i="85"/>
  <c r="AM41" i="28"/>
  <c r="AM40" i="28"/>
  <c r="AM25" i="28"/>
  <c r="AS42" i="28"/>
  <c r="AS27" i="28"/>
  <c r="P40" i="28"/>
  <c r="Q99" i="85"/>
  <c r="Q57" i="85"/>
  <c r="Q141" i="85"/>
  <c r="CF25" i="28"/>
  <c r="CF42" i="28" s="1"/>
  <c r="CF40" i="28"/>
  <c r="BX43" i="28"/>
  <c r="BX51" i="28"/>
  <c r="BG35" i="47"/>
  <c r="AR35" i="47"/>
  <c r="H35" i="47"/>
  <c r="AD35" i="47"/>
  <c r="BK35" i="47"/>
  <c r="M35" i="47"/>
  <c r="BK42" i="47"/>
  <c r="AI212" i="46"/>
  <c r="AI213" i="46" s="1"/>
  <c r="S213" i="46"/>
  <c r="D220" i="46" s="1"/>
  <c r="H220" i="46" s="1"/>
  <c r="D219" i="46"/>
  <c r="H219" i="46" s="1"/>
  <c r="U212" i="46"/>
  <c r="AK730" i="46"/>
  <c r="AI732" i="46"/>
  <c r="AQ41" i="47"/>
  <c r="BI34" i="47"/>
  <c r="AR34" i="47" s="1"/>
  <c r="BQ35" i="47"/>
  <c r="BU35" i="47"/>
  <c r="BX35" i="47"/>
  <c r="BN35" i="47"/>
  <c r="BX42" i="47"/>
  <c r="CQ35" i="47"/>
  <c r="BU39" i="47"/>
  <c r="BQ39" i="47"/>
  <c r="BN39" i="47"/>
  <c r="BX39" i="47"/>
  <c r="BX46" i="47"/>
  <c r="CQ39" i="47"/>
  <c r="BQ28" i="47"/>
  <c r="BU28" i="47"/>
  <c r="BN28" i="47"/>
  <c r="EK91" i="37"/>
  <c r="S50" i="12"/>
  <c r="D57" i="12" s="1"/>
  <c r="AI107" i="46"/>
  <c r="AK104" i="46"/>
  <c r="D113" i="12"/>
  <c r="U106" i="12"/>
  <c r="D106" i="12"/>
  <c r="AI106" i="12"/>
  <c r="AK106" i="12" s="1"/>
  <c r="S9" i="40"/>
  <c r="R12" i="40"/>
  <c r="R321" i="40" s="1"/>
  <c r="U160" i="40"/>
  <c r="U319" i="40"/>
  <c r="V160" i="40"/>
  <c r="U209" i="40"/>
  <c r="CV154" i="47"/>
  <c r="S154" i="47"/>
  <c r="HS28" i="38"/>
  <c r="AI304" i="46"/>
  <c r="AK301" i="46"/>
  <c r="AM308" i="46" s="1"/>
  <c r="EJ11" i="37"/>
  <c r="EJ34" i="37" s="1"/>
  <c r="AF60" i="40"/>
  <c r="BH60" i="40"/>
  <c r="AF8" i="40"/>
  <c r="AT59" i="40"/>
  <c r="AF65" i="40"/>
  <c r="BX31" i="47"/>
  <c r="BU31" i="47"/>
  <c r="BQ31" i="47"/>
  <c r="CQ31" i="47"/>
  <c r="BN31" i="47"/>
  <c r="BX38" i="47"/>
  <c r="AI124" i="12"/>
  <c r="D124" i="12"/>
  <c r="D131" i="12"/>
  <c r="AI255" i="46"/>
  <c r="AK251" i="46"/>
  <c r="BF91" i="47"/>
  <c r="DV84" i="47"/>
  <c r="N114" i="20" s="1"/>
  <c r="BF84" i="47"/>
  <c r="DY84" i="47"/>
  <c r="DY91" i="47"/>
  <c r="EE84" i="47"/>
  <c r="I206" i="47"/>
  <c r="CY206" i="47" s="1"/>
  <c r="CY204" i="47"/>
  <c r="BG119" i="47"/>
  <c r="AB36" i="40"/>
  <c r="DY70" i="47"/>
  <c r="BU77" i="47"/>
  <c r="BN77" i="47"/>
  <c r="DF75" i="28"/>
  <c r="X60" i="40"/>
  <c r="X102" i="40"/>
  <c r="X341" i="40" s="1"/>
  <c r="AZ60" i="40"/>
  <c r="AD119" i="47"/>
  <c r="V336" i="40"/>
  <c r="W336" i="40"/>
  <c r="M63" i="47"/>
  <c r="AF337" i="40"/>
  <c r="AT321" i="40"/>
  <c r="S36" i="28"/>
  <c r="S17" i="28"/>
  <c r="HQ18" i="38"/>
  <c r="O98" i="85"/>
  <c r="H105" i="12"/>
  <c r="HR23" i="38"/>
  <c r="HT13" i="38"/>
  <c r="BG32" i="28"/>
  <c r="BG21" i="28"/>
  <c r="BG49" i="28"/>
  <c r="BG38" i="28"/>
  <c r="E11" i="85"/>
  <c r="E133" i="85"/>
  <c r="E49" i="85"/>
  <c r="E51" i="85" s="1"/>
  <c r="E71" i="85" s="1"/>
  <c r="E91" i="85"/>
  <c r="E93" i="85" s="1"/>
  <c r="F120" i="85"/>
  <c r="F174" i="85"/>
  <c r="F78" i="85"/>
  <c r="H118" i="12"/>
  <c r="H97" i="12"/>
  <c r="CT18" i="38"/>
  <c r="L144" i="85"/>
  <c r="L102" i="85"/>
  <c r="L60" i="85"/>
  <c r="L176" i="9"/>
  <c r="L169" i="9"/>
  <c r="DY206" i="47"/>
  <c r="M152" i="85"/>
  <c r="M150" i="85" s="1"/>
  <c r="M66" i="85"/>
  <c r="AK13" i="12"/>
  <c r="AI16" i="12"/>
  <c r="BD38" i="28"/>
  <c r="BD49" i="28"/>
  <c r="BD32" i="28"/>
  <c r="H112" i="12"/>
  <c r="AM176" i="9"/>
  <c r="R176" i="9"/>
  <c r="CH54" i="28" s="1"/>
  <c r="DS10" i="28"/>
  <c r="Y36" i="28"/>
  <c r="Y17" i="28"/>
  <c r="DD48" i="28"/>
  <c r="DC17" i="28"/>
  <c r="O140" i="85"/>
  <c r="O8" i="85"/>
  <c r="O49" i="85" s="1"/>
  <c r="L92" i="9"/>
  <c r="AT32" i="28"/>
  <c r="AT49" i="28"/>
  <c r="AT21" i="28"/>
  <c r="AY49" i="28"/>
  <c r="AT38" i="28"/>
  <c r="BV38" i="28"/>
  <c r="BV21" i="28"/>
  <c r="BV32" i="28"/>
  <c r="BV49" i="28"/>
  <c r="CA49" i="28"/>
  <c r="CG38" i="28"/>
  <c r="CL21" i="28"/>
  <c r="CL32" i="28"/>
  <c r="CL38" i="28"/>
  <c r="CL63" i="28" s="1"/>
  <c r="HQ13" i="38"/>
  <c r="CL18" i="38"/>
  <c r="H90" i="12"/>
  <c r="CB17" i="28"/>
  <c r="CB36" i="28"/>
  <c r="BL36" i="28"/>
  <c r="BL17" i="28"/>
  <c r="BC36" i="28"/>
  <c r="BC17" i="28"/>
  <c r="O95" i="85"/>
  <c r="O137" i="85"/>
  <c r="O53" i="85"/>
  <c r="O99" i="85"/>
  <c r="O57" i="85"/>
  <c r="O141" i="85"/>
  <c r="I6" i="82"/>
  <c r="H6" i="82"/>
  <c r="J6" i="82"/>
  <c r="I8" i="82"/>
  <c r="J8" i="82"/>
  <c r="L8" i="82"/>
  <c r="L9" i="82" s="1"/>
  <c r="M363" i="45"/>
  <c r="L545" i="45"/>
  <c r="M544" i="45"/>
  <c r="Z371" i="46"/>
  <c r="K362" i="45"/>
  <c r="AL31" i="40"/>
  <c r="AL27" i="40"/>
  <c r="AL46" i="40"/>
  <c r="J544" i="45"/>
  <c r="K544" i="45" s="1"/>
  <c r="DR160" i="29"/>
  <c r="CT28" i="28" s="1"/>
  <c r="O108" i="85"/>
  <c r="O153" i="85" s="1"/>
  <c r="O151" i="85"/>
  <c r="I9" i="82"/>
  <c r="J9" i="82"/>
  <c r="H9" i="82"/>
  <c r="U144" i="20"/>
  <c r="U145" i="20" s="1"/>
  <c r="U50" i="20"/>
  <c r="U54" i="20" s="1"/>
  <c r="DL82" i="28" s="1"/>
  <c r="U77" i="20"/>
  <c r="AQ70" i="17"/>
  <c r="AM601" i="46"/>
  <c r="BM182" i="47"/>
  <c r="D364" i="46"/>
  <c r="H364" i="46" s="1"/>
  <c r="AI364" i="46"/>
  <c r="AK364" i="46" s="1"/>
  <c r="S202" i="12"/>
  <c r="AG8" i="40"/>
  <c r="BI60" i="40"/>
  <c r="AG60" i="40"/>
  <c r="AG65" i="40"/>
  <c r="AU77" i="45"/>
  <c r="B259" i="45"/>
  <c r="B441" i="45" s="1"/>
  <c r="B218" i="45"/>
  <c r="B400" i="45" s="1"/>
  <c r="AU36" i="45"/>
  <c r="W53" i="20"/>
  <c r="P56" i="22"/>
  <c r="P59" i="22" s="1"/>
  <c r="AB819" i="46"/>
  <c r="BE66" i="40"/>
  <c r="AD18" i="40"/>
  <c r="AI660" i="46"/>
  <c r="D667" i="46"/>
  <c r="H667" i="46" s="1"/>
  <c r="S661" i="46"/>
  <c r="D660" i="46"/>
  <c r="H660" i="46" s="1"/>
  <c r="AB686" i="46"/>
  <c r="AD693" i="46" s="1"/>
  <c r="AF693" i="46" s="1"/>
  <c r="AB687" i="46"/>
  <c r="AB509" i="46"/>
  <c r="AB508" i="46"/>
  <c r="EJ143" i="47"/>
  <c r="EJ150" i="47"/>
  <c r="D646" i="46"/>
  <c r="H646" i="46" s="1"/>
  <c r="AI646" i="46"/>
  <c r="S647" i="46"/>
  <c r="U646" i="46"/>
  <c r="D653" i="46"/>
  <c r="H653" i="46" s="1"/>
  <c r="B237" i="45"/>
  <c r="B419" i="45" s="1"/>
  <c r="AU55" i="45"/>
  <c r="AB608" i="46"/>
  <c r="AB609" i="46"/>
  <c r="AK651" i="46"/>
  <c r="AM658" i="46" s="1"/>
  <c r="AD651" i="46"/>
  <c r="AF651" i="46" s="1"/>
  <c r="X78" i="40"/>
  <c r="W78" i="40"/>
  <c r="X82" i="40"/>
  <c r="X363" i="40" s="1"/>
  <c r="W82" i="40"/>
  <c r="W363" i="40" s="1"/>
  <c r="J466" i="46"/>
  <c r="L466" i="46" s="1"/>
  <c r="X164" i="45"/>
  <c r="AR48" i="45"/>
  <c r="J55" i="12"/>
  <c r="AR54" i="45"/>
  <c r="D103" i="12"/>
  <c r="AI103" i="12"/>
  <c r="S107" i="12"/>
  <c r="D110" i="12"/>
  <c r="S34" i="47"/>
  <c r="S41" i="47"/>
  <c r="AQ80" i="28"/>
  <c r="AB138" i="12"/>
  <c r="AP47" i="34"/>
  <c r="AM41" i="34"/>
  <c r="AQ41" i="34"/>
  <c r="AL47" i="34"/>
  <c r="AB219" i="46"/>
  <c r="AB223" i="46"/>
  <c r="AB580" i="46"/>
  <c r="AK580" i="46" s="1"/>
  <c r="AM580" i="46" s="1"/>
  <c r="AB581" i="46"/>
  <c r="Y164" i="40"/>
  <c r="Y17" i="40" s="1"/>
  <c r="AZ162" i="40"/>
  <c r="Q334" i="40"/>
  <c r="R334" i="40"/>
  <c r="AY78" i="17"/>
  <c r="DP14" i="28"/>
  <c r="DQ48" i="28" s="1"/>
  <c r="L12" i="85"/>
  <c r="M39" i="85" s="1"/>
  <c r="Y37" i="20"/>
  <c r="F22" i="89"/>
  <c r="E26" i="89"/>
  <c r="Y22" i="89"/>
  <c r="J22" i="89"/>
  <c r="E11" i="89"/>
  <c r="F18" i="89" s="1"/>
  <c r="J12" i="89"/>
  <c r="E9" i="89"/>
  <c r="E8" i="89"/>
  <c r="Y12" i="89"/>
  <c r="E10" i="89"/>
  <c r="Y29" i="89"/>
  <c r="F29" i="89"/>
  <c r="E33" i="89"/>
  <c r="Y30" i="89"/>
  <c r="F30" i="89"/>
  <c r="BQ94" i="47"/>
  <c r="BN94" i="47"/>
  <c r="BX136" i="47"/>
  <c r="BX94" i="47"/>
  <c r="BX101" i="47"/>
  <c r="CP41" i="47"/>
  <c r="CP34" i="47"/>
  <c r="B325" i="45"/>
  <c r="B507" i="45" s="1"/>
  <c r="AU143" i="45"/>
  <c r="AU132" i="45"/>
  <c r="B314" i="45"/>
  <c r="B496" i="45" s="1"/>
  <c r="BV212" i="37"/>
  <c r="BV166" i="37"/>
  <c r="BV189" i="37" s="1"/>
  <c r="N165" i="37"/>
  <c r="N188" i="37" s="1"/>
  <c r="N211" i="37"/>
  <c r="BN207" i="37"/>
  <c r="BN161" i="37"/>
  <c r="BN184" i="37" s="1"/>
  <c r="BB201" i="37"/>
  <c r="BB155" i="37"/>
  <c r="BB178" i="37" s="1"/>
  <c r="BV196" i="37"/>
  <c r="BV150" i="37"/>
  <c r="BV173" i="37" s="1"/>
  <c r="HR28" i="38"/>
  <c r="D225" i="29"/>
  <c r="D230" i="29"/>
  <c r="D224" i="29"/>
  <c r="BC125" i="29"/>
  <c r="BC115" i="29"/>
  <c r="BH115" i="29"/>
  <c r="BD115" i="29"/>
  <c r="BW116" i="29"/>
  <c r="BW126" i="29"/>
  <c r="CY115" i="29"/>
  <c r="DD115" i="29"/>
  <c r="CZ115" i="29"/>
  <c r="EM17" i="37"/>
  <c r="EL86" i="37"/>
  <c r="R183" i="9"/>
  <c r="AM183" i="9"/>
  <c r="N47" i="89"/>
  <c r="O43" i="89"/>
  <c r="AF43" i="89"/>
  <c r="AG43" i="89" s="1"/>
  <c r="R165" i="9"/>
  <c r="AM165" i="9"/>
  <c r="J169" i="9"/>
  <c r="R152" i="9"/>
  <c r="AM152" i="9"/>
  <c r="J155" i="9"/>
  <c r="R32" i="9"/>
  <c r="AR525" i="45"/>
  <c r="Z187" i="12"/>
  <c r="CT80" i="28" s="1"/>
  <c r="Z112" i="12"/>
  <c r="AR461" i="45"/>
  <c r="AK685" i="46"/>
  <c r="AD685" i="46"/>
  <c r="AF685" i="46" s="1"/>
  <c r="AR35" i="45"/>
  <c r="AR41" i="45"/>
  <c r="J40" i="12"/>
  <c r="CE84" i="29"/>
  <c r="T43" i="20"/>
  <c r="CY66" i="29"/>
  <c r="DD66" i="29"/>
  <c r="CH215" i="29"/>
  <c r="CI215" i="29" s="1"/>
  <c r="CH220" i="29"/>
  <c r="CI210" i="29"/>
  <c r="CH213" i="29"/>
  <c r="CI213" i="29" s="1"/>
  <c r="DZ137" i="47"/>
  <c r="EA137" i="47"/>
  <c r="DY137" i="47"/>
  <c r="DX140" i="47"/>
  <c r="DY144" i="47"/>
  <c r="CJ64" i="29"/>
  <c r="CE64" i="29"/>
  <c r="CF64" i="29"/>
  <c r="D161" i="46"/>
  <c r="H161" i="46" s="1"/>
  <c r="S175" i="12"/>
  <c r="D154" i="46"/>
  <c r="H154" i="46" s="1"/>
  <c r="AI154" i="46"/>
  <c r="AK154" i="46" s="1"/>
  <c r="S156" i="46"/>
  <c r="BK160" i="47"/>
  <c r="U125" i="47"/>
  <c r="BK125" i="47"/>
  <c r="BK132" i="47"/>
  <c r="M125" i="47"/>
  <c r="EN28" i="38"/>
  <c r="DZ125" i="47"/>
  <c r="P125" i="47"/>
  <c r="BG125" i="47"/>
  <c r="H125" i="47"/>
  <c r="BI126" i="47"/>
  <c r="AD125" i="47"/>
  <c r="BM167" i="47"/>
  <c r="BM132" i="47"/>
  <c r="BM125" i="47"/>
  <c r="AD54" i="47"/>
  <c r="BK54" i="47"/>
  <c r="BG54" i="47"/>
  <c r="H54" i="47"/>
  <c r="AR54" i="47"/>
  <c r="U54" i="47"/>
  <c r="M54" i="47"/>
  <c r="BF56" i="47"/>
  <c r="BF49" i="47"/>
  <c r="BI49" i="47"/>
  <c r="BG49" i="47" s="1"/>
  <c r="BP27" i="47"/>
  <c r="BW27" i="47"/>
  <c r="BQ27" i="47" s="1"/>
  <c r="CE27" i="47"/>
  <c r="BP34" i="47"/>
  <c r="AI135" i="46"/>
  <c r="AK131" i="46"/>
  <c r="U40" i="46"/>
  <c r="N40" i="46"/>
  <c r="P40" i="46" s="1"/>
  <c r="L44" i="46"/>
  <c r="N47" i="46"/>
  <c r="P47" i="46" s="1"/>
  <c r="J166" i="37"/>
  <c r="J189" i="37" s="1"/>
  <c r="J212" i="37"/>
  <c r="V151" i="37"/>
  <c r="V174" i="37" s="1"/>
  <c r="V197" i="37"/>
  <c r="BG114" i="29"/>
  <c r="BG124" i="29"/>
  <c r="BW133" i="29"/>
  <c r="BV153" i="29"/>
  <c r="BV143" i="29"/>
  <c r="CH141" i="29"/>
  <c r="AC65" i="40"/>
  <c r="AC60" i="40"/>
  <c r="BE60" i="40"/>
  <c r="AD60" i="40"/>
  <c r="AC87" i="40"/>
  <c r="AC102" i="40"/>
  <c r="AC341" i="40" s="1"/>
  <c r="EH44" i="37"/>
  <c r="CF27" i="28"/>
  <c r="DG141" i="29"/>
  <c r="L137" i="85"/>
  <c r="L95" i="85"/>
  <c r="L53" i="85"/>
  <c r="L8" i="85"/>
  <c r="D68" i="20"/>
  <c r="S174" i="29"/>
  <c r="O174" i="29"/>
  <c r="DL16" i="28"/>
  <c r="BR44" i="29"/>
  <c r="AQ81" i="17"/>
  <c r="AQ82" i="17"/>
  <c r="BX74" i="47"/>
  <c r="BU67" i="47"/>
  <c r="BN67" i="47"/>
  <c r="BX67" i="47"/>
  <c r="AU61" i="45"/>
  <c r="B243" i="45"/>
  <c r="B425" i="45" s="1"/>
  <c r="D360" i="46"/>
  <c r="F360" i="46"/>
  <c r="AK138" i="40" s="1"/>
  <c r="AL166" i="37"/>
  <c r="AL189" i="37" s="1"/>
  <c r="AL212" i="37"/>
  <c r="J208" i="37"/>
  <c r="J162" i="37"/>
  <c r="J185" i="37" s="1"/>
  <c r="BR155" i="37"/>
  <c r="BR178" i="37" s="1"/>
  <c r="BR201" i="37"/>
  <c r="N150" i="37"/>
  <c r="N173" i="37" s="1"/>
  <c r="N196" i="37"/>
  <c r="BR152" i="29"/>
  <c r="CA152" i="29" s="1"/>
  <c r="BW132" i="29"/>
  <c r="BR142" i="29"/>
  <c r="BW142" i="29" s="1"/>
  <c r="AM140" i="29"/>
  <c r="AL145" i="29"/>
  <c r="BG222" i="29"/>
  <c r="BB232" i="29"/>
  <c r="V121" i="20"/>
  <c r="AB176" i="46"/>
  <c r="X147" i="40"/>
  <c r="W147" i="40"/>
  <c r="W149" i="40" s="1"/>
  <c r="W342" i="40" s="1"/>
  <c r="AB680" i="46"/>
  <c r="AB679" i="46"/>
  <c r="K442" i="45"/>
  <c r="K448" i="45"/>
  <c r="Z69" i="46"/>
  <c r="AQ442" i="45"/>
  <c r="AR448" i="45" s="1"/>
  <c r="U270" i="40"/>
  <c r="U272" i="40" s="1"/>
  <c r="U344" i="40" s="1"/>
  <c r="T270" i="40"/>
  <c r="T272" i="40" s="1"/>
  <c r="T344" i="40" s="1"/>
  <c r="AB652" i="46"/>
  <c r="AB653" i="46"/>
  <c r="AD660" i="46" s="1"/>
  <c r="BG221" i="29"/>
  <c r="BB231" i="29"/>
  <c r="BB225" i="29"/>
  <c r="BC225" i="29" s="1"/>
  <c r="AD46" i="40"/>
  <c r="AE27" i="40"/>
  <c r="AE31" i="40"/>
  <c r="AE367" i="40" s="1"/>
  <c r="AD31" i="40"/>
  <c r="AD367" i="40" s="1"/>
  <c r="AD27" i="40"/>
  <c r="AX203" i="37"/>
  <c r="AX157" i="37"/>
  <c r="AX180" i="37" s="1"/>
  <c r="AL201" i="37"/>
  <c r="AL155" i="37"/>
  <c r="AL178" i="37" s="1"/>
  <c r="BF198" i="37"/>
  <c r="BF152" i="37"/>
  <c r="BF175" i="37" s="1"/>
  <c r="AT150" i="37"/>
  <c r="AT173" i="37" s="1"/>
  <c r="AT196" i="37"/>
  <c r="R152" i="37"/>
  <c r="R175" i="37" s="1"/>
  <c r="R198" i="37"/>
  <c r="AR467" i="45"/>
  <c r="W130" i="29"/>
  <c r="R140" i="29"/>
  <c r="R135" i="29"/>
  <c r="R136" i="29"/>
  <c r="S130" i="29"/>
  <c r="R134" i="29"/>
  <c r="AJ38" i="28"/>
  <c r="AO49" i="28"/>
  <c r="AJ49" i="28"/>
  <c r="AJ21" i="28"/>
  <c r="AJ32" i="28"/>
  <c r="DK173" i="29"/>
  <c r="DJ174" i="29"/>
  <c r="P98" i="45"/>
  <c r="AQ97" i="45"/>
  <c r="J694" i="46"/>
  <c r="L694" i="46" s="1"/>
  <c r="K66" i="85"/>
  <c r="K108" i="85" s="1"/>
  <c r="K150" i="85"/>
  <c r="BH64" i="29"/>
  <c r="BC64" i="29"/>
  <c r="X43" i="40"/>
  <c r="X44" i="40" s="1"/>
  <c r="AY66" i="29"/>
  <c r="BD66" i="29"/>
  <c r="AV110" i="29"/>
  <c r="AU120" i="29"/>
  <c r="AT115" i="29"/>
  <c r="AT114" i="29"/>
  <c r="AT130" i="29"/>
  <c r="AU110" i="29"/>
  <c r="AZ110" i="29"/>
  <c r="AT116" i="29"/>
  <c r="Z215" i="29"/>
  <c r="AA215" i="29" s="1"/>
  <c r="Z214" i="29"/>
  <c r="AA214" i="29" s="1"/>
  <c r="Z220" i="29"/>
  <c r="Z213" i="29"/>
  <c r="AA210" i="29"/>
  <c r="J130" i="29"/>
  <c r="J115" i="29"/>
  <c r="K120" i="29"/>
  <c r="K110" i="29"/>
  <c r="J116" i="29"/>
  <c r="J214" i="29"/>
  <c r="K214" i="29" s="1"/>
  <c r="K209" i="29"/>
  <c r="J219" i="29"/>
  <c r="J215" i="29"/>
  <c r="K215" i="29" s="1"/>
  <c r="BA85" i="17"/>
  <c r="BA84" i="17"/>
  <c r="K54" i="29"/>
  <c r="G77" i="17"/>
  <c r="C11" i="20"/>
  <c r="K24" i="29"/>
  <c r="BU144" i="47"/>
  <c r="BQ144" i="47"/>
  <c r="BX144" i="47"/>
  <c r="R206" i="37"/>
  <c r="R160" i="37"/>
  <c r="R183" i="37" s="1"/>
  <c r="J206" i="37"/>
  <c r="J160" i="37"/>
  <c r="J183" i="37" s="1"/>
  <c r="D233" i="29"/>
  <c r="CI113" i="29"/>
  <c r="CH133" i="29"/>
  <c r="CI133" i="29" s="1"/>
  <c r="CI123" i="29"/>
  <c r="CN113" i="29"/>
  <c r="BJ152" i="29"/>
  <c r="BJ142" i="29"/>
  <c r="BS132" i="29"/>
  <c r="BO132" i="29"/>
  <c r="BJ136" i="29"/>
  <c r="U28" i="12"/>
  <c r="AI149" i="12"/>
  <c r="L391" i="40"/>
  <c r="L422" i="40" s="1"/>
  <c r="L37" i="46"/>
  <c r="N33" i="46"/>
  <c r="P33" i="46" s="1"/>
  <c r="U33" i="46"/>
  <c r="BN54" i="47"/>
  <c r="BX54" i="47"/>
  <c r="CQ54" i="47"/>
  <c r="BQ54" i="47"/>
  <c r="BU54" i="47"/>
  <c r="AM745" i="46"/>
  <c r="AM765" i="46"/>
  <c r="J48" i="34"/>
  <c r="N48" i="34"/>
  <c r="O42" i="34"/>
  <c r="K42" i="34"/>
  <c r="AX207" i="37"/>
  <c r="AX161" i="37"/>
  <c r="AX184" i="37" s="1"/>
  <c r="AT160" i="37"/>
  <c r="AT183" i="37" s="1"/>
  <c r="AT206" i="37"/>
  <c r="AB692" i="46"/>
  <c r="V26" i="9"/>
  <c r="X26" i="9" s="1"/>
  <c r="L35" i="12"/>
  <c r="L34" i="12"/>
  <c r="BI51" i="28"/>
  <c r="BI43" i="28"/>
  <c r="M38" i="28"/>
  <c r="M21" i="28"/>
  <c r="M32" i="28"/>
  <c r="M49" i="28"/>
  <c r="R49" i="28"/>
  <c r="CC49" i="28"/>
  <c r="CC21" i="28"/>
  <c r="CC32" i="28"/>
  <c r="CC38" i="28"/>
  <c r="AA308" i="45"/>
  <c r="R490" i="45"/>
  <c r="R309" i="45"/>
  <c r="S308" i="45"/>
  <c r="O38" i="20"/>
  <c r="AC70" i="17"/>
  <c r="O144" i="20"/>
  <c r="O145" i="20" s="1"/>
  <c r="O50" i="20"/>
  <c r="Y43" i="40"/>
  <c r="Y44" i="40" s="1"/>
  <c r="N96" i="46"/>
  <c r="P96" i="46" s="1"/>
  <c r="U96" i="46"/>
  <c r="AD92" i="46"/>
  <c r="CZ66" i="29"/>
  <c r="D12" i="20"/>
  <c r="D14" i="20"/>
  <c r="D24" i="20"/>
  <c r="D20" i="20"/>
  <c r="D15" i="20"/>
  <c r="D26" i="20"/>
  <c r="D8" i="20"/>
  <c r="D44" i="20"/>
  <c r="D35" i="20"/>
  <c r="D37" i="20"/>
  <c r="E8" i="20"/>
  <c r="D32" i="20"/>
  <c r="D41" i="20"/>
  <c r="F50" i="20"/>
  <c r="F38" i="20"/>
  <c r="F144" i="20"/>
  <c r="F145" i="20" s="1"/>
  <c r="AK147" i="46"/>
  <c r="AM147" i="46" s="1"/>
  <c r="AD147" i="46"/>
  <c r="AF147" i="46" s="1"/>
  <c r="AF109" i="9"/>
  <c r="AB39" i="9"/>
  <c r="AD39" i="9" s="1"/>
  <c r="AB47" i="12"/>
  <c r="I81" i="17"/>
  <c r="I82" i="17"/>
  <c r="D182" i="85"/>
  <c r="D183" i="85" s="1"/>
  <c r="D83" i="85"/>
  <c r="D84" i="85" s="1"/>
  <c r="L97" i="46"/>
  <c r="CE126" i="29"/>
  <c r="CJ116" i="29"/>
  <c r="CE116" i="29"/>
  <c r="CH114" i="29"/>
  <c r="CJ114" i="29" s="1"/>
  <c r="BN135" i="29"/>
  <c r="BN134" i="29"/>
  <c r="BN150" i="29"/>
  <c r="BO130" i="29"/>
  <c r="BN136" i="29"/>
  <c r="BN140" i="29"/>
  <c r="W209" i="40"/>
  <c r="BX77" i="47"/>
  <c r="BQ70" i="47"/>
  <c r="BX70" i="47"/>
  <c r="BU70" i="47"/>
  <c r="BN70" i="47"/>
  <c r="M51" i="20"/>
  <c r="M56" i="20"/>
  <c r="M54" i="20"/>
  <c r="M28" i="20" s="1"/>
  <c r="AL17" i="89"/>
  <c r="AG17" i="89"/>
  <c r="AF33" i="89"/>
  <c r="AG33" i="89" s="1"/>
  <c r="T33" i="89"/>
  <c r="O33" i="89"/>
  <c r="W364" i="45"/>
  <c r="V546" i="45"/>
  <c r="W546" i="45" s="1"/>
  <c r="BI37" i="17"/>
  <c r="DL64" i="29"/>
  <c r="DK64" i="29"/>
  <c r="Y43" i="89"/>
  <c r="F43" i="89"/>
  <c r="E47" i="89"/>
  <c r="A343" i="45"/>
  <c r="A525" i="45" s="1"/>
  <c r="AT161" i="45"/>
  <c r="AI363" i="46"/>
  <c r="S201" i="12"/>
  <c r="D363" i="46"/>
  <c r="H363" i="46" s="1"/>
  <c r="S367" i="46"/>
  <c r="D367" i="46" s="1"/>
  <c r="T32" i="20"/>
  <c r="G13" i="85"/>
  <c r="DK11" i="28"/>
  <c r="T11" i="20"/>
  <c r="DV179" i="47"/>
  <c r="EB179" i="47"/>
  <c r="EA179" i="47" s="1"/>
  <c r="DT182" i="47"/>
  <c r="DU179" i="47"/>
  <c r="AT79" i="45"/>
  <c r="A261" i="45"/>
  <c r="A443" i="45" s="1"/>
  <c r="CQ210" i="29"/>
  <c r="CP220" i="29"/>
  <c r="CP213" i="29"/>
  <c r="CQ213" i="29" s="1"/>
  <c r="CP214" i="29"/>
  <c r="CQ214" i="29" s="1"/>
  <c r="CP215" i="29"/>
  <c r="CQ215" i="29" s="1"/>
  <c r="AB616" i="46"/>
  <c r="AB615" i="46"/>
  <c r="AY200" i="29"/>
  <c r="AX201" i="29"/>
  <c r="AI321" i="40"/>
  <c r="AI36" i="40"/>
  <c r="AI13" i="40"/>
  <c r="AJ14" i="40" s="1"/>
  <c r="BW55" i="47"/>
  <c r="BU55" i="47" s="1"/>
  <c r="BT55" i="47"/>
  <c r="CI41" i="47"/>
  <c r="BT41" i="47"/>
  <c r="BT48" i="47"/>
  <c r="AB631" i="46"/>
  <c r="AB630" i="46"/>
  <c r="S27" i="40"/>
  <c r="T27" i="40"/>
  <c r="S31" i="40"/>
  <c r="S367" i="40" s="1"/>
  <c r="T31" i="40"/>
  <c r="T367" i="40" s="1"/>
  <c r="O9" i="40"/>
  <c r="P9" i="40"/>
  <c r="O12" i="40"/>
  <c r="O321" i="40" s="1"/>
  <c r="CE41" i="47"/>
  <c r="BP41" i="47"/>
  <c r="BP48" i="47"/>
  <c r="BW41" i="47"/>
  <c r="W35" i="20"/>
  <c r="W17" i="20"/>
  <c r="W41" i="20"/>
  <c r="DN8" i="28"/>
  <c r="W28" i="20"/>
  <c r="DN16" i="28" s="1"/>
  <c r="W143" i="20"/>
  <c r="W32" i="20"/>
  <c r="J6" i="85"/>
  <c r="AU76" i="17"/>
  <c r="W22" i="20"/>
  <c r="W14" i="20"/>
  <c r="W8" i="20"/>
  <c r="W20" i="20"/>
  <c r="R91" i="9"/>
  <c r="AM91" i="9"/>
  <c r="J92" i="9"/>
  <c r="AM40" i="34"/>
  <c r="AL46" i="34"/>
  <c r="AI40" i="34"/>
  <c r="AH46" i="34"/>
  <c r="AD601" i="46"/>
  <c r="AF601" i="46" s="1"/>
  <c r="BJ116" i="40"/>
  <c r="BK124" i="40"/>
  <c r="AS78" i="17"/>
  <c r="I12" i="85"/>
  <c r="AJ19" i="20"/>
  <c r="DM14" i="28"/>
  <c r="V20" i="20"/>
  <c r="V37" i="20"/>
  <c r="DU158" i="47"/>
  <c r="EB158" i="47"/>
  <c r="EA158" i="47" s="1"/>
  <c r="DV158" i="47"/>
  <c r="DU165" i="47"/>
  <c r="DT161" i="47"/>
  <c r="D82" i="12"/>
  <c r="AI75" i="12"/>
  <c r="D75" i="12"/>
  <c r="AI57" i="12"/>
  <c r="AK57" i="12" s="1"/>
  <c r="U57" i="12"/>
  <c r="A280" i="45"/>
  <c r="A462" i="45" s="1"/>
  <c r="AT98" i="45"/>
  <c r="CH48" i="34"/>
  <c r="CI42" i="34"/>
  <c r="AB645" i="46"/>
  <c r="AB646" i="46"/>
  <c r="AD646" i="46" s="1"/>
  <c r="R147" i="40"/>
  <c r="R149" i="40" s="1"/>
  <c r="R342" i="40" s="1"/>
  <c r="Q147" i="40"/>
  <c r="Q149" i="40" s="1"/>
  <c r="Q342" i="40" s="1"/>
  <c r="J38" i="89"/>
  <c r="F38" i="89"/>
  <c r="Y38" i="89"/>
  <c r="Y25" i="89"/>
  <c r="F25" i="89"/>
  <c r="J25" i="89"/>
  <c r="J17" i="89"/>
  <c r="Y17" i="89"/>
  <c r="F17" i="89"/>
  <c r="Y16" i="89"/>
  <c r="J16" i="89"/>
  <c r="F16" i="89"/>
  <c r="F36" i="89"/>
  <c r="Y36" i="89"/>
  <c r="E40" i="89"/>
  <c r="S64" i="12"/>
  <c r="BF41" i="47"/>
  <c r="BI41" i="47"/>
  <c r="BG41" i="47" s="1"/>
  <c r="AF401" i="46"/>
  <c r="AK274" i="46"/>
  <c r="AI276" i="46"/>
  <c r="AH211" i="37"/>
  <c r="AH165" i="37"/>
  <c r="AH188" i="37" s="1"/>
  <c r="R161" i="37"/>
  <c r="R184" i="37" s="1"/>
  <c r="R207" i="37"/>
  <c r="AB62" i="46"/>
  <c r="AD62" i="46" s="1"/>
  <c r="AF62" i="46" s="1"/>
  <c r="AB61" i="46"/>
  <c r="AI213" i="29"/>
  <c r="I77" i="20"/>
  <c r="I78" i="20" s="1"/>
  <c r="AH223" i="29"/>
  <c r="N230" i="29"/>
  <c r="N224" i="29"/>
  <c r="S220" i="29"/>
  <c r="O220" i="29"/>
  <c r="BB151" i="29"/>
  <c r="BG131" i="29"/>
  <c r="BB141" i="29"/>
  <c r="BC131" i="29"/>
  <c r="BC116" i="29"/>
  <c r="BC126" i="29"/>
  <c r="BW124" i="29"/>
  <c r="BW114" i="29"/>
  <c r="CX140" i="29"/>
  <c r="DC130" i="29"/>
  <c r="CY130" i="29"/>
  <c r="DG115" i="29"/>
  <c r="DH115" i="29"/>
  <c r="DG125" i="29"/>
  <c r="R44" i="20"/>
  <c r="DI20" i="28"/>
  <c r="R14" i="82" s="1"/>
  <c r="E17" i="85"/>
  <c r="R50" i="20"/>
  <c r="CE219" i="29"/>
  <c r="CD224" i="29"/>
  <c r="CM219" i="29"/>
  <c r="CD229" i="29"/>
  <c r="BC200" i="29"/>
  <c r="AV116" i="9"/>
  <c r="AV109" i="9"/>
  <c r="O46" i="89"/>
  <c r="AF46" i="89"/>
  <c r="AG46" i="89" s="1"/>
  <c r="L183" i="9"/>
  <c r="L190" i="9"/>
  <c r="R131" i="9"/>
  <c r="J134" i="9"/>
  <c r="AR528" i="45"/>
  <c r="AR522" i="45"/>
  <c r="Z183" i="12"/>
  <c r="AB694" i="46"/>
  <c r="AB695" i="46"/>
  <c r="C37" i="40"/>
  <c r="D37" i="40"/>
  <c r="BB133" i="29"/>
  <c r="BD113" i="29"/>
  <c r="BC123" i="29"/>
  <c r="BC113" i="29"/>
  <c r="BH113" i="29"/>
  <c r="AY40" i="28"/>
  <c r="AY25" i="28"/>
  <c r="AY42" i="28" s="1"/>
  <c r="BK123" i="29"/>
  <c r="BP113" i="29"/>
  <c r="BK113" i="29"/>
  <c r="BJ133" i="29"/>
  <c r="BK133" i="29" s="1"/>
  <c r="CX220" i="29"/>
  <c r="CY210" i="29"/>
  <c r="CX214" i="29"/>
  <c r="CY214" i="29" s="1"/>
  <c r="CX213" i="29"/>
  <c r="CY213" i="29" s="1"/>
  <c r="DY210" i="47"/>
  <c r="DZ210" i="47"/>
  <c r="DY217" i="47"/>
  <c r="DX213" i="47"/>
  <c r="CN64" i="29"/>
  <c r="CI64" i="29"/>
  <c r="DY165" i="47"/>
  <c r="DZ165" i="47"/>
  <c r="DX168" i="47"/>
  <c r="DY172" i="47"/>
  <c r="DY132" i="47"/>
  <c r="DZ132" i="47"/>
  <c r="BL206" i="47"/>
  <c r="AH59" i="40"/>
  <c r="G213" i="47"/>
  <c r="BI206" i="47"/>
  <c r="G206" i="47"/>
  <c r="HV25" i="38"/>
  <c r="HV26" i="38"/>
  <c r="HV27" i="38"/>
  <c r="FF28" i="38"/>
  <c r="FN28" i="38"/>
  <c r="D120" i="46"/>
  <c r="H120" i="46" s="1"/>
  <c r="S121" i="46"/>
  <c r="S141" i="12"/>
  <c r="D127" i="46"/>
  <c r="H127" i="46" s="1"/>
  <c r="AI120" i="46"/>
  <c r="AK120" i="46" s="1"/>
  <c r="BF53" i="47"/>
  <c r="BI53" i="47"/>
  <c r="BG53" i="47" s="1"/>
  <c r="S76" i="12"/>
  <c r="BN56" i="47"/>
  <c r="CQ56" i="47"/>
  <c r="BQ56" i="47"/>
  <c r="D84" i="12"/>
  <c r="AI77" i="12"/>
  <c r="D77" i="12"/>
  <c r="BM55" i="47"/>
  <c r="CB48" i="47"/>
  <c r="BW48" i="47"/>
  <c r="BN48" i="47" s="1"/>
  <c r="AR25" i="47"/>
  <c r="BK32" i="47"/>
  <c r="M25" i="47"/>
  <c r="AD25" i="47"/>
  <c r="H25" i="47"/>
  <c r="U25" i="47"/>
  <c r="AI632" i="46"/>
  <c r="D639" i="46"/>
  <c r="H639" i="46" s="1"/>
  <c r="U632" i="46"/>
  <c r="S633" i="46"/>
  <c r="AI417" i="46"/>
  <c r="AK416" i="46"/>
  <c r="AK82" i="46"/>
  <c r="U36" i="46"/>
  <c r="W36" i="46" s="1"/>
  <c r="N36" i="46"/>
  <c r="AP207" i="37"/>
  <c r="AP161" i="37"/>
  <c r="AP184" i="37" s="1"/>
  <c r="N151" i="37"/>
  <c r="N174" i="37" s="1"/>
  <c r="N197" i="37"/>
  <c r="U300" i="46"/>
  <c r="AL229" i="29"/>
  <c r="AM219" i="29"/>
  <c r="AQ219" i="29"/>
  <c r="AL225" i="29"/>
  <c r="AM225" i="29" s="1"/>
  <c r="AL224" i="29"/>
  <c r="AM224" i="29" s="1"/>
  <c r="AT232" i="29"/>
  <c r="AU222" i="29"/>
  <c r="BJ232" i="29"/>
  <c r="BK222" i="29"/>
  <c r="AC9" i="40"/>
  <c r="AC41" i="40" s="1"/>
  <c r="AC353" i="40" s="1"/>
  <c r="AC49" i="40"/>
  <c r="F232" i="29"/>
  <c r="G222" i="29"/>
  <c r="AB212" i="46"/>
  <c r="AB211" i="46"/>
  <c r="AR513" i="45"/>
  <c r="AR507" i="45"/>
  <c r="Z166" i="12"/>
  <c r="X25" i="34"/>
  <c r="X37" i="34"/>
  <c r="X31" i="34"/>
  <c r="X19" i="34"/>
  <c r="X43" i="34"/>
  <c r="W63" i="29"/>
  <c r="X63" i="29"/>
  <c r="AB63" i="29"/>
  <c r="V212" i="29"/>
  <c r="V113" i="29"/>
  <c r="V64" i="29"/>
  <c r="GN13" i="38"/>
  <c r="HZ11" i="38"/>
  <c r="GH13" i="38"/>
  <c r="HZ10" i="38"/>
  <c r="O108" i="20"/>
  <c r="O118" i="20" s="1"/>
  <c r="BX80" i="47"/>
  <c r="BQ80" i="47"/>
  <c r="BN80" i="47"/>
  <c r="AI37" i="46"/>
  <c r="AK34" i="46"/>
  <c r="BN213" i="37"/>
  <c r="BN167" i="37"/>
  <c r="BN190" i="37" s="1"/>
  <c r="R165" i="37"/>
  <c r="R188" i="37" s="1"/>
  <c r="R211" i="37"/>
  <c r="N162" i="37"/>
  <c r="N185" i="37" s="1"/>
  <c r="N208" i="37"/>
  <c r="AM124" i="29"/>
  <c r="AM114" i="29"/>
  <c r="AN114" i="29"/>
  <c r="AL142" i="29"/>
  <c r="AM142" i="29" s="1"/>
  <c r="AL136" i="29"/>
  <c r="AM136" i="29" s="1"/>
  <c r="AM132" i="29"/>
  <c r="AL134" i="29"/>
  <c r="BL113" i="29"/>
  <c r="AH232" i="29"/>
  <c r="AM222" i="29"/>
  <c r="R141" i="29"/>
  <c r="W141" i="29" s="1"/>
  <c r="W131" i="29"/>
  <c r="CD143" i="29"/>
  <c r="BN230" i="29"/>
  <c r="BN224" i="29"/>
  <c r="BS224" i="29" s="1"/>
  <c r="BO220" i="29"/>
  <c r="BN223" i="29"/>
  <c r="BW220" i="29"/>
  <c r="BN225" i="29"/>
  <c r="BO225" i="29" s="1"/>
  <c r="BQ204" i="47"/>
  <c r="BU204" i="47"/>
  <c r="BO41" i="17"/>
  <c r="BM44" i="17"/>
  <c r="AL33" i="89"/>
  <c r="Z99" i="12"/>
  <c r="W46" i="40"/>
  <c r="AR456" i="45"/>
  <c r="AB622" i="46"/>
  <c r="AB623" i="46"/>
  <c r="K450" i="45"/>
  <c r="V99" i="40"/>
  <c r="AQ444" i="45"/>
  <c r="K444" i="45"/>
  <c r="Z71" i="46"/>
  <c r="AR425" i="45"/>
  <c r="Z70" i="12"/>
  <c r="AL157" i="37"/>
  <c r="AL180" i="37" s="1"/>
  <c r="AL203" i="37"/>
  <c r="BR198" i="37"/>
  <c r="BR152" i="37"/>
  <c r="BR175" i="37" s="1"/>
  <c r="G124" i="29"/>
  <c r="G114" i="29"/>
  <c r="S116" i="29"/>
  <c r="S126" i="29"/>
  <c r="BS220" i="29"/>
  <c r="G23" i="80"/>
  <c r="AI60" i="45"/>
  <c r="AH61" i="45"/>
  <c r="DO48" i="28"/>
  <c r="BC122" i="29"/>
  <c r="BC112" i="29"/>
  <c r="BB132" i="29"/>
  <c r="BH112" i="29"/>
  <c r="BD112" i="29"/>
  <c r="AX114" i="29"/>
  <c r="AX132" i="29"/>
  <c r="AY122" i="29"/>
  <c r="AY112" i="29"/>
  <c r="AX116" i="29"/>
  <c r="AV64" i="29"/>
  <c r="V43" i="40"/>
  <c r="V44" i="40" s="1"/>
  <c r="AZ64" i="29"/>
  <c r="AU64" i="29"/>
  <c r="AT214" i="29"/>
  <c r="AU214" i="29" s="1"/>
  <c r="AT213" i="29"/>
  <c r="AT219" i="29"/>
  <c r="AU209" i="29"/>
  <c r="AT215" i="29"/>
  <c r="AU215" i="29" s="1"/>
  <c r="AA66" i="29"/>
  <c r="AB66" i="29"/>
  <c r="AF66" i="29"/>
  <c r="N43" i="40"/>
  <c r="N44" i="40" s="1"/>
  <c r="T64" i="29"/>
  <c r="O64" i="29"/>
  <c r="J142" i="29"/>
  <c r="K132" i="29"/>
  <c r="K66" i="29"/>
  <c r="L66" i="29"/>
  <c r="P66" i="29"/>
  <c r="T27" i="9"/>
  <c r="R28" i="9"/>
  <c r="F29" i="9"/>
  <c r="R29" i="9" s="1"/>
  <c r="R21" i="9"/>
  <c r="F22" i="9"/>
  <c r="R22" i="9" s="1"/>
  <c r="T20" i="9"/>
  <c r="BD60" i="40"/>
  <c r="AB102" i="40"/>
  <c r="AB341" i="40" s="1"/>
  <c r="AB65" i="40"/>
  <c r="AB87" i="40"/>
  <c r="AK245" i="46"/>
  <c r="AB248" i="46"/>
  <c r="AD245" i="46"/>
  <c r="AF245" i="46" s="1"/>
  <c r="BV155" i="37"/>
  <c r="BV178" i="37" s="1"/>
  <c r="BV201" i="37"/>
  <c r="BF202" i="37"/>
  <c r="BF156" i="37"/>
  <c r="BF179" i="37" s="1"/>
  <c r="DY167" i="47"/>
  <c r="DZ167" i="47"/>
  <c r="DY174" i="47"/>
  <c r="EA167" i="47"/>
  <c r="BJ114" i="29"/>
  <c r="BS141" i="29"/>
  <c r="EN17" i="37"/>
  <c r="EM86" i="37"/>
  <c r="AK478" i="46"/>
  <c r="AI482" i="46"/>
  <c r="R47" i="89"/>
  <c r="S47" i="89" s="1"/>
  <c r="S40" i="89"/>
  <c r="U29" i="12"/>
  <c r="N36" i="12"/>
  <c r="H125" i="12"/>
  <c r="DN70" i="28"/>
  <c r="DO70" i="28"/>
  <c r="DN80" i="28"/>
  <c r="AK98" i="46"/>
  <c r="AI100" i="46"/>
  <c r="AI58" i="46"/>
  <c r="AK154" i="12"/>
  <c r="N43" i="46"/>
  <c r="P43" i="46" s="1"/>
  <c r="W257" i="40"/>
  <c r="V257" i="40"/>
  <c r="AP48" i="34"/>
  <c r="AQ42" i="34"/>
  <c r="AM42" i="34"/>
  <c r="AL48" i="34"/>
  <c r="BR207" i="37"/>
  <c r="BR161" i="37"/>
  <c r="BR184" i="37" s="1"/>
  <c r="AD478" i="46"/>
  <c r="AF478" i="46" s="1"/>
  <c r="AB482" i="46"/>
  <c r="AD485" i="46"/>
  <c r="AD658" i="46"/>
  <c r="AF658" i="46" s="1"/>
  <c r="EK35" i="37"/>
  <c r="AF709" i="46"/>
  <c r="W230" i="46"/>
  <c r="AM551" i="46"/>
  <c r="AM544" i="46"/>
  <c r="AK62" i="12"/>
  <c r="AK140" i="12"/>
  <c r="AD147" i="12"/>
  <c r="AF200" i="40"/>
  <c r="AE201" i="40"/>
  <c r="DK121" i="29"/>
  <c r="DL111" i="29"/>
  <c r="DJ131" i="29"/>
  <c r="DJ115" i="29"/>
  <c r="DJ116" i="29"/>
  <c r="DK111" i="29"/>
  <c r="DJ114" i="29"/>
  <c r="DZ231" i="47"/>
  <c r="DT231" i="47"/>
  <c r="DY231" i="47"/>
  <c r="L101" i="40"/>
  <c r="CZ17" i="28"/>
  <c r="CZ36" i="28"/>
  <c r="DJ80" i="28"/>
  <c r="DJ70" i="28"/>
  <c r="AD155" i="46"/>
  <c r="AF155" i="46" s="1"/>
  <c r="AK148" i="46"/>
  <c r="IC13" i="38"/>
  <c r="II15" i="38"/>
  <c r="IV15" i="38" s="1"/>
  <c r="AD153" i="46"/>
  <c r="AF153" i="46" s="1"/>
  <c r="AK153" i="46"/>
  <c r="Y28" i="40"/>
  <c r="Z28" i="40"/>
  <c r="N12" i="40"/>
  <c r="N14" i="40"/>
  <c r="N49" i="40"/>
  <c r="N345" i="40" s="1"/>
  <c r="O14" i="40"/>
  <c r="J141" i="85"/>
  <c r="J99" i="85"/>
  <c r="J57" i="85"/>
  <c r="CD142" i="29"/>
  <c r="AX27" i="28" s="1"/>
  <c r="CI132" i="29"/>
  <c r="BO222" i="29"/>
  <c r="CI115" i="29"/>
  <c r="CI125" i="29"/>
  <c r="CN115" i="29"/>
  <c r="CJ115" i="29"/>
  <c r="BO116" i="29"/>
  <c r="BO126" i="29"/>
  <c r="BT116" i="29"/>
  <c r="DB231" i="29"/>
  <c r="DB225" i="29"/>
  <c r="DC225" i="29" s="1"/>
  <c r="DB223" i="29"/>
  <c r="AF19" i="89"/>
  <c r="O19" i="89"/>
  <c r="T19" i="89"/>
  <c r="I543" i="45"/>
  <c r="AQ543" i="45"/>
  <c r="AF12" i="89"/>
  <c r="T12" i="89"/>
  <c r="AK204" i="12"/>
  <c r="DB48" i="34"/>
  <c r="DC42" i="34"/>
  <c r="CU133" i="47"/>
  <c r="CV126" i="47"/>
  <c r="CU126" i="47"/>
  <c r="Y44" i="89"/>
  <c r="F44" i="89"/>
  <c r="BB60" i="36"/>
  <c r="L140" i="9"/>
  <c r="L133" i="9"/>
  <c r="D134" i="9"/>
  <c r="AU114" i="45"/>
  <c r="B296" i="45"/>
  <c r="B478" i="45" s="1"/>
  <c r="AT68" i="45"/>
  <c r="A250" i="45"/>
  <c r="A432" i="45" s="1"/>
  <c r="BW43" i="34"/>
  <c r="BV49" i="34"/>
  <c r="AB673" i="46"/>
  <c r="AB672" i="46"/>
  <c r="AQ389" i="45"/>
  <c r="K395" i="45"/>
  <c r="AB61" i="45"/>
  <c r="AC60" i="45"/>
  <c r="AQ60" i="45"/>
  <c r="AD211" i="47"/>
  <c r="DZ211" i="47"/>
  <c r="M211" i="47"/>
  <c r="BG211" i="47"/>
  <c r="U211" i="47"/>
  <c r="GG23" i="38"/>
  <c r="BK211" i="47"/>
  <c r="BB211" i="47"/>
  <c r="AI211" i="47"/>
  <c r="H211" i="47"/>
  <c r="BK218" i="47"/>
  <c r="BI55" i="47"/>
  <c r="BG55" i="47" s="1"/>
  <c r="D40" i="89"/>
  <c r="D47" i="89"/>
  <c r="AB808" i="46"/>
  <c r="AB807" i="46"/>
  <c r="AK559" i="46"/>
  <c r="AM559" i="46" s="1"/>
  <c r="AD559" i="46"/>
  <c r="AF559" i="46" s="1"/>
  <c r="AG78" i="40"/>
  <c r="AF99" i="40"/>
  <c r="AF78" i="40"/>
  <c r="AG82" i="40"/>
  <c r="AG363" i="40" s="1"/>
  <c r="AF82" i="40"/>
  <c r="AF363" i="40" s="1"/>
  <c r="AT81" i="40"/>
  <c r="DZ173" i="47"/>
  <c r="DY180" i="47"/>
  <c r="DY173" i="47"/>
  <c r="DX175" i="47"/>
  <c r="DZ130" i="47"/>
  <c r="DX133" i="47"/>
  <c r="EA130" i="47"/>
  <c r="DY130" i="47"/>
  <c r="Y46" i="89"/>
  <c r="F46" i="89"/>
  <c r="AI54" i="12"/>
  <c r="U54" i="12"/>
  <c r="S58" i="12"/>
  <c r="D54" i="12"/>
  <c r="D61" i="12"/>
  <c r="BR49" i="34"/>
  <c r="BO43" i="34"/>
  <c r="BS43" i="34"/>
  <c r="BN49" i="34"/>
  <c r="AD667" i="46"/>
  <c r="AB637" i="46"/>
  <c r="AB636" i="46"/>
  <c r="S16" i="40"/>
  <c r="S20" i="40" s="1"/>
  <c r="S33" i="40" s="1"/>
  <c r="AR56" i="45"/>
  <c r="J64" i="12"/>
  <c r="DU126" i="47"/>
  <c r="DQ161" i="47"/>
  <c r="DV126" i="47"/>
  <c r="DU133" i="47"/>
  <c r="M52" i="47"/>
  <c r="U52" i="47"/>
  <c r="AD52" i="47"/>
  <c r="H52" i="47"/>
  <c r="BG52" i="47"/>
  <c r="AR52" i="47"/>
  <c r="BK52" i="47"/>
  <c r="AB589" i="46"/>
  <c r="AB588" i="46"/>
  <c r="DE14" i="28"/>
  <c r="N20" i="20"/>
  <c r="N37" i="20"/>
  <c r="Y39" i="89"/>
  <c r="F39" i="89"/>
  <c r="F24" i="89"/>
  <c r="Y24" i="89"/>
  <c r="Y18" i="89"/>
  <c r="J18" i="89"/>
  <c r="F31" i="89"/>
  <c r="J31" i="89"/>
  <c r="Y31" i="89"/>
  <c r="AK394" i="46"/>
  <c r="AI396" i="46"/>
  <c r="BV208" i="37"/>
  <c r="BV162" i="37"/>
  <c r="BV185" i="37" s="1"/>
  <c r="AX162" i="37"/>
  <c r="AX185" i="37" s="1"/>
  <c r="AX208" i="37"/>
  <c r="BN152" i="37"/>
  <c r="BN175" i="37" s="1"/>
  <c r="BN198" i="37"/>
  <c r="AR534" i="45"/>
  <c r="Z197" i="12"/>
  <c r="AR540" i="45"/>
  <c r="AR435" i="45"/>
  <c r="Z232" i="29"/>
  <c r="AH225" i="29"/>
  <c r="AI225" i="29" s="1"/>
  <c r="AH231" i="29"/>
  <c r="AM221" i="29"/>
  <c r="AI221" i="29"/>
  <c r="AP143" i="29"/>
  <c r="AU143" i="29" s="1"/>
  <c r="AP134" i="29"/>
  <c r="AU133" i="29"/>
  <c r="BX116" i="29"/>
  <c r="BS126" i="29"/>
  <c r="BS116" i="29"/>
  <c r="BS115" i="29"/>
  <c r="BS125" i="29"/>
  <c r="BV136" i="29"/>
  <c r="BV141" i="29"/>
  <c r="CA131" i="29"/>
  <c r="BW131" i="29"/>
  <c r="BC204" i="29"/>
  <c r="BG204" i="29"/>
  <c r="AF38" i="89"/>
  <c r="AG38" i="89" s="1"/>
  <c r="T38" i="89"/>
  <c r="O38" i="89"/>
  <c r="R181" i="9"/>
  <c r="AM181" i="9"/>
  <c r="N43" i="20"/>
  <c r="BC84" i="29"/>
  <c r="BH84" i="29"/>
  <c r="DD64" i="29"/>
  <c r="CY64" i="29"/>
  <c r="CZ64" i="29"/>
  <c r="CN65" i="29"/>
  <c r="CJ65" i="29"/>
  <c r="CI65" i="29"/>
  <c r="CE212" i="29"/>
  <c r="CD222" i="29"/>
  <c r="M91" i="85"/>
  <c r="M49" i="85"/>
  <c r="M133" i="85"/>
  <c r="CI53" i="47"/>
  <c r="BW53" i="47"/>
  <c r="BU53" i="47" s="1"/>
  <c r="BT53" i="47"/>
  <c r="BU56" i="47"/>
  <c r="BG25" i="47"/>
  <c r="AI510" i="46"/>
  <c r="S511" i="46"/>
  <c r="D518" i="46" s="1"/>
  <c r="H518" i="46" s="1"/>
  <c r="U510" i="46"/>
  <c r="D517" i="46"/>
  <c r="H517" i="46" s="1"/>
  <c r="AU50" i="45"/>
  <c r="B232" i="45"/>
  <c r="B414" i="45" s="1"/>
  <c r="R212" i="37"/>
  <c r="R166" i="37"/>
  <c r="R189" i="37" s="1"/>
  <c r="BF160" i="37"/>
  <c r="BF183" i="37" s="1"/>
  <c r="BF206" i="37"/>
  <c r="AL208" i="37"/>
  <c r="AL162" i="37"/>
  <c r="AL185" i="37" s="1"/>
  <c r="AP156" i="37"/>
  <c r="AP179" i="37" s="1"/>
  <c r="AP202" i="37"/>
  <c r="AX151" i="37"/>
  <c r="AX174" i="37" s="1"/>
  <c r="AX197" i="37"/>
  <c r="L121" i="45"/>
  <c r="J301" i="46"/>
  <c r="L301" i="46" s="1"/>
  <c r="AB42" i="46"/>
  <c r="AB43" i="46"/>
  <c r="F230" i="29"/>
  <c r="F225" i="29"/>
  <c r="G225" i="29" s="1"/>
  <c r="G220" i="29"/>
  <c r="F224" i="29"/>
  <c r="G224" i="29" s="1"/>
  <c r="AL223" i="29"/>
  <c r="J77" i="20"/>
  <c r="J78" i="20" s="1"/>
  <c r="AM213" i="29"/>
  <c r="BJ230" i="29"/>
  <c r="BJ224" i="29"/>
  <c r="BK224" i="29" s="1"/>
  <c r="BJ225" i="29"/>
  <c r="BK225" i="29" s="1"/>
  <c r="BJ223" i="29"/>
  <c r="BK220" i="29"/>
  <c r="AK175" i="46"/>
  <c r="AD182" i="46"/>
  <c r="AF182" i="46" s="1"/>
  <c r="CR112" i="29"/>
  <c r="CP132" i="29"/>
  <c r="CQ112" i="29"/>
  <c r="CQ122" i="29"/>
  <c r="CV112" i="29"/>
  <c r="AK146" i="40"/>
  <c r="AT129" i="40"/>
  <c r="AK126" i="40"/>
  <c r="AK130" i="40"/>
  <c r="AK364" i="40" s="1"/>
  <c r="AL126" i="40"/>
  <c r="DS74" i="28" s="1"/>
  <c r="AL130" i="40"/>
  <c r="AK328" i="46"/>
  <c r="AD328" i="46"/>
  <c r="AF328" i="46" s="1"/>
  <c r="BE238" i="40"/>
  <c r="BE239" i="40"/>
  <c r="BF250" i="40"/>
  <c r="J37" i="40"/>
  <c r="K37" i="40"/>
  <c r="AI166" i="29"/>
  <c r="AE166" i="29"/>
  <c r="CY125" i="29"/>
  <c r="T19" i="34"/>
  <c r="T25" i="34"/>
  <c r="T37" i="34"/>
  <c r="T31" i="34"/>
  <c r="T43" i="34"/>
  <c r="J24" i="89"/>
  <c r="AT29" i="45"/>
  <c r="A211" i="45"/>
  <c r="A393" i="45" s="1"/>
  <c r="AK119" i="46"/>
  <c r="BJ166" i="37"/>
  <c r="BJ189" i="37" s="1"/>
  <c r="BJ212" i="37"/>
  <c r="R162" i="37"/>
  <c r="R185" i="37" s="1"/>
  <c r="R208" i="37"/>
  <c r="J150" i="37"/>
  <c r="J173" i="37" s="1"/>
  <c r="J196" i="37"/>
  <c r="AN116" i="29"/>
  <c r="AM126" i="29"/>
  <c r="AM116" i="29"/>
  <c r="BN142" i="29"/>
  <c r="BN152" i="29"/>
  <c r="BW152" i="29" s="1"/>
  <c r="BF142" i="29"/>
  <c r="BK142" i="29" s="1"/>
  <c r="BK132" i="29"/>
  <c r="BF152" i="29"/>
  <c r="BK152" i="29" s="1"/>
  <c r="CX215" i="29"/>
  <c r="CY215" i="29" s="1"/>
  <c r="H20" i="85"/>
  <c r="DL23" i="28"/>
  <c r="BX87" i="47"/>
  <c r="AB57" i="46"/>
  <c r="AB56" i="46"/>
  <c r="AK56" i="46" s="1"/>
  <c r="AR454" i="45"/>
  <c r="Z97" i="12"/>
  <c r="U46" i="40"/>
  <c r="AR438" i="45"/>
  <c r="Z85" i="12"/>
  <c r="AB595" i="46"/>
  <c r="AB596" i="46"/>
  <c r="HS23" i="38"/>
  <c r="K83" i="20"/>
  <c r="K81" i="20"/>
  <c r="AP157" i="37"/>
  <c r="AP180" i="37" s="1"/>
  <c r="AP203" i="37"/>
  <c r="AD203" i="37"/>
  <c r="AD157" i="37"/>
  <c r="AD180" i="37" s="1"/>
  <c r="BN197" i="37"/>
  <c r="BN151" i="37"/>
  <c r="BN174" i="37" s="1"/>
  <c r="BF150" i="37"/>
  <c r="BF173" i="37" s="1"/>
  <c r="BF196" i="37"/>
  <c r="V152" i="37"/>
  <c r="V175" i="37" s="1"/>
  <c r="V198" i="37"/>
  <c r="J197" i="37"/>
  <c r="J151" i="37"/>
  <c r="J174" i="37" s="1"/>
  <c r="AD80" i="28"/>
  <c r="AB119" i="12"/>
  <c r="D114" i="85"/>
  <c r="K220" i="29"/>
  <c r="J230" i="29"/>
  <c r="BR235" i="29"/>
  <c r="BR234" i="29"/>
  <c r="D143" i="29"/>
  <c r="G143" i="29" s="1"/>
  <c r="G133" i="29"/>
  <c r="D134" i="29"/>
  <c r="J111" i="12"/>
  <c r="AR96" i="45"/>
  <c r="M380" i="40"/>
  <c r="N186" i="40"/>
  <c r="M183" i="40"/>
  <c r="D102" i="85"/>
  <c r="D144" i="85"/>
  <c r="D60" i="85"/>
  <c r="K136" i="85"/>
  <c r="K94" i="85"/>
  <c r="K39" i="85"/>
  <c r="K52" i="85"/>
  <c r="W43" i="40"/>
  <c r="W44" i="40" s="1"/>
  <c r="AY64" i="29"/>
  <c r="BD64" i="29"/>
  <c r="AU66" i="29"/>
  <c r="AZ66" i="29"/>
  <c r="AB65" i="29"/>
  <c r="AA65" i="29"/>
  <c r="AF65" i="29"/>
  <c r="O112" i="29"/>
  <c r="O122" i="29"/>
  <c r="N132" i="29"/>
  <c r="N116" i="29"/>
  <c r="DR48" i="28"/>
  <c r="CU161" i="47"/>
  <c r="M154" i="47"/>
  <c r="BG154" i="47"/>
  <c r="U154" i="47"/>
  <c r="BK154" i="47"/>
  <c r="P154" i="47"/>
  <c r="H154" i="47"/>
  <c r="BN144" i="47"/>
  <c r="AB337" i="40"/>
  <c r="CU105" i="47"/>
  <c r="CV105" i="47"/>
  <c r="AK246" i="46"/>
  <c r="AD246" i="46"/>
  <c r="AF246" i="46" s="1"/>
  <c r="AD253" i="46"/>
  <c r="AF253" i="46" s="1"/>
  <c r="BR212" i="37"/>
  <c r="BR166" i="37"/>
  <c r="BR189" i="37" s="1"/>
  <c r="BN155" i="37"/>
  <c r="BN178" i="37" s="1"/>
  <c r="BN201" i="37"/>
  <c r="AL143" i="29"/>
  <c r="AM143" i="29" s="1"/>
  <c r="AM133" i="29"/>
  <c r="EJ160" i="47"/>
  <c r="BO135" i="29"/>
  <c r="EM85" i="37"/>
  <c r="EN16" i="37"/>
  <c r="HZ17" i="38"/>
  <c r="HZ18" i="38" s="1"/>
  <c r="AB139" i="12"/>
  <c r="AM473" i="46"/>
  <c r="AM471" i="46"/>
  <c r="U84" i="46"/>
  <c r="W91" i="46" s="1"/>
  <c r="N91" i="46"/>
  <c r="P91" i="46" s="1"/>
  <c r="AR429" i="45"/>
  <c r="Z68" i="12"/>
  <c r="AR423" i="45"/>
  <c r="N102" i="85"/>
  <c r="N60" i="85"/>
  <c r="L36" i="9"/>
  <c r="AH68" i="22"/>
  <c r="AI96" i="17"/>
  <c r="AK96" i="17" s="1"/>
  <c r="AM96" i="17" s="1"/>
  <c r="AO96" i="17" s="1"/>
  <c r="AQ96" i="17" s="1"/>
  <c r="AS96" i="17" s="1"/>
  <c r="AU96" i="17" s="1"/>
  <c r="AW96" i="17" s="1"/>
  <c r="AY96" i="17" s="1"/>
  <c r="BA96" i="17" s="1"/>
  <c r="BC96" i="17" s="1"/>
  <c r="BE96" i="17" s="1"/>
  <c r="BG96" i="17" s="1"/>
  <c r="BI96" i="17" s="1"/>
  <c r="D710" i="46"/>
  <c r="D717" i="46"/>
  <c r="H717" i="46" s="1"/>
  <c r="F710" i="46"/>
  <c r="AB173" i="46"/>
  <c r="AB174" i="46"/>
  <c r="N381" i="40"/>
  <c r="N271" i="40"/>
  <c r="N253" i="40"/>
  <c r="O237" i="40"/>
  <c r="O240" i="40" s="1"/>
  <c r="BI40" i="28"/>
  <c r="BI41" i="28"/>
  <c r="BI25" i="28"/>
  <c r="BI42" i="28" s="1"/>
  <c r="AK474" i="46"/>
  <c r="AB21" i="9"/>
  <c r="AD21" i="9" s="1"/>
  <c r="AB33" i="12"/>
  <c r="AF61" i="9"/>
  <c r="BE48" i="47"/>
  <c r="BF55" i="47" s="1"/>
  <c r="G37" i="20"/>
  <c r="G15" i="20"/>
  <c r="G12" i="20"/>
  <c r="AM756" i="46"/>
  <c r="DK210" i="29"/>
  <c r="DJ214" i="29"/>
  <c r="DK214" i="29" s="1"/>
  <c r="DJ220" i="29"/>
  <c r="DJ215" i="29"/>
  <c r="DK215" i="29" s="1"/>
  <c r="DJ213" i="29"/>
  <c r="DK213" i="29" s="1"/>
  <c r="M376" i="40"/>
  <c r="CA43" i="34"/>
  <c r="AU28" i="45"/>
  <c r="B210" i="45"/>
  <c r="B392" i="45" s="1"/>
  <c r="CH27" i="28"/>
  <c r="U461" i="46"/>
  <c r="W464" i="46"/>
  <c r="AK110" i="12"/>
  <c r="DG30" i="28"/>
  <c r="Q73" i="20"/>
  <c r="II12" i="38"/>
  <c r="IV12" i="38" s="1"/>
  <c r="B53" i="12"/>
  <c r="B40" i="45"/>
  <c r="B23" i="47"/>
  <c r="BW232" i="29"/>
  <c r="CM130" i="29"/>
  <c r="CH135" i="29"/>
  <c r="CH140" i="29"/>
  <c r="CH136" i="29"/>
  <c r="CI130" i="29"/>
  <c r="CT229" i="29"/>
  <c r="CU219" i="29"/>
  <c r="CT224" i="29"/>
  <c r="DR28" i="28"/>
  <c r="N26" i="85"/>
  <c r="AA66" i="20"/>
  <c r="AJ65" i="20"/>
  <c r="AA83" i="20"/>
  <c r="AB66" i="20"/>
  <c r="BH131" i="40"/>
  <c r="BG132" i="40"/>
  <c r="J107" i="45"/>
  <c r="J99" i="46"/>
  <c r="K104" i="45"/>
  <c r="AB19" i="20"/>
  <c r="DL34" i="29"/>
  <c r="DK34" i="29"/>
  <c r="II21" i="38"/>
  <c r="IV21" i="38" s="1"/>
  <c r="DJ239" i="47"/>
  <c r="AL30" i="89"/>
  <c r="AG30" i="89"/>
  <c r="J545" i="45"/>
  <c r="K363" i="45"/>
  <c r="CM37" i="28"/>
  <c r="CM48" i="28"/>
  <c r="C36" i="82" s="1"/>
  <c r="DK212" i="29"/>
  <c r="J210" i="47"/>
  <c r="CY203" i="47"/>
  <c r="CP48" i="34"/>
  <c r="CQ42" i="34"/>
  <c r="CT48" i="34"/>
  <c r="W81" i="17"/>
  <c r="W82" i="17"/>
  <c r="F37" i="89"/>
  <c r="Y37" i="89"/>
  <c r="AU62" i="45"/>
  <c r="B244" i="45"/>
  <c r="B426" i="45" s="1"/>
  <c r="CP130" i="29"/>
  <c r="CQ110" i="29"/>
  <c r="CQ120" i="29"/>
  <c r="CR110" i="29"/>
  <c r="CV110" i="29"/>
  <c r="CP115" i="29"/>
  <c r="CP116" i="29"/>
  <c r="CP114" i="29"/>
  <c r="CQ124" i="29" s="1"/>
  <c r="AB778" i="46"/>
  <c r="AB777" i="46"/>
  <c r="DO11" i="28"/>
  <c r="X11" i="20"/>
  <c r="K13" i="85"/>
  <c r="BQ150" i="47"/>
  <c r="BN150" i="47"/>
  <c r="BU150" i="47"/>
  <c r="BX150" i="47"/>
  <c r="AI603" i="46"/>
  <c r="D610" i="46"/>
  <c r="H610" i="46" s="1"/>
  <c r="D603" i="46"/>
  <c r="H603" i="46" s="1"/>
  <c r="S604" i="46"/>
  <c r="B322" i="45"/>
  <c r="B504" i="45" s="1"/>
  <c r="AU140" i="45"/>
  <c r="W66" i="20"/>
  <c r="J26" i="85"/>
  <c r="DN28" i="28"/>
  <c r="DO172" i="29"/>
  <c r="DN173" i="29"/>
  <c r="AD688" i="46"/>
  <c r="AK688" i="46"/>
  <c r="AM688" i="46" s="1"/>
  <c r="AB665" i="46"/>
  <c r="AB664" i="46"/>
  <c r="K504" i="45"/>
  <c r="Z141" i="46"/>
  <c r="AQ504" i="45"/>
  <c r="K510" i="45"/>
  <c r="Q9" i="40"/>
  <c r="Q12" i="40"/>
  <c r="Q321" i="40" s="1"/>
  <c r="BC66" i="29"/>
  <c r="BH66" i="29"/>
  <c r="DH10" i="28"/>
  <c r="DH13" i="28" s="1"/>
  <c r="AI77" i="17"/>
  <c r="D8" i="85"/>
  <c r="Q15" i="20"/>
  <c r="Q12" i="20" s="1"/>
  <c r="Q37" i="20"/>
  <c r="S525" i="46"/>
  <c r="AI524" i="46"/>
  <c r="D524" i="46"/>
  <c r="H524" i="46" s="1"/>
  <c r="D531" i="46"/>
  <c r="H531" i="46" s="1"/>
  <c r="U524" i="46"/>
  <c r="DG211" i="29"/>
  <c r="DF215" i="29"/>
  <c r="DG215" i="29" s="1"/>
  <c r="DF221" i="29"/>
  <c r="DF213" i="29"/>
  <c r="CM42" i="34"/>
  <c r="CL48" i="34"/>
  <c r="AB603" i="46"/>
  <c r="AB607" i="46"/>
  <c r="AD586" i="46"/>
  <c r="AF586" i="46" s="1"/>
  <c r="AK579" i="46"/>
  <c r="AD579" i="46"/>
  <c r="AF579" i="46" s="1"/>
  <c r="U465" i="46"/>
  <c r="N465" i="46"/>
  <c r="CB34" i="47"/>
  <c r="BM34" i="47"/>
  <c r="BW34" i="47"/>
  <c r="AT102" i="45"/>
  <c r="A284" i="45"/>
  <c r="A466" i="45" s="1"/>
  <c r="AB815" i="46"/>
  <c r="AB814" i="46"/>
  <c r="Z55" i="12"/>
  <c r="AR418" i="45"/>
  <c r="J15" i="89"/>
  <c r="Y15" i="89"/>
  <c r="E19" i="89"/>
  <c r="F15" i="89"/>
  <c r="Y45" i="89"/>
  <c r="J45" i="89"/>
  <c r="F45" i="89"/>
  <c r="F32" i="89"/>
  <c r="Y32" i="89"/>
  <c r="F23" i="89"/>
  <c r="Y23" i="89"/>
  <c r="DY105" i="47"/>
  <c r="DY98" i="47"/>
  <c r="BU94" i="47"/>
  <c r="H89" i="12"/>
  <c r="CL13" i="38"/>
  <c r="AI583" i="46"/>
  <c r="AI149" i="46"/>
  <c r="BR167" i="37"/>
  <c r="BR190" i="37" s="1"/>
  <c r="BR213" i="37"/>
  <c r="Z160" i="37"/>
  <c r="Z183" i="37" s="1"/>
  <c r="Z206" i="37"/>
  <c r="AT157" i="37"/>
  <c r="AT180" i="37" s="1"/>
  <c r="AT203" i="37"/>
  <c r="EB33" i="37"/>
  <c r="EA126" i="37" s="1"/>
  <c r="EA195" i="37" s="1"/>
  <c r="EC10" i="37"/>
  <c r="AB329" i="46"/>
  <c r="AB330" i="46"/>
  <c r="AB444" i="46"/>
  <c r="AD444" i="46" s="1"/>
  <c r="AB443" i="46"/>
  <c r="AQ114" i="29"/>
  <c r="AQ124" i="29"/>
  <c r="AV114" i="29"/>
  <c r="BC124" i="29"/>
  <c r="BC114" i="29"/>
  <c r="BH114" i="29"/>
  <c r="BS114" i="29"/>
  <c r="BS124" i="29"/>
  <c r="BX114" i="29"/>
  <c r="BR150" i="29"/>
  <c r="BR136" i="29"/>
  <c r="BR140" i="29"/>
  <c r="BS130" i="29"/>
  <c r="BR135" i="29"/>
  <c r="DG116" i="29"/>
  <c r="DG126" i="29"/>
  <c r="DH116" i="29"/>
  <c r="DL116" i="29"/>
  <c r="K99" i="85"/>
  <c r="K141" i="85"/>
  <c r="K57" i="85"/>
  <c r="BB135" i="29"/>
  <c r="AA140" i="29"/>
  <c r="AE140" i="29"/>
  <c r="EL85" i="37"/>
  <c r="EM16" i="37"/>
  <c r="HY18" i="38"/>
  <c r="AF44" i="89"/>
  <c r="AG44" i="89" s="1"/>
  <c r="O44" i="89"/>
  <c r="T44" i="89"/>
  <c r="AF45" i="89"/>
  <c r="AG45" i="89" s="1"/>
  <c r="T45" i="89"/>
  <c r="O45" i="89"/>
  <c r="R125" i="9"/>
  <c r="AM125" i="9"/>
  <c r="AM97" i="9"/>
  <c r="R97" i="9"/>
  <c r="J99" i="9"/>
  <c r="CP49" i="34"/>
  <c r="CQ43" i="34"/>
  <c r="CU43" i="34"/>
  <c r="CT49" i="34"/>
  <c r="AB786" i="46"/>
  <c r="AB785" i="46"/>
  <c r="AB557" i="46"/>
  <c r="AB556" i="46"/>
  <c r="M99" i="85"/>
  <c r="M57" i="85"/>
  <c r="M141" i="85"/>
  <c r="BK84" i="29"/>
  <c r="P43" i="20"/>
  <c r="CY111" i="29"/>
  <c r="CY121" i="29"/>
  <c r="CX131" i="29"/>
  <c r="DD111" i="29"/>
  <c r="CX116" i="29"/>
  <c r="CZ111" i="29"/>
  <c r="CX114" i="29"/>
  <c r="DD65" i="29"/>
  <c r="CY65" i="29"/>
  <c r="CZ65" i="29"/>
  <c r="DY160" i="47"/>
  <c r="DX161" i="47"/>
  <c r="DZ160" i="47"/>
  <c r="EA160" i="47"/>
  <c r="AJ317" i="40"/>
  <c r="AJ66" i="40"/>
  <c r="U204" i="47"/>
  <c r="GA23" i="38"/>
  <c r="AI204" i="47"/>
  <c r="M204" i="47"/>
  <c r="BK204" i="47"/>
  <c r="BG204" i="47"/>
  <c r="AD204" i="47"/>
  <c r="BB204" i="47"/>
  <c r="DZ204" i="47"/>
  <c r="AG334" i="40"/>
  <c r="S78" i="12"/>
  <c r="BW49" i="47"/>
  <c r="BN49" i="47" s="1"/>
  <c r="BM49" i="47"/>
  <c r="BM56" i="47"/>
  <c r="CB49" i="47"/>
  <c r="AI48" i="12"/>
  <c r="D48" i="12"/>
  <c r="D55" i="12"/>
  <c r="U48" i="12"/>
  <c r="AQ34" i="47"/>
  <c r="BI27" i="47"/>
  <c r="AR27" i="47" s="1"/>
  <c r="AX23" i="38"/>
  <c r="H56" i="12"/>
  <c r="AX202" i="37"/>
  <c r="AX156" i="37"/>
  <c r="AX179" i="37" s="1"/>
  <c r="BR151" i="37"/>
  <c r="BR174" i="37" s="1"/>
  <c r="BR197" i="37"/>
  <c r="AH196" i="37"/>
  <c r="AH150" i="37"/>
  <c r="AH173" i="37" s="1"/>
  <c r="V34" i="9"/>
  <c r="X34" i="9" s="1"/>
  <c r="L43" i="12"/>
  <c r="L42" i="12"/>
  <c r="BF135" i="29"/>
  <c r="BK135" i="29" s="1"/>
  <c r="BF134" i="29"/>
  <c r="BF140" i="29"/>
  <c r="BF136" i="29"/>
  <c r="BK136" i="29" s="1"/>
  <c r="BF150" i="29"/>
  <c r="BG130" i="29"/>
  <c r="BK130" i="29"/>
  <c r="CD141" i="29"/>
  <c r="CI131" i="29"/>
  <c r="CD134" i="29"/>
  <c r="CD135" i="29"/>
  <c r="CI135" i="29" s="1"/>
  <c r="CD136" i="29"/>
  <c r="EJ132" i="47"/>
  <c r="CP231" i="29"/>
  <c r="CQ221" i="29"/>
  <c r="M534" i="45"/>
  <c r="Z359" i="46"/>
  <c r="M540" i="45"/>
  <c r="AQ526" i="45"/>
  <c r="Z167" i="46"/>
  <c r="K532" i="45"/>
  <c r="K526" i="45"/>
  <c r="DA39" i="28"/>
  <c r="DA13" i="28"/>
  <c r="DA37" i="28"/>
  <c r="AI165" i="29"/>
  <c r="AE165" i="29"/>
  <c r="H89" i="85"/>
  <c r="H131" i="85"/>
  <c r="H47" i="85"/>
  <c r="H37" i="85"/>
  <c r="I37" i="85"/>
  <c r="DL46" i="28"/>
  <c r="L49" i="9"/>
  <c r="D43" i="9"/>
  <c r="L42" i="9"/>
  <c r="J26" i="89"/>
  <c r="D26" i="89"/>
  <c r="BA137" i="40"/>
  <c r="BA139" i="40"/>
  <c r="BA115" i="40"/>
  <c r="BA136" i="40" s="1"/>
  <c r="BA138" i="40"/>
  <c r="V317" i="40"/>
  <c r="W66" i="40"/>
  <c r="AK356" i="46"/>
  <c r="AI360" i="46"/>
  <c r="AD212" i="37"/>
  <c r="AD166" i="37"/>
  <c r="AD189" i="37" s="1"/>
  <c r="N212" i="37"/>
  <c r="N166" i="37"/>
  <c r="N189" i="37" s="1"/>
  <c r="BN202" i="37"/>
  <c r="BN156" i="37"/>
  <c r="BN179" i="37" s="1"/>
  <c r="AR519" i="45"/>
  <c r="Z180" i="12"/>
  <c r="BF153" i="29"/>
  <c r="BF143" i="29"/>
  <c r="L56" i="85"/>
  <c r="L140" i="85"/>
  <c r="L98" i="85"/>
  <c r="DB235" i="29"/>
  <c r="DK229" i="29"/>
  <c r="Z77" i="12"/>
  <c r="AR431" i="45"/>
  <c r="AR437" i="45"/>
  <c r="AM190" i="9"/>
  <c r="R190" i="9"/>
  <c r="AB261" i="46"/>
  <c r="AB265" i="46"/>
  <c r="AQ449" i="45"/>
  <c r="K449" i="45"/>
  <c r="K455" i="45"/>
  <c r="Z77" i="46"/>
  <c r="AB759" i="46"/>
  <c r="AB763" i="46"/>
  <c r="EK85" i="37"/>
  <c r="EL16" i="37"/>
  <c r="AP230" i="29"/>
  <c r="AP224" i="29"/>
  <c r="AQ224" i="29" s="1"/>
  <c r="AQ220" i="29"/>
  <c r="AP225" i="29"/>
  <c r="AQ225" i="29" s="1"/>
  <c r="N77" i="20"/>
  <c r="N78" i="20" s="1"/>
  <c r="BC213" i="29"/>
  <c r="BB223" i="29"/>
  <c r="D65" i="45"/>
  <c r="E62" i="45"/>
  <c r="J62" i="45"/>
  <c r="K142" i="29"/>
  <c r="AR118" i="9"/>
  <c r="AT118" i="9" s="1"/>
  <c r="AV118" i="9" s="1"/>
  <c r="AJ118" i="9"/>
  <c r="Z166" i="37"/>
  <c r="Z189" i="37" s="1"/>
  <c r="Z212" i="37"/>
  <c r="V211" i="37"/>
  <c r="V165" i="37"/>
  <c r="V188" i="37" s="1"/>
  <c r="G116" i="29"/>
  <c r="G126" i="29"/>
  <c r="J231" i="29"/>
  <c r="K221" i="29"/>
  <c r="S125" i="29"/>
  <c r="S115" i="29"/>
  <c r="CY221" i="29"/>
  <c r="CX231" i="29"/>
  <c r="N693" i="46"/>
  <c r="P693" i="46" s="1"/>
  <c r="U693" i="46"/>
  <c r="AW84" i="17"/>
  <c r="AW85" i="17"/>
  <c r="AX213" i="29"/>
  <c r="AX221" i="29"/>
  <c r="BC221" i="29" s="1"/>
  <c r="AY211" i="29"/>
  <c r="AX215" i="29"/>
  <c r="AY215" i="29" s="1"/>
  <c r="Z131" i="29"/>
  <c r="AA121" i="29"/>
  <c r="Z116" i="29"/>
  <c r="AB111" i="29"/>
  <c r="Z114" i="29"/>
  <c r="AF111" i="29"/>
  <c r="Z115" i="29"/>
  <c r="AA111" i="29"/>
  <c r="N221" i="29"/>
  <c r="N225" i="29" s="1"/>
  <c r="O225" i="29" s="1"/>
  <c r="O211" i="29"/>
  <c r="K65" i="29"/>
  <c r="P65" i="29"/>
  <c r="P64" i="29"/>
  <c r="K64" i="29"/>
  <c r="L64" i="29"/>
  <c r="M43" i="40"/>
  <c r="M44" i="40" s="1"/>
  <c r="J34" i="20"/>
  <c r="J35" i="20" s="1"/>
  <c r="AM54" i="29"/>
  <c r="M94" i="85"/>
  <c r="M52" i="85"/>
  <c r="N39" i="85"/>
  <c r="N113" i="29"/>
  <c r="N114" i="29" s="1"/>
  <c r="T63" i="29"/>
  <c r="O63" i="29"/>
  <c r="N212" i="29"/>
  <c r="N213" i="29" s="1"/>
  <c r="K63" i="29"/>
  <c r="J212" i="29"/>
  <c r="J113" i="29"/>
  <c r="L63" i="29"/>
  <c r="P63" i="29"/>
  <c r="BM154" i="47"/>
  <c r="AB318" i="40"/>
  <c r="R105" i="20"/>
  <c r="AC114" i="40"/>
  <c r="AB114" i="40"/>
  <c r="AB144" i="40" s="1"/>
  <c r="AB350" i="40" s="1"/>
  <c r="AB135" i="40"/>
  <c r="AB149" i="40"/>
  <c r="AB342" i="40" s="1"/>
  <c r="AR119" i="47"/>
  <c r="M119" i="47"/>
  <c r="P119" i="47"/>
  <c r="U119" i="47"/>
  <c r="DZ119" i="47"/>
  <c r="DY112" i="47"/>
  <c r="AH213" i="37"/>
  <c r="AH167" i="37"/>
  <c r="AH190" i="37" s="1"/>
  <c r="BV203" i="37"/>
  <c r="BV157" i="37"/>
  <c r="BV180" i="37" s="1"/>
  <c r="H12" i="85"/>
  <c r="AQ78" i="17"/>
  <c r="U20" i="20"/>
  <c r="DL14" i="28"/>
  <c r="BV229" i="29"/>
  <c r="BW219" i="29"/>
  <c r="BV223" i="29"/>
  <c r="BV225" i="29"/>
  <c r="BW225" i="29" s="1"/>
  <c r="BV224" i="29"/>
  <c r="BW224" i="29" s="1"/>
  <c r="EA139" i="47"/>
  <c r="DY139" i="47"/>
  <c r="DZ139" i="47"/>
  <c r="DY146" i="47"/>
  <c r="BK116" i="29"/>
  <c r="BK126" i="29"/>
  <c r="BP116" i="29"/>
  <c r="BJ156" i="29"/>
  <c r="BS151" i="29"/>
  <c r="BJ155" i="29"/>
  <c r="AD700" i="46"/>
  <c r="AF700" i="46" s="1"/>
  <c r="AK693" i="46"/>
  <c r="AD252" i="46"/>
  <c r="AF252" i="46" s="1"/>
  <c r="AI135" i="12"/>
  <c r="AK134" i="12"/>
  <c r="D107" i="46"/>
  <c r="H107" i="46" s="1"/>
  <c r="D100" i="46"/>
  <c r="H100" i="46" s="1"/>
  <c r="E98" i="47"/>
  <c r="AM91" i="46"/>
  <c r="U85" i="46"/>
  <c r="N92" i="46"/>
  <c r="N41" i="46"/>
  <c r="P41" i="46" s="1"/>
  <c r="U34" i="46"/>
  <c r="N34" i="46"/>
  <c r="P34" i="46" s="1"/>
  <c r="AI30" i="46"/>
  <c r="N26" i="46"/>
  <c r="L23" i="46"/>
  <c r="AB47" i="46"/>
  <c r="AB48" i="46"/>
  <c r="W217" i="46"/>
  <c r="DZ154" i="47"/>
  <c r="D65" i="46"/>
  <c r="H65" i="46" s="1"/>
  <c r="AI710" i="46"/>
  <c r="AK709" i="46"/>
  <c r="AR531" i="45"/>
  <c r="Z194" i="12"/>
  <c r="AR537" i="45"/>
  <c r="G91" i="47"/>
  <c r="Y59" i="40"/>
  <c r="BI91" i="47"/>
  <c r="H91" i="47" s="1"/>
  <c r="BL91" i="47"/>
  <c r="AD148" i="12"/>
  <c r="AK148" i="12"/>
  <c r="AD155" i="12"/>
  <c r="AM459" i="46"/>
  <c r="BR49" i="28"/>
  <c r="Q37" i="82" s="1"/>
  <c r="Y37" i="82" s="1"/>
  <c r="BM38" i="28"/>
  <c r="BM32" i="28"/>
  <c r="BM21" i="28"/>
  <c r="BM49" i="28"/>
  <c r="AB65" i="12"/>
  <c r="AK61" i="12"/>
  <c r="I49" i="28"/>
  <c r="I21" i="28"/>
  <c r="I32" i="28"/>
  <c r="I38" i="28"/>
  <c r="DK65" i="29"/>
  <c r="DL65" i="29"/>
  <c r="DF46" i="28"/>
  <c r="DF37" i="28"/>
  <c r="DG46" i="28"/>
  <c r="DF13" i="28"/>
  <c r="K54" i="20"/>
  <c r="K56" i="20"/>
  <c r="K51" i="20"/>
  <c r="AU34" i="45"/>
  <c r="B216" i="45"/>
  <c r="B398" i="45" s="1"/>
  <c r="DB46" i="28"/>
  <c r="AI278" i="40"/>
  <c r="AH279" i="40"/>
  <c r="L30" i="12"/>
  <c r="AD154" i="46"/>
  <c r="EK97" i="37"/>
  <c r="EK98" i="37" s="1"/>
  <c r="AK111" i="12"/>
  <c r="AD118" i="12"/>
  <c r="DG143" i="29"/>
  <c r="AB156" i="46"/>
  <c r="DM46" i="28"/>
  <c r="AD167" i="9"/>
  <c r="AH167" i="9"/>
  <c r="AJ167" i="9" s="1"/>
  <c r="CE124" i="29"/>
  <c r="CE114" i="29"/>
  <c r="CN116" i="29"/>
  <c r="CI116" i="29"/>
  <c r="BO124" i="29"/>
  <c r="BT114" i="29"/>
  <c r="BO114" i="29"/>
  <c r="BP115" i="29"/>
  <c r="BO125" i="29"/>
  <c r="BT115" i="29"/>
  <c r="BO115" i="29"/>
  <c r="DF19" i="28"/>
  <c r="O41" i="20"/>
  <c r="BL118" i="40"/>
  <c r="BM125" i="40"/>
  <c r="DV175" i="47"/>
  <c r="U93" i="46"/>
  <c r="IC22" i="38"/>
  <c r="IC23" i="38" s="1"/>
  <c r="I362" i="45"/>
  <c r="H544" i="45"/>
  <c r="AR362" i="45"/>
  <c r="P42" i="28"/>
  <c r="P27" i="28"/>
  <c r="O26" i="89"/>
  <c r="AF26" i="89"/>
  <c r="AG26" i="89" s="1"/>
  <c r="T26" i="89"/>
  <c r="N40" i="89"/>
  <c r="AD481" i="46"/>
  <c r="AF481" i="46" s="1"/>
  <c r="DK113" i="29"/>
  <c r="DL113" i="29"/>
  <c r="AB7" i="20"/>
  <c r="DK24" i="29"/>
  <c r="DK84" i="29"/>
  <c r="DK74" i="29"/>
  <c r="DL202" i="29"/>
  <c r="CM38" i="28"/>
  <c r="AO39" i="89"/>
  <c r="AL39" i="89" s="1"/>
  <c r="DV233" i="47"/>
  <c r="DQ233" i="47"/>
  <c r="EB233" i="47"/>
  <c r="IC27" i="38"/>
  <c r="IC28" i="38" s="1"/>
  <c r="II26" i="38"/>
  <c r="IV26" i="38" s="1"/>
  <c r="DI241" i="47"/>
  <c r="AD47" i="89"/>
  <c r="P36" i="46" l="1"/>
  <c r="AI127" i="12"/>
  <c r="AK127" i="12" s="1"/>
  <c r="BE138" i="40"/>
  <c r="EN26" i="37"/>
  <c r="D127" i="12"/>
  <c r="AF431" i="46"/>
  <c r="Y15" i="20"/>
  <c r="Y28" i="20"/>
  <c r="DP16" i="28" s="1"/>
  <c r="EJ82" i="37"/>
  <c r="EJ83" i="37" s="1"/>
  <c r="AM36" i="46"/>
  <c r="D134" i="12"/>
  <c r="AK66" i="40"/>
  <c r="BM41" i="47"/>
  <c r="AM472" i="46"/>
  <c r="AF545" i="46"/>
  <c r="Y14" i="20"/>
  <c r="AF289" i="46"/>
  <c r="DY119" i="47"/>
  <c r="BM48" i="47"/>
  <c r="BE137" i="40"/>
  <c r="AF105" i="46"/>
  <c r="AF36" i="46"/>
  <c r="Y20" i="20"/>
  <c r="EH96" i="37"/>
  <c r="EH97" i="37" s="1"/>
  <c r="EH98" i="37" s="1"/>
  <c r="DY227" i="47"/>
  <c r="L6" i="85"/>
  <c r="AK97" i="40"/>
  <c r="AK349" i="40" s="1"/>
  <c r="AM133" i="46"/>
  <c r="D696" i="46"/>
  <c r="H696" i="46" s="1"/>
  <c r="AK9" i="40"/>
  <c r="AF98" i="46"/>
  <c r="BP161" i="47"/>
  <c r="EJ91" i="37"/>
  <c r="EJ92" i="37" s="1"/>
  <c r="EJ93" i="37" s="1"/>
  <c r="HZ27" i="38"/>
  <c r="HZ28" i="38" s="1"/>
  <c r="AK184" i="46"/>
  <c r="AK13" i="40"/>
  <c r="AK14" i="40" s="1"/>
  <c r="K119" i="20"/>
  <c r="AF89" i="46"/>
  <c r="AI290" i="46"/>
  <c r="AM153" i="46"/>
  <c r="AD334" i="40"/>
  <c r="AK49" i="40"/>
  <c r="AK345" i="40" s="1"/>
  <c r="AM141" i="9"/>
  <c r="AM98" i="9"/>
  <c r="R148" i="9"/>
  <c r="EJ86" i="37"/>
  <c r="EJ87" i="37" s="1"/>
  <c r="EJ88" i="37" s="1"/>
  <c r="BM161" i="47"/>
  <c r="HW18" i="38"/>
  <c r="U63" i="47"/>
  <c r="W587" i="46"/>
  <c r="AF688" i="46"/>
  <c r="AR63" i="47"/>
  <c r="W233" i="46"/>
  <c r="W531" i="46"/>
  <c r="DU175" i="47"/>
  <c r="EK16" i="37"/>
  <c r="EK39" i="37" s="1"/>
  <c r="AM771" i="46"/>
  <c r="U88" i="40"/>
  <c r="H63" i="47"/>
  <c r="AF302" i="46"/>
  <c r="AF294" i="46"/>
  <c r="F162" i="85"/>
  <c r="DJ29" i="28"/>
  <c r="AK169" i="12"/>
  <c r="AM169" i="12" s="1"/>
  <c r="AD169" i="12"/>
  <c r="AD176" i="12"/>
  <c r="N98" i="46"/>
  <c r="P98" i="46" s="1"/>
  <c r="U98" i="46"/>
  <c r="W98" i="46" s="1"/>
  <c r="Z48" i="12"/>
  <c r="AR406" i="45"/>
  <c r="AX234" i="29"/>
  <c r="O66" i="45"/>
  <c r="N67" i="45"/>
  <c r="J536" i="46"/>
  <c r="L536" i="46" s="1"/>
  <c r="AY131" i="29"/>
  <c r="AT151" i="29"/>
  <c r="AT141" i="29"/>
  <c r="CB115" i="29"/>
  <c r="BW115" i="29"/>
  <c r="BW125" i="29"/>
  <c r="AG80" i="28"/>
  <c r="AB124" i="12"/>
  <c r="BZ153" i="29"/>
  <c r="BZ143" i="29"/>
  <c r="G140" i="29"/>
  <c r="Z96" i="12"/>
  <c r="AB97" i="12" s="1"/>
  <c r="AR447" i="45"/>
  <c r="R87" i="40"/>
  <c r="R88" i="40" s="1"/>
  <c r="R79" i="40"/>
  <c r="R97" i="40" s="1"/>
  <c r="R349" i="40" s="1"/>
  <c r="L795" i="46"/>
  <c r="AJ66" i="45"/>
  <c r="AK65" i="45"/>
  <c r="CA130" i="29"/>
  <c r="BV140" i="29"/>
  <c r="BV150" i="29"/>
  <c r="AR453" i="45"/>
  <c r="BX115" i="29"/>
  <c r="K121" i="20"/>
  <c r="AB166" i="9"/>
  <c r="AB174" i="12"/>
  <c r="AK174" i="12" s="1"/>
  <c r="AB175" i="12"/>
  <c r="BQ80" i="28"/>
  <c r="BG126" i="29"/>
  <c r="BG116" i="29"/>
  <c r="F135" i="29"/>
  <c r="G135" i="29" s="1"/>
  <c r="I30" i="89"/>
  <c r="AC23" i="89"/>
  <c r="W23" i="89" s="1"/>
  <c r="X23" i="89" s="1"/>
  <c r="AV318" i="40"/>
  <c r="O41" i="40"/>
  <c r="BA49" i="28"/>
  <c r="AK528" i="46"/>
  <c r="AM535" i="46" s="1"/>
  <c r="L370" i="45"/>
  <c r="L551" i="45"/>
  <c r="Z379" i="46" s="1"/>
  <c r="M369" i="45"/>
  <c r="AD222" i="29"/>
  <c r="AE212" i="29"/>
  <c r="AD213" i="29"/>
  <c r="X176" i="45"/>
  <c r="J480" i="46"/>
  <c r="L480" i="46" s="1"/>
  <c r="U480" i="46" s="1"/>
  <c r="D111" i="89"/>
  <c r="CE132" i="29"/>
  <c r="BZ142" i="29"/>
  <c r="BX27" i="28"/>
  <c r="DC143" i="29"/>
  <c r="HY10" i="38"/>
  <c r="HY11" i="38"/>
  <c r="BJ175" i="40"/>
  <c r="BI164" i="40"/>
  <c r="BI162" i="40"/>
  <c r="AC25" i="89"/>
  <c r="I32" i="89"/>
  <c r="BR153" i="29"/>
  <c r="BR143" i="29"/>
  <c r="L724" i="46"/>
  <c r="J23" i="89"/>
  <c r="CH134" i="29"/>
  <c r="CD223" i="29"/>
  <c r="AD594" i="46"/>
  <c r="AF594" i="46" s="1"/>
  <c r="CF116" i="29"/>
  <c r="BK70" i="47"/>
  <c r="AC41" i="28"/>
  <c r="EJ21" i="37"/>
  <c r="EJ23" i="37" s="1"/>
  <c r="EI46" i="37" s="1"/>
  <c r="EI69" i="37" s="1"/>
  <c r="Q192" i="40"/>
  <c r="Q220" i="40" s="1"/>
  <c r="Q351" i="40" s="1"/>
  <c r="AD104" i="46"/>
  <c r="AF104" i="46" s="1"/>
  <c r="AD521" i="46"/>
  <c r="AF521" i="46" s="1"/>
  <c r="AR51" i="28"/>
  <c r="N234" i="46"/>
  <c r="N49" i="46"/>
  <c r="P49" i="46" s="1"/>
  <c r="AE71" i="45"/>
  <c r="AD72" i="45"/>
  <c r="J125" i="45"/>
  <c r="J120" i="46"/>
  <c r="L120" i="46" s="1"/>
  <c r="K122" i="45"/>
  <c r="BV80" i="28"/>
  <c r="AB173" i="9"/>
  <c r="AB182" i="12"/>
  <c r="R233" i="29"/>
  <c r="E80" i="20"/>
  <c r="AU141" i="29"/>
  <c r="C52" i="85"/>
  <c r="C72" i="85" s="1"/>
  <c r="C94" i="85"/>
  <c r="C96" i="85" s="1"/>
  <c r="C115" i="85" s="1"/>
  <c r="C136" i="85"/>
  <c r="C162" i="85" s="1"/>
  <c r="Z22" i="12"/>
  <c r="AR384" i="45"/>
  <c r="L46" i="40"/>
  <c r="M47" i="40" s="1"/>
  <c r="M49" i="40" s="1"/>
  <c r="AR390" i="45"/>
  <c r="V234" i="29"/>
  <c r="V235" i="29"/>
  <c r="AA229" i="29"/>
  <c r="BN104" i="47"/>
  <c r="BQ104" i="47"/>
  <c r="BX104" i="47"/>
  <c r="BU104" i="47"/>
  <c r="BO221" i="29"/>
  <c r="BS221" i="29"/>
  <c r="BN231" i="29"/>
  <c r="BN235" i="29" s="1"/>
  <c r="BW221" i="29"/>
  <c r="BA80" i="28"/>
  <c r="AB152" i="12"/>
  <c r="AB153" i="12"/>
  <c r="AB144" i="9"/>
  <c r="BG213" i="29"/>
  <c r="O77" i="20"/>
  <c r="O78" i="20" s="1"/>
  <c r="DK132" i="29"/>
  <c r="DF142" i="29"/>
  <c r="DG132" i="29"/>
  <c r="BB150" i="29"/>
  <c r="BC150" i="29" s="1"/>
  <c r="BC130" i="29"/>
  <c r="BB140" i="29"/>
  <c r="BG140" i="29" s="1"/>
  <c r="AG66" i="45"/>
  <c r="AF67" i="45"/>
  <c r="U27" i="40"/>
  <c r="V27" i="40"/>
  <c r="U31" i="40"/>
  <c r="U367" i="40" s="1"/>
  <c r="V31" i="40"/>
  <c r="V367" i="40" s="1"/>
  <c r="BN151" i="29"/>
  <c r="BO151" i="29" s="1"/>
  <c r="BN141" i="29"/>
  <c r="BO141" i="29" s="1"/>
  <c r="R4" i="82"/>
  <c r="Z4" i="82" s="1"/>
  <c r="DJ46" i="28"/>
  <c r="S34" i="82" s="1"/>
  <c r="AA34" i="82" s="1"/>
  <c r="DI46" i="28"/>
  <c r="R34" i="82" s="1"/>
  <c r="Z34" i="82" s="1"/>
  <c r="BF165" i="40"/>
  <c r="BG179" i="40"/>
  <c r="Q8" i="82"/>
  <c r="Y8" i="82" s="1"/>
  <c r="BR36" i="28"/>
  <c r="Q26" i="82" s="1"/>
  <c r="Y26" i="82" s="1"/>
  <c r="CA220" i="29"/>
  <c r="BZ224" i="29"/>
  <c r="CA224" i="29" s="1"/>
  <c r="BZ223" i="29"/>
  <c r="BZ230" i="29"/>
  <c r="CA230" i="29" s="1"/>
  <c r="AR38" i="28"/>
  <c r="AR32" i="28"/>
  <c r="AR43" i="28" s="1"/>
  <c r="AR21" i="28"/>
  <c r="AK125" i="12"/>
  <c r="AM132" i="12" s="1"/>
  <c r="CU221" i="29"/>
  <c r="CT231" i="29"/>
  <c r="CU231" i="29" s="1"/>
  <c r="AB68" i="9"/>
  <c r="AD68" i="9" s="1"/>
  <c r="AF68" i="9" s="1"/>
  <c r="AB76" i="12"/>
  <c r="BW27" i="28"/>
  <c r="CB50" i="28" s="1"/>
  <c r="DC142" i="29"/>
  <c r="AB357" i="46"/>
  <c r="AB358" i="46"/>
  <c r="W36" i="28"/>
  <c r="W17" i="28"/>
  <c r="CT189" i="29"/>
  <c r="BP29" i="28"/>
  <c r="CU188" i="29"/>
  <c r="CT193" i="29"/>
  <c r="CU193" i="29" s="1"/>
  <c r="N486" i="45"/>
  <c r="O486" i="45" s="1"/>
  <c r="N307" i="45"/>
  <c r="O304" i="45"/>
  <c r="AC196" i="40"/>
  <c r="AR441" i="45"/>
  <c r="Y136" i="40"/>
  <c r="Z378" i="46"/>
  <c r="AB378" i="46" s="1"/>
  <c r="M550" i="45"/>
  <c r="CA229" i="29"/>
  <c r="CI229" i="29"/>
  <c r="AB64" i="46"/>
  <c r="AK64" i="46" s="1"/>
  <c r="AB68" i="46"/>
  <c r="AK68" i="46" s="1"/>
  <c r="W224" i="29"/>
  <c r="BG230" i="29"/>
  <c r="BC230" i="29"/>
  <c r="AB152" i="9"/>
  <c r="AB161" i="12"/>
  <c r="AD161" i="12" s="1"/>
  <c r="AF161" i="12" s="1"/>
  <c r="BG80" i="28"/>
  <c r="AB160" i="12"/>
  <c r="CU143" i="29"/>
  <c r="CY143" i="29"/>
  <c r="BS27" i="28"/>
  <c r="BS50" i="28" s="1"/>
  <c r="II25" i="38"/>
  <c r="IV25" i="38" s="1"/>
  <c r="DC221" i="29"/>
  <c r="P41" i="40"/>
  <c r="AB160" i="46"/>
  <c r="Z723" i="46"/>
  <c r="N275" i="46"/>
  <c r="P275" i="46" s="1"/>
  <c r="AF75" i="9"/>
  <c r="O285" i="40"/>
  <c r="O306" i="40"/>
  <c r="O287" i="40"/>
  <c r="P281" i="40"/>
  <c r="P284" i="40" s="1"/>
  <c r="O298" i="40"/>
  <c r="O299" i="40" s="1"/>
  <c r="CD231" i="29"/>
  <c r="CM221" i="29"/>
  <c r="CE221" i="29"/>
  <c r="CA126" i="29"/>
  <c r="J387" i="46"/>
  <c r="H122" i="45"/>
  <c r="HY25" i="38"/>
  <c r="EL95" i="37" s="1"/>
  <c r="HY26" i="38"/>
  <c r="GB28" i="38"/>
  <c r="AY125" i="29"/>
  <c r="AY115" i="29"/>
  <c r="AB120" i="12"/>
  <c r="CF51" i="28"/>
  <c r="AK708" i="46"/>
  <c r="AM715" i="46" s="1"/>
  <c r="AS6" i="17"/>
  <c r="AT6" i="22"/>
  <c r="BH237" i="40"/>
  <c r="BI249" i="40"/>
  <c r="CT136" i="29"/>
  <c r="CT134" i="29"/>
  <c r="CT144" i="29" s="1"/>
  <c r="CT142" i="29"/>
  <c r="CY132" i="29"/>
  <c r="J752" i="46"/>
  <c r="L752" i="46" s="1"/>
  <c r="T65" i="45"/>
  <c r="U62" i="45"/>
  <c r="CA114" i="29"/>
  <c r="CA124" i="29"/>
  <c r="R80" i="28"/>
  <c r="AB104" i="12"/>
  <c r="AB95" i="9"/>
  <c r="AD95" i="9" s="1"/>
  <c r="DC232" i="29"/>
  <c r="CU232" i="29"/>
  <c r="AU231" i="29"/>
  <c r="AQ231" i="29"/>
  <c r="AX151" i="29"/>
  <c r="AX155" i="29" s="1"/>
  <c r="AX141" i="29"/>
  <c r="AX145" i="29" s="1"/>
  <c r="AX135" i="29"/>
  <c r="BC135" i="29" s="1"/>
  <c r="AC22" i="89"/>
  <c r="I29" i="89"/>
  <c r="DP13" i="28"/>
  <c r="DO173" i="29"/>
  <c r="DS173" i="29"/>
  <c r="CT223" i="29"/>
  <c r="DC223" i="29" s="1"/>
  <c r="N68" i="40"/>
  <c r="N71" i="40" s="1"/>
  <c r="O68" i="40" s="1"/>
  <c r="O71" i="40" s="1"/>
  <c r="BW145" i="47"/>
  <c r="BQ145" i="47" s="1"/>
  <c r="CD225" i="29"/>
  <c r="CE225" i="29" s="1"/>
  <c r="BZ234" i="29"/>
  <c r="CA234" i="29" s="1"/>
  <c r="W9" i="40"/>
  <c r="CB116" i="29"/>
  <c r="AD63" i="47"/>
  <c r="DZ63" i="47"/>
  <c r="K115" i="20" s="1"/>
  <c r="AM106" i="9"/>
  <c r="AK126" i="12"/>
  <c r="AM133" i="12" s="1"/>
  <c r="AD107" i="46"/>
  <c r="AF107" i="46" s="1"/>
  <c r="U276" i="46"/>
  <c r="W275" i="46"/>
  <c r="AM286" i="46"/>
  <c r="J145" i="20"/>
  <c r="N794" i="46"/>
  <c r="P794" i="46" s="1"/>
  <c r="AD290" i="46"/>
  <c r="AD297" i="46"/>
  <c r="AF297" i="46" s="1"/>
  <c r="L654" i="46"/>
  <c r="N654" i="46" s="1"/>
  <c r="D44" i="46"/>
  <c r="H44" i="46" s="1"/>
  <c r="N535" i="46"/>
  <c r="P535" i="46" s="1"/>
  <c r="AT11" i="40"/>
  <c r="DY126" i="47"/>
  <c r="CU230" i="29"/>
  <c r="DG64" i="29"/>
  <c r="AH146" i="29"/>
  <c r="AH145" i="29"/>
  <c r="AM145" i="29" s="1"/>
  <c r="AU131" i="29"/>
  <c r="AB349" i="46"/>
  <c r="AB350" i="46"/>
  <c r="W116" i="45"/>
  <c r="V119" i="45"/>
  <c r="AQ116" i="45"/>
  <c r="J134" i="12" s="1"/>
  <c r="AB382" i="40"/>
  <c r="S124" i="29"/>
  <c r="S114" i="29"/>
  <c r="BZ152" i="29"/>
  <c r="BI117" i="40"/>
  <c r="BJ127" i="40"/>
  <c r="AB126" i="12"/>
  <c r="AH80" i="28"/>
  <c r="AB125" i="12"/>
  <c r="AK757" i="46"/>
  <c r="AM764" i="46" s="1"/>
  <c r="AD764" i="46"/>
  <c r="AF764" i="46" s="1"/>
  <c r="DK122" i="29"/>
  <c r="DK112" i="29"/>
  <c r="DJ132" i="29"/>
  <c r="DJ142" i="29" s="1"/>
  <c r="BF223" i="29"/>
  <c r="AJ43" i="20"/>
  <c r="V44" i="20"/>
  <c r="DM20" i="28"/>
  <c r="I17" i="85"/>
  <c r="O115" i="29"/>
  <c r="O125" i="29"/>
  <c r="F223" i="29"/>
  <c r="B77" i="20"/>
  <c r="B78" i="20" s="1"/>
  <c r="G213" i="29"/>
  <c r="Y32" i="20"/>
  <c r="Y44" i="20"/>
  <c r="CI232" i="29"/>
  <c r="CQ232" i="29"/>
  <c r="AQ126" i="29"/>
  <c r="AQ116" i="29"/>
  <c r="CA222" i="29"/>
  <c r="BS222" i="29"/>
  <c r="BR232" i="29"/>
  <c r="BR223" i="29"/>
  <c r="BR233" i="29" s="1"/>
  <c r="R113" i="9"/>
  <c r="AI54" i="28" s="1"/>
  <c r="AM113" i="9"/>
  <c r="BI91" i="28"/>
  <c r="BI93" i="28"/>
  <c r="BI89" i="28"/>
  <c r="CL140" i="29"/>
  <c r="CL136" i="29"/>
  <c r="CM136" i="29" s="1"/>
  <c r="CL135" i="29"/>
  <c r="CM135" i="29" s="1"/>
  <c r="CL134" i="29"/>
  <c r="CL144" i="29" s="1"/>
  <c r="DC34" i="29"/>
  <c r="DC74" i="29"/>
  <c r="DC64" i="29"/>
  <c r="DD202" i="29"/>
  <c r="DC84" i="29"/>
  <c r="DC24" i="29"/>
  <c r="DD24" i="29" s="1"/>
  <c r="DC14" i="29"/>
  <c r="DC114" i="29"/>
  <c r="Z7" i="20"/>
  <c r="EM96" i="37"/>
  <c r="EN96" i="37" s="1"/>
  <c r="EO96" i="37" s="1"/>
  <c r="EP96" i="37" s="1"/>
  <c r="EQ96" i="37" s="1"/>
  <c r="ER96" i="37" s="1"/>
  <c r="EN27" i="37"/>
  <c r="EN28" i="37" s="1"/>
  <c r="EN51" i="37" s="1"/>
  <c r="EM74" i="37" s="1"/>
  <c r="CE230" i="29"/>
  <c r="BJ177" i="40"/>
  <c r="BI163" i="40"/>
  <c r="R43" i="40"/>
  <c r="R44" i="40" s="1"/>
  <c r="AF64" i="29"/>
  <c r="AE64" i="29"/>
  <c r="BW136" i="29"/>
  <c r="N595" i="46"/>
  <c r="P595" i="46" s="1"/>
  <c r="CF115" i="29"/>
  <c r="CA115" i="29"/>
  <c r="CA125" i="29"/>
  <c r="W136" i="29"/>
  <c r="Q28" i="40"/>
  <c r="AG84" i="17"/>
  <c r="AG85" i="17"/>
  <c r="AN40" i="28"/>
  <c r="M84" i="40"/>
  <c r="M85" i="40" s="1"/>
  <c r="O230" i="29"/>
  <c r="BV135" i="29"/>
  <c r="BW135" i="29" s="1"/>
  <c r="BB134" i="29"/>
  <c r="CE133" i="29"/>
  <c r="AY222" i="29"/>
  <c r="BZ235" i="29"/>
  <c r="CA235" i="29" s="1"/>
  <c r="HV13" i="38"/>
  <c r="BK38" i="28"/>
  <c r="BK49" i="28"/>
  <c r="AK153" i="12"/>
  <c r="GB13" i="38"/>
  <c r="AB802" i="46"/>
  <c r="P26" i="12"/>
  <c r="AK514" i="46"/>
  <c r="AM521" i="46" s="1"/>
  <c r="L276" i="46"/>
  <c r="AK63" i="12"/>
  <c r="L66" i="45"/>
  <c r="M65" i="45"/>
  <c r="J237" i="46"/>
  <c r="L237" i="46" s="1"/>
  <c r="F98" i="85"/>
  <c r="F140" i="85"/>
  <c r="F56" i="85"/>
  <c r="CY10" i="28"/>
  <c r="CY13" i="28" s="1"/>
  <c r="H12" i="20"/>
  <c r="H15" i="20"/>
  <c r="H37" i="20"/>
  <c r="D231" i="29"/>
  <c r="G231" i="29" s="1"/>
  <c r="G221" i="29"/>
  <c r="J821" i="46"/>
  <c r="L821" i="46" s="1"/>
  <c r="U121" i="45"/>
  <c r="T122" i="45"/>
  <c r="K46" i="40"/>
  <c r="Z15" i="12"/>
  <c r="AB15" i="12" s="1"/>
  <c r="AN81" i="28"/>
  <c r="V125" i="9"/>
  <c r="X125" i="9" s="1"/>
  <c r="K84" i="40"/>
  <c r="L82" i="40"/>
  <c r="AB105" i="9"/>
  <c r="AD105" i="9" s="1"/>
  <c r="AF105" i="9" s="1"/>
  <c r="Z80" i="28"/>
  <c r="AB117" i="12"/>
  <c r="L12" i="12"/>
  <c r="L13" i="12"/>
  <c r="BZ151" i="29"/>
  <c r="CA151" i="29" s="1"/>
  <c r="BZ141" i="29"/>
  <c r="CE141" i="29" s="1"/>
  <c r="I98" i="85"/>
  <c r="I56" i="85"/>
  <c r="I140" i="85"/>
  <c r="AM77" i="17"/>
  <c r="S37" i="20"/>
  <c r="S15" i="20"/>
  <c r="S12" i="20" s="1"/>
  <c r="F8" i="85"/>
  <c r="DJ10" i="28"/>
  <c r="DK211" i="29"/>
  <c r="DJ221" i="29"/>
  <c r="BR183" i="29"/>
  <c r="BS182" i="29"/>
  <c r="BF225" i="29"/>
  <c r="BG225" i="29" s="1"/>
  <c r="BU205" i="47"/>
  <c r="BQ205" i="47"/>
  <c r="AK118" i="12"/>
  <c r="AM118" i="12" s="1"/>
  <c r="BZ150" i="29"/>
  <c r="CE130" i="29"/>
  <c r="BZ140" i="29"/>
  <c r="BZ136" i="29"/>
  <c r="BZ134" i="29"/>
  <c r="BZ135" i="29"/>
  <c r="CE135" i="29" s="1"/>
  <c r="H140" i="85"/>
  <c r="H56" i="85"/>
  <c r="H98" i="85"/>
  <c r="V66" i="45"/>
  <c r="W65" i="45"/>
  <c r="G66" i="45"/>
  <c r="F67" i="45"/>
  <c r="AD181" i="9"/>
  <c r="AH181" i="9"/>
  <c r="AJ181" i="9" s="1"/>
  <c r="AP142" i="29"/>
  <c r="AU142" i="29" s="1"/>
  <c r="AU132" i="29"/>
  <c r="BB224" i="29"/>
  <c r="BC224" i="29" s="1"/>
  <c r="BC219" i="29"/>
  <c r="BB229" i="29"/>
  <c r="BG219" i="29"/>
  <c r="AI229" i="29"/>
  <c r="AH234" i="29"/>
  <c r="AI234" i="29" s="1"/>
  <c r="CM116" i="29"/>
  <c r="CM126" i="29"/>
  <c r="BJ231" i="29"/>
  <c r="BK221" i="29"/>
  <c r="AB41" i="9"/>
  <c r="AD41" i="9" s="1"/>
  <c r="AB49" i="12"/>
  <c r="C28" i="82"/>
  <c r="J28" i="82" s="1"/>
  <c r="CA136" i="29"/>
  <c r="AK124" i="12"/>
  <c r="AM131" i="12" s="1"/>
  <c r="BH43" i="28"/>
  <c r="BH93" i="28"/>
  <c r="BH91" i="28"/>
  <c r="BH89" i="28"/>
  <c r="CA142" i="29"/>
  <c r="R234" i="29"/>
  <c r="R235" i="29"/>
  <c r="W229" i="29"/>
  <c r="S229" i="29"/>
  <c r="N286" i="40"/>
  <c r="N289" i="40"/>
  <c r="N290" i="40" s="1"/>
  <c r="AB160" i="9"/>
  <c r="BM80" i="28"/>
  <c r="AB168" i="12"/>
  <c r="AB21" i="46"/>
  <c r="AB23" i="46" s="1"/>
  <c r="AB22" i="46"/>
  <c r="AD29" i="46" s="1"/>
  <c r="D145" i="29"/>
  <c r="N135" i="29"/>
  <c r="N141" i="29"/>
  <c r="O131" i="29"/>
  <c r="V79" i="40"/>
  <c r="V97" i="40" s="1"/>
  <c r="V349" i="40" s="1"/>
  <c r="V87" i="40"/>
  <c r="V88" i="40" s="1"/>
  <c r="AT230" i="29"/>
  <c r="AY230" i="29" s="1"/>
  <c r="AY220" i="29"/>
  <c r="CM124" i="29"/>
  <c r="CM114" i="29"/>
  <c r="O126" i="45"/>
  <c r="N127" i="45"/>
  <c r="AC144" i="40"/>
  <c r="AC350" i="40" s="1"/>
  <c r="AR412" i="45"/>
  <c r="BF40" i="28"/>
  <c r="BF25" i="28"/>
  <c r="BF41" i="28"/>
  <c r="S47" i="40"/>
  <c r="S49" i="40" s="1"/>
  <c r="S345" i="40" s="1"/>
  <c r="T47" i="40"/>
  <c r="T49" i="40" s="1"/>
  <c r="T345" i="40" s="1"/>
  <c r="O101" i="45"/>
  <c r="N102" i="45"/>
  <c r="J16" i="85"/>
  <c r="DN19" i="28"/>
  <c r="L102" i="45"/>
  <c r="J279" i="46"/>
  <c r="L279" i="46" s="1"/>
  <c r="M101" i="45"/>
  <c r="Q62" i="45"/>
  <c r="J596" i="46"/>
  <c r="L596" i="46" s="1"/>
  <c r="L597" i="46" s="1"/>
  <c r="N597" i="46" s="1"/>
  <c r="P597" i="46" s="1"/>
  <c r="P65" i="45"/>
  <c r="J653" i="46"/>
  <c r="L653" i="46" s="1"/>
  <c r="P308" i="45"/>
  <c r="P489" i="45"/>
  <c r="Q489" i="45" s="1"/>
  <c r="K131" i="29"/>
  <c r="F141" i="29"/>
  <c r="K141" i="29" s="1"/>
  <c r="F136" i="29"/>
  <c r="G136" i="29" s="1"/>
  <c r="F134" i="29"/>
  <c r="S87" i="40"/>
  <c r="S79" i="40"/>
  <c r="S97" i="40" s="1"/>
  <c r="S349" i="40" s="1"/>
  <c r="BC222" i="29"/>
  <c r="BF43" i="28"/>
  <c r="BF91" i="28"/>
  <c r="BF51" i="28"/>
  <c r="AD535" i="46"/>
  <c r="AF535" i="46" s="1"/>
  <c r="AB532" i="46"/>
  <c r="AD539" i="46" s="1"/>
  <c r="AF539" i="46" s="1"/>
  <c r="AD708" i="46"/>
  <c r="AF708" i="46" s="1"/>
  <c r="DF140" i="29"/>
  <c r="DK130" i="29"/>
  <c r="DG130" i="29"/>
  <c r="DF136" i="29"/>
  <c r="DG136" i="29" s="1"/>
  <c r="DF135" i="29"/>
  <c r="DG135" i="29" s="1"/>
  <c r="DF134" i="29"/>
  <c r="AV21" i="28"/>
  <c r="AV32" i="28"/>
  <c r="AY89" i="28" s="1"/>
  <c r="AV38" i="28"/>
  <c r="AF113" i="29"/>
  <c r="AE123" i="29"/>
  <c r="AE113" i="29"/>
  <c r="AD133" i="29"/>
  <c r="AD114" i="29"/>
  <c r="AF114" i="29" s="1"/>
  <c r="AP146" i="29"/>
  <c r="AP145" i="29"/>
  <c r="AB42" i="9"/>
  <c r="AD42" i="9" s="1"/>
  <c r="AB50" i="12"/>
  <c r="AB54" i="12"/>
  <c r="DG74" i="29"/>
  <c r="DG24" i="29"/>
  <c r="DG14" i="29"/>
  <c r="DG84" i="29"/>
  <c r="DH202" i="29"/>
  <c r="AA7" i="20"/>
  <c r="DG34" i="29"/>
  <c r="BH11" i="40"/>
  <c r="AB194" i="9"/>
  <c r="AB202" i="12"/>
  <c r="AB203" i="12"/>
  <c r="AB84" i="12"/>
  <c r="BK74" i="40"/>
  <c r="BK65" i="40" s="1"/>
  <c r="BL72" i="40"/>
  <c r="BK64" i="40"/>
  <c r="CL141" i="29"/>
  <c r="CQ131" i="29"/>
  <c r="DG213" i="29"/>
  <c r="CK51" i="28"/>
  <c r="V146" i="29"/>
  <c r="V145" i="29"/>
  <c r="V13" i="9"/>
  <c r="X13" i="9" s="1"/>
  <c r="Z20" i="9" s="1"/>
  <c r="L22" i="12"/>
  <c r="L21" i="12"/>
  <c r="Q47" i="40"/>
  <c r="Q49" i="40" s="1"/>
  <c r="Q345" i="40" s="1"/>
  <c r="P47" i="40"/>
  <c r="P49" i="40" s="1"/>
  <c r="P345" i="40" s="1"/>
  <c r="H24" i="40"/>
  <c r="H25" i="40" s="1"/>
  <c r="CF114" i="29"/>
  <c r="AU220" i="29"/>
  <c r="BR134" i="29"/>
  <c r="BW134" i="29" s="1"/>
  <c r="CT225" i="29"/>
  <c r="CU225" i="29" s="1"/>
  <c r="II22" i="38"/>
  <c r="IV22" i="38" s="1"/>
  <c r="BL116" i="29"/>
  <c r="BW130" i="29"/>
  <c r="C27" i="82"/>
  <c r="CM62" i="28"/>
  <c r="L99" i="46"/>
  <c r="L100" i="46" s="1"/>
  <c r="N100" i="46" s="1"/>
  <c r="P100" i="46" s="1"/>
  <c r="CU224" i="29"/>
  <c r="AN25" i="28"/>
  <c r="AN27" i="28" s="1"/>
  <c r="S131" i="29"/>
  <c r="BV134" i="29"/>
  <c r="BH116" i="29"/>
  <c r="CA133" i="29"/>
  <c r="AH196" i="9"/>
  <c r="X32" i="28"/>
  <c r="AC51" i="28" s="1"/>
  <c r="P41" i="28"/>
  <c r="C26" i="82"/>
  <c r="I26" i="82" s="1"/>
  <c r="CM61" i="28"/>
  <c r="AD283" i="46"/>
  <c r="N652" i="46"/>
  <c r="P652" i="46" s="1"/>
  <c r="AD64" i="12"/>
  <c r="AB710" i="46"/>
  <c r="AD710" i="46" s="1"/>
  <c r="U795" i="46"/>
  <c r="EI13" i="37"/>
  <c r="EI14" i="37" s="1"/>
  <c r="DH114" i="29"/>
  <c r="DG114" i="29"/>
  <c r="DG124" i="29"/>
  <c r="AB28" i="46"/>
  <c r="AB27" i="46"/>
  <c r="J13" i="85"/>
  <c r="DN11" i="28"/>
  <c r="W11" i="20"/>
  <c r="G132" i="29"/>
  <c r="D142" i="29"/>
  <c r="G142" i="29" s="1"/>
  <c r="U101" i="45"/>
  <c r="T102" i="45"/>
  <c r="J798" i="46"/>
  <c r="L798" i="46" s="1"/>
  <c r="DL66" i="29"/>
  <c r="L100" i="40"/>
  <c r="DL20" i="28"/>
  <c r="DL39" i="28" s="1"/>
  <c r="H17" i="85"/>
  <c r="U44" i="20"/>
  <c r="DF69" i="28"/>
  <c r="Y47" i="40"/>
  <c r="Z47" i="40"/>
  <c r="Z42" i="12"/>
  <c r="AR401" i="45"/>
  <c r="E144" i="20"/>
  <c r="E145" i="20" s="1"/>
  <c r="E50" i="20"/>
  <c r="E38" i="20"/>
  <c r="CB24" i="29"/>
  <c r="CF24" i="29"/>
  <c r="J5" i="20"/>
  <c r="I142" i="20"/>
  <c r="AF123" i="9"/>
  <c r="AF116" i="9"/>
  <c r="AB187" i="9"/>
  <c r="AB196" i="12"/>
  <c r="AV80" i="28"/>
  <c r="AB146" i="12"/>
  <c r="AK146" i="12" s="1"/>
  <c r="AB145" i="12"/>
  <c r="DY232" i="47"/>
  <c r="DT232" i="47"/>
  <c r="DZ232" i="47"/>
  <c r="BF235" i="29"/>
  <c r="BF234" i="29"/>
  <c r="S44" i="20"/>
  <c r="F17" i="85"/>
  <c r="DJ20" i="28"/>
  <c r="AX143" i="29"/>
  <c r="AY143" i="29" s="1"/>
  <c r="AX153" i="29"/>
  <c r="AY153" i="29" s="1"/>
  <c r="AY133" i="29"/>
  <c r="I40" i="89"/>
  <c r="AC33" i="89"/>
  <c r="CQ219" i="29"/>
  <c r="CY219" i="29"/>
  <c r="CP229" i="29"/>
  <c r="CY229" i="29" s="1"/>
  <c r="CL229" i="29"/>
  <c r="CL235" i="29" s="1"/>
  <c r="CL223" i="29"/>
  <c r="CL224" i="29"/>
  <c r="CM224" i="29" s="1"/>
  <c r="CP141" i="29"/>
  <c r="CU131" i="29"/>
  <c r="AB83" i="9"/>
  <c r="AD83" i="9" s="1"/>
  <c r="AF83" i="9" s="1"/>
  <c r="J76" i="28"/>
  <c r="DQ220" i="47"/>
  <c r="DQ227" i="47"/>
  <c r="AS49" i="28"/>
  <c r="AN32" i="28"/>
  <c r="DO176" i="29"/>
  <c r="DS176" i="29"/>
  <c r="CM115" i="29"/>
  <c r="CM125" i="29"/>
  <c r="AR407" i="45"/>
  <c r="AZ114" i="40"/>
  <c r="AZ137" i="40" s="1"/>
  <c r="AD13" i="40"/>
  <c r="AE14" i="40" s="1"/>
  <c r="X114" i="40"/>
  <c r="X144" i="40" s="1"/>
  <c r="X350" i="40" s="1"/>
  <c r="BW139" i="47"/>
  <c r="BQ139" i="47" s="1"/>
  <c r="L121" i="20"/>
  <c r="L120" i="20"/>
  <c r="Y114" i="40"/>
  <c r="Y144" i="40" s="1"/>
  <c r="Y350" i="40" s="1"/>
  <c r="BI84" i="47"/>
  <c r="BG84" i="47" s="1"/>
  <c r="BX160" i="47"/>
  <c r="HX18" i="38"/>
  <c r="AM408" i="46"/>
  <c r="X149" i="40"/>
  <c r="X342" i="40" s="1"/>
  <c r="AM83" i="46"/>
  <c r="X318" i="40"/>
  <c r="X334" i="40" s="1"/>
  <c r="DE75" i="28"/>
  <c r="AF13" i="40"/>
  <c r="HW23" i="38"/>
  <c r="L118" i="20"/>
  <c r="AD9" i="40"/>
  <c r="L122" i="20"/>
  <c r="AE9" i="40"/>
  <c r="W36" i="40"/>
  <c r="X8" i="40"/>
  <c r="X9" i="40" s="1"/>
  <c r="X41" i="40" s="1"/>
  <c r="X353" i="40" s="1"/>
  <c r="AM657" i="46"/>
  <c r="D546" i="46"/>
  <c r="H546" i="46" s="1"/>
  <c r="P234" i="46"/>
  <c r="S51" i="12"/>
  <c r="D51" i="12" s="1"/>
  <c r="H51" i="12" s="1"/>
  <c r="H68" i="12"/>
  <c r="BN13" i="38"/>
  <c r="AR167" i="47"/>
  <c r="DH167" i="47"/>
  <c r="DI167" i="47" s="1"/>
  <c r="AQ174" i="47"/>
  <c r="AM225" i="46"/>
  <c r="AF318" i="46"/>
  <c r="AK318" i="46"/>
  <c r="AM139" i="46"/>
  <c r="AF106" i="46"/>
  <c r="K118" i="20"/>
  <c r="BQ118" i="47"/>
  <c r="BU118" i="47"/>
  <c r="AM111" i="46"/>
  <c r="K120" i="20"/>
  <c r="AF113" i="46"/>
  <c r="M118" i="20"/>
  <c r="AM103" i="46"/>
  <c r="X225" i="40"/>
  <c r="X343" i="40" s="1"/>
  <c r="G121" i="85"/>
  <c r="C51" i="85"/>
  <c r="E54" i="85"/>
  <c r="E68" i="85" s="1"/>
  <c r="D72" i="85"/>
  <c r="D162" i="85"/>
  <c r="C31" i="85"/>
  <c r="E125" i="85"/>
  <c r="E126" i="85" s="1"/>
  <c r="D77" i="85"/>
  <c r="E119" i="85"/>
  <c r="E162" i="85"/>
  <c r="G125" i="85"/>
  <c r="G126" i="85" s="1"/>
  <c r="G83" i="85"/>
  <c r="G84" i="85" s="1"/>
  <c r="D173" i="85"/>
  <c r="E173" i="85"/>
  <c r="G79" i="85"/>
  <c r="G178" i="85"/>
  <c r="V369" i="45"/>
  <c r="W368" i="45"/>
  <c r="V550" i="45"/>
  <c r="W550" i="45" s="1"/>
  <c r="DR161" i="29"/>
  <c r="DS160" i="29"/>
  <c r="K549" i="45"/>
  <c r="Z194" i="46"/>
  <c r="AB194" i="46" s="1"/>
  <c r="AD194" i="46" s="1"/>
  <c r="J369" i="45"/>
  <c r="K368" i="45"/>
  <c r="J550" i="45"/>
  <c r="Z25" i="28"/>
  <c r="Z42" i="28" s="1"/>
  <c r="X21" i="28"/>
  <c r="X41" i="28" s="1"/>
  <c r="X49" i="28"/>
  <c r="AC49" i="28"/>
  <c r="AE49" i="28"/>
  <c r="BK21" i="28"/>
  <c r="BP49" i="28"/>
  <c r="BR38" i="28"/>
  <c r="Q28" i="82" s="1"/>
  <c r="Y28" i="82" s="1"/>
  <c r="BR21" i="28"/>
  <c r="BR32" i="28"/>
  <c r="BR51" i="28" s="1"/>
  <c r="BK32" i="28"/>
  <c r="BK51" i="28" s="1"/>
  <c r="DH70" i="28"/>
  <c r="DI36" i="28"/>
  <c r="R26" i="82" s="1"/>
  <c r="Z26" i="82" s="1"/>
  <c r="K40" i="28"/>
  <c r="K49" i="28"/>
  <c r="L11" i="82"/>
  <c r="L13" i="82" s="1"/>
  <c r="J40" i="28"/>
  <c r="J25" i="28"/>
  <c r="J42" i="28" s="1"/>
  <c r="J41" i="28"/>
  <c r="F41" i="28"/>
  <c r="F40" i="28"/>
  <c r="K41" i="28"/>
  <c r="J49" i="28"/>
  <c r="O49" i="28"/>
  <c r="J32" i="28"/>
  <c r="U41" i="28"/>
  <c r="AC40" i="28"/>
  <c r="DI17" i="28"/>
  <c r="DI21" i="28" s="1"/>
  <c r="J38" i="28"/>
  <c r="BQ25" i="28"/>
  <c r="BQ42" i="28" s="1"/>
  <c r="BQ41" i="28"/>
  <c r="BQ40" i="28"/>
  <c r="F32" i="28"/>
  <c r="F43" i="28" s="1"/>
  <c r="F38" i="28"/>
  <c r="X549" i="45"/>
  <c r="Z492" i="46" s="1"/>
  <c r="AB492" i="46" s="1"/>
  <c r="EI35" i="37"/>
  <c r="II17" i="38"/>
  <c r="IV17" i="38" s="1"/>
  <c r="II20" i="38"/>
  <c r="IV20" i="38" s="1"/>
  <c r="EK13" i="37"/>
  <c r="EK14" i="37" s="1"/>
  <c r="EI23" i="37"/>
  <c r="EH46" i="37" s="1"/>
  <c r="EH69" i="37" s="1"/>
  <c r="HX23" i="38"/>
  <c r="AK717" i="46"/>
  <c r="P274" i="46"/>
  <c r="H703" i="46"/>
  <c r="AM317" i="46"/>
  <c r="AM97" i="46"/>
  <c r="AM169" i="46"/>
  <c r="AR139" i="47"/>
  <c r="AM117" i="46"/>
  <c r="AD93" i="46"/>
  <c r="N213" i="46"/>
  <c r="AK114" i="46"/>
  <c r="AD325" i="46"/>
  <c r="AF325" i="46" s="1"/>
  <c r="AM427" i="46"/>
  <c r="N37" i="46"/>
  <c r="P37" i="46" s="1"/>
  <c r="AD97" i="40"/>
  <c r="AD349" i="40" s="1"/>
  <c r="AM650" i="46"/>
  <c r="AD403" i="46"/>
  <c r="AF403" i="46" s="1"/>
  <c r="AM674" i="46"/>
  <c r="W535" i="46"/>
  <c r="AD553" i="46"/>
  <c r="AF553" i="46" s="1"/>
  <c r="H132" i="12"/>
  <c r="BP175" i="47"/>
  <c r="AD475" i="46"/>
  <c r="AF475" i="46" s="1"/>
  <c r="AM666" i="46"/>
  <c r="N511" i="46"/>
  <c r="AF240" i="46"/>
  <c r="AM801" i="46"/>
  <c r="AM302" i="46"/>
  <c r="AM806" i="46"/>
  <c r="AM90" i="46"/>
  <c r="AD424" i="46"/>
  <c r="W514" i="46"/>
  <c r="AM254" i="46"/>
  <c r="AK297" i="46"/>
  <c r="K45" i="89"/>
  <c r="L45" i="89" s="1"/>
  <c r="AM621" i="46"/>
  <c r="D241" i="46"/>
  <c r="H241" i="46" s="1"/>
  <c r="P739" i="46"/>
  <c r="AQ138" i="47"/>
  <c r="AD717" i="46"/>
  <c r="AF717" i="46" s="1"/>
  <c r="AM293" i="46"/>
  <c r="AM351" i="46"/>
  <c r="H482" i="46"/>
  <c r="P92" i="46"/>
  <c r="BP140" i="47"/>
  <c r="AM289" i="46"/>
  <c r="AH240" i="47"/>
  <c r="AM244" i="46"/>
  <c r="DJ240" i="47"/>
  <c r="AD487" i="46"/>
  <c r="AK774" i="46"/>
  <c r="AF92" i="46"/>
  <c r="AD735" i="46"/>
  <c r="AF735" i="46" s="1"/>
  <c r="AD746" i="46"/>
  <c r="AF746" i="46" s="1"/>
  <c r="AF279" i="46"/>
  <c r="AM273" i="46"/>
  <c r="AM275" i="46"/>
  <c r="AM750" i="46"/>
  <c r="AM279" i="46"/>
  <c r="AK283" i="46"/>
  <c r="AM300" i="46"/>
  <c r="AM282" i="46"/>
  <c r="N746" i="46"/>
  <c r="P746" i="46" s="1"/>
  <c r="AD488" i="46"/>
  <c r="AD100" i="46"/>
  <c r="AM467" i="46"/>
  <c r="W792" i="46"/>
  <c r="AQ146" i="47"/>
  <c r="AK290" i="46"/>
  <c r="AM779" i="46"/>
  <c r="AM813" i="46"/>
  <c r="U532" i="46"/>
  <c r="AM530" i="46"/>
  <c r="AM617" i="46"/>
  <c r="AK546" i="46"/>
  <c r="AM545" i="46"/>
  <c r="N576" i="46"/>
  <c r="AK424" i="46"/>
  <c r="AD417" i="46"/>
  <c r="BQ147" i="47"/>
  <c r="BN147" i="47"/>
  <c r="BU147" i="47"/>
  <c r="AF126" i="46"/>
  <c r="AK461" i="46"/>
  <c r="DH145" i="47"/>
  <c r="W521" i="46"/>
  <c r="AM758" i="46"/>
  <c r="AM217" i="46"/>
  <c r="AM287" i="46"/>
  <c r="N220" i="46"/>
  <c r="P220" i="46" s="1"/>
  <c r="AM421" i="46"/>
  <c r="D135" i="12"/>
  <c r="N532" i="46"/>
  <c r="AM542" i="46"/>
  <c r="N518" i="46"/>
  <c r="P518" i="46" s="1"/>
  <c r="AM798" i="46"/>
  <c r="W643" i="46"/>
  <c r="AM399" i="46"/>
  <c r="W516" i="46"/>
  <c r="N461" i="46"/>
  <c r="AK431" i="46"/>
  <c r="AD410" i="46"/>
  <c r="AF304" i="46"/>
  <c r="AM624" i="46"/>
  <c r="AF97" i="46"/>
  <c r="W232" i="46"/>
  <c r="AD311" i="46"/>
  <c r="H468" i="46"/>
  <c r="AM140" i="12"/>
  <c r="D156" i="12"/>
  <c r="AD114" i="46"/>
  <c r="AF114" i="46" s="1"/>
  <c r="AP140" i="47"/>
  <c r="AR140" i="47" s="1"/>
  <c r="BQ160" i="47"/>
  <c r="AD241" i="46"/>
  <c r="H410" i="46"/>
  <c r="AM259" i="46"/>
  <c r="AK795" i="46"/>
  <c r="AK128" i="46"/>
  <c r="AD346" i="46"/>
  <c r="AF346" i="46" s="1"/>
  <c r="AM414" i="46"/>
  <c r="AM415" i="46"/>
  <c r="AI156" i="46"/>
  <c r="AK403" i="46"/>
  <c r="AF161" i="46"/>
  <c r="U746" i="46"/>
  <c r="AK234" i="46"/>
  <c r="W742" i="46"/>
  <c r="AF147" i="12"/>
  <c r="AB821" i="46"/>
  <c r="AB823" i="46" s="1"/>
  <c r="AM33" i="46"/>
  <c r="AD802" i="46"/>
  <c r="AM800" i="46"/>
  <c r="AB723" i="46"/>
  <c r="AD723" i="46" s="1"/>
  <c r="AF723" i="46" s="1"/>
  <c r="AD438" i="46"/>
  <c r="AK396" i="46"/>
  <c r="AM153" i="12"/>
  <c r="F156" i="12"/>
  <c r="AF169" i="12"/>
  <c r="AF41" i="12"/>
  <c r="AM162" i="12"/>
  <c r="AF195" i="9"/>
  <c r="AK139" i="12"/>
  <c r="AM20" i="12"/>
  <c r="AF140" i="12"/>
  <c r="AR131" i="47"/>
  <c r="AF162" i="12"/>
  <c r="AI121" i="46"/>
  <c r="BA169" i="40"/>
  <c r="H802" i="46"/>
  <c r="BW146" i="47"/>
  <c r="BQ146" i="47" s="1"/>
  <c r="EN95" i="37"/>
  <c r="EM97" i="37"/>
  <c r="EM98" i="37" s="1"/>
  <c r="BW138" i="47"/>
  <c r="BQ138" i="47" s="1"/>
  <c r="BP138" i="47"/>
  <c r="AI156" i="12"/>
  <c r="BN18" i="38"/>
  <c r="AQ131" i="47"/>
  <c r="AR138" i="47"/>
  <c r="DH138" i="47"/>
  <c r="DH140" i="47" s="1"/>
  <c r="AF290" i="46"/>
  <c r="AQ145" i="47"/>
  <c r="AT318" i="40"/>
  <c r="D170" i="12"/>
  <c r="H170" i="12" s="1"/>
  <c r="U317" i="40"/>
  <c r="V333" i="40" s="1"/>
  <c r="M119" i="20"/>
  <c r="BW175" i="47"/>
  <c r="BU175" i="47" s="1"/>
  <c r="AF176" i="12"/>
  <c r="AK356" i="40"/>
  <c r="BL63" i="40"/>
  <c r="BL83" i="40" s="1"/>
  <c r="EN49" i="37"/>
  <c r="EO26" i="37"/>
  <c r="AK553" i="46"/>
  <c r="AP147" i="47"/>
  <c r="V66" i="40"/>
  <c r="M120" i="20"/>
  <c r="U576" i="46"/>
  <c r="D163" i="12"/>
  <c r="H163" i="12" s="1"/>
  <c r="BA161" i="40"/>
  <c r="BA171" i="40" s="1"/>
  <c r="M122" i="20"/>
  <c r="HW28" i="38"/>
  <c r="W42" i="46"/>
  <c r="W216" i="46"/>
  <c r="H461" i="46"/>
  <c r="P461" i="46" s="1"/>
  <c r="F25" i="28"/>
  <c r="F42" i="28" s="1"/>
  <c r="T40" i="28"/>
  <c r="T41" i="28"/>
  <c r="T25" i="28"/>
  <c r="BN21" i="28"/>
  <c r="BS49" i="28"/>
  <c r="BN32" i="28"/>
  <c r="BN93" i="28" s="1"/>
  <c r="BN38" i="28"/>
  <c r="BN49" i="28"/>
  <c r="O41" i="28"/>
  <c r="O25" i="28"/>
  <c r="O40" i="28"/>
  <c r="E178" i="85"/>
  <c r="BD25" i="28"/>
  <c r="BD42" i="28" s="1"/>
  <c r="G77" i="85"/>
  <c r="CL49" i="28"/>
  <c r="BP40" i="28"/>
  <c r="Z32" i="28"/>
  <c r="Z43" i="28" s="1"/>
  <c r="H26" i="82"/>
  <c r="N21" i="28"/>
  <c r="N38" i="28"/>
  <c r="N32" i="28"/>
  <c r="N43" i="28" s="1"/>
  <c r="AY82" i="17"/>
  <c r="AY81" i="17"/>
  <c r="EI18" i="37"/>
  <c r="EI41" i="37" s="1"/>
  <c r="EH42" i="37" s="1"/>
  <c r="CG21" i="28"/>
  <c r="CG40" i="28" s="1"/>
  <c r="F77" i="85"/>
  <c r="F83" i="85"/>
  <c r="F84" i="85" s="1"/>
  <c r="C113" i="85"/>
  <c r="BD40" i="28"/>
  <c r="BP25" i="28"/>
  <c r="BP42" i="28" s="1"/>
  <c r="AH51" i="28"/>
  <c r="Z49" i="28"/>
  <c r="CK25" i="28"/>
  <c r="CK42" i="28" s="1"/>
  <c r="CK40" i="28"/>
  <c r="CK41" i="28"/>
  <c r="AD41" i="28"/>
  <c r="AD25" i="28"/>
  <c r="AD40" i="28"/>
  <c r="L47" i="85"/>
  <c r="L131" i="85"/>
  <c r="L89" i="85"/>
  <c r="F125" i="85"/>
  <c r="F126" i="85" s="1"/>
  <c r="E135" i="85"/>
  <c r="E138" i="85" s="1"/>
  <c r="Z38" i="28"/>
  <c r="AW43" i="28"/>
  <c r="AM43" i="28"/>
  <c r="AM51" i="28"/>
  <c r="T43" i="28"/>
  <c r="T51" i="28"/>
  <c r="D11" i="82"/>
  <c r="F37" i="82" s="1"/>
  <c r="CH21" i="28"/>
  <c r="CH38" i="28"/>
  <c r="D28" i="82" s="1"/>
  <c r="CH32" i="28"/>
  <c r="CH43" i="28" s="1"/>
  <c r="P51" i="28"/>
  <c r="CH49" i="28"/>
  <c r="D37" i="82" s="1"/>
  <c r="Z41" i="28"/>
  <c r="F173" i="85"/>
  <c r="T325" i="40"/>
  <c r="P36" i="40"/>
  <c r="AW41" i="28"/>
  <c r="AW25" i="28"/>
  <c r="AW42" i="28" s="1"/>
  <c r="AW40" i="28"/>
  <c r="AD43" i="28"/>
  <c r="AI51" i="28"/>
  <c r="E79" i="85"/>
  <c r="AQ71" i="17"/>
  <c r="E114" i="85"/>
  <c r="F79" i="85"/>
  <c r="AB14" i="20"/>
  <c r="AB22" i="20"/>
  <c r="H133" i="85"/>
  <c r="H135" i="85" s="1"/>
  <c r="AE43" i="40"/>
  <c r="AE44" i="40" s="1"/>
  <c r="F178" i="85"/>
  <c r="H91" i="85"/>
  <c r="H93" i="85" s="1"/>
  <c r="U51" i="28"/>
  <c r="DD17" i="28"/>
  <c r="DD49" i="28" s="1"/>
  <c r="DD36" i="28"/>
  <c r="H49" i="85"/>
  <c r="H51" i="85" s="1"/>
  <c r="F121" i="85"/>
  <c r="DB21" i="28"/>
  <c r="DB32" i="28"/>
  <c r="DB43" i="28" s="1"/>
  <c r="DB38" i="28"/>
  <c r="X136" i="40"/>
  <c r="T327" i="40"/>
  <c r="V209" i="40"/>
  <c r="V210" i="40" s="1"/>
  <c r="I48" i="40"/>
  <c r="I33" i="40"/>
  <c r="I34" i="40" s="1"/>
  <c r="AK728" i="46"/>
  <c r="AM735" i="46" s="1"/>
  <c r="AK41" i="40"/>
  <c r="AK353" i="40" s="1"/>
  <c r="AK37" i="40"/>
  <c r="T326" i="40"/>
  <c r="V334" i="40"/>
  <c r="V192" i="40"/>
  <c r="V220" i="40" s="1"/>
  <c r="V351" i="40" s="1"/>
  <c r="F315" i="40"/>
  <c r="G5" i="40"/>
  <c r="F374" i="40"/>
  <c r="Q41" i="40"/>
  <c r="Q353" i="40" s="1"/>
  <c r="V9" i="40"/>
  <c r="J16" i="40"/>
  <c r="J20" i="40" s="1"/>
  <c r="T302" i="40"/>
  <c r="N254" i="40"/>
  <c r="DD75" i="28"/>
  <c r="O185" i="40"/>
  <c r="DN75" i="28"/>
  <c r="AH136" i="40"/>
  <c r="T328" i="40"/>
  <c r="N379" i="40"/>
  <c r="T330" i="40"/>
  <c r="X121" i="20"/>
  <c r="AM120" i="9"/>
  <c r="BQ41" i="17"/>
  <c r="X59" i="22"/>
  <c r="X57" i="22"/>
  <c r="Z55" i="22" s="1"/>
  <c r="Z57" i="22" s="1"/>
  <c r="AA9" i="17" s="1"/>
  <c r="AM127" i="9"/>
  <c r="AM162" i="9"/>
  <c r="R78" i="9"/>
  <c r="AF153" i="9"/>
  <c r="DS72" i="28"/>
  <c r="W645" i="46"/>
  <c r="W652" i="46"/>
  <c r="W273" i="46"/>
  <c r="AB583" i="46"/>
  <c r="AD583" i="46" s="1"/>
  <c r="AF583" i="46" s="1"/>
  <c r="W136" i="40"/>
  <c r="AK325" i="46"/>
  <c r="AK703" i="46"/>
  <c r="AD576" i="46"/>
  <c r="AD753" i="46"/>
  <c r="AF753" i="46" s="1"/>
  <c r="AD199" i="40"/>
  <c r="AE198" i="40"/>
  <c r="AK802" i="46"/>
  <c r="AM582" i="46"/>
  <c r="AD461" i="46"/>
  <c r="AM352" i="46"/>
  <c r="AD468" i="46"/>
  <c r="AB371" i="46"/>
  <c r="N227" i="46"/>
  <c r="P227" i="46" s="1"/>
  <c r="AK753" i="46"/>
  <c r="U227" i="46"/>
  <c r="W234" i="46" s="1"/>
  <c r="AD482" i="46"/>
  <c r="AD739" i="46"/>
  <c r="AF739" i="46" s="1"/>
  <c r="AD525" i="46"/>
  <c r="AM310" i="46"/>
  <c r="AK346" i="46"/>
  <c r="AM346" i="46" s="1"/>
  <c r="W223" i="46"/>
  <c r="AK417" i="46"/>
  <c r="N525" i="46"/>
  <c r="AD135" i="46"/>
  <c r="AF135" i="46" s="1"/>
  <c r="N402" i="40"/>
  <c r="W594" i="46"/>
  <c r="N162" i="40"/>
  <c r="N179" i="40" s="1"/>
  <c r="O162" i="40" s="1"/>
  <c r="O179" i="40" s="1"/>
  <c r="N583" i="46"/>
  <c r="P583" i="46" s="1"/>
  <c r="P257" i="40"/>
  <c r="O257" i="40"/>
  <c r="R209" i="40"/>
  <c r="R210" i="40" s="1"/>
  <c r="R192" i="40"/>
  <c r="R220" i="40" s="1"/>
  <c r="R351" i="40" s="1"/>
  <c r="AM316" i="46"/>
  <c r="AA364" i="45"/>
  <c r="AA367" i="45"/>
  <c r="S370" i="45"/>
  <c r="U583" i="46"/>
  <c r="W26" i="12"/>
  <c r="P219" i="46"/>
  <c r="AK721" i="46"/>
  <c r="AM721" i="46" s="1"/>
  <c r="U518" i="46"/>
  <c r="AF145" i="9"/>
  <c r="X302" i="40"/>
  <c r="Y302" i="40"/>
  <c r="W226" i="46"/>
  <c r="AH147" i="9"/>
  <c r="AJ147" i="9" s="1"/>
  <c r="AD147" i="9"/>
  <c r="AF147" i="9" s="1"/>
  <c r="O209" i="40"/>
  <c r="O210" i="40" s="1"/>
  <c r="O192" i="40"/>
  <c r="AM238" i="46"/>
  <c r="AM231" i="46"/>
  <c r="N30" i="46"/>
  <c r="AA136" i="40"/>
  <c r="AB722" i="46"/>
  <c r="Z136" i="40"/>
  <c r="AM323" i="46"/>
  <c r="N364" i="45"/>
  <c r="O370" i="45" s="1"/>
  <c r="O369" i="45"/>
  <c r="AF280" i="46"/>
  <c r="AJ345" i="40"/>
  <c r="DQ78" i="28"/>
  <c r="P136" i="40"/>
  <c r="O136" i="40"/>
  <c r="AD546" i="46"/>
  <c r="AK468" i="46"/>
  <c r="AM134" i="46"/>
  <c r="AD128" i="46"/>
  <c r="DQ80" i="28"/>
  <c r="DQ70" i="28"/>
  <c r="DR70" i="28"/>
  <c r="AM232" i="46"/>
  <c r="DL80" i="28"/>
  <c r="DM70" i="28"/>
  <c r="P88" i="40"/>
  <c r="Q88" i="40"/>
  <c r="Y192" i="40"/>
  <c r="AB689" i="46"/>
  <c r="AD121" i="46"/>
  <c r="AD248" i="40"/>
  <c r="U590" i="46"/>
  <c r="W595" i="46"/>
  <c r="W588" i="46"/>
  <c r="DP75" i="28"/>
  <c r="AI136" i="40"/>
  <c r="AF174" i="9"/>
  <c r="W751" i="46"/>
  <c r="AC97" i="40"/>
  <c r="AC349" i="40" s="1"/>
  <c r="AM322" i="46"/>
  <c r="AM523" i="46"/>
  <c r="AM406" i="46"/>
  <c r="AI350" i="40"/>
  <c r="BC78" i="40"/>
  <c r="BC79" i="40" s="1"/>
  <c r="BB79" i="40"/>
  <c r="N132" i="40"/>
  <c r="N120" i="40"/>
  <c r="N377" i="40"/>
  <c r="N400" i="40" s="1"/>
  <c r="O116" i="40"/>
  <c r="O119" i="40" s="1"/>
  <c r="AM267" i="46"/>
  <c r="AM260" i="46"/>
  <c r="AA257" i="40"/>
  <c r="Z257" i="40"/>
  <c r="AK539" i="46"/>
  <c r="N640" i="46"/>
  <c r="N647" i="46"/>
  <c r="W529" i="46"/>
  <c r="AK62" i="46"/>
  <c r="AM62" i="46" s="1"/>
  <c r="AM713" i="46"/>
  <c r="AM522" i="46"/>
  <c r="T136" i="40"/>
  <c r="Q210" i="40"/>
  <c r="W593" i="46"/>
  <c r="O379" i="40"/>
  <c r="O206" i="40"/>
  <c r="P185" i="40"/>
  <c r="N590" i="46"/>
  <c r="P590" i="46" s="1"/>
  <c r="W737" i="46"/>
  <c r="U739" i="46"/>
  <c r="W739" i="46" s="1"/>
  <c r="T192" i="40"/>
  <c r="T220" i="40" s="1"/>
  <c r="T351" i="40" s="1"/>
  <c r="T209" i="40"/>
  <c r="U210" i="40" s="1"/>
  <c r="S257" i="40"/>
  <c r="R257" i="40"/>
  <c r="W460" i="46"/>
  <c r="W461" i="46"/>
  <c r="M133" i="40"/>
  <c r="M148" i="40"/>
  <c r="AB177" i="12"/>
  <c r="W523" i="46"/>
  <c r="W530" i="46"/>
  <c r="U257" i="40"/>
  <c r="Z192" i="40"/>
  <c r="Z220" i="40" s="1"/>
  <c r="Z351" i="40" s="1"/>
  <c r="Z209" i="40"/>
  <c r="Z210" i="40" s="1"/>
  <c r="AD251" i="40"/>
  <c r="AD366" i="40" s="1"/>
  <c r="AE250" i="40"/>
  <c r="AD269" i="40"/>
  <c r="AE265" i="40"/>
  <c r="AE266" i="40" s="1"/>
  <c r="AC270" i="40"/>
  <c r="O205" i="40"/>
  <c r="O378" i="40"/>
  <c r="O401" i="40" s="1"/>
  <c r="P184" i="40"/>
  <c r="W744" i="46"/>
  <c r="AH161" i="9"/>
  <c r="AJ161" i="9" s="1"/>
  <c r="AD161" i="9"/>
  <c r="U220" i="46"/>
  <c r="AB220" i="40"/>
  <c r="AB351" i="40" s="1"/>
  <c r="AK576" i="46"/>
  <c r="V302" i="40"/>
  <c r="W302" i="40"/>
  <c r="DQ72" i="28"/>
  <c r="AJ88" i="40"/>
  <c r="U192" i="40"/>
  <c r="U220" i="40" s="1"/>
  <c r="U351" i="40" s="1"/>
  <c r="W582" i="46"/>
  <c r="S209" i="40"/>
  <c r="S192" i="40"/>
  <c r="S220" i="40" s="1"/>
  <c r="S351" i="40" s="1"/>
  <c r="AJ136" i="40"/>
  <c r="DQ75" i="28"/>
  <c r="AM742" i="46"/>
  <c r="AK746" i="46"/>
  <c r="O88" i="40"/>
  <c r="W738" i="46"/>
  <c r="AJ350" i="40"/>
  <c r="BK128" i="40"/>
  <c r="AD144" i="40"/>
  <c r="AD350" i="40" s="1"/>
  <c r="H311" i="46"/>
  <c r="AF350" i="40"/>
  <c r="AD357" i="40"/>
  <c r="H360" i="46"/>
  <c r="AF93" i="46"/>
  <c r="CJ76" i="37"/>
  <c r="S33" i="98"/>
  <c r="T29" i="98" s="1"/>
  <c r="S38" i="98"/>
  <c r="S16" i="98"/>
  <c r="E13" i="99"/>
  <c r="AF31" i="20"/>
  <c r="DW11" i="28" s="1"/>
  <c r="R13" i="85"/>
  <c r="DV11" i="28"/>
  <c r="BJ9" i="22"/>
  <c r="BJ69" i="22" s="1"/>
  <c r="AN18" i="40"/>
  <c r="BO66" i="40"/>
  <c r="BF85" i="40"/>
  <c r="BF84" i="40"/>
  <c r="BF86" i="40"/>
  <c r="BF63" i="40"/>
  <c r="BF67" i="40" s="1"/>
  <c r="EL12" i="37"/>
  <c r="EK81" i="37"/>
  <c r="BP204" i="47"/>
  <c r="BW173" i="47"/>
  <c r="BP173" i="47"/>
  <c r="DH161" i="47"/>
  <c r="DJ161" i="47" s="1"/>
  <c r="H809" i="46"/>
  <c r="AM307" i="46"/>
  <c r="AZ244" i="40"/>
  <c r="AZ246" i="40" s="1"/>
  <c r="AD317" i="40"/>
  <c r="T104" i="20"/>
  <c r="BU160" i="47"/>
  <c r="BN160" i="47"/>
  <c r="BX174" i="47"/>
  <c r="EI85" i="37"/>
  <c r="EJ16" i="37"/>
  <c r="EJ39" i="37" s="1"/>
  <c r="EI62" i="37" s="1"/>
  <c r="HV18" i="38"/>
  <c r="AQ173" i="47"/>
  <c r="AR173" i="47"/>
  <c r="AP175" i="47"/>
  <c r="DH173" i="47"/>
  <c r="BN133" i="47"/>
  <c r="BX147" i="47"/>
  <c r="AM413" i="46"/>
  <c r="BP147" i="47"/>
  <c r="BW168" i="47"/>
  <c r="AI640" i="46"/>
  <c r="BL105" i="47"/>
  <c r="BI105" i="47"/>
  <c r="G119" i="47"/>
  <c r="EJ17" i="37"/>
  <c r="EI86" i="37"/>
  <c r="HX13" i="38"/>
  <c r="BU133" i="47"/>
  <c r="U34" i="47"/>
  <c r="BP180" i="47"/>
  <c r="BW166" i="47"/>
  <c r="BQ166" i="47" s="1"/>
  <c r="EJ96" i="37"/>
  <c r="EK27" i="37"/>
  <c r="BL112" i="47"/>
  <c r="BI112" i="47"/>
  <c r="H112" i="47" s="1"/>
  <c r="AA59" i="40"/>
  <c r="AR166" i="47"/>
  <c r="DH166" i="47"/>
  <c r="AP168" i="47"/>
  <c r="AQ166" i="47"/>
  <c r="DH132" i="47"/>
  <c r="DI132" i="47" s="1"/>
  <c r="AR132" i="47"/>
  <c r="AQ132" i="47"/>
  <c r="EL17" i="37"/>
  <c r="EL40" i="37" s="1"/>
  <c r="EK63" i="37" s="1"/>
  <c r="EK86" i="37"/>
  <c r="EK87" i="37" s="1"/>
  <c r="EK88" i="37" s="1"/>
  <c r="EL11" i="37"/>
  <c r="EK80" i="37"/>
  <c r="S333" i="40"/>
  <c r="T333" i="40"/>
  <c r="S322" i="40"/>
  <c r="S325" i="40" s="1"/>
  <c r="AM587" i="46"/>
  <c r="H69" i="12"/>
  <c r="AP133" i="47"/>
  <c r="AQ133" i="47" s="1"/>
  <c r="P333" i="40"/>
  <c r="Q333" i="40"/>
  <c r="P322" i="40"/>
  <c r="AM736" i="46"/>
  <c r="AM743" i="46"/>
  <c r="BP146" i="47"/>
  <c r="BW132" i="47"/>
  <c r="EJ95" i="37"/>
  <c r="EK26" i="37"/>
  <c r="BP182" i="47"/>
  <c r="AK240" i="46"/>
  <c r="AI241" i="46"/>
  <c r="AQ139" i="47"/>
  <c r="D640" i="46"/>
  <c r="H640" i="46" s="1"/>
  <c r="W220" i="40"/>
  <c r="W351" i="40" s="1"/>
  <c r="AK410" i="46"/>
  <c r="X209" i="40"/>
  <c r="BA182" i="40" s="1"/>
  <c r="BA176" i="40" s="1"/>
  <c r="H816" i="46"/>
  <c r="AM529" i="46"/>
  <c r="AM536" i="46"/>
  <c r="U12" i="40"/>
  <c r="U321" i="40" s="1"/>
  <c r="BW181" i="47"/>
  <c r="BP181" i="47"/>
  <c r="DL72" i="28"/>
  <c r="AE88" i="40"/>
  <c r="AI128" i="12"/>
  <c r="BG138" i="40"/>
  <c r="BG137" i="40"/>
  <c r="BG115" i="40"/>
  <c r="BG119" i="40" s="1"/>
  <c r="F113" i="12"/>
  <c r="H113" i="12" s="1"/>
  <c r="AF9" i="40"/>
  <c r="DI131" i="47"/>
  <c r="BW84" i="47"/>
  <c r="BM84" i="47"/>
  <c r="BN84" i="47"/>
  <c r="AE317" i="40"/>
  <c r="AE66" i="40"/>
  <c r="U104" i="20"/>
  <c r="EH72" i="37"/>
  <c r="X160" i="40"/>
  <c r="X220" i="40" s="1"/>
  <c r="X351" i="40" s="1"/>
  <c r="AZ160" i="40"/>
  <c r="AZ168" i="40" s="1"/>
  <c r="Y160" i="40"/>
  <c r="X319" i="40"/>
  <c r="N108" i="20"/>
  <c r="N118" i="20" s="1"/>
  <c r="AI163" i="12"/>
  <c r="BG86" i="40"/>
  <c r="BG63" i="40"/>
  <c r="BG67" i="40" s="1"/>
  <c r="BG85" i="40"/>
  <c r="AQ91" i="47"/>
  <c r="AQ84" i="47"/>
  <c r="N143" i="20"/>
  <c r="DJ84" i="47"/>
  <c r="N113" i="20" s="1"/>
  <c r="BA140" i="40"/>
  <c r="BG139" i="40"/>
  <c r="AK304" i="46"/>
  <c r="EJ44" i="37"/>
  <c r="EJ67" i="37" s="1"/>
  <c r="EL21" i="37"/>
  <c r="EI92" i="37"/>
  <c r="EI93" i="37" s="1"/>
  <c r="EH50" i="37"/>
  <c r="EH73" i="37" s="1"/>
  <c r="EI28" i="37"/>
  <c r="EH51" i="37" s="1"/>
  <c r="EH74" i="37" s="1"/>
  <c r="AD136" i="40"/>
  <c r="DK75" i="28"/>
  <c r="AF155" i="12"/>
  <c r="AG337" i="40"/>
  <c r="AK311" i="46"/>
  <c r="AE334" i="40"/>
  <c r="AB210" i="40"/>
  <c r="BX90" i="47"/>
  <c r="BU83" i="47"/>
  <c r="BQ83" i="47"/>
  <c r="BX83" i="47"/>
  <c r="AB267" i="40"/>
  <c r="AB352" i="40" s="1"/>
  <c r="BK83" i="47"/>
  <c r="AD83" i="47"/>
  <c r="U83" i="47"/>
  <c r="BK90" i="47"/>
  <c r="DZ83" i="47"/>
  <c r="M83" i="47"/>
  <c r="H83" i="47"/>
  <c r="BG83" i="47"/>
  <c r="H126" i="12"/>
  <c r="BH119" i="40"/>
  <c r="BI114" i="40" s="1"/>
  <c r="BH136" i="40"/>
  <c r="BH140" i="40" s="1"/>
  <c r="DL75" i="28"/>
  <c r="AE136" i="40"/>
  <c r="AF136" i="40"/>
  <c r="AM134" i="12"/>
  <c r="X64" i="40"/>
  <c r="Y64" i="40"/>
  <c r="X11" i="40"/>
  <c r="X65" i="40"/>
  <c r="AA335" i="40"/>
  <c r="AB335" i="40"/>
  <c r="AM301" i="46"/>
  <c r="BG84" i="40"/>
  <c r="AA359" i="40"/>
  <c r="AA267" i="40"/>
  <c r="AA352" i="40" s="1"/>
  <c r="BB236" i="40"/>
  <c r="H795" i="46"/>
  <c r="H133" i="12"/>
  <c r="BF115" i="40"/>
  <c r="BF136" i="40" s="1"/>
  <c r="BF138" i="40"/>
  <c r="BF139" i="40"/>
  <c r="BF137" i="40"/>
  <c r="AG350" i="40"/>
  <c r="BH128" i="40"/>
  <c r="AM799" i="46"/>
  <c r="J213" i="47"/>
  <c r="R98" i="85"/>
  <c r="R140" i="85"/>
  <c r="R56" i="85"/>
  <c r="Q56" i="85"/>
  <c r="Q140" i="85"/>
  <c r="Q98" i="85"/>
  <c r="AB489" i="46"/>
  <c r="Z188" i="46"/>
  <c r="AB188" i="46" s="1"/>
  <c r="BE22" i="17"/>
  <c r="BH11" i="22"/>
  <c r="BK23" i="17"/>
  <c r="BJ11" i="22" s="1"/>
  <c r="BA38" i="17"/>
  <c r="AY39" i="17"/>
  <c r="AY46" i="17" s="1"/>
  <c r="AY59" i="17" s="1"/>
  <c r="CM32" i="28"/>
  <c r="CM43" i="28" s="1"/>
  <c r="AE25" i="28"/>
  <c r="AE42" i="28" s="1"/>
  <c r="H93" i="12"/>
  <c r="J11" i="82"/>
  <c r="AB32" i="28"/>
  <c r="AG51" i="28" s="1"/>
  <c r="AB38" i="28"/>
  <c r="AB49" i="28"/>
  <c r="AB21" i="28"/>
  <c r="CJ38" i="28"/>
  <c r="CJ21" i="28"/>
  <c r="CJ32" i="28"/>
  <c r="CM21" i="28"/>
  <c r="C16" i="82" s="1"/>
  <c r="I16" i="82" s="1"/>
  <c r="DY234" i="47"/>
  <c r="G114" i="85"/>
  <c r="AE41" i="28"/>
  <c r="CE38" i="28"/>
  <c r="CE49" i="28"/>
  <c r="CE21" i="28"/>
  <c r="CM49" i="28"/>
  <c r="C37" i="82" s="1"/>
  <c r="CJ49" i="28"/>
  <c r="N91" i="85"/>
  <c r="N133" i="85"/>
  <c r="N49" i="85"/>
  <c r="R27" i="28"/>
  <c r="R42" i="28"/>
  <c r="AF27" i="12"/>
  <c r="P27" i="12"/>
  <c r="O91" i="85"/>
  <c r="U30" i="12"/>
  <c r="D25" i="28"/>
  <c r="D27" i="28" s="1"/>
  <c r="J26" i="82"/>
  <c r="I49" i="85"/>
  <c r="I51" i="85" s="1"/>
  <c r="I71" i="85" s="1"/>
  <c r="I91" i="85"/>
  <c r="I93" i="85" s="1"/>
  <c r="I113" i="85" s="1"/>
  <c r="I133" i="85"/>
  <c r="I135" i="85" s="1"/>
  <c r="I158" i="85" s="1"/>
  <c r="I11" i="85"/>
  <c r="I31" i="85" s="1"/>
  <c r="AE43" i="28"/>
  <c r="I51" i="20"/>
  <c r="I56" i="20"/>
  <c r="I54" i="20"/>
  <c r="AL51" i="28"/>
  <c r="AL43" i="28"/>
  <c r="J59" i="20"/>
  <c r="J62" i="20"/>
  <c r="T8" i="22"/>
  <c r="J57" i="20"/>
  <c r="H32" i="28"/>
  <c r="H49" i="28"/>
  <c r="H21" i="28"/>
  <c r="H38" i="28"/>
  <c r="AQ41" i="28"/>
  <c r="AQ25" i="28"/>
  <c r="AQ40" i="28"/>
  <c r="BU21" i="28"/>
  <c r="BU32" i="28"/>
  <c r="BU38" i="28"/>
  <c r="BU49" i="28"/>
  <c r="AL25" i="28"/>
  <c r="AL40" i="28"/>
  <c r="AL41" i="28"/>
  <c r="BA43" i="28"/>
  <c r="BA89" i="28"/>
  <c r="BA91" i="28"/>
  <c r="BA93" i="28"/>
  <c r="BB89" i="28"/>
  <c r="BB91" i="28"/>
  <c r="BB93" i="28"/>
  <c r="AG43" i="28"/>
  <c r="AX41" i="28"/>
  <c r="AX25" i="28"/>
  <c r="AX42" i="28" s="1"/>
  <c r="AX40" i="28"/>
  <c r="BA51" i="28"/>
  <c r="D41" i="28"/>
  <c r="U25" i="28"/>
  <c r="U27" i="28" s="1"/>
  <c r="U50" i="28" s="1"/>
  <c r="R17" i="85"/>
  <c r="AF43" i="20"/>
  <c r="DW20" i="28" s="1"/>
  <c r="DV20" i="28"/>
  <c r="CY17" i="28"/>
  <c r="CZ49" i="28" s="1"/>
  <c r="CY36" i="28"/>
  <c r="AG41" i="28"/>
  <c r="AG25" i="28"/>
  <c r="AG40" i="28"/>
  <c r="BZ25" i="28"/>
  <c r="BZ42" i="28" s="1"/>
  <c r="BZ41" i="28"/>
  <c r="BZ40" i="28"/>
  <c r="AQ43" i="28"/>
  <c r="AQ51" i="28"/>
  <c r="AM27" i="12"/>
  <c r="BH41" i="28"/>
  <c r="BH40" i="28"/>
  <c r="BH25" i="28"/>
  <c r="BH42" i="28" s="1"/>
  <c r="CE43" i="28"/>
  <c r="CE51" i="28"/>
  <c r="P36" i="12"/>
  <c r="B57" i="20"/>
  <c r="B59" i="20"/>
  <c r="B62" i="20"/>
  <c r="BW21" i="28"/>
  <c r="BW49" i="28"/>
  <c r="BW32" i="28"/>
  <c r="BW38" i="28"/>
  <c r="BA40" i="28"/>
  <c r="BA41" i="28"/>
  <c r="BA25" i="28"/>
  <c r="BA42" i="28" s="1"/>
  <c r="C38" i="28"/>
  <c r="C21" i="28"/>
  <c r="C32" i="28"/>
  <c r="C43" i="28" s="1"/>
  <c r="L51" i="20"/>
  <c r="L56" i="20"/>
  <c r="L54" i="20"/>
  <c r="DG17" i="28"/>
  <c r="DG36" i="28"/>
  <c r="BZ43" i="28"/>
  <c r="BZ51" i="28"/>
  <c r="AO40" i="28"/>
  <c r="AO25" i="28"/>
  <c r="AO41" i="28"/>
  <c r="AX43" i="28"/>
  <c r="AX51" i="28"/>
  <c r="BK41" i="28"/>
  <c r="BK40" i="28"/>
  <c r="BK25" i="28"/>
  <c r="BK42" i="28" s="1"/>
  <c r="AC42" i="28"/>
  <c r="AC27" i="28"/>
  <c r="AH50" i="28" s="1"/>
  <c r="AM42" i="28"/>
  <c r="AM27" i="28"/>
  <c r="BP51" i="28"/>
  <c r="BK43" i="28"/>
  <c r="BH84" i="40"/>
  <c r="BH85" i="40"/>
  <c r="BH63" i="40"/>
  <c r="BH83" i="40" s="1"/>
  <c r="BH86" i="40"/>
  <c r="EI57" i="37"/>
  <c r="EJ45" i="37"/>
  <c r="EL22" i="37"/>
  <c r="EK23" i="37"/>
  <c r="AK107" i="46"/>
  <c r="AM104" i="46"/>
  <c r="EK92" i="37"/>
  <c r="EK93" i="37" s="1"/>
  <c r="U213" i="46"/>
  <c r="W219" i="46"/>
  <c r="EI58" i="37"/>
  <c r="EJ36" i="37"/>
  <c r="EI59" i="37" s="1"/>
  <c r="AF317" i="40"/>
  <c r="AF66" i="40"/>
  <c r="K72" i="28"/>
  <c r="R36" i="40"/>
  <c r="H106" i="12"/>
  <c r="H34" i="47"/>
  <c r="BG34" i="47"/>
  <c r="M34" i="47"/>
  <c r="AD34" i="47"/>
  <c r="EJ13" i="37"/>
  <c r="EJ14" i="37" s="1"/>
  <c r="AM251" i="46"/>
  <c r="AM258" i="46"/>
  <c r="AK255" i="46"/>
  <c r="H131" i="12"/>
  <c r="D50" i="12"/>
  <c r="AI50" i="12"/>
  <c r="AK50" i="12" s="1"/>
  <c r="U50" i="12"/>
  <c r="W57" i="12" s="1"/>
  <c r="H124" i="12"/>
  <c r="AF49" i="40"/>
  <c r="AT8" i="40"/>
  <c r="AF36" i="40"/>
  <c r="AT36" i="40" s="1"/>
  <c r="U335" i="40"/>
  <c r="V335" i="40"/>
  <c r="R322" i="40"/>
  <c r="R329" i="40" s="1"/>
  <c r="S337" i="40"/>
  <c r="AM737" i="46"/>
  <c r="BA119" i="40"/>
  <c r="BB114" i="40" s="1"/>
  <c r="BB139" i="40" s="1"/>
  <c r="AZ63" i="40"/>
  <c r="AZ86" i="40"/>
  <c r="AZ84" i="40"/>
  <c r="O133" i="85"/>
  <c r="S38" i="28"/>
  <c r="S32" i="28"/>
  <c r="S49" i="28"/>
  <c r="S21" i="28"/>
  <c r="BG43" i="28"/>
  <c r="BG51" i="28"/>
  <c r="BK93" i="28"/>
  <c r="BD43" i="28"/>
  <c r="BD51" i="28"/>
  <c r="M151" i="85"/>
  <c r="M108" i="85"/>
  <c r="M153" i="85" s="1"/>
  <c r="E113" i="85"/>
  <c r="E96" i="85"/>
  <c r="E14" i="85"/>
  <c r="E18" i="85" s="1"/>
  <c r="E31" i="85"/>
  <c r="BK89" i="28"/>
  <c r="BK91" i="28"/>
  <c r="EI36" i="37"/>
  <c r="EI37" i="37" s="1"/>
  <c r="X43" i="28"/>
  <c r="AF118" i="12"/>
  <c r="Q36" i="40"/>
  <c r="V36" i="40"/>
  <c r="M72" i="28" s="1"/>
  <c r="BG25" i="28"/>
  <c r="BG40" i="28"/>
  <c r="BG41" i="28"/>
  <c r="AD49" i="28"/>
  <c r="Y49" i="28"/>
  <c r="Y38" i="28"/>
  <c r="Y32" i="28"/>
  <c r="Y21" i="28"/>
  <c r="DC21" i="28"/>
  <c r="DC49" i="28"/>
  <c r="DC32" i="28"/>
  <c r="DC38" i="28"/>
  <c r="CL43" i="28"/>
  <c r="CL51" i="28"/>
  <c r="BV25" i="28"/>
  <c r="BV42" i="28" s="1"/>
  <c r="BV41" i="28"/>
  <c r="BV40" i="28"/>
  <c r="AT40" i="28"/>
  <c r="AT25" i="28"/>
  <c r="AT41" i="28"/>
  <c r="CL41" i="28"/>
  <c r="CL25" i="28"/>
  <c r="CL42" i="28" s="1"/>
  <c r="CL40" i="28"/>
  <c r="AT51" i="28"/>
  <c r="AT43" i="28"/>
  <c r="AY51" i="28"/>
  <c r="J27" i="28"/>
  <c r="CG25" i="28"/>
  <c r="CG42" i="28" s="1"/>
  <c r="BV43" i="28"/>
  <c r="CA51" i="28"/>
  <c r="BV51" i="28"/>
  <c r="W322" i="40"/>
  <c r="BC38" i="28"/>
  <c r="BC21" i="28"/>
  <c r="BC32" i="28"/>
  <c r="BG93" i="28" s="1"/>
  <c r="BH49" i="28"/>
  <c r="BC49" i="28"/>
  <c r="BL32" i="28"/>
  <c r="BM93" i="28" s="1"/>
  <c r="BQ49" i="28"/>
  <c r="BL38" i="28"/>
  <c r="BL49" i="28"/>
  <c r="BL21" i="28"/>
  <c r="CH50" i="28"/>
  <c r="D38" i="82" s="1"/>
  <c r="D22" i="82"/>
  <c r="F38" i="82" s="1"/>
  <c r="CB32" i="28"/>
  <c r="CB38" i="28"/>
  <c r="CG49" i="28"/>
  <c r="CB49" i="28"/>
  <c r="CB21" i="28"/>
  <c r="Z372" i="46"/>
  <c r="AB372" i="46" s="1"/>
  <c r="M545" i="45"/>
  <c r="AM129" i="40"/>
  <c r="L546" i="45"/>
  <c r="M364" i="45"/>
  <c r="AP70" i="40"/>
  <c r="AO18" i="40"/>
  <c r="AL36" i="40"/>
  <c r="AL37" i="40" s="1"/>
  <c r="AL28" i="40"/>
  <c r="AL47" i="40"/>
  <c r="AL49" i="40" s="1"/>
  <c r="DS69" i="28"/>
  <c r="DO163" i="29"/>
  <c r="H28" i="82"/>
  <c r="I27" i="82"/>
  <c r="H27" i="82"/>
  <c r="J27" i="82"/>
  <c r="L14" i="82"/>
  <c r="AM56" i="46"/>
  <c r="AM63" i="46"/>
  <c r="O124" i="29"/>
  <c r="O114" i="29"/>
  <c r="D77" i="20"/>
  <c r="D78" i="20" s="1"/>
  <c r="N223" i="29"/>
  <c r="O213" i="29"/>
  <c r="CE223" i="29"/>
  <c r="T80" i="20"/>
  <c r="AN8" i="22"/>
  <c r="CD233" i="29"/>
  <c r="BB144" i="29"/>
  <c r="BB154" i="29"/>
  <c r="BG134" i="29"/>
  <c r="AM709" i="46"/>
  <c r="AM716" i="46"/>
  <c r="DI78" i="28"/>
  <c r="AB345" i="40"/>
  <c r="I182" i="85"/>
  <c r="I183" i="85" s="1"/>
  <c r="I83" i="85"/>
  <c r="I84" i="85" s="1"/>
  <c r="I125" i="85"/>
  <c r="I126" i="85" s="1"/>
  <c r="H119" i="85"/>
  <c r="I119" i="85"/>
  <c r="DA17" i="28"/>
  <c r="DA36" i="28"/>
  <c r="AB168" i="46"/>
  <c r="AB167" i="46"/>
  <c r="AD174" i="46" s="1"/>
  <c r="AF174" i="46" s="1"/>
  <c r="CI134" i="29"/>
  <c r="CD144" i="29"/>
  <c r="BF144" i="29"/>
  <c r="BF154" i="29"/>
  <c r="BU49" i="47"/>
  <c r="BX49" i="47"/>
  <c r="CQ49" i="47"/>
  <c r="BQ49" i="47"/>
  <c r="CY114" i="29"/>
  <c r="CY124" i="29"/>
  <c r="DD114" i="29"/>
  <c r="CZ114" i="29"/>
  <c r="CX141" i="29"/>
  <c r="DC131" i="29"/>
  <c r="CY131" i="29"/>
  <c r="AK556" i="46"/>
  <c r="AB560" i="46"/>
  <c r="AD560" i="46" s="1"/>
  <c r="AF560" i="46" s="1"/>
  <c r="AD556" i="46"/>
  <c r="AF556" i="46" s="1"/>
  <c r="R99" i="9"/>
  <c r="AG54" i="28" s="1"/>
  <c r="AM99" i="9"/>
  <c r="EM39" i="37"/>
  <c r="BR146" i="29"/>
  <c r="BW140" i="29"/>
  <c r="BR145" i="29"/>
  <c r="BS140" i="29"/>
  <c r="AD330" i="46"/>
  <c r="AF330" i="46" s="1"/>
  <c r="AD337" i="46"/>
  <c r="AF337" i="46" s="1"/>
  <c r="AK330" i="46"/>
  <c r="F19" i="89"/>
  <c r="Y19" i="89"/>
  <c r="J19" i="89"/>
  <c r="AB47" i="9"/>
  <c r="AD47" i="9" s="1"/>
  <c r="AB55" i="12"/>
  <c r="AB56" i="12"/>
  <c r="BU34" i="47"/>
  <c r="BX34" i="47"/>
  <c r="BQ34" i="47"/>
  <c r="AM586" i="46"/>
  <c r="AM579" i="46"/>
  <c r="AF524" i="46"/>
  <c r="P524" i="46"/>
  <c r="K53" i="85"/>
  <c r="K95" i="85"/>
  <c r="K137" i="85"/>
  <c r="AK778" i="46"/>
  <c r="AM778" i="46" s="1"/>
  <c r="AD778" i="46"/>
  <c r="AF778" i="46" s="1"/>
  <c r="CQ115" i="29"/>
  <c r="CV115" i="29"/>
  <c r="CR115" i="29"/>
  <c r="Z37" i="89"/>
  <c r="I24" i="40"/>
  <c r="I25" i="40" s="1"/>
  <c r="I22" i="40"/>
  <c r="K107" i="45"/>
  <c r="J108" i="45"/>
  <c r="J103" i="46"/>
  <c r="L103" i="46" s="1"/>
  <c r="CH144" i="29"/>
  <c r="R73" i="20"/>
  <c r="DH30" i="28"/>
  <c r="M101" i="40"/>
  <c r="G50" i="20"/>
  <c r="G38" i="20"/>
  <c r="G144" i="20"/>
  <c r="G145" i="20" s="1"/>
  <c r="AF28" i="9"/>
  <c r="N404" i="40"/>
  <c r="AB177" i="46"/>
  <c r="AK173" i="46"/>
  <c r="AD180" i="46"/>
  <c r="AF180" i="46" s="1"/>
  <c r="AD173" i="46"/>
  <c r="AF173" i="46" s="1"/>
  <c r="AB68" i="12"/>
  <c r="AB60" i="9"/>
  <c r="AD60" i="9" s="1"/>
  <c r="AB69" i="12"/>
  <c r="K178" i="85"/>
  <c r="AM119" i="46"/>
  <c r="AK121" i="46"/>
  <c r="AM126" i="46"/>
  <c r="AM328" i="46"/>
  <c r="AM335" i="46"/>
  <c r="AM182" i="46"/>
  <c r="J80" i="20"/>
  <c r="AL233" i="29"/>
  <c r="AQ233" i="29" s="1"/>
  <c r="AM223" i="29"/>
  <c r="AQ223" i="29"/>
  <c r="AD49" i="46"/>
  <c r="AF49" i="46" s="1"/>
  <c r="AD42" i="46"/>
  <c r="AF42" i="46" s="1"/>
  <c r="AK42" i="46"/>
  <c r="AB44" i="46"/>
  <c r="AD44" i="46" s="1"/>
  <c r="M121" i="45"/>
  <c r="J302" i="46"/>
  <c r="L302" i="46" s="1"/>
  <c r="L122" i="45"/>
  <c r="U511" i="46"/>
  <c r="W517" i="46"/>
  <c r="DE20" i="28"/>
  <c r="N44" i="20"/>
  <c r="BV155" i="29"/>
  <c r="BV156" i="29"/>
  <c r="BW151" i="29"/>
  <c r="AP144" i="29"/>
  <c r="AM231" i="29"/>
  <c r="AI231" i="29"/>
  <c r="AH235" i="29"/>
  <c r="Z24" i="89"/>
  <c r="W24" i="89"/>
  <c r="X24" i="89" s="1"/>
  <c r="Z39" i="89"/>
  <c r="AK588" i="46"/>
  <c r="AD588" i="46"/>
  <c r="AF588" i="46" s="1"/>
  <c r="AB590" i="46"/>
  <c r="AD636" i="46"/>
  <c r="AF636" i="46" s="1"/>
  <c r="AK636" i="46"/>
  <c r="AB640" i="46"/>
  <c r="AD643" i="46"/>
  <c r="AF643" i="46" s="1"/>
  <c r="W61" i="12"/>
  <c r="W54" i="12"/>
  <c r="Z46" i="89"/>
  <c r="DZ133" i="47"/>
  <c r="DY133" i="47"/>
  <c r="AH79" i="40"/>
  <c r="AG79" i="40"/>
  <c r="AG97" i="40" s="1"/>
  <c r="AG349" i="40" s="1"/>
  <c r="AD808" i="46"/>
  <c r="AF808" i="46" s="1"/>
  <c r="AK808" i="46"/>
  <c r="AM808" i="46" s="1"/>
  <c r="HZ20" i="38"/>
  <c r="GH23" i="38"/>
  <c r="HZ21" i="38"/>
  <c r="GN23" i="38"/>
  <c r="L141" i="9"/>
  <c r="L134" i="9"/>
  <c r="AL12" i="89"/>
  <c r="AF11" i="89"/>
  <c r="AL11" i="89" s="1"/>
  <c r="AF8" i="89"/>
  <c r="AL8" i="89" s="1"/>
  <c r="AF10" i="89"/>
  <c r="AL10" i="89" s="1"/>
  <c r="AF9" i="89"/>
  <c r="AL9" i="89" s="1"/>
  <c r="AG12" i="89"/>
  <c r="DB233" i="29"/>
  <c r="N321" i="40"/>
  <c r="O337" i="40" s="1"/>
  <c r="N36" i="40"/>
  <c r="N37" i="40" s="1"/>
  <c r="AM155" i="46"/>
  <c r="CZ32" i="28"/>
  <c r="CZ21" i="28"/>
  <c r="CZ38" i="28"/>
  <c r="DK126" i="29"/>
  <c r="DK116" i="29"/>
  <c r="EN86" i="37"/>
  <c r="EM87" i="37"/>
  <c r="EM88" i="37" s="1"/>
  <c r="BK124" i="29"/>
  <c r="BK114" i="29"/>
  <c r="BP114" i="29"/>
  <c r="DI72" i="28"/>
  <c r="BD86" i="40"/>
  <c r="BD63" i="40"/>
  <c r="BD83" i="40" s="1"/>
  <c r="AY126" i="29"/>
  <c r="AY116" i="29"/>
  <c r="BD116" i="29"/>
  <c r="AY124" i="29"/>
  <c r="AY114" i="29"/>
  <c r="BD114" i="29"/>
  <c r="AI61" i="45"/>
  <c r="AH62" i="45"/>
  <c r="AB70" i="12"/>
  <c r="AB62" i="9"/>
  <c r="AD62" i="9" s="1"/>
  <c r="AF62" i="9" s="1"/>
  <c r="AB71" i="12"/>
  <c r="V46" i="40"/>
  <c r="V47" i="40" s="1"/>
  <c r="V49" i="40" s="1"/>
  <c r="V345" i="40" s="1"/>
  <c r="Z92" i="12"/>
  <c r="AR444" i="45"/>
  <c r="AK622" i="46"/>
  <c r="AD622" i="46"/>
  <c r="AF622" i="46" s="1"/>
  <c r="AB625" i="46"/>
  <c r="AB103" i="12"/>
  <c r="P80" i="28"/>
  <c r="AB91" i="9"/>
  <c r="AD91" i="9" s="1"/>
  <c r="BO44" i="17"/>
  <c r="BN40" i="22"/>
  <c r="BN233" i="29"/>
  <c r="BO223" i="29"/>
  <c r="AM41" i="46"/>
  <c r="AK37" i="46"/>
  <c r="V114" i="29"/>
  <c r="W113" i="29"/>
  <c r="V133" i="29"/>
  <c r="W123" i="29"/>
  <c r="AB113" i="29"/>
  <c r="AY232" i="29"/>
  <c r="AU232" i="29"/>
  <c r="AK632" i="46"/>
  <c r="AM639" i="46" s="1"/>
  <c r="AI633" i="46"/>
  <c r="AI76" i="12"/>
  <c r="AK76" i="12" s="1"/>
  <c r="D76" i="12"/>
  <c r="D83" i="12"/>
  <c r="AM120" i="46"/>
  <c r="AM127" i="46"/>
  <c r="D121" i="46"/>
  <c r="H121" i="46" s="1"/>
  <c r="D128" i="46"/>
  <c r="H128" i="46" s="1"/>
  <c r="AH102" i="40"/>
  <c r="AH341" i="40" s="1"/>
  <c r="AH87" i="40"/>
  <c r="AH8" i="40"/>
  <c r="AH60" i="40"/>
  <c r="DO73" i="28"/>
  <c r="AH65" i="40"/>
  <c r="AI60" i="40"/>
  <c r="AI97" i="40" s="1"/>
  <c r="AI349" i="40" s="1"/>
  <c r="DZ213" i="47"/>
  <c r="DY213" i="47"/>
  <c r="DY220" i="47"/>
  <c r="BO133" i="29"/>
  <c r="BJ153" i="29"/>
  <c r="BS133" i="29"/>
  <c r="BJ143" i="29"/>
  <c r="S224" i="29"/>
  <c r="AM274" i="46"/>
  <c r="AK276" i="46"/>
  <c r="AM281" i="46"/>
  <c r="F40" i="89"/>
  <c r="Y40" i="89"/>
  <c r="W38" i="89"/>
  <c r="X38" i="89" s="1"/>
  <c r="Z38" i="89"/>
  <c r="AX28" i="38"/>
  <c r="H57" i="12"/>
  <c r="S79" i="12"/>
  <c r="BL124" i="40"/>
  <c r="BK116" i="40"/>
  <c r="BX41" i="47"/>
  <c r="CQ41" i="47"/>
  <c r="BN41" i="47"/>
  <c r="AK631" i="46"/>
  <c r="AM638" i="46" s="1"/>
  <c r="AD638" i="46"/>
  <c r="AF638" i="46" s="1"/>
  <c r="AJ337" i="40"/>
  <c r="AI337" i="40"/>
  <c r="AD616" i="46"/>
  <c r="AF616" i="46" s="1"/>
  <c r="AK616" i="46"/>
  <c r="G137" i="85"/>
  <c r="G53" i="85"/>
  <c r="G95" i="85"/>
  <c r="AI367" i="46"/>
  <c r="F47" i="89"/>
  <c r="Y47" i="89"/>
  <c r="Z47" i="89" s="1"/>
  <c r="F51" i="20"/>
  <c r="F54" i="20"/>
  <c r="F56" i="20"/>
  <c r="M25" i="28"/>
  <c r="M41" i="28"/>
  <c r="M40" i="28"/>
  <c r="N35" i="12"/>
  <c r="P35" i="12" s="1"/>
  <c r="U35" i="12"/>
  <c r="W35" i="12" s="1"/>
  <c r="AD699" i="46"/>
  <c r="AF699" i="46" s="1"/>
  <c r="AK692" i="46"/>
  <c r="AB696" i="46"/>
  <c r="AD692" i="46"/>
  <c r="AF692" i="46" s="1"/>
  <c r="W43" i="46"/>
  <c r="BS136" i="29"/>
  <c r="BO136" i="29"/>
  <c r="BS142" i="29"/>
  <c r="BO142" i="29"/>
  <c r="BJ146" i="29"/>
  <c r="CM133" i="29"/>
  <c r="CH143" i="29"/>
  <c r="AA213" i="29"/>
  <c r="Z223" i="29"/>
  <c r="G77" i="20"/>
  <c r="G78" i="20" s="1"/>
  <c r="AU116" i="29"/>
  <c r="AU126" i="29"/>
  <c r="AV116" i="29"/>
  <c r="AZ116" i="29"/>
  <c r="AZ114" i="29"/>
  <c r="AU114" i="29"/>
  <c r="AU124" i="29"/>
  <c r="N694" i="46"/>
  <c r="P694" i="46" s="1"/>
  <c r="U694" i="46"/>
  <c r="W694" i="46" s="1"/>
  <c r="AD652" i="46"/>
  <c r="AF652" i="46" s="1"/>
  <c r="AK652" i="46"/>
  <c r="AD659" i="46"/>
  <c r="AF659" i="46" s="1"/>
  <c r="AR442" i="45"/>
  <c r="Z90" i="12"/>
  <c r="AK679" i="46"/>
  <c r="AD679" i="46"/>
  <c r="AF679" i="46" s="1"/>
  <c r="AB682" i="46"/>
  <c r="AK176" i="46"/>
  <c r="AD176" i="46"/>
  <c r="AF176" i="46" s="1"/>
  <c r="AD183" i="46"/>
  <c r="AF183" i="46" s="1"/>
  <c r="AK159" i="46"/>
  <c r="AD166" i="46"/>
  <c r="AF166" i="46" s="1"/>
  <c r="AB163" i="46"/>
  <c r="AD163" i="46" s="1"/>
  <c r="AD159" i="46"/>
  <c r="AF159" i="46" s="1"/>
  <c r="BS44" i="29"/>
  <c r="BR43" i="29"/>
  <c r="BX44" i="29"/>
  <c r="BR42" i="29"/>
  <c r="BR41" i="29"/>
  <c r="BR40" i="29"/>
  <c r="BL114" i="29"/>
  <c r="N44" i="46"/>
  <c r="AF14" i="40"/>
  <c r="AF154" i="46"/>
  <c r="L41" i="12"/>
  <c r="V32" i="9"/>
  <c r="X32" i="9" s="1"/>
  <c r="L40" i="12"/>
  <c r="CO80" i="28"/>
  <c r="CE80" i="28"/>
  <c r="AB179" i="9"/>
  <c r="AB187" i="12"/>
  <c r="BZ80" i="28"/>
  <c r="CJ80" i="28"/>
  <c r="R169" i="9"/>
  <c r="CG54" i="28" s="1"/>
  <c r="AM169" i="9"/>
  <c r="EM40" i="37"/>
  <c r="EL63" i="37" s="1"/>
  <c r="EM18" i="37"/>
  <c r="EM41" i="37" s="1"/>
  <c r="EL64" i="37" s="1"/>
  <c r="CQ34" i="47"/>
  <c r="Z12" i="89"/>
  <c r="W12" i="89"/>
  <c r="X12" i="89" s="1"/>
  <c r="Y11" i="89"/>
  <c r="W11" i="89" s="1"/>
  <c r="J11" i="89"/>
  <c r="DP48" i="28"/>
  <c r="DP37" i="28"/>
  <c r="AD581" i="46"/>
  <c r="AF581" i="46" s="1"/>
  <c r="AK581" i="46"/>
  <c r="AM581" i="46" s="1"/>
  <c r="H103" i="12"/>
  <c r="J467" i="46"/>
  <c r="L467" i="46" s="1"/>
  <c r="X167" i="45"/>
  <c r="DQ58" i="28"/>
  <c r="AF646" i="46"/>
  <c r="P646" i="46"/>
  <c r="AD509" i="46"/>
  <c r="AD516" i="46"/>
  <c r="AF516" i="46" s="1"/>
  <c r="AK509" i="46"/>
  <c r="AM516" i="46" s="1"/>
  <c r="AF667" i="46"/>
  <c r="AK820" i="46"/>
  <c r="AM820" i="46" s="1"/>
  <c r="AD820" i="46"/>
  <c r="AF820" i="46" s="1"/>
  <c r="AG317" i="40"/>
  <c r="AG66" i="40"/>
  <c r="U51" i="20"/>
  <c r="U56" i="20"/>
  <c r="W92" i="46"/>
  <c r="BV234" i="29"/>
  <c r="BV235" i="29"/>
  <c r="CE229" i="29"/>
  <c r="BW229" i="29"/>
  <c r="N121" i="85"/>
  <c r="EK40" i="37"/>
  <c r="EJ63" i="37" s="1"/>
  <c r="K57" i="20"/>
  <c r="K62" i="20"/>
  <c r="K59" i="20"/>
  <c r="I51" i="28"/>
  <c r="I43" i="28"/>
  <c r="BW91" i="47"/>
  <c r="BN91" i="47" s="1"/>
  <c r="BM91" i="47"/>
  <c r="W34" i="46"/>
  <c r="W41" i="46"/>
  <c r="AF100" i="46"/>
  <c r="AM700" i="46"/>
  <c r="DL48" i="28"/>
  <c r="DL37" i="28"/>
  <c r="AB14" i="40"/>
  <c r="AB44" i="40"/>
  <c r="K123" i="29"/>
  <c r="J133" i="29"/>
  <c r="J134" i="29" s="1"/>
  <c r="K113" i="29"/>
  <c r="AA125" i="29"/>
  <c r="AA115" i="29"/>
  <c r="AF115" i="29"/>
  <c r="AB115" i="29"/>
  <c r="AA116" i="29"/>
  <c r="AF116" i="29"/>
  <c r="AA126" i="29"/>
  <c r="AB116" i="29"/>
  <c r="W693" i="46"/>
  <c r="K62" i="45"/>
  <c r="J50" i="46"/>
  <c r="L50" i="46" s="1"/>
  <c r="AK763" i="46"/>
  <c r="AB767" i="46"/>
  <c r="AD763" i="46"/>
  <c r="AF763" i="46" s="1"/>
  <c r="AD770" i="46"/>
  <c r="AF770" i="46" s="1"/>
  <c r="AB69" i="9"/>
  <c r="AD69" i="9" s="1"/>
  <c r="AB78" i="12"/>
  <c r="AB77" i="12"/>
  <c r="AK77" i="12" s="1"/>
  <c r="BK143" i="29"/>
  <c r="BU80" i="28"/>
  <c r="AB172" i="9"/>
  <c r="AB181" i="12"/>
  <c r="AB180" i="12"/>
  <c r="L50" i="9"/>
  <c r="L43" i="9"/>
  <c r="H182" i="85"/>
  <c r="H183" i="85" s="1"/>
  <c r="H83" i="85"/>
  <c r="H84" i="85" s="1"/>
  <c r="H125" i="85"/>
  <c r="H126" i="85" s="1"/>
  <c r="AR526" i="45"/>
  <c r="Z188" i="12"/>
  <c r="CU80" i="28" s="1"/>
  <c r="AR532" i="45"/>
  <c r="DP36" i="28"/>
  <c r="DP17" i="28"/>
  <c r="BK150" i="29"/>
  <c r="BF155" i="29"/>
  <c r="BK155" i="29" s="1"/>
  <c r="BF156" i="29"/>
  <c r="BK156" i="29" s="1"/>
  <c r="BG150" i="29"/>
  <c r="N49" i="12"/>
  <c r="P49" i="12" s="1"/>
  <c r="N42" i="12"/>
  <c r="P42" i="12" s="1"/>
  <c r="U42" i="12"/>
  <c r="M27" i="47"/>
  <c r="H27" i="47"/>
  <c r="BG27" i="47"/>
  <c r="BK34" i="47"/>
  <c r="AD27" i="47"/>
  <c r="U27" i="47"/>
  <c r="AX18" i="38"/>
  <c r="H55" i="12"/>
  <c r="D85" i="12"/>
  <c r="AI78" i="12"/>
  <c r="AK557" i="46"/>
  <c r="AM557" i="46" s="1"/>
  <c r="AD557" i="46"/>
  <c r="AF557" i="46" s="1"/>
  <c r="BR154" i="29"/>
  <c r="BR144" i="29"/>
  <c r="AD336" i="46"/>
  <c r="AK329" i="46"/>
  <c r="AD329" i="46"/>
  <c r="AF329" i="46" s="1"/>
  <c r="EC33" i="37"/>
  <c r="EB126" i="37" s="1"/>
  <c r="EB195" i="37" s="1"/>
  <c r="ED10" i="37"/>
  <c r="Z15" i="89"/>
  <c r="W15" i="89"/>
  <c r="X15" i="89" s="1"/>
  <c r="W465" i="46"/>
  <c r="AK524" i="46"/>
  <c r="AI525" i="46"/>
  <c r="D133" i="85"/>
  <c r="D135" i="85" s="1"/>
  <c r="D91" i="85"/>
  <c r="D93" i="85" s="1"/>
  <c r="D49" i="85"/>
  <c r="D51" i="85" s="1"/>
  <c r="D11" i="85"/>
  <c r="AK664" i="46"/>
  <c r="AD664" i="46"/>
  <c r="AF664" i="46" s="1"/>
  <c r="AB668" i="46"/>
  <c r="AD668" i="46" s="1"/>
  <c r="AD671" i="46"/>
  <c r="AF671" i="46" s="1"/>
  <c r="K8" i="85"/>
  <c r="DO10" i="28"/>
  <c r="AW77" i="17"/>
  <c r="CQ125" i="29"/>
  <c r="CP140" i="29"/>
  <c r="CQ130" i="29"/>
  <c r="CP135" i="29"/>
  <c r="CU130" i="29"/>
  <c r="CP136" i="29"/>
  <c r="CP134" i="29"/>
  <c r="J546" i="45"/>
  <c r="K364" i="45"/>
  <c r="AM81" i="40"/>
  <c r="AM78" i="40" s="1"/>
  <c r="AK135" i="12"/>
  <c r="BH132" i="40"/>
  <c r="BI131" i="40"/>
  <c r="DC229" i="29"/>
  <c r="CT235" i="29"/>
  <c r="CU229" i="29"/>
  <c r="BA27" i="28"/>
  <c r="CH145" i="29"/>
  <c r="CM140" i="29"/>
  <c r="CH146" i="29"/>
  <c r="CI140" i="29"/>
  <c r="B60" i="12"/>
  <c r="B46" i="45"/>
  <c r="B30" i="47"/>
  <c r="S71" i="12"/>
  <c r="BI48" i="47"/>
  <c r="BK55" i="47" s="1"/>
  <c r="BF48" i="47"/>
  <c r="O271" i="40"/>
  <c r="O241" i="40"/>
  <c r="O244" i="40" s="1"/>
  <c r="P237" i="40"/>
  <c r="P240" i="40" s="1"/>
  <c r="O381" i="40"/>
  <c r="O253" i="40"/>
  <c r="O254" i="40" s="1"/>
  <c r="AD146" i="12"/>
  <c r="AF146" i="12" s="1"/>
  <c r="AD139" i="12"/>
  <c r="AF139" i="12" s="1"/>
  <c r="EO16" i="37"/>
  <c r="EN39" i="37"/>
  <c r="BS135" i="29"/>
  <c r="BU119" i="47"/>
  <c r="BQ119" i="47"/>
  <c r="N142" i="29"/>
  <c r="S132" i="29"/>
  <c r="N136" i="29"/>
  <c r="S136" i="29" s="1"/>
  <c r="K79" i="85"/>
  <c r="M224" i="40"/>
  <c r="M203" i="40"/>
  <c r="M204" i="40" s="1"/>
  <c r="V103" i="9"/>
  <c r="X103" i="9" s="1"/>
  <c r="Z103" i="9" s="1"/>
  <c r="L111" i="12"/>
  <c r="X81" i="28"/>
  <c r="AK119" i="12"/>
  <c r="AD126" i="12"/>
  <c r="AK596" i="46"/>
  <c r="AD596" i="46"/>
  <c r="AF596" i="46" s="1"/>
  <c r="U47" i="40"/>
  <c r="U49" i="40" s="1"/>
  <c r="U345" i="40" s="1"/>
  <c r="DC224" i="29"/>
  <c r="H60" i="85"/>
  <c r="H144" i="85"/>
  <c r="H102" i="85"/>
  <c r="AK127" i="40"/>
  <c r="AK144" i="40" s="1"/>
  <c r="AT126" i="40"/>
  <c r="DR74" i="28"/>
  <c r="AK135" i="40"/>
  <c r="BO230" i="29"/>
  <c r="BK230" i="29"/>
  <c r="BJ234" i="29"/>
  <c r="BJ235" i="29"/>
  <c r="CA141" i="29"/>
  <c r="BW141" i="29"/>
  <c r="BV145" i="29"/>
  <c r="BV146" i="29"/>
  <c r="AB189" i="9"/>
  <c r="AB201" i="12"/>
  <c r="AB197" i="12"/>
  <c r="N50" i="20"/>
  <c r="N38" i="20"/>
  <c r="N144" i="20"/>
  <c r="AD589" i="46"/>
  <c r="AF589" i="46" s="1"/>
  <c r="AK589" i="46"/>
  <c r="AM589" i="46" s="1"/>
  <c r="L64" i="12"/>
  <c r="U64" i="12" s="1"/>
  <c r="L68" i="12"/>
  <c r="V56" i="9"/>
  <c r="X56" i="9" s="1"/>
  <c r="Z56" i="9" s="1"/>
  <c r="AD637" i="46"/>
  <c r="AF637" i="46" s="1"/>
  <c r="AD644" i="46"/>
  <c r="AF644" i="46" s="1"/>
  <c r="AK637" i="46"/>
  <c r="BF13" i="38"/>
  <c r="H61" i="12"/>
  <c r="AI58" i="12"/>
  <c r="AK54" i="12"/>
  <c r="AM61" i="12" s="1"/>
  <c r="J69" i="12"/>
  <c r="AR60" i="45"/>
  <c r="AR389" i="45"/>
  <c r="AR395" i="45"/>
  <c r="Z28" i="12"/>
  <c r="DL114" i="29"/>
  <c r="DK114" i="29"/>
  <c r="DK115" i="29"/>
  <c r="DK125" i="29"/>
  <c r="BX161" i="47"/>
  <c r="BU161" i="47"/>
  <c r="BN161" i="47"/>
  <c r="EN18" i="37"/>
  <c r="EN41" i="37" s="1"/>
  <c r="EM64" i="37" s="1"/>
  <c r="EN40" i="37"/>
  <c r="EO17" i="37"/>
  <c r="EP17" i="37" s="1"/>
  <c r="AD255" i="46"/>
  <c r="AF255" i="46" s="1"/>
  <c r="AD248" i="46"/>
  <c r="AF248" i="46" s="1"/>
  <c r="R104" i="20"/>
  <c r="AB317" i="40"/>
  <c r="AU219" i="29"/>
  <c r="AT229" i="29"/>
  <c r="AT225" i="29"/>
  <c r="AU225" i="29" s="1"/>
  <c r="AT224" i="29"/>
  <c r="AY219" i="29"/>
  <c r="W100" i="40"/>
  <c r="W102" i="40" s="1"/>
  <c r="W341" i="40" s="1"/>
  <c r="V100" i="40"/>
  <c r="V102" i="40" s="1"/>
  <c r="V341" i="40" s="1"/>
  <c r="AR450" i="45"/>
  <c r="AL144" i="29"/>
  <c r="AM144" i="29" s="1"/>
  <c r="AM134" i="29"/>
  <c r="O122" i="20"/>
  <c r="O120" i="20"/>
  <c r="O119" i="20"/>
  <c r="O121" i="20"/>
  <c r="EN12" i="37"/>
  <c r="EM81" i="37"/>
  <c r="V222" i="29"/>
  <c r="W212" i="29"/>
  <c r="V213" i="29"/>
  <c r="AD211" i="46"/>
  <c r="AK211" i="46"/>
  <c r="AB213" i="46"/>
  <c r="AD213" i="46" s="1"/>
  <c r="AD218" i="46"/>
  <c r="AF218" i="46" s="1"/>
  <c r="G232" i="29"/>
  <c r="AC345" i="40"/>
  <c r="DJ78" i="28"/>
  <c r="AK86" i="46"/>
  <c r="AM93" i="46" s="1"/>
  <c r="AM89" i="46"/>
  <c r="BU48" i="47"/>
  <c r="CQ48" i="47"/>
  <c r="BX48" i="47"/>
  <c r="BQ48" i="47"/>
  <c r="H77" i="12"/>
  <c r="BV23" i="38"/>
  <c r="BX56" i="47"/>
  <c r="AF120" i="46"/>
  <c r="EJ27" i="37"/>
  <c r="EI96" i="37"/>
  <c r="AD206" i="47"/>
  <c r="BB206" i="47"/>
  <c r="AI206" i="47"/>
  <c r="BG206" i="47"/>
  <c r="U206" i="47"/>
  <c r="BK206" i="47"/>
  <c r="CT14" i="29"/>
  <c r="M206" i="47"/>
  <c r="BK213" i="47"/>
  <c r="DZ206" i="47"/>
  <c r="BW206" i="47"/>
  <c r="BM206" i="47"/>
  <c r="AD702" i="46"/>
  <c r="AF702" i="46" s="1"/>
  <c r="AK695" i="46"/>
  <c r="AD695" i="46"/>
  <c r="AF695" i="46" s="1"/>
  <c r="CM229" i="29"/>
  <c r="CD234" i="29"/>
  <c r="CM234" i="29" s="1"/>
  <c r="CD235" i="29"/>
  <c r="CM235" i="29" s="1"/>
  <c r="R51" i="20"/>
  <c r="R56" i="20"/>
  <c r="R54" i="20"/>
  <c r="DL115" i="29"/>
  <c r="CX135" i="29"/>
  <c r="CX136" i="29"/>
  <c r="BB136" i="29"/>
  <c r="BG136" i="29" s="1"/>
  <c r="BG151" i="29"/>
  <c r="BC151" i="29"/>
  <c r="BB155" i="29"/>
  <c r="Z36" i="89"/>
  <c r="W16" i="89"/>
  <c r="X16" i="89" s="1"/>
  <c r="Z16" i="89"/>
  <c r="AK75" i="12"/>
  <c r="V50" i="20"/>
  <c r="V144" i="20"/>
  <c r="V145" i="20" s="1"/>
  <c r="AS70" i="17"/>
  <c r="V98" i="20"/>
  <c r="V77" i="20"/>
  <c r="V78" i="20" s="1"/>
  <c r="AS71" i="17"/>
  <c r="V38" i="20"/>
  <c r="AF43" i="40"/>
  <c r="AF44" i="40" s="1"/>
  <c r="I136" i="85"/>
  <c r="I94" i="85"/>
  <c r="I52" i="85"/>
  <c r="I32" i="85"/>
  <c r="I39" i="85"/>
  <c r="J39" i="85"/>
  <c r="R92" i="9"/>
  <c r="AM92" i="9"/>
  <c r="T28" i="40"/>
  <c r="T41" i="40" s="1"/>
  <c r="T353" i="40" s="1"/>
  <c r="T36" i="40"/>
  <c r="U28" i="40"/>
  <c r="U41" i="40" s="1"/>
  <c r="U353" i="40" s="1"/>
  <c r="AY201" i="29"/>
  <c r="BC201" i="29"/>
  <c r="CN114" i="29"/>
  <c r="CI114" i="29"/>
  <c r="CI124" i="29"/>
  <c r="N97" i="46"/>
  <c r="P97" i="46" s="1"/>
  <c r="U97" i="46"/>
  <c r="W97" i="46" s="1"/>
  <c r="D50" i="20"/>
  <c r="D38" i="20"/>
  <c r="AM147" i="12"/>
  <c r="Z26" i="9"/>
  <c r="Z33" i="9"/>
  <c r="H127" i="12"/>
  <c r="BJ182" i="47"/>
  <c r="AG39" i="40"/>
  <c r="W33" i="46"/>
  <c r="U37" i="46"/>
  <c r="W37" i="46" s="1"/>
  <c r="L426" i="40"/>
  <c r="L429" i="40"/>
  <c r="L420" i="40"/>
  <c r="L427" i="40"/>
  <c r="L421" i="40"/>
  <c r="L418" i="40"/>
  <c r="L423" i="40"/>
  <c r="L419" i="40"/>
  <c r="L431" i="40"/>
  <c r="L428" i="40"/>
  <c r="L425" i="40"/>
  <c r="L430" i="40"/>
  <c r="L417" i="40"/>
  <c r="BS152" i="29"/>
  <c r="BO152" i="29"/>
  <c r="AF283" i="46"/>
  <c r="J229" i="29"/>
  <c r="J224" i="29"/>
  <c r="K224" i="29" s="1"/>
  <c r="O219" i="29"/>
  <c r="K219" i="29"/>
  <c r="J225" i="29"/>
  <c r="K225" i="29" s="1"/>
  <c r="J114" i="29"/>
  <c r="K125" i="29"/>
  <c r="K115" i="29"/>
  <c r="AE220" i="29"/>
  <c r="Z225" i="29"/>
  <c r="AA225" i="29" s="1"/>
  <c r="Z230" i="29"/>
  <c r="Z224" i="29"/>
  <c r="AA220" i="29"/>
  <c r="AU125" i="29"/>
  <c r="AU115" i="29"/>
  <c r="AV115" i="29"/>
  <c r="AZ115" i="29"/>
  <c r="J112" i="12"/>
  <c r="AR97" i="45"/>
  <c r="BG231" i="29"/>
  <c r="BB235" i="29"/>
  <c r="AB70" i="46"/>
  <c r="AB69" i="46"/>
  <c r="AD680" i="46"/>
  <c r="AF680" i="46" s="1"/>
  <c r="AK680" i="46"/>
  <c r="AL146" i="29"/>
  <c r="L11" i="85"/>
  <c r="L133" i="85"/>
  <c r="L91" i="85"/>
  <c r="L49" i="85"/>
  <c r="AD88" i="40"/>
  <c r="DJ72" i="28"/>
  <c r="AC88" i="40"/>
  <c r="S104" i="20"/>
  <c r="AD66" i="40"/>
  <c r="AC317" i="40"/>
  <c r="AC66" i="40"/>
  <c r="BX144" i="29"/>
  <c r="BW143" i="29"/>
  <c r="CA143" i="29"/>
  <c r="AK135" i="46"/>
  <c r="AM131" i="46"/>
  <c r="AM138" i="46"/>
  <c r="F156" i="46"/>
  <c r="AH90" i="40" s="1"/>
  <c r="AH356" i="40" s="1"/>
  <c r="D156" i="46"/>
  <c r="D163" i="46"/>
  <c r="H163" i="46" s="1"/>
  <c r="D182" i="12"/>
  <c r="H182" i="12" s="1"/>
  <c r="D175" i="12"/>
  <c r="H175" i="12" s="1"/>
  <c r="S177" i="12"/>
  <c r="AI175" i="12"/>
  <c r="DY140" i="47"/>
  <c r="DZ140" i="47"/>
  <c r="DY147" i="47"/>
  <c r="AE27" i="28"/>
  <c r="AM685" i="46"/>
  <c r="R155" i="9"/>
  <c r="AS54" i="28" s="1"/>
  <c r="AM155" i="9"/>
  <c r="J8" i="89"/>
  <c r="Y8" i="89"/>
  <c r="W8" i="89" s="1"/>
  <c r="AY71" i="17"/>
  <c r="AY70" i="17"/>
  <c r="AI43" i="40"/>
  <c r="AI44" i="40" s="1"/>
  <c r="Y77" i="20"/>
  <c r="Y78" i="20" s="1"/>
  <c r="Y98" i="20"/>
  <c r="Y38" i="20"/>
  <c r="Y50" i="20"/>
  <c r="AY85" i="17"/>
  <c r="AY84" i="17"/>
  <c r="AD580" i="46"/>
  <c r="AF580" i="46" s="1"/>
  <c r="AD587" i="46"/>
  <c r="AF587" i="46" s="1"/>
  <c r="H110" i="12"/>
  <c r="U466" i="46"/>
  <c r="W466" i="46" s="1"/>
  <c r="N466" i="46"/>
  <c r="W87" i="40"/>
  <c r="W79" i="40"/>
  <c r="W97" i="40" s="1"/>
  <c r="W349" i="40" s="1"/>
  <c r="AM651" i="46"/>
  <c r="W646" i="46"/>
  <c r="U647" i="46"/>
  <c r="W647" i="46" s="1"/>
  <c r="AK687" i="46"/>
  <c r="AD687" i="46"/>
  <c r="AF687" i="46" s="1"/>
  <c r="AI661" i="46"/>
  <c r="AK660" i="46"/>
  <c r="AD819" i="46"/>
  <c r="AF819" i="46" s="1"/>
  <c r="AK819" i="46"/>
  <c r="DN23" i="28"/>
  <c r="J20" i="85"/>
  <c r="AG87" i="40"/>
  <c r="M181" i="40"/>
  <c r="M188" i="40"/>
  <c r="M189" i="40" s="1"/>
  <c r="AB35" i="20"/>
  <c r="DS8" i="28"/>
  <c r="AB41" i="20"/>
  <c r="AB8" i="20"/>
  <c r="BE76" i="17"/>
  <c r="AB44" i="20"/>
  <c r="AB37" i="20"/>
  <c r="O6" i="85"/>
  <c r="AB28" i="20"/>
  <c r="DS16" i="28" s="1"/>
  <c r="AB32" i="20"/>
  <c r="CB14" i="22"/>
  <c r="CB15" i="22" s="1"/>
  <c r="AB15" i="20"/>
  <c r="DF39" i="28"/>
  <c r="AI279" i="40"/>
  <c r="AJ278" i="40"/>
  <c r="BM43" i="28"/>
  <c r="BM51" i="28"/>
  <c r="G112" i="47"/>
  <c r="G98" i="47"/>
  <c r="BL98" i="47"/>
  <c r="G105" i="47"/>
  <c r="BI98" i="47"/>
  <c r="Z59" i="40"/>
  <c r="N222" i="29"/>
  <c r="O212" i="29"/>
  <c r="N80" i="20"/>
  <c r="BB233" i="29"/>
  <c r="BG223" i="29"/>
  <c r="AD268" i="46"/>
  <c r="AF268" i="46" s="1"/>
  <c r="AD261" i="46"/>
  <c r="AF261" i="46" s="1"/>
  <c r="AK261" i="46"/>
  <c r="AB262" i="46"/>
  <c r="AD262" i="46" s="1"/>
  <c r="AF262" i="46" s="1"/>
  <c r="AF40" i="89"/>
  <c r="AG40" i="89" s="1"/>
  <c r="O40" i="89"/>
  <c r="T40" i="89"/>
  <c r="I363" i="45"/>
  <c r="H367" i="45"/>
  <c r="AQ367" i="45" s="1"/>
  <c r="AR367" i="45" s="1"/>
  <c r="AR363" i="45"/>
  <c r="H545" i="45"/>
  <c r="I25" i="28"/>
  <c r="I41" i="28"/>
  <c r="I40" i="28"/>
  <c r="AM155" i="12"/>
  <c r="AB194" i="12"/>
  <c r="AB186" i="9"/>
  <c r="AB195" i="12"/>
  <c r="AK48" i="46"/>
  <c r="AD48" i="46"/>
  <c r="AF48" i="46" s="1"/>
  <c r="AD55" i="46"/>
  <c r="AF55" i="46" s="1"/>
  <c r="BV233" i="29"/>
  <c r="CE233" i="29" s="1"/>
  <c r="BW223" i="29"/>
  <c r="K212" i="29"/>
  <c r="J222" i="29"/>
  <c r="AX231" i="29"/>
  <c r="AY221" i="29"/>
  <c r="AX225" i="29"/>
  <c r="AY225" i="29" s="1"/>
  <c r="K231" i="29"/>
  <c r="AD759" i="46"/>
  <c r="AF759" i="46" s="1"/>
  <c r="AD766" i="46"/>
  <c r="AF766" i="46" s="1"/>
  <c r="AK759" i="46"/>
  <c r="AB760" i="46"/>
  <c r="AD760" i="46" s="1"/>
  <c r="AF760" i="46" s="1"/>
  <c r="Z98" i="12"/>
  <c r="AR449" i="45"/>
  <c r="AR455" i="45"/>
  <c r="BK153" i="29"/>
  <c r="DL17" i="28"/>
  <c r="DL36" i="28"/>
  <c r="H77" i="85"/>
  <c r="I77" i="85"/>
  <c r="CY231" i="29"/>
  <c r="CQ231" i="29"/>
  <c r="CI136" i="29"/>
  <c r="CE136" i="29"/>
  <c r="CI141" i="29"/>
  <c r="AW27" i="28"/>
  <c r="CD145" i="29"/>
  <c r="CI145" i="29" s="1"/>
  <c r="CD146" i="29"/>
  <c r="CI146" i="29" s="1"/>
  <c r="N43" i="12"/>
  <c r="P43" i="12" s="1"/>
  <c r="N50" i="12"/>
  <c r="U43" i="12"/>
  <c r="AP18" i="38"/>
  <c r="H48" i="12"/>
  <c r="HY21" i="38"/>
  <c r="EL91" i="37" s="1"/>
  <c r="HY20" i="38"/>
  <c r="GB23" i="38"/>
  <c r="AK333" i="40"/>
  <c r="AJ333" i="40"/>
  <c r="DD116" i="29"/>
  <c r="CY116" i="29"/>
  <c r="CY126" i="29"/>
  <c r="CZ116" i="29"/>
  <c r="AD785" i="46"/>
  <c r="AF785" i="46" s="1"/>
  <c r="AD792" i="46"/>
  <c r="AF792" i="46" s="1"/>
  <c r="AK785" i="46"/>
  <c r="AB788" i="46"/>
  <c r="BG135" i="29"/>
  <c r="BW150" i="29"/>
  <c r="BR155" i="29"/>
  <c r="BW155" i="29" s="1"/>
  <c r="BS150" i="29"/>
  <c r="BR156" i="29"/>
  <c r="BW156" i="29" s="1"/>
  <c r="AD443" i="46"/>
  <c r="AB445" i="46"/>
  <c r="AD445" i="46" s="1"/>
  <c r="Z23" i="89"/>
  <c r="Z32" i="89"/>
  <c r="Z45" i="89"/>
  <c r="W45" i="89"/>
  <c r="X45" i="89" s="1"/>
  <c r="AD814" i="46"/>
  <c r="AF814" i="46" s="1"/>
  <c r="AK814" i="46"/>
  <c r="AB816" i="46"/>
  <c r="AD607" i="46"/>
  <c r="AF607" i="46" s="1"/>
  <c r="AD614" i="46"/>
  <c r="AF614" i="46" s="1"/>
  <c r="AB611" i="46"/>
  <c r="AK607" i="46"/>
  <c r="U525" i="46"/>
  <c r="W524" i="46"/>
  <c r="D525" i="46"/>
  <c r="H525" i="46" s="1"/>
  <c r="D532" i="46"/>
  <c r="H532" i="46" s="1"/>
  <c r="AR504" i="45"/>
  <c r="AR510" i="45"/>
  <c r="AD665" i="46"/>
  <c r="AF665" i="46" s="1"/>
  <c r="AK665" i="46"/>
  <c r="AM665" i="46" s="1"/>
  <c r="DN174" i="29"/>
  <c r="J66" i="85"/>
  <c r="J108" i="85" s="1"/>
  <c r="J150" i="85"/>
  <c r="AI604" i="46"/>
  <c r="AK603" i="46"/>
  <c r="CV114" i="29"/>
  <c r="CR114" i="29"/>
  <c r="CQ114" i="29"/>
  <c r="K545" i="45"/>
  <c r="Z189" i="46"/>
  <c r="BE78" i="17"/>
  <c r="AB20" i="20"/>
  <c r="O12" i="85"/>
  <c r="DS14" i="28"/>
  <c r="E73" i="85"/>
  <c r="M391" i="40"/>
  <c r="M417" i="40" s="1"/>
  <c r="M399" i="40"/>
  <c r="AK33" i="12"/>
  <c r="AD40" i="12"/>
  <c r="AF40" i="12" s="1"/>
  <c r="AB37" i="12"/>
  <c r="AM474" i="46"/>
  <c r="AM481" i="46"/>
  <c r="AK475" i="46"/>
  <c r="K43" i="89"/>
  <c r="L43" i="89" s="1"/>
  <c r="DJ237" i="47"/>
  <c r="AH237" i="47"/>
  <c r="EN85" i="37"/>
  <c r="O186" i="40"/>
  <c r="N380" i="40"/>
  <c r="N183" i="40"/>
  <c r="AK156" i="46"/>
  <c r="AK595" i="46"/>
  <c r="AD602" i="46"/>
  <c r="AF602" i="46" s="1"/>
  <c r="AD595" i="46"/>
  <c r="AF595" i="46" s="1"/>
  <c r="AB89" i="9"/>
  <c r="AD89" i="9" s="1"/>
  <c r="N80" i="28"/>
  <c r="AD56" i="46"/>
  <c r="AF56" i="46" s="1"/>
  <c r="AD63" i="46"/>
  <c r="AF63" i="46" s="1"/>
  <c r="AB58" i="46"/>
  <c r="BJ233" i="29"/>
  <c r="BK223" i="29"/>
  <c r="K230" i="29"/>
  <c r="G230" i="29"/>
  <c r="F235" i="29"/>
  <c r="F234" i="29"/>
  <c r="AK510" i="46"/>
  <c r="AM517" i="46" s="1"/>
  <c r="AI511" i="46"/>
  <c r="CD232" i="29"/>
  <c r="CE222" i="29"/>
  <c r="CM222" i="29"/>
  <c r="Z31" i="89"/>
  <c r="W31" i="89"/>
  <c r="X31" i="89" s="1"/>
  <c r="AX13" i="38"/>
  <c r="H54" i="12"/>
  <c r="AL26" i="89"/>
  <c r="DY182" i="47"/>
  <c r="DZ175" i="47"/>
  <c r="DY175" i="47"/>
  <c r="AF79" i="40"/>
  <c r="AF97" i="40" s="1"/>
  <c r="AF349" i="40" s="1"/>
  <c r="DM73" i="28"/>
  <c r="AF87" i="40"/>
  <c r="AT78" i="40"/>
  <c r="H55" i="47"/>
  <c r="AD55" i="47"/>
  <c r="M55" i="47"/>
  <c r="AR55" i="47"/>
  <c r="U55" i="47"/>
  <c r="AD672" i="46"/>
  <c r="AF672" i="46" s="1"/>
  <c r="AB675" i="46"/>
  <c r="AK672" i="46"/>
  <c r="Z44" i="89"/>
  <c r="DC231" i="29"/>
  <c r="C138" i="85"/>
  <c r="C158" i="85"/>
  <c r="DJ135" i="29"/>
  <c r="DJ141" i="29"/>
  <c r="DK131" i="29"/>
  <c r="DJ136" i="29"/>
  <c r="BN140" i="47"/>
  <c r="BU140" i="47"/>
  <c r="BQ161" i="47"/>
  <c r="W36" i="12"/>
  <c r="AM478" i="46"/>
  <c r="AK482" i="46"/>
  <c r="AM245" i="46"/>
  <c r="AM252" i="46"/>
  <c r="AK248" i="46"/>
  <c r="O132" i="29"/>
  <c r="AU213" i="29"/>
  <c r="AT223" i="29"/>
  <c r="L77" i="20"/>
  <c r="L78" i="20" s="1"/>
  <c r="AB71" i="46"/>
  <c r="AB75" i="46"/>
  <c r="BO224" i="29"/>
  <c r="AY27" i="28"/>
  <c r="CI143" i="29"/>
  <c r="CE143" i="29"/>
  <c r="BK80" i="28"/>
  <c r="AB166" i="12"/>
  <c r="AB158" i="9"/>
  <c r="AB167" i="12"/>
  <c r="AK212" i="46"/>
  <c r="AD212" i="46"/>
  <c r="BK232" i="29"/>
  <c r="BO232" i="29"/>
  <c r="AQ229" i="29"/>
  <c r="AL235" i="29"/>
  <c r="AL234" i="29"/>
  <c r="AM229" i="29"/>
  <c r="U633" i="46"/>
  <c r="W640" i="46" s="1"/>
  <c r="W639" i="46"/>
  <c r="AR53" i="47"/>
  <c r="U53" i="47"/>
  <c r="M53" i="47"/>
  <c r="BK53" i="47"/>
  <c r="H53" i="47"/>
  <c r="AD53" i="47"/>
  <c r="AF127" i="46"/>
  <c r="EJ26" i="37"/>
  <c r="EI49" i="37" s="1"/>
  <c r="EI95" i="37"/>
  <c r="HV28" i="38"/>
  <c r="BB153" i="29"/>
  <c r="BG133" i="29"/>
  <c r="BC133" i="29"/>
  <c r="BB143" i="29"/>
  <c r="AD694" i="46"/>
  <c r="AF694" i="46" s="1"/>
  <c r="AK694" i="46"/>
  <c r="AD701" i="46"/>
  <c r="AF701" i="46" s="1"/>
  <c r="R134" i="9"/>
  <c r="AQ54" i="28" s="1"/>
  <c r="AM134" i="9"/>
  <c r="E99" i="85"/>
  <c r="E57" i="85"/>
  <c r="E141" i="85"/>
  <c r="BU27" i="28"/>
  <c r="CX146" i="29"/>
  <c r="DC146" i="29" s="1"/>
  <c r="DC140" i="29"/>
  <c r="CX145" i="29"/>
  <c r="CY140" i="29"/>
  <c r="S230" i="29"/>
  <c r="N234" i="29"/>
  <c r="S234" i="29" s="1"/>
  <c r="AD61" i="46"/>
  <c r="AF61" i="46" s="1"/>
  <c r="AD68" i="46"/>
  <c r="AF68" i="46" s="1"/>
  <c r="AK61" i="46"/>
  <c r="AI64" i="12"/>
  <c r="D64" i="12"/>
  <c r="S65" i="12"/>
  <c r="D65" i="12" s="1"/>
  <c r="AK645" i="46"/>
  <c r="AD645" i="46"/>
  <c r="AF645" i="46" s="1"/>
  <c r="AB647" i="46"/>
  <c r="H82" i="12"/>
  <c r="AS85" i="17"/>
  <c r="AS84" i="17"/>
  <c r="AU82" i="17"/>
  <c r="AU81" i="17"/>
  <c r="O322" i="40"/>
  <c r="O329" i="40" s="1"/>
  <c r="P337" i="40"/>
  <c r="S36" i="40"/>
  <c r="S28" i="40"/>
  <c r="S41" i="40" s="1"/>
  <c r="S353" i="40" s="1"/>
  <c r="BU41" i="47"/>
  <c r="AJ37" i="40"/>
  <c r="CP230" i="29"/>
  <c r="CP224" i="29"/>
  <c r="CP225" i="29"/>
  <c r="CQ225" i="29" s="1"/>
  <c r="CP223" i="29"/>
  <c r="CQ220" i="29"/>
  <c r="G8" i="85"/>
  <c r="T15" i="20"/>
  <c r="T12" i="20" s="1"/>
  <c r="DK10" i="28"/>
  <c r="DK13" i="28" s="1"/>
  <c r="AO77" i="17"/>
  <c r="T37" i="20"/>
  <c r="F367" i="46"/>
  <c r="AL138" i="40" s="1"/>
  <c r="Z43" i="89"/>
  <c r="BK37" i="17"/>
  <c r="BH41" i="22"/>
  <c r="M29" i="20"/>
  <c r="DD16" i="28"/>
  <c r="BO150" i="29"/>
  <c r="BN155" i="29"/>
  <c r="BO155" i="29" s="1"/>
  <c r="BN156" i="29"/>
  <c r="AD47" i="12"/>
  <c r="AF47" i="12" s="1"/>
  <c r="AK47" i="12"/>
  <c r="AD54" i="12"/>
  <c r="W96" i="46"/>
  <c r="O54" i="20"/>
  <c r="O28" i="20" s="1"/>
  <c r="O56" i="20"/>
  <c r="O51" i="20"/>
  <c r="CC51" i="28"/>
  <c r="CC43" i="28"/>
  <c r="BP66" i="40"/>
  <c r="BJ134" i="29"/>
  <c r="BK134" i="29" s="1"/>
  <c r="J213" i="29"/>
  <c r="K116" i="29"/>
  <c r="K126" i="29"/>
  <c r="J140" i="29"/>
  <c r="K130" i="29"/>
  <c r="O130" i="29"/>
  <c r="J135" i="29"/>
  <c r="J136" i="29"/>
  <c r="P101" i="45"/>
  <c r="J695" i="46"/>
  <c r="L695" i="46" s="1"/>
  <c r="AQ98" i="45"/>
  <c r="AJ43" i="28"/>
  <c r="AO51" i="28"/>
  <c r="AJ51" i="28"/>
  <c r="W135" i="29"/>
  <c r="S135" i="29"/>
  <c r="AD36" i="40"/>
  <c r="AD28" i="40"/>
  <c r="AD41" i="40" s="1"/>
  <c r="AD353" i="40" s="1"/>
  <c r="AE36" i="40"/>
  <c r="AF28" i="40"/>
  <c r="AE28" i="40"/>
  <c r="AE41" i="40" s="1"/>
  <c r="AE353" i="40" s="1"/>
  <c r="W337" i="40"/>
  <c r="CF50" i="28"/>
  <c r="EH67" i="37"/>
  <c r="CM141" i="29"/>
  <c r="BB27" i="28"/>
  <c r="BW153" i="29"/>
  <c r="CA153" i="29"/>
  <c r="W40" i="46"/>
  <c r="U44" i="46"/>
  <c r="W47" i="46"/>
  <c r="AR49" i="47"/>
  <c r="H49" i="47"/>
  <c r="AD49" i="47"/>
  <c r="M49" i="47"/>
  <c r="U49" i="47"/>
  <c r="BK56" i="47"/>
  <c r="BK49" i="47"/>
  <c r="BK126" i="47"/>
  <c r="P126" i="47"/>
  <c r="AD126" i="47"/>
  <c r="U126" i="47"/>
  <c r="BK133" i="47"/>
  <c r="M126" i="47"/>
  <c r="H126" i="47"/>
  <c r="BG126" i="47"/>
  <c r="BK161" i="47"/>
  <c r="DZ126" i="47"/>
  <c r="T44" i="20"/>
  <c r="G17" i="85"/>
  <c r="DK20" i="28"/>
  <c r="AF47" i="89"/>
  <c r="AG47" i="89" s="1"/>
  <c r="O47" i="89"/>
  <c r="Z30" i="89"/>
  <c r="Z29" i="89"/>
  <c r="Y9" i="89"/>
  <c r="W9" i="89" s="1"/>
  <c r="J9" i="89"/>
  <c r="Z22" i="89"/>
  <c r="W22" i="89"/>
  <c r="X22" i="89" s="1"/>
  <c r="AZ11" i="40"/>
  <c r="AK223" i="46"/>
  <c r="AD223" i="46"/>
  <c r="AF223" i="46" s="1"/>
  <c r="AD230" i="46"/>
  <c r="AF230" i="46" s="1"/>
  <c r="AB227" i="46"/>
  <c r="D107" i="12"/>
  <c r="D114" i="12"/>
  <c r="L55" i="12"/>
  <c r="L56" i="12"/>
  <c r="V47" i="9"/>
  <c r="X47" i="9" s="1"/>
  <c r="X87" i="40"/>
  <c r="X79" i="40"/>
  <c r="X97" i="40" s="1"/>
  <c r="X349" i="40" s="1"/>
  <c r="Y79" i="40"/>
  <c r="AK609" i="46"/>
  <c r="AM609" i="46" s="1"/>
  <c r="AD609" i="46"/>
  <c r="AF609" i="46" s="1"/>
  <c r="D647" i="46"/>
  <c r="H647" i="46" s="1"/>
  <c r="D654" i="46"/>
  <c r="H654" i="46" s="1"/>
  <c r="AD686" i="46"/>
  <c r="AF686" i="46" s="1"/>
  <c r="AK686" i="46"/>
  <c r="AF660" i="46"/>
  <c r="BI86" i="40"/>
  <c r="BI84" i="40"/>
  <c r="BI85" i="40"/>
  <c r="AI202" i="12"/>
  <c r="AK202" i="12" s="1"/>
  <c r="BQ182" i="47"/>
  <c r="BU182" i="47"/>
  <c r="DJ124" i="29"/>
  <c r="CM23" i="28"/>
  <c r="C18" i="82" s="1"/>
  <c r="BL139" i="40"/>
  <c r="C71" i="85"/>
  <c r="DF36" i="28"/>
  <c r="DF17" i="28"/>
  <c r="Y87" i="40"/>
  <c r="Y60" i="40"/>
  <c r="BA60" i="40"/>
  <c r="Y65" i="40"/>
  <c r="Y8" i="40"/>
  <c r="Y102" i="40"/>
  <c r="Y341" i="40" s="1"/>
  <c r="H32" i="85"/>
  <c r="H136" i="85"/>
  <c r="H94" i="85"/>
  <c r="H39" i="85"/>
  <c r="H52" i="85"/>
  <c r="DJ133" i="29"/>
  <c r="I544" i="45"/>
  <c r="AQ544" i="45"/>
  <c r="BN125" i="40"/>
  <c r="BM118" i="40"/>
  <c r="K27" i="28"/>
  <c r="K42" i="28"/>
  <c r="BM40" i="28"/>
  <c r="BM25" i="28"/>
  <c r="BM42" i="28" s="1"/>
  <c r="BM41" i="28"/>
  <c r="AR91" i="47"/>
  <c r="AD91" i="47"/>
  <c r="M91" i="47"/>
  <c r="DZ91" i="47"/>
  <c r="O115" i="20" s="1"/>
  <c r="BG91" i="47"/>
  <c r="U91" i="47"/>
  <c r="DT92" i="47"/>
  <c r="AD47" i="46"/>
  <c r="AF47" i="46" s="1"/>
  <c r="AB51" i="46"/>
  <c r="AK47" i="46"/>
  <c r="AD54" i="46"/>
  <c r="AF54" i="46" s="1"/>
  <c r="BS156" i="29"/>
  <c r="BO156" i="29"/>
  <c r="AQ85" i="17"/>
  <c r="AQ84" i="17"/>
  <c r="AB136" i="40"/>
  <c r="DI75" i="28"/>
  <c r="AC136" i="40"/>
  <c r="AB334" i="40"/>
  <c r="AC334" i="40"/>
  <c r="N133" i="29"/>
  <c r="O123" i="29"/>
  <c r="O113" i="29"/>
  <c r="N79" i="85"/>
  <c r="N231" i="29"/>
  <c r="S231" i="29" s="1"/>
  <c r="S221" i="29"/>
  <c r="O221" i="29"/>
  <c r="AA124" i="29"/>
  <c r="AA114" i="29"/>
  <c r="Z141" i="29"/>
  <c r="Z136" i="29"/>
  <c r="AA131" i="29"/>
  <c r="Z135" i="29"/>
  <c r="AE131" i="29"/>
  <c r="Z134" i="29"/>
  <c r="M77" i="20"/>
  <c r="M78" i="20" s="1"/>
  <c r="AY213" i="29"/>
  <c r="AX223" i="29"/>
  <c r="D66" i="45"/>
  <c r="E65" i="45"/>
  <c r="J65" i="45"/>
  <c r="AP234" i="29"/>
  <c r="AU230" i="29"/>
  <c r="AQ230" i="29"/>
  <c r="AP235" i="29"/>
  <c r="EL39" i="37"/>
  <c r="AB78" i="46"/>
  <c r="AB77" i="46"/>
  <c r="AD265" i="46"/>
  <c r="AF265" i="46" s="1"/>
  <c r="AB269" i="46"/>
  <c r="AK265" i="46"/>
  <c r="AD272" i="46"/>
  <c r="AF272" i="46" s="1"/>
  <c r="V322" i="40"/>
  <c r="W333" i="40"/>
  <c r="H14" i="85"/>
  <c r="H31" i="85"/>
  <c r="H173" i="85"/>
  <c r="I173" i="85"/>
  <c r="AB363" i="46"/>
  <c r="AK363" i="46" s="1"/>
  <c r="AB359" i="46"/>
  <c r="BF145" i="29"/>
  <c r="BK145" i="29" s="1"/>
  <c r="BF146" i="29"/>
  <c r="BK146" i="29" s="1"/>
  <c r="BK140" i="29"/>
  <c r="Z34" i="9"/>
  <c r="Z41" i="9"/>
  <c r="DZ161" i="47"/>
  <c r="DY161" i="47"/>
  <c r="DG20" i="28"/>
  <c r="C17" i="85"/>
  <c r="C18" i="85" s="1"/>
  <c r="P44" i="20"/>
  <c r="P50" i="20"/>
  <c r="AD793" i="46"/>
  <c r="AF793" i="46" s="1"/>
  <c r="AD786" i="46"/>
  <c r="AF786" i="46" s="1"/>
  <c r="AK786" i="46"/>
  <c r="AD815" i="46"/>
  <c r="AF815" i="46" s="1"/>
  <c r="AK815" i="46"/>
  <c r="AD822" i="46"/>
  <c r="BN34" i="47"/>
  <c r="AB604" i="46"/>
  <c r="AD610" i="46"/>
  <c r="AF610" i="46" s="1"/>
  <c r="AD603" i="46"/>
  <c r="AF603" i="46" s="1"/>
  <c r="DG221" i="29"/>
  <c r="DF225" i="29"/>
  <c r="DG225" i="29" s="1"/>
  <c r="DF231" i="29"/>
  <c r="DF223" i="29"/>
  <c r="AF531" i="46"/>
  <c r="P531" i="46"/>
  <c r="Q50" i="20"/>
  <c r="Q38" i="20"/>
  <c r="Q77" i="20"/>
  <c r="Q78" i="20" s="1"/>
  <c r="Q144" i="20"/>
  <c r="Q145" i="20" s="1"/>
  <c r="AG70" i="17"/>
  <c r="AA43" i="40"/>
  <c r="AA44" i="40" s="1"/>
  <c r="DH36" i="28"/>
  <c r="DH17" i="28"/>
  <c r="R337" i="40"/>
  <c r="Q337" i="40"/>
  <c r="AB145" i="46"/>
  <c r="AB141" i="46"/>
  <c r="D611" i="46"/>
  <c r="H611" i="46" s="1"/>
  <c r="D604" i="46"/>
  <c r="H604" i="46" s="1"/>
  <c r="AD777" i="46"/>
  <c r="AF777" i="46" s="1"/>
  <c r="AK777" i="46"/>
  <c r="AB781" i="46"/>
  <c r="AD781" i="46" s="1"/>
  <c r="AF781" i="46" s="1"/>
  <c r="AD784" i="46"/>
  <c r="AF784" i="46" s="1"/>
  <c r="CV116" i="29"/>
  <c r="CR116" i="29"/>
  <c r="CQ116" i="29"/>
  <c r="DJ222" i="29"/>
  <c r="K16" i="40"/>
  <c r="K20" i="40" s="1"/>
  <c r="J33" i="40"/>
  <c r="J48" i="40"/>
  <c r="J21" i="40"/>
  <c r="N66" i="85"/>
  <c r="N152" i="85"/>
  <c r="N150" i="85" s="1"/>
  <c r="AU40" i="45"/>
  <c r="B222" i="45"/>
  <c r="B404" i="45" s="1"/>
  <c r="C28" i="85"/>
  <c r="C33" i="85"/>
  <c r="N376" i="40"/>
  <c r="AI723" i="46"/>
  <c r="AL153" i="47"/>
  <c r="AL125" i="47"/>
  <c r="U723" i="46"/>
  <c r="W723" i="46" s="1"/>
  <c r="DK220" i="29"/>
  <c r="DJ230" i="29"/>
  <c r="DJ224" i="29"/>
  <c r="DK224" i="29" s="1"/>
  <c r="DJ225" i="29"/>
  <c r="DK225" i="29" s="1"/>
  <c r="AK174" i="46"/>
  <c r="AD181" i="46"/>
  <c r="AF181" i="46" s="1"/>
  <c r="H710" i="46"/>
  <c r="BE136" i="40"/>
  <c r="BE119" i="40"/>
  <c r="AM246" i="46"/>
  <c r="AM253" i="46"/>
  <c r="O116" i="29"/>
  <c r="O126" i="29"/>
  <c r="K121" i="85"/>
  <c r="G134" i="29"/>
  <c r="D144" i="29"/>
  <c r="AB77" i="9"/>
  <c r="AD77" i="9" s="1"/>
  <c r="AF77" i="9" s="1"/>
  <c r="AB89" i="12"/>
  <c r="AB85" i="12"/>
  <c r="AK57" i="46"/>
  <c r="AD57" i="46"/>
  <c r="AF57" i="46" s="1"/>
  <c r="BD82" i="28"/>
  <c r="BC82" i="28"/>
  <c r="BB82" i="28"/>
  <c r="BA82" i="28"/>
  <c r="BF238" i="40"/>
  <c r="BF12" i="40" s="1"/>
  <c r="BG250" i="40"/>
  <c r="BF239" i="40"/>
  <c r="BF13" i="40" s="1"/>
  <c r="AB332" i="46"/>
  <c r="AL127" i="40"/>
  <c r="AL135" i="40"/>
  <c r="AK147" i="40"/>
  <c r="AK149" i="40" s="1"/>
  <c r="AK342" i="40" s="1"/>
  <c r="AV342" i="40" s="1"/>
  <c r="AL147" i="40"/>
  <c r="AL149" i="40" s="1"/>
  <c r="CQ132" i="29"/>
  <c r="CP142" i="29"/>
  <c r="CU132" i="29"/>
  <c r="AK43" i="46"/>
  <c r="AD50" i="46"/>
  <c r="AF50" i="46" s="1"/>
  <c r="AD43" i="46"/>
  <c r="AF43" i="46" s="1"/>
  <c r="U301" i="46"/>
  <c r="AF517" i="46"/>
  <c r="P517" i="46"/>
  <c r="BX53" i="47"/>
  <c r="BQ53" i="47"/>
  <c r="CQ53" i="47"/>
  <c r="BN53" i="47"/>
  <c r="BV144" i="29"/>
  <c r="CA134" i="29"/>
  <c r="BV154" i="29"/>
  <c r="AB74" i="9"/>
  <c r="AD74" i="9" s="1"/>
  <c r="AB83" i="12"/>
  <c r="AB82" i="12"/>
  <c r="Z18" i="89"/>
  <c r="W18" i="89"/>
  <c r="X18" i="89" s="1"/>
  <c r="DE48" i="28"/>
  <c r="DE37" i="28"/>
  <c r="DE17" i="28"/>
  <c r="DF48" i="28"/>
  <c r="S21" i="40"/>
  <c r="S48" i="40"/>
  <c r="T16" i="40"/>
  <c r="T20" i="40" s="1"/>
  <c r="AG100" i="40"/>
  <c r="AG102" i="40" s="1"/>
  <c r="AG341" i="40" s="1"/>
  <c r="AF100" i="40"/>
  <c r="AF102" i="40" s="1"/>
  <c r="AF341" i="40" s="1"/>
  <c r="AB809" i="46"/>
  <c r="AD809" i="46" s="1"/>
  <c r="AD807" i="46"/>
  <c r="AF807" i="46" s="1"/>
  <c r="AK807" i="46"/>
  <c r="AB62" i="45"/>
  <c r="AC61" i="45"/>
  <c r="AQ61" i="45"/>
  <c r="AK673" i="46"/>
  <c r="AM673" i="46" s="1"/>
  <c r="AD673" i="46"/>
  <c r="AF673" i="46" s="1"/>
  <c r="CQ126" i="29"/>
  <c r="Z208" i="12"/>
  <c r="AR543" i="45"/>
  <c r="AL19" i="89"/>
  <c r="AG19" i="89"/>
  <c r="DK29" i="28"/>
  <c r="U74" i="20"/>
  <c r="AO37" i="89"/>
  <c r="AL37" i="89" s="1"/>
  <c r="DP231" i="47"/>
  <c r="DQ231" i="47" s="1"/>
  <c r="EB231" i="47"/>
  <c r="DV231" i="47"/>
  <c r="AF201" i="40"/>
  <c r="AG200" i="40"/>
  <c r="EK36" i="37"/>
  <c r="EJ59" i="37" s="1"/>
  <c r="EJ58" i="37"/>
  <c r="AM401" i="46"/>
  <c r="AM154" i="12"/>
  <c r="AM105" i="46"/>
  <c r="AM98" i="46"/>
  <c r="AK100" i="46"/>
  <c r="AX142" i="29"/>
  <c r="AX152" i="29"/>
  <c r="BC132" i="29"/>
  <c r="AY132" i="29"/>
  <c r="AX134" i="29"/>
  <c r="AX136" i="29"/>
  <c r="BC136" i="29" s="1"/>
  <c r="BG132" i="29"/>
  <c r="BB152" i="29"/>
  <c r="BG152" i="29" s="1"/>
  <c r="BB142" i="29"/>
  <c r="AD623" i="46"/>
  <c r="AF623" i="46" s="1"/>
  <c r="AK623" i="46"/>
  <c r="X47" i="40"/>
  <c r="N62" i="28"/>
  <c r="DD69" i="28"/>
  <c r="BN234" i="29"/>
  <c r="BW230" i="29"/>
  <c r="BS230" i="29"/>
  <c r="AM232" i="29"/>
  <c r="EN11" i="37"/>
  <c r="HZ12" i="38"/>
  <c r="HZ13" i="38" s="1"/>
  <c r="EM80" i="37"/>
  <c r="P43" i="40"/>
  <c r="P44" i="40" s="1"/>
  <c r="AB64" i="29"/>
  <c r="X64" i="29"/>
  <c r="W64" i="29"/>
  <c r="AM416" i="46"/>
  <c r="AM423" i="46"/>
  <c r="AF639" i="46"/>
  <c r="P639" i="46"/>
  <c r="H84" i="12"/>
  <c r="D141" i="12"/>
  <c r="H141" i="12" s="1"/>
  <c r="D148" i="12"/>
  <c r="H148" i="12" s="1"/>
  <c r="AI141" i="12"/>
  <c r="S142" i="12"/>
  <c r="H206" i="47"/>
  <c r="DY168" i="47"/>
  <c r="DZ168" i="47"/>
  <c r="CY220" i="29"/>
  <c r="CX230" i="29"/>
  <c r="DG220" i="29"/>
  <c r="CX223" i="29"/>
  <c r="CX224" i="29"/>
  <c r="CX225" i="29"/>
  <c r="CY225" i="29" s="1"/>
  <c r="AB183" i="12"/>
  <c r="BX80" i="28"/>
  <c r="AB175" i="9"/>
  <c r="CE224" i="29"/>
  <c r="DI39" i="28"/>
  <c r="CX134" i="29"/>
  <c r="BG141" i="29"/>
  <c r="I80" i="20"/>
  <c r="AH233" i="29"/>
  <c r="AR41" i="47"/>
  <c r="H41" i="47"/>
  <c r="AD41" i="47"/>
  <c r="U41" i="47"/>
  <c r="M41" i="47"/>
  <c r="BK41" i="47"/>
  <c r="Z17" i="89"/>
  <c r="W17" i="89"/>
  <c r="X17" i="89" s="1"/>
  <c r="Z25" i="89"/>
  <c r="W25" i="89"/>
  <c r="X25" i="89" s="1"/>
  <c r="H75" i="12"/>
  <c r="BV13" i="38"/>
  <c r="DU168" i="47"/>
  <c r="DV161" i="47"/>
  <c r="DU161" i="47"/>
  <c r="DM48" i="28"/>
  <c r="DM37" i="28"/>
  <c r="DN48" i="28"/>
  <c r="DM17" i="28"/>
  <c r="AB597" i="46"/>
  <c r="J47" i="85"/>
  <c r="J131" i="85"/>
  <c r="J89" i="85"/>
  <c r="J32" i="85"/>
  <c r="J37" i="85"/>
  <c r="DN46" i="28"/>
  <c r="DN37" i="28"/>
  <c r="BQ41" i="47"/>
  <c r="O36" i="40"/>
  <c r="AB633" i="46"/>
  <c r="AK630" i="46"/>
  <c r="BQ55" i="47"/>
  <c r="BN55" i="47"/>
  <c r="BX55" i="47"/>
  <c r="AK615" i="46"/>
  <c r="AB618" i="46"/>
  <c r="AD615" i="46"/>
  <c r="AF615" i="46" s="1"/>
  <c r="DV182" i="47"/>
  <c r="DU182" i="47"/>
  <c r="AI201" i="12"/>
  <c r="F205" i="12"/>
  <c r="DL14" i="29" s="1"/>
  <c r="S205" i="12"/>
  <c r="M62" i="20"/>
  <c r="M59" i="20"/>
  <c r="M57" i="20"/>
  <c r="BO140" i="29"/>
  <c r="BN154" i="29"/>
  <c r="BN144" i="29"/>
  <c r="AF39" i="9"/>
  <c r="AF46" i="9"/>
  <c r="R491" i="45"/>
  <c r="S309" i="45"/>
  <c r="R310" i="45"/>
  <c r="AA309" i="45"/>
  <c r="CC41" i="28"/>
  <c r="CC25" i="28"/>
  <c r="CC42" i="28" s="1"/>
  <c r="CC40" i="28"/>
  <c r="M43" i="28"/>
  <c r="R51" i="28"/>
  <c r="M51" i="28"/>
  <c r="U34" i="12"/>
  <c r="L37" i="12"/>
  <c r="N37" i="12" s="1"/>
  <c r="P37" i="12" s="1"/>
  <c r="N34" i="12"/>
  <c r="P34" i="12" s="1"/>
  <c r="H134" i="12"/>
  <c r="C37" i="20"/>
  <c r="C15" i="20"/>
  <c r="C12" i="20"/>
  <c r="AT140" i="29"/>
  <c r="AU130" i="29"/>
  <c r="AT150" i="29"/>
  <c r="AT135" i="29"/>
  <c r="AT134" i="29"/>
  <c r="AU134" i="29" s="1"/>
  <c r="AY130" i="29"/>
  <c r="AT136" i="29"/>
  <c r="AB68" i="20"/>
  <c r="DK174" i="29"/>
  <c r="AJ25" i="28"/>
  <c r="AJ41" i="28"/>
  <c r="AJ40" i="28"/>
  <c r="R144" i="29"/>
  <c r="R145" i="29"/>
  <c r="W145" i="29" s="1"/>
  <c r="R146" i="29"/>
  <c r="W146" i="29" s="1"/>
  <c r="W140" i="29"/>
  <c r="S140" i="29"/>
  <c r="DK69" i="28"/>
  <c r="AE47" i="40"/>
  <c r="AE49" i="40" s="1"/>
  <c r="AD47" i="40"/>
  <c r="AD49" i="40" s="1"/>
  <c r="AD653" i="46"/>
  <c r="AF653" i="46" s="1"/>
  <c r="AK653" i="46"/>
  <c r="BG232" i="29"/>
  <c r="BC232" i="29"/>
  <c r="AK160" i="46"/>
  <c r="AM160" i="46" s="1"/>
  <c r="AD160" i="46"/>
  <c r="AF160" i="46" s="1"/>
  <c r="BL115" i="40"/>
  <c r="AK357" i="40"/>
  <c r="BE84" i="40"/>
  <c r="BE86" i="40"/>
  <c r="BE63" i="40"/>
  <c r="BE83" i="40" s="1"/>
  <c r="BN27" i="47"/>
  <c r="CQ27" i="47"/>
  <c r="BU27" i="47"/>
  <c r="HT25" i="38"/>
  <c r="EP28" i="38"/>
  <c r="EX28" i="38"/>
  <c r="HT27" i="38"/>
  <c r="HT26" i="38"/>
  <c r="AM161" i="46"/>
  <c r="AM154" i="46"/>
  <c r="CH230" i="29"/>
  <c r="CH225" i="29"/>
  <c r="CI225" i="29" s="1"/>
  <c r="CH223" i="29"/>
  <c r="CI220" i="29"/>
  <c r="CH224" i="29"/>
  <c r="CI224" i="29" s="1"/>
  <c r="AB104" i="9"/>
  <c r="AD104" i="9" s="1"/>
  <c r="Y80" i="28"/>
  <c r="AB112" i="12"/>
  <c r="AB113" i="12"/>
  <c r="EL87" i="37"/>
  <c r="EL88" i="37" s="1"/>
  <c r="CR88" i="37" s="1"/>
  <c r="D234" i="29"/>
  <c r="D235" i="29"/>
  <c r="F33" i="89"/>
  <c r="J33" i="89"/>
  <c r="Y33" i="89"/>
  <c r="J10" i="89"/>
  <c r="Y10" i="89"/>
  <c r="W10" i="89" s="1"/>
  <c r="Y26" i="89"/>
  <c r="F26" i="89"/>
  <c r="L136" i="85"/>
  <c r="L52" i="85"/>
  <c r="M79" i="85" s="1"/>
  <c r="L94" i="85"/>
  <c r="L32" i="85"/>
  <c r="L39" i="85"/>
  <c r="Q322" i="40"/>
  <c r="Q329" i="40" s="1"/>
  <c r="AK219" i="46"/>
  <c r="AD219" i="46"/>
  <c r="AF219" i="46" s="1"/>
  <c r="AD226" i="46"/>
  <c r="AF226" i="46" s="1"/>
  <c r="AB220" i="46"/>
  <c r="AB142" i="12"/>
  <c r="AD142" i="12" s="1"/>
  <c r="AK138" i="12"/>
  <c r="AD138" i="12"/>
  <c r="AF138" i="12" s="1"/>
  <c r="AD145" i="12"/>
  <c r="AF145" i="12" s="1"/>
  <c r="AI107" i="12"/>
  <c r="AK103" i="12"/>
  <c r="AM110" i="12" s="1"/>
  <c r="AB654" i="46"/>
  <c r="AD608" i="46"/>
  <c r="AF608" i="46" s="1"/>
  <c r="AK608" i="46"/>
  <c r="AM608" i="46" s="1"/>
  <c r="AK646" i="46"/>
  <c r="AM646" i="46" s="1"/>
  <c r="AI647" i="46"/>
  <c r="AK508" i="46"/>
  <c r="AB511" i="46"/>
  <c r="AD515" i="46"/>
  <c r="AF515" i="46" s="1"/>
  <c r="AD508" i="46"/>
  <c r="D668" i="46"/>
  <c r="H668" i="46" s="1"/>
  <c r="D661" i="46"/>
  <c r="H661" i="46" s="1"/>
  <c r="BE13" i="40"/>
  <c r="DN73" i="28"/>
  <c r="AG9" i="40"/>
  <c r="AG49" i="40"/>
  <c r="AG13" i="40"/>
  <c r="AG14" i="40" s="1"/>
  <c r="AG36" i="40"/>
  <c r="U78" i="20"/>
  <c r="IP10" i="38"/>
  <c r="IJ10" i="38"/>
  <c r="IW10" i="38" s="1"/>
  <c r="II27" i="38"/>
  <c r="IV27" i="38" s="1"/>
  <c r="EK18" i="37" l="1"/>
  <c r="EK41" i="37" s="1"/>
  <c r="EJ64" i="37" s="1"/>
  <c r="BE140" i="40"/>
  <c r="AK710" i="46"/>
  <c r="Y12" i="20"/>
  <c r="AM708" i="46"/>
  <c r="BN175" i="47"/>
  <c r="AM146" i="12"/>
  <c r="AT13" i="40"/>
  <c r="BU145" i="47"/>
  <c r="BN145" i="47"/>
  <c r="AF482" i="46"/>
  <c r="AL14" i="40"/>
  <c r="BX145" i="47"/>
  <c r="BN139" i="47"/>
  <c r="AB379" i="46"/>
  <c r="AF112" i="9"/>
  <c r="DR165" i="29"/>
  <c r="DS165" i="29" s="1"/>
  <c r="CU28" i="28"/>
  <c r="EI44" i="37"/>
  <c r="EI67" i="37" s="1"/>
  <c r="EI70" i="37" s="1"/>
  <c r="AM528" i="46"/>
  <c r="AK518" i="46"/>
  <c r="AM176" i="12"/>
  <c r="AZ138" i="40"/>
  <c r="AK532" i="46"/>
  <c r="AM539" i="46" s="1"/>
  <c r="BX139" i="47"/>
  <c r="M84" i="47"/>
  <c r="BU139" i="47"/>
  <c r="AF44" i="46"/>
  <c r="H84" i="47"/>
  <c r="AM514" i="46"/>
  <c r="AM125" i="12"/>
  <c r="CR141" i="29"/>
  <c r="CU141" i="29"/>
  <c r="BL27" i="28"/>
  <c r="AD111" i="12"/>
  <c r="AF111" i="12" s="1"/>
  <c r="AK104" i="12"/>
  <c r="AM111" i="12" s="1"/>
  <c r="AB163" i="12"/>
  <c r="AD160" i="12"/>
  <c r="AF160" i="12" s="1"/>
  <c r="AK160" i="12"/>
  <c r="AH187" i="9"/>
  <c r="AJ187" i="9" s="1"/>
  <c r="AD187" i="9"/>
  <c r="F49" i="85"/>
  <c r="F51" i="85" s="1"/>
  <c r="F54" i="85" s="1"/>
  <c r="F68" i="85" s="1"/>
  <c r="F82" i="85" s="1"/>
  <c r="F91" i="85"/>
  <c r="F93" i="85" s="1"/>
  <c r="F133" i="85"/>
  <c r="F135" i="85" s="1"/>
  <c r="F158" i="85" s="1"/>
  <c r="F11" i="85"/>
  <c r="AD127" i="12"/>
  <c r="AB121" i="12"/>
  <c r="AD203" i="12"/>
  <c r="AK203" i="12"/>
  <c r="DF144" i="29"/>
  <c r="DG144" i="29" s="1"/>
  <c r="DG134" i="29"/>
  <c r="G67" i="45"/>
  <c r="F68" i="45"/>
  <c r="CA144" i="29"/>
  <c r="U99" i="46"/>
  <c r="W99" i="46" s="1"/>
  <c r="AK120" i="12"/>
  <c r="AM127" i="12" s="1"/>
  <c r="BG235" i="29"/>
  <c r="CT233" i="29"/>
  <c r="AN42" i="28"/>
  <c r="J16" i="82"/>
  <c r="F27" i="28"/>
  <c r="U84" i="47"/>
  <c r="AF133" i="12"/>
  <c r="AO38" i="89"/>
  <c r="AL38" i="89" s="1"/>
  <c r="DP232" i="47"/>
  <c r="DQ232" i="47" s="1"/>
  <c r="EB232" i="47"/>
  <c r="DV232" i="47"/>
  <c r="AU77" i="17"/>
  <c r="W37" i="20"/>
  <c r="J8" i="85"/>
  <c r="W15" i="20"/>
  <c r="W12" i="20" s="1"/>
  <c r="DN10" i="28"/>
  <c r="DN13" i="28" s="1"/>
  <c r="BG27" i="28"/>
  <c r="BF50" i="28" s="1"/>
  <c r="CQ141" i="29"/>
  <c r="DH24" i="29"/>
  <c r="AE133" i="29"/>
  <c r="AD143" i="29"/>
  <c r="AE143" i="29" s="1"/>
  <c r="AD134" i="29"/>
  <c r="AD144" i="29" s="1"/>
  <c r="BG89" i="28"/>
  <c r="Q308" i="45"/>
  <c r="P490" i="45"/>
  <c r="Q490" i="45" s="1"/>
  <c r="P309" i="45"/>
  <c r="CQ229" i="29"/>
  <c r="G141" i="29"/>
  <c r="AF48" i="9"/>
  <c r="BG229" i="29"/>
  <c r="BB234" i="29"/>
  <c r="BG234" i="29" s="1"/>
  <c r="S38" i="20"/>
  <c r="S77" i="20"/>
  <c r="S78" i="20" s="1"/>
  <c r="AC43" i="40"/>
  <c r="S50" i="20"/>
  <c r="S144" i="20"/>
  <c r="S145" i="20" s="1"/>
  <c r="AM70" i="17"/>
  <c r="AM71" i="17"/>
  <c r="U12" i="12"/>
  <c r="L16" i="12"/>
  <c r="N19" i="12"/>
  <c r="P19" i="12" s="1"/>
  <c r="AK15" i="12"/>
  <c r="AK16" i="12" s="1"/>
  <c r="AB16" i="12"/>
  <c r="M66" i="45"/>
  <c r="J238" i="46"/>
  <c r="L238" i="46" s="1"/>
  <c r="L67" i="45"/>
  <c r="BK177" i="40"/>
  <c r="BJ163" i="40"/>
  <c r="CL145" i="29"/>
  <c r="BF27" i="28"/>
  <c r="CL146" i="29"/>
  <c r="CM146" i="29" s="1"/>
  <c r="V126" i="9"/>
  <c r="X126" i="9" s="1"/>
  <c r="AO81" i="28"/>
  <c r="L134" i="12"/>
  <c r="BJ249" i="40"/>
  <c r="BI237" i="40"/>
  <c r="AD152" i="9"/>
  <c r="AH152" i="9"/>
  <c r="AJ152" i="9" s="1"/>
  <c r="AD144" i="9"/>
  <c r="AH144" i="9"/>
  <c r="AJ144" i="9" s="1"/>
  <c r="DL24" i="29"/>
  <c r="EL81" i="37"/>
  <c r="EM12" i="37"/>
  <c r="HY12" i="38"/>
  <c r="HY13" i="38" s="1"/>
  <c r="J481" i="46"/>
  <c r="L481" i="46" s="1"/>
  <c r="U481" i="46" s="1"/>
  <c r="D112" i="89"/>
  <c r="DS58" i="28" s="1"/>
  <c r="DT58" i="28" s="1"/>
  <c r="DU58" i="28" s="1"/>
  <c r="DV58" i="28" s="1"/>
  <c r="DW58" i="28" s="1"/>
  <c r="X179" i="45"/>
  <c r="AY141" i="29"/>
  <c r="BC229" i="29"/>
  <c r="AV51" i="28"/>
  <c r="AV43" i="28"/>
  <c r="O127" i="45"/>
  <c r="N128" i="45"/>
  <c r="S6" i="82"/>
  <c r="AA6" i="82" s="1"/>
  <c r="DJ13" i="28"/>
  <c r="AD357" i="46"/>
  <c r="AF357" i="46" s="1"/>
  <c r="AK357" i="46"/>
  <c r="AD364" i="46"/>
  <c r="AF364" i="46" s="1"/>
  <c r="U120" i="46"/>
  <c r="N120" i="46"/>
  <c r="P120" i="46" s="1"/>
  <c r="CA154" i="29"/>
  <c r="AN51" i="28"/>
  <c r="AS51" i="28"/>
  <c r="AN43" i="28"/>
  <c r="E51" i="20"/>
  <c r="E54" i="20"/>
  <c r="E56" i="20"/>
  <c r="AD160" i="9"/>
  <c r="AH160" i="9"/>
  <c r="AJ160" i="9" s="1"/>
  <c r="O286" i="40"/>
  <c r="O289" i="40"/>
  <c r="O290" i="40" s="1"/>
  <c r="AR40" i="28"/>
  <c r="AR25" i="28"/>
  <c r="AR41" i="28"/>
  <c r="X51" i="28"/>
  <c r="AF131" i="12"/>
  <c r="Y220" i="40"/>
  <c r="Y351" i="40" s="1"/>
  <c r="AR8" i="22"/>
  <c r="CL233" i="29"/>
  <c r="H57" i="85"/>
  <c r="H141" i="85"/>
  <c r="H99" i="85"/>
  <c r="AK49" i="12"/>
  <c r="AD120" i="12"/>
  <c r="AF120" i="12" s="1"/>
  <c r="BN145" i="29"/>
  <c r="BO145" i="29" s="1"/>
  <c r="D58" i="12"/>
  <c r="H58" i="12" s="1"/>
  <c r="AD64" i="46"/>
  <c r="AF64" i="46" s="1"/>
  <c r="N99" i="46"/>
  <c r="P99" i="46" s="1"/>
  <c r="C54" i="85"/>
  <c r="C73" i="85" s="1"/>
  <c r="BG233" i="29"/>
  <c r="CU223" i="29"/>
  <c r="BG154" i="29"/>
  <c r="AD84" i="47"/>
  <c r="CJ63" i="28"/>
  <c r="X12" i="40"/>
  <c r="X36" i="40" s="1"/>
  <c r="X37" i="40" s="1"/>
  <c r="AD532" i="46"/>
  <c r="V41" i="40"/>
  <c r="V353" i="40" s="1"/>
  <c r="S14" i="82"/>
  <c r="DJ39" i="28"/>
  <c r="AK161" i="12"/>
  <c r="AM161" i="12" s="1"/>
  <c r="AH194" i="9"/>
  <c r="AJ194" i="9" s="1"/>
  <c r="AD194" i="9"/>
  <c r="BF89" i="28"/>
  <c r="U653" i="46"/>
  <c r="N653" i="46"/>
  <c r="P653" i="46" s="1"/>
  <c r="CE140" i="29"/>
  <c r="BZ145" i="29"/>
  <c r="CE145" i="29" s="1"/>
  <c r="BZ146" i="29"/>
  <c r="BV180" i="29"/>
  <c r="BS183" i="29"/>
  <c r="BR184" i="29"/>
  <c r="BS184" i="29" s="1"/>
  <c r="AK117" i="12"/>
  <c r="AD117" i="12"/>
  <c r="AF117" i="12" s="1"/>
  <c r="K47" i="40"/>
  <c r="K49" i="40" s="1"/>
  <c r="L47" i="40"/>
  <c r="L49" i="40" s="1"/>
  <c r="O80" i="20"/>
  <c r="BF233" i="29"/>
  <c r="AD133" i="12"/>
  <c r="W119" i="45"/>
  <c r="V120" i="45"/>
  <c r="AQ119" i="45"/>
  <c r="J138" i="12" s="1"/>
  <c r="DT234" i="47"/>
  <c r="CM231" i="29"/>
  <c r="CE231" i="29"/>
  <c r="AD196" i="40"/>
  <c r="AC197" i="40"/>
  <c r="AC194" i="40"/>
  <c r="CU189" i="29"/>
  <c r="BQ29" i="28"/>
  <c r="CT190" i="29"/>
  <c r="BG165" i="40"/>
  <c r="BH179" i="40"/>
  <c r="AD153" i="12"/>
  <c r="AF153" i="12" s="1"/>
  <c r="AK182" i="12"/>
  <c r="AD182" i="12"/>
  <c r="AF182" i="12" s="1"/>
  <c r="D178" i="85"/>
  <c r="L121" i="46"/>
  <c r="EL80" i="37"/>
  <c r="EM11" i="37"/>
  <c r="EM34" i="37" s="1"/>
  <c r="EL57" i="37" s="1"/>
  <c r="H77" i="20"/>
  <c r="H78" i="20" s="1"/>
  <c r="AE213" i="29"/>
  <c r="AD223" i="29"/>
  <c r="AU151" i="29"/>
  <c r="AY151" i="29"/>
  <c r="BR27" i="28"/>
  <c r="CY142" i="29"/>
  <c r="CT146" i="29"/>
  <c r="BS231" i="29"/>
  <c r="BW231" i="29"/>
  <c r="G144" i="29"/>
  <c r="N279" i="46"/>
  <c r="P279" i="46" s="1"/>
  <c r="U279" i="46"/>
  <c r="S141" i="29"/>
  <c r="N145" i="29"/>
  <c r="O141" i="29"/>
  <c r="DM39" i="28"/>
  <c r="H38" i="20"/>
  <c r="H144" i="20"/>
  <c r="H145" i="20" s="1"/>
  <c r="H50" i="20"/>
  <c r="CA232" i="29"/>
  <c r="BS232" i="29"/>
  <c r="AD125" i="12"/>
  <c r="AF125" i="12" s="1"/>
  <c r="AD132" i="12"/>
  <c r="AF132" i="12" s="1"/>
  <c r="AE72" i="45"/>
  <c r="AD73" i="45"/>
  <c r="BN89" i="28"/>
  <c r="CA146" i="29"/>
  <c r="CA155" i="29"/>
  <c r="BG42" i="28"/>
  <c r="BF42" i="28"/>
  <c r="X25" i="28"/>
  <c r="AZ115" i="40"/>
  <c r="AZ136" i="40" s="1"/>
  <c r="BK84" i="47"/>
  <c r="AW51" i="28"/>
  <c r="AX89" i="28"/>
  <c r="F141" i="85"/>
  <c r="F99" i="85"/>
  <c r="F57" i="85"/>
  <c r="AB149" i="12"/>
  <c r="AK145" i="12"/>
  <c r="AK149" i="12" s="1"/>
  <c r="J142" i="20"/>
  <c r="K5" i="20"/>
  <c r="AB34" i="9"/>
  <c r="AD34" i="9" s="1"/>
  <c r="AF34" i="9" s="1"/>
  <c r="AB42" i="12"/>
  <c r="AD49" i="12" s="1"/>
  <c r="AF49" i="12" s="1"/>
  <c r="AB43" i="12"/>
  <c r="J53" i="85"/>
  <c r="J137" i="85"/>
  <c r="J95" i="85"/>
  <c r="D79" i="85"/>
  <c r="BL74" i="40"/>
  <c r="BL65" i="40" s="1"/>
  <c r="BL85" i="40" s="1"/>
  <c r="BL64" i="40"/>
  <c r="BM72" i="40"/>
  <c r="AD61" i="12"/>
  <c r="T88" i="40"/>
  <c r="S88" i="40"/>
  <c r="J600" i="46"/>
  <c r="L600" i="46" s="1"/>
  <c r="Q65" i="45"/>
  <c r="P66" i="45"/>
  <c r="J657" i="46"/>
  <c r="L657" i="46" s="1"/>
  <c r="J56" i="85"/>
  <c r="J98" i="85"/>
  <c r="J140" i="85"/>
  <c r="BO231" i="29"/>
  <c r="W66" i="45"/>
  <c r="V67" i="45"/>
  <c r="DJ231" i="29"/>
  <c r="DK231" i="29" s="1"/>
  <c r="DK221" i="29"/>
  <c r="U122" i="45"/>
  <c r="J822" i="46"/>
  <c r="L822" i="46" s="1"/>
  <c r="AM757" i="46"/>
  <c r="EO27" i="37"/>
  <c r="EP27" i="37" s="1"/>
  <c r="EQ27" i="37" s="1"/>
  <c r="EN50" i="37"/>
  <c r="F233" i="29"/>
  <c r="G233" i="29" s="1"/>
  <c r="B80" i="20"/>
  <c r="G223" i="29"/>
  <c r="DK142" i="29"/>
  <c r="CL27" i="28"/>
  <c r="BK127" i="40"/>
  <c r="BJ117" i="40"/>
  <c r="J756" i="46"/>
  <c r="L756" i="46" s="1"/>
  <c r="U65" i="45"/>
  <c r="T66" i="45"/>
  <c r="AV6" i="22"/>
  <c r="AU6" i="17"/>
  <c r="EL96" i="37"/>
  <c r="EL97" i="37" s="1"/>
  <c r="EL98" i="37" s="1"/>
  <c r="HY27" i="38"/>
  <c r="HY28" i="38" s="1"/>
  <c r="W32" i="28"/>
  <c r="W38" i="28"/>
  <c r="W49" i="28"/>
  <c r="W21" i="28"/>
  <c r="CA223" i="29"/>
  <c r="BZ233" i="29"/>
  <c r="CA233" i="29" s="1"/>
  <c r="AL8" i="22"/>
  <c r="BG224" i="29"/>
  <c r="AD152" i="12"/>
  <c r="AF152" i="12" s="1"/>
  <c r="AK152" i="12"/>
  <c r="AD159" i="12"/>
  <c r="AF159" i="12" s="1"/>
  <c r="AB156" i="12"/>
  <c r="AD156" i="12" s="1"/>
  <c r="AB26" i="12"/>
  <c r="AB22" i="12"/>
  <c r="AB14" i="9"/>
  <c r="AD14" i="9" s="1"/>
  <c r="AF21" i="9" s="1"/>
  <c r="AD173" i="9"/>
  <c r="AH173" i="9"/>
  <c r="AJ173" i="9" s="1"/>
  <c r="AB40" i="9"/>
  <c r="AD40" i="9" s="1"/>
  <c r="AF40" i="9" s="1"/>
  <c r="AB48" i="12"/>
  <c r="AB88" i="9"/>
  <c r="AD88" i="9" s="1"/>
  <c r="AF88" i="9" s="1"/>
  <c r="M80" i="28"/>
  <c r="X49" i="40"/>
  <c r="DE78" i="28" s="1"/>
  <c r="P44" i="46"/>
  <c r="I28" i="82"/>
  <c r="AV89" i="28"/>
  <c r="AK128" i="12"/>
  <c r="AM135" i="12" s="1"/>
  <c r="AE114" i="29"/>
  <c r="AE124" i="29"/>
  <c r="J280" i="46"/>
  <c r="L280" i="46" s="1"/>
  <c r="M102" i="45"/>
  <c r="L103" i="45"/>
  <c r="U13" i="12"/>
  <c r="W20" i="12" s="1"/>
  <c r="N20" i="12"/>
  <c r="P20" i="12" s="1"/>
  <c r="AB405" i="40"/>
  <c r="DI65" i="28"/>
  <c r="AB17" i="40"/>
  <c r="E81" i="20"/>
  <c r="E83" i="20"/>
  <c r="AJ67" i="45"/>
  <c r="AK66" i="45"/>
  <c r="BK91" i="47"/>
  <c r="BQ91" i="28"/>
  <c r="AM146" i="29"/>
  <c r="BS223" i="29"/>
  <c r="CM145" i="29"/>
  <c r="CM144" i="29"/>
  <c r="CM223" i="29"/>
  <c r="X40" i="28"/>
  <c r="AZ8" i="40"/>
  <c r="AZ17" i="40" s="1"/>
  <c r="AZ139" i="40"/>
  <c r="AZ140" i="40" s="1"/>
  <c r="AR84" i="47"/>
  <c r="K51" i="28"/>
  <c r="DZ84" i="47"/>
  <c r="N115" i="20" s="1"/>
  <c r="N798" i="46"/>
  <c r="P798" i="46" s="1"/>
  <c r="U798" i="46"/>
  <c r="W798" i="46" s="1"/>
  <c r="AD27" i="46"/>
  <c r="AD34" i="46"/>
  <c r="AF34" i="46" s="1"/>
  <c r="AB30" i="46"/>
  <c r="AD37" i="46" s="1"/>
  <c r="AF37" i="46" s="1"/>
  <c r="AK27" i="46"/>
  <c r="AD57" i="12"/>
  <c r="AF57" i="12" s="1"/>
  <c r="BF93" i="28"/>
  <c r="F144" i="29"/>
  <c r="D8" i="22"/>
  <c r="U596" i="46"/>
  <c r="N596" i="46"/>
  <c r="P596" i="46" s="1"/>
  <c r="N103" i="45"/>
  <c r="O102" i="45"/>
  <c r="AD30" i="46"/>
  <c r="W235" i="29"/>
  <c r="BZ155" i="29"/>
  <c r="CA135" i="29"/>
  <c r="AK350" i="46"/>
  <c r="AM350" i="46" s="1"/>
  <c r="AD350" i="46"/>
  <c r="AF350" i="46" s="1"/>
  <c r="I36" i="89"/>
  <c r="AC29" i="89"/>
  <c r="W29" i="89" s="1"/>
  <c r="X29" i="89" s="1"/>
  <c r="J29" i="89"/>
  <c r="N752" i="46"/>
  <c r="P752" i="46" s="1"/>
  <c r="U752" i="46"/>
  <c r="L753" i="46"/>
  <c r="N753" i="46" s="1"/>
  <c r="P753" i="46" s="1"/>
  <c r="P306" i="40"/>
  <c r="P285" i="40"/>
  <c r="P298" i="40"/>
  <c r="P299" i="40" s="1"/>
  <c r="Q281" i="40"/>
  <c r="Q284" i="40" s="1"/>
  <c r="P287" i="40"/>
  <c r="O307" i="45"/>
  <c r="N489" i="45"/>
  <c r="O489" i="45" s="1"/>
  <c r="N308" i="45"/>
  <c r="V28" i="40"/>
  <c r="W28" i="40"/>
  <c r="W41" i="40" s="1"/>
  <c r="W353" i="40" s="1"/>
  <c r="I39" i="89"/>
  <c r="J32" i="89"/>
  <c r="AC32" i="89"/>
  <c r="W32" i="89" s="1"/>
  <c r="X32" i="89" s="1"/>
  <c r="CC50" i="28"/>
  <c r="BX50" i="28"/>
  <c r="AD232" i="29"/>
  <c r="AE222" i="29"/>
  <c r="AI222" i="29"/>
  <c r="AD175" i="12"/>
  <c r="CA150" i="29"/>
  <c r="AB128" i="12"/>
  <c r="AD128" i="12" s="1"/>
  <c r="AF128" i="12" s="1"/>
  <c r="AD131" i="12"/>
  <c r="AD124" i="12"/>
  <c r="U536" i="46"/>
  <c r="W536" i="46" s="1"/>
  <c r="N536" i="46"/>
  <c r="P536" i="46" s="1"/>
  <c r="DN39" i="28"/>
  <c r="I47" i="89"/>
  <c r="AC40" i="89"/>
  <c r="DF80" i="28"/>
  <c r="DG70" i="28"/>
  <c r="DF70" i="28"/>
  <c r="U21" i="12"/>
  <c r="N21" i="12"/>
  <c r="P21" i="12" s="1"/>
  <c r="L23" i="12"/>
  <c r="N28" i="12"/>
  <c r="P28" i="12" s="1"/>
  <c r="K101" i="40"/>
  <c r="L85" i="40"/>
  <c r="I57" i="85"/>
  <c r="I141" i="85"/>
  <c r="I99" i="85"/>
  <c r="AG73" i="45"/>
  <c r="AF68" i="45"/>
  <c r="AG67" i="45"/>
  <c r="BI11" i="40"/>
  <c r="AD166" i="9"/>
  <c r="AF166" i="9" s="1"/>
  <c r="AH166" i="9"/>
  <c r="AJ166" i="9" s="1"/>
  <c r="N72" i="40"/>
  <c r="M551" i="45"/>
  <c r="N29" i="12"/>
  <c r="P29" i="12" s="1"/>
  <c r="U22" i="12"/>
  <c r="N22" i="12"/>
  <c r="P22" i="12" s="1"/>
  <c r="AV40" i="28"/>
  <c r="AV41" i="28"/>
  <c r="AV25" i="28"/>
  <c r="AV42" i="28" s="1"/>
  <c r="AF181" i="9"/>
  <c r="AF188" i="9"/>
  <c r="U237" i="46"/>
  <c r="W237" i="46" s="1"/>
  <c r="N237" i="46"/>
  <c r="P237" i="46" s="1"/>
  <c r="J124" i="46"/>
  <c r="L124" i="46" s="1"/>
  <c r="K125" i="45"/>
  <c r="J126" i="45"/>
  <c r="AN129" i="40"/>
  <c r="AN126" i="40" s="1"/>
  <c r="M370" i="45"/>
  <c r="L552" i="45"/>
  <c r="Z380" i="46" s="1"/>
  <c r="AB380" i="46" s="1"/>
  <c r="I37" i="89"/>
  <c r="AC30" i="89"/>
  <c r="W30" i="89" s="1"/>
  <c r="X30" i="89" s="1"/>
  <c r="J30" i="89"/>
  <c r="F145" i="29"/>
  <c r="G145" i="29" s="1"/>
  <c r="N84" i="40"/>
  <c r="N85" i="40" s="1"/>
  <c r="N235" i="29"/>
  <c r="S235" i="29" s="1"/>
  <c r="BG91" i="28"/>
  <c r="BZ144" i="29"/>
  <c r="CE144" i="29" s="1"/>
  <c r="BZ154" i="29"/>
  <c r="BC140" i="29"/>
  <c r="BB145" i="29"/>
  <c r="BG145" i="29" s="1"/>
  <c r="BK175" i="40"/>
  <c r="BJ162" i="40"/>
  <c r="BJ164" i="40"/>
  <c r="F146" i="29"/>
  <c r="BN146" i="29"/>
  <c r="BC141" i="29"/>
  <c r="C110" i="85"/>
  <c r="CE134" i="29"/>
  <c r="AB65" i="46"/>
  <c r="AD65" i="46" s="1"/>
  <c r="AF65" i="46" s="1"/>
  <c r="DS174" i="29"/>
  <c r="AC68" i="20"/>
  <c r="CM134" i="29"/>
  <c r="CM233" i="29"/>
  <c r="AF124" i="12"/>
  <c r="O402" i="40"/>
  <c r="AM325" i="46"/>
  <c r="BQ44" i="17"/>
  <c r="BP40" i="22"/>
  <c r="AW89" i="28"/>
  <c r="T103" i="45"/>
  <c r="U102" i="45"/>
  <c r="J799" i="46"/>
  <c r="L799" i="46" s="1"/>
  <c r="AD28" i="46"/>
  <c r="AK28" i="46"/>
  <c r="AM35" i="46" s="1"/>
  <c r="AD35" i="46"/>
  <c r="AF35" i="46" s="1"/>
  <c r="AK84" i="12"/>
  <c r="AM84" i="12" s="1"/>
  <c r="AA44" i="20"/>
  <c r="AA20" i="20"/>
  <c r="AA22" i="20"/>
  <c r="AJ7" i="20"/>
  <c r="AA32" i="20"/>
  <c r="BC76" i="17"/>
  <c r="AA14" i="20"/>
  <c r="AA28" i="20"/>
  <c r="DR16" i="28" s="1"/>
  <c r="AA41" i="20"/>
  <c r="AA15" i="20"/>
  <c r="N6" i="85"/>
  <c r="O37" i="85" s="1"/>
  <c r="AA35" i="20"/>
  <c r="AA37" i="20"/>
  <c r="AA8" i="20"/>
  <c r="DR8" i="28"/>
  <c r="CA14" i="22"/>
  <c r="CA15" i="22" s="1"/>
  <c r="CA17" i="22" s="1"/>
  <c r="AF49" i="9"/>
  <c r="AF42" i="9"/>
  <c r="DK140" i="29"/>
  <c r="CE27" i="28"/>
  <c r="DG140" i="29"/>
  <c r="DF145" i="29"/>
  <c r="DG145" i="29" s="1"/>
  <c r="DF146" i="29"/>
  <c r="DG146" i="29" s="1"/>
  <c r="AK168" i="12"/>
  <c r="AD168" i="12"/>
  <c r="AF168" i="12" s="1"/>
  <c r="W234" i="29"/>
  <c r="CM63" i="28"/>
  <c r="BK231" i="29"/>
  <c r="Z20" i="20"/>
  <c r="M6" i="85"/>
  <c r="Z37" i="20"/>
  <c r="Z35" i="20"/>
  <c r="BZ14" i="22"/>
  <c r="BZ15" i="22" s="1"/>
  <c r="BZ17" i="22" s="1"/>
  <c r="Z41" i="20"/>
  <c r="Z28" i="20"/>
  <c r="DQ16" i="28" s="1"/>
  <c r="Z32" i="20"/>
  <c r="BA76" i="17"/>
  <c r="Z15" i="20"/>
  <c r="Z22" i="20"/>
  <c r="Z8" i="20"/>
  <c r="Z14" i="20"/>
  <c r="Z44" i="20"/>
  <c r="DQ8" i="28"/>
  <c r="Z17" i="20"/>
  <c r="BZ156" i="29"/>
  <c r="CA156" i="29" s="1"/>
  <c r="AD356" i="46"/>
  <c r="AF356" i="46" s="1"/>
  <c r="AB353" i="46"/>
  <c r="AD353" i="46" s="1"/>
  <c r="AF353" i="46" s="1"/>
  <c r="AD349" i="46"/>
  <c r="AF349" i="46" s="1"/>
  <c r="AK349" i="46"/>
  <c r="AF102" i="9"/>
  <c r="AF95" i="9"/>
  <c r="J388" i="46"/>
  <c r="DJ61" i="28"/>
  <c r="H125" i="45"/>
  <c r="I122" i="45"/>
  <c r="AD358" i="46"/>
  <c r="AF358" i="46" s="1"/>
  <c r="AK358" i="46"/>
  <c r="AD365" i="46"/>
  <c r="AF365" i="46" s="1"/>
  <c r="DG142" i="29"/>
  <c r="CG27" i="28"/>
  <c r="CG50" i="28" s="1"/>
  <c r="C114" i="85"/>
  <c r="D121" i="85"/>
  <c r="CA140" i="29"/>
  <c r="O67" i="45"/>
  <c r="J537" i="46"/>
  <c r="L537" i="46" s="1"/>
  <c r="N68" i="45"/>
  <c r="D146" i="29"/>
  <c r="G146" i="29" s="1"/>
  <c r="J40" i="89"/>
  <c r="AF546" i="46"/>
  <c r="Y334" i="40"/>
  <c r="AM290" i="46"/>
  <c r="U333" i="40"/>
  <c r="H156" i="12"/>
  <c r="AF156" i="12" s="1"/>
  <c r="AM297" i="46"/>
  <c r="EK19" i="37"/>
  <c r="DI138" i="47"/>
  <c r="F138" i="85"/>
  <c r="E58" i="85"/>
  <c r="E63" i="85" s="1"/>
  <c r="E65" i="85" s="1"/>
  <c r="E158" i="85"/>
  <c r="L93" i="85"/>
  <c r="L96" i="85" s="1"/>
  <c r="L135" i="85"/>
  <c r="L138" i="85" s="1"/>
  <c r="V370" i="45"/>
  <c r="V551" i="45"/>
  <c r="W551" i="45" s="1"/>
  <c r="W369" i="45"/>
  <c r="DS161" i="29"/>
  <c r="DR162" i="29"/>
  <c r="CV28" i="28" s="1"/>
  <c r="K550" i="45"/>
  <c r="Z195" i="46"/>
  <c r="AB195" i="46" s="1"/>
  <c r="AD195" i="46" s="1"/>
  <c r="J370" i="45"/>
  <c r="K369" i="45"/>
  <c r="J551" i="45"/>
  <c r="H368" i="45"/>
  <c r="AQ368" i="45" s="1"/>
  <c r="AR368" i="45" s="1"/>
  <c r="I367" i="45"/>
  <c r="H549" i="45"/>
  <c r="Z27" i="28"/>
  <c r="AE50" i="28" s="1"/>
  <c r="CG41" i="28"/>
  <c r="Q16" i="82"/>
  <c r="Y16" i="82" s="1"/>
  <c r="BR41" i="28"/>
  <c r="Q30" i="82" s="1"/>
  <c r="Y30" i="82" s="1"/>
  <c r="BR25" i="28"/>
  <c r="BR40" i="28"/>
  <c r="Q29" i="82" s="1"/>
  <c r="Y29" i="82" s="1"/>
  <c r="BS91" i="28"/>
  <c r="BS93" i="28"/>
  <c r="BR43" i="28"/>
  <c r="BS89" i="28"/>
  <c r="D42" i="28"/>
  <c r="AE51" i="28"/>
  <c r="Z51" i="28"/>
  <c r="R16" i="82"/>
  <c r="Z16" i="82" s="1"/>
  <c r="DI25" i="28"/>
  <c r="R20" i="82" s="1"/>
  <c r="Z20" i="82" s="1"/>
  <c r="DI41" i="28"/>
  <c r="R30" i="82" s="1"/>
  <c r="Z30" i="82" s="1"/>
  <c r="BQ89" i="28"/>
  <c r="BP93" i="28"/>
  <c r="DI38" i="28"/>
  <c r="R28" i="82" s="1"/>
  <c r="Z28" i="82" s="1"/>
  <c r="R11" i="82"/>
  <c r="Z11" i="82" s="1"/>
  <c r="DI32" i="28"/>
  <c r="BQ93" i="28"/>
  <c r="O51" i="28"/>
  <c r="J43" i="28"/>
  <c r="J51" i="28"/>
  <c r="AD492" i="46"/>
  <c r="X550" i="45"/>
  <c r="Z493" i="46" s="1"/>
  <c r="AB493" i="46" s="1"/>
  <c r="EI24" i="37"/>
  <c r="EN29" i="37"/>
  <c r="EL18" i="37"/>
  <c r="EL41" i="37" s="1"/>
  <c r="EK64" i="37" s="1"/>
  <c r="EH70" i="37"/>
  <c r="EH47" i="37"/>
  <c r="EI19" i="37"/>
  <c r="AM114" i="46"/>
  <c r="AD188" i="46"/>
  <c r="AM121" i="46"/>
  <c r="AM468" i="46"/>
  <c r="AR133" i="47"/>
  <c r="AM431" i="46"/>
  <c r="AM304" i="46"/>
  <c r="AM475" i="46"/>
  <c r="AM553" i="46"/>
  <c r="AF241" i="46"/>
  <c r="AM135" i="46"/>
  <c r="AD489" i="46"/>
  <c r="AK723" i="46"/>
  <c r="AM723" i="46" s="1"/>
  <c r="AF468" i="46"/>
  <c r="AF802" i="46"/>
  <c r="AB724" i="46"/>
  <c r="AD724" i="46" s="1"/>
  <c r="AM424" i="46"/>
  <c r="AF311" i="46"/>
  <c r="AD597" i="46"/>
  <c r="AF597" i="46" s="1"/>
  <c r="AM546" i="46"/>
  <c r="H135" i="12"/>
  <c r="AM461" i="46"/>
  <c r="W525" i="46"/>
  <c r="BX175" i="47"/>
  <c r="AM802" i="46"/>
  <c r="W220" i="46"/>
  <c r="AD689" i="46"/>
  <c r="AF689" i="46" s="1"/>
  <c r="W518" i="46"/>
  <c r="AQ147" i="47"/>
  <c r="AM403" i="46"/>
  <c r="AF410" i="46"/>
  <c r="AD51" i="46"/>
  <c r="AF51" i="46" s="1"/>
  <c r="W583" i="46"/>
  <c r="AD722" i="46"/>
  <c r="AD371" i="46"/>
  <c r="AD378" i="46"/>
  <c r="AD372" i="46"/>
  <c r="AD379" i="46"/>
  <c r="AF379" i="46" s="1"/>
  <c r="AD821" i="46"/>
  <c r="BQ175" i="47"/>
  <c r="AM417" i="46"/>
  <c r="AM139" i="12"/>
  <c r="DH133" i="47"/>
  <c r="DJ133" i="47" s="1"/>
  <c r="AF461" i="46"/>
  <c r="EO49" i="37"/>
  <c r="EM72" i="37"/>
  <c r="EN52" i="37"/>
  <c r="BN146" i="47"/>
  <c r="BU146" i="47"/>
  <c r="W210" i="40"/>
  <c r="P640" i="46"/>
  <c r="U322" i="40"/>
  <c r="U325" i="40" s="1"/>
  <c r="AQ140" i="47"/>
  <c r="AR147" i="47"/>
  <c r="W227" i="46"/>
  <c r="BN138" i="47"/>
  <c r="BX138" i="47"/>
  <c r="BU138" i="47"/>
  <c r="AI79" i="12"/>
  <c r="AE333" i="40"/>
  <c r="L51" i="85"/>
  <c r="L54" i="85" s="1"/>
  <c r="DI139" i="47"/>
  <c r="AM753" i="46"/>
  <c r="EP26" i="37"/>
  <c r="EO28" i="37"/>
  <c r="EO29" i="37" s="1"/>
  <c r="EN97" i="37"/>
  <c r="EN98" i="37" s="1"/>
  <c r="EO95" i="37"/>
  <c r="T27" i="28"/>
  <c r="T42" i="28"/>
  <c r="DI40" i="28"/>
  <c r="R29" i="82" s="1"/>
  <c r="Z29" i="82" s="1"/>
  <c r="AF126" i="12"/>
  <c r="T346" i="40"/>
  <c r="CM51" i="28"/>
  <c r="H11" i="82"/>
  <c r="CM40" i="28"/>
  <c r="C29" i="82" s="1"/>
  <c r="BR93" i="28"/>
  <c r="BR89" i="28"/>
  <c r="BN51" i="28"/>
  <c r="BS51" i="28"/>
  <c r="BR91" i="28"/>
  <c r="BN43" i="28"/>
  <c r="BN40" i="28"/>
  <c r="BN25" i="28"/>
  <c r="BN42" i="28" s="1"/>
  <c r="BN41" i="28"/>
  <c r="N51" i="28"/>
  <c r="D16" i="82"/>
  <c r="H16" i="82" s="1"/>
  <c r="CH40" i="28"/>
  <c r="D29" i="82" s="1"/>
  <c r="CH41" i="28"/>
  <c r="D30" i="82" s="1"/>
  <c r="CH25" i="28"/>
  <c r="N41" i="28"/>
  <c r="N25" i="28"/>
  <c r="N40" i="28"/>
  <c r="CM41" i="28"/>
  <c r="C30" i="82" s="1"/>
  <c r="I30" i="82" s="1"/>
  <c r="CH51" i="28"/>
  <c r="AD27" i="28"/>
  <c r="AD42" i="28"/>
  <c r="O27" i="28"/>
  <c r="O50" i="28" s="1"/>
  <c r="O42" i="28"/>
  <c r="DD32" i="28"/>
  <c r="DD43" i="28" s="1"/>
  <c r="DD21" i="28"/>
  <c r="DD38" i="28"/>
  <c r="DB25" i="28"/>
  <c r="DB40" i="28"/>
  <c r="DB41" i="28"/>
  <c r="AA13" i="17"/>
  <c r="AA28" i="17" s="1"/>
  <c r="AB55" i="22"/>
  <c r="AB57" i="22" s="1"/>
  <c r="AD55" i="22" s="1"/>
  <c r="AD57" i="22" s="1"/>
  <c r="AG41" i="40"/>
  <c r="AG353" i="40" s="1"/>
  <c r="J34" i="40"/>
  <c r="U337" i="40"/>
  <c r="AA210" i="40"/>
  <c r="V337" i="40"/>
  <c r="G315" i="40"/>
  <c r="H5" i="40"/>
  <c r="G374" i="40"/>
  <c r="AK732" i="46"/>
  <c r="AM739" i="46" s="1"/>
  <c r="BE85" i="17"/>
  <c r="BI85" i="17" s="1"/>
  <c r="BK85" i="17" s="1"/>
  <c r="BM85" i="17" s="1"/>
  <c r="BO85" i="17" s="1"/>
  <c r="BQ85" i="17" s="1"/>
  <c r="BE84" i="17"/>
  <c r="BI84" i="17" s="1"/>
  <c r="BK84" i="17" s="1"/>
  <c r="BM84" i="17" s="1"/>
  <c r="BO84" i="17" s="1"/>
  <c r="BQ84" i="17" s="1"/>
  <c r="BE82" i="17"/>
  <c r="BE81" i="17"/>
  <c r="N180" i="40"/>
  <c r="N188" i="40" s="1"/>
  <c r="N189" i="40" s="1"/>
  <c r="AK78" i="12"/>
  <c r="AK79" i="12" s="1"/>
  <c r="AE199" i="40"/>
  <c r="AF198" i="40"/>
  <c r="AD590" i="46"/>
  <c r="AF590" i="46" s="1"/>
  <c r="W532" i="46"/>
  <c r="AM410" i="46"/>
  <c r="AF163" i="46"/>
  <c r="P210" i="40"/>
  <c r="AD675" i="46"/>
  <c r="AF675" i="46" s="1"/>
  <c r="BB115" i="40"/>
  <c r="BB136" i="40" s="1"/>
  <c r="S210" i="40"/>
  <c r="AM311" i="46"/>
  <c r="AF154" i="9"/>
  <c r="M421" i="40"/>
  <c r="AF41" i="40"/>
  <c r="AF353" i="40" s="1"/>
  <c r="AM746" i="46"/>
  <c r="P206" i="40"/>
  <c r="Q185" i="40"/>
  <c r="P379" i="40"/>
  <c r="P402" i="40" s="1"/>
  <c r="O132" i="40"/>
  <c r="O377" i="40"/>
  <c r="O400" i="40" s="1"/>
  <c r="P116" i="40"/>
  <c r="P119" i="40" s="1"/>
  <c r="O120" i="40"/>
  <c r="AK654" i="46"/>
  <c r="L424" i="40"/>
  <c r="L432" i="40" s="1"/>
  <c r="P205" i="40"/>
  <c r="Q184" i="40"/>
  <c r="P378" i="40"/>
  <c r="P401" i="40" s="1"/>
  <c r="AD823" i="46"/>
  <c r="AF161" i="9"/>
  <c r="AF168" i="9"/>
  <c r="S37" i="40"/>
  <c r="AB189" i="46"/>
  <c r="W590" i="46"/>
  <c r="J72" i="28"/>
  <c r="T210" i="40"/>
  <c r="AE247" i="40"/>
  <c r="AT250" i="40"/>
  <c r="AF250" i="40"/>
  <c r="AF247" i="40" s="1"/>
  <c r="AE269" i="40"/>
  <c r="AE270" i="40" s="1"/>
  <c r="AF265" i="40"/>
  <c r="AF266" i="40" s="1"/>
  <c r="AE251" i="40"/>
  <c r="AE366" i="40" s="1"/>
  <c r="AD220" i="46"/>
  <c r="AF220" i="46" s="1"/>
  <c r="AM623" i="46"/>
  <c r="U51" i="12"/>
  <c r="Y97" i="40"/>
  <c r="Y349" i="40" s="1"/>
  <c r="AD647" i="46"/>
  <c r="AD270" i="40"/>
  <c r="N121" i="40"/>
  <c r="N123" i="40"/>
  <c r="N133" i="40"/>
  <c r="N148" i="40"/>
  <c r="AD618" i="46"/>
  <c r="AF618" i="46" s="1"/>
  <c r="W746" i="46"/>
  <c r="AF809" i="46"/>
  <c r="BI63" i="40"/>
  <c r="BI83" i="40" s="1"/>
  <c r="BI87" i="40" s="1"/>
  <c r="EK82" i="37"/>
  <c r="EK83" i="37" s="1"/>
  <c r="ER27" i="37"/>
  <c r="H156" i="46"/>
  <c r="BF83" i="40"/>
  <c r="BF87" i="40" s="1"/>
  <c r="H367" i="46"/>
  <c r="S44" i="98"/>
  <c r="T30" i="98" s="1"/>
  <c r="T15" i="98" s="1"/>
  <c r="S35" i="98"/>
  <c r="S37" i="98"/>
  <c r="S39" i="98" s="1"/>
  <c r="R137" i="85"/>
  <c r="R95" i="85"/>
  <c r="R53" i="85"/>
  <c r="F13" i="99"/>
  <c r="AG31" i="20"/>
  <c r="AH31" i="20" s="1"/>
  <c r="BP9" i="22" s="1"/>
  <c r="BP69" i="22" s="1"/>
  <c r="BL9" i="22"/>
  <c r="BL69" i="22" s="1"/>
  <c r="BL67" i="22" s="1"/>
  <c r="BL68" i="22" s="1"/>
  <c r="BJ67" i="22"/>
  <c r="BK96" i="17" s="1"/>
  <c r="BK21" i="17"/>
  <c r="AQ175" i="47"/>
  <c r="AR175" i="47"/>
  <c r="EL26" i="37"/>
  <c r="EJ49" i="37"/>
  <c r="AQ168" i="47"/>
  <c r="AR168" i="47"/>
  <c r="EK28" i="37"/>
  <c r="EJ51" i="37" s="1"/>
  <c r="EJ74" i="37" s="1"/>
  <c r="EL27" i="37"/>
  <c r="EJ50" i="37"/>
  <c r="EJ73" i="37" s="1"/>
  <c r="BU168" i="47"/>
  <c r="BN168" i="47"/>
  <c r="EL35" i="37"/>
  <c r="EL13" i="37"/>
  <c r="EL14" i="37" s="1"/>
  <c r="BB137" i="40"/>
  <c r="N120" i="20"/>
  <c r="EL34" i="37"/>
  <c r="DH168" i="47"/>
  <c r="DI166" i="47"/>
  <c r="EJ97" i="37"/>
  <c r="EJ98" i="37" s="1"/>
  <c r="EI87" i="37"/>
  <c r="EI88" i="37" s="1"/>
  <c r="BQ168" i="47"/>
  <c r="BX181" i="47"/>
  <c r="BN181" i="47"/>
  <c r="BU181" i="47"/>
  <c r="BQ181" i="47"/>
  <c r="N145" i="20"/>
  <c r="BX146" i="47"/>
  <c r="BU132" i="47"/>
  <c r="BQ132" i="47"/>
  <c r="BN132" i="47"/>
  <c r="EJ40" i="37"/>
  <c r="EJ18" i="37"/>
  <c r="EJ41" i="37" s="1"/>
  <c r="EI64" i="37" s="1"/>
  <c r="AM318" i="46"/>
  <c r="U36" i="40"/>
  <c r="V37" i="40" s="1"/>
  <c r="BX180" i="47"/>
  <c r="BU166" i="47"/>
  <c r="BN166" i="47"/>
  <c r="AA87" i="40"/>
  <c r="BC60" i="40"/>
  <c r="AA65" i="40"/>
  <c r="AA102" i="40"/>
  <c r="AA341" i="40" s="1"/>
  <c r="AT341" i="40" s="1"/>
  <c r="AA8" i="40"/>
  <c r="AB60" i="40"/>
  <c r="AB97" i="40" s="1"/>
  <c r="AB349" i="40" s="1"/>
  <c r="BG105" i="47"/>
  <c r="M105" i="47"/>
  <c r="DT106" i="47"/>
  <c r="AD105" i="47"/>
  <c r="U105" i="47"/>
  <c r="AR105" i="47"/>
  <c r="DZ105" i="47"/>
  <c r="BK119" i="47"/>
  <c r="X210" i="40"/>
  <c r="BB138" i="40"/>
  <c r="S330" i="40"/>
  <c r="S326" i="40"/>
  <c r="S328" i="40"/>
  <c r="S327" i="40"/>
  <c r="T338" i="40"/>
  <c r="S329" i="40"/>
  <c r="H105" i="47"/>
  <c r="BM112" i="47"/>
  <c r="BW112" i="47"/>
  <c r="BM126" i="47"/>
  <c r="Y210" i="40"/>
  <c r="BU173" i="47"/>
  <c r="BN173" i="47"/>
  <c r="BX173" i="47"/>
  <c r="BX204" i="47"/>
  <c r="BX182" i="47"/>
  <c r="AM686" i="46"/>
  <c r="BG83" i="40"/>
  <c r="BG87" i="40" s="1"/>
  <c r="AM240" i="46"/>
  <c r="AK241" i="46"/>
  <c r="AM241" i="46" s="1"/>
  <c r="AM247" i="46"/>
  <c r="P330" i="40"/>
  <c r="P326" i="40"/>
  <c r="P327" i="40"/>
  <c r="P329" i="40"/>
  <c r="P328" i="40"/>
  <c r="P325" i="40"/>
  <c r="AD112" i="47"/>
  <c r="U112" i="47"/>
  <c r="BG112" i="47"/>
  <c r="M112" i="47"/>
  <c r="DZ112" i="47"/>
  <c r="AR112" i="47"/>
  <c r="BW105" i="47"/>
  <c r="BN105" i="47" s="1"/>
  <c r="BM119" i="47"/>
  <c r="BQ173" i="47"/>
  <c r="BH67" i="40"/>
  <c r="W37" i="40"/>
  <c r="X66" i="40"/>
  <c r="X317" i="40"/>
  <c r="X333" i="40" s="1"/>
  <c r="AG37" i="40"/>
  <c r="N119" i="20"/>
  <c r="N122" i="20"/>
  <c r="N121" i="20"/>
  <c r="EH75" i="37"/>
  <c r="BU84" i="47"/>
  <c r="BQ84" i="47"/>
  <c r="BX84" i="47"/>
  <c r="EI60" i="37"/>
  <c r="EJ24" i="37"/>
  <c r="AM815" i="46"/>
  <c r="BI138" i="40"/>
  <c r="BI139" i="40"/>
  <c r="BI137" i="40"/>
  <c r="BB244" i="40"/>
  <c r="BB246" i="40" s="1"/>
  <c r="BB240" i="40"/>
  <c r="BC235" i="40" s="1"/>
  <c r="BG136" i="40"/>
  <c r="BG140" i="40" s="1"/>
  <c r="BF140" i="40"/>
  <c r="EH52" i="37"/>
  <c r="EK44" i="37"/>
  <c r="EK67" i="37" s="1"/>
  <c r="EM21" i="37"/>
  <c r="X335" i="40"/>
  <c r="Y335" i="40"/>
  <c r="BF119" i="40"/>
  <c r="AZ161" i="40"/>
  <c r="AZ166" i="40" s="1"/>
  <c r="AZ170" i="40"/>
  <c r="AZ169" i="40"/>
  <c r="BH87" i="40"/>
  <c r="AM130" i="40"/>
  <c r="AM30" i="40"/>
  <c r="AM31" i="40" s="1"/>
  <c r="BG22" i="17"/>
  <c r="BM23" i="17"/>
  <c r="BL11" i="22" s="1"/>
  <c r="BA39" i="17"/>
  <c r="BA46" i="17" s="1"/>
  <c r="BA59" i="17" s="1"/>
  <c r="BC38" i="17"/>
  <c r="CM25" i="28"/>
  <c r="C20" i="82" s="1"/>
  <c r="AB43" i="28"/>
  <c r="AB51" i="28"/>
  <c r="CJ25" i="28"/>
  <c r="CJ42" i="28" s="1"/>
  <c r="CJ40" i="28"/>
  <c r="CJ41" i="28"/>
  <c r="I14" i="85"/>
  <c r="I33" i="85" s="1"/>
  <c r="CE25" i="28"/>
  <c r="CE42" i="28" s="1"/>
  <c r="CE40" i="28"/>
  <c r="CE41" i="28"/>
  <c r="AB41" i="28"/>
  <c r="AB25" i="28"/>
  <c r="AB40" i="28"/>
  <c r="AI51" i="12"/>
  <c r="CJ43" i="28"/>
  <c r="CJ51" i="28"/>
  <c r="U42" i="28"/>
  <c r="BM89" i="28"/>
  <c r="BM91" i="28"/>
  <c r="BN91" i="28"/>
  <c r="L57" i="20"/>
  <c r="L59" i="20"/>
  <c r="M60" i="20" s="1"/>
  <c r="L62" i="20"/>
  <c r="M63" i="20" s="1"/>
  <c r="BW43" i="28"/>
  <c r="BW51" i="28"/>
  <c r="AG42" i="28"/>
  <c r="AG27" i="28"/>
  <c r="R99" i="85"/>
  <c r="R141" i="85"/>
  <c r="R57" i="85"/>
  <c r="BU43" i="28"/>
  <c r="BU51" i="28"/>
  <c r="H43" i="28"/>
  <c r="H51" i="28"/>
  <c r="CY21" i="28"/>
  <c r="CY32" i="28"/>
  <c r="CY38" i="28"/>
  <c r="E142" i="85"/>
  <c r="E147" i="85" s="1"/>
  <c r="E149" i="85" s="1"/>
  <c r="BP91" i="28"/>
  <c r="BP89" i="28"/>
  <c r="CY49" i="28"/>
  <c r="DG38" i="28"/>
  <c r="DG32" i="28"/>
  <c r="DG43" i="28" s="1"/>
  <c r="C40" i="28"/>
  <c r="C41" i="28"/>
  <c r="C25" i="28"/>
  <c r="BW40" i="28"/>
  <c r="BW41" i="28"/>
  <c r="BW25" i="28"/>
  <c r="BW42" i="28" s="1"/>
  <c r="AL42" i="28"/>
  <c r="AL27" i="28"/>
  <c r="H25" i="28"/>
  <c r="H40" i="28"/>
  <c r="H41" i="28"/>
  <c r="U79" i="17"/>
  <c r="T17" i="22"/>
  <c r="T35" i="22" s="1"/>
  <c r="T56" i="22" s="1"/>
  <c r="T59" i="22" s="1"/>
  <c r="I59" i="20"/>
  <c r="I62" i="20"/>
  <c r="J63" i="20" s="1"/>
  <c r="I57" i="20"/>
  <c r="AO27" i="28"/>
  <c r="AO42" i="28"/>
  <c r="BU25" i="28"/>
  <c r="BU42" i="28" s="1"/>
  <c r="BU40" i="28"/>
  <c r="BU41" i="28"/>
  <c r="K50" i="28"/>
  <c r="AL43" i="20"/>
  <c r="AG43" i="20"/>
  <c r="AH43" i="20" s="1"/>
  <c r="AQ27" i="28"/>
  <c r="AV50" i="28" s="1"/>
  <c r="AQ42" i="28"/>
  <c r="AM50" i="28"/>
  <c r="AM687" i="46"/>
  <c r="R37" i="40"/>
  <c r="AV317" i="40"/>
  <c r="AF333" i="40"/>
  <c r="EM22" i="37"/>
  <c r="EK45" i="37"/>
  <c r="EL23" i="37"/>
  <c r="R325" i="40"/>
  <c r="R328" i="40"/>
  <c r="S338" i="40"/>
  <c r="R326" i="40"/>
  <c r="R327" i="40"/>
  <c r="R330" i="40"/>
  <c r="EJ68" i="37"/>
  <c r="AM57" i="12"/>
  <c r="EJ46" i="37"/>
  <c r="EJ69" i="37" s="1"/>
  <c r="EK24" i="37"/>
  <c r="AK633" i="46"/>
  <c r="W44" i="46"/>
  <c r="DM78" i="28"/>
  <c r="AF345" i="40"/>
  <c r="H50" i="12"/>
  <c r="AP28" i="38"/>
  <c r="EJ37" i="37"/>
  <c r="AM128" i="46"/>
  <c r="AZ83" i="40"/>
  <c r="X321" i="40"/>
  <c r="S43" i="28"/>
  <c r="S51" i="28"/>
  <c r="S25" i="28"/>
  <c r="S40" i="28"/>
  <c r="S41" i="28"/>
  <c r="E100" i="85"/>
  <c r="E105" i="85" s="1"/>
  <c r="E107" i="85" s="1"/>
  <c r="Q37" i="40"/>
  <c r="E166" i="85"/>
  <c r="E155" i="85"/>
  <c r="E28" i="85"/>
  <c r="E33" i="85"/>
  <c r="E115" i="85"/>
  <c r="E110" i="85"/>
  <c r="X42" i="28"/>
  <c r="X27" i="28"/>
  <c r="AD51" i="28"/>
  <c r="Y51" i="28"/>
  <c r="Y43" i="28"/>
  <c r="DC25" i="28"/>
  <c r="DC41" i="28"/>
  <c r="DC40" i="28"/>
  <c r="DC43" i="28"/>
  <c r="DC51" i="28"/>
  <c r="Y25" i="28"/>
  <c r="Y40" i="28"/>
  <c r="Y41" i="28"/>
  <c r="AT42" i="28"/>
  <c r="AT27" i="28"/>
  <c r="J50" i="28"/>
  <c r="W328" i="40"/>
  <c r="W325" i="40"/>
  <c r="W326" i="40"/>
  <c r="W330" i="40"/>
  <c r="W327" i="40"/>
  <c r="BD93" i="28"/>
  <c r="BC89" i="28"/>
  <c r="BC51" i="28"/>
  <c r="BH51" i="28"/>
  <c r="BC93" i="28"/>
  <c r="BD91" i="28"/>
  <c r="BC43" i="28"/>
  <c r="BD89" i="28"/>
  <c r="BC91" i="28"/>
  <c r="CB25" i="28"/>
  <c r="CB42" i="28" s="1"/>
  <c r="CB41" i="28"/>
  <c r="CB40" i="28"/>
  <c r="CB43" i="28"/>
  <c r="CG51" i="28"/>
  <c r="CB51" i="28"/>
  <c r="BL41" i="28"/>
  <c r="BL40" i="28"/>
  <c r="BL25" i="28"/>
  <c r="BL42" i="28" s="1"/>
  <c r="BL51" i="28"/>
  <c r="BL43" i="28"/>
  <c r="BQ51" i="28"/>
  <c r="BL89" i="28"/>
  <c r="BL91" i="28"/>
  <c r="BL93" i="28"/>
  <c r="BC41" i="28"/>
  <c r="BC40" i="28"/>
  <c r="BC25" i="28"/>
  <c r="BC42" i="28" s="1"/>
  <c r="W329" i="40"/>
  <c r="AB12" i="20"/>
  <c r="M546" i="45"/>
  <c r="Z373" i="46"/>
  <c r="AB373" i="46" s="1"/>
  <c r="AM126" i="40"/>
  <c r="AM127" i="40" s="1"/>
  <c r="AM146" i="40"/>
  <c r="AQ70" i="40"/>
  <c r="AP18" i="40"/>
  <c r="DS70" i="28"/>
  <c r="DS80" i="28"/>
  <c r="AC65" i="20"/>
  <c r="DO164" i="29"/>
  <c r="CM42" i="28"/>
  <c r="C31" i="82" s="1"/>
  <c r="I18" i="82"/>
  <c r="J18" i="82"/>
  <c r="H18" i="82"/>
  <c r="L18" i="82"/>
  <c r="L22" i="82" s="1"/>
  <c r="AM363" i="46"/>
  <c r="AK367" i="46"/>
  <c r="AM138" i="12"/>
  <c r="AY136" i="29"/>
  <c r="AU136" i="29"/>
  <c r="CY224" i="29"/>
  <c r="DG224" i="29"/>
  <c r="AB200" i="9"/>
  <c r="AD200" i="9" s="1"/>
  <c r="AD207" i="9" s="1"/>
  <c r="AB208" i="12"/>
  <c r="AM807" i="46"/>
  <c r="AK809" i="46"/>
  <c r="AM809" i="46" s="1"/>
  <c r="S24" i="40"/>
  <c r="AD83" i="12"/>
  <c r="AK83" i="12"/>
  <c r="AM83" i="12" s="1"/>
  <c r="AD332" i="46"/>
  <c r="AF332" i="46" s="1"/>
  <c r="AD339" i="46"/>
  <c r="DJ223" i="29"/>
  <c r="DK222" i="29"/>
  <c r="DJ232" i="29"/>
  <c r="DK232" i="29" s="1"/>
  <c r="AD141" i="46"/>
  <c r="AF141" i="46" s="1"/>
  <c r="AK141" i="46"/>
  <c r="AB142" i="46"/>
  <c r="AD142" i="46" s="1"/>
  <c r="AF142" i="46" s="1"/>
  <c r="AD148" i="46"/>
  <c r="AF148" i="46" s="1"/>
  <c r="DF233" i="29"/>
  <c r="DG223" i="29"/>
  <c r="P54" i="20"/>
  <c r="P28" i="20" s="1"/>
  <c r="P56" i="20"/>
  <c r="P51" i="20"/>
  <c r="H18" i="85"/>
  <c r="H33" i="85"/>
  <c r="H28" i="85"/>
  <c r="V326" i="40"/>
  <c r="V328" i="40"/>
  <c r="W338" i="40"/>
  <c r="V330" i="40"/>
  <c r="V327" i="40"/>
  <c r="AM265" i="46"/>
  <c r="AK269" i="46"/>
  <c r="AM276" i="46" s="1"/>
  <c r="AM272" i="46"/>
  <c r="AD78" i="46"/>
  <c r="AF78" i="46" s="1"/>
  <c r="AK78" i="46"/>
  <c r="AD85" i="46"/>
  <c r="AF85" i="46" s="1"/>
  <c r="J54" i="46"/>
  <c r="L54" i="46" s="1"/>
  <c r="K65" i="45"/>
  <c r="M80" i="20"/>
  <c r="AX233" i="29"/>
  <c r="BC233" i="29" s="1"/>
  <c r="AY223" i="29"/>
  <c r="AE141" i="29"/>
  <c r="AA141" i="29"/>
  <c r="Z146" i="29"/>
  <c r="Z145" i="29"/>
  <c r="N143" i="29"/>
  <c r="S143" i="29" s="1"/>
  <c r="S133" i="29"/>
  <c r="BN118" i="40"/>
  <c r="BO125" i="40"/>
  <c r="DK133" i="29"/>
  <c r="DJ143" i="29"/>
  <c r="H114" i="85"/>
  <c r="H121" i="85"/>
  <c r="Y317" i="40"/>
  <c r="Y66" i="40"/>
  <c r="DF38" i="28"/>
  <c r="DF32" i="28"/>
  <c r="DF49" i="28"/>
  <c r="DF21" i="28"/>
  <c r="DG49" i="28"/>
  <c r="AZ74" i="40"/>
  <c r="AZ65" i="40" s="1"/>
  <c r="DE72" i="28"/>
  <c r="X88" i="40"/>
  <c r="BA74" i="40"/>
  <c r="H114" i="12"/>
  <c r="AD234" i="46"/>
  <c r="AF234" i="46" s="1"/>
  <c r="AD227" i="46"/>
  <c r="AF227" i="46" s="1"/>
  <c r="BG50" i="28"/>
  <c r="BB50" i="28"/>
  <c r="F8" i="22"/>
  <c r="J144" i="29"/>
  <c r="K134" i="29"/>
  <c r="J223" i="29"/>
  <c r="O223" i="29" s="1"/>
  <c r="C77" i="20"/>
  <c r="C78" i="20" s="1"/>
  <c r="K213" i="29"/>
  <c r="DK36" i="28"/>
  <c r="DK17" i="28"/>
  <c r="DL49" i="28" s="1"/>
  <c r="CP233" i="29"/>
  <c r="W80" i="20"/>
  <c r="CQ223" i="29"/>
  <c r="H64" i="12"/>
  <c r="BF28" i="38"/>
  <c r="AM694" i="46"/>
  <c r="AM701" i="46"/>
  <c r="EI72" i="37"/>
  <c r="AD167" i="12"/>
  <c r="AF167" i="12" s="1"/>
  <c r="AD174" i="12"/>
  <c r="AF174" i="12" s="1"/>
  <c r="AK167" i="12"/>
  <c r="AD82" i="46"/>
  <c r="AF82" i="46" s="1"/>
  <c r="AK75" i="46"/>
  <c r="AB79" i="46"/>
  <c r="AD75" i="46"/>
  <c r="AF75" i="46" s="1"/>
  <c r="AM255" i="46"/>
  <c r="AK675" i="46"/>
  <c r="AM672" i="46"/>
  <c r="G234" i="29"/>
  <c r="AD58" i="46"/>
  <c r="AF58" i="46" s="1"/>
  <c r="AD104" i="12"/>
  <c r="AF104" i="12" s="1"/>
  <c r="AK97" i="12"/>
  <c r="AM595" i="46"/>
  <c r="AM602" i="46"/>
  <c r="AK597" i="46"/>
  <c r="N203" i="40"/>
  <c r="N204" i="40" s="1"/>
  <c r="N224" i="40"/>
  <c r="DS48" i="28"/>
  <c r="DS37" i="28"/>
  <c r="AF525" i="46"/>
  <c r="P525" i="46"/>
  <c r="AD611" i="46"/>
  <c r="AF611" i="46" s="1"/>
  <c r="AM814" i="46"/>
  <c r="AK816" i="46"/>
  <c r="DL38" i="28"/>
  <c r="DL32" i="28"/>
  <c r="DL21" i="28"/>
  <c r="AB98" i="12"/>
  <c r="O80" i="28"/>
  <c r="AB90" i="9"/>
  <c r="AD90" i="9" s="1"/>
  <c r="J232" i="29"/>
  <c r="K222" i="29"/>
  <c r="AH186" i="9"/>
  <c r="AJ186" i="9" s="1"/>
  <c r="AD186" i="9"/>
  <c r="BG98" i="47"/>
  <c r="AR98" i="47"/>
  <c r="M98" i="47"/>
  <c r="U98" i="47"/>
  <c r="AD98" i="47"/>
  <c r="BK112" i="47"/>
  <c r="BK98" i="47"/>
  <c r="BK105" i="47"/>
  <c r="DT99" i="47"/>
  <c r="DZ98" i="47"/>
  <c r="DS46" i="28"/>
  <c r="DS39" i="28"/>
  <c r="DS13" i="28"/>
  <c r="DD72" i="28"/>
  <c r="W88" i="40"/>
  <c r="Y51" i="20"/>
  <c r="Y54" i="20"/>
  <c r="DP82" i="28" s="1"/>
  <c r="Y56" i="20"/>
  <c r="AK175" i="12"/>
  <c r="AI177" i="12"/>
  <c r="L14" i="85"/>
  <c r="L31" i="85"/>
  <c r="AK70" i="46"/>
  <c r="AM70" i="46" s="1"/>
  <c r="AD70" i="46"/>
  <c r="AF70" i="46" s="1"/>
  <c r="AE230" i="29"/>
  <c r="Z234" i="29"/>
  <c r="Z235" i="29"/>
  <c r="AA230" i="29"/>
  <c r="I114" i="85"/>
  <c r="I121" i="85"/>
  <c r="J121" i="85"/>
  <c r="I96" i="85"/>
  <c r="AM695" i="46"/>
  <c r="AM702" i="46"/>
  <c r="BQ206" i="47"/>
  <c r="BU206" i="47"/>
  <c r="BX206" i="47"/>
  <c r="CU14" i="29"/>
  <c r="CY14" i="29"/>
  <c r="CV202" i="29"/>
  <c r="CU74" i="29"/>
  <c r="CU34" i="29"/>
  <c r="CU24" i="29"/>
  <c r="CU84" i="29"/>
  <c r="X7" i="20"/>
  <c r="CU64" i="29"/>
  <c r="CU114" i="29"/>
  <c r="CU213" i="29"/>
  <c r="EI50" i="37"/>
  <c r="EI73" i="37" s="1"/>
  <c r="EJ28" i="37"/>
  <c r="EI51" i="37" s="1"/>
  <c r="EI74" i="37" s="1"/>
  <c r="AM218" i="46"/>
  <c r="AK213" i="46"/>
  <c r="W222" i="29"/>
  <c r="V232" i="29"/>
  <c r="AA222" i="29"/>
  <c r="EO18" i="37"/>
  <c r="EO19" i="37" s="1"/>
  <c r="N51" i="20"/>
  <c r="N54" i="20"/>
  <c r="N28" i="20" s="1"/>
  <c r="N56" i="20"/>
  <c r="AD189" i="9"/>
  <c r="AF196" i="9" s="1"/>
  <c r="AH189" i="9"/>
  <c r="AJ189" i="9" s="1"/>
  <c r="EJ62" i="37"/>
  <c r="EJ65" i="37" s="1"/>
  <c r="EJ42" i="37"/>
  <c r="S142" i="29"/>
  <c r="N146" i="29"/>
  <c r="S146" i="29" s="1"/>
  <c r="O404" i="40"/>
  <c r="AD48" i="47"/>
  <c r="U48" i="47"/>
  <c r="BK48" i="47"/>
  <c r="H48" i="47"/>
  <c r="AR48" i="47"/>
  <c r="M48" i="47"/>
  <c r="BA50" i="28"/>
  <c r="DC233" i="29"/>
  <c r="CU233" i="29"/>
  <c r="F166" i="85"/>
  <c r="F179" i="85"/>
  <c r="F155" i="85"/>
  <c r="CU135" i="29"/>
  <c r="CQ135" i="29"/>
  <c r="AM664" i="46"/>
  <c r="AK668" i="46"/>
  <c r="AM671" i="46"/>
  <c r="D158" i="85"/>
  <c r="D138" i="85"/>
  <c r="AM329" i="46"/>
  <c r="AM336" i="46"/>
  <c r="BW154" i="29"/>
  <c r="DP38" i="28"/>
  <c r="DP32" i="28"/>
  <c r="DP21" i="28"/>
  <c r="AD181" i="12"/>
  <c r="AF181" i="12" s="1"/>
  <c r="AK181" i="12"/>
  <c r="AM181" i="12" s="1"/>
  <c r="AD77" i="12"/>
  <c r="AF77" i="12" s="1"/>
  <c r="AD84" i="12"/>
  <c r="AF84" i="12" s="1"/>
  <c r="AB79" i="12"/>
  <c r="N50" i="46"/>
  <c r="P50" i="46" s="1"/>
  <c r="U50" i="46"/>
  <c r="L51" i="46"/>
  <c r="N51" i="46" s="1"/>
  <c r="P51" i="46" s="1"/>
  <c r="X168" i="45"/>
  <c r="J471" i="46"/>
  <c r="L471" i="46" s="1"/>
  <c r="AH179" i="9"/>
  <c r="AJ179" i="9" s="1"/>
  <c r="AD179" i="9"/>
  <c r="Z32" i="9"/>
  <c r="Z39" i="9"/>
  <c r="AK163" i="46"/>
  <c r="AM163" i="46" s="1"/>
  <c r="AM159" i="46"/>
  <c r="AM166" i="46"/>
  <c r="AD682" i="46"/>
  <c r="AF682" i="46" s="1"/>
  <c r="BD27" i="28"/>
  <c r="CM143" i="29"/>
  <c r="AM692" i="46"/>
  <c r="AM699" i="46"/>
  <c r="AK696" i="46"/>
  <c r="F57" i="20"/>
  <c r="F59" i="20"/>
  <c r="F62" i="20"/>
  <c r="AM616" i="46"/>
  <c r="BM124" i="40"/>
  <c r="BL116" i="40"/>
  <c r="BO153" i="29"/>
  <c r="BS153" i="29"/>
  <c r="BV18" i="38"/>
  <c r="H76" i="12"/>
  <c r="V143" i="29"/>
  <c r="AA133" i="29"/>
  <c r="V134" i="29"/>
  <c r="W133" i="29"/>
  <c r="AB99" i="12"/>
  <c r="AM622" i="46"/>
  <c r="AK625" i="46"/>
  <c r="AD71" i="12"/>
  <c r="DE39" i="28"/>
  <c r="J83" i="20"/>
  <c r="J81" i="20"/>
  <c r="AK69" i="12"/>
  <c r="AM69" i="12" s="1"/>
  <c r="AD69" i="12"/>
  <c r="AF69" i="12" s="1"/>
  <c r="AD76" i="12"/>
  <c r="AF47" i="9"/>
  <c r="AF54" i="9"/>
  <c r="AM330" i="46"/>
  <c r="AM337" i="46"/>
  <c r="BW145" i="29"/>
  <c r="BS145" i="29"/>
  <c r="EL62" i="37"/>
  <c r="EL65" i="37" s="1"/>
  <c r="CR65" i="37" s="1"/>
  <c r="EM42" i="37"/>
  <c r="CR42" i="37" s="1"/>
  <c r="EL42" i="37"/>
  <c r="CY141" i="29"/>
  <c r="BV27" i="28"/>
  <c r="DC141" i="29"/>
  <c r="AK168" i="46"/>
  <c r="AD168" i="46"/>
  <c r="AF168" i="46" s="1"/>
  <c r="AD175" i="46"/>
  <c r="AF175" i="46" s="1"/>
  <c r="H113" i="85"/>
  <c r="H96" i="85"/>
  <c r="D80" i="20"/>
  <c r="N233" i="29"/>
  <c r="S233" i="29" s="1"/>
  <c r="S223" i="29"/>
  <c r="J114" i="85"/>
  <c r="J119" i="85"/>
  <c r="AD175" i="9"/>
  <c r="AH175" i="9"/>
  <c r="AJ175" i="9" s="1"/>
  <c r="AD511" i="46"/>
  <c r="AD518" i="46"/>
  <c r="AF518" i="46" s="1"/>
  <c r="AM219" i="46"/>
  <c r="AM226" i="46"/>
  <c r="AK220" i="46"/>
  <c r="L121" i="85"/>
  <c r="L114" i="85"/>
  <c r="Z26" i="89"/>
  <c r="W26" i="89"/>
  <c r="X26" i="89" s="1"/>
  <c r="AK112" i="12"/>
  <c r="AM119" i="12" s="1"/>
  <c r="AD112" i="12"/>
  <c r="AF112" i="12" s="1"/>
  <c r="AB114" i="12"/>
  <c r="AD121" i="12" s="1"/>
  <c r="AF121" i="12" s="1"/>
  <c r="CQ230" i="29"/>
  <c r="CH235" i="29"/>
  <c r="CH234" i="29"/>
  <c r="CI230" i="29"/>
  <c r="BL128" i="40"/>
  <c r="AK350" i="40"/>
  <c r="AJ27" i="28"/>
  <c r="AJ42" i="28"/>
  <c r="C50" i="20"/>
  <c r="C38" i="20"/>
  <c r="AF134" i="12"/>
  <c r="AK201" i="12"/>
  <c r="AI205" i="12"/>
  <c r="J173" i="85"/>
  <c r="J162" i="85"/>
  <c r="DM38" i="28"/>
  <c r="DM21" i="28"/>
  <c r="DM32" i="28"/>
  <c r="DM49" i="28"/>
  <c r="CX233" i="29"/>
  <c r="DG233" i="29" s="1"/>
  <c r="CY223" i="29"/>
  <c r="AF148" i="12"/>
  <c r="EN34" i="37"/>
  <c r="EJ60" i="37"/>
  <c r="AR61" i="45"/>
  <c r="J70" i="12"/>
  <c r="AF74" i="9"/>
  <c r="AF81" i="9"/>
  <c r="BM27" i="28"/>
  <c r="CR142" i="29"/>
  <c r="CQ142" i="29"/>
  <c r="CU142" i="29"/>
  <c r="AM57" i="46"/>
  <c r="AM64" i="46"/>
  <c r="AM181" i="46"/>
  <c r="O376" i="40"/>
  <c r="O84" i="40"/>
  <c r="O72" i="40"/>
  <c r="P68" i="40"/>
  <c r="P71" i="40" s="1"/>
  <c r="AD145" i="46"/>
  <c r="AF145" i="46" s="1"/>
  <c r="AB149" i="46"/>
  <c r="AD152" i="46"/>
  <c r="AF152" i="46" s="1"/>
  <c r="AK145" i="46"/>
  <c r="DH32" i="28"/>
  <c r="DH21" i="28"/>
  <c r="DH38" i="28"/>
  <c r="DH49" i="28"/>
  <c r="DI49" i="28"/>
  <c r="R37" i="82" s="1"/>
  <c r="Z37" i="82" s="1"/>
  <c r="Q51" i="20"/>
  <c r="Q56" i="20"/>
  <c r="Q54" i="20"/>
  <c r="Q28" i="20" s="1"/>
  <c r="DF235" i="29"/>
  <c r="AM786" i="46"/>
  <c r="AM793" i="46"/>
  <c r="V325" i="40"/>
  <c r="AD269" i="46"/>
  <c r="AF269" i="46" s="1"/>
  <c r="AD276" i="46"/>
  <c r="AF276" i="46" s="1"/>
  <c r="AE135" i="29"/>
  <c r="AA135" i="29"/>
  <c r="S145" i="29"/>
  <c r="AR544" i="45"/>
  <c r="Z209" i="12"/>
  <c r="H178" i="85"/>
  <c r="H162" i="85"/>
  <c r="BA63" i="40"/>
  <c r="BA9" i="40" s="1"/>
  <c r="BA86" i="40"/>
  <c r="BA84" i="40"/>
  <c r="DK124" i="29"/>
  <c r="AB53" i="20"/>
  <c r="Z47" i="9"/>
  <c r="Z54" i="9"/>
  <c r="H107" i="12"/>
  <c r="DK39" i="28"/>
  <c r="AE37" i="40"/>
  <c r="AF37" i="40"/>
  <c r="AR98" i="45"/>
  <c r="J113" i="12"/>
  <c r="O136" i="29"/>
  <c r="K136" i="29"/>
  <c r="O140" i="29"/>
  <c r="J146" i="29"/>
  <c r="J145" i="29"/>
  <c r="K140" i="29"/>
  <c r="BJ144" i="29"/>
  <c r="BS134" i="29"/>
  <c r="BJ154" i="29"/>
  <c r="BO134" i="29"/>
  <c r="BQ66" i="40"/>
  <c r="O59" i="20"/>
  <c r="O62" i="20"/>
  <c r="O57" i="20"/>
  <c r="AM47" i="12"/>
  <c r="CY146" i="29"/>
  <c r="AL144" i="40"/>
  <c r="BM128" i="40" s="1"/>
  <c r="BM115" i="40"/>
  <c r="BM136" i="40" s="1"/>
  <c r="AM645" i="46"/>
  <c r="AK647" i="46"/>
  <c r="AK64" i="12"/>
  <c r="AI65" i="12"/>
  <c r="BZ50" i="28"/>
  <c r="BU50" i="28"/>
  <c r="BG153" i="29"/>
  <c r="BC153" i="29"/>
  <c r="AQ234" i="29"/>
  <c r="AM234" i="29"/>
  <c r="AH158" i="9"/>
  <c r="AJ158" i="9" s="1"/>
  <c r="AD158" i="9"/>
  <c r="AK71" i="46"/>
  <c r="AM71" i="46" s="1"/>
  <c r="AD71" i="46"/>
  <c r="AF71" i="46" s="1"/>
  <c r="L80" i="20"/>
  <c r="AT233" i="29"/>
  <c r="AU223" i="29"/>
  <c r="DJ145" i="29"/>
  <c r="CK27" i="28"/>
  <c r="CK50" i="28" s="1"/>
  <c r="DJ146" i="29"/>
  <c r="DK141" i="29"/>
  <c r="C155" i="85"/>
  <c r="C166" i="85"/>
  <c r="P54" i="12"/>
  <c r="AF54" i="12"/>
  <c r="CE232" i="29"/>
  <c r="CM232" i="29"/>
  <c r="G235" i="29"/>
  <c r="BO233" i="29"/>
  <c r="BK233" i="29"/>
  <c r="AF96" i="9"/>
  <c r="EO85" i="37"/>
  <c r="AK37" i="12"/>
  <c r="AM40" i="12"/>
  <c r="O94" i="85"/>
  <c r="O39" i="85"/>
  <c r="O32" i="85"/>
  <c r="O164" i="85" s="1"/>
  <c r="O162" i="85" s="1"/>
  <c r="O52" i="85"/>
  <c r="AM603" i="46"/>
  <c r="AK604" i="46"/>
  <c r="AM610" i="46"/>
  <c r="DO174" i="29"/>
  <c r="AD795" i="46"/>
  <c r="AF795" i="46" s="1"/>
  <c r="AD788" i="46"/>
  <c r="AF788" i="46" s="1"/>
  <c r="W43" i="12"/>
  <c r="W50" i="12"/>
  <c r="H71" i="85"/>
  <c r="H54" i="85"/>
  <c r="AD194" i="12"/>
  <c r="AB198" i="12"/>
  <c r="I42" i="28"/>
  <c r="I27" i="28"/>
  <c r="H546" i="45"/>
  <c r="I364" i="45"/>
  <c r="AR364" i="45"/>
  <c r="AM261" i="46"/>
  <c r="AM268" i="46"/>
  <c r="AK262" i="46"/>
  <c r="AM262" i="46" s="1"/>
  <c r="BC223" i="29"/>
  <c r="O222" i="29"/>
  <c r="N232" i="29"/>
  <c r="S232" i="29" s="1"/>
  <c r="S222" i="29"/>
  <c r="AK278" i="40"/>
  <c r="AJ279" i="40"/>
  <c r="O89" i="85"/>
  <c r="O11" i="85"/>
  <c r="O47" i="85"/>
  <c r="CL54" i="28"/>
  <c r="AM819" i="46"/>
  <c r="AM680" i="46"/>
  <c r="V104" i="9"/>
  <c r="X104" i="9" s="1"/>
  <c r="Z104" i="9" s="1"/>
  <c r="L112" i="12"/>
  <c r="Y81" i="28"/>
  <c r="K114" i="29"/>
  <c r="K124" i="29"/>
  <c r="Z50" i="28"/>
  <c r="I178" i="85"/>
  <c r="I162" i="85"/>
  <c r="J178" i="85"/>
  <c r="I138" i="85"/>
  <c r="V56" i="20"/>
  <c r="V51" i="20"/>
  <c r="V54" i="20"/>
  <c r="DM82" i="28" s="1"/>
  <c r="BB156" i="29"/>
  <c r="BG156" i="29" s="1"/>
  <c r="DI82" i="28"/>
  <c r="EM82" i="37"/>
  <c r="EM83" i="37" s="1"/>
  <c r="CV83" i="37" s="1"/>
  <c r="EN81" i="37"/>
  <c r="AY229" i="29"/>
  <c r="AT235" i="29"/>
  <c r="AT234" i="29"/>
  <c r="AY234" i="29" s="1"/>
  <c r="AU229" i="29"/>
  <c r="R108" i="20"/>
  <c r="R118" i="20" s="1"/>
  <c r="EM63" i="37"/>
  <c r="EO40" i="37"/>
  <c r="AM54" i="12"/>
  <c r="BK235" i="29"/>
  <c r="BO235" i="29"/>
  <c r="AT135" i="40"/>
  <c r="AK136" i="40"/>
  <c r="DR75" i="28"/>
  <c r="AM126" i="12"/>
  <c r="EN19" i="37"/>
  <c r="P241" i="40"/>
  <c r="P381" i="40"/>
  <c r="P253" i="40"/>
  <c r="P254" i="40" s="1"/>
  <c r="Q237" i="40"/>
  <c r="Q240" i="40" s="1"/>
  <c r="P271" i="40"/>
  <c r="P262" i="40"/>
  <c r="S72" i="12"/>
  <c r="D72" i="12" s="1"/>
  <c r="D71" i="12"/>
  <c r="AI71" i="12"/>
  <c r="B228" i="45"/>
  <c r="B410" i="45" s="1"/>
  <c r="AU46" i="45"/>
  <c r="Z190" i="46"/>
  <c r="AB190" i="46" s="1"/>
  <c r="K546" i="45"/>
  <c r="CU134" i="29"/>
  <c r="CP144" i="29"/>
  <c r="CQ134" i="29"/>
  <c r="D31" i="85"/>
  <c r="D14" i="85"/>
  <c r="EE10" i="37"/>
  <c r="ED33" i="37"/>
  <c r="EC126" i="37" s="1"/>
  <c r="EC195" i="37" s="1"/>
  <c r="D78" i="12"/>
  <c r="W42" i="12"/>
  <c r="W49" i="12"/>
  <c r="AD172" i="9"/>
  <c r="AF172" i="9" s="1"/>
  <c r="AH172" i="9"/>
  <c r="AJ172" i="9" s="1"/>
  <c r="AD78" i="12"/>
  <c r="AD767" i="46"/>
  <c r="AF767" i="46" s="1"/>
  <c r="AD774" i="46"/>
  <c r="AF774" i="46" s="1"/>
  <c r="BS155" i="29"/>
  <c r="BQ91" i="47"/>
  <c r="BU91" i="47"/>
  <c r="BX91" i="47"/>
  <c r="K60" i="20"/>
  <c r="U467" i="46"/>
  <c r="W467" i="46" s="1"/>
  <c r="N467" i="46"/>
  <c r="L468" i="46"/>
  <c r="N468" i="46" s="1"/>
  <c r="N41" i="12"/>
  <c r="P41" i="12" s="1"/>
  <c r="U41" i="12"/>
  <c r="N48" i="12"/>
  <c r="P48" i="12" s="1"/>
  <c r="AG16" i="28"/>
  <c r="BX40" i="29"/>
  <c r="BS40" i="29"/>
  <c r="BR45" i="29"/>
  <c r="BR46" i="29"/>
  <c r="AJ16" i="28"/>
  <c r="BS43" i="29"/>
  <c r="BX43" i="29"/>
  <c r="M42" i="28"/>
  <c r="M27" i="28"/>
  <c r="D86" i="12"/>
  <c r="AH97" i="40"/>
  <c r="AH349" i="40" s="1"/>
  <c r="AB107" i="12"/>
  <c r="AD110" i="12"/>
  <c r="AF110" i="12" s="1"/>
  <c r="EO86" i="37"/>
  <c r="EN87" i="37"/>
  <c r="EN88" i="37" s="1"/>
  <c r="HZ22" i="38"/>
  <c r="HZ23" i="38" s="1"/>
  <c r="AK332" i="46"/>
  <c r="AF60" i="9"/>
  <c r="AF67" i="9"/>
  <c r="AM173" i="46"/>
  <c r="AK177" i="46"/>
  <c r="AM180" i="46"/>
  <c r="S73" i="20"/>
  <c r="DI30" i="28"/>
  <c r="U103" i="46"/>
  <c r="N103" i="46"/>
  <c r="P103" i="46" s="1"/>
  <c r="AA87" i="17"/>
  <c r="AK583" i="46"/>
  <c r="AM583" i="46" s="1"/>
  <c r="AM556" i="46"/>
  <c r="AK560" i="46"/>
  <c r="AM560" i="46" s="1"/>
  <c r="BK144" i="29"/>
  <c r="BG144" i="29"/>
  <c r="AF668" i="46"/>
  <c r="AD113" i="12"/>
  <c r="AF113" i="12" s="1"/>
  <c r="AK113" i="12"/>
  <c r="AM113" i="12" s="1"/>
  <c r="HT28" i="38"/>
  <c r="AU150" i="29"/>
  <c r="AT156" i="29"/>
  <c r="AY150" i="29"/>
  <c r="AT155" i="29"/>
  <c r="BW235" i="29"/>
  <c r="BS235" i="29"/>
  <c r="AH200" i="40"/>
  <c r="AG201" i="40"/>
  <c r="AK511" i="46"/>
  <c r="AM518" i="46" s="1"/>
  <c r="AM515" i="46"/>
  <c r="Q328" i="40"/>
  <c r="Q327" i="40"/>
  <c r="Q338" i="40"/>
  <c r="R338" i="40"/>
  <c r="Q325" i="40"/>
  <c r="Q330" i="40"/>
  <c r="Q326" i="40"/>
  <c r="L79" i="85"/>
  <c r="L72" i="85"/>
  <c r="BL136" i="40"/>
  <c r="AD345" i="40"/>
  <c r="DK78" i="28"/>
  <c r="AT154" i="29"/>
  <c r="AT144" i="29"/>
  <c r="AY134" i="29"/>
  <c r="AU140" i="29"/>
  <c r="AY140" i="29"/>
  <c r="AT146" i="29"/>
  <c r="AT145" i="29"/>
  <c r="BA162" i="40"/>
  <c r="BB176" i="40"/>
  <c r="BJ234" i="47"/>
  <c r="AL39" i="40"/>
  <c r="J77" i="85"/>
  <c r="J72" i="85"/>
  <c r="AM233" i="29"/>
  <c r="CX144" i="29"/>
  <c r="DC134" i="29"/>
  <c r="CY134" i="29"/>
  <c r="AD190" i="12"/>
  <c r="AK183" i="12"/>
  <c r="AM183" i="12" s="1"/>
  <c r="AD183" i="12"/>
  <c r="AF183" i="12" s="1"/>
  <c r="D142" i="12"/>
  <c r="H142" i="12" s="1"/>
  <c r="D149" i="12"/>
  <c r="H149" i="12" s="1"/>
  <c r="AF141" i="12"/>
  <c r="DD80" i="28"/>
  <c r="BC152" i="29"/>
  <c r="AX156" i="29"/>
  <c r="AY152" i="29"/>
  <c r="T21" i="40"/>
  <c r="T33" i="40"/>
  <c r="T34" i="40" s="1"/>
  <c r="U16" i="40"/>
  <c r="T48" i="40"/>
  <c r="DE21" i="28"/>
  <c r="DE38" i="28"/>
  <c r="DE32" i="28"/>
  <c r="DE49" i="28"/>
  <c r="AL136" i="40"/>
  <c r="DS75" i="28"/>
  <c r="BG239" i="40"/>
  <c r="BG13" i="40" s="1"/>
  <c r="BH250" i="40"/>
  <c r="BG238" i="40"/>
  <c r="BG12" i="40" s="1"/>
  <c r="AK85" i="12"/>
  <c r="AD85" i="12"/>
  <c r="AF710" i="46"/>
  <c r="AA212" i="40"/>
  <c r="N399" i="40"/>
  <c r="N391" i="40"/>
  <c r="N421" i="40" s="1"/>
  <c r="C34" i="85"/>
  <c r="C23" i="85"/>
  <c r="C25" i="85" s="1"/>
  <c r="L16" i="40"/>
  <c r="L20" i="40" s="1"/>
  <c r="K48" i="40"/>
  <c r="K21" i="40"/>
  <c r="K33" i="40"/>
  <c r="K34" i="40" s="1"/>
  <c r="AF55" i="22"/>
  <c r="AE9" i="17"/>
  <c r="AK781" i="46"/>
  <c r="AM781" i="46" s="1"/>
  <c r="AM777" i="46"/>
  <c r="AM784" i="46"/>
  <c r="AD604" i="46"/>
  <c r="AF604" i="46" s="1"/>
  <c r="C57" i="85"/>
  <c r="C141" i="85"/>
  <c r="C142" i="85" s="1"/>
  <c r="C99" i="85"/>
  <c r="C100" i="85" s="1"/>
  <c r="AK359" i="46"/>
  <c r="AB360" i="46"/>
  <c r="AD360" i="46" s="1"/>
  <c r="AF360" i="46" s="1"/>
  <c r="AD359" i="46"/>
  <c r="AF359" i="46" s="1"/>
  <c r="AD366" i="46"/>
  <c r="AF366" i="46" s="1"/>
  <c r="H138" i="85"/>
  <c r="H158" i="85"/>
  <c r="D67" i="45"/>
  <c r="J66" i="45"/>
  <c r="E66" i="45"/>
  <c r="H79" i="85"/>
  <c r="H72" i="85"/>
  <c r="P654" i="46"/>
  <c r="N56" i="12"/>
  <c r="P56" i="12" s="1"/>
  <c r="U56" i="12"/>
  <c r="N63" i="12"/>
  <c r="P63" i="12" s="1"/>
  <c r="G57" i="85"/>
  <c r="G141" i="85"/>
  <c r="G99" i="85"/>
  <c r="V329" i="40"/>
  <c r="U695" i="46"/>
  <c r="W695" i="46" s="1"/>
  <c r="N695" i="46"/>
  <c r="P695" i="46" s="1"/>
  <c r="L696" i="46"/>
  <c r="O135" i="29"/>
  <c r="K135" i="29"/>
  <c r="O29" i="20"/>
  <c r="BF44" i="29"/>
  <c r="DF16" i="28"/>
  <c r="T38" i="20"/>
  <c r="AD43" i="40"/>
  <c r="AD44" i="40" s="1"/>
  <c r="T144" i="20"/>
  <c r="T145" i="20" s="1"/>
  <c r="AO70" i="17"/>
  <c r="T50" i="20"/>
  <c r="T77" i="20"/>
  <c r="T78" i="20" s="1"/>
  <c r="AO71" i="17"/>
  <c r="G11" i="85"/>
  <c r="G133" i="85"/>
  <c r="G135" i="85" s="1"/>
  <c r="G49" i="85"/>
  <c r="G51" i="85" s="1"/>
  <c r="G91" i="85"/>
  <c r="G93" i="85" s="1"/>
  <c r="CQ224" i="29"/>
  <c r="O328" i="40"/>
  <c r="O327" i="40"/>
  <c r="O325" i="40"/>
  <c r="O326" i="40"/>
  <c r="O330" i="40"/>
  <c r="P338" i="40"/>
  <c r="H65" i="12"/>
  <c r="AM68" i="46"/>
  <c r="AM61" i="46"/>
  <c r="AK65" i="46"/>
  <c r="DC145" i="29"/>
  <c r="CY145" i="29"/>
  <c r="BG143" i="29"/>
  <c r="BC143" i="29"/>
  <c r="AQ235" i="29"/>
  <c r="AD166" i="12"/>
  <c r="AF166" i="12" s="1"/>
  <c r="AB170" i="12"/>
  <c r="AD173" i="12"/>
  <c r="AF173" i="12" s="1"/>
  <c r="AK166" i="12"/>
  <c r="DJ134" i="29"/>
  <c r="DK135" i="29"/>
  <c r="AF88" i="40"/>
  <c r="DM72" i="28"/>
  <c r="AT87" i="40"/>
  <c r="O380" i="40"/>
  <c r="P186" i="40"/>
  <c r="O183" i="40"/>
  <c r="M423" i="40"/>
  <c r="M428" i="40"/>
  <c r="M431" i="40"/>
  <c r="M420" i="40"/>
  <c r="M427" i="40"/>
  <c r="M429" i="40"/>
  <c r="M426" i="40"/>
  <c r="M414" i="40"/>
  <c r="M418" i="40"/>
  <c r="M430" i="40"/>
  <c r="M419" i="40"/>
  <c r="M425" i="40"/>
  <c r="M422" i="40"/>
  <c r="AM785" i="46"/>
  <c r="AM792" i="46"/>
  <c r="AK788" i="46"/>
  <c r="HY22" i="38"/>
  <c r="HY23" i="38" s="1"/>
  <c r="AM766" i="46"/>
  <c r="AM759" i="46"/>
  <c r="AK760" i="46"/>
  <c r="AM760" i="46" s="1"/>
  <c r="BC231" i="29"/>
  <c r="AY231" i="29"/>
  <c r="AX235" i="29"/>
  <c r="BC235" i="29" s="1"/>
  <c r="AM48" i="46"/>
  <c r="AM55" i="46"/>
  <c r="H98" i="47"/>
  <c r="J60" i="85"/>
  <c r="J102" i="85"/>
  <c r="J144" i="85"/>
  <c r="AK689" i="46"/>
  <c r="D177" i="12"/>
  <c r="F177" i="12"/>
  <c r="D184" i="12"/>
  <c r="F184" i="12"/>
  <c r="J234" i="29"/>
  <c r="O234" i="29" s="1"/>
  <c r="O229" i="29"/>
  <c r="J235" i="29"/>
  <c r="O235" i="29" s="1"/>
  <c r="K229" i="29"/>
  <c r="AF127" i="12"/>
  <c r="D54" i="20"/>
  <c r="D56" i="20"/>
  <c r="D51" i="20"/>
  <c r="BG155" i="29"/>
  <c r="BC155" i="29"/>
  <c r="DC136" i="29"/>
  <c r="CY136" i="29"/>
  <c r="R62" i="20"/>
  <c r="R57" i="20"/>
  <c r="R59" i="20"/>
  <c r="R80" i="20"/>
  <c r="V223" i="29"/>
  <c r="F77" i="20"/>
  <c r="F78" i="20" s="1"/>
  <c r="W213" i="29"/>
  <c r="EN13" i="37"/>
  <c r="EN14" i="37" s="1"/>
  <c r="EN35" i="37"/>
  <c r="AB20" i="9"/>
  <c r="AD20" i="9" s="1"/>
  <c r="AB28" i="12"/>
  <c r="AB29" i="12"/>
  <c r="V61" i="9"/>
  <c r="X61" i="9" s="1"/>
  <c r="Z61" i="9" s="1"/>
  <c r="L69" i="12"/>
  <c r="AM637" i="46"/>
  <c r="AM644" i="46"/>
  <c r="N68" i="12"/>
  <c r="P68" i="12" s="1"/>
  <c r="U68" i="12"/>
  <c r="AD197" i="12"/>
  <c r="AD204" i="12"/>
  <c r="BO234" i="29"/>
  <c r="BK234" i="29"/>
  <c r="AM596" i="46"/>
  <c r="AD119" i="12"/>
  <c r="AF119" i="12" s="1"/>
  <c r="N134" i="29"/>
  <c r="O134" i="29" s="1"/>
  <c r="EO39" i="37"/>
  <c r="EM62" i="37"/>
  <c r="EN42" i="37"/>
  <c r="DJ140" i="47"/>
  <c r="B37" i="47"/>
  <c r="B67" i="12"/>
  <c r="B52" i="45"/>
  <c r="CU235" i="29"/>
  <c r="DC235" i="29"/>
  <c r="BJ131" i="40"/>
  <c r="BI132" i="40"/>
  <c r="CQ136" i="29"/>
  <c r="CU136" i="29"/>
  <c r="CQ140" i="29"/>
  <c r="BK27" i="28"/>
  <c r="BK50" i="28" s="1"/>
  <c r="CR140" i="29"/>
  <c r="CP145" i="29"/>
  <c r="CP146" i="29"/>
  <c r="CU140" i="29"/>
  <c r="K133" i="85"/>
  <c r="K91" i="85"/>
  <c r="K49" i="85"/>
  <c r="D54" i="85"/>
  <c r="D71" i="85"/>
  <c r="AK525" i="46"/>
  <c r="AM524" i="46"/>
  <c r="AM531" i="46"/>
  <c r="CP80" i="28"/>
  <c r="AB180" i="9"/>
  <c r="AB188" i="12"/>
  <c r="AD195" i="12" s="1"/>
  <c r="CA80" i="28"/>
  <c r="CF80" i="28"/>
  <c r="AB189" i="12"/>
  <c r="CK80" i="28"/>
  <c r="AF69" i="9"/>
  <c r="AF76" i="9"/>
  <c r="AK767" i="46"/>
  <c r="AM763" i="46"/>
  <c r="AM770" i="46"/>
  <c r="DG231" i="29"/>
  <c r="O133" i="29"/>
  <c r="J143" i="29"/>
  <c r="K133" i="29"/>
  <c r="K63" i="20"/>
  <c r="CE235" i="29"/>
  <c r="AH16" i="28"/>
  <c r="BS41" i="29"/>
  <c r="BX41" i="29"/>
  <c r="AM679" i="46"/>
  <c r="AK682" i="46"/>
  <c r="AM652" i="46"/>
  <c r="AM659" i="46"/>
  <c r="AA223" i="29"/>
  <c r="G80" i="20"/>
  <c r="Z233" i="29"/>
  <c r="BS146" i="29"/>
  <c r="BO146" i="29"/>
  <c r="P57" i="12"/>
  <c r="AM283" i="46"/>
  <c r="BO143" i="29"/>
  <c r="BS143" i="29"/>
  <c r="AH49" i="40"/>
  <c r="AH9" i="40"/>
  <c r="AI9" i="40"/>
  <c r="AH36" i="40"/>
  <c r="AH13" i="40"/>
  <c r="AF128" i="46"/>
  <c r="W114" i="29"/>
  <c r="W124" i="29"/>
  <c r="AB114" i="29"/>
  <c r="AF98" i="9"/>
  <c r="AD625" i="46"/>
  <c r="AF625" i="46" s="1"/>
  <c r="K76" i="28"/>
  <c r="AB92" i="12"/>
  <c r="AB96" i="12"/>
  <c r="AB84" i="9"/>
  <c r="AD84" i="9" s="1"/>
  <c r="AF84" i="9" s="1"/>
  <c r="AD70" i="12"/>
  <c r="AF70" i="12" s="1"/>
  <c r="AK70" i="12"/>
  <c r="AM70" i="12" s="1"/>
  <c r="CZ40" i="28"/>
  <c r="CZ25" i="28"/>
  <c r="CZ41" i="28"/>
  <c r="AD640" i="46"/>
  <c r="AF640" i="46" s="1"/>
  <c r="AM235" i="29"/>
  <c r="AI235" i="29"/>
  <c r="AU144" i="29"/>
  <c r="L125" i="45"/>
  <c r="J303" i="46"/>
  <c r="L303" i="46" s="1"/>
  <c r="M122" i="45"/>
  <c r="AM42" i="46"/>
  <c r="AK44" i="46"/>
  <c r="AM44" i="46" s="1"/>
  <c r="AM49" i="46"/>
  <c r="AK68" i="12"/>
  <c r="AM75" i="12" s="1"/>
  <c r="AD68" i="12"/>
  <c r="AF68" i="12" s="1"/>
  <c r="AB72" i="12"/>
  <c r="AD75" i="12"/>
  <c r="AF75" i="12" s="1"/>
  <c r="AD184" i="46"/>
  <c r="AF184" i="46" s="1"/>
  <c r="AD56" i="12"/>
  <c r="AF56" i="12" s="1"/>
  <c r="AD63" i="12"/>
  <c r="AF63" i="12" s="1"/>
  <c r="AK56" i="12"/>
  <c r="W19" i="89"/>
  <c r="X19" i="89" s="1"/>
  <c r="Z19" i="89"/>
  <c r="BW146" i="29"/>
  <c r="CI144" i="29"/>
  <c r="DA38" i="28"/>
  <c r="DB49" i="28"/>
  <c r="DA32" i="28"/>
  <c r="DA49" i="28"/>
  <c r="DA21" i="28"/>
  <c r="AM710" i="46"/>
  <c r="AM717" i="46"/>
  <c r="AO79" i="17"/>
  <c r="AN17" i="22"/>
  <c r="AN35" i="22" s="1"/>
  <c r="AN56" i="22" s="1"/>
  <c r="AN59" i="22" s="1"/>
  <c r="W33" i="89"/>
  <c r="X33" i="89" s="1"/>
  <c r="Z33" i="89"/>
  <c r="DK80" i="28"/>
  <c r="DL70" i="28"/>
  <c r="DK70" i="28"/>
  <c r="U37" i="12"/>
  <c r="W37" i="12" s="1"/>
  <c r="W34" i="12"/>
  <c r="AK141" i="12"/>
  <c r="AI142" i="12"/>
  <c r="DN78" i="28"/>
  <c r="AG345" i="40"/>
  <c r="AD654" i="46"/>
  <c r="AF654" i="46" s="1"/>
  <c r="AD661" i="46"/>
  <c r="AF661" i="46" s="1"/>
  <c r="L178" i="85"/>
  <c r="L162" i="85"/>
  <c r="AF104" i="9"/>
  <c r="AF111" i="9"/>
  <c r="CH233" i="29"/>
  <c r="U80" i="20"/>
  <c r="CI223" i="29"/>
  <c r="AM653" i="46"/>
  <c r="DL78" i="28"/>
  <c r="AE345" i="40"/>
  <c r="BE66" i="17"/>
  <c r="BD53" i="22"/>
  <c r="AY135" i="29"/>
  <c r="AU135" i="29"/>
  <c r="R492" i="45"/>
  <c r="AA310" i="45"/>
  <c r="R313" i="45"/>
  <c r="S310" i="45"/>
  <c r="E23" i="85"/>
  <c r="E25" i="85" s="1"/>
  <c r="E34" i="85"/>
  <c r="AM615" i="46"/>
  <c r="AK618" i="46"/>
  <c r="O37" i="40"/>
  <c r="P37" i="40"/>
  <c r="DN36" i="28"/>
  <c r="DN17" i="28"/>
  <c r="I81" i="20"/>
  <c r="I83" i="20"/>
  <c r="DG230" i="29"/>
  <c r="CX235" i="29"/>
  <c r="DG235" i="29" s="1"/>
  <c r="EN80" i="37"/>
  <c r="BW234" i="29"/>
  <c r="BS234" i="29"/>
  <c r="DE70" i="28"/>
  <c r="BG142" i="29"/>
  <c r="BB146" i="29"/>
  <c r="BG146" i="29" s="1"/>
  <c r="BC134" i="29"/>
  <c r="AX144" i="29"/>
  <c r="BC144" i="29" s="1"/>
  <c r="AX154" i="29"/>
  <c r="BC154" i="29" s="1"/>
  <c r="BC142" i="29"/>
  <c r="AX146" i="29"/>
  <c r="AY142" i="29"/>
  <c r="AM100" i="46"/>
  <c r="AM107" i="46"/>
  <c r="EK37" i="37"/>
  <c r="DL29" i="28"/>
  <c r="V74" i="20"/>
  <c r="S384" i="40"/>
  <c r="AB65" i="45"/>
  <c r="AC62" i="45"/>
  <c r="AV341" i="40"/>
  <c r="AK82" i="12"/>
  <c r="AD82" i="12"/>
  <c r="AF82" i="12" s="1"/>
  <c r="AB86" i="12"/>
  <c r="AM50" i="46"/>
  <c r="AM43" i="46"/>
  <c r="AD89" i="12"/>
  <c r="AF89" i="12" s="1"/>
  <c r="AK89" i="12"/>
  <c r="DK230" i="29"/>
  <c r="DJ235" i="29"/>
  <c r="DK235" i="29" s="1"/>
  <c r="N75" i="40"/>
  <c r="N73" i="40"/>
  <c r="N108" i="85"/>
  <c r="N153" i="85" s="1"/>
  <c r="N151" i="85"/>
  <c r="J22" i="40"/>
  <c r="J24" i="40"/>
  <c r="J25" i="40" s="1"/>
  <c r="DG39" i="28"/>
  <c r="DG21" i="28"/>
  <c r="AD363" i="46"/>
  <c r="AF363" i="46" s="1"/>
  <c r="AB367" i="46"/>
  <c r="AD370" i="46"/>
  <c r="AK77" i="46"/>
  <c r="AD77" i="46"/>
  <c r="AF77" i="46" s="1"/>
  <c r="AD84" i="46"/>
  <c r="AF84" i="46" s="1"/>
  <c r="EK62" i="37"/>
  <c r="AU234" i="29"/>
  <c r="Z144" i="29"/>
  <c r="AE144" i="29" s="1"/>
  <c r="AE136" i="29"/>
  <c r="AA136" i="29"/>
  <c r="AK51" i="46"/>
  <c r="AM47" i="46"/>
  <c r="AM54" i="46"/>
  <c r="AD149" i="12"/>
  <c r="BM139" i="40"/>
  <c r="BM13" i="40"/>
  <c r="P50" i="28"/>
  <c r="Y49" i="40"/>
  <c r="BA8" i="40"/>
  <c r="Y9" i="40"/>
  <c r="Y41" i="40" s="1"/>
  <c r="Y353" i="40" s="1"/>
  <c r="Y36" i="40"/>
  <c r="DF72" i="28"/>
  <c r="Y88" i="40"/>
  <c r="P162" i="40"/>
  <c r="P179" i="40" s="1"/>
  <c r="O180" i="40"/>
  <c r="P647" i="46"/>
  <c r="AF647" i="46"/>
  <c r="L58" i="12"/>
  <c r="U55" i="12"/>
  <c r="N62" i="12"/>
  <c r="P62" i="12" s="1"/>
  <c r="N55" i="12"/>
  <c r="P55" i="12" s="1"/>
  <c r="AM223" i="46"/>
  <c r="AM230" i="46"/>
  <c r="AK227" i="46"/>
  <c r="P102" i="45"/>
  <c r="J699" i="46"/>
  <c r="L699" i="46" s="1"/>
  <c r="AQ101" i="45"/>
  <c r="BM37" i="17"/>
  <c r="BJ41" i="22"/>
  <c r="CY230" i="29"/>
  <c r="CP235" i="29"/>
  <c r="W64" i="12"/>
  <c r="U65" i="12"/>
  <c r="AM482" i="46"/>
  <c r="DK136" i="29"/>
  <c r="CE146" i="29"/>
  <c r="AF532" i="46"/>
  <c r="P532" i="46"/>
  <c r="AM607" i="46"/>
  <c r="AK611" i="46"/>
  <c r="AM614" i="46"/>
  <c r="AD816" i="46"/>
  <c r="AF816" i="46" s="1"/>
  <c r="EM91" i="37"/>
  <c r="EL92" i="37"/>
  <c r="EL93" i="37" s="1"/>
  <c r="CR93" i="37" s="1"/>
  <c r="O231" i="29"/>
  <c r="AD202" i="12"/>
  <c r="I545" i="45"/>
  <c r="AQ545" i="45"/>
  <c r="N83" i="20"/>
  <c r="N81" i="20"/>
  <c r="Z102" i="40"/>
  <c r="Z341" i="40" s="1"/>
  <c r="Z8" i="40"/>
  <c r="Z60" i="40"/>
  <c r="Z97" i="40" s="1"/>
  <c r="Z349" i="40" s="1"/>
  <c r="Z65" i="40"/>
  <c r="Z87" i="40"/>
  <c r="BB60" i="40"/>
  <c r="AA60" i="40"/>
  <c r="AA97" i="40" s="1"/>
  <c r="AA349" i="40" s="1"/>
  <c r="BM98" i="47"/>
  <c r="BM105" i="47"/>
  <c r="BW98" i="47"/>
  <c r="BM140" i="47"/>
  <c r="AB38" i="20"/>
  <c r="BE71" i="17"/>
  <c r="AB98" i="20"/>
  <c r="AB77" i="20"/>
  <c r="AB78" i="20" s="1"/>
  <c r="AL43" i="40"/>
  <c r="AL44" i="40" s="1"/>
  <c r="AB50" i="20"/>
  <c r="BE70" i="17"/>
  <c r="DN72" i="28"/>
  <c r="AG88" i="40"/>
  <c r="AM667" i="46"/>
  <c r="AM660" i="46"/>
  <c r="AK661" i="46"/>
  <c r="AF175" i="12"/>
  <c r="AD333" i="40"/>
  <c r="AC333" i="40"/>
  <c r="AK69" i="46"/>
  <c r="AD69" i="46"/>
  <c r="AF69" i="46" s="1"/>
  <c r="AB72" i="46"/>
  <c r="AD76" i="46"/>
  <c r="AF76" i="46" s="1"/>
  <c r="AA224" i="29"/>
  <c r="AE224" i="29"/>
  <c r="DN47" i="28"/>
  <c r="J38" i="85"/>
  <c r="J83" i="85" s="1"/>
  <c r="J84" i="85" s="1"/>
  <c r="W9" i="20"/>
  <c r="AG360" i="40"/>
  <c r="T37" i="40"/>
  <c r="I79" i="85"/>
  <c r="I72" i="85"/>
  <c r="I54" i="85"/>
  <c r="J79" i="85"/>
  <c r="DC135" i="29"/>
  <c r="CY135" i="29"/>
  <c r="BN206" i="47"/>
  <c r="EI97" i="37"/>
  <c r="EI98" i="37" s="1"/>
  <c r="AU224" i="29"/>
  <c r="AY224" i="29"/>
  <c r="AB322" i="40"/>
  <c r="AB325" i="40" s="1"/>
  <c r="P61" i="12"/>
  <c r="AF61" i="12"/>
  <c r="L65" i="12"/>
  <c r="N64" i="12"/>
  <c r="AD201" i="12"/>
  <c r="AB205" i="12"/>
  <c r="N111" i="12"/>
  <c r="P111" i="12" s="1"/>
  <c r="U111" i="12"/>
  <c r="EP16" i="37"/>
  <c r="BG48" i="47"/>
  <c r="AM99" i="40"/>
  <c r="AM79" i="40"/>
  <c r="AM82" i="40"/>
  <c r="D113" i="85"/>
  <c r="D96" i="85"/>
  <c r="BW144" i="29"/>
  <c r="H85" i="12"/>
  <c r="AK180" i="12"/>
  <c r="AD180" i="12"/>
  <c r="AF180" i="12" s="1"/>
  <c r="AB184" i="12"/>
  <c r="AD184" i="12" s="1"/>
  <c r="AQ62" i="45"/>
  <c r="AM693" i="46"/>
  <c r="DI42" i="28"/>
  <c r="R31" i="82" s="1"/>
  <c r="Z31" i="82" s="1"/>
  <c r="AL57" i="28"/>
  <c r="DI27" i="28"/>
  <c r="R22" i="82" s="1"/>
  <c r="Z22" i="82" s="1"/>
  <c r="M121" i="85"/>
  <c r="CE234" i="29"/>
  <c r="U62" i="20"/>
  <c r="U59" i="20"/>
  <c r="U57" i="20"/>
  <c r="AG333" i="40"/>
  <c r="AD187" i="12"/>
  <c r="AF187" i="12" s="1"/>
  <c r="AK187" i="12"/>
  <c r="N40" i="12"/>
  <c r="P40" i="12" s="1"/>
  <c r="L44" i="12"/>
  <c r="U40" i="12"/>
  <c r="N47" i="12"/>
  <c r="P47" i="12" s="1"/>
  <c r="BX42" i="29"/>
  <c r="BS42" i="29"/>
  <c r="AI16" i="28"/>
  <c r="AM176" i="46"/>
  <c r="AM183" i="46"/>
  <c r="AB82" i="9"/>
  <c r="AD82" i="9" s="1"/>
  <c r="AF82" i="9" s="1"/>
  <c r="AB90" i="12"/>
  <c r="AD97" i="12" s="1"/>
  <c r="AF97" i="12" s="1"/>
  <c r="AB91" i="12"/>
  <c r="I76" i="28"/>
  <c r="AD696" i="46"/>
  <c r="AF696" i="46" s="1"/>
  <c r="AD703" i="46"/>
  <c r="AF703" i="46" s="1"/>
  <c r="Z40" i="89"/>
  <c r="W40" i="89"/>
  <c r="X40" i="89" s="1"/>
  <c r="O224" i="29"/>
  <c r="AH317" i="40"/>
  <c r="AI66" i="40"/>
  <c r="AH66" i="40"/>
  <c r="AH88" i="40"/>
  <c r="DO72" i="28"/>
  <c r="AI88" i="40"/>
  <c r="AF121" i="46"/>
  <c r="H83" i="12"/>
  <c r="BS233" i="29"/>
  <c r="BW233" i="29"/>
  <c r="M62" i="28"/>
  <c r="DD70" i="28" s="1"/>
  <c r="W47" i="40"/>
  <c r="W49" i="40" s="1"/>
  <c r="S389" i="40"/>
  <c r="AI62" i="45"/>
  <c r="AH65" i="45"/>
  <c r="O142" i="29"/>
  <c r="CZ43" i="28"/>
  <c r="CZ51" i="28"/>
  <c r="N322" i="40"/>
  <c r="N329" i="40" s="1"/>
  <c r="AM636" i="46"/>
  <c r="AK640" i="46"/>
  <c r="AM643" i="46"/>
  <c r="AM588" i="46"/>
  <c r="AK590" i="46"/>
  <c r="U302" i="46"/>
  <c r="G56" i="20"/>
  <c r="G54" i="20"/>
  <c r="G51" i="20"/>
  <c r="J109" i="45"/>
  <c r="K108" i="45"/>
  <c r="J104" i="46"/>
  <c r="L104" i="46" s="1"/>
  <c r="AK55" i="12"/>
  <c r="AB58" i="12"/>
  <c r="AD62" i="12"/>
  <c r="AF62" i="12" s="1"/>
  <c r="EM19" i="37"/>
  <c r="BK154" i="29"/>
  <c r="AK167" i="46"/>
  <c r="AD167" i="46"/>
  <c r="AF167" i="46" s="1"/>
  <c r="AB170" i="46"/>
  <c r="AD170" i="46" s="1"/>
  <c r="AF170" i="46" s="1"/>
  <c r="T83" i="20"/>
  <c r="T81" i="20"/>
  <c r="AK58" i="46"/>
  <c r="F58" i="85"/>
  <c r="EI47" i="37" l="1"/>
  <c r="AK107" i="12"/>
  <c r="AB381" i="46"/>
  <c r="AD380" i="46"/>
  <c r="AF380" i="46" s="1"/>
  <c r="BK82" i="17"/>
  <c r="BM82" i="17" s="1"/>
  <c r="BO82" i="17" s="1"/>
  <c r="BQ82" i="17" s="1"/>
  <c r="AM145" i="12"/>
  <c r="X345" i="40"/>
  <c r="AZ119" i="40"/>
  <c r="F142" i="85"/>
  <c r="U330" i="40"/>
  <c r="AM168" i="12"/>
  <c r="AA12" i="20"/>
  <c r="AM365" i="46"/>
  <c r="AM358" i="46"/>
  <c r="AD22" i="12"/>
  <c r="AF22" i="12" s="1"/>
  <c r="AK22" i="12"/>
  <c r="AB23" i="12"/>
  <c r="AD23" i="12" s="1"/>
  <c r="AF23" i="12" s="1"/>
  <c r="DJ36" i="28"/>
  <c r="S26" i="82" s="1"/>
  <c r="AA26" i="82" s="1"/>
  <c r="S8" i="82"/>
  <c r="AA8" i="82" s="1"/>
  <c r="DJ17" i="28"/>
  <c r="F96" i="85"/>
  <c r="F113" i="85"/>
  <c r="BM64" i="40"/>
  <c r="BN72" i="40"/>
  <c r="BM74" i="40"/>
  <c r="BM65" i="40" s="1"/>
  <c r="J49" i="85"/>
  <c r="J51" i="85" s="1"/>
  <c r="J71" i="85" s="1"/>
  <c r="J91" i="85"/>
  <c r="J93" i="85" s="1"/>
  <c r="J113" i="85" s="1"/>
  <c r="J11" i="85"/>
  <c r="J133" i="85"/>
  <c r="J135" i="85" s="1"/>
  <c r="F71" i="85"/>
  <c r="U124" i="46"/>
  <c r="W124" i="46" s="1"/>
  <c r="N124" i="46"/>
  <c r="P124" i="46" s="1"/>
  <c r="AC47" i="89"/>
  <c r="W47" i="89" s="1"/>
  <c r="X47" i="89" s="1"/>
  <c r="J47" i="89"/>
  <c r="B83" i="20"/>
  <c r="B81" i="20"/>
  <c r="P67" i="45"/>
  <c r="Q66" i="45"/>
  <c r="J601" i="46"/>
  <c r="L601" i="46" s="1"/>
  <c r="J658" i="46"/>
  <c r="L658" i="46" s="1"/>
  <c r="BL67" i="40"/>
  <c r="BM60" i="40" s="1"/>
  <c r="BL84" i="40"/>
  <c r="BL87" i="40" s="1"/>
  <c r="AF41" i="9"/>
  <c r="CR144" i="29"/>
  <c r="U103" i="45"/>
  <c r="J800" i="46"/>
  <c r="L800" i="46" s="1"/>
  <c r="T104" i="45"/>
  <c r="W22" i="12"/>
  <c r="W29" i="12"/>
  <c r="N23" i="12"/>
  <c r="P23" i="12" s="1"/>
  <c r="N30" i="12"/>
  <c r="P30" i="12" s="1"/>
  <c r="O103" i="45"/>
  <c r="N104" i="45"/>
  <c r="AK48" i="12"/>
  <c r="AM55" i="12" s="1"/>
  <c r="AD48" i="12"/>
  <c r="AF48" i="12" s="1"/>
  <c r="AB51" i="12"/>
  <c r="W653" i="46"/>
  <c r="U654" i="46"/>
  <c r="W654" i="46" s="1"/>
  <c r="X180" i="45"/>
  <c r="J485" i="46"/>
  <c r="L485" i="46" s="1"/>
  <c r="S56" i="20"/>
  <c r="S54" i="20"/>
  <c r="DJ82" i="28" s="1"/>
  <c r="S51" i="20"/>
  <c r="CY235" i="29"/>
  <c r="N181" i="40"/>
  <c r="I44" i="89"/>
  <c r="AC37" i="89"/>
  <c r="W37" i="89" s="1"/>
  <c r="X37" i="89" s="1"/>
  <c r="J37" i="89"/>
  <c r="P286" i="40"/>
  <c r="P289" i="40"/>
  <c r="P290" i="40" s="1"/>
  <c r="AK30" i="46"/>
  <c r="AM37" i="46" s="1"/>
  <c r="AM34" i="46"/>
  <c r="AK156" i="12"/>
  <c r="AM156" i="12" s="1"/>
  <c r="AM159" i="12"/>
  <c r="AM152" i="12"/>
  <c r="N756" i="46"/>
  <c r="P756" i="46" s="1"/>
  <c r="U756" i="46"/>
  <c r="W756" i="46" s="1"/>
  <c r="EM73" i="37"/>
  <c r="EO50" i="37"/>
  <c r="U600" i="46"/>
  <c r="W600" i="46" s="1"/>
  <c r="N600" i="46"/>
  <c r="P600" i="46" s="1"/>
  <c r="AD197" i="40"/>
  <c r="AE196" i="40"/>
  <c r="AD194" i="40"/>
  <c r="E57" i="20"/>
  <c r="E62" i="20"/>
  <c r="E59" i="20"/>
  <c r="W120" i="46"/>
  <c r="U121" i="46"/>
  <c r="M552" i="45"/>
  <c r="BC234" i="29"/>
  <c r="AK163" i="12"/>
  <c r="AM160" i="12"/>
  <c r="CE50" i="28"/>
  <c r="CJ50" i="28"/>
  <c r="K126" i="45"/>
  <c r="J127" i="45"/>
  <c r="J125" i="46"/>
  <c r="L125" i="46" s="1"/>
  <c r="AD43" i="12"/>
  <c r="AF43" i="12" s="1"/>
  <c r="AK43" i="12"/>
  <c r="AQ81" i="28"/>
  <c r="V130" i="9"/>
  <c r="X130" i="9" s="1"/>
  <c r="L138" i="12"/>
  <c r="U138" i="12" s="1"/>
  <c r="U134" i="12"/>
  <c r="L68" i="45"/>
  <c r="M67" i="45"/>
  <c r="J239" i="46"/>
  <c r="L239" i="46" s="1"/>
  <c r="N799" i="46"/>
  <c r="P799" i="46" s="1"/>
  <c r="U799" i="46"/>
  <c r="W799" i="46" s="1"/>
  <c r="AK26" i="12"/>
  <c r="AD26" i="12"/>
  <c r="AF26" i="12" s="1"/>
  <c r="AD33" i="12"/>
  <c r="AF33" i="12" s="1"/>
  <c r="U657" i="46"/>
  <c r="W657" i="46" s="1"/>
  <c r="N657" i="46"/>
  <c r="P657" i="46" s="1"/>
  <c r="W120" i="45"/>
  <c r="V121" i="45"/>
  <c r="AQ120" i="45"/>
  <c r="J139" i="12" s="1"/>
  <c r="N238" i="46"/>
  <c r="P238" i="46" s="1"/>
  <c r="U238" i="46"/>
  <c r="W238" i="46" s="1"/>
  <c r="F60" i="20"/>
  <c r="Q298" i="40"/>
  <c r="Q299" i="40" s="1"/>
  <c r="Q285" i="40"/>
  <c r="R281" i="40"/>
  <c r="R284" i="40" s="1"/>
  <c r="Q287" i="40"/>
  <c r="AD50" i="12"/>
  <c r="W40" i="28"/>
  <c r="W25" i="28"/>
  <c r="W41" i="28"/>
  <c r="N131" i="45"/>
  <c r="O128" i="45"/>
  <c r="AU71" i="17"/>
  <c r="W38" i="20"/>
  <c r="W50" i="20"/>
  <c r="W144" i="20"/>
  <c r="W145" i="20" s="1"/>
  <c r="W98" i="20"/>
  <c r="AU70" i="17"/>
  <c r="W77" i="20"/>
  <c r="W78" i="20" s="1"/>
  <c r="AG43" i="40"/>
  <c r="AG44" i="40" s="1"/>
  <c r="U100" i="46"/>
  <c r="W100" i="46" s="1"/>
  <c r="AM356" i="46"/>
  <c r="AM349" i="46"/>
  <c r="AK353" i="46"/>
  <c r="AM353" i="46" s="1"/>
  <c r="AF71" i="45"/>
  <c r="AG68" i="45"/>
  <c r="AG74" i="45"/>
  <c r="T386" i="40"/>
  <c r="I46" i="89"/>
  <c r="J39" i="89"/>
  <c r="AC39" i="89"/>
  <c r="W39" i="89" s="1"/>
  <c r="X39" i="89" s="1"/>
  <c r="W67" i="45"/>
  <c r="V68" i="45"/>
  <c r="L5" i="20"/>
  <c r="K142" i="20"/>
  <c r="H80" i="20"/>
  <c r="AD233" i="29"/>
  <c r="AI233" i="29" s="1"/>
  <c r="AI223" i="29"/>
  <c r="AF160" i="9"/>
  <c r="AF167" i="9"/>
  <c r="AF144" i="9"/>
  <c r="AF151" i="9"/>
  <c r="F80" i="85"/>
  <c r="AD55" i="12"/>
  <c r="AF55" i="12" s="1"/>
  <c r="AD72" i="46"/>
  <c r="AF72" i="46" s="1"/>
  <c r="BC146" i="29"/>
  <c r="AZ19" i="40"/>
  <c r="BA71" i="17"/>
  <c r="Z98" i="20"/>
  <c r="BA70" i="17"/>
  <c r="Z38" i="20"/>
  <c r="Z50" i="20"/>
  <c r="AJ43" i="40"/>
  <c r="AJ44" i="40" s="1"/>
  <c r="Z77" i="20"/>
  <c r="DR37" i="28"/>
  <c r="DR39" i="28"/>
  <c r="DR46" i="28"/>
  <c r="DR13" i="28"/>
  <c r="W21" i="12"/>
  <c r="W28" i="12"/>
  <c r="U23" i="12"/>
  <c r="W596" i="46"/>
  <c r="U597" i="46"/>
  <c r="W597" i="46" s="1"/>
  <c r="CA145" i="29"/>
  <c r="AJ68" i="45"/>
  <c r="AK67" i="45"/>
  <c r="J281" i="46"/>
  <c r="L281" i="46" s="1"/>
  <c r="L104" i="45"/>
  <c r="M103" i="45"/>
  <c r="W51" i="28"/>
  <c r="W43" i="28"/>
  <c r="H56" i="20"/>
  <c r="H54" i="20"/>
  <c r="H51" i="20"/>
  <c r="BH165" i="40"/>
  <c r="BI179" i="40"/>
  <c r="AF194" i="9"/>
  <c r="AF159" i="9"/>
  <c r="AF152" i="9"/>
  <c r="Q309" i="45"/>
  <c r="P310" i="45"/>
  <c r="P491" i="45"/>
  <c r="Q491" i="45" s="1"/>
  <c r="F71" i="45"/>
  <c r="G68" i="45"/>
  <c r="U537" i="46"/>
  <c r="W537" i="46" s="1"/>
  <c r="N537" i="46"/>
  <c r="P537" i="46" s="1"/>
  <c r="N101" i="40"/>
  <c r="AF50" i="12"/>
  <c r="DQ13" i="28"/>
  <c r="DQ46" i="28"/>
  <c r="DQ39" i="28"/>
  <c r="DQ37" i="28"/>
  <c r="AE223" i="29"/>
  <c r="BC156" i="29"/>
  <c r="C68" i="85"/>
  <c r="S146" i="20"/>
  <c r="EM75" i="37"/>
  <c r="I125" i="45"/>
  <c r="H126" i="45"/>
  <c r="J392" i="46"/>
  <c r="Z12" i="20"/>
  <c r="M47" i="85"/>
  <c r="M11" i="85"/>
  <c r="M32" i="85"/>
  <c r="M164" i="85" s="1"/>
  <c r="M162" i="85" s="1"/>
  <c r="M89" i="85"/>
  <c r="M37" i="85"/>
  <c r="BC82" i="17"/>
  <c r="BC81" i="17"/>
  <c r="AE232" i="29"/>
  <c r="AI232" i="29"/>
  <c r="N490" i="45"/>
  <c r="O490" i="45" s="1"/>
  <c r="O308" i="45"/>
  <c r="N309" i="45"/>
  <c r="E79" i="17"/>
  <c r="D17" i="22"/>
  <c r="D35" i="22" s="1"/>
  <c r="D56" i="22" s="1"/>
  <c r="AF173" i="9"/>
  <c r="BL127" i="40"/>
  <c r="BK117" i="40"/>
  <c r="AE73" i="45"/>
  <c r="AD74" i="45"/>
  <c r="O83" i="20"/>
  <c r="O84" i="20" s="1"/>
  <c r="O81" i="20"/>
  <c r="BV181" i="29"/>
  <c r="BW180" i="29"/>
  <c r="AL30" i="28"/>
  <c r="AR27" i="28"/>
  <c r="AR42" i="28"/>
  <c r="AM357" i="46"/>
  <c r="AM364" i="46"/>
  <c r="F31" i="85"/>
  <c r="F14" i="85"/>
  <c r="AD163" i="12"/>
  <c r="AF163" i="12" s="1"/>
  <c r="BC145" i="29"/>
  <c r="BL175" i="40"/>
  <c r="BK162" i="40"/>
  <c r="BK164" i="40"/>
  <c r="AD135" i="12"/>
  <c r="AF135" i="12" s="1"/>
  <c r="Q22" i="82"/>
  <c r="Y22" i="82" s="1"/>
  <c r="BW50" i="28"/>
  <c r="AM49" i="12"/>
  <c r="F63" i="20"/>
  <c r="N32" i="85"/>
  <c r="N164" i="85" s="1"/>
  <c r="N162" i="85" s="1"/>
  <c r="N89" i="85"/>
  <c r="O119" i="85" s="1"/>
  <c r="N47" i="85"/>
  <c r="O77" i="85" s="1"/>
  <c r="N37" i="85"/>
  <c r="N11" i="85"/>
  <c r="AX6" i="22"/>
  <c r="AW6" i="17"/>
  <c r="AD42" i="12"/>
  <c r="AF42" i="12" s="1"/>
  <c r="AB44" i="12"/>
  <c r="AD44" i="12" s="1"/>
  <c r="AF44" i="12" s="1"/>
  <c r="AK42" i="12"/>
  <c r="E74" i="85"/>
  <c r="U66" i="45"/>
  <c r="T67" i="45"/>
  <c r="J757" i="46"/>
  <c r="L757" i="46" s="1"/>
  <c r="AC191" i="40"/>
  <c r="AC192" i="40" s="1"/>
  <c r="AC195" i="40"/>
  <c r="AC365" i="40" s="1"/>
  <c r="AC222" i="40"/>
  <c r="AM117" i="12"/>
  <c r="AM124" i="12"/>
  <c r="BL50" i="28"/>
  <c r="BQ50" i="28"/>
  <c r="AK121" i="12"/>
  <c r="AM128" i="12" s="1"/>
  <c r="BP67" i="22"/>
  <c r="BP68" i="22" s="1"/>
  <c r="I43" i="89"/>
  <c r="AC36" i="89"/>
  <c r="W36" i="89" s="1"/>
  <c r="X36" i="89" s="1"/>
  <c r="J36" i="89"/>
  <c r="F73" i="85"/>
  <c r="AE134" i="29"/>
  <c r="AE233" i="29"/>
  <c r="C58" i="85"/>
  <c r="N71" i="45"/>
  <c r="O68" i="45"/>
  <c r="J538" i="46"/>
  <c r="L538" i="46" s="1"/>
  <c r="BA81" i="17"/>
  <c r="BA82" i="17"/>
  <c r="AA38" i="20"/>
  <c r="BC70" i="17"/>
  <c r="AK43" i="40"/>
  <c r="AA50" i="20"/>
  <c r="BC71" i="17"/>
  <c r="AA98" i="20"/>
  <c r="AA77" i="20"/>
  <c r="AA78" i="20" s="1"/>
  <c r="AJ37" i="20"/>
  <c r="W752" i="46"/>
  <c r="U753" i="46"/>
  <c r="W753" i="46" s="1"/>
  <c r="N280" i="46"/>
  <c r="P280" i="46" s="1"/>
  <c r="U280" i="46"/>
  <c r="W280" i="46" s="1"/>
  <c r="AL17" i="22"/>
  <c r="AL35" i="22" s="1"/>
  <c r="AL56" i="22" s="1"/>
  <c r="AL59" i="22" s="1"/>
  <c r="AM79" i="17"/>
  <c r="CL50" i="28"/>
  <c r="N822" i="46"/>
  <c r="H822" i="46" s="1"/>
  <c r="L823" i="46"/>
  <c r="W279" i="46"/>
  <c r="EL82" i="37"/>
  <c r="EL83" i="37" s="1"/>
  <c r="CR83" i="37" s="1"/>
  <c r="CU190" i="29"/>
  <c r="CT191" i="29"/>
  <c r="BR29" i="28"/>
  <c r="CT194" i="29"/>
  <c r="CU194" i="29" s="1"/>
  <c r="DV234" i="47"/>
  <c r="DP234" i="47"/>
  <c r="DQ234" i="47" s="1"/>
  <c r="AO40" i="89"/>
  <c r="AL40" i="89" s="1"/>
  <c r="EB234" i="47"/>
  <c r="AS79" i="17"/>
  <c r="AR17" i="22"/>
  <c r="AR35" i="22" s="1"/>
  <c r="AR56" i="22" s="1"/>
  <c r="AR59" i="22" s="1"/>
  <c r="EM35" i="37"/>
  <c r="EM13" i="37"/>
  <c r="EM14" i="37" s="1"/>
  <c r="BK249" i="40"/>
  <c r="BJ237" i="40"/>
  <c r="BJ11" i="40" s="1"/>
  <c r="BK163" i="40"/>
  <c r="BL177" i="40"/>
  <c r="BL163" i="40" s="1"/>
  <c r="U16" i="12"/>
  <c r="W19" i="12"/>
  <c r="EL19" i="37"/>
  <c r="AM85" i="12"/>
  <c r="U326" i="40"/>
  <c r="V338" i="40"/>
  <c r="EK65" i="37"/>
  <c r="U338" i="40"/>
  <c r="U329" i="40"/>
  <c r="U327" i="40"/>
  <c r="L113" i="85"/>
  <c r="I18" i="85"/>
  <c r="I23" i="85" s="1"/>
  <c r="I25" i="85" s="1"/>
  <c r="I40" i="85"/>
  <c r="L71" i="85"/>
  <c r="L158" i="85"/>
  <c r="V552" i="45"/>
  <c r="W552" i="45" s="1"/>
  <c r="W370" i="45"/>
  <c r="DS162" i="29"/>
  <c r="DR163" i="29"/>
  <c r="DR166" i="29"/>
  <c r="DS166" i="29" s="1"/>
  <c r="K551" i="45"/>
  <c r="Z196" i="46"/>
  <c r="AB196" i="46" s="1"/>
  <c r="AD196" i="46" s="1"/>
  <c r="AF196" i="46" s="1"/>
  <c r="AN81" i="40"/>
  <c r="AN78" i="40" s="1"/>
  <c r="AN79" i="40" s="1"/>
  <c r="K370" i="45"/>
  <c r="J552" i="45"/>
  <c r="I549" i="45"/>
  <c r="AQ549" i="45"/>
  <c r="I368" i="45"/>
  <c r="H550" i="45"/>
  <c r="H369" i="45"/>
  <c r="AQ369" i="45" s="1"/>
  <c r="AR369" i="45" s="1"/>
  <c r="Q20" i="82"/>
  <c r="Y20" i="82" s="1"/>
  <c r="BR42" i="28"/>
  <c r="Q31" i="82" s="1"/>
  <c r="Y31" i="82" s="1"/>
  <c r="H29" i="82"/>
  <c r="I29" i="82"/>
  <c r="DI43" i="28"/>
  <c r="H30" i="82"/>
  <c r="AT50" i="28"/>
  <c r="DD51" i="28"/>
  <c r="X551" i="45"/>
  <c r="Z494" i="46" s="1"/>
  <c r="AB494" i="46" s="1"/>
  <c r="AD493" i="46"/>
  <c r="EK42" i="37"/>
  <c r="EM65" i="37"/>
  <c r="AD189" i="46"/>
  <c r="BI67" i="40"/>
  <c r="BJ60" i="40" s="1"/>
  <c r="BJ84" i="40" s="1"/>
  <c r="U468" i="46"/>
  <c r="W468" i="46" s="1"/>
  <c r="DI140" i="47"/>
  <c r="AB191" i="46"/>
  <c r="DI133" i="47"/>
  <c r="EJ19" i="37"/>
  <c r="EQ26" i="37"/>
  <c r="EP28" i="37"/>
  <c r="EP29" i="37" s="1"/>
  <c r="EP49" i="37"/>
  <c r="EN72" i="37"/>
  <c r="EO51" i="37"/>
  <c r="U328" i="40"/>
  <c r="EP95" i="37"/>
  <c r="EO97" i="37"/>
  <c r="EO98" i="37" s="1"/>
  <c r="P346" i="40"/>
  <c r="E167" i="85"/>
  <c r="T50" i="28"/>
  <c r="N27" i="28"/>
  <c r="N50" i="28" s="1"/>
  <c r="N42" i="28"/>
  <c r="F181" i="85"/>
  <c r="D20" i="82"/>
  <c r="H20" i="82" s="1"/>
  <c r="CH42" i="28"/>
  <c r="D31" i="82" s="1"/>
  <c r="H31" i="82" s="1"/>
  <c r="L63" i="20"/>
  <c r="BJ68" i="22"/>
  <c r="AC9" i="17"/>
  <c r="DD41" i="28"/>
  <c r="DD40" i="28"/>
  <c r="DD25" i="28"/>
  <c r="DB27" i="28"/>
  <c r="DB42" i="28"/>
  <c r="AQ18" i="40"/>
  <c r="AR70" i="40"/>
  <c r="S346" i="40"/>
  <c r="I5" i="40"/>
  <c r="H374" i="40"/>
  <c r="H315" i="40"/>
  <c r="BM96" i="17"/>
  <c r="BO96" i="17" s="1"/>
  <c r="BQ96" i="17" s="1"/>
  <c r="AF200" i="9"/>
  <c r="AF248" i="40"/>
  <c r="AG198" i="40"/>
  <c r="AF199" i="40"/>
  <c r="AM661" i="46"/>
  <c r="BB140" i="40"/>
  <c r="AM604" i="46"/>
  <c r="AM248" i="46"/>
  <c r="AM51" i="46"/>
  <c r="AD205" i="12"/>
  <c r="AM654" i="46"/>
  <c r="AM640" i="46"/>
  <c r="BB119" i="40"/>
  <c r="BC114" i="40" s="1"/>
  <c r="BC137" i="40" s="1"/>
  <c r="AB191" i="12"/>
  <c r="AD191" i="12" s="1"/>
  <c r="AF251" i="40"/>
  <c r="AF366" i="40" s="1"/>
  <c r="AF269" i="40"/>
  <c r="AG250" i="40"/>
  <c r="AG247" i="40" s="1"/>
  <c r="AG248" i="40" s="1"/>
  <c r="AG265" i="40"/>
  <c r="AG266" i="40" s="1"/>
  <c r="O148" i="40"/>
  <c r="O133" i="40"/>
  <c r="O123" i="40"/>
  <c r="O124" i="40" s="1"/>
  <c r="O121" i="40"/>
  <c r="AD367" i="46"/>
  <c r="AF367" i="46" s="1"/>
  <c r="AT247" i="40"/>
  <c r="AE248" i="40"/>
  <c r="R185" i="40"/>
  <c r="Q379" i="40"/>
  <c r="Q402" i="40" s="1"/>
  <c r="Q206" i="40"/>
  <c r="P132" i="40"/>
  <c r="P120" i="40"/>
  <c r="Q116" i="40"/>
  <c r="Q119" i="40" s="1"/>
  <c r="P377" i="40"/>
  <c r="P400" i="40" s="1"/>
  <c r="Q378" i="40"/>
  <c r="Q401" i="40" s="1"/>
  <c r="Q205" i="40"/>
  <c r="R184" i="40"/>
  <c r="N417" i="40"/>
  <c r="U696" i="46"/>
  <c r="ES27" i="37"/>
  <c r="T33" i="98"/>
  <c r="T44" i="98" s="1"/>
  <c r="T38" i="98"/>
  <c r="T16" i="98"/>
  <c r="G13" i="99"/>
  <c r="BN9" i="22"/>
  <c r="BN69" i="22" s="1"/>
  <c r="BN67" i="22" s="1"/>
  <c r="BN68" i="22" s="1"/>
  <c r="BM21" i="17"/>
  <c r="L146" i="20"/>
  <c r="BQ105" i="47"/>
  <c r="BU105" i="47"/>
  <c r="BX119" i="47"/>
  <c r="AB66" i="40"/>
  <c r="Q104" i="20"/>
  <c r="AA317" i="40"/>
  <c r="AM58" i="46"/>
  <c r="BC86" i="40"/>
  <c r="BC84" i="40"/>
  <c r="BC63" i="40"/>
  <c r="BC83" i="40" s="1"/>
  <c r="EL36" i="37"/>
  <c r="EK59" i="37" s="1"/>
  <c r="EK58" i="37"/>
  <c r="BQ112" i="47"/>
  <c r="BX112" i="47"/>
  <c r="BU112" i="47"/>
  <c r="DH72" i="28"/>
  <c r="AB88" i="40"/>
  <c r="EI63" i="37"/>
  <c r="EI65" i="37" s="1"/>
  <c r="EI42" i="37"/>
  <c r="DJ168" i="47"/>
  <c r="DI168" i="47"/>
  <c r="EJ72" i="37"/>
  <c r="EJ75" i="37" s="1"/>
  <c r="EJ52" i="37"/>
  <c r="AM590" i="46"/>
  <c r="AM682" i="46"/>
  <c r="AM120" i="12"/>
  <c r="EK57" i="37"/>
  <c r="EK49" i="37"/>
  <c r="EM26" i="37"/>
  <c r="AM220" i="46"/>
  <c r="EK50" i="37"/>
  <c r="EK73" i="37" s="1"/>
  <c r="EL28" i="37"/>
  <c r="EK51" i="37" s="1"/>
  <c r="EK74" i="37" s="1"/>
  <c r="EM27" i="37"/>
  <c r="AM611" i="46"/>
  <c r="AB9" i="40"/>
  <c r="AB41" i="40" s="1"/>
  <c r="AB353" i="40" s="1"/>
  <c r="AA36" i="40"/>
  <c r="AB37" i="40" s="1"/>
  <c r="AA49" i="40"/>
  <c r="BN112" i="47"/>
  <c r="AZ171" i="40"/>
  <c r="AZ172" i="40" s="1"/>
  <c r="Y37" i="40"/>
  <c r="AM816" i="46"/>
  <c r="AZ9" i="40"/>
  <c r="AZ16" i="40" s="1"/>
  <c r="BC236" i="40"/>
  <c r="BC244" i="40" s="1"/>
  <c r="BC242" i="40"/>
  <c r="BC243" i="40"/>
  <c r="BC245" i="40"/>
  <c r="EL44" i="37"/>
  <c r="EL67" i="37" s="1"/>
  <c r="EN21" i="37"/>
  <c r="EM44" i="37"/>
  <c r="BR66" i="40"/>
  <c r="AN127" i="40"/>
  <c r="BI22" i="17"/>
  <c r="BO23" i="17"/>
  <c r="BC39" i="17"/>
  <c r="BC46" i="17" s="1"/>
  <c r="BC59" i="17" s="1"/>
  <c r="BE38" i="17"/>
  <c r="BE39" i="17" s="1"/>
  <c r="BE46" i="17" s="1"/>
  <c r="L60" i="20"/>
  <c r="I28" i="85"/>
  <c r="I42" i="85" s="1"/>
  <c r="AB42" i="28"/>
  <c r="AB27" i="28"/>
  <c r="AM76" i="12"/>
  <c r="E116" i="85"/>
  <c r="J60" i="20"/>
  <c r="H42" i="28"/>
  <c r="H27" i="28"/>
  <c r="M50" i="28" s="1"/>
  <c r="AQ50" i="28"/>
  <c r="AL50" i="28"/>
  <c r="CY43" i="28"/>
  <c r="CY51" i="28"/>
  <c r="C27" i="28"/>
  <c r="C42" i="28"/>
  <c r="CY41" i="28"/>
  <c r="CY40" i="28"/>
  <c r="CY25" i="28"/>
  <c r="T146" i="20"/>
  <c r="EJ70" i="37"/>
  <c r="P50" i="12"/>
  <c r="R346" i="40"/>
  <c r="EK46" i="37"/>
  <c r="EK69" i="37" s="1"/>
  <c r="EL24" i="37"/>
  <c r="EJ47" i="37"/>
  <c r="EK68" i="37"/>
  <c r="AV345" i="40"/>
  <c r="EM45" i="37"/>
  <c r="EL45" i="37"/>
  <c r="EL68" i="37" s="1"/>
  <c r="EN22" i="37"/>
  <c r="EM23" i="37"/>
  <c r="BA83" i="40"/>
  <c r="X337" i="40"/>
  <c r="Y337" i="40"/>
  <c r="X322" i="40"/>
  <c r="S42" i="28"/>
  <c r="S27" i="28"/>
  <c r="S50" i="28" s="1"/>
  <c r="V346" i="40"/>
  <c r="AC50" i="28"/>
  <c r="W346" i="40"/>
  <c r="D79" i="12"/>
  <c r="H79" i="12" s="1"/>
  <c r="DC27" i="28"/>
  <c r="DC42" i="28"/>
  <c r="Y27" i="28"/>
  <c r="Y42" i="28"/>
  <c r="AY50" i="28"/>
  <c r="AM147" i="40"/>
  <c r="AD373" i="46"/>
  <c r="AB374" i="46"/>
  <c r="AN146" i="40"/>
  <c r="AO129" i="40"/>
  <c r="AN130" i="40"/>
  <c r="AC66" i="20"/>
  <c r="P26" i="85"/>
  <c r="P66" i="85" s="1"/>
  <c r="P108" i="85" s="1"/>
  <c r="DT28" i="28"/>
  <c r="J20" i="82"/>
  <c r="I20" i="82"/>
  <c r="I31" i="82"/>
  <c r="J31" i="82"/>
  <c r="C63" i="85"/>
  <c r="C65" i="85" s="1"/>
  <c r="C74" i="85"/>
  <c r="C147" i="85"/>
  <c r="C149" i="85" s="1"/>
  <c r="C167" i="85"/>
  <c r="F63" i="85"/>
  <c r="F65" i="85" s="1"/>
  <c r="F81" i="85" s="1"/>
  <c r="F74" i="85"/>
  <c r="AM167" i="46"/>
  <c r="AK170" i="46"/>
  <c r="AM170" i="46" s="1"/>
  <c r="AD65" i="12"/>
  <c r="U104" i="46"/>
  <c r="W104" i="46" s="1"/>
  <c r="N104" i="46"/>
  <c r="P104" i="46" s="1"/>
  <c r="W40" i="12"/>
  <c r="U44" i="12"/>
  <c r="W47" i="12"/>
  <c r="AF85" i="12"/>
  <c r="DG72" i="28"/>
  <c r="Z88" i="40"/>
  <c r="AA88" i="40"/>
  <c r="N58" i="12"/>
  <c r="P58" i="12" s="1"/>
  <c r="O181" i="40"/>
  <c r="O188" i="40"/>
  <c r="O189" i="40" s="1"/>
  <c r="BA19" i="40"/>
  <c r="BA16" i="40"/>
  <c r="AM89" i="12"/>
  <c r="AM82" i="12"/>
  <c r="AK86" i="12"/>
  <c r="AM86" i="12" s="1"/>
  <c r="DM29" i="28"/>
  <c r="W74" i="20"/>
  <c r="DA51" i="28"/>
  <c r="DA43" i="28"/>
  <c r="DB51" i="28"/>
  <c r="AD72" i="12"/>
  <c r="L126" i="45"/>
  <c r="M125" i="45"/>
  <c r="J307" i="46"/>
  <c r="L307" i="46" s="1"/>
  <c r="AB100" i="12"/>
  <c r="AD107" i="12" s="1"/>
  <c r="AF107" i="12" s="1"/>
  <c r="AK96" i="12"/>
  <c r="AD96" i="12"/>
  <c r="AF96" i="12" s="1"/>
  <c r="AH37" i="40"/>
  <c r="AI37" i="40"/>
  <c r="G83" i="20"/>
  <c r="G81" i="20"/>
  <c r="O143" i="29"/>
  <c r="K143" i="29"/>
  <c r="AK188" i="12"/>
  <c r="AM188" i="12" s="1"/>
  <c r="AD188" i="12"/>
  <c r="AF188" i="12" s="1"/>
  <c r="D73" i="85"/>
  <c r="D68" i="85"/>
  <c r="D58" i="85"/>
  <c r="D80" i="85"/>
  <c r="E80" i="85"/>
  <c r="BP50" i="28"/>
  <c r="B44" i="47"/>
  <c r="B58" i="45"/>
  <c r="B74" i="12"/>
  <c r="H177" i="12"/>
  <c r="O346" i="40"/>
  <c r="G31" i="85"/>
  <c r="G14" i="85"/>
  <c r="W56" i="12"/>
  <c r="W63" i="12"/>
  <c r="D68" i="45"/>
  <c r="E67" i="45"/>
  <c r="J67" i="45"/>
  <c r="BH239" i="40"/>
  <c r="BH13" i="40" s="1"/>
  <c r="BI250" i="40"/>
  <c r="BH238" i="40"/>
  <c r="BH12" i="40" s="1"/>
  <c r="DE40" i="28"/>
  <c r="DE25" i="28"/>
  <c r="DE41" i="28"/>
  <c r="T24" i="40"/>
  <c r="T25" i="40" s="1"/>
  <c r="T22" i="40"/>
  <c r="AF142" i="12"/>
  <c r="BC176" i="40"/>
  <c r="BB162" i="40"/>
  <c r="BB11" i="40" s="1"/>
  <c r="AY154" i="29"/>
  <c r="AU154" i="29"/>
  <c r="Q346" i="40"/>
  <c r="T73" i="20"/>
  <c r="DJ30" i="28"/>
  <c r="EP86" i="37"/>
  <c r="EO87" i="37"/>
  <c r="EO88" i="37" s="1"/>
  <c r="EF10" i="37"/>
  <c r="EE33" i="37"/>
  <c r="ED126" i="37" s="1"/>
  <c r="ED195" i="37" s="1"/>
  <c r="CU144" i="29"/>
  <c r="CQ144" i="29"/>
  <c r="AK71" i="12"/>
  <c r="AK72" i="12" s="1"/>
  <c r="AI72" i="12"/>
  <c r="P404" i="40"/>
  <c r="I155" i="85"/>
  <c r="I166" i="85"/>
  <c r="I142" i="85"/>
  <c r="I179" i="85"/>
  <c r="L58" i="85"/>
  <c r="L73" i="85"/>
  <c r="L68" i="85"/>
  <c r="CL55" i="28"/>
  <c r="BD31" i="22"/>
  <c r="BD33" i="22" s="1"/>
  <c r="CB17" i="22" s="1"/>
  <c r="O14" i="85"/>
  <c r="O31" i="85"/>
  <c r="O160" i="85" s="1"/>
  <c r="O158" i="85" s="1"/>
  <c r="AK279" i="40"/>
  <c r="I546" i="45"/>
  <c r="AQ546" i="45"/>
  <c r="EP85" i="37"/>
  <c r="DK145" i="29"/>
  <c r="AB209" i="12"/>
  <c r="AB201" i="9"/>
  <c r="AD201" i="9" s="1"/>
  <c r="AD208" i="9" s="1"/>
  <c r="DH25" i="28"/>
  <c r="DH40" i="28"/>
  <c r="DH41" i="28"/>
  <c r="O75" i="40"/>
  <c r="O76" i="40" s="1"/>
  <c r="O73" i="40"/>
  <c r="AM174" i="46"/>
  <c r="DM43" i="28"/>
  <c r="DM51" i="28"/>
  <c r="J125" i="85"/>
  <c r="J126" i="85" s="1"/>
  <c r="CQ235" i="29"/>
  <c r="CI235" i="29"/>
  <c r="D81" i="20"/>
  <c r="D83" i="20"/>
  <c r="AM625" i="46"/>
  <c r="BN124" i="40"/>
  <c r="BM116" i="40"/>
  <c r="J472" i="46"/>
  <c r="L472" i="46" s="1"/>
  <c r="X169" i="45"/>
  <c r="W50" i="46"/>
  <c r="U51" i="46"/>
  <c r="W51" i="46" s="1"/>
  <c r="CV24" i="29"/>
  <c r="CZ24" i="29"/>
  <c r="Y62" i="20"/>
  <c r="Y80" i="20"/>
  <c r="Y57" i="20"/>
  <c r="Y59" i="20"/>
  <c r="AF186" i="9"/>
  <c r="AF193" i="9"/>
  <c r="AF90" i="9"/>
  <c r="AF97" i="9"/>
  <c r="DL25" i="28"/>
  <c r="DL40" i="28"/>
  <c r="DL41" i="28"/>
  <c r="AM104" i="12"/>
  <c r="AD79" i="46"/>
  <c r="AF79" i="46" s="1"/>
  <c r="AD86" i="46"/>
  <c r="AF86" i="46" s="1"/>
  <c r="AT8" i="22"/>
  <c r="W81" i="20"/>
  <c r="W83" i="20"/>
  <c r="C80" i="20"/>
  <c r="J233" i="29"/>
  <c r="K223" i="29"/>
  <c r="CM27" i="28"/>
  <c r="DK143" i="29"/>
  <c r="AE146" i="29"/>
  <c r="AA146" i="29"/>
  <c r="N54" i="46"/>
  <c r="P54" i="46" s="1"/>
  <c r="U54" i="46"/>
  <c r="P80" i="20"/>
  <c r="P57" i="20"/>
  <c r="P59" i="20"/>
  <c r="P60" i="20" s="1"/>
  <c r="P62" i="20"/>
  <c r="P63" i="20" s="1"/>
  <c r="AM141" i="46"/>
  <c r="AK142" i="46"/>
  <c r="AM142" i="46" s="1"/>
  <c r="AM148" i="46"/>
  <c r="AM62" i="12"/>
  <c r="AH66" i="45"/>
  <c r="AQ66" i="45" s="1"/>
  <c r="AI65" i="45"/>
  <c r="W345" i="40"/>
  <c r="N72" i="28"/>
  <c r="DD78" i="28"/>
  <c r="AF83" i="12"/>
  <c r="N44" i="12"/>
  <c r="P44" i="12" s="1"/>
  <c r="N51" i="12"/>
  <c r="P51" i="12" s="1"/>
  <c r="AM46" i="40"/>
  <c r="AM27" i="40"/>
  <c r="W111" i="12"/>
  <c r="I58" i="85"/>
  <c r="I68" i="85"/>
  <c r="I73" i="85"/>
  <c r="I80" i="85"/>
  <c r="AM76" i="46"/>
  <c r="AK72" i="46"/>
  <c r="AM72" i="46" s="1"/>
  <c r="AM69" i="46"/>
  <c r="BX98" i="47"/>
  <c r="BQ98" i="47"/>
  <c r="BU98" i="47"/>
  <c r="BX105" i="47"/>
  <c r="BX140" i="47"/>
  <c r="P104" i="20"/>
  <c r="Z66" i="40"/>
  <c r="Z317" i="40"/>
  <c r="AA66" i="40"/>
  <c r="BO37" i="17"/>
  <c r="BL41" i="22"/>
  <c r="AR101" i="45"/>
  <c r="J117" i="12"/>
  <c r="AM227" i="46"/>
  <c r="AM234" i="46"/>
  <c r="P180" i="40"/>
  <c r="Q162" i="40"/>
  <c r="Q179" i="40" s="1"/>
  <c r="DF78" i="28"/>
  <c r="Y345" i="40"/>
  <c r="AM77" i="46"/>
  <c r="AM84" i="46"/>
  <c r="AB66" i="45"/>
  <c r="AC65" i="45"/>
  <c r="DN32" i="28"/>
  <c r="DN38" i="28"/>
  <c r="DN21" i="28"/>
  <c r="DN49" i="28"/>
  <c r="AM618" i="46"/>
  <c r="CZ27" i="28"/>
  <c r="CZ42" i="28"/>
  <c r="AK92" i="12"/>
  <c r="AM92" i="12" s="1"/>
  <c r="AD92" i="12"/>
  <c r="AF92" i="12" s="1"/>
  <c r="AF91" i="9"/>
  <c r="AI41" i="40"/>
  <c r="AI353" i="40" s="1"/>
  <c r="AM767" i="46"/>
  <c r="AM774" i="46"/>
  <c r="AD196" i="12"/>
  <c r="AD189" i="12"/>
  <c r="AF189" i="12" s="1"/>
  <c r="AK189" i="12"/>
  <c r="AM189" i="12" s="1"/>
  <c r="AH180" i="9"/>
  <c r="AJ180" i="9" s="1"/>
  <c r="AD180" i="9"/>
  <c r="CQ146" i="29"/>
  <c r="CU146" i="29"/>
  <c r="EP39" i="37"/>
  <c r="EN62" i="37"/>
  <c r="W68" i="12"/>
  <c r="AD29" i="12"/>
  <c r="AF29" i="12" s="1"/>
  <c r="AK29" i="12"/>
  <c r="AD36" i="12"/>
  <c r="AF36" i="12" s="1"/>
  <c r="EN36" i="37"/>
  <c r="EM59" i="37" s="1"/>
  <c r="EM58" i="37"/>
  <c r="EO35" i="37"/>
  <c r="F80" i="20"/>
  <c r="V233" i="29"/>
  <c r="W223" i="29"/>
  <c r="AJ8" i="22"/>
  <c r="R83" i="20"/>
  <c r="R81" i="20"/>
  <c r="D57" i="20"/>
  <c r="D59" i="20"/>
  <c r="D62" i="20"/>
  <c r="AM689" i="46"/>
  <c r="M424" i="40"/>
  <c r="M432" i="40" s="1"/>
  <c r="AD170" i="12"/>
  <c r="AF170" i="12" s="1"/>
  <c r="AD177" i="12"/>
  <c r="AF65" i="12"/>
  <c r="G96" i="85"/>
  <c r="H122" i="85" s="1"/>
  <c r="G113" i="85"/>
  <c r="BF41" i="29"/>
  <c r="BF43" i="29"/>
  <c r="BF40" i="29"/>
  <c r="BF42" i="29"/>
  <c r="BG44" i="29"/>
  <c r="K24" i="40"/>
  <c r="K25" i="40" s="1"/>
  <c r="K22" i="40"/>
  <c r="DE43" i="28"/>
  <c r="DE51" i="28"/>
  <c r="DC144" i="29"/>
  <c r="CY144" i="29"/>
  <c r="BA11" i="40"/>
  <c r="BA166" i="40"/>
  <c r="BB160" i="40" s="1"/>
  <c r="BA168" i="40"/>
  <c r="BA172" i="40" s="1"/>
  <c r="AY156" i="29"/>
  <c r="AU156" i="29"/>
  <c r="W103" i="46"/>
  <c r="H86" i="12"/>
  <c r="BS46" i="29"/>
  <c r="BX46" i="29"/>
  <c r="D33" i="85"/>
  <c r="D18" i="85"/>
  <c r="D28" i="85"/>
  <c r="D40" i="85"/>
  <c r="E40" i="85"/>
  <c r="H71" i="12"/>
  <c r="BN28" i="38"/>
  <c r="P242" i="40"/>
  <c r="P244" i="40"/>
  <c r="P245" i="40" s="1"/>
  <c r="AY235" i="29"/>
  <c r="BF82" i="28"/>
  <c r="BI82" i="28"/>
  <c r="BH82" i="28"/>
  <c r="BG82" i="28"/>
  <c r="U112" i="12"/>
  <c r="W112" i="12" s="1"/>
  <c r="N112" i="12"/>
  <c r="P112" i="12" s="1"/>
  <c r="P196" i="9"/>
  <c r="AJ196" i="9"/>
  <c r="J196" i="9"/>
  <c r="N196" i="9"/>
  <c r="O93" i="85"/>
  <c r="I50" i="28"/>
  <c r="H58" i="85"/>
  <c r="H73" i="85"/>
  <c r="H68" i="85"/>
  <c r="O114" i="85"/>
  <c r="O165" i="85" s="1"/>
  <c r="O121" i="85"/>
  <c r="BS154" i="29"/>
  <c r="BO154" i="29"/>
  <c r="O145" i="29"/>
  <c r="K145" i="29"/>
  <c r="DS23" i="28"/>
  <c r="O20" i="85"/>
  <c r="AB54" i="20"/>
  <c r="DS82" i="28" s="1"/>
  <c r="AD149" i="46"/>
  <c r="AF149" i="46" s="1"/>
  <c r="AD156" i="46"/>
  <c r="AF156" i="46" s="1"/>
  <c r="O101" i="40"/>
  <c r="O85" i="40"/>
  <c r="C51" i="20"/>
  <c r="C54" i="20"/>
  <c r="C56" i="20"/>
  <c r="AM112" i="12"/>
  <c r="AK114" i="12"/>
  <c r="V144" i="29"/>
  <c r="AA134" i="29"/>
  <c r="L8" i="22"/>
  <c r="W134" i="29"/>
  <c r="AF76" i="12"/>
  <c r="AF179" i="9"/>
  <c r="AF189" i="9"/>
  <c r="EP18" i="37"/>
  <c r="EP19" i="37" s="1"/>
  <c r="AA232" i="29"/>
  <c r="W232" i="29"/>
  <c r="AE235" i="29"/>
  <c r="AA235" i="29"/>
  <c r="DS36" i="28"/>
  <c r="DS17" i="28"/>
  <c r="DL43" i="28"/>
  <c r="AM75" i="46"/>
  <c r="AK79" i="46"/>
  <c r="AM82" i="46"/>
  <c r="P64" i="12"/>
  <c r="AF64" i="12"/>
  <c r="CY233" i="29"/>
  <c r="DF51" i="28"/>
  <c r="DF43" i="28"/>
  <c r="DG51" i="28"/>
  <c r="Y322" i="40"/>
  <c r="Y325" i="40" s="1"/>
  <c r="Y333" i="40"/>
  <c r="M83" i="20"/>
  <c r="N84" i="20" s="1"/>
  <c r="M81" i="20"/>
  <c r="AU235" i="29"/>
  <c r="H23" i="85"/>
  <c r="H25" i="85" s="1"/>
  <c r="H34" i="85"/>
  <c r="P29" i="20"/>
  <c r="BJ44" i="29"/>
  <c r="DG16" i="28"/>
  <c r="G59" i="20"/>
  <c r="G62" i="20"/>
  <c r="G57" i="20"/>
  <c r="N330" i="40"/>
  <c r="N328" i="40"/>
  <c r="N325" i="40"/>
  <c r="N327" i="40"/>
  <c r="N326" i="40"/>
  <c r="AH333" i="40"/>
  <c r="AI333" i="40"/>
  <c r="AD91" i="12"/>
  <c r="AF91" i="12" s="1"/>
  <c r="AK91" i="12"/>
  <c r="AM91" i="12" s="1"/>
  <c r="AK184" i="12"/>
  <c r="AM180" i="12"/>
  <c r="N65" i="12"/>
  <c r="P65" i="12" s="1"/>
  <c r="AB327" i="40"/>
  <c r="AB330" i="40"/>
  <c r="AB328" i="40"/>
  <c r="AB329" i="40"/>
  <c r="AB326" i="40"/>
  <c r="J120" i="85"/>
  <c r="J78" i="85"/>
  <c r="J174" i="85"/>
  <c r="L142" i="85"/>
  <c r="L166" i="85"/>
  <c r="L155" i="85"/>
  <c r="AB56" i="20"/>
  <c r="AB51" i="20"/>
  <c r="BN98" i="47"/>
  <c r="EN91" i="37"/>
  <c r="EM92" i="37"/>
  <c r="EM93" i="37" s="1"/>
  <c r="U699" i="46"/>
  <c r="N699" i="46"/>
  <c r="P699" i="46" s="1"/>
  <c r="DG40" i="28"/>
  <c r="DG25" i="28"/>
  <c r="DG41" i="28"/>
  <c r="AD86" i="12"/>
  <c r="S407" i="40"/>
  <c r="S383" i="40"/>
  <c r="N63" i="28"/>
  <c r="EO80" i="37"/>
  <c r="AA313" i="45"/>
  <c r="R314" i="45"/>
  <c r="S313" i="45"/>
  <c r="R495" i="45"/>
  <c r="U81" i="20"/>
  <c r="U83" i="20"/>
  <c r="DA40" i="28"/>
  <c r="DA25" i="28"/>
  <c r="DA41" i="28"/>
  <c r="AD177" i="46"/>
  <c r="AF177" i="46" s="1"/>
  <c r="AH41" i="40"/>
  <c r="AH353" i="40" s="1"/>
  <c r="AM525" i="46"/>
  <c r="AM532" i="46"/>
  <c r="CQ145" i="29"/>
  <c r="CU145" i="29"/>
  <c r="AU52" i="45"/>
  <c r="B234" i="45"/>
  <c r="B416" i="45" s="1"/>
  <c r="S134" i="29"/>
  <c r="N144" i="29"/>
  <c r="S144" i="29" s="1"/>
  <c r="AD28" i="12"/>
  <c r="AF28" i="12" s="1"/>
  <c r="AK28" i="12"/>
  <c r="AB30" i="12"/>
  <c r="AD35" i="12"/>
  <c r="AF35" i="12" s="1"/>
  <c r="H184" i="12"/>
  <c r="O224" i="40"/>
  <c r="O203" i="40"/>
  <c r="O204" i="40" s="1"/>
  <c r="DJ144" i="29"/>
  <c r="DK144" i="29" s="1"/>
  <c r="DK134" i="29"/>
  <c r="AM65" i="46"/>
  <c r="G71" i="85"/>
  <c r="G54" i="85"/>
  <c r="H80" i="85" s="1"/>
  <c r="H166" i="85"/>
  <c r="H155" i="85"/>
  <c r="H142" i="85"/>
  <c r="AM359" i="46"/>
  <c r="AM366" i="46"/>
  <c r="AK360" i="46"/>
  <c r="AM360" i="46" s="1"/>
  <c r="AE91" i="17"/>
  <c r="AE13" i="17"/>
  <c r="AE28" i="17" s="1"/>
  <c r="AU145" i="29"/>
  <c r="AY145" i="29"/>
  <c r="AH201" i="40"/>
  <c r="AI200" i="40"/>
  <c r="AM184" i="46"/>
  <c r="AM332" i="46"/>
  <c r="AM339" i="46"/>
  <c r="R50" i="28"/>
  <c r="BX45" i="29"/>
  <c r="BS45" i="29"/>
  <c r="BV28" i="38"/>
  <c r="H78" i="12"/>
  <c r="H72" i="12"/>
  <c r="Q253" i="40"/>
  <c r="Q254" i="40" s="1"/>
  <c r="Q271" i="40"/>
  <c r="Q241" i="40"/>
  <c r="R237" i="40"/>
  <c r="R240" i="40" s="1"/>
  <c r="Q381" i="40"/>
  <c r="R115" i="20"/>
  <c r="R122" i="20"/>
  <c r="R120" i="20"/>
  <c r="R119" i="20"/>
  <c r="O79" i="85"/>
  <c r="O72" i="85"/>
  <c r="O163" i="85" s="1"/>
  <c r="DK146" i="29"/>
  <c r="AY233" i="29"/>
  <c r="AU233" i="29"/>
  <c r="AF158" i="9"/>
  <c r="AF165" i="9"/>
  <c r="AM77" i="12"/>
  <c r="AM64" i="12"/>
  <c r="AK65" i="12"/>
  <c r="O146" i="29"/>
  <c r="K146" i="29"/>
  <c r="Z81" i="28"/>
  <c r="L113" i="12"/>
  <c r="V105" i="9"/>
  <c r="X105" i="9" s="1"/>
  <c r="Z105" i="9" s="1"/>
  <c r="DH16" i="28"/>
  <c r="Q29" i="20"/>
  <c r="BN44" i="29"/>
  <c r="DH43" i="28"/>
  <c r="DH51" i="28"/>
  <c r="DI51" i="28"/>
  <c r="O399" i="40"/>
  <c r="O391" i="40"/>
  <c r="O417" i="40" s="1"/>
  <c r="BM50" i="28"/>
  <c r="BR50" i="28"/>
  <c r="Q38" i="82" s="1"/>
  <c r="Y38" i="82" s="1"/>
  <c r="DM25" i="28"/>
  <c r="DM41" i="28"/>
  <c r="DM40" i="28"/>
  <c r="J158" i="85"/>
  <c r="J138" i="85"/>
  <c r="AD114" i="12"/>
  <c r="AF114" i="12" s="1"/>
  <c r="AA203" i="47"/>
  <c r="F336" i="46"/>
  <c r="AD99" i="12"/>
  <c r="AF99" i="12" s="1"/>
  <c r="AK99" i="12"/>
  <c r="AD106" i="12"/>
  <c r="AF106" i="12" s="1"/>
  <c r="AM696" i="46"/>
  <c r="AM703" i="46"/>
  <c r="BD50" i="28"/>
  <c r="BI50" i="28"/>
  <c r="AD79" i="12"/>
  <c r="DP25" i="28"/>
  <c r="DP41" i="28"/>
  <c r="DP40" i="28"/>
  <c r="AM668" i="46"/>
  <c r="F147" i="85"/>
  <c r="F149" i="85" s="1"/>
  <c r="F180" i="85" s="1"/>
  <c r="F167" i="85"/>
  <c r="N59" i="20"/>
  <c r="N60" i="20" s="1"/>
  <c r="N62" i="20"/>
  <c r="N63" i="20" s="1"/>
  <c r="N57" i="20"/>
  <c r="Y8" i="20"/>
  <c r="X44" i="20"/>
  <c r="AW76" i="17"/>
  <c r="K6" i="85"/>
  <c r="X37" i="20"/>
  <c r="X22" i="20"/>
  <c r="X28" i="20"/>
  <c r="DO16" i="28" s="1"/>
  <c r="X17" i="20"/>
  <c r="X41" i="20"/>
  <c r="X35" i="20"/>
  <c r="X15" i="20"/>
  <c r="X20" i="20"/>
  <c r="DO8" i="28"/>
  <c r="X8" i="20"/>
  <c r="X14" i="20"/>
  <c r="X143" i="20"/>
  <c r="X32" i="20"/>
  <c r="AE234" i="29"/>
  <c r="AA234" i="29"/>
  <c r="AD105" i="12"/>
  <c r="AF105" i="12" s="1"/>
  <c r="AK98" i="12"/>
  <c r="AD98" i="12"/>
  <c r="AF98" i="12" s="1"/>
  <c r="AM675" i="46"/>
  <c r="EI52" i="37"/>
  <c r="DK49" i="28"/>
  <c r="DK38" i="28"/>
  <c r="DK32" i="28"/>
  <c r="DK21" i="28"/>
  <c r="K144" i="29"/>
  <c r="AZ12" i="40"/>
  <c r="AZ85" i="40"/>
  <c r="AZ87" i="40" s="1"/>
  <c r="AZ67" i="40"/>
  <c r="BO118" i="40"/>
  <c r="BO13" i="40" s="1"/>
  <c r="AQ65" i="45"/>
  <c r="AM269" i="46"/>
  <c r="DJ233" i="29"/>
  <c r="DK233" i="29" s="1"/>
  <c r="DK223" i="29"/>
  <c r="AD208" i="12"/>
  <c r="K109" i="45"/>
  <c r="K115" i="45"/>
  <c r="J110" i="45"/>
  <c r="J105" i="46"/>
  <c r="L105" i="46" s="1"/>
  <c r="S412" i="40"/>
  <c r="AD90" i="12"/>
  <c r="AF90" i="12" s="1"/>
  <c r="AK90" i="12"/>
  <c r="AM90" i="12" s="1"/>
  <c r="AM187" i="12"/>
  <c r="J71" i="12"/>
  <c r="AR62" i="45"/>
  <c r="D122" i="85"/>
  <c r="D100" i="85"/>
  <c r="D115" i="85"/>
  <c r="D110" i="85"/>
  <c r="E122" i="85"/>
  <c r="AM100" i="40"/>
  <c r="BB84" i="40"/>
  <c r="BB86" i="40"/>
  <c r="BB63" i="40"/>
  <c r="BB83" i="40" s="1"/>
  <c r="Z49" i="40"/>
  <c r="AA9" i="40"/>
  <c r="AA41" i="40" s="1"/>
  <c r="AA353" i="40" s="1"/>
  <c r="Z9" i="40"/>
  <c r="Z41" i="40" s="1"/>
  <c r="Z353" i="40" s="1"/>
  <c r="Z36" i="40"/>
  <c r="AR545" i="45"/>
  <c r="Z210" i="12"/>
  <c r="P103" i="45"/>
  <c r="J700" i="46"/>
  <c r="L700" i="46" s="1"/>
  <c r="AQ102" i="45"/>
  <c r="W55" i="12"/>
  <c r="W62" i="12"/>
  <c r="U58" i="12"/>
  <c r="W58" i="12" s="1"/>
  <c r="AB93" i="12"/>
  <c r="CQ233" i="29"/>
  <c r="CI233" i="29"/>
  <c r="AM141" i="12"/>
  <c r="AM148" i="12"/>
  <c r="AM56" i="12"/>
  <c r="AM63" i="12"/>
  <c r="AM68" i="12"/>
  <c r="U303" i="46"/>
  <c r="W303" i="46" s="1"/>
  <c r="N303" i="46"/>
  <c r="P303" i="46" s="1"/>
  <c r="L304" i="46"/>
  <c r="AH14" i="40"/>
  <c r="AI14" i="40"/>
  <c r="DO78" i="28"/>
  <c r="AH345" i="40"/>
  <c r="BK131" i="40"/>
  <c r="BJ132" i="40"/>
  <c r="N69" i="12"/>
  <c r="P69" i="12" s="1"/>
  <c r="U69" i="12"/>
  <c r="W69" i="12" s="1"/>
  <c r="AF20" i="9"/>
  <c r="AF27" i="9"/>
  <c r="L100" i="85"/>
  <c r="L115" i="85"/>
  <c r="L110" i="85"/>
  <c r="AM788" i="46"/>
  <c r="AM795" i="46"/>
  <c r="P380" i="40"/>
  <c r="Q186" i="40"/>
  <c r="P183" i="40"/>
  <c r="AM166" i="12"/>
  <c r="AK170" i="12"/>
  <c r="AM173" i="12"/>
  <c r="O338" i="40"/>
  <c r="G138" i="85"/>
  <c r="H179" i="85" s="1"/>
  <c r="G158" i="85"/>
  <c r="T51" i="20"/>
  <c r="T56" i="20"/>
  <c r="T54" i="20"/>
  <c r="DK82" i="28" s="1"/>
  <c r="J55" i="46"/>
  <c r="L55" i="46" s="1"/>
  <c r="K66" i="45"/>
  <c r="C105" i="85"/>
  <c r="C107" i="85" s="1"/>
  <c r="C116" i="85"/>
  <c r="L21" i="40"/>
  <c r="L48" i="40"/>
  <c r="L33" i="40"/>
  <c r="L34" i="40" s="1"/>
  <c r="M16" i="40"/>
  <c r="M20" i="40" s="1"/>
  <c r="N426" i="40"/>
  <c r="N425" i="40"/>
  <c r="N414" i="40"/>
  <c r="N423" i="40"/>
  <c r="N429" i="40"/>
  <c r="N418" i="40"/>
  <c r="N430" i="40"/>
  <c r="N419" i="40"/>
  <c r="N428" i="40"/>
  <c r="N427" i="40"/>
  <c r="N420" i="40"/>
  <c r="N431" i="40"/>
  <c r="N422" i="40"/>
  <c r="AA358" i="40"/>
  <c r="AA220" i="40"/>
  <c r="AA351" i="40" s="1"/>
  <c r="AF149" i="12"/>
  <c r="AB9" i="20"/>
  <c r="AL41" i="40"/>
  <c r="O38" i="85"/>
  <c r="O125" i="85" s="1"/>
  <c r="DS47" i="28"/>
  <c r="AU146" i="29"/>
  <c r="AY146" i="29"/>
  <c r="AY144" i="29"/>
  <c r="AY155" i="29"/>
  <c r="AU155" i="29"/>
  <c r="AD103" i="12"/>
  <c r="AF103" i="12" s="1"/>
  <c r="W41" i="12"/>
  <c r="W48" i="12"/>
  <c r="AD190" i="46"/>
  <c r="AK58" i="12"/>
  <c r="EP40" i="37"/>
  <c r="EO41" i="37"/>
  <c r="EN64" i="37" s="1"/>
  <c r="EN63" i="37"/>
  <c r="EN82" i="37"/>
  <c r="EN83" i="37" s="1"/>
  <c r="EO81" i="37"/>
  <c r="AM82" i="28"/>
  <c r="AN82" i="28"/>
  <c r="AO82" i="28"/>
  <c r="AL82" i="28"/>
  <c r="V57" i="20"/>
  <c r="V80" i="20"/>
  <c r="V59" i="20"/>
  <c r="V60" i="20" s="1"/>
  <c r="V62" i="20"/>
  <c r="O51" i="85"/>
  <c r="AF89" i="9"/>
  <c r="K235" i="29"/>
  <c r="L83" i="20"/>
  <c r="L84" i="20" s="1"/>
  <c r="L81" i="20"/>
  <c r="AM647" i="46"/>
  <c r="O63" i="20"/>
  <c r="BS144" i="29"/>
  <c r="BO144" i="29"/>
  <c r="Q80" i="20"/>
  <c r="Q59" i="20"/>
  <c r="Q62" i="20"/>
  <c r="Q57" i="20"/>
  <c r="AM145" i="46"/>
  <c r="AK149" i="46"/>
  <c r="AM152" i="46"/>
  <c r="P376" i="40"/>
  <c r="Q68" i="40"/>
  <c r="Q71" i="40" s="1"/>
  <c r="P84" i="40"/>
  <c r="P72" i="40"/>
  <c r="V62" i="9"/>
  <c r="X62" i="9" s="1"/>
  <c r="Z62" i="9" s="1"/>
  <c r="L70" i="12"/>
  <c r="EO34" i="37"/>
  <c r="EM57" i="37"/>
  <c r="J182" i="85"/>
  <c r="J183" i="85" s="1"/>
  <c r="AK205" i="12"/>
  <c r="AJ50" i="28"/>
  <c r="AO50" i="28"/>
  <c r="CQ234" i="29"/>
  <c r="CI234" i="29"/>
  <c r="AF175" i="9"/>
  <c r="AF182" i="9"/>
  <c r="H100" i="85"/>
  <c r="H115" i="85"/>
  <c r="H110" i="85"/>
  <c r="AM168" i="46"/>
  <c r="AM175" i="46"/>
  <c r="BV50" i="28"/>
  <c r="CA50" i="28"/>
  <c r="F421" i="46"/>
  <c r="J84" i="20"/>
  <c r="K84" i="20"/>
  <c r="AA143" i="29"/>
  <c r="W143" i="29"/>
  <c r="BL137" i="40"/>
  <c r="N471" i="46"/>
  <c r="U471" i="46"/>
  <c r="DP43" i="28"/>
  <c r="D166" i="85"/>
  <c r="D179" i="85"/>
  <c r="D142" i="85"/>
  <c r="D155" i="85"/>
  <c r="E179" i="85"/>
  <c r="DE16" i="28"/>
  <c r="N29" i="20"/>
  <c r="I122" i="85"/>
  <c r="I100" i="85"/>
  <c r="I115" i="85"/>
  <c r="I110" i="85"/>
  <c r="I124" i="85" s="1"/>
  <c r="L33" i="85"/>
  <c r="L28" i="85"/>
  <c r="L18" i="85"/>
  <c r="AM182" i="12"/>
  <c r="AM175" i="12"/>
  <c r="AK177" i="12"/>
  <c r="O232" i="29"/>
  <c r="K232" i="29"/>
  <c r="AM597" i="46"/>
  <c r="K234" i="29"/>
  <c r="AM167" i="12"/>
  <c r="AM174" i="12"/>
  <c r="EI75" i="37"/>
  <c r="F17" i="22"/>
  <c r="F35" i="22" s="1"/>
  <c r="F56" i="22" s="1"/>
  <c r="F59" i="22" s="1"/>
  <c r="G79" i="17"/>
  <c r="BA65" i="40"/>
  <c r="BB74" i="40"/>
  <c r="DF41" i="28"/>
  <c r="DF40" i="28"/>
  <c r="DF25" i="28"/>
  <c r="BN139" i="40"/>
  <c r="BN13" i="40"/>
  <c r="AE145" i="29"/>
  <c r="AA145" i="29"/>
  <c r="AM78" i="46"/>
  <c r="AM85" i="46"/>
  <c r="AH200" i="9"/>
  <c r="AK142" i="12"/>
  <c r="AM114" i="12" l="1"/>
  <c r="AM163" i="12"/>
  <c r="DR164" i="29"/>
  <c r="CW28" i="28"/>
  <c r="AN99" i="40"/>
  <c r="AN100" i="40" s="1"/>
  <c r="AN82" i="40"/>
  <c r="I34" i="85"/>
  <c r="U67" i="45"/>
  <c r="J758" i="46"/>
  <c r="L758" i="46" s="1"/>
  <c r="T68" i="45"/>
  <c r="N491" i="45"/>
  <c r="O491" i="45" s="1"/>
  <c r="O309" i="45"/>
  <c r="N310" i="45"/>
  <c r="H81" i="20"/>
  <c r="H83" i="20"/>
  <c r="I84" i="20" s="1"/>
  <c r="AM43" i="12"/>
  <c r="AM50" i="12"/>
  <c r="BL162" i="40"/>
  <c r="BL11" i="40" s="1"/>
  <c r="BL164" i="40"/>
  <c r="W23" i="12"/>
  <c r="W30" i="12"/>
  <c r="BK237" i="40"/>
  <c r="BL249" i="40"/>
  <c r="BL237" i="40" s="1"/>
  <c r="J542" i="46"/>
  <c r="L542" i="46" s="1"/>
  <c r="O71" i="45"/>
  <c r="N72" i="45"/>
  <c r="BJ179" i="40"/>
  <c r="BI165" i="40"/>
  <c r="M5" i="20"/>
  <c r="L142" i="20"/>
  <c r="O131" i="45"/>
  <c r="N132" i="45"/>
  <c r="N125" i="46"/>
  <c r="P125" i="46" s="1"/>
  <c r="U125" i="46"/>
  <c r="W125" i="46" s="1"/>
  <c r="AD51" i="12"/>
  <c r="AF51" i="12" s="1"/>
  <c r="AK44" i="40"/>
  <c r="AT43" i="40"/>
  <c r="AY6" i="17"/>
  <c r="AZ6" i="22"/>
  <c r="AR50" i="28"/>
  <c r="AW50" i="28"/>
  <c r="M51" i="85"/>
  <c r="M72" i="85"/>
  <c r="M163" i="85" s="1"/>
  <c r="M77" i="85"/>
  <c r="AG71" i="45"/>
  <c r="AF72" i="45"/>
  <c r="AG72" i="45" s="1"/>
  <c r="N658" i="46"/>
  <c r="P658" i="46" s="1"/>
  <c r="U658" i="46"/>
  <c r="W658" i="46" s="1"/>
  <c r="AB50" i="28"/>
  <c r="EL58" i="37"/>
  <c r="EM36" i="37"/>
  <c r="EL59" i="37" s="1"/>
  <c r="AC223" i="40"/>
  <c r="N31" i="85"/>
  <c r="N160" i="85" s="1"/>
  <c r="N158" i="85" s="1"/>
  <c r="N14" i="85"/>
  <c r="O40" i="85" s="1"/>
  <c r="O182" i="85" s="1"/>
  <c r="F40" i="85"/>
  <c r="F33" i="85"/>
  <c r="F28" i="85"/>
  <c r="F42" i="85" s="1"/>
  <c r="F18" i="85"/>
  <c r="BM127" i="40"/>
  <c r="BL117" i="40"/>
  <c r="BL138" i="40" s="1"/>
  <c r="BL140" i="40" s="1"/>
  <c r="W42" i="28"/>
  <c r="W27" i="28"/>
  <c r="W50" i="28" s="1"/>
  <c r="AQ82" i="28"/>
  <c r="AS82" i="28"/>
  <c r="AT82" i="28"/>
  <c r="AR82" i="28"/>
  <c r="T107" i="45"/>
  <c r="U104" i="45"/>
  <c r="J801" i="46"/>
  <c r="L801" i="46" s="1"/>
  <c r="U601" i="46"/>
  <c r="W601" i="46" s="1"/>
  <c r="N601" i="46"/>
  <c r="P601" i="46" s="1"/>
  <c r="L539" i="46"/>
  <c r="N539" i="46" s="1"/>
  <c r="P539" i="46" s="1"/>
  <c r="U538" i="46"/>
  <c r="W538" i="46" s="1"/>
  <c r="N538" i="46"/>
  <c r="P538" i="46" s="1"/>
  <c r="M93" i="85"/>
  <c r="M114" i="85"/>
  <c r="M165" i="85" s="1"/>
  <c r="M119" i="85"/>
  <c r="AE74" i="45"/>
  <c r="AD77" i="45"/>
  <c r="U385" i="40"/>
  <c r="U408" i="40" s="1"/>
  <c r="BM86" i="40"/>
  <c r="BM85" i="40"/>
  <c r="BM63" i="40"/>
  <c r="BM83" i="40" s="1"/>
  <c r="BM84" i="40"/>
  <c r="J96" i="85"/>
  <c r="U281" i="46"/>
  <c r="W281" i="46" s="1"/>
  <c r="N281" i="46"/>
  <c r="P281" i="46" s="1"/>
  <c r="L283" i="46"/>
  <c r="N283" i="46" s="1"/>
  <c r="P283" i="46" s="1"/>
  <c r="W68" i="45"/>
  <c r="V71" i="45"/>
  <c r="T382" i="40"/>
  <c r="T405" i="40" s="1"/>
  <c r="D822" i="46"/>
  <c r="S822" i="46" s="1"/>
  <c r="AF822" i="46"/>
  <c r="N125" i="85"/>
  <c r="N83" i="85"/>
  <c r="N84" i="85" s="1"/>
  <c r="N184" i="85" s="1"/>
  <c r="N392" i="46"/>
  <c r="P392" i="46" s="1"/>
  <c r="L392" i="46"/>
  <c r="DQ36" i="28"/>
  <c r="DQ17" i="28"/>
  <c r="P492" i="45"/>
  <c r="Q492" i="45" s="1"/>
  <c r="Q310" i="45"/>
  <c r="P313" i="45"/>
  <c r="T387" i="40"/>
  <c r="AJ71" i="45"/>
  <c r="AJ72" i="45" s="1"/>
  <c r="AJ73" i="45" s="1"/>
  <c r="AJ74" i="45" s="1"/>
  <c r="Z56" i="20"/>
  <c r="Z54" i="20"/>
  <c r="DQ82" i="28" s="1"/>
  <c r="Z51" i="20"/>
  <c r="AM26" i="12"/>
  <c r="AM33" i="12"/>
  <c r="S80" i="20"/>
  <c r="S62" i="20"/>
  <c r="S63" i="20" s="1"/>
  <c r="S57" i="20"/>
  <c r="S59" i="20"/>
  <c r="S60" i="20" s="1"/>
  <c r="AM48" i="12"/>
  <c r="AK51" i="12"/>
  <c r="AM51" i="12" s="1"/>
  <c r="U800" i="46"/>
  <c r="W800" i="46" s="1"/>
  <c r="N800" i="46"/>
  <c r="P800" i="46" s="1"/>
  <c r="BN64" i="40"/>
  <c r="BN74" i="40"/>
  <c r="BN65" i="40" s="1"/>
  <c r="BK11" i="40"/>
  <c r="U239" i="46"/>
  <c r="N239" i="46"/>
  <c r="P239" i="46" s="1"/>
  <c r="AA51" i="20"/>
  <c r="AA54" i="20"/>
  <c r="AA56" i="20"/>
  <c r="AJ50" i="20"/>
  <c r="M31" i="85"/>
  <c r="M160" i="85" s="1"/>
  <c r="M158" i="85" s="1"/>
  <c r="M14" i="85"/>
  <c r="AE197" i="40"/>
  <c r="AF196" i="40"/>
  <c r="AE194" i="40"/>
  <c r="BN11" i="22"/>
  <c r="BQ23" i="17"/>
  <c r="BP11" i="22" s="1"/>
  <c r="AC43" i="89"/>
  <c r="W43" i="89" s="1"/>
  <c r="X43" i="89" s="1"/>
  <c r="J43" i="89"/>
  <c r="F72" i="45"/>
  <c r="G71" i="45"/>
  <c r="DJ32" i="28"/>
  <c r="DK51" i="28" s="1"/>
  <c r="S11" i="82"/>
  <c r="AA11" i="82" s="1"/>
  <c r="DJ21" i="28"/>
  <c r="DJ38" i="28"/>
  <c r="S28" i="82" s="1"/>
  <c r="AA28" i="82" s="1"/>
  <c r="DJ49" i="28"/>
  <c r="S37" i="82" s="1"/>
  <c r="AA37" i="82" s="1"/>
  <c r="O144" i="29"/>
  <c r="J54" i="85"/>
  <c r="J58" i="85" s="1"/>
  <c r="BQ71" i="17"/>
  <c r="BQ70" i="17"/>
  <c r="N77" i="85"/>
  <c r="N72" i="85"/>
  <c r="N163" i="85" s="1"/>
  <c r="N51" i="85"/>
  <c r="BW181" i="29"/>
  <c r="AM30" i="28"/>
  <c r="BV182" i="29"/>
  <c r="D57" i="22"/>
  <c r="D59" i="22"/>
  <c r="I126" i="45"/>
  <c r="J393" i="46"/>
  <c r="H127" i="45"/>
  <c r="H59" i="20"/>
  <c r="I60" i="20" s="1"/>
  <c r="H62" i="20"/>
  <c r="I63" i="20" s="1"/>
  <c r="H57" i="20"/>
  <c r="DR36" i="28"/>
  <c r="DR17" i="28"/>
  <c r="W54" i="20"/>
  <c r="DN82" i="28" s="1"/>
  <c r="W51" i="20"/>
  <c r="W56" i="20"/>
  <c r="V131" i="9"/>
  <c r="X131" i="9" s="1"/>
  <c r="L139" i="12"/>
  <c r="U139" i="12" s="1"/>
  <c r="AR81" i="28"/>
  <c r="EN73" i="37"/>
  <c r="EP50" i="37"/>
  <c r="EQ50" i="37" s="1"/>
  <c r="ER50" i="37" s="1"/>
  <c r="ES50" i="37" s="1"/>
  <c r="O104" i="45"/>
  <c r="N107" i="45"/>
  <c r="Q67" i="45"/>
  <c r="P68" i="45"/>
  <c r="J602" i="46"/>
  <c r="L602" i="46" s="1"/>
  <c r="J659" i="46"/>
  <c r="L659" i="46" s="1"/>
  <c r="BN41" i="22"/>
  <c r="BQ37" i="17"/>
  <c r="BP41" i="22" s="1"/>
  <c r="R287" i="40"/>
  <c r="R298" i="40"/>
  <c r="R299" i="40" s="1"/>
  <c r="R285" i="40"/>
  <c r="S281" i="40"/>
  <c r="S284" i="40" s="1"/>
  <c r="Q286" i="40"/>
  <c r="Q289" i="40"/>
  <c r="Q290" i="40" s="1"/>
  <c r="AD195" i="40"/>
  <c r="AD365" i="40" s="1"/>
  <c r="AD222" i="40"/>
  <c r="AD223" i="40" s="1"/>
  <c r="AE191" i="40"/>
  <c r="AD191" i="40"/>
  <c r="AD192" i="40" s="1"/>
  <c r="M104" i="45"/>
  <c r="J282" i="46"/>
  <c r="L282" i="46" s="1"/>
  <c r="L107" i="45"/>
  <c r="M68" i="45"/>
  <c r="J240" i="46"/>
  <c r="L240" i="46" s="1"/>
  <c r="L71" i="45"/>
  <c r="Z78" i="20"/>
  <c r="AJ77" i="20"/>
  <c r="J128" i="45"/>
  <c r="K127" i="45"/>
  <c r="J126" i="46"/>
  <c r="L126" i="46" s="1"/>
  <c r="AC44" i="89"/>
  <c r="W44" i="89" s="1"/>
  <c r="X44" i="89" s="1"/>
  <c r="J44" i="89"/>
  <c r="AM58" i="12"/>
  <c r="AM170" i="12"/>
  <c r="AD58" i="12"/>
  <c r="AF58" i="12" s="1"/>
  <c r="CT192" i="29"/>
  <c r="CU192" i="29" s="1"/>
  <c r="BS29" i="28"/>
  <c r="CU191" i="29"/>
  <c r="CX188" i="29"/>
  <c r="U757" i="46"/>
  <c r="W757" i="46" s="1"/>
  <c r="N757" i="46"/>
  <c r="P757" i="46" s="1"/>
  <c r="AM42" i="12"/>
  <c r="AK44" i="12"/>
  <c r="AM44" i="12" s="1"/>
  <c r="N119" i="85"/>
  <c r="N114" i="85"/>
  <c r="N165" i="85" s="1"/>
  <c r="N93" i="85"/>
  <c r="M83" i="85"/>
  <c r="M84" i="85" s="1"/>
  <c r="M184" i="85" s="1"/>
  <c r="M125" i="85"/>
  <c r="AC46" i="89"/>
  <c r="W46" i="89" s="1"/>
  <c r="X46" i="89" s="1"/>
  <c r="J46" i="89"/>
  <c r="W121" i="45"/>
  <c r="V122" i="45"/>
  <c r="AQ121" i="45"/>
  <c r="X181" i="45"/>
  <c r="J486" i="46"/>
  <c r="L486" i="46" s="1"/>
  <c r="N486" i="46" s="1"/>
  <c r="J31" i="85"/>
  <c r="J14" i="85"/>
  <c r="AM22" i="12"/>
  <c r="AK23" i="12"/>
  <c r="AM23" i="12" s="1"/>
  <c r="F100" i="85"/>
  <c r="F110" i="85"/>
  <c r="F124" i="85" s="1"/>
  <c r="F115" i="85"/>
  <c r="F122" i="85"/>
  <c r="BJ86" i="40"/>
  <c r="U346" i="40"/>
  <c r="BJ85" i="40"/>
  <c r="BJ63" i="40"/>
  <c r="BJ83" i="40" s="1"/>
  <c r="DS164" i="29"/>
  <c r="AD65" i="20"/>
  <c r="C36" i="99" s="1"/>
  <c r="C38" i="99" s="1"/>
  <c r="H39" i="99" s="1"/>
  <c r="J24" i="99" s="1"/>
  <c r="DS163" i="29"/>
  <c r="AE65" i="20"/>
  <c r="AF65" i="20" s="1"/>
  <c r="AN30" i="40"/>
  <c r="AN46" i="40" s="1"/>
  <c r="AN47" i="40" s="1"/>
  <c r="AO81" i="40"/>
  <c r="AP81" i="40" s="1"/>
  <c r="K552" i="45"/>
  <c r="Z197" i="46"/>
  <c r="AB197" i="46" s="1"/>
  <c r="H551" i="45"/>
  <c r="I369" i="45"/>
  <c r="H370" i="45"/>
  <c r="AQ370" i="45" s="1"/>
  <c r="AR370" i="45" s="1"/>
  <c r="I550" i="45"/>
  <c r="AQ550" i="45"/>
  <c r="Z215" i="12"/>
  <c r="AB207" i="9" s="1"/>
  <c r="AH207" i="9" s="1"/>
  <c r="AR549" i="45"/>
  <c r="AD494" i="46"/>
  <c r="AF494" i="46" s="1"/>
  <c r="X552" i="45"/>
  <c r="Z495" i="46" s="1"/>
  <c r="AB495" i="46" s="1"/>
  <c r="AR18" i="40"/>
  <c r="BS66" i="40"/>
  <c r="EN37" i="37"/>
  <c r="AD191" i="46"/>
  <c r="AM367" i="46"/>
  <c r="AD374" i="46"/>
  <c r="AD381" i="46"/>
  <c r="AD209" i="12"/>
  <c r="AM72" i="12"/>
  <c r="EN74" i="37"/>
  <c r="EO52" i="37"/>
  <c r="EM60" i="37"/>
  <c r="EQ95" i="37"/>
  <c r="EP97" i="37"/>
  <c r="EP98" i="37" s="1"/>
  <c r="ER26" i="37"/>
  <c r="EQ28" i="37"/>
  <c r="EQ29" i="37" s="1"/>
  <c r="EQ49" i="37"/>
  <c r="EP51" i="37"/>
  <c r="EP52" i="37" s="1"/>
  <c r="AG50" i="28"/>
  <c r="AC13" i="17"/>
  <c r="AC28" i="17" s="1"/>
  <c r="DD42" i="28"/>
  <c r="DD27" i="28"/>
  <c r="DD50" i="28" s="1"/>
  <c r="BO21" i="17"/>
  <c r="BQ21" i="17" s="1"/>
  <c r="I374" i="40"/>
  <c r="I315" i="40"/>
  <c r="J5" i="40"/>
  <c r="AF201" i="9"/>
  <c r="AG199" i="40"/>
  <c r="AH198" i="40"/>
  <c r="BC115" i="40"/>
  <c r="BC139" i="40"/>
  <c r="BC138" i="40"/>
  <c r="AD198" i="12"/>
  <c r="P148" i="40"/>
  <c r="P133" i="40"/>
  <c r="S184" i="40"/>
  <c r="R378" i="40"/>
  <c r="R401" i="40" s="1"/>
  <c r="R205" i="40"/>
  <c r="R116" i="40"/>
  <c r="R119" i="40" s="1"/>
  <c r="Q377" i="40"/>
  <c r="Q400" i="40" s="1"/>
  <c r="Q132" i="40"/>
  <c r="Q120" i="40"/>
  <c r="P121" i="40"/>
  <c r="P123" i="40"/>
  <c r="P124" i="40" s="1"/>
  <c r="R379" i="40"/>
  <c r="R402" i="40" s="1"/>
  <c r="S185" i="40"/>
  <c r="R206" i="40"/>
  <c r="AM177" i="46"/>
  <c r="AF270" i="40"/>
  <c r="AH265" i="40"/>
  <c r="AH266" i="40" s="1"/>
  <c r="AH250" i="40"/>
  <c r="AH247" i="40" s="1"/>
  <c r="AH248" i="40" s="1"/>
  <c r="AG251" i="40"/>
  <c r="AG366" i="40" s="1"/>
  <c r="AG269" i="40"/>
  <c r="AG270" i="40" s="1"/>
  <c r="EL29" i="37"/>
  <c r="EL37" i="37"/>
  <c r="BC240" i="40"/>
  <c r="BD235" i="40" s="1"/>
  <c r="BD243" i="40" s="1"/>
  <c r="T37" i="98"/>
  <c r="T39" i="98" s="1"/>
  <c r="T35" i="98"/>
  <c r="U29" i="98"/>
  <c r="U30" i="98" s="1"/>
  <c r="EM50" i="37"/>
  <c r="EL50" i="37"/>
  <c r="EL73" i="37" s="1"/>
  <c r="EM28" i="37"/>
  <c r="EK60" i="37"/>
  <c r="AB333" i="40"/>
  <c r="AT317" i="40"/>
  <c r="AA322" i="40"/>
  <c r="AA325" i="40" s="1"/>
  <c r="Q108" i="20"/>
  <c r="Q118" i="20" s="1"/>
  <c r="EK47" i="37"/>
  <c r="EL49" i="37"/>
  <c r="EM49" i="37"/>
  <c r="AA345" i="40"/>
  <c r="AT345" i="40" s="1"/>
  <c r="DH78" i="28"/>
  <c r="EK72" i="37"/>
  <c r="EK75" i="37" s="1"/>
  <c r="CN75" i="37" s="1"/>
  <c r="EK52" i="37"/>
  <c r="EK70" i="37"/>
  <c r="BC246" i="40"/>
  <c r="AM177" i="12"/>
  <c r="EN44" i="37"/>
  <c r="EO21" i="37"/>
  <c r="EP21" i="37" s="1"/>
  <c r="EQ21" i="37" s="1"/>
  <c r="BK22" i="17"/>
  <c r="BM22" i="17" s="1"/>
  <c r="BO22" i="17" s="1"/>
  <c r="BQ22" i="17" s="1"/>
  <c r="BG38" i="17"/>
  <c r="Q63" i="20"/>
  <c r="Q60" i="20"/>
  <c r="X50" i="28"/>
  <c r="H50" i="28"/>
  <c r="CY42" i="28"/>
  <c r="CY27" i="28"/>
  <c r="CZ50" i="28" s="1"/>
  <c r="EM24" i="37"/>
  <c r="EL46" i="37"/>
  <c r="EL69" i="37" s="1"/>
  <c r="EL70" i="37" s="1"/>
  <c r="EM46" i="37"/>
  <c r="EM47" i="37" s="1"/>
  <c r="EN45" i="37"/>
  <c r="EO22" i="37"/>
  <c r="EN23" i="37"/>
  <c r="EN46" i="37" s="1"/>
  <c r="EM69" i="37" s="1"/>
  <c r="AB346" i="40"/>
  <c r="X329" i="40"/>
  <c r="X338" i="40"/>
  <c r="X328" i="40"/>
  <c r="X330" i="40"/>
  <c r="X326" i="40"/>
  <c r="X325" i="40"/>
  <c r="X327" i="40"/>
  <c r="I41" i="85"/>
  <c r="Y50" i="28"/>
  <c r="AD50" i="28"/>
  <c r="DC50" i="28"/>
  <c r="AO126" i="40"/>
  <c r="AO127" i="40" s="1"/>
  <c r="AO146" i="40"/>
  <c r="AO130" i="40"/>
  <c r="AP129" i="40"/>
  <c r="AN147" i="40"/>
  <c r="P152" i="85"/>
  <c r="P150" i="85" s="1"/>
  <c r="DU28" i="28"/>
  <c r="CM50" i="28"/>
  <c r="C38" i="82" s="1"/>
  <c r="C22" i="82"/>
  <c r="O126" i="85"/>
  <c r="O186" i="85" s="1"/>
  <c r="O185" i="85"/>
  <c r="O183" i="85" s="1"/>
  <c r="L34" i="85"/>
  <c r="L23" i="85"/>
  <c r="L25" i="85" s="1"/>
  <c r="F424" i="46"/>
  <c r="H424" i="46" s="1"/>
  <c r="H421" i="46"/>
  <c r="P85" i="40"/>
  <c r="P101" i="40"/>
  <c r="N424" i="40"/>
  <c r="N432" i="40" s="1"/>
  <c r="DG78" i="28"/>
  <c r="Z345" i="40"/>
  <c r="K110" i="45"/>
  <c r="K116" i="45"/>
  <c r="J106" i="46"/>
  <c r="L106" i="46" s="1"/>
  <c r="L107" i="46" s="1"/>
  <c r="N107" i="46" s="1"/>
  <c r="P107" i="46" s="1"/>
  <c r="J113" i="45"/>
  <c r="AM142" i="12"/>
  <c r="AM149" i="12"/>
  <c r="W471" i="46"/>
  <c r="P391" i="40"/>
  <c r="P417" i="40" s="1"/>
  <c r="P399" i="40"/>
  <c r="M33" i="40"/>
  <c r="M34" i="40" s="1"/>
  <c r="N16" i="40"/>
  <c r="N20" i="40" s="1"/>
  <c r="M21" i="40"/>
  <c r="M48" i="40"/>
  <c r="T57" i="20"/>
  <c r="T62" i="20"/>
  <c r="T59" i="20"/>
  <c r="L116" i="85"/>
  <c r="L105" i="85"/>
  <c r="L107" i="85" s="1"/>
  <c r="AD93" i="12"/>
  <c r="AF93" i="12" s="1"/>
  <c r="N700" i="46"/>
  <c r="P700" i="46" s="1"/>
  <c r="U700" i="46"/>
  <c r="W700" i="46" s="1"/>
  <c r="AZ18" i="40"/>
  <c r="AZ20" i="40" s="1"/>
  <c r="AZ14" i="40"/>
  <c r="DK40" i="28"/>
  <c r="DK41" i="28"/>
  <c r="DK25" i="28"/>
  <c r="AM105" i="12"/>
  <c r="AM98" i="12"/>
  <c r="DO46" i="28"/>
  <c r="DO13" i="28"/>
  <c r="DO39" i="28"/>
  <c r="DO37" i="28"/>
  <c r="DP46" i="28"/>
  <c r="F339" i="46"/>
  <c r="DT53" i="37" s="1"/>
  <c r="H336" i="46"/>
  <c r="AF336" i="46" s="1"/>
  <c r="Q404" i="40"/>
  <c r="H147" i="85"/>
  <c r="H149" i="85" s="1"/>
  <c r="H167" i="85"/>
  <c r="EO91" i="37"/>
  <c r="EN92" i="37"/>
  <c r="EN93" i="37" s="1"/>
  <c r="BJ40" i="29"/>
  <c r="BJ42" i="29"/>
  <c r="BK44" i="29"/>
  <c r="BJ43" i="29"/>
  <c r="BJ41" i="29"/>
  <c r="BL44" i="29"/>
  <c r="L17" i="22"/>
  <c r="L35" i="22" s="1"/>
  <c r="L56" i="22" s="1"/>
  <c r="L59" i="22" s="1"/>
  <c r="M79" i="17"/>
  <c r="BG43" i="29"/>
  <c r="Z16" i="28" s="1"/>
  <c r="G115" i="85"/>
  <c r="G100" i="85"/>
  <c r="G122" i="85"/>
  <c r="G110" i="85"/>
  <c r="G124" i="85" s="1"/>
  <c r="E63" i="20"/>
  <c r="AK79" i="17"/>
  <c r="AJ17" i="22"/>
  <c r="AJ35" i="22" s="1"/>
  <c r="EP35" i="37"/>
  <c r="EN58" i="37"/>
  <c r="EO36" i="37"/>
  <c r="EN59" i="37" s="1"/>
  <c r="EQ39" i="37"/>
  <c r="AF187" i="9"/>
  <c r="AF180" i="9"/>
  <c r="P108" i="20"/>
  <c r="I82" i="85"/>
  <c r="AM28" i="40"/>
  <c r="AT17" i="22"/>
  <c r="AT35" i="22" s="1"/>
  <c r="AT56" i="22" s="1"/>
  <c r="AT59" i="22" s="1"/>
  <c r="AU79" i="17"/>
  <c r="N472" i="46"/>
  <c r="N479" i="46"/>
  <c r="U472" i="46"/>
  <c r="BM137" i="40"/>
  <c r="BM11" i="40"/>
  <c r="AR546" i="45"/>
  <c r="Z211" i="12"/>
  <c r="AM71" i="12"/>
  <c r="AM78" i="12"/>
  <c r="DK30" i="28"/>
  <c r="U73" i="20"/>
  <c r="K67" i="45"/>
  <c r="J56" i="46"/>
  <c r="L56" i="46" s="1"/>
  <c r="G33" i="85"/>
  <c r="G28" i="85"/>
  <c r="G18" i="85"/>
  <c r="G40" i="85"/>
  <c r="H40" i="85"/>
  <c r="B240" i="45"/>
  <c r="B422" i="45" s="1"/>
  <c r="AU58" i="45"/>
  <c r="D63" i="85"/>
  <c r="D65" i="85" s="1"/>
  <c r="D74" i="85"/>
  <c r="AD100" i="12"/>
  <c r="AF100" i="12" s="1"/>
  <c r="BA17" i="40"/>
  <c r="AJ200" i="9"/>
  <c r="P200" i="9"/>
  <c r="J200" i="9"/>
  <c r="N200" i="9"/>
  <c r="D181" i="85"/>
  <c r="E181" i="85"/>
  <c r="P73" i="40"/>
  <c r="P75" i="40"/>
  <c r="P76" i="40" s="1"/>
  <c r="Q83" i="20"/>
  <c r="R84" i="20" s="1"/>
  <c r="Q81" i="20"/>
  <c r="AH8" i="22"/>
  <c r="O54" i="85"/>
  <c r="O71" i="85"/>
  <c r="O159" i="85" s="1"/>
  <c r="V83" i="20"/>
  <c r="V84" i="20" s="1"/>
  <c r="V81" i="20"/>
  <c r="EP81" i="37"/>
  <c r="EO82" i="37"/>
  <c r="EO83" i="37" s="1"/>
  <c r="EQ40" i="37"/>
  <c r="EP41" i="37"/>
  <c r="EP42" i="37" s="1"/>
  <c r="N55" i="46"/>
  <c r="P55" i="46" s="1"/>
  <c r="U55" i="46"/>
  <c r="W55" i="46" s="1"/>
  <c r="P224" i="40"/>
  <c r="P203" i="40"/>
  <c r="P204" i="40" s="1"/>
  <c r="P104" i="45"/>
  <c r="J701" i="46"/>
  <c r="L701" i="46" s="1"/>
  <c r="AQ103" i="45"/>
  <c r="AB202" i="9"/>
  <c r="AD202" i="9" s="1"/>
  <c r="AB210" i="12"/>
  <c r="D124" i="85"/>
  <c r="E124" i="85"/>
  <c r="N105" i="46"/>
  <c r="P105" i="46" s="1"/>
  <c r="U105" i="46"/>
  <c r="BP118" i="40"/>
  <c r="BP13" i="40" s="1"/>
  <c r="DK43" i="28"/>
  <c r="X98" i="20"/>
  <c r="AW70" i="17"/>
  <c r="X50" i="20"/>
  <c r="X77" i="20"/>
  <c r="X78" i="20" s="1"/>
  <c r="X144" i="20"/>
  <c r="X145" i="20" s="1"/>
  <c r="AH43" i="40"/>
  <c r="AH44" i="40" s="1"/>
  <c r="X38" i="20"/>
  <c r="AW71" i="17"/>
  <c r="J100" i="85"/>
  <c r="J115" i="85"/>
  <c r="J110" i="85"/>
  <c r="J124" i="85" s="1"/>
  <c r="J122" i="85"/>
  <c r="J142" i="85"/>
  <c r="J179" i="85"/>
  <c r="J155" i="85"/>
  <c r="J181" i="85" s="1"/>
  <c r="J166" i="85"/>
  <c r="DM27" i="28"/>
  <c r="AS57" i="28"/>
  <c r="DM42" i="28"/>
  <c r="O429" i="40"/>
  <c r="O431" i="40"/>
  <c r="O428" i="40"/>
  <c r="O420" i="40"/>
  <c r="O414" i="40"/>
  <c r="O426" i="40"/>
  <c r="O425" i="40"/>
  <c r="O427" i="40"/>
  <c r="O419" i="40"/>
  <c r="O418" i="40"/>
  <c r="O430" i="40"/>
  <c r="O423" i="40"/>
  <c r="O422" i="40"/>
  <c r="U113" i="12"/>
  <c r="W113" i="12" s="1"/>
  <c r="N113" i="12"/>
  <c r="P113" i="12" s="1"/>
  <c r="L114" i="12"/>
  <c r="AM65" i="12"/>
  <c r="O83" i="85"/>
  <c r="O84" i="85" s="1"/>
  <c r="O184" i="85" s="1"/>
  <c r="R253" i="40"/>
  <c r="R254" i="40" s="1"/>
  <c r="S237" i="40"/>
  <c r="S240" i="40" s="1"/>
  <c r="R271" i="40"/>
  <c r="R241" i="40"/>
  <c r="R381" i="40"/>
  <c r="AF79" i="12"/>
  <c r="AJ200" i="40"/>
  <c r="AI201" i="40"/>
  <c r="AF184" i="12"/>
  <c r="AD30" i="12"/>
  <c r="AF30" i="12" s="1"/>
  <c r="AD37" i="12"/>
  <c r="AF37" i="12" s="1"/>
  <c r="EP80" i="37"/>
  <c r="DG42" i="28"/>
  <c r="AI57" i="28"/>
  <c r="DG27" i="28"/>
  <c r="AB57" i="20"/>
  <c r="AB62" i="20"/>
  <c r="AB59" i="20"/>
  <c r="AB80" i="20"/>
  <c r="BD8" i="22" s="1"/>
  <c r="AM184" i="12"/>
  <c r="Y329" i="40"/>
  <c r="Y330" i="40"/>
  <c r="Y326" i="40"/>
  <c r="Y327" i="40"/>
  <c r="Y328" i="40"/>
  <c r="Y338" i="40"/>
  <c r="DL51" i="28"/>
  <c r="C62" i="20"/>
  <c r="C63" i="20" s="1"/>
  <c r="C57" i="20"/>
  <c r="C59" i="20"/>
  <c r="C60" i="20" s="1"/>
  <c r="O60" i="85"/>
  <c r="O102" i="85"/>
  <c r="D42" i="85"/>
  <c r="E42" i="85"/>
  <c r="BB168" i="40"/>
  <c r="BB169" i="40"/>
  <c r="BB170" i="40"/>
  <c r="BB161" i="40"/>
  <c r="BB9" i="40" s="1"/>
  <c r="BG41" i="29"/>
  <c r="X16" i="28" s="1"/>
  <c r="E60" i="20"/>
  <c r="DN25" i="28"/>
  <c r="DN40" i="28"/>
  <c r="DN41" i="28"/>
  <c r="AB67" i="45"/>
  <c r="AC66" i="45"/>
  <c r="I74" i="85"/>
  <c r="I63" i="85"/>
  <c r="I65" i="85" s="1"/>
  <c r="AH67" i="45"/>
  <c r="AI66" i="45"/>
  <c r="P81" i="20"/>
  <c r="AF8" i="22"/>
  <c r="P83" i="20"/>
  <c r="P84" i="20" s="1"/>
  <c r="Y83" i="20"/>
  <c r="Y81" i="20"/>
  <c r="AX8" i="22"/>
  <c r="BN116" i="40"/>
  <c r="DH42" i="28"/>
  <c r="AJ57" i="28"/>
  <c r="DH27" i="28"/>
  <c r="O18" i="85"/>
  <c r="O23" i="85" s="1"/>
  <c r="O25" i="85" s="1"/>
  <c r="O33" i="85"/>
  <c r="O28" i="85"/>
  <c r="I147" i="85"/>
  <c r="I149" i="85" s="1"/>
  <c r="I167" i="85"/>
  <c r="EG10" i="37"/>
  <c r="EF33" i="37"/>
  <c r="EE126" i="37" s="1"/>
  <c r="EE195" i="37" s="1"/>
  <c r="AF177" i="12"/>
  <c r="D82" i="85"/>
  <c r="E82" i="85"/>
  <c r="L127" i="45"/>
  <c r="J308" i="46"/>
  <c r="L308" i="46" s="1"/>
  <c r="M126" i="45"/>
  <c r="DN29" i="28"/>
  <c r="X74" i="20"/>
  <c r="X12" i="20"/>
  <c r="K47" i="85"/>
  <c r="K89" i="85"/>
  <c r="L37" i="85"/>
  <c r="K37" i="85"/>
  <c r="K11" i="85"/>
  <c r="K131" i="85"/>
  <c r="K32" i="85"/>
  <c r="DP42" i="28"/>
  <c r="CH57" i="28"/>
  <c r="DP27" i="28"/>
  <c r="BP44" i="29"/>
  <c r="BN42" i="29"/>
  <c r="BN43" i="29"/>
  <c r="BN41" i="29"/>
  <c r="BN40" i="29"/>
  <c r="BO44" i="29"/>
  <c r="BT44" i="29"/>
  <c r="R121" i="20"/>
  <c r="Q242" i="40"/>
  <c r="Q244" i="40"/>
  <c r="Q245" i="40" s="1"/>
  <c r="AF72" i="12"/>
  <c r="AF78" i="12"/>
  <c r="G58" i="85"/>
  <c r="G73" i="85"/>
  <c r="G80" i="85"/>
  <c r="G68" i="85"/>
  <c r="G82" i="85" s="1"/>
  <c r="R60" i="20"/>
  <c r="AK30" i="12"/>
  <c r="AM28" i="12"/>
  <c r="AM35" i="12"/>
  <c r="DA42" i="28"/>
  <c r="DA27" i="28"/>
  <c r="N346" i="40"/>
  <c r="G63" i="20"/>
  <c r="H63" i="20"/>
  <c r="M84" i="20"/>
  <c r="AA144" i="29"/>
  <c r="W144" i="29"/>
  <c r="O96" i="85"/>
  <c r="O113" i="85"/>
  <c r="O161" i="85" s="1"/>
  <c r="AM196" i="9"/>
  <c r="J197" i="9"/>
  <c r="R196" i="9"/>
  <c r="U304" i="46"/>
  <c r="AM121" i="12"/>
  <c r="AF71" i="12"/>
  <c r="D23" i="85"/>
  <c r="D25" i="85" s="1"/>
  <c r="D34" i="85"/>
  <c r="BG42" i="29"/>
  <c r="Y16" i="28" s="1"/>
  <c r="AA233" i="29"/>
  <c r="W233" i="29"/>
  <c r="AM29" i="12"/>
  <c r="AM36" i="12"/>
  <c r="EO42" i="37"/>
  <c r="Q180" i="40"/>
  <c r="R162" i="40"/>
  <c r="R179" i="40" s="1"/>
  <c r="AB81" i="28"/>
  <c r="V109" i="9"/>
  <c r="X109" i="9" s="1"/>
  <c r="Z109" i="9" s="1"/>
  <c r="L117" i="12"/>
  <c r="Z333" i="40"/>
  <c r="AA333" i="40"/>
  <c r="Z322" i="40"/>
  <c r="Z325" i="40" s="1"/>
  <c r="W54" i="46"/>
  <c r="O233" i="29"/>
  <c r="K233" i="29"/>
  <c r="AM97" i="12"/>
  <c r="DL42" i="28"/>
  <c r="DL27" i="28"/>
  <c r="E84" i="20"/>
  <c r="AH201" i="9"/>
  <c r="O60" i="20"/>
  <c r="BG66" i="17"/>
  <c r="BF53" i="22"/>
  <c r="BC162" i="40"/>
  <c r="BC11" i="40" s="1"/>
  <c r="BD176" i="40"/>
  <c r="BI238" i="40"/>
  <c r="BI12" i="40" s="1"/>
  <c r="BJ250" i="40"/>
  <c r="BI239" i="40"/>
  <c r="BI13" i="40" s="1"/>
  <c r="J68" i="45"/>
  <c r="D71" i="45"/>
  <c r="E68" i="45"/>
  <c r="R63" i="20"/>
  <c r="DF27" i="28"/>
  <c r="DF42" i="28"/>
  <c r="AH57" i="28"/>
  <c r="BC74" i="40"/>
  <c r="BC65" i="40" s="1"/>
  <c r="BB65" i="40"/>
  <c r="D147" i="85"/>
  <c r="D149" i="85" s="1"/>
  <c r="D167" i="85"/>
  <c r="O176" i="85"/>
  <c r="O174" i="85" s="1"/>
  <c r="O120" i="85"/>
  <c r="O177" i="85" s="1"/>
  <c r="O78" i="85"/>
  <c r="O175" i="85" s="1"/>
  <c r="Q380" i="40"/>
  <c r="R186" i="40"/>
  <c r="Q183" i="40"/>
  <c r="L71" i="12"/>
  <c r="V63" i="9"/>
  <c r="X63" i="9" s="1"/>
  <c r="Z63" i="9" s="1"/>
  <c r="BA12" i="40"/>
  <c r="BA18" i="40" s="1"/>
  <c r="BA85" i="40"/>
  <c r="BA87" i="40" s="1"/>
  <c r="BA67" i="40"/>
  <c r="I105" i="85"/>
  <c r="I107" i="85" s="1"/>
  <c r="I116" i="85"/>
  <c r="H105" i="85"/>
  <c r="H107" i="85" s="1"/>
  <c r="H116" i="85"/>
  <c r="EP34" i="37"/>
  <c r="EN57" i="37"/>
  <c r="N70" i="12"/>
  <c r="P70" i="12" s="1"/>
  <c r="U70" i="12"/>
  <c r="W70" i="12" s="1"/>
  <c r="L72" i="12"/>
  <c r="R68" i="40"/>
  <c r="R71" i="40" s="1"/>
  <c r="Q376" i="40"/>
  <c r="Q72" i="40"/>
  <c r="Q84" i="40"/>
  <c r="AM149" i="46"/>
  <c r="AM156" i="46"/>
  <c r="V63" i="20"/>
  <c r="L22" i="40"/>
  <c r="L24" i="40"/>
  <c r="L25" i="40" s="1"/>
  <c r="J76" i="12"/>
  <c r="AR66" i="45"/>
  <c r="AV82" i="28"/>
  <c r="AY82" i="28"/>
  <c r="AX82" i="28"/>
  <c r="AW82" i="28"/>
  <c r="G142" i="85"/>
  <c r="G179" i="85"/>
  <c r="G166" i="85"/>
  <c r="G155" i="85"/>
  <c r="G181" i="85" s="1"/>
  <c r="BK132" i="40"/>
  <c r="BL131" i="40"/>
  <c r="AR102" i="45"/>
  <c r="J118" i="12"/>
  <c r="W65" i="12"/>
  <c r="Z37" i="40"/>
  <c r="AA37" i="40"/>
  <c r="D105" i="85"/>
  <c r="D107" i="85" s="1"/>
  <c r="D116" i="85"/>
  <c r="AR65" i="45"/>
  <c r="J75" i="12"/>
  <c r="AW81" i="17"/>
  <c r="AW82" i="17"/>
  <c r="AM99" i="12"/>
  <c r="AM106" i="12"/>
  <c r="AE87" i="17"/>
  <c r="U84" i="20"/>
  <c r="R496" i="45"/>
  <c r="R315" i="45"/>
  <c r="S314" i="45"/>
  <c r="AA314" i="45"/>
  <c r="W699" i="46"/>
  <c r="L147" i="85"/>
  <c r="L149" i="85" s="1"/>
  <c r="L167" i="85"/>
  <c r="AM79" i="12"/>
  <c r="G60" i="20"/>
  <c r="AM79" i="46"/>
  <c r="AM86" i="46"/>
  <c r="DS38" i="28"/>
  <c r="DS32" i="28"/>
  <c r="DS21" i="28"/>
  <c r="DS49" i="28"/>
  <c r="H63" i="85"/>
  <c r="H65" i="85" s="1"/>
  <c r="H74" i="85"/>
  <c r="AF86" i="12"/>
  <c r="BF46" i="29"/>
  <c r="BG46" i="29" s="1"/>
  <c r="BF45" i="29"/>
  <c r="BG45" i="29" s="1"/>
  <c r="BG40" i="29"/>
  <c r="W16" i="28" s="1"/>
  <c r="F83" i="20"/>
  <c r="F84" i="20" s="1"/>
  <c r="F81" i="20"/>
  <c r="EN65" i="37"/>
  <c r="CZ65" i="37" s="1"/>
  <c r="DN43" i="28"/>
  <c r="DN51" i="28"/>
  <c r="P181" i="40"/>
  <c r="P188" i="40"/>
  <c r="P189" i="40" s="1"/>
  <c r="DT69" i="28"/>
  <c r="AM47" i="40"/>
  <c r="C83" i="20"/>
  <c r="C84" i="20" s="1"/>
  <c r="C81" i="20"/>
  <c r="J473" i="46"/>
  <c r="L473" i="46" s="1"/>
  <c r="X170" i="45"/>
  <c r="J474" i="46" s="1"/>
  <c r="AE68" i="20"/>
  <c r="L74" i="85"/>
  <c r="L63" i="85"/>
  <c r="L65" i="85" s="1"/>
  <c r="I181" i="85"/>
  <c r="EP87" i="37"/>
  <c r="EP88" i="37" s="1"/>
  <c r="J73" i="85"/>
  <c r="AG57" i="28"/>
  <c r="DE27" i="28"/>
  <c r="DE42" i="28"/>
  <c r="O421" i="40"/>
  <c r="B51" i="47"/>
  <c r="B81" i="12"/>
  <c r="B64" i="45"/>
  <c r="AK100" i="12"/>
  <c r="AM96" i="12"/>
  <c r="AM103" i="12"/>
  <c r="N307" i="46"/>
  <c r="P307" i="46" s="1"/>
  <c r="U307" i="46"/>
  <c r="AK93" i="12"/>
  <c r="AM93" i="12" s="1"/>
  <c r="W44" i="12"/>
  <c r="W51" i="12"/>
  <c r="U539" i="46" l="1"/>
  <c r="W539" i="46" s="1"/>
  <c r="BM87" i="40"/>
  <c r="EN75" i="37"/>
  <c r="CZ75" i="37" s="1"/>
  <c r="D24" i="99"/>
  <c r="AN30" i="28"/>
  <c r="BV183" i="29"/>
  <c r="BW182" i="29"/>
  <c r="AE192" i="40"/>
  <c r="AT191" i="40"/>
  <c r="AE195" i="40"/>
  <c r="AE365" i="40" s="1"/>
  <c r="AE222" i="40"/>
  <c r="AT194" i="40"/>
  <c r="P314" i="45"/>
  <c r="P495" i="45"/>
  <c r="Q495" i="45" s="1"/>
  <c r="Q313" i="45"/>
  <c r="H84" i="20"/>
  <c r="I24" i="99"/>
  <c r="AG196" i="40"/>
  <c r="AF197" i="40"/>
  <c r="AF194" i="40"/>
  <c r="N313" i="45"/>
  <c r="O310" i="45"/>
  <c r="N492" i="45"/>
  <c r="O492" i="45" s="1"/>
  <c r="E24" i="99"/>
  <c r="N240" i="46"/>
  <c r="P240" i="46" s="1"/>
  <c r="U240" i="46"/>
  <c r="W240" i="46" s="1"/>
  <c r="L241" i="46"/>
  <c r="N241" i="46" s="1"/>
  <c r="P241" i="46" s="1"/>
  <c r="N54" i="85"/>
  <c r="N71" i="85"/>
  <c r="N159" i="85" s="1"/>
  <c r="G72" i="45"/>
  <c r="F73" i="45"/>
  <c r="U822" i="46"/>
  <c r="W822" i="46" s="1"/>
  <c r="AO153" i="47"/>
  <c r="BO153" i="47" s="1"/>
  <c r="AO125" i="47"/>
  <c r="AI822" i="46"/>
  <c r="AK822" i="46" s="1"/>
  <c r="AM822" i="46" s="1"/>
  <c r="G24" i="99"/>
  <c r="F105" i="85"/>
  <c r="F107" i="85" s="1"/>
  <c r="F123" i="85" s="1"/>
  <c r="F116" i="85"/>
  <c r="AC382" i="40"/>
  <c r="W122" i="45"/>
  <c r="V125" i="45"/>
  <c r="AQ122" i="45"/>
  <c r="N659" i="46"/>
  <c r="P659" i="46" s="1"/>
  <c r="U659" i="46"/>
  <c r="W659" i="46" s="1"/>
  <c r="DR32" i="28"/>
  <c r="DR21" i="28"/>
  <c r="DR49" i="28"/>
  <c r="DR38" i="28"/>
  <c r="N393" i="46"/>
  <c r="P393" i="46" s="1"/>
  <c r="L393" i="46"/>
  <c r="U393" i="46" s="1"/>
  <c r="M18" i="85"/>
  <c r="M28" i="85"/>
  <c r="M42" i="85" s="1"/>
  <c r="M33" i="85"/>
  <c r="M40" i="85"/>
  <c r="M182" i="85" s="1"/>
  <c r="W239" i="46"/>
  <c r="DQ32" i="28"/>
  <c r="DQ49" i="28"/>
  <c r="DQ38" i="28"/>
  <c r="DQ21" i="28"/>
  <c r="AE77" i="45"/>
  <c r="AD78" i="45"/>
  <c r="BN127" i="40"/>
  <c r="BM117" i="40"/>
  <c r="DJ43" i="28"/>
  <c r="DJ51" i="28"/>
  <c r="J805" i="46"/>
  <c r="L805" i="46" s="1"/>
  <c r="T108" i="45"/>
  <c r="U107" i="45"/>
  <c r="Q26" i="85"/>
  <c r="Q66" i="85" s="1"/>
  <c r="H24" i="99"/>
  <c r="CY188" i="29"/>
  <c r="CX189" i="29"/>
  <c r="N126" i="85"/>
  <c r="N186" i="85" s="1"/>
  <c r="N185" i="85"/>
  <c r="N183" i="85" s="1"/>
  <c r="N173" i="85" s="1"/>
  <c r="N18" i="85"/>
  <c r="N40" i="85"/>
  <c r="N182" i="85" s="1"/>
  <c r="N28" i="85"/>
  <c r="O42" i="85" s="1"/>
  <c r="N33" i="85"/>
  <c r="H60" i="20"/>
  <c r="J140" i="12"/>
  <c r="AR121" i="45"/>
  <c r="H128" i="45"/>
  <c r="I127" i="45"/>
  <c r="J394" i="46"/>
  <c r="J68" i="85"/>
  <c r="J82" i="85" s="1"/>
  <c r="C24" i="99"/>
  <c r="BJ87" i="40"/>
  <c r="N126" i="46"/>
  <c r="P126" i="46" s="1"/>
  <c r="U126" i="46"/>
  <c r="L108" i="45"/>
  <c r="J286" i="46"/>
  <c r="L286" i="46" s="1"/>
  <c r="M107" i="45"/>
  <c r="U602" i="46"/>
  <c r="N602" i="46"/>
  <c r="P602" i="46" s="1"/>
  <c r="F23" i="85"/>
  <c r="F25" i="85" s="1"/>
  <c r="F41" i="85" s="1"/>
  <c r="F34" i="85"/>
  <c r="EM37" i="37"/>
  <c r="J759" i="46"/>
  <c r="L759" i="46" s="1"/>
  <c r="U68" i="45"/>
  <c r="T71" i="45"/>
  <c r="BK179" i="40"/>
  <c r="BJ165" i="40"/>
  <c r="W57" i="20"/>
  <c r="W62" i="20"/>
  <c r="W63" i="20" s="1"/>
  <c r="W59" i="20"/>
  <c r="W60" i="20" s="1"/>
  <c r="O72" i="45"/>
  <c r="N73" i="45"/>
  <c r="J543" i="46"/>
  <c r="L543" i="46" s="1"/>
  <c r="X182" i="45"/>
  <c r="J487" i="46"/>
  <c r="L487" i="46" s="1"/>
  <c r="M71" i="45"/>
  <c r="L72" i="45"/>
  <c r="J244" i="46"/>
  <c r="L244" i="46" s="1"/>
  <c r="O132" i="45"/>
  <c r="N133" i="45"/>
  <c r="F24" i="99"/>
  <c r="N282" i="46"/>
  <c r="P282" i="46" s="1"/>
  <c r="U282" i="46"/>
  <c r="W282" i="46" s="1"/>
  <c r="S285" i="40"/>
  <c r="S298" i="40"/>
  <c r="S299" i="40" s="1"/>
  <c r="S287" i="40"/>
  <c r="T281" i="40"/>
  <c r="T284" i="40" s="1"/>
  <c r="J603" i="46"/>
  <c r="L603" i="46" s="1"/>
  <c r="J660" i="46"/>
  <c r="L660" i="46" s="1"/>
  <c r="Q68" i="45"/>
  <c r="P71" i="45"/>
  <c r="S16" i="82"/>
  <c r="AA16" i="82" s="1"/>
  <c r="DJ25" i="28"/>
  <c r="DJ40" i="28"/>
  <c r="S29" i="82" s="1"/>
  <c r="AA29" i="82" s="1"/>
  <c r="DJ41" i="28"/>
  <c r="S30" i="82" s="1"/>
  <c r="AA30" i="82" s="1"/>
  <c r="Z80" i="20"/>
  <c r="Z59" i="20"/>
  <c r="Z60" i="20" s="1"/>
  <c r="Z62" i="20"/>
  <c r="Z63" i="20" s="1"/>
  <c r="Z57" i="20"/>
  <c r="U392" i="46"/>
  <c r="L128" i="46"/>
  <c r="N128" i="46" s="1"/>
  <c r="P128" i="46" s="1"/>
  <c r="L802" i="46"/>
  <c r="N802" i="46" s="1"/>
  <c r="P802" i="46" s="1"/>
  <c r="U801" i="46"/>
  <c r="W801" i="46" s="1"/>
  <c r="N801" i="46"/>
  <c r="P801" i="46" s="1"/>
  <c r="M142" i="20"/>
  <c r="N5" i="20"/>
  <c r="U758" i="46"/>
  <c r="W758" i="46" s="1"/>
  <c r="N758" i="46"/>
  <c r="P758" i="46" s="1"/>
  <c r="M185" i="85"/>
  <c r="M183" i="85" s="1"/>
  <c r="M173" i="85" s="1"/>
  <c r="M131" i="85" s="1"/>
  <c r="M126" i="85"/>
  <c r="M186" i="85" s="1"/>
  <c r="O107" i="45"/>
  <c r="N108" i="45"/>
  <c r="V72" i="45"/>
  <c r="W71" i="45"/>
  <c r="M113" i="85"/>
  <c r="M161" i="85" s="1"/>
  <c r="M96" i="85"/>
  <c r="N113" i="85"/>
  <c r="N161" i="85" s="1"/>
  <c r="N96" i="85"/>
  <c r="AE223" i="40"/>
  <c r="BB6" i="22"/>
  <c r="BA6" i="17"/>
  <c r="CA82" i="28"/>
  <c r="CG82" i="28"/>
  <c r="BU82" i="28"/>
  <c r="BV82" i="28"/>
  <c r="BZ82" i="28"/>
  <c r="CO82" i="28"/>
  <c r="CB82" i="28"/>
  <c r="BL82" i="28"/>
  <c r="BX82" i="28"/>
  <c r="CC82" i="28"/>
  <c r="BT82" i="28"/>
  <c r="BR82" i="28"/>
  <c r="BP82" i="28"/>
  <c r="CQ82" i="28"/>
  <c r="CE82" i="28"/>
  <c r="CF82" i="28"/>
  <c r="CH82" i="28"/>
  <c r="BK82" i="28"/>
  <c r="CL82" i="28"/>
  <c r="BW82" i="28"/>
  <c r="CJ82" i="28"/>
  <c r="CK82" i="28"/>
  <c r="CR82" i="28"/>
  <c r="BN82" i="28"/>
  <c r="CP82" i="28"/>
  <c r="BM82" i="28"/>
  <c r="BS82" i="28"/>
  <c r="BQ82" i="28"/>
  <c r="CM82" i="28"/>
  <c r="U542" i="46"/>
  <c r="W542" i="46" s="1"/>
  <c r="N542" i="46"/>
  <c r="P542" i="46" s="1"/>
  <c r="J80" i="85"/>
  <c r="BH49" i="22"/>
  <c r="BI66" i="17" s="1"/>
  <c r="AD66" i="20"/>
  <c r="J40" i="85"/>
  <c r="J18" i="85"/>
  <c r="J28" i="85"/>
  <c r="J42" i="85" s="1"/>
  <c r="J33" i="85"/>
  <c r="J131" i="45"/>
  <c r="K128" i="45"/>
  <c r="J127" i="46"/>
  <c r="L127" i="46" s="1"/>
  <c r="R289" i="40"/>
  <c r="R290" i="40" s="1"/>
  <c r="R286" i="40"/>
  <c r="F55" i="22"/>
  <c r="F57" i="22" s="1"/>
  <c r="G9" i="17" s="1"/>
  <c r="G13" i="17" s="1"/>
  <c r="G28" i="17" s="1"/>
  <c r="G87" i="17" s="1"/>
  <c r="E9" i="17"/>
  <c r="E13" i="17" s="1"/>
  <c r="E28" i="17" s="1"/>
  <c r="E87" i="17" s="1"/>
  <c r="AA57" i="20"/>
  <c r="AA62" i="20"/>
  <c r="AB63" i="20" s="1"/>
  <c r="AA59" i="20"/>
  <c r="AJ56" i="20"/>
  <c r="S83" i="20"/>
  <c r="S81" i="20"/>
  <c r="BM67" i="40"/>
  <c r="BN60" i="40" s="1"/>
  <c r="BM9" i="40"/>
  <c r="EL60" i="37"/>
  <c r="M71" i="85"/>
  <c r="M159" i="85" s="1"/>
  <c r="M54" i="85"/>
  <c r="BJ67" i="40"/>
  <c r="BK60" i="40" s="1"/>
  <c r="BK85" i="40" s="1"/>
  <c r="AN31" i="40"/>
  <c r="AO30" i="40"/>
  <c r="AO31" i="40" s="1"/>
  <c r="AO99" i="40"/>
  <c r="AO100" i="40" s="1"/>
  <c r="AN27" i="40"/>
  <c r="AN28" i="40" s="1"/>
  <c r="AO82" i="40"/>
  <c r="AO78" i="40"/>
  <c r="AO79" i="40" s="1"/>
  <c r="AF202" i="9"/>
  <c r="AD209" i="9"/>
  <c r="AG65" i="20"/>
  <c r="AH65" i="20" s="1"/>
  <c r="DW28" i="28"/>
  <c r="AB198" i="46"/>
  <c r="AD198" i="46" s="1"/>
  <c r="AD197" i="46"/>
  <c r="AF197" i="46" s="1"/>
  <c r="AR550" i="45"/>
  <c r="Z216" i="12"/>
  <c r="AB215" i="12"/>
  <c r="AD215" i="12" s="1"/>
  <c r="H552" i="45"/>
  <c r="I370" i="45"/>
  <c r="I551" i="45"/>
  <c r="AQ551" i="45"/>
  <c r="DE50" i="28"/>
  <c r="AD495" i="46"/>
  <c r="AF495" i="46" s="1"/>
  <c r="AB496" i="46"/>
  <c r="AD496" i="46" s="1"/>
  <c r="ES26" i="37"/>
  <c r="ER28" i="37"/>
  <c r="ER29" i="37" s="1"/>
  <c r="ER95" i="37"/>
  <c r="EQ97" i="37"/>
  <c r="EQ98" i="37" s="1"/>
  <c r="ER49" i="37"/>
  <c r="EQ51" i="37"/>
  <c r="EQ52" i="37" s="1"/>
  <c r="AC87" i="17"/>
  <c r="J374" i="40"/>
  <c r="J315" i="40"/>
  <c r="K5" i="40"/>
  <c r="AI198" i="40"/>
  <c r="AH199" i="40"/>
  <c r="BC119" i="40"/>
  <c r="BD114" i="40" s="1"/>
  <c r="BC136" i="40"/>
  <c r="BC140" i="40" s="1"/>
  <c r="Q148" i="40"/>
  <c r="Q133" i="40"/>
  <c r="S378" i="40"/>
  <c r="S401" i="40" s="1"/>
  <c r="T184" i="40"/>
  <c r="S205" i="40"/>
  <c r="Q121" i="40"/>
  <c r="Q123" i="40"/>
  <c r="Q124" i="40" s="1"/>
  <c r="AH251" i="40"/>
  <c r="AH366" i="40" s="1"/>
  <c r="AH269" i="40"/>
  <c r="AI265" i="40"/>
  <c r="AI266" i="40" s="1"/>
  <c r="AI250" i="40"/>
  <c r="AI247" i="40" s="1"/>
  <c r="AI248" i="40" s="1"/>
  <c r="S116" i="40"/>
  <c r="S119" i="40" s="1"/>
  <c r="R132" i="40"/>
  <c r="R377" i="40"/>
  <c r="R400" i="40" s="1"/>
  <c r="R120" i="40"/>
  <c r="T185" i="40"/>
  <c r="S206" i="40"/>
  <c r="S379" i="40"/>
  <c r="S402" i="40" s="1"/>
  <c r="BD242" i="40"/>
  <c r="BD245" i="40"/>
  <c r="EO37" i="37"/>
  <c r="U15" i="98"/>
  <c r="U33" i="98"/>
  <c r="AA330" i="40"/>
  <c r="AB338" i="40"/>
  <c r="AA326" i="40"/>
  <c r="AA329" i="40"/>
  <c r="AA328" i="40"/>
  <c r="AA327" i="40"/>
  <c r="EL72" i="37"/>
  <c r="U114" i="12"/>
  <c r="EL47" i="37"/>
  <c r="Q120" i="20"/>
  <c r="Q119" i="20"/>
  <c r="Q122" i="20"/>
  <c r="Q115" i="20"/>
  <c r="F416" i="46"/>
  <c r="EM29" i="37"/>
  <c r="EM51" i="37"/>
  <c r="EM52" i="37" s="1"/>
  <c r="EL51" i="37"/>
  <c r="EL74" i="37" s="1"/>
  <c r="BA20" i="40"/>
  <c r="EM67" i="37"/>
  <c r="EO44" i="37"/>
  <c r="BI38" i="17"/>
  <c r="BH30" i="22" s="1"/>
  <c r="O173" i="85"/>
  <c r="CY50" i="28"/>
  <c r="I180" i="85"/>
  <c r="EN24" i="37"/>
  <c r="EP22" i="37"/>
  <c r="EO23" i="37"/>
  <c r="EO24" i="37" s="1"/>
  <c r="EO45" i="37"/>
  <c r="EM68" i="37"/>
  <c r="EN47" i="37"/>
  <c r="BB166" i="40"/>
  <c r="BC160" i="40" s="1"/>
  <c r="BC161" i="40" s="1"/>
  <c r="BC9" i="40" s="1"/>
  <c r="X346" i="40"/>
  <c r="BB171" i="40"/>
  <c r="BB172" i="40" s="1"/>
  <c r="Y346" i="40"/>
  <c r="AT346" i="40" s="1"/>
  <c r="W84" i="20"/>
  <c r="H181" i="85"/>
  <c r="I123" i="85"/>
  <c r="Q84" i="20"/>
  <c r="D84" i="20"/>
  <c r="AP126" i="40"/>
  <c r="AQ129" i="40"/>
  <c r="AP146" i="40"/>
  <c r="AP147" i="40" s="1"/>
  <c r="AV129" i="40"/>
  <c r="AP130" i="40"/>
  <c r="AO147" i="40"/>
  <c r="AE66" i="20"/>
  <c r="DV28" i="28"/>
  <c r="R26" i="85"/>
  <c r="Q152" i="85"/>
  <c r="Q150" i="85" s="1"/>
  <c r="P153" i="85"/>
  <c r="P151" i="85"/>
  <c r="H22" i="82"/>
  <c r="J22" i="82"/>
  <c r="I22" i="82"/>
  <c r="L23" i="82"/>
  <c r="L474" i="46"/>
  <c r="L475" i="46" s="1"/>
  <c r="N475" i="46" s="1"/>
  <c r="L478" i="46"/>
  <c r="P115" i="20"/>
  <c r="P120" i="20"/>
  <c r="P119" i="20"/>
  <c r="P122" i="20"/>
  <c r="DT80" i="28"/>
  <c r="DT70" i="28"/>
  <c r="BB12" i="40"/>
  <c r="BB85" i="40"/>
  <c r="BB87" i="40" s="1"/>
  <c r="K51" i="85"/>
  <c r="K77" i="85"/>
  <c r="L77" i="85"/>
  <c r="K72" i="85"/>
  <c r="DO29" i="28"/>
  <c r="Y74" i="20"/>
  <c r="AX17" i="22"/>
  <c r="AX35" i="22" s="1"/>
  <c r="AX56" i="22" s="1"/>
  <c r="AX59" i="22" s="1"/>
  <c r="AY79" i="17"/>
  <c r="P107" i="45"/>
  <c r="J702" i="46"/>
  <c r="L702" i="46" s="1"/>
  <c r="AQ104" i="45"/>
  <c r="ER40" i="37"/>
  <c r="ES40" i="37" s="1"/>
  <c r="EQ41" i="37"/>
  <c r="EQ42" i="37" s="1"/>
  <c r="O68" i="85"/>
  <c r="O58" i="85"/>
  <c r="O63" i="85" s="1"/>
  <c r="O65" i="85" s="1"/>
  <c r="O73" i="85"/>
  <c r="D81" i="85"/>
  <c r="E81" i="85"/>
  <c r="ER85" i="37"/>
  <c r="G116" i="85"/>
  <c r="G105" i="85"/>
  <c r="G107" i="85" s="1"/>
  <c r="AP82" i="40"/>
  <c r="AV81" i="40"/>
  <c r="AQ81" i="40"/>
  <c r="AP30" i="40"/>
  <c r="AP99" i="40"/>
  <c r="DO36" i="28"/>
  <c r="DO17" i="28"/>
  <c r="G84" i="20"/>
  <c r="N473" i="46"/>
  <c r="N480" i="46"/>
  <c r="U473" i="46"/>
  <c r="DU69" i="28"/>
  <c r="L76" i="12"/>
  <c r="V68" i="9"/>
  <c r="X68" i="9" s="1"/>
  <c r="Z68" i="9" s="1"/>
  <c r="R376" i="40"/>
  <c r="S68" i="40"/>
  <c r="S71" i="40" s="1"/>
  <c r="R84" i="40"/>
  <c r="R72" i="40"/>
  <c r="BC85" i="40"/>
  <c r="BC87" i="40" s="1"/>
  <c r="BC67" i="40"/>
  <c r="BC12" i="40"/>
  <c r="DF50" i="28"/>
  <c r="BK250" i="40"/>
  <c r="BJ239" i="40"/>
  <c r="BJ238" i="40"/>
  <c r="BJ12" i="40" s="1"/>
  <c r="D41" i="85"/>
  <c r="E41" i="85"/>
  <c r="O100" i="85"/>
  <c r="O105" i="85" s="1"/>
  <c r="O107" i="85" s="1"/>
  <c r="O115" i="85"/>
  <c r="O110" i="85"/>
  <c r="BP42" i="29"/>
  <c r="BO42" i="29"/>
  <c r="BT42" i="29"/>
  <c r="K83" i="85"/>
  <c r="K84" i="85" s="1"/>
  <c r="K182" i="85"/>
  <c r="K183" i="85" s="1"/>
  <c r="K125" i="85"/>
  <c r="K126" i="85" s="1"/>
  <c r="M127" i="45"/>
  <c r="J309" i="46"/>
  <c r="L309" i="46" s="1"/>
  <c r="L128" i="45"/>
  <c r="D60" i="20"/>
  <c r="DG50" i="28"/>
  <c r="EQ80" i="37"/>
  <c r="AJ201" i="40"/>
  <c r="AK200" i="40"/>
  <c r="S381" i="40"/>
  <c r="S241" i="40"/>
  <c r="T237" i="40"/>
  <c r="T240" i="40" s="1"/>
  <c r="S253" i="40"/>
  <c r="S254" i="40" s="1"/>
  <c r="S271" i="40"/>
  <c r="DM50" i="28"/>
  <c r="J147" i="85"/>
  <c r="J149" i="85" s="1"/>
  <c r="J180" i="85" s="1"/>
  <c r="J167" i="85"/>
  <c r="J105" i="85"/>
  <c r="J107" i="85" s="1"/>
  <c r="J123" i="85" s="1"/>
  <c r="J116" i="85"/>
  <c r="BQ118" i="40"/>
  <c r="AH202" i="9"/>
  <c r="G23" i="85"/>
  <c r="G25" i="85" s="1"/>
  <c r="G34" i="85"/>
  <c r="P118" i="20"/>
  <c r="ER39" i="37"/>
  <c r="ES39" i="37" s="1"/>
  <c r="EP36" i="37"/>
  <c r="EP37" i="37" s="1"/>
  <c r="D63" i="20"/>
  <c r="AD16" i="28"/>
  <c r="BK42" i="29"/>
  <c r="BL42" i="29"/>
  <c r="EP91" i="37"/>
  <c r="EO92" i="37"/>
  <c r="EO93" i="37" s="1"/>
  <c r="T60" i="20"/>
  <c r="U60" i="20"/>
  <c r="M24" i="40"/>
  <c r="M25" i="40" s="1"/>
  <c r="M22" i="40"/>
  <c r="H124" i="85"/>
  <c r="AF421" i="46"/>
  <c r="BM131" i="40"/>
  <c r="BL132" i="40"/>
  <c r="Q399" i="40"/>
  <c r="Q391" i="40"/>
  <c r="Q421" i="40" s="1"/>
  <c r="BD162" i="40"/>
  <c r="BE176" i="40"/>
  <c r="BE162" i="40" s="1"/>
  <c r="BE11" i="40" s="1"/>
  <c r="AC67" i="45"/>
  <c r="AB68" i="45"/>
  <c r="AQ68" i="45" s="1"/>
  <c r="W307" i="46"/>
  <c r="B58" i="47"/>
  <c r="B88" i="12"/>
  <c r="B70" i="45"/>
  <c r="EQ87" i="37"/>
  <c r="EQ88" i="37" s="1"/>
  <c r="ER86" i="37"/>
  <c r="AF68" i="20"/>
  <c r="BJ49" i="22"/>
  <c r="DS40" i="28"/>
  <c r="DS25" i="28"/>
  <c r="S315" i="45"/>
  <c r="AA315" i="45"/>
  <c r="R497" i="45"/>
  <c r="R316" i="45"/>
  <c r="P421" i="40"/>
  <c r="G167" i="85"/>
  <c r="G147" i="85"/>
  <c r="G149" i="85" s="1"/>
  <c r="G180" i="85" s="1"/>
  <c r="Q85" i="40"/>
  <c r="Q101" i="40"/>
  <c r="N72" i="12"/>
  <c r="P72" i="12" s="1"/>
  <c r="Q224" i="40"/>
  <c r="Q203" i="40"/>
  <c r="Q204" i="40" s="1"/>
  <c r="E71" i="45"/>
  <c r="J71" i="45"/>
  <c r="D72" i="45"/>
  <c r="AJ201" i="9"/>
  <c r="P201" i="9"/>
  <c r="N201" i="9"/>
  <c r="R180" i="40"/>
  <c r="S162" i="40"/>
  <c r="S179" i="40" s="1"/>
  <c r="AM197" i="9"/>
  <c r="R197" i="9"/>
  <c r="DS41" i="28"/>
  <c r="AM30" i="12"/>
  <c r="AM37" i="12"/>
  <c r="BP40" i="29"/>
  <c r="BO40" i="29"/>
  <c r="BN46" i="29"/>
  <c r="BN45" i="29"/>
  <c r="BT40" i="29"/>
  <c r="L125" i="85"/>
  <c r="L83" i="85"/>
  <c r="L84" i="85" s="1"/>
  <c r="L184" i="85" s="1"/>
  <c r="L182" i="85"/>
  <c r="L183" i="85" s="1"/>
  <c r="DH50" i="28"/>
  <c r="DI50" i="28"/>
  <c r="R38" i="82" s="1"/>
  <c r="Z38" i="82" s="1"/>
  <c r="AI73" i="45"/>
  <c r="AH68" i="45"/>
  <c r="AI67" i="45"/>
  <c r="R404" i="40"/>
  <c r="W105" i="46"/>
  <c r="AR103" i="45"/>
  <c r="J119" i="12"/>
  <c r="EQ81" i="37"/>
  <c r="EP82" i="37"/>
  <c r="EP83" i="37" s="1"/>
  <c r="AH17" i="22"/>
  <c r="AH35" i="22" s="1"/>
  <c r="AI79" i="17"/>
  <c r="J201" i="9"/>
  <c r="G42" i="85"/>
  <c r="H42" i="85"/>
  <c r="AQ67" i="45"/>
  <c r="AB211" i="12"/>
  <c r="AB203" i="9"/>
  <c r="AJ56" i="22"/>
  <c r="AJ59" i="22" s="1"/>
  <c r="H82" i="85"/>
  <c r="BK41" i="29"/>
  <c r="AC16" i="28"/>
  <c r="BL41" i="29"/>
  <c r="BJ46" i="29"/>
  <c r="BJ45" i="29"/>
  <c r="AB16" i="28"/>
  <c r="BK40" i="29"/>
  <c r="BL40" i="29"/>
  <c r="AP78" i="40"/>
  <c r="DH53" i="37"/>
  <c r="AH138" i="40"/>
  <c r="CY53" i="37"/>
  <c r="DN53" i="37"/>
  <c r="DC53" i="37"/>
  <c r="CU53" i="37"/>
  <c r="H339" i="46"/>
  <c r="F207" i="46"/>
  <c r="DK27" i="28"/>
  <c r="AR57" i="28"/>
  <c r="DK42" i="28"/>
  <c r="T63" i="20"/>
  <c r="U63" i="20"/>
  <c r="O16" i="40"/>
  <c r="O20" i="40" s="1"/>
  <c r="N48" i="40"/>
  <c r="N21" i="40"/>
  <c r="N33" i="40"/>
  <c r="N34" i="40" s="1"/>
  <c r="K113" i="45"/>
  <c r="J110" i="46"/>
  <c r="L110" i="46" s="1"/>
  <c r="K119" i="45"/>
  <c r="J114" i="45"/>
  <c r="AF424" i="46"/>
  <c r="AU64" i="45"/>
  <c r="B246" i="45"/>
  <c r="B428" i="45" s="1"/>
  <c r="V67" i="9"/>
  <c r="X67" i="9" s="1"/>
  <c r="Z67" i="9" s="1"/>
  <c r="L75" i="12"/>
  <c r="EQ34" i="37"/>
  <c r="BP43" i="29"/>
  <c r="BO43" i="29"/>
  <c r="BT43" i="29"/>
  <c r="K14" i="85"/>
  <c r="K31" i="85"/>
  <c r="U308" i="46"/>
  <c r="W308" i="46" s="1"/>
  <c r="N308" i="46"/>
  <c r="P308" i="46" s="1"/>
  <c r="AD210" i="12"/>
  <c r="W479" i="46"/>
  <c r="W472" i="46"/>
  <c r="P431" i="40"/>
  <c r="P427" i="40"/>
  <c r="P414" i="40"/>
  <c r="P425" i="40"/>
  <c r="P428" i="40"/>
  <c r="P430" i="40"/>
  <c r="P423" i="40"/>
  <c r="P429" i="40"/>
  <c r="P426" i="40"/>
  <c r="P420" i="40"/>
  <c r="P419" i="40"/>
  <c r="P418" i="40"/>
  <c r="P422" i="40"/>
  <c r="AM100" i="12"/>
  <c r="AM107" i="12"/>
  <c r="J63" i="85"/>
  <c r="J65" i="85" s="1"/>
  <c r="J81" i="85" s="1"/>
  <c r="J74" i="85"/>
  <c r="DS43" i="28"/>
  <c r="D123" i="85"/>
  <c r="E123" i="85"/>
  <c r="V110" i="9"/>
  <c r="X110" i="9" s="1"/>
  <c r="Z110" i="9" s="1"/>
  <c r="AC81" i="28"/>
  <c r="L118" i="12"/>
  <c r="Q73" i="40"/>
  <c r="Q75" i="40"/>
  <c r="Q76" i="40" s="1"/>
  <c r="EN60" i="37"/>
  <c r="CZ60" i="37" s="1"/>
  <c r="N71" i="12"/>
  <c r="P71" i="12" s="1"/>
  <c r="U71" i="12"/>
  <c r="W71" i="12" s="1"/>
  <c r="S186" i="40"/>
  <c r="R380" i="40"/>
  <c r="R183" i="40"/>
  <c r="D180" i="85"/>
  <c r="E180" i="85"/>
  <c r="J57" i="46"/>
  <c r="L57" i="46" s="1"/>
  <c r="K68" i="45"/>
  <c r="Z327" i="40"/>
  <c r="Z328" i="40"/>
  <c r="Z329" i="40"/>
  <c r="Z338" i="40"/>
  <c r="Z326" i="40"/>
  <c r="Z330" i="40"/>
  <c r="AA338" i="40"/>
  <c r="U117" i="12"/>
  <c r="N117" i="12"/>
  <c r="P117" i="12" s="1"/>
  <c r="Q188" i="40"/>
  <c r="Q189" i="40" s="1"/>
  <c r="Q181" i="40"/>
  <c r="ER21" i="37"/>
  <c r="ES21" i="37" s="1"/>
  <c r="DA50" i="28"/>
  <c r="DB50" i="28"/>
  <c r="G63" i="85"/>
  <c r="G65" i="85" s="1"/>
  <c r="G81" i="85" s="1"/>
  <c r="G74" i="85"/>
  <c r="BP41" i="29"/>
  <c r="BO41" i="29"/>
  <c r="BT41" i="29"/>
  <c r="K135" i="85"/>
  <c r="K173" i="85"/>
  <c r="L173" i="85"/>
  <c r="K162" i="85"/>
  <c r="K93" i="85"/>
  <c r="K119" i="85"/>
  <c r="L119" i="85"/>
  <c r="K114" i="85"/>
  <c r="EH10" i="37"/>
  <c r="EG33" i="37"/>
  <c r="EF126" i="37" s="1"/>
  <c r="EF195" i="37" s="1"/>
  <c r="BN137" i="40"/>
  <c r="BN11" i="40"/>
  <c r="AG79" i="17"/>
  <c r="AF17" i="22"/>
  <c r="AF35" i="22" s="1"/>
  <c r="I81" i="85"/>
  <c r="DN42" i="28"/>
  <c r="DN27" i="28"/>
  <c r="DN50" i="28" s="1"/>
  <c r="CF57" i="28"/>
  <c r="O34" i="85"/>
  <c r="O169" i="85" s="1"/>
  <c r="O167" i="85" s="1"/>
  <c r="AB83" i="20"/>
  <c r="AB84" i="20" s="1"/>
  <c r="AB81" i="20"/>
  <c r="R244" i="40"/>
  <c r="R245" i="40" s="1"/>
  <c r="R242" i="40"/>
  <c r="O424" i="40"/>
  <c r="O432" i="40" s="1"/>
  <c r="X51" i="20"/>
  <c r="X56" i="20"/>
  <c r="X54" i="20"/>
  <c r="DO82" i="28" s="1"/>
  <c r="BB67" i="40"/>
  <c r="U701" i="46"/>
  <c r="N701" i="46"/>
  <c r="P701" i="46" s="1"/>
  <c r="U56" i="46"/>
  <c r="N56" i="46"/>
  <c r="P56" i="46" s="1"/>
  <c r="DL30" i="28"/>
  <c r="V73" i="20"/>
  <c r="AE16" i="28"/>
  <c r="BK43" i="29"/>
  <c r="BL43" i="29"/>
  <c r="N106" i="46"/>
  <c r="P106" i="46" s="1"/>
  <c r="N113" i="46"/>
  <c r="P113" i="46" s="1"/>
  <c r="U106" i="46"/>
  <c r="U107" i="46" s="1"/>
  <c r="W107" i="46" s="1"/>
  <c r="BA14" i="40"/>
  <c r="BB8" i="40" s="1"/>
  <c r="AH203" i="9" l="1"/>
  <c r="AD203" i="9"/>
  <c r="AO46" i="40"/>
  <c r="AO47" i="40" s="1"/>
  <c r="H55" i="22"/>
  <c r="H57" i="22" s="1"/>
  <c r="AO27" i="40"/>
  <c r="AO28" i="40" s="1"/>
  <c r="AP100" i="40"/>
  <c r="U241" i="46"/>
  <c r="W241" i="46" s="1"/>
  <c r="BK63" i="40"/>
  <c r="BK83" i="40" s="1"/>
  <c r="N42" i="85"/>
  <c r="U802" i="46"/>
  <c r="W802" i="46" s="1"/>
  <c r="G123" i="85"/>
  <c r="N131" i="85"/>
  <c r="O131" i="85" s="1"/>
  <c r="O135" i="85" s="1"/>
  <c r="M136" i="85"/>
  <c r="M178" i="85" s="1"/>
  <c r="M135" i="85"/>
  <c r="N543" i="46"/>
  <c r="P543" i="46" s="1"/>
  <c r="U543" i="46"/>
  <c r="W543" i="46" s="1"/>
  <c r="L109" i="45"/>
  <c r="M108" i="45"/>
  <c r="J287" i="46"/>
  <c r="L287" i="46" s="1"/>
  <c r="DR51" i="28"/>
  <c r="DR43" i="28"/>
  <c r="H131" i="45"/>
  <c r="J395" i="46"/>
  <c r="I128" i="45"/>
  <c r="DK61" i="28"/>
  <c r="BK84" i="40"/>
  <c r="N127" i="46"/>
  <c r="P127" i="46" s="1"/>
  <c r="U127" i="46"/>
  <c r="W127" i="46" s="1"/>
  <c r="O313" i="45"/>
  <c r="N314" i="45"/>
  <c r="N495" i="45"/>
  <c r="O495" i="45" s="1"/>
  <c r="BK86" i="40"/>
  <c r="AA60" i="20"/>
  <c r="AJ59" i="20"/>
  <c r="N142" i="20"/>
  <c r="O5" i="20"/>
  <c r="S286" i="40"/>
  <c r="S289" i="40"/>
  <c r="S290" i="40" s="1"/>
  <c r="AS81" i="28"/>
  <c r="L140" i="12"/>
  <c r="V132" i="9"/>
  <c r="X132" i="9" s="1"/>
  <c r="Z132" i="9" s="1"/>
  <c r="AF191" i="40"/>
  <c r="AF192" i="40" s="1"/>
  <c r="AF222" i="40"/>
  <c r="AF195" i="40"/>
  <c r="AF365" i="40" s="1"/>
  <c r="BR118" i="40"/>
  <c r="BS118" i="40"/>
  <c r="BJ13" i="40"/>
  <c r="BH53" i="22"/>
  <c r="AA63" i="20"/>
  <c r="AJ62" i="20"/>
  <c r="K131" i="45"/>
  <c r="J131" i="46"/>
  <c r="L131" i="46" s="1"/>
  <c r="J132" i="45"/>
  <c r="P72" i="45"/>
  <c r="J607" i="46"/>
  <c r="L607" i="46" s="1"/>
  <c r="Q71" i="45"/>
  <c r="J664" i="46"/>
  <c r="L664" i="46" s="1"/>
  <c r="J245" i="46"/>
  <c r="L245" i="46" s="1"/>
  <c r="L73" i="45"/>
  <c r="M72" i="45"/>
  <c r="U71" i="45"/>
  <c r="J763" i="46"/>
  <c r="L763" i="46" s="1"/>
  <c r="T72" i="45"/>
  <c r="U283" i="46"/>
  <c r="W283" i="46" s="1"/>
  <c r="DQ43" i="28"/>
  <c r="DQ51" i="28"/>
  <c r="W125" i="45"/>
  <c r="V126" i="45"/>
  <c r="AQ125" i="45"/>
  <c r="P496" i="45"/>
  <c r="Q496" i="45" s="1"/>
  <c r="P315" i="45"/>
  <c r="Q314" i="45"/>
  <c r="BV184" i="29"/>
  <c r="BW184" i="29" s="1"/>
  <c r="BZ180" i="29"/>
  <c r="AO30" i="28"/>
  <c r="BW183" i="29"/>
  <c r="N134" i="45"/>
  <c r="N137" i="45" s="1"/>
  <c r="O133" i="45"/>
  <c r="T84" i="20"/>
  <c r="S84" i="20"/>
  <c r="S20" i="82"/>
  <c r="AA20" i="82" s="1"/>
  <c r="DJ42" i="28"/>
  <c r="S31" i="82" s="1"/>
  <c r="AA31" i="82" s="1"/>
  <c r="DJ27" i="28"/>
  <c r="AQ57" i="28"/>
  <c r="DQ25" i="28"/>
  <c r="DQ40" i="28"/>
  <c r="DQ41" i="28"/>
  <c r="N244" i="46"/>
  <c r="P244" i="46" s="1"/>
  <c r="U244" i="46"/>
  <c r="W244" i="46" s="1"/>
  <c r="BK165" i="40"/>
  <c r="BL179" i="40"/>
  <c r="BL165" i="40" s="1"/>
  <c r="J141" i="12"/>
  <c r="AR122" i="45"/>
  <c r="N73" i="85"/>
  <c r="N80" i="85"/>
  <c r="N58" i="85"/>
  <c r="N68" i="85"/>
  <c r="N109" i="45"/>
  <c r="O108" i="45"/>
  <c r="W602" i="46"/>
  <c r="T109" i="45"/>
  <c r="U108" i="45"/>
  <c r="J806" i="46"/>
  <c r="L806" i="46" s="1"/>
  <c r="BM138" i="40"/>
  <c r="BM140" i="40" s="1"/>
  <c r="BM12" i="40"/>
  <c r="AP125" i="47"/>
  <c r="BO125" i="47"/>
  <c r="AG197" i="40"/>
  <c r="AH196" i="40"/>
  <c r="AG194" i="40"/>
  <c r="G73" i="45"/>
  <c r="F74" i="45"/>
  <c r="N122" i="85"/>
  <c r="N110" i="85"/>
  <c r="N115" i="85"/>
  <c r="N100" i="85"/>
  <c r="W72" i="45"/>
  <c r="V73" i="45"/>
  <c r="DK50" i="28"/>
  <c r="O80" i="85"/>
  <c r="AJ80" i="20"/>
  <c r="Z83" i="20"/>
  <c r="Z81" i="20"/>
  <c r="AZ8" i="22"/>
  <c r="U660" i="46"/>
  <c r="W660" i="46" s="1"/>
  <c r="N660" i="46"/>
  <c r="P660" i="46" s="1"/>
  <c r="L661" i="46"/>
  <c r="N661" i="46" s="1"/>
  <c r="P661" i="46" s="1"/>
  <c r="N487" i="46"/>
  <c r="L760" i="46"/>
  <c r="N760" i="46" s="1"/>
  <c r="P760" i="46" s="1"/>
  <c r="N759" i="46"/>
  <c r="P759" i="46" s="1"/>
  <c r="U759" i="46"/>
  <c r="W759" i="46" s="1"/>
  <c r="N805" i="46"/>
  <c r="P805" i="46" s="1"/>
  <c r="U805" i="46"/>
  <c r="W805" i="46" s="1"/>
  <c r="BP127" i="40"/>
  <c r="BQ127" i="40" s="1"/>
  <c r="BR127" i="40" s="1"/>
  <c r="BS127" i="40" s="1"/>
  <c r="BN117" i="40"/>
  <c r="DJ65" i="28"/>
  <c r="AC405" i="40"/>
  <c r="AC17" i="40"/>
  <c r="BW153" i="47"/>
  <c r="BP153" i="47"/>
  <c r="L489" i="46"/>
  <c r="T287" i="40"/>
  <c r="U281" i="40"/>
  <c r="U284" i="40" s="1"/>
  <c r="T298" i="40"/>
  <c r="T299" i="40" s="1"/>
  <c r="T285" i="40"/>
  <c r="CY189" i="29"/>
  <c r="CX190" i="29"/>
  <c r="CX194" i="29"/>
  <c r="CY194" i="29" s="1"/>
  <c r="M58" i="85"/>
  <c r="M73" i="85"/>
  <c r="M68" i="85"/>
  <c r="M82" i="85" s="1"/>
  <c r="M80" i="85"/>
  <c r="W126" i="46"/>
  <c r="J544" i="46"/>
  <c r="L544" i="46" s="1"/>
  <c r="O73" i="45"/>
  <c r="N74" i="45"/>
  <c r="N34" i="85"/>
  <c r="N169" i="85" s="1"/>
  <c r="N167" i="85" s="1"/>
  <c r="N23" i="85"/>
  <c r="N25" i="85" s="1"/>
  <c r="M23" i="85"/>
  <c r="M25" i="85" s="1"/>
  <c r="M41" i="85" s="1"/>
  <c r="M34" i="85"/>
  <c r="M169" i="85" s="1"/>
  <c r="M167" i="85" s="1"/>
  <c r="DS51" i="28"/>
  <c r="O122" i="85"/>
  <c r="BN86" i="40"/>
  <c r="BN85" i="40"/>
  <c r="BN84" i="40"/>
  <c r="J23" i="85"/>
  <c r="J25" i="85" s="1"/>
  <c r="J41" i="85" s="1"/>
  <c r="J34" i="85"/>
  <c r="BD6" i="22"/>
  <c r="BC6" i="17"/>
  <c r="M115" i="85"/>
  <c r="M100" i="85"/>
  <c r="M110" i="85"/>
  <c r="M124" i="85" s="1"/>
  <c r="M122" i="85"/>
  <c r="L604" i="46"/>
  <c r="N604" i="46" s="1"/>
  <c r="P604" i="46" s="1"/>
  <c r="U603" i="46"/>
  <c r="W603" i="46" s="1"/>
  <c r="N603" i="46"/>
  <c r="P603" i="46" s="1"/>
  <c r="X185" i="45"/>
  <c r="J488" i="46"/>
  <c r="L488" i="46" s="1"/>
  <c r="AB60" i="20"/>
  <c r="U286" i="46"/>
  <c r="W286" i="46" s="1"/>
  <c r="N286" i="46"/>
  <c r="P286" i="46" s="1"/>
  <c r="N394" i="46"/>
  <c r="P394" i="46" s="1"/>
  <c r="L394" i="46"/>
  <c r="CX193" i="29"/>
  <c r="CY193" i="29" s="1"/>
  <c r="AE78" i="45"/>
  <c r="AD79" i="45"/>
  <c r="DR25" i="28"/>
  <c r="DR40" i="28"/>
  <c r="DR41" i="28"/>
  <c r="AH66" i="20"/>
  <c r="I552" i="45"/>
  <c r="AQ552" i="45"/>
  <c r="AB216" i="12"/>
  <c r="AD216" i="12" s="1"/>
  <c r="AB208" i="9"/>
  <c r="AH208" i="9" s="1"/>
  <c r="Z217" i="12"/>
  <c r="AR551" i="45"/>
  <c r="AA346" i="40"/>
  <c r="AV346" i="40" s="1"/>
  <c r="AD211" i="12"/>
  <c r="ER97" i="37"/>
  <c r="ER98" i="37" s="1"/>
  <c r="DU98" i="37" s="1"/>
  <c r="L247" i="47" s="1"/>
  <c r="F240" i="47"/>
  <c r="ES49" i="37"/>
  <c r="ER51" i="37"/>
  <c r="ER52" i="37" s="1"/>
  <c r="ES41" i="37"/>
  <c r="ES42" i="37" s="1"/>
  <c r="DU42" i="37" s="1"/>
  <c r="ES28" i="37"/>
  <c r="ES29" i="37" s="1"/>
  <c r="DU29" i="37" s="1"/>
  <c r="K374" i="40"/>
  <c r="K315" i="40"/>
  <c r="L5" i="40"/>
  <c r="AR129" i="40"/>
  <c r="AQ78" i="40"/>
  <c r="AQ79" i="40" s="1"/>
  <c r="AR81" i="40"/>
  <c r="AR78" i="40" s="1"/>
  <c r="J202" i="9"/>
  <c r="AI199" i="40"/>
  <c r="AJ198" i="40"/>
  <c r="Q417" i="40"/>
  <c r="BD115" i="40"/>
  <c r="BD136" i="40" s="1"/>
  <c r="BD139" i="40"/>
  <c r="BD137" i="40"/>
  <c r="BD138" i="40"/>
  <c r="S120" i="40"/>
  <c r="S132" i="40"/>
  <c r="T116" i="40"/>
  <c r="T119" i="40" s="1"/>
  <c r="S377" i="40"/>
  <c r="S400" i="40" s="1"/>
  <c r="T378" i="40"/>
  <c r="T401" i="40" s="1"/>
  <c r="U184" i="40"/>
  <c r="T205" i="40"/>
  <c r="R121" i="40"/>
  <c r="R123" i="40"/>
  <c r="R124" i="40" s="1"/>
  <c r="R148" i="40"/>
  <c r="R133" i="40"/>
  <c r="AJ265" i="40"/>
  <c r="AJ266" i="40" s="1"/>
  <c r="AI251" i="40"/>
  <c r="AI366" i="40" s="1"/>
  <c r="AJ250" i="40"/>
  <c r="AI269" i="40"/>
  <c r="T379" i="40"/>
  <c r="T402" i="40" s="1"/>
  <c r="T206" i="40"/>
  <c r="U185" i="40"/>
  <c r="AH270" i="40"/>
  <c r="BC168" i="40"/>
  <c r="EL75" i="37"/>
  <c r="BC170" i="40"/>
  <c r="EM70" i="37"/>
  <c r="V29" i="98"/>
  <c r="U37" i="98"/>
  <c r="U39" i="98" s="1"/>
  <c r="U35" i="98"/>
  <c r="U44" i="98"/>
  <c r="U38" i="98"/>
  <c r="U16" i="98"/>
  <c r="ER87" i="37"/>
  <c r="ER88" i="37" s="1"/>
  <c r="DU88" i="37" s="1"/>
  <c r="F417" i="46"/>
  <c r="H416" i="46"/>
  <c r="EL52" i="37"/>
  <c r="BC169" i="40"/>
  <c r="Q121" i="20"/>
  <c r="EN67" i="37"/>
  <c r="EP44" i="37"/>
  <c r="EQ44" i="37" s="1"/>
  <c r="ER44" i="37" s="1"/>
  <c r="ES44" i="37" s="1"/>
  <c r="Z346" i="40"/>
  <c r="BK38" i="17"/>
  <c r="BJ30" i="22" s="1"/>
  <c r="EQ22" i="37"/>
  <c r="EP23" i="37"/>
  <c r="EP24" i="37" s="1"/>
  <c r="EN68" i="37"/>
  <c r="EP45" i="37"/>
  <c r="EO46" i="37"/>
  <c r="H180" i="85"/>
  <c r="DL50" i="28"/>
  <c r="O116" i="85"/>
  <c r="O170" i="85" s="1"/>
  <c r="H123" i="85"/>
  <c r="O74" i="85"/>
  <c r="O168" i="85" s="1"/>
  <c r="AQ126" i="40"/>
  <c r="AQ127" i="40" s="1"/>
  <c r="AQ130" i="40"/>
  <c r="AQ146" i="40"/>
  <c r="AV126" i="40"/>
  <c r="AP127" i="40"/>
  <c r="AB212" i="12"/>
  <c r="AD212" i="12" s="1"/>
  <c r="R152" i="85"/>
  <c r="R150" i="85" s="1"/>
  <c r="R66" i="85"/>
  <c r="Q108" i="85"/>
  <c r="Q153" i="85" s="1"/>
  <c r="Q151" i="85"/>
  <c r="AG66" i="20"/>
  <c r="AL65" i="20"/>
  <c r="AF66" i="20"/>
  <c r="DM30" i="28"/>
  <c r="W73" i="20"/>
  <c r="W701" i="46"/>
  <c r="W117" i="12"/>
  <c r="R224" i="40"/>
  <c r="R203" i="40"/>
  <c r="R204" i="40" s="1"/>
  <c r="P424" i="40"/>
  <c r="P432" i="40" s="1"/>
  <c r="K28" i="85"/>
  <c r="K18" i="85"/>
  <c r="K33" i="85"/>
  <c r="K40" i="85"/>
  <c r="L40" i="85"/>
  <c r="N75" i="12"/>
  <c r="P75" i="12" s="1"/>
  <c r="U75" i="12"/>
  <c r="U110" i="46"/>
  <c r="N110" i="46"/>
  <c r="P110" i="46" s="1"/>
  <c r="N117" i="46"/>
  <c r="P117" i="46" s="1"/>
  <c r="N24" i="40"/>
  <c r="N25" i="40" s="1"/>
  <c r="N22" i="40"/>
  <c r="AH357" i="40"/>
  <c r="AH144" i="40"/>
  <c r="BI115" i="40"/>
  <c r="BK46" i="29"/>
  <c r="BL46" i="29"/>
  <c r="EQ82" i="37"/>
  <c r="EQ83" i="37" s="1"/>
  <c r="ER81" i="37"/>
  <c r="AD81" i="28"/>
  <c r="V111" i="9"/>
  <c r="X111" i="9" s="1"/>
  <c r="Z111" i="9" s="1"/>
  <c r="L119" i="12"/>
  <c r="J61" i="46"/>
  <c r="L61" i="46" s="1"/>
  <c r="K71" i="45"/>
  <c r="AA316" i="45"/>
  <c r="R498" i="45"/>
  <c r="R319" i="45"/>
  <c r="S316" i="45"/>
  <c r="DS27" i="28"/>
  <c r="DS42" i="28"/>
  <c r="AK201" i="40"/>
  <c r="L131" i="45"/>
  <c r="J310" i="46"/>
  <c r="L310" i="46" s="1"/>
  <c r="L311" i="46" s="1"/>
  <c r="N311" i="46" s="1"/>
  <c r="P311" i="46" s="1"/>
  <c r="M128" i="45"/>
  <c r="O124" i="85"/>
  <c r="R391" i="40"/>
  <c r="R421" i="40" s="1"/>
  <c r="R399" i="40"/>
  <c r="N76" i="12"/>
  <c r="P76" i="12" s="1"/>
  <c r="U76" i="12"/>
  <c r="W76" i="12" s="1"/>
  <c r="W473" i="46"/>
  <c r="W480" i="46"/>
  <c r="AQ82" i="40"/>
  <c r="AQ99" i="40"/>
  <c r="AQ30" i="40"/>
  <c r="U702" i="46"/>
  <c r="W702" i="46" s="1"/>
  <c r="N702" i="46"/>
  <c r="P702" i="46" s="1"/>
  <c r="L703" i="46"/>
  <c r="N703" i="46" s="1"/>
  <c r="P703" i="46" s="1"/>
  <c r="Z74" i="20"/>
  <c r="DP29" i="28"/>
  <c r="N474" i="46"/>
  <c r="U474" i="46"/>
  <c r="U475" i="46" s="1"/>
  <c r="W475" i="46" s="1"/>
  <c r="N481" i="46"/>
  <c r="BC171" i="40"/>
  <c r="U118" i="12"/>
  <c r="W118" i="12" s="1"/>
  <c r="N118" i="12"/>
  <c r="P118" i="12" s="1"/>
  <c r="AR67" i="45"/>
  <c r="J77" i="12"/>
  <c r="L185" i="85"/>
  <c r="L126" i="85"/>
  <c r="L186" i="85" s="1"/>
  <c r="BO45" i="29"/>
  <c r="BP45" i="29"/>
  <c r="BT45" i="29"/>
  <c r="T162" i="40"/>
  <c r="T179" i="40" s="1"/>
  <c r="S180" i="40"/>
  <c r="T384" i="40"/>
  <c r="AC68" i="45"/>
  <c r="AB71" i="45"/>
  <c r="G41" i="85"/>
  <c r="H41" i="85"/>
  <c r="T241" i="40"/>
  <c r="U237" i="40"/>
  <c r="U240" i="40" s="1"/>
  <c r="T253" i="40"/>
  <c r="T254" i="40" s="1"/>
  <c r="T381" i="40"/>
  <c r="T271" i="40"/>
  <c r="U309" i="46"/>
  <c r="W309" i="46" s="1"/>
  <c r="N309" i="46"/>
  <c r="P309" i="46" s="1"/>
  <c r="BL250" i="40"/>
  <c r="BK239" i="40"/>
  <c r="BK238" i="40"/>
  <c r="BK12" i="40" s="1"/>
  <c r="R75" i="40"/>
  <c r="R76" i="40" s="1"/>
  <c r="R73" i="40"/>
  <c r="DU70" i="28"/>
  <c r="DU80" i="28"/>
  <c r="P108" i="45"/>
  <c r="J706" i="46"/>
  <c r="L706" i="46" s="1"/>
  <c r="AQ107" i="45"/>
  <c r="K71" i="85"/>
  <c r="K54" i="85"/>
  <c r="P121" i="20"/>
  <c r="BB19" i="40"/>
  <c r="BB17" i="40"/>
  <c r="BB16" i="40"/>
  <c r="BB18" i="40"/>
  <c r="BB14" i="40"/>
  <c r="BC8" i="40" s="1"/>
  <c r="BD17" i="22"/>
  <c r="BE79" i="17"/>
  <c r="AF56" i="22"/>
  <c r="EH33" i="37"/>
  <c r="EG126" i="37" s="1"/>
  <c r="EG195" i="37" s="1"/>
  <c r="EI10" i="37"/>
  <c r="K96" i="85"/>
  <c r="K113" i="85"/>
  <c r="K158" i="85"/>
  <c r="K138" i="85"/>
  <c r="I9" i="17"/>
  <c r="I13" i="17" s="1"/>
  <c r="I28" i="17" s="1"/>
  <c r="I87" i="17" s="1"/>
  <c r="J55" i="22"/>
  <c r="J57" i="22" s="1"/>
  <c r="AR68" i="45"/>
  <c r="J78" i="12"/>
  <c r="T186" i="40"/>
  <c r="S380" i="40"/>
  <c r="S183" i="40"/>
  <c r="EQ36" i="37"/>
  <c r="EQ37" i="37" s="1"/>
  <c r="ER34" i="37"/>
  <c r="ES34" i="37" s="1"/>
  <c r="J111" i="46"/>
  <c r="K120" i="45"/>
  <c r="K114" i="45"/>
  <c r="P16" i="40"/>
  <c r="P20" i="40" s="1"/>
  <c r="O33" i="40"/>
  <c r="O34" i="40" s="1"/>
  <c r="O21" i="40"/>
  <c r="O48" i="40"/>
  <c r="AH56" i="22"/>
  <c r="AH59" i="22" s="1"/>
  <c r="AH71" i="45"/>
  <c r="AI68" i="45"/>
  <c r="AI74" i="45"/>
  <c r="T389" i="40"/>
  <c r="BO46" i="29"/>
  <c r="BP46" i="29"/>
  <c r="BT46" i="29"/>
  <c r="R188" i="40"/>
  <c r="R189" i="40" s="1"/>
  <c r="R181" i="40"/>
  <c r="BK66" i="17"/>
  <c r="BJ53" i="22"/>
  <c r="AU70" i="45"/>
  <c r="B252" i="45"/>
  <c r="B434" i="45" s="1"/>
  <c r="S244" i="40"/>
  <c r="S245" i="40" s="1"/>
  <c r="S242" i="40"/>
  <c r="ER80" i="37"/>
  <c r="R101" i="40"/>
  <c r="R85" i="40"/>
  <c r="DO49" i="28"/>
  <c r="DO32" i="28"/>
  <c r="DO21" i="28"/>
  <c r="DO38" i="28"/>
  <c r="DP49" i="28"/>
  <c r="AP31" i="40"/>
  <c r="AP27" i="40"/>
  <c r="AP46" i="40"/>
  <c r="DW69" i="28" s="1"/>
  <c r="AV30" i="40"/>
  <c r="ER41" i="37"/>
  <c r="ER42" i="37" s="1"/>
  <c r="W113" i="46"/>
  <c r="W106" i="46"/>
  <c r="W56" i="46"/>
  <c r="X62" i="20"/>
  <c r="X59" i="20"/>
  <c r="X57" i="20"/>
  <c r="X80" i="20"/>
  <c r="BC166" i="40"/>
  <c r="BD160" i="40" s="1"/>
  <c r="N57" i="46"/>
  <c r="P57" i="46" s="1"/>
  <c r="U57" i="46"/>
  <c r="W57" i="46" s="1"/>
  <c r="L58" i="46"/>
  <c r="N58" i="46" s="1"/>
  <c r="P58" i="46" s="1"/>
  <c r="H81" i="85"/>
  <c r="AF339" i="46"/>
  <c r="AP79" i="40"/>
  <c r="AV78" i="40"/>
  <c r="BK45" i="29"/>
  <c r="BL45" i="29"/>
  <c r="U72" i="12"/>
  <c r="W72" i="12" s="1"/>
  <c r="D73" i="45"/>
  <c r="E72" i="45"/>
  <c r="J72" i="45"/>
  <c r="BL49" i="22"/>
  <c r="BK49" i="22"/>
  <c r="AG68" i="20"/>
  <c r="AH68" i="20" s="1"/>
  <c r="BP49" i="22" s="1"/>
  <c r="B65" i="47"/>
  <c r="B76" i="45"/>
  <c r="B95" i="12"/>
  <c r="Q426" i="40"/>
  <c r="Q420" i="40"/>
  <c r="Q431" i="40"/>
  <c r="Q423" i="40"/>
  <c r="Q430" i="40"/>
  <c r="Q427" i="40"/>
  <c r="Q428" i="40"/>
  <c r="Q425" i="40"/>
  <c r="Q414" i="40"/>
  <c r="Q429" i="40"/>
  <c r="Q419" i="40"/>
  <c r="Q418" i="40"/>
  <c r="Q422" i="40"/>
  <c r="BN131" i="40"/>
  <c r="BM132" i="40"/>
  <c r="EQ91" i="37"/>
  <c r="EP92" i="37"/>
  <c r="EP93" i="37" s="1"/>
  <c r="N202" i="9"/>
  <c r="AJ202" i="9"/>
  <c r="P202" i="9"/>
  <c r="S404" i="40"/>
  <c r="S376" i="40"/>
  <c r="T68" i="40"/>
  <c r="T71" i="40" s="1"/>
  <c r="S84" i="40"/>
  <c r="S72" i="40"/>
  <c r="J120" i="12"/>
  <c r="AR104" i="45"/>
  <c r="U478" i="46"/>
  <c r="L482" i="46"/>
  <c r="N485" i="46"/>
  <c r="N478" i="46"/>
  <c r="U128" i="46" l="1"/>
  <c r="W128" i="46" s="1"/>
  <c r="DV69" i="28"/>
  <c r="AF203" i="9"/>
  <c r="AD210" i="9"/>
  <c r="BK87" i="40"/>
  <c r="N82" i="85"/>
  <c r="U661" i="46"/>
  <c r="W661" i="46" s="1"/>
  <c r="L245" i="47"/>
  <c r="DV19" i="37"/>
  <c r="T245" i="47" s="1"/>
  <c r="J288" i="46"/>
  <c r="L288" i="46" s="1"/>
  <c r="M115" i="45"/>
  <c r="M109" i="45"/>
  <c r="L110" i="45"/>
  <c r="CY190" i="29"/>
  <c r="CX191" i="29"/>
  <c r="S22" i="82"/>
  <c r="AA22" i="82" s="1"/>
  <c r="DJ50" i="28"/>
  <c r="S38" i="82" s="1"/>
  <c r="AA38" i="82" s="1"/>
  <c r="AH197" i="40"/>
  <c r="AI196" i="40"/>
  <c r="AH194" i="40"/>
  <c r="U109" i="45"/>
  <c r="U115" i="45"/>
  <c r="J807" i="46"/>
  <c r="L807" i="46" s="1"/>
  <c r="T110" i="45"/>
  <c r="U760" i="46"/>
  <c r="W760" i="46" s="1"/>
  <c r="CA180" i="29"/>
  <c r="AQ30" i="28"/>
  <c r="BZ181" i="29"/>
  <c r="N41" i="85"/>
  <c r="O41" i="85"/>
  <c r="T289" i="40"/>
  <c r="T290" i="40" s="1"/>
  <c r="T286" i="40"/>
  <c r="U604" i="46"/>
  <c r="W604" i="46" s="1"/>
  <c r="U664" i="46"/>
  <c r="W664" i="46" s="1"/>
  <c r="N664" i="46"/>
  <c r="P664" i="46" s="1"/>
  <c r="M138" i="85"/>
  <c r="M63" i="85"/>
  <c r="M65" i="85" s="1"/>
  <c r="M81" i="85" s="1"/>
  <c r="M74" i="85"/>
  <c r="M168" i="85" s="1"/>
  <c r="J145" i="12"/>
  <c r="AR125" i="45"/>
  <c r="U394" i="46"/>
  <c r="N544" i="46"/>
  <c r="P544" i="46" s="1"/>
  <c r="U544" i="46"/>
  <c r="W544" i="46" s="1"/>
  <c r="U806" i="46"/>
  <c r="W806" i="46" s="1"/>
  <c r="N806" i="46"/>
  <c r="P806" i="46" s="1"/>
  <c r="W126" i="45"/>
  <c r="V127" i="45"/>
  <c r="AQ126" i="45"/>
  <c r="AG191" i="40"/>
  <c r="AG192" i="40" s="1"/>
  <c r="AG195" i="40"/>
  <c r="AG365" i="40" s="1"/>
  <c r="AG222" i="40"/>
  <c r="AG223" i="40" s="1"/>
  <c r="AH191" i="40"/>
  <c r="AH192" i="40" s="1"/>
  <c r="N63" i="85"/>
  <c r="N65" i="85" s="1"/>
  <c r="N74" i="85"/>
  <c r="N168" i="85" s="1"/>
  <c r="M73" i="45"/>
  <c r="L74" i="45"/>
  <c r="J246" i="46"/>
  <c r="L246" i="46" s="1"/>
  <c r="N395" i="46"/>
  <c r="P395" i="46" s="1"/>
  <c r="L395" i="46"/>
  <c r="U395" i="46" s="1"/>
  <c r="BQ153" i="47"/>
  <c r="BX153" i="47"/>
  <c r="BN153" i="47"/>
  <c r="BU153" i="47"/>
  <c r="N116" i="85"/>
  <c r="N170" i="85" s="1"/>
  <c r="N105" i="85"/>
  <c r="N107" i="85" s="1"/>
  <c r="N245" i="46"/>
  <c r="P245" i="46" s="1"/>
  <c r="U245" i="46"/>
  <c r="W245" i="46" s="1"/>
  <c r="U140" i="12"/>
  <c r="L142" i="12"/>
  <c r="I131" i="45"/>
  <c r="H132" i="45"/>
  <c r="J399" i="46"/>
  <c r="L399" i="46" s="1"/>
  <c r="DR27" i="28"/>
  <c r="CK57" i="28"/>
  <c r="DR42" i="28"/>
  <c r="M105" i="85"/>
  <c r="M107" i="85" s="1"/>
  <c r="M116" i="85"/>
  <c r="M170" i="85" s="1"/>
  <c r="AA84" i="20"/>
  <c r="AJ83" i="20"/>
  <c r="Z84" i="20"/>
  <c r="N124" i="85"/>
  <c r="BP167" i="47"/>
  <c r="BP125" i="47"/>
  <c r="BP132" i="47"/>
  <c r="BW125" i="47"/>
  <c r="BQ125" i="47" s="1"/>
  <c r="J132" i="46"/>
  <c r="L132" i="46" s="1"/>
  <c r="J133" i="45"/>
  <c r="K132" i="45"/>
  <c r="BE6" i="17"/>
  <c r="BF6" i="22"/>
  <c r="O137" i="45"/>
  <c r="N138" i="45"/>
  <c r="N496" i="45"/>
  <c r="O496" i="45" s="1"/>
  <c r="N315" i="45"/>
  <c r="O314" i="45"/>
  <c r="BD35" i="22"/>
  <c r="BD56" i="22" s="1"/>
  <c r="BD59" i="22" s="1"/>
  <c r="O82" i="85"/>
  <c r="AE79" i="45"/>
  <c r="AD80" i="45"/>
  <c r="AE85" i="45"/>
  <c r="N488" i="46"/>
  <c r="N77" i="45"/>
  <c r="J545" i="46"/>
  <c r="L545" i="46" s="1"/>
  <c r="O74" i="45"/>
  <c r="U287" i="40"/>
  <c r="U285" i="40"/>
  <c r="V281" i="40"/>
  <c r="V284" i="40" s="1"/>
  <c r="U298" i="40"/>
  <c r="U299" i="40" s="1"/>
  <c r="AQ125" i="47"/>
  <c r="AR125" i="47"/>
  <c r="DH125" i="47"/>
  <c r="AQ160" i="47"/>
  <c r="AT81" i="28"/>
  <c r="L141" i="12"/>
  <c r="V133" i="9"/>
  <c r="X133" i="9" s="1"/>
  <c r="Z133" i="9" s="1"/>
  <c r="P316" i="45"/>
  <c r="Q315" i="45"/>
  <c r="P497" i="45"/>
  <c r="Q497" i="45" s="1"/>
  <c r="J764" i="46"/>
  <c r="L764" i="46" s="1"/>
  <c r="T73" i="45"/>
  <c r="U72" i="45"/>
  <c r="N607" i="46"/>
  <c r="P607" i="46" s="1"/>
  <c r="U607" i="46"/>
  <c r="W607" i="46" s="1"/>
  <c r="U131" i="46"/>
  <c r="W131" i="46" s="1"/>
  <c r="N131" i="46"/>
  <c r="P131" i="46" s="1"/>
  <c r="N136" i="85"/>
  <c r="N178" i="85" s="1"/>
  <c r="N135" i="85"/>
  <c r="V74" i="45"/>
  <c r="W73" i="45"/>
  <c r="BA79" i="17"/>
  <c r="AZ17" i="22"/>
  <c r="AZ35" i="22" s="1"/>
  <c r="AZ56" i="22" s="1"/>
  <c r="AZ59" i="22" s="1"/>
  <c r="BK13" i="40"/>
  <c r="O136" i="85"/>
  <c r="X186" i="45"/>
  <c r="J492" i="46"/>
  <c r="L492" i="46" s="1"/>
  <c r="N492" i="46" s="1"/>
  <c r="BN12" i="40"/>
  <c r="BN138" i="40"/>
  <c r="F77" i="45"/>
  <c r="G74" i="45"/>
  <c r="O109" i="45"/>
  <c r="O115" i="45"/>
  <c r="N110" i="45"/>
  <c r="DQ42" i="28"/>
  <c r="DQ27" i="28"/>
  <c r="DQ50" i="28" s="1"/>
  <c r="CJ57" i="28"/>
  <c r="U763" i="46"/>
  <c r="W763" i="46" s="1"/>
  <c r="N763" i="46"/>
  <c r="P763" i="46" s="1"/>
  <c r="J608" i="46"/>
  <c r="L608" i="46" s="1"/>
  <c r="Q72" i="45"/>
  <c r="P73" i="45"/>
  <c r="J665" i="46"/>
  <c r="L665" i="46" s="1"/>
  <c r="AF223" i="40"/>
  <c r="P5" i="20"/>
  <c r="O142" i="20"/>
  <c r="U287" i="46"/>
  <c r="W287" i="46" s="1"/>
  <c r="N287" i="46"/>
  <c r="P287" i="46" s="1"/>
  <c r="CX192" i="29"/>
  <c r="CY192" i="29" s="1"/>
  <c r="K247" i="47"/>
  <c r="BQ66" i="17"/>
  <c r="BP53" i="22"/>
  <c r="DW80" i="28"/>
  <c r="DW70" i="28"/>
  <c r="AB209" i="9"/>
  <c r="AB217" i="12"/>
  <c r="AD217" i="12" s="1"/>
  <c r="AR552" i="45"/>
  <c r="Z218" i="12"/>
  <c r="F247" i="47"/>
  <c r="F197" i="46"/>
  <c r="D197" i="46" s="1"/>
  <c r="DV42" i="37"/>
  <c r="DY42" i="37" s="1"/>
  <c r="F378" i="46"/>
  <c r="HL18" i="38"/>
  <c r="DV29" i="37"/>
  <c r="T247" i="47" s="1"/>
  <c r="ES51" i="37"/>
  <c r="ES52" i="37" s="1"/>
  <c r="DU52" i="37" s="1"/>
  <c r="T240" i="47"/>
  <c r="F373" i="46"/>
  <c r="DX52" i="37"/>
  <c r="CU240" i="47"/>
  <c r="S240" i="47"/>
  <c r="AR130" i="40"/>
  <c r="AR146" i="40"/>
  <c r="AR147" i="40" s="1"/>
  <c r="AR126" i="40"/>
  <c r="AR79" i="40"/>
  <c r="L57" i="40"/>
  <c r="L111" i="40"/>
  <c r="L374" i="40"/>
  <c r="L157" i="40"/>
  <c r="L232" i="40"/>
  <c r="M5" i="40"/>
  <c r="L315" i="40"/>
  <c r="BD119" i="40"/>
  <c r="AQ147" i="40"/>
  <c r="AQ100" i="40"/>
  <c r="AR82" i="40"/>
  <c r="AR99" i="40"/>
  <c r="AR100" i="40" s="1"/>
  <c r="AJ199" i="40"/>
  <c r="AK198" i="40"/>
  <c r="AK199" i="40" s="1"/>
  <c r="BD140" i="40"/>
  <c r="BC172" i="40"/>
  <c r="R417" i="40"/>
  <c r="AV250" i="40"/>
  <c r="AK250" i="40"/>
  <c r="AK265" i="40"/>
  <c r="AK266" i="40" s="1"/>
  <c r="AJ269" i="40"/>
  <c r="AJ270" i="40" s="1"/>
  <c r="AJ251" i="40"/>
  <c r="AJ366" i="40" s="1"/>
  <c r="T132" i="40"/>
  <c r="T377" i="40"/>
  <c r="T400" i="40" s="1"/>
  <c r="U116" i="40"/>
  <c r="U119" i="40" s="1"/>
  <c r="T120" i="40"/>
  <c r="AI270" i="40"/>
  <c r="AJ247" i="40"/>
  <c r="S148" i="40"/>
  <c r="S133" i="40"/>
  <c r="V185" i="40"/>
  <c r="U379" i="40"/>
  <c r="U402" i="40" s="1"/>
  <c r="U206" i="40"/>
  <c r="U205" i="40"/>
  <c r="V184" i="40"/>
  <c r="U378" i="40"/>
  <c r="U401" i="40" s="1"/>
  <c r="S121" i="40"/>
  <c r="S123" i="40"/>
  <c r="S124" i="40" s="1"/>
  <c r="ES36" i="37"/>
  <c r="ES37" i="37" s="1"/>
  <c r="DU37" i="37" s="1"/>
  <c r="V30" i="98"/>
  <c r="V15" i="98" s="1"/>
  <c r="AF416" i="46"/>
  <c r="CN76" i="37"/>
  <c r="H417" i="46"/>
  <c r="BM38" i="17"/>
  <c r="BL30" i="22" s="1"/>
  <c r="EN69" i="37"/>
  <c r="EN70" i="37" s="1"/>
  <c r="CZ70" i="37" s="1"/>
  <c r="EO47" i="37"/>
  <c r="EP46" i="37"/>
  <c r="EP47" i="37" s="1"/>
  <c r="EQ45" i="37"/>
  <c r="ER22" i="37"/>
  <c r="EQ23" i="37"/>
  <c r="EQ24" i="37" s="1"/>
  <c r="BN49" i="22"/>
  <c r="BO66" i="17" s="1"/>
  <c r="R151" i="85"/>
  <c r="R108" i="85"/>
  <c r="R153" i="85" s="1"/>
  <c r="S399" i="40"/>
  <c r="S391" i="40"/>
  <c r="S421" i="40" s="1"/>
  <c r="E73" i="45"/>
  <c r="J73" i="45"/>
  <c r="D74" i="45"/>
  <c r="DO40" i="28"/>
  <c r="DO25" i="28"/>
  <c r="DO41" i="28"/>
  <c r="AI71" i="45"/>
  <c r="AH72" i="45"/>
  <c r="L112" i="46"/>
  <c r="L111" i="46"/>
  <c r="U186" i="40"/>
  <c r="T380" i="40"/>
  <c r="T183" i="40"/>
  <c r="K100" i="85"/>
  <c r="K115" i="85"/>
  <c r="K122" i="85"/>
  <c r="K110" i="85"/>
  <c r="L122" i="85"/>
  <c r="BB20" i="40"/>
  <c r="BL239" i="40"/>
  <c r="BL13" i="40" s="1"/>
  <c r="BL238" i="40"/>
  <c r="BL12" i="40" s="1"/>
  <c r="T242" i="40"/>
  <c r="T244" i="40"/>
  <c r="T245" i="40" s="1"/>
  <c r="AC71" i="45"/>
  <c r="AB72" i="45"/>
  <c r="T180" i="40"/>
  <c r="U162" i="40"/>
  <c r="U179" i="40" s="1"/>
  <c r="W474" i="46"/>
  <c r="W481" i="46"/>
  <c r="DQ29" i="28"/>
  <c r="AA74" i="20"/>
  <c r="U310" i="46"/>
  <c r="N310" i="46"/>
  <c r="P310" i="46" s="1"/>
  <c r="U119" i="12"/>
  <c r="W119" i="12" s="1"/>
  <c r="N119" i="12"/>
  <c r="P119" i="12" s="1"/>
  <c r="T238" i="47"/>
  <c r="L120" i="12"/>
  <c r="L121" i="12" s="1"/>
  <c r="AE81" i="28"/>
  <c r="V112" i="9"/>
  <c r="X112" i="9" s="1"/>
  <c r="Z112" i="9" s="1"/>
  <c r="S75" i="40"/>
  <c r="S76" i="40" s="1"/>
  <c r="S73" i="40"/>
  <c r="BO131" i="40"/>
  <c r="BN132" i="40"/>
  <c r="BD170" i="40"/>
  <c r="BD169" i="40"/>
  <c r="BD168" i="40"/>
  <c r="X60" i="20"/>
  <c r="Y60" i="20"/>
  <c r="DO51" i="28"/>
  <c r="DO43" i="28"/>
  <c r="DP51" i="28"/>
  <c r="U412" i="40"/>
  <c r="T412" i="40"/>
  <c r="Q16" i="40"/>
  <c r="Q20" i="40" s="1"/>
  <c r="P33" i="40"/>
  <c r="P34" i="40" s="1"/>
  <c r="P21" i="40"/>
  <c r="P48" i="40"/>
  <c r="L78" i="12"/>
  <c r="V70" i="9"/>
  <c r="X70" i="9" s="1"/>
  <c r="Z70" i="9" s="1"/>
  <c r="K142" i="85"/>
  <c r="K166" i="85"/>
  <c r="K179" i="85"/>
  <c r="K155" i="85"/>
  <c r="L179" i="85"/>
  <c r="EJ10" i="37"/>
  <c r="EI33" i="37"/>
  <c r="EH126" i="37" s="1"/>
  <c r="EH195" i="37" s="1"/>
  <c r="BE57" i="17"/>
  <c r="DV70" i="28"/>
  <c r="DV80" i="28"/>
  <c r="J124" i="12"/>
  <c r="AR107" i="45"/>
  <c r="T404" i="40"/>
  <c r="V69" i="9"/>
  <c r="X69" i="9" s="1"/>
  <c r="Z69" i="9" s="1"/>
  <c r="L77" i="12"/>
  <c r="AQ46" i="40"/>
  <c r="AQ27" i="40"/>
  <c r="AQ28" i="40" s="1"/>
  <c r="AQ31" i="40"/>
  <c r="M131" i="45"/>
  <c r="J314" i="46"/>
  <c r="L314" i="46" s="1"/>
  <c r="L132" i="45"/>
  <c r="AA319" i="45"/>
  <c r="R320" i="45"/>
  <c r="R501" i="45"/>
  <c r="S319" i="45"/>
  <c r="N61" i="46"/>
  <c r="P61" i="46" s="1"/>
  <c r="U61" i="46"/>
  <c r="K23" i="85"/>
  <c r="K25" i="85" s="1"/>
  <c r="K34" i="85"/>
  <c r="DN30" i="28"/>
  <c r="X73" i="20"/>
  <c r="N482" i="46"/>
  <c r="N489" i="46"/>
  <c r="S101" i="40"/>
  <c r="S85" i="40"/>
  <c r="ER91" i="37"/>
  <c r="EQ92" i="37"/>
  <c r="EQ93" i="37" s="1"/>
  <c r="B82" i="45"/>
  <c r="B72" i="47"/>
  <c r="B102" i="12"/>
  <c r="J62" i="46"/>
  <c r="L62" i="46" s="1"/>
  <c r="K72" i="45"/>
  <c r="AQ72" i="45"/>
  <c r="X63" i="20"/>
  <c r="Y63" i="20"/>
  <c r="AV46" i="40"/>
  <c r="S224" i="40"/>
  <c r="S203" i="40"/>
  <c r="S204" i="40" s="1"/>
  <c r="BC17" i="40"/>
  <c r="BC16" i="40"/>
  <c r="BC14" i="40"/>
  <c r="BD8" i="40" s="1"/>
  <c r="BC18" i="40"/>
  <c r="BC19" i="40"/>
  <c r="N706" i="46"/>
  <c r="P706" i="46" s="1"/>
  <c r="U706" i="46"/>
  <c r="T407" i="40"/>
  <c r="T383" i="40"/>
  <c r="R429" i="40"/>
  <c r="R423" i="40"/>
  <c r="R414" i="40"/>
  <c r="R428" i="40"/>
  <c r="R425" i="40"/>
  <c r="R420" i="40"/>
  <c r="R427" i="40"/>
  <c r="R430" i="40"/>
  <c r="R431" i="40"/>
  <c r="R426" i="40"/>
  <c r="R419" i="40"/>
  <c r="R418" i="40"/>
  <c r="R422" i="40"/>
  <c r="BI136" i="40"/>
  <c r="BI140" i="40" s="1"/>
  <c r="BI119" i="40"/>
  <c r="BJ114" i="40" s="1"/>
  <c r="W75" i="12"/>
  <c r="K42" i="85"/>
  <c r="L42" i="85"/>
  <c r="W478" i="46"/>
  <c r="U482" i="46"/>
  <c r="T72" i="40"/>
  <c r="T376" i="40"/>
  <c r="U68" i="40"/>
  <c r="U71" i="40" s="1"/>
  <c r="T84" i="40"/>
  <c r="Q424" i="40"/>
  <c r="Q432" i="40" s="1"/>
  <c r="B258" i="45"/>
  <c r="B440" i="45" s="1"/>
  <c r="AU76" i="45"/>
  <c r="BM66" i="17"/>
  <c r="BL53" i="22"/>
  <c r="AV8" i="22"/>
  <c r="X83" i="20"/>
  <c r="X81" i="20"/>
  <c r="U58" i="46"/>
  <c r="W58" i="46" s="1"/>
  <c r="AV27" i="40"/>
  <c r="AP28" i="40"/>
  <c r="O22" i="40"/>
  <c r="O24" i="40"/>
  <c r="O25" i="40" s="1"/>
  <c r="ER36" i="37"/>
  <c r="ER37" i="37" s="1"/>
  <c r="L55" i="22"/>
  <c r="L57" i="22" s="1"/>
  <c r="K9" i="17"/>
  <c r="K13" i="17" s="1"/>
  <c r="K28" i="17" s="1"/>
  <c r="K87" i="17" s="1"/>
  <c r="AF59" i="22"/>
  <c r="AF57" i="22"/>
  <c r="AP47" i="40"/>
  <c r="AV47" i="40" s="1"/>
  <c r="K73" i="85"/>
  <c r="K58" i="85"/>
  <c r="K80" i="85"/>
  <c r="K68" i="85"/>
  <c r="L80" i="85"/>
  <c r="P109" i="45"/>
  <c r="J707" i="46"/>
  <c r="L707" i="46" s="1"/>
  <c r="AQ108" i="45"/>
  <c r="U241" i="40"/>
  <c r="V237" i="40"/>
  <c r="V240" i="40" s="1"/>
  <c r="U253" i="40"/>
  <c r="U254" i="40" s="1"/>
  <c r="U271" i="40"/>
  <c r="U381" i="40"/>
  <c r="S188" i="40"/>
  <c r="S189" i="40" s="1"/>
  <c r="S181" i="40"/>
  <c r="AQ71" i="45"/>
  <c r="ER82" i="37"/>
  <c r="ER83" i="37" s="1"/>
  <c r="DU83" i="37" s="1"/>
  <c r="AH350" i="40"/>
  <c r="BI128" i="40"/>
  <c r="W117" i="46"/>
  <c r="W110" i="46"/>
  <c r="U703" i="46"/>
  <c r="W703" i="46" s="1"/>
  <c r="N138" i="85" l="1"/>
  <c r="O178" i="85"/>
  <c r="DR50" i="28"/>
  <c r="N665" i="46"/>
  <c r="P665" i="46" s="1"/>
  <c r="U665" i="46"/>
  <c r="U73" i="45"/>
  <c r="T74" i="45"/>
  <c r="J765" i="46"/>
  <c r="L765" i="46" s="1"/>
  <c r="J609" i="46"/>
  <c r="L609" i="46" s="1"/>
  <c r="Q73" i="45"/>
  <c r="P74" i="45"/>
  <c r="J666" i="46"/>
  <c r="L666" i="46" s="1"/>
  <c r="N155" i="85"/>
  <c r="N166" i="85"/>
  <c r="N142" i="85"/>
  <c r="N144" i="85" s="1"/>
  <c r="N147" i="85" s="1"/>
  <c r="N149" i="85" s="1"/>
  <c r="N179" i="85"/>
  <c r="O138" i="85"/>
  <c r="O179" i="85" s="1"/>
  <c r="P319" i="45"/>
  <c r="Q316" i="45"/>
  <c r="P498" i="45"/>
  <c r="Q498" i="45" s="1"/>
  <c r="K133" i="45"/>
  <c r="J134" i="45"/>
  <c r="J133" i="46"/>
  <c r="L133" i="46" s="1"/>
  <c r="N123" i="85"/>
  <c r="O123" i="85"/>
  <c r="U246" i="46"/>
  <c r="W246" i="46" s="1"/>
  <c r="N246" i="46"/>
  <c r="P246" i="46" s="1"/>
  <c r="L396" i="46"/>
  <c r="M155" i="85"/>
  <c r="M181" i="85" s="1"/>
  <c r="M166" i="85"/>
  <c r="M179" i="85"/>
  <c r="M142" i="85"/>
  <c r="M144" i="85" s="1"/>
  <c r="M147" i="85" s="1"/>
  <c r="M149" i="85" s="1"/>
  <c r="M180" i="85" s="1"/>
  <c r="U807" i="46"/>
  <c r="W807" i="46" s="1"/>
  <c r="N807" i="46"/>
  <c r="P807" i="46" s="1"/>
  <c r="U288" i="46"/>
  <c r="W288" i="46" s="1"/>
  <c r="N288" i="46"/>
  <c r="P288" i="46" s="1"/>
  <c r="S107" i="85"/>
  <c r="M123" i="85"/>
  <c r="N81" i="85"/>
  <c r="O81" i="85"/>
  <c r="O116" i="45"/>
  <c r="O110" i="45"/>
  <c r="N113" i="45"/>
  <c r="DI125" i="47"/>
  <c r="DI160" i="47"/>
  <c r="L546" i="46"/>
  <c r="N546" i="46" s="1"/>
  <c r="P546" i="46" s="1"/>
  <c r="U545" i="46"/>
  <c r="W545" i="46" s="1"/>
  <c r="N545" i="46"/>
  <c r="P545" i="46" s="1"/>
  <c r="U608" i="46"/>
  <c r="W608" i="46" s="1"/>
  <c r="N608" i="46"/>
  <c r="P608" i="46" s="1"/>
  <c r="T113" i="45"/>
  <c r="U110" i="45"/>
  <c r="J808" i="46"/>
  <c r="L808" i="46" s="1"/>
  <c r="U116" i="45"/>
  <c r="DV14" i="37"/>
  <c r="T244" i="47" s="1"/>
  <c r="L244" i="47"/>
  <c r="P142" i="20"/>
  <c r="Q5" i="20"/>
  <c r="G77" i="45"/>
  <c r="F78" i="45"/>
  <c r="V285" i="40"/>
  <c r="V287" i="40"/>
  <c r="V298" i="40"/>
  <c r="V299" i="40" s="1"/>
  <c r="W281" i="40"/>
  <c r="W284" i="40" s="1"/>
  <c r="N497" i="45"/>
  <c r="O497" i="45" s="1"/>
  <c r="N316" i="45"/>
  <c r="O315" i="45"/>
  <c r="U132" i="46"/>
  <c r="W132" i="46" s="1"/>
  <c r="N132" i="46"/>
  <c r="P132" i="46" s="1"/>
  <c r="U399" i="46"/>
  <c r="N399" i="46"/>
  <c r="P399" i="46" s="1"/>
  <c r="L77" i="45"/>
  <c r="J247" i="46"/>
  <c r="L247" i="46" s="1"/>
  <c r="M74" i="45"/>
  <c r="J146" i="12"/>
  <c r="AR126" i="45"/>
  <c r="U396" i="46"/>
  <c r="DS50" i="28"/>
  <c r="AJ196" i="40"/>
  <c r="AI197" i="40"/>
  <c r="AI194" i="40"/>
  <c r="U764" i="46"/>
  <c r="W764" i="46" s="1"/>
  <c r="N764" i="46"/>
  <c r="P764" i="46" s="1"/>
  <c r="BG6" i="17"/>
  <c r="BH6" i="22"/>
  <c r="J289" i="46"/>
  <c r="L289" i="46" s="1"/>
  <c r="L113" i="45"/>
  <c r="M116" i="45"/>
  <c r="M110" i="45"/>
  <c r="N141" i="12"/>
  <c r="P141" i="12" s="1"/>
  <c r="U141" i="12"/>
  <c r="W141" i="12" s="1"/>
  <c r="U286" i="40"/>
  <c r="U289" i="40"/>
  <c r="U290" i="40" s="1"/>
  <c r="H133" i="45"/>
  <c r="I132" i="45"/>
  <c r="J400" i="46"/>
  <c r="L400" i="46" s="1"/>
  <c r="W127" i="45"/>
  <c r="V128" i="45"/>
  <c r="AQ127" i="45"/>
  <c r="X187" i="45"/>
  <c r="J493" i="46"/>
  <c r="L493" i="46" s="1"/>
  <c r="N493" i="46" s="1"/>
  <c r="N78" i="45"/>
  <c r="O77" i="45"/>
  <c r="J549" i="46"/>
  <c r="L549" i="46" s="1"/>
  <c r="W74" i="45"/>
  <c r="U382" i="40"/>
  <c r="U405" i="40" s="1"/>
  <c r="V77" i="45"/>
  <c r="AD83" i="45"/>
  <c r="AE80" i="45"/>
  <c r="V385" i="40"/>
  <c r="AE86" i="45"/>
  <c r="N139" i="45"/>
  <c r="O138" i="45"/>
  <c r="BU125" i="47"/>
  <c r="BX125" i="47"/>
  <c r="BN125" i="47"/>
  <c r="BX132" i="47"/>
  <c r="BX167" i="47"/>
  <c r="AV81" i="28"/>
  <c r="L145" i="12"/>
  <c r="V137" i="9"/>
  <c r="X137" i="9" s="1"/>
  <c r="Z137" i="9" s="1"/>
  <c r="BZ182" i="29"/>
  <c r="CA181" i="29"/>
  <c r="AR30" i="28"/>
  <c r="AH195" i="40"/>
  <c r="AH365" i="40" s="1"/>
  <c r="AH222" i="40"/>
  <c r="AH223" i="40" s="1"/>
  <c r="DB188" i="29"/>
  <c r="CY191" i="29"/>
  <c r="AB218" i="12"/>
  <c r="AD218" i="12" s="1"/>
  <c r="AB210" i="9"/>
  <c r="AH210" i="9" s="1"/>
  <c r="AH209" i="9"/>
  <c r="H209" i="9"/>
  <c r="HN28" i="38"/>
  <c r="DV52" i="37"/>
  <c r="F380" i="46"/>
  <c r="D380" i="46" s="1"/>
  <c r="AB245" i="47"/>
  <c r="DV37" i="37"/>
  <c r="DY37" i="37" s="1"/>
  <c r="F377" i="46"/>
  <c r="HL13" i="38"/>
  <c r="HL28" i="38"/>
  <c r="O155" i="85"/>
  <c r="O181" i="85" s="1"/>
  <c r="AB240" i="47"/>
  <c r="AQ47" i="40"/>
  <c r="M315" i="40"/>
  <c r="M157" i="40"/>
  <c r="M374" i="40"/>
  <c r="M111" i="40"/>
  <c r="M57" i="40"/>
  <c r="M232" i="40"/>
  <c r="N5" i="40"/>
  <c r="AR127" i="40"/>
  <c r="AK269" i="40"/>
  <c r="AK270" i="40" s="1"/>
  <c r="AK251" i="40"/>
  <c r="AK366" i="40" s="1"/>
  <c r="V378" i="40"/>
  <c r="V401" i="40" s="1"/>
  <c r="V205" i="40"/>
  <c r="W184" i="40"/>
  <c r="AV247" i="40"/>
  <c r="AJ248" i="40"/>
  <c r="T148" i="40"/>
  <c r="T133" i="40"/>
  <c r="V206" i="40"/>
  <c r="W185" i="40"/>
  <c r="V379" i="40"/>
  <c r="V402" i="40" s="1"/>
  <c r="T123" i="40"/>
  <c r="T124" i="40" s="1"/>
  <c r="T121" i="40"/>
  <c r="U377" i="40"/>
  <c r="U400" i="40" s="1"/>
  <c r="V116" i="40"/>
  <c r="V119" i="40" s="1"/>
  <c r="U120" i="40"/>
  <c r="U132" i="40"/>
  <c r="AK247" i="40"/>
  <c r="AK248" i="40" s="1"/>
  <c r="ER23" i="37"/>
  <c r="ER24" i="37" s="1"/>
  <c r="F189" i="46" s="1"/>
  <c r="ES22" i="37"/>
  <c r="V33" i="98"/>
  <c r="V44" i="98" s="1"/>
  <c r="V38" i="98"/>
  <c r="V16" i="98"/>
  <c r="AF417" i="46"/>
  <c r="BO38" i="17"/>
  <c r="ER45" i="37"/>
  <c r="ES45" i="37" s="1"/>
  <c r="EQ46" i="37"/>
  <c r="EQ47" i="37" s="1"/>
  <c r="BN53" i="22"/>
  <c r="N121" i="12"/>
  <c r="P121" i="12" s="1"/>
  <c r="CU238" i="47"/>
  <c r="S238" i="47"/>
  <c r="AR71" i="45"/>
  <c r="J82" i="12"/>
  <c r="V253" i="40"/>
  <c r="V254" i="40" s="1"/>
  <c r="V241" i="40"/>
  <c r="W237" i="40"/>
  <c r="W240" i="40" s="1"/>
  <c r="V381" i="40"/>
  <c r="V271" i="40"/>
  <c r="AR108" i="45"/>
  <c r="J125" i="12"/>
  <c r="K82" i="85"/>
  <c r="L82" i="85"/>
  <c r="T237" i="47"/>
  <c r="AB238" i="47"/>
  <c r="T73" i="40"/>
  <c r="T75" i="40"/>
  <c r="T76" i="40" s="1"/>
  <c r="BJ139" i="40"/>
  <c r="BJ138" i="40"/>
  <c r="BJ115" i="40"/>
  <c r="BJ136" i="40" s="1"/>
  <c r="BJ137" i="40"/>
  <c r="W706" i="46"/>
  <c r="J83" i="12"/>
  <c r="AR72" i="45"/>
  <c r="M132" i="45"/>
  <c r="J315" i="46"/>
  <c r="L315" i="46" s="1"/>
  <c r="L133" i="45"/>
  <c r="K147" i="85"/>
  <c r="K149" i="85" s="1"/>
  <c r="K167" i="85"/>
  <c r="P24" i="40"/>
  <c r="P25" i="40" s="1"/>
  <c r="P22" i="40"/>
  <c r="W310" i="46"/>
  <c r="U311" i="46"/>
  <c r="W311" i="46" s="1"/>
  <c r="U180" i="40"/>
  <c r="V162" i="40"/>
  <c r="V179" i="40" s="1"/>
  <c r="AI72" i="45"/>
  <c r="U19" i="40"/>
  <c r="U20" i="40" s="1"/>
  <c r="E74" i="45"/>
  <c r="D77" i="45"/>
  <c r="J74" i="45"/>
  <c r="U404" i="40"/>
  <c r="U242" i="40"/>
  <c r="U244" i="40"/>
  <c r="U245" i="40" s="1"/>
  <c r="N707" i="46"/>
  <c r="P707" i="46" s="1"/>
  <c r="U707" i="46"/>
  <c r="W707" i="46" s="1"/>
  <c r="T101" i="40"/>
  <c r="T85" i="40"/>
  <c r="AU82" i="45"/>
  <c r="B264" i="45"/>
  <c r="B446" i="45" s="1"/>
  <c r="N314" i="46"/>
  <c r="P314" i="46" s="1"/>
  <c r="U314" i="46"/>
  <c r="BE59" i="17"/>
  <c r="CL56" i="28"/>
  <c r="CL57" i="28"/>
  <c r="K181" i="85"/>
  <c r="L181" i="85"/>
  <c r="BP131" i="40"/>
  <c r="BO132" i="40"/>
  <c r="DR29" i="28"/>
  <c r="AB74" i="20"/>
  <c r="T181" i="40"/>
  <c r="T188" i="40"/>
  <c r="T189" i="40" s="1"/>
  <c r="U380" i="40"/>
  <c r="V186" i="40"/>
  <c r="U183" i="40"/>
  <c r="CG57" i="28"/>
  <c r="DO42" i="28"/>
  <c r="DO27" i="28"/>
  <c r="J63" i="46"/>
  <c r="L63" i="46" s="1"/>
  <c r="K73" i="45"/>
  <c r="P110" i="45"/>
  <c r="J708" i="46"/>
  <c r="L708" i="46" s="1"/>
  <c r="AQ109" i="45"/>
  <c r="K63" i="85"/>
  <c r="K65" i="85" s="1"/>
  <c r="K74" i="85"/>
  <c r="M9" i="17"/>
  <c r="M13" i="17" s="1"/>
  <c r="M28" i="17" s="1"/>
  <c r="M87" i="17" s="1"/>
  <c r="N55" i="22"/>
  <c r="N57" i="22" s="1"/>
  <c r="X84" i="20"/>
  <c r="Y84" i="20"/>
  <c r="V68" i="40"/>
  <c r="V71" i="40" s="1"/>
  <c r="U84" i="40"/>
  <c r="U376" i="40"/>
  <c r="U72" i="40"/>
  <c r="W482" i="46"/>
  <c r="BD19" i="40"/>
  <c r="N62" i="46"/>
  <c r="P62" i="46" s="1"/>
  <c r="U62" i="46"/>
  <c r="W62" i="46" s="1"/>
  <c r="W61" i="46"/>
  <c r="N77" i="12"/>
  <c r="P77" i="12" s="1"/>
  <c r="U77" i="12"/>
  <c r="L79" i="12"/>
  <c r="N78" i="12"/>
  <c r="P78" i="12" s="1"/>
  <c r="U78" i="12"/>
  <c r="W78" i="12" s="1"/>
  <c r="R16" i="40"/>
  <c r="R20" i="40" s="1"/>
  <c r="Q21" i="40"/>
  <c r="Q33" i="40"/>
  <c r="Q34" i="40" s="1"/>
  <c r="Q48" i="40"/>
  <c r="U120" i="12"/>
  <c r="N120" i="12"/>
  <c r="P120" i="12" s="1"/>
  <c r="AC72" i="45"/>
  <c r="AB73" i="45"/>
  <c r="AQ73" i="45" s="1"/>
  <c r="K105" i="85"/>
  <c r="K107" i="85" s="1"/>
  <c r="K116" i="85"/>
  <c r="U111" i="46"/>
  <c r="N111" i="46"/>
  <c r="P111" i="46" s="1"/>
  <c r="N118" i="46"/>
  <c r="P118" i="46" s="1"/>
  <c r="L114" i="46"/>
  <c r="S420" i="40"/>
  <c r="S426" i="40"/>
  <c r="S427" i="40"/>
  <c r="S428" i="40"/>
  <c r="S423" i="40"/>
  <c r="S429" i="40"/>
  <c r="S431" i="40"/>
  <c r="S414" i="40"/>
  <c r="S419" i="40"/>
  <c r="S425" i="40"/>
  <c r="S430" i="40"/>
  <c r="S418" i="40"/>
  <c r="S422" i="40"/>
  <c r="AG9" i="17"/>
  <c r="AH55" i="22"/>
  <c r="AH57" i="22" s="1"/>
  <c r="F370" i="46"/>
  <c r="AV17" i="22"/>
  <c r="AV35" i="22" s="1"/>
  <c r="AV56" i="22" s="1"/>
  <c r="AV59" i="22" s="1"/>
  <c r="AW79" i="17"/>
  <c r="T399" i="40"/>
  <c r="T391" i="40"/>
  <c r="R424" i="40"/>
  <c r="R432" i="40" s="1"/>
  <c r="BC20" i="40"/>
  <c r="B109" i="12"/>
  <c r="B88" i="45"/>
  <c r="B79" i="47"/>
  <c r="ER92" i="37"/>
  <c r="ER93" i="37" s="1"/>
  <c r="DU93" i="37" s="1"/>
  <c r="L246" i="47" s="1"/>
  <c r="Y73" i="20"/>
  <c r="DO30" i="28"/>
  <c r="K41" i="85"/>
  <c r="L41" i="85"/>
  <c r="AA320" i="45"/>
  <c r="R321" i="45"/>
  <c r="R502" i="45"/>
  <c r="S320" i="45"/>
  <c r="L124" i="12"/>
  <c r="V116" i="9"/>
  <c r="X116" i="9" s="1"/>
  <c r="Z116" i="9" s="1"/>
  <c r="AG81" i="28"/>
  <c r="EJ33" i="37"/>
  <c r="EI56" i="37" s="1"/>
  <c r="EK10" i="37"/>
  <c r="K124" i="85"/>
  <c r="L124" i="85"/>
  <c r="T203" i="40"/>
  <c r="T224" i="40"/>
  <c r="U112" i="46"/>
  <c r="N112" i="46"/>
  <c r="N119" i="46"/>
  <c r="P119" i="46" s="1"/>
  <c r="S417" i="40"/>
  <c r="O166" i="85" l="1"/>
  <c r="O142" i="85"/>
  <c r="O144" i="85" s="1"/>
  <c r="O147" i="85" s="1"/>
  <c r="O149" i="85" s="1"/>
  <c r="U546" i="46"/>
  <c r="W546" i="46" s="1"/>
  <c r="AE83" i="45"/>
  <c r="AD84" i="45"/>
  <c r="J147" i="12"/>
  <c r="AR127" i="45"/>
  <c r="F79" i="45"/>
  <c r="G78" i="45"/>
  <c r="U133" i="46"/>
  <c r="W133" i="46" s="1"/>
  <c r="N133" i="46"/>
  <c r="P133" i="46" s="1"/>
  <c r="AI195" i="40"/>
  <c r="AI365" i="40" s="1"/>
  <c r="AI222" i="40"/>
  <c r="AI223" i="40" s="1"/>
  <c r="N247" i="46"/>
  <c r="P247" i="46" s="1"/>
  <c r="U247" i="46"/>
  <c r="L248" i="46"/>
  <c r="N248" i="46" s="1"/>
  <c r="P248" i="46" s="1"/>
  <c r="Q142" i="20"/>
  <c r="R5" i="20"/>
  <c r="U74" i="45"/>
  <c r="J766" i="46"/>
  <c r="L766" i="46" s="1"/>
  <c r="T77" i="45"/>
  <c r="DC188" i="29"/>
  <c r="DB189" i="29"/>
  <c r="N145" i="12"/>
  <c r="P145" i="12" s="1"/>
  <c r="U145" i="12"/>
  <c r="W145" i="12" s="1"/>
  <c r="N140" i="45"/>
  <c r="N143" i="45" s="1"/>
  <c r="O139" i="45"/>
  <c r="N549" i="46"/>
  <c r="P549" i="46" s="1"/>
  <c r="U549" i="46"/>
  <c r="W549" i="46" s="1"/>
  <c r="U400" i="46"/>
  <c r="W400" i="46" s="1"/>
  <c r="N400" i="46"/>
  <c r="P400" i="46" s="1"/>
  <c r="L78" i="45"/>
  <c r="J251" i="46"/>
  <c r="L251" i="46" s="1"/>
  <c r="M77" i="45"/>
  <c r="AW81" i="28"/>
  <c r="V138" i="9"/>
  <c r="X138" i="9" s="1"/>
  <c r="Z138" i="9" s="1"/>
  <c r="L146" i="12"/>
  <c r="U142" i="12"/>
  <c r="CA182" i="29"/>
  <c r="BZ183" i="29"/>
  <c r="AS30" i="28"/>
  <c r="BZ184" i="29"/>
  <c r="CA184" i="29" s="1"/>
  <c r="J134" i="46"/>
  <c r="L134" i="46" s="1"/>
  <c r="J137" i="45"/>
  <c r="K134" i="45"/>
  <c r="N319" i="45"/>
  <c r="O316" i="45"/>
  <c r="N498" i="45"/>
  <c r="O498" i="45" s="1"/>
  <c r="J812" i="46"/>
  <c r="L812" i="46" s="1"/>
  <c r="U113" i="45"/>
  <c r="U119" i="45"/>
  <c r="T114" i="45"/>
  <c r="N180" i="85"/>
  <c r="AI191" i="40"/>
  <c r="AI192" i="40" s="1"/>
  <c r="M113" i="45"/>
  <c r="J293" i="46"/>
  <c r="L293" i="46" s="1"/>
  <c r="L114" i="45"/>
  <c r="M119" i="45"/>
  <c r="AJ197" i="40"/>
  <c r="AK196" i="40"/>
  <c r="AJ194" i="40"/>
  <c r="W287" i="40"/>
  <c r="W298" i="40"/>
  <c r="W299" i="40" s="1"/>
  <c r="W285" i="40"/>
  <c r="X281" i="40"/>
  <c r="X284" i="40" s="1"/>
  <c r="N181" i="85"/>
  <c r="V131" i="45"/>
  <c r="AD382" i="40"/>
  <c r="W128" i="45"/>
  <c r="AQ128" i="45"/>
  <c r="N765" i="46"/>
  <c r="P765" i="46" s="1"/>
  <c r="U765" i="46"/>
  <c r="W765" i="46" s="1"/>
  <c r="O113" i="45"/>
  <c r="O119" i="45"/>
  <c r="N114" i="45"/>
  <c r="O180" i="85"/>
  <c r="W408" i="40"/>
  <c r="V408" i="40"/>
  <c r="O78" i="45"/>
  <c r="J550" i="46"/>
  <c r="L550" i="46" s="1"/>
  <c r="N79" i="45"/>
  <c r="J401" i="46"/>
  <c r="L401" i="46" s="1"/>
  <c r="I133" i="45"/>
  <c r="H134" i="45"/>
  <c r="L290" i="46"/>
  <c r="N290" i="46" s="1"/>
  <c r="P290" i="46" s="1"/>
  <c r="N296" i="46"/>
  <c r="P296" i="46" s="1"/>
  <c r="N289" i="46"/>
  <c r="P289" i="46" s="1"/>
  <c r="U289" i="46"/>
  <c r="Q319" i="45"/>
  <c r="P501" i="45"/>
  <c r="Q501" i="45" s="1"/>
  <c r="P320" i="45"/>
  <c r="U666" i="46"/>
  <c r="W666" i="46" s="1"/>
  <c r="N666" i="46"/>
  <c r="P666" i="46" s="1"/>
  <c r="W665" i="46"/>
  <c r="X188" i="45"/>
  <c r="J495" i="46" s="1"/>
  <c r="J494" i="46"/>
  <c r="L494" i="46" s="1"/>
  <c r="N494" i="46" s="1"/>
  <c r="V286" i="40"/>
  <c r="V289" i="40"/>
  <c r="V290" i="40" s="1"/>
  <c r="W77" i="45"/>
  <c r="V78" i="45"/>
  <c r="L809" i="46"/>
  <c r="N809" i="46" s="1"/>
  <c r="P809" i="46" s="1"/>
  <c r="N815" i="46"/>
  <c r="P815" i="46" s="1"/>
  <c r="N808" i="46"/>
  <c r="P808" i="46" s="1"/>
  <c r="U808" i="46"/>
  <c r="N609" i="46"/>
  <c r="P609" i="46" s="1"/>
  <c r="U609" i="46"/>
  <c r="BN30" i="22"/>
  <c r="BQ38" i="17"/>
  <c r="BP30" i="22" s="1"/>
  <c r="BJ6" i="22"/>
  <c r="BI6" i="17"/>
  <c r="W399" i="46"/>
  <c r="J610" i="46"/>
  <c r="L610" i="46" s="1"/>
  <c r="Q74" i="45"/>
  <c r="P77" i="45"/>
  <c r="J667" i="46"/>
  <c r="L667" i="46" s="1"/>
  <c r="BJ240" i="47"/>
  <c r="AB219" i="12"/>
  <c r="AD219" i="12" s="1"/>
  <c r="AJ209" i="9"/>
  <c r="N209" i="9"/>
  <c r="HO28" i="38"/>
  <c r="DT13" i="29"/>
  <c r="CW47" i="28" s="1"/>
  <c r="AB247" i="47"/>
  <c r="DY52" i="37"/>
  <c r="DT11" i="29"/>
  <c r="CU47" i="28" s="1"/>
  <c r="HO18" i="38"/>
  <c r="AB244" i="47"/>
  <c r="BI240" i="47"/>
  <c r="AC240" i="47"/>
  <c r="K241" i="47"/>
  <c r="AM63" i="40" s="1"/>
  <c r="K246" i="47"/>
  <c r="N111" i="40"/>
  <c r="O5" i="40"/>
  <c r="N57" i="40"/>
  <c r="N374" i="40"/>
  <c r="N232" i="40"/>
  <c r="N315" i="40"/>
  <c r="N157" i="40"/>
  <c r="U121" i="40"/>
  <c r="U123" i="40"/>
  <c r="U124" i="40" s="1"/>
  <c r="S424" i="40"/>
  <c r="S432" i="40" s="1"/>
  <c r="X184" i="40"/>
  <c r="W205" i="40"/>
  <c r="W378" i="40"/>
  <c r="W401" i="40" s="1"/>
  <c r="W116" i="40"/>
  <c r="W119" i="40" s="1"/>
  <c r="V377" i="40"/>
  <c r="V400" i="40" s="1"/>
  <c r="V132" i="40"/>
  <c r="V120" i="40"/>
  <c r="W206" i="40"/>
  <c r="W379" i="40"/>
  <c r="W402" i="40" s="1"/>
  <c r="X185" i="40"/>
  <c r="U148" i="40"/>
  <c r="U133" i="40"/>
  <c r="F239" i="47"/>
  <c r="ES46" i="37"/>
  <c r="ES47" i="37" s="1"/>
  <c r="DU47" i="37" s="1"/>
  <c r="ES23" i="37"/>
  <c r="ES24" i="37" s="1"/>
  <c r="DU24" i="37" s="1"/>
  <c r="W29" i="98"/>
  <c r="V35" i="98"/>
  <c r="V37" i="98"/>
  <c r="V39" i="98" s="1"/>
  <c r="F209" i="12"/>
  <c r="HN18" i="38"/>
  <c r="ER46" i="37"/>
  <c r="ER47" i="37" s="1"/>
  <c r="EK33" i="37"/>
  <c r="EJ56" i="37" s="1"/>
  <c r="EL10" i="37"/>
  <c r="B270" i="45"/>
  <c r="B452" i="45" s="1"/>
  <c r="AU88" i="45"/>
  <c r="T429" i="40"/>
  <c r="T431" i="40"/>
  <c r="T423" i="40"/>
  <c r="T414" i="40"/>
  <c r="T426" i="40"/>
  <c r="T427" i="40"/>
  <c r="T420" i="40"/>
  <c r="T428" i="40"/>
  <c r="T419" i="40"/>
  <c r="T418" i="40"/>
  <c r="T422" i="40"/>
  <c r="T425" i="40"/>
  <c r="T430" i="40"/>
  <c r="AB237" i="47"/>
  <c r="N114" i="46"/>
  <c r="P114" i="46" s="1"/>
  <c r="N121" i="46"/>
  <c r="P121" i="46" s="1"/>
  <c r="Q22" i="40"/>
  <c r="Q24" i="40"/>
  <c r="Q25" i="40" s="1"/>
  <c r="W77" i="12"/>
  <c r="U79" i="12"/>
  <c r="W79" i="12" s="1"/>
  <c r="U75" i="40"/>
  <c r="U76" i="40" s="1"/>
  <c r="U73" i="40"/>
  <c r="K81" i="85"/>
  <c r="L81" i="85"/>
  <c r="U63" i="46"/>
  <c r="N63" i="46"/>
  <c r="P63" i="46" s="1"/>
  <c r="BP132" i="40"/>
  <c r="BQ131" i="40"/>
  <c r="V16" i="40"/>
  <c r="V20" i="40" s="1"/>
  <c r="U33" i="40"/>
  <c r="U34" i="40" s="1"/>
  <c r="U21" i="40"/>
  <c r="U48" i="40"/>
  <c r="K180" i="85"/>
  <c r="L180" i="85"/>
  <c r="N315" i="46"/>
  <c r="P315" i="46" s="1"/>
  <c r="U315" i="46"/>
  <c r="W315" i="46" s="1"/>
  <c r="BJ140" i="40"/>
  <c r="L125" i="12"/>
  <c r="V117" i="9"/>
  <c r="X117" i="9" s="1"/>
  <c r="Z117" i="9" s="1"/>
  <c r="AH81" i="28"/>
  <c r="X237" i="40"/>
  <c r="X240" i="40" s="1"/>
  <c r="W271" i="40"/>
  <c r="W253" i="40"/>
  <c r="W254" i="40" s="1"/>
  <c r="W241" i="40"/>
  <c r="W381" i="40"/>
  <c r="L82" i="12"/>
  <c r="V74" i="9"/>
  <c r="X74" i="9" s="1"/>
  <c r="Z74" i="9" s="1"/>
  <c r="AA321" i="45"/>
  <c r="S321" i="45"/>
  <c r="R322" i="45"/>
  <c r="R503" i="45"/>
  <c r="AC238" i="47"/>
  <c r="DB238" i="47"/>
  <c r="AD238" i="47"/>
  <c r="S237" i="47"/>
  <c r="AI9" i="17"/>
  <c r="AJ55" i="22"/>
  <c r="AJ57" i="22" s="1"/>
  <c r="K123" i="85"/>
  <c r="L123" i="85"/>
  <c r="R33" i="40"/>
  <c r="R21" i="40"/>
  <c r="R48" i="40"/>
  <c r="U399" i="40"/>
  <c r="O9" i="17"/>
  <c r="O13" i="17" s="1"/>
  <c r="O28" i="17" s="1"/>
  <c r="O87" i="17" s="1"/>
  <c r="P55" i="22"/>
  <c r="P57" i="22" s="1"/>
  <c r="AR109" i="45"/>
  <c r="J126" i="12"/>
  <c r="AR115" i="45"/>
  <c r="DO50" i="28"/>
  <c r="DP50" i="28"/>
  <c r="U203" i="40"/>
  <c r="U224" i="40"/>
  <c r="W162" i="40"/>
  <c r="W179" i="40" s="1"/>
  <c r="V180" i="40"/>
  <c r="V75" i="9"/>
  <c r="X75" i="9" s="1"/>
  <c r="Z75" i="9" s="1"/>
  <c r="L83" i="12"/>
  <c r="V242" i="40"/>
  <c r="V244" i="40"/>
  <c r="V245" i="40" s="1"/>
  <c r="W119" i="46"/>
  <c r="W112" i="46"/>
  <c r="Z73" i="20"/>
  <c r="DP30" i="28"/>
  <c r="B94" i="45"/>
  <c r="B86" i="47"/>
  <c r="AG91" i="17"/>
  <c r="AG13" i="17"/>
  <c r="AG28" i="17" s="1"/>
  <c r="U85" i="40"/>
  <c r="U101" i="40"/>
  <c r="N708" i="46"/>
  <c r="P708" i="46" s="1"/>
  <c r="U708" i="46"/>
  <c r="W708" i="46" s="1"/>
  <c r="AR73" i="45"/>
  <c r="J84" i="12"/>
  <c r="W186" i="40"/>
  <c r="V380" i="40"/>
  <c r="V183" i="40"/>
  <c r="W314" i="46"/>
  <c r="K74" i="45"/>
  <c r="J64" i="46"/>
  <c r="L64" i="46" s="1"/>
  <c r="T421" i="40"/>
  <c r="U181" i="40"/>
  <c r="U188" i="40"/>
  <c r="U189" i="40" s="1"/>
  <c r="T204" i="40"/>
  <c r="J64" i="28"/>
  <c r="N124" i="12"/>
  <c r="P124" i="12" s="1"/>
  <c r="U124" i="12"/>
  <c r="T417" i="40"/>
  <c r="W111" i="46"/>
  <c r="W118" i="46"/>
  <c r="U114" i="46"/>
  <c r="AC73" i="45"/>
  <c r="AB74" i="45"/>
  <c r="W120" i="12"/>
  <c r="U121" i="12"/>
  <c r="W121" i="12" s="1"/>
  <c r="N79" i="12"/>
  <c r="P79" i="12" s="1"/>
  <c r="V376" i="40"/>
  <c r="W68" i="40"/>
  <c r="W71" i="40" s="1"/>
  <c r="V84" i="40"/>
  <c r="V72" i="40"/>
  <c r="P113" i="45"/>
  <c r="J709" i="46"/>
  <c r="L709" i="46" s="1"/>
  <c r="AQ110" i="45"/>
  <c r="DS29" i="28"/>
  <c r="AC74" i="20"/>
  <c r="D78" i="45"/>
  <c r="J77" i="45"/>
  <c r="E77" i="45"/>
  <c r="M133" i="45"/>
  <c r="L134" i="45"/>
  <c r="J316" i="46"/>
  <c r="L316" i="46" s="1"/>
  <c r="BJ119" i="40"/>
  <c r="BK114" i="40" s="1"/>
  <c r="V404" i="40"/>
  <c r="L495" i="46" l="1"/>
  <c r="L496" i="46" s="1"/>
  <c r="N496" i="46" s="1"/>
  <c r="CR47" i="28"/>
  <c r="N610" i="46"/>
  <c r="P610" i="46" s="1"/>
  <c r="U610" i="46"/>
  <c r="W610" i="46" s="1"/>
  <c r="L611" i="46"/>
  <c r="N611" i="46" s="1"/>
  <c r="P611" i="46" s="1"/>
  <c r="H137" i="45"/>
  <c r="J402" i="46"/>
  <c r="L402" i="46" s="1"/>
  <c r="DL61" i="28"/>
  <c r="I134" i="45"/>
  <c r="DB193" i="29"/>
  <c r="DC193" i="29" s="1"/>
  <c r="DC189" i="29"/>
  <c r="DB190" i="29"/>
  <c r="P321" i="45"/>
  <c r="P502" i="45"/>
  <c r="Q502" i="45" s="1"/>
  <c r="Q320" i="45"/>
  <c r="AJ222" i="40"/>
  <c r="AJ223" i="40" s="1"/>
  <c r="AJ195" i="40"/>
  <c r="AJ365" i="40" s="1"/>
  <c r="AV194" i="40"/>
  <c r="N146" i="12"/>
  <c r="P146" i="12" s="1"/>
  <c r="U146" i="12"/>
  <c r="W146" i="12" s="1"/>
  <c r="W247" i="46"/>
  <c r="U248" i="46"/>
  <c r="W248" i="46" s="1"/>
  <c r="AK197" i="40"/>
  <c r="AK194" i="40"/>
  <c r="BK6" i="17"/>
  <c r="BL6" i="22"/>
  <c r="U809" i="46"/>
  <c r="W809" i="46" s="1"/>
  <c r="W808" i="46"/>
  <c r="W815" i="46"/>
  <c r="J551" i="46"/>
  <c r="L551" i="46" s="1"/>
  <c r="O79" i="45"/>
  <c r="N80" i="45"/>
  <c r="L135" i="46"/>
  <c r="N135" i="46" s="1"/>
  <c r="P135" i="46" s="1"/>
  <c r="U134" i="46"/>
  <c r="W134" i="46" s="1"/>
  <c r="N134" i="46"/>
  <c r="P134" i="46" s="1"/>
  <c r="T78" i="45"/>
  <c r="U77" i="45"/>
  <c r="J770" i="46"/>
  <c r="L770" i="46" s="1"/>
  <c r="AJ191" i="40"/>
  <c r="V139" i="9"/>
  <c r="X139" i="9" s="1"/>
  <c r="Z139" i="9" s="1"/>
  <c r="L147" i="12"/>
  <c r="AX81" i="28"/>
  <c r="W78" i="45"/>
  <c r="V79" i="45"/>
  <c r="AR128" i="45"/>
  <c r="J148" i="12"/>
  <c r="G79" i="45"/>
  <c r="F80" i="45"/>
  <c r="O114" i="45"/>
  <c r="O120" i="45"/>
  <c r="U120" i="45"/>
  <c r="U114" i="45"/>
  <c r="J813" i="46"/>
  <c r="J138" i="46"/>
  <c r="L138" i="46" s="1"/>
  <c r="K137" i="45"/>
  <c r="J138" i="45"/>
  <c r="U667" i="46"/>
  <c r="W667" i="46" s="1"/>
  <c r="N667" i="46"/>
  <c r="P667" i="46" s="1"/>
  <c r="U290" i="46"/>
  <c r="W290" i="46" s="1"/>
  <c r="W296" i="46"/>
  <c r="W289" i="46"/>
  <c r="N550" i="46"/>
  <c r="P550" i="46" s="1"/>
  <c r="U550" i="46"/>
  <c r="W550" i="46" s="1"/>
  <c r="X298" i="40"/>
  <c r="X299" i="40" s="1"/>
  <c r="X285" i="40"/>
  <c r="Y281" i="40"/>
  <c r="Y284" i="40" s="1"/>
  <c r="O143" i="45"/>
  <c r="N144" i="45"/>
  <c r="L767" i="46"/>
  <c r="N767" i="46" s="1"/>
  <c r="P767" i="46" s="1"/>
  <c r="U766" i="46"/>
  <c r="N766" i="46"/>
  <c r="P766" i="46" s="1"/>
  <c r="AE84" i="45"/>
  <c r="W19" i="40"/>
  <c r="V132" i="45"/>
  <c r="W131" i="45"/>
  <c r="AQ131" i="45"/>
  <c r="F211" i="12"/>
  <c r="J671" i="46"/>
  <c r="L671" i="46" s="1"/>
  <c r="Q77" i="45"/>
  <c r="P78" i="45"/>
  <c r="J614" i="46"/>
  <c r="L614" i="46" s="1"/>
  <c r="W289" i="40"/>
  <c r="W290" i="40" s="1"/>
  <c r="W286" i="40"/>
  <c r="M114" i="45"/>
  <c r="M120" i="45"/>
  <c r="J294" i="46"/>
  <c r="N812" i="46"/>
  <c r="P812" i="46" s="1"/>
  <c r="U812" i="46"/>
  <c r="N819" i="46"/>
  <c r="P819" i="46" s="1"/>
  <c r="N251" i="46"/>
  <c r="P251" i="46" s="1"/>
  <c r="U251" i="46"/>
  <c r="W251" i="46" s="1"/>
  <c r="N320" i="45"/>
  <c r="N501" i="45"/>
  <c r="O501" i="45" s="1"/>
  <c r="O319" i="45"/>
  <c r="W609" i="46"/>
  <c r="DK65" i="28"/>
  <c r="AD17" i="40"/>
  <c r="AD405" i="40"/>
  <c r="U401" i="46"/>
  <c r="N401" i="46"/>
  <c r="P401" i="46" s="1"/>
  <c r="N293" i="46"/>
  <c r="P293" i="46" s="1"/>
  <c r="U293" i="46"/>
  <c r="N300" i="46"/>
  <c r="P300" i="46" s="1"/>
  <c r="AT30" i="28"/>
  <c r="CD180" i="29"/>
  <c r="CA183" i="29"/>
  <c r="J252" i="46"/>
  <c r="L252" i="46" s="1"/>
  <c r="M78" i="45"/>
  <c r="L79" i="45"/>
  <c r="S5" i="20"/>
  <c r="R142" i="20"/>
  <c r="L668" i="46"/>
  <c r="N668" i="46" s="1"/>
  <c r="P668" i="46" s="1"/>
  <c r="F246" i="47"/>
  <c r="F196" i="46"/>
  <c r="D196" i="46" s="1"/>
  <c r="BJ247" i="47"/>
  <c r="F218" i="12"/>
  <c r="DV47" i="37"/>
  <c r="F379" i="46"/>
  <c r="D379" i="46" s="1"/>
  <c r="BJ245" i="47"/>
  <c r="F216" i="12"/>
  <c r="HO13" i="38"/>
  <c r="DT10" i="29"/>
  <c r="CT47" i="28" s="1"/>
  <c r="DV24" i="37"/>
  <c r="T246" i="47" s="1"/>
  <c r="HL23" i="38"/>
  <c r="G239" i="47"/>
  <c r="R241" i="47"/>
  <c r="E241" i="47"/>
  <c r="AD240" i="47"/>
  <c r="BG240" i="47"/>
  <c r="HD28" i="38"/>
  <c r="BB240" i="47"/>
  <c r="U240" i="47"/>
  <c r="H240" i="47"/>
  <c r="AI240" i="47"/>
  <c r="BK240" i="47"/>
  <c r="M240" i="47"/>
  <c r="DB240" i="47"/>
  <c r="T239" i="47"/>
  <c r="O315" i="40"/>
  <c r="O57" i="40"/>
  <c r="O374" i="40"/>
  <c r="O232" i="40"/>
  <c r="P5" i="40"/>
  <c r="O157" i="40"/>
  <c r="O111" i="40"/>
  <c r="V148" i="40"/>
  <c r="V133" i="40"/>
  <c r="X116" i="40"/>
  <c r="X119" i="40" s="1"/>
  <c r="DD62" i="28"/>
  <c r="W377" i="40"/>
  <c r="W120" i="40"/>
  <c r="W132" i="40"/>
  <c r="X379" i="40"/>
  <c r="X402" i="40" s="1"/>
  <c r="X206" i="40"/>
  <c r="Y185" i="40"/>
  <c r="V121" i="40"/>
  <c r="V123" i="40"/>
  <c r="V124" i="40" s="1"/>
  <c r="X205" i="40"/>
  <c r="Y184" i="40"/>
  <c r="X378" i="40"/>
  <c r="X401" i="40" s="1"/>
  <c r="W30" i="98"/>
  <c r="W15" i="98" s="1"/>
  <c r="CP47" i="28"/>
  <c r="BJ238" i="47"/>
  <c r="F208" i="12"/>
  <c r="HN13" i="38"/>
  <c r="F372" i="46"/>
  <c r="W124" i="12"/>
  <c r="BK137" i="40"/>
  <c r="BK115" i="40"/>
  <c r="BK139" i="40"/>
  <c r="BK138" i="40"/>
  <c r="AR110" i="45"/>
  <c r="J127" i="12"/>
  <c r="AR116" i="45"/>
  <c r="V101" i="40"/>
  <c r="V85" i="40"/>
  <c r="AC74" i="45"/>
  <c r="AB77" i="45"/>
  <c r="AQ77" i="45" s="1"/>
  <c r="U384" i="40"/>
  <c r="AQ74" i="45"/>
  <c r="V224" i="40"/>
  <c r="V203" i="40"/>
  <c r="V204" i="40" s="1"/>
  <c r="L84" i="12"/>
  <c r="V76" i="9"/>
  <c r="X76" i="9" s="1"/>
  <c r="Z76" i="9" s="1"/>
  <c r="U83" i="12"/>
  <c r="W83" i="12" s="1"/>
  <c r="N83" i="12"/>
  <c r="P83" i="12" s="1"/>
  <c r="R34" i="40"/>
  <c r="S34" i="40"/>
  <c r="AL55" i="22"/>
  <c r="AL57" i="22" s="1"/>
  <c r="AN55" i="22" s="1"/>
  <c r="AN57" i="22" s="1"/>
  <c r="AP55" i="22" s="1"/>
  <c r="AP57" i="22" s="1"/>
  <c r="AR55" i="22" s="1"/>
  <c r="AR57" i="22" s="1"/>
  <c r="AT55" i="22" s="1"/>
  <c r="AT57" i="22" s="1"/>
  <c r="AK9" i="17"/>
  <c r="U125" i="12"/>
  <c r="W125" i="12" s="1"/>
  <c r="N125" i="12"/>
  <c r="P125" i="12" s="1"/>
  <c r="V73" i="40"/>
  <c r="V75" i="40"/>
  <c r="V76" i="40" s="1"/>
  <c r="AU94" i="45"/>
  <c r="B276" i="45"/>
  <c r="B458" i="45" s="1"/>
  <c r="R24" i="40"/>
  <c r="R22" i="40"/>
  <c r="S22" i="40"/>
  <c r="J68" i="46"/>
  <c r="L68" i="46" s="1"/>
  <c r="K77" i="45"/>
  <c r="AD74" i="20"/>
  <c r="DT29" i="28"/>
  <c r="N716" i="46"/>
  <c r="P716" i="46" s="1"/>
  <c r="N709" i="46"/>
  <c r="P709" i="46" s="1"/>
  <c r="U709" i="46"/>
  <c r="L710" i="46"/>
  <c r="N710" i="46" s="1"/>
  <c r="P710" i="46" s="1"/>
  <c r="W376" i="40"/>
  <c r="X68" i="40"/>
  <c r="X71" i="40" s="1"/>
  <c r="W72" i="40"/>
  <c r="W84" i="40"/>
  <c r="U64" i="46"/>
  <c r="W64" i="46" s="1"/>
  <c r="N64" i="46"/>
  <c r="P64" i="46" s="1"/>
  <c r="L65" i="46"/>
  <c r="N65" i="46" s="1"/>
  <c r="P65" i="46" s="1"/>
  <c r="AG87" i="17"/>
  <c r="BI237" i="47"/>
  <c r="U204" i="40"/>
  <c r="K64" i="28"/>
  <c r="V118" i="9"/>
  <c r="X118" i="9" s="1"/>
  <c r="AI81" i="28"/>
  <c r="L126" i="12"/>
  <c r="Q9" i="17"/>
  <c r="Q13" i="17" s="1"/>
  <c r="Q28" i="17" s="1"/>
  <c r="Q87" i="17" s="1"/>
  <c r="R55" i="22"/>
  <c r="R57" i="22" s="1"/>
  <c r="AI13" i="17"/>
  <c r="AI28" i="17" s="1"/>
  <c r="AI91" i="17"/>
  <c r="CU237" i="47"/>
  <c r="W404" i="40"/>
  <c r="DD66" i="28"/>
  <c r="X381" i="40"/>
  <c r="X253" i="40"/>
  <c r="X254" i="40" s="1"/>
  <c r="X241" i="40"/>
  <c r="Y237" i="40"/>
  <c r="Y240" i="40" s="1"/>
  <c r="X271" i="40"/>
  <c r="V33" i="40"/>
  <c r="M54" i="28"/>
  <c r="W16" i="40"/>
  <c r="W20" i="40" s="1"/>
  <c r="V21" i="40"/>
  <c r="V48" i="40"/>
  <c r="W63" i="46"/>
  <c r="T424" i="40"/>
  <c r="T432" i="40" s="1"/>
  <c r="EM10" i="37"/>
  <c r="EL33" i="37"/>
  <c r="EK56" i="37" s="1"/>
  <c r="J317" i="46"/>
  <c r="L317" i="46" s="1"/>
  <c r="L137" i="45"/>
  <c r="M134" i="45"/>
  <c r="W180" i="40"/>
  <c r="X162" i="40"/>
  <c r="X179" i="40" s="1"/>
  <c r="R325" i="45"/>
  <c r="AA322" i="45"/>
  <c r="S322" i="45"/>
  <c r="R504" i="45"/>
  <c r="U22" i="40"/>
  <c r="U24" i="40"/>
  <c r="U25" i="40" s="1"/>
  <c r="N316" i="46"/>
  <c r="P316" i="46" s="1"/>
  <c r="U316" i="46"/>
  <c r="J78" i="45"/>
  <c r="E78" i="45"/>
  <c r="D79" i="45"/>
  <c r="P114" i="45"/>
  <c r="J713" i="46"/>
  <c r="L713" i="46" s="1"/>
  <c r="AQ113" i="45"/>
  <c r="V399" i="40"/>
  <c r="W114" i="46"/>
  <c r="W121" i="46"/>
  <c r="W380" i="40"/>
  <c r="X186" i="40"/>
  <c r="W183" i="40"/>
  <c r="DQ30" i="28"/>
  <c r="AA73" i="20"/>
  <c r="V181" i="40"/>
  <c r="V188" i="40"/>
  <c r="V189" i="40" s="1"/>
  <c r="HD18" i="38"/>
  <c r="BB238" i="47"/>
  <c r="BK238" i="47"/>
  <c r="BG238" i="47"/>
  <c r="AI238" i="47"/>
  <c r="H238" i="47"/>
  <c r="M238" i="47"/>
  <c r="U238" i="47"/>
  <c r="U82" i="12"/>
  <c r="N82" i="12"/>
  <c r="P82" i="12" s="1"/>
  <c r="W242" i="40"/>
  <c r="W244" i="40"/>
  <c r="W245" i="40" s="1"/>
  <c r="BR131" i="40"/>
  <c r="BQ132" i="40"/>
  <c r="AM64" i="40"/>
  <c r="AM11" i="40"/>
  <c r="JB26" i="38" l="1"/>
  <c r="JB25" i="38"/>
  <c r="N495" i="46"/>
  <c r="L295" i="46"/>
  <c r="L294" i="46"/>
  <c r="BR132" i="40"/>
  <c r="BS131" i="40"/>
  <c r="BS132" i="40" s="1"/>
  <c r="N321" i="45"/>
  <c r="N502" i="45"/>
  <c r="O502" i="45" s="1"/>
  <c r="O320" i="45"/>
  <c r="W766" i="46"/>
  <c r="U767" i="46"/>
  <c r="W767" i="46" s="1"/>
  <c r="J152" i="12"/>
  <c r="AR131" i="45"/>
  <c r="N145" i="45"/>
  <c r="O144" i="45"/>
  <c r="AV191" i="40"/>
  <c r="AJ192" i="40"/>
  <c r="AK191" i="40"/>
  <c r="AK192" i="40" s="1"/>
  <c r="AK195" i="40"/>
  <c r="AK365" i="40" s="1"/>
  <c r="AK222" i="40"/>
  <c r="AK223" i="40" s="1"/>
  <c r="F83" i="45"/>
  <c r="G80" i="45"/>
  <c r="U668" i="46"/>
  <c r="W668" i="46" s="1"/>
  <c r="U138" i="46"/>
  <c r="W138" i="46" s="1"/>
  <c r="N138" i="46"/>
  <c r="V140" i="9"/>
  <c r="X140" i="9" s="1"/>
  <c r="Z140" i="9" s="1"/>
  <c r="L148" i="12"/>
  <c r="AY81" i="28"/>
  <c r="N770" i="46"/>
  <c r="P770" i="46" s="1"/>
  <c r="U770" i="46"/>
  <c r="W770" i="46" s="1"/>
  <c r="U551" i="46"/>
  <c r="W551" i="46" s="1"/>
  <c r="N551" i="46"/>
  <c r="P551" i="46" s="1"/>
  <c r="U135" i="46"/>
  <c r="W135" i="46" s="1"/>
  <c r="J139" i="46"/>
  <c r="L139" i="46" s="1"/>
  <c r="K138" i="45"/>
  <c r="J139" i="45"/>
  <c r="T5" i="20"/>
  <c r="S142" i="20"/>
  <c r="U611" i="46"/>
  <c r="W611" i="46" s="1"/>
  <c r="W812" i="46"/>
  <c r="W819" i="46"/>
  <c r="N614" i="46"/>
  <c r="P614" i="46" s="1"/>
  <c r="U614" i="46"/>
  <c r="W614" i="46" s="1"/>
  <c r="V133" i="45"/>
  <c r="W132" i="45"/>
  <c r="AQ132" i="45"/>
  <c r="Z281" i="40"/>
  <c r="Z284" i="40" s="1"/>
  <c r="Y298" i="40"/>
  <c r="Y299" i="40" s="1"/>
  <c r="Y285" i="40"/>
  <c r="L814" i="46"/>
  <c r="L813" i="46"/>
  <c r="N402" i="46"/>
  <c r="P402" i="46" s="1"/>
  <c r="U402" i="46"/>
  <c r="W402" i="46" s="1"/>
  <c r="L403" i="46"/>
  <c r="N403" i="46" s="1"/>
  <c r="P403" i="46" s="1"/>
  <c r="N252" i="46"/>
  <c r="P252" i="46" s="1"/>
  <c r="U252" i="46"/>
  <c r="W252" i="46" s="1"/>
  <c r="N671" i="46"/>
  <c r="P671" i="46" s="1"/>
  <c r="U671" i="46"/>
  <c r="W671" i="46" s="1"/>
  <c r="DC190" i="29"/>
  <c r="DB191" i="29"/>
  <c r="DB194" i="29"/>
  <c r="DC194" i="29" s="1"/>
  <c r="W401" i="46"/>
  <c r="N147" i="12"/>
  <c r="P147" i="12" s="1"/>
  <c r="U147" i="12"/>
  <c r="W147" i="12" s="1"/>
  <c r="L149" i="12"/>
  <c r="N149" i="12" s="1"/>
  <c r="P149" i="12" s="1"/>
  <c r="BM6" i="17"/>
  <c r="BN6" i="22"/>
  <c r="AV30" i="28"/>
  <c r="CD181" i="29"/>
  <c r="CE180" i="29"/>
  <c r="J552" i="46"/>
  <c r="L552" i="46" s="1"/>
  <c r="O80" i="45"/>
  <c r="N83" i="45"/>
  <c r="J253" i="46"/>
  <c r="L253" i="46" s="1"/>
  <c r="M79" i="45"/>
  <c r="L80" i="45"/>
  <c r="W293" i="46"/>
  <c r="W300" i="46"/>
  <c r="J615" i="46"/>
  <c r="L615" i="46" s="1"/>
  <c r="Q78" i="45"/>
  <c r="P79" i="45"/>
  <c r="J672" i="46"/>
  <c r="L672" i="46" s="1"/>
  <c r="X286" i="40"/>
  <c r="X289" i="40"/>
  <c r="X290" i="40" s="1"/>
  <c r="V80" i="45"/>
  <c r="W79" i="45"/>
  <c r="J771" i="46"/>
  <c r="L771" i="46" s="1"/>
  <c r="T79" i="45"/>
  <c r="U78" i="45"/>
  <c r="P322" i="45"/>
  <c r="Q321" i="45"/>
  <c r="P503" i="45"/>
  <c r="Q503" i="45" s="1"/>
  <c r="H138" i="45"/>
  <c r="J406" i="46"/>
  <c r="L406" i="46" s="1"/>
  <c r="I137" i="45"/>
  <c r="DY47" i="37"/>
  <c r="AB246" i="47"/>
  <c r="G241" i="47"/>
  <c r="S241" i="47"/>
  <c r="S239" i="47"/>
  <c r="AM59" i="40"/>
  <c r="DT73" i="28" s="1"/>
  <c r="DO13" i="29"/>
  <c r="L5" i="100" s="1"/>
  <c r="L6" i="100" s="1"/>
  <c r="CR8" i="28"/>
  <c r="DO83" i="29"/>
  <c r="DO73" i="29"/>
  <c r="DP201" i="29"/>
  <c r="D203" i="9"/>
  <c r="HE28" i="38"/>
  <c r="HE25" i="38"/>
  <c r="HE26" i="38"/>
  <c r="P232" i="40"/>
  <c r="P57" i="40"/>
  <c r="P111" i="40"/>
  <c r="P374" i="40"/>
  <c r="Q5" i="40"/>
  <c r="P157" i="40"/>
  <c r="P315" i="40"/>
  <c r="W123" i="40"/>
  <c r="W124" i="40" s="1"/>
  <c r="W121" i="40"/>
  <c r="N56" i="28"/>
  <c r="W400" i="40"/>
  <c r="Y378" i="40"/>
  <c r="Y401" i="40" s="1"/>
  <c r="Y205" i="40"/>
  <c r="Z184" i="40"/>
  <c r="DE62" i="28"/>
  <c r="Y116" i="40"/>
  <c r="Y119" i="40" s="1"/>
  <c r="X132" i="40"/>
  <c r="X120" i="40"/>
  <c r="X377" i="40"/>
  <c r="X400" i="40" s="1"/>
  <c r="W148" i="40"/>
  <c r="W133" i="40"/>
  <c r="Z185" i="40"/>
  <c r="Y379" i="40"/>
  <c r="Y402" i="40" s="1"/>
  <c r="Y206" i="40"/>
  <c r="W38" i="98"/>
  <c r="W16" i="98"/>
  <c r="W33" i="98"/>
  <c r="JB16" i="38"/>
  <c r="JC16" i="38" s="1"/>
  <c r="JB15" i="38"/>
  <c r="JC15" i="38" s="1"/>
  <c r="U65" i="46"/>
  <c r="W65" i="46" s="1"/>
  <c r="BJ237" i="47"/>
  <c r="CO47" i="28"/>
  <c r="AB239" i="47"/>
  <c r="N57" i="28"/>
  <c r="V22" i="40"/>
  <c r="V24" i="40"/>
  <c r="V25" i="40" s="1"/>
  <c r="X404" i="40"/>
  <c r="DE66" i="28"/>
  <c r="AI87" i="17"/>
  <c r="N126" i="12"/>
  <c r="P126" i="12" s="1"/>
  <c r="U126" i="12"/>
  <c r="W126" i="12" s="1"/>
  <c r="DD55" i="28"/>
  <c r="N55" i="28"/>
  <c r="W399" i="40"/>
  <c r="R25" i="40"/>
  <c r="S25" i="40"/>
  <c r="AV55" i="22"/>
  <c r="AV57" i="22" s="1"/>
  <c r="AU9" i="17"/>
  <c r="AB78" i="45"/>
  <c r="AC77" i="45"/>
  <c r="J714" i="46"/>
  <c r="AQ114" i="45"/>
  <c r="W181" i="40"/>
  <c r="W188" i="40"/>
  <c r="W189" i="40" s="1"/>
  <c r="N317" i="46"/>
  <c r="P317" i="46" s="1"/>
  <c r="U317" i="46"/>
  <c r="W317" i="46" s="1"/>
  <c r="N68" i="46"/>
  <c r="P68" i="46" s="1"/>
  <c r="U68" i="46"/>
  <c r="J85" i="12"/>
  <c r="AR74" i="45"/>
  <c r="J131" i="12"/>
  <c r="AR119" i="45"/>
  <c r="AR113" i="45"/>
  <c r="D80" i="45"/>
  <c r="J79" i="45"/>
  <c r="E79" i="45"/>
  <c r="S325" i="45"/>
  <c r="R507" i="45"/>
  <c r="R326" i="45"/>
  <c r="AA325" i="45"/>
  <c r="EM33" i="37"/>
  <c r="EL56" i="37" s="1"/>
  <c r="EN10" i="37"/>
  <c r="DD54" i="28"/>
  <c r="DD81" i="28" s="1"/>
  <c r="N54" i="28"/>
  <c r="W21" i="40"/>
  <c r="W33" i="40"/>
  <c r="W34" i="40" s="1"/>
  <c r="X16" i="40"/>
  <c r="X20" i="40" s="1"/>
  <c r="W48" i="40"/>
  <c r="Y241" i="40"/>
  <c r="Z237" i="40"/>
  <c r="Z240" i="40" s="1"/>
  <c r="Y253" i="40"/>
  <c r="Y254" i="40" s="1"/>
  <c r="Y381" i="40"/>
  <c r="Y271" i="40"/>
  <c r="AC237" i="47"/>
  <c r="W85" i="40"/>
  <c r="W101" i="40"/>
  <c r="W716" i="46"/>
  <c r="W709" i="46"/>
  <c r="U710" i="46"/>
  <c r="W710" i="46" s="1"/>
  <c r="DU29" i="28"/>
  <c r="AE74" i="20"/>
  <c r="J89" i="12"/>
  <c r="AR77" i="45"/>
  <c r="U84" i="12"/>
  <c r="W84" i="12" s="1"/>
  <c r="N84" i="12"/>
  <c r="P84" i="12" s="1"/>
  <c r="AJ81" i="28"/>
  <c r="V119" i="9"/>
  <c r="X119" i="9" s="1"/>
  <c r="L127" i="12"/>
  <c r="L128" i="12" s="1"/>
  <c r="BK136" i="40"/>
  <c r="BK140" i="40" s="1"/>
  <c r="CP8" i="28"/>
  <c r="DP199" i="29"/>
  <c r="DO11" i="29"/>
  <c r="DH11" i="34" s="1"/>
  <c r="DO81" i="29"/>
  <c r="DO71" i="29"/>
  <c r="D201" i="9"/>
  <c r="HE18" i="38"/>
  <c r="X380" i="40"/>
  <c r="X207" i="40"/>
  <c r="Y186" i="40"/>
  <c r="X183" i="40"/>
  <c r="J69" i="46"/>
  <c r="L69" i="46" s="1"/>
  <c r="K78" i="45"/>
  <c r="AQ78" i="45"/>
  <c r="W316" i="46"/>
  <c r="V34" i="40"/>
  <c r="M64" i="28"/>
  <c r="X72" i="40"/>
  <c r="X84" i="40"/>
  <c r="X376" i="40"/>
  <c r="Y68" i="40"/>
  <c r="Y71" i="40" s="1"/>
  <c r="AM9" i="17"/>
  <c r="AK13" i="17"/>
  <c r="AK28" i="17" s="1"/>
  <c r="AK91" i="17"/>
  <c r="U383" i="40"/>
  <c r="U391" i="40" s="1"/>
  <c r="U425" i="40" s="1"/>
  <c r="U407" i="40"/>
  <c r="L318" i="46"/>
  <c r="N318" i="46" s="1"/>
  <c r="P318" i="46" s="1"/>
  <c r="W82" i="12"/>
  <c r="DR30" i="28"/>
  <c r="AB73" i="20"/>
  <c r="W203" i="40"/>
  <c r="W204" i="40" s="1"/>
  <c r="W224" i="40"/>
  <c r="N713" i="46"/>
  <c r="P713" i="46" s="1"/>
  <c r="N720" i="46"/>
  <c r="P720" i="46" s="1"/>
  <c r="U713" i="46"/>
  <c r="X180" i="40"/>
  <c r="Y162" i="40"/>
  <c r="Y179" i="40" s="1"/>
  <c r="L138" i="45"/>
  <c r="J321" i="46"/>
  <c r="L321" i="46" s="1"/>
  <c r="M137" i="45"/>
  <c r="X242" i="40"/>
  <c r="X244" i="40"/>
  <c r="X245" i="40" s="1"/>
  <c r="S9" i="17"/>
  <c r="S13" i="17" s="1"/>
  <c r="S28" i="17" s="1"/>
  <c r="S87" i="17" s="1"/>
  <c r="T55" i="22"/>
  <c r="T57" i="22" s="1"/>
  <c r="Z118" i="9"/>
  <c r="Z125" i="9"/>
  <c r="W73" i="40"/>
  <c r="W75" i="40"/>
  <c r="W76" i="40" s="1"/>
  <c r="JC17" i="38" l="1"/>
  <c r="JC18" i="38" s="1"/>
  <c r="JB27" i="38"/>
  <c r="JB28" i="38" s="1"/>
  <c r="JC26" i="38"/>
  <c r="JC27" i="38" s="1"/>
  <c r="JC28" i="38" s="1"/>
  <c r="N672" i="46"/>
  <c r="P672" i="46" s="1"/>
  <c r="U672" i="46"/>
  <c r="U253" i="46"/>
  <c r="N253" i="46"/>
  <c r="P253" i="46" s="1"/>
  <c r="AR132" i="45"/>
  <c r="J153" i="12"/>
  <c r="T80" i="45"/>
  <c r="U79" i="45"/>
  <c r="J772" i="46"/>
  <c r="L772" i="46" s="1"/>
  <c r="J556" i="46"/>
  <c r="L556" i="46" s="1"/>
  <c r="O83" i="45"/>
  <c r="O89" i="45"/>
  <c r="N84" i="45"/>
  <c r="DF188" i="29"/>
  <c r="DC191" i="29"/>
  <c r="DB192" i="29"/>
  <c r="DC192" i="29" s="1"/>
  <c r="T142" i="20"/>
  <c r="U5" i="20"/>
  <c r="U771" i="46"/>
  <c r="W771" i="46" s="1"/>
  <c r="N771" i="46"/>
  <c r="P771" i="46" s="1"/>
  <c r="V134" i="45"/>
  <c r="W133" i="45"/>
  <c r="AQ133" i="45"/>
  <c r="F84" i="45"/>
  <c r="G83" i="45"/>
  <c r="U406" i="46"/>
  <c r="N406" i="46"/>
  <c r="P406" i="46" s="1"/>
  <c r="L553" i="46"/>
  <c r="N553" i="46" s="1"/>
  <c r="P553" i="46" s="1"/>
  <c r="U552" i="46"/>
  <c r="W552" i="46" s="1"/>
  <c r="N552" i="46"/>
  <c r="P552" i="46" s="1"/>
  <c r="L816" i="46"/>
  <c r="N813" i="46"/>
  <c r="P813" i="46" s="1"/>
  <c r="N820" i="46"/>
  <c r="P820" i="46" s="1"/>
  <c r="U813" i="46"/>
  <c r="N148" i="12"/>
  <c r="P148" i="12" s="1"/>
  <c r="U148" i="12"/>
  <c r="L152" i="12"/>
  <c r="V144" i="9"/>
  <c r="X144" i="9" s="1"/>
  <c r="Z144" i="9" s="1"/>
  <c r="BA81" i="28"/>
  <c r="P504" i="45"/>
  <c r="Q504" i="45" s="1"/>
  <c r="P325" i="45"/>
  <c r="Q322" i="45"/>
  <c r="CD182" i="29"/>
  <c r="CE181" i="29"/>
  <c r="AW30" i="28"/>
  <c r="N146" i="45"/>
  <c r="N149" i="45" s="1"/>
  <c r="O145" i="45"/>
  <c r="U615" i="46"/>
  <c r="W615" i="46" s="1"/>
  <c r="N615" i="46"/>
  <c r="P615" i="46" s="1"/>
  <c r="K139" i="45"/>
  <c r="J140" i="46"/>
  <c r="L140" i="46" s="1"/>
  <c r="J140" i="45"/>
  <c r="J407" i="46"/>
  <c r="L407" i="46" s="1"/>
  <c r="H139" i="45"/>
  <c r="I138" i="45"/>
  <c r="V83" i="45"/>
  <c r="V382" i="40"/>
  <c r="V405" i="40" s="1"/>
  <c r="W80" i="45"/>
  <c r="N814" i="46"/>
  <c r="P814" i="46" s="1"/>
  <c r="U814" i="46"/>
  <c r="W814" i="46" s="1"/>
  <c r="N821" i="46"/>
  <c r="H821" i="46" s="1"/>
  <c r="U139" i="46"/>
  <c r="W139" i="46" s="1"/>
  <c r="N139" i="46"/>
  <c r="N294" i="46"/>
  <c r="P294" i="46" s="1"/>
  <c r="N301" i="46"/>
  <c r="P301" i="46" s="1"/>
  <c r="U294" i="46"/>
  <c r="L297" i="46"/>
  <c r="P80" i="45"/>
  <c r="Q79" i="45"/>
  <c r="J616" i="46"/>
  <c r="L616" i="46" s="1"/>
  <c r="J673" i="46"/>
  <c r="L673" i="46" s="1"/>
  <c r="BO6" i="17"/>
  <c r="BP6" i="22"/>
  <c r="BQ6" i="17" s="1"/>
  <c r="DH35" i="34"/>
  <c r="DH17" i="34"/>
  <c r="DH23" i="34" s="1"/>
  <c r="DH29" i="34"/>
  <c r="DH41" i="34"/>
  <c r="Y286" i="40"/>
  <c r="Y289" i="40"/>
  <c r="Y290" i="40" s="1"/>
  <c r="N295" i="46"/>
  <c r="P295" i="46" s="1"/>
  <c r="N302" i="46"/>
  <c r="P302" i="46" s="1"/>
  <c r="U295" i="46"/>
  <c r="AA281" i="40"/>
  <c r="AA284" i="40" s="1"/>
  <c r="Z285" i="40"/>
  <c r="N322" i="45"/>
  <c r="O321" i="45"/>
  <c r="N503" i="45"/>
  <c r="O503" i="45" s="1"/>
  <c r="J254" i="46"/>
  <c r="L254" i="46" s="1"/>
  <c r="M80" i="45"/>
  <c r="L83" i="45"/>
  <c r="U403" i="46"/>
  <c r="W403" i="46" s="1"/>
  <c r="CT241" i="47"/>
  <c r="CU241" i="47" s="1"/>
  <c r="AM87" i="40"/>
  <c r="AM88" i="40" s="1"/>
  <c r="BO60" i="40"/>
  <c r="BO86" i="40" s="1"/>
  <c r="AM102" i="40"/>
  <c r="AM60" i="40"/>
  <c r="DT12" i="29"/>
  <c r="CV47" i="28" s="1"/>
  <c r="HO23" i="38"/>
  <c r="L203" i="9"/>
  <c r="W241" i="47"/>
  <c r="CR10" i="28"/>
  <c r="CR13" i="28" s="1"/>
  <c r="DO43" i="29"/>
  <c r="DN63" i="29"/>
  <c r="DO53" i="29"/>
  <c r="F203" i="9"/>
  <c r="T202" i="9" s="1"/>
  <c r="CR39" i="28"/>
  <c r="CR46" i="28"/>
  <c r="DW33" i="29"/>
  <c r="CR14" i="28"/>
  <c r="Q232" i="40"/>
  <c r="Q157" i="40"/>
  <c r="Q111" i="40"/>
  <c r="R5" i="40"/>
  <c r="Q374" i="40"/>
  <c r="Q315" i="40"/>
  <c r="Q57" i="40"/>
  <c r="L201" i="9"/>
  <c r="X123" i="40"/>
  <c r="X124" i="40" s="1"/>
  <c r="X121" i="40"/>
  <c r="Z379" i="40"/>
  <c r="Z402" i="40" s="1"/>
  <c r="Z206" i="40"/>
  <c r="AA185" i="40"/>
  <c r="X148" i="40"/>
  <c r="X133" i="40"/>
  <c r="AA184" i="40"/>
  <c r="Z378" i="40"/>
  <c r="Z401" i="40" s="1"/>
  <c r="Z205" i="40"/>
  <c r="DF62" i="28"/>
  <c r="Z116" i="40"/>
  <c r="Z119" i="40" s="1"/>
  <c r="Y377" i="40"/>
  <c r="Y400" i="40" s="1"/>
  <c r="Y120" i="40"/>
  <c r="Y132" i="40"/>
  <c r="W37" i="98"/>
  <c r="W39" i="98" s="1"/>
  <c r="W35" i="98"/>
  <c r="W44" i="98"/>
  <c r="JB17" i="38"/>
  <c r="JB18" i="38" s="1"/>
  <c r="HE17" i="38"/>
  <c r="F210" i="12"/>
  <c r="HN23" i="38"/>
  <c r="AC239" i="47"/>
  <c r="DN61" i="29"/>
  <c r="DX238" i="47" s="1"/>
  <c r="Z162" i="40"/>
  <c r="Z179" i="40" s="1"/>
  <c r="Y180" i="40"/>
  <c r="DS30" i="28"/>
  <c r="AC73" i="20"/>
  <c r="AM91" i="17"/>
  <c r="AM13" i="17"/>
  <c r="AM28" i="17" s="1"/>
  <c r="AO9" i="17"/>
  <c r="Y72" i="40"/>
  <c r="Z68" i="40"/>
  <c r="Z71" i="40" s="1"/>
  <c r="Y84" i="40"/>
  <c r="Y376" i="40"/>
  <c r="J90" i="12"/>
  <c r="AR78" i="45"/>
  <c r="DV29" i="28"/>
  <c r="AF74" i="20"/>
  <c r="BK237" i="47"/>
  <c r="BG237" i="47"/>
  <c r="HD13" i="38"/>
  <c r="H237" i="47"/>
  <c r="AI237" i="47"/>
  <c r="M237" i="47"/>
  <c r="U237" i="47"/>
  <c r="Z271" i="40"/>
  <c r="AA237" i="40"/>
  <c r="AA240" i="40" s="1"/>
  <c r="Z253" i="40"/>
  <c r="Z254" i="40" s="1"/>
  <c r="Z241" i="40"/>
  <c r="Z381" i="40"/>
  <c r="EN33" i="37"/>
  <c r="EM56" i="37" s="1"/>
  <c r="EO10" i="37"/>
  <c r="D83" i="45"/>
  <c r="J80" i="45"/>
  <c r="E80" i="45"/>
  <c r="N128" i="12"/>
  <c r="P128" i="12" s="1"/>
  <c r="X181" i="40"/>
  <c r="X188" i="40"/>
  <c r="X189" i="40" s="1"/>
  <c r="DE55" i="28"/>
  <c r="X391" i="40"/>
  <c r="X421" i="40" s="1"/>
  <c r="X399" i="40"/>
  <c r="CP10" i="28"/>
  <c r="CP13" i="28" s="1"/>
  <c r="DO41" i="29"/>
  <c r="DO51" i="29"/>
  <c r="F201" i="9"/>
  <c r="N127" i="12"/>
  <c r="P127" i="12" s="1"/>
  <c r="N134" i="12"/>
  <c r="P134" i="12" s="1"/>
  <c r="U127" i="12"/>
  <c r="Y242" i="40"/>
  <c r="Y244" i="40"/>
  <c r="Y245" i="40" s="1"/>
  <c r="W24" i="40"/>
  <c r="W25" i="40" s="1"/>
  <c r="W22" i="40"/>
  <c r="AU13" i="17"/>
  <c r="AU28" i="17" s="1"/>
  <c r="AU91" i="17"/>
  <c r="U9" i="17"/>
  <c r="U13" i="17" s="1"/>
  <c r="U28" i="17" s="1"/>
  <c r="U87" i="17" s="1"/>
  <c r="V55" i="22"/>
  <c r="V57" i="22" s="1"/>
  <c r="W9" i="17" s="1"/>
  <c r="W13" i="17" s="1"/>
  <c r="W28" i="17" s="1"/>
  <c r="W87" i="17" s="1"/>
  <c r="U321" i="46"/>
  <c r="N321" i="46"/>
  <c r="P321" i="46" s="1"/>
  <c r="U414" i="40"/>
  <c r="U428" i="40"/>
  <c r="U431" i="40"/>
  <c r="U430" i="40"/>
  <c r="U429" i="40"/>
  <c r="U427" i="40"/>
  <c r="U423" i="40"/>
  <c r="U420" i="40"/>
  <c r="U426" i="40"/>
  <c r="U419" i="40"/>
  <c r="U418" i="40"/>
  <c r="U422" i="40"/>
  <c r="U421" i="40"/>
  <c r="U417" i="40"/>
  <c r="X85" i="40"/>
  <c r="X101" i="40"/>
  <c r="U318" i="46"/>
  <c r="W318" i="46" s="1"/>
  <c r="N69" i="46"/>
  <c r="P69" i="46" s="1"/>
  <c r="U69" i="46"/>
  <c r="W69" i="46" s="1"/>
  <c r="X203" i="40"/>
  <c r="X204" i="40" s="1"/>
  <c r="X224" i="40"/>
  <c r="DP31" i="29"/>
  <c r="CP14" i="28"/>
  <c r="CP39" i="28"/>
  <c r="CP46" i="28"/>
  <c r="Z119" i="9"/>
  <c r="Z126" i="9"/>
  <c r="DB237" i="47"/>
  <c r="DF66" i="28"/>
  <c r="Y404" i="40"/>
  <c r="DD71" i="28"/>
  <c r="N64" i="28"/>
  <c r="AA326" i="45"/>
  <c r="S326" i="45"/>
  <c r="R508" i="45"/>
  <c r="R327" i="45"/>
  <c r="V77" i="9"/>
  <c r="X77" i="9" s="1"/>
  <c r="Z77" i="9" s="1"/>
  <c r="L85" i="12"/>
  <c r="J132" i="12"/>
  <c r="AR114" i="45"/>
  <c r="AR120" i="45"/>
  <c r="AX55" i="22"/>
  <c r="AX57" i="22" s="1"/>
  <c r="AZ55" i="22" s="1"/>
  <c r="AZ57" i="22" s="1"/>
  <c r="AW9" i="17"/>
  <c r="M138" i="45"/>
  <c r="J322" i="46"/>
  <c r="L322" i="46" s="1"/>
  <c r="L139" i="45"/>
  <c r="W713" i="46"/>
  <c r="W720" i="46"/>
  <c r="AK87" i="17"/>
  <c r="X73" i="40"/>
  <c r="X75" i="40"/>
  <c r="X76" i="40" s="1"/>
  <c r="Z186" i="40"/>
  <c r="Y380" i="40"/>
  <c r="Y207" i="40"/>
  <c r="Y183" i="40"/>
  <c r="L89" i="12"/>
  <c r="V81" i="9"/>
  <c r="X81" i="9" s="1"/>
  <c r="Z81" i="9" s="1"/>
  <c r="AD237" i="47"/>
  <c r="X48" i="40"/>
  <c r="DE71" i="28" s="1"/>
  <c r="X33" i="40"/>
  <c r="X34" i="40" s="1"/>
  <c r="DE54" i="28"/>
  <c r="DE81" i="28" s="1"/>
  <c r="X21" i="40"/>
  <c r="Y16" i="40"/>
  <c r="Y20" i="40" s="1"/>
  <c r="J70" i="46"/>
  <c r="L70" i="46" s="1"/>
  <c r="K79" i="45"/>
  <c r="L131" i="12"/>
  <c r="V123" i="9"/>
  <c r="X123" i="9" s="1"/>
  <c r="AL81" i="28"/>
  <c r="W68" i="46"/>
  <c r="L715" i="46"/>
  <c r="L714" i="46"/>
  <c r="AB79" i="45"/>
  <c r="AQ79" i="45" s="1"/>
  <c r="AC78" i="45"/>
  <c r="U553" i="46" l="1"/>
  <c r="W553" i="46" s="1"/>
  <c r="N304" i="46"/>
  <c r="P304" i="46" s="1"/>
  <c r="N297" i="46"/>
  <c r="P297" i="46" s="1"/>
  <c r="CD183" i="29"/>
  <c r="AX30" i="28"/>
  <c r="CE182" i="29"/>
  <c r="W813" i="46"/>
  <c r="W820" i="46"/>
  <c r="U816" i="46"/>
  <c r="W816" i="46" s="1"/>
  <c r="T83" i="45"/>
  <c r="U80" i="45"/>
  <c r="J773" i="46"/>
  <c r="L773" i="46" s="1"/>
  <c r="N85" i="45"/>
  <c r="O90" i="45"/>
  <c r="O84" i="45"/>
  <c r="J557" i="46"/>
  <c r="L557" i="46" s="1"/>
  <c r="N504" i="45"/>
  <c r="O504" i="45" s="1"/>
  <c r="N325" i="45"/>
  <c r="O322" i="45"/>
  <c r="W83" i="45"/>
  <c r="V84" i="45"/>
  <c r="W89" i="45"/>
  <c r="Z286" i="40"/>
  <c r="Z289" i="40"/>
  <c r="Z290" i="40" s="1"/>
  <c r="CD184" i="29"/>
  <c r="CE184" i="29" s="1"/>
  <c r="U673" i="46"/>
  <c r="W673" i="46" s="1"/>
  <c r="N673" i="46"/>
  <c r="P673" i="46" s="1"/>
  <c r="N823" i="46"/>
  <c r="N816" i="46"/>
  <c r="P816" i="46" s="1"/>
  <c r="AB281" i="40"/>
  <c r="AB284" i="40" s="1"/>
  <c r="AA285" i="40"/>
  <c r="N616" i="46"/>
  <c r="P616" i="46" s="1"/>
  <c r="U616" i="46"/>
  <c r="J408" i="46"/>
  <c r="L408" i="46" s="1"/>
  <c r="H140" i="45"/>
  <c r="I139" i="45"/>
  <c r="N150" i="45"/>
  <c r="O149" i="45"/>
  <c r="F85" i="45"/>
  <c r="G84" i="45"/>
  <c r="V5" i="20"/>
  <c r="U142" i="20"/>
  <c r="W253" i="46"/>
  <c r="U254" i="46"/>
  <c r="W254" i="46" s="1"/>
  <c r="N254" i="46"/>
  <c r="P254" i="46" s="1"/>
  <c r="L255" i="46"/>
  <c r="N255" i="46" s="1"/>
  <c r="P255" i="46" s="1"/>
  <c r="J258" i="46"/>
  <c r="L258" i="46" s="1"/>
  <c r="M83" i="45"/>
  <c r="L84" i="45"/>
  <c r="M89" i="45"/>
  <c r="W295" i="46"/>
  <c r="W302" i="46"/>
  <c r="AF821" i="46"/>
  <c r="D821" i="46"/>
  <c r="S821" i="46" s="1"/>
  <c r="N407" i="46"/>
  <c r="P407" i="46" s="1"/>
  <c r="U407" i="46"/>
  <c r="W407" i="46" s="1"/>
  <c r="U152" i="12"/>
  <c r="W152" i="12" s="1"/>
  <c r="N152" i="12"/>
  <c r="P152" i="12" s="1"/>
  <c r="J154" i="12"/>
  <c r="AR133" i="45"/>
  <c r="U556" i="46"/>
  <c r="W556" i="46" s="1"/>
  <c r="N556" i="46"/>
  <c r="P556" i="46" s="1"/>
  <c r="W672" i="46"/>
  <c r="U140" i="46"/>
  <c r="N140" i="46"/>
  <c r="V137" i="45"/>
  <c r="W134" i="45"/>
  <c r="AE382" i="40"/>
  <c r="AQ134" i="45"/>
  <c r="W294" i="46"/>
  <c r="W301" i="46"/>
  <c r="U297" i="46"/>
  <c r="DF189" i="29"/>
  <c r="DG188" i="29"/>
  <c r="Q325" i="45"/>
  <c r="P326" i="45"/>
  <c r="P507" i="45"/>
  <c r="Q507" i="45" s="1"/>
  <c r="W406" i="46"/>
  <c r="V145" i="9"/>
  <c r="X145" i="9" s="1"/>
  <c r="Z145" i="9" s="1"/>
  <c r="BB81" i="28"/>
  <c r="L153" i="12"/>
  <c r="X417" i="40"/>
  <c r="P83" i="45"/>
  <c r="Q80" i="45"/>
  <c r="J617" i="46"/>
  <c r="L617" i="46" s="1"/>
  <c r="J674" i="46"/>
  <c r="L674" i="46" s="1"/>
  <c r="K140" i="45"/>
  <c r="J141" i="46"/>
  <c r="L141" i="46" s="1"/>
  <c r="L142" i="46" s="1"/>
  <c r="N142" i="46" s="1"/>
  <c r="P142" i="46" s="1"/>
  <c r="J143" i="45"/>
  <c r="W148" i="12"/>
  <c r="U149" i="12"/>
  <c r="W149" i="12" s="1"/>
  <c r="N772" i="46"/>
  <c r="P772" i="46" s="1"/>
  <c r="U772" i="46"/>
  <c r="W772" i="46" s="1"/>
  <c r="AG74" i="20"/>
  <c r="AH74" i="20" s="1"/>
  <c r="DW29" i="28"/>
  <c r="CV241" i="47"/>
  <c r="X35" i="85" s="1"/>
  <c r="DT72" i="28"/>
  <c r="BJ246" i="47"/>
  <c r="F217" i="12"/>
  <c r="AM113" i="40"/>
  <c r="AM114" i="40" s="1"/>
  <c r="AC241" i="47"/>
  <c r="CR37" i="28"/>
  <c r="CR48" i="28"/>
  <c r="CR17" i="28"/>
  <c r="CR36" i="28"/>
  <c r="DX240" i="47"/>
  <c r="DN113" i="29"/>
  <c r="DN212" i="29"/>
  <c r="DP63" i="29"/>
  <c r="DO63" i="29"/>
  <c r="R57" i="40"/>
  <c r="R111" i="40"/>
  <c r="R157" i="40"/>
  <c r="S5" i="40"/>
  <c r="R315" i="40"/>
  <c r="R374" i="40"/>
  <c r="R232" i="40"/>
  <c r="U424" i="40"/>
  <c r="U432" i="40" s="1"/>
  <c r="Y123" i="40"/>
  <c r="Y124" i="40" s="1"/>
  <c r="Y121" i="40"/>
  <c r="AA206" i="40"/>
  <c r="AB185" i="40"/>
  <c r="AA379" i="40"/>
  <c r="AA402" i="40" s="1"/>
  <c r="DG62" i="28"/>
  <c r="Z132" i="40"/>
  <c r="Z120" i="40"/>
  <c r="Z377" i="40"/>
  <c r="Z400" i="40" s="1"/>
  <c r="AA116" i="40"/>
  <c r="AA119" i="40" s="1"/>
  <c r="Y148" i="40"/>
  <c r="Y133" i="40"/>
  <c r="AB184" i="40"/>
  <c r="AA378" i="40"/>
  <c r="AA401" i="40" s="1"/>
  <c r="AA205" i="40"/>
  <c r="DA241" i="47"/>
  <c r="DC241" i="47" s="1"/>
  <c r="X37" i="85" s="1"/>
  <c r="CQ47" i="28"/>
  <c r="BJ239" i="47"/>
  <c r="DO61" i="29"/>
  <c r="JB11" i="38"/>
  <c r="JB10" i="38"/>
  <c r="DP61" i="29"/>
  <c r="DN210" i="29"/>
  <c r="DO210" i="29" s="1"/>
  <c r="DN111" i="29"/>
  <c r="J91" i="12"/>
  <c r="AR79" i="45"/>
  <c r="N715" i="46"/>
  <c r="P715" i="46" s="1"/>
  <c r="U715" i="46"/>
  <c r="W715" i="46" s="1"/>
  <c r="N722" i="46"/>
  <c r="H722" i="46" s="1"/>
  <c r="U70" i="46"/>
  <c r="N70" i="46"/>
  <c r="P70" i="46" s="1"/>
  <c r="Y224" i="40"/>
  <c r="Y203" i="40"/>
  <c r="Y204" i="40" s="1"/>
  <c r="N138" i="12"/>
  <c r="P138" i="12" s="1"/>
  <c r="U131" i="12"/>
  <c r="N131" i="12"/>
  <c r="P131" i="12" s="1"/>
  <c r="U89" i="12"/>
  <c r="N89" i="12"/>
  <c r="P89" i="12" s="1"/>
  <c r="EP10" i="37"/>
  <c r="EO33" i="37"/>
  <c r="EN56" i="37" s="1"/>
  <c r="DF55" i="28"/>
  <c r="Y391" i="40"/>
  <c r="Y417" i="40" s="1"/>
  <c r="Y399" i="40"/>
  <c r="AO13" i="17"/>
  <c r="AO28" i="17" s="1"/>
  <c r="AQ9" i="17"/>
  <c r="AO91" i="17"/>
  <c r="AA162" i="40"/>
  <c r="AA179" i="40" s="1"/>
  <c r="Z180" i="40"/>
  <c r="Z123" i="9"/>
  <c r="Z130" i="9"/>
  <c r="Z242" i="40"/>
  <c r="Z244" i="40"/>
  <c r="Z245" i="40" s="1"/>
  <c r="Y73" i="40"/>
  <c r="Y75" i="40"/>
  <c r="Y76" i="40" s="1"/>
  <c r="DF54" i="28"/>
  <c r="DF81" i="28" s="1"/>
  <c r="Y48" i="40"/>
  <c r="DF71" i="28" s="1"/>
  <c r="Y33" i="40"/>
  <c r="Y34" i="40" s="1"/>
  <c r="Z16" i="40"/>
  <c r="Z20" i="40" s="1"/>
  <c r="Y21" i="40"/>
  <c r="Y403" i="40"/>
  <c r="M139" i="45"/>
  <c r="J323" i="46"/>
  <c r="L323" i="46" s="1"/>
  <c r="L140" i="45"/>
  <c r="AY9" i="17"/>
  <c r="AW91" i="17"/>
  <c r="AW13" i="17"/>
  <c r="AW28" i="17" s="1"/>
  <c r="AW87" i="17" s="1"/>
  <c r="AA327" i="45"/>
  <c r="R328" i="45"/>
  <c r="R509" i="45"/>
  <c r="S327" i="45"/>
  <c r="CP37" i="28"/>
  <c r="CP48" i="28"/>
  <c r="W321" i="46"/>
  <c r="AU87" i="17"/>
  <c r="W127" i="12"/>
  <c r="W134" i="12"/>
  <c r="U128" i="12"/>
  <c r="W128" i="12" s="1"/>
  <c r="AM201" i="9"/>
  <c r="T200" i="9"/>
  <c r="R201" i="9"/>
  <c r="AB237" i="40"/>
  <c r="AB240" i="40" s="1"/>
  <c r="AA253" i="40"/>
  <c r="AA254" i="40" s="1"/>
  <c r="AA271" i="40"/>
  <c r="AA381" i="40"/>
  <c r="AA241" i="40"/>
  <c r="HE13" i="38"/>
  <c r="HE10" i="38"/>
  <c r="DY238" i="47"/>
  <c r="DZ238" i="47"/>
  <c r="Y101" i="40"/>
  <c r="Y85" i="40"/>
  <c r="AM87" i="17"/>
  <c r="U85" i="12"/>
  <c r="N85" i="12"/>
  <c r="P85" i="12" s="1"/>
  <c r="L86" i="12"/>
  <c r="D84" i="45"/>
  <c r="E83" i="45"/>
  <c r="J83" i="45"/>
  <c r="CO8" i="28"/>
  <c r="DP198" i="29"/>
  <c r="D200" i="9"/>
  <c r="DN15" i="29"/>
  <c r="DP15" i="29" s="1"/>
  <c r="DO70" i="29"/>
  <c r="DO80" i="29"/>
  <c r="DO10" i="29"/>
  <c r="DH10" i="34" s="1"/>
  <c r="L90" i="12"/>
  <c r="V82" i="9"/>
  <c r="X82" i="9" s="1"/>
  <c r="Z82" i="9" s="1"/>
  <c r="DT30" i="28"/>
  <c r="AD73" i="20"/>
  <c r="Y188" i="40"/>
  <c r="Y189" i="40" s="1"/>
  <c r="Y181" i="40"/>
  <c r="AC79" i="45"/>
  <c r="AB80" i="45"/>
  <c r="AQ80" i="45" s="1"/>
  <c r="U714" i="46"/>
  <c r="N714" i="46"/>
  <c r="P714" i="46" s="1"/>
  <c r="N721" i="46"/>
  <c r="P721" i="46" s="1"/>
  <c r="L717" i="46"/>
  <c r="X22" i="40"/>
  <c r="X24" i="40"/>
  <c r="X25" i="40" s="1"/>
  <c r="Z380" i="40"/>
  <c r="Z207" i="40"/>
  <c r="AA186" i="40"/>
  <c r="Z183" i="40"/>
  <c r="U322" i="46"/>
  <c r="W322" i="46" s="1"/>
  <c r="N322" i="46"/>
  <c r="BB55" i="22"/>
  <c r="BB57" i="22" s="1"/>
  <c r="BA9" i="17"/>
  <c r="L132" i="12"/>
  <c r="V124" i="9"/>
  <c r="X124" i="9" s="1"/>
  <c r="AM81" i="28"/>
  <c r="L133" i="12"/>
  <c r="CP36" i="28"/>
  <c r="CP17" i="28"/>
  <c r="X429" i="40"/>
  <c r="X431" i="40"/>
  <c r="X423" i="40"/>
  <c r="X427" i="40"/>
  <c r="X428" i="40"/>
  <c r="X426" i="40"/>
  <c r="X430" i="40"/>
  <c r="X425" i="40"/>
  <c r="X420" i="40"/>
  <c r="X419" i="40"/>
  <c r="X418" i="40"/>
  <c r="X422" i="40"/>
  <c r="J71" i="46"/>
  <c r="L71" i="46" s="1"/>
  <c r="K80" i="45"/>
  <c r="DG66" i="28"/>
  <c r="Z404" i="40"/>
  <c r="AA68" i="40"/>
  <c r="AA71" i="40" s="1"/>
  <c r="Z376" i="40"/>
  <c r="Z84" i="40"/>
  <c r="Z72" i="40"/>
  <c r="AE17" i="40" l="1"/>
  <c r="DL65" i="28"/>
  <c r="AE405" i="40"/>
  <c r="N557" i="46"/>
  <c r="P557" i="46" s="1"/>
  <c r="U557" i="46"/>
  <c r="W557" i="46" s="1"/>
  <c r="J144" i="45"/>
  <c r="J145" i="46"/>
  <c r="L145" i="46" s="1"/>
  <c r="K143" i="45"/>
  <c r="O150" i="45"/>
  <c r="N151" i="45"/>
  <c r="DF193" i="29"/>
  <c r="DG193" i="29" s="1"/>
  <c r="DG189" i="29"/>
  <c r="DF190" i="29"/>
  <c r="V146" i="9"/>
  <c r="X146" i="9" s="1"/>
  <c r="Z146" i="9" s="1"/>
  <c r="L154" i="12"/>
  <c r="BC81" i="28"/>
  <c r="W297" i="46"/>
  <c r="W304" i="46"/>
  <c r="I140" i="45"/>
  <c r="J409" i="46"/>
  <c r="L409" i="46" s="1"/>
  <c r="L410" i="46" s="1"/>
  <c r="N410" i="46" s="1"/>
  <c r="P410" i="46" s="1"/>
  <c r="H143" i="45"/>
  <c r="DM61" i="28"/>
  <c r="J558" i="46"/>
  <c r="L558" i="46" s="1"/>
  <c r="N86" i="45"/>
  <c r="O91" i="45"/>
  <c r="O85" i="45"/>
  <c r="J621" i="46"/>
  <c r="L621" i="46" s="1"/>
  <c r="Q83" i="45"/>
  <c r="P84" i="45"/>
  <c r="J678" i="46"/>
  <c r="L678" i="46" s="1"/>
  <c r="F86" i="45"/>
  <c r="G86" i="45" s="1"/>
  <c r="G85" i="45"/>
  <c r="U153" i="12"/>
  <c r="W153" i="12" s="1"/>
  <c r="N153" i="12"/>
  <c r="P153" i="12" s="1"/>
  <c r="U255" i="46"/>
  <c r="W255" i="46" s="1"/>
  <c r="JC12" i="38"/>
  <c r="JC13" i="38" s="1"/>
  <c r="U674" i="46"/>
  <c r="N674" i="46"/>
  <c r="P674" i="46" s="1"/>
  <c r="L675" i="46"/>
  <c r="N675" i="46" s="1"/>
  <c r="P675" i="46" s="1"/>
  <c r="W140" i="46"/>
  <c r="M84" i="45"/>
  <c r="J259" i="46"/>
  <c r="L259" i="46" s="1"/>
  <c r="M90" i="45"/>
  <c r="L85" i="45"/>
  <c r="N408" i="46"/>
  <c r="P408" i="46" s="1"/>
  <c r="U408" i="46"/>
  <c r="W408" i="46" s="1"/>
  <c r="U773" i="46"/>
  <c r="N773" i="46"/>
  <c r="P773" i="46" s="1"/>
  <c r="L774" i="46"/>
  <c r="N774" i="46" s="1"/>
  <c r="P774" i="46" s="1"/>
  <c r="CH180" i="29"/>
  <c r="CE183" i="29"/>
  <c r="AY30" i="28"/>
  <c r="AA286" i="40"/>
  <c r="AA289" i="40"/>
  <c r="AA290" i="40" s="1"/>
  <c r="AB285" i="40"/>
  <c r="AC281" i="40"/>
  <c r="AC284" i="40" s="1"/>
  <c r="V138" i="45"/>
  <c r="W137" i="45"/>
  <c r="AQ137" i="45"/>
  <c r="U141" i="46"/>
  <c r="W141" i="46" s="1"/>
  <c r="N141" i="46"/>
  <c r="W84" i="45"/>
  <c r="V85" i="45"/>
  <c r="W90" i="45"/>
  <c r="L618" i="46"/>
  <c r="N618" i="46" s="1"/>
  <c r="P618" i="46" s="1"/>
  <c r="U617" i="46"/>
  <c r="W617" i="46" s="1"/>
  <c r="N617" i="46"/>
  <c r="P617" i="46" s="1"/>
  <c r="W5" i="20"/>
  <c r="V142" i="20"/>
  <c r="W616" i="46"/>
  <c r="N507" i="45"/>
  <c r="O507" i="45" s="1"/>
  <c r="N326" i="45"/>
  <c r="O325" i="45"/>
  <c r="P327" i="45"/>
  <c r="P508" i="45"/>
  <c r="Q508" i="45" s="1"/>
  <c r="Q326" i="45"/>
  <c r="AO152" i="47"/>
  <c r="AO154" i="47" s="1"/>
  <c r="AI821" i="46"/>
  <c r="AO124" i="47"/>
  <c r="AO126" i="47" s="1"/>
  <c r="AC234" i="40" s="1"/>
  <c r="S823" i="46"/>
  <c r="U821" i="46"/>
  <c r="J155" i="12"/>
  <c r="AR134" i="45"/>
  <c r="U258" i="46"/>
  <c r="W258" i="46" s="1"/>
  <c r="N258" i="46"/>
  <c r="P258" i="46" s="1"/>
  <c r="U83" i="45"/>
  <c r="U89" i="45"/>
  <c r="T84" i="45"/>
  <c r="J777" i="46"/>
  <c r="L777" i="46" s="1"/>
  <c r="CP23" i="28"/>
  <c r="DO121" i="29"/>
  <c r="AM8" i="40"/>
  <c r="DT74" i="28"/>
  <c r="AM149" i="40"/>
  <c r="AM135" i="40"/>
  <c r="AM136" i="40" s="1"/>
  <c r="DZ240" i="47"/>
  <c r="DY240" i="47"/>
  <c r="DO212" i="29"/>
  <c r="DB241" i="47"/>
  <c r="DO113" i="29"/>
  <c r="DP113" i="29"/>
  <c r="CR23" i="28"/>
  <c r="CR21" i="28"/>
  <c r="CR40" i="28" s="1"/>
  <c r="CR49" i="28"/>
  <c r="CR32" i="28"/>
  <c r="CR38" i="28"/>
  <c r="DN16" i="29"/>
  <c r="DO16" i="29" s="1"/>
  <c r="S57" i="40"/>
  <c r="S111" i="40"/>
  <c r="T5" i="40"/>
  <c r="S374" i="40"/>
  <c r="S315" i="40"/>
  <c r="S232" i="40"/>
  <c r="S157" i="40"/>
  <c r="L200" i="9"/>
  <c r="AB206" i="40"/>
  <c r="AB379" i="40"/>
  <c r="AB402" i="40" s="1"/>
  <c r="AC185" i="40"/>
  <c r="AB378" i="40"/>
  <c r="AB401" i="40" s="1"/>
  <c r="AB205" i="40"/>
  <c r="AC184" i="40"/>
  <c r="Y421" i="40"/>
  <c r="AA132" i="40"/>
  <c r="AA377" i="40"/>
  <c r="AA400" i="40" s="1"/>
  <c r="AB116" i="40"/>
  <c r="AB119" i="40" s="1"/>
  <c r="DH62" i="28"/>
  <c r="AA120" i="40"/>
  <c r="Z148" i="40"/>
  <c r="Z133" i="40"/>
  <c r="Z121" i="40"/>
  <c r="Z123" i="40"/>
  <c r="Z124" i="40" s="1"/>
  <c r="JB12" i="38"/>
  <c r="JB13" i="38" s="1"/>
  <c r="DH40" i="34"/>
  <c r="DH34" i="34"/>
  <c r="DH16" i="34"/>
  <c r="DH22" i="34" s="1"/>
  <c r="DH28" i="34"/>
  <c r="DP200" i="29"/>
  <c r="DN24" i="29"/>
  <c r="AC11" i="20" s="1"/>
  <c r="DO12" i="29"/>
  <c r="CQ8" i="28"/>
  <c r="DO72" i="29"/>
  <c r="D202" i="9"/>
  <c r="DO82" i="29"/>
  <c r="DO111" i="29"/>
  <c r="DP111" i="29"/>
  <c r="DN60" i="29"/>
  <c r="DN209" i="29" s="1"/>
  <c r="DN220" i="29"/>
  <c r="DO220" i="29" s="1"/>
  <c r="Z73" i="40"/>
  <c r="Z75" i="40"/>
  <c r="Z76" i="40" s="1"/>
  <c r="Y24" i="40"/>
  <c r="Y25" i="40" s="1"/>
  <c r="Y22" i="40"/>
  <c r="Z85" i="40"/>
  <c r="Z101" i="40"/>
  <c r="N71" i="46"/>
  <c r="P71" i="46" s="1"/>
  <c r="U71" i="46"/>
  <c r="W71" i="46" s="1"/>
  <c r="U132" i="12"/>
  <c r="N132" i="12"/>
  <c r="P132" i="12" s="1"/>
  <c r="N139" i="12"/>
  <c r="P139" i="12" s="1"/>
  <c r="AA207" i="40"/>
  <c r="AB186" i="40"/>
  <c r="AA380" i="40"/>
  <c r="AA183" i="40"/>
  <c r="W721" i="46"/>
  <c r="W714" i="46"/>
  <c r="U717" i="46"/>
  <c r="W717" i="46" s="1"/>
  <c r="K89" i="45"/>
  <c r="J75" i="46"/>
  <c r="L75" i="46" s="1"/>
  <c r="K83" i="45"/>
  <c r="N86" i="12"/>
  <c r="P86" i="12" s="1"/>
  <c r="AY91" i="17"/>
  <c r="AY13" i="17"/>
  <c r="AY28" i="17" s="1"/>
  <c r="AY87" i="17" s="1"/>
  <c r="AA16" i="40"/>
  <c r="AA20" i="40" s="1"/>
  <c r="Z21" i="40"/>
  <c r="Z33" i="40"/>
  <c r="Z34" i="40" s="1"/>
  <c r="DG54" i="28"/>
  <c r="DG81" i="28" s="1"/>
  <c r="Z48" i="40"/>
  <c r="DG71" i="28" s="1"/>
  <c r="Y431" i="40"/>
  <c r="Y430" i="40"/>
  <c r="Y425" i="40"/>
  <c r="Y427" i="40"/>
  <c r="Y423" i="40"/>
  <c r="Y414" i="40"/>
  <c r="Y426" i="40"/>
  <c r="Y428" i="40"/>
  <c r="Y429" i="40"/>
  <c r="Y420" i="40"/>
  <c r="Y419" i="40"/>
  <c r="Y418" i="40"/>
  <c r="Y422" i="40"/>
  <c r="DN131" i="29"/>
  <c r="DN141" i="29" s="1"/>
  <c r="CP21" i="28"/>
  <c r="CP41" i="28" s="1"/>
  <c r="CP49" i="28"/>
  <c r="CP38" i="28"/>
  <c r="CP32" i="28"/>
  <c r="Z224" i="40"/>
  <c r="Z203" i="40"/>
  <c r="Z204" i="40" s="1"/>
  <c r="CO39" i="28"/>
  <c r="CO46" i="28"/>
  <c r="DH66" i="28"/>
  <c r="AA404" i="40"/>
  <c r="AQ13" i="17"/>
  <c r="AQ28" i="17" s="1"/>
  <c r="AS9" i="17"/>
  <c r="AQ91" i="17"/>
  <c r="EQ10" i="37"/>
  <c r="EP33" i="37"/>
  <c r="W131" i="12"/>
  <c r="W138" i="12"/>
  <c r="L72" i="46"/>
  <c r="N72" i="46" s="1"/>
  <c r="P72" i="46" s="1"/>
  <c r="Z391" i="40"/>
  <c r="Z417" i="40" s="1"/>
  <c r="DG55" i="28"/>
  <c r="Z399" i="40"/>
  <c r="U133" i="12"/>
  <c r="N133" i="12"/>
  <c r="P133" i="12" s="1"/>
  <c r="N140" i="12"/>
  <c r="P140" i="12" s="1"/>
  <c r="BA13" i="17"/>
  <c r="BA28" i="17" s="1"/>
  <c r="BA87" i="17" s="1"/>
  <c r="BA91" i="17"/>
  <c r="N717" i="46"/>
  <c r="P717" i="46" s="1"/>
  <c r="N724" i="46"/>
  <c r="AB83" i="45"/>
  <c r="AQ83" i="45" s="1"/>
  <c r="V384" i="40"/>
  <c r="AC80" i="45"/>
  <c r="U90" i="12"/>
  <c r="W90" i="12" s="1"/>
  <c r="N90" i="12"/>
  <c r="P90" i="12" s="1"/>
  <c r="DN35" i="29"/>
  <c r="CO14" i="28"/>
  <c r="DP30" i="29"/>
  <c r="F200" i="9"/>
  <c r="DN25" i="29"/>
  <c r="DO25" i="29" s="1"/>
  <c r="CO10" i="28"/>
  <c r="CO13" i="28" s="1"/>
  <c r="DO40" i="29"/>
  <c r="DO50" i="29"/>
  <c r="DP238" i="47"/>
  <c r="DQ238" i="47" s="1"/>
  <c r="DV238" i="47"/>
  <c r="EB238" i="47"/>
  <c r="AO44" i="89"/>
  <c r="AL44" i="89" s="1"/>
  <c r="L143" i="45"/>
  <c r="M140" i="45"/>
  <c r="J324" i="46"/>
  <c r="L324" i="46" s="1"/>
  <c r="AO87" i="17"/>
  <c r="W89" i="12"/>
  <c r="L135" i="12"/>
  <c r="W70" i="46"/>
  <c r="L91" i="12"/>
  <c r="V83" i="9"/>
  <c r="X83" i="9" s="1"/>
  <c r="Z83" i="9" s="1"/>
  <c r="Z124" i="9"/>
  <c r="Z131" i="9"/>
  <c r="AA180" i="40"/>
  <c r="AB162" i="40"/>
  <c r="AB179" i="40" s="1"/>
  <c r="AA84" i="40"/>
  <c r="AA72" i="40"/>
  <c r="AA376" i="40"/>
  <c r="AB68" i="40"/>
  <c r="AB71" i="40" s="1"/>
  <c r="AR80" i="45"/>
  <c r="J92" i="12"/>
  <c r="X424" i="40"/>
  <c r="X432" i="40" s="1"/>
  <c r="BC9" i="17"/>
  <c r="BD55" i="22"/>
  <c r="BD57" i="22" s="1"/>
  <c r="BF55" i="22" s="1"/>
  <c r="Z403" i="40"/>
  <c r="DU30" i="28"/>
  <c r="AE73" i="20"/>
  <c r="DO85" i="29"/>
  <c r="DO75" i="29"/>
  <c r="DO15" i="29"/>
  <c r="E84" i="45"/>
  <c r="D85" i="45"/>
  <c r="J84" i="45"/>
  <c r="W85" i="12"/>
  <c r="U86" i="12"/>
  <c r="W86" i="12" s="1"/>
  <c r="AA244" i="40"/>
  <c r="AA245" i="40" s="1"/>
  <c r="AA242" i="40"/>
  <c r="AB271" i="40"/>
  <c r="AC237" i="40"/>
  <c r="AC240" i="40" s="1"/>
  <c r="AB241" i="40"/>
  <c r="AB381" i="40"/>
  <c r="AB253" i="40"/>
  <c r="AB254" i="40" s="1"/>
  <c r="S328" i="45"/>
  <c r="R331" i="45"/>
  <c r="AA328" i="45"/>
  <c r="R510" i="45"/>
  <c r="U323" i="46"/>
  <c r="W323" i="46" s="1"/>
  <c r="N323" i="46"/>
  <c r="Z181" i="40"/>
  <c r="Z188" i="40"/>
  <c r="Z189" i="40" s="1"/>
  <c r="AF722" i="46"/>
  <c r="D722" i="46"/>
  <c r="S722" i="46" s="1"/>
  <c r="U142" i="46" l="1"/>
  <c r="W142" i="46" s="1"/>
  <c r="CI180" i="29"/>
  <c r="BA30" i="28"/>
  <c r="CH181" i="29"/>
  <c r="W674" i="46"/>
  <c r="U675" i="46"/>
  <c r="W675" i="46" s="1"/>
  <c r="F823" i="46"/>
  <c r="D823" i="46"/>
  <c r="U259" i="46"/>
  <c r="N266" i="46"/>
  <c r="P266" i="46" s="1"/>
  <c r="N259" i="46"/>
  <c r="P259" i="46" s="1"/>
  <c r="U145" i="46"/>
  <c r="W145" i="46" s="1"/>
  <c r="N145" i="46"/>
  <c r="U618" i="46"/>
  <c r="W618" i="46" s="1"/>
  <c r="AB289" i="40"/>
  <c r="AB290" i="40" s="1"/>
  <c r="AB286" i="40"/>
  <c r="K5" i="100"/>
  <c r="K6" i="100" s="1"/>
  <c r="DH12" i="34"/>
  <c r="U84" i="45"/>
  <c r="T85" i="45"/>
  <c r="J778" i="46"/>
  <c r="L778" i="46" s="1"/>
  <c r="U90" i="45"/>
  <c r="U678" i="46"/>
  <c r="W678" i="46" s="1"/>
  <c r="N678" i="46"/>
  <c r="P678" i="46" s="1"/>
  <c r="U154" i="12"/>
  <c r="N154" i="12"/>
  <c r="P154" i="12" s="1"/>
  <c r="Z421" i="40"/>
  <c r="AC256" i="40"/>
  <c r="AC257" i="40" s="1"/>
  <c r="AC272" i="40"/>
  <c r="AC344" i="40" s="1"/>
  <c r="BE235" i="40"/>
  <c r="AC235" i="40"/>
  <c r="AC320" i="40"/>
  <c r="AC336" i="40" s="1"/>
  <c r="J145" i="45"/>
  <c r="J146" i="46"/>
  <c r="L146" i="46" s="1"/>
  <c r="K144" i="45"/>
  <c r="AK821" i="46"/>
  <c r="AI823" i="46"/>
  <c r="W91" i="45"/>
  <c r="W85" i="45"/>
  <c r="V86" i="45"/>
  <c r="W773" i="46"/>
  <c r="U774" i="46"/>
  <c r="W774" i="46" s="1"/>
  <c r="N621" i="46"/>
  <c r="P621" i="46" s="1"/>
  <c r="U621" i="46"/>
  <c r="W621" i="46" s="1"/>
  <c r="DF194" i="29"/>
  <c r="DG194" i="29" s="1"/>
  <c r="DF191" i="29"/>
  <c r="DG190" i="29"/>
  <c r="U823" i="46"/>
  <c r="W823" i="46" s="1"/>
  <c r="W821" i="46"/>
  <c r="V147" i="9"/>
  <c r="X147" i="9" s="1"/>
  <c r="Z147" i="9" s="1"/>
  <c r="L155" i="12"/>
  <c r="BD81" i="28"/>
  <c r="X5" i="20"/>
  <c r="W142" i="20"/>
  <c r="J559" i="46"/>
  <c r="L559" i="46" s="1"/>
  <c r="O92" i="45"/>
  <c r="O86" i="45"/>
  <c r="N152" i="45"/>
  <c r="N155" i="45" s="1"/>
  <c r="O151" i="45"/>
  <c r="N327" i="45"/>
  <c r="O326" i="45"/>
  <c r="N508" i="45"/>
  <c r="O508" i="45" s="1"/>
  <c r="V139" i="45"/>
  <c r="W138" i="45"/>
  <c r="AQ138" i="45"/>
  <c r="Q84" i="45"/>
  <c r="J622" i="46"/>
  <c r="L622" i="46" s="1"/>
  <c r="P85" i="45"/>
  <c r="J679" i="46"/>
  <c r="L679" i="46" s="1"/>
  <c r="AD281" i="40"/>
  <c r="AD284" i="40" s="1"/>
  <c r="AC285" i="40"/>
  <c r="H144" i="45"/>
  <c r="J413" i="46"/>
  <c r="L413" i="46" s="1"/>
  <c r="I143" i="45"/>
  <c r="U409" i="46"/>
  <c r="W409" i="46" s="1"/>
  <c r="N409" i="46"/>
  <c r="P409" i="46" s="1"/>
  <c r="N777" i="46"/>
  <c r="P777" i="46" s="1"/>
  <c r="U777" i="46"/>
  <c r="W777" i="46" s="1"/>
  <c r="DF192" i="29"/>
  <c r="DG192" i="29" s="1"/>
  <c r="P328" i="45"/>
  <c r="P509" i="45"/>
  <c r="Q509" i="45" s="1"/>
  <c r="Q327" i="45"/>
  <c r="AR137" i="45"/>
  <c r="J159" i="12"/>
  <c r="J260" i="46"/>
  <c r="L260" i="46" s="1"/>
  <c r="M85" i="45"/>
  <c r="M91" i="45"/>
  <c r="L86" i="45"/>
  <c r="N558" i="46"/>
  <c r="P558" i="46" s="1"/>
  <c r="U558" i="46"/>
  <c r="W558" i="46" s="1"/>
  <c r="AM9" i="40"/>
  <c r="AM49" i="40"/>
  <c r="DT75" i="28"/>
  <c r="CR41" i="28"/>
  <c r="CR25" i="28"/>
  <c r="CR42" i="28" s="1"/>
  <c r="DN222" i="29"/>
  <c r="DO222" i="29" s="1"/>
  <c r="DO76" i="29"/>
  <c r="DP16" i="29"/>
  <c r="DO86" i="29"/>
  <c r="CR43" i="28"/>
  <c r="CR51" i="28"/>
  <c r="DP240" i="47"/>
  <c r="EB240" i="47"/>
  <c r="AO46" i="89"/>
  <c r="AL46" i="89" s="1"/>
  <c r="DV240" i="47"/>
  <c r="DN133" i="29"/>
  <c r="DW32" i="29"/>
  <c r="DX32" i="29" s="1"/>
  <c r="U5" i="40"/>
  <c r="T157" i="40"/>
  <c r="T111" i="40"/>
  <c r="T57" i="40"/>
  <c r="T374" i="40"/>
  <c r="T232" i="40"/>
  <c r="T315" i="40"/>
  <c r="L202" i="9"/>
  <c r="U72" i="46"/>
  <c r="W72" i="46" s="1"/>
  <c r="AD184" i="40"/>
  <c r="AC205" i="40"/>
  <c r="AC378" i="40"/>
  <c r="AC401" i="40" s="1"/>
  <c r="AC379" i="40"/>
  <c r="AC402" i="40" s="1"/>
  <c r="AD185" i="40"/>
  <c r="AC206" i="40"/>
  <c r="AA123" i="40"/>
  <c r="AA124" i="40" s="1"/>
  <c r="AA121" i="40"/>
  <c r="AB377" i="40"/>
  <c r="AB400" i="40" s="1"/>
  <c r="AB132" i="40"/>
  <c r="AC116" i="40"/>
  <c r="AC119" i="40" s="1"/>
  <c r="DI62" i="28"/>
  <c r="AB120" i="40"/>
  <c r="AA148" i="40"/>
  <c r="AA133" i="40"/>
  <c r="HE22" i="38"/>
  <c r="U135" i="12"/>
  <c r="W142" i="12" s="1"/>
  <c r="DN26" i="29"/>
  <c r="DO46" i="29" s="1"/>
  <c r="DN34" i="29"/>
  <c r="DW34" i="29" s="1"/>
  <c r="DN36" i="29"/>
  <c r="DO42" i="29"/>
  <c r="DO52" i="29"/>
  <c r="CQ10" i="28"/>
  <c r="CQ13" i="28" s="1"/>
  <c r="F202" i="9"/>
  <c r="DN62" i="29"/>
  <c r="CQ39" i="28"/>
  <c r="CQ46" i="28"/>
  <c r="DP32" i="29"/>
  <c r="CQ14" i="28"/>
  <c r="DN230" i="29"/>
  <c r="DO230" i="29" s="1"/>
  <c r="DX237" i="47"/>
  <c r="DP60" i="29"/>
  <c r="DO60" i="29"/>
  <c r="DN65" i="29"/>
  <c r="DO65" i="29" s="1"/>
  <c r="DN110" i="29"/>
  <c r="DO120" i="29" s="1"/>
  <c r="CO17" i="28"/>
  <c r="CO36" i="28"/>
  <c r="AR83" i="45"/>
  <c r="AR89" i="45"/>
  <c r="J96" i="12"/>
  <c r="L92" i="12"/>
  <c r="V84" i="9"/>
  <c r="X84" i="9" s="1"/>
  <c r="Z84" i="9" s="1"/>
  <c r="AA48" i="40"/>
  <c r="DH71" i="28" s="1"/>
  <c r="AA21" i="40"/>
  <c r="AB16" i="40"/>
  <c r="AB20" i="40" s="1"/>
  <c r="AA33" i="40"/>
  <c r="AA34" i="40" s="1"/>
  <c r="DH54" i="28"/>
  <c r="DH81" i="28" s="1"/>
  <c r="DO209" i="29"/>
  <c r="DN214" i="29"/>
  <c r="DO214" i="29" s="1"/>
  <c r="DV30" i="28"/>
  <c r="AF73" i="20"/>
  <c r="AA73" i="40"/>
  <c r="AA75" i="40"/>
  <c r="AA76" i="40" s="1"/>
  <c r="CP43" i="28"/>
  <c r="CP51" i="28"/>
  <c r="J76" i="46"/>
  <c r="L76" i="46" s="1"/>
  <c r="K84" i="45"/>
  <c r="K90" i="45"/>
  <c r="AA101" i="40"/>
  <c r="AA85" i="40"/>
  <c r="AA181" i="40"/>
  <c r="AA188" i="40"/>
  <c r="AA189" i="40" s="1"/>
  <c r="DP35" i="29"/>
  <c r="DO35" i="29"/>
  <c r="V407" i="40"/>
  <c r="V383" i="40"/>
  <c r="V391" i="40" s="1"/>
  <c r="AA203" i="40"/>
  <c r="AA204" i="40" s="1"/>
  <c r="AA224" i="40"/>
  <c r="R513" i="45"/>
  <c r="AA331" i="45"/>
  <c r="R332" i="45"/>
  <c r="S331" i="45"/>
  <c r="AC271" i="40"/>
  <c r="AC241" i="40"/>
  <c r="AD237" i="40"/>
  <c r="AD240" i="40" s="1"/>
  <c r="AC381" i="40"/>
  <c r="AC253" i="40"/>
  <c r="AC254" i="40" s="1"/>
  <c r="AC162" i="40"/>
  <c r="AC179" i="40" s="1"/>
  <c r="AB180" i="40"/>
  <c r="R200" i="9"/>
  <c r="AM200" i="9"/>
  <c r="AL152" i="47"/>
  <c r="S724" i="46"/>
  <c r="AI722" i="46"/>
  <c r="U722" i="46"/>
  <c r="AL124" i="47"/>
  <c r="DI67" i="28"/>
  <c r="AB404" i="40"/>
  <c r="J85" i="45"/>
  <c r="D86" i="45"/>
  <c r="E85" i="45"/>
  <c r="AB84" i="40"/>
  <c r="AC68" i="40"/>
  <c r="AC71" i="40" s="1"/>
  <c r="AB376" i="40"/>
  <c r="AB72" i="40"/>
  <c r="N135" i="12"/>
  <c r="P135" i="12" s="1"/>
  <c r="N142" i="12"/>
  <c r="P142" i="12" s="1"/>
  <c r="N324" i="46"/>
  <c r="U324" i="46"/>
  <c r="W324" i="46" s="1"/>
  <c r="L325" i="46"/>
  <c r="N325" i="46" s="1"/>
  <c r="P325" i="46" s="1"/>
  <c r="DO44" i="29"/>
  <c r="DO54" i="29"/>
  <c r="F204" i="9"/>
  <c r="AC83" i="45"/>
  <c r="AC89" i="45"/>
  <c r="AB84" i="45"/>
  <c r="W133" i="12"/>
  <c r="W140" i="12"/>
  <c r="Z425" i="40"/>
  <c r="Z428" i="40"/>
  <c r="Z423" i="40"/>
  <c r="Z431" i="40"/>
  <c r="Z430" i="40"/>
  <c r="Z427" i="40"/>
  <c r="Z414" i="40"/>
  <c r="Z426" i="40"/>
  <c r="Z429" i="40"/>
  <c r="Z420" i="40"/>
  <c r="Z419" i="40"/>
  <c r="Z418" i="40"/>
  <c r="Z422" i="40"/>
  <c r="EQ33" i="37"/>
  <c r="ER10" i="37"/>
  <c r="AS91" i="17"/>
  <c r="AS13" i="17"/>
  <c r="AS28" i="17" s="1"/>
  <c r="Y424" i="40"/>
  <c r="Y432" i="40" s="1"/>
  <c r="AA403" i="40"/>
  <c r="W132" i="12"/>
  <c r="W139" i="12"/>
  <c r="BC13" i="17"/>
  <c r="BC28" i="17" s="1"/>
  <c r="BC87" i="17" s="1"/>
  <c r="BC91" i="17"/>
  <c r="BE9" i="17"/>
  <c r="J328" i="46"/>
  <c r="L328" i="46" s="1"/>
  <c r="L144" i="45"/>
  <c r="M143" i="45"/>
  <c r="AB244" i="40"/>
  <c r="AB245" i="40" s="1"/>
  <c r="AB242" i="40"/>
  <c r="AA399" i="40"/>
  <c r="AA391" i="40"/>
  <c r="AA421" i="40" s="1"/>
  <c r="DH55" i="28"/>
  <c r="U91" i="12"/>
  <c r="N91" i="12"/>
  <c r="P91" i="12" s="1"/>
  <c r="L93" i="12"/>
  <c r="DO55" i="29"/>
  <c r="DO45" i="29"/>
  <c r="CO37" i="28"/>
  <c r="CO48" i="28"/>
  <c r="AQ87" i="17"/>
  <c r="CP25" i="28"/>
  <c r="CP42" i="28" s="1"/>
  <c r="CP40" i="28"/>
  <c r="DO131" i="29"/>
  <c r="Z24" i="40"/>
  <c r="Z25" i="40" s="1"/>
  <c r="Z22" i="40"/>
  <c r="U75" i="46"/>
  <c r="N75" i="46"/>
  <c r="P75" i="46" s="1"/>
  <c r="AB207" i="40"/>
  <c r="AB380" i="40"/>
  <c r="AC186" i="40"/>
  <c r="AB183" i="40"/>
  <c r="U146" i="46" l="1"/>
  <c r="W146" i="46" s="1"/>
  <c r="N146" i="46"/>
  <c r="AC259" i="40"/>
  <c r="BX215" i="37"/>
  <c r="N260" i="46"/>
  <c r="P260" i="46" s="1"/>
  <c r="N267" i="46"/>
  <c r="P267" i="46" s="1"/>
  <c r="U260" i="46"/>
  <c r="U679" i="46"/>
  <c r="N679" i="46"/>
  <c r="P679" i="46" s="1"/>
  <c r="N686" i="46"/>
  <c r="P686" i="46" s="1"/>
  <c r="X142" i="20"/>
  <c r="Y5" i="20"/>
  <c r="Z5" i="20" s="1"/>
  <c r="AA5" i="20" s="1"/>
  <c r="AB5" i="20" s="1"/>
  <c r="AC5" i="20" s="1"/>
  <c r="AD5" i="20" s="1"/>
  <c r="AE5" i="20" s="1"/>
  <c r="AF5" i="20" s="1"/>
  <c r="AG5" i="20" s="1"/>
  <c r="AH5" i="20" s="1"/>
  <c r="DJ188" i="29"/>
  <c r="DG191" i="29"/>
  <c r="BE242" i="40"/>
  <c r="BE243" i="40"/>
  <c r="BE245" i="40"/>
  <c r="BE236" i="40"/>
  <c r="AR138" i="45"/>
  <c r="J160" i="12"/>
  <c r="BF81" i="28"/>
  <c r="V151" i="9"/>
  <c r="X151" i="9" s="1"/>
  <c r="Z151" i="9" s="1"/>
  <c r="L159" i="12"/>
  <c r="Q85" i="45"/>
  <c r="P86" i="45"/>
  <c r="J623" i="46"/>
  <c r="L623" i="46" s="1"/>
  <c r="J680" i="46"/>
  <c r="L680" i="46" s="1"/>
  <c r="N328" i="45"/>
  <c r="N509" i="45"/>
  <c r="O509" i="45" s="1"/>
  <c r="O327" i="45"/>
  <c r="N785" i="46"/>
  <c r="P785" i="46" s="1"/>
  <c r="U778" i="46"/>
  <c r="N778" i="46"/>
  <c r="P778" i="46" s="1"/>
  <c r="AD285" i="40"/>
  <c r="AE281" i="40"/>
  <c r="AE284" i="40" s="1"/>
  <c r="AV284" i="40"/>
  <c r="N622" i="46"/>
  <c r="P622" i="46" s="1"/>
  <c r="U622" i="46"/>
  <c r="W622" i="46" s="1"/>
  <c r="U155" i="12"/>
  <c r="W155" i="12" s="1"/>
  <c r="N155" i="12"/>
  <c r="P155" i="12" s="1"/>
  <c r="AM821" i="46"/>
  <c r="AK823" i="46"/>
  <c r="AM823" i="46" s="1"/>
  <c r="T86" i="45"/>
  <c r="J779" i="46"/>
  <c r="L779" i="46" s="1"/>
  <c r="U85" i="45"/>
  <c r="U91" i="45"/>
  <c r="U413" i="46"/>
  <c r="N413" i="46"/>
  <c r="P413" i="46" s="1"/>
  <c r="O155" i="45"/>
  <c r="N156" i="45"/>
  <c r="CI181" i="29"/>
  <c r="BB30" i="28"/>
  <c r="CH182" i="29"/>
  <c r="DH30" i="34"/>
  <c r="DH36" i="34"/>
  <c r="DH42" i="34"/>
  <c r="DH18" i="34"/>
  <c r="DH24" i="34" s="1"/>
  <c r="J261" i="46"/>
  <c r="M86" i="45"/>
  <c r="M92" i="45"/>
  <c r="P510" i="45"/>
  <c r="Q510" i="45" s="1"/>
  <c r="P331" i="45"/>
  <c r="Q328" i="45"/>
  <c r="I144" i="45"/>
  <c r="J414" i="46"/>
  <c r="L414" i="46" s="1"/>
  <c r="H145" i="45"/>
  <c r="K145" i="45"/>
  <c r="J147" i="46"/>
  <c r="L147" i="46" s="1"/>
  <c r="J146" i="45"/>
  <c r="W154" i="12"/>
  <c r="U156" i="12"/>
  <c r="W156" i="12" s="1"/>
  <c r="W266" i="46"/>
  <c r="W259" i="46"/>
  <c r="AC286" i="40"/>
  <c r="AC289" i="40"/>
  <c r="AC290" i="40" s="1"/>
  <c r="V140" i="45"/>
  <c r="W139" i="45"/>
  <c r="AQ139" i="45"/>
  <c r="N559" i="46"/>
  <c r="P559" i="46" s="1"/>
  <c r="U559" i="46"/>
  <c r="L560" i="46"/>
  <c r="N560" i="46" s="1"/>
  <c r="P560" i="46" s="1"/>
  <c r="U410" i="46"/>
  <c r="W410" i="46" s="1"/>
  <c r="W382" i="40"/>
  <c r="W92" i="45"/>
  <c r="W86" i="45"/>
  <c r="H823" i="46"/>
  <c r="L156" i="12"/>
  <c r="N156" i="12" s="1"/>
  <c r="P156" i="12" s="1"/>
  <c r="AG73" i="20"/>
  <c r="AH73" i="20" s="1"/>
  <c r="DW30" i="28"/>
  <c r="DN232" i="29"/>
  <c r="DO232" i="29" s="1"/>
  <c r="W135" i="12"/>
  <c r="DQ240" i="47"/>
  <c r="DN143" i="29"/>
  <c r="DO133" i="29"/>
  <c r="DN66" i="29"/>
  <c r="DP66" i="29" s="1"/>
  <c r="DO36" i="29"/>
  <c r="AC19" i="20"/>
  <c r="U157" i="40"/>
  <c r="U57" i="40"/>
  <c r="U111" i="40"/>
  <c r="U374" i="40"/>
  <c r="U232" i="40"/>
  <c r="V5" i="40"/>
  <c r="U315" i="40"/>
  <c r="AB133" i="40"/>
  <c r="AB148" i="40"/>
  <c r="AB121" i="40"/>
  <c r="AB123" i="40"/>
  <c r="AB124" i="40" s="1"/>
  <c r="AD206" i="40"/>
  <c r="AE185" i="40"/>
  <c r="AD379" i="40"/>
  <c r="AD402" i="40" s="1"/>
  <c r="AC377" i="40"/>
  <c r="AC400" i="40" s="1"/>
  <c r="AC132" i="40"/>
  <c r="AC120" i="40"/>
  <c r="AD116" i="40"/>
  <c r="AD119" i="40" s="1"/>
  <c r="DJ62" i="28"/>
  <c r="AD205" i="40"/>
  <c r="AE184" i="40"/>
  <c r="AD378" i="40"/>
  <c r="AD401" i="40" s="1"/>
  <c r="ER33" i="37"/>
  <c r="ES10" i="37"/>
  <c r="ES33" i="37" s="1"/>
  <c r="DO56" i="29"/>
  <c r="DO26" i="29"/>
  <c r="U325" i="46"/>
  <c r="W325" i="46" s="1"/>
  <c r="DP34" i="29"/>
  <c r="X13" i="85" s="1"/>
  <c r="DP36" i="29"/>
  <c r="DN64" i="29"/>
  <c r="DP65" i="29"/>
  <c r="DP62" i="29"/>
  <c r="DO62" i="29"/>
  <c r="DN211" i="29"/>
  <c r="DX239" i="47"/>
  <c r="DN112" i="29"/>
  <c r="CQ17" i="28"/>
  <c r="CQ36" i="28"/>
  <c r="CQ37" i="28"/>
  <c r="CQ48" i="28"/>
  <c r="R202" i="9"/>
  <c r="T201" i="9"/>
  <c r="AM202" i="9"/>
  <c r="DY237" i="47"/>
  <c r="DZ237" i="47"/>
  <c r="DN115" i="29"/>
  <c r="DO115" i="29" s="1"/>
  <c r="DO110" i="29"/>
  <c r="DN219" i="29"/>
  <c r="DO219" i="29" s="1"/>
  <c r="DP110" i="29"/>
  <c r="E86" i="45"/>
  <c r="J86" i="45"/>
  <c r="AB181" i="40"/>
  <c r="AB188" i="40"/>
  <c r="AB189" i="40" s="1"/>
  <c r="DV237" i="47"/>
  <c r="DP237" i="47"/>
  <c r="DQ237" i="47" s="1"/>
  <c r="AO43" i="89"/>
  <c r="AL43" i="89" s="1"/>
  <c r="EB237" i="47"/>
  <c r="AA24" i="40"/>
  <c r="AA25" i="40" s="1"/>
  <c r="AA22" i="40"/>
  <c r="W75" i="46"/>
  <c r="N93" i="12"/>
  <c r="P93" i="12" s="1"/>
  <c r="AA417" i="40"/>
  <c r="AS87" i="17"/>
  <c r="AC84" i="45"/>
  <c r="AB85" i="45"/>
  <c r="AC90" i="45"/>
  <c r="BG77" i="17"/>
  <c r="DT10" i="28"/>
  <c r="P8" i="85"/>
  <c r="AB73" i="40"/>
  <c r="AB75" i="40"/>
  <c r="K85" i="45"/>
  <c r="K91" i="45"/>
  <c r="J77" i="46"/>
  <c r="L77" i="46" s="1"/>
  <c r="AQ85" i="45"/>
  <c r="AL126" i="47"/>
  <c r="AP124" i="47"/>
  <c r="BO124" i="47"/>
  <c r="BO152" i="47"/>
  <c r="AL154" i="47"/>
  <c r="BO154" i="47" s="1"/>
  <c r="AC180" i="40"/>
  <c r="AC181" i="40" s="1"/>
  <c r="AD162" i="40"/>
  <c r="AD179" i="40" s="1"/>
  <c r="AC404" i="40"/>
  <c r="U92" i="12"/>
  <c r="W92" i="12" s="1"/>
  <c r="N92" i="12"/>
  <c r="P92" i="12" s="1"/>
  <c r="AB403" i="40"/>
  <c r="DI66" i="28"/>
  <c r="W91" i="12"/>
  <c r="BD71" i="40"/>
  <c r="AB101" i="40"/>
  <c r="AB85" i="40"/>
  <c r="F724" i="46"/>
  <c r="D724" i="46"/>
  <c r="AB224" i="40"/>
  <c r="AB203" i="40"/>
  <c r="AB204" i="40" s="1"/>
  <c r="CP27" i="28"/>
  <c r="DO141" i="29"/>
  <c r="M144" i="45"/>
  <c r="J329" i="46"/>
  <c r="L329" i="46" s="1"/>
  <c r="L145" i="45"/>
  <c r="BE13" i="17"/>
  <c r="BE28" i="17" s="1"/>
  <c r="BE87" i="17" s="1"/>
  <c r="BE91" i="17"/>
  <c r="Z424" i="40"/>
  <c r="Z432" i="40" s="1"/>
  <c r="AB399" i="40"/>
  <c r="DI55" i="28"/>
  <c r="DI56" i="28" s="1"/>
  <c r="AB391" i="40"/>
  <c r="AB417" i="40" s="1"/>
  <c r="U724" i="46"/>
  <c r="W724" i="46" s="1"/>
  <c r="W722" i="46"/>
  <c r="AD253" i="40"/>
  <c r="AD254" i="40" s="1"/>
  <c r="AD271" i="40"/>
  <c r="AE237" i="40"/>
  <c r="AE240" i="40" s="1"/>
  <c r="AD241" i="40"/>
  <c r="AD242" i="40" s="1"/>
  <c r="AD381" i="40"/>
  <c r="R333" i="45"/>
  <c r="S332" i="45"/>
  <c r="AA332" i="45"/>
  <c r="R514" i="45"/>
  <c r="N83" i="46"/>
  <c r="P83" i="46" s="1"/>
  <c r="U76" i="46"/>
  <c r="N76" i="46"/>
  <c r="P76" i="46" s="1"/>
  <c r="L96" i="12"/>
  <c r="M81" i="28"/>
  <c r="V88" i="9"/>
  <c r="X88" i="9" s="1"/>
  <c r="CO38" i="28"/>
  <c r="CO32" i="28"/>
  <c r="CO21" i="28"/>
  <c r="CO49" i="28"/>
  <c r="V414" i="40"/>
  <c r="V431" i="40"/>
  <c r="V429" i="40"/>
  <c r="V427" i="40"/>
  <c r="V430" i="40"/>
  <c r="V428" i="40"/>
  <c r="V420" i="40"/>
  <c r="V423" i="40"/>
  <c r="V419" i="40"/>
  <c r="V418" i="40"/>
  <c r="V426" i="40"/>
  <c r="V422" i="40"/>
  <c r="V417" i="40"/>
  <c r="V421" i="40"/>
  <c r="AD186" i="40"/>
  <c r="AC207" i="40"/>
  <c r="AC380" i="40"/>
  <c r="AC183" i="40"/>
  <c r="AA426" i="40"/>
  <c r="AA425" i="40"/>
  <c r="AA414" i="40"/>
  <c r="AA423" i="40"/>
  <c r="AA429" i="40"/>
  <c r="AA428" i="40"/>
  <c r="AA430" i="40"/>
  <c r="AA431" i="40"/>
  <c r="AA427" i="40"/>
  <c r="AA420" i="40"/>
  <c r="AA419" i="40"/>
  <c r="AA418" i="40"/>
  <c r="AA422" i="40"/>
  <c r="U328" i="46"/>
  <c r="N328" i="46"/>
  <c r="AC84" i="40"/>
  <c r="AC376" i="40"/>
  <c r="AD68" i="40"/>
  <c r="AD71" i="40" s="1"/>
  <c r="AC72" i="40"/>
  <c r="AK722" i="46"/>
  <c r="AI724" i="46"/>
  <c r="AC242" i="40"/>
  <c r="AC244" i="40"/>
  <c r="AC245" i="40" s="1"/>
  <c r="V425" i="40"/>
  <c r="AQ84" i="45"/>
  <c r="DI54" i="28"/>
  <c r="DI81" i="28" s="1"/>
  <c r="AC16" i="40"/>
  <c r="AC20" i="40" s="1"/>
  <c r="AB21" i="40"/>
  <c r="AB48" i="40"/>
  <c r="DI71" i="28" s="1"/>
  <c r="AB33" i="40"/>
  <c r="AB34" i="40" s="1"/>
  <c r="BG78" i="17" l="1"/>
  <c r="P49" i="85"/>
  <c r="P91" i="85"/>
  <c r="J415" i="46"/>
  <c r="L415" i="46" s="1"/>
  <c r="H146" i="45"/>
  <c r="I145" i="45"/>
  <c r="J780" i="46"/>
  <c r="U92" i="45"/>
  <c r="U86" i="45"/>
  <c r="W679" i="46"/>
  <c r="W686" i="46"/>
  <c r="P823" i="46"/>
  <c r="AF823" i="46"/>
  <c r="AR139" i="45"/>
  <c r="J161" i="12"/>
  <c r="P332" i="45"/>
  <c r="P513" i="45"/>
  <c r="Q513" i="45" s="1"/>
  <c r="Q331" i="45"/>
  <c r="W413" i="46"/>
  <c r="U159" i="12"/>
  <c r="W159" i="12" s="1"/>
  <c r="N159" i="12"/>
  <c r="P159" i="12" s="1"/>
  <c r="W260" i="46"/>
  <c r="W267" i="46"/>
  <c r="U680" i="46"/>
  <c r="N687" i="46"/>
  <c r="P687" i="46" s="1"/>
  <c r="N680" i="46"/>
  <c r="P680" i="46" s="1"/>
  <c r="W785" i="46"/>
  <c r="W778" i="46"/>
  <c r="J148" i="46"/>
  <c r="L148" i="46" s="1"/>
  <c r="J149" i="45"/>
  <c r="K146" i="45"/>
  <c r="CI182" i="29"/>
  <c r="BC30" i="28"/>
  <c r="CH183" i="29"/>
  <c r="N157" i="45"/>
  <c r="O156" i="45"/>
  <c r="AF382" i="40"/>
  <c r="W140" i="45"/>
  <c r="V143" i="45"/>
  <c r="AQ140" i="45"/>
  <c r="N147" i="46"/>
  <c r="U147" i="46"/>
  <c r="DK188" i="29"/>
  <c r="DJ189" i="29"/>
  <c r="DJ193" i="29"/>
  <c r="DK193" i="29" s="1"/>
  <c r="AE285" i="40"/>
  <c r="AF281" i="40"/>
  <c r="AF284" i="40" s="1"/>
  <c r="W405" i="40"/>
  <c r="DD65" i="28"/>
  <c r="N60" i="28"/>
  <c r="X405" i="40"/>
  <c r="U779" i="46"/>
  <c r="N786" i="46"/>
  <c r="P786" i="46" s="1"/>
  <c r="N779" i="46"/>
  <c r="P779" i="46" s="1"/>
  <c r="O328" i="45"/>
  <c r="N510" i="45"/>
  <c r="O510" i="45" s="1"/>
  <c r="N331" i="45"/>
  <c r="V152" i="9"/>
  <c r="X152" i="9" s="1"/>
  <c r="Z152" i="9" s="1"/>
  <c r="BG81" i="28"/>
  <c r="L160" i="12"/>
  <c r="AC359" i="40"/>
  <c r="BD236" i="40"/>
  <c r="AC267" i="40"/>
  <c r="L261" i="46"/>
  <c r="L265" i="46"/>
  <c r="U414" i="46"/>
  <c r="W414" i="46" s="1"/>
  <c r="N414" i="46"/>
  <c r="P414" i="46" s="1"/>
  <c r="AD286" i="40"/>
  <c r="AD289" i="40"/>
  <c r="AD290" i="40" s="1"/>
  <c r="U623" i="46"/>
  <c r="N623" i="46"/>
  <c r="P623" i="46" s="1"/>
  <c r="L625" i="46"/>
  <c r="N625" i="46" s="1"/>
  <c r="P625" i="46" s="1"/>
  <c r="BE244" i="40"/>
  <c r="BE246" i="40" s="1"/>
  <c r="BE240" i="40"/>
  <c r="W559" i="46"/>
  <c r="U560" i="46"/>
  <c r="W560" i="46" s="1"/>
  <c r="J624" i="46"/>
  <c r="L624" i="46" s="1"/>
  <c r="J681" i="46"/>
  <c r="Q86" i="45"/>
  <c r="CP50" i="28"/>
  <c r="DT14" i="28"/>
  <c r="P12" i="85"/>
  <c r="CR27" i="28"/>
  <c r="DO143" i="29"/>
  <c r="DX241" i="47"/>
  <c r="DN114" i="29"/>
  <c r="DO66" i="29"/>
  <c r="V374" i="40"/>
  <c r="V315" i="40"/>
  <c r="V232" i="40"/>
  <c r="V111" i="40"/>
  <c r="W5" i="40"/>
  <c r="V157" i="40"/>
  <c r="V57" i="40"/>
  <c r="DK62" i="28"/>
  <c r="AD132" i="40"/>
  <c r="AD377" i="40"/>
  <c r="AD400" i="40" s="1"/>
  <c r="AE116" i="40"/>
  <c r="AE119" i="40" s="1"/>
  <c r="AD120" i="40"/>
  <c r="AE206" i="40"/>
  <c r="AF185" i="40"/>
  <c r="AE379" i="40"/>
  <c r="AE402" i="40" s="1"/>
  <c r="AC123" i="40"/>
  <c r="AC124" i="40" s="1"/>
  <c r="AC121" i="40"/>
  <c r="AF184" i="40"/>
  <c r="AE378" i="40"/>
  <c r="AE401" i="40" s="1"/>
  <c r="AE205" i="40"/>
  <c r="AC148" i="40"/>
  <c r="AC133" i="40"/>
  <c r="DP64" i="29"/>
  <c r="DO211" i="29"/>
  <c r="DN213" i="29"/>
  <c r="DN215" i="29"/>
  <c r="DO215" i="29" s="1"/>
  <c r="CQ32" i="28"/>
  <c r="CQ21" i="28"/>
  <c r="CQ49" i="28"/>
  <c r="CQ38" i="28"/>
  <c r="H724" i="46"/>
  <c r="P724" i="46" s="1"/>
  <c r="DP112" i="29"/>
  <c r="DO112" i="29"/>
  <c r="CQ23" i="28"/>
  <c r="DY239" i="47"/>
  <c r="DN116" i="29"/>
  <c r="U93" i="12"/>
  <c r="W93" i="12" s="1"/>
  <c r="DP115" i="29"/>
  <c r="DN125" i="29"/>
  <c r="DO125" i="29" s="1"/>
  <c r="CO23" i="28"/>
  <c r="CO41" i="28" s="1"/>
  <c r="DN229" i="29"/>
  <c r="DO229" i="29" s="1"/>
  <c r="DN224" i="29"/>
  <c r="DO224" i="29" s="1"/>
  <c r="DN130" i="29"/>
  <c r="AB24" i="40"/>
  <c r="AB25" i="40" s="1"/>
  <c r="AB22" i="40"/>
  <c r="CO40" i="28"/>
  <c r="AC21" i="40"/>
  <c r="AC33" i="40"/>
  <c r="AC34" i="40" s="1"/>
  <c r="AC48" i="40"/>
  <c r="DJ71" i="28" s="1"/>
  <c r="AD16" i="40"/>
  <c r="AD20" i="40" s="1"/>
  <c r="DJ54" i="28"/>
  <c r="DJ81" i="28" s="1"/>
  <c r="AM722" i="46"/>
  <c r="AK724" i="46"/>
  <c r="AM724" i="46" s="1"/>
  <c r="DJ55" i="28"/>
  <c r="DJ56" i="28" s="1"/>
  <c r="AC399" i="40"/>
  <c r="AC391" i="40"/>
  <c r="AE186" i="40"/>
  <c r="AD207" i="40"/>
  <c r="AD380" i="40"/>
  <c r="AD183" i="40"/>
  <c r="CO43" i="28"/>
  <c r="CO51" i="28"/>
  <c r="N96" i="12"/>
  <c r="P96" i="12" s="1"/>
  <c r="U96" i="12"/>
  <c r="AE381" i="40"/>
  <c r="AE241" i="40"/>
  <c r="AE242" i="40" s="1"/>
  <c r="AF237" i="40"/>
  <c r="AF240" i="40" s="1"/>
  <c r="AE253" i="40"/>
  <c r="AE254" i="40" s="1"/>
  <c r="AT240" i="40"/>
  <c r="AE271" i="40"/>
  <c r="BD79" i="40"/>
  <c r="BD74" i="40" s="1"/>
  <c r="BD65" i="40" s="1"/>
  <c r="BW152" i="47"/>
  <c r="BQ152" i="47" s="1"/>
  <c r="BP152" i="47"/>
  <c r="J98" i="12"/>
  <c r="AR85" i="45"/>
  <c r="AR91" i="45"/>
  <c r="BP154" i="47"/>
  <c r="BW154" i="47"/>
  <c r="BE71" i="40"/>
  <c r="BE74" i="40" s="1"/>
  <c r="BE65" i="40" s="1"/>
  <c r="AC101" i="40"/>
  <c r="AC85" i="40"/>
  <c r="AC224" i="40"/>
  <c r="AC203" i="40"/>
  <c r="AC204" i="40" s="1"/>
  <c r="AA333" i="45"/>
  <c r="R515" i="45"/>
  <c r="R334" i="45"/>
  <c r="S333" i="45"/>
  <c r="AB425" i="40"/>
  <c r="AB423" i="40"/>
  <c r="AB414" i="40"/>
  <c r="AB428" i="40"/>
  <c r="AB431" i="40"/>
  <c r="AB430" i="40"/>
  <c r="AB427" i="40"/>
  <c r="AB426" i="40"/>
  <c r="AB429" i="40"/>
  <c r="AB420" i="40"/>
  <c r="AB419" i="40"/>
  <c r="AB418" i="40"/>
  <c r="AB422" i="40"/>
  <c r="J330" i="46"/>
  <c r="L330" i="46" s="1"/>
  <c r="M145" i="45"/>
  <c r="L146" i="45"/>
  <c r="BX146" i="37"/>
  <c r="BX123" i="37" s="1"/>
  <c r="AC212" i="40"/>
  <c r="AD180" i="40"/>
  <c r="AD181" i="40" s="1"/>
  <c r="AE162" i="40"/>
  <c r="AE179" i="40" s="1"/>
  <c r="BW124" i="47"/>
  <c r="BQ124" i="47" s="1"/>
  <c r="BP166" i="47"/>
  <c r="BP131" i="47"/>
  <c r="BP124" i="47"/>
  <c r="U77" i="46"/>
  <c r="N77" i="46"/>
  <c r="P77" i="46" s="1"/>
  <c r="N84" i="46"/>
  <c r="P84" i="46" s="1"/>
  <c r="BD72" i="40"/>
  <c r="BD64" i="40" s="1"/>
  <c r="AB76" i="40"/>
  <c r="P133" i="85"/>
  <c r="AC85" i="45"/>
  <c r="AC91" i="45"/>
  <c r="AB86" i="45"/>
  <c r="AD72" i="40"/>
  <c r="AD84" i="40"/>
  <c r="AD376" i="40"/>
  <c r="AE68" i="40"/>
  <c r="AE71" i="40" s="1"/>
  <c r="DK55" i="28"/>
  <c r="DK56" i="28" s="1"/>
  <c r="AC159" i="40"/>
  <c r="BO126" i="47"/>
  <c r="AR84" i="45"/>
  <c r="J97" i="12"/>
  <c r="AR90" i="45"/>
  <c r="V424" i="40"/>
  <c r="V432" i="40" s="1"/>
  <c r="AC73" i="40"/>
  <c r="AC75" i="40"/>
  <c r="AC76" i="40" s="1"/>
  <c r="W328" i="46"/>
  <c r="AA424" i="40"/>
  <c r="AA432" i="40" s="1"/>
  <c r="AC403" i="40"/>
  <c r="Z95" i="9"/>
  <c r="Z88" i="9"/>
  <c r="W83" i="46"/>
  <c r="W76" i="46"/>
  <c r="AD404" i="40"/>
  <c r="N329" i="46"/>
  <c r="U329" i="46"/>
  <c r="W329" i="46" s="1"/>
  <c r="AB421" i="40"/>
  <c r="AQ124" i="47"/>
  <c r="AQ159" i="47"/>
  <c r="AR124" i="47"/>
  <c r="DH124" i="47"/>
  <c r="AP126" i="47"/>
  <c r="K92" i="45"/>
  <c r="J78" i="46"/>
  <c r="K86" i="45"/>
  <c r="P39" i="85" l="1"/>
  <c r="P52" i="85"/>
  <c r="P94" i="85"/>
  <c r="L417" i="46"/>
  <c r="N417" i="46" s="1"/>
  <c r="P417" i="46" s="1"/>
  <c r="AG281" i="40"/>
  <c r="AG284" i="40" s="1"/>
  <c r="AF285" i="40"/>
  <c r="W623" i="46"/>
  <c r="BD244" i="40"/>
  <c r="BD246" i="40" s="1"/>
  <c r="BD240" i="40"/>
  <c r="AE289" i="40"/>
  <c r="AE290" i="40" s="1"/>
  <c r="AE286" i="40"/>
  <c r="W143" i="45"/>
  <c r="V144" i="45"/>
  <c r="AQ143" i="45"/>
  <c r="W687" i="46"/>
  <c r="W680" i="46"/>
  <c r="L685" i="46"/>
  <c r="L681" i="46"/>
  <c r="BD30" i="28"/>
  <c r="CL180" i="29"/>
  <c r="CI183" i="29"/>
  <c r="L262" i="46"/>
  <c r="N262" i="46" s="1"/>
  <c r="P262" i="46" s="1"/>
  <c r="N268" i="46"/>
  <c r="P268" i="46" s="1"/>
  <c r="N261" i="46"/>
  <c r="P261" i="46" s="1"/>
  <c r="U261" i="46"/>
  <c r="T307" i="45"/>
  <c r="AC352" i="40"/>
  <c r="AR140" i="45"/>
  <c r="J162" i="12"/>
  <c r="N160" i="12"/>
  <c r="P160" i="12" s="1"/>
  <c r="U160" i="12"/>
  <c r="W160" i="12" s="1"/>
  <c r="W779" i="46"/>
  <c r="W786" i="46"/>
  <c r="DM65" i="28"/>
  <c r="AF405" i="40"/>
  <c r="AT382" i="40"/>
  <c r="K149" i="45"/>
  <c r="J150" i="45"/>
  <c r="J152" i="46"/>
  <c r="L152" i="46" s="1"/>
  <c r="P333" i="45"/>
  <c r="Q332" i="45"/>
  <c r="P514" i="45"/>
  <c r="Q514" i="45" s="1"/>
  <c r="U624" i="46"/>
  <c r="W624" i="46" s="1"/>
  <c r="N624" i="46"/>
  <c r="P624" i="46" s="1"/>
  <c r="DJ190" i="29"/>
  <c r="DK189" i="29"/>
  <c r="L149" i="46"/>
  <c r="N149" i="46" s="1"/>
  <c r="P149" i="46" s="1"/>
  <c r="N148" i="46"/>
  <c r="U148" i="46"/>
  <c r="W148" i="46" s="1"/>
  <c r="L161" i="12"/>
  <c r="V153" i="9"/>
  <c r="X153" i="9" s="1"/>
  <c r="Z153" i="9" s="1"/>
  <c r="BH81" i="28"/>
  <c r="L784" i="46"/>
  <c r="L780" i="46"/>
  <c r="BF235" i="40"/>
  <c r="AD234" i="40"/>
  <c r="O157" i="45"/>
  <c r="O161" i="45"/>
  <c r="N158" i="45"/>
  <c r="O162" i="45" s="1"/>
  <c r="U265" i="46"/>
  <c r="N272" i="46"/>
  <c r="P272" i="46" s="1"/>
  <c r="L269" i="46"/>
  <c r="N265" i="46"/>
  <c r="P265" i="46" s="1"/>
  <c r="O331" i="45"/>
  <c r="N513" i="45"/>
  <c r="O513" i="45" s="1"/>
  <c r="N332" i="45"/>
  <c r="W147" i="46"/>
  <c r="CH184" i="29"/>
  <c r="CI184" i="29" s="1"/>
  <c r="H149" i="45"/>
  <c r="I146" i="45"/>
  <c r="J416" i="46"/>
  <c r="L416" i="46" s="1"/>
  <c r="DN61" i="28"/>
  <c r="U415" i="46"/>
  <c r="N415" i="46"/>
  <c r="P415" i="46" s="1"/>
  <c r="DT48" i="28"/>
  <c r="CR50" i="28"/>
  <c r="DY241" i="47"/>
  <c r="DP114" i="29"/>
  <c r="W157" i="40"/>
  <c r="W57" i="40"/>
  <c r="W232" i="40"/>
  <c r="W374" i="40"/>
  <c r="W315" i="40"/>
  <c r="W111" i="40"/>
  <c r="X5" i="40"/>
  <c r="DL62" i="28"/>
  <c r="AE132" i="40"/>
  <c r="AF116" i="40"/>
  <c r="AF119" i="40" s="1"/>
  <c r="AE377" i="40"/>
  <c r="AE400" i="40" s="1"/>
  <c r="AE120" i="40"/>
  <c r="AG184" i="40"/>
  <c r="AF205" i="40"/>
  <c r="AF378" i="40"/>
  <c r="AF401" i="40" s="1"/>
  <c r="AD148" i="40"/>
  <c r="AD133" i="40"/>
  <c r="AF379" i="40"/>
  <c r="AF402" i="40" s="1"/>
  <c r="AG185" i="40"/>
  <c r="AF206" i="40"/>
  <c r="AD121" i="40"/>
  <c r="AD123" i="40"/>
  <c r="AD124" i="40" s="1"/>
  <c r="AF724" i="46"/>
  <c r="DN126" i="29"/>
  <c r="DO126" i="29" s="1"/>
  <c r="DN221" i="29"/>
  <c r="DN225" i="29" s="1"/>
  <c r="DO225" i="29" s="1"/>
  <c r="CO25" i="28"/>
  <c r="CO42" i="28" s="1"/>
  <c r="DO116" i="29"/>
  <c r="DP116" i="29"/>
  <c r="DN132" i="29"/>
  <c r="DN142" i="29" s="1"/>
  <c r="CQ51" i="28"/>
  <c r="CQ43" i="28"/>
  <c r="EB239" i="47"/>
  <c r="AO45" i="89"/>
  <c r="AL45" i="89" s="1"/>
  <c r="DP239" i="47"/>
  <c r="DT241" i="47"/>
  <c r="CQ41" i="28"/>
  <c r="DN124" i="29"/>
  <c r="CQ40" i="28"/>
  <c r="CQ25" i="28"/>
  <c r="CQ42" i="28" s="1"/>
  <c r="DN135" i="29"/>
  <c r="DO135" i="29" s="1"/>
  <c r="DN140" i="29"/>
  <c r="DO140" i="29" s="1"/>
  <c r="DO130" i="29"/>
  <c r="L82" i="46"/>
  <c r="L78" i="46"/>
  <c r="AC92" i="45"/>
  <c r="W384" i="40"/>
  <c r="AC86" i="45"/>
  <c r="L98" i="12"/>
  <c r="V90" i="9"/>
  <c r="X90" i="9" s="1"/>
  <c r="O81" i="28"/>
  <c r="AC431" i="40"/>
  <c r="AC428" i="40"/>
  <c r="AC427" i="40"/>
  <c r="AC430" i="40"/>
  <c r="AC425" i="40"/>
  <c r="AC426" i="40"/>
  <c r="AC414" i="40"/>
  <c r="AC429" i="40"/>
  <c r="AC423" i="40"/>
  <c r="AC420" i="40"/>
  <c r="AC419" i="40"/>
  <c r="AC418" i="40"/>
  <c r="AC422" i="40"/>
  <c r="BF71" i="40"/>
  <c r="AD101" i="40"/>
  <c r="AD85" i="40"/>
  <c r="AF162" i="40"/>
  <c r="AF179" i="40" s="1"/>
  <c r="AT179" i="40"/>
  <c r="AE180" i="40"/>
  <c r="AE181" i="40" s="1"/>
  <c r="AA334" i="45"/>
  <c r="R516" i="45"/>
  <c r="S334" i="45"/>
  <c r="R337" i="45"/>
  <c r="BE12" i="40"/>
  <c r="BE67" i="40"/>
  <c r="BE85" i="40"/>
  <c r="BE87" i="40" s="1"/>
  <c r="BX154" i="47"/>
  <c r="BU154" i="47"/>
  <c r="BN154" i="47"/>
  <c r="AF186" i="40"/>
  <c r="AE380" i="40"/>
  <c r="AE207" i="40"/>
  <c r="AE183" i="40"/>
  <c r="AC22" i="40"/>
  <c r="DI124" i="47"/>
  <c r="DH126" i="47"/>
  <c r="DI159" i="47"/>
  <c r="AD399" i="40"/>
  <c r="AD391" i="40"/>
  <c r="AQ86" i="45"/>
  <c r="AC421" i="40"/>
  <c r="BP133" i="47"/>
  <c r="BP126" i="47"/>
  <c r="BP168" i="47"/>
  <c r="BW126" i="47"/>
  <c r="AD73" i="40"/>
  <c r="AD75" i="40"/>
  <c r="AD76" i="40" s="1"/>
  <c r="AC358" i="40"/>
  <c r="BD161" i="40"/>
  <c r="N330" i="46"/>
  <c r="U330" i="46"/>
  <c r="W330" i="46" s="1"/>
  <c r="AE404" i="40"/>
  <c r="AD203" i="40"/>
  <c r="AD204" i="40" s="1"/>
  <c r="AD224" i="40"/>
  <c r="AE16" i="40"/>
  <c r="AE20" i="40" s="1"/>
  <c r="AD21" i="40"/>
  <c r="DK54" i="28"/>
  <c r="DK81" i="28" s="1"/>
  <c r="AD33" i="40"/>
  <c r="AD34" i="40" s="1"/>
  <c r="AD48" i="40"/>
  <c r="DK71" i="28" s="1"/>
  <c r="N81" i="28"/>
  <c r="L97" i="12"/>
  <c r="V89" i="9"/>
  <c r="X89" i="9" s="1"/>
  <c r="BX124" i="47"/>
  <c r="BN124" i="47"/>
  <c r="BU124" i="47"/>
  <c r="BX131" i="47"/>
  <c r="BX166" i="47"/>
  <c r="L149" i="45"/>
  <c r="J331" i="46"/>
  <c r="L331" i="46" s="1"/>
  <c r="M146" i="45"/>
  <c r="BD12" i="40"/>
  <c r="BD18" i="40" s="1"/>
  <c r="BD85" i="40"/>
  <c r="AF381" i="40"/>
  <c r="AG237" i="40"/>
  <c r="AG240" i="40" s="1"/>
  <c r="AF241" i="40"/>
  <c r="AF242" i="40" s="1"/>
  <c r="AF253" i="40"/>
  <c r="AF254" i="40" s="1"/>
  <c r="AF271" i="40"/>
  <c r="AR126" i="47"/>
  <c r="AQ126" i="47"/>
  <c r="AQ161" i="47"/>
  <c r="AC12" i="40"/>
  <c r="AC160" i="40"/>
  <c r="AC220" i="40" s="1"/>
  <c r="AC351" i="40" s="1"/>
  <c r="AC319" i="40"/>
  <c r="BE160" i="40"/>
  <c r="S106" i="20"/>
  <c r="AC225" i="40"/>
  <c r="AC343" i="40" s="1"/>
  <c r="AC209" i="40"/>
  <c r="AC210" i="40" s="1"/>
  <c r="AC188" i="40"/>
  <c r="AC189" i="40" s="1"/>
  <c r="AE84" i="40"/>
  <c r="AE72" i="40"/>
  <c r="AF68" i="40"/>
  <c r="AF71" i="40" s="1"/>
  <c r="AE376" i="40"/>
  <c r="BD11" i="40"/>
  <c r="BD17" i="40" s="1"/>
  <c r="BD84" i="40"/>
  <c r="BD67" i="40"/>
  <c r="W77" i="46"/>
  <c r="W84" i="46"/>
  <c r="AB424" i="40"/>
  <c r="AB432" i="40" s="1"/>
  <c r="BQ154" i="47"/>
  <c r="BU152" i="47"/>
  <c r="BN152" i="47"/>
  <c r="BX152" i="47"/>
  <c r="W96" i="12"/>
  <c r="AD403" i="40"/>
  <c r="AC417" i="40"/>
  <c r="P79" i="85" l="1"/>
  <c r="P121" i="85"/>
  <c r="W415" i="46"/>
  <c r="U307" i="45"/>
  <c r="T489" i="45"/>
  <c r="U489" i="45" s="1"/>
  <c r="T308" i="45"/>
  <c r="W261" i="46"/>
  <c r="W268" i="46"/>
  <c r="U262" i="46"/>
  <c r="W262" i="46" s="1"/>
  <c r="N692" i="46"/>
  <c r="P692" i="46" s="1"/>
  <c r="N685" i="46"/>
  <c r="P685" i="46" s="1"/>
  <c r="L689" i="46"/>
  <c r="U685" i="46"/>
  <c r="N514" i="45"/>
  <c r="O514" i="45" s="1"/>
  <c r="O332" i="45"/>
  <c r="N333" i="45"/>
  <c r="U416" i="46"/>
  <c r="W416" i="46" s="1"/>
  <c r="N416" i="46"/>
  <c r="P416" i="46" s="1"/>
  <c r="AD256" i="40"/>
  <c r="AD257" i="40" s="1"/>
  <c r="AD320" i="40"/>
  <c r="AD336" i="40" s="1"/>
  <c r="AD272" i="40"/>
  <c r="AD344" i="40" s="1"/>
  <c r="AD235" i="40"/>
  <c r="AD267" i="40" s="1"/>
  <c r="AD352" i="40" s="1"/>
  <c r="AD244" i="40"/>
  <c r="AD245" i="40" s="1"/>
  <c r="P334" i="45"/>
  <c r="Q333" i="45"/>
  <c r="P515" i="45"/>
  <c r="Q515" i="45" s="1"/>
  <c r="U681" i="46"/>
  <c r="N681" i="46"/>
  <c r="P681" i="46" s="1"/>
  <c r="N688" i="46"/>
  <c r="P688" i="46" s="1"/>
  <c r="L682" i="46"/>
  <c r="N682" i="46" s="1"/>
  <c r="P682" i="46" s="1"/>
  <c r="BF236" i="40"/>
  <c r="BF240" i="40" s="1"/>
  <c r="BF243" i="40"/>
  <c r="BF242" i="40"/>
  <c r="BF245" i="40"/>
  <c r="N152" i="46"/>
  <c r="U152" i="46"/>
  <c r="W152" i="46" s="1"/>
  <c r="U625" i="46"/>
  <c r="W625" i="46" s="1"/>
  <c r="U161" i="12"/>
  <c r="N161" i="12"/>
  <c r="P161" i="12" s="1"/>
  <c r="L163" i="12"/>
  <c r="N163" i="12" s="1"/>
  <c r="P163" i="12" s="1"/>
  <c r="I149" i="45"/>
  <c r="H150" i="45"/>
  <c r="J420" i="46"/>
  <c r="L420" i="46" s="1"/>
  <c r="N276" i="46"/>
  <c r="P276" i="46" s="1"/>
  <c r="N269" i="46"/>
  <c r="P269" i="46" s="1"/>
  <c r="N780" i="46"/>
  <c r="P780" i="46" s="1"/>
  <c r="L781" i="46"/>
  <c r="N781" i="46" s="1"/>
  <c r="P781" i="46" s="1"/>
  <c r="N787" i="46"/>
  <c r="P787" i="46" s="1"/>
  <c r="U780" i="46"/>
  <c r="J153" i="46"/>
  <c r="L153" i="46" s="1"/>
  <c r="J151" i="45"/>
  <c r="K150" i="45"/>
  <c r="J166" i="12"/>
  <c r="AR143" i="45"/>
  <c r="V145" i="45"/>
  <c r="W144" i="45"/>
  <c r="AQ144" i="45"/>
  <c r="AF286" i="40"/>
  <c r="AF289" i="40"/>
  <c r="AF290" i="40" s="1"/>
  <c r="N784" i="46"/>
  <c r="P784" i="46" s="1"/>
  <c r="U784" i="46"/>
  <c r="L788" i="46"/>
  <c r="N791" i="46"/>
  <c r="P791" i="46" s="1"/>
  <c r="DJ191" i="29"/>
  <c r="DK190" i="29"/>
  <c r="DJ194" i="29"/>
  <c r="DK194" i="29" s="1"/>
  <c r="V154" i="9"/>
  <c r="X154" i="9" s="1"/>
  <c r="Z154" i="9" s="1"/>
  <c r="BI81" i="28"/>
  <c r="L162" i="12"/>
  <c r="U149" i="46"/>
  <c r="W149" i="46" s="1"/>
  <c r="W272" i="46"/>
  <c r="W265" i="46"/>
  <c r="U269" i="46"/>
  <c r="CM180" i="29"/>
  <c r="CL181" i="29"/>
  <c r="BF30" i="28"/>
  <c r="AH281" i="40"/>
  <c r="AH284" i="40" s="1"/>
  <c r="AG285" i="40"/>
  <c r="DQ239" i="47"/>
  <c r="DN136" i="29"/>
  <c r="X232" i="40"/>
  <c r="X315" i="40"/>
  <c r="X57" i="40"/>
  <c r="X157" i="40"/>
  <c r="X374" i="40"/>
  <c r="X111" i="40"/>
  <c r="Y5" i="40"/>
  <c r="AF120" i="40"/>
  <c r="AF377" i="40"/>
  <c r="AF132" i="40"/>
  <c r="AG116" i="40"/>
  <c r="AG119" i="40" s="1"/>
  <c r="DM62" i="28"/>
  <c r="AE148" i="40"/>
  <c r="AE133" i="40"/>
  <c r="AE123" i="40"/>
  <c r="AE124" i="40" s="1"/>
  <c r="AE121" i="40"/>
  <c r="AG379" i="40"/>
  <c r="AG402" i="40" s="1"/>
  <c r="AH185" i="40"/>
  <c r="AG206" i="40"/>
  <c r="AG378" i="40"/>
  <c r="AG401" i="40" s="1"/>
  <c r="AH184" i="40"/>
  <c r="AG205" i="40"/>
  <c r="DO124" i="29"/>
  <c r="X29" i="85" s="1"/>
  <c r="AC53" i="20"/>
  <c r="P20" i="85" s="1"/>
  <c r="DN231" i="29"/>
  <c r="DO231" i="29" s="1"/>
  <c r="DN134" i="29"/>
  <c r="DO221" i="29"/>
  <c r="DN223" i="29"/>
  <c r="DN233" i="29" s="1"/>
  <c r="DO233" i="29" s="1"/>
  <c r="EB241" i="47"/>
  <c r="DP241" i="47"/>
  <c r="AO47" i="89"/>
  <c r="AL47" i="89" s="1"/>
  <c r="DO132" i="29"/>
  <c r="DN145" i="29"/>
  <c r="DO145" i="29" s="1"/>
  <c r="CO27" i="28"/>
  <c r="AE101" i="40"/>
  <c r="AE85" i="40"/>
  <c r="BG71" i="40"/>
  <c r="AR86" i="45"/>
  <c r="AR92" i="45"/>
  <c r="J99" i="12"/>
  <c r="AD427" i="40"/>
  <c r="AD414" i="40"/>
  <c r="AD426" i="40"/>
  <c r="AD425" i="40"/>
  <c r="AD428" i="40"/>
  <c r="AD429" i="40"/>
  <c r="AD431" i="40"/>
  <c r="AD430" i="40"/>
  <c r="AD423" i="40"/>
  <c r="AD420" i="40"/>
  <c r="AD419" i="40"/>
  <c r="AD418" i="40"/>
  <c r="AD422" i="40"/>
  <c r="AE403" i="40"/>
  <c r="AE399" i="40"/>
  <c r="AE391" i="40"/>
  <c r="AE421" i="40" s="1"/>
  <c r="DL55" i="28"/>
  <c r="DL56" i="28" s="1"/>
  <c r="BE161" i="40"/>
  <c r="BE9" i="40" s="1"/>
  <c r="BE168" i="40"/>
  <c r="BE169" i="40"/>
  <c r="BE170" i="40"/>
  <c r="M149" i="45"/>
  <c r="J335" i="46"/>
  <c r="L335" i="46" s="1"/>
  <c r="L150" i="45"/>
  <c r="Z96" i="9"/>
  <c r="Z89" i="9"/>
  <c r="AE48" i="40"/>
  <c r="DL71" i="28" s="1"/>
  <c r="DL54" i="28"/>
  <c r="DL81" i="28" s="1"/>
  <c r="AE33" i="40"/>
  <c r="AE34" i="40" s="1"/>
  <c r="AF16" i="40"/>
  <c r="AF20" i="40" s="1"/>
  <c r="AE21" i="40"/>
  <c r="AD417" i="40"/>
  <c r="AG186" i="40"/>
  <c r="AF380" i="40"/>
  <c r="AF207" i="40"/>
  <c r="AF183" i="40"/>
  <c r="N82" i="46"/>
  <c r="P82" i="46" s="1"/>
  <c r="U82" i="46"/>
  <c r="N89" i="46"/>
  <c r="P89" i="46" s="1"/>
  <c r="L86" i="46"/>
  <c r="U331" i="46"/>
  <c r="N331" i="46"/>
  <c r="AD22" i="40"/>
  <c r="AD24" i="40"/>
  <c r="W383" i="40"/>
  <c r="W407" i="40"/>
  <c r="X407" i="40"/>
  <c r="AC321" i="40"/>
  <c r="AC322" i="40" s="1"/>
  <c r="AC36" i="40"/>
  <c r="AC13" i="40"/>
  <c r="AG241" i="40"/>
  <c r="AG242" i="40" s="1"/>
  <c r="AH237" i="40"/>
  <c r="AH240" i="40" s="1"/>
  <c r="AG381" i="40"/>
  <c r="AG253" i="40"/>
  <c r="AG254" i="40" s="1"/>
  <c r="AG271" i="40"/>
  <c r="N97" i="12"/>
  <c r="P97" i="12" s="1"/>
  <c r="U97" i="12"/>
  <c r="N104" i="12"/>
  <c r="P104" i="12" s="1"/>
  <c r="BD9" i="40"/>
  <c r="BD166" i="40"/>
  <c r="BD171" i="40"/>
  <c r="BD172" i="40" s="1"/>
  <c r="BU126" i="47"/>
  <c r="BN126" i="47"/>
  <c r="BX126" i="47"/>
  <c r="BX168" i="47"/>
  <c r="BX133" i="47"/>
  <c r="DJ126" i="47"/>
  <c r="DI161" i="47"/>
  <c r="DI126" i="47"/>
  <c r="AE203" i="40"/>
  <c r="AE204" i="40" s="1"/>
  <c r="AE224" i="40"/>
  <c r="AF180" i="40"/>
  <c r="AF181" i="40" s="1"/>
  <c r="AG162" i="40"/>
  <c r="AG179" i="40" s="1"/>
  <c r="AC424" i="40"/>
  <c r="AC432" i="40" s="1"/>
  <c r="Z97" i="9"/>
  <c r="Z90" i="9"/>
  <c r="S108" i="20"/>
  <c r="U78" i="46"/>
  <c r="N78" i="46"/>
  <c r="P78" i="46" s="1"/>
  <c r="N85" i="46"/>
  <c r="P85" i="46" s="1"/>
  <c r="L79" i="46"/>
  <c r="N79" i="46" s="1"/>
  <c r="P79" i="46" s="1"/>
  <c r="AG68" i="40"/>
  <c r="AG71" i="40" s="1"/>
  <c r="AF72" i="40"/>
  <c r="AF376" i="40"/>
  <c r="AF84" i="40"/>
  <c r="AC335" i="40"/>
  <c r="AD421" i="40"/>
  <c r="BD87" i="40"/>
  <c r="AE73" i="40"/>
  <c r="AE75" i="40"/>
  <c r="AE76" i="40" s="1"/>
  <c r="AF404" i="40"/>
  <c r="AT381" i="40"/>
  <c r="L332" i="46"/>
  <c r="N332" i="46" s="1"/>
  <c r="P332" i="46" s="1"/>
  <c r="BQ126" i="47"/>
  <c r="AC24" i="40"/>
  <c r="AC25" i="40" s="1"/>
  <c r="R519" i="45"/>
  <c r="AA337" i="45"/>
  <c r="S337" i="45"/>
  <c r="R338" i="45"/>
  <c r="U98" i="12"/>
  <c r="N105" i="12"/>
  <c r="P105" i="12" s="1"/>
  <c r="N98" i="12"/>
  <c r="P98" i="12" s="1"/>
  <c r="P60" i="85" l="1"/>
  <c r="P102" i="85"/>
  <c r="J167" i="12"/>
  <c r="AR144" i="45"/>
  <c r="AG289" i="40"/>
  <c r="AG290" i="40" s="1"/>
  <c r="AG286" i="40"/>
  <c r="V146" i="45"/>
  <c r="W145" i="45"/>
  <c r="AQ145" i="45"/>
  <c r="P337" i="45"/>
  <c r="Q334" i="45"/>
  <c r="P516" i="45"/>
  <c r="Q516" i="45" s="1"/>
  <c r="N334" i="45"/>
  <c r="O333" i="45"/>
  <c r="N515" i="45"/>
  <c r="O515" i="45" s="1"/>
  <c r="DJ192" i="29"/>
  <c r="DK192" i="29" s="1"/>
  <c r="DN188" i="29"/>
  <c r="DK191" i="29"/>
  <c r="AI281" i="40"/>
  <c r="AI284" i="40" s="1"/>
  <c r="AH285" i="40"/>
  <c r="N788" i="46"/>
  <c r="P788" i="46" s="1"/>
  <c r="N795" i="46"/>
  <c r="P795" i="46" s="1"/>
  <c r="W161" i="12"/>
  <c r="AE234" i="40"/>
  <c r="BG235" i="40"/>
  <c r="W787" i="46"/>
  <c r="W780" i="46"/>
  <c r="U781" i="46"/>
  <c r="W781" i="46" s="1"/>
  <c r="U162" i="12"/>
  <c r="W162" i="12" s="1"/>
  <c r="N162" i="12"/>
  <c r="P162" i="12" s="1"/>
  <c r="U788" i="46"/>
  <c r="W791" i="46"/>
  <c r="W784" i="46"/>
  <c r="L166" i="12"/>
  <c r="BK81" i="28"/>
  <c r="V158" i="9"/>
  <c r="X158" i="9" s="1"/>
  <c r="Z158" i="9" s="1"/>
  <c r="T309" i="45"/>
  <c r="U308" i="45"/>
  <c r="T490" i="45"/>
  <c r="U490" i="45" s="1"/>
  <c r="W269" i="46"/>
  <c r="W276" i="46"/>
  <c r="U689" i="46"/>
  <c r="W685" i="46"/>
  <c r="W692" i="46"/>
  <c r="N689" i="46"/>
  <c r="P689" i="46" s="1"/>
  <c r="N696" i="46"/>
  <c r="P696" i="46" s="1"/>
  <c r="BG30" i="28"/>
  <c r="CM181" i="29"/>
  <c r="CL182" i="29"/>
  <c r="K151" i="45"/>
  <c r="J154" i="46"/>
  <c r="L154" i="46" s="1"/>
  <c r="J152" i="45"/>
  <c r="N420" i="46"/>
  <c r="P420" i="46" s="1"/>
  <c r="U420" i="46"/>
  <c r="N153" i="46"/>
  <c r="U153" i="46"/>
  <c r="W153" i="46" s="1"/>
  <c r="H151" i="45"/>
  <c r="I150" i="45"/>
  <c r="J421" i="46"/>
  <c r="L421" i="46" s="1"/>
  <c r="BF244" i="40"/>
  <c r="BF246" i="40" s="1"/>
  <c r="W681" i="46"/>
  <c r="W688" i="46"/>
  <c r="U682" i="46"/>
  <c r="W682" i="46" s="1"/>
  <c r="U417" i="46"/>
  <c r="W417" i="46" s="1"/>
  <c r="CO50" i="28"/>
  <c r="DQ241" i="47"/>
  <c r="DO134" i="29"/>
  <c r="DN146" i="29"/>
  <c r="DO136" i="29"/>
  <c r="AZ5" i="40"/>
  <c r="Y57" i="40"/>
  <c r="AZ57" i="40" s="1"/>
  <c r="Y374" i="40"/>
  <c r="Y111" i="40"/>
  <c r="AZ111" i="40" s="1"/>
  <c r="Y315" i="40"/>
  <c r="Y232" i="40"/>
  <c r="AZ232" i="40" s="1"/>
  <c r="Y157" i="40"/>
  <c r="AZ157" i="40" s="1"/>
  <c r="Z5" i="40"/>
  <c r="AI184" i="40"/>
  <c r="AH205" i="40"/>
  <c r="AH378" i="40"/>
  <c r="AH401" i="40" s="1"/>
  <c r="AH116" i="40"/>
  <c r="AH119" i="40" s="1"/>
  <c r="DN62" i="28"/>
  <c r="AG132" i="40"/>
  <c r="AG120" i="40"/>
  <c r="AG377" i="40"/>
  <c r="AG400" i="40" s="1"/>
  <c r="AF133" i="40"/>
  <c r="AF148" i="40"/>
  <c r="AT377" i="40"/>
  <c r="AF400" i="40"/>
  <c r="AI185" i="40"/>
  <c r="AH379" i="40"/>
  <c r="AH402" i="40" s="1"/>
  <c r="AH206" i="40"/>
  <c r="AF123" i="40"/>
  <c r="AF124" i="40" s="1"/>
  <c r="AF121" i="40"/>
  <c r="BE166" i="40"/>
  <c r="BF160" i="40" s="1"/>
  <c r="DN235" i="29"/>
  <c r="DO235" i="29" s="1"/>
  <c r="DN144" i="29"/>
  <c r="X31" i="85" s="1"/>
  <c r="DO223" i="29"/>
  <c r="DT23" i="28"/>
  <c r="CQ27" i="28"/>
  <c r="DO142" i="29"/>
  <c r="AD25" i="40"/>
  <c r="BE171" i="40"/>
  <c r="BE172" i="40" s="1"/>
  <c r="AG404" i="40"/>
  <c r="AD424" i="40"/>
  <c r="AD432" i="40" s="1"/>
  <c r="L103" i="12"/>
  <c r="V91" i="9"/>
  <c r="X91" i="9" s="1"/>
  <c r="L99" i="12"/>
  <c r="P81" i="28"/>
  <c r="AF101" i="40"/>
  <c r="AF85" i="40"/>
  <c r="BH71" i="40"/>
  <c r="S122" i="20"/>
  <c r="S119" i="20"/>
  <c r="S115" i="20"/>
  <c r="S118" i="20"/>
  <c r="W104" i="12"/>
  <c r="W97" i="12"/>
  <c r="AI237" i="40"/>
  <c r="AI240" i="40" s="1"/>
  <c r="AH241" i="40"/>
  <c r="AH242" i="40" s="1"/>
  <c r="AH381" i="40"/>
  <c r="AH253" i="40"/>
  <c r="AH254" i="40" s="1"/>
  <c r="AH271" i="40"/>
  <c r="AC14" i="40"/>
  <c r="AC44" i="40"/>
  <c r="AD14" i="40"/>
  <c r="DD67" i="28"/>
  <c r="N61" i="28"/>
  <c r="W391" i="40"/>
  <c r="W331" i="46"/>
  <c r="U332" i="46"/>
  <c r="W332" i="46" s="1"/>
  <c r="AT380" i="40"/>
  <c r="AF403" i="40"/>
  <c r="AE417" i="40"/>
  <c r="AG84" i="40"/>
  <c r="AG72" i="40"/>
  <c r="AG376" i="40"/>
  <c r="AH68" i="40"/>
  <c r="AH71" i="40" s="1"/>
  <c r="AE427" i="40"/>
  <c r="AE428" i="40"/>
  <c r="AE425" i="40"/>
  <c r="AE431" i="40"/>
  <c r="AE430" i="40"/>
  <c r="AE429" i="40"/>
  <c r="AE414" i="40"/>
  <c r="AE426" i="40"/>
  <c r="AE423" i="40"/>
  <c r="AE420" i="40"/>
  <c r="AE419" i="40"/>
  <c r="AE418" i="40"/>
  <c r="AE422" i="40"/>
  <c r="S338" i="45"/>
  <c r="AA338" i="45"/>
  <c r="R339" i="45"/>
  <c r="R520" i="45"/>
  <c r="AC326" i="40"/>
  <c r="AC330" i="40"/>
  <c r="AC338" i="40"/>
  <c r="AC325" i="40"/>
  <c r="AC328" i="40"/>
  <c r="AT376" i="40"/>
  <c r="AF399" i="40"/>
  <c r="DM55" i="28"/>
  <c r="DM56" i="28" s="1"/>
  <c r="AF391" i="40"/>
  <c r="S120" i="20"/>
  <c r="BD14" i="40"/>
  <c r="BE8" i="40" s="1"/>
  <c r="BD16" i="40"/>
  <c r="BD20" i="40" s="1"/>
  <c r="AC37" i="40"/>
  <c r="AD37" i="40"/>
  <c r="W82" i="46"/>
  <c r="W89" i="46"/>
  <c r="U86" i="46"/>
  <c r="AG380" i="40"/>
  <c r="AH186" i="40"/>
  <c r="AG207" i="40"/>
  <c r="AG183" i="40"/>
  <c r="AE22" i="40"/>
  <c r="AE24" i="40"/>
  <c r="AE25" i="40" s="1"/>
  <c r="L151" i="45"/>
  <c r="J336" i="46"/>
  <c r="L336" i="46" s="1"/>
  <c r="M150" i="45"/>
  <c r="W78" i="46"/>
  <c r="W85" i="46"/>
  <c r="U79" i="46"/>
  <c r="W79" i="46" s="1"/>
  <c r="N86" i="46"/>
  <c r="P86" i="46" s="1"/>
  <c r="N93" i="46"/>
  <c r="W98" i="12"/>
  <c r="W105" i="12"/>
  <c r="AC327" i="40"/>
  <c r="T367" i="45" s="1"/>
  <c r="AF75" i="40"/>
  <c r="AF76" i="40" s="1"/>
  <c r="AF73" i="40"/>
  <c r="AG180" i="40"/>
  <c r="AG181" i="40" s="1"/>
  <c r="AH162" i="40"/>
  <c r="AH179" i="40" s="1"/>
  <c r="AC337" i="40"/>
  <c r="T361" i="45"/>
  <c r="AD337" i="40"/>
  <c r="AC329" i="40"/>
  <c r="AF203" i="40"/>
  <c r="AF204" i="40" s="1"/>
  <c r="AF224" i="40"/>
  <c r="DM54" i="28"/>
  <c r="DM81" i="28" s="1"/>
  <c r="AG16" i="40"/>
  <c r="AG20" i="40" s="1"/>
  <c r="AF21" i="40"/>
  <c r="AF33" i="40"/>
  <c r="AF34" i="40" s="1"/>
  <c r="AF48" i="40"/>
  <c r="DM71" i="28" s="1"/>
  <c r="U335" i="46"/>
  <c r="N335" i="46"/>
  <c r="U163" i="12" l="1"/>
  <c r="W163" i="12" s="1"/>
  <c r="W788" i="46"/>
  <c r="W795" i="46"/>
  <c r="K152" i="45"/>
  <c r="J155" i="46"/>
  <c r="L155" i="46" s="1"/>
  <c r="J155" i="45"/>
  <c r="N337" i="45"/>
  <c r="N516" i="45"/>
  <c r="O516" i="45" s="1"/>
  <c r="O334" i="45"/>
  <c r="DO188" i="29"/>
  <c r="DN189" i="29"/>
  <c r="W420" i="46"/>
  <c r="U309" i="45"/>
  <c r="T491" i="45"/>
  <c r="U491" i="45" s="1"/>
  <c r="T310" i="45"/>
  <c r="U421" i="46"/>
  <c r="W421" i="46" s="1"/>
  <c r="N421" i="46"/>
  <c r="P421" i="46" s="1"/>
  <c r="U154" i="46"/>
  <c r="W154" i="46" s="1"/>
  <c r="N154" i="46"/>
  <c r="L156" i="46"/>
  <c r="N156" i="46" s="1"/>
  <c r="AH289" i="40"/>
  <c r="AH290" i="40" s="1"/>
  <c r="AH286" i="40"/>
  <c r="AR145" i="45"/>
  <c r="J168" i="12"/>
  <c r="V149" i="45"/>
  <c r="W146" i="45"/>
  <c r="AG382" i="40"/>
  <c r="AQ146" i="45"/>
  <c r="W689" i="46"/>
  <c r="W696" i="46"/>
  <c r="U166" i="12"/>
  <c r="W166" i="12" s="1"/>
  <c r="N166" i="12"/>
  <c r="P166" i="12" s="1"/>
  <c r="AI285" i="40"/>
  <c r="AJ281" i="40"/>
  <c r="AJ284" i="40" s="1"/>
  <c r="V159" i="9"/>
  <c r="X159" i="9" s="1"/>
  <c r="Z159" i="9" s="1"/>
  <c r="BL81" i="28"/>
  <c r="L167" i="12"/>
  <c r="AE320" i="40"/>
  <c r="AE336" i="40" s="1"/>
  <c r="AE272" i="40"/>
  <c r="AE344" i="40" s="1"/>
  <c r="AE235" i="40"/>
  <c r="AE267" i="40" s="1"/>
  <c r="AE352" i="40" s="1"/>
  <c r="AE256" i="40"/>
  <c r="AE244" i="40"/>
  <c r="AE245" i="40" s="1"/>
  <c r="J422" i="46"/>
  <c r="L422" i="46" s="1"/>
  <c r="H152" i="45"/>
  <c r="I151" i="45"/>
  <c r="CM182" i="29"/>
  <c r="BH30" i="28"/>
  <c r="CL183" i="29"/>
  <c r="BG236" i="40"/>
  <c r="BG244" i="40" s="1"/>
  <c r="BG245" i="40"/>
  <c r="BG243" i="40"/>
  <c r="BG242" i="40"/>
  <c r="Q337" i="45"/>
  <c r="P519" i="45"/>
  <c r="Q519" i="45" s="1"/>
  <c r="P338" i="45"/>
  <c r="CL184" i="29"/>
  <c r="CM184" i="29" s="1"/>
  <c r="CQ50" i="28"/>
  <c r="AD159" i="40"/>
  <c r="AD188" i="40" s="1"/>
  <c r="AD189" i="40" s="1"/>
  <c r="DO146" i="29"/>
  <c r="DO144" i="29"/>
  <c r="X32" i="85" s="1"/>
  <c r="Z232" i="40"/>
  <c r="BA232" i="40" s="1"/>
  <c r="Z57" i="40"/>
  <c r="BA57" i="40" s="1"/>
  <c r="Z111" i="40"/>
  <c r="BA111" i="40" s="1"/>
  <c r="AA5" i="40"/>
  <c r="BA5" i="40"/>
  <c r="Z374" i="40"/>
  <c r="Z157" i="40"/>
  <c r="BA157" i="40" s="1"/>
  <c r="Z315" i="40"/>
  <c r="T368" i="45"/>
  <c r="U367" i="45"/>
  <c r="AI378" i="40"/>
  <c r="AI401" i="40" s="1"/>
  <c r="AJ184" i="40"/>
  <c r="AI205" i="40"/>
  <c r="AI379" i="40"/>
  <c r="AI402" i="40" s="1"/>
  <c r="AI206" i="40"/>
  <c r="AJ185" i="40"/>
  <c r="AG123" i="40"/>
  <c r="AG124" i="40" s="1"/>
  <c r="AG121" i="40"/>
  <c r="AH377" i="40"/>
  <c r="AH400" i="40" s="1"/>
  <c r="AH132" i="40"/>
  <c r="AI116" i="40"/>
  <c r="AI119" i="40" s="1"/>
  <c r="AH120" i="40"/>
  <c r="DO62" i="28"/>
  <c r="AG133" i="40"/>
  <c r="AG148" i="40"/>
  <c r="AF24" i="40"/>
  <c r="AF25" i="40" s="1"/>
  <c r="AF22" i="40"/>
  <c r="AG203" i="40"/>
  <c r="AG204" i="40" s="1"/>
  <c r="AG224" i="40"/>
  <c r="BE14" i="40"/>
  <c r="BF8" i="40" s="1"/>
  <c r="BE16" i="40"/>
  <c r="BE17" i="40"/>
  <c r="BE18" i="40"/>
  <c r="BE19" i="40"/>
  <c r="AE424" i="40"/>
  <c r="AE432" i="40" s="1"/>
  <c r="DN55" i="28"/>
  <c r="DN56" i="28" s="1"/>
  <c r="AG391" i="40"/>
  <c r="AG399" i="40"/>
  <c r="AI241" i="40"/>
  <c r="AI242" i="40" s="1"/>
  <c r="AJ237" i="40"/>
  <c r="AJ240" i="40" s="1"/>
  <c r="AI381" i="40"/>
  <c r="AI253" i="40"/>
  <c r="AI254" i="40" s="1"/>
  <c r="AI271" i="40"/>
  <c r="Z91" i="9"/>
  <c r="Z98" i="9"/>
  <c r="W335" i="46"/>
  <c r="AG48" i="40"/>
  <c r="DN71" i="28" s="1"/>
  <c r="AG21" i="40"/>
  <c r="AG33" i="40"/>
  <c r="AG34" i="40" s="1"/>
  <c r="AH16" i="40"/>
  <c r="AH20" i="40" s="1"/>
  <c r="DN54" i="28"/>
  <c r="DN81" i="28" s="1"/>
  <c r="AF429" i="40"/>
  <c r="AF427" i="40"/>
  <c r="AF430" i="40"/>
  <c r="AF426" i="40"/>
  <c r="AF428" i="40"/>
  <c r="AF425" i="40"/>
  <c r="AF414" i="40"/>
  <c r="AF431" i="40"/>
  <c r="AT391" i="40"/>
  <c r="AF420" i="40"/>
  <c r="AF423" i="40"/>
  <c r="AF419" i="40"/>
  <c r="AF418" i="40"/>
  <c r="AF422" i="40"/>
  <c r="AG73" i="40"/>
  <c r="AG75" i="40"/>
  <c r="AG76" i="40" s="1"/>
  <c r="S121" i="20"/>
  <c r="N103" i="12"/>
  <c r="P103" i="12" s="1"/>
  <c r="N110" i="12"/>
  <c r="P110" i="12" s="1"/>
  <c r="L107" i="12"/>
  <c r="U103" i="12"/>
  <c r="T362" i="45"/>
  <c r="U336" i="46"/>
  <c r="W336" i="46" s="1"/>
  <c r="N336" i="46"/>
  <c r="AI186" i="40"/>
  <c r="AH380" i="40"/>
  <c r="AH207" i="40"/>
  <c r="AH183" i="40"/>
  <c r="R521" i="45"/>
  <c r="AA339" i="45"/>
  <c r="S339" i="45"/>
  <c r="R340" i="45"/>
  <c r="AG101" i="40"/>
  <c r="BI71" i="40"/>
  <c r="AG85" i="40"/>
  <c r="W429" i="40"/>
  <c r="W414" i="40"/>
  <c r="W430" i="40"/>
  <c r="W431" i="40"/>
  <c r="W426" i="40"/>
  <c r="W428" i="40"/>
  <c r="W427" i="40"/>
  <c r="W420" i="40"/>
  <c r="W419" i="40"/>
  <c r="W418" i="40"/>
  <c r="W423" i="40"/>
  <c r="W422" i="40"/>
  <c r="W421" i="40"/>
  <c r="W417" i="40"/>
  <c r="X414" i="40"/>
  <c r="W425" i="40"/>
  <c r="AH404" i="40"/>
  <c r="AH180" i="40"/>
  <c r="AH181" i="40" s="1"/>
  <c r="AI162" i="40"/>
  <c r="AI179" i="40" s="1"/>
  <c r="J337" i="46"/>
  <c r="L337" i="46" s="1"/>
  <c r="L152" i="45"/>
  <c r="M151" i="45"/>
  <c r="AG403" i="40"/>
  <c r="W86" i="46"/>
  <c r="W93" i="46"/>
  <c r="AF417" i="40"/>
  <c r="AC346" i="40"/>
  <c r="AH376" i="40"/>
  <c r="AH84" i="40"/>
  <c r="AI68" i="40"/>
  <c r="AI71" i="40" s="1"/>
  <c r="AH72" i="40"/>
  <c r="BF161" i="40"/>
  <c r="BF9" i="40" s="1"/>
  <c r="BF169" i="40"/>
  <c r="BF168" i="40"/>
  <c r="BF170" i="40"/>
  <c r="AF421" i="40"/>
  <c r="N106" i="12"/>
  <c r="P106" i="12" s="1"/>
  <c r="U99" i="12"/>
  <c r="N99" i="12"/>
  <c r="P99" i="12" s="1"/>
  <c r="L100" i="12"/>
  <c r="BG240" i="40" l="1"/>
  <c r="AD319" i="40"/>
  <c r="AD322" i="40" s="1"/>
  <c r="AD327" i="40" s="1"/>
  <c r="AD160" i="40"/>
  <c r="AD220" i="40" s="1"/>
  <c r="AD351" i="40" s="1"/>
  <c r="T106" i="20"/>
  <c r="AD209" i="40"/>
  <c r="AD210" i="40" s="1"/>
  <c r="AD225" i="40"/>
  <c r="AD343" i="40" s="1"/>
  <c r="BG246" i="40"/>
  <c r="N338" i="45"/>
  <c r="O337" i="45"/>
  <c r="N519" i="45"/>
  <c r="O519" i="45" s="1"/>
  <c r="J423" i="46"/>
  <c r="L423" i="46" s="1"/>
  <c r="DO61" i="28"/>
  <c r="I152" i="45"/>
  <c r="H155" i="45"/>
  <c r="J156" i="45"/>
  <c r="K155" i="45"/>
  <c r="J159" i="46"/>
  <c r="L159" i="46" s="1"/>
  <c r="U422" i="46"/>
  <c r="W422" i="46" s="1"/>
  <c r="N422" i="46"/>
  <c r="P422" i="46" s="1"/>
  <c r="AR146" i="45"/>
  <c r="J169" i="12"/>
  <c r="N155" i="46"/>
  <c r="U155" i="46"/>
  <c r="L168" i="12"/>
  <c r="BM81" i="28"/>
  <c r="V160" i="9"/>
  <c r="X160" i="9" s="1"/>
  <c r="Z160" i="9" s="1"/>
  <c r="AF234" i="40"/>
  <c r="BH235" i="40"/>
  <c r="N167" i="12"/>
  <c r="P167" i="12" s="1"/>
  <c r="U167" i="12"/>
  <c r="W167" i="12" s="1"/>
  <c r="DN65" i="28"/>
  <c r="AG405" i="40"/>
  <c r="T313" i="45"/>
  <c r="U310" i="45"/>
  <c r="T492" i="45"/>
  <c r="U492" i="45" s="1"/>
  <c r="AK281" i="40"/>
  <c r="AK284" i="40" s="1"/>
  <c r="AK285" i="40" s="1"/>
  <c r="AJ285" i="40"/>
  <c r="DN193" i="29"/>
  <c r="DO193" i="29" s="1"/>
  <c r="DN190" i="29"/>
  <c r="DO189" i="29"/>
  <c r="P339" i="45"/>
  <c r="Q338" i="45"/>
  <c r="P520" i="45"/>
  <c r="Q520" i="45" s="1"/>
  <c r="BI30" i="28"/>
  <c r="CP180" i="29"/>
  <c r="CM183" i="29"/>
  <c r="AT256" i="40"/>
  <c r="AE257" i="40"/>
  <c r="AI286" i="40"/>
  <c r="AI289" i="40"/>
  <c r="AI290" i="40" s="1"/>
  <c r="V150" i="45"/>
  <c r="W149" i="45"/>
  <c r="AQ149" i="45"/>
  <c r="AA374" i="40"/>
  <c r="AA111" i="40"/>
  <c r="BB111" i="40" s="1"/>
  <c r="AA232" i="40"/>
  <c r="BB232" i="40" s="1"/>
  <c r="AA315" i="40"/>
  <c r="AA57" i="40"/>
  <c r="BB57" i="40" s="1"/>
  <c r="BB5" i="40"/>
  <c r="AA157" i="40"/>
  <c r="BB157" i="40" s="1"/>
  <c r="AB5" i="40"/>
  <c r="T369" i="45"/>
  <c r="U368" i="45"/>
  <c r="AH133" i="40"/>
  <c r="AH148" i="40"/>
  <c r="AK184" i="40"/>
  <c r="AJ378" i="40"/>
  <c r="AJ401" i="40" s="1"/>
  <c r="AJ205" i="40"/>
  <c r="AF424" i="40"/>
  <c r="AF432" i="40" s="1"/>
  <c r="AH121" i="40"/>
  <c r="AH123" i="40"/>
  <c r="AH124" i="40" s="1"/>
  <c r="DP62" i="28"/>
  <c r="AI132" i="40"/>
  <c r="AI120" i="40"/>
  <c r="AJ116" i="40"/>
  <c r="AJ119" i="40" s="1"/>
  <c r="AI377" i="40"/>
  <c r="AI400" i="40" s="1"/>
  <c r="AJ206" i="40"/>
  <c r="AK185" i="40"/>
  <c r="AJ379" i="40"/>
  <c r="AJ402" i="40" s="1"/>
  <c r="BF171" i="40"/>
  <c r="BF172" i="40" s="1"/>
  <c r="BF166" i="40"/>
  <c r="BG160" i="40" s="1"/>
  <c r="W99" i="12"/>
  <c r="W106" i="12"/>
  <c r="U100" i="12"/>
  <c r="W100" i="12" s="1"/>
  <c r="AJ68" i="40"/>
  <c r="AJ71" i="40" s="1"/>
  <c r="AI72" i="40"/>
  <c r="AI376" i="40"/>
  <c r="AI84" i="40"/>
  <c r="J338" i="46"/>
  <c r="L338" i="46" s="1"/>
  <c r="L339" i="46" s="1"/>
  <c r="N339" i="46" s="1"/>
  <c r="P339" i="46" s="1"/>
  <c r="M152" i="45"/>
  <c r="L155" i="45"/>
  <c r="AJ162" i="40"/>
  <c r="AJ179" i="40" s="1"/>
  <c r="AI180" i="40"/>
  <c r="AI181" i="40" s="1"/>
  <c r="T108" i="20"/>
  <c r="T120" i="20" s="1"/>
  <c r="AH403" i="40"/>
  <c r="N107" i="12"/>
  <c r="P107" i="12" s="1"/>
  <c r="N114" i="12"/>
  <c r="P114" i="12" s="1"/>
  <c r="AI404" i="40"/>
  <c r="AH73" i="40"/>
  <c r="AH75" i="40"/>
  <c r="AH76" i="40" s="1"/>
  <c r="R343" i="45"/>
  <c r="S340" i="45"/>
  <c r="AA340" i="45"/>
  <c r="R522" i="45"/>
  <c r="AG425" i="40"/>
  <c r="AG427" i="40"/>
  <c r="AG426" i="40"/>
  <c r="AG414" i="40"/>
  <c r="AG428" i="40"/>
  <c r="AG431" i="40"/>
  <c r="AG430" i="40"/>
  <c r="AG429" i="40"/>
  <c r="AG420" i="40"/>
  <c r="AG419" i="40"/>
  <c r="AG423" i="40"/>
  <c r="AG418" i="40"/>
  <c r="AG422" i="40"/>
  <c r="AH85" i="40"/>
  <c r="BJ71" i="40"/>
  <c r="AH101" i="40"/>
  <c r="N337" i="46"/>
  <c r="U337" i="46"/>
  <c r="W337" i="46" s="1"/>
  <c r="AJ186" i="40"/>
  <c r="AI380" i="40"/>
  <c r="AI207" i="40"/>
  <c r="AI183" i="40"/>
  <c r="AG24" i="40"/>
  <c r="AG25" i="40" s="1"/>
  <c r="AG22" i="40"/>
  <c r="AV240" i="40"/>
  <c r="AJ381" i="40"/>
  <c r="AJ241" i="40"/>
  <c r="AJ242" i="40" s="1"/>
  <c r="AK237" i="40"/>
  <c r="AK240" i="40" s="1"/>
  <c r="AJ253" i="40"/>
  <c r="AJ254" i="40" s="1"/>
  <c r="AJ271" i="40"/>
  <c r="BE20" i="40"/>
  <c r="T363" i="45"/>
  <c r="U107" i="12"/>
  <c r="W103" i="12"/>
  <c r="W110" i="12"/>
  <c r="AH48" i="40"/>
  <c r="DO71" i="28" s="1"/>
  <c r="AH21" i="40"/>
  <c r="DO54" i="28"/>
  <c r="DO81" i="28" s="1"/>
  <c r="AI16" i="40"/>
  <c r="AI20" i="40" s="1"/>
  <c r="AH33" i="40"/>
  <c r="AH34" i="40" s="1"/>
  <c r="N100" i="12"/>
  <c r="P100" i="12" s="1"/>
  <c r="DO55" i="28"/>
  <c r="DO56" i="28" s="1"/>
  <c r="AH399" i="40"/>
  <c r="AG421" i="40"/>
  <c r="W424" i="40"/>
  <c r="W432" i="40" s="1"/>
  <c r="AH203" i="40"/>
  <c r="AH204" i="40" s="1"/>
  <c r="AH224" i="40"/>
  <c r="AG417" i="40"/>
  <c r="BF18" i="40"/>
  <c r="BF14" i="40"/>
  <c r="BG8" i="40" s="1"/>
  <c r="BF19" i="40"/>
  <c r="BF17" i="40"/>
  <c r="BF16" i="40"/>
  <c r="AD335" i="40" l="1"/>
  <c r="K156" i="45"/>
  <c r="J160" i="46"/>
  <c r="L160" i="46" s="1"/>
  <c r="J157" i="45"/>
  <c r="J173" i="12"/>
  <c r="AR149" i="45"/>
  <c r="CP181" i="29"/>
  <c r="CQ180" i="29"/>
  <c r="BK30" i="28"/>
  <c r="AJ286" i="40"/>
  <c r="AJ289" i="40"/>
  <c r="AJ290" i="40" s="1"/>
  <c r="H156" i="45"/>
  <c r="I155" i="45"/>
  <c r="J427" i="46"/>
  <c r="L427" i="46" s="1"/>
  <c r="AK286" i="40"/>
  <c r="AK289" i="40"/>
  <c r="BH243" i="40"/>
  <c r="BH245" i="40"/>
  <c r="BH236" i="40"/>
  <c r="BH242" i="40"/>
  <c r="BN81" i="28"/>
  <c r="V161" i="9"/>
  <c r="X161" i="9" s="1"/>
  <c r="Z161" i="9" s="1"/>
  <c r="L169" i="12"/>
  <c r="W150" i="45"/>
  <c r="V151" i="45"/>
  <c r="AQ150" i="45"/>
  <c r="AF272" i="40"/>
  <c r="AF344" i="40" s="1"/>
  <c r="AT344" i="40" s="1"/>
  <c r="AF244" i="40"/>
  <c r="AF245" i="40" s="1"/>
  <c r="AF235" i="40"/>
  <c r="AF267" i="40" s="1"/>
  <c r="AF352" i="40" s="1"/>
  <c r="AF256" i="40"/>
  <c r="AF257" i="40" s="1"/>
  <c r="AF320" i="40"/>
  <c r="L424" i="46"/>
  <c r="N424" i="46" s="1"/>
  <c r="P424" i="46" s="1"/>
  <c r="U423" i="46"/>
  <c r="N423" i="46"/>
  <c r="P423" i="46" s="1"/>
  <c r="P340" i="45"/>
  <c r="Q339" i="45"/>
  <c r="P521" i="45"/>
  <c r="Q521" i="45" s="1"/>
  <c r="U313" i="45"/>
  <c r="T314" i="45"/>
  <c r="T495" i="45"/>
  <c r="U495" i="45" s="1"/>
  <c r="U159" i="46"/>
  <c r="W159" i="46" s="1"/>
  <c r="N159" i="46"/>
  <c r="U168" i="12"/>
  <c r="N168" i="12"/>
  <c r="P168" i="12" s="1"/>
  <c r="DN194" i="29"/>
  <c r="DO194" i="29" s="1"/>
  <c r="DN191" i="29"/>
  <c r="DN192" i="29" s="1"/>
  <c r="DO192" i="29" s="1"/>
  <c r="DO190" i="29"/>
  <c r="W155" i="46"/>
  <c r="U156" i="46"/>
  <c r="W156" i="46" s="1"/>
  <c r="O338" i="45"/>
  <c r="N339" i="45"/>
  <c r="N520" i="45"/>
  <c r="O520" i="45" s="1"/>
  <c r="AB374" i="40"/>
  <c r="BC5" i="40"/>
  <c r="AC5" i="40"/>
  <c r="AB232" i="40"/>
  <c r="BC232" i="40" s="1"/>
  <c r="AB157" i="40"/>
  <c r="BC157" i="40" s="1"/>
  <c r="AB111" i="40"/>
  <c r="BC111" i="40" s="1"/>
  <c r="AB57" i="40"/>
  <c r="BC57" i="40" s="1"/>
  <c r="AB315" i="40"/>
  <c r="U369" i="45"/>
  <c r="T370" i="45"/>
  <c r="AK378" i="40"/>
  <c r="AK401" i="40" s="1"/>
  <c r="AK205" i="40"/>
  <c r="AK379" i="40"/>
  <c r="AK402" i="40" s="1"/>
  <c r="AK206" i="40"/>
  <c r="AK116" i="40"/>
  <c r="AK119" i="40" s="1"/>
  <c r="AJ132" i="40"/>
  <c r="AJ377" i="40"/>
  <c r="AJ400" i="40" s="1"/>
  <c r="AJ120" i="40"/>
  <c r="DQ62" i="28"/>
  <c r="AI133" i="40"/>
  <c r="AI148" i="40"/>
  <c r="AI123" i="40"/>
  <c r="AI124" i="40" s="1"/>
  <c r="AI121" i="40"/>
  <c r="AE159" i="40"/>
  <c r="AT159" i="40" s="1"/>
  <c r="W106" i="20" s="1"/>
  <c r="T364" i="45"/>
  <c r="J342" i="46"/>
  <c r="L342" i="46" s="1"/>
  <c r="L156" i="45"/>
  <c r="M155" i="45"/>
  <c r="DP55" i="28"/>
  <c r="DP56" i="28" s="1"/>
  <c r="AI399" i="40"/>
  <c r="AD329" i="40"/>
  <c r="AD326" i="40"/>
  <c r="AD330" i="40"/>
  <c r="AD338" i="40"/>
  <c r="AD325" i="40"/>
  <c r="AD328" i="40"/>
  <c r="AJ404" i="40"/>
  <c r="AI403" i="40"/>
  <c r="AI73" i="40"/>
  <c r="AI75" i="40"/>
  <c r="AI76" i="40" s="1"/>
  <c r="AV179" i="40"/>
  <c r="AJ180" i="40"/>
  <c r="AJ181" i="40" s="1"/>
  <c r="AK162" i="40"/>
  <c r="AK179" i="40" s="1"/>
  <c r="AK180" i="40" s="1"/>
  <c r="AJ380" i="40"/>
  <c r="AK186" i="40"/>
  <c r="AJ207" i="40"/>
  <c r="AJ183" i="40"/>
  <c r="AG424" i="40"/>
  <c r="AG432" i="40" s="1"/>
  <c r="U338" i="46"/>
  <c r="W338" i="46" s="1"/>
  <c r="N338" i="46"/>
  <c r="AJ84" i="40"/>
  <c r="AK68" i="40"/>
  <c r="AK71" i="40" s="1"/>
  <c r="AJ376" i="40"/>
  <c r="AJ72" i="40"/>
  <c r="AH22" i="40"/>
  <c r="AH24" i="40"/>
  <c r="AH25" i="40" s="1"/>
  <c r="BG17" i="40"/>
  <c r="BG19" i="40"/>
  <c r="BG18" i="40"/>
  <c r="AI48" i="40"/>
  <c r="DP71" i="28" s="1"/>
  <c r="DP54" i="28"/>
  <c r="DP81" i="28" s="1"/>
  <c r="AI33" i="40"/>
  <c r="AI34" i="40" s="1"/>
  <c r="AJ16" i="40"/>
  <c r="AJ20" i="40" s="1"/>
  <c r="AI21" i="40"/>
  <c r="W107" i="12"/>
  <c r="W114" i="12"/>
  <c r="BF20" i="40"/>
  <c r="BG169" i="40"/>
  <c r="BG170" i="40"/>
  <c r="BG161" i="40"/>
  <c r="BG9" i="40" s="1"/>
  <c r="BG16" i="40" s="1"/>
  <c r="BG168" i="40"/>
  <c r="AK241" i="40"/>
  <c r="AK242" i="40" s="1"/>
  <c r="AK381" i="40"/>
  <c r="AK253" i="40"/>
  <c r="AK254" i="40" s="1"/>
  <c r="AK271" i="40"/>
  <c r="AI203" i="40"/>
  <c r="AI204" i="40" s="1"/>
  <c r="AI224" i="40"/>
  <c r="AA343" i="45"/>
  <c r="R525" i="45"/>
  <c r="S343" i="45"/>
  <c r="R344" i="45"/>
  <c r="T115" i="20"/>
  <c r="T119" i="20"/>
  <c r="T122" i="20"/>
  <c r="T118" i="20"/>
  <c r="AI101" i="40"/>
  <c r="AI85" i="40"/>
  <c r="BK71" i="40"/>
  <c r="AK290" i="40" l="1"/>
  <c r="T315" i="45"/>
  <c r="U314" i="45"/>
  <c r="T496" i="45"/>
  <c r="U496" i="45" s="1"/>
  <c r="AF336" i="40"/>
  <c r="AT320" i="40"/>
  <c r="L170" i="12"/>
  <c r="N170" i="12" s="1"/>
  <c r="P170" i="12" s="1"/>
  <c r="N169" i="12"/>
  <c r="P169" i="12" s="1"/>
  <c r="U169" i="12"/>
  <c r="W169" i="12" s="1"/>
  <c r="DO191" i="29"/>
  <c r="DR188" i="29"/>
  <c r="N427" i="46"/>
  <c r="P427" i="46" s="1"/>
  <c r="U427" i="46"/>
  <c r="BL30" i="28"/>
  <c r="CQ181" i="29"/>
  <c r="CP182" i="29"/>
  <c r="N340" i="45"/>
  <c r="O339" i="45"/>
  <c r="N521" i="45"/>
  <c r="O521" i="45" s="1"/>
  <c r="I156" i="45"/>
  <c r="J428" i="46"/>
  <c r="L428" i="46" s="1"/>
  <c r="H157" i="45"/>
  <c r="L173" i="12"/>
  <c r="V165" i="9"/>
  <c r="X165" i="9" s="1"/>
  <c r="Z165" i="9" s="1"/>
  <c r="BP81" i="28"/>
  <c r="K157" i="45"/>
  <c r="J161" i="46"/>
  <c r="L161" i="46" s="1"/>
  <c r="J158" i="45"/>
  <c r="W168" i="12"/>
  <c r="P343" i="45"/>
  <c r="P522" i="45"/>
  <c r="Q522" i="45" s="1"/>
  <c r="Q340" i="45"/>
  <c r="BH240" i="40"/>
  <c r="BH244" i="40"/>
  <c r="BH246" i="40" s="1"/>
  <c r="AR150" i="45"/>
  <c r="J174" i="12"/>
  <c r="U160" i="46"/>
  <c r="W160" i="46" s="1"/>
  <c r="N160" i="46"/>
  <c r="W423" i="46"/>
  <c r="U424" i="46"/>
  <c r="W424" i="46" s="1"/>
  <c r="V152" i="45"/>
  <c r="W151" i="45"/>
  <c r="AQ151" i="45"/>
  <c r="AK181" i="40"/>
  <c r="AC315" i="40"/>
  <c r="AC157" i="40"/>
  <c r="BD157" i="40" s="1"/>
  <c r="AC111" i="40"/>
  <c r="BD111" i="40" s="1"/>
  <c r="AC57" i="40"/>
  <c r="BD57" i="40" s="1"/>
  <c r="AC374" i="40"/>
  <c r="BD5" i="40"/>
  <c r="AC232" i="40"/>
  <c r="BD232" i="40" s="1"/>
  <c r="AD5" i="40"/>
  <c r="U370" i="45"/>
  <c r="AJ121" i="40"/>
  <c r="AJ123" i="40"/>
  <c r="AJ124" i="40" s="1"/>
  <c r="AK377" i="40"/>
  <c r="DR62" i="28"/>
  <c r="AK120" i="40"/>
  <c r="AT119" i="40"/>
  <c r="AK132" i="40"/>
  <c r="AL116" i="40"/>
  <c r="AL119" i="40" s="1"/>
  <c r="AJ133" i="40"/>
  <c r="AJ148" i="40"/>
  <c r="AE225" i="40"/>
  <c r="AE343" i="40" s="1"/>
  <c r="AE160" i="40"/>
  <c r="AE220" i="40" s="1"/>
  <c r="AE351" i="40" s="1"/>
  <c r="BG171" i="40"/>
  <c r="BG172" i="40" s="1"/>
  <c r="BG14" i="40"/>
  <c r="BH8" i="40" s="1"/>
  <c r="BH17" i="40" s="1"/>
  <c r="BG20" i="40"/>
  <c r="AE209" i="40"/>
  <c r="AE210" i="40" s="1"/>
  <c r="U106" i="20"/>
  <c r="U108" i="20" s="1"/>
  <c r="AE319" i="40"/>
  <c r="AE335" i="40" s="1"/>
  <c r="AE188" i="40"/>
  <c r="AE189" i="40" s="1"/>
  <c r="BG166" i="40"/>
  <c r="AF159" i="40" s="1"/>
  <c r="T121" i="20"/>
  <c r="AJ399" i="40"/>
  <c r="AI22" i="40"/>
  <c r="AI24" i="40"/>
  <c r="AI25" i="40" s="1"/>
  <c r="AK376" i="40"/>
  <c r="AT71" i="40"/>
  <c r="AK84" i="40"/>
  <c r="AK72" i="40"/>
  <c r="AL68" i="40"/>
  <c r="AL71" i="40" s="1"/>
  <c r="AK380" i="40"/>
  <c r="AK207" i="40"/>
  <c r="AK183" i="40"/>
  <c r="W108" i="20"/>
  <c r="W120" i="20" s="1"/>
  <c r="U339" i="46"/>
  <c r="W339" i="46" s="1"/>
  <c r="AA344" i="45"/>
  <c r="R345" i="45"/>
  <c r="R526" i="45"/>
  <c r="S344" i="45"/>
  <c r="AK16" i="40"/>
  <c r="AK20" i="40" s="1"/>
  <c r="AJ48" i="40"/>
  <c r="DQ71" i="28" s="1"/>
  <c r="AJ33" i="40"/>
  <c r="AJ34" i="40" s="1"/>
  <c r="AJ21" i="40"/>
  <c r="AJ101" i="40"/>
  <c r="AJ85" i="40"/>
  <c r="BL71" i="40"/>
  <c r="AJ403" i="40"/>
  <c r="AD346" i="40"/>
  <c r="AK404" i="40"/>
  <c r="AV381" i="40"/>
  <c r="U342" i="46"/>
  <c r="N342" i="46"/>
  <c r="AJ73" i="40"/>
  <c r="AJ75" i="40"/>
  <c r="AJ76" i="40" s="1"/>
  <c r="AJ203" i="40"/>
  <c r="AJ204" i="40" s="1"/>
  <c r="AJ224" i="40"/>
  <c r="J343" i="46"/>
  <c r="L343" i="46" s="1"/>
  <c r="L157" i="45"/>
  <c r="M156" i="45"/>
  <c r="U170" i="12" l="1"/>
  <c r="W170" i="12" s="1"/>
  <c r="CP183" i="29"/>
  <c r="BM30" i="28"/>
  <c r="CQ182" i="29"/>
  <c r="P525" i="45"/>
  <c r="Q525" i="45" s="1"/>
  <c r="Q343" i="45"/>
  <c r="P344" i="45"/>
  <c r="N173" i="12"/>
  <c r="P173" i="12" s="1"/>
  <c r="U173" i="12"/>
  <c r="W173" i="12" s="1"/>
  <c r="I157" i="45"/>
  <c r="J429" i="46"/>
  <c r="L429" i="46" s="1"/>
  <c r="H158" i="45"/>
  <c r="V166" i="9"/>
  <c r="X166" i="9" s="1"/>
  <c r="Z166" i="9" s="1"/>
  <c r="BQ81" i="28"/>
  <c r="L174" i="12"/>
  <c r="N428" i="46"/>
  <c r="P428" i="46" s="1"/>
  <c r="U428" i="46"/>
  <c r="W428" i="46" s="1"/>
  <c r="W427" i="46"/>
  <c r="J175" i="12"/>
  <c r="AR151" i="45"/>
  <c r="K158" i="45"/>
  <c r="J162" i="46"/>
  <c r="L162" i="46" s="1"/>
  <c r="J161" i="45"/>
  <c r="V155" i="45"/>
  <c r="W152" i="45"/>
  <c r="AH382" i="40"/>
  <c r="AQ152" i="45"/>
  <c r="BI235" i="40"/>
  <c r="AG234" i="40"/>
  <c r="T316" i="45"/>
  <c r="U315" i="45"/>
  <c r="T497" i="45"/>
  <c r="U497" i="45" s="1"/>
  <c r="U161" i="46"/>
  <c r="N161" i="46"/>
  <c r="L163" i="46"/>
  <c r="N163" i="46" s="1"/>
  <c r="DS188" i="29"/>
  <c r="DR189" i="29"/>
  <c r="DR193" i="29"/>
  <c r="DS193" i="29" s="1"/>
  <c r="N522" i="45"/>
  <c r="O522" i="45" s="1"/>
  <c r="N343" i="45"/>
  <c r="O340" i="45"/>
  <c r="AE322" i="40"/>
  <c r="AE325" i="40" s="1"/>
  <c r="AD374" i="40"/>
  <c r="AD57" i="40"/>
  <c r="BE57" i="40" s="1"/>
  <c r="AD232" i="40"/>
  <c r="BE232" i="40" s="1"/>
  <c r="AD315" i="40"/>
  <c r="BE5" i="40"/>
  <c r="AD111" i="40"/>
  <c r="BE111" i="40" s="1"/>
  <c r="AD157" i="40"/>
  <c r="BE157" i="40" s="1"/>
  <c r="AE5" i="40"/>
  <c r="AK121" i="40"/>
  <c r="AK123" i="40"/>
  <c r="AK124" i="40" s="1"/>
  <c r="AK400" i="40"/>
  <c r="AV377" i="40"/>
  <c r="DS62" i="28"/>
  <c r="AM116" i="40"/>
  <c r="AM119" i="40" s="1"/>
  <c r="AL377" i="40"/>
  <c r="AL120" i="40"/>
  <c r="AL132" i="40"/>
  <c r="AK148" i="40"/>
  <c r="AK133" i="40"/>
  <c r="AT209" i="40"/>
  <c r="BH18" i="40"/>
  <c r="BH19" i="40"/>
  <c r="BH160" i="40"/>
  <c r="BH161" i="40" s="1"/>
  <c r="BH9" i="40" s="1"/>
  <c r="W342" i="46"/>
  <c r="AV380" i="40"/>
  <c r="AK403" i="40"/>
  <c r="N343" i="46"/>
  <c r="U343" i="46"/>
  <c r="W343" i="46" s="1"/>
  <c r="U115" i="20"/>
  <c r="U118" i="20"/>
  <c r="U122" i="20"/>
  <c r="U119" i="20"/>
  <c r="AK33" i="40"/>
  <c r="AK34" i="40" s="1"/>
  <c r="AT20" i="40"/>
  <c r="AK48" i="40"/>
  <c r="DR71" i="28" s="1"/>
  <c r="AL16" i="40"/>
  <c r="AK21" i="40"/>
  <c r="AF319" i="40"/>
  <c r="AF209" i="40"/>
  <c r="AF210" i="40" s="1"/>
  <c r="AF188" i="40"/>
  <c r="AF189" i="40" s="1"/>
  <c r="AF225" i="40"/>
  <c r="AF343" i="40" s="1"/>
  <c r="AT343" i="40" s="1"/>
  <c r="AF160" i="40"/>
  <c r="AF220" i="40" s="1"/>
  <c r="AF351" i="40" s="1"/>
  <c r="W118" i="20"/>
  <c r="W119" i="20"/>
  <c r="W115" i="20"/>
  <c r="W122" i="20"/>
  <c r="AM68" i="40"/>
  <c r="AM71" i="40" s="1"/>
  <c r="AL376" i="40"/>
  <c r="AL84" i="40"/>
  <c r="AL72" i="40"/>
  <c r="AV376" i="40"/>
  <c r="AK399" i="40"/>
  <c r="U120" i="20"/>
  <c r="AJ22" i="40"/>
  <c r="AJ24" i="40"/>
  <c r="AJ25" i="40" s="1"/>
  <c r="AK203" i="40"/>
  <c r="AK204" i="40" s="1"/>
  <c r="AK224" i="40"/>
  <c r="AK73" i="40"/>
  <c r="AK75" i="40"/>
  <c r="AK76" i="40" s="1"/>
  <c r="M157" i="45"/>
  <c r="L158" i="45"/>
  <c r="J344" i="46"/>
  <c r="L344" i="46" s="1"/>
  <c r="S345" i="45"/>
  <c r="R527" i="45"/>
  <c r="R346" i="45"/>
  <c r="AA345" i="45"/>
  <c r="BM71" i="40"/>
  <c r="AK101" i="40"/>
  <c r="AK85" i="40"/>
  <c r="T498" i="45" l="1"/>
  <c r="U498" i="45" s="1"/>
  <c r="U316" i="45"/>
  <c r="T319" i="45"/>
  <c r="U162" i="46"/>
  <c r="W162" i="46" s="1"/>
  <c r="N162" i="46"/>
  <c r="N174" i="12"/>
  <c r="P174" i="12" s="1"/>
  <c r="U174" i="12"/>
  <c r="W174" i="12" s="1"/>
  <c r="P345" i="45"/>
  <c r="P526" i="45"/>
  <c r="Q526" i="45" s="1"/>
  <c r="Q344" i="45"/>
  <c r="J162" i="45"/>
  <c r="K161" i="45"/>
  <c r="J166" i="46"/>
  <c r="L166" i="46" s="1"/>
  <c r="DS189" i="29"/>
  <c r="DR190" i="29"/>
  <c r="AG235" i="40"/>
  <c r="AG267" i="40" s="1"/>
  <c r="AG352" i="40" s="1"/>
  <c r="AG244" i="40"/>
  <c r="AG245" i="40" s="1"/>
  <c r="AG272" i="40"/>
  <c r="AG344" i="40" s="1"/>
  <c r="AG256" i="40"/>
  <c r="AG257" i="40" s="1"/>
  <c r="AG320" i="40"/>
  <c r="AG336" i="40" s="1"/>
  <c r="N429" i="46"/>
  <c r="P429" i="46" s="1"/>
  <c r="U429" i="46"/>
  <c r="BI242" i="40"/>
  <c r="BI236" i="40"/>
  <c r="BI244" i="40" s="1"/>
  <c r="BI243" i="40"/>
  <c r="BI245" i="40"/>
  <c r="AH405" i="40"/>
  <c r="DO65" i="28"/>
  <c r="AH391" i="40"/>
  <c r="AH423" i="40"/>
  <c r="W161" i="46"/>
  <c r="BN30" i="28"/>
  <c r="CT180" i="29"/>
  <c r="CQ183" i="29"/>
  <c r="CP184" i="29"/>
  <c r="CQ184" i="29" s="1"/>
  <c r="J176" i="12"/>
  <c r="AR152" i="45"/>
  <c r="L175" i="12"/>
  <c r="BR81" i="28"/>
  <c r="V167" i="9"/>
  <c r="X167" i="9" s="1"/>
  <c r="Z167" i="9" s="1"/>
  <c r="H161" i="45"/>
  <c r="J430" i="46"/>
  <c r="L430" i="46" s="1"/>
  <c r="DP61" i="28"/>
  <c r="I158" i="45"/>
  <c r="N525" i="45"/>
  <c r="O525" i="45" s="1"/>
  <c r="N344" i="45"/>
  <c r="O343" i="45"/>
  <c r="V156" i="45"/>
  <c r="W155" i="45"/>
  <c r="AQ155" i="45"/>
  <c r="J180" i="12" s="1"/>
  <c r="AE327" i="40"/>
  <c r="AE326" i="40"/>
  <c r="AE330" i="40"/>
  <c r="AE328" i="40"/>
  <c r="AE338" i="40"/>
  <c r="AE329" i="40"/>
  <c r="AE57" i="40"/>
  <c r="BF57" i="40" s="1"/>
  <c r="AE374" i="40"/>
  <c r="AE232" i="40"/>
  <c r="BF232" i="40" s="1"/>
  <c r="AE111" i="40"/>
  <c r="BF111" i="40" s="1"/>
  <c r="AE157" i="40"/>
  <c r="BF157" i="40" s="1"/>
  <c r="AF5" i="40"/>
  <c r="BF5" i="40"/>
  <c r="AE315" i="40"/>
  <c r="AL148" i="40"/>
  <c r="AL133" i="40"/>
  <c r="AL121" i="40"/>
  <c r="AL123" i="40"/>
  <c r="AM377" i="40"/>
  <c r="AM120" i="40"/>
  <c r="DT62" i="28"/>
  <c r="AM132" i="40"/>
  <c r="AN116" i="40"/>
  <c r="AN119" i="40" s="1"/>
  <c r="BH166" i="40"/>
  <c r="BI160" i="40" s="1"/>
  <c r="BH170" i="40"/>
  <c r="BH169" i="40"/>
  <c r="BH168" i="40"/>
  <c r="N344" i="46"/>
  <c r="U344" i="46"/>
  <c r="W344" i="46" s="1"/>
  <c r="AF335" i="40"/>
  <c r="AT319" i="40"/>
  <c r="AF322" i="40"/>
  <c r="M158" i="45"/>
  <c r="J345" i="46"/>
  <c r="L345" i="46" s="1"/>
  <c r="L161" i="45"/>
  <c r="AN68" i="40"/>
  <c r="AN71" i="40" s="1"/>
  <c r="AM376" i="40"/>
  <c r="AM72" i="40"/>
  <c r="AM84" i="40"/>
  <c r="AK24" i="40"/>
  <c r="AK25" i="40" s="1"/>
  <c r="AK22" i="40"/>
  <c r="BH16" i="40"/>
  <c r="BH20" i="40" s="1"/>
  <c r="BH14" i="40"/>
  <c r="BI8" i="40" s="1"/>
  <c r="S346" i="45"/>
  <c r="R528" i="45"/>
  <c r="AA346" i="45"/>
  <c r="R349" i="45"/>
  <c r="AL75" i="40"/>
  <c r="AL73" i="40"/>
  <c r="W121" i="20"/>
  <c r="BH171" i="40"/>
  <c r="BN71" i="40"/>
  <c r="AL85" i="40"/>
  <c r="AL101" i="40"/>
  <c r="U121" i="20"/>
  <c r="U163" i="46" l="1"/>
  <c r="W163" i="46" s="1"/>
  <c r="BI246" i="40"/>
  <c r="DR191" i="29"/>
  <c r="DS191" i="29" s="1"/>
  <c r="DS190" i="29"/>
  <c r="BS81" i="28"/>
  <c r="L176" i="12"/>
  <c r="V168" i="9"/>
  <c r="X168" i="9" s="1"/>
  <c r="Z168" i="9" s="1"/>
  <c r="AH430" i="40"/>
  <c r="AH425" i="40"/>
  <c r="AH431" i="40"/>
  <c r="AH428" i="40"/>
  <c r="AH414" i="40"/>
  <c r="AH417" i="40"/>
  <c r="AH420" i="40"/>
  <c r="AH429" i="40"/>
  <c r="AH419" i="40"/>
  <c r="AH426" i="40"/>
  <c r="AH418" i="40"/>
  <c r="AH421" i="40"/>
  <c r="AH427" i="40"/>
  <c r="AH422" i="40"/>
  <c r="W429" i="46"/>
  <c r="DR194" i="29"/>
  <c r="DS194" i="29" s="1"/>
  <c r="V172" i="9"/>
  <c r="X172" i="9" s="1"/>
  <c r="Z172" i="9" s="1"/>
  <c r="BU81" i="28"/>
  <c r="L180" i="12"/>
  <c r="L431" i="46"/>
  <c r="N431" i="46" s="1"/>
  <c r="P431" i="46" s="1"/>
  <c r="N430" i="46"/>
  <c r="P430" i="46" s="1"/>
  <c r="U430" i="46"/>
  <c r="W430" i="46" s="1"/>
  <c r="U166" i="46"/>
  <c r="W166" i="46" s="1"/>
  <c r="N166" i="46"/>
  <c r="I161" i="45"/>
  <c r="J434" i="46"/>
  <c r="L434" i="46" s="1"/>
  <c r="H162" i="45"/>
  <c r="CU180" i="29"/>
  <c r="CT181" i="29"/>
  <c r="BP30" i="28"/>
  <c r="BI240" i="40"/>
  <c r="J167" i="46"/>
  <c r="L167" i="46" s="1"/>
  <c r="K162" i="45"/>
  <c r="J163" i="45"/>
  <c r="U319" i="45"/>
  <c r="T320" i="45"/>
  <c r="T501" i="45"/>
  <c r="U501" i="45" s="1"/>
  <c r="N175" i="12"/>
  <c r="P175" i="12" s="1"/>
  <c r="U175" i="12"/>
  <c r="W175" i="12" s="1"/>
  <c r="V157" i="45"/>
  <c r="W156" i="45"/>
  <c r="AQ156" i="45"/>
  <c r="J181" i="12" s="1"/>
  <c r="N345" i="45"/>
  <c r="O344" i="45"/>
  <c r="N526" i="45"/>
  <c r="O526" i="45" s="1"/>
  <c r="P346" i="45"/>
  <c r="Q345" i="45"/>
  <c r="P527" i="45"/>
  <c r="Q527" i="45" s="1"/>
  <c r="AE346" i="40"/>
  <c r="BG5" i="40"/>
  <c r="AF232" i="40"/>
  <c r="BG232" i="40" s="1"/>
  <c r="AF315" i="40"/>
  <c r="AF57" i="40"/>
  <c r="BG57" i="40" s="1"/>
  <c r="AF111" i="40"/>
  <c r="BG111" i="40" s="1"/>
  <c r="AF157" i="40"/>
  <c r="BG157" i="40" s="1"/>
  <c r="AG5" i="40"/>
  <c r="AF374" i="40"/>
  <c r="BO124" i="40"/>
  <c r="AL124" i="40"/>
  <c r="AG159" i="40"/>
  <c r="AG209" i="40" s="1"/>
  <c r="AG210" i="40" s="1"/>
  <c r="AN132" i="40"/>
  <c r="AO116" i="40"/>
  <c r="AO119" i="40" s="1"/>
  <c r="AN120" i="40"/>
  <c r="AN121" i="40" s="1"/>
  <c r="DU62" i="28"/>
  <c r="AN377" i="40"/>
  <c r="AM133" i="40"/>
  <c r="AM148" i="40"/>
  <c r="AM121" i="40"/>
  <c r="AM123" i="40"/>
  <c r="AM124" i="40" s="1"/>
  <c r="BH172" i="40"/>
  <c r="S349" i="45"/>
  <c r="R531" i="45"/>
  <c r="AA349" i="45"/>
  <c r="R350" i="45"/>
  <c r="M161" i="45"/>
  <c r="J349" i="46"/>
  <c r="L349" i="46" s="1"/>
  <c r="L162" i="45"/>
  <c r="AF330" i="40"/>
  <c r="AF329" i="40"/>
  <c r="AF338" i="40"/>
  <c r="AT322" i="40"/>
  <c r="AF325" i="40"/>
  <c r="AF326" i="40"/>
  <c r="AF328" i="40"/>
  <c r="AL76" i="40"/>
  <c r="AM85" i="40"/>
  <c r="BO71" i="40"/>
  <c r="AM101" i="40"/>
  <c r="N345" i="46"/>
  <c r="U345" i="46"/>
  <c r="BI170" i="40"/>
  <c r="BI169" i="40"/>
  <c r="BI168" i="40"/>
  <c r="BI161" i="40"/>
  <c r="BI9" i="40" s="1"/>
  <c r="BI16" i="40" s="1"/>
  <c r="BI19" i="40"/>
  <c r="BI18" i="40"/>
  <c r="BI17" i="40"/>
  <c r="AM73" i="40"/>
  <c r="AM75" i="40"/>
  <c r="BO72" i="40" s="1"/>
  <c r="AF327" i="40"/>
  <c r="AO68" i="40"/>
  <c r="AO71" i="40" s="1"/>
  <c r="AN376" i="40"/>
  <c r="AN72" i="40"/>
  <c r="AN73" i="40" s="1"/>
  <c r="AN84" i="40"/>
  <c r="BP71" i="40" s="1"/>
  <c r="L346" i="46"/>
  <c r="N346" i="46" s="1"/>
  <c r="P346" i="46" s="1"/>
  <c r="DT55" i="28"/>
  <c r="DT56" i="28" s="1"/>
  <c r="P349" i="45" l="1"/>
  <c r="Q346" i="45"/>
  <c r="P528" i="45"/>
  <c r="Q528" i="45" s="1"/>
  <c r="U431" i="46"/>
  <c r="W431" i="46" s="1"/>
  <c r="U320" i="45"/>
  <c r="T321" i="45"/>
  <c r="T502" i="45"/>
  <c r="U502" i="45" s="1"/>
  <c r="BQ30" i="28"/>
  <c r="CU181" i="29"/>
  <c r="CT182" i="29"/>
  <c r="L177" i="12"/>
  <c r="N177" i="12" s="1"/>
  <c r="P177" i="12" s="1"/>
  <c r="U176" i="12"/>
  <c r="W176" i="12" s="1"/>
  <c r="N176" i="12"/>
  <c r="P176" i="12" s="1"/>
  <c r="O345" i="45"/>
  <c r="N346" i="45"/>
  <c r="N527" i="45"/>
  <c r="O527" i="45" s="1"/>
  <c r="DR192" i="29"/>
  <c r="DS192" i="29" s="1"/>
  <c r="AJ234" i="40"/>
  <c r="BJ235" i="40"/>
  <c r="AH234" i="40"/>
  <c r="L181" i="12"/>
  <c r="V173" i="9"/>
  <c r="X173" i="9" s="1"/>
  <c r="Z173" i="9" s="1"/>
  <c r="BV81" i="28"/>
  <c r="K163" i="45"/>
  <c r="J164" i="45"/>
  <c r="J168" i="46"/>
  <c r="L168" i="46" s="1"/>
  <c r="J435" i="46"/>
  <c r="L435" i="46" s="1"/>
  <c r="H163" i="45"/>
  <c r="I162" i="45"/>
  <c r="N180" i="12"/>
  <c r="P180" i="12" s="1"/>
  <c r="U180" i="12"/>
  <c r="W180" i="12" s="1"/>
  <c r="N434" i="46"/>
  <c r="P434" i="46" s="1"/>
  <c r="U434" i="46"/>
  <c r="V158" i="45"/>
  <c r="W157" i="45"/>
  <c r="AQ157" i="45"/>
  <c r="J182" i="12" s="1"/>
  <c r="U167" i="46"/>
  <c r="W167" i="46" s="1"/>
  <c r="N167" i="46"/>
  <c r="AH424" i="40"/>
  <c r="AH432" i="40" s="1"/>
  <c r="AG225" i="40"/>
  <c r="AG343" i="40" s="1"/>
  <c r="AG160" i="40"/>
  <c r="AG220" i="40" s="1"/>
  <c r="AG351" i="40" s="1"/>
  <c r="AG319" i="40"/>
  <c r="AG188" i="40"/>
  <c r="AG189" i="40" s="1"/>
  <c r="AG57" i="40"/>
  <c r="BH57" i="40" s="1"/>
  <c r="AG111" i="40"/>
  <c r="BH111" i="40" s="1"/>
  <c r="BH5" i="40"/>
  <c r="AG315" i="40"/>
  <c r="AH5" i="40"/>
  <c r="AG157" i="40"/>
  <c r="BH157" i="40" s="1"/>
  <c r="AG374" i="40"/>
  <c r="AG232" i="40"/>
  <c r="BH232" i="40" s="1"/>
  <c r="BO116" i="40"/>
  <c r="BP124" i="40"/>
  <c r="BQ124" i="40" s="1"/>
  <c r="BR124" i="40" s="1"/>
  <c r="BS124" i="40" s="1"/>
  <c r="BO117" i="40"/>
  <c r="AN148" i="40"/>
  <c r="AN133" i="40"/>
  <c r="DV62" i="28"/>
  <c r="AO377" i="40"/>
  <c r="AO132" i="40"/>
  <c r="AP116" i="40"/>
  <c r="AP119" i="40" s="1"/>
  <c r="DW62" i="28" s="1"/>
  <c r="AO120" i="40"/>
  <c r="AO121" i="40" s="1"/>
  <c r="AM76" i="40"/>
  <c r="BI20" i="40"/>
  <c r="BI14" i="40"/>
  <c r="BJ8" i="40" s="1"/>
  <c r="BJ19" i="40" s="1"/>
  <c r="BI166" i="40"/>
  <c r="BJ160" i="40" s="1"/>
  <c r="W345" i="46"/>
  <c r="U346" i="46"/>
  <c r="W346" i="46" s="1"/>
  <c r="U349" i="46"/>
  <c r="N349" i="46"/>
  <c r="BO64" i="40"/>
  <c r="BO74" i="40"/>
  <c r="BO65" i="40" s="1"/>
  <c r="AF346" i="40"/>
  <c r="AN85" i="40"/>
  <c r="AN101" i="40"/>
  <c r="DU55" i="28"/>
  <c r="DU56" i="28" s="1"/>
  <c r="AG335" i="40"/>
  <c r="AG322" i="40"/>
  <c r="BI171" i="40"/>
  <c r="BI172" i="40" s="1"/>
  <c r="R532" i="45"/>
  <c r="AA350" i="45"/>
  <c r="R351" i="45"/>
  <c r="S350" i="45"/>
  <c r="AO72" i="40"/>
  <c r="AO73" i="40" s="1"/>
  <c r="AO376" i="40"/>
  <c r="AP68" i="40"/>
  <c r="AP71" i="40" s="1"/>
  <c r="AO84" i="40"/>
  <c r="BQ71" i="40" s="1"/>
  <c r="M162" i="45"/>
  <c r="J350" i="46"/>
  <c r="L350" i="46" s="1"/>
  <c r="L163" i="45"/>
  <c r="U177" i="12" l="1"/>
  <c r="W177" i="12" s="1"/>
  <c r="O346" i="45"/>
  <c r="N349" i="45"/>
  <c r="N528" i="45"/>
  <c r="O528" i="45" s="1"/>
  <c r="V174" i="9"/>
  <c r="X174" i="9" s="1"/>
  <c r="Z174" i="9" s="1"/>
  <c r="BW81" i="28"/>
  <c r="L182" i="12"/>
  <c r="U321" i="45"/>
  <c r="T322" i="45"/>
  <c r="T503" i="45"/>
  <c r="U503" i="45" s="1"/>
  <c r="N181" i="12"/>
  <c r="P181" i="12" s="1"/>
  <c r="U181" i="12"/>
  <c r="W181" i="12" s="1"/>
  <c r="AI382" i="40"/>
  <c r="V161" i="45"/>
  <c r="W158" i="45"/>
  <c r="AQ158" i="45"/>
  <c r="J183" i="12" s="1"/>
  <c r="I163" i="45"/>
  <c r="J436" i="46"/>
  <c r="L436" i="46" s="1"/>
  <c r="H164" i="45"/>
  <c r="AH256" i="40"/>
  <c r="AH257" i="40" s="1"/>
  <c r="AH272" i="40"/>
  <c r="AH344" i="40" s="1"/>
  <c r="AH235" i="40"/>
  <c r="AH267" i="40" s="1"/>
  <c r="AH352" i="40" s="1"/>
  <c r="AH244" i="40"/>
  <c r="AH245" i="40" s="1"/>
  <c r="AH320" i="40"/>
  <c r="AH336" i="40" s="1"/>
  <c r="U435" i="46"/>
  <c r="W435" i="46" s="1"/>
  <c r="N435" i="46"/>
  <c r="P435" i="46" s="1"/>
  <c r="BJ242" i="40"/>
  <c r="BJ243" i="40"/>
  <c r="BJ245" i="40"/>
  <c r="BJ236" i="40"/>
  <c r="BJ244" i="40" s="1"/>
  <c r="W434" i="46"/>
  <c r="N168" i="46"/>
  <c r="U168" i="46"/>
  <c r="AJ244" i="40"/>
  <c r="AJ256" i="40"/>
  <c r="AV256" i="40" s="1"/>
  <c r="AJ272" i="40"/>
  <c r="AJ344" i="40" s="1"/>
  <c r="AJ320" i="40"/>
  <c r="BR30" i="28"/>
  <c r="CT183" i="29"/>
  <c r="CT184" i="29" s="1"/>
  <c r="CU184" i="29" s="1"/>
  <c r="CU182" i="29"/>
  <c r="K164" i="45"/>
  <c r="DQ55" i="28"/>
  <c r="DQ56" i="28" s="1"/>
  <c r="J169" i="46"/>
  <c r="L169" i="46" s="1"/>
  <c r="J167" i="45"/>
  <c r="P350" i="45"/>
  <c r="Q349" i="45"/>
  <c r="P531" i="45"/>
  <c r="AH232" i="40"/>
  <c r="BI232" i="40" s="1"/>
  <c r="AH374" i="40"/>
  <c r="AH315" i="40"/>
  <c r="BI5" i="40"/>
  <c r="AH57" i="40"/>
  <c r="BI57" i="40" s="1"/>
  <c r="AI5" i="40"/>
  <c r="AH111" i="40"/>
  <c r="BI111" i="40" s="1"/>
  <c r="AH157" i="40"/>
  <c r="BI157" i="40" s="1"/>
  <c r="AV119" i="40"/>
  <c r="AP377" i="40"/>
  <c r="AP120" i="40"/>
  <c r="AP121" i="40" s="1"/>
  <c r="AQ116" i="40"/>
  <c r="AQ119" i="40" s="1"/>
  <c r="AR116" i="40" s="1"/>
  <c r="AR119" i="40" s="1"/>
  <c r="AP132" i="40"/>
  <c r="AO148" i="40"/>
  <c r="AO133" i="40"/>
  <c r="BP117" i="40"/>
  <c r="BP116" i="40"/>
  <c r="AJ159" i="40"/>
  <c r="AJ188" i="40" s="1"/>
  <c r="AH159" i="40"/>
  <c r="AH188" i="40" s="1"/>
  <c r="AH189" i="40" s="1"/>
  <c r="BJ17" i="40"/>
  <c r="BJ18" i="40"/>
  <c r="M163" i="45"/>
  <c r="J351" i="46"/>
  <c r="L351" i="46" s="1"/>
  <c r="L164" i="45"/>
  <c r="BJ168" i="40"/>
  <c r="BJ169" i="40"/>
  <c r="BJ170" i="40"/>
  <c r="BJ161" i="40"/>
  <c r="BO12" i="40"/>
  <c r="BO85" i="40"/>
  <c r="AO101" i="40"/>
  <c r="AO85" i="40"/>
  <c r="AG330" i="40"/>
  <c r="AG338" i="40"/>
  <c r="AG326" i="40"/>
  <c r="AG329" i="40"/>
  <c r="AG325" i="40"/>
  <c r="AG328" i="40"/>
  <c r="AG327" i="40"/>
  <c r="BO11" i="40"/>
  <c r="BO84" i="40"/>
  <c r="W349" i="46"/>
  <c r="AA351" i="45"/>
  <c r="S351" i="45"/>
  <c r="R352" i="45"/>
  <c r="R533" i="45"/>
  <c r="N350" i="46"/>
  <c r="U350" i="46"/>
  <c r="W350" i="46" s="1"/>
  <c r="AV71" i="40"/>
  <c r="AP376" i="40"/>
  <c r="DW55" i="28" s="1"/>
  <c r="DW56" i="28" s="1"/>
  <c r="AP72" i="40"/>
  <c r="AP73" i="40" s="1"/>
  <c r="AQ68" i="40"/>
  <c r="AQ71" i="40" s="1"/>
  <c r="AR68" i="40" s="1"/>
  <c r="AR71" i="40" s="1"/>
  <c r="AP84" i="40"/>
  <c r="BR71" i="40" s="1"/>
  <c r="DV55" i="28"/>
  <c r="DV56" i="28" s="1"/>
  <c r="Q350" i="45" l="1"/>
  <c r="P532" i="45"/>
  <c r="P351" i="45"/>
  <c r="J168" i="45"/>
  <c r="J173" i="46"/>
  <c r="L173" i="46" s="1"/>
  <c r="K167" i="45"/>
  <c r="BX81" i="28"/>
  <c r="L183" i="12"/>
  <c r="V175" i="9"/>
  <c r="X175" i="9" s="1"/>
  <c r="Z175" i="9" s="1"/>
  <c r="U169" i="46"/>
  <c r="W169" i="46" s="1"/>
  <c r="N169" i="46"/>
  <c r="BJ240" i="40"/>
  <c r="N182" i="12"/>
  <c r="P182" i="12" s="1"/>
  <c r="U182" i="12"/>
  <c r="L184" i="12"/>
  <c r="N184" i="12" s="1"/>
  <c r="P184" i="12" s="1"/>
  <c r="DP65" i="28"/>
  <c r="AI405" i="40"/>
  <c r="AI391" i="40"/>
  <c r="AI423" i="40" s="1"/>
  <c r="BJ9" i="40"/>
  <c r="BJ14" i="40" s="1"/>
  <c r="BK8" i="40" s="1"/>
  <c r="L170" i="46"/>
  <c r="N170" i="46" s="1"/>
  <c r="T504" i="45"/>
  <c r="U504" i="45" s="1"/>
  <c r="T325" i="45"/>
  <c r="U322" i="45"/>
  <c r="W161" i="45"/>
  <c r="V162" i="45"/>
  <c r="AQ161" i="45"/>
  <c r="J187" i="12" s="1"/>
  <c r="Q531" i="45"/>
  <c r="Q537" i="45"/>
  <c r="W168" i="46"/>
  <c r="BJ246" i="40"/>
  <c r="I164" i="45"/>
  <c r="DQ61" i="28"/>
  <c r="J437" i="46"/>
  <c r="L437" i="46" s="1"/>
  <c r="N437" i="46" s="1"/>
  <c r="H437" i="46" s="1"/>
  <c r="DM164" i="45"/>
  <c r="DT164" i="45" s="1"/>
  <c r="H167" i="45"/>
  <c r="O349" i="45"/>
  <c r="N350" i="45"/>
  <c r="N531" i="45"/>
  <c r="CX180" i="29"/>
  <c r="CU183" i="29"/>
  <c r="BS30" i="28"/>
  <c r="N436" i="46"/>
  <c r="P436" i="46" s="1"/>
  <c r="U436" i="46"/>
  <c r="L438" i="46"/>
  <c r="N438" i="46" s="1"/>
  <c r="AJ319" i="40"/>
  <c r="AJ322" i="40" s="1"/>
  <c r="AJ327" i="40" s="1"/>
  <c r="AR377" i="40"/>
  <c r="AR120" i="40"/>
  <c r="AR132" i="40"/>
  <c r="AR376" i="40"/>
  <c r="AR72" i="40"/>
  <c r="AR84" i="40"/>
  <c r="AJ5" i="40"/>
  <c r="AI374" i="40"/>
  <c r="AI111" i="40"/>
  <c r="BJ111" i="40" s="1"/>
  <c r="AI315" i="40"/>
  <c r="AI57" i="40"/>
  <c r="BJ57" i="40" s="1"/>
  <c r="BJ5" i="40"/>
  <c r="AI232" i="40"/>
  <c r="BJ232" i="40" s="1"/>
  <c r="AI157" i="40"/>
  <c r="BJ157" i="40" s="1"/>
  <c r="AJ225" i="40"/>
  <c r="AJ343" i="40" s="1"/>
  <c r="AQ132" i="40"/>
  <c r="AQ377" i="40"/>
  <c r="AQ120" i="40"/>
  <c r="AQ121" i="40" s="1"/>
  <c r="BQ117" i="40"/>
  <c r="BQ116" i="40"/>
  <c r="AV159" i="40"/>
  <c r="Y106" i="20" s="1"/>
  <c r="AJ209" i="40"/>
  <c r="AV209" i="40" s="1"/>
  <c r="AP148" i="40"/>
  <c r="AP133" i="40"/>
  <c r="AH209" i="40"/>
  <c r="AH210" i="40" s="1"/>
  <c r="AH319" i="40"/>
  <c r="AH335" i="40" s="1"/>
  <c r="AH225" i="40"/>
  <c r="AH343" i="40" s="1"/>
  <c r="AH160" i="40"/>
  <c r="AH220" i="40" s="1"/>
  <c r="AH351" i="40" s="1"/>
  <c r="AG346" i="40"/>
  <c r="BJ166" i="40"/>
  <c r="AK159" i="40" s="1"/>
  <c r="R534" i="45"/>
  <c r="AA352" i="45"/>
  <c r="AR30" i="40" s="1"/>
  <c r="R355" i="45"/>
  <c r="S352" i="45"/>
  <c r="U351" i="46"/>
  <c r="W351" i="46" s="1"/>
  <c r="N351" i="46"/>
  <c r="BJ171" i="40"/>
  <c r="BJ172" i="40" s="1"/>
  <c r="AQ72" i="40"/>
  <c r="AQ73" i="40" s="1"/>
  <c r="AQ376" i="40"/>
  <c r="AQ84" i="40"/>
  <c r="BS71" i="40" s="1"/>
  <c r="AP85" i="40"/>
  <c r="AP101" i="40"/>
  <c r="M164" i="45"/>
  <c r="L167" i="45"/>
  <c r="J352" i="46"/>
  <c r="L352" i="46" s="1"/>
  <c r="U170" i="46" l="1"/>
  <c r="W170" i="46" s="1"/>
  <c r="BJ16" i="40"/>
  <c r="BJ20" i="40" s="1"/>
  <c r="N532" i="45"/>
  <c r="O350" i="45"/>
  <c r="N351" i="45"/>
  <c r="U325" i="45"/>
  <c r="T507" i="45"/>
  <c r="U507" i="45" s="1"/>
  <c r="T326" i="45"/>
  <c r="W182" i="12"/>
  <c r="W436" i="46"/>
  <c r="I167" i="45"/>
  <c r="J441" i="46"/>
  <c r="L441" i="46" s="1"/>
  <c r="H168" i="45"/>
  <c r="BS116" i="40"/>
  <c r="BS117" i="40"/>
  <c r="N173" i="46"/>
  <c r="U173" i="46"/>
  <c r="W173" i="46" s="1"/>
  <c r="AK234" i="40"/>
  <c r="BK235" i="40"/>
  <c r="AI234" i="40"/>
  <c r="AF437" i="46"/>
  <c r="D437" i="46"/>
  <c r="S437" i="46" s="1"/>
  <c r="CT81" i="28"/>
  <c r="CO81" i="28"/>
  <c r="V179" i="9"/>
  <c r="X179" i="9" s="1"/>
  <c r="Z179" i="9" s="1"/>
  <c r="BZ81" i="28"/>
  <c r="L187" i="12"/>
  <c r="CJ81" i="28"/>
  <c r="CE81" i="28"/>
  <c r="J174" i="46"/>
  <c r="L174" i="46" s="1"/>
  <c r="K168" i="45"/>
  <c r="J169" i="45"/>
  <c r="CY180" i="29"/>
  <c r="BU30" i="28"/>
  <c r="CX181" i="29"/>
  <c r="Q532" i="45"/>
  <c r="Q538" i="45"/>
  <c r="W162" i="45"/>
  <c r="V163" i="45"/>
  <c r="AQ162" i="45"/>
  <c r="J188" i="12" s="1"/>
  <c r="AI425" i="40"/>
  <c r="AI414" i="40"/>
  <c r="AI430" i="40"/>
  <c r="AI420" i="40"/>
  <c r="AI422" i="40"/>
  <c r="AI428" i="40"/>
  <c r="AI417" i="40"/>
  <c r="AI429" i="40"/>
  <c r="AI419" i="40"/>
  <c r="AI431" i="40"/>
  <c r="AI418" i="40"/>
  <c r="AI426" i="40"/>
  <c r="AI427" i="40"/>
  <c r="AI421" i="40"/>
  <c r="P533" i="45"/>
  <c r="Q351" i="45"/>
  <c r="P352" i="45"/>
  <c r="O531" i="45"/>
  <c r="O537" i="45"/>
  <c r="N183" i="12"/>
  <c r="P183" i="12" s="1"/>
  <c r="U183" i="12"/>
  <c r="W183" i="12" s="1"/>
  <c r="AR31" i="40"/>
  <c r="AR27" i="40"/>
  <c r="AR46" i="40"/>
  <c r="AR101" i="40"/>
  <c r="AR85" i="40"/>
  <c r="AR73" i="40"/>
  <c r="AJ57" i="40"/>
  <c r="BK57" i="40" s="1"/>
  <c r="AJ374" i="40"/>
  <c r="AK5" i="40"/>
  <c r="AJ111" i="40"/>
  <c r="BK111" i="40" s="1"/>
  <c r="BK5" i="40"/>
  <c r="AJ157" i="40"/>
  <c r="BK157" i="40" s="1"/>
  <c r="AJ315" i="40"/>
  <c r="AJ232" i="40"/>
  <c r="BK232" i="40" s="1"/>
  <c r="AR148" i="40"/>
  <c r="AR133" i="40"/>
  <c r="AR121" i="40"/>
  <c r="BR116" i="40"/>
  <c r="BR117" i="40"/>
  <c r="AQ133" i="40"/>
  <c r="AQ148" i="40"/>
  <c r="BK160" i="40"/>
  <c r="BK170" i="40" s="1"/>
  <c r="AH322" i="40"/>
  <c r="AH327" i="40" s="1"/>
  <c r="AI159" i="40"/>
  <c r="AI319" i="40" s="1"/>
  <c r="U352" i="46"/>
  <c r="W352" i="46" s="1"/>
  <c r="N352" i="46"/>
  <c r="AJ326" i="40"/>
  <c r="AJ330" i="40"/>
  <c r="AJ329" i="40"/>
  <c r="AJ325" i="40"/>
  <c r="AJ328" i="40"/>
  <c r="AA355" i="45"/>
  <c r="S355" i="45"/>
  <c r="S361" i="45"/>
  <c r="R356" i="45"/>
  <c r="AK225" i="40"/>
  <c r="AK343" i="40" s="1"/>
  <c r="AV343" i="40" s="1"/>
  <c r="AK188" i="40"/>
  <c r="AK189" i="40" s="1"/>
  <c r="AK209" i="40"/>
  <c r="AK210" i="40" s="1"/>
  <c r="AK319" i="40"/>
  <c r="AK160" i="40"/>
  <c r="AK220" i="40" s="1"/>
  <c r="AK351" i="40" s="1"/>
  <c r="AQ101" i="40"/>
  <c r="AQ85" i="40"/>
  <c r="M167" i="45"/>
  <c r="J356" i="46"/>
  <c r="L356" i="46" s="1"/>
  <c r="L168" i="45"/>
  <c r="L353" i="46"/>
  <c r="N353" i="46" s="1"/>
  <c r="P353" i="46" s="1"/>
  <c r="BK17" i="40"/>
  <c r="BK18" i="40"/>
  <c r="BK19" i="40"/>
  <c r="BK161" i="40" l="1"/>
  <c r="U184" i="12"/>
  <c r="W184" i="12" s="1"/>
  <c r="Q533" i="45"/>
  <c r="Q539" i="45"/>
  <c r="V164" i="45"/>
  <c r="W163" i="45"/>
  <c r="AQ163" i="45"/>
  <c r="J189" i="12" s="1"/>
  <c r="J175" i="46"/>
  <c r="L175" i="46" s="1"/>
  <c r="K169" i="45"/>
  <c r="J170" i="45"/>
  <c r="N174" i="46"/>
  <c r="U174" i="46"/>
  <c r="W174" i="46" s="1"/>
  <c r="S190" i="12"/>
  <c r="U437" i="46"/>
  <c r="AI437" i="46"/>
  <c r="S438" i="46"/>
  <c r="T327" i="45"/>
  <c r="U326" i="45"/>
  <c r="T508" i="45"/>
  <c r="U508" i="45" s="1"/>
  <c r="U187" i="12"/>
  <c r="W187" i="12" s="1"/>
  <c r="N187" i="12"/>
  <c r="P187" i="12" s="1"/>
  <c r="I168" i="45"/>
  <c r="J442" i="46"/>
  <c r="L442" i="46" s="1"/>
  <c r="N442" i="46" s="1"/>
  <c r="H442" i="46" s="1"/>
  <c r="H169" i="45"/>
  <c r="AI320" i="40"/>
  <c r="AI322" i="40" s="1"/>
  <c r="AJ235" i="40"/>
  <c r="AJ267" i="40" s="1"/>
  <c r="AJ352" i="40" s="1"/>
  <c r="AI235" i="40"/>
  <c r="AI267" i="40" s="1"/>
  <c r="AI352" i="40" s="1"/>
  <c r="AI272" i="40"/>
  <c r="AI344" i="40" s="1"/>
  <c r="AI256" i="40"/>
  <c r="AI244" i="40"/>
  <c r="N441" i="46"/>
  <c r="H441" i="46" s="1"/>
  <c r="N533" i="45"/>
  <c r="O351" i="45"/>
  <c r="N352" i="45"/>
  <c r="CX182" i="29"/>
  <c r="CY181" i="29"/>
  <c r="BV30" i="28"/>
  <c r="BK242" i="40"/>
  <c r="BK243" i="40"/>
  <c r="BK245" i="40"/>
  <c r="BK236" i="40"/>
  <c r="BK9" i="40" s="1"/>
  <c r="Q352" i="45"/>
  <c r="P534" i="45"/>
  <c r="P355" i="45"/>
  <c r="AI424" i="40"/>
  <c r="AI432" i="40" s="1"/>
  <c r="AK235" i="40"/>
  <c r="AK267" i="40" s="1"/>
  <c r="AK352" i="40" s="1"/>
  <c r="AK272" i="40"/>
  <c r="AK344" i="40" s="1"/>
  <c r="AV344" i="40" s="1"/>
  <c r="AK256" i="40"/>
  <c r="AK257" i="40" s="1"/>
  <c r="AK244" i="40"/>
  <c r="AK245" i="40" s="1"/>
  <c r="AK320" i="40"/>
  <c r="AK322" i="40" s="1"/>
  <c r="AK327" i="40" s="1"/>
  <c r="CU81" i="28"/>
  <c r="CP81" i="28"/>
  <c r="L188" i="12"/>
  <c r="V180" i="9"/>
  <c r="X180" i="9" s="1"/>
  <c r="Z180" i="9" s="1"/>
  <c r="CK81" i="28"/>
  <c r="CA81" i="28"/>
  <c r="CF81" i="28"/>
  <c r="O532" i="45"/>
  <c r="O538" i="45"/>
  <c r="BK169" i="40"/>
  <c r="AH328" i="40"/>
  <c r="AH329" i="40"/>
  <c r="AH338" i="40"/>
  <c r="AK157" i="40"/>
  <c r="BL157" i="40" s="1"/>
  <c r="AK315" i="40"/>
  <c r="AL5" i="40"/>
  <c r="BL5" i="40"/>
  <c r="AK57" i="40"/>
  <c r="BL57" i="40" s="1"/>
  <c r="AK374" i="40"/>
  <c r="AK232" i="40"/>
  <c r="BL232" i="40" s="1"/>
  <c r="AK111" i="40"/>
  <c r="BL111" i="40" s="1"/>
  <c r="AR47" i="40"/>
  <c r="AR28" i="40"/>
  <c r="AH326" i="40"/>
  <c r="U353" i="46"/>
  <c r="W353" i="46" s="1"/>
  <c r="BK168" i="40"/>
  <c r="AJ160" i="40"/>
  <c r="AJ220" i="40" s="1"/>
  <c r="AJ351" i="40" s="1"/>
  <c r="AI225" i="40"/>
  <c r="AI343" i="40" s="1"/>
  <c r="AH325" i="40"/>
  <c r="AI160" i="40"/>
  <c r="AI220" i="40" s="1"/>
  <c r="AI351" i="40" s="1"/>
  <c r="AI188" i="40"/>
  <c r="AI189" i="40" s="1"/>
  <c r="AH330" i="40"/>
  <c r="AI209" i="40"/>
  <c r="AI210" i="40" s="1"/>
  <c r="BK171" i="40"/>
  <c r="AK335" i="40"/>
  <c r="AV319" i="40"/>
  <c r="M168" i="45"/>
  <c r="J357" i="46"/>
  <c r="L357" i="46" s="1"/>
  <c r="L169" i="45"/>
  <c r="AJ346" i="40"/>
  <c r="AI335" i="40"/>
  <c r="AJ335" i="40"/>
  <c r="BK166" i="40"/>
  <c r="BL160" i="40" s="1"/>
  <c r="U356" i="46"/>
  <c r="N356" i="46"/>
  <c r="S362" i="45"/>
  <c r="AA356" i="45"/>
  <c r="R357" i="45"/>
  <c r="S356" i="45"/>
  <c r="BK240" i="40" l="1"/>
  <c r="BL235" i="40" s="1"/>
  <c r="BL245" i="40" s="1"/>
  <c r="BK244" i="40"/>
  <c r="BK246" i="40" s="1"/>
  <c r="BK16" i="40"/>
  <c r="BK20" i="40" s="1"/>
  <c r="BK14" i="40"/>
  <c r="BL8" i="40" s="1"/>
  <c r="BL17" i="40" s="1"/>
  <c r="O352" i="45"/>
  <c r="N534" i="45"/>
  <c r="N355" i="45"/>
  <c r="N188" i="12"/>
  <c r="P188" i="12" s="1"/>
  <c r="U188" i="12"/>
  <c r="W188" i="12" s="1"/>
  <c r="H170" i="45"/>
  <c r="J443" i="46"/>
  <c r="L443" i="46" s="1"/>
  <c r="I169" i="45"/>
  <c r="D438" i="46"/>
  <c r="F438" i="46"/>
  <c r="N175" i="46"/>
  <c r="U175" i="46"/>
  <c r="W175" i="46" s="1"/>
  <c r="Q361" i="45"/>
  <c r="Q355" i="45"/>
  <c r="P356" i="45"/>
  <c r="AF441" i="46"/>
  <c r="D441" i="46"/>
  <c r="S441" i="46" s="1"/>
  <c r="D442" i="46"/>
  <c r="S442" i="46" s="1"/>
  <c r="AF442" i="46"/>
  <c r="AK437" i="46"/>
  <c r="AI438" i="46"/>
  <c r="Q534" i="45"/>
  <c r="Q540" i="45"/>
  <c r="AI245" i="40"/>
  <c r="AJ245" i="40"/>
  <c r="W437" i="46"/>
  <c r="U438" i="46"/>
  <c r="W438" i="46" s="1"/>
  <c r="CV81" i="28"/>
  <c r="CQ81" i="28"/>
  <c r="CL81" i="28"/>
  <c r="CB81" i="28"/>
  <c r="V181" i="9"/>
  <c r="X181" i="9" s="1"/>
  <c r="Z181" i="9" s="1"/>
  <c r="L189" i="12"/>
  <c r="CG81" i="28"/>
  <c r="AK336" i="40"/>
  <c r="AV320" i="40"/>
  <c r="AI257" i="40"/>
  <c r="AJ257" i="40"/>
  <c r="AI190" i="12"/>
  <c r="D190" i="12"/>
  <c r="H190" i="12" s="1"/>
  <c r="AF190" i="12" s="1"/>
  <c r="F191" i="12"/>
  <c r="S191" i="12"/>
  <c r="D191" i="12" s="1"/>
  <c r="J176" i="46"/>
  <c r="L176" i="46" s="1"/>
  <c r="J173" i="45"/>
  <c r="K170" i="45"/>
  <c r="DR55" i="28"/>
  <c r="DR56" i="28" s="1"/>
  <c r="BW30" i="28"/>
  <c r="CX183" i="29"/>
  <c r="CY182" i="29"/>
  <c r="AJ382" i="40"/>
  <c r="W164" i="45"/>
  <c r="V167" i="45"/>
  <c r="AQ164" i="45"/>
  <c r="O533" i="45"/>
  <c r="O539" i="45"/>
  <c r="AI336" i="40"/>
  <c r="AJ336" i="40"/>
  <c r="T328" i="45"/>
  <c r="T509" i="45"/>
  <c r="U509" i="45" s="1"/>
  <c r="U327" i="45"/>
  <c r="CX184" i="29"/>
  <c r="CY184" i="29" s="1"/>
  <c r="AH346" i="40"/>
  <c r="AM5" i="40"/>
  <c r="AL374" i="40"/>
  <c r="AL111" i="40"/>
  <c r="BM111" i="40" s="1"/>
  <c r="BM5" i="40"/>
  <c r="AL57" i="40"/>
  <c r="BM57" i="40" s="1"/>
  <c r="AJ210" i="40"/>
  <c r="AJ189" i="40"/>
  <c r="BK172" i="40"/>
  <c r="W356" i="46"/>
  <c r="L170" i="45"/>
  <c r="J358" i="46"/>
  <c r="L358" i="46" s="1"/>
  <c r="M169" i="45"/>
  <c r="AK329" i="40"/>
  <c r="AK338" i="40"/>
  <c r="AV322" i="40"/>
  <c r="AK325" i="40"/>
  <c r="AK330" i="40"/>
  <c r="AK326" i="40"/>
  <c r="AK328" i="40"/>
  <c r="AI330" i="40"/>
  <c r="AI338" i="40"/>
  <c r="AI325" i="40"/>
  <c r="AI326" i="40"/>
  <c r="AI329" i="40"/>
  <c r="AI328" i="40"/>
  <c r="AJ338" i="40"/>
  <c r="U357" i="46"/>
  <c r="W357" i="46" s="1"/>
  <c r="N357" i="46"/>
  <c r="AA357" i="45"/>
  <c r="S363" i="45"/>
  <c r="R358" i="45"/>
  <c r="S357" i="45"/>
  <c r="BL169" i="40"/>
  <c r="BL168" i="40"/>
  <c r="BL161" i="40"/>
  <c r="BL170" i="40"/>
  <c r="AI327" i="40"/>
  <c r="BL242" i="40" l="1"/>
  <c r="BL243" i="40"/>
  <c r="BL236" i="40"/>
  <c r="BL240" i="40" s="1"/>
  <c r="BL244" i="40"/>
  <c r="BL9" i="40"/>
  <c r="BL14" i="40" s="1"/>
  <c r="BM8" i="40" s="1"/>
  <c r="H191" i="12"/>
  <c r="AF191" i="12" s="1"/>
  <c r="H438" i="46"/>
  <c r="P438" i="46" s="1"/>
  <c r="AI441" i="46"/>
  <c r="S194" i="12"/>
  <c r="U441" i="46"/>
  <c r="J444" i="46"/>
  <c r="L444" i="46" s="1"/>
  <c r="N444" i="46" s="1"/>
  <c r="H444" i="46" s="1"/>
  <c r="DR61" i="28"/>
  <c r="H173" i="45"/>
  <c r="I170" i="45"/>
  <c r="BL18" i="40"/>
  <c r="T331" i="45"/>
  <c r="U328" i="45"/>
  <c r="T510" i="45"/>
  <c r="U510" i="45" s="1"/>
  <c r="BL19" i="40"/>
  <c r="AK190" i="12"/>
  <c r="AI191" i="12"/>
  <c r="DQ54" i="28"/>
  <c r="DQ81" i="28" s="1"/>
  <c r="J190" i="12"/>
  <c r="AK438" i="46"/>
  <c r="AM438" i="46" s="1"/>
  <c r="AM437" i="46"/>
  <c r="W167" i="45"/>
  <c r="V168" i="45"/>
  <c r="AQ167" i="45"/>
  <c r="J194" i="12" s="1"/>
  <c r="J180" i="46"/>
  <c r="L180" i="46" s="1"/>
  <c r="J174" i="45"/>
  <c r="K173" i="45"/>
  <c r="BL246" i="40"/>
  <c r="N356" i="45"/>
  <c r="O361" i="45"/>
  <c r="O355" i="45"/>
  <c r="L177" i="46"/>
  <c r="N177" i="46" s="1"/>
  <c r="U176" i="46"/>
  <c r="N176" i="46"/>
  <c r="AI442" i="46"/>
  <c r="AK442" i="46" s="1"/>
  <c r="AM442" i="46" s="1"/>
  <c r="U442" i="46"/>
  <c r="W442" i="46" s="1"/>
  <c r="S195" i="12"/>
  <c r="DU76" i="37"/>
  <c r="DI76" i="37"/>
  <c r="CZ76" i="37"/>
  <c r="DO76" i="37"/>
  <c r="DD76" i="37"/>
  <c r="O534" i="45"/>
  <c r="O540" i="45"/>
  <c r="AK382" i="40"/>
  <c r="AJ405" i="40"/>
  <c r="DQ65" i="28"/>
  <c r="AJ391" i="40"/>
  <c r="CY183" i="29"/>
  <c r="BX30" i="28"/>
  <c r="DB180" i="29"/>
  <c r="U189" i="12"/>
  <c r="W189" i="12" s="1"/>
  <c r="N189" i="12"/>
  <c r="P189" i="12" s="1"/>
  <c r="Q356" i="45"/>
  <c r="P357" i="45"/>
  <c r="Q362" i="45"/>
  <c r="N443" i="46"/>
  <c r="H443" i="46" s="1"/>
  <c r="L445" i="46"/>
  <c r="N445" i="46" s="1"/>
  <c r="BN5" i="40"/>
  <c r="AM111" i="40"/>
  <c r="BN111" i="40" s="1"/>
  <c r="AM374" i="40"/>
  <c r="AN5" i="40"/>
  <c r="AM57" i="40"/>
  <c r="BN57" i="40" s="1"/>
  <c r="BL171" i="40"/>
  <c r="BL172" i="40" s="1"/>
  <c r="AI346" i="40"/>
  <c r="BL166" i="40"/>
  <c r="N358" i="46"/>
  <c r="U358" i="46"/>
  <c r="W358" i="46" s="1"/>
  <c r="BL16" i="40"/>
  <c r="AK346" i="40"/>
  <c r="L173" i="45"/>
  <c r="J359" i="46"/>
  <c r="L359" i="46" s="1"/>
  <c r="M170" i="45"/>
  <c r="AA361" i="45"/>
  <c r="AA358" i="45"/>
  <c r="S364" i="45"/>
  <c r="S358" i="45"/>
  <c r="AF438" i="46" l="1"/>
  <c r="BL20" i="40"/>
  <c r="W176" i="46"/>
  <c r="U177" i="46"/>
  <c r="W177" i="46" s="1"/>
  <c r="N180" i="46"/>
  <c r="U180" i="46"/>
  <c r="W180" i="46" s="1"/>
  <c r="H174" i="45"/>
  <c r="I173" i="45"/>
  <c r="V186" i="9"/>
  <c r="X186" i="9" s="1"/>
  <c r="Z186" i="9" s="1"/>
  <c r="L194" i="12"/>
  <c r="N194" i="12" s="1"/>
  <c r="AM190" i="12"/>
  <c r="AK191" i="12"/>
  <c r="AM191" i="12" s="1"/>
  <c r="P358" i="45"/>
  <c r="Q357" i="45"/>
  <c r="Q363" i="45"/>
  <c r="AV382" i="40"/>
  <c r="AK405" i="40"/>
  <c r="AL382" i="40"/>
  <c r="DR65" i="28"/>
  <c r="AK391" i="40"/>
  <c r="AK423" i="40"/>
  <c r="DX76" i="37"/>
  <c r="V169" i="45"/>
  <c r="W168" i="45"/>
  <c r="AQ168" i="45"/>
  <c r="J195" i="12" s="1"/>
  <c r="D444" i="46"/>
  <c r="S444" i="46" s="1"/>
  <c r="AF444" i="46"/>
  <c r="DC180" i="29"/>
  <c r="BZ30" i="28"/>
  <c r="DB181" i="29"/>
  <c r="D195" i="12"/>
  <c r="H195" i="12" s="1"/>
  <c r="AF195" i="12" s="1"/>
  <c r="AI195" i="12"/>
  <c r="AK195" i="12" s="1"/>
  <c r="D202" i="12"/>
  <c r="H202" i="12" s="1"/>
  <c r="AF202" i="12" s="1"/>
  <c r="O356" i="45"/>
  <c r="N357" i="45"/>
  <c r="O362" i="45"/>
  <c r="T513" i="45"/>
  <c r="U513" i="45" s="1"/>
  <c r="U331" i="45"/>
  <c r="T332" i="45"/>
  <c r="W441" i="46"/>
  <c r="AI194" i="12"/>
  <c r="D194" i="12"/>
  <c r="H194" i="12" s="1"/>
  <c r="AF194" i="12" s="1"/>
  <c r="D201" i="12"/>
  <c r="H201" i="12" s="1"/>
  <c r="AF201" i="12" s="1"/>
  <c r="D443" i="46"/>
  <c r="S443" i="46" s="1"/>
  <c r="AF443" i="46"/>
  <c r="CW81" i="28"/>
  <c r="CM81" i="28"/>
  <c r="L190" i="12"/>
  <c r="CR81" i="28"/>
  <c r="CH81" i="28"/>
  <c r="V182" i="9"/>
  <c r="X182" i="9" s="1"/>
  <c r="Z182" i="9" s="1"/>
  <c r="CC81" i="28"/>
  <c r="AJ423" i="40"/>
  <c r="AJ414" i="40"/>
  <c r="AJ417" i="40"/>
  <c r="AJ430" i="40"/>
  <c r="AJ431" i="40"/>
  <c r="AJ427" i="40"/>
  <c r="AJ420" i="40"/>
  <c r="AJ425" i="40"/>
  <c r="AJ424" i="40" s="1"/>
  <c r="AJ419" i="40"/>
  <c r="AJ426" i="40"/>
  <c r="AJ428" i="40"/>
  <c r="AJ421" i="40"/>
  <c r="AJ429" i="40"/>
  <c r="AJ418" i="40"/>
  <c r="AJ422" i="40"/>
  <c r="J181" i="46"/>
  <c r="L181" i="46" s="1"/>
  <c r="J175" i="45"/>
  <c r="K174" i="45"/>
  <c r="AK441" i="46"/>
  <c r="AN57" i="40"/>
  <c r="BO57" i="40" s="1"/>
  <c r="AN111" i="40"/>
  <c r="BO111" i="40" s="1"/>
  <c r="BO5" i="40"/>
  <c r="AO5" i="40"/>
  <c r="AN374" i="40"/>
  <c r="M173" i="45"/>
  <c r="J363" i="46"/>
  <c r="L363" i="46" s="1"/>
  <c r="L174" i="45"/>
  <c r="BM18" i="40"/>
  <c r="BM19" i="40"/>
  <c r="BM17" i="40"/>
  <c r="BM16" i="40"/>
  <c r="BM14" i="40"/>
  <c r="BN8" i="40" s="1"/>
  <c r="N359" i="46"/>
  <c r="U359" i="46"/>
  <c r="L360" i="46"/>
  <c r="N360" i="46" s="1"/>
  <c r="P360" i="46" s="1"/>
  <c r="K175" i="45" l="1"/>
  <c r="J176" i="45"/>
  <c r="J182" i="46"/>
  <c r="L182" i="46" s="1"/>
  <c r="AM202" i="12"/>
  <c r="AM195" i="12"/>
  <c r="P194" i="12"/>
  <c r="CA30" i="28"/>
  <c r="DC181" i="29"/>
  <c r="DB182" i="29"/>
  <c r="V170" i="45"/>
  <c r="W169" i="45"/>
  <c r="AQ169" i="45"/>
  <c r="J196" i="12" s="1"/>
  <c r="AM382" i="40"/>
  <c r="DS65" i="28"/>
  <c r="AL391" i="40"/>
  <c r="AL17" i="40"/>
  <c r="AL20" i="40" s="1"/>
  <c r="N190" i="12"/>
  <c r="P190" i="12" s="1"/>
  <c r="L191" i="12"/>
  <c r="N191" i="12" s="1"/>
  <c r="P191" i="12" s="1"/>
  <c r="U190" i="12"/>
  <c r="AM441" i="46"/>
  <c r="AJ432" i="40"/>
  <c r="O357" i="45"/>
  <c r="N358" i="45"/>
  <c r="O363" i="45"/>
  <c r="I174" i="45"/>
  <c r="H175" i="45"/>
  <c r="AK194" i="12"/>
  <c r="Q358" i="45"/>
  <c r="Q364" i="45"/>
  <c r="N181" i="46"/>
  <c r="U181" i="46"/>
  <c r="W181" i="46" s="1"/>
  <c r="U443" i="46"/>
  <c r="S196" i="12"/>
  <c r="AI443" i="46"/>
  <c r="S445" i="46"/>
  <c r="AI444" i="46"/>
  <c r="AK444" i="46" s="1"/>
  <c r="AM444" i="46" s="1"/>
  <c r="S197" i="12"/>
  <c r="U444" i="46"/>
  <c r="W444" i="46" s="1"/>
  <c r="AK427" i="40"/>
  <c r="AK418" i="40"/>
  <c r="AK430" i="40"/>
  <c r="AK425" i="40"/>
  <c r="AK419" i="40"/>
  <c r="AK422" i="40"/>
  <c r="AK429" i="40"/>
  <c r="AK426" i="40"/>
  <c r="AK431" i="40"/>
  <c r="AK417" i="40"/>
  <c r="AK414" i="40"/>
  <c r="AK420" i="40"/>
  <c r="AK428" i="40"/>
  <c r="AK421" i="40"/>
  <c r="AV391" i="40"/>
  <c r="U194" i="12"/>
  <c r="W194" i="12" s="1"/>
  <c r="U332" i="45"/>
  <c r="T514" i="45"/>
  <c r="U514" i="45" s="1"/>
  <c r="T333" i="45"/>
  <c r="L195" i="12"/>
  <c r="V187" i="9"/>
  <c r="X187" i="9" s="1"/>
  <c r="Z187" i="9" s="1"/>
  <c r="AO111" i="40"/>
  <c r="BP111" i="40" s="1"/>
  <c r="AO374" i="40"/>
  <c r="AO57" i="40"/>
  <c r="BP57" i="40" s="1"/>
  <c r="AP5" i="40"/>
  <c r="BP5" i="40"/>
  <c r="BM20" i="40"/>
  <c r="N363" i="46"/>
  <c r="U363" i="46"/>
  <c r="W363" i="46" s="1"/>
  <c r="BN17" i="40"/>
  <c r="BN18" i="40"/>
  <c r="BN19" i="40"/>
  <c r="M174" i="45"/>
  <c r="J364" i="46"/>
  <c r="L364" i="46" s="1"/>
  <c r="L175" i="45"/>
  <c r="W359" i="46"/>
  <c r="U360" i="46"/>
  <c r="W360" i="46" s="1"/>
  <c r="O358" i="45" l="1"/>
  <c r="O364" i="45"/>
  <c r="AI197" i="12"/>
  <c r="AK197" i="12" s="1"/>
  <c r="D197" i="12"/>
  <c r="H197" i="12" s="1"/>
  <c r="AF197" i="12" s="1"/>
  <c r="D204" i="12"/>
  <c r="H204" i="12" s="1"/>
  <c r="AF204" i="12" s="1"/>
  <c r="AL21" i="40"/>
  <c r="AM16" i="40"/>
  <c r="AL33" i="40"/>
  <c r="AL34" i="40" s="1"/>
  <c r="AL48" i="40"/>
  <c r="DS71" i="28" s="1"/>
  <c r="D203" i="12"/>
  <c r="H203" i="12" s="1"/>
  <c r="AF203" i="12" s="1"/>
  <c r="D196" i="12"/>
  <c r="H196" i="12" s="1"/>
  <c r="AF196" i="12" s="1"/>
  <c r="AI196" i="12"/>
  <c r="U196" i="12"/>
  <c r="W196" i="12" s="1"/>
  <c r="F198" i="12"/>
  <c r="S198" i="12"/>
  <c r="D445" i="46"/>
  <c r="F445" i="46"/>
  <c r="AN382" i="40"/>
  <c r="AM391" i="40"/>
  <c r="DT65" i="28"/>
  <c r="AM17" i="40"/>
  <c r="H176" i="45"/>
  <c r="I175" i="45"/>
  <c r="N195" i="12"/>
  <c r="P195" i="12" s="1"/>
  <c r="U195" i="12"/>
  <c r="W195" i="12" s="1"/>
  <c r="AK424" i="40"/>
  <c r="AK432" i="40" s="1"/>
  <c r="AK443" i="46"/>
  <c r="AI445" i="46"/>
  <c r="AM194" i="12"/>
  <c r="AM201" i="12"/>
  <c r="V188" i="9"/>
  <c r="X188" i="9" s="1"/>
  <c r="Z188" i="9" s="1"/>
  <c r="L196" i="12"/>
  <c r="N196" i="12" s="1"/>
  <c r="P196" i="12" s="1"/>
  <c r="N182" i="46"/>
  <c r="U182" i="46"/>
  <c r="L184" i="46"/>
  <c r="N184" i="46" s="1"/>
  <c r="J179" i="45"/>
  <c r="K176" i="45"/>
  <c r="J183" i="46"/>
  <c r="L183" i="46" s="1"/>
  <c r="DS55" i="28"/>
  <c r="DS56" i="28" s="1"/>
  <c r="T515" i="45"/>
  <c r="U515" i="45" s="1"/>
  <c r="T334" i="45"/>
  <c r="U333" i="45"/>
  <c r="W190" i="12"/>
  <c r="U191" i="12"/>
  <c r="W191" i="12" s="1"/>
  <c r="W443" i="46"/>
  <c r="U445" i="46"/>
  <c r="W445" i="46" s="1"/>
  <c r="V173" i="45"/>
  <c r="W170" i="45"/>
  <c r="AQ170" i="45"/>
  <c r="CB30" i="28"/>
  <c r="DC182" i="29"/>
  <c r="DB183" i="29"/>
  <c r="DB184" i="29" s="1"/>
  <c r="DC184" i="29" s="1"/>
  <c r="AP57" i="40"/>
  <c r="BQ57" i="40" s="1"/>
  <c r="AQ5" i="40"/>
  <c r="AP374" i="40"/>
  <c r="AP111" i="40"/>
  <c r="BQ111" i="40" s="1"/>
  <c r="M175" i="45"/>
  <c r="L176" i="45"/>
  <c r="L179" i="45" s="1"/>
  <c r="J365" i="46"/>
  <c r="L365" i="46" s="1"/>
  <c r="N364" i="46"/>
  <c r="U364" i="46"/>
  <c r="W364" i="46" s="1"/>
  <c r="H445" i="46" l="1"/>
  <c r="P445" i="46" s="1"/>
  <c r="W182" i="46"/>
  <c r="J197" i="12"/>
  <c r="DR54" i="28"/>
  <c r="N183" i="46"/>
  <c r="U183" i="46"/>
  <c r="W183" i="46" s="1"/>
  <c r="D198" i="12"/>
  <c r="H198" i="12" s="1"/>
  <c r="AF198" i="12" s="1"/>
  <c r="D205" i="12"/>
  <c r="H205" i="12" s="1"/>
  <c r="AF205" i="12" s="1"/>
  <c r="AM20" i="40"/>
  <c r="W173" i="45"/>
  <c r="V174" i="45"/>
  <c r="AQ173" i="45"/>
  <c r="J201" i="12" s="1"/>
  <c r="H179" i="45"/>
  <c r="DS61" i="28"/>
  <c r="DT61" i="28" s="1"/>
  <c r="DU61" i="28" s="1"/>
  <c r="DV61" i="28" s="1"/>
  <c r="DW61" i="28" s="1"/>
  <c r="I176" i="45"/>
  <c r="AL24" i="40"/>
  <c r="AL25" i="40" s="1"/>
  <c r="AL22" i="40"/>
  <c r="CC30" i="28"/>
  <c r="DF180" i="29"/>
  <c r="DC183" i="29"/>
  <c r="J180" i="45"/>
  <c r="J187" i="46"/>
  <c r="L187" i="46" s="1"/>
  <c r="N187" i="46" s="1"/>
  <c r="K179" i="45"/>
  <c r="AK196" i="12"/>
  <c r="AI198" i="12"/>
  <c r="AM197" i="12"/>
  <c r="AM204" i="12"/>
  <c r="AM443" i="46"/>
  <c r="AK445" i="46"/>
  <c r="AM445" i="46" s="1"/>
  <c r="T516" i="45"/>
  <c r="U516" i="45" s="1"/>
  <c r="U334" i="45"/>
  <c r="T337" i="45"/>
  <c r="AO382" i="40"/>
  <c r="DU65" i="28"/>
  <c r="AN391" i="40"/>
  <c r="AN17" i="40"/>
  <c r="AR5" i="40"/>
  <c r="AQ111" i="40"/>
  <c r="BR111" i="40" s="1"/>
  <c r="AQ57" i="40"/>
  <c r="BR57" i="40" s="1"/>
  <c r="AQ374" i="40"/>
  <c r="U365" i="46"/>
  <c r="W365" i="46" s="1"/>
  <c r="N365" i="46"/>
  <c r="M176" i="45"/>
  <c r="J366" i="46"/>
  <c r="L366" i="46" s="1"/>
  <c r="L367" i="46" s="1"/>
  <c r="N367" i="46" s="1"/>
  <c r="P367" i="46" s="1"/>
  <c r="AF445" i="46" l="1"/>
  <c r="U184" i="46"/>
  <c r="W184" i="46" s="1"/>
  <c r="J181" i="45"/>
  <c r="K180" i="45"/>
  <c r="J188" i="46"/>
  <c r="L188" i="46" s="1"/>
  <c r="N188" i="46" s="1"/>
  <c r="H180" i="45"/>
  <c r="I179" i="45"/>
  <c r="V193" i="9"/>
  <c r="X193" i="9" s="1"/>
  <c r="Z193" i="9" s="1"/>
  <c r="L201" i="12"/>
  <c r="CE30" i="28"/>
  <c r="DF181" i="29"/>
  <c r="DG180" i="29"/>
  <c r="CJ30" i="28"/>
  <c r="W174" i="45"/>
  <c r="V175" i="45"/>
  <c r="AQ174" i="45"/>
  <c r="J202" i="12" s="1"/>
  <c r="AM33" i="40"/>
  <c r="AM34" i="40" s="1"/>
  <c r="AM21" i="40"/>
  <c r="AM22" i="40" s="1"/>
  <c r="DT54" i="28"/>
  <c r="DT81" i="28" s="1"/>
  <c r="AM48" i="40"/>
  <c r="DT71" i="28" s="1"/>
  <c r="AN16" i="40"/>
  <c r="AN20" i="40" s="1"/>
  <c r="V189" i="9"/>
  <c r="X189" i="9" s="1"/>
  <c r="Z189" i="9" s="1"/>
  <c r="L197" i="12"/>
  <c r="DV65" i="28"/>
  <c r="AO17" i="40"/>
  <c r="AO391" i="40"/>
  <c r="AP382" i="40"/>
  <c r="T519" i="45"/>
  <c r="U519" i="45" s="1"/>
  <c r="T338" i="45"/>
  <c r="U337" i="45"/>
  <c r="AM196" i="12"/>
  <c r="AM203" i="12"/>
  <c r="AK198" i="12"/>
  <c r="AR57" i="40"/>
  <c r="BS57" i="40" s="1"/>
  <c r="AR374" i="40"/>
  <c r="AR111" i="40"/>
  <c r="BS111" i="40" s="1"/>
  <c r="L180" i="45"/>
  <c r="J370" i="46"/>
  <c r="L370" i="46" s="1"/>
  <c r="M179" i="45"/>
  <c r="U366" i="46"/>
  <c r="N366" i="46"/>
  <c r="N197" i="12" l="1"/>
  <c r="P197" i="12" s="1"/>
  <c r="L198" i="12"/>
  <c r="N198" i="12" s="1"/>
  <c r="P198" i="12" s="1"/>
  <c r="U197" i="12"/>
  <c r="V176" i="45"/>
  <c r="W175" i="45"/>
  <c r="AQ175" i="45"/>
  <c r="J203" i="12" s="1"/>
  <c r="N201" i="12"/>
  <c r="P201" i="12" s="1"/>
  <c r="U201" i="12"/>
  <c r="W201" i="12" s="1"/>
  <c r="T520" i="45"/>
  <c r="U520" i="45" s="1"/>
  <c r="T339" i="45"/>
  <c r="U338" i="45"/>
  <c r="DU54" i="28"/>
  <c r="DU81" i="28" s="1"/>
  <c r="AN21" i="40"/>
  <c r="AN22" i="40" s="1"/>
  <c r="AO16" i="40"/>
  <c r="AO20" i="40" s="1"/>
  <c r="AN33" i="40"/>
  <c r="AN34" i="40" s="1"/>
  <c r="AN48" i="40"/>
  <c r="DU71" i="28" s="1"/>
  <c r="DW65" i="28"/>
  <c r="AP17" i="40"/>
  <c r="AQ382" i="40"/>
  <c r="AP391" i="40"/>
  <c r="H181" i="45"/>
  <c r="I180" i="45"/>
  <c r="AM198" i="12"/>
  <c r="AM205" i="12"/>
  <c r="CF30" i="28"/>
  <c r="DG181" i="29"/>
  <c r="CK30" i="28"/>
  <c r="DF182" i="29"/>
  <c r="V194" i="9"/>
  <c r="X194" i="9" s="1"/>
  <c r="Z194" i="9" s="1"/>
  <c r="L202" i="12"/>
  <c r="J189" i="46"/>
  <c r="L189" i="46" s="1"/>
  <c r="N189" i="46" s="1"/>
  <c r="K181" i="45"/>
  <c r="J182" i="45"/>
  <c r="N370" i="46"/>
  <c r="U367" i="46"/>
  <c r="W367" i="46" s="1"/>
  <c r="W366" i="46"/>
  <c r="M180" i="45"/>
  <c r="L181" i="45"/>
  <c r="J371" i="46"/>
  <c r="L371" i="46" s="1"/>
  <c r="CG30" i="28" l="1"/>
  <c r="DF183" i="29"/>
  <c r="CL30" i="28"/>
  <c r="DG182" i="29"/>
  <c r="AP16" i="40"/>
  <c r="AP20" i="40" s="1"/>
  <c r="AO21" i="40"/>
  <c r="AO22" i="40" s="1"/>
  <c r="DV54" i="28"/>
  <c r="DV81" i="28" s="1"/>
  <c r="AO33" i="40"/>
  <c r="AO34" i="40" s="1"/>
  <c r="AO48" i="40"/>
  <c r="DV71" i="28" s="1"/>
  <c r="V195" i="9"/>
  <c r="X195" i="9" s="1"/>
  <c r="Z195" i="9" s="1"/>
  <c r="L203" i="12"/>
  <c r="H182" i="45"/>
  <c r="I181" i="45"/>
  <c r="T340" i="45"/>
  <c r="U339" i="45"/>
  <c r="T521" i="45"/>
  <c r="U521" i="45" s="1"/>
  <c r="W176" i="45"/>
  <c r="V179" i="45"/>
  <c r="AQ176" i="45"/>
  <c r="J185" i="45"/>
  <c r="K182" i="45"/>
  <c r="J190" i="46"/>
  <c r="L190" i="46" s="1"/>
  <c r="L191" i="46" s="1"/>
  <c r="N191" i="46" s="1"/>
  <c r="AR382" i="40"/>
  <c r="AQ17" i="40"/>
  <c r="AQ391" i="40"/>
  <c r="W197" i="12"/>
  <c r="U198" i="12"/>
  <c r="W198" i="12" s="1"/>
  <c r="U202" i="12"/>
  <c r="W202" i="12" s="1"/>
  <c r="N202" i="12"/>
  <c r="P202" i="12" s="1"/>
  <c r="DF184" i="29"/>
  <c r="DG184" i="29" s="1"/>
  <c r="N371" i="46"/>
  <c r="M181" i="45"/>
  <c r="J372" i="46"/>
  <c r="L372" i="46" s="1"/>
  <c r="L182" i="45"/>
  <c r="AR17" i="40" l="1"/>
  <c r="AR391" i="40"/>
  <c r="T343" i="45"/>
  <c r="U340" i="45"/>
  <c r="T522" i="45"/>
  <c r="U522" i="45" s="1"/>
  <c r="J186" i="45"/>
  <c r="J194" i="46"/>
  <c r="L194" i="46" s="1"/>
  <c r="N194" i="46" s="1"/>
  <c r="K185" i="45"/>
  <c r="DW54" i="28"/>
  <c r="DW81" i="28" s="1"/>
  <c r="AQ16" i="40"/>
  <c r="AQ20" i="40" s="1"/>
  <c r="AV20" i="40"/>
  <c r="AP21" i="40"/>
  <c r="AP22" i="40" s="1"/>
  <c r="AP48" i="40"/>
  <c r="DW71" i="28" s="1"/>
  <c r="AP33" i="40"/>
  <c r="AP34" i="40" s="1"/>
  <c r="H185" i="45"/>
  <c r="I182" i="45"/>
  <c r="J204" i="12"/>
  <c r="DS54" i="28"/>
  <c r="DS81" i="28" s="1"/>
  <c r="U203" i="12"/>
  <c r="W203" i="12" s="1"/>
  <c r="N203" i="12"/>
  <c r="P203" i="12" s="1"/>
  <c r="W179" i="45"/>
  <c r="V180" i="45"/>
  <c r="AQ179" i="45"/>
  <c r="J208" i="12" s="1"/>
  <c r="CM30" i="28"/>
  <c r="CH30" i="28"/>
  <c r="DG183" i="29"/>
  <c r="DJ180" i="29"/>
  <c r="N190" i="46"/>
  <c r="L185" i="45"/>
  <c r="N372" i="46"/>
  <c r="J373" i="46"/>
  <c r="M182" i="45"/>
  <c r="V200" i="9" l="1"/>
  <c r="X200" i="9" s="1"/>
  <c r="Z200" i="9" s="1"/>
  <c r="L208" i="12"/>
  <c r="N208" i="12" s="1"/>
  <c r="V181" i="45"/>
  <c r="W180" i="45"/>
  <c r="AQ180" i="45"/>
  <c r="J209" i="12" s="1"/>
  <c r="I185" i="45"/>
  <c r="H186" i="45"/>
  <c r="DK180" i="29"/>
  <c r="DJ181" i="29"/>
  <c r="K186" i="45"/>
  <c r="J187" i="45"/>
  <c r="J195" i="46"/>
  <c r="L195" i="46" s="1"/>
  <c r="N195" i="46" s="1"/>
  <c r="T525" i="45"/>
  <c r="U525" i="45" s="1"/>
  <c r="U343" i="45"/>
  <c r="T344" i="45"/>
  <c r="AR16" i="40"/>
  <c r="AR20" i="40" s="1"/>
  <c r="AQ33" i="40"/>
  <c r="AQ34" i="40" s="1"/>
  <c r="AQ21" i="40"/>
  <c r="AQ22" i="40" s="1"/>
  <c r="AQ48" i="40"/>
  <c r="V196" i="9"/>
  <c r="X196" i="9" s="1"/>
  <c r="Z196" i="9" s="1"/>
  <c r="L204" i="12"/>
  <c r="L186" i="45"/>
  <c r="J377" i="46"/>
  <c r="L377" i="46" s="1"/>
  <c r="M185" i="45"/>
  <c r="L373" i="46"/>
  <c r="AR48" i="40" l="1"/>
  <c r="AR21" i="40"/>
  <c r="AR22" i="40" s="1"/>
  <c r="AR33" i="40"/>
  <c r="AR34" i="40" s="1"/>
  <c r="U344" i="45"/>
  <c r="T526" i="45"/>
  <c r="U526" i="45" s="1"/>
  <c r="T345" i="45"/>
  <c r="I186" i="45"/>
  <c r="H187" i="45"/>
  <c r="N204" i="12"/>
  <c r="P204" i="12" s="1"/>
  <c r="U204" i="12"/>
  <c r="L205" i="12"/>
  <c r="N205" i="12" s="1"/>
  <c r="P205" i="12" s="1"/>
  <c r="V201" i="9"/>
  <c r="X201" i="9" s="1"/>
  <c r="Z201" i="9" s="1"/>
  <c r="L209" i="12"/>
  <c r="N209" i="12" s="1"/>
  <c r="J196" i="46"/>
  <c r="L196" i="46" s="1"/>
  <c r="N196" i="46" s="1"/>
  <c r="J188" i="45"/>
  <c r="K187" i="45"/>
  <c r="W181" i="45"/>
  <c r="V182" i="45"/>
  <c r="AQ181" i="45"/>
  <c r="J210" i="12" s="1"/>
  <c r="DK181" i="29"/>
  <c r="DJ182" i="29"/>
  <c r="J378" i="46"/>
  <c r="L378" i="46" s="1"/>
  <c r="N378" i="46" s="1"/>
  <c r="M186" i="45"/>
  <c r="L187" i="45"/>
  <c r="L374" i="46"/>
  <c r="N373" i="46"/>
  <c r="N377" i="46"/>
  <c r="I187" i="45" l="1"/>
  <c r="H188" i="45"/>
  <c r="I188" i="45" s="1"/>
  <c r="K188" i="45"/>
  <c r="J197" i="46"/>
  <c r="L197" i="46" s="1"/>
  <c r="U345" i="45"/>
  <c r="T527" i="45"/>
  <c r="U527" i="45" s="1"/>
  <c r="T346" i="45"/>
  <c r="DJ183" i="29"/>
  <c r="DK182" i="29"/>
  <c r="L210" i="12"/>
  <c r="V202" i="9"/>
  <c r="X202" i="9" s="1"/>
  <c r="Z202" i="9" s="1"/>
  <c r="W182" i="45"/>
  <c r="V185" i="45"/>
  <c r="AQ182" i="45"/>
  <c r="J211" i="12" s="1"/>
  <c r="W204" i="12"/>
  <c r="U205" i="12"/>
  <c r="W205" i="12" s="1"/>
  <c r="J379" i="46"/>
  <c r="L379" i="46" s="1"/>
  <c r="M187" i="45"/>
  <c r="L188" i="45"/>
  <c r="N374" i="46"/>
  <c r="DJ184" i="29" l="1"/>
  <c r="DK184" i="29" s="1"/>
  <c r="DK183" i="29"/>
  <c r="DN180" i="29"/>
  <c r="T349" i="45"/>
  <c r="U346" i="45"/>
  <c r="T528" i="45"/>
  <c r="U528" i="45" s="1"/>
  <c r="L211" i="12"/>
  <c r="L212" i="12" s="1"/>
  <c r="N212" i="12" s="1"/>
  <c r="V203" i="9"/>
  <c r="V186" i="45"/>
  <c r="W185" i="45"/>
  <c r="AQ185" i="45"/>
  <c r="J215" i="12" s="1"/>
  <c r="L198" i="46"/>
  <c r="N198" i="46" s="1"/>
  <c r="N197" i="46"/>
  <c r="N210" i="12"/>
  <c r="N379" i="46"/>
  <c r="M188" i="45"/>
  <c r="J380" i="46"/>
  <c r="L380" i="46" s="1"/>
  <c r="N211" i="12" l="1"/>
  <c r="U349" i="45"/>
  <c r="T350" i="45"/>
  <c r="T531" i="45"/>
  <c r="V207" i="9"/>
  <c r="L215" i="12"/>
  <c r="N215" i="12" s="1"/>
  <c r="DN181" i="29"/>
  <c r="DO180" i="29"/>
  <c r="V187" i="45"/>
  <c r="W186" i="45"/>
  <c r="AQ186" i="45"/>
  <c r="J216" i="12" s="1"/>
  <c r="N380" i="46"/>
  <c r="L381" i="46"/>
  <c r="N381" i="46" s="1"/>
  <c r="DO181" i="29" l="1"/>
  <c r="DN182" i="29"/>
  <c r="V208" i="9"/>
  <c r="L216" i="12"/>
  <c r="N216" i="12" s="1"/>
  <c r="U531" i="45"/>
  <c r="U537" i="45"/>
  <c r="U350" i="45"/>
  <c r="T351" i="45"/>
  <c r="T532" i="45"/>
  <c r="W187" i="45"/>
  <c r="V188" i="45"/>
  <c r="AQ187" i="45"/>
  <c r="J217" i="12" s="1"/>
  <c r="W188" i="45" l="1"/>
  <c r="AQ188" i="45"/>
  <c r="J218" i="12" s="1"/>
  <c r="V209" i="9"/>
  <c r="X209" i="9" s="1"/>
  <c r="Z209" i="9" s="1"/>
  <c r="L217" i="12"/>
  <c r="N217" i="12" s="1"/>
  <c r="DN183" i="29"/>
  <c r="CR30" i="28" s="1"/>
  <c r="DO182" i="29"/>
  <c r="T533" i="45"/>
  <c r="T352" i="45"/>
  <c r="U351" i="45"/>
  <c r="U538" i="45"/>
  <c r="U532" i="45"/>
  <c r="U533" i="45" l="1"/>
  <c r="U539" i="45"/>
  <c r="DR180" i="29"/>
  <c r="CT30" i="28" s="1"/>
  <c r="DO183" i="29"/>
  <c r="DN184" i="29"/>
  <c r="DO184" i="29" s="1"/>
  <c r="L218" i="12"/>
  <c r="V210" i="9"/>
  <c r="T534" i="45"/>
  <c r="U352" i="45"/>
  <c r="T355" i="45"/>
  <c r="U540" i="45" l="1"/>
  <c r="U534" i="45"/>
  <c r="N218" i="12"/>
  <c r="L219" i="12"/>
  <c r="N219" i="12" s="1"/>
  <c r="DR181" i="29"/>
  <c r="CU30" i="28" s="1"/>
  <c r="DS180" i="29"/>
  <c r="U355" i="45"/>
  <c r="U361" i="45"/>
  <c r="T356" i="45"/>
  <c r="DS181" i="29" l="1"/>
  <c r="DR182" i="29"/>
  <c r="CV30" i="28" s="1"/>
  <c r="U356" i="45"/>
  <c r="T357" i="45"/>
  <c r="U362" i="45"/>
  <c r="DR183" i="29" l="1"/>
  <c r="DS182" i="29"/>
  <c r="DR184" i="29"/>
  <c r="DS184" i="29" s="1"/>
  <c r="U357" i="45"/>
  <c r="T358" i="45"/>
  <c r="U363" i="45"/>
  <c r="DS183" i="29" l="1"/>
  <c r="CW30" i="28"/>
  <c r="U364" i="45"/>
  <c r="U358" i="45"/>
  <c r="D187" i="46" l="1"/>
  <c r="H187" i="46" s="1"/>
  <c r="AF187" i="46" s="1"/>
  <c r="U187" i="46"/>
  <c r="AI187" i="46"/>
  <c r="AK187" i="46" s="1"/>
  <c r="W187" i="46" l="1"/>
  <c r="AM187" i="46"/>
  <c r="H370" i="46" l="1"/>
  <c r="AF370" i="46" s="1"/>
  <c r="U370" i="46"/>
  <c r="AI370" i="46"/>
  <c r="AK370" i="46" s="1"/>
  <c r="AM370" i="46" l="1"/>
  <c r="W370" i="46"/>
  <c r="R177" i="85" l="1"/>
  <c r="S208" i="12" l="1"/>
  <c r="D485" i="46"/>
  <c r="H485" i="46" s="1"/>
  <c r="AF485" i="46" s="1"/>
  <c r="U485" i="46"/>
  <c r="AI485" i="46"/>
  <c r="AK485" i="46" s="1"/>
  <c r="AM485" i="46" l="1"/>
  <c r="W485" i="46"/>
  <c r="U208" i="12"/>
  <c r="D208" i="12"/>
  <c r="H208" i="12" s="1"/>
  <c r="AI208" i="12"/>
  <c r="AK208" i="12" l="1"/>
  <c r="P208" i="12"/>
  <c r="AF208" i="12"/>
  <c r="W208" i="12"/>
  <c r="AM208" i="12" l="1"/>
  <c r="P43" i="89" l="1"/>
  <c r="Q43" i="89" s="1"/>
  <c r="BB237" i="47"/>
  <c r="AZ241" i="47"/>
  <c r="P47" i="89" s="1"/>
  <c r="T43" i="89" l="1"/>
  <c r="Q47" i="89"/>
  <c r="T47" i="89"/>
  <c r="BA241" i="47"/>
  <c r="AM61" i="40"/>
  <c r="AM62" i="40" l="1"/>
  <c r="BD237" i="47"/>
  <c r="U188" i="46" l="1"/>
  <c r="AI188" i="46"/>
  <c r="D188" i="46"/>
  <c r="H188" i="46" s="1"/>
  <c r="AF188" i="46" s="1"/>
  <c r="AK188" i="46" l="1"/>
  <c r="W188" i="46"/>
  <c r="AM188" i="46" l="1"/>
  <c r="U371" i="46" l="1"/>
  <c r="AI371" i="46"/>
  <c r="W371" i="46" l="1"/>
  <c r="AK371" i="46"/>
  <c r="D371" i="46"/>
  <c r="H371" i="46" s="1"/>
  <c r="AF371" i="46" s="1"/>
  <c r="AM371" i="46" l="1"/>
  <c r="U486" i="46" l="1"/>
  <c r="AI486" i="46"/>
  <c r="W486" i="46" l="1"/>
  <c r="AK486" i="46"/>
  <c r="AM486" i="46" l="1"/>
  <c r="S209" i="12"/>
  <c r="D486" i="46"/>
  <c r="H486" i="46" s="1"/>
  <c r="AF486" i="46" s="1"/>
  <c r="AI209" i="12" l="1"/>
  <c r="D209" i="12"/>
  <c r="H209" i="12" s="1"/>
  <c r="U209" i="12"/>
  <c r="W209" i="12" l="1"/>
  <c r="P209" i="12"/>
  <c r="AF209" i="12"/>
  <c r="AK209" i="12"/>
  <c r="AM209" i="12" l="1"/>
  <c r="H208" i="9" l="1"/>
  <c r="N208" i="9" s="1"/>
  <c r="AJ208" i="9" l="1"/>
  <c r="P209" i="9"/>
  <c r="J209" i="9"/>
  <c r="X208" i="9"/>
  <c r="Z208" i="9" s="1"/>
  <c r="H207" i="9" l="1"/>
  <c r="X207" i="9" s="1"/>
  <c r="Z207" i="9" s="1"/>
  <c r="J208" i="9" l="1"/>
  <c r="AJ207" i="9"/>
  <c r="N207" i="9"/>
  <c r="P208" i="9"/>
  <c r="AF195" i="46" l="1"/>
  <c r="D195" i="46"/>
  <c r="S195" i="46" s="1"/>
  <c r="D194" i="46"/>
  <c r="S194" i="46" s="1"/>
  <c r="AF194" i="46"/>
  <c r="AF377" i="46"/>
  <c r="AF378" i="46"/>
  <c r="D378" i="46"/>
  <c r="S378" i="46" s="1"/>
  <c r="D377" i="46"/>
  <c r="S377" i="46" s="1"/>
  <c r="AF492" i="46"/>
  <c r="AF493" i="46"/>
  <c r="D492" i="46"/>
  <c r="S492" i="46" s="1"/>
  <c r="D493" i="46"/>
  <c r="S493" i="46" s="1"/>
  <c r="K244" i="47"/>
  <c r="K245" i="47"/>
  <c r="AI493" i="46" l="1"/>
  <c r="AK493" i="46" s="1"/>
  <c r="AM493" i="46" s="1"/>
  <c r="AG245" i="47"/>
  <c r="U493" i="46"/>
  <c r="W493" i="46" s="1"/>
  <c r="AI492" i="46"/>
  <c r="AK492" i="46" s="1"/>
  <c r="AM492" i="46" s="1"/>
  <c r="AG244" i="47"/>
  <c r="U492" i="46"/>
  <c r="W492" i="46" s="1"/>
  <c r="W245" i="47"/>
  <c r="AC245" i="47" s="1"/>
  <c r="AI378" i="46"/>
  <c r="AK378" i="46" s="1"/>
  <c r="AM378" i="46" s="1"/>
  <c r="U378" i="46"/>
  <c r="W378" i="46" s="1"/>
  <c r="W244" i="47"/>
  <c r="AI377" i="46"/>
  <c r="U377" i="46"/>
  <c r="S216" i="12"/>
  <c r="E245" i="47"/>
  <c r="G245" i="47" s="1"/>
  <c r="AI195" i="46"/>
  <c r="AK195" i="46" s="1"/>
  <c r="AM195" i="46" s="1"/>
  <c r="U195" i="46"/>
  <c r="W195" i="46" s="1"/>
  <c r="S215" i="12"/>
  <c r="E244" i="47"/>
  <c r="R244" i="47" s="1"/>
  <c r="S244" i="47" s="1"/>
  <c r="AI194" i="46"/>
  <c r="U194" i="46"/>
  <c r="K248" i="47"/>
  <c r="AN63" i="40" s="1"/>
  <c r="DJ245" i="47" l="1"/>
  <c r="AH245" i="47"/>
  <c r="DJ244" i="47"/>
  <c r="AH244" i="47"/>
  <c r="AN64" i="40"/>
  <c r="AO63" i="40"/>
  <c r="AN11" i="40"/>
  <c r="R245" i="47"/>
  <c r="S245" i="47" s="1"/>
  <c r="AK377" i="46"/>
  <c r="W377" i="46"/>
  <c r="AC244" i="47"/>
  <c r="U216" i="12"/>
  <c r="W216" i="12" s="1"/>
  <c r="AI216" i="12"/>
  <c r="AK216" i="12" s="1"/>
  <c r="AM216" i="12" s="1"/>
  <c r="D216" i="12"/>
  <c r="H216" i="12" s="1"/>
  <c r="W194" i="46"/>
  <c r="AK194" i="46"/>
  <c r="G244" i="47"/>
  <c r="AI215" i="12"/>
  <c r="U215" i="12"/>
  <c r="D215" i="12"/>
  <c r="L248" i="47"/>
  <c r="DU99" i="37" s="1"/>
  <c r="AZ245" i="47"/>
  <c r="AZ244" i="47"/>
  <c r="AO11" i="40" l="1"/>
  <c r="AP63" i="40"/>
  <c r="AZ248" i="47"/>
  <c r="AN61" i="40" s="1"/>
  <c r="AM377" i="46"/>
  <c r="P216" i="12"/>
  <c r="AF216" i="12"/>
  <c r="AK215" i="12"/>
  <c r="W215" i="12"/>
  <c r="AM194" i="46"/>
  <c r="BC244" i="47"/>
  <c r="BE244" i="47" s="1"/>
  <c r="BC245" i="47"/>
  <c r="BE245" i="47" s="1"/>
  <c r="AP11" i="40" l="1"/>
  <c r="AV11" i="40" s="1"/>
  <c r="AQ63" i="40"/>
  <c r="AV63" i="40"/>
  <c r="BA248" i="47"/>
  <c r="AN62" i="40"/>
  <c r="AO61" i="40"/>
  <c r="AP61" i="40" s="1"/>
  <c r="AQ61" i="40" s="1"/>
  <c r="AR61" i="40" s="1"/>
  <c r="AM215" i="12"/>
  <c r="BI245" i="47"/>
  <c r="BF245" i="47"/>
  <c r="BF244" i="47"/>
  <c r="BI244" i="47"/>
  <c r="AQ11" i="40" l="1"/>
  <c r="AR63" i="40"/>
  <c r="AR11" i="40" s="1"/>
  <c r="HJ18" i="38"/>
  <c r="HJ17" i="38" s="1"/>
  <c r="HK17" i="38" s="1"/>
  <c r="DR11" i="29"/>
  <c r="HJ13" i="38"/>
  <c r="DR10" i="29"/>
  <c r="H244" i="47"/>
  <c r="AD244" i="47"/>
  <c r="BB244" i="47"/>
  <c r="AI244" i="47"/>
  <c r="U244" i="47"/>
  <c r="M244" i="47"/>
  <c r="BK244" i="47"/>
  <c r="BG244" i="47"/>
  <c r="BB245" i="47"/>
  <c r="U245" i="47"/>
  <c r="AI245" i="47"/>
  <c r="AD245" i="47"/>
  <c r="M245" i="47"/>
  <c r="BK245" i="47"/>
  <c r="H245" i="47"/>
  <c r="BG245" i="47"/>
  <c r="CU8" i="28" l="1"/>
  <c r="CU39" i="28" s="1"/>
  <c r="CT8" i="28"/>
  <c r="CT46" i="28" s="1"/>
  <c r="HJ16" i="38"/>
  <c r="HK16" i="38" s="1"/>
  <c r="HK18" i="38"/>
  <c r="HJ15" i="38"/>
  <c r="HK15" i="38" s="1"/>
  <c r="D208" i="9"/>
  <c r="L208" i="9" s="1"/>
  <c r="DT199" i="29"/>
  <c r="DS81" i="29"/>
  <c r="DS71" i="29"/>
  <c r="DS11" i="29"/>
  <c r="D207" i="9"/>
  <c r="L207" i="9" s="1"/>
  <c r="DS80" i="29"/>
  <c r="DS70" i="29"/>
  <c r="DS10" i="29"/>
  <c r="M5" i="100" s="1"/>
  <c r="M6" i="100" s="1"/>
  <c r="DT198" i="29"/>
  <c r="HJ12" i="38"/>
  <c r="HK13" i="38"/>
  <c r="CT244" i="47"/>
  <c r="CT245" i="47"/>
  <c r="CU46" i="28" l="1"/>
  <c r="CT39" i="28"/>
  <c r="HK12" i="38"/>
  <c r="CU244" i="47"/>
  <c r="CU245" i="47"/>
  <c r="DA245" i="47" l="1"/>
  <c r="DA244" i="47"/>
  <c r="DB244" i="47" l="1"/>
  <c r="DB245" i="47"/>
  <c r="BJ244" i="47" l="1"/>
  <c r="F215" i="12"/>
  <c r="DT15" i="29"/>
  <c r="H215" i="12" l="1"/>
  <c r="DT21" i="29"/>
  <c r="DT20" i="29"/>
  <c r="DR21" i="29"/>
  <c r="DR20" i="29"/>
  <c r="CU10" i="28" l="1"/>
  <c r="CU13" i="28" s="1"/>
  <c r="CU36" i="28" s="1"/>
  <c r="DS40" i="29"/>
  <c r="CT10" i="28"/>
  <c r="CT13" i="28" s="1"/>
  <c r="F207" i="9"/>
  <c r="AF215" i="12"/>
  <c r="P215" i="12"/>
  <c r="F208" i="9"/>
  <c r="AM208" i="9" s="1"/>
  <c r="DS41" i="29"/>
  <c r="DS51" i="29"/>
  <c r="DR25" i="29"/>
  <c r="DS45" i="29" s="1"/>
  <c r="DS50" i="29"/>
  <c r="CT36" i="28" l="1"/>
  <c r="R208" i="9"/>
  <c r="T207" i="9"/>
  <c r="DS25" i="29"/>
  <c r="DS55" i="29"/>
  <c r="DR31" i="29"/>
  <c r="DR61" i="29" s="1"/>
  <c r="DR30" i="29"/>
  <c r="DR60" i="29" l="1"/>
  <c r="DZ30" i="29"/>
  <c r="CT14" i="28"/>
  <c r="CT48" i="28" s="1"/>
  <c r="DR111" i="29"/>
  <c r="DR121" i="29" s="1"/>
  <c r="CU14" i="28"/>
  <c r="DR35" i="29"/>
  <c r="DT35" i="29" s="1"/>
  <c r="DT31" i="29"/>
  <c r="DZ31" i="29"/>
  <c r="DX244" i="47"/>
  <c r="DT30" i="29"/>
  <c r="CT17" i="28" l="1"/>
  <c r="CT49" i="28" s="1"/>
  <c r="CT37" i="28"/>
  <c r="DS61" i="29"/>
  <c r="DR131" i="29"/>
  <c r="DS131" i="29" s="1"/>
  <c r="CU23" i="28"/>
  <c r="DT61" i="29"/>
  <c r="DX245" i="47"/>
  <c r="DR210" i="29"/>
  <c r="DR220" i="29" s="1"/>
  <c r="CU37" i="28"/>
  <c r="CU48" i="28"/>
  <c r="CU17" i="28"/>
  <c r="DY244" i="47"/>
  <c r="DZ244" i="47"/>
  <c r="DT244" i="47"/>
  <c r="CT32" i="28"/>
  <c r="DS35" i="29"/>
  <c r="DS111" i="29"/>
  <c r="DT111" i="29"/>
  <c r="DT60" i="29"/>
  <c r="DS60" i="29"/>
  <c r="DR65" i="29"/>
  <c r="DR110" i="29"/>
  <c r="DR120" i="29" s="1"/>
  <c r="CT23" i="28" s="1"/>
  <c r="DR209" i="29"/>
  <c r="CT21" i="28" l="1"/>
  <c r="CT38" i="28"/>
  <c r="CT41" i="28"/>
  <c r="CT82" i="28" s="1"/>
  <c r="DS210" i="29"/>
  <c r="DR141" i="29"/>
  <c r="DS141" i="29" s="1"/>
  <c r="CU32" i="28"/>
  <c r="CU21" i="28"/>
  <c r="CU41" i="28" s="1"/>
  <c r="CU82" i="28" s="1"/>
  <c r="CU38" i="28"/>
  <c r="CU49" i="28"/>
  <c r="DY245" i="47"/>
  <c r="DZ245" i="47"/>
  <c r="DT245" i="47"/>
  <c r="CT43" i="28"/>
  <c r="CT51" i="28"/>
  <c r="CT40" i="28"/>
  <c r="CT25" i="28"/>
  <c r="CT42" i="28" s="1"/>
  <c r="EB244" i="47"/>
  <c r="DP244" i="47"/>
  <c r="DQ244" i="47" s="1"/>
  <c r="DV244" i="47"/>
  <c r="DR125" i="29"/>
  <c r="DS209" i="29"/>
  <c r="DR214" i="29"/>
  <c r="DS214" i="29" s="1"/>
  <c r="DR219" i="29"/>
  <c r="DR115" i="29"/>
  <c r="DT110" i="29"/>
  <c r="DR130" i="29"/>
  <c r="DS110" i="29"/>
  <c r="DT65" i="29"/>
  <c r="DS65" i="29"/>
  <c r="DR230" i="29"/>
  <c r="DS230" i="29" s="1"/>
  <c r="DS220" i="29"/>
  <c r="CU27" i="28" l="1"/>
  <c r="CU50" i="28" s="1"/>
  <c r="DV245" i="47"/>
  <c r="DP245" i="47"/>
  <c r="DQ245" i="47" s="1"/>
  <c r="EB245" i="47"/>
  <c r="CU43" i="28"/>
  <c r="CU51" i="28"/>
  <c r="CU25" i="28"/>
  <c r="CU42" i="28" s="1"/>
  <c r="CU40" i="28"/>
  <c r="DT115" i="29"/>
  <c r="DS125" i="29"/>
  <c r="DS115" i="29"/>
  <c r="DS130" i="29"/>
  <c r="DR135" i="29"/>
  <c r="DS135" i="29" s="1"/>
  <c r="DR140" i="29"/>
  <c r="CT27" i="28" s="1"/>
  <c r="CT50" i="28" s="1"/>
  <c r="DR229" i="29"/>
  <c r="DS219" i="29"/>
  <c r="DR224" i="29"/>
  <c r="DS224" i="29" s="1"/>
  <c r="DS229" i="29" l="1"/>
  <c r="DR145" i="29"/>
  <c r="DS145" i="29" s="1"/>
  <c r="DS140" i="29"/>
  <c r="U45" i="89" l="1"/>
  <c r="BC239" i="47"/>
  <c r="BD239" i="47" s="1"/>
  <c r="BI239" i="47"/>
  <c r="BK239" i="47" s="1"/>
  <c r="DV239" i="47"/>
  <c r="BE241" i="47"/>
  <c r="BF241" i="47" s="1"/>
  <c r="AM12" i="40" l="1"/>
  <c r="AM24" i="40" s="1"/>
  <c r="AM25" i="40" s="1"/>
  <c r="HD23" i="38"/>
  <c r="HE23" i="38" s="1"/>
  <c r="BG239" i="47"/>
  <c r="AD239" i="47"/>
  <c r="BB239" i="47"/>
  <c r="DZ239" i="47"/>
  <c r="U47" i="89"/>
  <c r="DV241" i="47"/>
  <c r="BC246" i="47"/>
  <c r="BC241" i="47"/>
  <c r="BD241" i="47" s="1"/>
  <c r="AI239" i="47"/>
  <c r="U239" i="47"/>
  <c r="M239" i="47"/>
  <c r="H239" i="47"/>
  <c r="AM36" i="40" l="1"/>
  <c r="AM37" i="40" s="1"/>
  <c r="JB20" i="38"/>
  <c r="JC20" i="38" s="1"/>
  <c r="JB21" i="38"/>
  <c r="JC21" i="38" s="1"/>
  <c r="BE246" i="47"/>
  <c r="BC248" i="47"/>
  <c r="BD248" i="47" s="1"/>
  <c r="JB22" i="38" l="1"/>
  <c r="JB23" i="38" s="1"/>
  <c r="JC22" i="38"/>
  <c r="JC23" i="38" s="1"/>
  <c r="BE248" i="47"/>
  <c r="BF246" i="47"/>
  <c r="BF248" i="47" l="1"/>
  <c r="AN12" i="40"/>
  <c r="AO12" i="40" l="1"/>
  <c r="AP12" i="40" l="1"/>
  <c r="AQ12" i="40" l="1"/>
  <c r="AV12" i="40"/>
  <c r="AR12" i="40" l="1"/>
  <c r="D189" i="46" l="1"/>
  <c r="H189" i="46" s="1"/>
  <c r="AF189" i="46" s="1"/>
  <c r="U189" i="46"/>
  <c r="AI189" i="46"/>
  <c r="S196" i="46"/>
  <c r="E246" i="47" s="1"/>
  <c r="W189" i="46" l="1"/>
  <c r="G246" i="47"/>
  <c r="AI196" i="46"/>
  <c r="U196" i="46"/>
  <c r="R246" i="47"/>
  <c r="AK189" i="46"/>
  <c r="AK196" i="46" l="1"/>
  <c r="W196" i="46"/>
  <c r="S246" i="47"/>
  <c r="CT246" i="47"/>
  <c r="AM189" i="46"/>
  <c r="AM196" i="46" l="1"/>
  <c r="F241" i="47"/>
  <c r="X6" i="85"/>
  <c r="CU246" i="47"/>
  <c r="T241" i="47" l="1"/>
  <c r="D372" i="46" l="1"/>
  <c r="H372" i="46" s="1"/>
  <c r="AF372" i="46" s="1"/>
  <c r="U372" i="46"/>
  <c r="AI372" i="46"/>
  <c r="AK372" i="46" s="1"/>
  <c r="S379" i="46"/>
  <c r="U379" i="46" s="1"/>
  <c r="W372" i="46" l="1"/>
  <c r="AM372" i="46"/>
  <c r="W379" i="46"/>
  <c r="W246" i="47"/>
  <c r="AI379" i="46"/>
  <c r="AB241" i="47" l="1"/>
  <c r="X7" i="85"/>
  <c r="DX53" i="37"/>
  <c r="DA246" i="47"/>
  <c r="AC246" i="47"/>
  <c r="AK379" i="46"/>
  <c r="AM379" i="46" l="1"/>
  <c r="DB246" i="47"/>
  <c r="S210" i="12" l="1"/>
  <c r="U210" i="12" s="1"/>
  <c r="D487" i="46"/>
  <c r="H487" i="46" s="1"/>
  <c r="AF487" i="46" s="1"/>
  <c r="U487" i="46"/>
  <c r="AI487" i="46"/>
  <c r="AK487" i="46"/>
  <c r="S494" i="46"/>
  <c r="AG246" i="47" s="1"/>
  <c r="U494" i="46" l="1"/>
  <c r="W494" i="46" s="1"/>
  <c r="D210" i="12"/>
  <c r="H210" i="12" s="1"/>
  <c r="AM487" i="46"/>
  <c r="W487" i="46"/>
  <c r="W210" i="12"/>
  <c r="AH246" i="47"/>
  <c r="DJ246" i="47"/>
  <c r="BI246" i="47"/>
  <c r="K47" i="89"/>
  <c r="L47" i="89" s="1"/>
  <c r="AH241" i="47"/>
  <c r="DJ241" i="47"/>
  <c r="BI241" i="47"/>
  <c r="AI241" i="47" s="1"/>
  <c r="AM10" i="40"/>
  <c r="AM13" i="40" s="1"/>
  <c r="AM14" i="40" s="1"/>
  <c r="S217" i="12"/>
  <c r="AI494" i="46"/>
  <c r="AI210" i="12"/>
  <c r="BJ241" i="47" l="1"/>
  <c r="X5" i="85"/>
  <c r="AM39" i="40"/>
  <c r="P38" i="85" s="1"/>
  <c r="AK494" i="46"/>
  <c r="HJ23" i="38"/>
  <c r="DR12" i="29"/>
  <c r="U246" i="47"/>
  <c r="AD246" i="47"/>
  <c r="BB246" i="47"/>
  <c r="BK246" i="47"/>
  <c r="H246" i="47"/>
  <c r="BG246" i="47"/>
  <c r="M246" i="47"/>
  <c r="AF210" i="12"/>
  <c r="P210" i="12"/>
  <c r="U217" i="12"/>
  <c r="D217" i="12"/>
  <c r="H217" i="12" s="1"/>
  <c r="AI217" i="12"/>
  <c r="U241" i="47"/>
  <c r="AD241" i="47"/>
  <c r="BK241" i="47"/>
  <c r="BB241" i="47"/>
  <c r="BG241" i="47"/>
  <c r="DN14" i="29"/>
  <c r="DZ241" i="47"/>
  <c r="M241" i="47"/>
  <c r="H241" i="47"/>
  <c r="AI246" i="47"/>
  <c r="AK210" i="12"/>
  <c r="P78" i="85" l="1"/>
  <c r="P120" i="85"/>
  <c r="AM41" i="40"/>
  <c r="DW20" i="29"/>
  <c r="DW22" i="29"/>
  <c r="DX22" i="29" s="1"/>
  <c r="DW21" i="29"/>
  <c r="DX21" i="29" s="1"/>
  <c r="DW23" i="29"/>
  <c r="DX23" i="29" s="1"/>
  <c r="DT47" i="28"/>
  <c r="AC9" i="20"/>
  <c r="AK217" i="12"/>
  <c r="P217" i="12"/>
  <c r="AF217" i="12"/>
  <c r="HJ20" i="38"/>
  <c r="HK20" i="38" s="1"/>
  <c r="HJ21" i="38"/>
  <c r="HK21" i="38" s="1"/>
  <c r="HJ22" i="38"/>
  <c r="HK22" i="38" s="1"/>
  <c r="HK23" i="38"/>
  <c r="AM210" i="12"/>
  <c r="P176" i="85"/>
  <c r="P174" i="85" s="1"/>
  <c r="AM494" i="46"/>
  <c r="DO213" i="29"/>
  <c r="D204" i="9"/>
  <c r="L204" i="9" s="1"/>
  <c r="DO14" i="29"/>
  <c r="X3" i="85" s="1"/>
  <c r="X4" i="85" s="1"/>
  <c r="AC7" i="20"/>
  <c r="DO24" i="29"/>
  <c r="DP24" i="29" s="1"/>
  <c r="DO34" i="29"/>
  <c r="X12" i="85" s="1"/>
  <c r="DO64" i="29"/>
  <c r="X20" i="85" s="1"/>
  <c r="DO74" i="29"/>
  <c r="DO114" i="29"/>
  <c r="DP202" i="29"/>
  <c r="DO84" i="29"/>
  <c r="W217" i="12"/>
  <c r="DT16" i="29"/>
  <c r="D209" i="9"/>
  <c r="L209" i="9" s="1"/>
  <c r="DS12" i="29"/>
  <c r="DR22" i="29"/>
  <c r="DR62" i="29" s="1"/>
  <c r="DR32" i="29"/>
  <c r="DS72" i="29"/>
  <c r="CV8" i="28"/>
  <c r="DT200" i="29"/>
  <c r="DS82" i="29"/>
  <c r="AC22" i="20" l="1"/>
  <c r="AC14" i="20"/>
  <c r="X9" i="85"/>
  <c r="DX20" i="29"/>
  <c r="DX24" i="29" s="1"/>
  <c r="P177" i="85"/>
  <c r="P175" i="85"/>
  <c r="BG76" i="17"/>
  <c r="C4" i="99"/>
  <c r="C14" i="99" s="1"/>
  <c r="P6" i="85"/>
  <c r="AC44" i="20"/>
  <c r="AC8" i="20"/>
  <c r="C5" i="99" s="1"/>
  <c r="AC37" i="20"/>
  <c r="AC32" i="20"/>
  <c r="AC20" i="20"/>
  <c r="AC41" i="20"/>
  <c r="DT8" i="28"/>
  <c r="AC28" i="20"/>
  <c r="DT16" i="28" s="1"/>
  <c r="AC35" i="20"/>
  <c r="DS52" i="29"/>
  <c r="CV10" i="28"/>
  <c r="CV13" i="28" s="1"/>
  <c r="DS42" i="29"/>
  <c r="DR26" i="29"/>
  <c r="F209" i="9"/>
  <c r="AM217" i="12"/>
  <c r="CV46" i="28"/>
  <c r="CV39" i="28"/>
  <c r="DR36" i="29"/>
  <c r="DZ32" i="29"/>
  <c r="CV14" i="28"/>
  <c r="DT32" i="29"/>
  <c r="BG81" i="17" l="1"/>
  <c r="BI81" i="17" s="1"/>
  <c r="BK81" i="17" s="1"/>
  <c r="BM81" i="17" s="1"/>
  <c r="BO81" i="17" s="1"/>
  <c r="BQ81" i="17" s="1"/>
  <c r="BG82" i="17"/>
  <c r="P47" i="85"/>
  <c r="P89" i="85"/>
  <c r="DR211" i="29"/>
  <c r="DR215" i="29" s="1"/>
  <c r="DS215" i="29" s="1"/>
  <c r="DX246" i="47"/>
  <c r="DY246" i="47" s="1"/>
  <c r="DR112" i="29"/>
  <c r="DR116" i="29" s="1"/>
  <c r="DT62" i="29"/>
  <c r="DS62" i="29"/>
  <c r="DR66" i="29"/>
  <c r="DS66" i="29" s="1"/>
  <c r="R209" i="9"/>
  <c r="T208" i="9"/>
  <c r="AM209" i="9"/>
  <c r="P11" i="85"/>
  <c r="P32" i="85"/>
  <c r="P37" i="85"/>
  <c r="BG70" i="17"/>
  <c r="CV48" i="28"/>
  <c r="CV37" i="28"/>
  <c r="DS26" i="29"/>
  <c r="DS56" i="29"/>
  <c r="DS46" i="29"/>
  <c r="DS36" i="29"/>
  <c r="DT36" i="29"/>
  <c r="CV36" i="28"/>
  <c r="CV17" i="28"/>
  <c r="BG71" i="17"/>
  <c r="C6" i="99"/>
  <c r="AC98" i="20"/>
  <c r="AC77" i="20"/>
  <c r="AC78" i="20" s="1"/>
  <c r="AM43" i="40"/>
  <c r="AM44" i="40" s="1"/>
  <c r="AC38" i="20"/>
  <c r="AC50" i="20"/>
  <c r="DT39" i="28"/>
  <c r="DT46" i="28"/>
  <c r="DT37" i="28"/>
  <c r="DT13" i="28"/>
  <c r="AC15" i="20"/>
  <c r="AC12" i="20" s="1"/>
  <c r="P83" i="85" l="1"/>
  <c r="P84" i="85" s="1"/>
  <c r="P125" i="85"/>
  <c r="P126" i="85" s="1"/>
  <c r="P119" i="85"/>
  <c r="P93" i="85"/>
  <c r="P114" i="85"/>
  <c r="P165" i="85" s="1"/>
  <c r="P51" i="85"/>
  <c r="P77" i="85"/>
  <c r="P72" i="85"/>
  <c r="P163" i="85" s="1"/>
  <c r="DS211" i="29"/>
  <c r="DT246" i="47"/>
  <c r="DZ246" i="47"/>
  <c r="DR122" i="29"/>
  <c r="DR221" i="29" s="1"/>
  <c r="DS112" i="29"/>
  <c r="DT66" i="29"/>
  <c r="DT112" i="29"/>
  <c r="DT36" i="28"/>
  <c r="DT17" i="28"/>
  <c r="C7" i="99"/>
  <c r="C9" i="99"/>
  <c r="C10" i="99" s="1"/>
  <c r="P31" i="85"/>
  <c r="P14" i="85"/>
  <c r="AC54" i="20"/>
  <c r="DT82" i="28" s="1"/>
  <c r="AC56" i="20"/>
  <c r="AC51" i="20"/>
  <c r="CM54" i="28"/>
  <c r="CV21" i="28"/>
  <c r="CV38" i="28"/>
  <c r="CV32" i="28"/>
  <c r="CV49" i="28"/>
  <c r="P164" i="85"/>
  <c r="P162" i="85" s="1"/>
  <c r="DS116" i="29"/>
  <c r="DT116" i="29"/>
  <c r="P185" i="85" l="1"/>
  <c r="P183" i="85" s="1"/>
  <c r="P173" i="85" s="1"/>
  <c r="P131" i="85" s="1"/>
  <c r="P136" i="85" s="1"/>
  <c r="P178" i="85" s="1"/>
  <c r="P54" i="85"/>
  <c r="P71" i="85"/>
  <c r="P159" i="85" s="1"/>
  <c r="P96" i="85"/>
  <c r="P113" i="85"/>
  <c r="P161" i="85" s="1"/>
  <c r="DP246" i="47"/>
  <c r="DQ246" i="47" s="1"/>
  <c r="DV246" i="47"/>
  <c r="DS221" i="29"/>
  <c r="DR231" i="29"/>
  <c r="DS231" i="29" s="1"/>
  <c r="DR225" i="29"/>
  <c r="DS225" i="29" s="1"/>
  <c r="DR132" i="29"/>
  <c r="DR142" i="29" s="1"/>
  <c r="DR146" i="29" s="1"/>
  <c r="DS146" i="29" s="1"/>
  <c r="EB246" i="47"/>
  <c r="CV23" i="28"/>
  <c r="CV41" i="28" s="1"/>
  <c r="CV82" i="28" s="1"/>
  <c r="DR126" i="29"/>
  <c r="DS126" i="29" s="1"/>
  <c r="CV51" i="28"/>
  <c r="CV43" i="28"/>
  <c r="P18" i="85"/>
  <c r="P40" i="85"/>
  <c r="P182" i="85" s="1"/>
  <c r="P33" i="85"/>
  <c r="P28" i="85"/>
  <c r="P42" i="85" s="1"/>
  <c r="CV40" i="28"/>
  <c r="Q175" i="85"/>
  <c r="BF31" i="22"/>
  <c r="BG39" i="17"/>
  <c r="BG46" i="17" s="1"/>
  <c r="CM55" i="28"/>
  <c r="AC57" i="20"/>
  <c r="AC80" i="20"/>
  <c r="BF8" i="22" s="1"/>
  <c r="AC62" i="20"/>
  <c r="AC63" i="20" s="1"/>
  <c r="AC59" i="20"/>
  <c r="AC60" i="20" s="1"/>
  <c r="C11" i="99"/>
  <c r="P160" i="85"/>
  <c r="P158" i="85" s="1"/>
  <c r="P135" i="85" s="1"/>
  <c r="P203" i="9"/>
  <c r="J203" i="9"/>
  <c r="AJ203" i="9"/>
  <c r="N203" i="9"/>
  <c r="X203" i="9"/>
  <c r="J207" i="9"/>
  <c r="P207" i="9"/>
  <c r="DT38" i="28"/>
  <c r="DT21" i="28"/>
  <c r="DT32" i="28"/>
  <c r="DT49" i="28"/>
  <c r="P110" i="85" l="1"/>
  <c r="P124" i="85" s="1"/>
  <c r="P122" i="85"/>
  <c r="P100" i="85"/>
  <c r="P115" i="85"/>
  <c r="P58" i="85"/>
  <c r="P68" i="85"/>
  <c r="P82" i="85" s="1"/>
  <c r="P80" i="85"/>
  <c r="P73" i="85"/>
  <c r="DR235" i="29"/>
  <c r="DS235" i="29" s="1"/>
  <c r="DR136" i="29"/>
  <c r="DS136" i="29" s="1"/>
  <c r="DS142" i="29"/>
  <c r="DS132" i="29"/>
  <c r="CV27" i="28"/>
  <c r="CV50" i="28" s="1"/>
  <c r="CV25" i="28"/>
  <c r="CV42" i="28" s="1"/>
  <c r="P138" i="85"/>
  <c r="P179" i="85" s="1"/>
  <c r="C17" i="99"/>
  <c r="C18" i="99" s="1"/>
  <c r="C21" i="99" s="1"/>
  <c r="C25" i="99" s="1"/>
  <c r="BF33" i="22"/>
  <c r="AC83" i="20"/>
  <c r="AC84" i="20" s="1"/>
  <c r="AC81" i="20"/>
  <c r="Z203" i="9"/>
  <c r="R207" i="9"/>
  <c r="AM207" i="9"/>
  <c r="DT40" i="28"/>
  <c r="DT25" i="28"/>
  <c r="DT41" i="28"/>
  <c r="DT51" i="28"/>
  <c r="DT43" i="28"/>
  <c r="AM203" i="9"/>
  <c r="J204" i="9"/>
  <c r="R203" i="9"/>
  <c r="P23" i="85"/>
  <c r="P25" i="85" s="1"/>
  <c r="P41" i="85" s="1"/>
  <c r="P34" i="85"/>
  <c r="P184" i="85"/>
  <c r="P186" i="85"/>
  <c r="P63" i="85" l="1"/>
  <c r="P65" i="85" s="1"/>
  <c r="P81" i="85" s="1"/>
  <c r="P74" i="85"/>
  <c r="P168" i="85" s="1"/>
  <c r="P105" i="85"/>
  <c r="P107" i="85" s="1"/>
  <c r="P123" i="85" s="1"/>
  <c r="P116" i="85"/>
  <c r="P170" i="85" s="1"/>
  <c r="P166" i="85"/>
  <c r="P155" i="85"/>
  <c r="P181" i="85" s="1"/>
  <c r="P142" i="85"/>
  <c r="DT27" i="28"/>
  <c r="DT50" i="28" s="1"/>
  <c r="DT42" i="28"/>
  <c r="BF17" i="22"/>
  <c r="BF35" i="22" s="1"/>
  <c r="BF56" i="22" s="1"/>
  <c r="BG79" i="17"/>
  <c r="P169" i="85"/>
  <c r="P167" i="85" s="1"/>
  <c r="AM204" i="9"/>
  <c r="R204" i="9"/>
  <c r="P144" i="85" l="1"/>
  <c r="P147" i="85" s="1"/>
  <c r="P149" i="85" s="1"/>
  <c r="P180" i="85" s="1"/>
  <c r="BG57" i="17"/>
  <c r="BF59" i="22"/>
  <c r="BG9" i="17"/>
  <c r="BF57" i="22"/>
  <c r="BH55" i="22" s="1"/>
  <c r="BG59" i="17" l="1"/>
  <c r="CM56" i="28"/>
  <c r="CM57" i="28"/>
  <c r="BG91" i="17"/>
  <c r="BG13" i="17"/>
  <c r="BG28" i="17" s="1"/>
  <c r="BG87" i="17" l="1"/>
  <c r="H190" i="46"/>
  <c r="AF190" i="46" s="1"/>
  <c r="U190" i="46"/>
  <c r="W190" i="46" s="1"/>
  <c r="AI190" i="46"/>
  <c r="AK190" i="46"/>
  <c r="AM190" i="46" s="1"/>
  <c r="S191" i="46"/>
  <c r="F191" i="46" s="1"/>
  <c r="AM90" i="40" s="1"/>
  <c r="AM97" i="40" s="1"/>
  <c r="AI191" i="46"/>
  <c r="S197" i="46"/>
  <c r="D191" i="46" l="1"/>
  <c r="H191" i="46" s="1"/>
  <c r="AF191" i="46" s="1"/>
  <c r="AK191" i="46"/>
  <c r="AM191" i="46" s="1"/>
  <c r="BN63" i="40"/>
  <c r="AI197" i="46"/>
  <c r="U191" i="46"/>
  <c r="W191" i="46" s="1"/>
  <c r="E247" i="47"/>
  <c r="S198" i="46"/>
  <c r="U197" i="46"/>
  <c r="F198" i="46" l="1"/>
  <c r="D198" i="46"/>
  <c r="AK197" i="46"/>
  <c r="AI198" i="46"/>
  <c r="BN83" i="40"/>
  <c r="BN87" i="40" s="1"/>
  <c r="BN67" i="40"/>
  <c r="G247" i="47"/>
  <c r="R247" i="47"/>
  <c r="E248" i="47"/>
  <c r="W197" i="46"/>
  <c r="U198" i="46"/>
  <c r="W198" i="46" s="1"/>
  <c r="H198" i="46" l="1"/>
  <c r="AF198" i="46" s="1"/>
  <c r="G248" i="47"/>
  <c r="AN59" i="40"/>
  <c r="R248" i="47"/>
  <c r="S247" i="47"/>
  <c r="CT247" i="47"/>
  <c r="AM197" i="46"/>
  <c r="AK198" i="46"/>
  <c r="AM198" i="46" s="1"/>
  <c r="DU30" i="37"/>
  <c r="AN90" i="40"/>
  <c r="BO63" i="40" s="1"/>
  <c r="BO67" i="40" l="1"/>
  <c r="BP60" i="40" s="1"/>
  <c r="BO83" i="40"/>
  <c r="BO87" i="40" s="1"/>
  <c r="F248" i="47"/>
  <c r="DV30" i="37"/>
  <c r="DU73" i="28"/>
  <c r="AN75" i="40"/>
  <c r="AN102" i="40"/>
  <c r="AN60" i="40"/>
  <c r="AN97" i="40" s="1"/>
  <c r="AN87" i="40"/>
  <c r="S248" i="47"/>
  <c r="CT248" i="47"/>
  <c r="CU247" i="47"/>
  <c r="BP72" i="40" l="1"/>
  <c r="AN76" i="40"/>
  <c r="AN88" i="40"/>
  <c r="DU72" i="28"/>
  <c r="Z6" i="85"/>
  <c r="T248" i="47"/>
  <c r="BP63" i="40"/>
  <c r="BP86" i="40"/>
  <c r="CU248" i="47"/>
  <c r="CV248" i="47"/>
  <c r="Z35" i="85" s="1"/>
  <c r="BP83" i="40" l="1"/>
  <c r="BP64" i="40"/>
  <c r="BP74" i="40"/>
  <c r="BP65" i="40" s="1"/>
  <c r="BP11" i="40" l="1"/>
  <c r="BP84" i="40"/>
  <c r="BP12" i="40"/>
  <c r="BP85" i="40"/>
  <c r="BP67" i="40"/>
  <c r="BP87" i="40" l="1"/>
  <c r="AO59" i="40"/>
  <c r="BQ60" i="40"/>
  <c r="BQ63" i="40" l="1"/>
  <c r="BQ86" i="40"/>
  <c r="DV73" i="28"/>
  <c r="AO87" i="40"/>
  <c r="AO75" i="40"/>
  <c r="AO60" i="40"/>
  <c r="AO97" i="40" s="1"/>
  <c r="AO102" i="40"/>
  <c r="AO76" i="40" l="1"/>
  <c r="BQ72" i="40"/>
  <c r="AO88" i="40"/>
  <c r="DV72" i="28"/>
  <c r="BQ83" i="40"/>
  <c r="BQ74" i="40" l="1"/>
  <c r="BQ65" i="40" s="1"/>
  <c r="BQ85" i="40" s="1"/>
  <c r="BQ64" i="40"/>
  <c r="BQ84" i="40" l="1"/>
  <c r="BQ87" i="40" s="1"/>
  <c r="BQ67" i="40"/>
  <c r="AP59" i="40" l="1"/>
  <c r="BR60" i="40"/>
  <c r="AP102" i="40" l="1"/>
  <c r="AV59" i="40"/>
  <c r="AP87" i="40"/>
  <c r="DW73" i="28"/>
  <c r="AP60" i="40"/>
  <c r="AP97" i="40" s="1"/>
  <c r="AP75" i="40"/>
  <c r="BR63" i="40"/>
  <c r="BR83" i="40" s="1"/>
  <c r="BR86" i="40"/>
  <c r="AP76" i="40" l="1"/>
  <c r="BR72" i="40"/>
  <c r="AP88" i="40"/>
  <c r="DW72" i="28"/>
  <c r="AV87" i="40"/>
  <c r="BR64" i="40" l="1"/>
  <c r="BR74" i="40"/>
  <c r="BR65" i="40" s="1"/>
  <c r="BR85" i="40" s="1"/>
  <c r="BR84" i="40" l="1"/>
  <c r="BR87" i="40" s="1"/>
  <c r="BR67" i="40"/>
  <c r="AQ59" i="40" l="1"/>
  <c r="BS60" i="40"/>
  <c r="BS63" i="40" l="1"/>
  <c r="BS86" i="40"/>
  <c r="AQ87" i="40"/>
  <c r="AQ88" i="40" s="1"/>
  <c r="AQ102" i="40"/>
  <c r="AQ75" i="40"/>
  <c r="AQ60" i="40"/>
  <c r="AQ97" i="40" s="1"/>
  <c r="AQ76" i="40" l="1"/>
  <c r="BS72" i="40"/>
  <c r="BS83" i="40"/>
  <c r="BS74" i="40" l="1"/>
  <c r="BS65" i="40" s="1"/>
  <c r="BS85" i="40" s="1"/>
  <c r="BS64" i="40"/>
  <c r="BS84" i="40" l="1"/>
  <c r="BS87" i="40" s="1"/>
  <c r="BS67" i="40"/>
  <c r="AR59" i="40" s="1"/>
  <c r="AR60" i="40" l="1"/>
  <c r="AR97" i="40" s="1"/>
  <c r="AR75" i="40"/>
  <c r="AR76" i="40" s="1"/>
  <c r="AR87" i="40"/>
  <c r="AR88" i="40" s="1"/>
  <c r="AR102" i="40"/>
  <c r="AF373" i="46"/>
  <c r="U373" i="46"/>
  <c r="W373" i="46" s="1"/>
  <c r="AI373" i="46"/>
  <c r="AK373" i="46" s="1"/>
  <c r="S374" i="46"/>
  <c r="F374" i="46" s="1"/>
  <c r="AM138" i="40" s="1"/>
  <c r="AI374" i="46"/>
  <c r="S380" i="46"/>
  <c r="S381" i="46" s="1"/>
  <c r="F381" i="46" s="1"/>
  <c r="W247" i="47" l="1"/>
  <c r="DA247" i="47" s="1"/>
  <c r="DA248" i="47" s="1"/>
  <c r="DB248" i="47" s="1"/>
  <c r="D374" i="46"/>
  <c r="H374" i="46" s="1"/>
  <c r="U374" i="46"/>
  <c r="W374" i="46" s="1"/>
  <c r="D381" i="46"/>
  <c r="H381" i="46" s="1"/>
  <c r="AK374" i="46"/>
  <c r="AM374" i="46" s="1"/>
  <c r="AM373" i="46"/>
  <c r="P374" i="46"/>
  <c r="AF374" i="46"/>
  <c r="DU53" i="37"/>
  <c r="DV53" i="37" s="1"/>
  <c r="AN138" i="40"/>
  <c r="BN115" i="40"/>
  <c r="AM144" i="40"/>
  <c r="BN128" i="40" s="1"/>
  <c r="AI380" i="46"/>
  <c r="W248" i="47"/>
  <c r="U380" i="46"/>
  <c r="AC247" i="47" l="1"/>
  <c r="DB247" i="47"/>
  <c r="DC248" i="47"/>
  <c r="Z37" i="85" s="1"/>
  <c r="AI381" i="46"/>
  <c r="AK380" i="46"/>
  <c r="P381" i="46"/>
  <c r="AF381" i="46"/>
  <c r="Z7" i="85"/>
  <c r="DY53" i="37"/>
  <c r="AB248" i="47"/>
  <c r="W380" i="46"/>
  <c r="U381" i="46"/>
  <c r="W381" i="46" s="1"/>
  <c r="BN136" i="40"/>
  <c r="BN140" i="40" s="1"/>
  <c r="BN9" i="40"/>
  <c r="BN119" i="40"/>
  <c r="BO114" i="40" s="1"/>
  <c r="AN113" i="40"/>
  <c r="AC248" i="47"/>
  <c r="AN8" i="40" l="1"/>
  <c r="AN135" i="40"/>
  <c r="DU74" i="28"/>
  <c r="AN123" i="40"/>
  <c r="AN124" i="40" s="1"/>
  <c r="AN114" i="40"/>
  <c r="AN144" i="40" s="1"/>
  <c r="BO128" i="40" s="1"/>
  <c r="AN149" i="40"/>
  <c r="BO115" i="40"/>
  <c r="BO139" i="40"/>
  <c r="BO138" i="40"/>
  <c r="BO137" i="40"/>
  <c r="BN14" i="40"/>
  <c r="BO8" i="40" s="1"/>
  <c r="BN16" i="40"/>
  <c r="BN20" i="40" s="1"/>
  <c r="AK381" i="46"/>
  <c r="AM381" i="46" s="1"/>
  <c r="AM380" i="46"/>
  <c r="BO9" i="40" l="1"/>
  <c r="BO16" i="40" s="1"/>
  <c r="BO119" i="40"/>
  <c r="BP114" i="40" s="1"/>
  <c r="BO17" i="40"/>
  <c r="BO19" i="40"/>
  <c r="BO18" i="40"/>
  <c r="BO136" i="40"/>
  <c r="BO140" i="40" s="1"/>
  <c r="AN9" i="40"/>
  <c r="AN24" i="40"/>
  <c r="AN25" i="40" s="1"/>
  <c r="AN49" i="40"/>
  <c r="AN36" i="40"/>
  <c r="AN37" i="40" s="1"/>
  <c r="AN136" i="40"/>
  <c r="DU75" i="28"/>
  <c r="BO14" i="40" l="1"/>
  <c r="BP8" i="40" s="1"/>
  <c r="BP19" i="40" s="1"/>
  <c r="BO20" i="40"/>
  <c r="BP139" i="40"/>
  <c r="BP138" i="40"/>
  <c r="BP115" i="40"/>
  <c r="BP9" i="40" s="1"/>
  <c r="BP137" i="40"/>
  <c r="BP18" i="40" l="1"/>
  <c r="BP17" i="40"/>
  <c r="BP14" i="40"/>
  <c r="BP119" i="40"/>
  <c r="AO113" i="40" s="1"/>
  <c r="AO39" i="40" s="1"/>
  <c r="BP16" i="40"/>
  <c r="BP136" i="40"/>
  <c r="BP20" i="40" l="1"/>
  <c r="BQ114" i="40"/>
  <c r="BQ138" i="40" s="1"/>
  <c r="AO114" i="40"/>
  <c r="AO144" i="40" s="1"/>
  <c r="BP128" i="40" s="1"/>
  <c r="AO149" i="40"/>
  <c r="DV74" i="28"/>
  <c r="AO8" i="40"/>
  <c r="AO135" i="40"/>
  <c r="AO123" i="40"/>
  <c r="AO124" i="40" s="1"/>
  <c r="BQ139" i="40" l="1"/>
  <c r="BQ115" i="40"/>
  <c r="BQ136" i="40" s="1"/>
  <c r="BQ137" i="40"/>
  <c r="AO49" i="40"/>
  <c r="AO9" i="40"/>
  <c r="AO41" i="40" s="1"/>
  <c r="AO36" i="40"/>
  <c r="AO37" i="40" s="1"/>
  <c r="AO24" i="40"/>
  <c r="AO25" i="40" s="1"/>
  <c r="R38" i="85"/>
  <c r="DV47" i="28"/>
  <c r="AE9" i="20"/>
  <c r="DV75" i="28"/>
  <c r="AO136" i="40"/>
  <c r="BQ119" i="40" l="1"/>
  <c r="AP113" i="40" s="1"/>
  <c r="AP114" i="40" s="1"/>
  <c r="AP144" i="40" s="1"/>
  <c r="BQ128" i="40" s="1"/>
  <c r="R78" i="85"/>
  <c r="R176" i="85"/>
  <c r="R174" i="85" s="1"/>
  <c r="BR114" i="40" l="1"/>
  <c r="BR138" i="40" s="1"/>
  <c r="AD5" i="85"/>
  <c r="R175" i="85"/>
  <c r="AV113" i="40"/>
  <c r="Y105" i="20" s="1"/>
  <c r="AP149" i="40"/>
  <c r="AP39" i="40"/>
  <c r="AP8" i="40"/>
  <c r="DW74" i="28"/>
  <c r="AP123" i="40"/>
  <c r="AP124" i="40" s="1"/>
  <c r="AP135" i="40"/>
  <c r="BR115" i="40" l="1"/>
  <c r="BR119" i="40" s="1"/>
  <c r="BS114" i="40" s="1"/>
  <c r="BR139" i="40"/>
  <c r="BR137" i="40"/>
  <c r="AP9" i="40"/>
  <c r="AP41" i="40" s="1"/>
  <c r="AP24" i="40"/>
  <c r="AP25" i="40" s="1"/>
  <c r="AV8" i="40"/>
  <c r="AP49" i="40"/>
  <c r="AP36" i="40"/>
  <c r="DW47" i="28"/>
  <c r="AF9" i="20"/>
  <c r="Y108" i="20"/>
  <c r="DW75" i="28"/>
  <c r="AV135" i="40"/>
  <c r="AP136" i="40"/>
  <c r="AQ113" i="40" l="1"/>
  <c r="AQ135" i="40" s="1"/>
  <c r="AQ136" i="40" s="1"/>
  <c r="BR136" i="40"/>
  <c r="Y122" i="20"/>
  <c r="Y118" i="20"/>
  <c r="Y120" i="20"/>
  <c r="AP37" i="40"/>
  <c r="AV36" i="40"/>
  <c r="Y119" i="20"/>
  <c r="AQ123" i="40"/>
  <c r="AQ124" i="40" s="1"/>
  <c r="BS138" i="40"/>
  <c r="BS115" i="40"/>
  <c r="BS119" i="40" s="1"/>
  <c r="AR113" i="40" s="1"/>
  <c r="BS139" i="40"/>
  <c r="BS137" i="40"/>
  <c r="AQ8" i="40" l="1"/>
  <c r="AQ24" i="40" s="1"/>
  <c r="AQ25" i="40" s="1"/>
  <c r="AQ39" i="40"/>
  <c r="AG9" i="20" s="1"/>
  <c r="AQ149" i="40"/>
  <c r="AQ114" i="40"/>
  <c r="AQ144" i="40" s="1"/>
  <c r="BR128" i="40" s="1"/>
  <c r="AR123" i="40"/>
  <c r="AR124" i="40" s="1"/>
  <c r="AR135" i="40"/>
  <c r="AR136" i="40" s="1"/>
  <c r="AR114" i="40"/>
  <c r="AR144" i="40" s="1"/>
  <c r="BS128" i="40" s="1"/>
  <c r="AR149" i="40"/>
  <c r="AR8" i="40"/>
  <c r="AR39" i="40"/>
  <c r="AH9" i="20" s="1"/>
  <c r="Y121" i="20"/>
  <c r="BS136" i="40"/>
  <c r="AQ49" i="40" l="1"/>
  <c r="AQ36" i="40"/>
  <c r="AQ37" i="40" s="1"/>
  <c r="AQ9" i="40"/>
  <c r="AQ41" i="40" s="1"/>
  <c r="AR49" i="40"/>
  <c r="AR36" i="40"/>
  <c r="AR9" i="40"/>
  <c r="AR41" i="40" s="1"/>
  <c r="AR24" i="40"/>
  <c r="AR25" i="40" s="1"/>
  <c r="S211" i="12"/>
  <c r="D211" i="12" s="1"/>
  <c r="H211" i="12" s="1"/>
  <c r="D488" i="46"/>
  <c r="H488" i="46" s="1"/>
  <c r="AF488" i="46" s="1"/>
  <c r="U488" i="46"/>
  <c r="W488" i="46" s="1"/>
  <c r="AI488" i="46"/>
  <c r="AI489" i="46" s="1"/>
  <c r="AK488" i="46"/>
  <c r="AM488" i="46" s="1"/>
  <c r="S489" i="46"/>
  <c r="D489" i="46" s="1"/>
  <c r="S495" i="46"/>
  <c r="S218" i="12" s="1"/>
  <c r="F212" i="12" l="1"/>
  <c r="S212" i="12"/>
  <c r="D212" i="12" s="1"/>
  <c r="U211" i="12"/>
  <c r="U212" i="12" s="1"/>
  <c r="W212" i="12" s="1"/>
  <c r="U489" i="46"/>
  <c r="W489" i="46" s="1"/>
  <c r="AI211" i="12"/>
  <c r="AK211" i="12" s="1"/>
  <c r="S496" i="46"/>
  <c r="D496" i="46" s="1"/>
  <c r="AI495" i="46"/>
  <c r="U495" i="46"/>
  <c r="W495" i="46" s="1"/>
  <c r="AR37" i="40"/>
  <c r="W211" i="12"/>
  <c r="AM211" i="12"/>
  <c r="AK212" i="12"/>
  <c r="AM212" i="12" s="1"/>
  <c r="AI218" i="12"/>
  <c r="U218" i="12"/>
  <c r="D218" i="12"/>
  <c r="H218" i="12" s="1"/>
  <c r="S219" i="12"/>
  <c r="AF211" i="12"/>
  <c r="P211" i="12"/>
  <c r="F489" i="46"/>
  <c r="H489" i="46" s="1"/>
  <c r="AF489" i="46" s="1"/>
  <c r="AI212" i="12"/>
  <c r="AK489" i="46"/>
  <c r="AM489" i="46" s="1"/>
  <c r="AG247" i="47"/>
  <c r="H212" i="12" l="1"/>
  <c r="U496" i="46"/>
  <c r="W496" i="46" s="1"/>
  <c r="AG248" i="47"/>
  <c r="AN10" i="40" s="1"/>
  <c r="AN13" i="40" s="1"/>
  <c r="AN14" i="40" s="1"/>
  <c r="F496" i="46"/>
  <c r="H496" i="46" s="1"/>
  <c r="AF496" i="46" s="1"/>
  <c r="AI496" i="46"/>
  <c r="AK495" i="46"/>
  <c r="F219" i="12"/>
  <c r="DT14" i="29" s="1"/>
  <c r="D219" i="12"/>
  <c r="P218" i="12"/>
  <c r="AF218" i="12"/>
  <c r="U219" i="12"/>
  <c r="W219" i="12" s="1"/>
  <c r="W218" i="12"/>
  <c r="AI219" i="12"/>
  <c r="AK218" i="12"/>
  <c r="AH247" i="47"/>
  <c r="BI247" i="47"/>
  <c r="DJ247" i="47"/>
  <c r="AF212" i="12" l="1"/>
  <c r="P212" i="12"/>
  <c r="AO10" i="40"/>
  <c r="AO13" i="40" s="1"/>
  <c r="AH248" i="47"/>
  <c r="BI248" i="47"/>
  <c r="BK248" i="47" s="1"/>
  <c r="DJ248" i="47"/>
  <c r="AK496" i="46"/>
  <c r="AM496" i="46" s="1"/>
  <c r="AM495" i="46"/>
  <c r="Z5" i="85"/>
  <c r="BJ248" i="47"/>
  <c r="AN39" i="40"/>
  <c r="HJ28" i="38"/>
  <c r="AD247" i="47"/>
  <c r="M247" i="47"/>
  <c r="BG247" i="47"/>
  <c r="BK247" i="47"/>
  <c r="DR13" i="29"/>
  <c r="BB247" i="47"/>
  <c r="H247" i="47"/>
  <c r="U247" i="47"/>
  <c r="AI247" i="47"/>
  <c r="AK219" i="12"/>
  <c r="AM219" i="12" s="1"/>
  <c r="AM218" i="12"/>
  <c r="H219" i="12"/>
  <c r="BB248" i="47" l="1"/>
  <c r="BG248" i="47"/>
  <c r="DR14" i="29"/>
  <c r="D211" i="9" s="1"/>
  <c r="L211" i="9" s="1"/>
  <c r="AI248" i="47"/>
  <c r="AD248" i="47"/>
  <c r="H248" i="47"/>
  <c r="U248" i="47"/>
  <c r="M248" i="47"/>
  <c r="AP10" i="40"/>
  <c r="AP13" i="40" s="1"/>
  <c r="AF219" i="12"/>
  <c r="P219" i="12"/>
  <c r="AO14" i="40"/>
  <c r="AE7" i="20"/>
  <c r="DR23" i="29"/>
  <c r="D210" i="9"/>
  <c r="L210" i="9" s="1"/>
  <c r="CW8" i="28"/>
  <c r="DR33" i="29"/>
  <c r="DS73" i="29"/>
  <c r="DT201" i="29"/>
  <c r="DS13" i="29"/>
  <c r="DS83" i="29"/>
  <c r="Q38" i="85"/>
  <c r="Q120" i="85" s="1"/>
  <c r="DU47" i="28"/>
  <c r="AN41" i="40"/>
  <c r="AD9" i="20"/>
  <c r="HK28" i="38"/>
  <c r="HJ25" i="38"/>
  <c r="HK25" i="38" s="1"/>
  <c r="HJ26" i="38"/>
  <c r="HK26" i="38" s="1"/>
  <c r="HJ27" i="38"/>
  <c r="HK27" i="38" s="1"/>
  <c r="DR63" i="29" l="1"/>
  <c r="DS84" i="29"/>
  <c r="DT202" i="29"/>
  <c r="DS74" i="29"/>
  <c r="AD7" i="20"/>
  <c r="AD28" i="20" s="1"/>
  <c r="DU16" i="28" s="1"/>
  <c r="DS14" i="29"/>
  <c r="Z3" i="85" s="1"/>
  <c r="AQ10" i="40"/>
  <c r="AR10" i="40" s="1"/>
  <c r="AR13" i="40" s="1"/>
  <c r="AP14" i="40"/>
  <c r="AV13" i="40"/>
  <c r="Y115" i="20" s="1"/>
  <c r="AF7" i="20"/>
  <c r="DR24" i="29"/>
  <c r="CW10" i="28"/>
  <c r="CW13" i="28" s="1"/>
  <c r="F210" i="9"/>
  <c r="DS53" i="29"/>
  <c r="DS43" i="29"/>
  <c r="E4" i="99"/>
  <c r="R6" i="85"/>
  <c r="BK76" i="17"/>
  <c r="AE44" i="20"/>
  <c r="AE35" i="20"/>
  <c r="AE41" i="20"/>
  <c r="AE32" i="20"/>
  <c r="AE19" i="20"/>
  <c r="AE21" i="20"/>
  <c r="AE28" i="20"/>
  <c r="DV16" i="28" s="1"/>
  <c r="AE13" i="20"/>
  <c r="N4" i="102" s="1"/>
  <c r="AE11" i="20"/>
  <c r="DV8" i="28"/>
  <c r="DT33" i="29"/>
  <c r="CW14" i="28"/>
  <c r="DZ33" i="29"/>
  <c r="DR34" i="29"/>
  <c r="Q176" i="85"/>
  <c r="Q174" i="85" s="1"/>
  <c r="CW46" i="28"/>
  <c r="CW39" i="28"/>
  <c r="N8" i="102" l="1"/>
  <c r="N16" i="102"/>
  <c r="N17" i="102" s="1"/>
  <c r="AQ13" i="40"/>
  <c r="AQ14" i="40" s="1"/>
  <c r="AD8" i="20"/>
  <c r="AD41" i="20"/>
  <c r="AE8" i="20"/>
  <c r="AD21" i="20"/>
  <c r="AD13" i="20"/>
  <c r="M4" i="102" s="1"/>
  <c r="AD35" i="20"/>
  <c r="D4" i="99"/>
  <c r="D14" i="99" s="1"/>
  <c r="AD32" i="20"/>
  <c r="BI76" i="17"/>
  <c r="BI11" i="17" s="1"/>
  <c r="DU8" i="28"/>
  <c r="AD44" i="20"/>
  <c r="Q6" i="85"/>
  <c r="Q37" i="85" s="1"/>
  <c r="Q83" i="85" s="1"/>
  <c r="Q84" i="85" s="1"/>
  <c r="AE37" i="20"/>
  <c r="BK70" i="17" s="1"/>
  <c r="CW17" i="28"/>
  <c r="CW36" i="28"/>
  <c r="AD11" i="20"/>
  <c r="DS54" i="29"/>
  <c r="F211" i="9"/>
  <c r="DS44" i="29"/>
  <c r="DS24" i="29"/>
  <c r="AE15" i="20"/>
  <c r="BK78" i="17"/>
  <c r="R12" i="85"/>
  <c r="DV14" i="28"/>
  <c r="E14" i="99"/>
  <c r="BK10" i="17"/>
  <c r="BK11" i="17"/>
  <c r="F4" i="99"/>
  <c r="BM76" i="17"/>
  <c r="DW8" i="28"/>
  <c r="AF19" i="20"/>
  <c r="AF8" i="20"/>
  <c r="AF13" i="20"/>
  <c r="O4" i="102" s="1"/>
  <c r="AF35" i="20"/>
  <c r="AF41" i="20"/>
  <c r="AF28" i="20"/>
  <c r="DW16" i="28" s="1"/>
  <c r="AF32" i="20"/>
  <c r="AL7" i="20"/>
  <c r="AF11" i="20"/>
  <c r="AF21" i="20"/>
  <c r="AF44" i="20"/>
  <c r="CW37" i="28"/>
  <c r="CW48" i="28"/>
  <c r="DV39" i="28"/>
  <c r="T209" i="9"/>
  <c r="Q177" i="85"/>
  <c r="DS34" i="29"/>
  <c r="Z12" i="85" s="1"/>
  <c r="AD19" i="20"/>
  <c r="AD30" i="20" s="1"/>
  <c r="DT34" i="29"/>
  <c r="Z13" i="85" s="1"/>
  <c r="DZ34" i="29"/>
  <c r="DS63" i="29"/>
  <c r="DT63" i="29"/>
  <c r="DR113" i="29"/>
  <c r="DR64" i="29"/>
  <c r="DR212" i="29"/>
  <c r="DX247" i="47"/>
  <c r="BK77" i="17"/>
  <c r="R8" i="85"/>
  <c r="DV10" i="28"/>
  <c r="DV13" i="28" s="1"/>
  <c r="AR44" i="40"/>
  <c r="AH7" i="20"/>
  <c r="AG7" i="20" l="1"/>
  <c r="M16" i="102"/>
  <c r="M17" i="102" s="1"/>
  <c r="O8" i="102"/>
  <c r="O16" i="102"/>
  <c r="O17" i="102" s="1"/>
  <c r="BI10" i="17"/>
  <c r="BH26" i="22" s="1"/>
  <c r="AR14" i="40"/>
  <c r="E5" i="99"/>
  <c r="Q126" i="85"/>
  <c r="Q186" i="85" s="1"/>
  <c r="D5" i="99"/>
  <c r="Q125" i="85"/>
  <c r="Q185" i="85" s="1"/>
  <c r="Q183" i="85" s="1"/>
  <c r="Q173" i="85" s="1"/>
  <c r="Q131" i="85" s="1"/>
  <c r="R37" i="85"/>
  <c r="R83" i="85" s="1"/>
  <c r="R84" i="85" s="1"/>
  <c r="DU39" i="28"/>
  <c r="DU46" i="28"/>
  <c r="DV46" i="28"/>
  <c r="AE77" i="20"/>
  <c r="AL77" i="20" s="1"/>
  <c r="BK71" i="17"/>
  <c r="H210" i="9"/>
  <c r="BI33" i="17"/>
  <c r="BH25" i="22"/>
  <c r="E6" i="99"/>
  <c r="E9" i="99" s="1"/>
  <c r="E10" i="99" s="1"/>
  <c r="AO43" i="40"/>
  <c r="AO44" i="40" s="1"/>
  <c r="AE50" i="20"/>
  <c r="AE51" i="20" s="1"/>
  <c r="AE38" i="20"/>
  <c r="AE98" i="20"/>
  <c r="AE30" i="20"/>
  <c r="AF15" i="20"/>
  <c r="AF37" i="20"/>
  <c r="AF98" i="20" s="1"/>
  <c r="DV17" i="28"/>
  <c r="DV36" i="28"/>
  <c r="DV37" i="28"/>
  <c r="R49" i="85"/>
  <c r="R133" i="85"/>
  <c r="BM11" i="17"/>
  <c r="BM10" i="17"/>
  <c r="BL26" i="22" s="1"/>
  <c r="BI77" i="17"/>
  <c r="Q8" i="85"/>
  <c r="DU10" i="28"/>
  <c r="AD15" i="20"/>
  <c r="AD12" i="20" s="1"/>
  <c r="AD37" i="20"/>
  <c r="F14" i="99"/>
  <c r="F5" i="99"/>
  <c r="R32" i="85"/>
  <c r="Q12" i="85"/>
  <c r="BI78" i="17"/>
  <c r="AD20" i="20"/>
  <c r="DU14" i="28"/>
  <c r="DV48" i="28" s="1"/>
  <c r="BK36" i="17"/>
  <c r="BK35" i="17"/>
  <c r="DS212" i="29"/>
  <c r="DR213" i="29"/>
  <c r="DS213" i="29" s="1"/>
  <c r="DW39" i="28"/>
  <c r="DW46" i="28"/>
  <c r="BQ76" i="17"/>
  <c r="AH13" i="20"/>
  <c r="AH35" i="20"/>
  <c r="AH32" i="20"/>
  <c r="AH11" i="20"/>
  <c r="AH21" i="20"/>
  <c r="AH44" i="20"/>
  <c r="AH19" i="20"/>
  <c r="AH8" i="20"/>
  <c r="AH41" i="20"/>
  <c r="AH28" i="20"/>
  <c r="DX248" i="47"/>
  <c r="DT64" i="29"/>
  <c r="DS64" i="29"/>
  <c r="Z20" i="85" s="1"/>
  <c r="R11" i="85"/>
  <c r="BM77" i="17"/>
  <c r="AL11" i="20"/>
  <c r="DW10" i="28"/>
  <c r="DW13" i="28" s="1"/>
  <c r="Z9" i="85"/>
  <c r="DT24" i="29"/>
  <c r="BM78" i="17"/>
  <c r="AF30" i="20"/>
  <c r="AL19" i="20"/>
  <c r="DW14" i="28"/>
  <c r="DY247" i="47"/>
  <c r="DZ247" i="47"/>
  <c r="DT247" i="47"/>
  <c r="Q184" i="85"/>
  <c r="Q77" i="85"/>
  <c r="BK33" i="17"/>
  <c r="BJ25" i="22"/>
  <c r="DS113" i="29"/>
  <c r="DR114" i="29"/>
  <c r="DR123" i="29"/>
  <c r="DR133" i="29" s="1"/>
  <c r="DT113" i="29"/>
  <c r="BO76" i="17"/>
  <c r="G4" i="99"/>
  <c r="AG11" i="20"/>
  <c r="BO77" i="17" s="1"/>
  <c r="AG21" i="20"/>
  <c r="AG44" i="20"/>
  <c r="AG19" i="20"/>
  <c r="AG32" i="20"/>
  <c r="AG8" i="20"/>
  <c r="AG28" i="20"/>
  <c r="AG13" i="20"/>
  <c r="AG35" i="20"/>
  <c r="AG41" i="20"/>
  <c r="CW38" i="28"/>
  <c r="CW21" i="28"/>
  <c r="CW49" i="28"/>
  <c r="CW32" i="28"/>
  <c r="BJ26" i="22" l="1"/>
  <c r="R114" i="85"/>
  <c r="R165" i="85" s="1"/>
  <c r="Q119" i="85"/>
  <c r="Q89" i="85" s="1"/>
  <c r="R125" i="85"/>
  <c r="R185" i="85" s="1"/>
  <c r="R183" i="85" s="1"/>
  <c r="R173" i="85" s="1"/>
  <c r="R131" i="85" s="1"/>
  <c r="AE78" i="20"/>
  <c r="E7" i="99"/>
  <c r="N210" i="9"/>
  <c r="X210" i="9"/>
  <c r="Z210" i="9" s="1"/>
  <c r="AJ210" i="9"/>
  <c r="J210" i="9"/>
  <c r="P210" i="9"/>
  <c r="AE53" i="20"/>
  <c r="AE56" i="20" s="1"/>
  <c r="BM70" i="17"/>
  <c r="AP43" i="40"/>
  <c r="AP44" i="40" s="1"/>
  <c r="AF38" i="20"/>
  <c r="AF50" i="20"/>
  <c r="AF51" i="20" s="1"/>
  <c r="AL37" i="20"/>
  <c r="AF77" i="20"/>
  <c r="AF78" i="20" s="1"/>
  <c r="F6" i="99"/>
  <c r="F7" i="99" s="1"/>
  <c r="BM71" i="17"/>
  <c r="DW17" i="28"/>
  <c r="DW36" i="28"/>
  <c r="CW40" i="28"/>
  <c r="BO78" i="17"/>
  <c r="AG30" i="20"/>
  <c r="BM33" i="17"/>
  <c r="BL25" i="22"/>
  <c r="Q32" i="85"/>
  <c r="Q39" i="85"/>
  <c r="R39" i="85"/>
  <c r="DW48" i="28"/>
  <c r="DW37" i="28"/>
  <c r="CW51" i="28"/>
  <c r="CW43" i="28"/>
  <c r="DR124" i="29"/>
  <c r="CW23" i="28"/>
  <c r="CW41" i="28" s="1"/>
  <c r="CW82" i="28" s="1"/>
  <c r="DR222" i="29"/>
  <c r="BQ77" i="17"/>
  <c r="AH37" i="20"/>
  <c r="AH15" i="20"/>
  <c r="DR134" i="29"/>
  <c r="DR143" i="29"/>
  <c r="DS133" i="29"/>
  <c r="AG37" i="20"/>
  <c r="BO70" i="17" s="1"/>
  <c r="DS114" i="29"/>
  <c r="DT114" i="29"/>
  <c r="DY248" i="47"/>
  <c r="DZ248" i="47"/>
  <c r="BI35" i="17"/>
  <c r="BJ28" i="22" s="1"/>
  <c r="BI36" i="17"/>
  <c r="BI71" i="17"/>
  <c r="D6" i="99"/>
  <c r="AD98" i="20"/>
  <c r="AD50" i="20"/>
  <c r="AD77" i="20"/>
  <c r="AD78" i="20" s="1"/>
  <c r="AD38" i="20"/>
  <c r="AN43" i="40"/>
  <c r="AN44" i="40" s="1"/>
  <c r="BI70" i="17"/>
  <c r="BK39" i="17"/>
  <c r="BK46" i="17" s="1"/>
  <c r="R126" i="85"/>
  <c r="R164" i="85"/>
  <c r="R162" i="85" s="1"/>
  <c r="DU13" i="28"/>
  <c r="E11" i="99"/>
  <c r="G14" i="99"/>
  <c r="G5" i="99"/>
  <c r="H4" i="99"/>
  <c r="Q47" i="85"/>
  <c r="AB3" i="85"/>
  <c r="BM36" i="17"/>
  <c r="BM35" i="17"/>
  <c r="R31" i="85"/>
  <c r="R14" i="85"/>
  <c r="BQ78" i="17"/>
  <c r="AH30" i="20"/>
  <c r="BQ11" i="17"/>
  <c r="BQ10" i="17"/>
  <c r="Q49" i="85"/>
  <c r="Q133" i="85"/>
  <c r="Q11" i="85"/>
  <c r="BO11" i="17"/>
  <c r="BO10" i="17"/>
  <c r="BN26" i="22" s="1"/>
  <c r="AG15" i="20"/>
  <c r="DP247" i="47"/>
  <c r="DQ247" i="47" s="1"/>
  <c r="EB247" i="47"/>
  <c r="DT248" i="47"/>
  <c r="DV247" i="47"/>
  <c r="DU37" i="28"/>
  <c r="DU48" i="28"/>
  <c r="DV32" i="28"/>
  <c r="DV38" i="28"/>
  <c r="DV21" i="28"/>
  <c r="AE59" i="20" l="1"/>
  <c r="N3" i="102"/>
  <c r="N9" i="102" s="1"/>
  <c r="R113" i="85"/>
  <c r="R161" i="85" s="1"/>
  <c r="R71" i="85"/>
  <c r="R163" i="85"/>
  <c r="AD12" i="85"/>
  <c r="Q52" i="85"/>
  <c r="Q79" i="85" s="1"/>
  <c r="Q114" i="85"/>
  <c r="R136" i="85"/>
  <c r="AE80" i="20"/>
  <c r="BJ8" i="22" s="1"/>
  <c r="AE62" i="20"/>
  <c r="J211" i="9"/>
  <c r="R210" i="9"/>
  <c r="AM210" i="9"/>
  <c r="AE57" i="20"/>
  <c r="DV23" i="28"/>
  <c r="DV41" i="28" s="1"/>
  <c r="R20" i="85"/>
  <c r="AV43" i="40"/>
  <c r="AF53" i="20"/>
  <c r="DW23" i="28" s="1"/>
  <c r="AL50" i="20"/>
  <c r="BL28" i="22"/>
  <c r="F9" i="99"/>
  <c r="F10" i="99" s="1"/>
  <c r="F11" i="99" s="1"/>
  <c r="CW27" i="28"/>
  <c r="CW50" i="28" s="1"/>
  <c r="DS143" i="29"/>
  <c r="DR144" i="29"/>
  <c r="DS134" i="29"/>
  <c r="R160" i="85"/>
  <c r="R158" i="85" s="1"/>
  <c r="R135" i="85" s="1"/>
  <c r="DU17" i="28"/>
  <c r="DU36" i="28"/>
  <c r="DV40" i="28"/>
  <c r="Q14" i="85"/>
  <c r="R40" i="85" s="1"/>
  <c r="R182" i="85" s="1"/>
  <c r="Q31" i="85"/>
  <c r="R77" i="85"/>
  <c r="AD4" i="85" s="1"/>
  <c r="R184" i="85"/>
  <c r="BM39" i="17"/>
  <c r="BM46" i="17" s="1"/>
  <c r="D7" i="99"/>
  <c r="D9" i="99"/>
  <c r="D10" i="99" s="1"/>
  <c r="DV248" i="47"/>
  <c r="DP248" i="47"/>
  <c r="DQ248" i="47" s="1"/>
  <c r="EB248" i="47"/>
  <c r="BL29" i="22"/>
  <c r="H6" i="99"/>
  <c r="H13" i="99"/>
  <c r="I4" i="99"/>
  <c r="BP26" i="22"/>
  <c r="R186" i="85"/>
  <c r="R119" i="85"/>
  <c r="R89" i="85" s="1"/>
  <c r="BH29" i="22"/>
  <c r="BJ29" i="22"/>
  <c r="BJ31" i="22" s="1"/>
  <c r="CW25" i="28"/>
  <c r="CW42" i="28" s="1"/>
  <c r="BO36" i="17"/>
  <c r="BN29" i="22" s="1"/>
  <c r="BO35" i="17"/>
  <c r="DS124" i="29"/>
  <c r="Z29" i="85" s="1"/>
  <c r="AD53" i="20"/>
  <c r="AD56" i="20" s="1"/>
  <c r="M3" i="102" s="1"/>
  <c r="BP25" i="22"/>
  <c r="BQ33" i="17"/>
  <c r="AD51" i="20"/>
  <c r="BH28" i="22"/>
  <c r="BI39" i="17"/>
  <c r="BI46" i="17" s="1"/>
  <c r="BQ36" i="17"/>
  <c r="BQ35" i="17"/>
  <c r="R18" i="85"/>
  <c r="R33" i="85"/>
  <c r="R28" i="85"/>
  <c r="DS222" i="29"/>
  <c r="DR223" i="29"/>
  <c r="DR232" i="29"/>
  <c r="DS232" i="29" s="1"/>
  <c r="BO33" i="17"/>
  <c r="BN25" i="22"/>
  <c r="BO71" i="17"/>
  <c r="G6" i="99"/>
  <c r="AG98" i="20"/>
  <c r="AQ43" i="40"/>
  <c r="AQ44" i="40" s="1"/>
  <c r="AG50" i="20"/>
  <c r="AG77" i="20"/>
  <c r="AG78" i="20" s="1"/>
  <c r="AG38" i="20"/>
  <c r="DV43" i="28"/>
  <c r="AH77" i="20"/>
  <c r="AH78" i="20" s="1"/>
  <c r="AH98" i="20"/>
  <c r="AH38" i="20"/>
  <c r="AH50" i="20"/>
  <c r="Q164" i="85"/>
  <c r="Q162" i="85" s="1"/>
  <c r="Q136" i="85" s="1"/>
  <c r="Q178" i="85" s="1"/>
  <c r="DW32" i="28"/>
  <c r="DW49" i="28"/>
  <c r="DW38" i="28"/>
  <c r="DW21" i="28"/>
  <c r="AD10" i="85" l="1"/>
  <c r="R159" i="85"/>
  <c r="Q71" i="85"/>
  <c r="AB12" i="85"/>
  <c r="Q163" i="85"/>
  <c r="R138" i="85"/>
  <c r="R166" i="85" s="1"/>
  <c r="AL80" i="20"/>
  <c r="AE83" i="20"/>
  <c r="AL83" i="20" s="1"/>
  <c r="AE81" i="20"/>
  <c r="DV25" i="28"/>
  <c r="DV27" i="28" s="1"/>
  <c r="R211" i="9"/>
  <c r="AM211" i="9"/>
  <c r="R23" i="85"/>
  <c r="R25" i="85" s="1"/>
  <c r="DW41" i="28"/>
  <c r="AF56" i="20"/>
  <c r="BL31" i="22"/>
  <c r="BL33" i="22" s="1"/>
  <c r="BN28" i="22"/>
  <c r="BN31" i="22" s="1"/>
  <c r="R34" i="85"/>
  <c r="R47" i="85"/>
  <c r="R51" i="85" s="1"/>
  <c r="BH31" i="22"/>
  <c r="BH33" i="22" s="1"/>
  <c r="R178" i="85"/>
  <c r="AD57" i="20"/>
  <c r="AD59" i="20"/>
  <c r="AD80" i="20"/>
  <c r="DU38" i="28"/>
  <c r="DU49" i="28"/>
  <c r="DU21" i="28"/>
  <c r="DU32" i="28"/>
  <c r="DV49" i="28"/>
  <c r="R93" i="85"/>
  <c r="R91" i="85" s="1"/>
  <c r="R94" i="85"/>
  <c r="DW25" i="28"/>
  <c r="DW40" i="28"/>
  <c r="BP29" i="22"/>
  <c r="Q160" i="85"/>
  <c r="Q158" i="85" s="1"/>
  <c r="Q135" i="85" s="1"/>
  <c r="Q138" i="85" s="1"/>
  <c r="BQ39" i="17"/>
  <c r="BQ46" i="17" s="1"/>
  <c r="Z31" i="85"/>
  <c r="Z33" i="85" s="1"/>
  <c r="DS144" i="29"/>
  <c r="Z32" i="85" s="1"/>
  <c r="I6" i="99"/>
  <c r="I13" i="99"/>
  <c r="J4" i="99"/>
  <c r="Q18" i="85"/>
  <c r="Q40" i="85"/>
  <c r="Q182" i="85" s="1"/>
  <c r="Q28" i="85"/>
  <c r="Q42" i="85" s="1"/>
  <c r="Q33" i="85"/>
  <c r="G9" i="99"/>
  <c r="G10" i="99" s="1"/>
  <c r="G7" i="99"/>
  <c r="AH51" i="20"/>
  <c r="AH53" i="20"/>
  <c r="AH56" i="20" s="1"/>
  <c r="Q20" i="85"/>
  <c r="DU23" i="28"/>
  <c r="AD54" i="20"/>
  <c r="DR233" i="29"/>
  <c r="DS233" i="29" s="1"/>
  <c r="DS223" i="29"/>
  <c r="Q165" i="85"/>
  <c r="Q94" i="85"/>
  <c r="Q121" i="85" s="1"/>
  <c r="DW43" i="28"/>
  <c r="DW51" i="28"/>
  <c r="BP28" i="22"/>
  <c r="BO39" i="17"/>
  <c r="BO46" i="17" s="1"/>
  <c r="BJ33" i="22"/>
  <c r="E17" i="99"/>
  <c r="E18" i="99" s="1"/>
  <c r="E21" i="99" s="1"/>
  <c r="E25" i="99" s="1"/>
  <c r="D11" i="99"/>
  <c r="BJ17" i="22"/>
  <c r="BK79" i="17"/>
  <c r="AG53" i="20"/>
  <c r="AG56" i="20" s="1"/>
  <c r="AG51" i="20"/>
  <c r="H9" i="99"/>
  <c r="H10" i="99" s="1"/>
  <c r="BL8" i="22" l="1"/>
  <c r="BM79" i="17" s="1"/>
  <c r="O3" i="102"/>
  <c r="O9" i="102" s="1"/>
  <c r="DU82" i="28"/>
  <c r="M6" i="102"/>
  <c r="R155" i="85"/>
  <c r="R169" i="85"/>
  <c r="R167" i="85" s="1"/>
  <c r="R116" i="85"/>
  <c r="R170" i="85" s="1"/>
  <c r="R74" i="85"/>
  <c r="R168" i="85" s="1"/>
  <c r="AB9" i="85"/>
  <c r="Q159" i="85"/>
  <c r="Q51" i="85"/>
  <c r="Q54" i="85" s="1"/>
  <c r="Q58" i="85" s="1"/>
  <c r="R142" i="85"/>
  <c r="R179" i="85"/>
  <c r="DV42" i="28"/>
  <c r="BL17" i="22"/>
  <c r="BL35" i="22" s="1"/>
  <c r="BL56" i="22" s="1"/>
  <c r="BL59" i="22" s="1"/>
  <c r="DU41" i="28"/>
  <c r="AF80" i="20"/>
  <c r="AF83" i="20" s="1"/>
  <c r="AF84" i="20" s="1"/>
  <c r="R121" i="85"/>
  <c r="AF62" i="20"/>
  <c r="AL62" i="20" s="1"/>
  <c r="F17" i="99"/>
  <c r="F18" i="99" s="1"/>
  <c r="F21" i="99" s="1"/>
  <c r="F25" i="99" s="1"/>
  <c r="AF57" i="20"/>
  <c r="AL56" i="20"/>
  <c r="AF59" i="20"/>
  <c r="AF60" i="20" s="1"/>
  <c r="R42" i="85"/>
  <c r="D17" i="99"/>
  <c r="D18" i="99" s="1"/>
  <c r="D21" i="99" s="1"/>
  <c r="D25" i="99" s="1"/>
  <c r="Q23" i="85"/>
  <c r="Q25" i="85" s="1"/>
  <c r="Q41" i="85" s="1"/>
  <c r="R52" i="85"/>
  <c r="R79" i="85" s="1"/>
  <c r="AD13" i="85" s="1"/>
  <c r="BP31" i="22"/>
  <c r="BP33" i="22" s="1"/>
  <c r="BJ35" i="22"/>
  <c r="BJ56" i="22" s="1"/>
  <c r="BJ59" i="22" s="1"/>
  <c r="BP8" i="22"/>
  <c r="AH57" i="20"/>
  <c r="AH59" i="20"/>
  <c r="AH62" i="20"/>
  <c r="AH80" i="20"/>
  <c r="G11" i="99"/>
  <c r="AD60" i="20"/>
  <c r="AE60" i="20"/>
  <c r="I9" i="99"/>
  <c r="I10" i="99" s="1"/>
  <c r="DW27" i="28"/>
  <c r="DW50" i="28" s="1"/>
  <c r="DW42" i="28"/>
  <c r="AD62" i="20"/>
  <c r="DU40" i="28"/>
  <c r="DU25" i="28"/>
  <c r="Q34" i="85"/>
  <c r="Q166" i="85"/>
  <c r="Q179" i="85"/>
  <c r="Q142" i="85"/>
  <c r="Q155" i="85"/>
  <c r="Q181" i="85" s="1"/>
  <c r="R96" i="85"/>
  <c r="DU51" i="28"/>
  <c r="DU43" i="28"/>
  <c r="DV51" i="28"/>
  <c r="BN33" i="22"/>
  <c r="G17" i="99"/>
  <c r="Q161" i="85"/>
  <c r="Q93" i="85"/>
  <c r="H11" i="99"/>
  <c r="BN8" i="22"/>
  <c r="AG62" i="20"/>
  <c r="AG59" i="20"/>
  <c r="AG80" i="20"/>
  <c r="AG57" i="20"/>
  <c r="J6" i="99"/>
  <c r="J13" i="99"/>
  <c r="BH8" i="22"/>
  <c r="AD81" i="20"/>
  <c r="AD83" i="20"/>
  <c r="M7" i="102" l="1"/>
  <c r="M8" i="102"/>
  <c r="R144" i="85"/>
  <c r="R147" i="85" s="1"/>
  <c r="R149" i="85" s="1"/>
  <c r="Q80" i="85"/>
  <c r="Q73" i="85"/>
  <c r="AB20" i="85" s="1"/>
  <c r="Q68" i="85"/>
  <c r="Q82" i="85" s="1"/>
  <c r="Q116" i="85"/>
  <c r="Q170" i="85" s="1"/>
  <c r="Q74" i="85"/>
  <c r="AF63" i="20"/>
  <c r="R41" i="85"/>
  <c r="AG63" i="20"/>
  <c r="AF81" i="20"/>
  <c r="AG60" i="20"/>
  <c r="AL59" i="20"/>
  <c r="R54" i="85"/>
  <c r="R80" i="85" s="1"/>
  <c r="I11" i="99"/>
  <c r="BI79" i="17"/>
  <c r="BH17" i="22"/>
  <c r="BH35" i="22" s="1"/>
  <c r="BH56" i="22" s="1"/>
  <c r="BI55" i="17"/>
  <c r="Q96" i="85"/>
  <c r="Q91" i="85"/>
  <c r="G18" i="99"/>
  <c r="G21" i="99" s="1"/>
  <c r="G25" i="99" s="1"/>
  <c r="H17" i="99"/>
  <c r="R100" i="85"/>
  <c r="R110" i="85"/>
  <c r="R115" i="85"/>
  <c r="AD63" i="20"/>
  <c r="AE63" i="20"/>
  <c r="R181" i="85"/>
  <c r="AH63" i="20"/>
  <c r="AH81" i="20"/>
  <c r="AH83" i="20"/>
  <c r="J9" i="99"/>
  <c r="J10" i="99" s="1"/>
  <c r="BN17" i="22"/>
  <c r="BN35" i="22" s="1"/>
  <c r="BN56" i="22" s="1"/>
  <c r="BN59" i="22" s="1"/>
  <c r="BO79" i="17"/>
  <c r="Q169" i="85"/>
  <c r="Q167" i="85" s="1"/>
  <c r="Q144" i="85" s="1"/>
  <c r="Q147" i="85" s="1"/>
  <c r="Q149" i="85" s="1"/>
  <c r="AH60" i="20"/>
  <c r="AG81" i="20"/>
  <c r="AG83" i="20"/>
  <c r="AG84" i="20" s="1"/>
  <c r="DU27" i="28"/>
  <c r="DU42" i="28"/>
  <c r="AD84" i="20"/>
  <c r="AE84" i="20"/>
  <c r="BQ79" i="17"/>
  <c r="BP17" i="22"/>
  <c r="BP35" i="22" s="1"/>
  <c r="BP56" i="22" s="1"/>
  <c r="BP59" i="22" s="1"/>
  <c r="M9" i="102" l="1"/>
  <c r="R68" i="85"/>
  <c r="R82" i="85" s="1"/>
  <c r="R73" i="85"/>
  <c r="AD20" i="85" s="1"/>
  <c r="R58" i="85"/>
  <c r="R60" i="85" s="1"/>
  <c r="R63" i="85" s="1"/>
  <c r="R65" i="85" s="1"/>
  <c r="AH84" i="20"/>
  <c r="Q180" i="85"/>
  <c r="R180" i="85"/>
  <c r="BI57" i="17"/>
  <c r="BK55" i="17"/>
  <c r="BM55" i="17" s="1"/>
  <c r="BH57" i="22"/>
  <c r="BJ55" i="22" s="1"/>
  <c r="BJ57" i="22" s="1"/>
  <c r="BL55" i="22" s="1"/>
  <c r="BL57" i="22" s="1"/>
  <c r="BN55" i="22" s="1"/>
  <c r="BN57" i="22" s="1"/>
  <c r="BP55" i="22" s="1"/>
  <c r="BP57" i="22" s="1"/>
  <c r="BH59" i="22"/>
  <c r="BI9" i="17"/>
  <c r="I17" i="99"/>
  <c r="H18" i="99"/>
  <c r="H21" i="99" s="1"/>
  <c r="H25" i="99" s="1"/>
  <c r="Q168" i="85"/>
  <c r="AB29" i="85"/>
  <c r="Q115" i="85"/>
  <c r="Q100" i="85"/>
  <c r="Q110" i="85"/>
  <c r="Q124" i="85" s="1"/>
  <c r="Q122" i="85"/>
  <c r="R122" i="85"/>
  <c r="DU50" i="28"/>
  <c r="DV50" i="28"/>
  <c r="R102" i="85"/>
  <c r="R105" i="85" s="1"/>
  <c r="R107" i="85" s="1"/>
  <c r="J11" i="99"/>
  <c r="Q60" i="85"/>
  <c r="Q63" i="85" s="1"/>
  <c r="Q65" i="85" s="1"/>
  <c r="BI59" i="17" l="1"/>
  <c r="M11" i="102"/>
  <c r="BK57" i="17"/>
  <c r="Q102" i="85"/>
  <c r="Q105" i="85" s="1"/>
  <c r="Q107" i="85" s="1"/>
  <c r="Q123" i="85" s="1"/>
  <c r="J17" i="99"/>
  <c r="J18" i="99" s="1"/>
  <c r="J21" i="99" s="1"/>
  <c r="I18" i="99"/>
  <c r="I21" i="99" s="1"/>
  <c r="I25" i="99" s="1"/>
  <c r="R124" i="85"/>
  <c r="BI91" i="17"/>
  <c r="C31" i="99"/>
  <c r="BI13" i="17"/>
  <c r="BI28" i="17" s="1"/>
  <c r="BI87" i="17" s="1"/>
  <c r="BK9" i="17"/>
  <c r="AB31" i="85"/>
  <c r="AB33" i="85" s="1"/>
  <c r="Q81" i="85"/>
  <c r="R81" i="85"/>
  <c r="M12" i="102" l="1"/>
  <c r="M15" i="102" s="1"/>
  <c r="M18" i="102" s="1"/>
  <c r="M20" i="102" s="1"/>
  <c r="BK59" i="17"/>
  <c r="N11" i="102"/>
  <c r="N12" i="102" s="1"/>
  <c r="N15" i="102" s="1"/>
  <c r="N18" i="102" s="1"/>
  <c r="N20" i="102" s="1"/>
  <c r="R123" i="85"/>
  <c r="BK91" i="17"/>
  <c r="BK13" i="17"/>
  <c r="BK28" i="17" s="1"/>
  <c r="BK87" i="17" s="1"/>
  <c r="BM9" i="17"/>
  <c r="BO55" i="17"/>
  <c r="BM57" i="17"/>
  <c r="J25" i="99"/>
  <c r="C41" i="99" s="1"/>
  <c r="J26" i="99"/>
  <c r="J27" i="99" s="1"/>
  <c r="C42" i="99" s="1"/>
  <c r="C32" i="99"/>
  <c r="C39" i="99" s="1"/>
  <c r="C45" i="99"/>
  <c r="BM59" i="17" l="1"/>
  <c r="O11" i="102"/>
  <c r="O12" i="102" s="1"/>
  <c r="O15" i="102" s="1"/>
  <c r="O18" i="102" s="1"/>
  <c r="O20" i="102" s="1"/>
  <c r="C43" i="99"/>
  <c r="C48" i="99" s="1"/>
  <c r="C49" i="99" s="1"/>
  <c r="BM91" i="17"/>
  <c r="BM13" i="17"/>
  <c r="BM28" i="17" s="1"/>
  <c r="BM87" i="17" s="1"/>
  <c r="BO9" i="17"/>
  <c r="BQ55" i="17"/>
  <c r="BQ57" i="17" s="1"/>
  <c r="BQ59" i="17" s="1"/>
  <c r="BO57" i="17"/>
  <c r="BO59" i="17" s="1"/>
  <c r="BQ9" i="17" l="1"/>
  <c r="BO13" i="17"/>
  <c r="BO28" i="17" s="1"/>
  <c r="BO91" i="17"/>
  <c r="BQ13" i="17" l="1"/>
  <c r="BQ28" i="17" s="1"/>
  <c r="BQ91" i="17"/>
  <c r="DO98" i="37" l="1"/>
</calcChain>
</file>

<file path=xl/comments1.xml><?xml version="1.0" encoding="utf-8"?>
<comments xmlns="http://schemas.openxmlformats.org/spreadsheetml/2006/main">
  <authors>
    <author>subbose</author>
  </authors>
  <commentList>
    <comment ref="A1" authorId="0">
      <text>
        <r>
          <rPr>
            <b/>
            <sz val="8"/>
            <color indexed="81"/>
            <rFont val="Tahoma"/>
            <family val="2"/>
          </rPr>
          <t>卟䙄_x0001_＀＀剿䱷&amp;䥆䱎坞当义彔䅒䕔㕟䅙䝖〨⼲〲㔰ⰬⰬ单⥄_x0018_＀＀_x0018_＀＀_x0008_＀＀_x0001_＀＀_x0001_＀＀豀碵꼝쐕剿䱷(䥆䱎坞当义彔䅒䕔〨⼲〲㤰〬⼲〲㤰ⰬⰬ单⥄_x0018_＀＀_x0018_＀＀_x0008_＀＀_x0001_＀＀_x0001_＀＀豀碵꼝쐕剿䱷\䥆䱎坞当䕒呎䱁佟彐卌彅塅⡐㈰㈯〰ⰲ㈰㈯〰ⰲⰬ唬䑓䀩䅃剟彔䕒呎䵟义䕟偘〨⼲〲㈰〬⼲〲㈰ⰬⰬ单⥄_x0018_＀＀_x0018_＀＀_x0008_＀＀_x0001_＀＀_x0001_＀＀뱪鍴琘䁌剿䱷(䥆䱎坞当义彔䅒䕔〨⼲〲㌰〬⼲〲㌰ⰬⰬ单⥄_x0018_＀＀_x0018_＀＀_x0008_＀＀_x0001_＀＀_x0001_＀＀豀碵꼝쐕剿䱷(䥆䱎坞当义彔䅒䕔〨⼲〲㐰〬⼲〲㐰ⰬⰬ单⥄_x0018_＀＀_x0018_＀＀_x0008_＀＀_x0001_＀＀_x0001_＀＀豀碵꼝쐕剿䱷(䥆䱎坞当义彔䅒䕔〨⼲〲㔰〬⼲〲㔰ⰬⰬ单⥄_x0018_＀＀_x0018_＀＀_x0008_＀＀_x0001_＀＀_x0001_＀＀豀碵꼝쐕剿䱷(䥆䱎坞当义彔䅒䕔〨⼲〲㘰〬⼲〲㘰ⰬⰬ单⥄_x0018_＀＀_x0018_＀＀_x0008_＀＀_x0001_＀＀_x0001_＀＀豀碵꼝쐕剿䱷(䥆䱎坞当义彔䅒䕔〨⼲〲㜰〬⼲〲㜰ⰬⰬ单⥄_x0018_＀＀_x0018_＀＀_x0008_＀＀_x0001_＀＀_x0001_＀＀豀碵꼝쐕剿䱷(䥆䱎坞当义彔䅒䕔〨⼲〲㠰〬⼲〲㠰ⰬⰬ单⥄_x0018_＀＀_x0018_＀＀_x0008_＀＀_x0001_＀＀_x0001_＀＀豀碵꼝쐕剿䱷\䥆䱎坞当䕒呎䱁佟彐卌彅塅⡐㈰㈯〰ⰹ㈰㈯〰ⰹⰬ唬䑓䀩䅃剟彔䕒呎䵟义䕟偘〨⼲〲㤰〬⼲〲㤰ⰬⰬ单⥄_x0018_＀＀_x0018_＀＀_x0008_＀＀_x0001_＀＀_x0001_＀＀鮥샄䁖彥䱷_x001E_呌ⵄ单䙞彇剐䍉⡅㄰㌯⼱〲㠰Ⱜ⥄_x0018_＀＀_x0018_＀＀_x0008_＀＀_x0001_＀＀_x0001_＀＀롒蔞ᇫ䀳剿䱷(䥆䱎坞当义彔䅒䕔〨⼲〲〱〬⼲〲〱ⰬⰬ单⥄_x0018_＀＀_x0018_＀＀_x0008_＀＀_x0001_＀＀_x0001_＀＀豀碵꼝쐕剿䱷&amp;䥆䱎坞当义彔䅒䕔㕟䅙䝖〨⼲〲㘰ⰬⰬ单⥄_x0018_＀＀_x0018_＀＀_x0008_＀＀_x0001_＀＀_x0001_＀＀豀碵꼝쐕彥䱷_x001E_呌ⵄ单䙞彇剐䍉⡅㄰㌯⼱〲㌰Ⱜ⥄_x0018_＀＀_x0018_＀＀_x0008_＀＀_x0001_＀＀_x0001_＀＀䞮竡⸔䀩剼䱷_x0018_䥆䱎坞当奆⡃⤰䍀彁奆⡃⤰_x0018_＀＀_x0018_＀＀_x0008_＀＀_x0001_＀＀_x0008_＀＀㈰㈯㄰0剿䱷\䥆䱎坞当䕒呎䱁佟彐卌彅塅⡐㈰㈯〰ⰸ㈰㈯〰ⰸⰬ唬䑓䀩䅃剟彔䕒呎䵟义䕟偘〨⼲〲㠰〬⼲〲㠰ⰬⰬ单⥄_x0018_＀＀_x0018_＀＀_x0008_＀＀_x0001_＀＀_x0001_＀＀褷恁룥䁖剼䱷_x0013_䥆䱎坞当卉彏佃䕄〨착_x0014_＀＀_x0018_＀＀_x0004_＀＀_x0001_＀＀_x0008_＀＀单D彥䱷_x001E_呌ⵄ单䙞彇剐䍉⡅㄰㌯⼱〲㜰Ⱜ⥄_x0018_＀＀_x0018_＀＀_x0008_＀＀_x0001_＀＀_x0001_＀＀㵱휊䀻剿䱷&amp;䥆䱎坞当义彔䅒䕔㕟䅙䝖〨⼲〲㜰ⰬⰬ单⥄_x0018_＀＀_x0018_＀＀_x0008_＀＀_x0001_＀＀_x0001_＀＀豀碵꼝쐕剿䱷\䥆䱎坞当䕒呎䱁佟彐卌彅塅⡐㈰㈯〰ⰷ㈰㈯〰ⰷⰬ唬䑓䀩䅃剟彔䕒呎䵟义䕟偘〨⼲〲㜰〬⼲〲㜰ⰬⰬ单⥄_x0018_＀＀_x0018_＀＀_x0008_＀＀_x0001_＀＀_x0001_＀＀뱪鍴И䁗彥䱷_x001E_呌ⵄ单䙞彇剐䍉⡅㄰㌯⼱〲㈰Ⱜ⥄_x0018_＀＀_x0018_＀＀_x0008_＀＀_x0001_＀＀_x0001_＀＀쳍쳌賌䀲剿䱷&amp;䥆䱎坞当义彔䅒䕔㕟䅙䝖〨⼲〲㈰ⰬⰬ单⥄_x0018_＀＀_x0018_＀＀_x0008_＀＀_x0001_＀＀_x0001_＀＀豀碵꼝쐕剿䱷0䥆䱎坞当䕌十彅佃䵍呉奟ㅒ〨⼲〲㈰〬⼲〲㈰ⰬⰬ单⥄_x0018_＀＀_x0018_＀＀_x0008_＀＀_x0001_＀＀_x0001_＀＀빷᪟_xDD2F_䁋剿䱷0䥆䱎坞当䕌十彅佃䵍呉奟ㅒ〨⼲〲㌰〬⼲〲㌰ⰬⰬ单⥄_x0018_＀＀_x0018_＀＀_x0008_＀＀_x0001_＀＀_x0001_＀＀⋐᧛䁎剿䱷0䥆䱎坞当䕌十彅佃䵍呉奟ㅒ〨⼲〲㐰〬⼲〲㐰ⰬⰬ单⥄_x0018_＀＀_x0018_＀＀_x0008_＀＀_x0001_＀＀_x0001_＀＀㽽帵ꦺ䁐剿䱷0䥆䱎坞当䕌十彅佃䵍呉奟ㅒ〨⼲〲㔰〬⼲〲㔰ⰬⰬ单⥄_x0018_＀＀_x0018_＀＀_x0008_＀＀_x0001_＀＀_x0001_＀＀堐됹囈䁓剿䱷0䥆䱎坞当䕌十彅佃䵍呉奟ㅒ〨⼲〲㘰〬⼲〲㘰ⰬⰬ单⥄_x0018_＀＀_x0018_＀＀_x0008_＀＀_x0001_＀＀_x0001_＀＀됹盈螾䁕剿䱷\䥆䱎坞当䕒呎䱁佟彐卌彅塅⡐㈰㈯〰ⰶ㈰㈯〰ⰶⰬ唬䑓䀩䅃剟彔䕒呎䵟义䕟偘〨⼲〲㘰〬⼲〲㘰ⰬⰬ单⥄_x0018_＀＀_x0018_＀＀_x0008_＀＀_x0001_＀＀_x0001_＀＀㌳㌳䁕剿䱷0䥆䱎坞当䕌十彅佃䵍呉㕟剙〨⼲〲㈰〬⼲〲㈰ⰬⰬ单⥄_x0018_＀＀_x0018_＀＀_x0008_＀＀_x0001_＀＀_x0001_＀＀䯇褷䁝剿䱷0䥆䱎坞当䕌十彅佃䵍呉奟ㅒ〨⼲〲㜰〬⼲〲㜰ⰬⰬ单⥄_x0018_＀＀_x0018_＀＀_x0008_＀＀_x0001_＀＀_x0001_＀＀璼ᢓꘄ䁘剿䱷0䥆䱎坞当䕌十彅佃䵍呉㕟剙〨⼲〲㌰〬⼲〲㌰ⰬⰬ单⥄_x0018_＀＀_x0018_＀＀_x0008_＀＀_x0001_＀＀_x0001_＀＀䆉꫐䁜剿䱷0䥆䱎坞当䕌十彅佃䵍呉奟ㅒ〨⼲〲㠰〬⼲〲㠰ⰬⰬ单⥄_x0018_＀＀_x0018_＀＀_x0008_＀＀_x0001_＀＀_x0001_＀＀㌳㌳錳䁗剿䱷0䥆䱎坞当䕌十彅佃䵍呉㕟剙〨⼲〲㐰〬⼲〲㐰ⰬⰬ单⥄_x0018_＀＀_x0018_＀＀_x0008_＀＀_x0001_＀＀_x0001_＀＀摚_xDF3B_鵏䁞剿䱷0䥆䱎坞当䕌十彅佃䵍呉奟ㅒ〨⼲〲㤰〬⼲〲㤰ⰬⰬ单⥄_x0018_＀＀_x0018_＀＀_x0008_＀＀_x0001_＀＀_x0001_＀＀๖눭澝䁖剿䱷0䥆䱎坞当䕌十彅佃䵍呉㕟剙〨⼲〲㔰〬⼲〲㔰ⰬⰬ单⥄_x0018_＀＀_x0018_＀＀_x0008_＀＀_x0001_＀＀_x0001_＀＀馚香涙䁣彥䱷_x001E_呌ⵄ单䙞彇剐䍉⡅㄰㌯⼱〲㘰Ⱜ⥄_x0018_＀＀_x0018_＀＀_x0008_＀＀_x0001_＀＀_x0001_＀＀尩슏ꣵ䀷剿䱷0䥆䱎坞当䕌十彅佃䵍呉㕟剙〨⼲〲㘰〬⼲〲㘰ⰬⰬ单⥄_x0018_＀＀_x0018_＀＀_x0008_＀＀_x0001_＀＀_x0001_＀＀꟰䯆ℷ䁥剿䱷0䥆䱎坞当䕌十彅佃䵍呉㕟剙〨⼲〲㜰〬⼲〲㜰ⰬⰬ单⥄_x0018_＀＀_x0018_＀＀_x0008_＀＀_x0001_＀＀_x0001_＀＀鶲꟯毆䁨剿䱷0䥆䱎坞当䕌十彅佃䵍呉㕟剙〨⼲〲㠰〬⼲〲㠰ⰬⰬ单⥄_x0018_＀＀_x0018_＀＀_x0008_＀＀_x0001_＀＀_x0001_＀＀퓽典䁣剿䱷&amp;䥆䱎坞当义彔䅒䕔㕟䅙䝖〨⼲〲㠰ⰬⰬ单⥄_x0018_＀＀_x0018_＀＀_x0008_＀＀_x0001_＀＀_x0001_＀＀豀碵꼝쐕剿䱷0䥆䱎坞当䕌十彅佃䵍呉㕟剙〨⼲〲㤰〬⼲〲㤰ⰬⰬ单⥄_x0018_＀＀_x0018_＀＀_x0008_＀＀_x0001_＀＀_x0001_＀＀＀＀＀＀堀䁜勧䱷_x001E_呌ⵄ单䵞彗䅔彘䅒䕔丨坏Ⱜ∬偒⤢_x0018_＀＀_x0018_＀＀_x0008_＀＀_x0001_＀＀_x0001_＀＀梈ݴᎱ䀿剿䱷0䥆䱎坞当䕌十彅佃䵍呉奟ㅒ〨⼲〲〱〬⼲〲〱ⰬⰬ单⥄_x0018_＀＀_x0018_＀＀_x0008_＀＀_x0001_＀＀_x0001_＀＀轜_xDC28_䁓剿䱷0䥆䱎坞当䕌十彅佃䵍呉奟㉒〨⼲〲㈰〬⼲〲㈰ⰬⰬ单⥄_x0018_＀＀_x0018_＀＀_x0008_＀＀_x0001_＀＀_x0001_＀＀⋐᧛䁋剿䱷0䥆䱎坞当䕌十彅佃䵍呉㕟剙〨⼲〲〱〬⼲〲〱ⰬⰬ单⥄_x0018_＀＀_x0018_＀＀_x0008_＀＀_x0001_＀＀_x0001_＀＀ﷴ磔曩䁐剿䱷0䥆䱎坞当䕌十彅佃䵍呉奟㉒〨⼲〲㌰〬⼲〲㌰ⰬⰬ单⥄_x0018_＀＀_x0018_＀＀_x0008_＀＀_x0001_＀＀_x0001_＀＀멞౉ﬂ䁌剿䱷0䥆䱎坞当䕌十彅佃䵍呉奟㉒〨⼲〲㐰〬⼲〲㐰ⰬⰬ单⥄_x0018_＀＀_x0018_＀＀_x0008_＀＀_x0001_＀＀_x0001_＀＀⼛ⓝĆ䁐剿䱷0䥆䱎坞当䕌十彅佃䵍呉奟㉒〨⼲〲㔰〬⼲〲㔰ⰬⰬ单⥄_x0018_＀＀_x0018_＀＀_x0008_＀＀_x0001_＀＀_x0001_＀＀譄炙䁒剿䱷0䥆䱎坞当䕌十彅佃䵍呉奟㉒〨⼲〲㘰〬⼲〲㘰ⰬⰬ单⥄_x0018_＀＀_x0018_＀＀_x0008_＀＀_x0001_＀＀_x0001_＀＀⬂ᚇﻙ䁔剿䱷0䥆䱎坞当䕌十彅佃䵍呉奟㉒〨⼲〲㜰〬⼲〲㜰ⰬⰬ单⥄_x0018_＀＀_x0018_＀＀_x0008_＀＀_x0001_＀＀_x0001_＀＀ꏗ㵰_xDF0A_䁖剿䱷0䥆䱎坞当䕌十彅佃䵍呉奟㉒〨⼲〲㠰〬⼲〲㠰ⰬⰬ单⥄_x0018_＀＀_x0018_＀＀_x0008_＀＀_x0001_＀＀_x0001_＀＀퓽䁔剿䱷0䥆䱎坞当䕌十彅佃䵍呉奟㉒〨⼲〲㤰〬⼲〲㤰ⰬⰬ单⥄_x0018_＀＀_x0018_＀＀_x0008_＀＀_x0001_＀＀_x0001_＀＀좴빶쪟䁓剿䱷\䥆䱎坞当䕒呎䱁佟彐卌彅塅⡐㈰㈯〰ⰵ㈰㈯〰ⰵⰬ唬䑓䀩䅃剟彔䕒呎䵟义䕟偘〨⼲〲㔰〬⼲〲㔰ⰬⰬ单⥄_x0018_＀＀_x0018_＀＀_x0008_＀＀_x0001_＀＀_x0001_＀＀ꏗ㵰眊䁒剿䱷0䥆䱎坞当䕌十彅佃䵍呉奟㉒〨⼲〲〱〬⼲〲〱ⰬⰬ单⥄_x0018_＀＀_x0018_＀＀_x0008_＀＀_x0001_＀＀_x0001_＀＀ᢓ嘄䔎䁑剿䱷&amp;䥆䱎坞当义彔䅒䕔㕟䅙䝖〨⼲〲㌰ⰬⰬ单⥄_x0018_＀＀_x0018_＀＀_x0008_＀＀_x0001_＀＀_x0001_＀＀豀碵꼝쐕勧䱷_x001A_呌ⵄ单坞当奆⡃⤰䍀彁奆⡃⤰_x0018_＀＀_x0018_＀＀_x0008_＀＀_x0001_＀＀_x0008_＀＀㄰㈯㄰0剿䱷0䥆䱎坞当䕌十彅佃䵍呉奟㍒〨⼲〲㤰〬⼲〲㤰ⰬⰬ单⥄_x0018_＀＀_x0018_＀＀_x0008_＀＀_x0001_＀＀_x0001_＀＀ꧻ櫱䁑剿䱷&amp;䥆䱎坞当义彔䅒䕔㕟䅙䝖〨⼲〲㤰ⰬⰬ单⥄_x0018_＀＀_x0018_＀＀_x0008_＀＀_x0001_＀＀_x0001_＀＀豀碵꼝쐕勧䱷_x0015_呌ⵄ单坞当卉彏佃䕄〨착_x0014_＀＀_x0018_＀＀_x0004_＀＀_x0001_＀＀_x0008_＀＀单D剿䱷0䥆䱎坞当䕌十彅佃䵍呉奟㍒〨⼲〲㈰〬⼲〲㈰ⰬⰬ单⥄_x0018_＀＀_x0018_＀＀_x0008_＀＀_x0001_＀＀_x0001_＀＀璼ᢓ瘄䁉剿䱷0䥆䱎坞当䕌十彅佃䵍呉奟㍒〨⼲〲㌰〬⼲〲㌰ⰬⰬ单⥄_x0018_＀＀_x0018_＀＀_x0008_＀＀_x0001_＀＀_x0001_＀＀욨㝋膉䁋剿䱷0䥆䱎坞当䕌十彅佃䵍呉奟㍒〨⼲〲㐰〬⼲〲㐰ⰬⰬ单⥄_x0018_＀＀_x0018_＀＀_x0008_＀＀_x0001_＀＀_x0001_＀＀됹盈澾䁎彥䱷_x001E_呌ⵄ单䙞彇剐䍉⡅㄰㌯⼱〲〱Ⱜ⥄_x0018_＀＀_x0018_＀＀_x0008_＀＀_x0001_＀＀_x0001_＀＀롑Ԟ䀳剿䱷0䥆䱎坞当䕌十彅佃䵍呉奟㍒〨⼲〲㔰〬⼲〲㔰ⰬⰬ单⥄_x0018_＀＀_x0018_＀＀_x0008_＀＀_x0001_＀＀_x0001_＀＀娝㭤域䁒剿䱷0䥆䱎坞当䕌十彅佃䵍呉奟㍒〨⼲〲㘰〬⼲〲㘰ⰬⰬ单⥄_x0018_＀＀_x0018_＀＀_x0008_＀＀_x0001_＀＀_x0001_＀＀ၢ㥘㢴䁓剿䱷0䥆䱎坞当䕌十彅佃䵍呉奟㍒〨⼲〲㜰〬⼲〲㜰ⰬⰬ单⥄_x0018_＀＀_x0018_＀＀_x0008_＀＀_x0001_＀＀_x0001_＀＀䯇褷⡁䁔剿䱷0䥆䱎坞当䕌十彅佃䵍呉奟㍒〨⼲〲㠰〬⼲〲㠰ⰬⰬ单⥄_x0018_＀＀_x0018_＀＀_x0008_＀＀_x0001_＀＀_x0001_＀＀嘄ⴎᖲ䁒彥䱷_x001E_呌ⵄ单䙞彇剐䍉⡅㄰㌯⼱〲㔰Ⱜ⥄_x0018_＀＀_x0018_＀＀_x0008_＀＀_x0001_＀＀_x0001_＀＀㌳㌳댳䀷剿䱷0䥆䱎坞当䕌十彅佃䵍呉奟㍒〨⼲〲〱〬⼲〲〱ⰬⰬ单⥄_x0018_＀＀_x0018_＀＀_x0008_＀＀_x0001_＀＀_x0001_＀＀쒜뀠㡲䁎剿䱷\䥆䱎坞当䕒呎䱁佟彐卌彅塅⡐㈰㈯〰ⰴ㈰㈯〰ⰴⰬ唬䑓䀩䅃剟彔䕒呎䵟义䕟偘〨⼲〲㐰〬⼲〲㐰ⰬⰬ单⥄_x0018_＀＀_x0018_＀＀_x0008_＀＀_x0001_＀＀_x0001_＀＀娝㭤㿟䁑剿䱷0䥆䱎坞当䕌十彅佃䵍呉奟㑒〨⼲〲㈰〬⼲〲㈰ⰬⰬ单⥄_x0018_＀＀_x0018_＀＀_x0008_＀＀_x0001_＀＀_x0001_＀＀ၢ㥘䁇剿䱷0䥆䱎坞当䕌十彅佃䵍呉奟㑒〨⼲〲㌰〬⼲〲㌰ⰬⰬ单⥄_x0018_＀＀_x0018_＀＀_x0008_＀＀_x0001_＀＀_x0001_＀＀馚香蓮䁉剿䱷0䥆䱎坞当䕌十彅佃䵍呉奟㑒〨⼲〲㐰〬⼲〲㐰ⰬⰬ单⥄_x0018_＀＀_x0018_＀＀_x0008_＀＀_x0001_＀＀_x0001_＀＀슏⣵⽜䁍剿䱷0䥆䱎坞当䕌十彅佃䵍呉奟㑒〨⼲〲㔰〬⼲〲㔰ⰬⰬ单⥄_x0018_＀＀_x0018_＀＀_x0008_＀＀_x0001_＀＀_x0001_＀＀㽽帵覺䁐剿䱷&amp;䥆䱎坞当义彔䅒䕔㕟䅙䝖〨⼲〲㐰ⰬⰬ单⥄_x0018_＀＀_x0018_＀＀_x0008_＀＀_x0001_＀＀_x0001_＀＀豀碵꼝쐕剿䱷0䥆䱎坞当䕌十彅佃䵍呉奟㑒〨⼲〲㘰〬⼲〲㘰ⰬⰬ单⥄_x0018_＀＀_x0018_＀＀_x0008_＀＀_x0001_＀＀_x0001_＀＀帵䦺舌䁐剿䱷0䥆䱎坞当䕌十彅佃䵍呉奟㑒〨⼲〲㜰〬⼲〲㜰ⰬⰬ单⥄_x0018_＀＀_x0018_＀＀_x0008_＀＀_x0001_＀＀_x0001_＀＀๖눭枝䁑剿䱷0䥆䱎坞当䕌十彅佃䵍呉奟㑒〨⼲〲㠰〬⼲〲㠰ⰬⰬ单⥄_x0018_＀＀_x0018_＀＀_x0008_＀＀_x0001_＀＀_x0001_＀＀⋐䇛䁐剿䱷0䥆䱎坞当䕌十彅佃䵍呉奟㑒〨⼲〲㤰〬⼲〲㤰ⰬⰬ单⥄_x0018_＀＀_x0018_＀＀_x0008_＀＀_x0001_＀＀_x0001_＀＀㔿멞䱉䁏剿䱷&amp;䥆䱎坞当义彔䅒䕔㕟䅙䝖〨⼲〲〱ⰬⰬ单⥄_x0018_＀＀_x0018_＀＀_x0008_＀＀_x0001_＀＀_x0001_＀＀豀碵꼝쐕剾䱷_x001C_䥆䱎䵞彗䅔彘䅒䕔丨坏Ⱜ∬偒⤢_x0018_＀＀_x0018_＀＀_x0008_＀＀_x0001_＀＀_x0001_＀＀쬿쓮䀽剿䱷0䥆䱎坞当䕌十彅佃䵍呉奟㑒〨⼲〲〱〬⼲〲〱ⰬⰬ单⥄_x0018_＀＀_x0018_＀＀_x0008_＀＀_x0001_＀＀_x0001_＀＀⋑率ꩾ䁊剿䱷0䥆䱎坞当䕌十彅佃䵍呉奟㕒〨⼲〲㈰〬⼲〲㈰ⰬⰬ单⥄_x0018_＀＀_x0018_＀＀_x0008_＀＀_x0001_＀＀_x0001_＀＀嘄ⴎ網䁆剿䱷0䥆䱎坞当䕌十彅佃䵍呉奟㕒〨⼲〲㌰〬⼲〲㌰ⰬⰬ单⥄_x0018_＀＀_x0018_＀＀_x0008_＀＀_x0001_＀＀_x0001_＀＀尨튏䁈剿䱷0䥆䱎坞当䕌十彅佃䵍呉奟㕒〨⼲〲㐰〬⼲〲㐰ⰬⰬ单⥄_x0018_＀＀_x0018_＀＀_x0008_＀＀_x0001_＀＀_x0001_＀＀_xD917_ꍓ䁉剿䱷0䥆䱎坞当䕌十彅佃䵍呉奟㕒〨⼲〲㔰〬⼲〲㔰ⰬⰬ单⥄_x0018_＀＀_x0018_＀＀_x0008_＀＀_x0001_＀＀_x0001_＀＀⋐꧛䁋剿䱷0䥆䱎坞当䕌十彅佃䵍呉奟㕒〨⼲〲㘰〬⼲〲㘰ⰬⰬ单⥄_x0018_＀＀_x0018_＀＀_x0008_＀＀_x0001_＀＀_x0001_＀＀㌳㌳猳䁋剿䱷0䥆䱎坞当䕌十彅佃䵍呉奟㕒〨⼲〲㜰〬⼲〲㜰ⰬⰬ单⥄_x0018_＀＀_x0018_＀＀_x0008_＀＀_x0001_＀＀_x0001_＀＀䷓ၢ奘䁏剿䱷0䥆䱎坞当䕌十彅佃䵍呉奟㕒〨⼲〲㠰〬⼲〲㠰ⰬⰬ单⥄_x0018_＀＀_x0018_＀＀_x0008_＀＀_x0001_＀＀_x0001_＀＀晦晦뙦䁍剿䱷\䥆䱎坞当䕒呎䱁佟彐卌彅塅⡐㈰㈯〰ⰳ㈰㈯〰ⰳⰬ唬䑓䀩䅃剟彔䕒呎䵟义䕟偘〨⼲〲㌰〬⼲〲㌰ⰬⰬ单⥄_x0018_＀＀_x0018_＀＀_x0008_＀＀_x0001_＀＀_x0001_＀＀㭤俟잍䁍彥䱷_x001E_呌ⵄ单䙞彇剐䍉⡅㄰㌯⼱〲㤰Ⱜ⥄_x0018_＀＀_x0018_＀＀_x0008_＀＀_x0001_＀＀_x0001_＀＀䞮竡긔䀟剿䱷0䥆䱎坞当䕌十彅佃䵍呉奟㕒〨⼲〲㤰〬⼲〲㤰ⰬⰬ单⥄_x0018_＀＀_x0018_＀＀_x0008_＀＀_x0001_＀＀_x0001_＀＀Ȍ蜫礖䁌剿䱷0䥆䱎坞当䕌十彅佃䵍呉奟㕒〨⼲〲〱〬⼲〲〱ⰬⰬ单⥄_x0018_＀＀_x0018_＀＀_x0008_＀＀_x0001_＀＀_x0001_＀＀磕⛩䁄剼䱷_x000F_䥆䱎坞当佃也䵁책(＀＀_x0018_＀＀_x0018_＀＀_x0001_＀＀_x0008_＀＀䥆䥎䡓䰠义ⱅ䤠䍎‮吨䕈)剿䱷\䥆䱎坞当䕒呎䱁佟彐卌彅塅⡐㈰㈯㄰ⰰ㈰㈯㄰ⰰⰬ唬䑓䀩䅃剟彔䕒呎䵟义䕟偘〨⼲〲〱〬⼲〲〱ⰬⰬ单⥄_x0018_＀＀_x0018_＀＀_x0008_＀＀_x0001_＀＀_x0001_＀＀_xDD2F_ؤꖁ䁔彥䱷_x001E_呌ⵄ单䙞彇剐䍉⡅㄰㌯⼱〲㐰Ⱜ⥄_x0018_＀＀_x0018_＀＀_x0008_＀＀_x0001_＀＀_x0001_＀＀㌳㌳㌳䀲</t>
        </r>
      </text>
    </comment>
    <comment ref="B1" authorId="0">
      <text>
        <r>
          <rPr>
            <b/>
            <sz val="8"/>
            <color indexed="81"/>
            <rFont val="Tahoma"/>
            <family val="2"/>
          </rPr>
          <t>4382</t>
        </r>
      </text>
    </comment>
  </commentList>
</comments>
</file>

<file path=xl/comments2.xml><?xml version="1.0" encoding="utf-8"?>
<comments xmlns="http://schemas.openxmlformats.org/spreadsheetml/2006/main">
  <authors>
    <author>pw64212</author>
    <author>mm98285</author>
    <author>sancfa</author>
    <author>Cassel, Lauren (Research)</author>
    <author>TI23070</author>
    <author>ti23070</author>
    <author>nicholjs</author>
    <author>casselau</author>
    <author>Mains, Spencer (Research)</author>
  </authors>
  <commentList>
    <comment ref="I12" authorId="0">
      <text>
        <r>
          <rPr>
            <b/>
            <sz val="8"/>
            <color indexed="81"/>
            <rFont val="Tahoma"/>
            <family val="2"/>
          </rPr>
          <t>pw64212:</t>
        </r>
        <r>
          <rPr>
            <sz val="8"/>
            <color indexed="81"/>
            <rFont val="Tahoma"/>
            <family val="2"/>
          </rPr>
          <t xml:space="preserve">
traffic down</t>
        </r>
      </text>
    </comment>
    <comment ref="G13" authorId="1">
      <text>
        <r>
          <rPr>
            <b/>
            <sz val="8"/>
            <color indexed="81"/>
            <rFont val="Tahoma"/>
            <family val="2"/>
          </rPr>
          <t>mm98285:</t>
        </r>
        <r>
          <rPr>
            <sz val="8"/>
            <color indexed="81"/>
            <rFont val="Tahoma"/>
            <family val="2"/>
          </rPr>
          <t xml:space="preserve">
traffic +HSD</t>
        </r>
      </text>
    </comment>
    <comment ref="F16" authorId="2">
      <text>
        <r>
          <rPr>
            <b/>
            <sz val="8"/>
            <color indexed="81"/>
            <rFont val="Tahoma"/>
            <family val="2"/>
          </rPr>
          <t>sancfa:</t>
        </r>
        <r>
          <rPr>
            <sz val="8"/>
            <color indexed="81"/>
            <rFont val="Tahoma"/>
            <family val="2"/>
          </rPr>
          <t xml:space="preserve">
Significant increase in total transactions. Transactions were up versus last year, driven by traffic and improvement in our conversion rate.</t>
        </r>
      </text>
    </comment>
    <comment ref="I21" authorId="3">
      <text>
        <r>
          <rPr>
            <b/>
            <sz val="9"/>
            <color indexed="81"/>
            <rFont val="Tahoma"/>
            <family val="2"/>
          </rPr>
          <t>Cassel, Lauren (Research):</t>
        </r>
        <r>
          <rPr>
            <sz val="9"/>
            <color indexed="81"/>
            <rFont val="Tahoma"/>
            <family val="2"/>
          </rPr>
          <t xml:space="preserve">
traffic down at both brands</t>
        </r>
      </text>
    </comment>
    <comment ref="P21" authorId="3">
      <text>
        <r>
          <rPr>
            <b/>
            <sz val="9"/>
            <color indexed="81"/>
            <rFont val="Tahoma"/>
            <family val="2"/>
          </rPr>
          <t>Cassel, Lauren (Research):</t>
        </r>
        <r>
          <rPr>
            <sz val="9"/>
            <color indexed="81"/>
            <rFont val="Tahoma"/>
            <family val="2"/>
          </rPr>
          <t xml:space="preserve">
December mall traffic -10%; VS store traffic -10% through first three weeks; last two weeks nicely positive to get to -MSD for the month</t>
        </r>
      </text>
    </comment>
    <comment ref="J22" authorId="3">
      <text>
        <r>
          <rPr>
            <b/>
            <sz val="9"/>
            <color indexed="81"/>
            <rFont val="Tahoma"/>
            <family val="2"/>
          </rPr>
          <t>Cassel, Lauren (Research):</t>
        </r>
        <r>
          <rPr>
            <sz val="9"/>
            <color indexed="81"/>
            <rFont val="Tahoma"/>
            <family val="2"/>
          </rPr>
          <t xml:space="preserve">
-HSD decline in traffic, partially due to a pullback in promotional activity compared to LY. </t>
        </r>
      </text>
    </comment>
    <comment ref="H29" authorId="0">
      <text>
        <r>
          <rPr>
            <b/>
            <sz val="8"/>
            <color indexed="81"/>
            <rFont val="Tahoma"/>
            <family val="2"/>
          </rPr>
          <t>pw64212:</t>
        </r>
        <r>
          <rPr>
            <sz val="8"/>
            <color indexed="81"/>
            <rFont val="Tahoma"/>
            <family val="2"/>
          </rPr>
          <t xml:space="preserve">
AUR -12%</t>
        </r>
      </text>
    </comment>
    <comment ref="R30" authorId="1">
      <text>
        <r>
          <rPr>
            <b/>
            <sz val="8"/>
            <color indexed="81"/>
            <rFont val="Tahoma"/>
            <family val="2"/>
          </rPr>
          <t>mm98285:</t>
        </r>
        <r>
          <rPr>
            <sz val="8"/>
            <color indexed="81"/>
            <rFont val="Tahoma"/>
            <family val="2"/>
          </rPr>
          <t xml:space="preserve">
AUR down partially offset by higher UPT</t>
        </r>
      </text>
    </comment>
    <comment ref="G31" authorId="4">
      <text>
        <r>
          <rPr>
            <b/>
            <sz val="8"/>
            <color indexed="81"/>
            <rFont val="Tahoma"/>
            <family val="2"/>
          </rPr>
          <t>TI23070:</t>
        </r>
        <r>
          <rPr>
            <sz val="8"/>
            <color indexed="81"/>
            <rFont val="Tahoma"/>
            <family val="2"/>
          </rPr>
          <t xml:space="preserve">
AUR -Hteens; UPT +Lteens</t>
        </r>
      </text>
    </comment>
    <comment ref="L31" authorId="4">
      <text>
        <r>
          <rPr>
            <b/>
            <sz val="8"/>
            <color indexed="81"/>
            <rFont val="Tahoma"/>
            <family val="2"/>
          </rPr>
          <t>TI23070:</t>
        </r>
        <r>
          <rPr>
            <sz val="8"/>
            <color indexed="81"/>
            <rFont val="Tahoma"/>
            <family val="2"/>
          </rPr>
          <t xml:space="preserve">
aur -HSD; upt positive</t>
        </r>
      </text>
    </comment>
    <comment ref="E32" authorId="5">
      <text>
        <r>
          <rPr>
            <b/>
            <sz val="8"/>
            <color indexed="81"/>
            <rFont val="Tahoma"/>
            <family val="2"/>
          </rPr>
          <t>ti23070:</t>
        </r>
        <r>
          <rPr>
            <sz val="8"/>
            <color indexed="81"/>
            <rFont val="Tahoma"/>
            <family val="2"/>
          </rPr>
          <t xml:space="preserve">
AUR flat</t>
        </r>
      </text>
    </comment>
    <comment ref="G32" authorId="4">
      <text>
        <r>
          <rPr>
            <b/>
            <sz val="8"/>
            <color indexed="81"/>
            <rFont val="Tahoma"/>
            <family val="2"/>
          </rPr>
          <t>TI23070:</t>
        </r>
        <r>
          <rPr>
            <sz val="8"/>
            <color indexed="81"/>
            <rFont val="Tahoma"/>
            <family val="2"/>
          </rPr>
          <t xml:space="preserve">
AUR up on lower promos</t>
        </r>
      </text>
    </comment>
    <comment ref="H32" authorId="6">
      <text>
        <r>
          <rPr>
            <b/>
            <sz val="8"/>
            <color indexed="81"/>
            <rFont val="Tahoma"/>
            <family val="2"/>
          </rPr>
          <t>nicholjs:</t>
        </r>
        <r>
          <rPr>
            <sz val="8"/>
            <color indexed="81"/>
            <rFont val="Tahoma"/>
            <family val="2"/>
          </rPr>
          <t xml:space="preserve">
UPT, AUR up slightly</t>
        </r>
      </text>
    </comment>
    <comment ref="I32" authorId="6">
      <text>
        <r>
          <rPr>
            <b/>
            <sz val="8"/>
            <color indexed="81"/>
            <rFont val="Tahoma"/>
            <family val="2"/>
          </rPr>
          <t>nicholjs:</t>
        </r>
        <r>
          <rPr>
            <sz val="8"/>
            <color indexed="81"/>
            <rFont val="Tahoma"/>
            <family val="2"/>
          </rPr>
          <t xml:space="preserve">
AUR up</t>
        </r>
      </text>
    </comment>
    <comment ref="P35" authorId="7">
      <text>
        <r>
          <rPr>
            <b/>
            <sz val="8"/>
            <color indexed="81"/>
            <rFont val="Tahoma"/>
            <family val="2"/>
          </rPr>
          <t>casselau:</t>
        </r>
        <r>
          <rPr>
            <sz val="8"/>
            <color indexed="81"/>
            <rFont val="Tahoma"/>
            <family val="2"/>
          </rPr>
          <t xml:space="preserve">
AUR -HSD</t>
        </r>
      </text>
    </comment>
    <comment ref="Q35" authorId="7">
      <text>
        <r>
          <rPr>
            <b/>
            <sz val="8"/>
            <color indexed="81"/>
            <rFont val="Tahoma"/>
            <family val="2"/>
          </rPr>
          <t>casselau:</t>
        </r>
        <r>
          <rPr>
            <sz val="8"/>
            <color indexed="81"/>
            <rFont val="Tahoma"/>
            <family val="2"/>
          </rPr>
          <t xml:space="preserve">
AUR roughly flat, down a little</t>
        </r>
      </text>
    </comment>
    <comment ref="C36" authorId="7">
      <text>
        <r>
          <rPr>
            <b/>
            <sz val="8"/>
            <color indexed="81"/>
            <rFont val="Tahoma"/>
            <family val="2"/>
          </rPr>
          <t>casselau:</t>
        </r>
        <r>
          <rPr>
            <sz val="8"/>
            <color indexed="81"/>
            <rFont val="Tahoma"/>
            <family val="2"/>
          </rPr>
          <t xml:space="preserve">
AUR down slightly</t>
        </r>
      </text>
    </comment>
    <comment ref="D36" authorId="7">
      <text>
        <r>
          <rPr>
            <b/>
            <sz val="9"/>
            <color indexed="81"/>
            <rFont val="Tahoma"/>
            <family val="2"/>
          </rPr>
          <t>casselau:</t>
        </r>
        <r>
          <rPr>
            <sz val="9"/>
            <color indexed="81"/>
            <rFont val="Tahoma"/>
            <family val="2"/>
          </rPr>
          <t xml:space="preserve">
AUR +LSD</t>
        </r>
      </text>
    </comment>
    <comment ref="E36" authorId="7">
      <text>
        <r>
          <rPr>
            <b/>
            <sz val="9"/>
            <color indexed="81"/>
            <rFont val="Tahoma"/>
            <family val="2"/>
          </rPr>
          <t>casselau:</t>
        </r>
        <r>
          <rPr>
            <sz val="9"/>
            <color indexed="81"/>
            <rFont val="Tahoma"/>
            <family val="2"/>
          </rPr>
          <t xml:space="preserve">
both AUR and UPT driven
</t>
        </r>
      </text>
    </comment>
    <comment ref="G36" authorId="7">
      <text>
        <r>
          <rPr>
            <b/>
            <sz val="9"/>
            <color indexed="81"/>
            <rFont val="Tahoma"/>
            <family val="2"/>
          </rPr>
          <t>casselau:</t>
        </r>
        <r>
          <rPr>
            <sz val="9"/>
            <color indexed="81"/>
            <rFont val="Tahoma"/>
            <family val="2"/>
          </rPr>
          <t xml:space="preserve">
AUR up</t>
        </r>
      </text>
    </comment>
    <comment ref="K36" authorId="7">
      <text>
        <r>
          <rPr>
            <b/>
            <sz val="9"/>
            <color indexed="81"/>
            <rFont val="Tahoma"/>
            <family val="2"/>
          </rPr>
          <t>casselau:</t>
        </r>
        <r>
          <rPr>
            <sz val="9"/>
            <color indexed="81"/>
            <rFont val="Tahoma"/>
            <family val="2"/>
          </rPr>
          <t xml:space="preserve">
AUR flat</t>
        </r>
      </text>
    </comment>
    <comment ref="L36" authorId="7">
      <text>
        <r>
          <rPr>
            <b/>
            <sz val="9"/>
            <color indexed="81"/>
            <rFont val="Tahoma"/>
            <family val="2"/>
          </rPr>
          <t>casselau:</t>
        </r>
        <r>
          <rPr>
            <sz val="9"/>
            <color indexed="81"/>
            <rFont val="Tahoma"/>
            <family val="2"/>
          </rPr>
          <t xml:space="preserve">
AUR flat</t>
        </r>
      </text>
    </comment>
    <comment ref="M36" authorId="7">
      <text>
        <r>
          <rPr>
            <b/>
            <sz val="9"/>
            <color indexed="81"/>
            <rFont val="Tahoma"/>
            <family val="2"/>
          </rPr>
          <t>casselau:</t>
        </r>
        <r>
          <rPr>
            <sz val="9"/>
            <color indexed="81"/>
            <rFont val="Tahoma"/>
            <family val="2"/>
          </rPr>
          <t xml:space="preserve">
AUR up
</t>
        </r>
      </text>
    </comment>
    <comment ref="N36" authorId="7">
      <text>
        <r>
          <rPr>
            <b/>
            <sz val="9"/>
            <color indexed="81"/>
            <rFont val="Tahoma"/>
            <family val="2"/>
          </rPr>
          <t>casselau:</t>
        </r>
        <r>
          <rPr>
            <sz val="9"/>
            <color indexed="81"/>
            <rFont val="Tahoma"/>
            <family val="2"/>
          </rPr>
          <t xml:space="preserve">
AUR up slightly</t>
        </r>
      </text>
    </comment>
    <comment ref="O36" authorId="7">
      <text>
        <r>
          <rPr>
            <b/>
            <sz val="9"/>
            <color indexed="81"/>
            <rFont val="Tahoma"/>
            <family val="2"/>
          </rPr>
          <t>casselau:</t>
        </r>
        <r>
          <rPr>
            <sz val="9"/>
            <color indexed="81"/>
            <rFont val="Tahoma"/>
            <family val="2"/>
          </rPr>
          <t xml:space="preserve">
AUR flat</t>
        </r>
      </text>
    </comment>
    <comment ref="Q36" authorId="7">
      <text>
        <r>
          <rPr>
            <b/>
            <sz val="9"/>
            <color indexed="81"/>
            <rFont val="Tahoma"/>
            <family val="2"/>
          </rPr>
          <t>casselau:</t>
        </r>
        <r>
          <rPr>
            <sz val="9"/>
            <color indexed="81"/>
            <rFont val="Tahoma"/>
            <family val="2"/>
          </rPr>
          <t xml:space="preserve">
AUR up strongly</t>
        </r>
      </text>
    </comment>
    <comment ref="C37" authorId="7">
      <text>
        <r>
          <rPr>
            <b/>
            <sz val="9"/>
            <color indexed="81"/>
            <rFont val="Tahoma"/>
            <family val="2"/>
          </rPr>
          <t>casselau:</t>
        </r>
        <r>
          <rPr>
            <sz val="9"/>
            <color indexed="81"/>
            <rFont val="Tahoma"/>
            <family val="2"/>
          </rPr>
          <t xml:space="preserve">
AUR up
</t>
        </r>
      </text>
    </comment>
    <comment ref="D37" authorId="7">
      <text>
        <r>
          <rPr>
            <b/>
            <sz val="9"/>
            <color indexed="81"/>
            <rFont val="Tahoma"/>
            <family val="2"/>
          </rPr>
          <t>casselau:</t>
        </r>
        <r>
          <rPr>
            <sz val="9"/>
            <color indexed="81"/>
            <rFont val="Tahoma"/>
            <family val="2"/>
          </rPr>
          <t xml:space="preserve">
AUR up</t>
        </r>
      </text>
    </comment>
    <comment ref="E37" authorId="7">
      <text>
        <r>
          <rPr>
            <b/>
            <sz val="9"/>
            <color indexed="81"/>
            <rFont val="Tahoma"/>
            <family val="2"/>
          </rPr>
          <t>casselau:</t>
        </r>
        <r>
          <rPr>
            <sz val="9"/>
            <color indexed="81"/>
            <rFont val="Tahoma"/>
            <family val="2"/>
          </rPr>
          <t xml:space="preserve">
AUR up</t>
        </r>
      </text>
    </comment>
    <comment ref="F37" authorId="7">
      <text>
        <r>
          <rPr>
            <b/>
            <sz val="9"/>
            <color indexed="81"/>
            <rFont val="Tahoma"/>
            <family val="2"/>
          </rPr>
          <t>casselau:</t>
        </r>
        <r>
          <rPr>
            <sz val="9"/>
            <color indexed="81"/>
            <rFont val="Tahoma"/>
            <family val="2"/>
          </rPr>
          <t xml:space="preserve">
AUR up</t>
        </r>
      </text>
    </comment>
    <comment ref="G37" authorId="7">
      <text>
        <r>
          <rPr>
            <b/>
            <sz val="9"/>
            <color indexed="81"/>
            <rFont val="Tahoma"/>
            <family val="2"/>
          </rPr>
          <t>casselau:</t>
        </r>
        <r>
          <rPr>
            <sz val="9"/>
            <color indexed="81"/>
            <rFont val="Tahoma"/>
            <family val="2"/>
          </rPr>
          <t xml:space="preserve">
AUR up</t>
        </r>
      </text>
    </comment>
    <comment ref="H37" authorId="7">
      <text>
        <r>
          <rPr>
            <b/>
            <sz val="9"/>
            <color indexed="81"/>
            <rFont val="Tahoma"/>
            <family val="2"/>
          </rPr>
          <t>casselau:</t>
        </r>
        <r>
          <rPr>
            <sz val="9"/>
            <color indexed="81"/>
            <rFont val="Tahoma"/>
            <family val="2"/>
          </rPr>
          <t xml:space="preserve">
AUR up</t>
        </r>
      </text>
    </comment>
    <comment ref="I37" authorId="7">
      <text>
        <r>
          <rPr>
            <b/>
            <sz val="9"/>
            <color indexed="81"/>
            <rFont val="Tahoma"/>
            <family val="2"/>
          </rPr>
          <t>casselau:</t>
        </r>
        <r>
          <rPr>
            <sz val="9"/>
            <color indexed="81"/>
            <rFont val="Tahoma"/>
            <family val="2"/>
          </rPr>
          <t xml:space="preserve">
AUR down</t>
        </r>
      </text>
    </comment>
    <comment ref="K37" authorId="8">
      <text>
        <r>
          <rPr>
            <b/>
            <sz val="9"/>
            <color indexed="81"/>
            <rFont val="Tahoma"/>
            <family val="2"/>
          </rPr>
          <t>Mains, Spencer (Research):</t>
        </r>
        <r>
          <rPr>
            <sz val="9"/>
            <color indexed="81"/>
            <rFont val="Tahoma"/>
            <family val="2"/>
          </rPr>
          <t xml:space="preserve">
AUR +MSD (up about in-line with A$S)</t>
        </r>
      </text>
    </comment>
    <comment ref="L37" authorId="7">
      <text>
        <r>
          <rPr>
            <b/>
            <sz val="9"/>
            <color indexed="81"/>
            <rFont val="Tahoma"/>
            <family val="2"/>
          </rPr>
          <t>casselau:</t>
        </r>
        <r>
          <rPr>
            <sz val="9"/>
            <color indexed="81"/>
            <rFont val="Tahoma"/>
            <family val="2"/>
          </rPr>
          <t xml:space="preserve">
AUR down slightly, more than ADS</t>
        </r>
      </text>
    </comment>
    <comment ref="M37" authorId="7">
      <text>
        <r>
          <rPr>
            <b/>
            <sz val="9"/>
            <color indexed="81"/>
            <rFont val="Tahoma"/>
            <family val="2"/>
          </rPr>
          <t>casselau:</t>
        </r>
        <r>
          <rPr>
            <sz val="9"/>
            <color indexed="81"/>
            <rFont val="Tahoma"/>
            <family val="2"/>
          </rPr>
          <t xml:space="preserve">
AUR up
</t>
        </r>
      </text>
    </comment>
    <comment ref="O37" authorId="7">
      <text>
        <r>
          <rPr>
            <b/>
            <sz val="9"/>
            <color indexed="81"/>
            <rFont val="Tahoma"/>
            <family val="2"/>
          </rPr>
          <t>casselau:</t>
        </r>
        <r>
          <rPr>
            <sz val="9"/>
            <color indexed="81"/>
            <rFont val="Tahoma"/>
            <family val="2"/>
          </rPr>
          <t xml:space="preserve">
AUR up +DD</t>
        </r>
      </text>
    </comment>
    <comment ref="P37" authorId="7">
      <text>
        <r>
          <rPr>
            <b/>
            <sz val="9"/>
            <color indexed="81"/>
            <rFont val="Tahoma"/>
            <family val="2"/>
          </rPr>
          <t>casselau:</t>
        </r>
        <r>
          <rPr>
            <sz val="9"/>
            <color indexed="81"/>
            <rFont val="Tahoma"/>
            <family val="2"/>
          </rPr>
          <t xml:space="preserve">
AUR up +DD
Combination of more full price selling and mix impact both from out of beauty and into lingerie and PINK. Within beauty, sold less units at higher price points. The restaged body care line is at a higher price point and we’re not doing the same multiples pricing that we used to.</t>
        </r>
      </text>
    </comment>
    <comment ref="Q37" authorId="7">
      <text>
        <r>
          <rPr>
            <b/>
            <sz val="9"/>
            <color indexed="81"/>
            <rFont val="Tahoma"/>
            <family val="2"/>
          </rPr>
          <t>casselau:</t>
        </r>
        <r>
          <rPr>
            <sz val="9"/>
            <color indexed="81"/>
            <rFont val="Tahoma"/>
            <family val="2"/>
          </rPr>
          <t xml:space="preserve">
AUR up
</t>
        </r>
      </text>
    </comment>
    <comment ref="R37" authorId="7">
      <text>
        <r>
          <rPr>
            <b/>
            <sz val="9"/>
            <color indexed="81"/>
            <rFont val="Tahoma"/>
            <family val="2"/>
          </rPr>
          <t>casselau:</t>
        </r>
        <r>
          <rPr>
            <sz val="9"/>
            <color indexed="81"/>
            <rFont val="Tahoma"/>
            <family val="2"/>
          </rPr>
          <t xml:space="preserve">
AUR Up</t>
        </r>
      </text>
    </comment>
    <comment ref="C38" authorId="7">
      <text>
        <r>
          <rPr>
            <b/>
            <sz val="9"/>
            <color indexed="81"/>
            <rFont val="Tahoma"/>
            <family val="2"/>
          </rPr>
          <t>casselau:</t>
        </r>
        <r>
          <rPr>
            <sz val="9"/>
            <color indexed="81"/>
            <rFont val="Tahoma"/>
            <family val="2"/>
          </rPr>
          <t xml:space="preserve">
AUR flat</t>
        </r>
      </text>
    </comment>
    <comment ref="D38" authorId="7">
      <text>
        <r>
          <rPr>
            <b/>
            <sz val="9"/>
            <color indexed="81"/>
            <rFont val="Tahoma"/>
            <family val="2"/>
          </rPr>
          <t>casselau:</t>
        </r>
        <r>
          <rPr>
            <sz val="9"/>
            <color indexed="81"/>
            <rFont val="Tahoma"/>
            <family val="2"/>
          </rPr>
          <t xml:space="preserve">
AUR +LSD
</t>
        </r>
      </text>
    </comment>
    <comment ref="E38" authorId="3">
      <text>
        <r>
          <rPr>
            <b/>
            <sz val="9"/>
            <color indexed="81"/>
            <rFont val="Tahoma"/>
            <family val="2"/>
          </rPr>
          <t>Cassel, Lauren (Research):</t>
        </r>
        <r>
          <rPr>
            <sz val="9"/>
            <color indexed="81"/>
            <rFont val="Tahoma"/>
            <family val="2"/>
          </rPr>
          <t xml:space="preserve">
AUR down</t>
        </r>
      </text>
    </comment>
    <comment ref="G38" authorId="3">
      <text>
        <r>
          <rPr>
            <b/>
            <sz val="9"/>
            <color indexed="81"/>
            <rFont val="Tahoma"/>
            <family val="2"/>
          </rPr>
          <t>Cassel, Lauren (Research):</t>
        </r>
        <r>
          <rPr>
            <sz val="9"/>
            <color indexed="81"/>
            <rFont val="Tahoma"/>
            <family val="2"/>
          </rPr>
          <t xml:space="preserve">
AUR up</t>
        </r>
      </text>
    </comment>
    <comment ref="H38" authorId="3">
      <text>
        <r>
          <rPr>
            <b/>
            <sz val="9"/>
            <color indexed="81"/>
            <rFont val="Tahoma"/>
            <family val="2"/>
          </rPr>
          <t>Cassel, Lauren (Research):</t>
        </r>
        <r>
          <rPr>
            <sz val="9"/>
            <color indexed="81"/>
            <rFont val="Tahoma"/>
            <family val="2"/>
          </rPr>
          <t xml:space="preserve">
AUR -MSD</t>
        </r>
      </text>
    </comment>
    <comment ref="I38" authorId="3">
      <text>
        <r>
          <rPr>
            <b/>
            <sz val="9"/>
            <color indexed="81"/>
            <rFont val="Tahoma"/>
            <family val="2"/>
          </rPr>
          <t>Cassel, Lauren (Research):</t>
        </r>
        <r>
          <rPr>
            <sz val="9"/>
            <color indexed="81"/>
            <rFont val="Tahoma"/>
            <family val="2"/>
          </rPr>
          <t xml:space="preserve">
AUR down</t>
        </r>
      </text>
    </comment>
    <comment ref="J38" authorId="3">
      <text>
        <r>
          <rPr>
            <b/>
            <sz val="9"/>
            <color indexed="81"/>
            <rFont val="Tahoma"/>
            <family val="2"/>
          </rPr>
          <t>Cassel, Lauren (Research):</t>
        </r>
        <r>
          <rPr>
            <sz val="9"/>
            <color indexed="81"/>
            <rFont val="Tahoma"/>
            <family val="2"/>
          </rPr>
          <t xml:space="preserve">
AUR down</t>
        </r>
      </text>
    </comment>
    <comment ref="K38" authorId="3">
      <text>
        <r>
          <rPr>
            <b/>
            <sz val="9"/>
            <color indexed="81"/>
            <rFont val="Tahoma"/>
            <family val="2"/>
          </rPr>
          <t>Cassel, Lauren (Research):</t>
        </r>
        <r>
          <rPr>
            <sz val="9"/>
            <color indexed="81"/>
            <rFont val="Tahoma"/>
            <family val="2"/>
          </rPr>
          <t xml:space="preserve">
AUR -LSD</t>
        </r>
      </text>
    </comment>
    <comment ref="L38" authorId="3">
      <text>
        <r>
          <rPr>
            <b/>
            <sz val="9"/>
            <color indexed="81"/>
            <rFont val="Tahoma"/>
            <family val="2"/>
          </rPr>
          <t>Cassel, Lauren (Research):</t>
        </r>
        <r>
          <rPr>
            <sz val="9"/>
            <color indexed="81"/>
            <rFont val="Tahoma"/>
            <family val="2"/>
          </rPr>
          <t xml:space="preserve">
AUR -LSD</t>
        </r>
      </text>
    </comment>
    <comment ref="M38" authorId="3">
      <text>
        <r>
          <rPr>
            <b/>
            <sz val="9"/>
            <color indexed="81"/>
            <rFont val="Tahoma"/>
            <family val="2"/>
          </rPr>
          <t>Cassel, Lauren (Research):</t>
        </r>
        <r>
          <rPr>
            <sz val="9"/>
            <color indexed="81"/>
            <rFont val="Tahoma"/>
            <family val="2"/>
          </rPr>
          <t xml:space="preserve">
flat AUR</t>
        </r>
      </text>
    </comment>
    <comment ref="N38" authorId="3">
      <text>
        <r>
          <rPr>
            <b/>
            <sz val="9"/>
            <color indexed="81"/>
            <rFont val="Tahoma"/>
            <family val="2"/>
          </rPr>
          <t>Cassel, Lauren (Research):</t>
        </r>
        <r>
          <rPr>
            <sz val="9"/>
            <color indexed="81"/>
            <rFont val="Tahoma"/>
            <family val="2"/>
          </rPr>
          <t xml:space="preserve">
AUR -LSD</t>
        </r>
      </text>
    </comment>
    <comment ref="O38" authorId="3">
      <text>
        <r>
          <rPr>
            <b/>
            <sz val="9"/>
            <color indexed="81"/>
            <rFont val="Tahoma"/>
            <family val="2"/>
          </rPr>
          <t>Cassel, Lauren (Research):</t>
        </r>
        <r>
          <rPr>
            <sz val="9"/>
            <color indexed="81"/>
            <rFont val="Tahoma"/>
            <family val="2"/>
          </rPr>
          <t xml:space="preserve">
AUR -HSD</t>
        </r>
      </text>
    </comment>
    <comment ref="P38" authorId="3">
      <text>
        <r>
          <rPr>
            <b/>
            <sz val="9"/>
            <color indexed="81"/>
            <rFont val="Tahoma"/>
            <family val="2"/>
          </rPr>
          <t>Cassel, Lauren (Research):</t>
        </r>
        <r>
          <rPr>
            <sz val="9"/>
            <color indexed="81"/>
            <rFont val="Tahoma"/>
            <family val="2"/>
          </rPr>
          <t xml:space="preserve">
AUR -LDD</t>
        </r>
      </text>
    </comment>
    <comment ref="Q38" authorId="3">
      <text>
        <r>
          <rPr>
            <b/>
            <sz val="9"/>
            <color indexed="81"/>
            <rFont val="Tahoma"/>
            <family val="2"/>
          </rPr>
          <t>Cassel, Lauren (Research):</t>
        </r>
        <r>
          <rPr>
            <sz val="9"/>
            <color indexed="81"/>
            <rFont val="Tahoma"/>
            <family val="2"/>
          </rPr>
          <t xml:space="preserve">
AUR -LDD</t>
        </r>
      </text>
    </comment>
    <comment ref="C39" authorId="3">
      <text>
        <r>
          <rPr>
            <b/>
            <sz val="9"/>
            <color indexed="81"/>
            <rFont val="Tahoma"/>
            <family val="2"/>
          </rPr>
          <t>Cassel, Lauren (Research):</t>
        </r>
        <r>
          <rPr>
            <sz val="9"/>
            <color indexed="81"/>
            <rFont val="Tahoma"/>
            <family val="2"/>
          </rPr>
          <t xml:space="preserve">
AUR -HSD</t>
        </r>
      </text>
    </comment>
    <comment ref="D39" authorId="3">
      <text>
        <r>
          <rPr>
            <b/>
            <sz val="9"/>
            <color indexed="81"/>
            <rFont val="Tahoma"/>
            <family val="2"/>
          </rPr>
          <t>Cassel, Lauren (Research):</t>
        </r>
        <r>
          <rPr>
            <sz val="9"/>
            <color indexed="81"/>
            <rFont val="Tahoma"/>
            <family val="2"/>
          </rPr>
          <t xml:space="preserve">
AUR -MSD</t>
        </r>
      </text>
    </comment>
    <comment ref="E39" authorId="3">
      <text>
        <r>
          <rPr>
            <b/>
            <sz val="9"/>
            <color indexed="81"/>
            <rFont val="Tahoma"/>
            <family val="2"/>
          </rPr>
          <t>Cassel, Lauren (Research):</t>
        </r>
        <r>
          <rPr>
            <sz val="9"/>
            <color indexed="81"/>
            <rFont val="Tahoma"/>
            <family val="2"/>
          </rPr>
          <t xml:space="preserve">
AUR flat to down slightly</t>
        </r>
      </text>
    </comment>
    <comment ref="G39" authorId="3">
      <text>
        <r>
          <rPr>
            <b/>
            <sz val="9"/>
            <color indexed="81"/>
            <rFont val="Tahoma"/>
            <family val="2"/>
          </rPr>
          <t>Cassel, Lauren (Research):</t>
        </r>
        <r>
          <rPr>
            <sz val="9"/>
            <color indexed="81"/>
            <rFont val="Tahoma"/>
            <family val="2"/>
          </rPr>
          <t xml:space="preserve">
AUR down</t>
        </r>
      </text>
    </comment>
    <comment ref="H39" authorId="3">
      <text>
        <r>
          <rPr>
            <b/>
            <sz val="9"/>
            <color indexed="81"/>
            <rFont val="Tahoma"/>
            <family val="2"/>
          </rPr>
          <t>Cassel, Lauren (Research):</t>
        </r>
        <r>
          <rPr>
            <sz val="9"/>
            <color indexed="81"/>
            <rFont val="Tahoma"/>
            <family val="2"/>
          </rPr>
          <t xml:space="preserve">
AUR flat</t>
        </r>
      </text>
    </comment>
    <comment ref="I39" authorId="3">
      <text>
        <r>
          <rPr>
            <b/>
            <sz val="9"/>
            <color indexed="81"/>
            <rFont val="Tahoma"/>
            <family val="2"/>
          </rPr>
          <t>Cassel, Lauren (Research):</t>
        </r>
        <r>
          <rPr>
            <sz val="9"/>
            <color indexed="81"/>
            <rFont val="Tahoma"/>
            <family val="2"/>
          </rPr>
          <t xml:space="preserve">
AUR up slightly</t>
        </r>
      </text>
    </comment>
    <comment ref="K39" authorId="3">
      <text>
        <r>
          <rPr>
            <b/>
            <sz val="9"/>
            <color indexed="81"/>
            <rFont val="Tahoma"/>
            <family val="2"/>
          </rPr>
          <t>Cassel, Lauren (Research):</t>
        </r>
        <r>
          <rPr>
            <sz val="9"/>
            <color indexed="81"/>
            <rFont val="Tahoma"/>
            <family val="2"/>
          </rPr>
          <t xml:space="preserve">
AUR up</t>
        </r>
      </text>
    </comment>
    <comment ref="L39" authorId="3">
      <text>
        <r>
          <rPr>
            <b/>
            <sz val="9"/>
            <color indexed="81"/>
            <rFont val="Tahoma"/>
            <family val="2"/>
          </rPr>
          <t>Cassel, Lauren (Research):</t>
        </r>
        <r>
          <rPr>
            <sz val="9"/>
            <color indexed="81"/>
            <rFont val="Tahoma"/>
            <family val="2"/>
          </rPr>
          <t xml:space="preserve">
AUR down slightly</t>
        </r>
      </text>
    </comment>
    <comment ref="M39" authorId="3">
      <text>
        <r>
          <rPr>
            <b/>
            <sz val="9"/>
            <color indexed="81"/>
            <rFont val="Tahoma"/>
            <family val="2"/>
          </rPr>
          <t>Cassel, Lauren (Research):</t>
        </r>
        <r>
          <rPr>
            <sz val="9"/>
            <color indexed="81"/>
            <rFont val="Tahoma"/>
            <family val="2"/>
          </rPr>
          <t xml:space="preserve">
AUR down (driven by bralettes)</t>
        </r>
      </text>
    </comment>
    <comment ref="O39" authorId="3">
      <text>
        <r>
          <rPr>
            <b/>
            <sz val="9"/>
            <color indexed="81"/>
            <rFont val="Tahoma"/>
            <family val="2"/>
          </rPr>
          <t>Cassel, Lauren (Research):</t>
        </r>
        <r>
          <rPr>
            <sz val="9"/>
            <color indexed="81"/>
            <rFont val="Tahoma"/>
            <family val="2"/>
          </rPr>
          <t xml:space="preserve">
AUR -MSD driven by mix</t>
        </r>
      </text>
    </comment>
    <comment ref="P39" authorId="3">
      <text>
        <r>
          <rPr>
            <b/>
            <sz val="9"/>
            <color indexed="81"/>
            <rFont val="Tahoma"/>
            <family val="2"/>
          </rPr>
          <t>Cassel, Lauren (Research):</t>
        </r>
        <r>
          <rPr>
            <sz val="9"/>
            <color indexed="81"/>
            <rFont val="Tahoma"/>
            <family val="2"/>
          </rPr>
          <t xml:space="preserve">
AUR down</t>
        </r>
      </text>
    </comment>
    <comment ref="Q39" authorId="3">
      <text>
        <r>
          <rPr>
            <b/>
            <sz val="9"/>
            <color indexed="81"/>
            <rFont val="Tahoma"/>
            <family val="2"/>
          </rPr>
          <t>Cassel, Lauren (Research):</t>
        </r>
        <r>
          <rPr>
            <sz val="9"/>
            <color indexed="81"/>
            <rFont val="Tahoma"/>
            <family val="2"/>
          </rPr>
          <t xml:space="preserve">
AUR flat</t>
        </r>
      </text>
    </comment>
    <comment ref="C40" authorId="3">
      <text>
        <r>
          <rPr>
            <b/>
            <sz val="9"/>
            <color indexed="81"/>
            <rFont val="Tahoma"/>
            <family val="2"/>
          </rPr>
          <t>Cassel, Lauren (Research):</t>
        </r>
        <r>
          <rPr>
            <sz val="9"/>
            <color indexed="81"/>
            <rFont val="Tahoma"/>
            <family val="2"/>
          </rPr>
          <t xml:space="preserve">
AUR -MSD</t>
        </r>
      </text>
    </comment>
    <comment ref="D40" authorId="3">
      <text>
        <r>
          <rPr>
            <b/>
            <sz val="9"/>
            <color indexed="81"/>
            <rFont val="Tahoma"/>
            <family val="2"/>
          </rPr>
          <t>Cassel, Lauren (Research):</t>
        </r>
        <r>
          <rPr>
            <sz val="9"/>
            <color indexed="81"/>
            <rFont val="Tahoma"/>
            <family val="2"/>
          </rPr>
          <t xml:space="preserve">
AUR -LDD</t>
        </r>
      </text>
    </comment>
    <comment ref="I48" authorId="0">
      <text>
        <r>
          <rPr>
            <b/>
            <sz val="8"/>
            <color indexed="81"/>
            <rFont val="Tahoma"/>
            <family val="2"/>
          </rPr>
          <t>pw64212:</t>
        </r>
        <r>
          <rPr>
            <sz val="8"/>
            <color indexed="81"/>
            <rFont val="Tahoma"/>
            <family val="2"/>
          </rPr>
          <t xml:space="preserve">
+slight traffic</t>
        </r>
      </text>
    </comment>
    <comment ref="G49" authorId="1">
      <text>
        <r>
          <rPr>
            <b/>
            <sz val="8"/>
            <color indexed="81"/>
            <rFont val="Tahoma"/>
            <family val="2"/>
          </rPr>
          <t>mm98285:</t>
        </r>
        <r>
          <rPr>
            <sz val="8"/>
            <color indexed="81"/>
            <rFont val="Tahoma"/>
            <family val="2"/>
          </rPr>
          <t xml:space="preserve">
traffic -LDD</t>
        </r>
      </text>
    </comment>
    <comment ref="M49" authorId="4">
      <text>
        <r>
          <rPr>
            <b/>
            <sz val="8"/>
            <color indexed="81"/>
            <rFont val="Tahoma"/>
            <family val="2"/>
          </rPr>
          <t>TI23070:</t>
        </r>
        <r>
          <rPr>
            <sz val="8"/>
            <color indexed="81"/>
            <rFont val="Tahoma"/>
            <family val="2"/>
          </rPr>
          <t xml:space="preserve">
Traffic -LDD</t>
        </r>
      </text>
    </comment>
    <comment ref="O49" authorId="4">
      <text>
        <r>
          <rPr>
            <b/>
            <sz val="8"/>
            <color indexed="81"/>
            <rFont val="Tahoma"/>
            <family val="2"/>
          </rPr>
          <t>TI23070:</t>
        </r>
        <r>
          <rPr>
            <sz val="8"/>
            <color indexed="81"/>
            <rFont val="Tahoma"/>
            <family val="2"/>
          </rPr>
          <t xml:space="preserve">
traffic -LDD
</t>
        </r>
      </text>
    </comment>
    <comment ref="J52" authorId="2">
      <text>
        <r>
          <rPr>
            <b/>
            <sz val="8"/>
            <color indexed="81"/>
            <rFont val="Tahoma"/>
            <family val="2"/>
          </rPr>
          <t>sancfa:</t>
        </r>
        <r>
          <rPr>
            <sz val="8"/>
            <color indexed="81"/>
            <rFont val="Tahoma"/>
            <family val="2"/>
          </rPr>
          <t xml:space="preserve">
Transactions were also up versus last year, driven by traffic and the continued improvement in our conversion rates.</t>
        </r>
      </text>
    </comment>
    <comment ref="I55" authorId="7">
      <text>
        <r>
          <rPr>
            <b/>
            <sz val="9"/>
            <color indexed="81"/>
            <rFont val="Tahoma"/>
            <family val="2"/>
          </rPr>
          <t>casselau:</t>
        </r>
        <r>
          <rPr>
            <sz val="9"/>
            <color indexed="81"/>
            <rFont val="Tahoma"/>
            <family val="2"/>
          </rPr>
          <t xml:space="preserve">
AUR down slightly; mix shift of more beauty redlines y/y</t>
        </r>
      </text>
    </comment>
    <comment ref="I57" authorId="3">
      <text>
        <r>
          <rPr>
            <b/>
            <sz val="9"/>
            <color indexed="81"/>
            <rFont val="Tahoma"/>
            <family val="2"/>
          </rPr>
          <t>Cassel, Lauren (Research):</t>
        </r>
        <r>
          <rPr>
            <sz val="9"/>
            <color indexed="81"/>
            <rFont val="Tahoma"/>
            <family val="2"/>
          </rPr>
          <t xml:space="preserve">
traffic down at both brands</t>
        </r>
      </text>
    </comment>
    <comment ref="H65" authorId="0">
      <text>
        <r>
          <rPr>
            <b/>
            <sz val="8"/>
            <color indexed="81"/>
            <rFont val="Tahoma"/>
            <family val="2"/>
          </rPr>
          <t>pw64212:</t>
        </r>
        <r>
          <rPr>
            <sz val="8"/>
            <color indexed="81"/>
            <rFont val="Tahoma"/>
            <family val="2"/>
          </rPr>
          <t xml:space="preserve">
AUR -2%</t>
        </r>
      </text>
    </comment>
    <comment ref="P66" authorId="4">
      <text>
        <r>
          <rPr>
            <b/>
            <sz val="8"/>
            <color indexed="81"/>
            <rFont val="Tahoma"/>
            <family val="2"/>
          </rPr>
          <t>TI23070:</t>
        </r>
        <r>
          <rPr>
            <sz val="8"/>
            <color indexed="81"/>
            <rFont val="Tahoma"/>
            <family val="2"/>
          </rPr>
          <t xml:space="preserve">
AUR down; UPT up</t>
        </r>
      </text>
    </comment>
    <comment ref="C68" authorId="4">
      <text>
        <r>
          <rPr>
            <b/>
            <sz val="8"/>
            <color indexed="81"/>
            <rFont val="Tahoma"/>
            <family val="2"/>
          </rPr>
          <t>TI23070:</t>
        </r>
        <r>
          <rPr>
            <sz val="8"/>
            <color indexed="81"/>
            <rFont val="Tahoma"/>
            <family val="2"/>
          </rPr>
          <t xml:space="preserve">
UPT +LDD; AUR -slightly
</t>
        </r>
      </text>
    </comment>
    <comment ref="E68" authorId="5">
      <text>
        <r>
          <rPr>
            <b/>
            <sz val="8"/>
            <color indexed="81"/>
            <rFont val="Tahoma"/>
            <family val="2"/>
          </rPr>
          <t>ti23070:</t>
        </r>
        <r>
          <rPr>
            <sz val="8"/>
            <color indexed="81"/>
            <rFont val="Tahoma"/>
            <family val="2"/>
          </rPr>
          <t xml:space="preserve">
UPT +HSD
AUR -MSD</t>
        </r>
      </text>
    </comment>
    <comment ref="H68" authorId="6">
      <text>
        <r>
          <rPr>
            <b/>
            <sz val="8"/>
            <color indexed="81"/>
            <rFont val="Tahoma"/>
            <family val="2"/>
          </rPr>
          <t>nicholjs:</t>
        </r>
        <r>
          <rPr>
            <sz val="8"/>
            <color indexed="81"/>
            <rFont val="Tahoma"/>
            <family val="2"/>
          </rPr>
          <t xml:space="preserve">
UPT, AUR up slightly</t>
        </r>
      </text>
    </comment>
    <comment ref="I68" authorId="6">
      <text>
        <r>
          <rPr>
            <b/>
            <sz val="8"/>
            <color indexed="81"/>
            <rFont val="Tahoma"/>
            <family val="2"/>
          </rPr>
          <t>nicholjs:</t>
        </r>
        <r>
          <rPr>
            <sz val="8"/>
            <color indexed="81"/>
            <rFont val="Tahoma"/>
            <family val="2"/>
          </rPr>
          <t xml:space="preserve">
AUR -LDD, UPT +LDD</t>
        </r>
      </text>
    </comment>
    <comment ref="P71" authorId="7">
      <text>
        <r>
          <rPr>
            <b/>
            <sz val="8"/>
            <color indexed="81"/>
            <rFont val="Tahoma"/>
            <family val="2"/>
          </rPr>
          <t>casselau:</t>
        </r>
        <r>
          <rPr>
            <sz val="8"/>
            <color indexed="81"/>
            <rFont val="Tahoma"/>
            <family val="2"/>
          </rPr>
          <t xml:space="preserve">
AUR +LSD</t>
        </r>
      </text>
    </comment>
    <comment ref="Q71" authorId="7">
      <text>
        <r>
          <rPr>
            <b/>
            <sz val="8"/>
            <color indexed="81"/>
            <rFont val="Tahoma"/>
            <family val="2"/>
          </rPr>
          <t>casselau:</t>
        </r>
        <r>
          <rPr>
            <sz val="8"/>
            <color indexed="81"/>
            <rFont val="Tahoma"/>
            <family val="2"/>
          </rPr>
          <t xml:space="preserve">
AUR +LSD</t>
        </r>
      </text>
    </comment>
    <comment ref="C72" authorId="7">
      <text>
        <r>
          <rPr>
            <b/>
            <sz val="8"/>
            <color indexed="81"/>
            <rFont val="Tahoma"/>
            <family val="2"/>
          </rPr>
          <t>casselau:</t>
        </r>
        <r>
          <rPr>
            <sz val="8"/>
            <color indexed="81"/>
            <rFont val="Tahoma"/>
            <family val="2"/>
          </rPr>
          <t xml:space="preserve">
AUR flat</t>
        </r>
      </text>
    </comment>
    <comment ref="D72" authorId="7">
      <text>
        <r>
          <rPr>
            <b/>
            <sz val="9"/>
            <color indexed="81"/>
            <rFont val="Tahoma"/>
            <family val="2"/>
          </rPr>
          <t>casselau:</t>
        </r>
        <r>
          <rPr>
            <sz val="9"/>
            <color indexed="81"/>
            <rFont val="Tahoma"/>
            <family val="2"/>
          </rPr>
          <t xml:space="preserve">
AUR +LSD
</t>
        </r>
      </text>
    </comment>
    <comment ref="E72" authorId="7">
      <text>
        <r>
          <rPr>
            <b/>
            <sz val="9"/>
            <color indexed="81"/>
            <rFont val="Tahoma"/>
            <family val="2"/>
          </rPr>
          <t>casselau:</t>
        </r>
        <r>
          <rPr>
            <sz val="9"/>
            <color indexed="81"/>
            <rFont val="Tahoma"/>
            <family val="2"/>
          </rPr>
          <t xml:space="preserve">
UPT driven
</t>
        </r>
      </text>
    </comment>
    <comment ref="G72" authorId="7">
      <text>
        <r>
          <rPr>
            <b/>
            <sz val="9"/>
            <color indexed="81"/>
            <rFont val="Tahoma"/>
            <family val="2"/>
          </rPr>
          <t>casselau:</t>
        </r>
        <r>
          <rPr>
            <sz val="9"/>
            <color indexed="81"/>
            <rFont val="Tahoma"/>
            <family val="2"/>
          </rPr>
          <t xml:space="preserve">
AUR up</t>
        </r>
      </text>
    </comment>
    <comment ref="I72" authorId="7">
      <text>
        <r>
          <rPr>
            <b/>
            <sz val="9"/>
            <color indexed="81"/>
            <rFont val="Tahoma"/>
            <family val="2"/>
          </rPr>
          <t>casselau:</t>
        </r>
        <r>
          <rPr>
            <sz val="9"/>
            <color indexed="81"/>
            <rFont val="Tahoma"/>
            <family val="2"/>
          </rPr>
          <t xml:space="preserve">
AUR +MSD</t>
        </r>
      </text>
    </comment>
    <comment ref="K72" authorId="7">
      <text>
        <r>
          <rPr>
            <b/>
            <sz val="9"/>
            <color indexed="81"/>
            <rFont val="Tahoma"/>
            <family val="2"/>
          </rPr>
          <t>casselau:</t>
        </r>
        <r>
          <rPr>
            <sz val="9"/>
            <color indexed="81"/>
            <rFont val="Tahoma"/>
            <family val="2"/>
          </rPr>
          <t xml:space="preserve">
AUR +MSD</t>
        </r>
      </text>
    </comment>
    <comment ref="L72" authorId="7">
      <text>
        <r>
          <rPr>
            <b/>
            <sz val="9"/>
            <color indexed="81"/>
            <rFont val="Tahoma"/>
            <family val="2"/>
          </rPr>
          <t>casselau:</t>
        </r>
        <r>
          <rPr>
            <sz val="9"/>
            <color indexed="81"/>
            <rFont val="Tahoma"/>
            <family val="2"/>
          </rPr>
          <t xml:space="preserve">
AUR +HSD</t>
        </r>
      </text>
    </comment>
    <comment ref="M72" authorId="7">
      <text>
        <r>
          <rPr>
            <b/>
            <sz val="9"/>
            <color indexed="81"/>
            <rFont val="Tahoma"/>
            <family val="2"/>
          </rPr>
          <t>casselau:</t>
        </r>
        <r>
          <rPr>
            <sz val="9"/>
            <color indexed="81"/>
            <rFont val="Tahoma"/>
            <family val="2"/>
          </rPr>
          <t xml:space="preserve">
AUR Up</t>
        </r>
      </text>
    </comment>
    <comment ref="N72" authorId="7">
      <text>
        <r>
          <rPr>
            <b/>
            <sz val="9"/>
            <color indexed="81"/>
            <rFont val="Tahoma"/>
            <family val="2"/>
          </rPr>
          <t>casselau:</t>
        </r>
        <r>
          <rPr>
            <sz val="9"/>
            <color indexed="81"/>
            <rFont val="Tahoma"/>
            <family val="2"/>
          </rPr>
          <t xml:space="preserve">
AUR up</t>
        </r>
      </text>
    </comment>
    <comment ref="O72" authorId="7">
      <text>
        <r>
          <rPr>
            <b/>
            <sz val="9"/>
            <color indexed="81"/>
            <rFont val="Tahoma"/>
            <family val="2"/>
          </rPr>
          <t>casselau:</t>
        </r>
        <r>
          <rPr>
            <sz val="9"/>
            <color indexed="81"/>
            <rFont val="Tahoma"/>
            <family val="2"/>
          </rPr>
          <t xml:space="preserve">
AUR +LSD</t>
        </r>
      </text>
    </comment>
    <comment ref="Q72" authorId="7">
      <text>
        <r>
          <rPr>
            <b/>
            <sz val="9"/>
            <color indexed="81"/>
            <rFont val="Tahoma"/>
            <family val="2"/>
          </rPr>
          <t>casselau:</t>
        </r>
        <r>
          <rPr>
            <sz val="9"/>
            <color indexed="81"/>
            <rFont val="Tahoma"/>
            <family val="2"/>
          </rPr>
          <t xml:space="preserve">
AUR flat</t>
        </r>
      </text>
    </comment>
    <comment ref="C73" authorId="7">
      <text>
        <r>
          <rPr>
            <b/>
            <sz val="9"/>
            <color indexed="81"/>
            <rFont val="Tahoma"/>
            <family val="2"/>
          </rPr>
          <t>casselau:</t>
        </r>
        <r>
          <rPr>
            <sz val="9"/>
            <color indexed="81"/>
            <rFont val="Tahoma"/>
            <family val="2"/>
          </rPr>
          <t xml:space="preserve">
AUR up</t>
        </r>
      </text>
    </comment>
    <comment ref="D73" authorId="7">
      <text>
        <r>
          <rPr>
            <b/>
            <sz val="9"/>
            <color indexed="81"/>
            <rFont val="Tahoma"/>
            <family val="2"/>
          </rPr>
          <t>casselau:</t>
        </r>
        <r>
          <rPr>
            <sz val="9"/>
            <color indexed="81"/>
            <rFont val="Tahoma"/>
            <family val="2"/>
          </rPr>
          <t xml:space="preserve">
AUR up</t>
        </r>
      </text>
    </comment>
    <comment ref="E73" authorId="7">
      <text>
        <r>
          <rPr>
            <b/>
            <sz val="9"/>
            <color indexed="81"/>
            <rFont val="Tahoma"/>
            <family val="2"/>
          </rPr>
          <t>casselau:</t>
        </r>
        <r>
          <rPr>
            <sz val="9"/>
            <color indexed="81"/>
            <rFont val="Tahoma"/>
            <family val="2"/>
          </rPr>
          <t xml:space="preserve">
AUR up</t>
        </r>
      </text>
    </comment>
    <comment ref="F73" authorId="7">
      <text>
        <r>
          <rPr>
            <b/>
            <sz val="9"/>
            <color indexed="81"/>
            <rFont val="Tahoma"/>
            <family val="2"/>
          </rPr>
          <t>casselau:</t>
        </r>
        <r>
          <rPr>
            <sz val="9"/>
            <color indexed="81"/>
            <rFont val="Tahoma"/>
            <family val="2"/>
          </rPr>
          <t xml:space="preserve">
AUR up</t>
        </r>
      </text>
    </comment>
    <comment ref="G73" authorId="7">
      <text>
        <r>
          <rPr>
            <b/>
            <sz val="9"/>
            <color indexed="81"/>
            <rFont val="Tahoma"/>
            <family val="2"/>
          </rPr>
          <t>casselau:</t>
        </r>
        <r>
          <rPr>
            <sz val="9"/>
            <color indexed="81"/>
            <rFont val="Tahoma"/>
            <family val="2"/>
          </rPr>
          <t xml:space="preserve">
AUR up</t>
        </r>
      </text>
    </comment>
    <comment ref="H73" authorId="7">
      <text>
        <r>
          <rPr>
            <b/>
            <sz val="9"/>
            <color indexed="81"/>
            <rFont val="Tahoma"/>
            <family val="2"/>
          </rPr>
          <t>casselau:</t>
        </r>
        <r>
          <rPr>
            <sz val="9"/>
            <color indexed="81"/>
            <rFont val="Tahoma"/>
            <family val="2"/>
          </rPr>
          <t xml:space="preserve">
AUR up</t>
        </r>
      </text>
    </comment>
    <comment ref="I73" authorId="7">
      <text>
        <r>
          <rPr>
            <b/>
            <sz val="9"/>
            <color indexed="81"/>
            <rFont val="Tahoma"/>
            <family val="2"/>
          </rPr>
          <t>casselau:</t>
        </r>
        <r>
          <rPr>
            <sz val="9"/>
            <color indexed="81"/>
            <rFont val="Tahoma"/>
            <family val="2"/>
          </rPr>
          <t xml:space="preserve">
AUR up</t>
        </r>
      </text>
    </comment>
    <comment ref="K73" authorId="8">
      <text>
        <r>
          <rPr>
            <b/>
            <sz val="9"/>
            <color indexed="81"/>
            <rFont val="Tahoma"/>
            <family val="2"/>
          </rPr>
          <t>Mains, Spencer (Research):</t>
        </r>
        <r>
          <rPr>
            <sz val="9"/>
            <color indexed="81"/>
            <rFont val="Tahoma"/>
            <family val="2"/>
          </rPr>
          <t xml:space="preserve">
AUR +MSD (up about in-line with A$S)</t>
        </r>
      </text>
    </comment>
    <comment ref="L73" authorId="7">
      <text>
        <r>
          <rPr>
            <b/>
            <sz val="9"/>
            <color indexed="81"/>
            <rFont val="Tahoma"/>
            <family val="2"/>
          </rPr>
          <t>casselau:</t>
        </r>
        <r>
          <rPr>
            <sz val="9"/>
            <color indexed="81"/>
            <rFont val="Tahoma"/>
            <family val="2"/>
          </rPr>
          <t xml:space="preserve">
AUR increase in-line with ADS</t>
        </r>
      </text>
    </comment>
    <comment ref="M73" authorId="7">
      <text>
        <r>
          <rPr>
            <b/>
            <sz val="9"/>
            <color indexed="81"/>
            <rFont val="Tahoma"/>
            <family val="2"/>
          </rPr>
          <t>casselau:</t>
        </r>
        <r>
          <rPr>
            <sz val="9"/>
            <color indexed="81"/>
            <rFont val="Tahoma"/>
            <family val="2"/>
          </rPr>
          <t xml:space="preserve">
AUR Up</t>
        </r>
      </text>
    </comment>
    <comment ref="N73" authorId="7">
      <text>
        <r>
          <rPr>
            <b/>
            <sz val="9"/>
            <color indexed="81"/>
            <rFont val="Tahoma"/>
            <family val="2"/>
          </rPr>
          <t>casselau:</t>
        </r>
        <r>
          <rPr>
            <sz val="9"/>
            <color indexed="81"/>
            <rFont val="Tahoma"/>
            <family val="2"/>
          </rPr>
          <t xml:space="preserve">
AUR up
</t>
        </r>
      </text>
    </comment>
    <comment ref="O73" authorId="7">
      <text>
        <r>
          <rPr>
            <b/>
            <sz val="9"/>
            <color indexed="81"/>
            <rFont val="Tahoma"/>
            <family val="2"/>
          </rPr>
          <t>casselau:</t>
        </r>
        <r>
          <rPr>
            <sz val="9"/>
            <color indexed="81"/>
            <rFont val="Tahoma"/>
            <family val="2"/>
          </rPr>
          <t xml:space="preserve">
AUR down slightly</t>
        </r>
      </text>
    </comment>
    <comment ref="P73" authorId="7">
      <text>
        <r>
          <rPr>
            <b/>
            <sz val="9"/>
            <color indexed="81"/>
            <rFont val="Tahoma"/>
            <family val="2"/>
          </rPr>
          <t>casselau:</t>
        </r>
        <r>
          <rPr>
            <sz val="9"/>
            <color indexed="81"/>
            <rFont val="Tahoma"/>
            <family val="2"/>
          </rPr>
          <t xml:space="preserve">
AUR up</t>
        </r>
      </text>
    </comment>
    <comment ref="Q73" authorId="7">
      <text>
        <r>
          <rPr>
            <b/>
            <sz val="9"/>
            <color indexed="81"/>
            <rFont val="Tahoma"/>
            <family val="2"/>
          </rPr>
          <t>casselau:</t>
        </r>
        <r>
          <rPr>
            <sz val="9"/>
            <color indexed="81"/>
            <rFont val="Tahoma"/>
            <family val="2"/>
          </rPr>
          <t xml:space="preserve">
AUR up</t>
        </r>
      </text>
    </comment>
    <comment ref="R73" authorId="7">
      <text>
        <r>
          <rPr>
            <b/>
            <sz val="9"/>
            <color indexed="81"/>
            <rFont val="Tahoma"/>
            <family val="2"/>
          </rPr>
          <t>casselau:</t>
        </r>
        <r>
          <rPr>
            <sz val="9"/>
            <color indexed="81"/>
            <rFont val="Tahoma"/>
            <family val="2"/>
          </rPr>
          <t xml:space="preserve">
AUR up
</t>
        </r>
      </text>
    </comment>
    <comment ref="C74" authorId="7">
      <text>
        <r>
          <rPr>
            <b/>
            <sz val="9"/>
            <color indexed="81"/>
            <rFont val="Tahoma"/>
            <family val="2"/>
          </rPr>
          <t>casselau:</t>
        </r>
        <r>
          <rPr>
            <sz val="9"/>
            <color indexed="81"/>
            <rFont val="Tahoma"/>
            <family val="2"/>
          </rPr>
          <t xml:space="preserve">
AUR up</t>
        </r>
      </text>
    </comment>
    <comment ref="D74" authorId="7">
      <text>
        <r>
          <rPr>
            <b/>
            <sz val="9"/>
            <color indexed="81"/>
            <rFont val="Tahoma"/>
            <family val="2"/>
          </rPr>
          <t>casselau:</t>
        </r>
        <r>
          <rPr>
            <sz val="9"/>
            <color indexed="81"/>
            <rFont val="Tahoma"/>
            <family val="2"/>
          </rPr>
          <t xml:space="preserve">
AUR +LSD
</t>
        </r>
      </text>
    </comment>
    <comment ref="E74" authorId="3">
      <text>
        <r>
          <rPr>
            <b/>
            <sz val="9"/>
            <color indexed="81"/>
            <rFont val="Tahoma"/>
            <family val="2"/>
          </rPr>
          <t>Cassel, Lauren (Research):</t>
        </r>
        <r>
          <rPr>
            <sz val="9"/>
            <color indexed="81"/>
            <rFont val="Tahoma"/>
            <family val="2"/>
          </rPr>
          <t xml:space="preserve">
AUR up</t>
        </r>
      </text>
    </comment>
    <comment ref="F74" authorId="3">
      <text>
        <r>
          <rPr>
            <b/>
            <sz val="9"/>
            <color indexed="81"/>
            <rFont val="Tahoma"/>
            <family val="2"/>
          </rPr>
          <t>Cassel, Lauren (Research):</t>
        </r>
        <r>
          <rPr>
            <sz val="9"/>
            <color indexed="81"/>
            <rFont val="Tahoma"/>
            <family val="2"/>
          </rPr>
          <t xml:space="preserve">
AUR up</t>
        </r>
      </text>
    </comment>
    <comment ref="G74" authorId="3">
      <text>
        <r>
          <rPr>
            <b/>
            <sz val="9"/>
            <color indexed="81"/>
            <rFont val="Tahoma"/>
            <family val="2"/>
          </rPr>
          <t>Cassel, Lauren (Research):</t>
        </r>
        <r>
          <rPr>
            <sz val="9"/>
            <color indexed="81"/>
            <rFont val="Tahoma"/>
            <family val="2"/>
          </rPr>
          <t xml:space="preserve">
AUR up</t>
        </r>
      </text>
    </comment>
    <comment ref="H74" authorId="3">
      <text>
        <r>
          <rPr>
            <b/>
            <sz val="9"/>
            <color indexed="81"/>
            <rFont val="Tahoma"/>
            <family val="2"/>
          </rPr>
          <t>Cassel, Lauren (Research):</t>
        </r>
        <r>
          <rPr>
            <sz val="9"/>
            <color indexed="81"/>
            <rFont val="Tahoma"/>
            <family val="2"/>
          </rPr>
          <t xml:space="preserve">
AUR +LSD</t>
        </r>
      </text>
    </comment>
    <comment ref="I74" authorId="3">
      <text>
        <r>
          <rPr>
            <b/>
            <sz val="9"/>
            <color indexed="81"/>
            <rFont val="Tahoma"/>
            <family val="2"/>
          </rPr>
          <t>Cassel, Lauren (Research):</t>
        </r>
        <r>
          <rPr>
            <sz val="9"/>
            <color indexed="81"/>
            <rFont val="Tahoma"/>
            <family val="2"/>
          </rPr>
          <t xml:space="preserve">
AUR up</t>
        </r>
      </text>
    </comment>
    <comment ref="J74" authorId="3">
      <text>
        <r>
          <rPr>
            <b/>
            <sz val="9"/>
            <color indexed="81"/>
            <rFont val="Tahoma"/>
            <family val="2"/>
          </rPr>
          <t>Cassel, Lauren (Research):</t>
        </r>
        <r>
          <rPr>
            <sz val="9"/>
            <color indexed="81"/>
            <rFont val="Tahoma"/>
            <family val="2"/>
          </rPr>
          <t xml:space="preserve">
AUR up</t>
        </r>
      </text>
    </comment>
    <comment ref="K74" authorId="3">
      <text>
        <r>
          <rPr>
            <b/>
            <sz val="9"/>
            <color indexed="81"/>
            <rFont val="Tahoma"/>
            <family val="2"/>
          </rPr>
          <t>Cassel, Lauren (Research):</t>
        </r>
        <r>
          <rPr>
            <sz val="9"/>
            <color indexed="81"/>
            <rFont val="Tahoma"/>
            <family val="2"/>
          </rPr>
          <t xml:space="preserve">
AUR flat</t>
        </r>
      </text>
    </comment>
    <comment ref="L74" authorId="3">
      <text>
        <r>
          <rPr>
            <b/>
            <sz val="9"/>
            <color indexed="81"/>
            <rFont val="Tahoma"/>
            <family val="2"/>
          </rPr>
          <t>Cassel, Lauren (Research):</t>
        </r>
        <r>
          <rPr>
            <sz val="9"/>
            <color indexed="81"/>
            <rFont val="Tahoma"/>
            <family val="2"/>
          </rPr>
          <t xml:space="preserve">
AUR +LSD</t>
        </r>
      </text>
    </comment>
    <comment ref="M74" authorId="3">
      <text>
        <r>
          <rPr>
            <b/>
            <sz val="9"/>
            <color indexed="81"/>
            <rFont val="Tahoma"/>
            <family val="2"/>
          </rPr>
          <t>Cassel, Lauren (Research):</t>
        </r>
        <r>
          <rPr>
            <sz val="9"/>
            <color indexed="81"/>
            <rFont val="Tahoma"/>
            <family val="2"/>
          </rPr>
          <t xml:space="preserve">
AUR +LSD</t>
        </r>
      </text>
    </comment>
    <comment ref="N74" authorId="3">
      <text>
        <r>
          <rPr>
            <b/>
            <sz val="9"/>
            <color indexed="81"/>
            <rFont val="Tahoma"/>
            <family val="2"/>
          </rPr>
          <t>Cassel, Lauren (Research):</t>
        </r>
        <r>
          <rPr>
            <sz val="9"/>
            <color indexed="81"/>
            <rFont val="Tahoma"/>
            <family val="2"/>
          </rPr>
          <t xml:space="preserve">
AUR +LSD
</t>
        </r>
      </text>
    </comment>
    <comment ref="O74" authorId="3">
      <text>
        <r>
          <rPr>
            <b/>
            <sz val="9"/>
            <color indexed="81"/>
            <rFont val="Tahoma"/>
            <family val="2"/>
          </rPr>
          <t>Cassel, Lauren (Research):</t>
        </r>
        <r>
          <rPr>
            <sz val="9"/>
            <color indexed="81"/>
            <rFont val="Tahoma"/>
            <family val="2"/>
          </rPr>
          <t xml:space="preserve">
AUR +MSD</t>
        </r>
      </text>
    </comment>
    <comment ref="P74" authorId="3">
      <text>
        <r>
          <rPr>
            <b/>
            <sz val="9"/>
            <color indexed="81"/>
            <rFont val="Tahoma"/>
            <family val="2"/>
          </rPr>
          <t>Cassel, Lauren (Research):</t>
        </r>
        <r>
          <rPr>
            <sz val="9"/>
            <color indexed="81"/>
            <rFont val="Tahoma"/>
            <family val="2"/>
          </rPr>
          <t xml:space="preserve">
AUR +MSD</t>
        </r>
      </text>
    </comment>
    <comment ref="Q74" authorId="3">
      <text>
        <r>
          <rPr>
            <b/>
            <sz val="9"/>
            <color indexed="81"/>
            <rFont val="Tahoma"/>
            <family val="2"/>
          </rPr>
          <t>Cassel, Lauren (Research):</t>
        </r>
        <r>
          <rPr>
            <sz val="9"/>
            <color indexed="81"/>
            <rFont val="Tahoma"/>
            <family val="2"/>
          </rPr>
          <t xml:space="preserve">
AUR +MSD</t>
        </r>
      </text>
    </comment>
    <comment ref="C75" authorId="3">
      <text>
        <r>
          <rPr>
            <b/>
            <sz val="9"/>
            <color indexed="81"/>
            <rFont val="Tahoma"/>
            <family val="2"/>
          </rPr>
          <t>Cassel, Lauren (Research):</t>
        </r>
        <r>
          <rPr>
            <sz val="9"/>
            <color indexed="81"/>
            <rFont val="Tahoma"/>
            <family val="2"/>
          </rPr>
          <t xml:space="preserve">
AUR roughly flat</t>
        </r>
      </text>
    </comment>
    <comment ref="D75" authorId="3">
      <text>
        <r>
          <rPr>
            <b/>
            <sz val="9"/>
            <color indexed="81"/>
            <rFont val="Tahoma"/>
            <family val="2"/>
          </rPr>
          <t>Cassel, Lauren (Research):</t>
        </r>
        <r>
          <rPr>
            <sz val="9"/>
            <color indexed="81"/>
            <rFont val="Tahoma"/>
            <family val="2"/>
          </rPr>
          <t xml:space="preserve">
AUR +MSD
</t>
        </r>
      </text>
    </comment>
    <comment ref="E75" authorId="3">
      <text>
        <r>
          <rPr>
            <b/>
            <sz val="9"/>
            <color indexed="81"/>
            <rFont val="Tahoma"/>
            <family val="2"/>
          </rPr>
          <t>Cassel, Lauren (Research):</t>
        </r>
        <r>
          <rPr>
            <sz val="9"/>
            <color indexed="81"/>
            <rFont val="Tahoma"/>
            <family val="2"/>
          </rPr>
          <t xml:space="preserve">
AUR +LSD</t>
        </r>
      </text>
    </comment>
    <comment ref="G75" authorId="3">
      <text>
        <r>
          <rPr>
            <b/>
            <sz val="9"/>
            <color indexed="81"/>
            <rFont val="Tahoma"/>
            <family val="2"/>
          </rPr>
          <t>Cassel, Lauren (Research):</t>
        </r>
        <r>
          <rPr>
            <sz val="9"/>
            <color indexed="81"/>
            <rFont val="Tahoma"/>
            <family val="2"/>
          </rPr>
          <t xml:space="preserve">
AUR up</t>
        </r>
      </text>
    </comment>
    <comment ref="H75" authorId="3">
      <text>
        <r>
          <rPr>
            <b/>
            <sz val="9"/>
            <color indexed="81"/>
            <rFont val="Tahoma"/>
            <family val="2"/>
          </rPr>
          <t>Cassel, Lauren (Research):</t>
        </r>
        <r>
          <rPr>
            <sz val="9"/>
            <color indexed="81"/>
            <rFont val="Tahoma"/>
            <family val="2"/>
          </rPr>
          <t xml:space="preserve">
AUR up</t>
        </r>
      </text>
    </comment>
    <comment ref="I75" authorId="3">
      <text>
        <r>
          <rPr>
            <b/>
            <sz val="9"/>
            <color indexed="81"/>
            <rFont val="Tahoma"/>
            <family val="2"/>
          </rPr>
          <t>Cassel, Lauren (Research):</t>
        </r>
        <r>
          <rPr>
            <sz val="9"/>
            <color indexed="81"/>
            <rFont val="Tahoma"/>
            <family val="2"/>
          </rPr>
          <t xml:space="preserve">
AUR up</t>
        </r>
      </text>
    </comment>
    <comment ref="K75" authorId="3">
      <text>
        <r>
          <rPr>
            <b/>
            <sz val="9"/>
            <color indexed="81"/>
            <rFont val="Tahoma"/>
            <family val="2"/>
          </rPr>
          <t>Cassel, Lauren (Research):</t>
        </r>
        <r>
          <rPr>
            <sz val="9"/>
            <color indexed="81"/>
            <rFont val="Tahoma"/>
            <family val="2"/>
          </rPr>
          <t xml:space="preserve">
AUR up</t>
        </r>
      </text>
    </comment>
    <comment ref="L75" authorId="3">
      <text>
        <r>
          <rPr>
            <b/>
            <sz val="9"/>
            <color indexed="81"/>
            <rFont val="Tahoma"/>
            <family val="2"/>
          </rPr>
          <t>Cassel, Lauren (Research):</t>
        </r>
        <r>
          <rPr>
            <sz val="9"/>
            <color indexed="81"/>
            <rFont val="Tahoma"/>
            <family val="2"/>
          </rPr>
          <t xml:space="preserve">
AUR up</t>
        </r>
      </text>
    </comment>
    <comment ref="M75" authorId="3">
      <text>
        <r>
          <rPr>
            <b/>
            <sz val="9"/>
            <color indexed="81"/>
            <rFont val="Tahoma"/>
            <family val="2"/>
          </rPr>
          <t>Cassel, Lauren (Research):</t>
        </r>
        <r>
          <rPr>
            <sz val="9"/>
            <color indexed="81"/>
            <rFont val="Tahoma"/>
            <family val="2"/>
          </rPr>
          <t xml:space="preserve">
AUR up</t>
        </r>
      </text>
    </comment>
    <comment ref="O75" authorId="3">
      <text>
        <r>
          <rPr>
            <b/>
            <sz val="9"/>
            <color indexed="81"/>
            <rFont val="Tahoma"/>
            <family val="2"/>
          </rPr>
          <t>Cassel, Lauren (Research):</t>
        </r>
        <r>
          <rPr>
            <sz val="9"/>
            <color indexed="81"/>
            <rFont val="Tahoma"/>
            <family val="2"/>
          </rPr>
          <t xml:space="preserve">
AUR +LSD</t>
        </r>
      </text>
    </comment>
    <comment ref="P75" authorId="3">
      <text>
        <r>
          <rPr>
            <b/>
            <sz val="9"/>
            <color indexed="81"/>
            <rFont val="Tahoma"/>
            <family val="2"/>
          </rPr>
          <t>Cassel, Lauren (Research):</t>
        </r>
        <r>
          <rPr>
            <sz val="9"/>
            <color indexed="81"/>
            <rFont val="Tahoma"/>
            <family val="2"/>
          </rPr>
          <t xml:space="preserve">
AUR up</t>
        </r>
      </text>
    </comment>
    <comment ref="Q75" authorId="3">
      <text>
        <r>
          <rPr>
            <b/>
            <sz val="9"/>
            <color indexed="81"/>
            <rFont val="Tahoma"/>
            <family val="2"/>
          </rPr>
          <t>Cassel, Lauren (Research):</t>
        </r>
        <r>
          <rPr>
            <sz val="9"/>
            <color indexed="81"/>
            <rFont val="Tahoma"/>
            <family val="2"/>
          </rPr>
          <t xml:space="preserve">
AUR +LSD</t>
        </r>
      </text>
    </comment>
    <comment ref="C76" authorId="3">
      <text>
        <r>
          <rPr>
            <b/>
            <sz val="9"/>
            <color indexed="81"/>
            <rFont val="Tahoma"/>
            <family val="2"/>
          </rPr>
          <t>Cassel, Lauren (Research):</t>
        </r>
        <r>
          <rPr>
            <sz val="9"/>
            <color indexed="81"/>
            <rFont val="Tahoma"/>
            <family val="2"/>
          </rPr>
          <t xml:space="preserve">
AUR about flat</t>
        </r>
      </text>
    </comment>
    <comment ref="D76" authorId="3">
      <text>
        <r>
          <rPr>
            <b/>
            <sz val="9"/>
            <color indexed="81"/>
            <rFont val="Tahoma"/>
            <family val="2"/>
          </rPr>
          <t>Cassel, Lauren (Research):</t>
        </r>
        <r>
          <rPr>
            <sz val="9"/>
            <color indexed="81"/>
            <rFont val="Tahoma"/>
            <family val="2"/>
          </rPr>
          <t xml:space="preserve">
AUR flat to up slightly </t>
        </r>
      </text>
    </comment>
  </commentList>
</comments>
</file>

<file path=xl/comments3.xml><?xml version="1.0" encoding="utf-8"?>
<comments xmlns="http://schemas.openxmlformats.org/spreadsheetml/2006/main">
  <authors>
    <author>casselau</author>
    <author>mm98285</author>
  </authors>
  <commentList>
    <comment ref="DP55" authorId="0">
      <text>
        <r>
          <rPr>
            <b/>
            <sz val="9"/>
            <color indexed="81"/>
            <rFont val="Tahoma"/>
            <family val="2"/>
          </rPr>
          <t>casselau:</t>
        </r>
        <r>
          <rPr>
            <sz val="9"/>
            <color indexed="81"/>
            <rFont val="Tahoma"/>
            <family val="2"/>
          </rPr>
          <t xml:space="preserve">
1060 US, 34 Canada
93 PINK (included)</t>
        </r>
      </text>
    </comment>
    <comment ref="DQ55" authorId="0">
      <text>
        <r>
          <rPr>
            <b/>
            <sz val="9"/>
            <color indexed="81"/>
            <rFont val="Tahoma"/>
            <family val="2"/>
          </rPr>
          <t>casselau:</t>
        </r>
        <r>
          <rPr>
            <sz val="9"/>
            <color indexed="81"/>
            <rFont val="Tahoma"/>
            <family val="2"/>
          </rPr>
          <t xml:space="preserve">
8/20/14: 977 VS US, 115 US PINK, 31 VS Canda, 10 PINK Canada (1133 total)</t>
        </r>
      </text>
    </comment>
    <comment ref="DR55" authorId="0">
      <text>
        <r>
          <rPr>
            <b/>
            <sz val="9"/>
            <color indexed="81"/>
            <rFont val="Tahoma"/>
            <family val="2"/>
          </rPr>
          <t xml:space="preserve">casselau:
2/4/16: 990 VS US, 128 PINK US, 37 VS Canada, 9 PINK Canada
</t>
        </r>
        <r>
          <rPr>
            <sz val="9"/>
            <color indexed="81"/>
            <rFont val="Tahoma"/>
            <family val="2"/>
          </rPr>
          <t xml:space="preserve">
2/25/15: 990 VS US, 129 PINK US, 37 VS Canada, 9 PINK Canada
</t>
        </r>
      </text>
    </comment>
    <comment ref="DT57" authorId="0">
      <text>
        <r>
          <rPr>
            <b/>
            <sz val="8"/>
            <color indexed="81"/>
            <rFont val="Tahoma"/>
            <family val="2"/>
          </rPr>
          <t>casselau:</t>
        </r>
        <r>
          <rPr>
            <sz val="8"/>
            <color indexed="81"/>
            <rFont val="Tahoma"/>
            <family val="2"/>
          </rPr>
          <t xml:space="preserve">
Assume Canada should support 60-70 stores incl PINK</t>
        </r>
      </text>
    </comment>
    <comment ref="DT59" authorId="0">
      <text>
        <r>
          <rPr>
            <b/>
            <sz val="8"/>
            <color indexed="81"/>
            <rFont val="Tahoma"/>
            <family val="2"/>
          </rPr>
          <t>casselau:</t>
        </r>
        <r>
          <rPr>
            <sz val="8"/>
            <color indexed="81"/>
            <rFont val="Tahoma"/>
            <family val="2"/>
          </rPr>
          <t xml:space="preserve">
2013: sees opportunity for 300-400 standalone pink stores over next 3-5 years</t>
        </r>
      </text>
    </comment>
    <comment ref="DT63" authorId="0">
      <text>
        <r>
          <rPr>
            <b/>
            <sz val="8"/>
            <color indexed="81"/>
            <rFont val="Tahoma"/>
            <family val="2"/>
          </rPr>
          <t>casselau:</t>
        </r>
        <r>
          <rPr>
            <sz val="8"/>
            <color indexed="81"/>
            <rFont val="Tahoma"/>
            <family val="2"/>
          </rPr>
          <t xml:space="preserve">
Canada should support ~125 BBW stores</t>
        </r>
      </text>
    </comment>
    <comment ref="DI68" authorId="1">
      <text>
        <r>
          <rPr>
            <b/>
            <sz val="8"/>
            <color indexed="81"/>
            <rFont val="Tahoma"/>
            <family val="2"/>
          </rPr>
          <t>mm98285:</t>
        </r>
        <r>
          <rPr>
            <sz val="8"/>
            <color indexed="81"/>
            <rFont val="Tahoma"/>
            <family val="2"/>
          </rPr>
          <t xml:space="preserve">
diva london</t>
        </r>
      </text>
    </comment>
    <comment ref="A91" authorId="1">
      <text>
        <r>
          <rPr>
            <b/>
            <sz val="8"/>
            <color indexed="81"/>
            <rFont val="Tahoma"/>
            <family val="2"/>
          </rPr>
          <t>mm98285:</t>
        </r>
        <r>
          <rPr>
            <sz val="8"/>
            <color indexed="81"/>
            <rFont val="Tahoma"/>
            <family val="2"/>
          </rPr>
          <t xml:space="preserve">
(EBITDAR) / (gross interest expense + rent expense)</t>
        </r>
      </text>
    </comment>
  </commentList>
</comments>
</file>

<file path=xl/comments4.xml><?xml version="1.0" encoding="utf-8"?>
<comments xmlns="http://schemas.openxmlformats.org/spreadsheetml/2006/main">
  <authors>
    <author>casselau</author>
    <author>dliu</author>
    <author>Corinna Freedman</author>
    <author>mm98285</author>
    <author>TI23070</author>
    <author>nicholjs</author>
    <author>kahng</author>
    <author>Cassel, Lauren (Research)</author>
    <author>ns66486</author>
    <author>P Kahng</author>
    <author>MB33100</author>
    <author>NS66486</author>
    <author>ti23070</author>
    <author>Baglione, Gregory  (Research)</author>
    <author>solejay</author>
    <author>sancfa</author>
    <author>Mains, Spencer (Research)</author>
    <author>Cf52662</author>
  </authors>
  <commentList>
    <comment ref="GU8" authorId="0">
      <text>
        <r>
          <rPr>
            <b/>
            <sz val="9"/>
            <color indexed="81"/>
            <rFont val="Tahoma"/>
            <family val="2"/>
          </rPr>
          <t>casselau:</t>
        </r>
        <r>
          <rPr>
            <sz val="9"/>
            <color indexed="81"/>
            <rFont val="Tahoma"/>
            <family val="2"/>
          </rPr>
          <t xml:space="preserve">
including Direct</t>
        </r>
      </text>
    </comment>
    <comment ref="HA8" authorId="0">
      <text>
        <r>
          <rPr>
            <b/>
            <sz val="9"/>
            <color indexed="81"/>
            <rFont val="Tahoma"/>
            <family val="2"/>
          </rPr>
          <t>casselau:</t>
        </r>
        <r>
          <rPr>
            <sz val="9"/>
            <color indexed="81"/>
            <rFont val="Tahoma"/>
            <family val="2"/>
          </rPr>
          <t xml:space="preserve">
including Direct</t>
        </r>
      </text>
    </comment>
    <comment ref="HG8" authorId="0">
      <text>
        <r>
          <rPr>
            <b/>
            <sz val="9"/>
            <color indexed="81"/>
            <rFont val="Tahoma"/>
            <family val="2"/>
          </rPr>
          <t>casselau:</t>
        </r>
        <r>
          <rPr>
            <sz val="9"/>
            <color indexed="81"/>
            <rFont val="Tahoma"/>
            <family val="2"/>
          </rPr>
          <t xml:space="preserve">
including Direct</t>
        </r>
      </text>
    </comment>
    <comment ref="HM8" authorId="0">
      <text>
        <r>
          <rPr>
            <b/>
            <sz val="9"/>
            <color indexed="81"/>
            <rFont val="Tahoma"/>
            <family val="2"/>
          </rPr>
          <t>casselau:</t>
        </r>
        <r>
          <rPr>
            <sz val="9"/>
            <color indexed="81"/>
            <rFont val="Tahoma"/>
            <family val="2"/>
          </rPr>
          <t xml:space="preserve">
including Direct</t>
        </r>
      </text>
    </comment>
    <comment ref="DP10" authorId="1">
      <text>
        <r>
          <rPr>
            <b/>
            <sz val="8"/>
            <color indexed="81"/>
            <rFont val="Tahoma"/>
            <family val="2"/>
          </rPr>
          <t>dliu:</t>
        </r>
        <r>
          <rPr>
            <sz val="8"/>
            <color indexed="81"/>
            <rFont val="Tahoma"/>
            <family val="2"/>
          </rPr>
          <t xml:space="preserve">
599.2</t>
        </r>
      </text>
    </comment>
    <comment ref="DT10" authorId="1">
      <text>
        <r>
          <rPr>
            <b/>
            <sz val="8"/>
            <color indexed="81"/>
            <rFont val="Tahoma"/>
            <family val="2"/>
          </rPr>
          <t>dliu:</t>
        </r>
        <r>
          <rPr>
            <sz val="8"/>
            <color indexed="81"/>
            <rFont val="Tahoma"/>
            <family val="2"/>
          </rPr>
          <t xml:space="preserve">
4.3</t>
        </r>
      </text>
    </comment>
    <comment ref="DX10" authorId="2">
      <text>
        <r>
          <rPr>
            <b/>
            <sz val="8"/>
            <color indexed="81"/>
            <rFont val="Tahoma"/>
            <family val="2"/>
          </rPr>
          <t>Corinna Freedman:</t>
        </r>
        <r>
          <rPr>
            <sz val="8"/>
            <color indexed="81"/>
            <rFont val="Tahoma"/>
            <family val="2"/>
          </rPr>
          <t xml:space="preserve">
633.4</t>
        </r>
      </text>
    </comment>
    <comment ref="EB10" authorId="2">
      <text>
        <r>
          <rPr>
            <b/>
            <sz val="8"/>
            <color indexed="81"/>
            <rFont val="Tahoma"/>
            <family val="2"/>
          </rPr>
          <t>Corinna Freedman:</t>
        </r>
        <r>
          <rPr>
            <sz val="8"/>
            <color indexed="81"/>
            <rFont val="Tahoma"/>
            <family val="2"/>
          </rPr>
          <t xml:space="preserve">
-1</t>
        </r>
      </text>
    </comment>
    <comment ref="EJ10" authorId="3">
      <text>
        <r>
          <rPr>
            <b/>
            <sz val="8"/>
            <color indexed="81"/>
            <rFont val="Tahoma"/>
            <family val="2"/>
          </rPr>
          <t>mm98285:</t>
        </r>
        <r>
          <rPr>
            <sz val="8"/>
            <color indexed="81"/>
            <rFont val="Tahoma"/>
            <family val="2"/>
          </rPr>
          <t xml:space="preserve">
3.7% est</t>
        </r>
      </text>
    </comment>
    <comment ref="ER10" authorId="3">
      <text>
        <r>
          <rPr>
            <b/>
            <sz val="8"/>
            <color indexed="81"/>
            <rFont val="Tahoma"/>
            <family val="2"/>
          </rPr>
          <t>mm98285:</t>
        </r>
        <r>
          <rPr>
            <sz val="8"/>
            <color indexed="81"/>
            <rFont val="Tahoma"/>
            <family val="2"/>
          </rPr>
          <t xml:space="preserve">
+3%
2/07: 4QEPS call now expect +LSD-MSD
2/07: guided to +HSD</t>
        </r>
      </text>
    </comment>
    <comment ref="EV10" authorId="3">
      <text>
        <r>
          <rPr>
            <b/>
            <sz val="8"/>
            <color indexed="81"/>
            <rFont val="Tahoma"/>
            <family val="2"/>
          </rPr>
          <t>mm98285:</t>
        </r>
        <r>
          <rPr>
            <sz val="8"/>
            <color indexed="81"/>
            <rFont val="Tahoma"/>
            <family val="2"/>
          </rPr>
          <t xml:space="preserve">
$557.6 est</t>
        </r>
      </text>
    </comment>
    <comment ref="EZ10" authorId="3">
      <text>
        <r>
          <rPr>
            <b/>
            <sz val="8"/>
            <color indexed="81"/>
            <rFont val="Tahoma"/>
            <family val="2"/>
          </rPr>
          <t>mm98285:</t>
        </r>
        <r>
          <rPr>
            <sz val="8"/>
            <color indexed="81"/>
            <rFont val="Tahoma"/>
            <family val="2"/>
          </rPr>
          <t xml:space="preserve">
-11% est.
2/27/08: expect -LDD
2/08: expect -M-HSD</t>
        </r>
      </text>
    </comment>
    <comment ref="FD10" authorId="3">
      <text>
        <r>
          <rPr>
            <b/>
            <sz val="8"/>
            <color indexed="81"/>
            <rFont val="Tahoma"/>
            <family val="2"/>
          </rPr>
          <t>mm98285:</t>
        </r>
        <r>
          <rPr>
            <sz val="8"/>
            <color indexed="81"/>
            <rFont val="Tahoma"/>
            <family val="2"/>
          </rPr>
          <t xml:space="preserve">
$547.3mm est. </t>
        </r>
      </text>
    </comment>
    <comment ref="FH10" authorId="4">
      <text>
        <r>
          <rPr>
            <b/>
            <sz val="8"/>
            <color indexed="81"/>
            <rFont val="Tahoma"/>
            <family val="2"/>
          </rPr>
          <t>TI23070:</t>
        </r>
        <r>
          <rPr>
            <sz val="8"/>
            <color indexed="81"/>
            <rFont val="Tahoma"/>
            <family val="2"/>
          </rPr>
          <t xml:space="preserve">
-7% est. 
2/26/09: -M-HSD MTD
-Mteens guidance</t>
        </r>
      </text>
    </comment>
    <comment ref="FL10" authorId="3">
      <text>
        <r>
          <rPr>
            <b/>
            <sz val="8"/>
            <color indexed="81"/>
            <rFont val="Tahoma"/>
            <family val="2"/>
          </rPr>
          <t>mm98285:</t>
        </r>
        <r>
          <rPr>
            <sz val="8"/>
            <color indexed="81"/>
            <rFont val="Tahoma"/>
            <family val="2"/>
          </rPr>
          <t xml:space="preserve">
$564.5M est. </t>
        </r>
      </text>
    </comment>
    <comment ref="FP10" authorId="3">
      <text>
        <r>
          <rPr>
            <b/>
            <sz val="8"/>
            <color indexed="81"/>
            <rFont val="Tahoma"/>
            <family val="2"/>
          </rPr>
          <t>mm98285:</t>
        </r>
        <r>
          <rPr>
            <sz val="8"/>
            <color indexed="81"/>
            <rFont val="Tahoma"/>
            <family val="2"/>
          </rPr>
          <t xml:space="preserve">
+8% est. 
2/24/10: expect +HSD-LDD
2/4/10: expect flat</t>
        </r>
      </text>
    </comment>
    <comment ref="FT10" authorId="5">
      <text>
        <r>
          <rPr>
            <b/>
            <sz val="8"/>
            <color indexed="81"/>
            <rFont val="Tahoma"/>
            <family val="2"/>
          </rPr>
          <t>nicholjs:</t>
        </r>
        <r>
          <rPr>
            <sz val="8"/>
            <color indexed="81"/>
            <rFont val="Tahoma"/>
            <family val="2"/>
          </rPr>
          <t xml:space="preserve">
est $636.5</t>
        </r>
      </text>
    </comment>
    <comment ref="FX10" authorId="5">
      <text>
        <r>
          <rPr>
            <b/>
            <sz val="8"/>
            <color indexed="81"/>
            <rFont val="Tahoma"/>
            <family val="2"/>
          </rPr>
          <t>nicholjs:</t>
        </r>
        <r>
          <rPr>
            <sz val="8"/>
            <color indexed="81"/>
            <rFont val="Tahoma"/>
            <family val="2"/>
          </rPr>
          <t xml:space="preserve">
est +8%
2/2011: now expect +HSD
2/2011: expect flat to up slightly.  Will be conservative w/ guidance in 2011, unlikely to guide beyond +LSD.</t>
        </r>
      </text>
    </comment>
    <comment ref="GA10" authorId="6">
      <text>
        <r>
          <rPr>
            <b/>
            <sz val="8"/>
            <color indexed="81"/>
            <rFont val="Tahoma"/>
            <family val="2"/>
          </rPr>
          <t>kahng:</t>
        </r>
        <r>
          <rPr>
            <sz val="8"/>
            <color indexed="81"/>
            <rFont val="Tahoma"/>
            <family val="2"/>
          </rPr>
          <t xml:space="preserve">
3/1/12: Feb 2011 sales incl $70.5M in sale from Mast (sold in Nov 11)
Mse $648.4
</t>
        </r>
      </text>
    </comment>
    <comment ref="GC10" authorId="6">
      <text>
        <r>
          <rPr>
            <b/>
            <sz val="8"/>
            <color indexed="81"/>
            <rFont val="Tahoma"/>
            <family val="2"/>
          </rPr>
          <t xml:space="preserve">kahng: </t>
        </r>
        <r>
          <rPr>
            <sz val="8"/>
            <color indexed="81"/>
            <rFont val="Tahoma"/>
            <family val="2"/>
          </rPr>
          <t>Mse 6.9%
2/23/12: Revised to +M-HSD
2/2/12: Guide +LSD</t>
        </r>
      </text>
    </comment>
    <comment ref="GT10" authorId="0">
      <text>
        <r>
          <rPr>
            <b/>
            <sz val="9"/>
            <color indexed="81"/>
            <rFont val="Tahoma"/>
            <family val="2"/>
          </rPr>
          <t>casselau:
2/25/15: raised to +MSD when reported 4Q earnings</t>
        </r>
        <r>
          <rPr>
            <sz val="9"/>
            <color indexed="81"/>
            <rFont val="Tahoma"/>
            <family val="2"/>
          </rPr>
          <t xml:space="preserve">
+LSD guidance</t>
        </r>
      </text>
    </comment>
    <comment ref="GZ10" authorId="0">
      <text>
        <r>
          <rPr>
            <b/>
            <sz val="9"/>
            <color indexed="81"/>
            <rFont val="Tahoma"/>
            <family val="2"/>
          </rPr>
          <t xml:space="preserve">casselau:
3/3/16: +5% store only+5% incl Direct
</t>
        </r>
        <r>
          <rPr>
            <sz val="9"/>
            <color indexed="81"/>
            <rFont val="Tahoma"/>
            <family val="2"/>
          </rPr>
          <t xml:space="preserve">
2/26/16: now includes eCommerce; running +MSD store comps at both VS and BBW</t>
        </r>
      </text>
    </comment>
    <comment ref="HG10" authorId="7">
      <text>
        <r>
          <rPr>
            <b/>
            <sz val="9"/>
            <color indexed="81"/>
            <rFont val="Tahoma"/>
            <family val="2"/>
          </rPr>
          <t xml:space="preserve">Cassel, Lauren (Research):
2/22/17: Expect to report a February comp decline in the mid-to-high teens;  swim and apparel negatively impacting total company comp by -6%, thus expect to report a go-forward total company comp -LDD
</t>
        </r>
        <r>
          <rPr>
            <sz val="9"/>
            <color indexed="81"/>
            <rFont val="Tahoma"/>
            <family val="2"/>
          </rPr>
          <t xml:space="preserve">
2/2/17: Planning -MSD February comp, which includes a negative –MSD impact from the exit of swim and apparel at VS</t>
        </r>
      </text>
    </comment>
    <comment ref="HK10" authorId="7">
      <text>
        <r>
          <rPr>
            <b/>
            <sz val="9"/>
            <color indexed="81"/>
            <rFont val="Tahoma"/>
            <family val="2"/>
          </rPr>
          <t>Cassel, Lauren (Research):</t>
        </r>
        <r>
          <rPr>
            <sz val="9"/>
            <color indexed="81"/>
            <rFont val="Tahoma"/>
            <family val="2"/>
          </rPr>
          <t xml:space="preserve">
Roughly 6% of spread due to calendar shift</t>
        </r>
      </text>
    </comment>
    <comment ref="HM10" authorId="7">
      <text>
        <r>
          <rPr>
            <b/>
            <sz val="9"/>
            <color indexed="81"/>
            <rFont val="Tahoma"/>
            <family val="2"/>
          </rPr>
          <t>Cassel, Lauren (Research):</t>
        </r>
        <r>
          <rPr>
            <sz val="9"/>
            <color indexed="81"/>
            <rFont val="Tahoma"/>
            <family val="2"/>
          </rPr>
          <t xml:space="preserve">
2/28/18: We expect to report a total company February comp increase in the low-tomid-single digit range, consisting of a low-single digit increase at Victoria’s Secret and a mid-single digit increase at Bath &amp; Body Works. We expect the
total company merchandise margin rate to be down in February.</t>
        </r>
      </text>
    </comment>
    <comment ref="DT11" authorId="1">
      <text>
        <r>
          <rPr>
            <b/>
            <sz val="8"/>
            <color indexed="81"/>
            <rFont val="Tahoma"/>
            <family val="2"/>
          </rPr>
          <t>dliu:</t>
        </r>
        <r>
          <rPr>
            <sz val="8"/>
            <color indexed="81"/>
            <rFont val="Tahoma"/>
            <family val="2"/>
          </rPr>
          <t xml:space="preserve">
10.4, then calc'd 15.2</t>
        </r>
      </text>
    </comment>
    <comment ref="DX11" authorId="2">
      <text>
        <r>
          <rPr>
            <b/>
            <sz val="8"/>
            <color indexed="81"/>
            <rFont val="Tahoma"/>
            <family val="2"/>
          </rPr>
          <t>Corinna Freedman:</t>
        </r>
        <r>
          <rPr>
            <sz val="8"/>
            <color indexed="81"/>
            <rFont val="Tahoma"/>
            <family val="2"/>
          </rPr>
          <t xml:space="preserve">
784.9</t>
        </r>
      </text>
    </comment>
    <comment ref="EB11" authorId="2">
      <text>
        <r>
          <rPr>
            <b/>
            <sz val="8"/>
            <color indexed="81"/>
            <rFont val="Tahoma"/>
            <family val="2"/>
          </rPr>
          <t>Corinna Freedman:</t>
        </r>
        <r>
          <rPr>
            <sz val="8"/>
            <color indexed="81"/>
            <rFont val="Tahoma"/>
            <family val="2"/>
          </rPr>
          <t xml:space="preserve">
-4</t>
        </r>
      </text>
    </comment>
    <comment ref="EJ11" authorId="3">
      <text>
        <r>
          <rPr>
            <b/>
            <sz val="8"/>
            <color indexed="81"/>
            <rFont val="Tahoma"/>
            <family val="2"/>
          </rPr>
          <t>mm98285:</t>
        </r>
        <r>
          <rPr>
            <sz val="8"/>
            <color indexed="81"/>
            <rFont val="Tahoma"/>
            <family val="2"/>
          </rPr>
          <t xml:space="preserve">
+2-4% est. </t>
        </r>
      </text>
    </comment>
    <comment ref="ER11" authorId="3">
      <text>
        <r>
          <rPr>
            <b/>
            <sz val="8"/>
            <color indexed="81"/>
            <rFont val="Tahoma"/>
            <family val="2"/>
          </rPr>
          <t>mm98285:</t>
        </r>
        <r>
          <rPr>
            <sz val="8"/>
            <color indexed="81"/>
            <rFont val="Tahoma"/>
            <family val="2"/>
          </rPr>
          <t xml:space="preserve">
5.0% est.
3/07: guided to +HSD</t>
        </r>
      </text>
    </comment>
    <comment ref="EV11" authorId="3">
      <text>
        <r>
          <rPr>
            <b/>
            <sz val="8"/>
            <color indexed="81"/>
            <rFont val="Tahoma"/>
            <family val="2"/>
          </rPr>
          <t>mm98285:</t>
        </r>
        <r>
          <rPr>
            <sz val="8"/>
            <color indexed="81"/>
            <rFont val="Tahoma"/>
            <family val="2"/>
          </rPr>
          <t xml:space="preserve">
$694.6 est.</t>
        </r>
      </text>
    </comment>
    <comment ref="EZ11" authorId="3">
      <text>
        <r>
          <rPr>
            <b/>
            <sz val="8"/>
            <color indexed="81"/>
            <rFont val="Tahoma"/>
            <family val="2"/>
          </rPr>
          <t>mm98285:</t>
        </r>
        <r>
          <rPr>
            <sz val="8"/>
            <color indexed="81"/>
            <rFont val="Tahoma"/>
            <family val="2"/>
          </rPr>
          <t xml:space="preserve">
-10% est. 
3/08: expect -HSD</t>
        </r>
      </text>
    </comment>
    <comment ref="FD11" authorId="3">
      <text>
        <r>
          <rPr>
            <b/>
            <sz val="8"/>
            <color indexed="81"/>
            <rFont val="Tahoma"/>
            <family val="2"/>
          </rPr>
          <t>mm98285:</t>
        </r>
        <r>
          <rPr>
            <sz val="8"/>
            <color indexed="81"/>
            <rFont val="Tahoma"/>
            <family val="2"/>
          </rPr>
          <t xml:space="preserve">
$673.7M est. </t>
        </r>
      </text>
    </comment>
    <comment ref="FH11" authorId="3">
      <text>
        <r>
          <rPr>
            <b/>
            <sz val="8"/>
            <color indexed="81"/>
            <rFont val="Tahoma"/>
            <family val="2"/>
          </rPr>
          <t>mm98285:</t>
        </r>
        <r>
          <rPr>
            <sz val="8"/>
            <color indexed="81"/>
            <rFont val="Tahoma"/>
            <family val="2"/>
          </rPr>
          <t xml:space="preserve">
-11.3% est. 
3/09: -LDD
Expect April&gt;March
</t>
        </r>
      </text>
    </comment>
    <comment ref="FL11" authorId="8">
      <text>
        <r>
          <rPr>
            <b/>
            <sz val="8"/>
            <color indexed="81"/>
            <rFont val="Tahoma"/>
            <family val="2"/>
          </rPr>
          <t>ns66486:</t>
        </r>
        <r>
          <rPr>
            <sz val="8"/>
            <color indexed="81"/>
            <rFont val="Tahoma"/>
            <family val="2"/>
          </rPr>
          <t xml:space="preserve">
$712.6mm est</t>
        </r>
      </text>
    </comment>
    <comment ref="FP11" authorId="3">
      <text>
        <r>
          <rPr>
            <sz val="8"/>
            <color indexed="81"/>
            <rFont val="Tahoma"/>
            <family val="2"/>
          </rPr>
          <t>est +4.7%
3/10: +MSD (fav impact from earlier Easter)</t>
        </r>
      </text>
    </comment>
    <comment ref="FT11" authorId="5">
      <text>
        <r>
          <rPr>
            <b/>
            <sz val="8"/>
            <color indexed="81"/>
            <rFont val="Tahoma"/>
            <family val="2"/>
          </rPr>
          <t>nicholjs:</t>
        </r>
        <r>
          <rPr>
            <sz val="8"/>
            <color indexed="81"/>
            <rFont val="Tahoma"/>
            <family val="2"/>
          </rPr>
          <t xml:space="preserve">
we est $771.8</t>
        </r>
      </text>
    </comment>
    <comment ref="FX11" authorId="5">
      <text>
        <r>
          <rPr>
            <b/>
            <sz val="8"/>
            <color indexed="81"/>
            <rFont val="Tahoma"/>
            <family val="2"/>
          </rPr>
          <t>nicholjs:</t>
        </r>
        <r>
          <rPr>
            <sz val="8"/>
            <color indexed="81"/>
            <rFont val="Tahoma"/>
            <family val="2"/>
          </rPr>
          <t xml:space="preserve">
Estimate later Easter negatively impacted March comps by 3-5%
we est flat
3/2011: expect roughly flat; will be negatively impacted by the later Easter this year by about 3-5 comp points.  M/Arple comp flat to up slightly, with April +L-MSD.</t>
        </r>
      </text>
    </comment>
    <comment ref="GA11" authorId="9">
      <text>
        <r>
          <rPr>
            <b/>
            <sz val="8"/>
            <color indexed="81"/>
            <rFont val="Tahoma"/>
            <family val="2"/>
          </rPr>
          <t>P Kahng:</t>
        </r>
        <r>
          <rPr>
            <sz val="8"/>
            <color indexed="81"/>
            <rFont val="Tahoma"/>
            <family val="2"/>
          </rPr>
          <t xml:space="preserve">
4/5/12: Marc 2011 sales incl $84.3M in sale from Mast (sold in Nov 11)
</t>
        </r>
      </text>
    </comment>
    <comment ref="GC11" authorId="6">
      <text>
        <r>
          <rPr>
            <b/>
            <sz val="8"/>
            <color indexed="81"/>
            <rFont val="Tahoma"/>
            <family val="2"/>
          </rPr>
          <t xml:space="preserve">3/1/12: </t>
        </r>
        <r>
          <rPr>
            <sz val="8"/>
            <color indexed="81"/>
            <rFont val="Tahoma"/>
            <family val="2"/>
          </rPr>
          <t>+LSD
was 5.9% prior</t>
        </r>
      </text>
    </comment>
    <comment ref="GO11" authorId="0">
      <text>
        <r>
          <rPr>
            <b/>
            <sz val="8"/>
            <color indexed="81"/>
            <rFont val="Tahoma"/>
            <family val="2"/>
          </rPr>
          <t>casselau:</t>
        </r>
        <r>
          <rPr>
            <sz val="8"/>
            <color indexed="81"/>
            <rFont val="Tahoma"/>
            <family val="2"/>
          </rPr>
          <t xml:space="preserve">
3/6/14: due to easter shifting into April out of March LY, expect flat to -LSD (~300 bps impact)</t>
        </r>
      </text>
    </comment>
    <comment ref="GT11" authorId="0">
      <text>
        <r>
          <rPr>
            <b/>
            <sz val="9"/>
            <color indexed="81"/>
            <rFont val="Tahoma"/>
            <family val="2"/>
          </rPr>
          <t>casselau:</t>
        </r>
        <r>
          <rPr>
            <sz val="9"/>
            <color indexed="81"/>
            <rFont val="Tahoma"/>
            <family val="2"/>
          </rPr>
          <t xml:space="preserve">
3/5/14: Easter is two weeks earlier. They expect this to have a positive impact to March comps of about 3-4%, and therefore expect March comps +MSD. March/April combined they expect +LSD. </t>
        </r>
      </text>
    </comment>
    <comment ref="GZ11" authorId="0">
      <text>
        <r>
          <rPr>
            <b/>
            <sz val="9"/>
            <color indexed="81"/>
            <rFont val="Tahoma"/>
            <family val="2"/>
          </rPr>
          <t>casselau:</t>
        </r>
        <r>
          <rPr>
            <sz val="9"/>
            <color indexed="81"/>
            <rFont val="Tahoma"/>
            <family val="2"/>
          </rPr>
          <t xml:space="preserve">
Easter is one week earlier than last year and Easter Sunday shifts into March out of April. They expect this will have a negative impact on March comps of about 1-2% and therefore expect march comps to be flat to +LSD. They expect comps for the March/April time period combined will increase in the +LSD range. </t>
        </r>
      </text>
    </comment>
    <comment ref="HA11" authorId="0">
      <text>
        <r>
          <rPr>
            <b/>
            <sz val="9"/>
            <color indexed="81"/>
            <rFont val="Tahoma"/>
            <family val="2"/>
          </rPr>
          <t>casselau:
Easter shift -1% to -2% impact</t>
        </r>
        <r>
          <rPr>
            <sz val="9"/>
            <color indexed="81"/>
            <rFont val="Tahoma"/>
            <family val="2"/>
          </rPr>
          <t xml:space="preserve">
Easter is one week earlier than last year and Easter Sunday shifts into March out of April. They expect this will have a negative impact on March comps of about 1-2% and therefore expect march comps to be flat to +LSD. They expect comps for the March/April time period combined will increase in the +LSD range. </t>
        </r>
      </text>
    </comment>
    <comment ref="HG11" authorId="7">
      <text>
        <r>
          <rPr>
            <b/>
            <sz val="9"/>
            <color indexed="81"/>
            <rFont val="Tahoma"/>
            <family val="2"/>
          </rPr>
          <t>Cassel, Lauren (Research):</t>
        </r>
        <r>
          <rPr>
            <sz val="9"/>
            <color indexed="81"/>
            <rFont val="Tahoma"/>
            <family val="2"/>
          </rPr>
          <t xml:space="preserve">
4/6/17: The exit of swim and apparel negatively impacted total company comps by about </t>
        </r>
        <r>
          <rPr>
            <b/>
            <sz val="9"/>
            <color indexed="81"/>
            <rFont val="Tahoma"/>
            <family val="2"/>
          </rPr>
          <t>-7%</t>
        </r>
        <r>
          <rPr>
            <sz val="9"/>
            <color indexed="81"/>
            <rFont val="Tahoma"/>
            <family val="2"/>
          </rPr>
          <t xml:space="preserve"> and the VS comp by </t>
        </r>
        <r>
          <rPr>
            <b/>
            <sz val="9"/>
            <color indexed="81"/>
            <rFont val="Tahoma"/>
            <family val="2"/>
          </rPr>
          <t xml:space="preserve">-10%. </t>
        </r>
        <r>
          <rPr>
            <sz val="9"/>
            <color indexed="81"/>
            <rFont val="Tahoma"/>
            <family val="2"/>
          </rPr>
          <t xml:space="preserve">The later Easter this year negatively impacted March comps by </t>
        </r>
        <r>
          <rPr>
            <b/>
            <sz val="9"/>
            <color indexed="81"/>
            <rFont val="Tahoma"/>
            <family val="2"/>
          </rPr>
          <t>2-3%.</t>
        </r>
        <r>
          <rPr>
            <sz val="9"/>
            <color indexed="81"/>
            <rFont val="Tahoma"/>
            <family val="2"/>
          </rPr>
          <t xml:space="preserve"> 
3/2/17: -LSD to -MSD for March/April combined; Later Easter will negatively impact March comps by -2-3%.</t>
        </r>
      </text>
    </comment>
    <comment ref="HM11" authorId="7">
      <text>
        <r>
          <rPr>
            <b/>
            <sz val="9"/>
            <color indexed="81"/>
            <rFont val="Tahoma"/>
            <family val="2"/>
          </rPr>
          <t>Cassel, Lauren (Research):
4/12/18: Earlier Easter benefitted comps by +2%</t>
        </r>
        <r>
          <rPr>
            <sz val="9"/>
            <color indexed="81"/>
            <rFont val="Tahoma"/>
            <family val="2"/>
          </rPr>
          <t xml:space="preserve">
3/8/18: Expect earlier Easter to benefit march comps +1-2%</t>
        </r>
      </text>
    </comment>
    <comment ref="DP12" authorId="1">
      <text>
        <r>
          <rPr>
            <b/>
            <sz val="8"/>
            <color indexed="81"/>
            <rFont val="Tahoma"/>
            <family val="2"/>
          </rPr>
          <t>dliu:</t>
        </r>
        <r>
          <rPr>
            <sz val="8"/>
            <color indexed="81"/>
            <rFont val="Tahoma"/>
            <family val="2"/>
          </rPr>
          <t xml:space="preserve">
634.6</t>
        </r>
      </text>
    </comment>
    <comment ref="DT12" authorId="1">
      <text>
        <r>
          <rPr>
            <b/>
            <sz val="8"/>
            <color indexed="81"/>
            <rFont val="Tahoma"/>
            <family val="2"/>
          </rPr>
          <t>dliu:</t>
        </r>
        <r>
          <rPr>
            <sz val="8"/>
            <color indexed="81"/>
            <rFont val="Tahoma"/>
            <family val="2"/>
          </rPr>
          <t xml:space="preserve">
4.3</t>
        </r>
      </text>
    </comment>
    <comment ref="DX12" authorId="2">
      <text>
        <r>
          <rPr>
            <b/>
            <sz val="8"/>
            <color indexed="81"/>
            <rFont val="Tahoma"/>
            <family val="2"/>
          </rPr>
          <t>Corinna Freedman:</t>
        </r>
        <r>
          <rPr>
            <sz val="8"/>
            <color indexed="81"/>
            <rFont val="Tahoma"/>
            <family val="2"/>
          </rPr>
          <t xml:space="preserve">
555</t>
        </r>
      </text>
    </comment>
    <comment ref="EB12" authorId="2">
      <text>
        <r>
          <rPr>
            <b/>
            <sz val="8"/>
            <color indexed="81"/>
            <rFont val="Tahoma"/>
            <family val="2"/>
          </rPr>
          <t>Corinna Freedman:</t>
        </r>
        <r>
          <rPr>
            <sz val="8"/>
            <color indexed="81"/>
            <rFont val="Tahoma"/>
            <family val="2"/>
          </rPr>
          <t xml:space="preserve">
0</t>
        </r>
      </text>
    </comment>
    <comment ref="EJ12" authorId="3">
      <text>
        <r>
          <rPr>
            <b/>
            <sz val="8"/>
            <color indexed="81"/>
            <rFont val="Tahoma"/>
            <family val="2"/>
          </rPr>
          <t>mm98285:</t>
        </r>
        <r>
          <rPr>
            <sz val="8"/>
            <color indexed="81"/>
            <rFont val="Tahoma"/>
            <family val="2"/>
          </rPr>
          <t xml:space="preserve">
+5.7% est.
4/06: guided to +MSD</t>
        </r>
      </text>
    </comment>
    <comment ref="ER12" authorId="3">
      <text>
        <r>
          <rPr>
            <b/>
            <sz val="8"/>
            <color indexed="81"/>
            <rFont val="Tahoma"/>
            <family val="2"/>
          </rPr>
          <t>mm98285:</t>
        </r>
        <r>
          <rPr>
            <sz val="8"/>
            <color indexed="81"/>
            <rFont val="Tahoma"/>
            <family val="2"/>
          </rPr>
          <t xml:space="preserve">
1.3% est.
4/07: guided to +LSD</t>
        </r>
      </text>
    </comment>
    <comment ref="EV12" authorId="3">
      <text>
        <r>
          <rPr>
            <b/>
            <sz val="8"/>
            <color indexed="81"/>
            <rFont val="Tahoma"/>
            <family val="2"/>
          </rPr>
          <t>mm98285:</t>
        </r>
        <r>
          <rPr>
            <sz val="8"/>
            <color indexed="81"/>
            <rFont val="Tahoma"/>
            <family val="2"/>
          </rPr>
          <t xml:space="preserve">
$572.9mm est</t>
        </r>
      </text>
    </comment>
    <comment ref="EZ12" authorId="3">
      <text>
        <r>
          <rPr>
            <b/>
            <sz val="8"/>
            <color indexed="81"/>
            <rFont val="Tahoma"/>
            <family val="2"/>
          </rPr>
          <t>mm98285:</t>
        </r>
        <r>
          <rPr>
            <sz val="8"/>
            <color indexed="81"/>
            <rFont val="Tahoma"/>
            <family val="2"/>
          </rPr>
          <t xml:space="preserve">
-2% est
expect -LSD</t>
        </r>
      </text>
    </comment>
    <comment ref="FD12" authorId="3">
      <text>
        <r>
          <rPr>
            <b/>
            <sz val="8"/>
            <color indexed="81"/>
            <rFont val="Tahoma"/>
            <family val="2"/>
          </rPr>
          <t>mm98285:</t>
        </r>
        <r>
          <rPr>
            <sz val="8"/>
            <color indexed="81"/>
            <rFont val="Tahoma"/>
            <family val="2"/>
          </rPr>
          <t xml:space="preserve">
$524.9M est. </t>
        </r>
      </text>
    </comment>
    <comment ref="FH12" authorId="3">
      <text>
        <r>
          <rPr>
            <b/>
            <sz val="8"/>
            <color indexed="81"/>
            <rFont val="Tahoma"/>
            <family val="2"/>
          </rPr>
          <t>mm98285:</t>
        </r>
        <r>
          <rPr>
            <sz val="8"/>
            <color indexed="81"/>
            <rFont val="Tahoma"/>
            <family val="2"/>
          </rPr>
          <t xml:space="preserve">
-5% est.
4/09: expect -MSD</t>
        </r>
      </text>
    </comment>
    <comment ref="FL12" authorId="8">
      <text>
        <r>
          <rPr>
            <b/>
            <sz val="8"/>
            <color indexed="81"/>
            <rFont val="Tahoma"/>
            <family val="2"/>
          </rPr>
          <t>ns66486:</t>
        </r>
        <r>
          <rPr>
            <sz val="8"/>
            <color indexed="81"/>
            <rFont val="Tahoma"/>
            <family val="2"/>
          </rPr>
          <t xml:space="preserve">
we est 520.2</t>
        </r>
      </text>
    </comment>
    <comment ref="FP12" authorId="8">
      <text>
        <r>
          <rPr>
            <b/>
            <sz val="8"/>
            <color indexed="81"/>
            <rFont val="Tahoma"/>
            <family val="2"/>
          </rPr>
          <t xml:space="preserve">we est. +1.1%
</t>
        </r>
        <r>
          <rPr>
            <sz val="8"/>
            <color indexed="81"/>
            <rFont val="Tahoma"/>
            <family val="2"/>
          </rPr>
          <t xml:space="preserve">
4/10: expect +LSD (guidance)</t>
        </r>
      </text>
    </comment>
    <comment ref="FT12" authorId="5">
      <text>
        <r>
          <rPr>
            <b/>
            <sz val="8"/>
            <color indexed="81"/>
            <rFont val="Tahoma"/>
            <family val="2"/>
          </rPr>
          <t>nicholjs:</t>
        </r>
        <r>
          <rPr>
            <sz val="8"/>
            <color indexed="81"/>
            <rFont val="Tahoma"/>
            <family val="2"/>
          </rPr>
          <t xml:space="preserve">
we est $646.7</t>
        </r>
      </text>
    </comment>
    <comment ref="FX12" authorId="5">
      <text>
        <r>
          <rPr>
            <b/>
            <sz val="8"/>
            <color indexed="81"/>
            <rFont val="Tahoma"/>
            <family val="2"/>
          </rPr>
          <t>nicholjs:</t>
        </r>
        <r>
          <rPr>
            <sz val="8"/>
            <color indexed="81"/>
            <rFont val="Tahoma"/>
            <family val="2"/>
          </rPr>
          <t xml:space="preserve">
we est +8.6%
4/2011: +M-HSD
3/2011: likely +L-MSD</t>
        </r>
      </text>
    </comment>
    <comment ref="GO12" authorId="0">
      <text>
        <r>
          <rPr>
            <b/>
            <sz val="9"/>
            <color indexed="81"/>
            <rFont val="Tahoma"/>
            <family val="2"/>
          </rPr>
          <t>casselau:
5/8/14: Easter shift positively impacted comps by 3-4 points</t>
        </r>
        <r>
          <rPr>
            <sz val="9"/>
            <color indexed="81"/>
            <rFont val="Tahoma"/>
            <family val="2"/>
          </rPr>
          <t xml:space="preserve">
4/10/14: guidance +MSD given Easter shift</t>
        </r>
      </text>
    </comment>
    <comment ref="GT12" authorId="0">
      <text>
        <r>
          <rPr>
            <b/>
            <sz val="8"/>
            <color indexed="81"/>
            <rFont val="Tahoma"/>
            <family val="2"/>
          </rPr>
          <t>casselau:</t>
        </r>
        <r>
          <rPr>
            <sz val="8"/>
            <color indexed="81"/>
            <rFont val="Tahoma"/>
            <family val="2"/>
          </rPr>
          <t xml:space="preserve">
4/9/15: guidance flat to -LSD; Earlier Easter will negatively impact April comps by about 5%</t>
        </r>
      </text>
    </comment>
    <comment ref="GZ12" authorId="0">
      <text>
        <r>
          <rPr>
            <b/>
            <sz val="9"/>
            <color indexed="81"/>
            <rFont val="Tahoma"/>
            <family val="2"/>
          </rPr>
          <t>casselau:</t>
        </r>
        <r>
          <rPr>
            <sz val="9"/>
            <color indexed="81"/>
            <rFont val="Tahoma"/>
            <family val="2"/>
          </rPr>
          <t xml:space="preserve">
Easter is one week earlier than last year and Easter Sunday shifts into March out of April. They expect this will have a negative impact on March comps of about 1-2% and therefore expect march comps to be flat to +LSD. They expect comps for the March/April time period combined will increase in the +LSD range. </t>
        </r>
      </text>
    </comment>
    <comment ref="HA12" authorId="0">
      <text>
        <r>
          <rPr>
            <b/>
            <sz val="9"/>
            <color indexed="81"/>
            <rFont val="Tahoma"/>
            <family val="2"/>
          </rPr>
          <t>Positively impacted by +2% from earlier Easter
casselau:</t>
        </r>
        <r>
          <rPr>
            <sz val="9"/>
            <color indexed="81"/>
            <rFont val="Tahoma"/>
            <family val="2"/>
          </rPr>
          <t xml:space="preserve">
Easter is one week earlier than last year and Easter Sunday shifts into March out of April. They expect this will have a negative impact on March comps of about 1-2% and therefore expect march comps to be flat to +LSD. They expect comps for the March/April time period combined will increase in the +LSD range. </t>
        </r>
      </text>
    </comment>
    <comment ref="HG12" authorId="7">
      <text>
        <r>
          <rPr>
            <b/>
            <sz val="9"/>
            <color indexed="81"/>
            <rFont val="Tahoma"/>
            <family val="2"/>
          </rPr>
          <t xml:space="preserve">Cassel, Lauren (Research):
5/4/16: Easter benefitted April by +3%; exit of swim and apparel -6% headwind
</t>
        </r>
        <r>
          <rPr>
            <sz val="9"/>
            <color indexed="81"/>
            <rFont val="Tahoma"/>
            <family val="2"/>
          </rPr>
          <t xml:space="preserve">
4/6/17: Expect April comps to be –LSD which includes a positive impact from the later Easter of about +3% and a negative impact from the exited categories of about -6%. 
3/2/17: -LSD to -MSD for March/April combined; Later Easter will negatively impact March comps by -2-3%.</t>
        </r>
      </text>
    </comment>
    <comment ref="HM12" authorId="7">
      <text>
        <r>
          <rPr>
            <b/>
            <sz val="9"/>
            <color indexed="81"/>
            <rFont val="Tahoma"/>
            <family val="2"/>
          </rPr>
          <t>Cassel, Lauren (Research):</t>
        </r>
        <r>
          <rPr>
            <sz val="9"/>
            <color indexed="81"/>
            <rFont val="Tahoma"/>
            <family val="2"/>
          </rPr>
          <t xml:space="preserve">
4/12/18: Expect the earlier Easter to negatively impact Easter comps by 2-3%</t>
        </r>
      </text>
    </comment>
    <comment ref="DP13" authorId="1">
      <text>
        <r>
          <rPr>
            <b/>
            <sz val="8"/>
            <color indexed="81"/>
            <rFont val="Tahoma"/>
            <family val="2"/>
          </rPr>
          <t>dliu:</t>
        </r>
        <r>
          <rPr>
            <sz val="8"/>
            <color indexed="81"/>
            <rFont val="Tahoma"/>
            <family val="2"/>
          </rPr>
          <t xml:space="preserve">
1986.4</t>
        </r>
      </text>
    </comment>
    <comment ref="DT13" authorId="1">
      <text>
        <r>
          <rPr>
            <b/>
            <sz val="8"/>
            <color indexed="81"/>
            <rFont val="Tahoma"/>
            <family val="2"/>
          </rPr>
          <t>dliu:</t>
        </r>
        <r>
          <rPr>
            <sz val="8"/>
            <color indexed="81"/>
            <rFont val="Tahoma"/>
            <family val="2"/>
          </rPr>
          <t xml:space="preserve">
2.4, 6.0</t>
        </r>
      </text>
    </comment>
    <comment ref="EJ13" authorId="10">
      <text>
        <r>
          <rPr>
            <b/>
            <sz val="8"/>
            <color indexed="81"/>
            <rFont val="Tahoma"/>
            <family val="2"/>
          </rPr>
          <t>MB33100:</t>
        </r>
        <r>
          <rPr>
            <sz val="8"/>
            <color indexed="81"/>
            <rFont val="Tahoma"/>
            <family val="2"/>
          </rPr>
          <t xml:space="preserve">
2/06 Guided to L to MSD comp for 1Q</t>
        </r>
      </text>
    </comment>
    <comment ref="FH13" authorId="3">
      <text>
        <r>
          <rPr>
            <b/>
            <sz val="8"/>
            <color indexed="81"/>
            <rFont val="Tahoma"/>
            <family val="2"/>
          </rPr>
          <t>mm98285:</t>
        </r>
        <r>
          <rPr>
            <sz val="8"/>
            <color indexed="81"/>
            <rFont val="Tahoma"/>
            <family val="2"/>
          </rPr>
          <t xml:space="preserve">
2/09: guide to -Mteens</t>
        </r>
      </text>
    </comment>
    <comment ref="FP13" authorId="3">
      <text>
        <r>
          <rPr>
            <b/>
            <sz val="8"/>
            <color indexed="81"/>
            <rFont val="Tahoma"/>
            <family val="2"/>
          </rPr>
          <t>mm98285:</t>
        </r>
        <r>
          <rPr>
            <sz val="8"/>
            <color indexed="81"/>
            <rFont val="Tahoma"/>
            <family val="2"/>
          </rPr>
          <t xml:space="preserve">
2/10: guide to +2-4%</t>
        </r>
      </text>
    </comment>
    <comment ref="HG13" authorId="7">
      <text>
        <r>
          <rPr>
            <b/>
            <sz val="9"/>
            <color indexed="81"/>
            <rFont val="Tahoma"/>
            <family val="2"/>
          </rPr>
          <t>Cassel, Lauren (Research):
5/4/17: -6% headwind from exit of swim and apparel</t>
        </r>
        <r>
          <rPr>
            <sz val="9"/>
            <color indexed="81"/>
            <rFont val="Tahoma"/>
            <family val="2"/>
          </rPr>
          <t xml:space="preserve">
2/22/17: guidance for 1Q comp -HSD to -LDD assumes an improvement from current sales trends and includes a -6% impact from exit of swim and apparel</t>
        </r>
      </text>
    </comment>
    <comment ref="DL15" authorId="1">
      <text>
        <r>
          <rPr>
            <b/>
            <sz val="8"/>
            <color indexed="81"/>
            <rFont val="Tahoma"/>
            <family val="2"/>
          </rPr>
          <t>dliu:</t>
        </r>
        <r>
          <rPr>
            <sz val="8"/>
            <color indexed="81"/>
            <rFont val="Tahoma"/>
            <family val="2"/>
          </rPr>
          <t xml:space="preserve">
calc'ed 0.9</t>
        </r>
      </text>
    </comment>
    <comment ref="DP15" authorId="2">
      <text>
        <r>
          <rPr>
            <b/>
            <sz val="8"/>
            <color indexed="81"/>
            <rFont val="Tahoma"/>
            <family val="2"/>
          </rPr>
          <t xml:space="preserve">cf: </t>
        </r>
        <r>
          <rPr>
            <sz val="8"/>
            <color indexed="81"/>
            <rFont val="Tahoma"/>
            <family val="2"/>
          </rPr>
          <t>672.4</t>
        </r>
      </text>
    </comment>
    <comment ref="DT15" authorId="2">
      <text>
        <r>
          <rPr>
            <b/>
            <sz val="8"/>
            <color indexed="81"/>
            <rFont val="Tahoma"/>
            <family val="2"/>
          </rPr>
          <t xml:space="preserve">cf: </t>
        </r>
        <r>
          <rPr>
            <sz val="8"/>
            <color indexed="81"/>
            <rFont val="Tahoma"/>
            <family val="2"/>
          </rPr>
          <t>2.2</t>
        </r>
      </text>
    </comment>
    <comment ref="DX15" authorId="2">
      <text>
        <r>
          <rPr>
            <b/>
            <sz val="8"/>
            <color indexed="81"/>
            <rFont val="Tahoma"/>
            <family val="2"/>
          </rPr>
          <t>Corinna Freedman:</t>
        </r>
        <r>
          <rPr>
            <sz val="8"/>
            <color indexed="81"/>
            <rFont val="Tahoma"/>
            <family val="2"/>
          </rPr>
          <t xml:space="preserve">
698.9</t>
        </r>
      </text>
    </comment>
    <comment ref="EB15" authorId="2">
      <text>
        <r>
          <rPr>
            <b/>
            <sz val="8"/>
            <color indexed="81"/>
            <rFont val="Tahoma"/>
            <family val="2"/>
          </rPr>
          <t>Corinna Freedman:</t>
        </r>
        <r>
          <rPr>
            <sz val="8"/>
            <color indexed="81"/>
            <rFont val="Tahoma"/>
            <family val="2"/>
          </rPr>
          <t xml:space="preserve">
-4</t>
        </r>
      </text>
    </comment>
    <comment ref="EJ15" authorId="3">
      <text>
        <r>
          <rPr>
            <b/>
            <sz val="8"/>
            <color indexed="81"/>
            <rFont val="Tahoma"/>
            <family val="2"/>
          </rPr>
          <t>mm98285:</t>
        </r>
        <r>
          <rPr>
            <sz val="8"/>
            <color indexed="81"/>
            <rFont val="Tahoma"/>
            <family val="2"/>
          </rPr>
          <t xml:space="preserve">
5.6% comp est.
5/06: guided to +MSD</t>
        </r>
      </text>
    </comment>
    <comment ref="ER15" authorId="3">
      <text>
        <r>
          <rPr>
            <b/>
            <sz val="8"/>
            <color indexed="81"/>
            <rFont val="Tahoma"/>
            <family val="2"/>
          </rPr>
          <t>mm98285:</t>
        </r>
        <r>
          <rPr>
            <sz val="8"/>
            <color indexed="81"/>
            <rFont val="Tahoma"/>
            <family val="2"/>
          </rPr>
          <t xml:space="preserve">
-1.1% est.
5/23/07: updated guid to -LSD
5/07: guid to +LSD</t>
        </r>
      </text>
    </comment>
    <comment ref="EV15" authorId="3">
      <text>
        <r>
          <rPr>
            <b/>
            <sz val="8"/>
            <color indexed="81"/>
            <rFont val="Tahoma"/>
            <family val="2"/>
          </rPr>
          <t>mm98285:</t>
        </r>
        <r>
          <rPr>
            <sz val="8"/>
            <color indexed="81"/>
            <rFont val="Tahoma"/>
            <family val="2"/>
          </rPr>
          <t xml:space="preserve">
$678.8mm est.</t>
        </r>
      </text>
    </comment>
    <comment ref="EZ15" authorId="3">
      <text>
        <r>
          <rPr>
            <b/>
            <sz val="8"/>
            <color indexed="81"/>
            <rFont val="Tahoma"/>
            <family val="2"/>
          </rPr>
          <t>mm98285:</t>
        </r>
        <r>
          <rPr>
            <sz val="8"/>
            <color indexed="81"/>
            <rFont val="Tahoma"/>
            <family val="2"/>
          </rPr>
          <t xml:space="preserve">
expect down M-HSD</t>
        </r>
      </text>
    </comment>
    <comment ref="FD15" authorId="3">
      <text>
        <r>
          <rPr>
            <b/>
            <sz val="8"/>
            <color indexed="81"/>
            <rFont val="Tahoma"/>
            <family val="2"/>
          </rPr>
          <t>mm98285:</t>
        </r>
        <r>
          <rPr>
            <sz val="8"/>
            <color indexed="81"/>
            <rFont val="Tahoma"/>
            <family val="2"/>
          </rPr>
          <t xml:space="preserve">
$600.5M est. </t>
        </r>
      </text>
    </comment>
    <comment ref="FH15" authorId="3">
      <text>
        <r>
          <rPr>
            <b/>
            <sz val="8"/>
            <color indexed="81"/>
            <rFont val="Tahoma"/>
            <family val="2"/>
          </rPr>
          <t>mm98285:</t>
        </r>
        <r>
          <rPr>
            <sz val="8"/>
            <color indexed="81"/>
            <rFont val="Tahoma"/>
            <family val="2"/>
          </rPr>
          <t xml:space="preserve">
-7% est. 
expect -M-HSD</t>
        </r>
      </text>
    </comment>
    <comment ref="FL15" authorId="11">
      <text>
        <r>
          <rPr>
            <b/>
            <sz val="8"/>
            <color indexed="81"/>
            <rFont val="Tahoma"/>
            <family val="2"/>
          </rPr>
          <t>NS66486:</t>
        </r>
        <r>
          <rPr>
            <sz val="8"/>
            <color indexed="81"/>
            <rFont val="Tahoma"/>
            <family val="2"/>
          </rPr>
          <t xml:space="preserve">
we est. $638.1</t>
        </r>
      </text>
    </comment>
    <comment ref="FP15" authorId="12">
      <text>
        <r>
          <rPr>
            <b/>
            <sz val="8"/>
            <color indexed="81"/>
            <rFont val="Tahoma"/>
            <family val="2"/>
          </rPr>
          <t>ti23070:</t>
        </r>
        <r>
          <rPr>
            <sz val="8"/>
            <color indexed="81"/>
            <rFont val="Tahoma"/>
            <family val="2"/>
          </rPr>
          <t xml:space="preserve">
5/10: Expect flat to +LSD
we est. +1.4%</t>
        </r>
      </text>
    </comment>
    <comment ref="FT15" authorId="5">
      <text>
        <r>
          <rPr>
            <b/>
            <sz val="8"/>
            <color indexed="81"/>
            <rFont val="Tahoma"/>
            <family val="2"/>
          </rPr>
          <t>nicholjs:</t>
        </r>
        <r>
          <rPr>
            <sz val="8"/>
            <color indexed="81"/>
            <rFont val="Tahoma"/>
            <family val="2"/>
          </rPr>
          <t xml:space="preserve">
we est $730.0mm</t>
        </r>
      </text>
    </comment>
    <comment ref="FX15" authorId="5">
      <text>
        <r>
          <rPr>
            <b/>
            <sz val="8"/>
            <color indexed="81"/>
            <rFont val="Tahoma"/>
            <family val="2"/>
          </rPr>
          <t>nicholjs:</t>
        </r>
        <r>
          <rPr>
            <sz val="8"/>
            <color indexed="81"/>
            <rFont val="Tahoma"/>
            <family val="2"/>
          </rPr>
          <t xml:space="preserve">
we est +8%
5/2011: planning May +LSD</t>
        </r>
      </text>
    </comment>
    <comment ref="GO15" authorId="0">
      <text>
        <r>
          <rPr>
            <b/>
            <sz val="9"/>
            <color indexed="81"/>
            <rFont val="Tahoma"/>
            <family val="2"/>
          </rPr>
          <t>casselau:</t>
        </r>
        <r>
          <rPr>
            <sz val="9"/>
            <color indexed="81"/>
            <rFont val="Tahoma"/>
            <family val="2"/>
          </rPr>
          <t xml:space="preserve">
5/8/14: guidance +LSD</t>
        </r>
      </text>
    </comment>
    <comment ref="GT15" authorId="0">
      <text>
        <r>
          <rPr>
            <b/>
            <sz val="9"/>
            <color indexed="81"/>
            <rFont val="Tahoma"/>
            <family val="2"/>
          </rPr>
          <t>casselau:</t>
        </r>
        <r>
          <rPr>
            <sz val="9"/>
            <color indexed="81"/>
            <rFont val="Tahoma"/>
            <family val="2"/>
          </rPr>
          <t xml:space="preserve">
+LSD guidance</t>
        </r>
      </text>
    </comment>
    <comment ref="HA15" authorId="7">
      <text>
        <r>
          <rPr>
            <b/>
            <sz val="9"/>
            <color indexed="81"/>
            <rFont val="Tahoma"/>
            <family val="2"/>
          </rPr>
          <t xml:space="preserve">Cassel, Lauren (Research):
6/2/16: Later memorial day negatively impacted the comp by -2%
5/18/16: Now expect May comparable sales -LSD to -MSD 
5/5/16: </t>
        </r>
        <r>
          <rPr>
            <sz val="9"/>
            <color indexed="81"/>
            <rFont val="Tahoma"/>
            <family val="2"/>
          </rPr>
          <t xml:space="preserve">Planning May comps to be roughly flat, which includes a negative impact from the shift of the Sunday and Monday of Memorial Day weekend into June. </t>
        </r>
      </text>
    </comment>
    <comment ref="HG15" authorId="7">
      <text>
        <r>
          <rPr>
            <b/>
            <sz val="9"/>
            <color indexed="81"/>
            <rFont val="Tahoma"/>
            <family val="2"/>
          </rPr>
          <t>Cassel, Lauren (Research):</t>
        </r>
        <r>
          <rPr>
            <sz val="9"/>
            <color indexed="81"/>
            <rFont val="Tahoma"/>
            <family val="2"/>
          </rPr>
          <t xml:space="preserve">
5/4/17: guidance -MSD to -HSD (-10% impact from exited categories)</t>
        </r>
      </text>
    </comment>
    <comment ref="DL16" authorId="1">
      <text>
        <r>
          <rPr>
            <b/>
            <sz val="8"/>
            <color indexed="81"/>
            <rFont val="Tahoma"/>
            <family val="2"/>
          </rPr>
          <t>dliu:</t>
        </r>
        <r>
          <rPr>
            <sz val="8"/>
            <color indexed="81"/>
            <rFont val="Tahoma"/>
            <family val="2"/>
          </rPr>
          <t xml:space="preserve">
calc'ed 5.0</t>
        </r>
      </text>
    </comment>
    <comment ref="DP16" authorId="2">
      <text>
        <r>
          <rPr>
            <b/>
            <sz val="8"/>
            <color indexed="81"/>
            <rFont val="Tahoma"/>
            <family val="2"/>
          </rPr>
          <t xml:space="preserve">clf: </t>
        </r>
        <r>
          <rPr>
            <sz val="8"/>
            <color indexed="81"/>
            <rFont val="Tahoma"/>
            <family val="2"/>
          </rPr>
          <t>898.3</t>
        </r>
      </text>
    </comment>
    <comment ref="DT16" authorId="2">
      <text>
        <r>
          <rPr>
            <b/>
            <sz val="8"/>
            <color indexed="81"/>
            <rFont val="Tahoma"/>
            <family val="2"/>
          </rPr>
          <t xml:space="preserve">clf: </t>
        </r>
        <r>
          <rPr>
            <sz val="8"/>
            <color indexed="81"/>
            <rFont val="Tahoma"/>
            <family val="2"/>
          </rPr>
          <t>14.1</t>
        </r>
      </text>
    </comment>
    <comment ref="DX16" authorId="2">
      <text>
        <r>
          <rPr>
            <b/>
            <sz val="8"/>
            <color indexed="81"/>
            <rFont val="Tahoma"/>
            <family val="2"/>
          </rPr>
          <t>Corinna Freedman:</t>
        </r>
        <r>
          <rPr>
            <sz val="8"/>
            <color indexed="81"/>
            <rFont val="Tahoma"/>
            <family val="2"/>
          </rPr>
          <t xml:space="preserve">
921.2</t>
        </r>
      </text>
    </comment>
    <comment ref="EB16" authorId="2">
      <text>
        <r>
          <rPr>
            <b/>
            <sz val="8"/>
            <color indexed="81"/>
            <rFont val="Tahoma"/>
            <family val="2"/>
          </rPr>
          <t>Corinna Freedman:</t>
        </r>
        <r>
          <rPr>
            <sz val="8"/>
            <color indexed="81"/>
            <rFont val="Tahoma"/>
            <family val="2"/>
          </rPr>
          <t xml:space="preserve">
-1.7</t>
        </r>
      </text>
    </comment>
    <comment ref="EJ16" authorId="3">
      <text>
        <r>
          <rPr>
            <b/>
            <sz val="8"/>
            <color indexed="81"/>
            <rFont val="Tahoma"/>
            <family val="2"/>
          </rPr>
          <t>mm98285:</t>
        </r>
        <r>
          <rPr>
            <sz val="8"/>
            <color indexed="81"/>
            <rFont val="Tahoma"/>
            <family val="2"/>
          </rPr>
          <t xml:space="preserve">
+3.6% comp est.</t>
        </r>
      </text>
    </comment>
    <comment ref="ER16" authorId="3">
      <text>
        <r>
          <rPr>
            <b/>
            <sz val="8"/>
            <color indexed="81"/>
            <rFont val="Tahoma"/>
            <family val="2"/>
          </rPr>
          <t>mm98285:</t>
        </r>
        <r>
          <rPr>
            <sz val="8"/>
            <color indexed="81"/>
            <rFont val="Tahoma"/>
            <family val="2"/>
          </rPr>
          <t xml:space="preserve">
6/07: expect +L-MSD
3.2 est.</t>
        </r>
      </text>
    </comment>
    <comment ref="EV16" authorId="3">
      <text>
        <r>
          <rPr>
            <b/>
            <sz val="8"/>
            <color indexed="81"/>
            <rFont val="Tahoma"/>
            <family val="2"/>
          </rPr>
          <t>mm98285:</t>
        </r>
        <r>
          <rPr>
            <sz val="8"/>
            <color indexed="81"/>
            <rFont val="Tahoma"/>
            <family val="2"/>
          </rPr>
          <t xml:space="preserve">
1,025.6mm est.</t>
        </r>
      </text>
    </comment>
    <comment ref="EZ16" authorId="3">
      <text>
        <r>
          <rPr>
            <b/>
            <sz val="8"/>
            <color indexed="81"/>
            <rFont val="Tahoma"/>
            <family val="2"/>
          </rPr>
          <t>mm98285:</t>
        </r>
        <r>
          <rPr>
            <sz val="8"/>
            <color indexed="81"/>
            <rFont val="Tahoma"/>
            <family val="2"/>
          </rPr>
          <t xml:space="preserve">
-6.7% est.
6/08: guided tp -M-HSD</t>
        </r>
      </text>
    </comment>
    <comment ref="FD16" authorId="3">
      <text>
        <r>
          <rPr>
            <b/>
            <sz val="8"/>
            <color indexed="81"/>
            <rFont val="Tahoma"/>
            <family val="2"/>
          </rPr>
          <t>mm98285:</t>
        </r>
        <r>
          <rPr>
            <sz val="8"/>
            <color indexed="81"/>
            <rFont val="Tahoma"/>
            <family val="2"/>
          </rPr>
          <t xml:space="preserve">
$896.4M est. </t>
        </r>
      </text>
    </comment>
    <comment ref="FH16" authorId="3">
      <text>
        <r>
          <rPr>
            <b/>
            <sz val="8"/>
            <color indexed="81"/>
            <rFont val="Tahoma"/>
            <family val="2"/>
          </rPr>
          <t>mm98285:</t>
        </r>
        <r>
          <rPr>
            <sz val="8"/>
            <color indexed="81"/>
            <rFont val="Tahoma"/>
            <family val="2"/>
          </rPr>
          <t xml:space="preserve">
-9% est. 
6/09: expect -HSD</t>
        </r>
      </text>
    </comment>
    <comment ref="FL16" authorId="5">
      <text>
        <r>
          <rPr>
            <b/>
            <sz val="8"/>
            <color indexed="81"/>
            <rFont val="Tahoma"/>
            <family val="2"/>
          </rPr>
          <t>nicholjs:</t>
        </r>
        <r>
          <rPr>
            <sz val="8"/>
            <color indexed="81"/>
            <rFont val="Tahoma"/>
            <family val="2"/>
          </rPr>
          <t xml:space="preserve">
we est. $939.2</t>
        </r>
      </text>
    </comment>
    <comment ref="FP16" authorId="11">
      <text>
        <r>
          <rPr>
            <b/>
            <sz val="8"/>
            <color indexed="81"/>
            <rFont val="Tahoma"/>
            <family val="2"/>
          </rPr>
          <t>NS66486:</t>
        </r>
        <r>
          <rPr>
            <sz val="8"/>
            <color indexed="81"/>
            <rFont val="Tahoma"/>
            <family val="2"/>
          </rPr>
          <t xml:space="preserve">
6/10: expect flat to up +LSD
we est. +6.5%</t>
        </r>
      </text>
    </comment>
    <comment ref="FX16" authorId="5">
      <text>
        <r>
          <rPr>
            <b/>
            <sz val="8"/>
            <color indexed="81"/>
            <rFont val="Tahoma"/>
            <family val="2"/>
          </rPr>
          <t>nicholjs:</t>
        </r>
        <r>
          <rPr>
            <sz val="8"/>
            <color indexed="81"/>
            <rFont val="Tahoma"/>
            <family val="2"/>
          </rPr>
          <t xml:space="preserve">
we est +3.4%
6/2011: planning June comps +LSD.  In June, Semi-Annual sale timing is comparable to LY in both store businesses; exiting May carrying less sale related inventory into June than LY
</t>
        </r>
      </text>
    </comment>
    <comment ref="GC16" authorId="9">
      <text>
        <r>
          <rPr>
            <b/>
            <sz val="8"/>
            <color indexed="81"/>
            <rFont val="Tahoma"/>
            <family val="2"/>
          </rPr>
          <t>P Kahng:</t>
        </r>
        <r>
          <rPr>
            <sz val="8"/>
            <color indexed="81"/>
            <rFont val="Tahoma"/>
            <family val="2"/>
          </rPr>
          <t xml:space="preserve">
guidance: flat to LSD</t>
        </r>
      </text>
    </comment>
    <comment ref="GO16" authorId="0">
      <text>
        <r>
          <rPr>
            <b/>
            <sz val="9"/>
            <color indexed="81"/>
            <rFont val="Tahoma"/>
            <family val="2"/>
          </rPr>
          <t>casselau:</t>
        </r>
        <r>
          <rPr>
            <sz val="9"/>
            <color indexed="81"/>
            <rFont val="Tahoma"/>
            <family val="2"/>
          </rPr>
          <t xml:space="preserve">
+LSD guidance</t>
        </r>
      </text>
    </comment>
    <comment ref="GT16" authorId="0">
      <text>
        <r>
          <rPr>
            <b/>
            <sz val="9"/>
            <color indexed="81"/>
            <rFont val="Tahoma"/>
            <family val="2"/>
          </rPr>
          <t>casselau:</t>
        </r>
        <r>
          <rPr>
            <sz val="9"/>
            <color indexed="81"/>
            <rFont val="Tahoma"/>
            <family val="2"/>
          </rPr>
          <t xml:space="preserve">
+LSD guidance</t>
        </r>
      </text>
    </comment>
    <comment ref="HA16" authorId="7">
      <text>
        <r>
          <rPr>
            <b/>
            <sz val="9"/>
            <color indexed="81"/>
            <rFont val="Tahoma"/>
            <family val="2"/>
          </rPr>
          <t>Positively impacted by 2% froim the timing shifts in the Memorial Day and July 4th Holidays 
Cassel, Lauren (Research):</t>
        </r>
        <r>
          <rPr>
            <sz val="9"/>
            <color indexed="81"/>
            <rFont val="Tahoma"/>
            <family val="2"/>
          </rPr>
          <t xml:space="preserve">
+LSD guidance including positive effect of Memorial Day</t>
        </r>
      </text>
    </comment>
    <comment ref="HG16" authorId="7">
      <text>
        <r>
          <rPr>
            <b/>
            <sz val="9"/>
            <color indexed="81"/>
            <rFont val="Tahoma"/>
            <family val="2"/>
          </rPr>
          <t xml:space="preserve">Cassel, Lauren (Research):
7/6/17: The exit of swim and apparel negatively impacted total company comps by about -7% </t>
        </r>
        <r>
          <rPr>
            <sz val="9"/>
            <color indexed="81"/>
            <rFont val="Tahoma"/>
            <family val="2"/>
          </rPr>
          <t xml:space="preserve">
6/1/17: guidance -MSD to -HSD (-7% impact from exited categories)</t>
        </r>
      </text>
    </comment>
    <comment ref="DH17" authorId="1">
      <text>
        <r>
          <rPr>
            <b/>
            <sz val="8"/>
            <color indexed="81"/>
            <rFont val="Tahoma"/>
            <family val="2"/>
          </rPr>
          <t>dliu:</t>
        </r>
        <r>
          <rPr>
            <sz val="8"/>
            <color indexed="81"/>
            <rFont val="Tahoma"/>
            <family val="2"/>
          </rPr>
          <t xml:space="preserve">
570.5</t>
        </r>
      </text>
    </comment>
    <comment ref="DL17" authorId="1">
      <text>
        <r>
          <rPr>
            <b/>
            <sz val="8"/>
            <color indexed="81"/>
            <rFont val="Tahoma"/>
            <family val="2"/>
          </rPr>
          <t>dliu:</t>
        </r>
        <r>
          <rPr>
            <sz val="8"/>
            <color indexed="81"/>
            <rFont val="Tahoma"/>
            <family val="2"/>
          </rPr>
          <t xml:space="preserve">
had 1.5</t>
        </r>
      </text>
    </comment>
    <comment ref="DP17" authorId="2">
      <text>
        <r>
          <rPr>
            <b/>
            <sz val="8"/>
            <color indexed="81"/>
            <rFont val="Tahoma"/>
            <family val="2"/>
          </rPr>
          <t>Corinna Freedman:</t>
        </r>
        <r>
          <rPr>
            <sz val="8"/>
            <color indexed="81"/>
            <rFont val="Tahoma"/>
            <family val="2"/>
          </rPr>
          <t xml:space="preserve">
620.8</t>
        </r>
      </text>
    </comment>
    <comment ref="DT17" authorId="2">
      <text>
        <r>
          <rPr>
            <b/>
            <sz val="8"/>
            <color indexed="81"/>
            <rFont val="Tahoma"/>
            <family val="2"/>
          </rPr>
          <t>Corinna Freedman:</t>
        </r>
        <r>
          <rPr>
            <sz val="8"/>
            <color indexed="81"/>
            <rFont val="Tahoma"/>
            <family val="2"/>
          </rPr>
          <t xml:space="preserve">
1.9</t>
        </r>
      </text>
    </comment>
    <comment ref="EJ17" authorId="3">
      <text>
        <r>
          <rPr>
            <b/>
            <sz val="8"/>
            <color indexed="81"/>
            <rFont val="Tahoma"/>
            <family val="2"/>
          </rPr>
          <t>mm98285:</t>
        </r>
        <r>
          <rPr>
            <sz val="8"/>
            <color indexed="81"/>
            <rFont val="Tahoma"/>
            <family val="2"/>
          </rPr>
          <t xml:space="preserve">
3.8% est.</t>
        </r>
      </text>
    </comment>
    <comment ref="EN17" authorId="3">
      <text>
        <r>
          <rPr>
            <b/>
            <sz val="8"/>
            <color indexed="81"/>
            <rFont val="Tahoma"/>
            <family val="2"/>
          </rPr>
          <t>mm98285:</t>
        </r>
        <r>
          <rPr>
            <sz val="8"/>
            <color indexed="81"/>
            <rFont val="Tahoma"/>
            <family val="2"/>
          </rPr>
          <t xml:space="preserve">
$644.4 est.</t>
        </r>
      </text>
    </comment>
    <comment ref="ER17" authorId="3">
      <text>
        <r>
          <rPr>
            <b/>
            <sz val="8"/>
            <color indexed="81"/>
            <rFont val="Tahoma"/>
            <family val="2"/>
          </rPr>
          <t>mm98285:</t>
        </r>
        <r>
          <rPr>
            <sz val="8"/>
            <color indexed="81"/>
            <rFont val="Tahoma"/>
            <family val="2"/>
          </rPr>
          <t xml:space="preserve">
flat to -2%</t>
        </r>
      </text>
    </comment>
    <comment ref="EV17" authorId="3">
      <text>
        <r>
          <rPr>
            <b/>
            <sz val="8"/>
            <color indexed="81"/>
            <rFont val="Tahoma"/>
            <family val="2"/>
          </rPr>
          <t>mm98285:</t>
        </r>
        <r>
          <rPr>
            <sz val="8"/>
            <color indexed="81"/>
            <rFont val="Tahoma"/>
            <family val="2"/>
          </rPr>
          <t xml:space="preserve">
$564.7mm</t>
        </r>
      </text>
    </comment>
    <comment ref="EZ17" authorId="3">
      <text>
        <r>
          <rPr>
            <b/>
            <sz val="8"/>
            <color indexed="81"/>
            <rFont val="Tahoma"/>
            <family val="2"/>
          </rPr>
          <t>mm98285:</t>
        </r>
        <r>
          <rPr>
            <sz val="8"/>
            <color indexed="81"/>
            <rFont val="Tahoma"/>
            <family val="2"/>
          </rPr>
          <t xml:space="preserve">
-6%
expect -M-HSD</t>
        </r>
      </text>
    </comment>
    <comment ref="FD17" authorId="3">
      <text>
        <r>
          <rPr>
            <b/>
            <sz val="8"/>
            <color indexed="81"/>
            <rFont val="Tahoma"/>
            <family val="2"/>
          </rPr>
          <t>mm98285:</t>
        </r>
        <r>
          <rPr>
            <sz val="8"/>
            <color indexed="81"/>
            <rFont val="Tahoma"/>
            <family val="2"/>
          </rPr>
          <t xml:space="preserve">
$515.7M est. </t>
        </r>
      </text>
    </comment>
    <comment ref="FH17" authorId="3">
      <text>
        <r>
          <rPr>
            <b/>
            <sz val="8"/>
            <color indexed="81"/>
            <rFont val="Tahoma"/>
            <family val="2"/>
          </rPr>
          <t>mm98285:</t>
        </r>
        <r>
          <rPr>
            <sz val="8"/>
            <color indexed="81"/>
            <rFont val="Tahoma"/>
            <family val="2"/>
          </rPr>
          <t xml:space="preserve">
7/09: expect -LDD</t>
        </r>
      </text>
    </comment>
    <comment ref="FL17" authorId="5">
      <text>
        <r>
          <rPr>
            <b/>
            <sz val="8"/>
            <color indexed="81"/>
            <rFont val="Tahoma"/>
            <family val="2"/>
          </rPr>
          <t>nicholjs:</t>
        </r>
        <r>
          <rPr>
            <sz val="8"/>
            <color indexed="81"/>
            <rFont val="Tahoma"/>
            <family val="2"/>
          </rPr>
          <t xml:space="preserve">
we est 556.5</t>
        </r>
      </text>
    </comment>
    <comment ref="FP17" authorId="5">
      <text>
        <r>
          <rPr>
            <b/>
            <sz val="8"/>
            <color indexed="81"/>
            <rFont val="Tahoma"/>
            <family val="2"/>
          </rPr>
          <t>nicholjs:</t>
        </r>
        <r>
          <rPr>
            <sz val="8"/>
            <color indexed="81"/>
            <rFont val="Tahoma"/>
            <family val="2"/>
          </rPr>
          <t xml:space="preserve">
7/10: expect total company comps +MSD in July</t>
        </r>
      </text>
    </comment>
    <comment ref="FX17" authorId="5">
      <text>
        <r>
          <rPr>
            <b/>
            <sz val="8"/>
            <color indexed="81"/>
            <rFont val="Tahoma"/>
            <family val="2"/>
          </rPr>
          <t>nicholjs:</t>
        </r>
        <r>
          <rPr>
            <sz val="8"/>
            <color indexed="81"/>
            <rFont val="Tahoma"/>
            <family val="2"/>
          </rPr>
          <t xml:space="preserve">
7/2011: planning +LSD</t>
        </r>
      </text>
    </comment>
    <comment ref="GC17" authorId="9">
      <text>
        <r>
          <rPr>
            <b/>
            <sz val="8"/>
            <color indexed="81"/>
            <rFont val="Tahoma"/>
            <family val="2"/>
          </rPr>
          <t xml:space="preserve">8/2/12: </t>
        </r>
        <r>
          <rPr>
            <sz val="8"/>
            <color indexed="81"/>
            <rFont val="Tahoma"/>
            <family val="2"/>
          </rPr>
          <t>expected 5.5%</t>
        </r>
        <r>
          <rPr>
            <b/>
            <sz val="8"/>
            <color indexed="81"/>
            <rFont val="Tahoma"/>
            <family val="2"/>
          </rPr>
          <t xml:space="preserve">
7/5/12: </t>
        </r>
        <r>
          <rPr>
            <sz val="8"/>
            <color indexed="81"/>
            <rFont val="Tahoma"/>
            <family val="2"/>
          </rPr>
          <t>+L-MSD</t>
        </r>
      </text>
    </comment>
    <comment ref="GO17" authorId="0">
      <text>
        <r>
          <rPr>
            <b/>
            <sz val="9"/>
            <color indexed="81"/>
            <rFont val="Tahoma"/>
            <family val="2"/>
          </rPr>
          <t>casselau:</t>
        </r>
        <r>
          <rPr>
            <sz val="9"/>
            <color indexed="81"/>
            <rFont val="Tahoma"/>
            <family val="2"/>
          </rPr>
          <t xml:space="preserve">
+LSD guidance</t>
        </r>
      </text>
    </comment>
    <comment ref="GT17" authorId="0">
      <text>
        <r>
          <rPr>
            <b/>
            <sz val="9"/>
            <color indexed="81"/>
            <rFont val="Tahoma"/>
            <family val="2"/>
          </rPr>
          <t>casselau:</t>
        </r>
        <r>
          <rPr>
            <sz val="9"/>
            <color indexed="81"/>
            <rFont val="Tahoma"/>
            <family val="2"/>
          </rPr>
          <t xml:space="preserve">
guidance +LSD</t>
        </r>
      </text>
    </comment>
    <comment ref="HA17" authorId="13">
      <text>
        <r>
          <rPr>
            <sz val="8"/>
            <color indexed="81"/>
            <rFont val="Tahoma"/>
            <family val="2"/>
          </rPr>
          <t>7/7/16: Guidance flat to -LSD</t>
        </r>
      </text>
    </comment>
    <comment ref="HG17" authorId="7">
      <text>
        <r>
          <rPr>
            <b/>
            <sz val="9"/>
            <color indexed="81"/>
            <rFont val="Tahoma"/>
            <family val="2"/>
          </rPr>
          <t>Cassel, Lauren (Research):</t>
        </r>
        <r>
          <rPr>
            <sz val="9"/>
            <color indexed="81"/>
            <rFont val="Tahoma"/>
            <family val="2"/>
          </rPr>
          <t xml:space="preserve">
7/6/17: Guidance -MSD, including a negative impact from the exit of swim and apparel of about -4% </t>
        </r>
      </text>
    </comment>
    <comment ref="DH18" authorId="1">
      <text>
        <r>
          <rPr>
            <b/>
            <sz val="8"/>
            <color indexed="81"/>
            <rFont val="Tahoma"/>
            <family val="2"/>
          </rPr>
          <t>dliu:</t>
        </r>
        <r>
          <rPr>
            <sz val="8"/>
            <color indexed="81"/>
            <rFont val="Tahoma"/>
            <family val="2"/>
          </rPr>
          <t xml:space="preserve">
2021.4</t>
        </r>
      </text>
    </comment>
    <comment ref="DL18" authorId="1">
      <text>
        <r>
          <rPr>
            <b/>
            <sz val="8"/>
            <color indexed="81"/>
            <rFont val="Tahoma"/>
            <family val="2"/>
          </rPr>
          <t>dliu:</t>
        </r>
        <r>
          <rPr>
            <sz val="8"/>
            <color indexed="81"/>
            <rFont val="Tahoma"/>
            <family val="2"/>
          </rPr>
          <t xml:space="preserve">
2.5</t>
        </r>
      </text>
    </comment>
    <comment ref="GC18" authorId="9">
      <text>
        <r>
          <rPr>
            <b/>
            <sz val="8"/>
            <color indexed="81"/>
            <rFont val="Tahoma"/>
            <family val="2"/>
          </rPr>
          <t>P Kahng:</t>
        </r>
        <r>
          <rPr>
            <sz val="8"/>
            <color indexed="81"/>
            <rFont val="Tahoma"/>
            <family val="2"/>
          </rPr>
          <t xml:space="preserve">
7/5/12: prior est was 5.0%</t>
        </r>
      </text>
    </comment>
    <comment ref="HG18" authorId="7">
      <text>
        <r>
          <rPr>
            <b/>
            <sz val="9"/>
            <color indexed="81"/>
            <rFont val="Tahoma"/>
            <family val="2"/>
          </rPr>
          <t>Cassel, Lauren (Research):</t>
        </r>
        <r>
          <rPr>
            <sz val="9"/>
            <color indexed="81"/>
            <rFont val="Tahoma"/>
            <family val="2"/>
          </rPr>
          <t xml:space="preserve">
8/3/17: -6% headwind from exited categories = -2% underlying</t>
        </r>
      </text>
    </comment>
    <comment ref="DH20" authorId="1">
      <text>
        <r>
          <rPr>
            <b/>
            <sz val="8"/>
            <color indexed="81"/>
            <rFont val="Tahoma"/>
            <family val="2"/>
          </rPr>
          <t>dliu:</t>
        </r>
        <r>
          <rPr>
            <sz val="8"/>
            <color indexed="81"/>
            <rFont val="Tahoma"/>
            <family val="2"/>
          </rPr>
          <t xml:space="preserve">
600.7</t>
        </r>
      </text>
    </comment>
    <comment ref="DL20" authorId="1">
      <text>
        <r>
          <rPr>
            <b/>
            <sz val="8"/>
            <color indexed="81"/>
            <rFont val="Tahoma"/>
            <family val="2"/>
          </rPr>
          <t>dliu:</t>
        </r>
        <r>
          <rPr>
            <sz val="8"/>
            <color indexed="81"/>
            <rFont val="Tahoma"/>
            <family val="2"/>
          </rPr>
          <t xml:space="preserve">
(1.1), then calc'd (1.7)</t>
        </r>
      </text>
    </comment>
    <comment ref="DP20" authorId="2">
      <text>
        <r>
          <rPr>
            <b/>
            <sz val="8"/>
            <color indexed="81"/>
            <rFont val="Tahoma"/>
            <family val="2"/>
          </rPr>
          <t>Corinna Freedman:</t>
        </r>
        <r>
          <rPr>
            <sz val="8"/>
            <color indexed="81"/>
            <rFont val="Tahoma"/>
            <family val="2"/>
          </rPr>
          <t xml:space="preserve">
639.4</t>
        </r>
      </text>
    </comment>
    <comment ref="DT20" authorId="2">
      <text>
        <r>
          <rPr>
            <b/>
            <sz val="8"/>
            <color indexed="81"/>
            <rFont val="Tahoma"/>
            <family val="2"/>
          </rPr>
          <t>Corinna Freedman:</t>
        </r>
        <r>
          <rPr>
            <sz val="8"/>
            <color indexed="81"/>
            <rFont val="Tahoma"/>
            <family val="2"/>
          </rPr>
          <t xml:space="preserve">
flat</t>
        </r>
      </text>
    </comment>
    <comment ref="EB20" authorId="2">
      <text>
        <r>
          <rPr>
            <b/>
            <sz val="8"/>
            <color indexed="81"/>
            <rFont val="Tahoma"/>
            <family val="2"/>
          </rPr>
          <t>Corinna Freedman:</t>
        </r>
        <r>
          <rPr>
            <sz val="8"/>
            <color indexed="81"/>
            <rFont val="Tahoma"/>
            <family val="2"/>
          </rPr>
          <t xml:space="preserve">
-1</t>
        </r>
      </text>
    </comment>
    <comment ref="EJ20" authorId="3">
      <text>
        <r>
          <rPr>
            <b/>
            <sz val="8"/>
            <color indexed="81"/>
            <rFont val="Tahoma"/>
            <family val="2"/>
          </rPr>
          <t>mm98285:</t>
        </r>
        <r>
          <rPr>
            <sz val="8"/>
            <color indexed="81"/>
            <rFont val="Tahoma"/>
            <family val="2"/>
          </rPr>
          <t xml:space="preserve">
+5.4% comp est.</t>
        </r>
      </text>
    </comment>
    <comment ref="EN20" authorId="3">
      <text>
        <r>
          <rPr>
            <b/>
            <sz val="8"/>
            <color indexed="81"/>
            <rFont val="Tahoma"/>
            <family val="2"/>
          </rPr>
          <t>mm98285:</t>
        </r>
        <r>
          <rPr>
            <sz val="8"/>
            <color indexed="81"/>
            <rFont val="Tahoma"/>
            <family val="2"/>
          </rPr>
          <t xml:space="preserve">
$590.3 est</t>
        </r>
      </text>
    </comment>
    <comment ref="ER20" authorId="3">
      <text>
        <r>
          <rPr>
            <b/>
            <sz val="8"/>
            <color indexed="81"/>
            <rFont val="Tahoma"/>
            <family val="2"/>
          </rPr>
          <t>mm98285:</t>
        </r>
        <r>
          <rPr>
            <sz val="8"/>
            <color indexed="81"/>
            <rFont val="Tahoma"/>
            <family val="2"/>
          </rPr>
          <t xml:space="preserve">
+0.6% est.
expect +LSD</t>
        </r>
      </text>
    </comment>
    <comment ref="EV20" authorId="3">
      <text>
        <r>
          <rPr>
            <b/>
            <sz val="8"/>
            <color indexed="81"/>
            <rFont val="Tahoma"/>
            <family val="2"/>
          </rPr>
          <t>mm98285:</t>
        </r>
        <r>
          <rPr>
            <sz val="8"/>
            <color indexed="81"/>
            <rFont val="Tahoma"/>
            <family val="2"/>
          </rPr>
          <t xml:space="preserve">
$575.9mm est.</t>
        </r>
      </text>
    </comment>
    <comment ref="EZ20" authorId="12">
      <text>
        <r>
          <rPr>
            <b/>
            <sz val="8"/>
            <color indexed="81"/>
            <rFont val="Tahoma"/>
            <family val="2"/>
          </rPr>
          <t>ti23070:</t>
        </r>
        <r>
          <rPr>
            <sz val="8"/>
            <color indexed="81"/>
            <rFont val="Tahoma"/>
            <family val="2"/>
          </rPr>
          <t xml:space="preserve">
-6% est.
8/7: Guidance of -M-HSD</t>
        </r>
      </text>
    </comment>
    <comment ref="FD20" authorId="3">
      <text>
        <r>
          <rPr>
            <b/>
            <sz val="8"/>
            <color indexed="81"/>
            <rFont val="Tahoma"/>
            <family val="2"/>
          </rPr>
          <t>mm98285:</t>
        </r>
        <r>
          <rPr>
            <sz val="8"/>
            <color indexed="81"/>
            <rFont val="Tahoma"/>
            <family val="2"/>
          </rPr>
          <t xml:space="preserve">
$535.1M</t>
        </r>
      </text>
    </comment>
    <comment ref="FH20" authorId="3">
      <text>
        <r>
          <rPr>
            <b/>
            <sz val="8"/>
            <color indexed="81"/>
            <rFont val="Tahoma"/>
            <family val="2"/>
          </rPr>
          <t>mm98285:</t>
        </r>
        <r>
          <rPr>
            <sz val="8"/>
            <color indexed="81"/>
            <rFont val="Tahoma"/>
            <family val="2"/>
          </rPr>
          <t xml:space="preserve">
estimate -5.4%
8/19/09: expect -MSD
8/09: expect -HSD</t>
        </r>
      </text>
    </comment>
    <comment ref="FP20" authorId="5">
      <text>
        <r>
          <rPr>
            <sz val="8"/>
            <color indexed="81"/>
            <rFont val="Tahoma"/>
            <family val="2"/>
          </rPr>
          <t>8/10: expect August comps +MSD-HSD
8/10: expect August comps +LSD</t>
        </r>
      </text>
    </comment>
    <comment ref="FT20" authorId="5">
      <text>
        <r>
          <rPr>
            <b/>
            <sz val="8"/>
            <color indexed="81"/>
            <rFont val="Tahoma"/>
            <family val="2"/>
          </rPr>
          <t>nicholjs:</t>
        </r>
        <r>
          <rPr>
            <sz val="8"/>
            <color indexed="81"/>
            <rFont val="Tahoma"/>
            <family val="2"/>
          </rPr>
          <t xml:space="preserve">
we est $682mm</t>
        </r>
      </text>
    </comment>
    <comment ref="FX20" authorId="5">
      <text>
        <r>
          <rPr>
            <b/>
            <sz val="8"/>
            <color indexed="81"/>
            <rFont val="Tahoma"/>
            <family val="2"/>
          </rPr>
          <t>nicholjs:</t>
        </r>
        <r>
          <rPr>
            <sz val="8"/>
            <color indexed="81"/>
            <rFont val="Tahoma"/>
            <family val="2"/>
          </rPr>
          <t xml:space="preserve">
hurricane cost them about a point
we est 8%
8/2011: expects +HSD
8/2011: planning +LSD</t>
        </r>
      </text>
    </comment>
    <comment ref="GC20" authorId="14">
      <text>
        <r>
          <rPr>
            <b/>
            <sz val="8"/>
            <color indexed="81"/>
            <rFont val="Tahoma"/>
            <family val="2"/>
          </rPr>
          <t>solejay:</t>
        </r>
        <r>
          <rPr>
            <sz val="8"/>
            <color indexed="81"/>
            <rFont val="Tahoma"/>
            <family val="2"/>
          </rPr>
          <t xml:space="preserve">
August 2011 sales incl $87.8M attributable to the third party apparel sourcing business which was sold in Nov 2011
Excluding the positive impact of the sale of third party apparel sourcing business, the merchandise margin rate would have been about flat to last year. Reported merch marg rate was up significantly to last year. 
</t>
        </r>
      </text>
    </comment>
    <comment ref="GO20" authorId="0">
      <text>
        <r>
          <rPr>
            <b/>
            <sz val="9"/>
            <color indexed="81"/>
            <rFont val="Tahoma"/>
            <family val="2"/>
          </rPr>
          <t>casselau:</t>
        </r>
        <r>
          <rPr>
            <sz val="9"/>
            <color indexed="81"/>
            <rFont val="Tahoma"/>
            <family val="2"/>
          </rPr>
          <t xml:space="preserve">
+LSD guidance</t>
        </r>
      </text>
    </comment>
    <comment ref="GT20" authorId="0">
      <text>
        <r>
          <rPr>
            <b/>
            <sz val="9"/>
            <color indexed="81"/>
            <rFont val="Tahoma"/>
            <family val="2"/>
          </rPr>
          <t>casselau:</t>
        </r>
        <r>
          <rPr>
            <sz val="9"/>
            <color indexed="81"/>
            <rFont val="Tahoma"/>
            <family val="2"/>
          </rPr>
          <t xml:space="preserve">
Planning +LSD August comp, including a slight negative impact from the later Labor day this year</t>
        </r>
      </text>
    </comment>
    <comment ref="HA20" authorId="7">
      <text>
        <r>
          <rPr>
            <b/>
            <sz val="9"/>
            <color indexed="81"/>
            <rFont val="Tahoma"/>
            <family val="2"/>
          </rPr>
          <t>Cassel, Lauren (Research):</t>
        </r>
        <r>
          <rPr>
            <sz val="9"/>
            <color indexed="81"/>
            <rFont val="Tahoma"/>
            <family val="2"/>
          </rPr>
          <t xml:space="preserve">
8/4/16: guidance Flat</t>
        </r>
      </text>
    </comment>
    <comment ref="HG20" authorId="7">
      <text>
        <r>
          <rPr>
            <b/>
            <sz val="9"/>
            <color indexed="81"/>
            <rFont val="Tahoma"/>
            <family val="2"/>
          </rPr>
          <t>Cassel, Lauren (Research):
8/31/17: -2% headwind from exited categories = -2% underlying</t>
        </r>
        <r>
          <rPr>
            <sz val="9"/>
            <color indexed="81"/>
            <rFont val="Tahoma"/>
            <family val="2"/>
          </rPr>
          <t xml:space="preserve">
8/3/17: guidance -LSD to -MSD including -2% headwind from exited categories</t>
        </r>
      </text>
    </comment>
    <comment ref="DH21" authorId="1">
      <text>
        <r>
          <rPr>
            <b/>
            <sz val="8"/>
            <color indexed="81"/>
            <rFont val="Tahoma"/>
            <family val="2"/>
          </rPr>
          <t>dliu:</t>
        </r>
        <r>
          <rPr>
            <sz val="8"/>
            <color indexed="81"/>
            <rFont val="Tahoma"/>
            <family val="2"/>
          </rPr>
          <t xml:space="preserve">
649.3</t>
        </r>
      </text>
    </comment>
    <comment ref="DL21" authorId="1">
      <text>
        <r>
          <rPr>
            <b/>
            <sz val="8"/>
            <color indexed="81"/>
            <rFont val="Tahoma"/>
            <family val="2"/>
          </rPr>
          <t>dliu:</t>
        </r>
        <r>
          <rPr>
            <sz val="8"/>
            <color indexed="81"/>
            <rFont val="Tahoma"/>
            <family val="2"/>
          </rPr>
          <t xml:space="preserve">
(1.8)</t>
        </r>
      </text>
    </comment>
    <comment ref="DP21" authorId="2">
      <text>
        <r>
          <rPr>
            <b/>
            <sz val="8"/>
            <color indexed="81"/>
            <rFont val="Tahoma"/>
            <family val="2"/>
          </rPr>
          <t>Corinna Freedman:</t>
        </r>
        <r>
          <rPr>
            <sz val="8"/>
            <color indexed="81"/>
            <rFont val="Tahoma"/>
            <family val="2"/>
          </rPr>
          <t xml:space="preserve">
715.6</t>
        </r>
      </text>
    </comment>
    <comment ref="DX21" authorId="2">
      <text>
        <r>
          <rPr>
            <b/>
            <sz val="8"/>
            <color indexed="81"/>
            <rFont val="Tahoma"/>
            <family val="2"/>
          </rPr>
          <t>Corinna Freedman:</t>
        </r>
        <r>
          <rPr>
            <sz val="8"/>
            <color indexed="81"/>
            <rFont val="Tahoma"/>
            <family val="2"/>
          </rPr>
          <t xml:space="preserve">
701.0e</t>
        </r>
      </text>
    </comment>
    <comment ref="EB21" authorId="2">
      <text>
        <r>
          <rPr>
            <b/>
            <sz val="8"/>
            <color indexed="81"/>
            <rFont val="Tahoma"/>
            <family val="2"/>
          </rPr>
          <t>Corinna Freedman:</t>
        </r>
        <r>
          <rPr>
            <sz val="8"/>
            <color indexed="81"/>
            <rFont val="Tahoma"/>
            <family val="2"/>
          </rPr>
          <t xml:space="preserve">
-1.9e</t>
        </r>
      </text>
    </comment>
    <comment ref="EJ21" authorId="3">
      <text>
        <r>
          <rPr>
            <b/>
            <sz val="8"/>
            <color indexed="81"/>
            <rFont val="Tahoma"/>
            <family val="2"/>
          </rPr>
          <t>mm98285:</t>
        </r>
        <r>
          <rPr>
            <sz val="8"/>
            <color indexed="81"/>
            <rFont val="Tahoma"/>
            <family val="2"/>
          </rPr>
          <t xml:space="preserve">
+7.0% comp est.
8/06: expect +HSD</t>
        </r>
      </text>
    </comment>
    <comment ref="EN21" authorId="3">
      <text>
        <r>
          <rPr>
            <b/>
            <sz val="8"/>
            <color indexed="81"/>
            <rFont val="Tahoma"/>
            <family val="2"/>
          </rPr>
          <t>mm98285:</t>
        </r>
        <r>
          <rPr>
            <sz val="8"/>
            <color indexed="81"/>
            <rFont val="Tahoma"/>
            <family val="2"/>
          </rPr>
          <t xml:space="preserve">
$713.0 est</t>
        </r>
      </text>
    </comment>
    <comment ref="ER21" authorId="3">
      <text>
        <r>
          <rPr>
            <b/>
            <sz val="8"/>
            <color indexed="81"/>
            <rFont val="Tahoma"/>
            <family val="2"/>
          </rPr>
          <t>mm98285:</t>
        </r>
        <r>
          <rPr>
            <sz val="8"/>
            <color indexed="81"/>
            <rFont val="Tahoma"/>
            <family val="2"/>
          </rPr>
          <t xml:space="preserve">
-1.0% estimate
9/07: guided to flat comps</t>
        </r>
      </text>
    </comment>
    <comment ref="EV21" authorId="3">
      <text>
        <r>
          <rPr>
            <b/>
            <sz val="8"/>
            <color indexed="81"/>
            <rFont val="Tahoma"/>
            <family val="2"/>
          </rPr>
          <t>mm98285:</t>
        </r>
        <r>
          <rPr>
            <sz val="8"/>
            <color indexed="81"/>
            <rFont val="Tahoma"/>
            <family val="2"/>
          </rPr>
          <t xml:space="preserve">
$694.9mm est.</t>
        </r>
      </text>
    </comment>
    <comment ref="EZ21" authorId="4">
      <text>
        <r>
          <rPr>
            <b/>
            <sz val="8"/>
            <color indexed="81"/>
            <rFont val="Tahoma"/>
            <family val="2"/>
          </rPr>
          <t>TI23070:</t>
        </r>
        <r>
          <rPr>
            <sz val="8"/>
            <color indexed="81"/>
            <rFont val="Tahoma"/>
            <family val="2"/>
          </rPr>
          <t xml:space="preserve">
-6% est.
9/4/08: -L-MSD guidance</t>
        </r>
      </text>
    </comment>
    <comment ref="FD21" authorId="3">
      <text>
        <r>
          <rPr>
            <b/>
            <sz val="8"/>
            <color indexed="81"/>
            <rFont val="Tahoma"/>
            <family val="2"/>
          </rPr>
          <t>mm98285:</t>
        </r>
        <r>
          <rPr>
            <sz val="8"/>
            <color indexed="81"/>
            <rFont val="Tahoma"/>
            <family val="2"/>
          </rPr>
          <t xml:space="preserve">
estimate $633.6M</t>
        </r>
      </text>
    </comment>
    <comment ref="FH21" authorId="3">
      <text>
        <r>
          <rPr>
            <b/>
            <sz val="8"/>
            <color indexed="81"/>
            <rFont val="Tahoma"/>
            <family val="2"/>
          </rPr>
          <t>mm98285:</t>
        </r>
        <r>
          <rPr>
            <sz val="8"/>
            <color indexed="81"/>
            <rFont val="Tahoma"/>
            <family val="2"/>
          </rPr>
          <t xml:space="preserve">
estimate -3.5%
9/09: expect -L-MSD</t>
        </r>
      </text>
    </comment>
    <comment ref="FL21" authorId="5">
      <text>
        <r>
          <rPr>
            <b/>
            <sz val="8"/>
            <color indexed="81"/>
            <rFont val="Tahoma"/>
            <family val="2"/>
          </rPr>
          <t>nicholjs:</t>
        </r>
        <r>
          <rPr>
            <sz val="8"/>
            <color indexed="81"/>
            <rFont val="Tahoma"/>
            <family val="2"/>
          </rPr>
          <t xml:space="preserve">
we est $698.6</t>
        </r>
      </text>
    </comment>
    <comment ref="FP21" authorId="5">
      <text>
        <r>
          <rPr>
            <b/>
            <sz val="8"/>
            <color indexed="81"/>
            <rFont val="Tahoma"/>
            <family val="2"/>
          </rPr>
          <t>nicholjs:</t>
        </r>
        <r>
          <rPr>
            <sz val="8"/>
            <color indexed="81"/>
            <rFont val="Tahoma"/>
            <family val="2"/>
          </rPr>
          <t xml:space="preserve">
we est +3.7%
8/10: expect +L-MSD</t>
        </r>
      </text>
    </comment>
    <comment ref="FT21" authorId="15">
      <text>
        <r>
          <rPr>
            <b/>
            <sz val="8"/>
            <color indexed="81"/>
            <rFont val="Tahoma"/>
            <family val="2"/>
          </rPr>
          <t>sancfa:</t>
        </r>
        <r>
          <rPr>
            <sz val="8"/>
            <color indexed="81"/>
            <rFont val="Tahoma"/>
            <family val="2"/>
          </rPr>
          <t xml:space="preserve">
10/3/11: We est $786.6M</t>
        </r>
      </text>
    </comment>
    <comment ref="FX21" authorId="5">
      <text>
        <r>
          <rPr>
            <b/>
            <sz val="8"/>
            <color indexed="81"/>
            <rFont val="Tahoma"/>
            <family val="2"/>
          </rPr>
          <t>nicholjs:</t>
        </r>
        <r>
          <rPr>
            <sz val="8"/>
            <color indexed="81"/>
            <rFont val="Tahoma"/>
            <family val="2"/>
          </rPr>
          <t xml:space="preserve">
9/2011: planning +LSD
10/3/11: We est 3%</t>
        </r>
      </text>
    </comment>
    <comment ref="GA21" authorId="14">
      <text>
        <r>
          <rPr>
            <b/>
            <sz val="8"/>
            <color indexed="81"/>
            <rFont val="Tahoma"/>
            <family val="2"/>
          </rPr>
          <t>solejay:</t>
        </r>
        <r>
          <rPr>
            <sz val="8"/>
            <color indexed="81"/>
            <rFont val="Tahoma"/>
            <family val="2"/>
          </rPr>
          <t xml:space="preserve">
vs. MS $774.8 estimate</t>
        </r>
      </text>
    </comment>
    <comment ref="GC21" authorId="14">
      <text>
        <r>
          <rPr>
            <sz val="8"/>
            <color indexed="81"/>
            <rFont val="Tahoma"/>
            <family val="2"/>
          </rPr>
          <t xml:space="preserve">8/30/12: Planning for a LSD September comp
</t>
        </r>
        <r>
          <rPr>
            <sz val="8"/>
            <color indexed="81"/>
            <rFont val="Tahoma"/>
            <family val="2"/>
          </rPr>
          <t xml:space="preserve">
</t>
        </r>
      </text>
    </comment>
    <comment ref="GO21" authorId="0">
      <text>
        <r>
          <rPr>
            <b/>
            <sz val="9"/>
            <color indexed="81"/>
            <rFont val="Tahoma"/>
            <family val="2"/>
          </rPr>
          <t>casselau:</t>
        </r>
        <r>
          <rPr>
            <sz val="9"/>
            <color indexed="81"/>
            <rFont val="Tahoma"/>
            <family val="2"/>
          </rPr>
          <t xml:space="preserve">
+LSD guidance</t>
        </r>
      </text>
    </comment>
    <comment ref="GT21" authorId="16">
      <text>
        <r>
          <rPr>
            <sz val="9"/>
            <color indexed="81"/>
            <rFont val="Tahoma"/>
            <family val="2"/>
          </rPr>
          <t>9/3/15: +LSD-MSD guidance which includes a positive impact of about a point from the Labor Day shift
10/8/15: Labor Day shift positively impacted comp by ~2%</t>
        </r>
      </text>
    </comment>
    <comment ref="HA21" authorId="7">
      <text>
        <r>
          <rPr>
            <b/>
            <sz val="9"/>
            <color indexed="81"/>
            <rFont val="Tahoma"/>
            <family val="2"/>
          </rPr>
          <t>Cassel, Lauren (Research):</t>
        </r>
        <r>
          <rPr>
            <sz val="9"/>
            <color indexed="81"/>
            <rFont val="Tahoma"/>
            <family val="2"/>
          </rPr>
          <t xml:space="preserve">
9/1/16: guidance flat</t>
        </r>
      </text>
    </comment>
    <comment ref="HE21" authorId="7">
      <text>
        <r>
          <rPr>
            <b/>
            <sz val="9"/>
            <color indexed="81"/>
            <rFont val="Tahoma"/>
            <family val="2"/>
          </rPr>
          <t>Cassel, Lauren (Research):</t>
        </r>
        <r>
          <rPr>
            <sz val="9"/>
            <color indexed="81"/>
            <rFont val="Tahoma"/>
            <family val="2"/>
          </rPr>
          <t xml:space="preserve">
10/5/17: The September hurricanes negatively impacted September total sales by about -1% </t>
        </r>
      </text>
    </comment>
    <comment ref="HG21" authorId="7">
      <text>
        <r>
          <rPr>
            <b/>
            <sz val="9"/>
            <color indexed="81"/>
            <rFont val="Tahoma"/>
            <family val="2"/>
          </rPr>
          <t xml:space="preserve">Cassel, Lauren (Research):
10/5/17: exit of swim and apparel -2% headwind = flat underlying </t>
        </r>
        <r>
          <rPr>
            <sz val="9"/>
            <color indexed="81"/>
            <rFont val="Tahoma"/>
            <family val="2"/>
          </rPr>
          <t xml:space="preserve">*Hurricanes impacted the comp less than 1% because stores that are closed for 4 days or more are excluded from the comp calculation
8/31/17: guidance -LSD, which includes a negative impact from the exit of swim and apparel of about -2% </t>
        </r>
      </text>
    </comment>
    <comment ref="DL22" authorId="1">
      <text>
        <r>
          <rPr>
            <b/>
            <sz val="8"/>
            <color indexed="81"/>
            <rFont val="Tahoma"/>
            <family val="2"/>
          </rPr>
          <t>dliu:</t>
        </r>
        <r>
          <rPr>
            <sz val="8"/>
            <color indexed="81"/>
            <rFont val="Tahoma"/>
            <family val="2"/>
          </rPr>
          <t xml:space="preserve">
3.6, -2.2</t>
        </r>
      </text>
    </comment>
    <comment ref="DP22" authorId="2">
      <text>
        <r>
          <rPr>
            <b/>
            <sz val="8"/>
            <color indexed="81"/>
            <rFont val="Tahoma"/>
            <family val="2"/>
          </rPr>
          <t>Corinna Freedman:</t>
        </r>
        <r>
          <rPr>
            <sz val="8"/>
            <color indexed="81"/>
            <rFont val="Tahoma"/>
            <family val="2"/>
          </rPr>
          <t xml:space="preserve">
prev est 633.9</t>
        </r>
      </text>
    </comment>
    <comment ref="DX22" authorId="2">
      <text>
        <r>
          <rPr>
            <b/>
            <sz val="8"/>
            <color indexed="81"/>
            <rFont val="Tahoma"/>
            <family val="2"/>
          </rPr>
          <t>Corinna Freedman:</t>
        </r>
        <r>
          <rPr>
            <sz val="8"/>
            <color indexed="81"/>
            <rFont val="Tahoma"/>
            <family val="2"/>
          </rPr>
          <t xml:space="preserve">
625.8</t>
        </r>
      </text>
    </comment>
    <comment ref="EB22" authorId="2">
      <text>
        <r>
          <rPr>
            <b/>
            <sz val="8"/>
            <color indexed="81"/>
            <rFont val="Tahoma"/>
            <family val="2"/>
          </rPr>
          <t>Corinna Freedman:</t>
        </r>
        <r>
          <rPr>
            <sz val="8"/>
            <color indexed="81"/>
            <rFont val="Tahoma"/>
            <family val="2"/>
          </rPr>
          <t xml:space="preserve">
-2.4</t>
        </r>
      </text>
    </comment>
    <comment ref="EJ22" authorId="3">
      <text>
        <r>
          <rPr>
            <b/>
            <sz val="8"/>
            <color indexed="81"/>
            <rFont val="Tahoma"/>
            <family val="2"/>
          </rPr>
          <t>mm98285:</t>
        </r>
        <r>
          <rPr>
            <sz val="8"/>
            <color indexed="81"/>
            <rFont val="Tahoma"/>
            <family val="2"/>
          </rPr>
          <t xml:space="preserve">
+6.1% comp est.
10/06: expect +M-HSD</t>
        </r>
      </text>
    </comment>
    <comment ref="EN22" authorId="3">
      <text>
        <r>
          <rPr>
            <b/>
            <sz val="8"/>
            <color indexed="81"/>
            <rFont val="Tahoma"/>
            <family val="2"/>
          </rPr>
          <t>mm98285:</t>
        </r>
        <r>
          <rPr>
            <sz val="8"/>
            <color indexed="81"/>
            <rFont val="Tahoma"/>
            <family val="2"/>
          </rPr>
          <t xml:space="preserve">
$585.3 est</t>
        </r>
      </text>
    </comment>
    <comment ref="ER22" authorId="3">
      <text>
        <r>
          <rPr>
            <b/>
            <sz val="8"/>
            <color indexed="81"/>
            <rFont val="Tahoma"/>
            <family val="2"/>
          </rPr>
          <t>mm98285:</t>
        </r>
        <r>
          <rPr>
            <sz val="8"/>
            <color indexed="81"/>
            <rFont val="Tahoma"/>
            <family val="2"/>
          </rPr>
          <t xml:space="preserve">
10/07: flat guidance
-1.0% est</t>
        </r>
      </text>
    </comment>
    <comment ref="EV22" authorId="3">
      <text>
        <r>
          <rPr>
            <b/>
            <sz val="8"/>
            <color indexed="81"/>
            <rFont val="Tahoma"/>
            <family val="2"/>
          </rPr>
          <t>mm98285:</t>
        </r>
        <r>
          <rPr>
            <sz val="8"/>
            <color indexed="81"/>
            <rFont val="Tahoma"/>
            <family val="2"/>
          </rPr>
          <t xml:space="preserve">
$605.7mm est.</t>
        </r>
      </text>
    </comment>
    <comment ref="EZ22" authorId="3">
      <text>
        <r>
          <rPr>
            <b/>
            <sz val="8"/>
            <color indexed="81"/>
            <rFont val="Tahoma"/>
            <family val="2"/>
          </rPr>
          <t>mm98285:</t>
        </r>
        <r>
          <rPr>
            <sz val="8"/>
            <color indexed="81"/>
            <rFont val="Tahoma"/>
            <family val="2"/>
          </rPr>
          <t xml:space="preserve">
-5.5% est.
10/08: expect -L-MSD</t>
        </r>
      </text>
    </comment>
    <comment ref="FD22" authorId="3">
      <text>
        <r>
          <rPr>
            <b/>
            <sz val="8"/>
            <color indexed="81"/>
            <rFont val="Tahoma"/>
            <family val="2"/>
          </rPr>
          <t>mm98285:</t>
        </r>
        <r>
          <rPr>
            <sz val="8"/>
            <color indexed="81"/>
            <rFont val="Tahoma"/>
            <family val="2"/>
          </rPr>
          <t xml:space="preserve">
$557.9M est. </t>
        </r>
      </text>
    </comment>
    <comment ref="FH22" authorId="3">
      <text>
        <r>
          <rPr>
            <b/>
            <sz val="8"/>
            <color indexed="81"/>
            <rFont val="Tahoma"/>
            <family val="2"/>
          </rPr>
          <t>mm98285:</t>
        </r>
        <r>
          <rPr>
            <sz val="8"/>
            <color indexed="81"/>
            <rFont val="Tahoma"/>
            <family val="2"/>
          </rPr>
          <t xml:space="preserve">
(3)-(4)% est.
10/26/09: -L-MSD
9/09: roughly flat 
8/09: temper Oct. VS comp est. given absence of TV (vs. having a TV presence LY)</t>
        </r>
      </text>
    </comment>
    <comment ref="FL22" authorId="5">
      <text>
        <r>
          <rPr>
            <b/>
            <sz val="8"/>
            <color indexed="81"/>
            <rFont val="Tahoma"/>
            <family val="2"/>
          </rPr>
          <t>nicholjs:</t>
        </r>
        <r>
          <rPr>
            <sz val="8"/>
            <color indexed="81"/>
            <rFont val="Tahoma"/>
            <family val="2"/>
          </rPr>
          <t xml:space="preserve">
we est. 599.6</t>
        </r>
      </text>
    </comment>
    <comment ref="FP22" authorId="5">
      <text>
        <r>
          <rPr>
            <b/>
            <sz val="8"/>
            <color indexed="81"/>
            <rFont val="Tahoma"/>
            <family val="2"/>
          </rPr>
          <t>nicholjs:</t>
        </r>
        <r>
          <rPr>
            <sz val="8"/>
            <color indexed="81"/>
            <rFont val="Tahoma"/>
            <family val="2"/>
          </rPr>
          <t xml:space="preserve">
we est. +5%
10/2010: expect +MSD</t>
        </r>
      </text>
    </comment>
    <comment ref="FX22" authorId="5">
      <text>
        <r>
          <rPr>
            <b/>
            <sz val="8"/>
            <color indexed="81"/>
            <rFont val="Tahoma"/>
            <family val="2"/>
          </rPr>
          <t>nicholjs:</t>
        </r>
        <r>
          <rPr>
            <sz val="8"/>
            <color indexed="81"/>
            <rFont val="Tahoma"/>
            <family val="2"/>
          </rPr>
          <t xml:space="preserve">
10/2011: planning +LSD</t>
        </r>
      </text>
    </comment>
    <comment ref="GA22" authorId="14">
      <text>
        <r>
          <rPr>
            <b/>
            <sz val="8"/>
            <color indexed="81"/>
            <rFont val="Tahoma"/>
            <family val="2"/>
          </rPr>
          <t>solejay:</t>
        </r>
        <r>
          <rPr>
            <sz val="8"/>
            <color indexed="81"/>
            <rFont val="Tahoma"/>
            <family val="2"/>
          </rPr>
          <t xml:space="preserve">
$616.5 estimate</t>
        </r>
      </text>
    </comment>
    <comment ref="GC22" authorId="14">
      <text>
        <r>
          <rPr>
            <b/>
            <sz val="8"/>
            <color indexed="81"/>
            <rFont val="Tahoma"/>
            <family val="2"/>
          </rPr>
          <t>solejay:</t>
        </r>
        <r>
          <rPr>
            <sz val="8"/>
            <color indexed="81"/>
            <rFont val="Tahoma"/>
            <family val="2"/>
          </rPr>
          <t xml:space="preserve">
10/4/12: Planning for a LSD October comp</t>
        </r>
      </text>
    </comment>
    <comment ref="GO22" authorId="0">
      <text>
        <r>
          <rPr>
            <b/>
            <sz val="9"/>
            <color indexed="81"/>
            <rFont val="Tahoma"/>
            <family val="2"/>
          </rPr>
          <t>casselau:</t>
        </r>
        <r>
          <rPr>
            <sz val="9"/>
            <color indexed="81"/>
            <rFont val="Tahoma"/>
            <family val="2"/>
          </rPr>
          <t xml:space="preserve">
+LSD guidance</t>
        </r>
      </text>
    </comment>
    <comment ref="GT22" authorId="0">
      <text>
        <r>
          <rPr>
            <b/>
            <sz val="9"/>
            <color indexed="81"/>
            <rFont val="Tahoma"/>
            <family val="2"/>
          </rPr>
          <t>casselau:</t>
        </r>
        <r>
          <rPr>
            <sz val="9"/>
            <color indexed="81"/>
            <rFont val="Tahoma"/>
            <family val="2"/>
          </rPr>
          <t xml:space="preserve">
+LSD guidance</t>
        </r>
      </text>
    </comment>
    <comment ref="HA22" authorId="7">
      <text>
        <r>
          <rPr>
            <b/>
            <sz val="9"/>
            <color indexed="81"/>
            <rFont val="Tahoma"/>
            <family val="2"/>
          </rPr>
          <t>Cassel, Lauren (Research):</t>
        </r>
        <r>
          <rPr>
            <sz val="9"/>
            <color indexed="81"/>
            <rFont val="Tahoma"/>
            <family val="2"/>
          </rPr>
          <t xml:space="preserve">
+LSD guidance</t>
        </r>
      </text>
    </comment>
    <comment ref="HG22" authorId="7">
      <text>
        <r>
          <rPr>
            <b/>
            <sz val="9"/>
            <color indexed="81"/>
            <rFont val="Tahoma"/>
            <family val="2"/>
          </rPr>
          <t xml:space="preserve">Cassel, Lauren (Research):
11/1/17: +3% excluding exited categories 
10/5/17: -LSD guidance incl. -1% headwind from exit of swim and apparel 
</t>
        </r>
        <r>
          <rPr>
            <sz val="9"/>
            <color indexed="81"/>
            <rFont val="Tahoma"/>
            <family val="2"/>
          </rPr>
          <t xml:space="preserve">
8/31/17: -1% headwind from exited categories </t>
        </r>
      </text>
    </comment>
    <comment ref="DH23" authorId="1">
      <text>
        <r>
          <rPr>
            <b/>
            <sz val="8"/>
            <color indexed="81"/>
            <rFont val="Tahoma"/>
            <family val="2"/>
          </rPr>
          <t>dliu:</t>
        </r>
        <r>
          <rPr>
            <sz val="8"/>
            <color indexed="81"/>
            <rFont val="Tahoma"/>
            <family val="2"/>
          </rPr>
          <t xml:space="preserve">
1820.2</t>
        </r>
      </text>
    </comment>
    <comment ref="DL23" authorId="1">
      <text>
        <r>
          <rPr>
            <b/>
            <sz val="8"/>
            <color indexed="81"/>
            <rFont val="Tahoma"/>
            <family val="2"/>
          </rPr>
          <t>dliu:</t>
        </r>
        <r>
          <rPr>
            <sz val="8"/>
            <color indexed="81"/>
            <rFont val="Tahoma"/>
            <family val="2"/>
          </rPr>
          <t xml:space="preserve">
0.3, 3.2, 1.6</t>
        </r>
      </text>
    </comment>
    <comment ref="HG23" authorId="7">
      <text>
        <r>
          <rPr>
            <b/>
            <sz val="9"/>
            <color indexed="81"/>
            <rFont val="Tahoma"/>
            <family val="2"/>
          </rPr>
          <t>Cassel, Lauren (Research):</t>
        </r>
        <r>
          <rPr>
            <sz val="9"/>
            <color indexed="81"/>
            <rFont val="Tahoma"/>
            <family val="2"/>
          </rPr>
          <t xml:space="preserve">
11/1/17: +1% go forward comp (-2% headwind)</t>
        </r>
      </text>
    </comment>
    <comment ref="DH25" authorId="1">
      <text>
        <r>
          <rPr>
            <b/>
            <sz val="8"/>
            <color indexed="81"/>
            <rFont val="Tahoma"/>
            <family val="2"/>
          </rPr>
          <t>dliu:</t>
        </r>
        <r>
          <rPr>
            <sz val="8"/>
            <color indexed="81"/>
            <rFont val="Tahoma"/>
            <family val="2"/>
          </rPr>
          <t xml:space="preserve">
799.2</t>
        </r>
      </text>
    </comment>
    <comment ref="DL25" authorId="1">
      <text>
        <r>
          <rPr>
            <b/>
            <sz val="8"/>
            <color indexed="81"/>
            <rFont val="Tahoma"/>
            <family val="2"/>
          </rPr>
          <t>dliu:</t>
        </r>
        <r>
          <rPr>
            <sz val="8"/>
            <color indexed="81"/>
            <rFont val="Tahoma"/>
            <family val="2"/>
          </rPr>
          <t xml:space="preserve">
0.3</t>
        </r>
      </text>
    </comment>
    <comment ref="DP25" authorId="2">
      <text>
        <r>
          <rPr>
            <b/>
            <sz val="8"/>
            <color indexed="81"/>
            <rFont val="Tahoma"/>
            <family val="2"/>
          </rPr>
          <t>Corinna Freedman:</t>
        </r>
        <r>
          <rPr>
            <sz val="8"/>
            <color indexed="81"/>
            <rFont val="Tahoma"/>
            <family val="2"/>
          </rPr>
          <t xml:space="preserve">
843.5</t>
        </r>
      </text>
    </comment>
    <comment ref="DT25" authorId="2">
      <text>
        <r>
          <rPr>
            <b/>
            <sz val="8"/>
            <color indexed="81"/>
            <rFont val="Tahoma"/>
            <family val="2"/>
          </rPr>
          <t>Corinna Freedman:</t>
        </r>
        <r>
          <rPr>
            <sz val="8"/>
            <color indexed="81"/>
            <rFont val="Tahoma"/>
            <family val="2"/>
          </rPr>
          <t xml:space="preserve">
3.8</t>
        </r>
      </text>
    </comment>
    <comment ref="DX25" authorId="2">
      <text>
        <r>
          <rPr>
            <b/>
            <sz val="8"/>
            <color indexed="81"/>
            <rFont val="Tahoma"/>
            <family val="2"/>
          </rPr>
          <t>Corinna Freedman:</t>
        </r>
        <r>
          <rPr>
            <sz val="8"/>
            <color indexed="81"/>
            <rFont val="Tahoma"/>
            <family val="2"/>
          </rPr>
          <t xml:space="preserve">
831.4</t>
        </r>
      </text>
    </comment>
    <comment ref="EB25" authorId="2">
      <text>
        <r>
          <rPr>
            <b/>
            <sz val="8"/>
            <color indexed="81"/>
            <rFont val="Tahoma"/>
            <family val="2"/>
          </rPr>
          <t>Corinna Freedman:</t>
        </r>
        <r>
          <rPr>
            <sz val="8"/>
            <color indexed="81"/>
            <rFont val="Tahoma"/>
            <family val="2"/>
          </rPr>
          <t xml:space="preserve">
0.9e
11/16 mgmt anticipates flat to up slightly</t>
        </r>
      </text>
    </comment>
    <comment ref="EJ25" authorId="3">
      <text>
        <r>
          <rPr>
            <b/>
            <sz val="8"/>
            <color indexed="81"/>
            <rFont val="Tahoma"/>
            <family val="2"/>
          </rPr>
          <t>mm98285:</t>
        </r>
        <r>
          <rPr>
            <sz val="8"/>
            <color indexed="81"/>
            <rFont val="Tahoma"/>
            <family val="2"/>
          </rPr>
          <t xml:space="preserve">
guid. +M-HSD
5.6% comp est.</t>
        </r>
      </text>
    </comment>
    <comment ref="EN25" authorId="3">
      <text>
        <r>
          <rPr>
            <b/>
            <sz val="8"/>
            <color indexed="81"/>
            <rFont val="Tahoma"/>
            <family val="2"/>
          </rPr>
          <t>mm98285:</t>
        </r>
        <r>
          <rPr>
            <sz val="8"/>
            <color indexed="81"/>
            <rFont val="Tahoma"/>
            <family val="2"/>
          </rPr>
          <t xml:space="preserve">
$784.4mm est</t>
        </r>
      </text>
    </comment>
    <comment ref="ER25" authorId="3">
      <text>
        <r>
          <rPr>
            <b/>
            <sz val="8"/>
            <color indexed="81"/>
            <rFont val="Tahoma"/>
            <family val="2"/>
          </rPr>
          <t>mm98285:</t>
        </r>
        <r>
          <rPr>
            <sz val="8"/>
            <color indexed="81"/>
            <rFont val="Tahoma"/>
            <family val="2"/>
          </rPr>
          <t xml:space="preserve">
-5% est.
11/20/07: expect -MSD
11/07: expect flat</t>
        </r>
      </text>
    </comment>
    <comment ref="EV25" authorId="3">
      <text>
        <r>
          <rPr>
            <b/>
            <sz val="8"/>
            <color indexed="81"/>
            <rFont val="Tahoma"/>
            <family val="2"/>
          </rPr>
          <t>mm98285:</t>
        </r>
        <r>
          <rPr>
            <sz val="8"/>
            <color indexed="81"/>
            <rFont val="Tahoma"/>
            <family val="2"/>
          </rPr>
          <t xml:space="preserve">
$750.5 estimate</t>
        </r>
      </text>
    </comment>
    <comment ref="EZ25" authorId="3">
      <text>
        <r>
          <rPr>
            <b/>
            <sz val="8"/>
            <color indexed="81"/>
            <rFont val="Tahoma"/>
            <family val="2"/>
          </rPr>
          <t>mm98285:</t>
        </r>
        <r>
          <rPr>
            <sz val="8"/>
            <color indexed="81"/>
            <rFont val="Tahoma"/>
            <family val="2"/>
          </rPr>
          <t xml:space="preserve">
-12% est. 
11/08: expect -LDD</t>
        </r>
      </text>
    </comment>
    <comment ref="FD25" authorId="3">
      <text>
        <r>
          <rPr>
            <b/>
            <sz val="8"/>
            <color indexed="81"/>
            <rFont val="Tahoma"/>
            <family val="2"/>
          </rPr>
          <t>mm98285:</t>
        </r>
        <r>
          <rPr>
            <sz val="8"/>
            <color indexed="81"/>
            <rFont val="Tahoma"/>
            <family val="2"/>
          </rPr>
          <t xml:space="preserve">
$746.7M estimate</t>
        </r>
      </text>
    </comment>
    <comment ref="FH25" authorId="4">
      <text>
        <r>
          <rPr>
            <b/>
            <sz val="8"/>
            <color indexed="81"/>
            <rFont val="Tahoma"/>
            <family val="2"/>
          </rPr>
          <t>TI23070:</t>
        </r>
        <r>
          <rPr>
            <sz val="8"/>
            <color indexed="81"/>
            <rFont val="Tahoma"/>
            <family val="2"/>
          </rPr>
          <t xml:space="preserve">
-3% estimate
expect -L-MSD</t>
        </r>
      </text>
    </comment>
    <comment ref="FL25" authorId="5">
      <text>
        <r>
          <rPr>
            <b/>
            <sz val="8"/>
            <color indexed="81"/>
            <rFont val="Tahoma"/>
            <family val="2"/>
          </rPr>
          <t>nicholjs:</t>
        </r>
        <r>
          <rPr>
            <sz val="8"/>
            <color indexed="81"/>
            <rFont val="Tahoma"/>
            <family val="2"/>
          </rPr>
          <t xml:space="preserve">
est $841.1mm</t>
        </r>
      </text>
    </comment>
    <comment ref="FP25" authorId="5">
      <text>
        <r>
          <rPr>
            <b/>
            <sz val="8"/>
            <color indexed="81"/>
            <rFont val="Tahoma"/>
            <family val="2"/>
          </rPr>
          <t>nicholjs:</t>
        </r>
        <r>
          <rPr>
            <sz val="8"/>
            <color indexed="81"/>
            <rFont val="Tahoma"/>
            <family val="2"/>
          </rPr>
          <t xml:space="preserve">
est +4.3%
11/2010: expect +LSD</t>
        </r>
      </text>
    </comment>
    <comment ref="FV25" authorId="14">
      <text>
        <r>
          <rPr>
            <sz val="8"/>
            <color indexed="81"/>
            <rFont val="Tahoma"/>
            <family val="2"/>
          </rPr>
          <t>12/1: The decline in sales year over year was driven by the sale of our third party apparel sourcing business in the beginning of November 2011.</t>
        </r>
      </text>
    </comment>
    <comment ref="GA25" authorId="0">
      <text>
        <r>
          <rPr>
            <b/>
            <sz val="8"/>
            <color indexed="81"/>
            <rFont val="Tahoma"/>
            <family val="2"/>
          </rPr>
          <t>casselau:</t>
        </r>
        <r>
          <rPr>
            <sz val="8"/>
            <color indexed="81"/>
            <rFont val="Tahoma"/>
            <family val="2"/>
          </rPr>
          <t xml:space="preserve">
957M estimate</t>
        </r>
      </text>
    </comment>
    <comment ref="GC25" authorId="0">
      <text>
        <r>
          <rPr>
            <b/>
            <sz val="8"/>
            <color indexed="81"/>
            <rFont val="Tahoma"/>
            <family val="2"/>
          </rPr>
          <t>casselau:</t>
        </r>
        <r>
          <rPr>
            <sz val="8"/>
            <color indexed="81"/>
            <rFont val="Tahoma"/>
            <family val="2"/>
          </rPr>
          <t xml:space="preserve">
11/29: hurricane sandy impacted by 1-2%; record Thanksgiving wkd sales</t>
        </r>
      </text>
    </comment>
    <comment ref="GO25" authorId="0">
      <text>
        <r>
          <rPr>
            <b/>
            <sz val="9"/>
            <color indexed="81"/>
            <rFont val="Tahoma"/>
            <family val="2"/>
          </rPr>
          <t>casselau:</t>
        </r>
        <r>
          <rPr>
            <sz val="9"/>
            <color indexed="81"/>
            <rFont val="Tahoma"/>
            <family val="2"/>
          </rPr>
          <t xml:space="preserve">
+LSD guidance</t>
        </r>
      </text>
    </comment>
    <comment ref="GT25" authorId="0">
      <text>
        <r>
          <rPr>
            <b/>
            <sz val="9"/>
            <color indexed="81"/>
            <rFont val="Tahoma"/>
            <family val="2"/>
          </rPr>
          <t>casselau:</t>
        </r>
        <r>
          <rPr>
            <sz val="9"/>
            <color indexed="81"/>
            <rFont val="Tahoma"/>
            <family val="2"/>
          </rPr>
          <t xml:space="preserve">
+LSD guidance</t>
        </r>
      </text>
    </comment>
    <comment ref="HA25" authorId="7">
      <text>
        <r>
          <rPr>
            <b/>
            <sz val="9"/>
            <color indexed="81"/>
            <rFont val="Tahoma"/>
            <family val="2"/>
          </rPr>
          <t>Cassel, Lauren (Research):</t>
        </r>
        <r>
          <rPr>
            <sz val="9"/>
            <color indexed="81"/>
            <rFont val="Tahoma"/>
            <family val="2"/>
          </rPr>
          <t xml:space="preserve">
11/3/16: +LSD guidance</t>
        </r>
      </text>
    </comment>
    <comment ref="HG25" authorId="7">
      <text>
        <r>
          <rPr>
            <b/>
            <sz val="9"/>
            <color indexed="81"/>
            <rFont val="Tahoma"/>
            <family val="2"/>
          </rPr>
          <t>Cassel, Lauren (Research):
11/30/17: exit of swim and apparel negatively impacted the comp by -1%</t>
        </r>
        <r>
          <rPr>
            <sz val="9"/>
            <color indexed="81"/>
            <rFont val="Tahoma"/>
            <family val="2"/>
          </rPr>
          <t xml:space="preserve">
11/1/17: guidance about flat (exit of swim and apparel will negatively impact total comp by -1%)</t>
        </r>
      </text>
    </comment>
    <comment ref="DH26" authorId="1">
      <text>
        <r>
          <rPr>
            <b/>
            <sz val="8"/>
            <color indexed="81"/>
            <rFont val="Tahoma"/>
            <family val="2"/>
          </rPr>
          <t>dliu:</t>
        </r>
        <r>
          <rPr>
            <sz val="8"/>
            <color indexed="81"/>
            <rFont val="Tahoma"/>
            <family val="2"/>
          </rPr>
          <t xml:space="preserve">
1739.8, then calc'ed 1777.5</t>
        </r>
      </text>
    </comment>
    <comment ref="DL26" authorId="1">
      <text>
        <r>
          <rPr>
            <b/>
            <sz val="8"/>
            <color indexed="81"/>
            <rFont val="Tahoma"/>
            <family val="2"/>
          </rPr>
          <t>dliu:</t>
        </r>
        <r>
          <rPr>
            <sz val="8"/>
            <color indexed="81"/>
            <rFont val="Tahoma"/>
            <family val="2"/>
          </rPr>
          <t xml:space="preserve">
1.0. calc'ed 5.8%</t>
        </r>
      </text>
    </comment>
    <comment ref="DP26" authorId="2">
      <text>
        <r>
          <rPr>
            <b/>
            <sz val="8"/>
            <color indexed="81"/>
            <rFont val="Tahoma"/>
            <family val="2"/>
          </rPr>
          <t>Corinna Freedman:</t>
        </r>
        <r>
          <rPr>
            <sz val="8"/>
            <color indexed="81"/>
            <rFont val="Tahoma"/>
            <family val="2"/>
          </rPr>
          <t xml:space="preserve">
1834.7</t>
        </r>
      </text>
    </comment>
    <comment ref="DT26" authorId="2">
      <text>
        <r>
          <rPr>
            <b/>
            <sz val="8"/>
            <color indexed="81"/>
            <rFont val="Tahoma"/>
            <family val="2"/>
          </rPr>
          <t>Corinna Freedman:</t>
        </r>
        <r>
          <rPr>
            <sz val="8"/>
            <color indexed="81"/>
            <rFont val="Tahoma"/>
            <family val="2"/>
          </rPr>
          <t xml:space="preserve">
1.6</t>
        </r>
      </text>
    </comment>
    <comment ref="DX26" authorId="17">
      <text>
        <r>
          <rPr>
            <b/>
            <sz val="8"/>
            <color indexed="81"/>
            <rFont val="Tahoma"/>
            <family val="2"/>
          </rPr>
          <t>Cf52662:</t>
        </r>
        <r>
          <rPr>
            <sz val="8"/>
            <color indexed="81"/>
            <rFont val="Tahoma"/>
            <family val="2"/>
          </rPr>
          <t xml:space="preserve">
1910.6e</t>
        </r>
      </text>
    </comment>
    <comment ref="EB26" authorId="17">
      <text>
        <r>
          <rPr>
            <b/>
            <sz val="8"/>
            <color indexed="81"/>
            <rFont val="Tahoma"/>
            <family val="2"/>
          </rPr>
          <t>Cf52662:</t>
        </r>
        <r>
          <rPr>
            <sz val="8"/>
            <color indexed="81"/>
            <rFont val="Tahoma"/>
            <family val="2"/>
          </rPr>
          <t xml:space="preserve">
3.3e</t>
        </r>
      </text>
    </comment>
    <comment ref="EJ26" authorId="3">
      <text>
        <r>
          <rPr>
            <b/>
            <sz val="8"/>
            <color indexed="81"/>
            <rFont val="Tahoma"/>
            <family val="2"/>
          </rPr>
          <t>mm98285:</t>
        </r>
        <r>
          <rPr>
            <sz val="8"/>
            <color indexed="81"/>
            <rFont val="Tahoma"/>
            <family val="2"/>
          </rPr>
          <t xml:space="preserve">
+9.0% comp est.</t>
        </r>
      </text>
    </comment>
    <comment ref="EN26" authorId="3">
      <text>
        <r>
          <rPr>
            <b/>
            <sz val="8"/>
            <color indexed="81"/>
            <rFont val="Tahoma"/>
            <family val="2"/>
          </rPr>
          <t>mm98285:</t>
        </r>
        <r>
          <rPr>
            <sz val="8"/>
            <color indexed="81"/>
            <rFont val="Tahoma"/>
            <family val="2"/>
          </rPr>
          <t xml:space="preserve">
$1806.7mm est.</t>
        </r>
      </text>
    </comment>
    <comment ref="ER26" authorId="3">
      <text>
        <r>
          <rPr>
            <b/>
            <sz val="8"/>
            <color indexed="81"/>
            <rFont val="Tahoma"/>
            <family val="2"/>
          </rPr>
          <t>mm98285:</t>
        </r>
        <r>
          <rPr>
            <sz val="8"/>
            <color indexed="81"/>
            <rFont val="Tahoma"/>
            <family val="2"/>
          </rPr>
          <t xml:space="preserve">
-4% est.
12/07: -LSD</t>
        </r>
      </text>
    </comment>
    <comment ref="EV26" authorId="3">
      <text>
        <r>
          <rPr>
            <b/>
            <sz val="8"/>
            <color indexed="81"/>
            <rFont val="Tahoma"/>
            <family val="2"/>
          </rPr>
          <t>mm98285:</t>
        </r>
        <r>
          <rPr>
            <sz val="8"/>
            <color indexed="81"/>
            <rFont val="Tahoma"/>
            <family val="2"/>
          </rPr>
          <t xml:space="preserve">
$1,778.7M est. </t>
        </r>
      </text>
    </comment>
    <comment ref="EZ26" authorId="3">
      <text>
        <r>
          <rPr>
            <b/>
            <sz val="8"/>
            <color indexed="81"/>
            <rFont val="Tahoma"/>
            <family val="2"/>
          </rPr>
          <t>mm98285:</t>
        </r>
        <r>
          <rPr>
            <sz val="8"/>
            <color indexed="81"/>
            <rFont val="Tahoma"/>
            <family val="2"/>
          </rPr>
          <t xml:space="preserve">
-7% est. 
-MSD guidance</t>
        </r>
      </text>
    </comment>
    <comment ref="FD26" authorId="3">
      <text>
        <r>
          <rPr>
            <b/>
            <sz val="8"/>
            <color indexed="81"/>
            <rFont val="Tahoma"/>
            <family val="2"/>
          </rPr>
          <t>mm98285:</t>
        </r>
        <r>
          <rPr>
            <sz val="8"/>
            <color indexed="81"/>
            <rFont val="Tahoma"/>
            <family val="2"/>
          </rPr>
          <t xml:space="preserve">
$1642.8BN estimate</t>
        </r>
      </text>
    </comment>
    <comment ref="FH26" authorId="3">
      <text>
        <r>
          <rPr>
            <b/>
            <sz val="8"/>
            <color indexed="81"/>
            <rFont val="Tahoma"/>
            <family val="2"/>
          </rPr>
          <t>mm98285:</t>
        </r>
        <r>
          <rPr>
            <sz val="8"/>
            <color indexed="81"/>
            <rFont val="Tahoma"/>
            <family val="2"/>
          </rPr>
          <t xml:space="preserve">
-1% estimate
12/09: -L-MSD</t>
        </r>
      </text>
    </comment>
    <comment ref="FP26" authorId="5">
      <text>
        <r>
          <rPr>
            <b/>
            <sz val="8"/>
            <color indexed="81"/>
            <rFont val="Tahoma"/>
            <family val="2"/>
          </rPr>
          <t>nicholjs:</t>
        </r>
        <r>
          <rPr>
            <sz val="8"/>
            <color indexed="81"/>
            <rFont val="Tahoma"/>
            <family val="2"/>
          </rPr>
          <t xml:space="preserve">
we est +2%
12/10: expect +LSD
</t>
        </r>
      </text>
    </comment>
    <comment ref="GC26" authorId="0">
      <text>
        <r>
          <rPr>
            <sz val="8"/>
            <color indexed="81"/>
            <rFont val="Tahoma"/>
            <family val="2"/>
          </rPr>
          <t>total company merch margin rate was up to LY. However, both merchandise margin rate and merchandise margin dollars were below expectations</t>
        </r>
        <r>
          <rPr>
            <b/>
            <sz val="8"/>
            <color indexed="81"/>
            <rFont val="Tahoma"/>
            <family val="2"/>
          </rPr>
          <t xml:space="preserve">
casselau:</t>
        </r>
        <r>
          <rPr>
            <sz val="8"/>
            <color indexed="81"/>
            <rFont val="Tahoma"/>
            <family val="2"/>
          </rPr>
          <t xml:space="preserve">
11/29: guidance +LSD
</t>
        </r>
      </text>
    </comment>
    <comment ref="GO26" authorId="0">
      <text>
        <r>
          <rPr>
            <b/>
            <sz val="9"/>
            <color indexed="81"/>
            <rFont val="Tahoma"/>
            <family val="2"/>
          </rPr>
          <t>casselau:</t>
        </r>
        <r>
          <rPr>
            <sz val="9"/>
            <color indexed="81"/>
            <rFont val="Tahoma"/>
            <family val="2"/>
          </rPr>
          <t xml:space="preserve">
+LSD guidance</t>
        </r>
      </text>
    </comment>
    <comment ref="GT26" authorId="0">
      <text>
        <r>
          <rPr>
            <b/>
            <sz val="9"/>
            <color indexed="81"/>
            <rFont val="Tahoma"/>
            <family val="2"/>
          </rPr>
          <t>casselau:</t>
        </r>
        <r>
          <rPr>
            <sz val="9"/>
            <color indexed="81"/>
            <rFont val="Tahoma"/>
            <family val="2"/>
          </rPr>
          <t xml:space="preserve">
+LSD guidance; shift of semi-annual sale will benefit December, hurt January slightly
Same number of days, but starting Monday 12/28 this year vs. 1/2 last year</t>
        </r>
      </text>
    </comment>
    <comment ref="HA26" authorId="7">
      <text>
        <r>
          <rPr>
            <b/>
            <sz val="9"/>
            <color indexed="81"/>
            <rFont val="Tahoma"/>
            <family val="2"/>
          </rPr>
          <t>Cassel, Lauren (Research):</t>
        </r>
        <r>
          <rPr>
            <sz val="9"/>
            <color indexed="81"/>
            <rFont val="Tahoma"/>
            <family val="2"/>
          </rPr>
          <t xml:space="preserve">
guidance flat to +LSD</t>
        </r>
      </text>
    </comment>
    <comment ref="HG26" authorId="7">
      <text>
        <r>
          <rPr>
            <b/>
            <sz val="9"/>
            <color indexed="81"/>
            <rFont val="Tahoma"/>
            <family val="2"/>
          </rPr>
          <t>Cassel, Lauren (Research):</t>
        </r>
        <r>
          <rPr>
            <sz val="9"/>
            <color indexed="81"/>
            <rFont val="Tahoma"/>
            <family val="2"/>
          </rPr>
          <t xml:space="preserve">
11/30/17: guidance: Planning flat to +LSD December comp </t>
        </r>
      </text>
    </comment>
    <comment ref="DH27" authorId="1">
      <text>
        <r>
          <rPr>
            <b/>
            <sz val="8"/>
            <color indexed="81"/>
            <rFont val="Tahoma"/>
            <family val="2"/>
          </rPr>
          <t>dliu:</t>
        </r>
        <r>
          <rPr>
            <sz val="8"/>
            <color indexed="81"/>
            <rFont val="Tahoma"/>
            <family val="2"/>
          </rPr>
          <t xml:space="preserve">
620.5</t>
        </r>
      </text>
    </comment>
    <comment ref="DL27" authorId="1">
      <text>
        <r>
          <rPr>
            <b/>
            <sz val="8"/>
            <color indexed="81"/>
            <rFont val="Tahoma"/>
            <family val="2"/>
          </rPr>
          <t>dliu:</t>
        </r>
        <r>
          <rPr>
            <sz val="8"/>
            <color indexed="81"/>
            <rFont val="Tahoma"/>
            <family val="2"/>
          </rPr>
          <t xml:space="preserve">
20.9</t>
        </r>
      </text>
    </comment>
    <comment ref="DP27" authorId="2">
      <text>
        <r>
          <rPr>
            <b/>
            <sz val="8"/>
            <color indexed="81"/>
            <rFont val="Tahoma"/>
            <family val="2"/>
          </rPr>
          <t>Corinna Freedman:</t>
        </r>
        <r>
          <rPr>
            <sz val="8"/>
            <color indexed="81"/>
            <rFont val="Tahoma"/>
            <family val="2"/>
          </rPr>
          <t xml:space="preserve">
766.6</t>
        </r>
      </text>
    </comment>
    <comment ref="DT27" authorId="2">
      <text>
        <r>
          <rPr>
            <b/>
            <sz val="8"/>
            <color indexed="81"/>
            <rFont val="Tahoma"/>
            <family val="2"/>
          </rPr>
          <t>Corinna Freedman:</t>
        </r>
        <r>
          <rPr>
            <sz val="8"/>
            <color indexed="81"/>
            <rFont val="Tahoma"/>
            <family val="2"/>
          </rPr>
          <t xml:space="preserve">
6</t>
        </r>
      </text>
    </comment>
    <comment ref="DX27" authorId="10">
      <text>
        <r>
          <rPr>
            <b/>
            <sz val="8"/>
            <color indexed="81"/>
            <rFont val="Tahoma"/>
            <family val="2"/>
          </rPr>
          <t>MB33100:</t>
        </r>
        <r>
          <rPr>
            <sz val="8"/>
            <color indexed="81"/>
            <rFont val="Tahoma"/>
            <family val="2"/>
          </rPr>
          <t xml:space="preserve">
738.0
excludes $30.4mm related to adj for gift card breakage at BBW and Exp</t>
        </r>
      </text>
    </comment>
    <comment ref="EB27" authorId="10">
      <text>
        <r>
          <rPr>
            <b/>
            <sz val="8"/>
            <color indexed="81"/>
            <rFont val="Tahoma"/>
            <family val="2"/>
          </rPr>
          <t>MB33100:</t>
        </r>
        <r>
          <rPr>
            <sz val="8"/>
            <color indexed="81"/>
            <rFont val="Tahoma"/>
            <family val="2"/>
          </rPr>
          <t xml:space="preserve">
-0.4</t>
        </r>
      </text>
    </comment>
    <comment ref="EJ27" authorId="3">
      <text>
        <r>
          <rPr>
            <b/>
            <sz val="8"/>
            <color indexed="81"/>
            <rFont val="Tahoma"/>
            <family val="2"/>
          </rPr>
          <t>mm98285:</t>
        </r>
        <r>
          <rPr>
            <sz val="8"/>
            <color indexed="81"/>
            <rFont val="Tahoma"/>
            <family val="2"/>
          </rPr>
          <t xml:space="preserve">
+5.7% comp est.
1/07: expect +HSD</t>
        </r>
      </text>
    </comment>
    <comment ref="EN27" authorId="3">
      <text>
        <r>
          <rPr>
            <b/>
            <sz val="8"/>
            <color indexed="81"/>
            <rFont val="Tahoma"/>
            <family val="2"/>
          </rPr>
          <t>mm98285:</t>
        </r>
        <r>
          <rPr>
            <sz val="8"/>
            <color indexed="81"/>
            <rFont val="Tahoma"/>
            <family val="2"/>
          </rPr>
          <t xml:space="preserve">
$616.7mm est</t>
        </r>
      </text>
    </comment>
    <comment ref="ER27" authorId="3">
      <text>
        <r>
          <rPr>
            <b/>
            <sz val="8"/>
            <color indexed="81"/>
            <rFont val="Tahoma"/>
            <family val="2"/>
          </rPr>
          <t>mm98285:</t>
        </r>
        <r>
          <rPr>
            <sz val="8"/>
            <color indexed="81"/>
            <rFont val="Tahoma"/>
            <family val="2"/>
          </rPr>
          <t xml:space="preserve">
-6% est.
1/08: expect -M-HSD</t>
        </r>
      </text>
    </comment>
    <comment ref="EV27" authorId="3">
      <text>
        <r>
          <rPr>
            <b/>
            <sz val="8"/>
            <color indexed="81"/>
            <rFont val="Tahoma"/>
            <family val="2"/>
          </rPr>
          <t>mm98285:</t>
        </r>
        <r>
          <rPr>
            <sz val="8"/>
            <color indexed="81"/>
            <rFont val="Tahoma"/>
            <family val="2"/>
          </rPr>
          <t xml:space="preserve">
$633.8mm est. </t>
        </r>
      </text>
    </comment>
    <comment ref="EZ27" authorId="3">
      <text>
        <r>
          <rPr>
            <b/>
            <sz val="8"/>
            <color indexed="81"/>
            <rFont val="Tahoma"/>
            <family val="2"/>
          </rPr>
          <t>mm98285:</t>
        </r>
        <r>
          <rPr>
            <sz val="8"/>
            <color indexed="81"/>
            <rFont val="Tahoma"/>
            <family val="2"/>
          </rPr>
          <t xml:space="preserve">
-17.6% est. 
1/08: guid. -M-Hteens (VS neg. impacted by (5)-(10)% from semi-annual sale shift forward a week)</t>
        </r>
      </text>
    </comment>
    <comment ref="FD27" authorId="3">
      <text>
        <r>
          <rPr>
            <b/>
            <sz val="8"/>
            <color indexed="81"/>
            <rFont val="Tahoma"/>
            <family val="2"/>
          </rPr>
          <t>mm98285:</t>
        </r>
        <r>
          <rPr>
            <sz val="8"/>
            <color indexed="81"/>
            <rFont val="Tahoma"/>
            <family val="2"/>
          </rPr>
          <t xml:space="preserve">
$593.1M estimate</t>
        </r>
      </text>
    </comment>
    <comment ref="FH27" authorId="3">
      <text>
        <r>
          <rPr>
            <b/>
            <sz val="8"/>
            <color indexed="81"/>
            <rFont val="Tahoma"/>
            <family val="2"/>
          </rPr>
          <t>mm98285:</t>
        </r>
        <r>
          <rPr>
            <sz val="8"/>
            <color indexed="81"/>
            <rFont val="Tahoma"/>
            <family val="2"/>
          </rPr>
          <t xml:space="preserve">
flat estimate
1/10: expect flat to down slightly
11/09: expect decelerating comps given less clearance/ promos on fresher product (but higher markdowns)</t>
        </r>
      </text>
    </comment>
    <comment ref="FL27" authorId="5">
      <text>
        <r>
          <rPr>
            <b/>
            <sz val="8"/>
            <color indexed="81"/>
            <rFont val="Tahoma"/>
            <family val="2"/>
          </rPr>
          <t>nicholjs:</t>
        </r>
        <r>
          <rPr>
            <sz val="8"/>
            <color indexed="81"/>
            <rFont val="Tahoma"/>
            <family val="2"/>
          </rPr>
          <t xml:space="preserve">
we est $690.4mm</t>
        </r>
      </text>
    </comment>
    <comment ref="FP27" authorId="5">
      <text>
        <r>
          <rPr>
            <b/>
            <sz val="8"/>
            <color indexed="81"/>
            <rFont val="Tahoma"/>
            <family val="2"/>
          </rPr>
          <t>nicholjs:</t>
        </r>
        <r>
          <rPr>
            <sz val="8"/>
            <color indexed="81"/>
            <rFont val="Tahoma"/>
            <family val="2"/>
          </rPr>
          <t xml:space="preserve">
we est +6.3%
1/2011: expect +M-HSD, comp result will be positively impacted by ~5 points from shift of VS semi annual sale into January TY</t>
        </r>
      </text>
    </comment>
    <comment ref="FT27" authorId="6">
      <text>
        <r>
          <rPr>
            <b/>
            <sz val="8"/>
            <color indexed="81"/>
            <rFont val="Tahoma"/>
            <family val="2"/>
          </rPr>
          <t>kahng:</t>
        </r>
        <r>
          <rPr>
            <sz val="8"/>
            <color indexed="81"/>
            <rFont val="Tahoma"/>
            <family val="2"/>
          </rPr>
          <t xml:space="preserve">
2/2/12: excludes MAST post sale in Nov 2011. 
MSe $758.3M</t>
        </r>
      </text>
    </comment>
    <comment ref="FX27" authorId="6">
      <text>
        <r>
          <rPr>
            <b/>
            <sz val="8"/>
            <color indexed="81"/>
            <rFont val="Tahoma"/>
            <family val="2"/>
          </rPr>
          <t>kahng:</t>
        </r>
        <r>
          <rPr>
            <sz val="8"/>
            <color indexed="81"/>
            <rFont val="Tahoma"/>
            <family val="2"/>
          </rPr>
          <t xml:space="preserve">
2/1/12: MSe +1.8%</t>
        </r>
      </text>
    </comment>
    <comment ref="GA27" authorId="6">
      <text>
        <r>
          <rPr>
            <b/>
            <sz val="8"/>
            <color indexed="81"/>
            <rFont val="Tahoma"/>
            <family val="2"/>
          </rPr>
          <t>kahng:</t>
        </r>
        <r>
          <rPr>
            <sz val="8"/>
            <color indexed="81"/>
            <rFont val="Tahoma"/>
            <family val="2"/>
          </rPr>
          <t xml:space="preserve">
$799.6M sales in Jan excl 53rd week. Adding additional week yields $39M in incremental sales</t>
        </r>
      </text>
    </comment>
    <comment ref="GG27" authorId="0">
      <text>
        <r>
          <rPr>
            <b/>
            <sz val="9"/>
            <color indexed="81"/>
            <rFont val="Tahoma"/>
            <family val="2"/>
          </rPr>
          <t>casselau:</t>
        </r>
        <r>
          <rPr>
            <sz val="9"/>
            <color indexed="81"/>
            <rFont val="Tahoma"/>
            <family val="2"/>
          </rPr>
          <t xml:space="preserve">
53rd wk was $135M LY</t>
        </r>
      </text>
    </comment>
    <comment ref="GO27" authorId="0">
      <text>
        <r>
          <rPr>
            <b/>
            <sz val="9"/>
            <color indexed="81"/>
            <rFont val="Tahoma"/>
            <family val="2"/>
          </rPr>
          <t>casselau:</t>
        </r>
        <r>
          <rPr>
            <sz val="9"/>
            <color indexed="81"/>
            <rFont val="Tahoma"/>
            <family val="2"/>
          </rPr>
          <t xml:space="preserve">
+LSD guidance</t>
        </r>
      </text>
    </comment>
    <comment ref="GT27" authorId="0">
      <text>
        <r>
          <rPr>
            <b/>
            <sz val="9"/>
            <color indexed="81"/>
            <rFont val="Tahoma"/>
            <family val="2"/>
          </rPr>
          <t>casselau:</t>
        </r>
        <r>
          <rPr>
            <sz val="9"/>
            <color indexed="81"/>
            <rFont val="Tahoma"/>
            <family val="2"/>
          </rPr>
          <t xml:space="preserve">
2/4/16: negatively
impacted by a timing shift in the Victoria’s Secret semi-annual sale into December. Absent the
estimated impact of this timing shift, total company comps would have increased 1% in January.</t>
        </r>
      </text>
    </comment>
    <comment ref="HA27" authorId="7">
      <text>
        <r>
          <rPr>
            <b/>
            <sz val="9"/>
            <color indexed="81"/>
            <rFont val="Tahoma"/>
            <family val="2"/>
          </rPr>
          <t xml:space="preserve">Cassel, Lauren (Research):
2/2/17: was negatively impacted by -5% from the exit of swim and apparel at Victoria’s Secret
</t>
        </r>
        <r>
          <rPr>
            <sz val="9"/>
            <color indexed="81"/>
            <rFont val="Tahoma"/>
            <family val="2"/>
          </rPr>
          <t xml:space="preserve">
guidance: about flat ("easier" compare last year only due to semi-annual sale shift. This year semi-annual sale is a very slight positive to January; up against Epic Sport event LY (free pant with sport bra) that they are not going to repeat; exited category impact is 1-2% higher in January vs. December)</t>
        </r>
      </text>
    </comment>
    <comment ref="HD27" authorId="7">
      <text>
        <r>
          <rPr>
            <b/>
            <sz val="9"/>
            <color indexed="81"/>
            <rFont val="Tahoma"/>
            <family val="2"/>
          </rPr>
          <t>Cassel, Lauren (Research):</t>
        </r>
        <r>
          <rPr>
            <sz val="9"/>
            <color indexed="81"/>
            <rFont val="Tahoma"/>
            <family val="2"/>
          </rPr>
          <t xml:space="preserve">
53rd week added $150M</t>
        </r>
      </text>
    </comment>
    <comment ref="HG27" authorId="7">
      <text>
        <r>
          <rPr>
            <b/>
            <sz val="9"/>
            <color indexed="81"/>
            <rFont val="Tahoma"/>
            <family val="2"/>
          </rPr>
          <t>Cassel, Lauren (Research):</t>
        </r>
        <r>
          <rPr>
            <sz val="9"/>
            <color indexed="81"/>
            <rFont val="Tahoma"/>
            <family val="2"/>
          </rPr>
          <t xml:space="preserve">
1/4/17: guidance +LSD</t>
        </r>
      </text>
    </comment>
    <comment ref="HK27" authorId="7">
      <text>
        <r>
          <rPr>
            <b/>
            <sz val="9"/>
            <color indexed="81"/>
            <rFont val="Tahoma"/>
            <family val="2"/>
          </rPr>
          <t>Cassel, Lauren (Research):</t>
        </r>
        <r>
          <rPr>
            <sz val="9"/>
            <color indexed="81"/>
            <rFont val="Tahoma"/>
            <family val="2"/>
          </rPr>
          <t xml:space="preserve">
53rd week last year added $150M</t>
        </r>
      </text>
    </comment>
    <comment ref="HY27" authorId="0">
      <text>
        <r>
          <rPr>
            <b/>
            <sz val="9"/>
            <color indexed="81"/>
            <rFont val="Tahoma"/>
            <family val="2"/>
          </rPr>
          <t>casselau:</t>
        </r>
        <r>
          <rPr>
            <sz val="9"/>
            <color indexed="81"/>
            <rFont val="Tahoma"/>
            <family val="2"/>
          </rPr>
          <t xml:space="preserve">
skewed due to 53rd week</t>
        </r>
      </text>
    </comment>
    <comment ref="HZ27" authorId="0">
      <text>
        <r>
          <rPr>
            <sz val="8"/>
            <color indexed="81"/>
            <rFont val="Tahoma"/>
            <family val="2"/>
          </rPr>
          <t>skewed due to loss of 53rd week</t>
        </r>
      </text>
    </comment>
    <comment ref="DH28" authorId="1">
      <text>
        <r>
          <rPr>
            <b/>
            <sz val="8"/>
            <color indexed="81"/>
            <rFont val="Tahoma"/>
            <family val="2"/>
          </rPr>
          <t>dliu:</t>
        </r>
        <r>
          <rPr>
            <sz val="8"/>
            <color indexed="81"/>
            <rFont val="Tahoma"/>
            <family val="2"/>
          </rPr>
          <t xml:space="preserve">
3134, 3134.8, 3265.8</t>
        </r>
      </text>
    </comment>
    <comment ref="DL28" authorId="1">
      <text>
        <r>
          <rPr>
            <b/>
            <sz val="8"/>
            <color indexed="81"/>
            <rFont val="Tahoma"/>
            <family val="2"/>
          </rPr>
          <t>dliu:</t>
        </r>
        <r>
          <rPr>
            <sz val="8"/>
            <color indexed="81"/>
            <rFont val="Tahoma"/>
            <family val="2"/>
          </rPr>
          <t xml:space="preserve">
3.8, 8.9</t>
        </r>
      </text>
    </comment>
    <comment ref="EB28" authorId="2">
      <text>
        <r>
          <rPr>
            <b/>
            <sz val="8"/>
            <color indexed="81"/>
            <rFont val="Tahoma"/>
            <family val="2"/>
          </rPr>
          <t>Corinna Freedman:</t>
        </r>
        <r>
          <rPr>
            <sz val="8"/>
            <color indexed="81"/>
            <rFont val="Tahoma"/>
            <family val="2"/>
          </rPr>
          <t xml:space="preserve">
11/16 mgmt exp +LSD</t>
        </r>
      </text>
    </comment>
    <comment ref="GA28" authorId="6">
      <text>
        <r>
          <rPr>
            <b/>
            <sz val="8"/>
            <color indexed="81"/>
            <rFont val="Tahoma"/>
            <family val="2"/>
          </rPr>
          <t>kahng:</t>
        </r>
        <r>
          <rPr>
            <sz val="8"/>
            <color indexed="81"/>
            <rFont val="Tahoma"/>
            <family val="2"/>
          </rPr>
          <t xml:space="preserve">
53rd week adds 5.4% to Q4 sales</t>
        </r>
      </text>
    </comment>
  </commentList>
</comments>
</file>

<file path=xl/comments5.xml><?xml version="1.0" encoding="utf-8"?>
<comments xmlns="http://schemas.openxmlformats.org/spreadsheetml/2006/main">
  <authors>
    <author>dliu</author>
    <author>casselau</author>
    <author>Corinna Freedman</author>
    <author>mm98285</author>
    <author>nicholjs</author>
    <author>kahng</author>
    <author>Cassel, Lauren (Research)</author>
    <author>ns66486</author>
    <author>kimberlg</author>
    <author>NS66486</author>
    <author>P Kahng</author>
    <author>Baglione, Gregory  (Research)</author>
    <author>solejay</author>
    <author>kgreenbe</author>
    <author>Cf52662</author>
    <author>MB33100</author>
  </authors>
  <commentList>
    <comment ref="AF4" authorId="0">
      <text>
        <r>
          <rPr>
            <b/>
            <sz val="8"/>
            <color indexed="81"/>
            <rFont val="Tahoma"/>
            <family val="2"/>
          </rPr>
          <t>dliu:</t>
        </r>
        <r>
          <rPr>
            <sz val="8"/>
            <color indexed="81"/>
            <rFont val="Tahoma"/>
            <family val="2"/>
          </rPr>
          <t xml:space="preserve">
calendar (i.e. NOT adjusted like week for like week)</t>
        </r>
      </text>
    </comment>
    <comment ref="DE7" authorId="1">
      <text>
        <r>
          <rPr>
            <b/>
            <sz val="9"/>
            <color indexed="81"/>
            <rFont val="Tahoma"/>
            <family val="2"/>
          </rPr>
          <t>casselau:</t>
        </r>
        <r>
          <rPr>
            <sz val="9"/>
            <color indexed="81"/>
            <rFont val="Tahoma"/>
            <family val="2"/>
          </rPr>
          <t xml:space="preserve">
includes Direct
</t>
        </r>
      </text>
    </comment>
    <comment ref="DJ7" authorId="1">
      <text>
        <r>
          <rPr>
            <b/>
            <sz val="9"/>
            <color indexed="81"/>
            <rFont val="Tahoma"/>
            <family val="2"/>
          </rPr>
          <t>casselau:</t>
        </r>
        <r>
          <rPr>
            <sz val="9"/>
            <color indexed="81"/>
            <rFont val="Tahoma"/>
            <family val="2"/>
          </rPr>
          <t xml:space="preserve">
includes Direct
</t>
        </r>
      </text>
    </comment>
    <comment ref="DP7" authorId="1">
      <text>
        <r>
          <rPr>
            <b/>
            <sz val="9"/>
            <color indexed="81"/>
            <rFont val="Tahoma"/>
            <family val="2"/>
          </rPr>
          <t>casselau:</t>
        </r>
        <r>
          <rPr>
            <sz val="9"/>
            <color indexed="81"/>
            <rFont val="Tahoma"/>
            <family val="2"/>
          </rPr>
          <t xml:space="preserve">
includes Direct
</t>
        </r>
      </text>
    </comment>
    <comment ref="DV7" authorId="1">
      <text>
        <r>
          <rPr>
            <b/>
            <sz val="9"/>
            <color indexed="81"/>
            <rFont val="Tahoma"/>
            <family val="2"/>
          </rPr>
          <t>casselau:</t>
        </r>
        <r>
          <rPr>
            <sz val="9"/>
            <color indexed="81"/>
            <rFont val="Tahoma"/>
            <family val="2"/>
          </rPr>
          <t xml:space="preserve">
includes Direct
</t>
        </r>
      </text>
    </comment>
    <comment ref="BL11" authorId="0">
      <text>
        <r>
          <rPr>
            <b/>
            <sz val="8"/>
            <color indexed="81"/>
            <rFont val="Tahoma"/>
            <family val="2"/>
          </rPr>
          <t>dliu:</t>
        </r>
        <r>
          <rPr>
            <sz val="8"/>
            <color indexed="81"/>
            <rFont val="Tahoma"/>
            <family val="2"/>
          </rPr>
          <t xml:space="preserve">
8</t>
        </r>
      </text>
    </comment>
    <comment ref="BP11" authorId="2">
      <text>
        <r>
          <rPr>
            <b/>
            <sz val="8"/>
            <color indexed="81"/>
            <rFont val="Tahoma"/>
            <family val="2"/>
          </rPr>
          <t>Corinna Freedman:</t>
        </r>
        <r>
          <rPr>
            <sz val="8"/>
            <color indexed="81"/>
            <rFont val="Tahoma"/>
            <family val="2"/>
          </rPr>
          <t xml:space="preserve">
3</t>
        </r>
      </text>
    </comment>
    <comment ref="BT11" authorId="3">
      <text>
        <r>
          <rPr>
            <b/>
            <sz val="8"/>
            <color indexed="81"/>
            <rFont val="Tahoma"/>
            <family val="2"/>
          </rPr>
          <t>mm98285:</t>
        </r>
        <r>
          <rPr>
            <sz val="8"/>
            <color indexed="81"/>
            <rFont val="Tahoma"/>
            <family val="2"/>
          </rPr>
          <t xml:space="preserve">
4% est</t>
        </r>
      </text>
    </comment>
    <comment ref="BX11" authorId="3">
      <text>
        <r>
          <rPr>
            <b/>
            <sz val="8"/>
            <color indexed="81"/>
            <rFont val="Tahoma"/>
            <family val="2"/>
          </rPr>
          <t>mm98285:</t>
        </r>
        <r>
          <rPr>
            <sz val="8"/>
            <color indexed="81"/>
            <rFont val="Tahoma"/>
            <family val="2"/>
          </rPr>
          <t xml:space="preserve">
+4%
2/07: expect +LDD</t>
        </r>
      </text>
    </comment>
    <comment ref="CB11" authorId="3">
      <text>
        <r>
          <rPr>
            <b/>
            <sz val="8"/>
            <color indexed="81"/>
            <rFont val="Tahoma"/>
            <family val="2"/>
          </rPr>
          <t>mm98285:</t>
        </r>
        <r>
          <rPr>
            <sz val="8"/>
            <color indexed="81"/>
            <rFont val="Tahoma"/>
            <family val="2"/>
          </rPr>
          <t xml:space="preserve">
-11% est</t>
        </r>
      </text>
    </comment>
    <comment ref="CF11" authorId="3">
      <text>
        <r>
          <rPr>
            <b/>
            <sz val="8"/>
            <color indexed="81"/>
            <rFont val="Tahoma"/>
            <family val="2"/>
          </rPr>
          <t>mm98285:</t>
        </r>
        <r>
          <rPr>
            <sz val="8"/>
            <color indexed="81"/>
            <rFont val="Tahoma"/>
            <family val="2"/>
          </rPr>
          <t xml:space="preserve">
-7% est. 
2/26/09: tracking -M-HSD
2/09: guide to total company -Mteens</t>
        </r>
      </text>
    </comment>
    <comment ref="CJ11" authorId="3">
      <text>
        <r>
          <rPr>
            <b/>
            <sz val="8"/>
            <color indexed="81"/>
            <rFont val="Tahoma"/>
            <family val="2"/>
          </rPr>
          <t>mm98285:</t>
        </r>
        <r>
          <rPr>
            <sz val="8"/>
            <color indexed="81"/>
            <rFont val="Tahoma"/>
            <family val="2"/>
          </rPr>
          <t xml:space="preserve">
+8% est. </t>
        </r>
      </text>
    </comment>
    <comment ref="CN11" authorId="4">
      <text>
        <r>
          <rPr>
            <b/>
            <sz val="8"/>
            <color indexed="81"/>
            <rFont val="Tahoma"/>
            <family val="2"/>
          </rPr>
          <t>nicholjs:</t>
        </r>
        <r>
          <rPr>
            <sz val="8"/>
            <color indexed="81"/>
            <rFont val="Tahoma"/>
            <family val="2"/>
          </rPr>
          <t xml:space="preserve">
est +9%
2/2011: expect +3-4%</t>
        </r>
      </text>
    </comment>
    <comment ref="CR11" authorId="5">
      <text>
        <r>
          <rPr>
            <b/>
            <sz val="8"/>
            <color indexed="81"/>
            <rFont val="Tahoma"/>
            <family val="2"/>
          </rPr>
          <t>kahng:</t>
        </r>
        <r>
          <rPr>
            <sz val="8"/>
            <color indexed="81"/>
            <rFont val="Tahoma"/>
            <family val="2"/>
          </rPr>
          <t xml:space="preserve">
Mse 9%</t>
        </r>
      </text>
    </comment>
    <comment ref="DI11" authorId="1">
      <text>
        <r>
          <rPr>
            <b/>
            <sz val="9"/>
            <color indexed="81"/>
            <rFont val="Tahoma"/>
            <family val="2"/>
          </rPr>
          <t xml:space="preserve">casselau:
</t>
        </r>
        <r>
          <rPr>
            <sz val="9"/>
            <color indexed="81"/>
            <rFont val="Tahoma"/>
            <family val="2"/>
          </rPr>
          <t xml:space="preserve">2/25/16: To be clear, the store-only comp is expected to be up mid single digits at both Victoria's Secret and Bath &amp; Body Works. </t>
        </r>
      </text>
    </comment>
    <comment ref="DP11" authorId="6">
      <text>
        <r>
          <rPr>
            <b/>
            <sz val="9"/>
            <color indexed="81"/>
            <rFont val="Tahoma"/>
            <family val="2"/>
          </rPr>
          <t xml:space="preserve">Cassel, Lauren (Research):
3/2/17: go forward categories -8%
2/22/17: expect to report a ~20% decline at VS; swim and apparel negatively impacting comp by -8%
</t>
        </r>
        <r>
          <rPr>
            <sz val="9"/>
            <color indexed="81"/>
            <rFont val="Tahoma"/>
            <family val="2"/>
          </rPr>
          <t xml:space="preserve">
2/2/17: Planning -MSD February comp, which includes a negative –MSD impact from the exit of swim and apparel at VS</t>
        </r>
      </text>
    </comment>
    <comment ref="DV11" authorId="6">
      <text>
        <r>
          <rPr>
            <b/>
            <sz val="9"/>
            <color indexed="81"/>
            <rFont val="Tahoma"/>
            <family val="2"/>
          </rPr>
          <t>Cassel, Lauren (Research):</t>
        </r>
        <r>
          <rPr>
            <sz val="9"/>
            <color indexed="81"/>
            <rFont val="Tahoma"/>
            <family val="2"/>
          </rPr>
          <t xml:space="preserve">
2/28/18: We expect to report a low-single digit increase at Victoria’s
Secret </t>
        </r>
      </text>
    </comment>
    <comment ref="BL12" authorId="0">
      <text>
        <r>
          <rPr>
            <b/>
            <sz val="8"/>
            <color indexed="81"/>
            <rFont val="Tahoma"/>
            <family val="2"/>
          </rPr>
          <t>dliu:</t>
        </r>
        <r>
          <rPr>
            <sz val="8"/>
            <color indexed="81"/>
            <rFont val="Tahoma"/>
            <family val="2"/>
          </rPr>
          <t xml:space="preserve">
15</t>
        </r>
      </text>
    </comment>
    <comment ref="BP12" authorId="2">
      <text>
        <r>
          <rPr>
            <b/>
            <sz val="8"/>
            <color indexed="81"/>
            <rFont val="Tahoma"/>
            <family val="2"/>
          </rPr>
          <t>Corinna Freedman:</t>
        </r>
        <r>
          <rPr>
            <sz val="8"/>
            <color indexed="81"/>
            <rFont val="Tahoma"/>
            <family val="2"/>
          </rPr>
          <t xml:space="preserve">
flat</t>
        </r>
      </text>
    </comment>
    <comment ref="BT12" authorId="3">
      <text>
        <r>
          <rPr>
            <b/>
            <sz val="8"/>
            <color indexed="81"/>
            <rFont val="Tahoma"/>
            <family val="2"/>
          </rPr>
          <t>mm98285:</t>
        </r>
        <r>
          <rPr>
            <sz val="8"/>
            <color indexed="81"/>
            <rFont val="Tahoma"/>
            <family val="2"/>
          </rPr>
          <t xml:space="preserve">
1.0% est</t>
        </r>
      </text>
    </comment>
    <comment ref="BX12" authorId="3">
      <text>
        <r>
          <rPr>
            <b/>
            <sz val="8"/>
            <color indexed="81"/>
            <rFont val="Tahoma"/>
            <family val="2"/>
          </rPr>
          <t>mm98285:</t>
        </r>
        <r>
          <rPr>
            <sz val="8"/>
            <color indexed="81"/>
            <rFont val="Tahoma"/>
            <family val="2"/>
          </rPr>
          <t xml:space="preserve">
+5% est.
3/07: guided to +HSD</t>
        </r>
      </text>
    </comment>
    <comment ref="CB12" authorId="3">
      <text>
        <r>
          <rPr>
            <b/>
            <sz val="8"/>
            <color indexed="81"/>
            <rFont val="Tahoma"/>
            <family val="2"/>
          </rPr>
          <t>mm98285:</t>
        </r>
        <r>
          <rPr>
            <sz val="8"/>
            <color indexed="81"/>
            <rFont val="Tahoma"/>
            <family val="2"/>
          </rPr>
          <t xml:space="preserve">
-10% est.
bra launch shifted to March from Feb</t>
        </r>
      </text>
    </comment>
    <comment ref="CF12" authorId="3">
      <text>
        <r>
          <rPr>
            <b/>
            <sz val="8"/>
            <color indexed="81"/>
            <rFont val="Tahoma"/>
            <family val="2"/>
          </rPr>
          <t>mm98285:</t>
        </r>
        <r>
          <rPr>
            <sz val="8"/>
            <color indexed="81"/>
            <rFont val="Tahoma"/>
            <family val="2"/>
          </rPr>
          <t xml:space="preserve">
-12% est. </t>
        </r>
      </text>
    </comment>
    <comment ref="CJ12" authorId="7">
      <text>
        <r>
          <rPr>
            <b/>
            <sz val="8"/>
            <color indexed="81"/>
            <rFont val="Tahoma"/>
            <family val="2"/>
          </rPr>
          <t>ns66486:</t>
        </r>
        <r>
          <rPr>
            <sz val="8"/>
            <color indexed="81"/>
            <rFont val="Tahoma"/>
            <family val="2"/>
          </rPr>
          <t xml:space="preserve">
est +5%</t>
        </r>
      </text>
    </comment>
    <comment ref="CN12" authorId="4">
      <text>
        <r>
          <rPr>
            <b/>
            <sz val="8"/>
            <color indexed="81"/>
            <rFont val="Tahoma"/>
            <family val="2"/>
          </rPr>
          <t>nicholjs:</t>
        </r>
        <r>
          <rPr>
            <sz val="8"/>
            <color indexed="81"/>
            <rFont val="Tahoma"/>
            <family val="2"/>
          </rPr>
          <t xml:space="preserve">
we est. flat
3/2011: likely flat </t>
        </r>
      </text>
    </comment>
    <comment ref="CR12" authorId="8">
      <text>
        <r>
          <rPr>
            <b/>
            <sz val="8"/>
            <color indexed="81"/>
            <rFont val="Tahoma"/>
            <family val="2"/>
          </rPr>
          <t>kimberlg:</t>
        </r>
        <r>
          <rPr>
            <sz val="8"/>
            <color indexed="81"/>
            <rFont val="Tahoma"/>
            <family val="2"/>
          </rPr>
          <t xml:space="preserve">
Easter moves from April 24, 2011 to April 8, 2012 so 2 week build prior to Easter benefits March week 5 and April week 1 but hurts April week 2 and 3</t>
        </r>
      </text>
    </comment>
    <comment ref="DI12" authorId="1">
      <text>
        <r>
          <rPr>
            <b/>
            <sz val="9"/>
            <color indexed="81"/>
            <rFont val="Tahoma"/>
            <family val="2"/>
          </rPr>
          <t>casselau:</t>
        </r>
        <r>
          <rPr>
            <sz val="9"/>
            <color indexed="81"/>
            <rFont val="Tahoma"/>
            <family val="2"/>
          </rPr>
          <t xml:space="preserve">
2/25/16: The earlier Easter this year will negatively impact March comps and positively impact April</t>
        </r>
      </text>
    </comment>
    <comment ref="DP12" authorId="6">
      <text>
        <r>
          <rPr>
            <b/>
            <sz val="9"/>
            <color indexed="81"/>
            <rFont val="Tahoma"/>
            <family val="2"/>
          </rPr>
          <t>Cassel, Lauren (Research):</t>
        </r>
        <r>
          <rPr>
            <sz val="9"/>
            <color indexed="81"/>
            <rFont val="Tahoma"/>
            <family val="2"/>
          </rPr>
          <t xml:space="preserve">
4/6/17: Comparable sales excluding non-go-forward categories were -3%, as growth in the PINK business was offset by challenging traffic levels. The negative impact of exiting swim and apparel was about -10%. Additionally the later Easter negatively impacted comps by about -1%.   = underlying business -2%</t>
        </r>
      </text>
    </comment>
    <comment ref="DV12" authorId="6">
      <text>
        <r>
          <rPr>
            <b/>
            <sz val="9"/>
            <color indexed="81"/>
            <rFont val="Tahoma"/>
            <family val="2"/>
          </rPr>
          <t xml:space="preserve">Cassel, Lauren (Research):
4/12/18: Earlier Easter benefitted VS by 2%
</t>
        </r>
        <r>
          <rPr>
            <sz val="9"/>
            <color indexed="81"/>
            <rFont val="Tahoma"/>
            <family val="2"/>
          </rPr>
          <t xml:space="preserve">
3/8/18: Expect earlier Easter to benefit march comps +1-2%</t>
        </r>
      </text>
    </comment>
    <comment ref="BL13" authorId="0">
      <text>
        <r>
          <rPr>
            <b/>
            <sz val="8"/>
            <color indexed="81"/>
            <rFont val="Tahoma"/>
            <family val="2"/>
          </rPr>
          <t>dliu:</t>
        </r>
        <r>
          <rPr>
            <sz val="8"/>
            <color indexed="81"/>
            <rFont val="Tahoma"/>
            <family val="2"/>
          </rPr>
          <t xml:space="preserve">
10</t>
        </r>
      </text>
    </comment>
    <comment ref="BP13" authorId="2">
      <text>
        <r>
          <rPr>
            <b/>
            <sz val="8"/>
            <color indexed="81"/>
            <rFont val="Tahoma"/>
            <family val="2"/>
          </rPr>
          <t>Corinna Freedman:</t>
        </r>
        <r>
          <rPr>
            <sz val="8"/>
            <color indexed="81"/>
            <rFont val="Tahoma"/>
            <family val="2"/>
          </rPr>
          <t xml:space="preserve">
5</t>
        </r>
      </text>
    </comment>
    <comment ref="BT13" authorId="3">
      <text>
        <r>
          <rPr>
            <b/>
            <sz val="8"/>
            <color indexed="81"/>
            <rFont val="Tahoma"/>
            <family val="2"/>
          </rPr>
          <t>mm98285:</t>
        </r>
        <r>
          <rPr>
            <sz val="8"/>
            <color indexed="81"/>
            <rFont val="Tahoma"/>
            <family val="2"/>
          </rPr>
          <t xml:space="preserve">
+7.0% est.</t>
        </r>
      </text>
    </comment>
    <comment ref="BX13" authorId="3">
      <text>
        <r>
          <rPr>
            <b/>
            <sz val="8"/>
            <color indexed="81"/>
            <rFont val="Tahoma"/>
            <family val="2"/>
          </rPr>
          <t>mm98285:</t>
        </r>
        <r>
          <rPr>
            <sz val="8"/>
            <color indexed="81"/>
            <rFont val="Tahoma"/>
            <family val="2"/>
          </rPr>
          <t xml:space="preserve">
flat</t>
        </r>
      </text>
    </comment>
    <comment ref="CB13" authorId="3">
      <text>
        <r>
          <rPr>
            <b/>
            <sz val="8"/>
            <color indexed="81"/>
            <rFont val="Tahoma"/>
            <family val="2"/>
          </rPr>
          <t>mm98285:</t>
        </r>
        <r>
          <rPr>
            <sz val="8"/>
            <color indexed="81"/>
            <rFont val="Tahoma"/>
            <family val="2"/>
          </rPr>
          <t xml:space="preserve">
-1% est</t>
        </r>
      </text>
    </comment>
    <comment ref="CF13" authorId="3">
      <text>
        <r>
          <rPr>
            <b/>
            <sz val="8"/>
            <color indexed="81"/>
            <rFont val="Tahoma"/>
            <family val="2"/>
          </rPr>
          <t>mm98285:</t>
        </r>
        <r>
          <rPr>
            <sz val="8"/>
            <color indexed="81"/>
            <rFont val="Tahoma"/>
            <family val="2"/>
          </rPr>
          <t xml:space="preserve">
-6% est. </t>
        </r>
      </text>
    </comment>
    <comment ref="CJ13" authorId="7">
      <text>
        <r>
          <rPr>
            <b/>
            <sz val="8"/>
            <color indexed="81"/>
            <rFont val="Tahoma"/>
            <family val="2"/>
          </rPr>
          <t>ns66486:</t>
        </r>
        <r>
          <rPr>
            <sz val="8"/>
            <color indexed="81"/>
            <rFont val="Tahoma"/>
            <family val="2"/>
          </rPr>
          <t xml:space="preserve">
we est. +2%</t>
        </r>
      </text>
    </comment>
    <comment ref="CN13" authorId="4">
      <text>
        <r>
          <rPr>
            <b/>
            <sz val="8"/>
            <color indexed="81"/>
            <rFont val="Tahoma"/>
            <family val="2"/>
          </rPr>
          <t>nicholjs:</t>
        </r>
        <r>
          <rPr>
            <sz val="8"/>
            <color indexed="81"/>
            <rFont val="Tahoma"/>
            <family val="2"/>
          </rPr>
          <t xml:space="preserve">
we est +11%</t>
        </r>
      </text>
    </comment>
    <comment ref="CR13" authorId="8">
      <text>
        <r>
          <rPr>
            <b/>
            <sz val="8"/>
            <color indexed="81"/>
            <rFont val="Tahoma"/>
            <family val="2"/>
          </rPr>
          <t xml:space="preserve">5/3/12: </t>
        </r>
        <r>
          <rPr>
            <sz val="8"/>
            <color indexed="81"/>
            <rFont val="Tahoma"/>
            <family val="2"/>
          </rPr>
          <t>was 2%</t>
        </r>
        <r>
          <rPr>
            <b/>
            <sz val="8"/>
            <color indexed="81"/>
            <rFont val="Tahoma"/>
            <family val="2"/>
          </rPr>
          <t xml:space="preserve">
kimberlg:</t>
        </r>
        <r>
          <rPr>
            <sz val="8"/>
            <color indexed="81"/>
            <rFont val="Tahoma"/>
            <family val="2"/>
          </rPr>
          <t xml:space="preserve">
Easter moves from April 24, 2011 to April 8, 2012 so 2 week build prior to Easter benefits March week 5 and April week 1 but hurts April week 2 and 3</t>
        </r>
      </text>
    </comment>
    <comment ref="DI13" authorId="1">
      <text>
        <r>
          <rPr>
            <b/>
            <sz val="9"/>
            <color indexed="81"/>
            <rFont val="Tahoma"/>
            <family val="2"/>
          </rPr>
          <t>casselau:</t>
        </r>
        <r>
          <rPr>
            <sz val="9"/>
            <color indexed="81"/>
            <rFont val="Tahoma"/>
            <family val="2"/>
          </rPr>
          <t xml:space="preserve">
2/25/16: The earlier Easter this year will negatively impact March comps and positively impact April</t>
        </r>
      </text>
    </comment>
    <comment ref="DP13" authorId="6">
      <text>
        <r>
          <rPr>
            <b/>
            <sz val="9"/>
            <color indexed="81"/>
            <rFont val="Tahoma"/>
            <family val="2"/>
          </rPr>
          <t>Cassel, Lauren (Research):
5/4/17: Easter shift benefitted VS by +2%; exit of swim and apparel -10%; underlying run rate = -4%; anniversaried Secret Rewards redemption; PINK +HSD comp</t>
        </r>
        <r>
          <rPr>
            <sz val="9"/>
            <color indexed="81"/>
            <rFont val="Tahoma"/>
            <family val="2"/>
          </rPr>
          <t xml:space="preserve">
4/6/17: exited categories will have a ~-10% impact; Easter will add +1%</t>
        </r>
      </text>
    </comment>
    <comment ref="DV13" authorId="6">
      <text>
        <r>
          <rPr>
            <b/>
            <sz val="9"/>
            <color indexed="81"/>
            <rFont val="Tahoma"/>
            <family val="2"/>
          </rPr>
          <t>Cassel, Lauren (Research):</t>
        </r>
        <r>
          <rPr>
            <sz val="9"/>
            <color indexed="81"/>
            <rFont val="Tahoma"/>
            <family val="2"/>
          </rPr>
          <t xml:space="preserve">
4/12/18: Expect the earlier Easter to negatively impact Easter comps by 2-3%</t>
        </r>
      </text>
    </comment>
    <comment ref="BL14" authorId="0">
      <text>
        <r>
          <rPr>
            <b/>
            <sz val="8"/>
            <color indexed="81"/>
            <rFont val="Tahoma"/>
            <family val="2"/>
          </rPr>
          <t>dliu:</t>
        </r>
        <r>
          <rPr>
            <sz val="8"/>
            <color indexed="81"/>
            <rFont val="Tahoma"/>
            <family val="2"/>
          </rPr>
          <t xml:space="preserve">
3.6, 9.7</t>
        </r>
      </text>
    </comment>
    <comment ref="DP14" authorId="6">
      <text>
        <r>
          <rPr>
            <b/>
            <sz val="9"/>
            <color indexed="81"/>
            <rFont val="Tahoma"/>
            <family val="2"/>
          </rPr>
          <t>Cassel, Lauren (Research):</t>
        </r>
        <r>
          <rPr>
            <sz val="9"/>
            <color indexed="81"/>
            <rFont val="Tahoma"/>
            <family val="2"/>
          </rPr>
          <t xml:space="preserve">
5/4/17: exited categories = -9% 1Q headwind; underlying -5%</t>
        </r>
      </text>
    </comment>
    <comment ref="BL16" authorId="2">
      <text>
        <r>
          <rPr>
            <b/>
            <sz val="8"/>
            <color indexed="81"/>
            <rFont val="Tahoma"/>
            <family val="2"/>
          </rPr>
          <t>Corinna Freedman:</t>
        </r>
        <r>
          <rPr>
            <sz val="8"/>
            <color indexed="81"/>
            <rFont val="Tahoma"/>
            <family val="2"/>
          </rPr>
          <t xml:space="preserve">
8</t>
        </r>
      </text>
    </comment>
    <comment ref="BP16" authorId="2">
      <text>
        <r>
          <rPr>
            <b/>
            <sz val="8"/>
            <color indexed="81"/>
            <rFont val="Tahoma"/>
            <family val="2"/>
          </rPr>
          <t>Corinna Freedman:</t>
        </r>
        <r>
          <rPr>
            <sz val="8"/>
            <color indexed="81"/>
            <rFont val="Tahoma"/>
            <family val="2"/>
          </rPr>
          <t xml:space="preserve">
-2</t>
        </r>
      </text>
    </comment>
    <comment ref="BT16" authorId="3">
      <text>
        <r>
          <rPr>
            <b/>
            <sz val="8"/>
            <color indexed="81"/>
            <rFont val="Tahoma"/>
            <family val="2"/>
          </rPr>
          <t>mm98285:</t>
        </r>
        <r>
          <rPr>
            <sz val="8"/>
            <color indexed="81"/>
            <rFont val="Tahoma"/>
            <family val="2"/>
          </rPr>
          <t xml:space="preserve">
8.0% comp est.</t>
        </r>
      </text>
    </comment>
    <comment ref="BX16" authorId="3">
      <text>
        <r>
          <rPr>
            <b/>
            <sz val="8"/>
            <color indexed="81"/>
            <rFont val="Tahoma"/>
            <family val="2"/>
          </rPr>
          <t>mm98285:</t>
        </r>
        <r>
          <rPr>
            <sz val="8"/>
            <color indexed="81"/>
            <rFont val="Tahoma"/>
            <family val="2"/>
          </rPr>
          <t xml:space="preserve">
-6% est</t>
        </r>
      </text>
    </comment>
    <comment ref="CB16" authorId="3">
      <text>
        <r>
          <rPr>
            <b/>
            <sz val="8"/>
            <color indexed="81"/>
            <rFont val="Tahoma"/>
            <family val="2"/>
          </rPr>
          <t>mm98285:</t>
        </r>
        <r>
          <rPr>
            <sz val="8"/>
            <color indexed="81"/>
            <rFont val="Tahoma"/>
            <family val="2"/>
          </rPr>
          <t xml:space="preserve">
-5% est.</t>
        </r>
      </text>
    </comment>
    <comment ref="CF16" authorId="3">
      <text>
        <r>
          <rPr>
            <b/>
            <sz val="8"/>
            <color indexed="81"/>
            <rFont val="Tahoma"/>
            <family val="2"/>
          </rPr>
          <t>mm98285:</t>
        </r>
        <r>
          <rPr>
            <sz val="8"/>
            <color indexed="81"/>
            <rFont val="Tahoma"/>
            <family val="2"/>
          </rPr>
          <t xml:space="preserve">
-7% est.</t>
        </r>
      </text>
    </comment>
    <comment ref="CJ16" authorId="9">
      <text>
        <r>
          <rPr>
            <b/>
            <sz val="8"/>
            <color indexed="81"/>
            <rFont val="Tahoma"/>
            <family val="2"/>
          </rPr>
          <t>NS66486:</t>
        </r>
        <r>
          <rPr>
            <sz val="8"/>
            <color indexed="81"/>
            <rFont val="Tahoma"/>
            <family val="2"/>
          </rPr>
          <t xml:space="preserve">
we est. +3%</t>
        </r>
      </text>
    </comment>
    <comment ref="CN16" authorId="4">
      <text>
        <r>
          <rPr>
            <b/>
            <sz val="8"/>
            <color indexed="81"/>
            <rFont val="Tahoma"/>
            <family val="2"/>
          </rPr>
          <t>nicholjs:</t>
        </r>
        <r>
          <rPr>
            <sz val="8"/>
            <color indexed="81"/>
            <rFont val="Tahoma"/>
            <family val="2"/>
          </rPr>
          <t xml:space="preserve">
we est +11%</t>
        </r>
      </text>
    </comment>
    <comment ref="DJ16" authorId="6">
      <text>
        <r>
          <rPr>
            <b/>
            <sz val="9"/>
            <color indexed="81"/>
            <rFont val="Tahoma"/>
            <family val="2"/>
          </rPr>
          <t>Cassel, Lauren (Research):</t>
        </r>
        <r>
          <rPr>
            <sz val="9"/>
            <color indexed="81"/>
            <rFont val="Tahoma"/>
            <family val="2"/>
          </rPr>
          <t xml:space="preserve">
5/18/16: guidance VS -MSD</t>
        </r>
      </text>
    </comment>
    <comment ref="DP16" authorId="6">
      <text>
        <r>
          <rPr>
            <b/>
            <sz val="9"/>
            <color indexed="81"/>
            <rFont val="Tahoma"/>
            <family val="2"/>
          </rPr>
          <t xml:space="preserve">Cassel, Lauren (Research):
6/1/17: -14% headwind from non go forward = flat underlying 
</t>
        </r>
        <r>
          <rPr>
            <sz val="9"/>
            <color indexed="81"/>
            <rFont val="Tahoma"/>
            <family val="2"/>
          </rPr>
          <t>5/4/17: non go forward impact is -mid-teens%</t>
        </r>
      </text>
    </comment>
    <comment ref="BH17" authorId="0">
      <text>
        <r>
          <rPr>
            <b/>
            <sz val="8"/>
            <color indexed="81"/>
            <rFont val="Tahoma"/>
            <family val="2"/>
          </rPr>
          <t>dliu:</t>
        </r>
        <r>
          <rPr>
            <sz val="8"/>
            <color indexed="81"/>
            <rFont val="Tahoma"/>
            <family val="2"/>
          </rPr>
          <t xml:space="preserve">
introducing new prestige fragrance, breathless</t>
        </r>
      </text>
    </comment>
    <comment ref="BL17" authorId="2">
      <text>
        <r>
          <rPr>
            <b/>
            <sz val="8"/>
            <color indexed="81"/>
            <rFont val="Tahoma"/>
            <family val="2"/>
          </rPr>
          <t>Corinna Freedman:</t>
        </r>
        <r>
          <rPr>
            <sz val="8"/>
            <color indexed="81"/>
            <rFont val="Tahoma"/>
            <family val="2"/>
          </rPr>
          <t xml:space="preserve">
5</t>
        </r>
      </text>
    </comment>
    <comment ref="BP17" authorId="2">
      <text>
        <r>
          <rPr>
            <b/>
            <sz val="8"/>
            <color indexed="81"/>
            <rFont val="Tahoma"/>
            <family val="2"/>
          </rPr>
          <t>Corinna Freedman:</t>
        </r>
        <r>
          <rPr>
            <sz val="8"/>
            <color indexed="81"/>
            <rFont val="Tahoma"/>
            <family val="2"/>
          </rPr>
          <t xml:space="preserve">
1</t>
        </r>
      </text>
    </comment>
    <comment ref="BT17" authorId="3">
      <text>
        <r>
          <rPr>
            <b/>
            <sz val="8"/>
            <color indexed="81"/>
            <rFont val="Tahoma"/>
            <family val="2"/>
          </rPr>
          <t>mm98285:</t>
        </r>
        <r>
          <rPr>
            <sz val="8"/>
            <color indexed="81"/>
            <rFont val="Tahoma"/>
            <family val="2"/>
          </rPr>
          <t xml:space="preserve">
+8.0% comp est.</t>
        </r>
      </text>
    </comment>
    <comment ref="BX17" authorId="3">
      <text>
        <r>
          <rPr>
            <b/>
            <sz val="8"/>
            <color indexed="81"/>
            <rFont val="Tahoma"/>
            <family val="2"/>
          </rPr>
          <t>mm98285:</t>
        </r>
        <r>
          <rPr>
            <sz val="8"/>
            <color indexed="81"/>
            <rFont val="Tahoma"/>
            <family val="2"/>
          </rPr>
          <t xml:space="preserve">
expect 5%</t>
        </r>
      </text>
    </comment>
    <comment ref="CB17" authorId="3">
      <text>
        <r>
          <rPr>
            <b/>
            <sz val="8"/>
            <color indexed="81"/>
            <rFont val="Tahoma"/>
            <family val="2"/>
          </rPr>
          <t>mm98285:</t>
        </r>
        <r>
          <rPr>
            <sz val="8"/>
            <color indexed="81"/>
            <rFont val="Tahoma"/>
            <family val="2"/>
          </rPr>
          <t xml:space="preserve">
-6% est.</t>
        </r>
      </text>
    </comment>
    <comment ref="CF17" authorId="3">
      <text>
        <r>
          <rPr>
            <b/>
            <sz val="8"/>
            <color indexed="81"/>
            <rFont val="Tahoma"/>
            <family val="2"/>
          </rPr>
          <t>mm98285:</t>
        </r>
        <r>
          <rPr>
            <sz val="8"/>
            <color indexed="81"/>
            <rFont val="Tahoma"/>
            <family val="2"/>
          </rPr>
          <t xml:space="preserve">
-10% est. </t>
        </r>
      </text>
    </comment>
    <comment ref="CJ17" authorId="9">
      <text>
        <r>
          <rPr>
            <b/>
            <sz val="8"/>
            <color indexed="81"/>
            <rFont val="Tahoma"/>
            <family val="2"/>
          </rPr>
          <t>NS66486:</t>
        </r>
        <r>
          <rPr>
            <sz val="8"/>
            <color indexed="81"/>
            <rFont val="Tahoma"/>
            <family val="2"/>
          </rPr>
          <t xml:space="preserve">
6/10: 5-6% okay
we est. +6%</t>
        </r>
      </text>
    </comment>
    <comment ref="CN17" authorId="4">
      <text>
        <r>
          <rPr>
            <b/>
            <sz val="8"/>
            <color indexed="81"/>
            <rFont val="Tahoma"/>
            <family val="2"/>
          </rPr>
          <t>nicholjs:</t>
        </r>
        <r>
          <rPr>
            <sz val="8"/>
            <color indexed="81"/>
            <rFont val="Tahoma"/>
            <family val="2"/>
          </rPr>
          <t xml:space="preserve">
we est. +4%
6/2011: June selling activity will focus on highly anticipated Semi-Annual sale, which starts in the middle of the month and is planned to run for the same duration as LY
</t>
        </r>
      </text>
    </comment>
    <comment ref="DD17" authorId="1">
      <text>
        <r>
          <rPr>
            <b/>
            <sz val="9"/>
            <color indexed="81"/>
            <rFont val="Tahoma"/>
            <family val="2"/>
          </rPr>
          <t>casselau:</t>
        </r>
        <r>
          <rPr>
            <sz val="9"/>
            <color indexed="81"/>
            <rFont val="Tahoma"/>
            <family val="2"/>
          </rPr>
          <t xml:space="preserve">
7/9/15: Total comps were negatively impacted by about 3% from the exit and clearance of make up last year. </t>
        </r>
      </text>
    </comment>
    <comment ref="DI17" authorId="1">
      <text>
        <r>
          <rPr>
            <b/>
            <sz val="9"/>
            <color indexed="81"/>
            <rFont val="Tahoma"/>
            <family val="2"/>
          </rPr>
          <t xml:space="preserve">casselau:
June less of a coupon month given semi-anunal sale - less of an impact from elimination of promo activity </t>
        </r>
        <r>
          <rPr>
            <sz val="9"/>
            <color indexed="81"/>
            <rFont val="Tahoma"/>
            <family val="2"/>
          </rPr>
          <t xml:space="preserve">
7/9/15: Total comps were negatively impacted by about 3% from the exit and clearance of make up last year. </t>
        </r>
      </text>
    </comment>
    <comment ref="DP17" authorId="6">
      <text>
        <r>
          <rPr>
            <b/>
            <sz val="9"/>
            <color indexed="81"/>
            <rFont val="Tahoma"/>
            <family val="2"/>
          </rPr>
          <t xml:space="preserve">Cassel, Lauren (Research):
7/6/17: </t>
        </r>
        <r>
          <rPr>
            <sz val="9"/>
            <color indexed="81"/>
            <rFont val="Tahoma"/>
            <family val="2"/>
          </rPr>
          <t>driven by the negative impact of exiting swim and apparel of about -10% and a decline in the semi-annual sale =</t>
        </r>
        <r>
          <rPr>
            <b/>
            <sz val="9"/>
            <color indexed="81"/>
            <rFont val="Tahoma"/>
            <family val="2"/>
          </rPr>
          <t xml:space="preserve"> -7% underlying</t>
        </r>
        <r>
          <rPr>
            <sz val="9"/>
            <color indexed="81"/>
            <rFont val="Tahoma"/>
            <family val="2"/>
          </rPr>
          <t xml:space="preserve">
5/4/17: non go forward impact is -10%</t>
        </r>
      </text>
    </comment>
    <comment ref="BH18" authorId="0">
      <text>
        <r>
          <rPr>
            <b/>
            <sz val="8"/>
            <color indexed="81"/>
            <rFont val="Tahoma"/>
            <family val="2"/>
          </rPr>
          <t>dliu:</t>
        </r>
        <r>
          <rPr>
            <sz val="8"/>
            <color indexed="81"/>
            <rFont val="Tahoma"/>
            <family val="2"/>
          </rPr>
          <t xml:space="preserve">
had 2</t>
        </r>
      </text>
    </comment>
    <comment ref="BL18" authorId="2">
      <text>
        <r>
          <rPr>
            <b/>
            <sz val="8"/>
            <color indexed="81"/>
            <rFont val="Tahoma"/>
            <family val="2"/>
          </rPr>
          <t>Corinna Freedman:</t>
        </r>
        <r>
          <rPr>
            <sz val="8"/>
            <color indexed="81"/>
            <rFont val="Tahoma"/>
            <family val="2"/>
          </rPr>
          <t xml:space="preserve">
3</t>
        </r>
      </text>
    </comment>
    <comment ref="BP18" authorId="2">
      <text>
        <r>
          <rPr>
            <b/>
            <sz val="8"/>
            <color indexed="81"/>
            <rFont val="Tahoma"/>
            <family val="2"/>
          </rPr>
          <t>Corinna Freedman:</t>
        </r>
        <r>
          <rPr>
            <sz val="8"/>
            <color indexed="81"/>
            <rFont val="Tahoma"/>
            <family val="2"/>
          </rPr>
          <t xml:space="preserve">
0</t>
        </r>
      </text>
    </comment>
    <comment ref="BT18" authorId="3">
      <text>
        <r>
          <rPr>
            <b/>
            <sz val="8"/>
            <color indexed="81"/>
            <rFont val="Tahoma"/>
            <family val="2"/>
          </rPr>
          <t>mm98285:</t>
        </r>
        <r>
          <rPr>
            <sz val="8"/>
            <color indexed="81"/>
            <rFont val="Tahoma"/>
            <family val="2"/>
          </rPr>
          <t xml:space="preserve">
6.0% est.</t>
        </r>
      </text>
    </comment>
    <comment ref="BX18" authorId="3">
      <text>
        <r>
          <rPr>
            <b/>
            <sz val="8"/>
            <color indexed="81"/>
            <rFont val="Tahoma"/>
            <family val="2"/>
          </rPr>
          <t>mm98285:</t>
        </r>
        <r>
          <rPr>
            <sz val="8"/>
            <color indexed="81"/>
            <rFont val="Tahoma"/>
            <family val="2"/>
          </rPr>
          <t xml:space="preserve">
-1% est.</t>
        </r>
      </text>
    </comment>
    <comment ref="CB18" authorId="3">
      <text>
        <r>
          <rPr>
            <b/>
            <sz val="8"/>
            <color indexed="81"/>
            <rFont val="Tahoma"/>
            <family val="2"/>
          </rPr>
          <t>mm98285:</t>
        </r>
        <r>
          <rPr>
            <sz val="8"/>
            <color indexed="81"/>
            <rFont val="Tahoma"/>
            <family val="2"/>
          </rPr>
          <t xml:space="preserve">
-6%</t>
        </r>
      </text>
    </comment>
    <comment ref="CF18" authorId="3">
      <text>
        <r>
          <rPr>
            <b/>
            <sz val="8"/>
            <color indexed="81"/>
            <rFont val="Tahoma"/>
            <family val="2"/>
          </rPr>
          <t>mm98285:</t>
        </r>
        <r>
          <rPr>
            <sz val="8"/>
            <color indexed="81"/>
            <rFont val="Tahoma"/>
            <family val="2"/>
          </rPr>
          <t xml:space="preserve">
-14% est. </t>
        </r>
      </text>
    </comment>
    <comment ref="CJ18" authorId="4">
      <text>
        <r>
          <rPr>
            <b/>
            <sz val="8"/>
            <color indexed="81"/>
            <rFont val="Tahoma"/>
            <family val="2"/>
          </rPr>
          <t>nicholjs:</t>
        </r>
        <r>
          <rPr>
            <sz val="8"/>
            <color indexed="81"/>
            <rFont val="Tahoma"/>
            <family val="2"/>
          </rPr>
          <t xml:space="preserve">
we est +5%</t>
        </r>
      </text>
    </comment>
    <comment ref="CN18" authorId="4">
      <text>
        <r>
          <rPr>
            <b/>
            <sz val="8"/>
            <color indexed="81"/>
            <rFont val="Tahoma"/>
            <family val="2"/>
          </rPr>
          <t>nicholjs:</t>
        </r>
        <r>
          <rPr>
            <sz val="8"/>
            <color indexed="81"/>
            <rFont val="Tahoma"/>
            <family val="2"/>
          </rPr>
          <t xml:space="preserve">
we est +7%</t>
        </r>
      </text>
    </comment>
    <comment ref="CR18" authorId="10">
      <text>
        <r>
          <rPr>
            <b/>
            <sz val="8"/>
            <color indexed="81"/>
            <rFont val="Tahoma"/>
            <family val="2"/>
          </rPr>
          <t xml:space="preserve">P Kahng:
8/2/12: </t>
        </r>
        <r>
          <rPr>
            <sz val="8"/>
            <color indexed="81"/>
            <rFont val="Tahoma"/>
            <family val="2"/>
          </rPr>
          <t>expected +5.0%</t>
        </r>
        <r>
          <rPr>
            <b/>
            <sz val="8"/>
            <color indexed="81"/>
            <rFont val="Tahoma"/>
            <family val="2"/>
          </rPr>
          <t xml:space="preserve">
7/12: </t>
        </r>
        <r>
          <rPr>
            <sz val="8"/>
            <color indexed="81"/>
            <rFont val="Tahoma"/>
            <family val="2"/>
          </rPr>
          <t>prior est +6.0%</t>
        </r>
      </text>
    </comment>
    <comment ref="DJ18" authorId="11">
      <text>
        <r>
          <rPr>
            <sz val="9"/>
            <color indexed="81"/>
            <rFont val="Tahoma"/>
            <family val="2"/>
          </rPr>
          <t xml:space="preserve">7/7/16: Amie noted comp will largely depend on how promotional company decides to be to move through excess product. VS up against significant direct mail coupon activity last year, so that is cause of the negative expectation there.  </t>
        </r>
      </text>
    </comment>
    <comment ref="DP18" authorId="6">
      <text>
        <r>
          <rPr>
            <b/>
            <sz val="9"/>
            <color indexed="81"/>
            <rFont val="Tahoma"/>
            <family val="2"/>
          </rPr>
          <t>Cassel, Lauren (Research):
8/3/17: underlying -5%</t>
        </r>
        <r>
          <rPr>
            <sz val="9"/>
            <color indexed="81"/>
            <rFont val="Tahoma"/>
            <family val="2"/>
          </rPr>
          <t xml:space="preserve">
5/4/17: non go forward impact is -5%</t>
        </r>
      </text>
    </comment>
    <comment ref="DJ19" authorId="6">
      <text>
        <r>
          <rPr>
            <b/>
            <sz val="9"/>
            <color indexed="81"/>
            <rFont val="Tahoma"/>
            <family val="2"/>
          </rPr>
          <t>Cassel, Lauren (Research):</t>
        </r>
        <r>
          <rPr>
            <sz val="9"/>
            <color indexed="81"/>
            <rFont val="Tahoma"/>
            <family val="2"/>
          </rPr>
          <t xml:space="preserve">
8/17/16: the exit of swim and apparel had about a 1-2% negative impact on sales in the quarter; Beauty -MSD comp</t>
        </r>
      </text>
    </comment>
    <comment ref="DP19" authorId="6">
      <text>
        <r>
          <rPr>
            <b/>
            <sz val="9"/>
            <color indexed="81"/>
            <rFont val="Tahoma"/>
            <family val="2"/>
          </rPr>
          <t>Cassel, Lauren (Research):</t>
        </r>
        <r>
          <rPr>
            <sz val="9"/>
            <color indexed="81"/>
            <rFont val="Tahoma"/>
            <family val="2"/>
          </rPr>
          <t xml:space="preserve">
5/17/17: -9% headwind from exited categories = -5% underlying</t>
        </r>
      </text>
    </comment>
    <comment ref="BL21" authorId="2">
      <text>
        <r>
          <rPr>
            <b/>
            <sz val="8"/>
            <color indexed="81"/>
            <rFont val="Tahoma"/>
            <family val="2"/>
          </rPr>
          <t>Corinna Freedman:</t>
        </r>
        <r>
          <rPr>
            <sz val="8"/>
            <color indexed="81"/>
            <rFont val="Tahoma"/>
            <family val="2"/>
          </rPr>
          <t xml:space="preserve">
1</t>
        </r>
      </text>
    </comment>
    <comment ref="BP21" authorId="2">
      <text>
        <r>
          <rPr>
            <b/>
            <sz val="8"/>
            <color indexed="81"/>
            <rFont val="Tahoma"/>
            <family val="2"/>
          </rPr>
          <t>Corinna Freedman:</t>
        </r>
        <r>
          <rPr>
            <sz val="8"/>
            <color indexed="81"/>
            <rFont val="Tahoma"/>
            <family val="2"/>
          </rPr>
          <t xml:space="preserve">
2e</t>
        </r>
      </text>
    </comment>
    <comment ref="BT21" authorId="3">
      <text>
        <r>
          <rPr>
            <b/>
            <sz val="8"/>
            <color indexed="81"/>
            <rFont val="Tahoma"/>
            <family val="2"/>
          </rPr>
          <t>mm98285:</t>
        </r>
        <r>
          <rPr>
            <sz val="8"/>
            <color indexed="81"/>
            <rFont val="Tahoma"/>
            <family val="2"/>
          </rPr>
          <t xml:space="preserve">
12.0% comp est.
8/06: expect +LDD</t>
        </r>
      </text>
    </comment>
    <comment ref="BX21" authorId="3">
      <text>
        <r>
          <rPr>
            <b/>
            <sz val="8"/>
            <color indexed="81"/>
            <rFont val="Tahoma"/>
            <family val="2"/>
          </rPr>
          <t>mm98285:</t>
        </r>
        <r>
          <rPr>
            <sz val="8"/>
            <color indexed="81"/>
            <rFont val="Tahoma"/>
            <family val="2"/>
          </rPr>
          <t xml:space="preserve">
1.0% est.</t>
        </r>
      </text>
    </comment>
    <comment ref="CB21" authorId="3">
      <text>
        <r>
          <rPr>
            <b/>
            <sz val="8"/>
            <color indexed="81"/>
            <rFont val="Tahoma"/>
            <family val="2"/>
          </rPr>
          <t>mm98285:</t>
        </r>
        <r>
          <rPr>
            <sz val="8"/>
            <color indexed="81"/>
            <rFont val="Tahoma"/>
            <family val="2"/>
          </rPr>
          <t xml:space="preserve">
-6% est. </t>
        </r>
      </text>
    </comment>
    <comment ref="CF21" authorId="3">
      <text>
        <r>
          <rPr>
            <b/>
            <sz val="8"/>
            <color indexed="81"/>
            <rFont val="Tahoma"/>
            <family val="2"/>
          </rPr>
          <t>mm98285:</t>
        </r>
        <r>
          <rPr>
            <sz val="8"/>
            <color indexed="81"/>
            <rFont val="Tahoma"/>
            <family val="2"/>
          </rPr>
          <t xml:space="preserve">
-7% est.</t>
        </r>
      </text>
    </comment>
    <comment ref="CJ21" authorId="4">
      <text>
        <r>
          <rPr>
            <b/>
            <sz val="8"/>
            <color indexed="81"/>
            <rFont val="Tahoma"/>
            <family val="2"/>
          </rPr>
          <t>nicholjs:</t>
        </r>
        <r>
          <rPr>
            <sz val="8"/>
            <color indexed="81"/>
            <rFont val="Tahoma"/>
            <family val="2"/>
          </rPr>
          <t xml:space="preserve">
we est. +8%</t>
        </r>
      </text>
    </comment>
    <comment ref="CN21" authorId="4">
      <text>
        <r>
          <rPr>
            <b/>
            <sz val="8"/>
            <color indexed="81"/>
            <rFont val="Tahoma"/>
            <family val="2"/>
          </rPr>
          <t>nicholjs:</t>
        </r>
        <r>
          <rPr>
            <sz val="8"/>
            <color indexed="81"/>
            <rFont val="Tahoma"/>
            <family val="2"/>
          </rPr>
          <t xml:space="preserve">
we est +11%</t>
        </r>
      </text>
    </comment>
    <comment ref="CR21" authorId="12">
      <text>
        <r>
          <rPr>
            <b/>
            <sz val="8"/>
            <color indexed="81"/>
            <rFont val="Tahoma"/>
            <family val="2"/>
          </rPr>
          <t>solejay:</t>
        </r>
        <r>
          <rPr>
            <sz val="8"/>
            <color indexed="81"/>
            <rFont val="Tahoma"/>
            <family val="2"/>
          </rPr>
          <t xml:space="preserve">
VSS comps +9% vs 16% LY, driven by strength across the assortment
August featured the launch of the Body By Victoria with lace bra coupled with the Body By Victoria fragrance as well as a focus on the PINK signature pant and the launch of the Love My Body bodycare line.
Merch marg rate increases vs. LY with merchandise margin dollars increasing as well
September will begin with the launch of our amazing bra and our Dream Angels Glow line.  September will also feature the Fabulous bra and a limited edition PINK boyfriend pant.
</t>
        </r>
      </text>
    </comment>
    <comment ref="DJ21" authorId="6">
      <text>
        <r>
          <rPr>
            <b/>
            <sz val="9"/>
            <color indexed="81"/>
            <rFont val="Tahoma"/>
            <family val="2"/>
          </rPr>
          <t>Cassel, Lauren (Research):</t>
        </r>
        <r>
          <rPr>
            <sz val="9"/>
            <color indexed="81"/>
            <rFont val="Tahoma"/>
            <family val="2"/>
          </rPr>
          <t xml:space="preserve">
Comp ex. non-go-forward categories was </t>
        </r>
        <r>
          <rPr>
            <b/>
            <sz val="9"/>
            <color indexed="81"/>
            <rFont val="Tahoma"/>
            <family val="2"/>
          </rPr>
          <t>+2%</t>
        </r>
      </text>
    </comment>
    <comment ref="DP21" authorId="6">
      <text>
        <r>
          <rPr>
            <b/>
            <sz val="9"/>
            <color indexed="81"/>
            <rFont val="Tahoma"/>
            <family val="2"/>
          </rPr>
          <t>Cassel, Lauren (Research):
8/31/17: ~3% headwind from exited categories = underlying -4%</t>
        </r>
        <r>
          <rPr>
            <sz val="9"/>
            <color indexed="81"/>
            <rFont val="Tahoma"/>
            <family val="2"/>
          </rPr>
          <t xml:space="preserve">
7/7/17: Per Amie, -3.5% headwind from exited categories</t>
        </r>
      </text>
    </comment>
    <comment ref="BH22" authorId="13">
      <text>
        <r>
          <rPr>
            <b/>
            <sz val="10"/>
            <color indexed="81"/>
            <rFont val="Tahoma"/>
            <family val="2"/>
          </rPr>
          <t>kgreenbe:</t>
        </r>
        <r>
          <rPr>
            <sz val="10"/>
            <color indexed="81"/>
            <rFont val="Tahoma"/>
            <family val="2"/>
          </rPr>
          <t xml:space="preserve">
8/19/03 KG changed from -2% to 0% given easy 2 year comparison</t>
        </r>
      </text>
    </comment>
    <comment ref="BL22" authorId="2">
      <text>
        <r>
          <rPr>
            <b/>
            <sz val="8"/>
            <color indexed="81"/>
            <rFont val="Tahoma"/>
            <family val="2"/>
          </rPr>
          <t>Corinna Freedman:</t>
        </r>
        <r>
          <rPr>
            <sz val="8"/>
            <color indexed="81"/>
            <rFont val="Tahoma"/>
            <family val="2"/>
          </rPr>
          <t xml:space="preserve">
11
</t>
        </r>
      </text>
    </comment>
    <comment ref="BP22" authorId="2">
      <text>
        <r>
          <rPr>
            <b/>
            <sz val="8"/>
            <color indexed="81"/>
            <rFont val="Tahoma"/>
            <family val="2"/>
          </rPr>
          <t>Corinna Freedman:</t>
        </r>
        <r>
          <rPr>
            <sz val="8"/>
            <color indexed="81"/>
            <rFont val="Tahoma"/>
            <family val="2"/>
          </rPr>
          <t xml:space="preserve">
0e</t>
        </r>
      </text>
    </comment>
    <comment ref="BT22" authorId="3">
      <text>
        <r>
          <rPr>
            <b/>
            <sz val="8"/>
            <color indexed="81"/>
            <rFont val="Tahoma"/>
            <family val="2"/>
          </rPr>
          <t>mm98285:</t>
        </r>
        <r>
          <rPr>
            <sz val="8"/>
            <color indexed="81"/>
            <rFont val="Tahoma"/>
            <family val="2"/>
          </rPr>
          <t xml:space="preserve">
+16% comp est.
expect strong DD, similar to Aug. </t>
        </r>
      </text>
    </comment>
    <comment ref="BX22" authorId="3">
      <text>
        <r>
          <rPr>
            <b/>
            <sz val="8"/>
            <color indexed="81"/>
            <rFont val="Tahoma"/>
            <family val="2"/>
          </rPr>
          <t>mm98285:</t>
        </r>
        <r>
          <rPr>
            <sz val="8"/>
            <color indexed="81"/>
            <rFont val="Tahoma"/>
            <family val="2"/>
          </rPr>
          <t xml:space="preserve">
-1.0% est
9/07: expect slightly neg</t>
        </r>
      </text>
    </comment>
    <comment ref="CB22" authorId="3">
      <text>
        <r>
          <rPr>
            <b/>
            <sz val="8"/>
            <color indexed="81"/>
            <rFont val="Tahoma"/>
            <family val="2"/>
          </rPr>
          <t>mm98285:</t>
        </r>
        <r>
          <rPr>
            <sz val="8"/>
            <color indexed="81"/>
            <rFont val="Tahoma"/>
            <family val="2"/>
          </rPr>
          <t xml:space="preserve">
-5% est.
9/08: expect -LSD</t>
        </r>
      </text>
    </comment>
    <comment ref="CF22" authorId="3">
      <text>
        <r>
          <rPr>
            <b/>
            <sz val="8"/>
            <color indexed="81"/>
            <rFont val="Tahoma"/>
            <family val="2"/>
          </rPr>
          <t>mm98285:</t>
        </r>
        <r>
          <rPr>
            <sz val="8"/>
            <color indexed="81"/>
            <rFont val="Tahoma"/>
            <family val="2"/>
          </rPr>
          <t xml:space="preserve">
-5% estimate</t>
        </r>
      </text>
    </comment>
    <comment ref="CJ22" authorId="4">
      <text>
        <r>
          <rPr>
            <b/>
            <sz val="8"/>
            <color indexed="81"/>
            <rFont val="Tahoma"/>
            <family val="2"/>
          </rPr>
          <t>nicholjs:</t>
        </r>
        <r>
          <rPr>
            <sz val="8"/>
            <color indexed="81"/>
            <rFont val="Tahoma"/>
            <family val="2"/>
          </rPr>
          <t xml:space="preserve">
did not repeat Fall sale held in the first half of the month LY; offered newness (Biofit, new Player bra, VS bombshell fragrance, NFL Pink)
we est. +5%
unlike LY, will not hold a fall sale in September 
sounds like +MSD</t>
        </r>
      </text>
    </comment>
    <comment ref="CN22" authorId="4">
      <text>
        <r>
          <rPr>
            <b/>
            <sz val="8"/>
            <color indexed="81"/>
            <rFont val="Tahoma"/>
            <family val="2"/>
          </rPr>
          <t>nicholjs:</t>
        </r>
        <r>
          <rPr>
            <sz val="8"/>
            <color indexed="81"/>
            <rFont val="Tahoma"/>
            <family val="2"/>
          </rPr>
          <t xml:space="preserve">
9/2011: will begin with continuation of Showstopper launch, VS fantasies, Pink wear everywhere bra.  Mid-month will transition to 2 new launches.</t>
        </r>
      </text>
    </comment>
    <comment ref="CR22" authorId="12">
      <text>
        <r>
          <rPr>
            <b/>
            <sz val="8"/>
            <color indexed="81"/>
            <rFont val="Tahoma"/>
            <family val="2"/>
          </rPr>
          <t>solejay:</t>
        </r>
        <r>
          <rPr>
            <sz val="8"/>
            <color indexed="81"/>
            <rFont val="Tahoma"/>
            <family val="2"/>
          </rPr>
          <t xml:space="preserve">
VSS comps +6%
vs 13% LY, led by strength in PINK
September featured the launch of the Amazing Bra and Dream Angels Glow Fragrance. Additionally, September featured the Fabulous with Lace bra and PINK limited edition Boyfriend Pant!.
Merch marg rate was up vs. LY
October will begin with the continuation of the Fabulous with Lace focus and PINK Cheekster Panty. LTD will transition mid-month to feature its Very Sexy Seduction collection paired with the Very Sexy Seduction Dark Orchid Fragrance.</t>
        </r>
      </text>
    </comment>
    <comment ref="CV22" authorId="1">
      <text>
        <r>
          <rPr>
            <b/>
            <sz val="9"/>
            <color indexed="81"/>
            <rFont val="Tahoma"/>
            <family val="2"/>
          </rPr>
          <t>casselau:</t>
        </r>
        <r>
          <rPr>
            <sz val="9"/>
            <color indexed="81"/>
            <rFont val="Tahoma"/>
            <family val="2"/>
          </rPr>
          <t xml:space="preserve">
+1% US only; 0% including Canada</t>
        </r>
      </text>
    </comment>
    <comment ref="DD22" authorId="1">
      <text>
        <r>
          <rPr>
            <b/>
            <sz val="9"/>
            <color indexed="81"/>
            <rFont val="Tahoma"/>
            <family val="2"/>
          </rPr>
          <t>casselau:</t>
        </r>
        <r>
          <rPr>
            <sz val="9"/>
            <color indexed="81"/>
            <rFont val="Tahoma"/>
            <family val="2"/>
          </rPr>
          <t xml:space="preserve">
driven by continued strength in PINK and core lingerie. Sales also benefitted from activity related to the shift in Labor Day and the Angel card re-issue.</t>
        </r>
      </text>
    </comment>
    <comment ref="DJ22" authorId="6">
      <text>
        <r>
          <rPr>
            <b/>
            <sz val="9"/>
            <color indexed="81"/>
            <rFont val="Tahoma"/>
            <family val="2"/>
          </rPr>
          <t>Cassel, Lauren (Research):</t>
        </r>
        <r>
          <rPr>
            <sz val="9"/>
            <color indexed="81"/>
            <rFont val="Tahoma"/>
            <family val="2"/>
          </rPr>
          <t xml:space="preserve">
Comp ex. non-go-forward categories was </t>
        </r>
        <r>
          <rPr>
            <b/>
            <sz val="9"/>
            <color indexed="81"/>
            <rFont val="Tahoma"/>
            <family val="2"/>
          </rPr>
          <t>+2%</t>
        </r>
      </text>
    </comment>
    <comment ref="DP22" authorId="6">
      <text>
        <r>
          <rPr>
            <b/>
            <sz val="9"/>
            <color indexed="81"/>
            <rFont val="Tahoma"/>
            <family val="2"/>
          </rPr>
          <t xml:space="preserve">Cassel, Lauren (Research):
10/5/17: -3% headwind from swim/apparel = -2% underlying
</t>
        </r>
        <r>
          <rPr>
            <sz val="9"/>
            <color indexed="81"/>
            <rFont val="Tahoma"/>
            <family val="2"/>
          </rPr>
          <t xml:space="preserve">
7/7/17: Per Amie, -3% headwind from exited categories</t>
        </r>
      </text>
    </comment>
    <comment ref="BL23" authorId="2">
      <text>
        <r>
          <rPr>
            <b/>
            <sz val="8"/>
            <color indexed="81"/>
            <rFont val="Tahoma"/>
            <family val="2"/>
          </rPr>
          <t>Corinna Freedman:</t>
        </r>
        <r>
          <rPr>
            <sz val="8"/>
            <color indexed="81"/>
            <rFont val="Tahoma"/>
            <family val="2"/>
          </rPr>
          <t xml:space="preserve">
15</t>
        </r>
      </text>
    </comment>
    <comment ref="BP23" authorId="2">
      <text>
        <r>
          <rPr>
            <b/>
            <sz val="8"/>
            <color indexed="81"/>
            <rFont val="Tahoma"/>
            <family val="2"/>
          </rPr>
          <t>Corinna Freedman:</t>
        </r>
        <r>
          <rPr>
            <sz val="8"/>
            <color indexed="81"/>
            <rFont val="Tahoma"/>
            <family val="2"/>
          </rPr>
          <t xml:space="preserve">
-5
prev = 1e</t>
        </r>
      </text>
    </comment>
    <comment ref="BT23" authorId="3">
      <text>
        <r>
          <rPr>
            <b/>
            <sz val="8"/>
            <color indexed="81"/>
            <rFont val="Tahoma"/>
            <family val="2"/>
          </rPr>
          <t>mm98285:</t>
        </r>
        <r>
          <rPr>
            <sz val="8"/>
            <color indexed="81"/>
            <rFont val="Tahoma"/>
            <family val="2"/>
          </rPr>
          <t xml:space="preserve">
+12% comp est.
expect +LDD</t>
        </r>
      </text>
    </comment>
    <comment ref="BX23" authorId="3">
      <text>
        <r>
          <rPr>
            <b/>
            <sz val="8"/>
            <color indexed="81"/>
            <rFont val="Tahoma"/>
            <family val="2"/>
          </rPr>
          <t>mm98285:</t>
        </r>
        <r>
          <rPr>
            <sz val="8"/>
            <color indexed="81"/>
            <rFont val="Tahoma"/>
            <family val="2"/>
          </rPr>
          <t xml:space="preserve">
-1.0% est</t>
        </r>
      </text>
    </comment>
    <comment ref="CB23" authorId="3">
      <text>
        <r>
          <rPr>
            <b/>
            <sz val="8"/>
            <color indexed="81"/>
            <rFont val="Tahoma"/>
            <family val="2"/>
          </rPr>
          <t>mm98285:</t>
        </r>
        <r>
          <rPr>
            <sz val="8"/>
            <color indexed="81"/>
            <rFont val="Tahoma"/>
            <family val="2"/>
          </rPr>
          <t xml:space="preserve">
-6% est.</t>
        </r>
      </text>
    </comment>
    <comment ref="CF23" authorId="3">
      <text>
        <r>
          <rPr>
            <b/>
            <sz val="8"/>
            <color indexed="81"/>
            <rFont val="Tahoma"/>
            <family val="2"/>
          </rPr>
          <t>mm98285:</t>
        </r>
        <r>
          <rPr>
            <sz val="8"/>
            <color indexed="81"/>
            <rFont val="Tahoma"/>
            <family val="2"/>
          </rPr>
          <t xml:space="preserve">
-6% est.
8/09: temper Oct. VS comp est. given absence of TV (vs. having a TV presence LY)</t>
        </r>
      </text>
    </comment>
    <comment ref="CJ23" authorId="4">
      <text>
        <r>
          <rPr>
            <b/>
            <sz val="8"/>
            <color indexed="81"/>
            <rFont val="Tahoma"/>
            <family val="2"/>
          </rPr>
          <t>nicholjs:</t>
        </r>
        <r>
          <rPr>
            <sz val="8"/>
            <color indexed="81"/>
            <rFont val="Tahoma"/>
            <family val="2"/>
          </rPr>
          <t xml:space="preserve">
we est +7%
8/2010: will have launch this year, LY had a minor launch but did not put any TV behind it (this yr will be fully supported by media)
9/2010: in October will introduce new specialty bra in lingerie business, a new very sexy now collection in beauty and will have transitioned to a new floorset at Pink</t>
        </r>
      </text>
    </comment>
    <comment ref="DI23" authorId="6">
      <text>
        <r>
          <rPr>
            <b/>
            <sz val="9"/>
            <color indexed="81"/>
            <rFont val="Tahoma"/>
            <family val="2"/>
          </rPr>
          <t>Cassel, Lauren (Research):</t>
        </r>
        <r>
          <rPr>
            <sz val="9"/>
            <color indexed="81"/>
            <rFont val="Tahoma"/>
            <family val="2"/>
          </rPr>
          <t xml:space="preserve">
8/17/16: Easy beauty compares begin in October/November</t>
        </r>
      </text>
    </comment>
    <comment ref="DJ23" authorId="6">
      <text>
        <r>
          <rPr>
            <b/>
            <sz val="9"/>
            <color indexed="81"/>
            <rFont val="Tahoma"/>
            <family val="2"/>
          </rPr>
          <t>Cassel, Lauren (Research):</t>
        </r>
        <r>
          <rPr>
            <sz val="9"/>
            <color indexed="81"/>
            <rFont val="Tahoma"/>
            <family val="2"/>
          </rPr>
          <t xml:space="preserve">
Comp ex. non-go-forward categories was </t>
        </r>
        <r>
          <rPr>
            <b/>
            <sz val="9"/>
            <color indexed="81"/>
            <rFont val="Tahoma"/>
            <family val="2"/>
          </rPr>
          <t>+1%</t>
        </r>
      </text>
    </comment>
    <comment ref="DP23" authorId="6">
      <text>
        <r>
          <rPr>
            <b/>
            <sz val="9"/>
            <color indexed="81"/>
            <rFont val="Tahoma"/>
            <family val="2"/>
          </rPr>
          <t>Cassel, Lauren (Research):
11/1/2017: go forward categories +3%</t>
        </r>
        <r>
          <rPr>
            <sz val="9"/>
            <color indexed="81"/>
            <rFont val="Tahoma"/>
            <family val="2"/>
          </rPr>
          <t xml:space="preserve">
7/7/17: Per Amie, -2% headwind from exited categories</t>
        </r>
      </text>
    </comment>
    <comment ref="BH24" authorId="0">
      <text>
        <r>
          <rPr>
            <b/>
            <sz val="8"/>
            <color indexed="81"/>
            <rFont val="Tahoma"/>
            <family val="2"/>
          </rPr>
          <t>dliu:</t>
        </r>
        <r>
          <rPr>
            <sz val="8"/>
            <color indexed="81"/>
            <rFont val="Tahoma"/>
            <family val="2"/>
          </rPr>
          <t xml:space="preserve">
5.6</t>
        </r>
      </text>
    </comment>
    <comment ref="DJ24" authorId="6">
      <text>
        <r>
          <rPr>
            <b/>
            <sz val="9"/>
            <color indexed="81"/>
            <rFont val="Tahoma"/>
            <family val="2"/>
          </rPr>
          <t>Cassel, Lauren (Research):</t>
        </r>
        <r>
          <rPr>
            <sz val="9"/>
            <color indexed="81"/>
            <rFont val="Tahoma"/>
            <family val="2"/>
          </rPr>
          <t xml:space="preserve">
8/17/16: WE EXPECT LOWER COMPS AT VS in 3Q vs. 2Q. SECOND QUARTER SALES INCLUDED SIGNIFICANT CLEARANCE ACTIVITY. ADDITIONALLY, THE DIRECT MAIL PROMOTIONAL ACTIVITY WE ELIMINATED REPRESENTED A LARGER PERCENTAGE OF 2015 THIRD QUARTER SALES THAN THE SECOND QUARTER. WE WILL ALSO FACE GREATER HEADWINDS FROM THE ELIMINATION OF SWIM  AND APPAREL – ABOUT A 2 TO 3 POINT HEADWIND TO VS SALES IN THE THIRD AND FOURTH QUARTERS VERSUS A 1 TO 2 POINT IMPACT IN THE SECOND QUARTER.</t>
        </r>
      </text>
    </comment>
    <comment ref="DP24" authorId="6">
      <text>
        <r>
          <rPr>
            <b/>
            <sz val="9"/>
            <color indexed="81"/>
            <rFont val="Tahoma"/>
            <family val="2"/>
          </rPr>
          <t>Cassel, Lauren (Research):
11/1/17: -2% comp excluding exited categories</t>
        </r>
        <r>
          <rPr>
            <sz val="9"/>
            <color indexed="81"/>
            <rFont val="Tahoma"/>
            <family val="2"/>
          </rPr>
          <t xml:space="preserve">
5/17/17: -2 to -3% headwind from exited categories</t>
        </r>
      </text>
    </comment>
    <comment ref="BH26" authorId="0">
      <text>
        <r>
          <rPr>
            <b/>
            <sz val="8"/>
            <color indexed="81"/>
            <rFont val="Tahoma"/>
            <family val="2"/>
          </rPr>
          <t>dliu:</t>
        </r>
        <r>
          <rPr>
            <sz val="8"/>
            <color indexed="81"/>
            <rFont val="Tahoma"/>
            <family val="2"/>
          </rPr>
          <t xml:space="preserve">
5</t>
        </r>
      </text>
    </comment>
    <comment ref="BL26" authorId="2">
      <text>
        <r>
          <rPr>
            <b/>
            <sz val="8"/>
            <color indexed="81"/>
            <rFont val="Tahoma"/>
            <family val="2"/>
          </rPr>
          <t>Corinna Freedman:</t>
        </r>
        <r>
          <rPr>
            <sz val="8"/>
            <color indexed="81"/>
            <rFont val="Tahoma"/>
            <family val="2"/>
          </rPr>
          <t xml:space="preserve">
7</t>
        </r>
      </text>
    </comment>
    <comment ref="BP26" authorId="2">
      <text>
        <r>
          <rPr>
            <b/>
            <sz val="8"/>
            <color indexed="81"/>
            <rFont val="Tahoma"/>
            <family val="2"/>
          </rPr>
          <t>Corinna Freedman:</t>
        </r>
        <r>
          <rPr>
            <sz val="8"/>
            <color indexed="81"/>
            <rFont val="Tahoma"/>
            <family val="2"/>
          </rPr>
          <t xml:space="preserve">
2e</t>
        </r>
      </text>
    </comment>
    <comment ref="BT26" authorId="3">
      <text>
        <r>
          <rPr>
            <b/>
            <sz val="8"/>
            <color indexed="81"/>
            <rFont val="Tahoma"/>
            <family val="2"/>
          </rPr>
          <t>mm98285:</t>
        </r>
        <r>
          <rPr>
            <sz val="8"/>
            <color indexed="81"/>
            <rFont val="Tahoma"/>
            <family val="2"/>
          </rPr>
          <t xml:space="preserve">
guid +DD
+12.0% comp est.</t>
        </r>
      </text>
    </comment>
    <comment ref="BX26" authorId="3">
      <text>
        <r>
          <rPr>
            <b/>
            <sz val="8"/>
            <color indexed="81"/>
            <rFont val="Tahoma"/>
            <family val="2"/>
          </rPr>
          <t>mm98285:</t>
        </r>
        <r>
          <rPr>
            <sz val="8"/>
            <color indexed="81"/>
            <rFont val="Tahoma"/>
            <family val="2"/>
          </rPr>
          <t xml:space="preserve">
-5% est.</t>
        </r>
      </text>
    </comment>
    <comment ref="CB26" authorId="3">
      <text>
        <r>
          <rPr>
            <b/>
            <sz val="8"/>
            <color indexed="81"/>
            <rFont val="Tahoma"/>
            <family val="2"/>
          </rPr>
          <t>mm98285:</t>
        </r>
        <r>
          <rPr>
            <sz val="8"/>
            <color indexed="81"/>
            <rFont val="Tahoma"/>
            <family val="2"/>
          </rPr>
          <t xml:space="preserve">
-13% est. </t>
        </r>
      </text>
    </comment>
    <comment ref="CF26" authorId="3">
      <text>
        <r>
          <rPr>
            <b/>
            <sz val="8"/>
            <color indexed="81"/>
            <rFont val="Tahoma"/>
            <family val="2"/>
          </rPr>
          <t>mm98285:</t>
        </r>
        <r>
          <rPr>
            <sz val="8"/>
            <color indexed="81"/>
            <rFont val="Tahoma"/>
            <family val="2"/>
          </rPr>
          <t xml:space="preserve">
-6% estimate</t>
        </r>
      </text>
    </comment>
    <comment ref="CJ26" authorId="4">
      <text>
        <r>
          <rPr>
            <b/>
            <sz val="8"/>
            <color indexed="81"/>
            <rFont val="Tahoma"/>
            <family val="2"/>
          </rPr>
          <t>nicholjs:</t>
        </r>
        <r>
          <rPr>
            <sz val="8"/>
            <color indexed="81"/>
            <rFont val="Tahoma"/>
            <family val="2"/>
          </rPr>
          <t xml:space="preserve">
est +5%
11/2010: will relaunch Miraculous bra (new strapless, lace styles as well as fashion/color); also introducing Fall Secret rewards campaign - receive gift card redeemable first 3 wks of Dec
8/2010: will launch extensions of the Miraculous bra</t>
        </r>
      </text>
    </comment>
    <comment ref="CN26" authorId="12">
      <text>
        <r>
          <rPr>
            <b/>
            <sz val="8"/>
            <color indexed="81"/>
            <rFont val="Tahoma"/>
            <family val="2"/>
          </rPr>
          <t>solejay:</t>
        </r>
        <r>
          <rPr>
            <sz val="8"/>
            <color indexed="81"/>
            <rFont val="Tahoma"/>
            <family val="2"/>
          </rPr>
          <t xml:space="preserve">
12/1 - PINK leads the comp</t>
        </r>
      </text>
    </comment>
    <comment ref="CR26" authorId="1">
      <text>
        <r>
          <rPr>
            <b/>
            <sz val="8"/>
            <color indexed="81"/>
            <rFont val="Tahoma"/>
            <family val="2"/>
          </rPr>
          <t>casselau:</t>
        </r>
        <r>
          <rPr>
            <sz val="8"/>
            <color indexed="81"/>
            <rFont val="Tahoma"/>
            <family val="2"/>
          </rPr>
          <t xml:space="preserve">
11/29: merch margin up</t>
        </r>
      </text>
    </comment>
    <comment ref="DI26" authorId="6">
      <text>
        <r>
          <rPr>
            <b/>
            <sz val="9"/>
            <color indexed="81"/>
            <rFont val="Tahoma"/>
            <family val="2"/>
          </rPr>
          <t>Cassel, Lauren (Research):</t>
        </r>
        <r>
          <rPr>
            <sz val="9"/>
            <color indexed="81"/>
            <rFont val="Tahoma"/>
            <family val="2"/>
          </rPr>
          <t xml:space="preserve">
8/17/16: Easy beauty compares begin in October/November</t>
        </r>
      </text>
    </comment>
    <comment ref="DJ26" authorId="6">
      <text>
        <r>
          <rPr>
            <b/>
            <sz val="9"/>
            <color indexed="81"/>
            <rFont val="Tahoma"/>
            <family val="2"/>
          </rPr>
          <t>Cassel, Lauren (Research):</t>
        </r>
        <r>
          <rPr>
            <sz val="9"/>
            <color indexed="81"/>
            <rFont val="Tahoma"/>
            <family val="2"/>
          </rPr>
          <t xml:space="preserve">
Comp ex. non-go-forward categories </t>
        </r>
        <r>
          <rPr>
            <b/>
            <sz val="9"/>
            <color indexed="81"/>
            <rFont val="Tahoma"/>
            <family val="2"/>
          </rPr>
          <t>+8%</t>
        </r>
      </text>
    </comment>
    <comment ref="DP26" authorId="6">
      <text>
        <r>
          <rPr>
            <b/>
            <sz val="9"/>
            <color indexed="81"/>
            <rFont val="Tahoma"/>
            <family val="2"/>
          </rPr>
          <t>Cassel, Lauren (Research):
11/30/17: -5% underlying (-1% headwind from exited swim and apparel)</t>
        </r>
        <r>
          <rPr>
            <sz val="9"/>
            <color indexed="81"/>
            <rFont val="Tahoma"/>
            <family val="2"/>
          </rPr>
          <t xml:space="preserve">
8/31/17: about ~1% headwind from exited categories</t>
        </r>
      </text>
    </comment>
    <comment ref="BH27" authorId="0">
      <text>
        <r>
          <rPr>
            <b/>
            <sz val="8"/>
            <color indexed="81"/>
            <rFont val="Tahoma"/>
            <family val="2"/>
          </rPr>
          <t>dliu:</t>
        </r>
        <r>
          <rPr>
            <sz val="8"/>
            <color indexed="81"/>
            <rFont val="Tahoma"/>
            <family val="2"/>
          </rPr>
          <t xml:space="preserve">
2.0</t>
        </r>
      </text>
    </comment>
    <comment ref="BL27" authorId="2">
      <text>
        <r>
          <rPr>
            <b/>
            <sz val="8"/>
            <color indexed="81"/>
            <rFont val="Tahoma"/>
            <family val="2"/>
          </rPr>
          <t>Corinna Freedman:</t>
        </r>
        <r>
          <rPr>
            <sz val="8"/>
            <color indexed="81"/>
            <rFont val="Tahoma"/>
            <family val="2"/>
          </rPr>
          <t xml:space="preserve">
10</t>
        </r>
      </text>
    </comment>
    <comment ref="BP27" authorId="14">
      <text>
        <r>
          <rPr>
            <b/>
            <sz val="8"/>
            <color indexed="81"/>
            <rFont val="Tahoma"/>
            <family val="2"/>
          </rPr>
          <t>Cf52662:</t>
        </r>
        <r>
          <rPr>
            <sz val="8"/>
            <color indexed="81"/>
            <rFont val="Tahoma"/>
            <family val="2"/>
          </rPr>
          <t xml:space="preserve">
2e</t>
        </r>
      </text>
    </comment>
    <comment ref="BT27" authorId="3">
      <text>
        <r>
          <rPr>
            <b/>
            <sz val="8"/>
            <color indexed="81"/>
            <rFont val="Tahoma"/>
            <family val="2"/>
          </rPr>
          <t>mm98285:</t>
        </r>
        <r>
          <rPr>
            <sz val="8"/>
            <color indexed="81"/>
            <rFont val="Tahoma"/>
            <family val="2"/>
          </rPr>
          <t xml:space="preserve">
+12.0% comp est. </t>
        </r>
      </text>
    </comment>
    <comment ref="BX27" authorId="3">
      <text>
        <r>
          <rPr>
            <b/>
            <sz val="8"/>
            <color indexed="81"/>
            <rFont val="Tahoma"/>
            <family val="2"/>
          </rPr>
          <t>mm98285:</t>
        </r>
        <r>
          <rPr>
            <sz val="8"/>
            <color indexed="81"/>
            <rFont val="Tahoma"/>
            <family val="2"/>
          </rPr>
          <t xml:space="preserve">
-5.0% est.</t>
        </r>
      </text>
    </comment>
    <comment ref="CB27" authorId="3">
      <text>
        <r>
          <rPr>
            <b/>
            <sz val="8"/>
            <color indexed="81"/>
            <rFont val="Tahoma"/>
            <family val="2"/>
          </rPr>
          <t>mm98285:</t>
        </r>
        <r>
          <rPr>
            <sz val="8"/>
            <color indexed="81"/>
            <rFont val="Tahoma"/>
            <family val="2"/>
          </rPr>
          <t xml:space="preserve">
+2% benefit from earlier Semi annual sale (1 week shift earlier to Dec 29 vs. Jan 3 LY)
-6% est.</t>
        </r>
      </text>
    </comment>
    <comment ref="CF27" authorId="3">
      <text>
        <r>
          <rPr>
            <b/>
            <sz val="8"/>
            <color indexed="81"/>
            <rFont val="Tahoma"/>
            <family val="2"/>
          </rPr>
          <t>mm98285:</t>
        </r>
        <r>
          <rPr>
            <sz val="8"/>
            <color indexed="81"/>
            <rFont val="Tahoma"/>
            <family val="2"/>
          </rPr>
          <t xml:space="preserve">
1/10: semi-annual sale shift (5 days into Jan from Dec) negatively impacted Dec by 3-5%
-3% estimate</t>
        </r>
      </text>
    </comment>
    <comment ref="CJ27" authorId="4">
      <text>
        <r>
          <rPr>
            <b/>
            <sz val="8"/>
            <color indexed="81"/>
            <rFont val="Tahoma"/>
            <family val="2"/>
          </rPr>
          <t>nicholjs:</t>
        </r>
        <r>
          <rPr>
            <sz val="8"/>
            <color indexed="81"/>
            <rFont val="Tahoma"/>
            <family val="2"/>
          </rPr>
          <t xml:space="preserve">
we est +3%
1/2011: estimate sale shift negatively impacted Dec comps by ~4%, and will positively impact January comps by about 10%
12/2010: semi annual sale Jan4-17 this year vs. Jan2-13 LY, represents shift of first day of sale from Dec into Jan, estimate this will lower VS comps by 3-5% in December.  "high end of +LSD feels right" 
11/2010: semi annual sale shift (later) will have a negative impact on December and positive impact on January SSS</t>
        </r>
      </text>
    </comment>
    <comment ref="CR27" authorId="1">
      <text>
        <r>
          <rPr>
            <sz val="8"/>
            <color indexed="81"/>
            <rFont val="Tahoma"/>
            <family val="2"/>
          </rPr>
          <t>Merchandise margin rate flat vs. LY as increased margins in PINK were offset by increased promotional activity to clear beauty gift sets. Merchandise margin dollars were up for the month.</t>
        </r>
        <r>
          <rPr>
            <sz val="8"/>
            <color indexed="81"/>
            <rFont val="Tahoma"/>
            <family val="2"/>
          </rPr>
          <t xml:space="preserve">
</t>
        </r>
      </text>
    </comment>
    <comment ref="DD27" authorId="1">
      <text>
        <r>
          <rPr>
            <b/>
            <sz val="9"/>
            <color indexed="81"/>
            <rFont val="Tahoma"/>
            <family val="2"/>
          </rPr>
          <t>casselau:</t>
        </r>
        <r>
          <rPr>
            <sz val="9"/>
            <color indexed="81"/>
            <rFont val="Tahoma"/>
            <family val="2"/>
          </rPr>
          <t xml:space="preserve">
Pull-forward of semi-annual sale was ~2% benefit to comp</t>
        </r>
      </text>
    </comment>
    <comment ref="DJ27" authorId="6">
      <text>
        <r>
          <rPr>
            <b/>
            <sz val="9"/>
            <color indexed="81"/>
            <rFont val="Tahoma"/>
            <family val="2"/>
          </rPr>
          <t>Cassel, Lauren (Research):</t>
        </r>
        <r>
          <rPr>
            <sz val="9"/>
            <color indexed="81"/>
            <rFont val="Tahoma"/>
            <family val="2"/>
          </rPr>
          <t xml:space="preserve">
Comparable sales excluding non-go-forward categories were </t>
        </r>
        <r>
          <rPr>
            <b/>
            <sz val="9"/>
            <color indexed="81"/>
            <rFont val="Tahoma"/>
            <family val="2"/>
          </rPr>
          <t xml:space="preserve">-1%.   </t>
        </r>
      </text>
    </comment>
    <comment ref="DP27" authorId="6">
      <text>
        <r>
          <rPr>
            <b/>
            <sz val="9"/>
            <color indexed="81"/>
            <rFont val="Tahoma"/>
            <family val="2"/>
          </rPr>
          <t>Cassel, Lauren (Research):</t>
        </r>
        <r>
          <rPr>
            <sz val="9"/>
            <color indexed="81"/>
            <rFont val="Tahoma"/>
            <family val="2"/>
          </rPr>
          <t xml:space="preserve">
1/4/18: about 0.5% to 1% headwind from exited categories
8/31/17: about ~1% headwind from exited categories</t>
        </r>
      </text>
    </comment>
    <comment ref="BH28" authorId="0">
      <text>
        <r>
          <rPr>
            <b/>
            <sz val="8"/>
            <color indexed="81"/>
            <rFont val="Tahoma"/>
            <family val="2"/>
          </rPr>
          <t>dliu:</t>
        </r>
        <r>
          <rPr>
            <sz val="8"/>
            <color indexed="81"/>
            <rFont val="Tahoma"/>
            <family val="2"/>
          </rPr>
          <t xml:space="preserve">
TY semi-annual sale starts Jan, LY started Dec, so should hurt Dec biz and help Jan, even against Jan's tough comparisons. 24</t>
        </r>
      </text>
    </comment>
    <comment ref="BL28" authorId="2">
      <text>
        <r>
          <rPr>
            <b/>
            <sz val="8"/>
            <color indexed="81"/>
            <rFont val="Tahoma"/>
            <family val="2"/>
          </rPr>
          <t>Corinna Freedman:</t>
        </r>
        <r>
          <rPr>
            <sz val="8"/>
            <color indexed="81"/>
            <rFont val="Tahoma"/>
            <family val="2"/>
          </rPr>
          <t xml:space="preserve">
5</t>
        </r>
      </text>
    </comment>
    <comment ref="BP28" authorId="15">
      <text>
        <r>
          <rPr>
            <b/>
            <sz val="8"/>
            <color indexed="81"/>
            <rFont val="Tahoma"/>
            <family val="2"/>
          </rPr>
          <t>MB33100:</t>
        </r>
        <r>
          <rPr>
            <sz val="8"/>
            <color indexed="81"/>
            <rFont val="Tahoma"/>
            <family val="2"/>
          </rPr>
          <t xml:space="preserve">
0.0</t>
        </r>
      </text>
    </comment>
    <comment ref="BT28" authorId="3">
      <text>
        <r>
          <rPr>
            <b/>
            <sz val="8"/>
            <color indexed="81"/>
            <rFont val="Tahoma"/>
            <family val="2"/>
          </rPr>
          <t>mm98285:</t>
        </r>
        <r>
          <rPr>
            <sz val="8"/>
            <color indexed="81"/>
            <rFont val="Tahoma"/>
            <family val="2"/>
          </rPr>
          <t xml:space="preserve">
+8.0% comp est.</t>
        </r>
      </text>
    </comment>
    <comment ref="BX28" authorId="3">
      <text>
        <r>
          <rPr>
            <b/>
            <sz val="8"/>
            <color indexed="81"/>
            <rFont val="Tahoma"/>
            <family val="2"/>
          </rPr>
          <t>mm98285:</t>
        </r>
        <r>
          <rPr>
            <sz val="8"/>
            <color indexed="81"/>
            <rFont val="Tahoma"/>
            <family val="2"/>
          </rPr>
          <t xml:space="preserve">
-5% est</t>
        </r>
      </text>
    </comment>
    <comment ref="CB28" authorId="3">
      <text>
        <r>
          <rPr>
            <b/>
            <sz val="8"/>
            <color indexed="81"/>
            <rFont val="Tahoma"/>
            <family val="2"/>
          </rPr>
          <t>mm98285:</t>
        </r>
        <r>
          <rPr>
            <sz val="8"/>
            <color indexed="81"/>
            <rFont val="Tahoma"/>
            <family val="2"/>
          </rPr>
          <t xml:space="preserve">
-20% est. 
1/08: (5)-(10)% neg. impact from 1 week forward shift of semi-annual sale</t>
        </r>
      </text>
    </comment>
    <comment ref="CF28" authorId="3">
      <text>
        <r>
          <rPr>
            <b/>
            <sz val="8"/>
            <color indexed="81"/>
            <rFont val="Tahoma"/>
            <family val="2"/>
          </rPr>
          <t>mm98285:</t>
        </r>
        <r>
          <rPr>
            <sz val="8"/>
            <color indexed="81"/>
            <rFont val="Tahoma"/>
            <family val="2"/>
          </rPr>
          <t xml:space="preserve">
+7% estimate
1/10: semi-annual sale shift (5 days into Jan from Dec) will lift Jan comps by ~5-10%</t>
        </r>
      </text>
    </comment>
    <comment ref="CJ28" authorId="4">
      <text>
        <r>
          <rPr>
            <b/>
            <sz val="8"/>
            <color indexed="81"/>
            <rFont val="Tahoma"/>
            <family val="2"/>
          </rPr>
          <t>nicholjs:</t>
        </r>
        <r>
          <rPr>
            <sz val="8"/>
            <color indexed="81"/>
            <rFont val="Tahoma"/>
            <family val="2"/>
          </rPr>
          <t xml:space="preserve">
we est +10%
10% total comp okay to use
1/2011: sale shift will positively impact VS January comps by about 10%.  
12/2010: +HSD very doable, should get greater benefit in Jan than the 3-5% lost in December</t>
        </r>
      </text>
    </comment>
    <comment ref="CN28" authorId="5">
      <text>
        <r>
          <rPr>
            <b/>
            <sz val="8"/>
            <color indexed="81"/>
            <rFont val="Tahoma"/>
            <family val="2"/>
          </rPr>
          <t>kahng:</t>
        </r>
        <r>
          <rPr>
            <sz val="8"/>
            <color indexed="81"/>
            <rFont val="Tahoma"/>
            <family val="2"/>
          </rPr>
          <t xml:space="preserve">
</t>
        </r>
        <r>
          <rPr>
            <b/>
            <sz val="8"/>
            <color indexed="81"/>
            <rFont val="Tahoma"/>
            <family val="2"/>
          </rPr>
          <t xml:space="preserve">2/2/2011: </t>
        </r>
        <r>
          <rPr>
            <sz val="8"/>
            <color indexed="81"/>
            <rFont val="Tahoma"/>
            <family val="2"/>
          </rPr>
          <t xml:space="preserve">MSe +3%
Sales growth driven by strength across assortment. January began with semi annual sale. Mid month, shifted to Valentine’s gifting focus and new floorsets across lingerie, Pink and beauty. Merch marg and rate dollars were up to last year driven by cleaner inventory position during semi annual sales. First two weeks of Feb will continue with Valentine’s Day floor sets with Gorgeous bra, total sweatheart demibra and Bombshell in Love fragrance. Q4 sales were $1.572B and comps +12%
</t>
        </r>
      </text>
    </comment>
    <comment ref="DD28" authorId="1">
      <text>
        <r>
          <rPr>
            <b/>
            <sz val="9"/>
            <color indexed="81"/>
            <rFont val="Tahoma"/>
            <family val="2"/>
          </rPr>
          <t>casselau:</t>
        </r>
        <r>
          <rPr>
            <sz val="9"/>
            <color indexed="81"/>
            <rFont val="Tahoma"/>
            <family val="2"/>
          </rPr>
          <t xml:space="preserve">
1/7/15: the pull forward of the semi-annual sale was about 2 points of comp for VSS in December. That will have a negative impact in January; but VS is having a one-time only very explosive promotion today – get a free sport pant with the purchase of any sport bra. That should offset the comp impact – it will have a negative impact on margins but this is something we’ve planned for several months now, we think January is a good month to emphasize sport and it’s really about getting the product into more customers hands. We think we have a superior product, we’re viewing this almost as a marketing expense so it should be a big deal for VS. </t>
        </r>
      </text>
    </comment>
    <comment ref="DI28" authorId="6">
      <text>
        <r>
          <rPr>
            <b/>
            <sz val="9"/>
            <color indexed="81"/>
            <rFont val="Tahoma"/>
            <family val="2"/>
          </rPr>
          <t>Cassel, Lauren (Research):</t>
        </r>
        <r>
          <rPr>
            <sz val="9"/>
            <color indexed="81"/>
            <rFont val="Tahoma"/>
            <family val="2"/>
          </rPr>
          <t xml:space="preserve">
January less of a coupon month given semi-annual sale
</t>
        </r>
      </text>
    </comment>
    <comment ref="DJ28" authorId="6">
      <text>
        <r>
          <rPr>
            <b/>
            <sz val="9"/>
            <color indexed="81"/>
            <rFont val="Tahoma"/>
            <family val="2"/>
          </rPr>
          <t>Cassel, Lauren (Research):</t>
        </r>
        <r>
          <rPr>
            <sz val="9"/>
            <color indexed="81"/>
            <rFont val="Tahoma"/>
            <family val="2"/>
          </rPr>
          <t xml:space="preserve">
2/2/17: Comparable sales excluding non-go-forward categories were -3%, driven by a reduction in promotional activity.</t>
        </r>
      </text>
    </comment>
    <comment ref="DI29" authorId="6">
      <text>
        <r>
          <rPr>
            <b/>
            <sz val="9"/>
            <color indexed="81"/>
            <rFont val="Tahoma"/>
            <family val="2"/>
          </rPr>
          <t>Cassel, Lauren (Research):</t>
        </r>
        <r>
          <rPr>
            <sz val="9"/>
            <color indexed="81"/>
            <rFont val="Tahoma"/>
            <family val="2"/>
          </rPr>
          <t xml:space="preserve">
11/17/16: category exits are expected to negatively impact comps in the VS segment by -LSD</t>
        </r>
      </text>
    </comment>
    <comment ref="DJ29" authorId="6">
      <text>
        <r>
          <rPr>
            <b/>
            <sz val="9"/>
            <color indexed="81"/>
            <rFont val="Tahoma"/>
            <family val="2"/>
          </rPr>
          <t>Cassel, Lauren (Research):</t>
        </r>
        <r>
          <rPr>
            <sz val="9"/>
            <color indexed="81"/>
            <rFont val="Tahoma"/>
            <family val="2"/>
          </rPr>
          <t xml:space="preserve">
</t>
        </r>
        <r>
          <rPr>
            <b/>
            <sz val="9"/>
            <color indexed="81"/>
            <rFont val="Tahoma"/>
            <family val="2"/>
          </rPr>
          <t>2/22/17: go-forward comp +1%</t>
        </r>
        <r>
          <rPr>
            <sz val="9"/>
            <color indexed="81"/>
            <rFont val="Tahoma"/>
            <family val="2"/>
          </rPr>
          <t xml:space="preserve">
11/17/16: category exits are expected to negatively impact comps in the VS segment by -LSD
</t>
        </r>
      </text>
    </comment>
    <comment ref="DP29" authorId="6">
      <text>
        <r>
          <rPr>
            <b/>
            <sz val="9"/>
            <color indexed="81"/>
            <rFont val="Tahoma"/>
            <family val="2"/>
          </rPr>
          <t>Cassel, Lauren (Research):</t>
        </r>
        <r>
          <rPr>
            <sz val="9"/>
            <color indexed="81"/>
            <rFont val="Tahoma"/>
            <family val="2"/>
          </rPr>
          <t xml:space="preserve">
5/17/17: -1% headwind from exited categories</t>
        </r>
      </text>
    </comment>
    <comment ref="DJ30" authorId="6">
      <text>
        <r>
          <rPr>
            <b/>
            <sz val="9"/>
            <color indexed="81"/>
            <rFont val="Tahoma"/>
            <family val="2"/>
          </rPr>
          <t>Cassel, Lauren (Research):</t>
        </r>
        <r>
          <rPr>
            <sz val="9"/>
            <color indexed="81"/>
            <rFont val="Tahoma"/>
            <family val="2"/>
          </rPr>
          <t xml:space="preserve">
2/22/17: exited categories had a 3 point negative impact to full year comps</t>
        </r>
      </text>
    </comment>
    <comment ref="DP30" authorId="6">
      <text>
        <r>
          <rPr>
            <b/>
            <sz val="9"/>
            <color indexed="81"/>
            <rFont val="Tahoma"/>
            <family val="2"/>
          </rPr>
          <t>Cassel, Lauren (Research):</t>
        </r>
        <r>
          <rPr>
            <sz val="9"/>
            <color indexed="81"/>
            <rFont val="Tahoma"/>
            <family val="2"/>
          </rPr>
          <t xml:space="preserve">
8/15/17: Swim and apparel sales were approximately $400 million in 2016, which is
about a 3 to 4 point negative comp impact to the total company and about 5 points to Victoria’s Secret.</t>
        </r>
      </text>
    </comment>
    <comment ref="BL34" authorId="0">
      <text>
        <r>
          <rPr>
            <b/>
            <sz val="8"/>
            <color indexed="81"/>
            <rFont val="Tahoma"/>
            <family val="2"/>
          </rPr>
          <t>dliu:</t>
        </r>
        <r>
          <rPr>
            <sz val="8"/>
            <color indexed="81"/>
            <rFont val="Tahoma"/>
            <family val="2"/>
          </rPr>
          <t xml:space="preserve">
8</t>
        </r>
      </text>
    </comment>
    <comment ref="BP34" authorId="2">
      <text>
        <r>
          <rPr>
            <b/>
            <sz val="8"/>
            <color indexed="81"/>
            <rFont val="Tahoma"/>
            <family val="2"/>
          </rPr>
          <t>Corinna Freedman:</t>
        </r>
        <r>
          <rPr>
            <sz val="8"/>
            <color indexed="81"/>
            <rFont val="Tahoma"/>
            <family val="2"/>
          </rPr>
          <t xml:space="preserve">
4</t>
        </r>
      </text>
    </comment>
    <comment ref="BT34" authorId="3">
      <text>
        <r>
          <rPr>
            <b/>
            <sz val="8"/>
            <color indexed="81"/>
            <rFont val="Tahoma"/>
            <family val="2"/>
          </rPr>
          <t>mm98285:</t>
        </r>
        <r>
          <rPr>
            <sz val="8"/>
            <color indexed="81"/>
            <rFont val="Tahoma"/>
            <family val="2"/>
          </rPr>
          <t xml:space="preserve">
2% est</t>
        </r>
      </text>
    </comment>
    <comment ref="BX34" authorId="3">
      <text>
        <r>
          <rPr>
            <b/>
            <sz val="8"/>
            <color indexed="81"/>
            <rFont val="Tahoma"/>
            <family val="2"/>
          </rPr>
          <t>mm98285:</t>
        </r>
        <r>
          <rPr>
            <sz val="8"/>
            <color indexed="81"/>
            <rFont val="Tahoma"/>
            <family val="2"/>
          </rPr>
          <t xml:space="preserve">
+3%
2/07: expect +MSD</t>
        </r>
      </text>
    </comment>
    <comment ref="CB34" authorId="3">
      <text>
        <r>
          <rPr>
            <b/>
            <sz val="8"/>
            <color indexed="81"/>
            <rFont val="Tahoma"/>
            <family val="2"/>
          </rPr>
          <t>mm98285:</t>
        </r>
        <r>
          <rPr>
            <sz val="8"/>
            <color indexed="81"/>
            <rFont val="Tahoma"/>
            <family val="2"/>
          </rPr>
          <t xml:space="preserve">
-11% est.</t>
        </r>
      </text>
    </comment>
    <comment ref="CF34" authorId="3">
      <text>
        <r>
          <rPr>
            <b/>
            <sz val="8"/>
            <color indexed="81"/>
            <rFont val="Tahoma"/>
            <family val="2"/>
          </rPr>
          <t>mm98285:</t>
        </r>
        <r>
          <rPr>
            <sz val="8"/>
            <color indexed="81"/>
            <rFont val="Tahoma"/>
            <family val="2"/>
          </rPr>
          <t xml:space="preserve">
-7% est. 
2/26/09: tracking -M-HSD
2/09: guide to total company -Mteens</t>
        </r>
      </text>
    </comment>
    <comment ref="CJ34" authorId="3">
      <text>
        <r>
          <rPr>
            <b/>
            <sz val="8"/>
            <color indexed="81"/>
            <rFont val="Tahoma"/>
            <family val="2"/>
          </rPr>
          <t>mm98285:</t>
        </r>
        <r>
          <rPr>
            <sz val="8"/>
            <color indexed="81"/>
            <rFont val="Tahoma"/>
            <family val="2"/>
          </rPr>
          <t xml:space="preserve">
+4% est. </t>
        </r>
      </text>
    </comment>
    <comment ref="CN34" authorId="4">
      <text>
        <r>
          <rPr>
            <b/>
            <sz val="8"/>
            <color indexed="81"/>
            <rFont val="Tahoma"/>
            <family val="2"/>
          </rPr>
          <t>nicholjs:</t>
        </r>
        <r>
          <rPr>
            <sz val="8"/>
            <color indexed="81"/>
            <rFont val="Tahoma"/>
            <family val="2"/>
          </rPr>
          <t xml:space="preserve">
est +6%
2/2011: expect flat to -LSD</t>
        </r>
      </text>
    </comment>
    <comment ref="CR34" authorId="5">
      <text>
        <r>
          <rPr>
            <b/>
            <sz val="8"/>
            <color indexed="81"/>
            <rFont val="Tahoma"/>
            <family val="2"/>
          </rPr>
          <t>kahng:</t>
        </r>
        <r>
          <rPr>
            <sz val="8"/>
            <color indexed="81"/>
            <rFont val="Tahoma"/>
            <family val="2"/>
          </rPr>
          <t xml:space="preserve">
Mse 4.0%</t>
        </r>
      </text>
    </comment>
    <comment ref="DI34" authorId="1">
      <text>
        <r>
          <rPr>
            <b/>
            <sz val="9"/>
            <color indexed="81"/>
            <rFont val="Tahoma"/>
            <family val="2"/>
          </rPr>
          <t xml:space="preserve">casselau:
</t>
        </r>
        <r>
          <rPr>
            <sz val="9"/>
            <color indexed="81"/>
            <rFont val="Tahoma"/>
            <family val="2"/>
          </rPr>
          <t xml:space="preserve">2/25/16: To be clear, the store-only comp is expected to be up mid single digits at both Victoria's Secret and Bath &amp; Body Works. </t>
        </r>
      </text>
    </comment>
    <comment ref="DJ34" authorId="1">
      <text>
        <r>
          <rPr>
            <b/>
            <sz val="9"/>
            <color indexed="81"/>
            <rFont val="Tahoma"/>
            <family val="2"/>
          </rPr>
          <t>casselau:</t>
        </r>
        <r>
          <rPr>
            <sz val="9"/>
            <color indexed="81"/>
            <rFont val="Tahoma"/>
            <family val="2"/>
          </rPr>
          <t xml:space="preserve">
estimate Direct +25-30%</t>
        </r>
      </text>
    </comment>
    <comment ref="DP34" authorId="6">
      <text>
        <r>
          <rPr>
            <b/>
            <sz val="9"/>
            <color indexed="81"/>
            <rFont val="Tahoma"/>
            <family val="2"/>
          </rPr>
          <t>Cassel, Lauren (Research):</t>
        </r>
        <r>
          <rPr>
            <sz val="9"/>
            <color indexed="81"/>
            <rFont val="Tahoma"/>
            <family val="2"/>
          </rPr>
          <t xml:space="preserve">
2/22/17: expect to report a -MSD decline at BBW</t>
        </r>
      </text>
    </comment>
    <comment ref="DV34" authorId="6">
      <text>
        <r>
          <rPr>
            <b/>
            <sz val="9"/>
            <color indexed="81"/>
            <rFont val="Tahoma"/>
            <family val="2"/>
          </rPr>
          <t>Cassel, Lauren (Research):</t>
        </r>
        <r>
          <rPr>
            <sz val="9"/>
            <color indexed="81"/>
            <rFont val="Tahoma"/>
            <family val="2"/>
          </rPr>
          <t xml:space="preserve">
2/28/18: We expect to report a total company February comp increase mid-single digit increase at Bath &amp; Body Works</t>
        </r>
      </text>
    </comment>
    <comment ref="BL35" authorId="0">
      <text>
        <r>
          <rPr>
            <b/>
            <sz val="8"/>
            <color indexed="81"/>
            <rFont val="Tahoma"/>
            <family val="2"/>
          </rPr>
          <t>dliu:</t>
        </r>
        <r>
          <rPr>
            <sz val="8"/>
            <color indexed="81"/>
            <rFont val="Tahoma"/>
            <family val="2"/>
          </rPr>
          <t xml:space="preserve">
10</t>
        </r>
      </text>
    </comment>
    <comment ref="BP35" authorId="2">
      <text>
        <r>
          <rPr>
            <b/>
            <sz val="8"/>
            <color indexed="81"/>
            <rFont val="Tahoma"/>
            <family val="2"/>
          </rPr>
          <t>Corinna Freedman:</t>
        </r>
        <r>
          <rPr>
            <sz val="8"/>
            <color indexed="81"/>
            <rFont val="Tahoma"/>
            <family val="2"/>
          </rPr>
          <t xml:space="preserve">
3</t>
        </r>
      </text>
    </comment>
    <comment ref="BT35" authorId="3">
      <text>
        <r>
          <rPr>
            <b/>
            <sz val="8"/>
            <color indexed="81"/>
            <rFont val="Tahoma"/>
            <family val="2"/>
          </rPr>
          <t>mm98285:</t>
        </r>
        <r>
          <rPr>
            <sz val="8"/>
            <color indexed="81"/>
            <rFont val="Tahoma"/>
            <family val="2"/>
          </rPr>
          <t xml:space="preserve">
0.0% est</t>
        </r>
      </text>
    </comment>
    <comment ref="BX35" authorId="3">
      <text>
        <r>
          <rPr>
            <b/>
            <sz val="8"/>
            <color indexed="81"/>
            <rFont val="Tahoma"/>
            <family val="2"/>
          </rPr>
          <t>mm98285:</t>
        </r>
        <r>
          <rPr>
            <sz val="8"/>
            <color indexed="81"/>
            <rFont val="Tahoma"/>
            <family val="2"/>
          </rPr>
          <t xml:space="preserve">
+6% est.
3/07: guided to +HSD</t>
        </r>
      </text>
    </comment>
    <comment ref="CB35" authorId="3">
      <text>
        <r>
          <rPr>
            <b/>
            <sz val="8"/>
            <color indexed="81"/>
            <rFont val="Tahoma"/>
            <family val="2"/>
          </rPr>
          <t>mm98285:</t>
        </r>
        <r>
          <rPr>
            <sz val="8"/>
            <color indexed="81"/>
            <rFont val="Tahoma"/>
            <family val="2"/>
          </rPr>
          <t xml:space="preserve">
-11% est.</t>
        </r>
      </text>
    </comment>
    <comment ref="CF35" authorId="3">
      <text>
        <r>
          <rPr>
            <b/>
            <sz val="8"/>
            <color indexed="81"/>
            <rFont val="Tahoma"/>
            <family val="2"/>
          </rPr>
          <t>mm98285:</t>
        </r>
        <r>
          <rPr>
            <sz val="8"/>
            <color indexed="81"/>
            <rFont val="Tahoma"/>
            <family val="2"/>
          </rPr>
          <t xml:space="preserve">
-11% est.</t>
        </r>
      </text>
    </comment>
    <comment ref="CJ35" authorId="7">
      <text>
        <r>
          <rPr>
            <b/>
            <sz val="8"/>
            <color indexed="81"/>
            <rFont val="Tahoma"/>
            <family val="2"/>
          </rPr>
          <t>ns66486:</t>
        </r>
        <r>
          <rPr>
            <sz val="8"/>
            <color indexed="81"/>
            <rFont val="Tahoma"/>
            <family val="2"/>
          </rPr>
          <t xml:space="preserve">
est +5%</t>
        </r>
      </text>
    </comment>
    <comment ref="CN35" authorId="4">
      <text>
        <r>
          <rPr>
            <b/>
            <sz val="8"/>
            <color indexed="81"/>
            <rFont val="Tahoma"/>
            <family val="2"/>
          </rPr>
          <t>nicholjs:</t>
        </r>
        <r>
          <rPr>
            <sz val="8"/>
            <color indexed="81"/>
            <rFont val="Tahoma"/>
            <family val="2"/>
          </rPr>
          <t xml:space="preserve">
we est. -1%
3/2011: likely down slightly</t>
        </r>
      </text>
    </comment>
    <comment ref="DI35" authorId="1">
      <text>
        <r>
          <rPr>
            <b/>
            <sz val="9"/>
            <color indexed="81"/>
            <rFont val="Tahoma"/>
            <family val="2"/>
          </rPr>
          <t>casselau:</t>
        </r>
        <r>
          <rPr>
            <sz val="9"/>
            <color indexed="81"/>
            <rFont val="Tahoma"/>
            <family val="2"/>
          </rPr>
          <t xml:space="preserve">
2/25/16: The earlier Easter this year will negatively impact March comps and positively impact April</t>
        </r>
      </text>
    </comment>
    <comment ref="DP35" authorId="6">
      <text>
        <r>
          <rPr>
            <b/>
            <sz val="9"/>
            <color indexed="81"/>
            <rFont val="Tahoma"/>
            <family val="2"/>
          </rPr>
          <t xml:space="preserve">Cassel, Lauren (Research):
4/6/17: negative impact of a later Easter this year was worth about -3-4 comp points to the month.
 </t>
        </r>
        <r>
          <rPr>
            <sz val="9"/>
            <color indexed="81"/>
            <rFont val="Tahoma"/>
            <family val="2"/>
          </rPr>
          <t xml:space="preserve">
3/2/17: BBW could be negative given easter shift</t>
        </r>
      </text>
    </comment>
    <comment ref="DV35" authorId="6">
      <text>
        <r>
          <rPr>
            <b/>
            <sz val="9"/>
            <color indexed="81"/>
            <rFont val="Tahoma"/>
            <family val="2"/>
          </rPr>
          <t>Cassel, Lauren (Research):</t>
        </r>
        <r>
          <rPr>
            <sz val="9"/>
            <color indexed="81"/>
            <rFont val="Tahoma"/>
            <family val="2"/>
          </rPr>
          <t xml:space="preserve">
4/12/18: Earlier Easter benefitted BBW comps by 3%</t>
        </r>
      </text>
    </comment>
    <comment ref="BL36" authorId="0">
      <text>
        <r>
          <rPr>
            <b/>
            <sz val="8"/>
            <color indexed="81"/>
            <rFont val="Tahoma"/>
            <family val="2"/>
          </rPr>
          <t>dliu:</t>
        </r>
        <r>
          <rPr>
            <sz val="8"/>
            <color indexed="81"/>
            <rFont val="Tahoma"/>
            <family val="2"/>
          </rPr>
          <t xml:space="preserve">
4</t>
        </r>
      </text>
    </comment>
    <comment ref="BP36" authorId="2">
      <text>
        <r>
          <rPr>
            <b/>
            <sz val="8"/>
            <color indexed="81"/>
            <rFont val="Tahoma"/>
            <family val="2"/>
          </rPr>
          <t>Corinna Freedman:</t>
        </r>
        <r>
          <rPr>
            <sz val="8"/>
            <color indexed="81"/>
            <rFont val="Tahoma"/>
            <family val="2"/>
          </rPr>
          <t xml:space="preserve">
2</t>
        </r>
      </text>
    </comment>
    <comment ref="BT36" authorId="3">
      <text>
        <r>
          <rPr>
            <b/>
            <sz val="8"/>
            <color indexed="81"/>
            <rFont val="Tahoma"/>
            <family val="2"/>
          </rPr>
          <t>mm98285:</t>
        </r>
        <r>
          <rPr>
            <sz val="8"/>
            <color indexed="81"/>
            <rFont val="Tahoma"/>
            <family val="2"/>
          </rPr>
          <t xml:space="preserve">
+3.0% est.</t>
        </r>
      </text>
    </comment>
    <comment ref="BX36" authorId="3">
      <text>
        <r>
          <rPr>
            <b/>
            <sz val="8"/>
            <color indexed="81"/>
            <rFont val="Tahoma"/>
            <family val="2"/>
          </rPr>
          <t>mm98285:</t>
        </r>
        <r>
          <rPr>
            <sz val="8"/>
            <color indexed="81"/>
            <rFont val="Tahoma"/>
            <family val="2"/>
          </rPr>
          <t xml:space="preserve">
slightly positive</t>
        </r>
      </text>
    </comment>
    <comment ref="CB36" authorId="3">
      <text>
        <r>
          <rPr>
            <b/>
            <sz val="8"/>
            <color indexed="81"/>
            <rFont val="Tahoma"/>
            <family val="2"/>
          </rPr>
          <t>mm98285:</t>
        </r>
        <r>
          <rPr>
            <sz val="8"/>
            <color indexed="81"/>
            <rFont val="Tahoma"/>
            <family val="2"/>
          </rPr>
          <t xml:space="preserve">
-3% est.</t>
        </r>
      </text>
    </comment>
    <comment ref="CF36" authorId="3">
      <text>
        <r>
          <rPr>
            <b/>
            <sz val="8"/>
            <color indexed="81"/>
            <rFont val="Tahoma"/>
            <family val="2"/>
          </rPr>
          <t>mm98285:</t>
        </r>
        <r>
          <rPr>
            <sz val="8"/>
            <color indexed="81"/>
            <rFont val="Tahoma"/>
            <family val="2"/>
          </rPr>
          <t xml:space="preserve">
-4% est. </t>
        </r>
      </text>
    </comment>
    <comment ref="CJ36" authorId="7">
      <text>
        <r>
          <rPr>
            <b/>
            <sz val="8"/>
            <color indexed="81"/>
            <rFont val="Tahoma"/>
            <family val="2"/>
          </rPr>
          <t>ns66486:</t>
        </r>
        <r>
          <rPr>
            <sz val="8"/>
            <color indexed="81"/>
            <rFont val="Tahoma"/>
            <family val="2"/>
          </rPr>
          <t xml:space="preserve">
we est. flat</t>
        </r>
      </text>
    </comment>
    <comment ref="CN36" authorId="4">
      <text>
        <r>
          <rPr>
            <b/>
            <sz val="8"/>
            <color indexed="81"/>
            <rFont val="Tahoma"/>
            <family val="2"/>
          </rPr>
          <t>nicholjs:</t>
        </r>
        <r>
          <rPr>
            <sz val="8"/>
            <color indexed="81"/>
            <rFont val="Tahoma"/>
            <family val="2"/>
          </rPr>
          <t xml:space="preserve">
we est +7%</t>
        </r>
      </text>
    </comment>
    <comment ref="CR36" authorId="10">
      <text>
        <r>
          <rPr>
            <b/>
            <sz val="8"/>
            <color indexed="81"/>
            <rFont val="Tahoma"/>
            <family val="2"/>
          </rPr>
          <t>P Kahng:</t>
        </r>
        <r>
          <rPr>
            <sz val="8"/>
            <color indexed="81"/>
            <rFont val="Tahoma"/>
            <family val="2"/>
          </rPr>
          <t xml:space="preserve">
5/3/12: was 2%</t>
        </r>
      </text>
    </comment>
    <comment ref="DI36" authorId="1">
      <text>
        <r>
          <rPr>
            <b/>
            <sz val="9"/>
            <color indexed="81"/>
            <rFont val="Tahoma"/>
            <family val="2"/>
          </rPr>
          <t>casselau:</t>
        </r>
        <r>
          <rPr>
            <sz val="9"/>
            <color indexed="81"/>
            <rFont val="Tahoma"/>
            <family val="2"/>
          </rPr>
          <t xml:space="preserve">
2/25/16: The earlier Easter this year will negatively impact March comps and positively impact April</t>
        </r>
      </text>
    </comment>
    <comment ref="DP36" authorId="6">
      <text>
        <r>
          <rPr>
            <b/>
            <sz val="9"/>
            <color indexed="81"/>
            <rFont val="Tahoma"/>
            <family val="2"/>
          </rPr>
          <t>Cassel, Lauren (Research):</t>
        </r>
        <r>
          <rPr>
            <sz val="9"/>
            <color indexed="81"/>
            <rFont val="Tahoma"/>
            <family val="2"/>
          </rPr>
          <t xml:space="preserve">
5/4/17: Easter shift benefitted BBW by +5%, so underlying +5%</t>
        </r>
      </text>
    </comment>
    <comment ref="DV36" authorId="6">
      <text>
        <r>
          <rPr>
            <b/>
            <sz val="9"/>
            <color indexed="81"/>
            <rFont val="Tahoma"/>
            <family val="2"/>
          </rPr>
          <t>Cassel, Lauren (Research):</t>
        </r>
        <r>
          <rPr>
            <sz val="9"/>
            <color indexed="81"/>
            <rFont val="Tahoma"/>
            <family val="2"/>
          </rPr>
          <t xml:space="preserve">
4/12/18: Expect the earlier Easter to negatively impact Easter comps by 2-3% (BBW probably a heavier 3)</t>
        </r>
      </text>
    </comment>
    <comment ref="BL37" authorId="0">
      <text>
        <r>
          <rPr>
            <b/>
            <sz val="8"/>
            <color indexed="81"/>
            <rFont val="Tahoma"/>
            <family val="2"/>
          </rPr>
          <t>dliu:</t>
        </r>
        <r>
          <rPr>
            <sz val="8"/>
            <color indexed="81"/>
            <rFont val="Tahoma"/>
            <family val="2"/>
          </rPr>
          <t xml:space="preserve">
3.9, 6.2</t>
        </r>
      </text>
    </comment>
    <comment ref="BL39" authorId="2">
      <text>
        <r>
          <rPr>
            <b/>
            <sz val="8"/>
            <color indexed="81"/>
            <rFont val="Tahoma"/>
            <family val="2"/>
          </rPr>
          <t>Corinna Freedman:</t>
        </r>
        <r>
          <rPr>
            <sz val="8"/>
            <color indexed="81"/>
            <rFont val="Tahoma"/>
            <family val="2"/>
          </rPr>
          <t xml:space="preserve">
2</t>
        </r>
      </text>
    </comment>
    <comment ref="BP39" authorId="2">
      <text>
        <r>
          <rPr>
            <b/>
            <sz val="8"/>
            <color indexed="81"/>
            <rFont val="Tahoma"/>
            <family val="2"/>
          </rPr>
          <t>Corinna Freedman:</t>
        </r>
        <r>
          <rPr>
            <sz val="8"/>
            <color indexed="81"/>
            <rFont val="Tahoma"/>
            <family val="2"/>
          </rPr>
          <t xml:space="preserve">
2
</t>
        </r>
      </text>
    </comment>
    <comment ref="BT39" authorId="3">
      <text>
        <r>
          <rPr>
            <b/>
            <sz val="8"/>
            <color indexed="81"/>
            <rFont val="Tahoma"/>
            <family val="2"/>
          </rPr>
          <t>mm98285:</t>
        </r>
        <r>
          <rPr>
            <sz val="8"/>
            <color indexed="81"/>
            <rFont val="Tahoma"/>
            <family val="2"/>
          </rPr>
          <t xml:space="preserve">
4.0% comp est.</t>
        </r>
      </text>
    </comment>
    <comment ref="BX39" authorId="3">
      <text>
        <r>
          <rPr>
            <b/>
            <sz val="8"/>
            <color indexed="81"/>
            <rFont val="Tahoma"/>
            <family val="2"/>
          </rPr>
          <t>mm98285:</t>
        </r>
        <r>
          <rPr>
            <sz val="8"/>
            <color indexed="81"/>
            <rFont val="Tahoma"/>
            <family val="2"/>
          </rPr>
          <t xml:space="preserve">
flat est</t>
        </r>
      </text>
    </comment>
    <comment ref="CB39" authorId="3">
      <text>
        <r>
          <rPr>
            <b/>
            <sz val="8"/>
            <color indexed="81"/>
            <rFont val="Tahoma"/>
            <family val="2"/>
          </rPr>
          <t>mm98285:</t>
        </r>
        <r>
          <rPr>
            <sz val="8"/>
            <color indexed="81"/>
            <rFont val="Tahoma"/>
            <family val="2"/>
          </rPr>
          <t xml:space="preserve">
-7% est.</t>
        </r>
      </text>
    </comment>
    <comment ref="CF39" authorId="3">
      <text>
        <r>
          <rPr>
            <b/>
            <sz val="8"/>
            <color indexed="81"/>
            <rFont val="Tahoma"/>
            <family val="2"/>
          </rPr>
          <t>mm98285:</t>
        </r>
        <r>
          <rPr>
            <sz val="8"/>
            <color indexed="81"/>
            <rFont val="Tahoma"/>
            <family val="2"/>
          </rPr>
          <t xml:space="preserve">
-5% est. </t>
        </r>
      </text>
    </comment>
    <comment ref="CJ39" authorId="9">
      <text>
        <r>
          <rPr>
            <b/>
            <sz val="8"/>
            <color indexed="81"/>
            <rFont val="Tahoma"/>
            <family val="2"/>
          </rPr>
          <t>NS66486:</t>
        </r>
        <r>
          <rPr>
            <sz val="8"/>
            <color indexed="81"/>
            <rFont val="Tahoma"/>
            <family val="2"/>
          </rPr>
          <t xml:space="preserve">
we est. (1%)</t>
        </r>
      </text>
    </comment>
    <comment ref="CN39" authorId="4">
      <text>
        <r>
          <rPr>
            <b/>
            <sz val="8"/>
            <color indexed="81"/>
            <rFont val="Tahoma"/>
            <family val="2"/>
          </rPr>
          <t>nicholjs:</t>
        </r>
        <r>
          <rPr>
            <sz val="8"/>
            <color indexed="81"/>
            <rFont val="Tahoma"/>
            <family val="2"/>
          </rPr>
          <t xml:space="preserve">
we est +6%</t>
        </r>
      </text>
    </comment>
    <comment ref="DJ39" authorId="6">
      <text>
        <r>
          <rPr>
            <b/>
            <sz val="9"/>
            <color indexed="81"/>
            <rFont val="Tahoma"/>
            <family val="2"/>
          </rPr>
          <t>Cassel, Lauren (Research):</t>
        </r>
        <r>
          <rPr>
            <sz val="9"/>
            <color indexed="81"/>
            <rFont val="Tahoma"/>
            <family val="2"/>
          </rPr>
          <t xml:space="preserve">
5/18/16: guidance BBW +LSD</t>
        </r>
      </text>
    </comment>
    <comment ref="DP39" authorId="6">
      <text>
        <r>
          <rPr>
            <b/>
            <sz val="9"/>
            <color indexed="81"/>
            <rFont val="Tahoma"/>
            <family val="2"/>
          </rPr>
          <t>Cassel, Lauren (Research):</t>
        </r>
        <r>
          <rPr>
            <sz val="9"/>
            <color indexed="81"/>
            <rFont val="Tahoma"/>
            <family val="2"/>
          </rPr>
          <t xml:space="preserve">
Direct +HSD</t>
        </r>
      </text>
    </comment>
    <comment ref="BL40" authorId="13">
      <text>
        <r>
          <rPr>
            <b/>
            <sz val="10"/>
            <color indexed="81"/>
            <rFont val="Tahoma"/>
            <family val="2"/>
          </rPr>
          <t xml:space="preserve">kgreenbe: </t>
        </r>
        <r>
          <rPr>
            <sz val="10"/>
            <color indexed="81"/>
            <rFont val="Tahoma"/>
            <family val="2"/>
          </rPr>
          <t>27.0</t>
        </r>
        <r>
          <rPr>
            <sz val="10"/>
            <color indexed="81"/>
            <rFont val="Tahoma"/>
            <family val="2"/>
          </rPr>
          <t xml:space="preserve">
if BBW sale starts before mid-June, June comps should be higher w/ July comps lower. Otherwise both June and July s/b strong.</t>
        </r>
      </text>
    </comment>
    <comment ref="BP40" authorId="2">
      <text>
        <r>
          <rPr>
            <b/>
            <sz val="8"/>
            <color indexed="81"/>
            <rFont val="Tahoma"/>
            <family val="2"/>
          </rPr>
          <t>Corinna Freedman:</t>
        </r>
        <r>
          <rPr>
            <sz val="8"/>
            <color indexed="81"/>
            <rFont val="Tahoma"/>
            <family val="2"/>
          </rPr>
          <t xml:space="preserve">
2</t>
        </r>
      </text>
    </comment>
    <comment ref="BT40" authorId="3">
      <text>
        <r>
          <rPr>
            <b/>
            <sz val="8"/>
            <color indexed="81"/>
            <rFont val="Tahoma"/>
            <family val="2"/>
          </rPr>
          <t>mm98285:</t>
        </r>
        <r>
          <rPr>
            <sz val="8"/>
            <color indexed="81"/>
            <rFont val="Tahoma"/>
            <family val="2"/>
          </rPr>
          <t xml:space="preserve">
+3.0% comp est. </t>
        </r>
      </text>
    </comment>
    <comment ref="BX40" authorId="3">
      <text>
        <r>
          <rPr>
            <b/>
            <sz val="8"/>
            <color indexed="81"/>
            <rFont val="Tahoma"/>
            <family val="2"/>
          </rPr>
          <t>mm98285:</t>
        </r>
        <r>
          <rPr>
            <sz val="8"/>
            <color indexed="81"/>
            <rFont val="Tahoma"/>
            <family val="2"/>
          </rPr>
          <t xml:space="preserve">
expect flat</t>
        </r>
      </text>
    </comment>
    <comment ref="CB40" authorId="3">
      <text>
        <r>
          <rPr>
            <b/>
            <sz val="8"/>
            <color indexed="81"/>
            <rFont val="Tahoma"/>
            <family val="2"/>
          </rPr>
          <t>mm98285:</t>
        </r>
        <r>
          <rPr>
            <sz val="8"/>
            <color indexed="81"/>
            <rFont val="Tahoma"/>
            <family val="2"/>
          </rPr>
          <t xml:space="preserve">
-10% est.</t>
        </r>
      </text>
    </comment>
    <comment ref="CF40" authorId="3">
      <text>
        <r>
          <rPr>
            <b/>
            <sz val="8"/>
            <color indexed="81"/>
            <rFont val="Tahoma"/>
            <family val="2"/>
          </rPr>
          <t>mm98285:</t>
        </r>
        <r>
          <rPr>
            <sz val="8"/>
            <color indexed="81"/>
            <rFont val="Tahoma"/>
            <family val="2"/>
          </rPr>
          <t xml:space="preserve">
-7% est. </t>
        </r>
      </text>
    </comment>
    <comment ref="CJ40" authorId="9">
      <text>
        <r>
          <rPr>
            <b/>
            <sz val="8"/>
            <color indexed="81"/>
            <rFont val="Tahoma"/>
            <family val="2"/>
          </rPr>
          <t>NS66486:</t>
        </r>
        <r>
          <rPr>
            <sz val="8"/>
            <color indexed="81"/>
            <rFont val="Tahoma"/>
            <family val="2"/>
          </rPr>
          <t xml:space="preserve">
estimate shorter semi annual sale (10 days vs. LY) will negatively impact June comps by 7 to 10 pts
we est (7%)</t>
        </r>
      </text>
    </comment>
    <comment ref="CN40" authorId="4">
      <text>
        <r>
          <rPr>
            <b/>
            <sz val="8"/>
            <color indexed="81"/>
            <rFont val="Tahoma"/>
            <family val="2"/>
          </rPr>
          <t>nicholjs:</t>
        </r>
        <r>
          <rPr>
            <sz val="8"/>
            <color indexed="81"/>
            <rFont val="Tahoma"/>
            <family val="2"/>
          </rPr>
          <t xml:space="preserve">
we est. +3%</t>
        </r>
      </text>
    </comment>
    <comment ref="CR40" authorId="10">
      <text>
        <r>
          <rPr>
            <b/>
            <sz val="8"/>
            <color indexed="81"/>
            <rFont val="Tahoma"/>
            <family val="2"/>
          </rPr>
          <t>P Kahng:</t>
        </r>
        <r>
          <rPr>
            <sz val="8"/>
            <color indexed="81"/>
            <rFont val="Tahoma"/>
            <family val="2"/>
          </rPr>
          <t xml:space="preserve">
5/31/12: SemiAnn sale will start 5 days later, negatively mipacating june comps and increase inventory</t>
        </r>
      </text>
    </comment>
    <comment ref="BH41" authorId="0">
      <text>
        <r>
          <rPr>
            <b/>
            <sz val="8"/>
            <color indexed="81"/>
            <rFont val="Tahoma"/>
            <family val="2"/>
          </rPr>
          <t>dliu:</t>
        </r>
        <r>
          <rPr>
            <sz val="8"/>
            <color indexed="81"/>
            <rFont val="Tahoma"/>
            <family val="2"/>
          </rPr>
          <t xml:space="preserve">
had 1. Positive comps for the last 4 mos have been driven by sale. </t>
        </r>
      </text>
    </comment>
    <comment ref="BL41" authorId="13">
      <text>
        <r>
          <rPr>
            <b/>
            <sz val="10"/>
            <color indexed="81"/>
            <rFont val="Tahoma"/>
            <family val="2"/>
          </rPr>
          <t>kgreenbe:4</t>
        </r>
        <r>
          <rPr>
            <sz val="10"/>
            <color indexed="81"/>
            <rFont val="Tahoma"/>
            <family val="2"/>
          </rPr>
          <t xml:space="preserve">
if BBW sale starts before mid-June, June comps should be higher w/ July comps lower. Otherwise both June and July s/b strong.</t>
        </r>
      </text>
    </comment>
    <comment ref="BP41" authorId="2">
      <text>
        <r>
          <rPr>
            <b/>
            <sz val="8"/>
            <color indexed="81"/>
            <rFont val="Tahoma"/>
            <family val="2"/>
          </rPr>
          <t>Corinna Freedman:</t>
        </r>
        <r>
          <rPr>
            <sz val="8"/>
            <color indexed="81"/>
            <rFont val="Tahoma"/>
            <family val="2"/>
          </rPr>
          <t xml:space="preserve">
5</t>
        </r>
      </text>
    </comment>
    <comment ref="BT41" authorId="3">
      <text>
        <r>
          <rPr>
            <b/>
            <sz val="8"/>
            <color indexed="81"/>
            <rFont val="Tahoma"/>
            <family val="2"/>
          </rPr>
          <t>mm98285:</t>
        </r>
        <r>
          <rPr>
            <sz val="8"/>
            <color indexed="81"/>
            <rFont val="Tahoma"/>
            <family val="2"/>
          </rPr>
          <t xml:space="preserve">
8.0% est.</t>
        </r>
      </text>
    </comment>
    <comment ref="BX41" authorId="3">
      <text>
        <r>
          <rPr>
            <b/>
            <sz val="8"/>
            <color indexed="81"/>
            <rFont val="Tahoma"/>
            <family val="2"/>
          </rPr>
          <t>mm98285:</t>
        </r>
        <r>
          <rPr>
            <sz val="8"/>
            <color indexed="81"/>
            <rFont val="Tahoma"/>
            <family val="2"/>
          </rPr>
          <t xml:space="preserve">
flat</t>
        </r>
      </text>
    </comment>
    <comment ref="CB41" authorId="3">
      <text>
        <r>
          <rPr>
            <b/>
            <sz val="8"/>
            <color indexed="81"/>
            <rFont val="Tahoma"/>
            <family val="2"/>
          </rPr>
          <t>mm98285:</t>
        </r>
        <r>
          <rPr>
            <sz val="8"/>
            <color indexed="81"/>
            <rFont val="Tahoma"/>
            <family val="2"/>
          </rPr>
          <t xml:space="preserve">
-8%</t>
        </r>
      </text>
    </comment>
    <comment ref="CF41" authorId="3">
      <text>
        <r>
          <rPr>
            <b/>
            <sz val="8"/>
            <color indexed="81"/>
            <rFont val="Tahoma"/>
            <family val="2"/>
          </rPr>
          <t>mm98285:</t>
        </r>
        <r>
          <rPr>
            <sz val="8"/>
            <color indexed="81"/>
            <rFont val="Tahoma"/>
            <family val="2"/>
          </rPr>
          <t xml:space="preserve">
-10% est. </t>
        </r>
      </text>
    </comment>
    <comment ref="CJ41" authorId="4">
      <text>
        <r>
          <rPr>
            <b/>
            <sz val="8"/>
            <color indexed="81"/>
            <rFont val="Tahoma"/>
            <family val="2"/>
          </rPr>
          <t>nicholjs:</t>
        </r>
        <r>
          <rPr>
            <sz val="8"/>
            <color indexed="81"/>
            <rFont val="Tahoma"/>
            <family val="2"/>
          </rPr>
          <t xml:space="preserve">
we est +3%
July  included one additional day of semi-annual sale vs LY which positively impacted July's comp by 3-4pts </t>
        </r>
      </text>
    </comment>
    <comment ref="CN41" authorId="4">
      <text>
        <r>
          <rPr>
            <b/>
            <sz val="8"/>
            <color indexed="81"/>
            <rFont val="Tahoma"/>
            <family val="2"/>
          </rPr>
          <t>nicholjs:</t>
        </r>
        <r>
          <rPr>
            <sz val="8"/>
            <color indexed="81"/>
            <rFont val="Tahoma"/>
            <family val="2"/>
          </rPr>
          <t xml:space="preserve">
we est +2%</t>
        </r>
      </text>
    </comment>
    <comment ref="CR41" authorId="10">
      <text>
        <r>
          <rPr>
            <b/>
            <sz val="8"/>
            <color indexed="81"/>
            <rFont val="Tahoma"/>
            <family val="2"/>
          </rPr>
          <t>8/2/12: Expected 8.0%
P Kahng:</t>
        </r>
        <r>
          <rPr>
            <sz val="8"/>
            <color indexed="81"/>
            <rFont val="Tahoma"/>
            <family val="2"/>
          </rPr>
          <t xml:space="preserve">
7/5/12: 6-7% benefit from SemiAnn sale timing shift
5/31/12: prior est 3%</t>
        </r>
      </text>
    </comment>
    <comment ref="BL42" authorId="2">
      <text>
        <r>
          <rPr>
            <b/>
            <sz val="8"/>
            <color indexed="81"/>
            <rFont val="Tahoma"/>
            <family val="2"/>
          </rPr>
          <t>Corinna Freedman:</t>
        </r>
        <r>
          <rPr>
            <sz val="8"/>
            <color indexed="81"/>
            <rFont val="Tahoma"/>
            <family val="2"/>
          </rPr>
          <t xml:space="preserve">
17
</t>
        </r>
      </text>
    </comment>
    <comment ref="DP42" authorId="6">
      <text>
        <r>
          <rPr>
            <b/>
            <sz val="9"/>
            <color indexed="81"/>
            <rFont val="Tahoma"/>
            <family val="2"/>
          </rPr>
          <t>Cassel, Lauren (Research):</t>
        </r>
        <r>
          <rPr>
            <sz val="9"/>
            <color indexed="81"/>
            <rFont val="Tahoma"/>
            <family val="2"/>
          </rPr>
          <t xml:space="preserve">
BBW needs a +HSD comp to leverage B&amp;O given remodels</t>
        </r>
      </text>
    </comment>
    <comment ref="BH44" authorId="0">
      <text>
        <r>
          <rPr>
            <b/>
            <sz val="8"/>
            <color indexed="81"/>
            <rFont val="Tahoma"/>
            <family val="2"/>
          </rPr>
          <t>dliu:</t>
        </r>
        <r>
          <rPr>
            <sz val="8"/>
            <color indexed="81"/>
            <rFont val="Tahoma"/>
            <family val="2"/>
          </rPr>
          <t xml:space="preserve">
3</t>
        </r>
      </text>
    </comment>
    <comment ref="BL44" authorId="2">
      <text>
        <r>
          <rPr>
            <b/>
            <sz val="8"/>
            <color indexed="81"/>
            <rFont val="Tahoma"/>
            <family val="2"/>
          </rPr>
          <t>Corinna Freedman:</t>
        </r>
        <r>
          <rPr>
            <sz val="8"/>
            <color indexed="81"/>
            <rFont val="Tahoma"/>
            <family val="2"/>
          </rPr>
          <t xml:space="preserve">
1.5</t>
        </r>
      </text>
    </comment>
    <comment ref="BP44" authorId="2">
      <text>
        <r>
          <rPr>
            <b/>
            <sz val="8"/>
            <color indexed="81"/>
            <rFont val="Tahoma"/>
            <family val="2"/>
          </rPr>
          <t>Corinna Freedman:</t>
        </r>
        <r>
          <rPr>
            <sz val="8"/>
            <color indexed="81"/>
            <rFont val="Tahoma"/>
            <family val="2"/>
          </rPr>
          <t xml:space="preserve">
3e</t>
        </r>
      </text>
    </comment>
    <comment ref="BT44" authorId="3">
      <text>
        <r>
          <rPr>
            <b/>
            <sz val="8"/>
            <color indexed="81"/>
            <rFont val="Tahoma"/>
            <family val="2"/>
          </rPr>
          <t>mm98285:</t>
        </r>
        <r>
          <rPr>
            <sz val="8"/>
            <color indexed="81"/>
            <rFont val="Tahoma"/>
            <family val="2"/>
          </rPr>
          <t xml:space="preserve">
5.0% comp est.
8/06: expect +L-MSD</t>
        </r>
      </text>
    </comment>
    <comment ref="BX44" authorId="3">
      <text>
        <r>
          <rPr>
            <b/>
            <sz val="8"/>
            <color indexed="81"/>
            <rFont val="Tahoma"/>
            <family val="2"/>
          </rPr>
          <t>mm98285:</t>
        </r>
        <r>
          <rPr>
            <sz val="8"/>
            <color indexed="81"/>
            <rFont val="Tahoma"/>
            <family val="2"/>
          </rPr>
          <t xml:space="preserve">
flat estimate</t>
        </r>
      </text>
    </comment>
    <comment ref="CB44" authorId="3">
      <text>
        <r>
          <rPr>
            <b/>
            <sz val="8"/>
            <color indexed="81"/>
            <rFont val="Tahoma"/>
            <family val="2"/>
          </rPr>
          <t>mm98285:</t>
        </r>
        <r>
          <rPr>
            <sz val="8"/>
            <color indexed="81"/>
            <rFont val="Tahoma"/>
            <family val="2"/>
          </rPr>
          <t xml:space="preserve">
-8% est.</t>
        </r>
      </text>
    </comment>
    <comment ref="CF44" authorId="3">
      <text>
        <r>
          <rPr>
            <b/>
            <sz val="8"/>
            <color indexed="81"/>
            <rFont val="Tahoma"/>
            <family val="2"/>
          </rPr>
          <t>mm98285:</t>
        </r>
        <r>
          <rPr>
            <sz val="8"/>
            <color indexed="81"/>
            <rFont val="Tahoma"/>
            <family val="2"/>
          </rPr>
          <t xml:space="preserve">
-3% est.</t>
        </r>
      </text>
    </comment>
    <comment ref="CJ44" authorId="4">
      <text>
        <r>
          <rPr>
            <b/>
            <sz val="8"/>
            <color indexed="81"/>
            <rFont val="Tahoma"/>
            <family val="2"/>
          </rPr>
          <t>nicholjs:</t>
        </r>
        <r>
          <rPr>
            <sz val="8"/>
            <color indexed="81"/>
            <rFont val="Tahoma"/>
            <family val="2"/>
          </rPr>
          <t xml:space="preserve">
we est. +5%</t>
        </r>
      </text>
    </comment>
    <comment ref="CN44" authorId="4">
      <text>
        <r>
          <rPr>
            <b/>
            <sz val="8"/>
            <color indexed="81"/>
            <rFont val="Tahoma"/>
            <family val="2"/>
          </rPr>
          <t>nicholjs:</t>
        </r>
        <r>
          <rPr>
            <sz val="8"/>
            <color indexed="81"/>
            <rFont val="Tahoma"/>
            <family val="2"/>
          </rPr>
          <t xml:space="preserve">
included launch of new Sign. Collection Paris Amour vs. the launch of Dark Kiss in September LY.  So benefit to August from incremental launch.
we est +4%</t>
        </r>
      </text>
    </comment>
    <comment ref="CR44" authorId="12">
      <text>
        <r>
          <rPr>
            <b/>
            <sz val="8"/>
            <color indexed="81"/>
            <rFont val="Tahoma"/>
            <family val="2"/>
          </rPr>
          <t>solejay:</t>
        </r>
        <r>
          <rPr>
            <sz val="8"/>
            <color indexed="81"/>
            <rFont val="Tahoma"/>
            <family val="2"/>
          </rPr>
          <t xml:space="preserve">
BBW comps +6% driven by the performance of the Signature Collection and home fragrance categories. 
Merchandise margin rate was up slightly to LY. 
This week (1st week of Sept) BBW continues to feature its “From Paris With Love” theme.  It will then transition to its “Autumn in America” theme that features new fall inspired fragrances in Signature Collection, Home Fragrance, and Soap &amp; Sanitizer business.
</t>
        </r>
      </text>
    </comment>
    <comment ref="BH45" authorId="0">
      <text>
        <r>
          <rPr>
            <b/>
            <sz val="8"/>
            <color indexed="81"/>
            <rFont val="Tahoma"/>
            <family val="2"/>
          </rPr>
          <t>dliu:</t>
        </r>
        <r>
          <rPr>
            <sz val="8"/>
            <color indexed="81"/>
            <rFont val="Tahoma"/>
            <family val="2"/>
          </rPr>
          <t xml:space="preserve">
2.0</t>
        </r>
      </text>
    </comment>
    <comment ref="BL45" authorId="2">
      <text>
        <r>
          <rPr>
            <b/>
            <sz val="8"/>
            <color indexed="81"/>
            <rFont val="Tahoma"/>
            <family val="2"/>
          </rPr>
          <t>Corinna Freedman:</t>
        </r>
        <r>
          <rPr>
            <sz val="8"/>
            <color indexed="81"/>
            <rFont val="Tahoma"/>
            <family val="2"/>
          </rPr>
          <t xml:space="preserve">
9</t>
        </r>
      </text>
    </comment>
    <comment ref="BP45" authorId="2">
      <text>
        <r>
          <rPr>
            <b/>
            <sz val="8"/>
            <color indexed="81"/>
            <rFont val="Tahoma"/>
            <family val="2"/>
          </rPr>
          <t>Corinna Freedman:</t>
        </r>
        <r>
          <rPr>
            <sz val="8"/>
            <color indexed="81"/>
            <rFont val="Tahoma"/>
            <family val="2"/>
          </rPr>
          <t xml:space="preserve">
2e</t>
        </r>
      </text>
    </comment>
    <comment ref="BT45" authorId="3">
      <text>
        <r>
          <rPr>
            <b/>
            <sz val="8"/>
            <color indexed="81"/>
            <rFont val="Tahoma"/>
            <family val="2"/>
          </rPr>
          <t>mm98285:</t>
        </r>
        <r>
          <rPr>
            <sz val="8"/>
            <color indexed="81"/>
            <rFont val="Tahoma"/>
            <family val="2"/>
          </rPr>
          <t xml:space="preserve">
+6.0% comp est.
expect strong +MSD</t>
        </r>
      </text>
    </comment>
    <comment ref="BX45" authorId="3">
      <text>
        <r>
          <rPr>
            <b/>
            <sz val="8"/>
            <color indexed="81"/>
            <rFont val="Tahoma"/>
            <family val="2"/>
          </rPr>
          <t>mm98285:</t>
        </r>
        <r>
          <rPr>
            <sz val="8"/>
            <color indexed="81"/>
            <rFont val="Tahoma"/>
            <family val="2"/>
          </rPr>
          <t xml:space="preserve">
-1.0% est
9/07: expect slightly positive</t>
        </r>
      </text>
    </comment>
    <comment ref="CB45" authorId="3">
      <text>
        <r>
          <rPr>
            <b/>
            <sz val="8"/>
            <color indexed="81"/>
            <rFont val="Tahoma"/>
            <family val="2"/>
          </rPr>
          <t>mm98285:</t>
        </r>
        <r>
          <rPr>
            <sz val="8"/>
            <color indexed="81"/>
            <rFont val="Tahoma"/>
            <family val="2"/>
          </rPr>
          <t xml:space="preserve">
-7% est.
9/08: expect -MSD</t>
        </r>
      </text>
    </comment>
    <comment ref="CF45" authorId="3">
      <text>
        <r>
          <rPr>
            <b/>
            <sz val="8"/>
            <color indexed="81"/>
            <rFont val="Tahoma"/>
            <family val="2"/>
          </rPr>
          <t>mm98285:</t>
        </r>
        <r>
          <rPr>
            <sz val="8"/>
            <color indexed="81"/>
            <rFont val="Tahoma"/>
            <family val="2"/>
          </rPr>
          <t xml:space="preserve">
flat estimate</t>
        </r>
      </text>
    </comment>
    <comment ref="CJ45" authorId="4">
      <text>
        <r>
          <rPr>
            <b/>
            <sz val="8"/>
            <color indexed="81"/>
            <rFont val="Tahoma"/>
            <family val="2"/>
          </rPr>
          <t>nicholjs:</t>
        </r>
        <r>
          <rPr>
            <sz val="8"/>
            <color indexed="81"/>
            <rFont val="Tahoma"/>
            <family val="2"/>
          </rPr>
          <t xml:space="preserve">
we est +3%
sounds like low end of guidance range (+LSD-MSD)</t>
        </r>
      </text>
    </comment>
    <comment ref="CN45" authorId="4">
      <text>
        <r>
          <rPr>
            <b/>
            <sz val="8"/>
            <color indexed="81"/>
            <rFont val="Tahoma"/>
            <family val="2"/>
          </rPr>
          <t>nicholjs:</t>
        </r>
        <r>
          <rPr>
            <sz val="8"/>
            <color indexed="81"/>
            <rFont val="Tahoma"/>
            <family val="2"/>
          </rPr>
          <t xml:space="preserve">
9/2011: probably flat to up slightly
LY launched Sign. Collection Dark Kiss.  No launch TY - could limit comp?</t>
        </r>
      </text>
    </comment>
    <comment ref="CR45" authorId="12">
      <text>
        <r>
          <rPr>
            <b/>
            <sz val="8"/>
            <color indexed="81"/>
            <rFont val="Tahoma"/>
            <family val="2"/>
          </rPr>
          <t>solejay:</t>
        </r>
        <r>
          <rPr>
            <sz val="8"/>
            <color indexed="81"/>
            <rFont val="Tahoma"/>
            <family val="2"/>
          </rPr>
          <t xml:space="preserve">
BBW comps +5%
…vs. 12% last year, driven by the performance of Signature Collection, Home Fragrance and Soap &amp; Sanitizer businesses driven by the performance of the Signature Collection and home fragrance categories. 
Merchandise margin rate was flat to LY. 
This week LTD continues to feature its Autumn In America theme. It then launches its newest Signature Collection Fragrance Cashmere Glow, while also beginning to introduce seasonally relevant fragrances in the Home Fragrance and Soap &amp; Sanitizer business. </t>
        </r>
      </text>
    </comment>
    <comment ref="DD45" authorId="1">
      <text>
        <r>
          <rPr>
            <b/>
            <sz val="9"/>
            <color indexed="81"/>
            <rFont val="Tahoma"/>
            <family val="2"/>
          </rPr>
          <t>casselau:</t>
        </r>
        <r>
          <rPr>
            <sz val="9"/>
            <color indexed="81"/>
            <rFont val="Tahoma"/>
            <family val="2"/>
          </rPr>
          <t xml:space="preserve">
benefitted from the Labor Day shift</t>
        </r>
      </text>
    </comment>
    <comment ref="BL46" authorId="2">
      <text>
        <r>
          <rPr>
            <b/>
            <sz val="8"/>
            <color indexed="81"/>
            <rFont val="Tahoma"/>
            <family val="2"/>
          </rPr>
          <t>Corinna Freedman:</t>
        </r>
        <r>
          <rPr>
            <sz val="8"/>
            <color indexed="81"/>
            <rFont val="Tahoma"/>
            <family val="2"/>
          </rPr>
          <t xml:space="preserve">
12</t>
        </r>
      </text>
    </comment>
    <comment ref="BP46" authorId="2">
      <text>
        <r>
          <rPr>
            <b/>
            <sz val="8"/>
            <color indexed="81"/>
            <rFont val="Tahoma"/>
            <family val="2"/>
          </rPr>
          <t>Corinna Freedman:</t>
        </r>
        <r>
          <rPr>
            <sz val="8"/>
            <color indexed="81"/>
            <rFont val="Tahoma"/>
            <family val="2"/>
          </rPr>
          <t xml:space="preserve">
prev = 4e</t>
        </r>
      </text>
    </comment>
    <comment ref="BT46" authorId="3">
      <text>
        <r>
          <rPr>
            <b/>
            <sz val="8"/>
            <color indexed="81"/>
            <rFont val="Tahoma"/>
            <family val="2"/>
          </rPr>
          <t>mm98285:</t>
        </r>
        <r>
          <rPr>
            <sz val="8"/>
            <color indexed="81"/>
            <rFont val="Tahoma"/>
            <family val="2"/>
          </rPr>
          <t xml:space="preserve">
+7.0% comp est.
expect +M-HSD</t>
        </r>
      </text>
    </comment>
    <comment ref="BX46" authorId="3">
      <text>
        <r>
          <rPr>
            <b/>
            <sz val="8"/>
            <color indexed="81"/>
            <rFont val="Tahoma"/>
            <family val="2"/>
          </rPr>
          <t>mm98285:</t>
        </r>
        <r>
          <rPr>
            <sz val="8"/>
            <color indexed="81"/>
            <rFont val="Tahoma"/>
            <family val="2"/>
          </rPr>
          <t xml:space="preserve">
-1.0% est</t>
        </r>
      </text>
    </comment>
    <comment ref="CB46" authorId="3">
      <text>
        <r>
          <rPr>
            <b/>
            <sz val="8"/>
            <color indexed="81"/>
            <rFont val="Tahoma"/>
            <family val="2"/>
          </rPr>
          <t>mm98285:</t>
        </r>
        <r>
          <rPr>
            <sz val="8"/>
            <color indexed="81"/>
            <rFont val="Tahoma"/>
            <family val="2"/>
          </rPr>
          <t xml:space="preserve">
-5% est. </t>
        </r>
      </text>
    </comment>
    <comment ref="CF46" authorId="3">
      <text>
        <r>
          <rPr>
            <b/>
            <sz val="8"/>
            <color indexed="81"/>
            <rFont val="Tahoma"/>
            <family val="2"/>
          </rPr>
          <t>mm98285:</t>
        </r>
        <r>
          <rPr>
            <sz val="8"/>
            <color indexed="81"/>
            <rFont val="Tahoma"/>
            <family val="2"/>
          </rPr>
          <t xml:space="preserve">
+1% est. 
+LSD</t>
        </r>
      </text>
    </comment>
    <comment ref="CJ46" authorId="4">
      <text>
        <r>
          <rPr>
            <b/>
            <sz val="8"/>
            <color indexed="81"/>
            <rFont val="Tahoma"/>
            <family val="2"/>
          </rPr>
          <t>nicholjs:</t>
        </r>
        <r>
          <rPr>
            <sz val="8"/>
            <color indexed="81"/>
            <rFont val="Tahoma"/>
            <family val="2"/>
          </rPr>
          <t xml:space="preserve">
we est +2%
10/7/2010: this week we will transition into Holiday floorset (relaunch of Twilight Woods and launch of new seasonal fragrances)</t>
        </r>
      </text>
    </comment>
    <comment ref="BH47" authorId="0">
      <text>
        <r>
          <rPr>
            <b/>
            <sz val="8"/>
            <color indexed="81"/>
            <rFont val="Tahoma"/>
            <family val="2"/>
          </rPr>
          <t>dliu:</t>
        </r>
        <r>
          <rPr>
            <sz val="8"/>
            <color indexed="81"/>
            <rFont val="Tahoma"/>
            <family val="2"/>
          </rPr>
          <t xml:space="preserve">
2.5, 2.6</t>
        </r>
      </text>
    </comment>
    <comment ref="BH49" authorId="0">
      <text>
        <r>
          <rPr>
            <b/>
            <sz val="8"/>
            <color indexed="81"/>
            <rFont val="Tahoma"/>
            <family val="2"/>
          </rPr>
          <t>dliu:</t>
        </r>
        <r>
          <rPr>
            <sz val="8"/>
            <color indexed="81"/>
            <rFont val="Tahoma"/>
            <family val="2"/>
          </rPr>
          <t xml:space="preserve">
6</t>
        </r>
      </text>
    </comment>
    <comment ref="BL49" authorId="2">
      <text>
        <r>
          <rPr>
            <b/>
            <sz val="8"/>
            <color indexed="81"/>
            <rFont val="Tahoma"/>
            <family val="2"/>
          </rPr>
          <t>Corinna Freedman:</t>
        </r>
        <r>
          <rPr>
            <sz val="8"/>
            <color indexed="81"/>
            <rFont val="Tahoma"/>
            <family val="2"/>
          </rPr>
          <t xml:space="preserve">
8</t>
        </r>
      </text>
    </comment>
    <comment ref="BP49" authorId="2">
      <text>
        <r>
          <rPr>
            <b/>
            <sz val="8"/>
            <color indexed="81"/>
            <rFont val="Tahoma"/>
            <family val="2"/>
          </rPr>
          <t>Corinna Freedman:</t>
        </r>
        <r>
          <rPr>
            <sz val="8"/>
            <color indexed="81"/>
            <rFont val="Tahoma"/>
            <family val="2"/>
          </rPr>
          <t xml:space="preserve">
4e</t>
        </r>
      </text>
    </comment>
    <comment ref="BT49" authorId="3">
      <text>
        <r>
          <rPr>
            <b/>
            <sz val="8"/>
            <color indexed="81"/>
            <rFont val="Tahoma"/>
            <family val="2"/>
          </rPr>
          <t>mm98285:</t>
        </r>
        <r>
          <rPr>
            <sz val="8"/>
            <color indexed="81"/>
            <rFont val="Tahoma"/>
            <family val="2"/>
          </rPr>
          <t xml:space="preserve">
guid. +MSD
+6.0% comp est.</t>
        </r>
      </text>
    </comment>
    <comment ref="BX49" authorId="3">
      <text>
        <r>
          <rPr>
            <b/>
            <sz val="8"/>
            <color indexed="81"/>
            <rFont val="Tahoma"/>
            <family val="2"/>
          </rPr>
          <t>mm98285:</t>
        </r>
        <r>
          <rPr>
            <sz val="8"/>
            <color indexed="81"/>
            <rFont val="Tahoma"/>
            <family val="2"/>
          </rPr>
          <t xml:space="preserve">
-5% est.</t>
        </r>
      </text>
    </comment>
    <comment ref="CB49" authorId="3">
      <text>
        <r>
          <rPr>
            <b/>
            <sz val="8"/>
            <color indexed="81"/>
            <rFont val="Tahoma"/>
            <family val="2"/>
          </rPr>
          <t>mm98285:</t>
        </r>
        <r>
          <rPr>
            <sz val="8"/>
            <color indexed="81"/>
            <rFont val="Tahoma"/>
            <family val="2"/>
          </rPr>
          <t xml:space="preserve">
-12% est.</t>
        </r>
      </text>
    </comment>
    <comment ref="CF49" authorId="3">
      <text>
        <r>
          <rPr>
            <b/>
            <sz val="8"/>
            <color indexed="81"/>
            <rFont val="Tahoma"/>
            <family val="2"/>
          </rPr>
          <t>mm98285:</t>
        </r>
        <r>
          <rPr>
            <sz val="8"/>
            <color indexed="81"/>
            <rFont val="Tahoma"/>
            <family val="2"/>
          </rPr>
          <t xml:space="preserve">
+2% estimate</t>
        </r>
      </text>
    </comment>
    <comment ref="CJ49" authorId="4">
      <text>
        <r>
          <rPr>
            <b/>
            <sz val="8"/>
            <color indexed="81"/>
            <rFont val="Tahoma"/>
            <family val="2"/>
          </rPr>
          <t>nicholjs:</t>
        </r>
        <r>
          <rPr>
            <sz val="8"/>
            <color indexed="81"/>
            <rFont val="Tahoma"/>
            <family val="2"/>
          </rPr>
          <t xml:space="preserve">
est +4%</t>
        </r>
      </text>
    </comment>
    <comment ref="CR49" authorId="1">
      <text>
        <r>
          <rPr>
            <b/>
            <sz val="8"/>
            <color indexed="81"/>
            <rFont val="Tahoma"/>
            <family val="2"/>
          </rPr>
          <t>casselau:</t>
        </r>
        <r>
          <rPr>
            <sz val="8"/>
            <color indexed="81"/>
            <rFont val="Tahoma"/>
            <family val="2"/>
          </rPr>
          <t xml:space="preserve">
11/29: merch margin flat</t>
        </r>
      </text>
    </comment>
    <comment ref="BH50" authorId="0">
      <text>
        <r>
          <rPr>
            <b/>
            <sz val="8"/>
            <color indexed="81"/>
            <rFont val="Tahoma"/>
            <family val="2"/>
          </rPr>
          <t>dliu:</t>
        </r>
        <r>
          <rPr>
            <sz val="8"/>
            <color indexed="81"/>
            <rFont val="Tahoma"/>
            <family val="2"/>
          </rPr>
          <t xml:space="preserve">
5.0</t>
        </r>
      </text>
    </comment>
    <comment ref="BL50" authorId="2">
      <text>
        <r>
          <rPr>
            <b/>
            <sz val="8"/>
            <color indexed="81"/>
            <rFont val="Tahoma"/>
            <family val="2"/>
          </rPr>
          <t>Corinna Freedman:</t>
        </r>
        <r>
          <rPr>
            <sz val="8"/>
            <color indexed="81"/>
            <rFont val="Tahoma"/>
            <family val="2"/>
          </rPr>
          <t xml:space="preserve">
5</t>
        </r>
      </text>
    </comment>
    <comment ref="BP50" authorId="14">
      <text>
        <r>
          <rPr>
            <b/>
            <sz val="8"/>
            <color indexed="81"/>
            <rFont val="Tahoma"/>
            <family val="2"/>
          </rPr>
          <t>Cf52662:</t>
        </r>
        <r>
          <rPr>
            <sz val="8"/>
            <color indexed="81"/>
            <rFont val="Tahoma"/>
            <family val="2"/>
          </rPr>
          <t xml:space="preserve">
3e</t>
        </r>
      </text>
    </comment>
    <comment ref="BT50" authorId="3">
      <text>
        <r>
          <rPr>
            <b/>
            <sz val="8"/>
            <color indexed="81"/>
            <rFont val="Tahoma"/>
            <family val="2"/>
          </rPr>
          <t>mm98285:</t>
        </r>
        <r>
          <rPr>
            <sz val="8"/>
            <color indexed="81"/>
            <rFont val="Tahoma"/>
            <family val="2"/>
          </rPr>
          <t xml:space="preserve">
+12.0% comp est.</t>
        </r>
      </text>
    </comment>
    <comment ref="BX50" authorId="3">
      <text>
        <r>
          <rPr>
            <b/>
            <sz val="8"/>
            <color indexed="81"/>
            <rFont val="Tahoma"/>
            <family val="2"/>
          </rPr>
          <t>mm98285:</t>
        </r>
        <r>
          <rPr>
            <sz val="8"/>
            <color indexed="81"/>
            <rFont val="Tahoma"/>
            <family val="2"/>
          </rPr>
          <t xml:space="preserve">
-2.0% est.</t>
        </r>
      </text>
    </comment>
    <comment ref="CB50" authorId="3">
      <text>
        <r>
          <rPr>
            <b/>
            <sz val="8"/>
            <color indexed="81"/>
            <rFont val="Tahoma"/>
            <family val="2"/>
          </rPr>
          <t>mm98285:</t>
        </r>
        <r>
          <rPr>
            <sz val="8"/>
            <color indexed="81"/>
            <rFont val="Tahoma"/>
            <family val="2"/>
          </rPr>
          <t xml:space="preserve">
-9% est. </t>
        </r>
      </text>
    </comment>
    <comment ref="CF50" authorId="3">
      <text>
        <r>
          <rPr>
            <b/>
            <sz val="8"/>
            <color indexed="81"/>
            <rFont val="Tahoma"/>
            <family val="2"/>
          </rPr>
          <t>mm98285:</t>
        </r>
        <r>
          <rPr>
            <sz val="8"/>
            <color indexed="81"/>
            <rFont val="Tahoma"/>
            <family val="2"/>
          </rPr>
          <t xml:space="preserve">
+2% estimate</t>
        </r>
      </text>
    </comment>
    <comment ref="CJ50" authorId="4">
      <text>
        <r>
          <rPr>
            <b/>
            <sz val="8"/>
            <color indexed="81"/>
            <rFont val="Tahoma"/>
            <family val="2"/>
          </rPr>
          <t>nicholjs:</t>
        </r>
        <r>
          <rPr>
            <sz val="8"/>
            <color indexed="81"/>
            <rFont val="Tahoma"/>
            <family val="2"/>
          </rPr>
          <t xml:space="preserve">
we est +2%
12/2010: could be lower end of +LSD</t>
        </r>
      </text>
    </comment>
    <comment ref="CR50" authorId="1">
      <text>
        <r>
          <rPr>
            <b/>
            <sz val="8"/>
            <color indexed="81"/>
            <rFont val="Tahoma"/>
            <family val="2"/>
          </rPr>
          <t>casselau:</t>
        </r>
        <r>
          <rPr>
            <sz val="8"/>
            <color indexed="81"/>
            <rFont val="Tahoma"/>
            <family val="2"/>
          </rPr>
          <t xml:space="preserve">
Merchandise margin rate up vs. LY.</t>
        </r>
      </text>
    </comment>
    <comment ref="BH51" authorId="0">
      <text>
        <r>
          <rPr>
            <b/>
            <sz val="8"/>
            <color indexed="81"/>
            <rFont val="Tahoma"/>
            <family val="2"/>
          </rPr>
          <t>dliu:</t>
        </r>
        <r>
          <rPr>
            <sz val="8"/>
            <color indexed="81"/>
            <rFont val="Tahoma"/>
            <family val="2"/>
          </rPr>
          <t xml:space="preserve">
+18</t>
        </r>
      </text>
    </comment>
    <comment ref="BL51" authorId="2">
      <text>
        <r>
          <rPr>
            <b/>
            <sz val="8"/>
            <color indexed="81"/>
            <rFont val="Tahoma"/>
            <family val="2"/>
          </rPr>
          <t>Corinna Freedman:</t>
        </r>
        <r>
          <rPr>
            <sz val="8"/>
            <color indexed="81"/>
            <rFont val="Tahoma"/>
            <family val="2"/>
          </rPr>
          <t xml:space="preserve">
11</t>
        </r>
      </text>
    </comment>
    <comment ref="BP51" authorId="15">
      <text>
        <r>
          <rPr>
            <b/>
            <sz val="8"/>
            <color indexed="81"/>
            <rFont val="Tahoma"/>
            <family val="2"/>
          </rPr>
          <t>MB33100:</t>
        </r>
        <r>
          <rPr>
            <sz val="8"/>
            <color indexed="81"/>
            <rFont val="Tahoma"/>
            <family val="2"/>
          </rPr>
          <t xml:space="preserve">
0.0</t>
        </r>
      </text>
    </comment>
    <comment ref="BT51" authorId="3">
      <text>
        <r>
          <rPr>
            <b/>
            <sz val="8"/>
            <color indexed="81"/>
            <rFont val="Tahoma"/>
            <family val="2"/>
          </rPr>
          <t>mm98285:</t>
        </r>
        <r>
          <rPr>
            <sz val="8"/>
            <color indexed="81"/>
            <rFont val="Tahoma"/>
            <family val="2"/>
          </rPr>
          <t xml:space="preserve">
+12.0% comp est. </t>
        </r>
      </text>
    </comment>
    <comment ref="BX51" authorId="3">
      <text>
        <r>
          <rPr>
            <b/>
            <sz val="8"/>
            <color indexed="81"/>
            <rFont val="Tahoma"/>
            <family val="2"/>
          </rPr>
          <t>mm98285:</t>
        </r>
        <r>
          <rPr>
            <sz val="8"/>
            <color indexed="81"/>
            <rFont val="Tahoma"/>
            <family val="2"/>
          </rPr>
          <t xml:space="preserve">
-7% est</t>
        </r>
      </text>
    </comment>
    <comment ref="CB51" authorId="3">
      <text>
        <r>
          <rPr>
            <b/>
            <sz val="8"/>
            <color indexed="81"/>
            <rFont val="Tahoma"/>
            <family val="2"/>
          </rPr>
          <t>mm98285:</t>
        </r>
        <r>
          <rPr>
            <sz val="8"/>
            <color indexed="81"/>
            <rFont val="Tahoma"/>
            <family val="2"/>
          </rPr>
          <t xml:space="preserve">
-14% est. </t>
        </r>
      </text>
    </comment>
    <comment ref="CF51" authorId="3">
      <text>
        <r>
          <rPr>
            <b/>
            <sz val="8"/>
            <color indexed="81"/>
            <rFont val="Tahoma"/>
            <family val="2"/>
          </rPr>
          <t>mm98285:</t>
        </r>
        <r>
          <rPr>
            <sz val="8"/>
            <color indexed="81"/>
            <rFont val="Tahoma"/>
            <family val="2"/>
          </rPr>
          <t xml:space="preserve">
-9.5% estimate
1/10: Semi-annual sale cut 8 days short which should neg. impact Jan comps by ~5-10%</t>
        </r>
      </text>
    </comment>
    <comment ref="CJ51" authorId="4">
      <text>
        <r>
          <rPr>
            <b/>
            <sz val="8"/>
            <color indexed="81"/>
            <rFont val="Tahoma"/>
            <family val="2"/>
          </rPr>
          <t>nicholjs:</t>
        </r>
        <r>
          <rPr>
            <sz val="8"/>
            <color indexed="81"/>
            <rFont val="Tahoma"/>
            <family val="2"/>
          </rPr>
          <t xml:space="preserve">
we est +3.0%</t>
        </r>
      </text>
    </comment>
    <comment ref="CN51" authorId="5">
      <text>
        <r>
          <rPr>
            <b/>
            <sz val="8"/>
            <color indexed="81"/>
            <rFont val="Tahoma"/>
            <family val="2"/>
          </rPr>
          <t>kahng:</t>
        </r>
        <r>
          <rPr>
            <sz val="8"/>
            <color indexed="81"/>
            <rFont val="Tahoma"/>
            <family val="2"/>
          </rPr>
          <t xml:space="preserve">
</t>
        </r>
        <r>
          <rPr>
            <b/>
            <sz val="8"/>
            <color indexed="81"/>
            <rFont val="Tahoma"/>
            <family val="2"/>
          </rPr>
          <t xml:space="preserve">2/2/12: </t>
        </r>
        <r>
          <rPr>
            <sz val="8"/>
            <color indexed="81"/>
            <rFont val="Tahoma"/>
            <family val="2"/>
          </rPr>
          <t xml:space="preserve">Driven by performance of semi annual sale theme. Inventory levels were significantly lower than last year. Merch marg rate was down to last year driven by cost increases and promotional activity. Q4 sales were $1.128B and comps up 3%. “Escape to the tropics” theme which started in January will continue to early February. Then transition to launch of newest signature fragrance, Pink Chiffon. They will also introduce their new Signature Collection Fine Fragrance Mists with front of store presence at beginning of the month. 
</t>
        </r>
        <r>
          <rPr>
            <b/>
            <sz val="8"/>
            <color indexed="81"/>
            <rFont val="Tahoma"/>
            <family val="2"/>
          </rPr>
          <t xml:space="preserve">2/1/12: </t>
        </r>
        <r>
          <rPr>
            <sz val="8"/>
            <color indexed="81"/>
            <rFont val="Tahoma"/>
            <family val="2"/>
          </rPr>
          <t>Mse 0%. inventories low during clearance</t>
        </r>
      </text>
    </comment>
    <comment ref="DJ51" authorId="6">
      <text>
        <r>
          <rPr>
            <b/>
            <sz val="9"/>
            <color indexed="81"/>
            <rFont val="Tahoma"/>
            <family val="2"/>
          </rPr>
          <t>Cassel, Lauren (Research):</t>
        </r>
        <r>
          <rPr>
            <sz val="9"/>
            <color indexed="81"/>
            <rFont val="Tahoma"/>
            <family val="2"/>
          </rPr>
          <t xml:space="preserve">
2/2/17: driven by a successful semi-annual sale performance and an incremental 6 sales days in the month. </t>
        </r>
      </text>
    </comment>
    <comment ref="CF57" authorId="3">
      <text>
        <r>
          <rPr>
            <b/>
            <sz val="8"/>
            <color indexed="81"/>
            <rFont val="Tahoma"/>
            <family val="2"/>
          </rPr>
          <t>mm98285:</t>
        </r>
        <r>
          <rPr>
            <sz val="8"/>
            <color indexed="81"/>
            <rFont val="Tahoma"/>
            <family val="2"/>
          </rPr>
          <t xml:space="preserve">
-8% est. </t>
        </r>
      </text>
    </comment>
    <comment ref="CJ57" authorId="3">
      <text>
        <r>
          <rPr>
            <b/>
            <sz val="8"/>
            <color indexed="81"/>
            <rFont val="Tahoma"/>
            <family val="2"/>
          </rPr>
          <t>mm98285:</t>
        </r>
        <r>
          <rPr>
            <sz val="8"/>
            <color indexed="81"/>
            <rFont val="Tahoma"/>
            <family val="2"/>
          </rPr>
          <t xml:space="preserve">
-2% est.</t>
        </r>
      </text>
    </comment>
    <comment ref="CN57" authorId="4">
      <text>
        <r>
          <rPr>
            <b/>
            <sz val="8"/>
            <color indexed="81"/>
            <rFont val="Tahoma"/>
            <family val="2"/>
          </rPr>
          <t>nicholjs:</t>
        </r>
        <r>
          <rPr>
            <sz val="8"/>
            <color indexed="81"/>
            <rFont val="Tahoma"/>
            <family val="2"/>
          </rPr>
          <t xml:space="preserve">
est +4%</t>
        </r>
      </text>
    </comment>
    <comment ref="CR57" authorId="5">
      <text>
        <r>
          <rPr>
            <b/>
            <sz val="8"/>
            <color indexed="81"/>
            <rFont val="Tahoma"/>
            <family val="2"/>
          </rPr>
          <t>kahng:</t>
        </r>
        <r>
          <rPr>
            <sz val="8"/>
            <color indexed="81"/>
            <rFont val="Tahoma"/>
            <family val="2"/>
          </rPr>
          <t xml:space="preserve">
Mse 0%</t>
        </r>
      </text>
    </comment>
    <comment ref="CZ57" authorId="1">
      <text>
        <r>
          <rPr>
            <b/>
            <sz val="8"/>
            <color indexed="81"/>
            <rFont val="Tahoma"/>
            <family val="2"/>
          </rPr>
          <t>casselau:</t>
        </r>
        <r>
          <rPr>
            <sz val="8"/>
            <color indexed="81"/>
            <rFont val="Tahoma"/>
            <family val="2"/>
          </rPr>
          <t xml:space="preserve">
3/6/14: no longer reporting La Senza monthly comps</t>
        </r>
      </text>
    </comment>
    <comment ref="DD57" authorId="1">
      <text>
        <r>
          <rPr>
            <b/>
            <sz val="8"/>
            <color indexed="81"/>
            <rFont val="Tahoma"/>
            <family val="2"/>
          </rPr>
          <t>casselau:</t>
        </r>
        <r>
          <rPr>
            <sz val="8"/>
            <color indexed="81"/>
            <rFont val="Tahoma"/>
            <family val="2"/>
          </rPr>
          <t xml:space="preserve">
3/6/14: no longer reporting La Senza monthly comps</t>
        </r>
      </text>
    </comment>
    <comment ref="DI57" authorId="1">
      <text>
        <r>
          <rPr>
            <b/>
            <sz val="8"/>
            <color indexed="81"/>
            <rFont val="Tahoma"/>
            <family val="2"/>
          </rPr>
          <t>casselau:</t>
        </r>
        <r>
          <rPr>
            <sz val="8"/>
            <color indexed="81"/>
            <rFont val="Tahoma"/>
            <family val="2"/>
          </rPr>
          <t xml:space="preserve">
3/6/14: no longer reporting La Senza monthly comps</t>
        </r>
      </text>
    </comment>
    <comment ref="CB58" authorId="3">
      <text>
        <r>
          <rPr>
            <b/>
            <sz val="8"/>
            <color indexed="81"/>
            <rFont val="Tahoma"/>
            <family val="2"/>
          </rPr>
          <t>mm98285:</t>
        </r>
        <r>
          <rPr>
            <sz val="8"/>
            <color indexed="81"/>
            <rFont val="Tahoma"/>
            <family val="2"/>
          </rPr>
          <t xml:space="preserve">
-3% est.</t>
        </r>
      </text>
    </comment>
    <comment ref="CJ58" authorId="7">
      <text>
        <r>
          <rPr>
            <b/>
            <sz val="8"/>
            <color indexed="81"/>
            <rFont val="Tahoma"/>
            <family val="2"/>
          </rPr>
          <t>ns66486:</t>
        </r>
        <r>
          <rPr>
            <sz val="8"/>
            <color indexed="81"/>
            <rFont val="Tahoma"/>
            <family val="2"/>
          </rPr>
          <t xml:space="preserve">
est flat</t>
        </r>
      </text>
    </comment>
    <comment ref="CN58" authorId="4">
      <text>
        <r>
          <rPr>
            <b/>
            <sz val="8"/>
            <color indexed="81"/>
            <rFont val="Tahoma"/>
            <family val="2"/>
          </rPr>
          <t>nicholjs:</t>
        </r>
        <r>
          <rPr>
            <sz val="8"/>
            <color indexed="81"/>
            <rFont val="Tahoma"/>
            <family val="2"/>
          </rPr>
          <t xml:space="preserve">
we est. flat</t>
        </r>
      </text>
    </comment>
    <comment ref="CZ58" authorId="1">
      <text>
        <r>
          <rPr>
            <b/>
            <sz val="8"/>
            <color indexed="81"/>
            <rFont val="Tahoma"/>
            <family val="2"/>
          </rPr>
          <t>casselau:</t>
        </r>
        <r>
          <rPr>
            <sz val="8"/>
            <color indexed="81"/>
            <rFont val="Tahoma"/>
            <family val="2"/>
          </rPr>
          <t xml:space="preserve">
3/6/14: no longer reporting La Senza monthly comps</t>
        </r>
      </text>
    </comment>
    <comment ref="DD58" authorId="1">
      <text>
        <r>
          <rPr>
            <b/>
            <sz val="8"/>
            <color indexed="81"/>
            <rFont val="Tahoma"/>
            <family val="2"/>
          </rPr>
          <t>casselau:</t>
        </r>
        <r>
          <rPr>
            <sz val="8"/>
            <color indexed="81"/>
            <rFont val="Tahoma"/>
            <family val="2"/>
          </rPr>
          <t xml:space="preserve">
3/6/14: no longer reporting La Senza monthly comps</t>
        </r>
      </text>
    </comment>
    <comment ref="DI58" authorId="1">
      <text>
        <r>
          <rPr>
            <b/>
            <sz val="8"/>
            <color indexed="81"/>
            <rFont val="Tahoma"/>
            <family val="2"/>
          </rPr>
          <t>casselau:</t>
        </r>
        <r>
          <rPr>
            <sz val="8"/>
            <color indexed="81"/>
            <rFont val="Tahoma"/>
            <family val="2"/>
          </rPr>
          <t xml:space="preserve">
3/6/14: no longer reporting La Senza monthly comps</t>
        </r>
      </text>
    </comment>
    <comment ref="CB59" authorId="3">
      <text>
        <r>
          <rPr>
            <b/>
            <sz val="8"/>
            <color indexed="81"/>
            <rFont val="Tahoma"/>
            <family val="2"/>
          </rPr>
          <t>mm98285:</t>
        </r>
        <r>
          <rPr>
            <sz val="8"/>
            <color indexed="81"/>
            <rFont val="Tahoma"/>
            <family val="2"/>
          </rPr>
          <t xml:space="preserve">
-2% est.</t>
        </r>
      </text>
    </comment>
    <comment ref="CF59" authorId="3">
      <text>
        <r>
          <rPr>
            <b/>
            <sz val="8"/>
            <color indexed="81"/>
            <rFont val="Tahoma"/>
            <family val="2"/>
          </rPr>
          <t>mm98285:</t>
        </r>
        <r>
          <rPr>
            <sz val="8"/>
            <color indexed="81"/>
            <rFont val="Tahoma"/>
            <family val="2"/>
          </rPr>
          <t xml:space="preserve">
-8% est. </t>
        </r>
      </text>
    </comment>
    <comment ref="CJ59" authorId="7">
      <text>
        <r>
          <rPr>
            <b/>
            <sz val="8"/>
            <color indexed="81"/>
            <rFont val="Tahoma"/>
            <family val="2"/>
          </rPr>
          <t>ns66486:</t>
        </r>
        <r>
          <rPr>
            <sz val="8"/>
            <color indexed="81"/>
            <rFont val="Tahoma"/>
            <family val="2"/>
          </rPr>
          <t xml:space="preserve">
we est. flat</t>
        </r>
      </text>
    </comment>
    <comment ref="CN59" authorId="4">
      <text>
        <r>
          <rPr>
            <b/>
            <sz val="8"/>
            <color indexed="81"/>
            <rFont val="Tahoma"/>
            <family val="2"/>
          </rPr>
          <t>nicholjs:</t>
        </r>
        <r>
          <rPr>
            <sz val="8"/>
            <color indexed="81"/>
            <rFont val="Tahoma"/>
            <family val="2"/>
          </rPr>
          <t xml:space="preserve">
we est -5%</t>
        </r>
      </text>
    </comment>
    <comment ref="CR59" authorId="10">
      <text>
        <r>
          <rPr>
            <b/>
            <sz val="8"/>
            <color indexed="81"/>
            <rFont val="Tahoma"/>
            <family val="2"/>
          </rPr>
          <t>P Kahng:</t>
        </r>
        <r>
          <rPr>
            <sz val="8"/>
            <color indexed="81"/>
            <rFont val="Tahoma"/>
            <family val="2"/>
          </rPr>
          <t xml:space="preserve">
5/3/12: was 1%</t>
        </r>
      </text>
    </comment>
    <comment ref="CZ59" authorId="1">
      <text>
        <r>
          <rPr>
            <b/>
            <sz val="8"/>
            <color indexed="81"/>
            <rFont val="Tahoma"/>
            <family val="2"/>
          </rPr>
          <t>casselau:</t>
        </r>
        <r>
          <rPr>
            <sz val="8"/>
            <color indexed="81"/>
            <rFont val="Tahoma"/>
            <family val="2"/>
          </rPr>
          <t xml:space="preserve">
3/6/14: no longer reporting La Senza monthly comps</t>
        </r>
      </text>
    </comment>
    <comment ref="DD59" authorId="1">
      <text>
        <r>
          <rPr>
            <b/>
            <sz val="8"/>
            <color indexed="81"/>
            <rFont val="Tahoma"/>
            <family val="2"/>
          </rPr>
          <t>casselau:</t>
        </r>
        <r>
          <rPr>
            <sz val="8"/>
            <color indexed="81"/>
            <rFont val="Tahoma"/>
            <family val="2"/>
          </rPr>
          <t xml:space="preserve">
3/6/14: no longer reporting La Senza monthly comps</t>
        </r>
      </text>
    </comment>
    <comment ref="DI59" authorId="1">
      <text>
        <r>
          <rPr>
            <b/>
            <sz val="8"/>
            <color indexed="81"/>
            <rFont val="Tahoma"/>
            <family val="2"/>
          </rPr>
          <t>casselau:</t>
        </r>
        <r>
          <rPr>
            <sz val="8"/>
            <color indexed="81"/>
            <rFont val="Tahoma"/>
            <family val="2"/>
          </rPr>
          <t xml:space="preserve">
3/6/14: no longer reporting La Senza monthly comps</t>
        </r>
      </text>
    </comment>
    <comment ref="CZ60" authorId="1">
      <text>
        <r>
          <rPr>
            <b/>
            <sz val="8"/>
            <color indexed="81"/>
            <rFont val="Tahoma"/>
            <family val="2"/>
          </rPr>
          <t>casselau:</t>
        </r>
        <r>
          <rPr>
            <sz val="8"/>
            <color indexed="81"/>
            <rFont val="Tahoma"/>
            <family val="2"/>
          </rPr>
          <t xml:space="preserve">
3/6/14: no longer reporting La Senza monthly comps</t>
        </r>
      </text>
    </comment>
    <comment ref="DD60" authorId="1">
      <text>
        <r>
          <rPr>
            <b/>
            <sz val="8"/>
            <color indexed="81"/>
            <rFont val="Tahoma"/>
            <family val="2"/>
          </rPr>
          <t>casselau:</t>
        </r>
        <r>
          <rPr>
            <sz val="8"/>
            <color indexed="81"/>
            <rFont val="Tahoma"/>
            <family val="2"/>
          </rPr>
          <t xml:space="preserve">
3/6/14: no longer reporting La Senza monthly comps</t>
        </r>
      </text>
    </comment>
    <comment ref="DI60" authorId="1">
      <text>
        <r>
          <rPr>
            <b/>
            <sz val="8"/>
            <color indexed="81"/>
            <rFont val="Tahoma"/>
            <family val="2"/>
          </rPr>
          <t>casselau:</t>
        </r>
        <r>
          <rPr>
            <sz val="8"/>
            <color indexed="81"/>
            <rFont val="Tahoma"/>
            <family val="2"/>
          </rPr>
          <t xml:space="preserve">
3/6/14: no longer reporting La Senza monthly comps</t>
        </r>
      </text>
    </comment>
    <comment ref="CB62" authorId="3">
      <text>
        <r>
          <rPr>
            <b/>
            <sz val="8"/>
            <color indexed="81"/>
            <rFont val="Tahoma"/>
            <family val="2"/>
          </rPr>
          <t>mm98285:</t>
        </r>
        <r>
          <rPr>
            <sz val="8"/>
            <color indexed="81"/>
            <rFont val="Tahoma"/>
            <family val="2"/>
          </rPr>
          <t xml:space="preserve">
3% est.</t>
        </r>
      </text>
    </comment>
    <comment ref="CF62" authorId="3">
      <text>
        <r>
          <rPr>
            <b/>
            <sz val="8"/>
            <color indexed="81"/>
            <rFont val="Tahoma"/>
            <family val="2"/>
          </rPr>
          <t>mm98285:</t>
        </r>
        <r>
          <rPr>
            <sz val="8"/>
            <color indexed="81"/>
            <rFont val="Tahoma"/>
            <family val="2"/>
          </rPr>
          <t xml:space="preserve">
-14% est.</t>
        </r>
      </text>
    </comment>
    <comment ref="CJ62" authorId="9">
      <text>
        <r>
          <rPr>
            <b/>
            <sz val="8"/>
            <color indexed="81"/>
            <rFont val="Tahoma"/>
            <family val="2"/>
          </rPr>
          <t>NS66486:</t>
        </r>
        <r>
          <rPr>
            <sz val="8"/>
            <color indexed="81"/>
            <rFont val="Tahoma"/>
            <family val="2"/>
          </rPr>
          <t xml:space="preserve">
we est. +1%</t>
        </r>
      </text>
    </comment>
    <comment ref="CN62" authorId="4">
      <text>
        <r>
          <rPr>
            <b/>
            <sz val="8"/>
            <color indexed="81"/>
            <rFont val="Tahoma"/>
            <family val="2"/>
          </rPr>
          <t>nicholjs:</t>
        </r>
        <r>
          <rPr>
            <sz val="8"/>
            <color indexed="81"/>
            <rFont val="Tahoma"/>
            <family val="2"/>
          </rPr>
          <t xml:space="preserve">
we est -2%</t>
        </r>
      </text>
    </comment>
    <comment ref="CR62" authorId="10">
      <text>
        <r>
          <rPr>
            <b/>
            <sz val="8"/>
            <color indexed="81"/>
            <rFont val="Tahoma"/>
            <family val="2"/>
          </rPr>
          <t>P Kahng:</t>
        </r>
        <r>
          <rPr>
            <sz val="8"/>
            <color indexed="81"/>
            <rFont val="Tahoma"/>
            <family val="2"/>
          </rPr>
          <t xml:space="preserve">
Was +1%. 
Down on mall traffic declines in Canada and Anniversarying VS Grand Opening</t>
        </r>
      </text>
    </comment>
    <comment ref="CB63" authorId="3">
      <text>
        <r>
          <rPr>
            <b/>
            <sz val="8"/>
            <color indexed="81"/>
            <rFont val="Tahoma"/>
            <family val="2"/>
          </rPr>
          <t>mm98285:</t>
        </r>
        <r>
          <rPr>
            <sz val="8"/>
            <color indexed="81"/>
            <rFont val="Tahoma"/>
            <family val="2"/>
          </rPr>
          <t xml:space="preserve">
5% est.</t>
        </r>
      </text>
    </comment>
    <comment ref="CF63" authorId="3">
      <text>
        <r>
          <rPr>
            <b/>
            <sz val="8"/>
            <color indexed="81"/>
            <rFont val="Tahoma"/>
            <family val="2"/>
          </rPr>
          <t>mm98285:</t>
        </r>
        <r>
          <rPr>
            <sz val="8"/>
            <color indexed="81"/>
            <rFont val="Tahoma"/>
            <family val="2"/>
          </rPr>
          <t xml:space="preserve">
-15% est. </t>
        </r>
      </text>
    </comment>
    <comment ref="CJ63" authorId="4">
      <text>
        <r>
          <rPr>
            <b/>
            <sz val="8"/>
            <color indexed="81"/>
            <rFont val="Tahoma"/>
            <family val="2"/>
          </rPr>
          <t>nicholjs:</t>
        </r>
        <r>
          <rPr>
            <sz val="8"/>
            <color indexed="81"/>
            <rFont val="Tahoma"/>
            <family val="2"/>
          </rPr>
          <t xml:space="preserve">
we est +1%</t>
        </r>
      </text>
    </comment>
    <comment ref="CN63" authorId="4">
      <text>
        <r>
          <rPr>
            <b/>
            <sz val="8"/>
            <color indexed="81"/>
            <rFont val="Tahoma"/>
            <family val="2"/>
          </rPr>
          <t>nicholjs:</t>
        </r>
        <r>
          <rPr>
            <sz val="8"/>
            <color indexed="81"/>
            <rFont val="Tahoma"/>
            <family val="2"/>
          </rPr>
          <t xml:space="preserve">
we est. flat</t>
        </r>
      </text>
    </comment>
    <comment ref="CR63" authorId="10">
      <text>
        <r>
          <rPr>
            <b/>
            <sz val="8"/>
            <color indexed="81"/>
            <rFont val="Tahoma"/>
            <family val="2"/>
          </rPr>
          <t xml:space="preserve">5/31/12: </t>
        </r>
        <r>
          <rPr>
            <sz val="8"/>
            <color indexed="81"/>
            <rFont val="Tahoma"/>
            <family val="2"/>
          </rPr>
          <t>prior est +1%</t>
        </r>
      </text>
    </comment>
    <comment ref="CB64" authorId="3">
      <text>
        <r>
          <rPr>
            <b/>
            <sz val="8"/>
            <color indexed="81"/>
            <rFont val="Tahoma"/>
            <family val="2"/>
          </rPr>
          <t>mm98285:</t>
        </r>
        <r>
          <rPr>
            <sz val="8"/>
            <color indexed="81"/>
            <rFont val="Tahoma"/>
            <family val="2"/>
          </rPr>
          <t xml:space="preserve">
5% est</t>
        </r>
      </text>
    </comment>
    <comment ref="CF64" authorId="3">
      <text>
        <r>
          <rPr>
            <b/>
            <sz val="8"/>
            <color indexed="81"/>
            <rFont val="Tahoma"/>
            <family val="2"/>
          </rPr>
          <t>mm98285:</t>
        </r>
        <r>
          <rPr>
            <sz val="8"/>
            <color indexed="81"/>
            <rFont val="Tahoma"/>
            <family val="2"/>
          </rPr>
          <t xml:space="preserve">
-10% est. </t>
        </r>
      </text>
    </comment>
    <comment ref="CJ64" authorId="4">
      <text>
        <r>
          <rPr>
            <b/>
            <sz val="8"/>
            <color indexed="81"/>
            <rFont val="Tahoma"/>
            <family val="2"/>
          </rPr>
          <t>nicholjs:</t>
        </r>
        <r>
          <rPr>
            <sz val="8"/>
            <color indexed="81"/>
            <rFont val="Tahoma"/>
            <family val="2"/>
          </rPr>
          <t xml:space="preserve">
we est +1%</t>
        </r>
      </text>
    </comment>
    <comment ref="CN64" authorId="4">
      <text>
        <r>
          <rPr>
            <b/>
            <sz val="8"/>
            <color indexed="81"/>
            <rFont val="Tahoma"/>
            <family val="2"/>
          </rPr>
          <t>nicholjs:</t>
        </r>
        <r>
          <rPr>
            <sz val="8"/>
            <color indexed="81"/>
            <rFont val="Tahoma"/>
            <family val="2"/>
          </rPr>
          <t xml:space="preserve">
we est +1%</t>
        </r>
      </text>
    </comment>
    <comment ref="CR64" authorId="10">
      <text>
        <r>
          <rPr>
            <sz val="8"/>
            <color indexed="81"/>
            <rFont val="Tahoma"/>
            <family val="2"/>
          </rPr>
          <t>8/2/12: expected -5.0%
7/5/12: prior est 0.0%
5/31/12: prior est +1%</t>
        </r>
      </text>
    </comment>
    <comment ref="CB67" authorId="3">
      <text>
        <r>
          <rPr>
            <b/>
            <sz val="8"/>
            <color indexed="81"/>
            <rFont val="Tahoma"/>
            <family val="2"/>
          </rPr>
          <t>mm98285:</t>
        </r>
        <r>
          <rPr>
            <sz val="8"/>
            <color indexed="81"/>
            <rFont val="Tahoma"/>
            <family val="2"/>
          </rPr>
          <t xml:space="preserve">
6% est.</t>
        </r>
      </text>
    </comment>
    <comment ref="CF67" authorId="3">
      <text>
        <r>
          <rPr>
            <b/>
            <sz val="8"/>
            <color indexed="81"/>
            <rFont val="Tahoma"/>
            <family val="2"/>
          </rPr>
          <t>mm98285:</t>
        </r>
        <r>
          <rPr>
            <sz val="8"/>
            <color indexed="81"/>
            <rFont val="Tahoma"/>
            <family val="2"/>
          </rPr>
          <t xml:space="preserve">
-5% est.</t>
        </r>
      </text>
    </comment>
    <comment ref="CJ67" authorId="4">
      <text>
        <r>
          <rPr>
            <b/>
            <sz val="8"/>
            <color indexed="81"/>
            <rFont val="Tahoma"/>
            <family val="2"/>
          </rPr>
          <t>nicholjs:</t>
        </r>
        <r>
          <rPr>
            <sz val="8"/>
            <color indexed="81"/>
            <rFont val="Tahoma"/>
            <family val="2"/>
          </rPr>
          <t xml:space="preserve">
we est. +2%</t>
        </r>
      </text>
    </comment>
    <comment ref="CN67" authorId="4">
      <text>
        <r>
          <rPr>
            <b/>
            <sz val="8"/>
            <color indexed="81"/>
            <rFont val="Tahoma"/>
            <family val="2"/>
          </rPr>
          <t>nicholjs:</t>
        </r>
        <r>
          <rPr>
            <sz val="8"/>
            <color indexed="81"/>
            <rFont val="Tahoma"/>
            <family val="2"/>
          </rPr>
          <t xml:space="preserve">
we est +2%</t>
        </r>
      </text>
    </comment>
    <comment ref="CR67" authorId="12">
      <text>
        <r>
          <rPr>
            <b/>
            <sz val="8"/>
            <color indexed="81"/>
            <rFont val="Tahoma"/>
            <family val="2"/>
          </rPr>
          <t>solejay:</t>
        </r>
        <r>
          <rPr>
            <sz val="8"/>
            <color indexed="81"/>
            <rFont val="Tahoma"/>
            <family val="2"/>
          </rPr>
          <t xml:space="preserve">
The La Senza August merchandise margin rate in Canada was down to LY driven by increased promotional activity. 
</t>
        </r>
      </text>
    </comment>
    <comment ref="CB68" authorId="3">
      <text>
        <r>
          <rPr>
            <b/>
            <sz val="8"/>
            <color indexed="81"/>
            <rFont val="Tahoma"/>
            <family val="2"/>
          </rPr>
          <t>mm98285:</t>
        </r>
        <r>
          <rPr>
            <sz val="8"/>
            <color indexed="81"/>
            <rFont val="Tahoma"/>
            <family val="2"/>
          </rPr>
          <t xml:space="preserve">
-5% est.</t>
        </r>
      </text>
    </comment>
    <comment ref="CF68" authorId="3">
      <text>
        <r>
          <rPr>
            <b/>
            <sz val="8"/>
            <color indexed="81"/>
            <rFont val="Tahoma"/>
            <family val="2"/>
          </rPr>
          <t>mm98285:</t>
        </r>
        <r>
          <rPr>
            <sz val="8"/>
            <color indexed="81"/>
            <rFont val="Tahoma"/>
            <family val="2"/>
          </rPr>
          <t xml:space="preserve">
-10% estimate</t>
        </r>
      </text>
    </comment>
    <comment ref="CJ68" authorId="4">
      <text>
        <r>
          <rPr>
            <b/>
            <sz val="8"/>
            <color indexed="81"/>
            <rFont val="Tahoma"/>
            <family val="2"/>
          </rPr>
          <t>nicholjs:</t>
        </r>
        <r>
          <rPr>
            <sz val="8"/>
            <color indexed="81"/>
            <rFont val="Tahoma"/>
            <family val="2"/>
          </rPr>
          <t xml:space="preserve">
we est +1%</t>
        </r>
      </text>
    </comment>
    <comment ref="CR68" authorId="12">
      <text>
        <r>
          <rPr>
            <b/>
            <sz val="8"/>
            <color indexed="81"/>
            <rFont val="Tahoma"/>
            <family val="2"/>
          </rPr>
          <t>solejay:</t>
        </r>
        <r>
          <rPr>
            <sz val="8"/>
            <color indexed="81"/>
            <rFont val="Tahoma"/>
            <family val="2"/>
          </rPr>
          <t xml:space="preserve">
LS comps -4%
The merchandise margin rate in Canada was up significantly to last year, driven by favorable physical inventory results. 
</t>
        </r>
      </text>
    </comment>
    <comment ref="CB69" authorId="3">
      <text>
        <r>
          <rPr>
            <b/>
            <sz val="8"/>
            <color indexed="81"/>
            <rFont val="Tahoma"/>
            <family val="2"/>
          </rPr>
          <t>mm98285:</t>
        </r>
        <r>
          <rPr>
            <sz val="8"/>
            <color indexed="81"/>
            <rFont val="Tahoma"/>
            <family val="2"/>
          </rPr>
          <t xml:space="preserve">
-5% est.</t>
        </r>
      </text>
    </comment>
    <comment ref="CF69" authorId="3">
      <text>
        <r>
          <rPr>
            <b/>
            <sz val="8"/>
            <color indexed="81"/>
            <rFont val="Tahoma"/>
            <family val="2"/>
          </rPr>
          <t>mm98285:</t>
        </r>
        <r>
          <rPr>
            <sz val="8"/>
            <color indexed="81"/>
            <rFont val="Tahoma"/>
            <family val="2"/>
          </rPr>
          <t xml:space="preserve">
-2% est. </t>
        </r>
      </text>
    </comment>
    <comment ref="CJ69" authorId="4">
      <text>
        <r>
          <rPr>
            <b/>
            <sz val="8"/>
            <color indexed="81"/>
            <rFont val="Tahoma"/>
            <family val="2"/>
          </rPr>
          <t>nicholjs:</t>
        </r>
        <r>
          <rPr>
            <sz val="8"/>
            <color indexed="81"/>
            <rFont val="Tahoma"/>
            <family val="2"/>
          </rPr>
          <t xml:space="preserve">
we est. +4%</t>
        </r>
      </text>
    </comment>
    <comment ref="CB72" authorId="3">
      <text>
        <r>
          <rPr>
            <b/>
            <sz val="8"/>
            <color indexed="81"/>
            <rFont val="Tahoma"/>
            <family val="2"/>
          </rPr>
          <t>mm98285:</t>
        </r>
        <r>
          <rPr>
            <sz val="8"/>
            <color indexed="81"/>
            <rFont val="Tahoma"/>
            <family val="2"/>
          </rPr>
          <t xml:space="preserve">
-9% est. </t>
        </r>
      </text>
    </comment>
    <comment ref="CF72" authorId="3">
      <text>
        <r>
          <rPr>
            <b/>
            <sz val="8"/>
            <color indexed="81"/>
            <rFont val="Tahoma"/>
            <family val="2"/>
          </rPr>
          <t>mm98285:</t>
        </r>
        <r>
          <rPr>
            <sz val="8"/>
            <color indexed="81"/>
            <rFont val="Tahoma"/>
            <family val="2"/>
          </rPr>
          <t xml:space="preserve">
-5% estimate</t>
        </r>
      </text>
    </comment>
    <comment ref="CJ72" authorId="4">
      <text>
        <r>
          <rPr>
            <b/>
            <sz val="8"/>
            <color indexed="81"/>
            <rFont val="Tahoma"/>
            <family val="2"/>
          </rPr>
          <t>nicholjs:</t>
        </r>
        <r>
          <rPr>
            <sz val="8"/>
            <color indexed="81"/>
            <rFont val="Tahoma"/>
            <family val="2"/>
          </rPr>
          <t xml:space="preserve">
est flat</t>
        </r>
      </text>
    </comment>
    <comment ref="CR72" authorId="1">
      <text>
        <r>
          <rPr>
            <b/>
            <sz val="8"/>
            <color indexed="81"/>
            <rFont val="Tahoma"/>
            <family val="2"/>
          </rPr>
          <t>casselau:</t>
        </r>
        <r>
          <rPr>
            <sz val="8"/>
            <color indexed="81"/>
            <rFont val="Tahoma"/>
            <family val="2"/>
          </rPr>
          <t xml:space="preserve">
11/29: merch margin up </t>
        </r>
      </text>
    </comment>
    <comment ref="CB73" authorId="3">
      <text>
        <r>
          <rPr>
            <b/>
            <sz val="8"/>
            <color indexed="81"/>
            <rFont val="Tahoma"/>
            <family val="2"/>
          </rPr>
          <t>mm98285:</t>
        </r>
        <r>
          <rPr>
            <sz val="8"/>
            <color indexed="81"/>
            <rFont val="Tahoma"/>
            <family val="2"/>
          </rPr>
          <t xml:space="preserve">
-6% est. </t>
        </r>
      </text>
    </comment>
    <comment ref="CF73" authorId="3">
      <text>
        <r>
          <rPr>
            <b/>
            <sz val="8"/>
            <color indexed="81"/>
            <rFont val="Tahoma"/>
            <family val="2"/>
          </rPr>
          <t>mm98285:</t>
        </r>
        <r>
          <rPr>
            <sz val="8"/>
            <color indexed="81"/>
            <rFont val="Tahoma"/>
            <family val="2"/>
          </rPr>
          <t xml:space="preserve">
-4% estimate</t>
        </r>
      </text>
    </comment>
    <comment ref="CJ73" authorId="4">
      <text>
        <r>
          <rPr>
            <b/>
            <sz val="8"/>
            <color indexed="81"/>
            <rFont val="Tahoma"/>
            <family val="2"/>
          </rPr>
          <t>nicholjs:</t>
        </r>
        <r>
          <rPr>
            <sz val="8"/>
            <color indexed="81"/>
            <rFont val="Tahoma"/>
            <family val="2"/>
          </rPr>
          <t xml:space="preserve">
we est -3%</t>
        </r>
      </text>
    </comment>
    <comment ref="CR73" authorId="1">
      <text>
        <r>
          <rPr>
            <b/>
            <sz val="8"/>
            <color indexed="81"/>
            <rFont val="Tahoma"/>
            <family val="2"/>
          </rPr>
          <t>casselau:</t>
        </r>
        <r>
          <rPr>
            <sz val="8"/>
            <color indexed="81"/>
            <rFont val="Tahoma"/>
            <family val="2"/>
          </rPr>
          <t xml:space="preserve">
merchandise margin rate was up significantly to LY, driven by less promotional activity</t>
        </r>
      </text>
    </comment>
    <comment ref="CB74" authorId="3">
      <text>
        <r>
          <rPr>
            <b/>
            <sz val="8"/>
            <color indexed="81"/>
            <rFont val="Tahoma"/>
            <family val="2"/>
          </rPr>
          <t>mm98285:</t>
        </r>
        <r>
          <rPr>
            <sz val="8"/>
            <color indexed="81"/>
            <rFont val="Tahoma"/>
            <family val="2"/>
          </rPr>
          <t xml:space="preserve">
-18% est.</t>
        </r>
      </text>
    </comment>
    <comment ref="CF74" authorId="3">
      <text>
        <r>
          <rPr>
            <b/>
            <sz val="8"/>
            <color indexed="81"/>
            <rFont val="Tahoma"/>
            <family val="2"/>
          </rPr>
          <t>mm98285:</t>
        </r>
        <r>
          <rPr>
            <sz val="8"/>
            <color indexed="81"/>
            <rFont val="Tahoma"/>
            <family val="2"/>
          </rPr>
          <t xml:space="preserve">
-3% estimate</t>
        </r>
      </text>
    </comment>
    <comment ref="CJ74" authorId="4">
      <text>
        <r>
          <rPr>
            <b/>
            <sz val="8"/>
            <color indexed="81"/>
            <rFont val="Tahoma"/>
            <family val="2"/>
          </rPr>
          <t>nicholjs:</t>
        </r>
        <r>
          <rPr>
            <sz val="8"/>
            <color indexed="81"/>
            <rFont val="Tahoma"/>
            <family val="2"/>
          </rPr>
          <t xml:space="preserve">
we est -6.0%</t>
        </r>
      </text>
    </comment>
    <comment ref="CN74" authorId="5">
      <text>
        <r>
          <rPr>
            <b/>
            <sz val="8"/>
            <color indexed="81"/>
            <rFont val="Tahoma"/>
            <family val="2"/>
          </rPr>
          <t>kahng:</t>
        </r>
        <r>
          <rPr>
            <sz val="8"/>
            <color indexed="81"/>
            <rFont val="Tahoma"/>
            <family val="2"/>
          </rPr>
          <t xml:space="preserve">
Mse 3%</t>
        </r>
      </text>
    </comment>
    <comment ref="DD80" authorId="1">
      <text>
        <r>
          <rPr>
            <b/>
            <sz val="9"/>
            <color indexed="81"/>
            <rFont val="Tahoma"/>
            <family val="2"/>
          </rPr>
          <t>casselau:</t>
        </r>
        <r>
          <rPr>
            <sz val="9"/>
            <color indexed="81"/>
            <rFont val="Tahoma"/>
            <family val="2"/>
          </rPr>
          <t xml:space="preserve">
3/3/15: go forward categories +mid-teens</t>
        </r>
      </text>
    </comment>
    <comment ref="DI80" authorId="1">
      <text>
        <r>
          <rPr>
            <b/>
            <sz val="9"/>
            <color indexed="81"/>
            <rFont val="Tahoma"/>
            <family val="2"/>
          </rPr>
          <t>casselau:</t>
        </r>
        <r>
          <rPr>
            <sz val="9"/>
            <color indexed="81"/>
            <rFont val="Tahoma"/>
            <family val="2"/>
          </rPr>
          <t xml:space="preserve">
3/3/16: per Amie: Direct growth in-line with Store growth</t>
        </r>
      </text>
    </comment>
    <comment ref="DO80" authorId="6">
      <text>
        <r>
          <rPr>
            <b/>
            <sz val="9"/>
            <color indexed="81"/>
            <rFont val="Tahoma"/>
            <family val="2"/>
          </rPr>
          <t>Cassel, Lauren (Research):</t>
        </r>
        <r>
          <rPr>
            <sz val="9"/>
            <color indexed="81"/>
            <rFont val="Tahoma"/>
            <family val="2"/>
          </rPr>
          <t xml:space="preserve">
3/2/17: core categories +10%</t>
        </r>
      </text>
    </comment>
    <comment ref="DD81" authorId="1">
      <text>
        <r>
          <rPr>
            <b/>
            <sz val="9"/>
            <color indexed="81"/>
            <rFont val="Tahoma"/>
            <family val="2"/>
          </rPr>
          <t>casselau:</t>
        </r>
        <r>
          <rPr>
            <sz val="9"/>
            <color indexed="81"/>
            <rFont val="Tahoma"/>
            <family val="2"/>
          </rPr>
          <t xml:space="preserve">
4/9/15: go-forward categories +high-teens</t>
        </r>
      </text>
    </comment>
    <comment ref="DO81" authorId="6">
      <text>
        <r>
          <rPr>
            <b/>
            <sz val="9"/>
            <color indexed="81"/>
            <rFont val="Tahoma"/>
            <family val="2"/>
          </rPr>
          <t>Cassel, Lauren (Research):</t>
        </r>
        <r>
          <rPr>
            <sz val="9"/>
            <color indexed="81"/>
            <rFont val="Tahoma"/>
            <family val="2"/>
          </rPr>
          <t xml:space="preserve">
core categories +LDD (we estimate +12%)</t>
        </r>
      </text>
    </comment>
    <comment ref="DD82" authorId="1">
      <text>
        <r>
          <rPr>
            <b/>
            <sz val="9"/>
            <color indexed="81"/>
            <rFont val="Tahoma"/>
            <family val="2"/>
          </rPr>
          <t>casselau:</t>
        </r>
        <r>
          <rPr>
            <sz val="9"/>
            <color indexed="81"/>
            <rFont val="Tahoma"/>
            <family val="2"/>
          </rPr>
          <t xml:space="preserve">
5/7/15: go forward categories +low-teens</t>
        </r>
      </text>
    </comment>
    <comment ref="DO82" authorId="6">
      <text>
        <r>
          <rPr>
            <b/>
            <sz val="9"/>
            <color indexed="81"/>
            <rFont val="Tahoma"/>
            <family val="2"/>
          </rPr>
          <t>Cassel, Lauren (Research):</t>
        </r>
        <r>
          <rPr>
            <sz val="9"/>
            <color indexed="81"/>
            <rFont val="Tahoma"/>
            <family val="2"/>
          </rPr>
          <t xml:space="preserve">
core categories +4%</t>
        </r>
      </text>
    </comment>
    <comment ref="DD83" authorId="1">
      <text>
        <r>
          <rPr>
            <b/>
            <sz val="9"/>
            <color indexed="81"/>
            <rFont val="Tahoma"/>
            <family val="2"/>
          </rPr>
          <t>casselau:</t>
        </r>
        <r>
          <rPr>
            <sz val="9"/>
            <color indexed="81"/>
            <rFont val="Tahoma"/>
            <family val="2"/>
          </rPr>
          <t xml:space="preserve">
go forward category sales +low-to-mid teens</t>
        </r>
      </text>
    </comment>
    <comment ref="DO83" authorId="6">
      <text>
        <r>
          <rPr>
            <b/>
            <sz val="9"/>
            <color indexed="81"/>
            <rFont val="Tahoma"/>
            <family val="2"/>
          </rPr>
          <t>Cassel, Lauren (Research):</t>
        </r>
        <r>
          <rPr>
            <sz val="9"/>
            <color indexed="81"/>
            <rFont val="Tahoma"/>
            <family val="2"/>
          </rPr>
          <t xml:space="preserve">
5/17/17: go forward categories +9%</t>
        </r>
      </text>
    </comment>
    <comment ref="CZ85" authorId="1">
      <text>
        <r>
          <rPr>
            <b/>
            <sz val="9"/>
            <color indexed="81"/>
            <rFont val="Tahoma"/>
            <family val="2"/>
          </rPr>
          <t>casselau:</t>
        </r>
        <r>
          <rPr>
            <sz val="9"/>
            <color indexed="81"/>
            <rFont val="Tahoma"/>
            <family val="2"/>
          </rPr>
          <t xml:space="preserve">
go-forward categories -LSD on lower promotional activity; apparel -30's %</t>
        </r>
      </text>
    </comment>
    <comment ref="DD85" authorId="1">
      <text>
        <r>
          <rPr>
            <b/>
            <sz val="9"/>
            <color indexed="81"/>
            <rFont val="Tahoma"/>
            <family val="2"/>
          </rPr>
          <t>casselau:</t>
        </r>
        <r>
          <rPr>
            <sz val="9"/>
            <color indexed="81"/>
            <rFont val="Tahoma"/>
            <family val="2"/>
          </rPr>
          <t xml:space="preserve">
go-forward categories +mid-teens</t>
        </r>
      </text>
    </comment>
    <comment ref="DI85" authorId="6">
      <text>
        <r>
          <rPr>
            <b/>
            <sz val="9"/>
            <color indexed="81"/>
            <rFont val="Tahoma"/>
            <family val="2"/>
          </rPr>
          <t>Cassel, Lauren (Research):</t>
        </r>
        <r>
          <rPr>
            <sz val="9"/>
            <color indexed="81"/>
            <rFont val="Tahoma"/>
            <family val="2"/>
          </rPr>
          <t xml:space="preserve">
per amie 3-5%</t>
        </r>
      </text>
    </comment>
    <comment ref="DO85" authorId="6">
      <text>
        <r>
          <rPr>
            <b/>
            <sz val="9"/>
            <color indexed="81"/>
            <rFont val="Tahoma"/>
            <family val="2"/>
          </rPr>
          <t>Cassel, Lauren (Research):</t>
        </r>
        <r>
          <rPr>
            <sz val="9"/>
            <color indexed="81"/>
            <rFont val="Tahoma"/>
            <family val="2"/>
          </rPr>
          <t xml:space="preserve">
5/31/17: Go forward categories +20%+ </t>
        </r>
      </text>
    </comment>
    <comment ref="CR86" authorId="10">
      <text>
        <r>
          <rPr>
            <b/>
            <sz val="8"/>
            <color indexed="81"/>
            <rFont val="Tahoma"/>
            <family val="2"/>
          </rPr>
          <t>P Kahng:</t>
        </r>
        <r>
          <rPr>
            <sz val="8"/>
            <color indexed="81"/>
            <rFont val="Tahoma"/>
            <family val="2"/>
          </rPr>
          <t xml:space="preserve">
Based on 9% qtrly 2-yr stack trend</t>
        </r>
      </text>
    </comment>
    <comment ref="CZ86" authorId="1">
      <text>
        <r>
          <rPr>
            <b/>
            <sz val="9"/>
            <color indexed="81"/>
            <rFont val="Tahoma"/>
            <family val="2"/>
          </rPr>
          <t>casselau:</t>
        </r>
        <r>
          <rPr>
            <sz val="9"/>
            <color indexed="81"/>
            <rFont val="Tahoma"/>
            <family val="2"/>
          </rPr>
          <t xml:space="preserve">
go-forward categories +mid-teens; apparel -30%</t>
        </r>
      </text>
    </comment>
    <comment ref="DD86" authorId="1">
      <text>
        <r>
          <rPr>
            <b/>
            <sz val="9"/>
            <color indexed="81"/>
            <rFont val="Tahoma"/>
            <family val="2"/>
          </rPr>
          <t>casselau:</t>
        </r>
        <r>
          <rPr>
            <sz val="9"/>
            <color indexed="81"/>
            <rFont val="Tahoma"/>
            <family val="2"/>
          </rPr>
          <t xml:space="preserve">
go-forward categories +HSD</t>
        </r>
      </text>
    </comment>
    <comment ref="DI86" authorId="11">
      <text>
        <r>
          <rPr>
            <b/>
            <sz val="9"/>
            <color indexed="81"/>
            <rFont val="Tahoma"/>
            <family val="2"/>
          </rPr>
          <t>Baglione, Gregory  (Research):</t>
        </r>
        <r>
          <rPr>
            <sz val="9"/>
            <color indexed="81"/>
            <rFont val="Tahoma"/>
            <family val="2"/>
          </rPr>
          <t xml:space="preserve">
per Amie a bit higher than ~HSD estimate (likely 9-10%)</t>
        </r>
      </text>
    </comment>
    <comment ref="DO86" authorId="6">
      <text>
        <r>
          <rPr>
            <b/>
            <sz val="9"/>
            <color indexed="81"/>
            <rFont val="Tahoma"/>
            <family val="2"/>
          </rPr>
          <t>Cassel, Lauren (Research):</t>
        </r>
        <r>
          <rPr>
            <sz val="9"/>
            <color indexed="81"/>
            <rFont val="Tahoma"/>
            <family val="2"/>
          </rPr>
          <t xml:space="preserve">
VS Direct -high 30's; go-forward categories +LSD</t>
        </r>
      </text>
    </comment>
    <comment ref="CR87" authorId="10">
      <text>
        <r>
          <rPr>
            <b/>
            <sz val="8"/>
            <color indexed="81"/>
            <rFont val="Tahoma"/>
            <family val="2"/>
          </rPr>
          <t>P Kahng:</t>
        </r>
        <r>
          <rPr>
            <sz val="8"/>
            <color indexed="81"/>
            <rFont val="Tahoma"/>
            <family val="2"/>
          </rPr>
          <t xml:space="preserve">
8/2/12: expected 4%</t>
        </r>
      </text>
    </comment>
    <comment ref="CZ87" authorId="1">
      <text>
        <r>
          <rPr>
            <b/>
            <sz val="9"/>
            <color indexed="81"/>
            <rFont val="Tahoma"/>
            <family val="2"/>
          </rPr>
          <t>casselau:</t>
        </r>
        <r>
          <rPr>
            <sz val="9"/>
            <color indexed="81"/>
            <rFont val="Tahoma"/>
            <family val="2"/>
          </rPr>
          <t xml:space="preserve">
go forward categories +HSD; apparel high -20's decline</t>
        </r>
      </text>
    </comment>
    <comment ref="DD87" authorId="1">
      <text>
        <r>
          <rPr>
            <b/>
            <sz val="9"/>
            <color indexed="81"/>
            <rFont val="Tahoma"/>
            <family val="2"/>
          </rPr>
          <t>casselau:</t>
        </r>
        <r>
          <rPr>
            <sz val="9"/>
            <color indexed="81"/>
            <rFont val="Tahoma"/>
            <family val="2"/>
          </rPr>
          <t xml:space="preserve">
go-forward categories +LDD</t>
        </r>
      </text>
    </comment>
    <comment ref="DO87" authorId="6">
      <text>
        <r>
          <rPr>
            <b/>
            <sz val="9"/>
            <color indexed="81"/>
            <rFont val="Tahoma"/>
            <family val="2"/>
          </rPr>
          <t>Cassel, Lauren (Research):</t>
        </r>
        <r>
          <rPr>
            <sz val="9"/>
            <color indexed="81"/>
            <rFont val="Tahoma"/>
            <family val="2"/>
          </rPr>
          <t xml:space="preserve">
per Amie, -low-teens decline with core categories +high teens</t>
        </r>
      </text>
    </comment>
    <comment ref="CR88" authorId="10">
      <text>
        <r>
          <rPr>
            <b/>
            <sz val="8"/>
            <color indexed="81"/>
            <rFont val="Tahoma"/>
            <family val="2"/>
          </rPr>
          <t xml:space="preserve">
5/31/12: </t>
        </r>
        <r>
          <rPr>
            <sz val="8"/>
            <color indexed="81"/>
            <rFont val="Tahoma"/>
            <family val="2"/>
          </rPr>
          <t>prior est was 5%</t>
        </r>
      </text>
    </comment>
    <comment ref="DO88" authorId="6">
      <text>
        <r>
          <rPr>
            <b/>
            <sz val="9"/>
            <color indexed="81"/>
            <rFont val="Tahoma"/>
            <family val="2"/>
          </rPr>
          <t>Cassel, Lauren (Research):</t>
        </r>
        <r>
          <rPr>
            <sz val="9"/>
            <color indexed="81"/>
            <rFont val="Tahoma"/>
            <family val="2"/>
          </rPr>
          <t xml:space="preserve">
8/16/17: go-forward categories +11%</t>
        </r>
      </text>
    </comment>
    <comment ref="CZ90" authorId="1">
      <text>
        <r>
          <rPr>
            <b/>
            <sz val="9"/>
            <color indexed="81"/>
            <rFont val="Tahoma"/>
            <family val="2"/>
          </rPr>
          <t>casselau:</t>
        </r>
        <r>
          <rPr>
            <sz val="9"/>
            <color indexed="81"/>
            <rFont val="Tahoma"/>
            <family val="2"/>
          </rPr>
          <t xml:space="preserve">
Go-forward category sales increased high-teens; Non-go-forward apparel merchandise sales decreased in the mid-30% range</t>
        </r>
      </text>
    </comment>
    <comment ref="DD90" authorId="1">
      <text>
        <r>
          <rPr>
            <b/>
            <sz val="9"/>
            <color indexed="81"/>
            <rFont val="Tahoma"/>
            <family val="2"/>
          </rPr>
          <t>casselau:</t>
        </r>
        <r>
          <rPr>
            <sz val="9"/>
            <color indexed="81"/>
            <rFont val="Tahoma"/>
            <family val="2"/>
          </rPr>
          <t xml:space="preserve">
go-forward categories +mid-teens</t>
        </r>
      </text>
    </comment>
    <comment ref="DI90" authorId="6">
      <text>
        <r>
          <rPr>
            <b/>
            <sz val="9"/>
            <color indexed="81"/>
            <rFont val="Tahoma"/>
            <family val="2"/>
          </rPr>
          <t>Cassel, Lauren (Research):</t>
        </r>
        <r>
          <rPr>
            <sz val="9"/>
            <color indexed="81"/>
            <rFont val="Tahoma"/>
            <family val="2"/>
          </rPr>
          <t xml:space="preserve">
per Amie +HSD VS Direct growth </t>
        </r>
      </text>
    </comment>
    <comment ref="DO90" authorId="6">
      <text>
        <r>
          <rPr>
            <b/>
            <sz val="9"/>
            <color indexed="81"/>
            <rFont val="Tahoma"/>
            <family val="2"/>
          </rPr>
          <t>Cassel, Lauren (Research):</t>
        </r>
        <r>
          <rPr>
            <sz val="9"/>
            <color indexed="81"/>
            <rFont val="Tahoma"/>
            <family val="2"/>
          </rPr>
          <t xml:space="preserve">
8/31/17: core categories +low teens</t>
        </r>
      </text>
    </comment>
    <comment ref="CR91" authorId="12">
      <text>
        <r>
          <rPr>
            <b/>
            <sz val="8"/>
            <color indexed="81"/>
            <rFont val="Tahoma"/>
            <family val="2"/>
          </rPr>
          <t>solejay:</t>
        </r>
        <r>
          <rPr>
            <sz val="8"/>
            <color indexed="81"/>
            <rFont val="Tahoma"/>
            <family val="2"/>
          </rPr>
          <t xml:space="preserve">
VSD -5%
September merch marg rate was up to last year, driven by increased regular priced selling 
Weakness in apparel was only partially offset by strength in bras, panties, pink and sleepwear.
</t>
        </r>
      </text>
    </comment>
    <comment ref="CZ91" authorId="1">
      <text>
        <r>
          <rPr>
            <b/>
            <sz val="9"/>
            <color indexed="81"/>
            <rFont val="Tahoma"/>
            <family val="2"/>
          </rPr>
          <t>casselau:</t>
        </r>
        <r>
          <rPr>
            <sz val="9"/>
            <color indexed="81"/>
            <rFont val="Tahoma"/>
            <family val="2"/>
          </rPr>
          <t xml:space="preserve">
Go-forward category sales +low-20s; Non-go-forward apparel merchandise sales declined mid-30% range </t>
        </r>
      </text>
    </comment>
    <comment ref="DD91" authorId="1">
      <text>
        <r>
          <rPr>
            <b/>
            <sz val="9"/>
            <color indexed="81"/>
            <rFont val="Tahoma"/>
            <family val="2"/>
          </rPr>
          <t>casselau:</t>
        </r>
        <r>
          <rPr>
            <sz val="9"/>
            <color indexed="81"/>
            <rFont val="Tahoma"/>
            <family val="2"/>
          </rPr>
          <t xml:space="preserve">
go-forward categories +mid-twenties</t>
        </r>
      </text>
    </comment>
    <comment ref="DI91" authorId="6">
      <text>
        <r>
          <rPr>
            <b/>
            <sz val="9"/>
            <color indexed="81"/>
            <rFont val="Tahoma"/>
            <family val="2"/>
          </rPr>
          <t>Cassel, Lauren (Research):</t>
        </r>
        <r>
          <rPr>
            <sz val="9"/>
            <color indexed="81"/>
            <rFont val="Tahoma"/>
            <family val="2"/>
          </rPr>
          <t xml:space="preserve">
per Amie +HSD VS Direct gorwth </t>
        </r>
      </text>
    </comment>
    <comment ref="DO91" authorId="6">
      <text>
        <r>
          <rPr>
            <b/>
            <sz val="9"/>
            <color indexed="81"/>
            <rFont val="Tahoma"/>
            <family val="2"/>
          </rPr>
          <t>Cassel, Lauren (Research):</t>
        </r>
        <r>
          <rPr>
            <sz val="9"/>
            <color indexed="81"/>
            <rFont val="Tahoma"/>
            <family val="2"/>
          </rPr>
          <t xml:space="preserve">
10/5/17: core categories +MSD</t>
        </r>
      </text>
    </comment>
    <comment ref="CZ92" authorId="1">
      <text>
        <r>
          <rPr>
            <b/>
            <sz val="9"/>
            <color indexed="81"/>
            <rFont val="Tahoma"/>
            <family val="2"/>
          </rPr>
          <t>casselau:</t>
        </r>
        <r>
          <rPr>
            <sz val="9"/>
            <color indexed="81"/>
            <rFont val="Tahoma"/>
            <family val="2"/>
          </rPr>
          <t xml:space="preserve">
Go-forward category sales +high-teens; Non-go-forward apparel merchandise sales decreased in the high-60% range</t>
        </r>
      </text>
    </comment>
    <comment ref="DD92" authorId="1">
      <text>
        <r>
          <rPr>
            <b/>
            <sz val="9"/>
            <color indexed="81"/>
            <rFont val="Tahoma"/>
            <family val="2"/>
          </rPr>
          <t xml:space="preserve">casselau:
</t>
        </r>
        <r>
          <rPr>
            <sz val="9"/>
            <color indexed="81"/>
            <rFont val="Tahoma"/>
            <family val="2"/>
          </rPr>
          <t>core categories +high-teens</t>
        </r>
      </text>
    </comment>
    <comment ref="DI92" authorId="6">
      <text>
        <r>
          <rPr>
            <b/>
            <sz val="9"/>
            <color indexed="81"/>
            <rFont val="Tahoma"/>
            <family val="2"/>
          </rPr>
          <t>Cassel, Lauren (Research):</t>
        </r>
        <r>
          <rPr>
            <sz val="9"/>
            <color indexed="81"/>
            <rFont val="Tahoma"/>
            <family val="2"/>
          </rPr>
          <t xml:space="preserve">
core categories +LDD</t>
        </r>
      </text>
    </comment>
    <comment ref="DO92" authorId="6">
      <text>
        <r>
          <rPr>
            <b/>
            <sz val="9"/>
            <color indexed="81"/>
            <rFont val="Tahoma"/>
            <family val="2"/>
          </rPr>
          <t>Cassel, Lauren (Research):</t>
        </r>
        <r>
          <rPr>
            <sz val="9"/>
            <color indexed="81"/>
            <rFont val="Tahoma"/>
            <family val="2"/>
          </rPr>
          <t xml:space="preserve">
Go forward categories +mid-30s</t>
        </r>
      </text>
    </comment>
    <comment ref="CR93" authorId="10">
      <text>
        <r>
          <rPr>
            <b/>
            <sz val="8"/>
            <color indexed="81"/>
            <rFont val="Tahoma"/>
            <family val="2"/>
          </rPr>
          <t>P Kahng:</t>
        </r>
        <r>
          <rPr>
            <sz val="8"/>
            <color indexed="81"/>
            <rFont val="Tahoma"/>
            <family val="2"/>
          </rPr>
          <t xml:space="preserve">
5/31/12: Est at 2%</t>
        </r>
      </text>
    </comment>
    <comment ref="DD93" authorId="1">
      <text>
        <r>
          <rPr>
            <b/>
            <sz val="9"/>
            <color indexed="81"/>
            <rFont val="Tahoma"/>
            <family val="2"/>
          </rPr>
          <t>casselau:</t>
        </r>
        <r>
          <rPr>
            <sz val="9"/>
            <color indexed="81"/>
            <rFont val="Tahoma"/>
            <family val="2"/>
          </rPr>
          <t xml:space="preserve">
core categories +20%</t>
        </r>
      </text>
    </comment>
    <comment ref="DI93" authorId="6">
      <text>
        <r>
          <rPr>
            <b/>
            <sz val="9"/>
            <color indexed="81"/>
            <rFont val="Tahoma"/>
            <family val="2"/>
          </rPr>
          <t>Cassel, Lauren (Research):</t>
        </r>
        <r>
          <rPr>
            <sz val="9"/>
            <color indexed="81"/>
            <rFont val="Tahoma"/>
            <family val="2"/>
          </rPr>
          <t xml:space="preserve">
8/17/16: per Amie planinng the Direct business -LSD</t>
        </r>
      </text>
    </comment>
    <comment ref="DO93" authorId="6">
      <text>
        <r>
          <rPr>
            <b/>
            <sz val="9"/>
            <color indexed="81"/>
            <rFont val="Tahoma"/>
            <family val="2"/>
          </rPr>
          <t>Cassel, Lauren (Research):</t>
        </r>
        <r>
          <rPr>
            <sz val="9"/>
            <color indexed="81"/>
            <rFont val="Tahoma"/>
            <family val="2"/>
          </rPr>
          <t xml:space="preserve">
core categories +mid-teens</t>
        </r>
      </text>
    </comment>
    <comment ref="CR95" authorId="1">
      <text>
        <r>
          <rPr>
            <b/>
            <sz val="8"/>
            <color indexed="81"/>
            <rFont val="Tahoma"/>
            <family val="2"/>
          </rPr>
          <t>casselau:</t>
        </r>
        <r>
          <rPr>
            <sz val="8"/>
            <color indexed="81"/>
            <rFont val="Tahoma"/>
            <family val="2"/>
          </rPr>
          <t xml:space="preserve">
11/29: strength in bras and pink partially offset by weakness in apparel; merchandise margin rate up</t>
        </r>
      </text>
    </comment>
    <comment ref="CZ95" authorId="1">
      <text>
        <r>
          <rPr>
            <b/>
            <sz val="9"/>
            <color indexed="81"/>
            <rFont val="Tahoma"/>
            <family val="2"/>
          </rPr>
          <t xml:space="preserve">casselau:
</t>
        </r>
        <r>
          <rPr>
            <sz val="9"/>
            <color indexed="81"/>
            <rFont val="Tahoma"/>
            <family val="2"/>
          </rPr>
          <t xml:space="preserve">Go-forward category sales +low-teens; Non-go-forward apparel merchandise sales decreased in the high-80% range. </t>
        </r>
        <r>
          <rPr>
            <b/>
            <sz val="9"/>
            <color indexed="81"/>
            <rFont val="Tahoma"/>
            <family val="2"/>
          </rPr>
          <t xml:space="preserve">
</t>
        </r>
        <r>
          <rPr>
            <sz val="9"/>
            <color indexed="81"/>
            <rFont val="Tahoma"/>
            <family val="2"/>
          </rPr>
          <t xml:space="preserve">
2/27/14: per Sharen Turney: expect apparel inflection point fall 2014/spring 2015</t>
        </r>
      </text>
    </comment>
    <comment ref="DD95" authorId="1">
      <text>
        <r>
          <rPr>
            <b/>
            <sz val="9"/>
            <color indexed="81"/>
            <rFont val="Tahoma"/>
            <family val="2"/>
          </rPr>
          <t>casselau:</t>
        </r>
        <r>
          <rPr>
            <sz val="9"/>
            <color indexed="81"/>
            <rFont val="Tahoma"/>
            <family val="2"/>
          </rPr>
          <t xml:space="preserve">
core categories +mid-teens</t>
        </r>
      </text>
    </comment>
    <comment ref="DI95" authorId="6">
      <text>
        <r>
          <rPr>
            <b/>
            <sz val="9"/>
            <color indexed="81"/>
            <rFont val="Tahoma"/>
            <family val="2"/>
          </rPr>
          <t>Cassel, Lauren (Research):</t>
        </r>
        <r>
          <rPr>
            <sz val="9"/>
            <color indexed="81"/>
            <rFont val="Tahoma"/>
            <family val="2"/>
          </rPr>
          <t xml:space="preserve">
per Amie, VS Direct +HSD (core categories up over 20%+)</t>
        </r>
      </text>
    </comment>
    <comment ref="DO95" authorId="6">
      <text>
        <r>
          <rPr>
            <b/>
            <sz val="9"/>
            <color indexed="81"/>
            <rFont val="Tahoma"/>
            <family val="2"/>
          </rPr>
          <t>Cassel, Lauren (Research):</t>
        </r>
        <r>
          <rPr>
            <sz val="9"/>
            <color indexed="81"/>
            <rFont val="Tahoma"/>
            <family val="2"/>
          </rPr>
          <t xml:space="preserve">
11/30/17: +HSD; core categories +LDD</t>
        </r>
      </text>
    </comment>
    <comment ref="CR96" authorId="1">
      <text>
        <r>
          <rPr>
            <b/>
            <sz val="8"/>
            <color indexed="81"/>
            <rFont val="Tahoma"/>
            <family val="2"/>
          </rPr>
          <t>casselau:</t>
        </r>
        <r>
          <rPr>
            <sz val="8"/>
            <color indexed="81"/>
            <rFont val="Tahoma"/>
            <family val="2"/>
          </rPr>
          <t xml:space="preserve">
Merchandise margin rate was up significantly to LY, driven by a reduction in promotional activity. Strenght in pink was offset by weakness in apparel. 
</t>
        </r>
      </text>
    </comment>
    <comment ref="CZ96" authorId="1">
      <text>
        <r>
          <rPr>
            <b/>
            <sz val="9"/>
            <color indexed="81"/>
            <rFont val="Tahoma"/>
            <family val="2"/>
          </rPr>
          <t>casselau:</t>
        </r>
        <r>
          <rPr>
            <sz val="9"/>
            <color indexed="81"/>
            <rFont val="Tahoma"/>
            <family val="2"/>
          </rPr>
          <t xml:space="preserve">
go-forward category sales +high-teens; non-go-forward declined in low-90%</t>
        </r>
      </text>
    </comment>
    <comment ref="DD96" authorId="1">
      <text>
        <r>
          <rPr>
            <b/>
            <sz val="9"/>
            <color indexed="81"/>
            <rFont val="Tahoma"/>
            <family val="2"/>
          </rPr>
          <t>casselau:</t>
        </r>
        <r>
          <rPr>
            <sz val="9"/>
            <color indexed="81"/>
            <rFont val="Tahoma"/>
            <family val="2"/>
          </rPr>
          <t xml:space="preserve">
12/2/15: Direct channel semi-annual sale 6 days shorter this year; started 12/28 this year vs. 12/23 LY</t>
        </r>
      </text>
    </comment>
    <comment ref="DI96" authorId="6">
      <text>
        <r>
          <rPr>
            <b/>
            <sz val="9"/>
            <color indexed="81"/>
            <rFont val="Tahoma"/>
            <family val="2"/>
          </rPr>
          <t>Cassel, Lauren (Research):</t>
        </r>
        <r>
          <rPr>
            <sz val="9"/>
            <color indexed="81"/>
            <rFont val="Tahoma"/>
            <family val="2"/>
          </rPr>
          <t xml:space="preserve">
per Amie VS direct -6% (core categories +HSD%)</t>
        </r>
      </text>
    </comment>
    <comment ref="DO96" authorId="6">
      <text>
        <r>
          <rPr>
            <b/>
            <sz val="9"/>
            <color indexed="81"/>
            <rFont val="Tahoma"/>
            <family val="2"/>
          </rPr>
          <t>Cassel, Lauren (Research):</t>
        </r>
        <r>
          <rPr>
            <sz val="9"/>
            <color indexed="81"/>
            <rFont val="Tahoma"/>
            <family val="2"/>
          </rPr>
          <t xml:space="preserve">
eComm +high teens; go forward categories +low 20s</t>
        </r>
      </text>
    </comment>
    <comment ref="CR97" authorId="10">
      <text>
        <r>
          <rPr>
            <b/>
            <sz val="8"/>
            <color indexed="81"/>
            <rFont val="Tahoma"/>
            <family val="2"/>
          </rPr>
          <t>P Kahng:</t>
        </r>
        <r>
          <rPr>
            <sz val="8"/>
            <color indexed="81"/>
            <rFont val="Tahoma"/>
            <family val="2"/>
          </rPr>
          <t xml:space="preserve">
estimating 5.5% comp, but with 53rd week, comp goes to 22.6%</t>
        </r>
      </text>
    </comment>
    <comment ref="CZ97" authorId="1">
      <text>
        <r>
          <rPr>
            <b/>
            <sz val="9"/>
            <color indexed="81"/>
            <rFont val="Tahoma"/>
            <family val="2"/>
          </rPr>
          <t>casselau:</t>
        </r>
        <r>
          <rPr>
            <sz val="9"/>
            <color indexed="81"/>
            <rFont val="Tahoma"/>
            <family val="2"/>
          </rPr>
          <t xml:space="preserve">
go-forward category sales +mid-teens; non-go-forward decreased high-90%</t>
        </r>
      </text>
    </comment>
    <comment ref="DI97" authorId="6">
      <text>
        <r>
          <rPr>
            <b/>
            <sz val="9"/>
            <color indexed="81"/>
            <rFont val="Tahoma"/>
            <family val="2"/>
          </rPr>
          <t>Cassel, Lauren (Research):</t>
        </r>
        <r>
          <rPr>
            <sz val="9"/>
            <color indexed="81"/>
            <rFont val="Tahoma"/>
            <family val="2"/>
          </rPr>
          <t xml:space="preserve">
2/2/17: core categories -4%</t>
        </r>
      </text>
    </comment>
    <comment ref="DO97" authorId="6">
      <text>
        <r>
          <rPr>
            <b/>
            <sz val="9"/>
            <color indexed="81"/>
            <rFont val="Tahoma"/>
            <family val="2"/>
          </rPr>
          <t>Cassel, Lauren (Research):</t>
        </r>
        <r>
          <rPr>
            <sz val="9"/>
            <color indexed="81"/>
            <rFont val="Tahoma"/>
            <family val="2"/>
          </rPr>
          <t xml:space="preserve">
+low 40s including the extra week
</t>
        </r>
      </text>
    </comment>
    <comment ref="CR98" authorId="10">
      <text>
        <r>
          <rPr>
            <b/>
            <sz val="8"/>
            <color indexed="81"/>
            <rFont val="Tahoma"/>
            <family val="2"/>
          </rPr>
          <t>P Kahng:</t>
        </r>
        <r>
          <rPr>
            <sz val="8"/>
            <color indexed="81"/>
            <rFont val="Tahoma"/>
            <family val="2"/>
          </rPr>
          <t xml:space="preserve">
5/31/12: Est at 9.6%</t>
        </r>
      </text>
    </comment>
    <comment ref="DD99" authorId="1">
      <text>
        <r>
          <rPr>
            <b/>
            <sz val="9"/>
            <color indexed="81"/>
            <rFont val="Tahoma"/>
            <family val="2"/>
          </rPr>
          <t>casselau:</t>
        </r>
        <r>
          <rPr>
            <sz val="9"/>
            <color indexed="81"/>
            <rFont val="Tahoma"/>
            <family val="2"/>
          </rPr>
          <t xml:space="preserve">
planning Direct business flat for the year per Amie</t>
        </r>
      </text>
    </comment>
    <comment ref="AR104" authorId="0">
      <text>
        <r>
          <rPr>
            <b/>
            <sz val="8"/>
            <color indexed="81"/>
            <rFont val="Tahoma"/>
            <family val="2"/>
          </rPr>
          <t>dliu:</t>
        </r>
        <r>
          <rPr>
            <sz val="8"/>
            <color indexed="81"/>
            <rFont val="Tahoma"/>
            <family val="2"/>
          </rPr>
          <t xml:space="preserve">
adj. to exclude lerner</t>
        </r>
      </text>
    </comment>
    <comment ref="BL104" authorId="0">
      <text>
        <r>
          <rPr>
            <b/>
            <sz val="8"/>
            <color indexed="81"/>
            <rFont val="Tahoma"/>
            <family val="2"/>
          </rPr>
          <t>dliu:</t>
        </r>
        <r>
          <rPr>
            <sz val="8"/>
            <color indexed="81"/>
            <rFont val="Tahoma"/>
            <family val="2"/>
          </rPr>
          <t xml:space="preserve">
calc'd (5.7)</t>
        </r>
      </text>
    </comment>
    <comment ref="BP104" authorId="2">
      <text>
        <r>
          <rPr>
            <b/>
            <sz val="8"/>
            <color indexed="81"/>
            <rFont val="Tahoma"/>
            <family val="2"/>
          </rPr>
          <t>Corinna Freedman:</t>
        </r>
        <r>
          <rPr>
            <sz val="8"/>
            <color indexed="81"/>
            <rFont val="Tahoma"/>
            <family val="2"/>
          </rPr>
          <t xml:space="preserve">
-11</t>
        </r>
      </text>
    </comment>
    <comment ref="BT104" authorId="3">
      <text>
        <r>
          <rPr>
            <b/>
            <sz val="8"/>
            <color indexed="81"/>
            <rFont val="Tahoma"/>
            <family val="2"/>
          </rPr>
          <t>mm98285:</t>
        </r>
        <r>
          <rPr>
            <sz val="8"/>
            <color indexed="81"/>
            <rFont val="Tahoma"/>
            <family val="2"/>
          </rPr>
          <t xml:space="preserve">
4.7% est</t>
        </r>
      </text>
    </comment>
    <comment ref="BL105" authorId="0">
      <text>
        <r>
          <rPr>
            <b/>
            <sz val="8"/>
            <color indexed="81"/>
            <rFont val="Tahoma"/>
            <family val="2"/>
          </rPr>
          <t>dliu:</t>
        </r>
        <r>
          <rPr>
            <sz val="8"/>
            <color indexed="81"/>
            <rFont val="Tahoma"/>
            <family val="2"/>
          </rPr>
          <t xml:space="preserve">
5.3, then calc'd 10</t>
        </r>
      </text>
    </comment>
    <comment ref="BP105" authorId="2">
      <text>
        <r>
          <rPr>
            <b/>
            <sz val="8"/>
            <color indexed="81"/>
            <rFont val="Tahoma"/>
            <family val="2"/>
          </rPr>
          <t>Corinna Freedman:</t>
        </r>
        <r>
          <rPr>
            <sz val="8"/>
            <color indexed="81"/>
            <rFont val="Tahoma"/>
            <family val="2"/>
          </rPr>
          <t xml:space="preserve">
-14</t>
        </r>
      </text>
    </comment>
    <comment ref="BX105" authorId="3">
      <text>
        <r>
          <rPr>
            <b/>
            <sz val="8"/>
            <color indexed="81"/>
            <rFont val="Tahoma"/>
            <family val="2"/>
          </rPr>
          <t>mm98285:</t>
        </r>
        <r>
          <rPr>
            <sz val="8"/>
            <color indexed="81"/>
            <rFont val="Tahoma"/>
            <family val="2"/>
          </rPr>
          <t xml:space="preserve">
3.0% est.</t>
        </r>
      </text>
    </comment>
    <comment ref="BL106" authorId="0">
      <text>
        <r>
          <rPr>
            <b/>
            <sz val="8"/>
            <color indexed="81"/>
            <rFont val="Tahoma"/>
            <family val="2"/>
          </rPr>
          <t>dliu:</t>
        </r>
        <r>
          <rPr>
            <sz val="8"/>
            <color indexed="81"/>
            <rFont val="Tahoma"/>
            <family val="2"/>
          </rPr>
          <t xml:space="preserve">
-7</t>
        </r>
      </text>
    </comment>
    <comment ref="BP106" authorId="2">
      <text>
        <r>
          <rPr>
            <b/>
            <sz val="8"/>
            <color indexed="81"/>
            <rFont val="Tahoma"/>
            <family val="2"/>
          </rPr>
          <t>Corinna Freedman:</t>
        </r>
        <r>
          <rPr>
            <sz val="8"/>
            <color indexed="81"/>
            <rFont val="Tahoma"/>
            <family val="2"/>
          </rPr>
          <t xml:space="preserve">
-8</t>
        </r>
      </text>
    </comment>
    <comment ref="BX106" authorId="3">
      <text>
        <r>
          <rPr>
            <b/>
            <sz val="8"/>
            <color indexed="81"/>
            <rFont val="Tahoma"/>
            <family val="2"/>
          </rPr>
          <t>mm98285:</t>
        </r>
        <r>
          <rPr>
            <sz val="8"/>
            <color indexed="81"/>
            <rFont val="Tahoma"/>
            <family val="2"/>
          </rPr>
          <t xml:space="preserve">
3.7%</t>
        </r>
      </text>
    </comment>
    <comment ref="BL107" authorId="0">
      <text>
        <r>
          <rPr>
            <b/>
            <sz val="8"/>
            <color indexed="81"/>
            <rFont val="Tahoma"/>
            <family val="2"/>
          </rPr>
          <t>dliu:</t>
        </r>
        <r>
          <rPr>
            <sz val="8"/>
            <color indexed="81"/>
            <rFont val="Tahoma"/>
            <family val="2"/>
          </rPr>
          <t xml:space="preserve">
1.3</t>
        </r>
      </text>
    </comment>
    <comment ref="BH109" authorId="0">
      <text>
        <r>
          <rPr>
            <b/>
            <sz val="8"/>
            <color indexed="81"/>
            <rFont val="Tahoma"/>
            <family val="2"/>
          </rPr>
          <t>dliu:</t>
        </r>
        <r>
          <rPr>
            <sz val="8"/>
            <color indexed="81"/>
            <rFont val="Tahoma"/>
            <family val="2"/>
          </rPr>
          <t xml:space="preserve">
calc'ed (0.5)</t>
        </r>
      </text>
    </comment>
    <comment ref="BL109" authorId="2">
      <text>
        <r>
          <rPr>
            <b/>
            <sz val="8"/>
            <color indexed="81"/>
            <rFont val="Tahoma"/>
            <family val="2"/>
          </rPr>
          <t>Corinna Freedman:</t>
        </r>
        <r>
          <rPr>
            <sz val="8"/>
            <color indexed="81"/>
            <rFont val="Tahoma"/>
            <family val="2"/>
          </rPr>
          <t xml:space="preserve">
-4.5</t>
        </r>
      </text>
    </comment>
    <comment ref="BP109" authorId="2">
      <text>
        <r>
          <rPr>
            <b/>
            <sz val="8"/>
            <color indexed="81"/>
            <rFont val="Tahoma"/>
            <family val="2"/>
          </rPr>
          <t>Corinna Freedman:</t>
        </r>
        <r>
          <rPr>
            <sz val="8"/>
            <color indexed="81"/>
            <rFont val="Tahoma"/>
            <family val="2"/>
          </rPr>
          <t xml:space="preserve">
-11</t>
        </r>
      </text>
    </comment>
    <comment ref="BT109" authorId="3">
      <text>
        <r>
          <rPr>
            <b/>
            <sz val="8"/>
            <color indexed="81"/>
            <rFont val="Tahoma"/>
            <family val="2"/>
          </rPr>
          <t>mm98285:</t>
        </r>
        <r>
          <rPr>
            <sz val="8"/>
            <color indexed="81"/>
            <rFont val="Tahoma"/>
            <family val="2"/>
          </rPr>
          <t xml:space="preserve">
3.7% comp est.</t>
        </r>
      </text>
    </comment>
    <comment ref="BX109" authorId="3">
      <text>
        <r>
          <rPr>
            <b/>
            <sz val="8"/>
            <color indexed="81"/>
            <rFont val="Tahoma"/>
            <family val="2"/>
          </rPr>
          <t>mm98285:</t>
        </r>
        <r>
          <rPr>
            <sz val="8"/>
            <color indexed="81"/>
            <rFont val="Tahoma"/>
            <family val="2"/>
          </rPr>
          <t xml:space="preserve">
5.4% est</t>
        </r>
      </text>
    </comment>
    <comment ref="BH110" authorId="0">
      <text>
        <r>
          <rPr>
            <b/>
            <sz val="8"/>
            <color indexed="81"/>
            <rFont val="Tahoma"/>
            <family val="2"/>
          </rPr>
          <t>dliu:</t>
        </r>
        <r>
          <rPr>
            <sz val="8"/>
            <color indexed="81"/>
            <rFont val="Tahoma"/>
            <family val="2"/>
          </rPr>
          <t xml:space="preserve">
calc'ed 3.6</t>
        </r>
      </text>
    </comment>
    <comment ref="BP110" authorId="2">
      <text>
        <r>
          <rPr>
            <b/>
            <sz val="8"/>
            <color indexed="81"/>
            <rFont val="Tahoma"/>
            <family val="2"/>
          </rPr>
          <t>Corinna Freedman:</t>
        </r>
        <r>
          <rPr>
            <sz val="8"/>
            <color indexed="81"/>
            <rFont val="Tahoma"/>
            <family val="2"/>
          </rPr>
          <t xml:space="preserve">
-8</t>
        </r>
      </text>
    </comment>
    <comment ref="BT110" authorId="3">
      <text>
        <r>
          <rPr>
            <b/>
            <sz val="8"/>
            <color indexed="81"/>
            <rFont val="Tahoma"/>
            <family val="2"/>
          </rPr>
          <t>mm98285:</t>
        </r>
        <r>
          <rPr>
            <sz val="8"/>
            <color indexed="81"/>
            <rFont val="Tahoma"/>
            <family val="2"/>
          </rPr>
          <t xml:space="preserve">
-1.2% comp est.</t>
        </r>
      </text>
    </comment>
    <comment ref="BX110" authorId="3">
      <text>
        <r>
          <rPr>
            <b/>
            <sz val="8"/>
            <color indexed="81"/>
            <rFont val="Tahoma"/>
            <family val="2"/>
          </rPr>
          <t>mm98285:</t>
        </r>
        <r>
          <rPr>
            <sz val="8"/>
            <color indexed="81"/>
            <rFont val="Tahoma"/>
            <family val="2"/>
          </rPr>
          <t xml:space="preserve">
expect 4%</t>
        </r>
      </text>
    </comment>
    <comment ref="BH111" authorId="0">
      <text>
        <r>
          <rPr>
            <b/>
            <sz val="8"/>
            <color indexed="81"/>
            <rFont val="Tahoma"/>
            <family val="2"/>
          </rPr>
          <t>dliu:</t>
        </r>
        <r>
          <rPr>
            <sz val="8"/>
            <color indexed="81"/>
            <rFont val="Tahoma"/>
            <family val="2"/>
          </rPr>
          <t xml:space="preserve">
had 1</t>
        </r>
      </text>
    </comment>
    <comment ref="BP111" authorId="2">
      <text>
        <r>
          <rPr>
            <b/>
            <sz val="8"/>
            <color indexed="81"/>
            <rFont val="Tahoma"/>
            <family val="2"/>
          </rPr>
          <t>Corinna Freedman:</t>
        </r>
        <r>
          <rPr>
            <sz val="8"/>
            <color indexed="81"/>
            <rFont val="Tahoma"/>
            <family val="2"/>
          </rPr>
          <t xml:space="preserve">
3.6</t>
        </r>
      </text>
    </comment>
    <comment ref="BT111" authorId="3">
      <text>
        <r>
          <rPr>
            <b/>
            <sz val="8"/>
            <color indexed="81"/>
            <rFont val="Tahoma"/>
            <family val="2"/>
          </rPr>
          <t>mm98285:</t>
        </r>
        <r>
          <rPr>
            <sz val="8"/>
            <color indexed="81"/>
            <rFont val="Tahoma"/>
            <family val="2"/>
          </rPr>
          <t xml:space="preserve">
-2.4% est.</t>
        </r>
      </text>
    </comment>
    <comment ref="BH112" authorId="0">
      <text>
        <r>
          <rPr>
            <b/>
            <sz val="8"/>
            <color indexed="81"/>
            <rFont val="Tahoma"/>
            <family val="2"/>
          </rPr>
          <t>dliu:</t>
        </r>
        <r>
          <rPr>
            <sz val="8"/>
            <color indexed="81"/>
            <rFont val="Tahoma"/>
            <family val="2"/>
          </rPr>
          <t xml:space="preserve">
had +1.5</t>
        </r>
      </text>
    </comment>
    <comment ref="BH114" authorId="0">
      <text>
        <r>
          <rPr>
            <b/>
            <sz val="8"/>
            <color indexed="81"/>
            <rFont val="Tahoma"/>
            <family val="2"/>
          </rPr>
          <t>dliu:</t>
        </r>
        <r>
          <rPr>
            <sz val="8"/>
            <color indexed="81"/>
            <rFont val="Tahoma"/>
            <family val="2"/>
          </rPr>
          <t xml:space="preserve">
-6.3, then calc'd -10.8</t>
        </r>
      </text>
    </comment>
    <comment ref="BL114" authorId="2">
      <text>
        <r>
          <rPr>
            <b/>
            <sz val="8"/>
            <color indexed="81"/>
            <rFont val="Tahoma"/>
            <family val="2"/>
          </rPr>
          <t>Corinna Freedman:</t>
        </r>
        <r>
          <rPr>
            <sz val="8"/>
            <color indexed="81"/>
            <rFont val="Tahoma"/>
            <family val="2"/>
          </rPr>
          <t xml:space="preserve">
-4</t>
        </r>
      </text>
    </comment>
    <comment ref="BP114" authorId="2">
      <text>
        <r>
          <rPr>
            <b/>
            <sz val="8"/>
            <color indexed="81"/>
            <rFont val="Tahoma"/>
            <family val="2"/>
          </rPr>
          <t>Corinna Freedman:</t>
        </r>
        <r>
          <rPr>
            <sz val="8"/>
            <color indexed="81"/>
            <rFont val="Tahoma"/>
            <family val="2"/>
          </rPr>
          <t xml:space="preserve">
-7e</t>
        </r>
      </text>
    </comment>
    <comment ref="BT114" authorId="3">
      <text>
        <r>
          <rPr>
            <b/>
            <sz val="8"/>
            <color indexed="81"/>
            <rFont val="Tahoma"/>
            <family val="2"/>
          </rPr>
          <t>mm98285:</t>
        </r>
        <r>
          <rPr>
            <sz val="8"/>
            <color indexed="81"/>
            <rFont val="Tahoma"/>
            <family val="2"/>
          </rPr>
          <t xml:space="preserve">
-2.8% comp est.</t>
        </r>
      </text>
    </comment>
    <comment ref="BH115" authorId="0">
      <text>
        <r>
          <rPr>
            <b/>
            <sz val="8"/>
            <color indexed="81"/>
            <rFont val="Tahoma"/>
            <family val="2"/>
          </rPr>
          <t>dliu:</t>
        </r>
        <r>
          <rPr>
            <sz val="8"/>
            <color indexed="81"/>
            <rFont val="Tahoma"/>
            <family val="2"/>
          </rPr>
          <t xml:space="preserve">
(5). Calc'd 13.1</t>
        </r>
      </text>
    </comment>
    <comment ref="BL115" authorId="2">
      <text>
        <r>
          <rPr>
            <b/>
            <sz val="8"/>
            <color indexed="81"/>
            <rFont val="Tahoma"/>
            <family val="2"/>
          </rPr>
          <t>Corinna Freedman:</t>
        </r>
        <r>
          <rPr>
            <sz val="8"/>
            <color indexed="81"/>
            <rFont val="Tahoma"/>
            <family val="2"/>
          </rPr>
          <t xml:space="preserve">
-7.5</t>
        </r>
      </text>
    </comment>
    <comment ref="BT115" authorId="3">
      <text>
        <r>
          <rPr>
            <b/>
            <sz val="8"/>
            <color indexed="81"/>
            <rFont val="Tahoma"/>
            <family val="2"/>
          </rPr>
          <t>mm98285:</t>
        </r>
        <r>
          <rPr>
            <sz val="8"/>
            <color indexed="81"/>
            <rFont val="Tahoma"/>
            <family val="2"/>
          </rPr>
          <t xml:space="preserve">
-2.5% comp est.</t>
        </r>
      </text>
    </comment>
    <comment ref="BH116" authorId="0">
      <text>
        <r>
          <rPr>
            <b/>
            <sz val="8"/>
            <color indexed="81"/>
            <rFont val="Tahoma"/>
            <family val="2"/>
          </rPr>
          <t>dliu:</t>
        </r>
        <r>
          <rPr>
            <sz val="8"/>
            <color indexed="81"/>
            <rFont val="Tahoma"/>
            <family val="2"/>
          </rPr>
          <t xml:space="preserve">
calc'd -9.2 vs. reported -9</t>
        </r>
      </text>
    </comment>
    <comment ref="BL116" authorId="2">
      <text>
        <r>
          <rPr>
            <b/>
            <sz val="8"/>
            <color indexed="81"/>
            <rFont val="Tahoma"/>
            <family val="2"/>
          </rPr>
          <t>Corinna Freedman:</t>
        </r>
        <r>
          <rPr>
            <sz val="8"/>
            <color indexed="81"/>
            <rFont val="Tahoma"/>
            <family val="2"/>
          </rPr>
          <t xml:space="preserve">
17.2</t>
        </r>
      </text>
    </comment>
    <comment ref="BT116" authorId="3">
      <text>
        <r>
          <rPr>
            <b/>
            <sz val="8"/>
            <color indexed="81"/>
            <rFont val="Tahoma"/>
            <family val="2"/>
          </rPr>
          <t>mm98285:</t>
        </r>
        <r>
          <rPr>
            <sz val="8"/>
            <color indexed="81"/>
            <rFont val="Tahoma"/>
            <family val="2"/>
          </rPr>
          <t xml:space="preserve">
-2.0% comp est.</t>
        </r>
      </text>
    </comment>
    <comment ref="BH117" authorId="0">
      <text>
        <r>
          <rPr>
            <b/>
            <sz val="8"/>
            <color indexed="81"/>
            <rFont val="Tahoma"/>
            <family val="2"/>
          </rPr>
          <t>dliu:</t>
        </r>
        <r>
          <rPr>
            <sz val="8"/>
            <color indexed="81"/>
            <rFont val="Tahoma"/>
            <family val="2"/>
          </rPr>
          <t xml:space="preserve">
-1.4. calc'ed -1.5 vs. reported -2</t>
        </r>
      </text>
    </comment>
    <comment ref="BH119" authorId="0">
      <text>
        <r>
          <rPr>
            <b/>
            <sz val="8"/>
            <color indexed="81"/>
            <rFont val="Tahoma"/>
            <family val="2"/>
          </rPr>
          <t>dliu:</t>
        </r>
        <r>
          <rPr>
            <sz val="8"/>
            <color indexed="81"/>
            <rFont val="Tahoma"/>
            <family val="2"/>
          </rPr>
          <t xml:space="preserve">
-11, calc'ed -9.8</t>
        </r>
      </text>
    </comment>
    <comment ref="BL119" authorId="2">
      <text>
        <r>
          <rPr>
            <b/>
            <sz val="8"/>
            <color indexed="81"/>
            <rFont val="Tahoma"/>
            <family val="2"/>
          </rPr>
          <t>Corinna Freedman:</t>
        </r>
        <r>
          <rPr>
            <sz val="8"/>
            <color indexed="81"/>
            <rFont val="Tahoma"/>
            <family val="2"/>
          </rPr>
          <t xml:space="preserve">
-4</t>
        </r>
      </text>
    </comment>
    <comment ref="BP119" authorId="2">
      <text>
        <r>
          <rPr>
            <b/>
            <sz val="8"/>
            <color indexed="81"/>
            <rFont val="Tahoma"/>
            <family val="2"/>
          </rPr>
          <t>Corinna Freedman:</t>
        </r>
        <r>
          <rPr>
            <sz val="8"/>
            <color indexed="81"/>
            <rFont val="Tahoma"/>
            <family val="2"/>
          </rPr>
          <t xml:space="preserve">
-1.3e</t>
        </r>
      </text>
    </comment>
    <comment ref="BT119" authorId="3">
      <text>
        <r>
          <rPr>
            <b/>
            <sz val="8"/>
            <color indexed="81"/>
            <rFont val="Tahoma"/>
            <family val="2"/>
          </rPr>
          <t>mm98285:</t>
        </r>
        <r>
          <rPr>
            <sz val="8"/>
            <color indexed="81"/>
            <rFont val="Tahoma"/>
            <family val="2"/>
          </rPr>
          <t xml:space="preserve">
expect slightly neg.
-2.8% comp est.</t>
        </r>
      </text>
    </comment>
    <comment ref="BH120" authorId="0">
      <text>
        <r>
          <rPr>
            <b/>
            <sz val="8"/>
            <color indexed="81"/>
            <rFont val="Tahoma"/>
            <family val="2"/>
          </rPr>
          <t>dliu:</t>
        </r>
        <r>
          <rPr>
            <sz val="8"/>
            <color indexed="81"/>
            <rFont val="Tahoma"/>
            <family val="2"/>
          </rPr>
          <t xml:space="preserve">
Clearance sale at both Ltd and Express begins Dec 26. -4</t>
        </r>
      </text>
    </comment>
    <comment ref="BP120" authorId="14">
      <text>
        <r>
          <rPr>
            <b/>
            <sz val="8"/>
            <color indexed="81"/>
            <rFont val="Tahoma"/>
            <family val="2"/>
          </rPr>
          <t>Cf52662:</t>
        </r>
        <r>
          <rPr>
            <sz val="8"/>
            <color indexed="81"/>
            <rFont val="Tahoma"/>
            <family val="2"/>
          </rPr>
          <t xml:space="preserve">
5e</t>
        </r>
      </text>
    </comment>
    <comment ref="BT120" authorId="3">
      <text>
        <r>
          <rPr>
            <b/>
            <sz val="8"/>
            <color indexed="81"/>
            <rFont val="Tahoma"/>
            <family val="2"/>
          </rPr>
          <t>mm98285:</t>
        </r>
        <r>
          <rPr>
            <sz val="8"/>
            <color indexed="81"/>
            <rFont val="Tahoma"/>
            <family val="2"/>
          </rPr>
          <t xml:space="preserve">
+2.5% comp est.</t>
        </r>
      </text>
    </comment>
    <comment ref="BL121" authorId="2">
      <text>
        <r>
          <rPr>
            <b/>
            <sz val="8"/>
            <color indexed="81"/>
            <rFont val="Tahoma"/>
            <family val="2"/>
          </rPr>
          <t>Corinna Freedman:</t>
        </r>
        <r>
          <rPr>
            <sz val="8"/>
            <color indexed="81"/>
            <rFont val="Tahoma"/>
            <family val="2"/>
          </rPr>
          <t xml:space="preserve">
1</t>
        </r>
      </text>
    </comment>
    <comment ref="BT121" authorId="3">
      <text>
        <r>
          <rPr>
            <b/>
            <sz val="8"/>
            <color indexed="81"/>
            <rFont val="Tahoma"/>
            <family val="2"/>
          </rPr>
          <t>mm98285:</t>
        </r>
        <r>
          <rPr>
            <sz val="8"/>
            <color indexed="81"/>
            <rFont val="Tahoma"/>
            <family val="2"/>
          </rPr>
          <t xml:space="preserve">
-2.7% comp est. </t>
        </r>
      </text>
    </comment>
    <comment ref="BL127" authorId="0">
      <text>
        <r>
          <rPr>
            <b/>
            <sz val="8"/>
            <color indexed="81"/>
            <rFont val="Tahoma"/>
            <family val="2"/>
          </rPr>
          <t>dliu:</t>
        </r>
        <r>
          <rPr>
            <sz val="8"/>
            <color indexed="81"/>
            <rFont val="Tahoma"/>
            <family val="2"/>
          </rPr>
          <t xml:space="preserve">
-5</t>
        </r>
      </text>
    </comment>
    <comment ref="BP127" authorId="2">
      <text>
        <r>
          <rPr>
            <b/>
            <sz val="8"/>
            <color indexed="81"/>
            <rFont val="Tahoma"/>
            <family val="2"/>
          </rPr>
          <t>Corinna Freedman:</t>
        </r>
        <r>
          <rPr>
            <sz val="8"/>
            <color indexed="81"/>
            <rFont val="Tahoma"/>
            <family val="2"/>
          </rPr>
          <t xml:space="preserve">
-11
</t>
        </r>
      </text>
    </comment>
    <comment ref="BT127" authorId="3">
      <text>
        <r>
          <rPr>
            <b/>
            <sz val="8"/>
            <color indexed="81"/>
            <rFont val="Tahoma"/>
            <family val="2"/>
          </rPr>
          <t>mm98285:</t>
        </r>
        <r>
          <rPr>
            <sz val="8"/>
            <color indexed="81"/>
            <rFont val="Tahoma"/>
            <family val="2"/>
          </rPr>
          <t xml:space="preserve">
7% est</t>
        </r>
      </text>
    </comment>
    <comment ref="BX127" authorId="3">
      <text>
        <r>
          <rPr>
            <b/>
            <sz val="8"/>
            <color indexed="81"/>
            <rFont val="Tahoma"/>
            <family val="2"/>
          </rPr>
          <t>mm98285:</t>
        </r>
        <r>
          <rPr>
            <sz val="8"/>
            <color indexed="81"/>
            <rFont val="Tahoma"/>
            <family val="2"/>
          </rPr>
          <t xml:space="preserve">
+3
2/07: expect +MSD</t>
        </r>
      </text>
    </comment>
    <comment ref="BL128" authorId="0">
      <text>
        <r>
          <rPr>
            <b/>
            <sz val="8"/>
            <color indexed="81"/>
            <rFont val="Tahoma"/>
            <family val="2"/>
          </rPr>
          <t>dliu:</t>
        </r>
        <r>
          <rPr>
            <sz val="8"/>
            <color indexed="81"/>
            <rFont val="Tahoma"/>
            <family val="2"/>
          </rPr>
          <t xml:space="preserve">
5.0</t>
        </r>
      </text>
    </comment>
    <comment ref="BP128" authorId="2">
      <text>
        <r>
          <rPr>
            <b/>
            <sz val="8"/>
            <color indexed="81"/>
            <rFont val="Tahoma"/>
            <family val="2"/>
          </rPr>
          <t>Corinna Freedman:</t>
        </r>
        <r>
          <rPr>
            <sz val="8"/>
            <color indexed="81"/>
            <rFont val="Tahoma"/>
            <family val="2"/>
          </rPr>
          <t xml:space="preserve">
-18</t>
        </r>
      </text>
    </comment>
    <comment ref="BT128" authorId="3">
      <text>
        <r>
          <rPr>
            <b/>
            <sz val="8"/>
            <color indexed="81"/>
            <rFont val="Tahoma"/>
            <family val="2"/>
          </rPr>
          <t>mm98285:</t>
        </r>
        <r>
          <rPr>
            <sz val="8"/>
            <color indexed="81"/>
            <rFont val="Tahoma"/>
            <family val="2"/>
          </rPr>
          <t xml:space="preserve">
12.0% est.</t>
        </r>
      </text>
    </comment>
    <comment ref="BX128" authorId="3">
      <text>
        <r>
          <rPr>
            <b/>
            <sz val="8"/>
            <color indexed="81"/>
            <rFont val="Tahoma"/>
            <family val="2"/>
          </rPr>
          <t>mm98285:</t>
        </r>
        <r>
          <rPr>
            <sz val="8"/>
            <color indexed="81"/>
            <rFont val="Tahoma"/>
            <family val="2"/>
          </rPr>
          <t xml:space="preserve">
4.0% est.
3/07: guided to +MSD</t>
        </r>
      </text>
    </comment>
    <comment ref="BL129" authorId="0">
      <text>
        <r>
          <rPr>
            <b/>
            <sz val="8"/>
            <color indexed="81"/>
            <rFont val="Tahoma"/>
            <family val="2"/>
          </rPr>
          <t>dliu:</t>
        </r>
        <r>
          <rPr>
            <sz val="8"/>
            <color indexed="81"/>
            <rFont val="Tahoma"/>
            <family val="2"/>
          </rPr>
          <t xml:space="preserve">
-9</t>
        </r>
      </text>
    </comment>
    <comment ref="BP129" authorId="2">
      <text>
        <r>
          <rPr>
            <b/>
            <sz val="8"/>
            <color indexed="81"/>
            <rFont val="Tahoma"/>
            <family val="2"/>
          </rPr>
          <t>Corinna Freedman:</t>
        </r>
        <r>
          <rPr>
            <sz val="8"/>
            <color indexed="81"/>
            <rFont val="Tahoma"/>
            <family val="2"/>
          </rPr>
          <t xml:space="preserve">
-8</t>
        </r>
      </text>
    </comment>
    <comment ref="BT129" authorId="3">
      <text>
        <r>
          <rPr>
            <b/>
            <sz val="8"/>
            <color indexed="81"/>
            <rFont val="Tahoma"/>
            <family val="2"/>
          </rPr>
          <t>mm98285:</t>
        </r>
        <r>
          <rPr>
            <sz val="8"/>
            <color indexed="81"/>
            <rFont val="Tahoma"/>
            <family val="2"/>
          </rPr>
          <t xml:space="preserve">
+9.0% est.</t>
        </r>
      </text>
    </comment>
    <comment ref="BX129" authorId="3">
      <text>
        <r>
          <rPr>
            <b/>
            <sz val="8"/>
            <color indexed="81"/>
            <rFont val="Tahoma"/>
            <family val="2"/>
          </rPr>
          <t>mm98285:</t>
        </r>
        <r>
          <rPr>
            <sz val="8"/>
            <color indexed="81"/>
            <rFont val="Tahoma"/>
            <family val="2"/>
          </rPr>
          <t xml:space="preserve">
4.0%
+MSD</t>
        </r>
      </text>
    </comment>
    <comment ref="BL130" authorId="0">
      <text>
        <r>
          <rPr>
            <b/>
            <sz val="8"/>
            <color indexed="81"/>
            <rFont val="Tahoma"/>
            <family val="2"/>
          </rPr>
          <t>dliu:</t>
        </r>
        <r>
          <rPr>
            <sz val="8"/>
            <color indexed="81"/>
            <rFont val="Tahoma"/>
            <family val="2"/>
          </rPr>
          <t xml:space="preserve">
-0.8, 1.4</t>
        </r>
      </text>
    </comment>
    <comment ref="BL132" authorId="2">
      <text>
        <r>
          <rPr>
            <b/>
            <sz val="8"/>
            <color indexed="81"/>
            <rFont val="Tahoma"/>
            <family val="2"/>
          </rPr>
          <t>Corinna Freedman:</t>
        </r>
        <r>
          <rPr>
            <sz val="8"/>
            <color indexed="81"/>
            <rFont val="Tahoma"/>
            <family val="2"/>
          </rPr>
          <t xml:space="preserve">
-5</t>
        </r>
      </text>
    </comment>
    <comment ref="BP132" authorId="2">
      <text>
        <r>
          <rPr>
            <b/>
            <sz val="8"/>
            <color indexed="81"/>
            <rFont val="Tahoma"/>
            <family val="2"/>
          </rPr>
          <t>Corinna Freedman:</t>
        </r>
        <r>
          <rPr>
            <sz val="8"/>
            <color indexed="81"/>
            <rFont val="Tahoma"/>
            <family val="2"/>
          </rPr>
          <t xml:space="preserve">
-15</t>
        </r>
      </text>
    </comment>
    <comment ref="BT132" authorId="3">
      <text>
        <r>
          <rPr>
            <b/>
            <sz val="8"/>
            <color indexed="81"/>
            <rFont val="Tahoma"/>
            <family val="2"/>
          </rPr>
          <t>mm98285:</t>
        </r>
        <r>
          <rPr>
            <sz val="8"/>
            <color indexed="81"/>
            <rFont val="Tahoma"/>
            <family val="2"/>
          </rPr>
          <t xml:space="preserve">
5.0% comp est.</t>
        </r>
      </text>
    </comment>
    <comment ref="BX132" authorId="3">
      <text>
        <r>
          <rPr>
            <b/>
            <sz val="8"/>
            <color indexed="81"/>
            <rFont val="Tahoma"/>
            <family val="2"/>
          </rPr>
          <t>mm98285:</t>
        </r>
        <r>
          <rPr>
            <sz val="8"/>
            <color indexed="81"/>
            <rFont val="Tahoma"/>
            <family val="2"/>
          </rPr>
          <t xml:space="preserve">
+7% est</t>
        </r>
      </text>
    </comment>
    <comment ref="BL133" authorId="2">
      <text>
        <r>
          <rPr>
            <b/>
            <sz val="8"/>
            <color indexed="81"/>
            <rFont val="Tahoma"/>
            <family val="2"/>
          </rPr>
          <t>Corinna Freedman:</t>
        </r>
        <r>
          <rPr>
            <sz val="8"/>
            <color indexed="81"/>
            <rFont val="Tahoma"/>
            <family val="2"/>
          </rPr>
          <t xml:space="preserve">
12</t>
        </r>
      </text>
    </comment>
    <comment ref="BP133" authorId="2">
      <text>
        <r>
          <rPr>
            <b/>
            <sz val="8"/>
            <color indexed="81"/>
            <rFont val="Tahoma"/>
            <family val="2"/>
          </rPr>
          <t>Corinna Freedman:</t>
        </r>
        <r>
          <rPr>
            <sz val="8"/>
            <color indexed="81"/>
            <rFont val="Tahoma"/>
            <family val="2"/>
          </rPr>
          <t xml:space="preserve">
-10</t>
        </r>
      </text>
    </comment>
    <comment ref="BT133" authorId="3">
      <text>
        <r>
          <rPr>
            <b/>
            <sz val="8"/>
            <color indexed="81"/>
            <rFont val="Tahoma"/>
            <family val="2"/>
          </rPr>
          <t>mm98285:</t>
        </r>
        <r>
          <rPr>
            <sz val="8"/>
            <color indexed="81"/>
            <rFont val="Tahoma"/>
            <family val="2"/>
          </rPr>
          <t xml:space="preserve">
-3.0% comp est. </t>
        </r>
      </text>
    </comment>
    <comment ref="BX133" authorId="3">
      <text>
        <r>
          <rPr>
            <b/>
            <sz val="8"/>
            <color indexed="81"/>
            <rFont val="Tahoma"/>
            <family val="2"/>
          </rPr>
          <t>mm98285:</t>
        </r>
        <r>
          <rPr>
            <sz val="8"/>
            <color indexed="81"/>
            <rFont val="Tahoma"/>
            <family val="2"/>
          </rPr>
          <t xml:space="preserve">
expect 4%</t>
        </r>
      </text>
    </comment>
    <comment ref="BL134" authorId="2">
      <text>
        <r>
          <rPr>
            <b/>
            <sz val="8"/>
            <color indexed="81"/>
            <rFont val="Tahoma"/>
            <family val="2"/>
          </rPr>
          <t>Corinna Freedman:</t>
        </r>
        <r>
          <rPr>
            <sz val="8"/>
            <color indexed="81"/>
            <rFont val="Tahoma"/>
            <family val="2"/>
          </rPr>
          <t xml:space="preserve">
-2</t>
        </r>
      </text>
    </comment>
    <comment ref="BP134" authorId="2">
      <text>
        <r>
          <rPr>
            <b/>
            <sz val="8"/>
            <color indexed="81"/>
            <rFont val="Tahoma"/>
            <family val="2"/>
          </rPr>
          <t>Corinna Freedman:</t>
        </r>
        <r>
          <rPr>
            <sz val="8"/>
            <color indexed="81"/>
            <rFont val="Tahoma"/>
            <family val="2"/>
          </rPr>
          <t xml:space="preserve">
5</t>
        </r>
      </text>
    </comment>
    <comment ref="BT134" authorId="3">
      <text>
        <r>
          <rPr>
            <b/>
            <sz val="8"/>
            <color indexed="81"/>
            <rFont val="Tahoma"/>
            <family val="2"/>
          </rPr>
          <t>mm98285:</t>
        </r>
        <r>
          <rPr>
            <sz val="8"/>
            <color indexed="81"/>
            <rFont val="Tahoma"/>
            <family val="2"/>
          </rPr>
          <t xml:space="preserve">
-4.0% est.</t>
        </r>
      </text>
    </comment>
    <comment ref="BH137" authorId="0">
      <text>
        <r>
          <rPr>
            <b/>
            <sz val="8"/>
            <color indexed="81"/>
            <rFont val="Tahoma"/>
            <family val="2"/>
          </rPr>
          <t>dliu:</t>
        </r>
        <r>
          <rPr>
            <sz val="8"/>
            <color indexed="81"/>
            <rFont val="Tahoma"/>
            <family val="2"/>
          </rPr>
          <t xml:space="preserve">
-5</t>
        </r>
      </text>
    </comment>
    <comment ref="BL137" authorId="2">
      <text>
        <r>
          <rPr>
            <b/>
            <sz val="8"/>
            <color indexed="81"/>
            <rFont val="Tahoma"/>
            <family val="2"/>
          </rPr>
          <t>Corinna Freedman:</t>
        </r>
        <r>
          <rPr>
            <sz val="8"/>
            <color indexed="81"/>
            <rFont val="Tahoma"/>
            <family val="2"/>
          </rPr>
          <t xml:space="preserve">
-5</t>
        </r>
      </text>
    </comment>
    <comment ref="BT137" authorId="3">
      <text>
        <r>
          <rPr>
            <b/>
            <sz val="8"/>
            <color indexed="81"/>
            <rFont val="Tahoma"/>
            <family val="2"/>
          </rPr>
          <t>mm98285:</t>
        </r>
        <r>
          <rPr>
            <sz val="8"/>
            <color indexed="81"/>
            <rFont val="Tahoma"/>
            <family val="2"/>
          </rPr>
          <t xml:space="preserve">
-2.0% comp est.
8/17/06: might not be quite flat
8/3/06: expect slightly +</t>
        </r>
      </text>
    </comment>
    <comment ref="BH138" authorId="0">
      <text>
        <r>
          <rPr>
            <b/>
            <sz val="8"/>
            <color indexed="81"/>
            <rFont val="Tahoma"/>
            <family val="2"/>
          </rPr>
          <t>dliu:</t>
        </r>
        <r>
          <rPr>
            <sz val="8"/>
            <color indexed="81"/>
            <rFont val="Tahoma"/>
            <family val="2"/>
          </rPr>
          <t xml:space="preserve">
(5). Sale started Sept 25</t>
        </r>
      </text>
    </comment>
    <comment ref="BL138" authorId="2">
      <text>
        <r>
          <rPr>
            <b/>
            <sz val="8"/>
            <color indexed="81"/>
            <rFont val="Tahoma"/>
            <family val="2"/>
          </rPr>
          <t>Corinna Freedman:</t>
        </r>
        <r>
          <rPr>
            <sz val="8"/>
            <color indexed="81"/>
            <rFont val="Tahoma"/>
            <family val="2"/>
          </rPr>
          <t xml:space="preserve">
-7</t>
        </r>
      </text>
    </comment>
    <comment ref="BP138" authorId="2">
      <text>
        <r>
          <rPr>
            <b/>
            <sz val="8"/>
            <color indexed="81"/>
            <rFont val="Tahoma"/>
            <family val="2"/>
          </rPr>
          <t>Corinna Freedman:</t>
        </r>
        <r>
          <rPr>
            <sz val="8"/>
            <color indexed="81"/>
            <rFont val="Tahoma"/>
            <family val="2"/>
          </rPr>
          <t xml:space="preserve">
-10e</t>
        </r>
      </text>
    </comment>
    <comment ref="BT138" authorId="3">
      <text>
        <r>
          <rPr>
            <b/>
            <sz val="8"/>
            <color indexed="81"/>
            <rFont val="Tahoma"/>
            <family val="2"/>
          </rPr>
          <t>mm98285:</t>
        </r>
        <r>
          <rPr>
            <sz val="8"/>
            <color indexed="81"/>
            <rFont val="Tahoma"/>
            <family val="2"/>
          </rPr>
          <t xml:space="preserve">
-3.0% comp est.
expect negative but improvement over Aug. </t>
        </r>
      </text>
    </comment>
    <comment ref="BH139" authorId="0">
      <text>
        <r>
          <rPr>
            <b/>
            <sz val="8"/>
            <color indexed="81"/>
            <rFont val="Tahoma"/>
            <family val="2"/>
          </rPr>
          <t>dliu:</t>
        </r>
        <r>
          <rPr>
            <sz val="8"/>
            <color indexed="81"/>
            <rFont val="Tahoma"/>
            <family val="2"/>
          </rPr>
          <t xml:space="preserve">
had +4</t>
        </r>
      </text>
    </comment>
    <comment ref="BL139" authorId="2">
      <text>
        <r>
          <rPr>
            <b/>
            <sz val="8"/>
            <color indexed="81"/>
            <rFont val="Tahoma"/>
            <family val="2"/>
          </rPr>
          <t>Corinna Freedman:</t>
        </r>
        <r>
          <rPr>
            <sz val="8"/>
            <color indexed="81"/>
            <rFont val="Tahoma"/>
            <family val="2"/>
          </rPr>
          <t xml:space="preserve">
18</t>
        </r>
      </text>
    </comment>
    <comment ref="BP139" authorId="2">
      <text>
        <r>
          <rPr>
            <b/>
            <sz val="8"/>
            <color indexed="81"/>
            <rFont val="Tahoma"/>
            <family val="2"/>
          </rPr>
          <t>Corinna Freedman:</t>
        </r>
        <r>
          <rPr>
            <sz val="8"/>
            <color indexed="81"/>
            <rFont val="Tahoma"/>
            <family val="2"/>
          </rPr>
          <t xml:space="preserve">
-5</t>
        </r>
      </text>
    </comment>
    <comment ref="BT139" authorId="3">
      <text>
        <r>
          <rPr>
            <b/>
            <sz val="8"/>
            <color indexed="81"/>
            <rFont val="Tahoma"/>
            <family val="2"/>
          </rPr>
          <t>mm98285:</t>
        </r>
        <r>
          <rPr>
            <sz val="8"/>
            <color indexed="81"/>
            <rFont val="Tahoma"/>
            <family val="2"/>
          </rPr>
          <t xml:space="preserve">
-3.0% comp est.
expect -L-MSD</t>
        </r>
      </text>
    </comment>
    <comment ref="BH140" authorId="0">
      <text>
        <r>
          <rPr>
            <b/>
            <sz val="8"/>
            <color indexed="81"/>
            <rFont val="Tahoma"/>
            <family val="2"/>
          </rPr>
          <t>dliu:</t>
        </r>
        <r>
          <rPr>
            <sz val="8"/>
            <color indexed="81"/>
            <rFont val="Tahoma"/>
            <family val="2"/>
          </rPr>
          <t xml:space="preserve">
-0.4, 0.8</t>
        </r>
      </text>
    </comment>
    <comment ref="BH142" authorId="0">
      <text>
        <r>
          <rPr>
            <b/>
            <sz val="8"/>
            <color indexed="81"/>
            <rFont val="Tahoma"/>
            <family val="2"/>
          </rPr>
          <t>dliu:</t>
        </r>
        <r>
          <rPr>
            <sz val="8"/>
            <color indexed="81"/>
            <rFont val="Tahoma"/>
            <family val="2"/>
          </rPr>
          <t xml:space="preserve">
-11</t>
        </r>
      </text>
    </comment>
    <comment ref="BP142" authorId="2">
      <text>
        <r>
          <rPr>
            <b/>
            <sz val="8"/>
            <color indexed="81"/>
            <rFont val="Tahoma"/>
            <family val="2"/>
          </rPr>
          <t>Corinna Freedman:</t>
        </r>
        <r>
          <rPr>
            <sz val="8"/>
            <color indexed="81"/>
            <rFont val="Tahoma"/>
            <family val="2"/>
          </rPr>
          <t xml:space="preserve">
-2e</t>
        </r>
      </text>
    </comment>
    <comment ref="BT142" authorId="3">
      <text>
        <r>
          <rPr>
            <b/>
            <sz val="8"/>
            <color indexed="81"/>
            <rFont val="Tahoma"/>
            <family val="2"/>
          </rPr>
          <t>mm98285:</t>
        </r>
        <r>
          <rPr>
            <sz val="8"/>
            <color indexed="81"/>
            <rFont val="Tahoma"/>
            <family val="2"/>
          </rPr>
          <t xml:space="preserve">
-3.0% comp est.</t>
        </r>
      </text>
    </comment>
    <comment ref="BH143" authorId="0">
      <text>
        <r>
          <rPr>
            <b/>
            <sz val="8"/>
            <color indexed="81"/>
            <rFont val="Tahoma"/>
            <family val="2"/>
          </rPr>
          <t>dliu:</t>
        </r>
        <r>
          <rPr>
            <sz val="8"/>
            <color indexed="81"/>
            <rFont val="Tahoma"/>
            <family val="2"/>
          </rPr>
          <t xml:space="preserve">
Denim sale supported by TV 10th and 11th Dec. had -4</t>
        </r>
      </text>
    </comment>
    <comment ref="BL143" authorId="2">
      <text>
        <r>
          <rPr>
            <b/>
            <sz val="8"/>
            <color indexed="81"/>
            <rFont val="Tahoma"/>
            <family val="2"/>
          </rPr>
          <t>Corinna Freedman:</t>
        </r>
        <r>
          <rPr>
            <sz val="8"/>
            <color indexed="81"/>
            <rFont val="Tahoma"/>
            <family val="2"/>
          </rPr>
          <t xml:space="preserve">
-12</t>
        </r>
      </text>
    </comment>
    <comment ref="BP143" authorId="14">
      <text>
        <r>
          <rPr>
            <b/>
            <sz val="8"/>
            <color indexed="81"/>
            <rFont val="Tahoma"/>
            <family val="2"/>
          </rPr>
          <t>Cf52662:</t>
        </r>
        <r>
          <rPr>
            <sz val="8"/>
            <color indexed="81"/>
            <rFont val="Tahoma"/>
            <family val="2"/>
          </rPr>
          <t xml:space="preserve">
6e</t>
        </r>
      </text>
    </comment>
    <comment ref="BT143" authorId="3">
      <text>
        <r>
          <rPr>
            <b/>
            <sz val="8"/>
            <color indexed="81"/>
            <rFont val="Tahoma"/>
            <family val="2"/>
          </rPr>
          <t>mm98285:</t>
        </r>
        <r>
          <rPr>
            <sz val="8"/>
            <color indexed="81"/>
            <rFont val="Tahoma"/>
            <family val="2"/>
          </rPr>
          <t xml:space="preserve">
+3.0% comp est.</t>
        </r>
      </text>
    </comment>
    <comment ref="BH144" authorId="0">
      <text>
        <r>
          <rPr>
            <b/>
            <sz val="8"/>
            <color indexed="81"/>
            <rFont val="Tahoma"/>
            <family val="2"/>
          </rPr>
          <t>dliu:</t>
        </r>
        <r>
          <rPr>
            <sz val="8"/>
            <color indexed="81"/>
            <rFont val="Tahoma"/>
            <family val="2"/>
          </rPr>
          <t xml:space="preserve">
+20</t>
        </r>
      </text>
    </comment>
    <comment ref="BL144" authorId="2">
      <text>
        <r>
          <rPr>
            <b/>
            <sz val="8"/>
            <color indexed="81"/>
            <rFont val="Tahoma"/>
            <family val="2"/>
          </rPr>
          <t>Corinna Freedman:</t>
        </r>
        <r>
          <rPr>
            <sz val="8"/>
            <color indexed="81"/>
            <rFont val="Tahoma"/>
            <family val="2"/>
          </rPr>
          <t xml:space="preserve">
1</t>
        </r>
      </text>
    </comment>
    <comment ref="BP144" authorId="15">
      <text>
        <r>
          <rPr>
            <b/>
            <sz val="8"/>
            <color indexed="81"/>
            <rFont val="Tahoma"/>
            <family val="2"/>
          </rPr>
          <t>MB33100:</t>
        </r>
        <r>
          <rPr>
            <sz val="8"/>
            <color indexed="81"/>
            <rFont val="Tahoma"/>
            <family val="2"/>
          </rPr>
          <t xml:space="preserve">
-1</t>
        </r>
      </text>
    </comment>
    <comment ref="BT144" authorId="3">
      <text>
        <r>
          <rPr>
            <b/>
            <sz val="8"/>
            <color indexed="81"/>
            <rFont val="Tahoma"/>
            <family val="2"/>
          </rPr>
          <t>mm98285:</t>
        </r>
        <r>
          <rPr>
            <sz val="8"/>
            <color indexed="81"/>
            <rFont val="Tahoma"/>
            <family val="2"/>
          </rPr>
          <t xml:space="preserve">
-2.0% comp est.</t>
        </r>
      </text>
    </comment>
    <comment ref="BL196" authorId="0">
      <text>
        <r>
          <rPr>
            <b/>
            <sz val="8"/>
            <color indexed="81"/>
            <rFont val="Tahoma"/>
            <family val="2"/>
          </rPr>
          <t>dliu:</t>
        </r>
        <r>
          <rPr>
            <sz val="8"/>
            <color indexed="81"/>
            <rFont val="Tahoma"/>
            <family val="2"/>
          </rPr>
          <t xml:space="preserve">
0</t>
        </r>
      </text>
    </comment>
    <comment ref="BP196" authorId="2">
      <text>
        <r>
          <rPr>
            <b/>
            <sz val="8"/>
            <color indexed="81"/>
            <rFont val="Tahoma"/>
            <family val="2"/>
          </rPr>
          <t>Corinna Freedman:</t>
        </r>
        <r>
          <rPr>
            <sz val="8"/>
            <color indexed="81"/>
            <rFont val="Tahoma"/>
            <family val="2"/>
          </rPr>
          <t xml:space="preserve">
-7</t>
        </r>
      </text>
    </comment>
    <comment ref="BT196" authorId="3">
      <text>
        <r>
          <rPr>
            <b/>
            <sz val="8"/>
            <color indexed="81"/>
            <rFont val="Tahoma"/>
            <family val="2"/>
          </rPr>
          <t>mm98285:</t>
        </r>
        <r>
          <rPr>
            <sz val="8"/>
            <color indexed="81"/>
            <rFont val="Tahoma"/>
            <family val="2"/>
          </rPr>
          <t xml:space="preserve">
-2% est</t>
        </r>
      </text>
    </comment>
    <comment ref="BX196" authorId="3">
      <text>
        <r>
          <rPr>
            <b/>
            <sz val="8"/>
            <color indexed="81"/>
            <rFont val="Tahoma"/>
            <family val="2"/>
          </rPr>
          <t>mm98285:</t>
        </r>
        <r>
          <rPr>
            <sz val="8"/>
            <color indexed="81"/>
            <rFont val="Tahoma"/>
            <family val="2"/>
          </rPr>
          <t xml:space="preserve">
+2%</t>
        </r>
      </text>
    </comment>
    <comment ref="BL197" authorId="0">
      <text>
        <r>
          <rPr>
            <b/>
            <sz val="8"/>
            <color indexed="81"/>
            <rFont val="Tahoma"/>
            <family val="2"/>
          </rPr>
          <t>dliu:</t>
        </r>
        <r>
          <rPr>
            <sz val="8"/>
            <color indexed="81"/>
            <rFont val="Tahoma"/>
            <family val="2"/>
          </rPr>
          <t xml:space="preserve">
6.0</t>
        </r>
      </text>
    </comment>
    <comment ref="BP197" authorId="2">
      <text>
        <r>
          <rPr>
            <b/>
            <sz val="8"/>
            <color indexed="81"/>
            <rFont val="Tahoma"/>
            <family val="2"/>
          </rPr>
          <t>Corinna Freedman:</t>
        </r>
        <r>
          <rPr>
            <sz val="8"/>
            <color indexed="81"/>
            <rFont val="Tahoma"/>
            <family val="2"/>
          </rPr>
          <t xml:space="preserve">
-4</t>
        </r>
      </text>
    </comment>
    <comment ref="BT197" authorId="3">
      <text>
        <r>
          <rPr>
            <b/>
            <sz val="8"/>
            <color indexed="81"/>
            <rFont val="Tahoma"/>
            <family val="2"/>
          </rPr>
          <t>mm98285:</t>
        </r>
        <r>
          <rPr>
            <sz val="8"/>
            <color indexed="81"/>
            <rFont val="Tahoma"/>
            <family val="2"/>
          </rPr>
          <t xml:space="preserve">
2.0% est.</t>
        </r>
      </text>
    </comment>
    <comment ref="BX197" authorId="3">
      <text>
        <r>
          <rPr>
            <b/>
            <sz val="8"/>
            <color indexed="81"/>
            <rFont val="Tahoma"/>
            <family val="2"/>
          </rPr>
          <t>mm98285:</t>
        </r>
        <r>
          <rPr>
            <sz val="8"/>
            <color indexed="81"/>
            <rFont val="Tahoma"/>
            <family val="2"/>
          </rPr>
          <t xml:space="preserve">
3.0% est.</t>
        </r>
      </text>
    </comment>
    <comment ref="BL198" authorId="0">
      <text>
        <r>
          <rPr>
            <b/>
            <sz val="8"/>
            <color indexed="81"/>
            <rFont val="Tahoma"/>
            <family val="2"/>
          </rPr>
          <t>dliu:</t>
        </r>
        <r>
          <rPr>
            <sz val="8"/>
            <color indexed="81"/>
            <rFont val="Tahoma"/>
            <family val="2"/>
          </rPr>
          <t xml:space="preserve">
-2</t>
        </r>
      </text>
    </comment>
    <comment ref="BP198" authorId="2">
      <text>
        <r>
          <rPr>
            <b/>
            <sz val="8"/>
            <color indexed="81"/>
            <rFont val="Tahoma"/>
            <family val="2"/>
          </rPr>
          <t>Corinna Freedman:</t>
        </r>
        <r>
          <rPr>
            <sz val="8"/>
            <color indexed="81"/>
            <rFont val="Tahoma"/>
            <family val="2"/>
          </rPr>
          <t xml:space="preserve">
-8</t>
        </r>
      </text>
    </comment>
    <comment ref="BT198" authorId="3">
      <text>
        <r>
          <rPr>
            <b/>
            <sz val="8"/>
            <color indexed="81"/>
            <rFont val="Tahoma"/>
            <family val="2"/>
          </rPr>
          <t>mm98285:</t>
        </r>
        <r>
          <rPr>
            <sz val="8"/>
            <color indexed="81"/>
            <rFont val="Tahoma"/>
            <family val="2"/>
          </rPr>
          <t xml:space="preserve">
-2.0% est.</t>
        </r>
      </text>
    </comment>
    <comment ref="BX198" authorId="3">
      <text>
        <r>
          <rPr>
            <b/>
            <sz val="8"/>
            <color indexed="81"/>
            <rFont val="Tahoma"/>
            <family val="2"/>
          </rPr>
          <t>mm98285:</t>
        </r>
        <r>
          <rPr>
            <sz val="8"/>
            <color indexed="81"/>
            <rFont val="Tahoma"/>
            <family val="2"/>
          </rPr>
          <t xml:space="preserve">
3.0% est</t>
        </r>
      </text>
    </comment>
    <comment ref="BL199" authorId="0">
      <text>
        <r>
          <rPr>
            <b/>
            <sz val="8"/>
            <color indexed="81"/>
            <rFont val="Tahoma"/>
            <family val="2"/>
          </rPr>
          <t>dliu:</t>
        </r>
        <r>
          <rPr>
            <sz val="8"/>
            <color indexed="81"/>
            <rFont val="Tahoma"/>
            <family val="2"/>
          </rPr>
          <t xml:space="preserve">
0, 1.0</t>
        </r>
      </text>
    </comment>
    <comment ref="BL201" authorId="2">
      <text>
        <r>
          <rPr>
            <b/>
            <sz val="8"/>
            <color indexed="81"/>
            <rFont val="Tahoma"/>
            <family val="2"/>
          </rPr>
          <t>Corinna Freedman:</t>
        </r>
        <r>
          <rPr>
            <sz val="8"/>
            <color indexed="81"/>
            <rFont val="Tahoma"/>
            <family val="2"/>
          </rPr>
          <t xml:space="preserve">
-3</t>
        </r>
      </text>
    </comment>
    <comment ref="BP201" authorId="2">
      <text>
        <r>
          <rPr>
            <b/>
            <sz val="8"/>
            <color indexed="81"/>
            <rFont val="Tahoma"/>
            <family val="2"/>
          </rPr>
          <t>Corinna Freedman:</t>
        </r>
        <r>
          <rPr>
            <sz val="8"/>
            <color indexed="81"/>
            <rFont val="Tahoma"/>
            <family val="2"/>
          </rPr>
          <t xml:space="preserve">
flat</t>
        </r>
      </text>
    </comment>
    <comment ref="BT201" authorId="3">
      <text>
        <r>
          <rPr>
            <b/>
            <sz val="8"/>
            <color indexed="81"/>
            <rFont val="Tahoma"/>
            <family val="2"/>
          </rPr>
          <t>mm98285:</t>
        </r>
        <r>
          <rPr>
            <sz val="8"/>
            <color indexed="81"/>
            <rFont val="Tahoma"/>
            <family val="2"/>
          </rPr>
          <t xml:space="preserve">
0.0% comp est.</t>
        </r>
      </text>
    </comment>
    <comment ref="BX201" authorId="3">
      <text>
        <r>
          <rPr>
            <b/>
            <sz val="8"/>
            <color indexed="81"/>
            <rFont val="Tahoma"/>
            <family val="2"/>
          </rPr>
          <t>mm98285:</t>
        </r>
        <r>
          <rPr>
            <sz val="8"/>
            <color indexed="81"/>
            <rFont val="Tahoma"/>
            <family val="2"/>
          </rPr>
          <t xml:space="preserve">
+1.0% est.</t>
        </r>
      </text>
    </comment>
    <comment ref="BL202" authorId="2">
      <text>
        <r>
          <rPr>
            <sz val="8"/>
            <color indexed="81"/>
            <rFont val="Tahoma"/>
            <family val="2"/>
          </rPr>
          <t>15</t>
        </r>
      </text>
    </comment>
    <comment ref="BP202" authorId="2">
      <text>
        <r>
          <rPr>
            <b/>
            <sz val="8"/>
            <color indexed="81"/>
            <rFont val="Tahoma"/>
            <family val="2"/>
          </rPr>
          <t>Corinna Freedman:</t>
        </r>
        <r>
          <rPr>
            <sz val="8"/>
            <color indexed="81"/>
            <rFont val="Tahoma"/>
            <family val="2"/>
          </rPr>
          <t xml:space="preserve">
-3</t>
        </r>
      </text>
    </comment>
    <comment ref="BT202" authorId="3">
      <text>
        <r>
          <rPr>
            <b/>
            <sz val="8"/>
            <color indexed="81"/>
            <rFont val="Tahoma"/>
            <family val="2"/>
          </rPr>
          <t>mm98285:</t>
        </r>
        <r>
          <rPr>
            <sz val="8"/>
            <color indexed="81"/>
            <rFont val="Tahoma"/>
            <family val="2"/>
          </rPr>
          <t xml:space="preserve">
+4.0% comp est.</t>
        </r>
      </text>
    </comment>
    <comment ref="BX202" authorId="3">
      <text>
        <r>
          <rPr>
            <b/>
            <sz val="8"/>
            <color indexed="81"/>
            <rFont val="Tahoma"/>
            <family val="2"/>
          </rPr>
          <t>mm98285:</t>
        </r>
        <r>
          <rPr>
            <sz val="8"/>
            <color indexed="81"/>
            <rFont val="Tahoma"/>
            <family val="2"/>
          </rPr>
          <t xml:space="preserve">
expect 4%</t>
        </r>
      </text>
    </comment>
    <comment ref="BH203" authorId="0">
      <text>
        <r>
          <rPr>
            <b/>
            <sz val="8"/>
            <color indexed="81"/>
            <rFont val="Tahoma"/>
            <family val="2"/>
          </rPr>
          <t>dliu:</t>
        </r>
        <r>
          <rPr>
            <sz val="8"/>
            <color indexed="81"/>
            <rFont val="Tahoma"/>
            <family val="2"/>
          </rPr>
          <t xml:space="preserve">
had -4</t>
        </r>
      </text>
    </comment>
    <comment ref="BL203" authorId="2">
      <text>
        <r>
          <rPr>
            <b/>
            <sz val="8"/>
            <color indexed="81"/>
            <rFont val="Tahoma"/>
            <family val="2"/>
          </rPr>
          <t>Corinna Freedman:</t>
        </r>
        <r>
          <rPr>
            <sz val="8"/>
            <color indexed="81"/>
            <rFont val="Tahoma"/>
            <family val="2"/>
          </rPr>
          <t xml:space="preserve">
1</t>
        </r>
      </text>
    </comment>
    <comment ref="BP203" authorId="2">
      <text>
        <r>
          <rPr>
            <b/>
            <sz val="8"/>
            <color indexed="81"/>
            <rFont val="Tahoma"/>
            <family val="2"/>
          </rPr>
          <t>Corinna Freedman:</t>
        </r>
        <r>
          <rPr>
            <sz val="8"/>
            <color indexed="81"/>
            <rFont val="Tahoma"/>
            <family val="2"/>
          </rPr>
          <t xml:space="preserve">
0</t>
        </r>
      </text>
    </comment>
    <comment ref="BT203" authorId="3">
      <text>
        <r>
          <rPr>
            <b/>
            <sz val="8"/>
            <color indexed="81"/>
            <rFont val="Tahoma"/>
            <family val="2"/>
          </rPr>
          <t>mm98285:</t>
        </r>
        <r>
          <rPr>
            <sz val="8"/>
            <color indexed="81"/>
            <rFont val="Tahoma"/>
            <family val="2"/>
          </rPr>
          <t xml:space="preserve">
2.0% est.</t>
        </r>
      </text>
    </comment>
    <comment ref="BX203" authorId="3">
      <text>
        <r>
          <rPr>
            <b/>
            <sz val="8"/>
            <color indexed="81"/>
            <rFont val="Tahoma"/>
            <family val="2"/>
          </rPr>
          <t>mm98285:</t>
        </r>
        <r>
          <rPr>
            <sz val="8"/>
            <color indexed="81"/>
            <rFont val="Tahoma"/>
            <family val="2"/>
          </rPr>
          <t xml:space="preserve">
4% est.</t>
        </r>
      </text>
    </comment>
    <comment ref="BH204" authorId="0">
      <text>
        <r>
          <rPr>
            <b/>
            <sz val="8"/>
            <color indexed="81"/>
            <rFont val="Tahoma"/>
            <family val="2"/>
          </rPr>
          <t>dliu:</t>
        </r>
        <r>
          <rPr>
            <sz val="8"/>
            <color indexed="81"/>
            <rFont val="Tahoma"/>
            <family val="2"/>
          </rPr>
          <t xml:space="preserve">
had -1</t>
        </r>
      </text>
    </comment>
    <comment ref="BH206" authorId="0">
      <text>
        <r>
          <rPr>
            <b/>
            <sz val="8"/>
            <color indexed="81"/>
            <rFont val="Tahoma"/>
            <family val="2"/>
          </rPr>
          <t>dliu:</t>
        </r>
        <r>
          <rPr>
            <sz val="8"/>
            <color indexed="81"/>
            <rFont val="Tahoma"/>
            <family val="2"/>
          </rPr>
          <t xml:space="preserve">
-10</t>
        </r>
      </text>
    </comment>
    <comment ref="BL206" authorId="2">
      <text>
        <r>
          <rPr>
            <b/>
            <sz val="8"/>
            <color indexed="81"/>
            <rFont val="Tahoma"/>
            <family val="2"/>
          </rPr>
          <t>Corinna Freedman:</t>
        </r>
        <r>
          <rPr>
            <sz val="8"/>
            <color indexed="81"/>
            <rFont val="Tahoma"/>
            <family val="2"/>
          </rPr>
          <t xml:space="preserve">
0</t>
        </r>
      </text>
    </comment>
    <comment ref="BT206" authorId="3">
      <text>
        <r>
          <rPr>
            <b/>
            <sz val="8"/>
            <color indexed="81"/>
            <rFont val="Tahoma"/>
            <family val="2"/>
          </rPr>
          <t>mm98285:</t>
        </r>
        <r>
          <rPr>
            <sz val="8"/>
            <color indexed="81"/>
            <rFont val="Tahoma"/>
            <family val="2"/>
          </rPr>
          <t xml:space="preserve">
-5.0% comp est.</t>
        </r>
      </text>
    </comment>
    <comment ref="BH207" authorId="0">
      <text>
        <r>
          <rPr>
            <b/>
            <sz val="8"/>
            <color indexed="81"/>
            <rFont val="Tahoma"/>
            <family val="2"/>
          </rPr>
          <t>dliu:</t>
        </r>
        <r>
          <rPr>
            <sz val="8"/>
            <color indexed="81"/>
            <rFont val="Tahoma"/>
            <family val="2"/>
          </rPr>
          <t xml:space="preserve">
AP and TK indicated not likely to see as harsh a comp here as in Aug, b/c some of Aug's decline was due to anniversarying the difficult LY comparison as well as lack of inventory. (5). Sale started Sept 25, was supposed to end Oct 20ish,</t>
        </r>
      </text>
    </comment>
    <comment ref="BL207" authorId="2">
      <text>
        <r>
          <rPr>
            <b/>
            <sz val="8"/>
            <color indexed="81"/>
            <rFont val="Tahoma"/>
            <family val="2"/>
          </rPr>
          <t>Corinna Freedman:</t>
        </r>
        <r>
          <rPr>
            <sz val="8"/>
            <color indexed="81"/>
            <rFont val="Tahoma"/>
            <family val="2"/>
          </rPr>
          <t xml:space="preserve">
-9</t>
        </r>
      </text>
    </comment>
    <comment ref="BP207" authorId="2">
      <text>
        <r>
          <rPr>
            <b/>
            <sz val="8"/>
            <color indexed="81"/>
            <rFont val="Tahoma"/>
            <family val="2"/>
          </rPr>
          <t>Corinna Freedman:</t>
        </r>
        <r>
          <rPr>
            <sz val="8"/>
            <color indexed="81"/>
            <rFont val="Tahoma"/>
            <family val="2"/>
          </rPr>
          <t xml:space="preserve">
-1e</t>
        </r>
      </text>
    </comment>
    <comment ref="BT207" authorId="3">
      <text>
        <r>
          <rPr>
            <b/>
            <sz val="8"/>
            <color indexed="81"/>
            <rFont val="Tahoma"/>
            <family val="2"/>
          </rPr>
          <t>mm98285:</t>
        </r>
        <r>
          <rPr>
            <sz val="8"/>
            <color indexed="81"/>
            <rFont val="Tahoma"/>
            <family val="2"/>
          </rPr>
          <t xml:space="preserve">
-1.0% comp est.</t>
        </r>
      </text>
    </comment>
    <comment ref="BH208" authorId="0">
      <text>
        <r>
          <rPr>
            <b/>
            <sz val="8"/>
            <color indexed="81"/>
            <rFont val="Tahoma"/>
            <family val="2"/>
          </rPr>
          <t>dliu:</t>
        </r>
        <r>
          <rPr>
            <sz val="8"/>
            <color indexed="81"/>
            <rFont val="Tahoma"/>
            <family val="2"/>
          </rPr>
          <t xml:space="preserve">
had +4</t>
        </r>
      </text>
    </comment>
    <comment ref="BL208" authorId="2">
      <text>
        <r>
          <rPr>
            <b/>
            <sz val="8"/>
            <color indexed="81"/>
            <rFont val="Tahoma"/>
            <family val="2"/>
          </rPr>
          <t>Corinna Freedman:</t>
        </r>
        <r>
          <rPr>
            <sz val="8"/>
            <color indexed="81"/>
            <rFont val="Tahoma"/>
            <family val="2"/>
          </rPr>
          <t xml:space="preserve">
-15</t>
        </r>
      </text>
    </comment>
    <comment ref="BP208" authorId="2">
      <text>
        <r>
          <rPr>
            <b/>
            <sz val="8"/>
            <color indexed="81"/>
            <rFont val="Tahoma"/>
            <family val="2"/>
          </rPr>
          <t>Corinna Freedman:</t>
        </r>
        <r>
          <rPr>
            <sz val="8"/>
            <color indexed="81"/>
            <rFont val="Tahoma"/>
            <family val="2"/>
          </rPr>
          <t xml:space="preserve">
1
prev = 2</t>
        </r>
      </text>
    </comment>
    <comment ref="BT208" authorId="3">
      <text>
        <r>
          <rPr>
            <b/>
            <sz val="8"/>
            <color indexed="81"/>
            <rFont val="Tahoma"/>
            <family val="2"/>
          </rPr>
          <t>mm98285:</t>
        </r>
        <r>
          <rPr>
            <sz val="8"/>
            <color indexed="81"/>
            <rFont val="Tahoma"/>
            <family val="2"/>
          </rPr>
          <t xml:space="preserve">
+1.0% comp est.</t>
        </r>
      </text>
    </comment>
    <comment ref="BH209" authorId="0">
      <text>
        <r>
          <rPr>
            <b/>
            <sz val="8"/>
            <color indexed="81"/>
            <rFont val="Tahoma"/>
            <family val="2"/>
          </rPr>
          <t>dliu:</t>
        </r>
        <r>
          <rPr>
            <sz val="8"/>
            <color indexed="81"/>
            <rFont val="Tahoma"/>
            <family val="2"/>
          </rPr>
          <t xml:space="preserve">
-4.4, +4.9</t>
        </r>
      </text>
    </comment>
    <comment ref="BH211" authorId="0">
      <text>
        <r>
          <rPr>
            <b/>
            <sz val="8"/>
            <color indexed="81"/>
            <rFont val="Tahoma"/>
            <family val="2"/>
          </rPr>
          <t>dliu:</t>
        </r>
        <r>
          <rPr>
            <sz val="8"/>
            <color indexed="81"/>
            <rFont val="Tahoma"/>
            <family val="2"/>
          </rPr>
          <t xml:space="preserve">
-11</t>
        </r>
      </text>
    </comment>
    <comment ref="BP211" authorId="2">
      <text>
        <r>
          <rPr>
            <b/>
            <sz val="8"/>
            <color indexed="81"/>
            <rFont val="Tahoma"/>
            <family val="2"/>
          </rPr>
          <t>Corinna Freedman:</t>
        </r>
        <r>
          <rPr>
            <sz val="8"/>
            <color indexed="81"/>
            <rFont val="Tahoma"/>
            <family val="2"/>
          </rPr>
          <t xml:space="preserve">
1e</t>
        </r>
      </text>
    </comment>
    <comment ref="BT211" authorId="3">
      <text>
        <r>
          <rPr>
            <b/>
            <sz val="8"/>
            <color indexed="81"/>
            <rFont val="Tahoma"/>
            <family val="2"/>
          </rPr>
          <t>mm98285:</t>
        </r>
        <r>
          <rPr>
            <sz val="8"/>
            <color indexed="81"/>
            <rFont val="Tahoma"/>
            <family val="2"/>
          </rPr>
          <t xml:space="preserve">
-2.0% comp est.</t>
        </r>
      </text>
    </comment>
    <comment ref="BH212" authorId="0">
      <text>
        <r>
          <rPr>
            <b/>
            <sz val="8"/>
            <color indexed="81"/>
            <rFont val="Tahoma"/>
            <family val="2"/>
          </rPr>
          <t>dliu:</t>
        </r>
        <r>
          <rPr>
            <sz val="8"/>
            <color indexed="81"/>
            <rFont val="Tahoma"/>
            <family val="2"/>
          </rPr>
          <t xml:space="preserve">
-4</t>
        </r>
      </text>
    </comment>
    <comment ref="BL212" authorId="2">
      <text>
        <r>
          <rPr>
            <b/>
            <sz val="8"/>
            <color indexed="81"/>
            <rFont val="Tahoma"/>
            <family val="2"/>
          </rPr>
          <t>Corinna Freedman:</t>
        </r>
        <r>
          <rPr>
            <sz val="8"/>
            <color indexed="81"/>
            <rFont val="Tahoma"/>
            <family val="2"/>
          </rPr>
          <t xml:space="preserve">
-12
</t>
        </r>
      </text>
    </comment>
    <comment ref="BP212" authorId="14">
      <text>
        <r>
          <rPr>
            <b/>
            <sz val="8"/>
            <color indexed="81"/>
            <rFont val="Tahoma"/>
            <family val="2"/>
          </rPr>
          <t>Cf52662:</t>
        </r>
        <r>
          <rPr>
            <sz val="8"/>
            <color indexed="81"/>
            <rFont val="Tahoma"/>
            <family val="2"/>
          </rPr>
          <t xml:space="preserve">
2e</t>
        </r>
      </text>
    </comment>
    <comment ref="BT212" authorId="3">
      <text>
        <r>
          <rPr>
            <b/>
            <sz val="8"/>
            <color indexed="81"/>
            <rFont val="Tahoma"/>
            <family val="2"/>
          </rPr>
          <t>mm98285:</t>
        </r>
        <r>
          <rPr>
            <sz val="8"/>
            <color indexed="81"/>
            <rFont val="Tahoma"/>
            <family val="2"/>
          </rPr>
          <t xml:space="preserve">
+1.0% comp est.</t>
        </r>
      </text>
    </comment>
    <comment ref="BH213" authorId="0">
      <text>
        <r>
          <rPr>
            <b/>
            <sz val="8"/>
            <color indexed="81"/>
            <rFont val="Tahoma"/>
            <family val="2"/>
          </rPr>
          <t>dliu:</t>
        </r>
        <r>
          <rPr>
            <sz val="8"/>
            <color indexed="81"/>
            <rFont val="Tahoma"/>
            <family val="2"/>
          </rPr>
          <t xml:space="preserve">
+20</t>
        </r>
      </text>
    </comment>
    <comment ref="BL213" authorId="2">
      <text>
        <r>
          <rPr>
            <b/>
            <sz val="8"/>
            <color indexed="81"/>
            <rFont val="Tahoma"/>
            <family val="2"/>
          </rPr>
          <t>Corinna Freedman:</t>
        </r>
        <r>
          <rPr>
            <sz val="8"/>
            <color indexed="81"/>
            <rFont val="Tahoma"/>
            <family val="2"/>
          </rPr>
          <t xml:space="preserve">
1</t>
        </r>
      </text>
    </comment>
    <comment ref="BP213" authorId="15">
      <text>
        <r>
          <rPr>
            <b/>
            <sz val="8"/>
            <color indexed="81"/>
            <rFont val="Tahoma"/>
            <family val="2"/>
          </rPr>
          <t>MB33100:</t>
        </r>
        <r>
          <rPr>
            <sz val="8"/>
            <color indexed="81"/>
            <rFont val="Tahoma"/>
            <family val="2"/>
          </rPr>
          <t xml:space="preserve">
-2</t>
        </r>
      </text>
    </comment>
    <comment ref="BT213" authorId="3">
      <text>
        <r>
          <rPr>
            <b/>
            <sz val="8"/>
            <color indexed="81"/>
            <rFont val="Tahoma"/>
            <family val="2"/>
          </rPr>
          <t>mm98285:</t>
        </r>
        <r>
          <rPr>
            <sz val="8"/>
            <color indexed="81"/>
            <rFont val="Tahoma"/>
            <family val="2"/>
          </rPr>
          <t xml:space="preserve">
-5.0% comp est.</t>
        </r>
      </text>
    </comment>
  </commentList>
</comments>
</file>

<file path=xl/comments6.xml><?xml version="1.0" encoding="utf-8"?>
<comments xmlns="http://schemas.openxmlformats.org/spreadsheetml/2006/main">
  <authors>
    <author>mm98285</author>
    <author>kimberlg</author>
    <author>kahng</author>
    <author>nicholjs</author>
    <author>P Kahng</author>
    <author>casselau</author>
    <author>Cassel, Lauren (Research)</author>
    <author>dliu</author>
  </authors>
  <commentList>
    <comment ref="H113" authorId="0">
      <text>
        <r>
          <rPr>
            <b/>
            <sz val="8"/>
            <color indexed="81"/>
            <rFont val="Tahoma"/>
            <family val="2"/>
          </rPr>
          <t>mm98285:</t>
        </r>
        <r>
          <rPr>
            <sz val="8"/>
            <color indexed="81"/>
            <rFont val="Tahoma"/>
            <family val="2"/>
          </rPr>
          <t xml:space="preserve">
0.8% excluding extra week (~$60m) (171mm for total co.)</t>
        </r>
      </text>
    </comment>
    <comment ref="P113" authorId="0">
      <text>
        <r>
          <rPr>
            <b/>
            <sz val="8"/>
            <color indexed="81"/>
            <rFont val="Tahoma"/>
            <family val="2"/>
          </rPr>
          <t>mm98285:</t>
        </r>
        <r>
          <rPr>
            <sz val="8"/>
            <color indexed="81"/>
            <rFont val="Tahoma"/>
            <family val="2"/>
          </rPr>
          <t xml:space="preserve">
3/07: productivity= 337% excl extra week ~60M
8/06: account for 53rd week (we est. $57m)</t>
        </r>
      </text>
    </comment>
    <comment ref="P117" authorId="0">
      <text>
        <r>
          <rPr>
            <b/>
            <sz val="8"/>
            <color indexed="81"/>
            <rFont val="Tahoma"/>
            <family val="2"/>
          </rPr>
          <t>mm98285:</t>
        </r>
        <r>
          <rPr>
            <sz val="8"/>
            <color indexed="81"/>
            <rFont val="Tahoma"/>
            <family val="2"/>
          </rPr>
          <t xml:space="preserve">
accounts for store remodels (~$70M sales per yr)</t>
        </r>
      </text>
    </comment>
    <comment ref="P118" authorId="0">
      <text>
        <r>
          <rPr>
            <b/>
            <sz val="8"/>
            <color indexed="81"/>
            <rFont val="Tahoma"/>
            <family val="2"/>
          </rPr>
          <t>mm98285:</t>
        </r>
        <r>
          <rPr>
            <sz val="8"/>
            <color indexed="81"/>
            <rFont val="Tahoma"/>
            <family val="2"/>
          </rPr>
          <t xml:space="preserve">
accounts for store remodels (~$70M sales per yr)</t>
        </r>
      </text>
    </comment>
    <comment ref="P119" authorId="0">
      <text>
        <r>
          <rPr>
            <b/>
            <sz val="8"/>
            <color indexed="81"/>
            <rFont val="Tahoma"/>
            <family val="2"/>
          </rPr>
          <t>mm98285:</t>
        </r>
        <r>
          <rPr>
            <sz val="8"/>
            <color indexed="81"/>
            <rFont val="Tahoma"/>
            <family val="2"/>
          </rPr>
          <t xml:space="preserve">
accounts for store remodels (~$70M sales per yr)</t>
        </r>
      </text>
    </comment>
    <comment ref="P120" authorId="0">
      <text>
        <r>
          <rPr>
            <b/>
            <sz val="8"/>
            <color indexed="81"/>
            <rFont val="Tahoma"/>
            <family val="2"/>
          </rPr>
          <t>mm98285:</t>
        </r>
        <r>
          <rPr>
            <sz val="8"/>
            <color indexed="81"/>
            <rFont val="Tahoma"/>
            <family val="2"/>
          </rPr>
          <t xml:space="preserve">
accounts for store remodels (~$70M sales per yr)</t>
        </r>
      </text>
    </comment>
    <comment ref="J134" authorId="0">
      <text>
        <r>
          <rPr>
            <b/>
            <sz val="8"/>
            <color indexed="81"/>
            <rFont val="Tahoma"/>
            <family val="2"/>
          </rPr>
          <t>mm98285:</t>
        </r>
        <r>
          <rPr>
            <sz val="8"/>
            <color indexed="81"/>
            <rFont val="Tahoma"/>
            <family val="2"/>
          </rPr>
          <t xml:space="preserve">
includes 4 Canada</t>
        </r>
      </text>
    </comment>
    <comment ref="H142" authorId="0">
      <text>
        <r>
          <rPr>
            <b/>
            <sz val="8"/>
            <color indexed="81"/>
            <rFont val="Tahoma"/>
            <family val="2"/>
          </rPr>
          <t>mm98285:</t>
        </r>
        <r>
          <rPr>
            <sz val="8"/>
            <color indexed="81"/>
            <rFont val="Tahoma"/>
            <family val="2"/>
          </rPr>
          <t xml:space="preserve">
~4 VS flagship stores in Canada in 2010 which should generate ~$10-25M in sales per store </t>
        </r>
      </text>
    </comment>
    <comment ref="H153" authorId="1">
      <text>
        <r>
          <rPr>
            <b/>
            <sz val="8"/>
            <color indexed="81"/>
            <rFont val="Tahoma"/>
            <family val="2"/>
          </rPr>
          <t>kimberlg:</t>
        </r>
        <r>
          <rPr>
            <sz val="8"/>
            <color indexed="81"/>
            <rFont val="Tahoma"/>
            <family val="2"/>
          </rPr>
          <t xml:space="preserve">
5/31/12: actually will relocate to Manhattan mall until store remodel is done
5/17/12: took spread down from +1.0 to -1.5 to deduct $16M in sales for closure of VS Herald Sq store</t>
        </r>
      </text>
    </comment>
    <comment ref="H155" authorId="2">
      <text>
        <r>
          <rPr>
            <b/>
            <sz val="8"/>
            <color indexed="81"/>
            <rFont val="Tahoma"/>
            <family val="2"/>
          </rPr>
          <t>kahng:</t>
        </r>
        <r>
          <rPr>
            <sz val="8"/>
            <color indexed="81"/>
            <rFont val="Tahoma"/>
            <family val="2"/>
          </rPr>
          <t xml:space="preserve">
1% excl 53rd week. Adj to 6.7% for addt'l week</t>
        </r>
      </text>
    </comment>
    <comment ref="S155" authorId="2">
      <text>
        <r>
          <rPr>
            <b/>
            <sz val="8"/>
            <color indexed="81"/>
            <rFont val="Tahoma"/>
            <family val="2"/>
          </rPr>
          <t>kahng:</t>
        </r>
        <r>
          <rPr>
            <sz val="8"/>
            <color indexed="81"/>
            <rFont val="Tahoma"/>
            <family val="2"/>
          </rPr>
          <t xml:space="preserve">
$1,621.8M excluding 53rd week. Adding 5.4% to Q4 to acct for 53rd week which yields $87.2M in addt'l revs</t>
        </r>
      </text>
    </comment>
    <comment ref="H296" authorId="0">
      <text>
        <r>
          <rPr>
            <b/>
            <sz val="8"/>
            <color indexed="81"/>
            <rFont val="Tahoma"/>
            <family val="2"/>
          </rPr>
          <t>mm98285:</t>
        </r>
        <r>
          <rPr>
            <sz val="8"/>
            <color indexed="81"/>
            <rFont val="Tahoma"/>
            <family val="2"/>
          </rPr>
          <t xml:space="preserve">
3/07: 0.7% excluding $41m from extra week (171mm for total co.)</t>
        </r>
      </text>
    </comment>
    <comment ref="P296" authorId="0">
      <text>
        <r>
          <rPr>
            <b/>
            <sz val="8"/>
            <color indexed="81"/>
            <rFont val="Tahoma"/>
            <family val="2"/>
          </rPr>
          <t>mm98285:</t>
        </r>
        <r>
          <rPr>
            <sz val="8"/>
            <color indexed="81"/>
            <rFont val="Tahoma"/>
            <family val="2"/>
          </rPr>
          <t xml:space="preserve">
8/06: account for 53rd week (we est. $50mm)</t>
        </r>
      </text>
    </comment>
    <comment ref="H325" authorId="0">
      <text>
        <r>
          <rPr>
            <b/>
            <sz val="8"/>
            <color indexed="81"/>
            <rFont val="Tahoma"/>
            <family val="2"/>
          </rPr>
          <t>mm98285:</t>
        </r>
        <r>
          <rPr>
            <sz val="8"/>
            <color indexed="81"/>
            <rFont val="Tahoma"/>
            <family val="2"/>
          </rPr>
          <t xml:space="preserve">
BBW Canada stores generating ~2.5x sales volume of U.S. stores - assume most of openings in Canada in 2010</t>
        </r>
      </text>
    </comment>
    <comment ref="J331" authorId="3">
      <text>
        <r>
          <rPr>
            <b/>
            <sz val="8"/>
            <color indexed="81"/>
            <rFont val="Tahoma"/>
            <family val="2"/>
          </rPr>
          <t>nicholjs:</t>
        </r>
        <r>
          <rPr>
            <sz val="8"/>
            <color indexed="81"/>
            <rFont val="Tahoma"/>
            <family val="2"/>
          </rPr>
          <t xml:space="preserve">
2009 analyst day: 150-200 BBW store potential in Canada</t>
        </r>
      </text>
    </comment>
    <comment ref="H338" authorId="2">
      <text>
        <r>
          <rPr>
            <b/>
            <sz val="8"/>
            <color indexed="81"/>
            <rFont val="Tahoma"/>
            <family val="2"/>
          </rPr>
          <t>kahng:</t>
        </r>
        <r>
          <rPr>
            <sz val="8"/>
            <color indexed="81"/>
            <rFont val="Tahoma"/>
            <family val="2"/>
          </rPr>
          <t xml:space="preserve">
0.5% excl 53rd week. Adj to 6% to acct for addt'l revs</t>
        </r>
      </text>
    </comment>
    <comment ref="S338" authorId="2">
      <text>
        <r>
          <rPr>
            <b/>
            <sz val="8"/>
            <color indexed="81"/>
            <rFont val="Tahoma"/>
            <family val="2"/>
          </rPr>
          <t>kahng:</t>
        </r>
        <r>
          <rPr>
            <sz val="8"/>
            <color indexed="81"/>
            <rFont val="Tahoma"/>
            <family val="2"/>
          </rPr>
          <t xml:space="preserve">
$1,164.0M excl 53rd week. Adding 5.4% in incremental revs to acct for 53rd week which yields $62.3M in addt'l sales</t>
        </r>
      </text>
    </comment>
    <comment ref="P420" authorId="4">
      <text>
        <r>
          <rPr>
            <b/>
            <sz val="8"/>
            <color indexed="81"/>
            <rFont val="Tahoma"/>
            <family val="2"/>
          </rPr>
          <t>P Kahng:</t>
        </r>
        <r>
          <rPr>
            <sz val="8"/>
            <color indexed="81"/>
            <rFont val="Tahoma"/>
            <family val="2"/>
          </rPr>
          <t xml:space="preserve">
5/3/12: was -25%</t>
        </r>
      </text>
    </comment>
    <comment ref="P421" authorId="4">
      <text>
        <r>
          <rPr>
            <b/>
            <sz val="8"/>
            <color indexed="81"/>
            <rFont val="Tahoma"/>
            <family val="2"/>
          </rPr>
          <t>P Kahng:</t>
        </r>
        <r>
          <rPr>
            <sz val="8"/>
            <color indexed="81"/>
            <rFont val="Tahoma"/>
            <family val="2"/>
          </rPr>
          <t xml:space="preserve">
5/3/12: was -25%</t>
        </r>
      </text>
    </comment>
    <comment ref="P422" authorId="4">
      <text>
        <r>
          <rPr>
            <b/>
            <sz val="8"/>
            <color indexed="81"/>
            <rFont val="Tahoma"/>
            <family val="2"/>
          </rPr>
          <t>P Kahng:</t>
        </r>
        <r>
          <rPr>
            <sz val="8"/>
            <color indexed="81"/>
            <rFont val="Tahoma"/>
            <family val="2"/>
          </rPr>
          <t xml:space="preserve">
5/3/12: was -25%</t>
        </r>
      </text>
    </comment>
    <comment ref="P423" authorId="2">
      <text>
        <r>
          <rPr>
            <b/>
            <sz val="8"/>
            <color indexed="81"/>
            <rFont val="Tahoma"/>
            <family val="2"/>
          </rPr>
          <t xml:space="preserve">kahng:
5/3/12: </t>
        </r>
        <r>
          <rPr>
            <sz val="8"/>
            <color indexed="81"/>
            <rFont val="Tahoma"/>
            <family val="2"/>
          </rPr>
          <t>was 112%</t>
        </r>
        <r>
          <rPr>
            <sz val="8"/>
            <color indexed="81"/>
            <rFont val="Tahoma"/>
            <family val="2"/>
          </rPr>
          <t xml:space="preserve">
-25% excl 53rd week. Adj to acct for addt'l revenue</t>
        </r>
      </text>
    </comment>
    <comment ref="S423" authorId="2">
      <text>
        <r>
          <rPr>
            <b/>
            <sz val="8"/>
            <color indexed="81"/>
            <rFont val="Tahoma"/>
            <family val="2"/>
          </rPr>
          <t>kahng:</t>
        </r>
        <r>
          <rPr>
            <sz val="8"/>
            <color indexed="81"/>
            <rFont val="Tahoma"/>
            <family val="2"/>
          </rPr>
          <t xml:space="preserve">
$125.4M excl 53rd week. Adding 5.4% in additional sales to acct for 53rd week which yields $6.7M in incremental revs</t>
        </r>
      </text>
    </comment>
    <comment ref="S424" authorId="4">
      <text>
        <r>
          <rPr>
            <b/>
            <sz val="8"/>
            <color indexed="81"/>
            <rFont val="Tahoma"/>
            <family val="2"/>
          </rPr>
          <t>P Kahng:</t>
        </r>
        <r>
          <rPr>
            <sz val="8"/>
            <color indexed="81"/>
            <rFont val="Tahoma"/>
            <family val="2"/>
          </rPr>
          <t xml:space="preserve">
</t>
        </r>
        <r>
          <rPr>
            <b/>
            <sz val="8"/>
            <color indexed="81"/>
            <rFont val="Tahoma"/>
            <family val="2"/>
          </rPr>
          <t xml:space="preserve">5/3/12: </t>
        </r>
        <r>
          <rPr>
            <sz val="8"/>
            <color indexed="81"/>
            <rFont val="Tahoma"/>
            <family val="2"/>
          </rPr>
          <t>Was $463</t>
        </r>
      </text>
    </comment>
    <comment ref="S453" authorId="2">
      <text>
        <r>
          <rPr>
            <b/>
            <sz val="8"/>
            <color indexed="81"/>
            <rFont val="Tahoma"/>
            <family val="2"/>
          </rPr>
          <t>kahng:</t>
        </r>
        <r>
          <rPr>
            <sz val="8"/>
            <color indexed="81"/>
            <rFont val="Tahoma"/>
            <family val="2"/>
          </rPr>
          <t xml:space="preserve">
$1,164.0M excl 53rd week. Adding 5.4% in incremental revs to acct for 53rd week which yields $62.3M in addt'l sales</t>
        </r>
      </text>
    </comment>
    <comment ref="F459" authorId="5">
      <text>
        <r>
          <rPr>
            <b/>
            <sz val="9"/>
            <color indexed="81"/>
            <rFont val="Tahoma"/>
            <family val="2"/>
          </rPr>
          <t>casselau:</t>
        </r>
        <r>
          <rPr>
            <sz val="9"/>
            <color indexed="81"/>
            <rFont val="Tahoma"/>
            <family val="2"/>
          </rPr>
          <t xml:space="preserve">
estimate</t>
        </r>
      </text>
    </comment>
    <comment ref="F460" authorId="5">
      <text>
        <r>
          <rPr>
            <b/>
            <sz val="9"/>
            <color indexed="81"/>
            <rFont val="Tahoma"/>
            <family val="2"/>
          </rPr>
          <t>casselau:</t>
        </r>
        <r>
          <rPr>
            <sz val="9"/>
            <color indexed="81"/>
            <rFont val="Tahoma"/>
            <family val="2"/>
          </rPr>
          <t xml:space="preserve">
estimate</t>
        </r>
      </text>
    </comment>
    <comment ref="F464" authorId="5">
      <text>
        <r>
          <rPr>
            <b/>
            <sz val="9"/>
            <color indexed="81"/>
            <rFont val="Tahoma"/>
            <family val="2"/>
          </rPr>
          <t>casselau:</t>
        </r>
        <r>
          <rPr>
            <sz val="9"/>
            <color indexed="81"/>
            <rFont val="Tahoma"/>
            <family val="2"/>
          </rPr>
          <t xml:space="preserve">
estimate</t>
        </r>
      </text>
    </comment>
    <comment ref="F465" authorId="5">
      <text>
        <r>
          <rPr>
            <b/>
            <sz val="9"/>
            <color indexed="81"/>
            <rFont val="Tahoma"/>
            <family val="2"/>
          </rPr>
          <t>casselau:</t>
        </r>
        <r>
          <rPr>
            <sz val="9"/>
            <color indexed="81"/>
            <rFont val="Tahoma"/>
            <family val="2"/>
          </rPr>
          <t xml:space="preserve">
estimate</t>
        </r>
      </text>
    </comment>
    <comment ref="F466" authorId="5">
      <text>
        <r>
          <rPr>
            <b/>
            <sz val="9"/>
            <color indexed="81"/>
            <rFont val="Tahoma"/>
            <family val="2"/>
          </rPr>
          <t>casselau:</t>
        </r>
        <r>
          <rPr>
            <sz val="9"/>
            <color indexed="81"/>
            <rFont val="Tahoma"/>
            <family val="2"/>
          </rPr>
          <t xml:space="preserve">
estimate</t>
        </r>
      </text>
    </comment>
    <comment ref="F467" authorId="5">
      <text>
        <r>
          <rPr>
            <b/>
            <sz val="9"/>
            <color indexed="81"/>
            <rFont val="Tahoma"/>
            <family val="2"/>
          </rPr>
          <t>casselau:</t>
        </r>
        <r>
          <rPr>
            <sz val="9"/>
            <color indexed="81"/>
            <rFont val="Tahoma"/>
            <family val="2"/>
          </rPr>
          <t xml:space="preserve">
estimate</t>
        </r>
      </text>
    </comment>
    <comment ref="F471" authorId="5">
      <text>
        <r>
          <rPr>
            <b/>
            <sz val="9"/>
            <color indexed="81"/>
            <rFont val="Tahoma"/>
            <family val="2"/>
          </rPr>
          <t>casselau:</t>
        </r>
        <r>
          <rPr>
            <sz val="9"/>
            <color indexed="81"/>
            <rFont val="Tahoma"/>
            <family val="2"/>
          </rPr>
          <t xml:space="preserve">
estimate</t>
        </r>
      </text>
    </comment>
    <comment ref="F472" authorId="5">
      <text>
        <r>
          <rPr>
            <b/>
            <sz val="9"/>
            <color indexed="81"/>
            <rFont val="Tahoma"/>
            <family val="2"/>
          </rPr>
          <t>casselau:</t>
        </r>
        <r>
          <rPr>
            <sz val="9"/>
            <color indexed="81"/>
            <rFont val="Tahoma"/>
            <family val="2"/>
          </rPr>
          <t xml:space="preserve">
estimate</t>
        </r>
      </text>
    </comment>
    <comment ref="F473" authorId="5">
      <text>
        <r>
          <rPr>
            <b/>
            <sz val="9"/>
            <color indexed="81"/>
            <rFont val="Tahoma"/>
            <family val="2"/>
          </rPr>
          <t>casselau:</t>
        </r>
        <r>
          <rPr>
            <sz val="9"/>
            <color indexed="81"/>
            <rFont val="Tahoma"/>
            <family val="2"/>
          </rPr>
          <t xml:space="preserve">
estimate</t>
        </r>
      </text>
    </comment>
    <comment ref="F478" authorId="5">
      <text>
        <r>
          <rPr>
            <b/>
            <sz val="9"/>
            <color indexed="81"/>
            <rFont val="Tahoma"/>
            <family val="2"/>
          </rPr>
          <t>casselau:</t>
        </r>
        <r>
          <rPr>
            <sz val="9"/>
            <color indexed="81"/>
            <rFont val="Tahoma"/>
            <family val="2"/>
          </rPr>
          <t xml:space="preserve">
estimate</t>
        </r>
      </text>
    </comment>
    <comment ref="F479" authorId="5">
      <text>
        <r>
          <rPr>
            <b/>
            <sz val="9"/>
            <color indexed="81"/>
            <rFont val="Tahoma"/>
            <family val="2"/>
          </rPr>
          <t>casselau:</t>
        </r>
        <r>
          <rPr>
            <sz val="9"/>
            <color indexed="81"/>
            <rFont val="Tahoma"/>
            <family val="2"/>
          </rPr>
          <t xml:space="preserve">
estimate</t>
        </r>
      </text>
    </comment>
    <comment ref="F480" authorId="5">
      <text>
        <r>
          <rPr>
            <b/>
            <sz val="9"/>
            <color indexed="81"/>
            <rFont val="Tahoma"/>
            <family val="2"/>
          </rPr>
          <t>casselau:</t>
        </r>
        <r>
          <rPr>
            <sz val="9"/>
            <color indexed="81"/>
            <rFont val="Tahoma"/>
            <family val="2"/>
          </rPr>
          <t xml:space="preserve">
estimate</t>
        </r>
      </text>
    </comment>
    <comment ref="F481" authorId="5">
      <text>
        <r>
          <rPr>
            <b/>
            <sz val="9"/>
            <color indexed="81"/>
            <rFont val="Tahoma"/>
            <family val="2"/>
          </rPr>
          <t>casselau:</t>
        </r>
        <r>
          <rPr>
            <sz val="9"/>
            <color indexed="81"/>
            <rFont val="Tahoma"/>
            <family val="2"/>
          </rPr>
          <t xml:space="preserve">
estimate</t>
        </r>
      </text>
    </comment>
    <comment ref="F486" authorId="6">
      <text>
        <r>
          <rPr>
            <b/>
            <sz val="9"/>
            <color indexed="81"/>
            <rFont val="Tahoma"/>
            <family val="2"/>
          </rPr>
          <t>Cassel, Lauren (Research):</t>
        </r>
        <r>
          <rPr>
            <sz val="9"/>
            <color indexed="81"/>
            <rFont val="Tahoma"/>
            <family val="2"/>
          </rPr>
          <t xml:space="preserve">
8/16/17: VS international experienced comp declines in all part of the world except for China, driven by the exit of swim and apparel (partially offset by growth in sport) and continued softness in beauty; 
UK: sales were about flat as the negative comp was mostly offset by sales from new stores; 
China: opened first two full assortment stores in February; four more opening thsi year; VSBA China business continued to show healthy comp growth; moved to domestic T mall platform with in country distribution in July 
VS franchise: continue to see tough market conditions in the Middle East and Turkey but encouraging performance in Southeast Asia
BBW Intl: continues with solid performance and growth in sales and operating income</t>
        </r>
      </text>
    </comment>
    <comment ref="F693" authorId="7">
      <text>
        <r>
          <rPr>
            <b/>
            <sz val="8"/>
            <color indexed="81"/>
            <rFont val="Tahoma"/>
            <family val="2"/>
          </rPr>
          <t xml:space="preserve">dliu:
</t>
        </r>
        <r>
          <rPr>
            <sz val="8"/>
            <color indexed="81"/>
            <rFont val="Tahoma"/>
            <family val="2"/>
          </rPr>
          <t xml:space="preserve">1Qcc 5/19/03: invested in key items in terry, paratrooper crop pants and mini-Ts for 2Q. In men's, will continue to focus on knits, denims and dress shirts, which realized solid growth in 1Q, and will work to revive casual pants category. Dual gender stores continue to be a bright spot and are outperforming the balance of the co. </t>
        </r>
      </text>
    </comment>
    <comment ref="F700" authorId="7">
      <text>
        <r>
          <rPr>
            <b/>
            <sz val="8"/>
            <color indexed="81"/>
            <rFont val="Tahoma"/>
            <family val="2"/>
          </rPr>
          <t xml:space="preserve">dliu:
</t>
        </r>
        <r>
          <rPr>
            <sz val="8"/>
            <color indexed="81"/>
            <rFont val="Tahoma"/>
            <family val="2"/>
          </rPr>
          <t xml:space="preserve">1Qcc 5/19/03: invested in key items in terry, paratrooper crop pants and mini-Ts for 2Q. In men's, will continue to focus on knits, denims and dress shirts, which realized solid growth in 1Q, and will work to revive casual pants category. Dual gender stores continue to be a bright spot and are outperforming the balance of the co. </t>
        </r>
      </text>
    </comment>
    <comment ref="H716" authorId="0">
      <text>
        <r>
          <rPr>
            <b/>
            <sz val="8"/>
            <color indexed="81"/>
            <rFont val="Tahoma"/>
            <family val="2"/>
          </rPr>
          <t>mm98285:</t>
        </r>
        <r>
          <rPr>
            <sz val="8"/>
            <color indexed="81"/>
            <rFont val="Tahoma"/>
            <family val="2"/>
          </rPr>
          <t xml:space="preserve">
-3.6 excluding $26m sales from extra week</t>
        </r>
      </text>
    </comment>
    <comment ref="P716" authorId="0">
      <text>
        <r>
          <rPr>
            <b/>
            <sz val="8"/>
            <color indexed="81"/>
            <rFont val="Tahoma"/>
            <family val="2"/>
          </rPr>
          <t>mm98285:</t>
        </r>
        <r>
          <rPr>
            <sz val="8"/>
            <color indexed="81"/>
            <rFont val="Tahoma"/>
            <family val="2"/>
          </rPr>
          <t xml:space="preserve">
8/06: account for 53rd week (we est. $26m)</t>
        </r>
      </text>
    </comment>
    <comment ref="F792" authorId="7">
      <text>
        <r>
          <rPr>
            <b/>
            <sz val="8"/>
            <color indexed="81"/>
            <rFont val="Tahoma"/>
            <family val="2"/>
          </rPr>
          <t>dliu:</t>
        </r>
        <r>
          <rPr>
            <sz val="8"/>
            <color indexed="81"/>
            <rFont val="Tahoma"/>
            <family val="2"/>
          </rPr>
          <t xml:space="preserve">
on 1Q03 cc on 5/19/03, co noted +13% comps LY in 2Q were driven by promotions, and is therefore projecting continued neg comps in 2Q03 </t>
        </r>
      </text>
    </comment>
    <comment ref="H815" authorId="0">
      <text>
        <r>
          <rPr>
            <b/>
            <sz val="8"/>
            <color indexed="81"/>
            <rFont val="Tahoma"/>
            <family val="2"/>
          </rPr>
          <t>mm98285:</t>
        </r>
        <r>
          <rPr>
            <sz val="8"/>
            <color indexed="81"/>
            <rFont val="Tahoma"/>
            <family val="2"/>
          </rPr>
          <t xml:space="preserve">
-6.1% excl. $7mm in sales from extra week</t>
        </r>
      </text>
    </comment>
    <comment ref="P815" authorId="0">
      <text>
        <r>
          <rPr>
            <b/>
            <sz val="8"/>
            <color indexed="81"/>
            <rFont val="Tahoma"/>
            <family val="2"/>
          </rPr>
          <t>mm98285:</t>
        </r>
        <r>
          <rPr>
            <sz val="8"/>
            <color indexed="81"/>
            <rFont val="Tahoma"/>
            <family val="2"/>
          </rPr>
          <t xml:space="preserve">
8/06: account for 53rd week (we est. $7mm)</t>
        </r>
      </text>
    </comment>
  </commentList>
</comments>
</file>

<file path=xl/comments7.xml><?xml version="1.0" encoding="utf-8"?>
<comments xmlns="http://schemas.openxmlformats.org/spreadsheetml/2006/main">
  <authors>
    <author>dliu</author>
    <author>MB33100</author>
    <author>mm98285</author>
    <author>TI23070</author>
    <author>solejay</author>
  </authors>
  <commentList>
    <comment ref="P40" authorId="0">
      <text>
        <r>
          <rPr>
            <b/>
            <sz val="8"/>
            <color indexed="81"/>
            <rFont val="Tahoma"/>
            <family val="2"/>
          </rPr>
          <t>dliu:</t>
        </r>
        <r>
          <rPr>
            <sz val="8"/>
            <color indexed="81"/>
            <rFont val="Tahoma"/>
            <family val="2"/>
          </rPr>
          <t xml:space="preserve">
Data from 1994 onward exclude sales from VS Direct and thus are not comparable to 1993 and prior data</t>
        </r>
      </text>
    </comment>
    <comment ref="F113" authorId="0">
      <text>
        <r>
          <rPr>
            <b/>
            <sz val="8"/>
            <color indexed="81"/>
            <rFont val="Tahoma"/>
            <family val="2"/>
          </rPr>
          <t>dliu:</t>
        </r>
        <r>
          <rPr>
            <sz val="8"/>
            <color indexed="81"/>
            <rFont val="Tahoma"/>
            <family val="2"/>
          </rPr>
          <t xml:space="preserve">
4</t>
        </r>
      </text>
    </comment>
    <comment ref="F131" authorId="1">
      <text>
        <r>
          <rPr>
            <b/>
            <sz val="8"/>
            <color indexed="81"/>
            <rFont val="Tahoma"/>
            <family val="2"/>
          </rPr>
          <t>MB33100:</t>
        </r>
        <r>
          <rPr>
            <sz val="8"/>
            <color indexed="81"/>
            <rFont val="Tahoma"/>
            <family val="2"/>
          </rPr>
          <t xml:space="preserve">
2/06 guided to L to MSD comp for 1Q</t>
        </r>
      </text>
    </comment>
    <comment ref="F132" authorId="2">
      <text>
        <r>
          <rPr>
            <b/>
            <sz val="8"/>
            <color indexed="81"/>
            <rFont val="Tahoma"/>
            <family val="2"/>
          </rPr>
          <t>mm98285:</t>
        </r>
        <r>
          <rPr>
            <sz val="8"/>
            <color indexed="81"/>
            <rFont val="Tahoma"/>
            <family val="2"/>
          </rPr>
          <t xml:space="preserve">
5/06: guided to L-MSD comp increase</t>
        </r>
      </text>
    </comment>
    <comment ref="F135" authorId="2">
      <text>
        <r>
          <rPr>
            <b/>
            <sz val="8"/>
            <color indexed="81"/>
            <rFont val="Tahoma"/>
            <family val="2"/>
          </rPr>
          <t>mm98285:</t>
        </r>
        <r>
          <rPr>
            <sz val="8"/>
            <color indexed="81"/>
            <rFont val="Tahoma"/>
            <family val="2"/>
          </rPr>
          <t xml:space="preserve">
5/06: guided to L-MSD comp increase</t>
        </r>
      </text>
    </comment>
    <comment ref="F141" authorId="2">
      <text>
        <r>
          <rPr>
            <b/>
            <sz val="8"/>
            <color indexed="81"/>
            <rFont val="Tahoma"/>
            <family val="2"/>
          </rPr>
          <t>mm98285:</t>
        </r>
        <r>
          <rPr>
            <sz val="8"/>
            <color indexed="81"/>
            <rFont val="Tahoma"/>
            <family val="2"/>
          </rPr>
          <t xml:space="preserve">
11/07: -LSD comp</t>
        </r>
      </text>
    </comment>
    <comment ref="P148" authorId="3">
      <text>
        <r>
          <rPr>
            <b/>
            <sz val="8"/>
            <color indexed="81"/>
            <rFont val="Tahoma"/>
            <family val="2"/>
          </rPr>
          <t>TI23070:</t>
        </r>
        <r>
          <rPr>
            <sz val="8"/>
            <color indexed="81"/>
            <rFont val="Tahoma"/>
            <family val="2"/>
          </rPr>
          <t xml:space="preserve">
Direct/Web sales +12%</t>
        </r>
      </text>
    </comment>
    <comment ref="P152" authorId="3">
      <text>
        <r>
          <rPr>
            <b/>
            <sz val="8"/>
            <color indexed="81"/>
            <rFont val="Tahoma"/>
            <family val="2"/>
          </rPr>
          <t>TI23070:</t>
        </r>
        <r>
          <rPr>
            <sz val="8"/>
            <color indexed="81"/>
            <rFont val="Tahoma"/>
            <family val="2"/>
          </rPr>
          <t xml:space="preserve">
February Direct/web sales -19%
March Direct/Web sales -14%
April Direct/Web sales -17%</t>
        </r>
      </text>
    </comment>
    <comment ref="P153" authorId="3">
      <text>
        <r>
          <rPr>
            <b/>
            <sz val="8"/>
            <color indexed="81"/>
            <rFont val="Tahoma"/>
            <family val="2"/>
          </rPr>
          <t>TI23070:</t>
        </r>
        <r>
          <rPr>
            <sz val="8"/>
            <color indexed="81"/>
            <rFont val="Tahoma"/>
            <family val="2"/>
          </rPr>
          <t xml:space="preserve">
direct/web sales:
May: -11%
June: -21%
July: -10%</t>
        </r>
      </text>
    </comment>
    <comment ref="P154" authorId="3">
      <text>
        <r>
          <rPr>
            <b/>
            <sz val="8"/>
            <color indexed="81"/>
            <rFont val="Tahoma"/>
            <family val="2"/>
          </rPr>
          <t>TI23070:</t>
        </r>
        <r>
          <rPr>
            <sz val="8"/>
            <color indexed="81"/>
            <rFont val="Tahoma"/>
            <family val="2"/>
          </rPr>
          <t xml:space="preserve">
direct/web sales:
August: -14%
September -3%
October -7%</t>
        </r>
      </text>
    </comment>
    <comment ref="P155" authorId="3">
      <text>
        <r>
          <rPr>
            <b/>
            <sz val="8"/>
            <color indexed="81"/>
            <rFont val="Tahoma"/>
            <family val="2"/>
          </rPr>
          <t>TI23070:</t>
        </r>
        <r>
          <rPr>
            <sz val="8"/>
            <color indexed="81"/>
            <rFont val="Tahoma"/>
            <family val="2"/>
          </rPr>
          <t xml:space="preserve">
direct web sales:
November +3%
December +2%
January +3%</t>
        </r>
      </text>
    </comment>
    <comment ref="P159" authorId="3">
      <text>
        <r>
          <rPr>
            <b/>
            <sz val="8"/>
            <color indexed="81"/>
            <rFont val="Tahoma"/>
            <family val="2"/>
          </rPr>
          <t>TI23070:</t>
        </r>
        <r>
          <rPr>
            <sz val="8"/>
            <color indexed="81"/>
            <rFont val="Tahoma"/>
            <family val="2"/>
          </rPr>
          <t xml:space="preserve">
direct/web sales:
Feb: +2%
March: +9%
April +22%</t>
        </r>
      </text>
    </comment>
    <comment ref="P160" authorId="3">
      <text>
        <r>
          <rPr>
            <b/>
            <sz val="8"/>
            <color indexed="81"/>
            <rFont val="Tahoma"/>
            <family val="2"/>
          </rPr>
          <t>TI23070:</t>
        </r>
        <r>
          <rPr>
            <sz val="8"/>
            <color indexed="81"/>
            <rFont val="Tahoma"/>
            <family val="2"/>
          </rPr>
          <t xml:space="preserve">
direct/web sales:
May +4%</t>
        </r>
      </text>
    </comment>
    <comment ref="D184" authorId="4">
      <text>
        <r>
          <rPr>
            <b/>
            <sz val="8"/>
            <color indexed="81"/>
            <rFont val="Tahoma"/>
            <family val="2"/>
          </rPr>
          <t>solejay:</t>
        </r>
        <r>
          <rPr>
            <sz val="8"/>
            <color indexed="81"/>
            <rFont val="Tahoma"/>
            <family val="2"/>
          </rPr>
          <t xml:space="preserve">
doesn't include other and direct</t>
        </r>
      </text>
    </comment>
    <comment ref="S184" authorId="4">
      <text>
        <r>
          <rPr>
            <b/>
            <sz val="8"/>
            <color indexed="81"/>
            <rFont val="Tahoma"/>
            <family val="2"/>
          </rPr>
          <t>solejay:</t>
        </r>
        <r>
          <rPr>
            <sz val="8"/>
            <color indexed="81"/>
            <rFont val="Tahoma"/>
            <family val="2"/>
          </rPr>
          <t xml:space="preserve">
doesn't include other and direct</t>
        </r>
      </text>
    </comment>
  </commentList>
</comments>
</file>

<file path=xl/comments8.xml><?xml version="1.0" encoding="utf-8"?>
<comments xmlns="http://schemas.openxmlformats.org/spreadsheetml/2006/main">
  <authors>
    <author>kahng</author>
    <author>casselau</author>
    <author>dliu</author>
    <author>kgreenbe</author>
    <author>Corinna Freedman</author>
    <author>MB33100</author>
    <author>mm98285</author>
    <author>kg51925</author>
    <author>sancfa</author>
    <author>ns66486</author>
    <author>nicholjs</author>
    <author>NS66486</author>
    <author>solejay</author>
    <author>lauraro</author>
    <author>kimberlg</author>
    <author>P Kahng</author>
    <author>Cassel, Lauren (Research)</author>
  </authors>
  <commentList>
    <comment ref="AZ7" authorId="0">
      <text>
        <r>
          <rPr>
            <b/>
            <sz val="8"/>
            <color indexed="81"/>
            <rFont val="Tahoma"/>
            <family val="2"/>
          </rPr>
          <t>kahng:</t>
        </r>
        <r>
          <rPr>
            <sz val="8"/>
            <color indexed="81"/>
            <rFont val="Tahoma"/>
            <family val="2"/>
          </rPr>
          <t xml:space="preserve">
LS revenue reclassified into "other" segment on 2/22/2012. Restated numbers begin row 156</t>
        </r>
      </text>
    </comment>
    <comment ref="BE7" authorId="1">
      <text>
        <r>
          <rPr>
            <b/>
            <sz val="9"/>
            <color indexed="81"/>
            <rFont val="Tahoma"/>
            <family val="2"/>
          </rPr>
          <t>casselau:</t>
        </r>
        <r>
          <rPr>
            <sz val="9"/>
            <color indexed="81"/>
            <rFont val="Tahoma"/>
            <family val="2"/>
          </rPr>
          <t xml:space="preserve">
includes La Senza starting with new reporting structure in FY12</t>
        </r>
      </text>
    </comment>
    <comment ref="BL7" authorId="2">
      <text>
        <r>
          <rPr>
            <b/>
            <sz val="8"/>
            <color indexed="81"/>
            <rFont val="Tahoma"/>
            <family val="2"/>
          </rPr>
          <t>dliu:</t>
        </r>
        <r>
          <rPr>
            <sz val="8"/>
            <color indexed="81"/>
            <rFont val="Tahoma"/>
            <family val="2"/>
          </rPr>
          <t xml:space="preserve">
incl. VS, BBW, Cacique and 'other'</t>
        </r>
      </text>
    </comment>
    <comment ref="BO7" authorId="2">
      <text>
        <r>
          <rPr>
            <b/>
            <sz val="8"/>
            <color indexed="81"/>
            <rFont val="Tahoma"/>
            <family val="2"/>
          </rPr>
          <t>dliu:</t>
        </r>
        <r>
          <rPr>
            <sz val="8"/>
            <color indexed="81"/>
            <rFont val="Tahoma"/>
            <family val="2"/>
          </rPr>
          <t xml:space="preserve">
incl. Express, Lerner, Lane Bryant, Limited, and Henri Bendel</t>
        </r>
      </text>
    </comment>
    <comment ref="BZ7" authorId="2">
      <text>
        <r>
          <rPr>
            <b/>
            <sz val="8"/>
            <color indexed="81"/>
            <rFont val="Tahoma"/>
            <family val="2"/>
          </rPr>
          <t>dliu:</t>
        </r>
        <r>
          <rPr>
            <sz val="8"/>
            <color indexed="81"/>
            <rFont val="Tahoma"/>
            <family val="2"/>
          </rPr>
          <t xml:space="preserve">
incl. VS, BBW, Cacique and 'other'</t>
        </r>
      </text>
    </comment>
    <comment ref="CC7" authorId="2">
      <text>
        <r>
          <rPr>
            <b/>
            <sz val="8"/>
            <color indexed="81"/>
            <rFont val="Tahoma"/>
            <family val="2"/>
          </rPr>
          <t>dliu:</t>
        </r>
        <r>
          <rPr>
            <sz val="8"/>
            <color indexed="81"/>
            <rFont val="Tahoma"/>
            <family val="2"/>
          </rPr>
          <t xml:space="preserve">
incl. Express, Lerner, Lane Bryant, Limited, and Henri Bendel</t>
        </r>
      </text>
    </comment>
    <comment ref="BS8" authorId="2">
      <text>
        <r>
          <rPr>
            <b/>
            <sz val="8"/>
            <color indexed="81"/>
            <rFont val="Tahoma"/>
            <family val="2"/>
          </rPr>
          <t>dliu:</t>
        </r>
        <r>
          <rPr>
            <sz val="8"/>
            <color indexed="81"/>
            <rFont val="Tahoma"/>
            <family val="2"/>
          </rPr>
          <t xml:space="preserve">
incl Structure, A&amp;F, Limited Too, and Galyan's</t>
        </r>
      </text>
    </comment>
    <comment ref="CG8" authorId="2">
      <text>
        <r>
          <rPr>
            <b/>
            <sz val="8"/>
            <color indexed="81"/>
            <rFont val="Tahoma"/>
            <family val="2"/>
          </rPr>
          <t>dliu:</t>
        </r>
        <r>
          <rPr>
            <sz val="8"/>
            <color indexed="81"/>
            <rFont val="Tahoma"/>
            <family val="2"/>
          </rPr>
          <t xml:space="preserve">
incl Structure, A&amp;F, Limited Too, and Galyan's</t>
        </r>
      </text>
    </comment>
    <comment ref="DT8" authorId="2">
      <text>
        <r>
          <rPr>
            <b/>
            <sz val="8"/>
            <color indexed="81"/>
            <rFont val="Tahoma"/>
            <family val="2"/>
          </rPr>
          <t>dliu:</t>
        </r>
        <r>
          <rPr>
            <sz val="8"/>
            <color indexed="81"/>
            <rFont val="Tahoma"/>
            <family val="2"/>
          </rPr>
          <t xml:space="preserve">
includes Corporate (incl. non-core real estate &amp; equity invest's), Mast, beautyAvenues &amp; Henri Bendel, &amp; is reported NET of intersegment elimination (elimination of Mast sales to VS, BBW and App).</t>
        </r>
      </text>
    </comment>
    <comment ref="BI14" authorId="2">
      <text>
        <r>
          <rPr>
            <b/>
            <sz val="8"/>
            <color indexed="81"/>
            <rFont val="Tahoma"/>
            <family val="2"/>
          </rPr>
          <t>dliu:</t>
        </r>
        <r>
          <rPr>
            <sz val="8"/>
            <color indexed="81"/>
            <rFont val="Tahoma"/>
            <family val="2"/>
          </rPr>
          <t xml:space="preserve">
from 1994 10-K - does not add to reported sales of 6,944</t>
        </r>
      </text>
    </comment>
    <comment ref="AY21" authorId="2">
      <text>
        <r>
          <rPr>
            <b/>
            <sz val="8"/>
            <color indexed="81"/>
            <rFont val="Tahoma"/>
            <family val="2"/>
          </rPr>
          <t>dliu:</t>
        </r>
        <r>
          <rPr>
            <sz val="8"/>
            <color indexed="81"/>
            <rFont val="Tahoma"/>
            <family val="2"/>
          </rPr>
          <t xml:space="preserve">
Penhaligons</t>
        </r>
      </text>
    </comment>
    <comment ref="BI21" authorId="2">
      <text>
        <r>
          <rPr>
            <b/>
            <sz val="8"/>
            <color indexed="81"/>
            <rFont val="Tahoma"/>
            <family val="2"/>
          </rPr>
          <t>dliu:</t>
        </r>
        <r>
          <rPr>
            <sz val="8"/>
            <color indexed="81"/>
            <rFont val="Tahoma"/>
            <family val="2"/>
          </rPr>
          <t xml:space="preserve">
from 1994 10-K - does not add to reported sales of 7,245</t>
        </r>
      </text>
    </comment>
    <comment ref="CG28" authorId="2">
      <text>
        <r>
          <rPr>
            <b/>
            <sz val="8"/>
            <color indexed="81"/>
            <rFont val="Tahoma"/>
            <family val="2"/>
          </rPr>
          <t>dliu:</t>
        </r>
        <r>
          <rPr>
            <sz val="8"/>
            <color indexed="81"/>
            <rFont val="Tahoma"/>
            <family val="2"/>
          </rPr>
          <t xml:space="preserve">
1994 and 1995 incl 100% of WFNNB's oper inc of $114mm and $107 mm before interest expense of $4 mm, representing 40% of net income of $11 mm in 96.</t>
        </r>
      </text>
    </comment>
    <comment ref="AX32" authorId="2">
      <text>
        <r>
          <rPr>
            <b/>
            <sz val="8"/>
            <color indexed="81"/>
            <rFont val="Tahoma"/>
            <family val="2"/>
          </rPr>
          <t>dliu:</t>
        </r>
        <r>
          <rPr>
            <sz val="8"/>
            <color indexed="81"/>
            <rFont val="Tahoma"/>
            <family val="2"/>
          </rPr>
          <t xml:space="preserve">
since 7/2/95</t>
        </r>
      </text>
    </comment>
    <comment ref="CC35" authorId="2">
      <text>
        <r>
          <rPr>
            <b/>
            <sz val="8"/>
            <color indexed="81"/>
            <rFont val="Tahoma"/>
            <family val="2"/>
          </rPr>
          <t>dliu:</t>
        </r>
        <r>
          <rPr>
            <sz val="8"/>
            <color indexed="81"/>
            <rFont val="Tahoma"/>
            <family val="2"/>
          </rPr>
          <t xml:space="preserve">
incl a special and nonrecuring charge of approx $48 mm for store closings and downsizings</t>
        </r>
      </text>
    </comment>
    <comment ref="CG35" authorId="2">
      <text>
        <r>
          <rPr>
            <b/>
            <sz val="8"/>
            <color indexed="81"/>
            <rFont val="Tahoma"/>
            <family val="2"/>
          </rPr>
          <t>dliu:</t>
        </r>
        <r>
          <rPr>
            <sz val="8"/>
            <color indexed="81"/>
            <rFont val="Tahoma"/>
            <family val="2"/>
          </rPr>
          <t xml:space="preserve">
1994 and 1995 incl 100% of WFNNB's oper inc of $114mm and $107 mm before interest expense of $4 mm, representing 40% of net income of $11 mm in 96. 1995 also incl an approx gain of $73 mm for the sale of a 60% interest in WFNNB, partially offset by $23 mm of special and nonrecurring charges representing writedowns to net realizable value of certain assets.</t>
        </r>
      </text>
    </comment>
    <comment ref="CO35" authorId="2">
      <text>
        <r>
          <rPr>
            <b/>
            <sz val="8"/>
            <color indexed="81"/>
            <rFont val="Tahoma"/>
            <family val="2"/>
          </rPr>
          <t>dliu:</t>
        </r>
        <r>
          <rPr>
            <sz val="8"/>
            <color indexed="81"/>
            <rFont val="Tahoma"/>
            <family val="2"/>
          </rPr>
          <t xml:space="preserve">
does not tie to sum of quarters b/c 4Q do not have A&amp;F data but year does</t>
        </r>
      </text>
    </comment>
    <comment ref="AX40" authorId="2">
      <text>
        <r>
          <rPr>
            <b/>
            <sz val="8"/>
            <color indexed="81"/>
            <rFont val="Tahoma"/>
            <family val="2"/>
          </rPr>
          <t>dliu:</t>
        </r>
        <r>
          <rPr>
            <sz val="8"/>
            <color indexed="81"/>
            <rFont val="Tahoma"/>
            <family val="2"/>
          </rPr>
          <t xml:space="preserve">
incl $4 mm in 'other' under emerging biz (separate from 'other' in intibrands biz)</t>
        </r>
      </text>
    </comment>
    <comment ref="AT42" authorId="2">
      <text>
        <r>
          <rPr>
            <b/>
            <sz val="8"/>
            <color indexed="81"/>
            <rFont val="Tahoma"/>
            <family val="2"/>
          </rPr>
          <t>dliu:</t>
        </r>
        <r>
          <rPr>
            <sz val="8"/>
            <color indexed="81"/>
            <rFont val="Tahoma"/>
            <family val="2"/>
          </rPr>
          <t xml:space="preserve">
in 97 10-K this is lumped in with 'Other' as $110. Reconciles because $88+22=110</t>
        </r>
      </text>
    </comment>
    <comment ref="BZ42" authorId="2">
      <text>
        <r>
          <rPr>
            <b/>
            <sz val="8"/>
            <color indexed="81"/>
            <rFont val="Tahoma"/>
            <family val="2"/>
          </rPr>
          <t>dliu:</t>
        </r>
        <r>
          <rPr>
            <sz val="8"/>
            <color indexed="81"/>
            <rFont val="Tahoma"/>
            <family val="2"/>
          </rPr>
          <t xml:space="preserve">
incl a special and non-recurring charge of $12 mm related to the sale of penhaligon's in early 97</t>
        </r>
      </text>
    </comment>
    <comment ref="CO42" authorId="2">
      <text>
        <r>
          <rPr>
            <b/>
            <sz val="8"/>
            <color indexed="81"/>
            <rFont val="Tahoma"/>
            <family val="2"/>
          </rPr>
          <t>dliu:</t>
        </r>
        <r>
          <rPr>
            <sz val="8"/>
            <color indexed="81"/>
            <rFont val="Tahoma"/>
            <family val="2"/>
          </rPr>
          <t xml:space="preserve">
different from yrP&amp;L b/c yrP&amp;L excl $12 mm Penhaligon's charge but here it INCLUDEs it </t>
        </r>
      </text>
    </comment>
    <comment ref="CO47" authorId="2">
      <text>
        <r>
          <rPr>
            <b/>
            <sz val="8"/>
            <color indexed="81"/>
            <rFont val="Tahoma"/>
            <family val="2"/>
          </rPr>
          <t>dliu:</t>
        </r>
        <r>
          <rPr>
            <sz val="8"/>
            <color indexed="81"/>
            <rFont val="Tahoma"/>
            <family val="2"/>
          </rPr>
          <t xml:space="preserve">
excl $62.8 mm in special and non-recurring items in 3Q97</t>
        </r>
      </text>
    </comment>
    <comment ref="AT49" authorId="2">
      <text>
        <r>
          <rPr>
            <b/>
            <sz val="8"/>
            <color indexed="81"/>
            <rFont val="Tahoma"/>
            <family val="2"/>
          </rPr>
          <t>dliu:</t>
        </r>
        <r>
          <rPr>
            <sz val="8"/>
            <color indexed="81"/>
            <rFont val="Tahoma"/>
            <family val="2"/>
          </rPr>
          <t xml:space="preserve">
assume flat to LY. Since LY's number $88 was lumped into Other for a total of $110, for 97 assume sales was 88 and other was 37 for a total of 125 (just for better comparability purposes and so that Cacique's 4Q number is not negative)</t>
        </r>
      </text>
    </comment>
    <comment ref="BZ49" authorId="2">
      <text>
        <r>
          <rPr>
            <b/>
            <sz val="8"/>
            <color indexed="81"/>
            <rFont val="Tahoma"/>
            <family val="2"/>
          </rPr>
          <t>dliu:</t>
        </r>
        <r>
          <rPr>
            <sz val="8"/>
            <color indexed="81"/>
            <rFont val="Tahoma"/>
            <family val="2"/>
          </rPr>
          <t xml:space="preserve">
Includes a $68 mm charge related to the closing of the Cacique biz effective Jan 31, 98.</t>
        </r>
      </text>
    </comment>
    <comment ref="CC49" authorId="2">
      <text>
        <r>
          <rPr>
            <b/>
            <sz val="8"/>
            <color indexed="81"/>
            <rFont val="Tahoma"/>
            <family val="2"/>
          </rPr>
          <t>dliu:</t>
        </r>
        <r>
          <rPr>
            <sz val="8"/>
            <color indexed="81"/>
            <rFont val="Tahoma"/>
            <family val="2"/>
          </rPr>
          <t xml:space="preserve">
includes special and non-recurring charges of $187 mm relat'g to the closure of 5 out of 6 Henri Bendel stores and charges assoc w/ asset valuat'n impairmt and the closure and downsiz'g of certain stores, plus $13 mm in inventory liquidat'n charges assoc w/ the Henri Bendel closings.</t>
        </r>
      </text>
    </comment>
    <comment ref="CG49" authorId="2">
      <text>
        <r>
          <rPr>
            <b/>
            <sz val="8"/>
            <color indexed="81"/>
            <rFont val="Tahoma"/>
            <family val="2"/>
          </rPr>
          <t>dliu:</t>
        </r>
        <r>
          <rPr>
            <sz val="8"/>
            <color indexed="81"/>
            <rFont val="Tahoma"/>
            <family val="2"/>
          </rPr>
          <t xml:space="preserve">
Incl $42 mm of special and non-recurring income related to the gain from the sale of approx. 1/2 of the Co's interest in Brylane, offset by a valuation adj. on an investmt.</t>
        </r>
      </text>
    </comment>
    <comment ref="CO49" authorId="2">
      <text>
        <r>
          <rPr>
            <b/>
            <sz val="8"/>
            <color indexed="81"/>
            <rFont val="Tahoma"/>
            <family val="2"/>
          </rPr>
          <t>dliu:</t>
        </r>
        <r>
          <rPr>
            <sz val="8"/>
            <color indexed="81"/>
            <rFont val="Tahoma"/>
            <family val="2"/>
          </rPr>
          <t xml:space="preserve">
1997 10-K shows $480, b/c it includes A&amp;F OM</t>
        </r>
      </text>
    </comment>
    <comment ref="CQ49" authorId="2">
      <text>
        <r>
          <rPr>
            <b/>
            <sz val="8"/>
            <color indexed="81"/>
            <rFont val="Tahoma"/>
            <family val="2"/>
          </rPr>
          <t>dliu:</t>
        </r>
        <r>
          <rPr>
            <sz val="8"/>
            <color indexed="81"/>
            <rFont val="Tahoma"/>
            <family val="2"/>
          </rPr>
          <t xml:space="preserve">
This margin does not tie to yrP&amp;L and qtrP&amp;L b/c segment data is only avail from 97 10-K, whereas consolidated income statemt data I got restated from the co. The restated info excluded charges. This rate IS close to the oper inc on yrP&amp;L which includes charges</t>
        </r>
      </text>
    </comment>
    <comment ref="AT52" authorId="2">
      <text>
        <r>
          <rPr>
            <b/>
            <sz val="8"/>
            <color indexed="81"/>
            <rFont val="Tahoma"/>
            <family val="2"/>
          </rPr>
          <t>dliu:</t>
        </r>
        <r>
          <rPr>
            <sz val="8"/>
            <color indexed="81"/>
            <rFont val="Tahoma"/>
            <family val="2"/>
          </rPr>
          <t xml:space="preserve">
Cacique closed eff Jan 31 98</t>
        </r>
      </text>
    </comment>
    <comment ref="CC52" authorId="2">
      <text>
        <r>
          <rPr>
            <b/>
            <sz val="8"/>
            <color indexed="81"/>
            <rFont val="Tahoma"/>
            <family val="2"/>
          </rPr>
          <t>dliu:</t>
        </r>
        <r>
          <rPr>
            <sz val="8"/>
            <color indexed="81"/>
            <rFont val="Tahoma"/>
            <family val="2"/>
          </rPr>
          <t xml:space="preserve">
incl $5 mm charge </t>
        </r>
      </text>
    </comment>
    <comment ref="CG52" authorId="2">
      <text>
        <r>
          <rPr>
            <b/>
            <sz val="8"/>
            <color indexed="81"/>
            <rFont val="Tahoma"/>
            <family val="2"/>
          </rPr>
          <t>dliu:</t>
        </r>
        <r>
          <rPr>
            <sz val="8"/>
            <color indexed="81"/>
            <rFont val="Tahoma"/>
            <family val="2"/>
          </rPr>
          <t xml:space="preserve">
incl $94 mm from special and non-recurring items</t>
        </r>
      </text>
    </comment>
    <comment ref="AU53" authorId="2">
      <text>
        <r>
          <rPr>
            <b/>
            <sz val="8"/>
            <color indexed="81"/>
            <rFont val="Tahoma"/>
            <family val="2"/>
          </rPr>
          <t>dliu:</t>
        </r>
        <r>
          <rPr>
            <sz val="8"/>
            <color indexed="81"/>
            <rFont val="Tahoma"/>
            <family val="2"/>
          </rPr>
          <t xml:space="preserve">
5 of 6 stores closed at end 97</t>
        </r>
      </text>
    </comment>
    <comment ref="AV53" authorId="2">
      <text>
        <r>
          <rPr>
            <b/>
            <sz val="8"/>
            <color indexed="81"/>
            <rFont val="Tahoma"/>
            <family val="2"/>
          </rPr>
          <t>dliu:</t>
        </r>
        <r>
          <rPr>
            <sz val="8"/>
            <color indexed="81"/>
            <rFont val="Tahoma"/>
            <family val="2"/>
          </rPr>
          <t xml:space="preserve">
A&amp;F split off eff 5/19/98 via tax-free exchange offer. Results up to this date included in financial statements</t>
        </r>
      </text>
    </comment>
    <comment ref="AX53" authorId="2">
      <text>
        <r>
          <rPr>
            <b/>
            <sz val="8"/>
            <color indexed="81"/>
            <rFont val="Tahoma"/>
            <family val="2"/>
          </rPr>
          <t>dliu:</t>
        </r>
        <r>
          <rPr>
            <sz val="8"/>
            <color indexed="81"/>
            <rFont val="Tahoma"/>
            <family val="2"/>
          </rPr>
          <t xml:space="preserve">
$27 attributed to 'Mast and other'. </t>
        </r>
      </text>
    </comment>
    <comment ref="CK53" authorId="2">
      <text>
        <r>
          <rPr>
            <b/>
            <sz val="8"/>
            <color indexed="81"/>
            <rFont val="Tahoma"/>
            <family val="2"/>
          </rPr>
          <t>dliu:</t>
        </r>
        <r>
          <rPr>
            <sz val="8"/>
            <color indexed="81"/>
            <rFont val="Tahoma"/>
            <family val="2"/>
          </rPr>
          <t xml:space="preserve">
ANF biz was split off May 19, 98. Results up to this date are incl in cons fin stmts</t>
        </r>
      </text>
    </comment>
    <comment ref="CO53" authorId="2">
      <text>
        <r>
          <rPr>
            <b/>
            <sz val="8"/>
            <color indexed="81"/>
            <rFont val="Tahoma"/>
            <family val="2"/>
          </rPr>
          <t>dliu:</t>
        </r>
        <r>
          <rPr>
            <sz val="8"/>
            <color indexed="81"/>
            <rFont val="Tahoma"/>
            <family val="2"/>
          </rPr>
          <t xml:space="preserve">
includes $1,651 in special and non-recurring items. This number does not match qtr P&amp;L b/c qtr P&amp;L data is restated data from the co, whereas this segment data is un-restated and from the 10-Q</t>
        </r>
      </text>
    </comment>
    <comment ref="CO54" authorId="2">
      <text>
        <r>
          <rPr>
            <b/>
            <sz val="8"/>
            <color indexed="81"/>
            <rFont val="Tahoma"/>
            <family val="2"/>
          </rPr>
          <t>dliu:</t>
        </r>
        <r>
          <rPr>
            <sz val="8"/>
            <color indexed="81"/>
            <rFont val="Tahoma"/>
            <family val="2"/>
          </rPr>
          <t xml:space="preserve">
includes $1,651 in special and non-recurring items. This number does not match qtr P&amp;L b/c qtr P&amp;L data is restated data from the co, whereas this segment data is un-restated and from the 10-Q</t>
        </r>
      </text>
    </comment>
    <comment ref="CC56" authorId="2">
      <text>
        <r>
          <rPr>
            <b/>
            <sz val="8"/>
            <color indexed="81"/>
            <rFont val="Tahoma"/>
            <family val="2"/>
          </rPr>
          <t>dliu:</t>
        </r>
        <r>
          <rPr>
            <sz val="8"/>
            <color indexed="81"/>
            <rFont val="Tahoma"/>
            <family val="2"/>
          </rPr>
          <t xml:space="preserve">
this is Apparel Brands: Express, Lerner, Lane Bryant, Limited, Structure, Limited Too, and Mast</t>
        </r>
      </text>
    </comment>
    <comment ref="CI56" authorId="2">
      <text>
        <r>
          <rPr>
            <b/>
            <sz val="8"/>
            <color indexed="81"/>
            <rFont val="Tahoma"/>
            <family val="2"/>
          </rPr>
          <t>dliu:</t>
        </r>
        <r>
          <rPr>
            <sz val="8"/>
            <color indexed="81"/>
            <rFont val="Tahoma"/>
            <family val="2"/>
          </rPr>
          <t xml:space="preserve">
excludes ANF sales. Includes Other (principally Mast), Galyan's, Other, and Limited Too</t>
        </r>
      </text>
    </comment>
    <comment ref="CO56" authorId="2">
      <text>
        <r>
          <rPr>
            <b/>
            <sz val="8"/>
            <color indexed="81"/>
            <rFont val="Tahoma"/>
            <family val="2"/>
          </rPr>
          <t>dliu:</t>
        </r>
        <r>
          <rPr>
            <sz val="8"/>
            <color indexed="81"/>
            <rFont val="Tahoma"/>
            <family val="2"/>
          </rPr>
          <t xml:space="preserve">
Again, doesn't match to qtr P&amp;L and yr P&amp;L b/c this data is from 98 10-K and P&amp;L data is from co</t>
        </r>
      </text>
    </comment>
    <comment ref="AJ59" authorId="2">
      <text>
        <r>
          <rPr>
            <b/>
            <sz val="8"/>
            <color indexed="81"/>
            <rFont val="Tahoma"/>
            <family val="2"/>
          </rPr>
          <t>dliu:</t>
        </r>
        <r>
          <rPr>
            <sz val="8"/>
            <color indexed="81"/>
            <rFont val="Tahoma"/>
            <family val="2"/>
          </rPr>
          <t xml:space="preserve">
this is from one of the co spreadsheets given to me by Amie P; not directly comparable to prior years data which I got from 10-Ks and Qs. Just filling in to get a rough gauge of sales productivity</t>
        </r>
      </text>
    </comment>
    <comment ref="AK59" authorId="2">
      <text>
        <r>
          <rPr>
            <b/>
            <sz val="8"/>
            <color indexed="81"/>
            <rFont val="Tahoma"/>
            <family val="2"/>
          </rPr>
          <t>dliu:</t>
        </r>
        <r>
          <rPr>
            <sz val="8"/>
            <color indexed="81"/>
            <rFont val="Tahoma"/>
            <family val="2"/>
          </rPr>
          <t xml:space="preserve">
this is from one of the co spreadsheets given to me by Amie P; not directly comparable to prior years data which I got from 10-Ks and Qs. Just filling in to get a rough gauge of sales productivity</t>
        </r>
      </text>
    </comment>
    <comment ref="AO59" authorId="2">
      <text>
        <r>
          <rPr>
            <b/>
            <sz val="8"/>
            <color indexed="81"/>
            <rFont val="Tahoma"/>
            <family val="2"/>
          </rPr>
          <t>dliu:</t>
        </r>
        <r>
          <rPr>
            <sz val="8"/>
            <color indexed="81"/>
            <rFont val="Tahoma"/>
            <family val="2"/>
          </rPr>
          <t xml:space="preserve">
this is from one of the co spreadsheets given to me by Amie P; not directly comparable to prior years data which I got from 10-Ks and Qs. Just filling in to get a rough gauge of sales productivity</t>
        </r>
      </text>
    </comment>
    <comment ref="DC84" authorId="2">
      <text>
        <r>
          <rPr>
            <b/>
            <sz val="8"/>
            <color indexed="81"/>
            <rFont val="Tahoma"/>
            <family val="2"/>
          </rPr>
          <t>dliu:</t>
        </r>
        <r>
          <rPr>
            <sz val="8"/>
            <color indexed="81"/>
            <rFont val="Tahoma"/>
            <family val="2"/>
          </rPr>
          <t xml:space="preserve">
from 4Q02 cc: 02 BBW mgn down over 300 bps: 1/2 of decline attrib'd to mdse mgn decline (largely driven by higher promo activity but also mix shift from higher mgn to lower mgn products). E.g. home fragrance has lower mgn than some of other categories. Rest was deleveraging of B+O on neg comp</t>
        </r>
      </text>
    </comment>
    <comment ref="EC84" authorId="2">
      <text>
        <r>
          <rPr>
            <b/>
            <sz val="8"/>
            <color indexed="81"/>
            <rFont val="Tahoma"/>
            <family val="2"/>
          </rPr>
          <t>dliu:</t>
        </r>
        <r>
          <rPr>
            <sz val="8"/>
            <color indexed="81"/>
            <rFont val="Tahoma"/>
            <family val="2"/>
          </rPr>
          <t xml:space="preserve">
non-cash charge related to recombination of IBI</t>
        </r>
      </text>
    </comment>
    <comment ref="DB87" authorId="2">
      <text>
        <r>
          <rPr>
            <b/>
            <sz val="8"/>
            <color indexed="81"/>
            <rFont val="Tahoma"/>
            <family val="2"/>
          </rPr>
          <t>dliu:</t>
        </r>
        <r>
          <rPr>
            <sz val="8"/>
            <color indexed="81"/>
            <rFont val="Tahoma"/>
            <family val="2"/>
          </rPr>
          <t xml:space="preserve">
GM decline driven by additional direct-mail prog and changes in sales mix</t>
        </r>
      </text>
    </comment>
    <comment ref="DI87" authorId="2">
      <text>
        <r>
          <rPr>
            <b/>
            <sz val="8"/>
            <color indexed="81"/>
            <rFont val="Tahoma"/>
            <family val="2"/>
          </rPr>
          <t>dliu:</t>
        </r>
        <r>
          <rPr>
            <sz val="8"/>
            <color indexed="81"/>
            <rFont val="Tahoma"/>
            <family val="2"/>
          </rPr>
          <t xml:space="preserve">
1Q03 cc: Op inc for Express was 40% lower than LY, a large portion of which was lost in Feb. Remainder of profit decline was driven by MD to liquidate underperform'g sweater and denim styles in women's.</t>
        </r>
      </text>
    </comment>
    <comment ref="DT87" authorId="2">
      <text>
        <r>
          <rPr>
            <b/>
            <sz val="8"/>
            <color indexed="81"/>
            <rFont val="Tahoma"/>
            <family val="2"/>
          </rPr>
          <t>dliu:</t>
        </r>
        <r>
          <rPr>
            <sz val="8"/>
            <color indexed="81"/>
            <rFont val="Tahoma"/>
            <family val="2"/>
          </rPr>
          <t xml:space="preserve">
PLUG</t>
        </r>
      </text>
    </comment>
    <comment ref="CV88" authorId="2">
      <text>
        <r>
          <rPr>
            <b/>
            <sz val="8"/>
            <color indexed="81"/>
            <rFont val="Tahoma"/>
            <family val="2"/>
          </rPr>
          <t>dliu:</t>
        </r>
        <r>
          <rPr>
            <sz val="8"/>
            <color indexed="81"/>
            <rFont val="Tahoma"/>
            <family val="2"/>
          </rPr>
          <t xml:space="preserve">
had 15.0% and $139 mm</t>
        </r>
      </text>
    </comment>
    <comment ref="DC88" authorId="2">
      <text>
        <r>
          <rPr>
            <b/>
            <sz val="8"/>
            <color indexed="81"/>
            <rFont val="Tahoma"/>
            <family val="2"/>
          </rPr>
          <t>dliu:</t>
        </r>
        <r>
          <rPr>
            <sz val="8"/>
            <color indexed="81"/>
            <rFont val="Tahoma"/>
            <family val="2"/>
          </rPr>
          <t xml:space="preserve">
Mdse mgns were down from LY in May. Mdse mgn up in June from LY b.c not as much MD, in July also better but b/c LY were liquidating a no. of items to relaunch in the Fall. So can't really judge what mdse mgns will be like in 2H03. Need 3-4% comp to lvg buying and occupancy. Incremental direct mail piece in 3Q that will likely pressure margins, and it really depends on how the new launches do (Benefits and Pure Simplicity). Co. projecting good holiday season but not robust.
8/21/03: had 8.4% and 33mm</t>
        </r>
      </text>
    </comment>
    <comment ref="BE89" authorId="3">
      <text>
        <r>
          <rPr>
            <b/>
            <sz val="10"/>
            <color indexed="81"/>
            <rFont val="Tahoma"/>
            <family val="2"/>
          </rPr>
          <t>kgreenbe:</t>
        </r>
        <r>
          <rPr>
            <sz val="10"/>
            <color indexed="81"/>
            <rFont val="Tahoma"/>
            <family val="2"/>
          </rPr>
          <t xml:space="preserve">
240-250 for 2H03</t>
        </r>
      </text>
    </comment>
    <comment ref="CT89" authorId="2">
      <text>
        <r>
          <rPr>
            <b/>
            <sz val="8"/>
            <color indexed="81"/>
            <rFont val="Tahoma"/>
            <family val="2"/>
          </rPr>
          <t>dliu:</t>
        </r>
        <r>
          <rPr>
            <sz val="8"/>
            <color indexed="81"/>
            <rFont val="Tahoma"/>
            <family val="2"/>
          </rPr>
          <t xml:space="preserve">
had 66M and 9.0%</t>
        </r>
      </text>
    </comment>
    <comment ref="DA89" authorId="2">
      <text>
        <r>
          <rPr>
            <b/>
            <sz val="8"/>
            <color indexed="81"/>
            <rFont val="Tahoma"/>
            <family val="2"/>
          </rPr>
          <t>dliu:</t>
        </r>
        <r>
          <rPr>
            <sz val="8"/>
            <color indexed="81"/>
            <rFont val="Tahoma"/>
            <family val="2"/>
          </rPr>
          <t xml:space="preserve">
Had $6M and 2.0%</t>
        </r>
      </text>
    </comment>
    <comment ref="DH89" authorId="2">
      <text>
        <r>
          <rPr>
            <b/>
            <sz val="8"/>
            <color indexed="81"/>
            <rFont val="Tahoma"/>
            <family val="2"/>
          </rPr>
          <t>dliu:</t>
        </r>
        <r>
          <rPr>
            <sz val="8"/>
            <color indexed="81"/>
            <rFont val="Tahoma"/>
            <family val="2"/>
          </rPr>
          <t xml:space="preserve">
had $0 M and 0%</t>
        </r>
      </text>
    </comment>
    <comment ref="DT89" authorId="2">
      <text>
        <r>
          <rPr>
            <b/>
            <sz val="8"/>
            <color indexed="81"/>
            <rFont val="Tahoma"/>
            <family val="2"/>
          </rPr>
          <t>dliu:</t>
        </r>
        <r>
          <rPr>
            <sz val="8"/>
            <color indexed="81"/>
            <rFont val="Tahoma"/>
            <family val="2"/>
          </rPr>
          <t xml:space="preserve">
had (30)M and (23)%</t>
        </r>
      </text>
    </comment>
    <comment ref="DC91" authorId="2">
      <text>
        <r>
          <rPr>
            <b/>
            <sz val="8"/>
            <color indexed="81"/>
            <rFont val="Tahoma"/>
            <family val="2"/>
          </rPr>
          <t>dliu:</t>
        </r>
        <r>
          <rPr>
            <sz val="8"/>
            <color indexed="81"/>
            <rFont val="Tahoma"/>
            <family val="2"/>
          </rPr>
          <t xml:space="preserve">
Co expects a pickup in mgn, certainly in fall. Don't expect same level of promotional activity and do think that there is AUR upside in some of new categories.</t>
        </r>
      </text>
    </comment>
    <comment ref="E97" authorId="4">
      <text>
        <r>
          <rPr>
            <b/>
            <sz val="8"/>
            <color indexed="81"/>
            <rFont val="Tahoma"/>
            <family val="2"/>
          </rPr>
          <t>Corinna Freedman:</t>
        </r>
        <r>
          <rPr>
            <sz val="8"/>
            <color indexed="81"/>
            <rFont val="Tahoma"/>
            <family val="2"/>
          </rPr>
          <t xml:space="preserve">
1118</t>
        </r>
      </text>
    </comment>
    <comment ref="K97" authorId="4">
      <text>
        <r>
          <rPr>
            <b/>
            <sz val="8"/>
            <color indexed="81"/>
            <rFont val="Tahoma"/>
            <family val="2"/>
          </rPr>
          <t>Corinna Freedman:</t>
        </r>
        <r>
          <rPr>
            <sz val="8"/>
            <color indexed="81"/>
            <rFont val="Tahoma"/>
            <family val="2"/>
          </rPr>
          <t xml:space="preserve">
348</t>
        </r>
      </text>
    </comment>
    <comment ref="W97" authorId="4">
      <text>
        <r>
          <rPr>
            <b/>
            <sz val="8"/>
            <color indexed="81"/>
            <rFont val="Tahoma"/>
            <family val="2"/>
          </rPr>
          <t>Corinna Freedman:</t>
        </r>
        <r>
          <rPr>
            <sz val="8"/>
            <color indexed="81"/>
            <rFont val="Tahoma"/>
            <family val="2"/>
          </rPr>
          <t xml:space="preserve">
1021</t>
        </r>
      </text>
    </comment>
    <comment ref="AL97" authorId="4">
      <text>
        <r>
          <rPr>
            <b/>
            <sz val="8"/>
            <color indexed="81"/>
            <rFont val="Tahoma"/>
            <family val="2"/>
          </rPr>
          <t>Corinna Freedman:</t>
        </r>
        <r>
          <rPr>
            <sz val="8"/>
            <color indexed="81"/>
            <rFont val="Tahoma"/>
            <family val="2"/>
          </rPr>
          <t xml:space="preserve">
539</t>
        </r>
      </text>
    </comment>
    <comment ref="AO97" authorId="4">
      <text>
        <r>
          <rPr>
            <b/>
            <sz val="8"/>
            <color indexed="81"/>
            <rFont val="Tahoma"/>
            <family val="2"/>
          </rPr>
          <t>Corinna Freedman:</t>
        </r>
        <r>
          <rPr>
            <sz val="8"/>
            <color indexed="81"/>
            <rFont val="Tahoma"/>
            <family val="2"/>
          </rPr>
          <t xml:space="preserve">
183</t>
        </r>
      </text>
    </comment>
    <comment ref="BE97" authorId="4">
      <text>
        <r>
          <rPr>
            <b/>
            <sz val="8"/>
            <color indexed="81"/>
            <rFont val="Tahoma"/>
            <family val="2"/>
          </rPr>
          <t>Corinna Freedman:</t>
        </r>
        <r>
          <rPr>
            <sz val="8"/>
            <color indexed="81"/>
            <rFont val="Tahoma"/>
            <family val="2"/>
          </rPr>
          <t xml:space="preserve">
161</t>
        </r>
      </text>
    </comment>
    <comment ref="CT97" authorId="4">
      <text>
        <r>
          <rPr>
            <b/>
            <sz val="8"/>
            <color indexed="81"/>
            <rFont val="Tahoma"/>
            <family val="2"/>
          </rPr>
          <t>Corinna Freedman:</t>
        </r>
        <r>
          <rPr>
            <sz val="8"/>
            <color indexed="81"/>
            <rFont val="Tahoma"/>
            <family val="2"/>
          </rPr>
          <t xml:space="preserve">
includes $23 million one-time charge related to certain lease related accounting matters
365</t>
        </r>
      </text>
    </comment>
    <comment ref="DA97" authorId="4">
      <text>
        <r>
          <rPr>
            <b/>
            <sz val="8"/>
            <color indexed="81"/>
            <rFont val="Tahoma"/>
            <family val="2"/>
          </rPr>
          <t>Corinna Freedman:</t>
        </r>
        <r>
          <rPr>
            <sz val="8"/>
            <color indexed="81"/>
            <rFont val="Tahoma"/>
            <family val="2"/>
          </rPr>
          <t xml:space="preserve">
includes $18 million one-time charge related to certain lease related accounting matters
325</t>
        </r>
      </text>
    </comment>
    <comment ref="DH97" authorId="4">
      <text>
        <r>
          <rPr>
            <b/>
            <sz val="8"/>
            <color indexed="81"/>
            <rFont val="Tahoma"/>
            <family val="2"/>
          </rPr>
          <t>Corinna Freedman:</t>
        </r>
        <r>
          <rPr>
            <sz val="8"/>
            <color indexed="81"/>
            <rFont val="Tahoma"/>
            <family val="2"/>
          </rPr>
          <t xml:space="preserve">
includes $20 million one-time charge related to certain lease related accounting matters
77</t>
        </r>
      </text>
    </comment>
    <comment ref="DT97" authorId="4">
      <text>
        <r>
          <rPr>
            <b/>
            <sz val="8"/>
            <color indexed="81"/>
            <rFont val="Tahoma"/>
            <family val="2"/>
          </rPr>
          <t>Corinna Freedman:</t>
        </r>
        <r>
          <rPr>
            <sz val="8"/>
            <color indexed="81"/>
            <rFont val="Tahoma"/>
            <family val="2"/>
          </rPr>
          <t xml:space="preserve">
-113</t>
        </r>
      </text>
    </comment>
    <comment ref="E101" authorId="4">
      <text>
        <r>
          <rPr>
            <b/>
            <sz val="8"/>
            <color indexed="81"/>
            <rFont val="Tahoma"/>
            <family val="2"/>
          </rPr>
          <t>Corinna Freedman:</t>
        </r>
        <r>
          <rPr>
            <sz val="8"/>
            <color indexed="81"/>
            <rFont val="Tahoma"/>
            <family val="2"/>
          </rPr>
          <t xml:space="preserve">
665</t>
        </r>
      </text>
    </comment>
    <comment ref="K101" authorId="4">
      <text>
        <r>
          <rPr>
            <b/>
            <sz val="8"/>
            <color indexed="81"/>
            <rFont val="Tahoma"/>
            <family val="2"/>
          </rPr>
          <t>Corinna Freedman:</t>
        </r>
        <r>
          <rPr>
            <sz val="8"/>
            <color indexed="81"/>
            <rFont val="Tahoma"/>
            <family val="2"/>
          </rPr>
          <t xml:space="preserve">
271</t>
        </r>
      </text>
    </comment>
    <comment ref="W101" authorId="4">
      <text>
        <r>
          <rPr>
            <b/>
            <sz val="8"/>
            <color indexed="81"/>
            <rFont val="Tahoma"/>
            <family val="2"/>
          </rPr>
          <t>Corinna Freedman:</t>
        </r>
        <r>
          <rPr>
            <sz val="8"/>
            <color indexed="81"/>
            <rFont val="Tahoma"/>
            <family val="2"/>
          </rPr>
          <t xml:space="preserve">
364</t>
        </r>
      </text>
    </comment>
    <comment ref="AL101" authorId="4">
      <text>
        <r>
          <rPr>
            <b/>
            <sz val="8"/>
            <color indexed="81"/>
            <rFont val="Tahoma"/>
            <family val="2"/>
          </rPr>
          <t>Corinna Freedman:</t>
        </r>
        <r>
          <rPr>
            <sz val="8"/>
            <color indexed="81"/>
            <rFont val="Tahoma"/>
            <family val="2"/>
          </rPr>
          <t xml:space="preserve">
377</t>
        </r>
      </text>
    </comment>
    <comment ref="AP101" authorId="4">
      <text>
        <r>
          <rPr>
            <b/>
            <sz val="8"/>
            <color indexed="81"/>
            <rFont val="Tahoma"/>
            <family val="2"/>
          </rPr>
          <t>Corinna Freedman:</t>
        </r>
        <r>
          <rPr>
            <sz val="8"/>
            <color indexed="81"/>
            <rFont val="Tahoma"/>
            <family val="2"/>
          </rPr>
          <t xml:space="preserve">
503</t>
        </r>
      </text>
    </comment>
    <comment ref="BE101" authorId="4">
      <text>
        <r>
          <rPr>
            <b/>
            <sz val="8"/>
            <color indexed="81"/>
            <rFont val="Tahoma"/>
            <family val="2"/>
          </rPr>
          <t>Corinna Freedman:</t>
        </r>
        <r>
          <rPr>
            <sz val="8"/>
            <color indexed="81"/>
            <rFont val="Tahoma"/>
            <family val="2"/>
          </rPr>
          <t xml:space="preserve">
130</t>
        </r>
      </text>
    </comment>
    <comment ref="BI101" authorId="4">
      <text>
        <r>
          <rPr>
            <b/>
            <sz val="8"/>
            <color indexed="81"/>
            <rFont val="Tahoma"/>
            <family val="2"/>
          </rPr>
          <t>Corinna Freedman:</t>
        </r>
        <r>
          <rPr>
            <sz val="8"/>
            <color indexed="81"/>
            <rFont val="Tahoma"/>
            <family val="2"/>
          </rPr>
          <t xml:space="preserve">
1933</t>
        </r>
      </text>
    </comment>
    <comment ref="E102" authorId="4">
      <text>
        <r>
          <rPr>
            <b/>
            <sz val="8"/>
            <color indexed="81"/>
            <rFont val="Tahoma"/>
            <family val="2"/>
          </rPr>
          <t>Corinna Freedman:</t>
        </r>
        <r>
          <rPr>
            <sz val="8"/>
            <color indexed="81"/>
            <rFont val="Tahoma"/>
            <family val="2"/>
          </rPr>
          <t xml:space="preserve">
753</t>
        </r>
      </text>
    </comment>
    <comment ref="AL102" authorId="4">
      <text>
        <r>
          <rPr>
            <b/>
            <sz val="8"/>
            <color indexed="81"/>
            <rFont val="Tahoma"/>
            <family val="2"/>
          </rPr>
          <t>Corinna Freedman:</t>
        </r>
        <r>
          <rPr>
            <sz val="8"/>
            <color indexed="81"/>
            <rFont val="Tahoma"/>
            <family val="2"/>
          </rPr>
          <t xml:space="preserve">
417</t>
        </r>
      </text>
    </comment>
    <comment ref="AO102" authorId="4">
      <text>
        <r>
          <rPr>
            <b/>
            <sz val="8"/>
            <color indexed="81"/>
            <rFont val="Tahoma"/>
            <family val="2"/>
          </rPr>
          <t>Corinna Freedman:</t>
        </r>
        <r>
          <rPr>
            <sz val="8"/>
            <color indexed="81"/>
            <rFont val="Tahoma"/>
            <family val="2"/>
          </rPr>
          <t xml:space="preserve">
137</t>
        </r>
      </text>
    </comment>
    <comment ref="BE102" authorId="4">
      <text>
        <r>
          <rPr>
            <b/>
            <sz val="8"/>
            <color indexed="81"/>
            <rFont val="Tahoma"/>
            <family val="2"/>
          </rPr>
          <t>Corinna Freedman:</t>
        </r>
        <r>
          <rPr>
            <sz val="8"/>
            <color indexed="81"/>
            <rFont val="Tahoma"/>
            <family val="2"/>
          </rPr>
          <t xml:space="preserve">
130
</t>
        </r>
      </text>
    </comment>
    <comment ref="E103" authorId="4">
      <text>
        <r>
          <rPr>
            <b/>
            <sz val="8"/>
            <color indexed="81"/>
            <rFont val="Tahoma"/>
            <family val="2"/>
          </rPr>
          <t>Corinna Freedman:</t>
        </r>
        <r>
          <rPr>
            <sz val="8"/>
            <color indexed="81"/>
            <rFont val="Tahoma"/>
            <family val="2"/>
          </rPr>
          <t xml:space="preserve">
622</t>
        </r>
      </text>
    </comment>
    <comment ref="K103" authorId="4">
      <text>
        <r>
          <rPr>
            <b/>
            <sz val="8"/>
            <color indexed="81"/>
            <rFont val="Tahoma"/>
            <family val="2"/>
          </rPr>
          <t>Corinna Freedman:</t>
        </r>
        <r>
          <rPr>
            <sz val="8"/>
            <color indexed="81"/>
            <rFont val="Tahoma"/>
            <family val="2"/>
          </rPr>
          <t xml:space="preserve">
208</t>
        </r>
      </text>
    </comment>
    <comment ref="W103" authorId="4">
      <text>
        <r>
          <rPr>
            <b/>
            <sz val="8"/>
            <color indexed="81"/>
            <rFont val="Tahoma"/>
            <family val="2"/>
          </rPr>
          <t>Corinna Freedman:</t>
        </r>
        <r>
          <rPr>
            <sz val="8"/>
            <color indexed="81"/>
            <rFont val="Tahoma"/>
            <family val="2"/>
          </rPr>
          <t xml:space="preserve">
356</t>
        </r>
      </text>
    </comment>
    <comment ref="AL103" authorId="4">
      <text>
        <r>
          <rPr>
            <b/>
            <sz val="8"/>
            <color indexed="81"/>
            <rFont val="Tahoma"/>
            <family val="2"/>
          </rPr>
          <t>Corinna Freedman:</t>
        </r>
        <r>
          <rPr>
            <sz val="8"/>
            <color indexed="81"/>
            <rFont val="Tahoma"/>
            <family val="2"/>
          </rPr>
          <t xml:space="preserve">
433</t>
        </r>
      </text>
    </comment>
    <comment ref="AO103" authorId="4">
      <text>
        <r>
          <rPr>
            <b/>
            <sz val="8"/>
            <color indexed="81"/>
            <rFont val="Tahoma"/>
            <family val="2"/>
          </rPr>
          <t>Corinna Freedman:</t>
        </r>
        <r>
          <rPr>
            <sz val="8"/>
            <color indexed="81"/>
            <rFont val="Tahoma"/>
            <family val="2"/>
          </rPr>
          <t xml:space="preserve">
136</t>
        </r>
      </text>
    </comment>
    <comment ref="BE103" authorId="4">
      <text>
        <r>
          <rPr>
            <b/>
            <sz val="8"/>
            <color indexed="81"/>
            <rFont val="Tahoma"/>
            <family val="2"/>
          </rPr>
          <t>Corinna Freedman:</t>
        </r>
        <r>
          <rPr>
            <sz val="8"/>
            <color indexed="81"/>
            <rFont val="Tahoma"/>
            <family val="2"/>
          </rPr>
          <t xml:space="preserve">
133</t>
        </r>
      </text>
    </comment>
    <comment ref="E104" authorId="5">
      <text>
        <r>
          <rPr>
            <b/>
            <sz val="8"/>
            <color indexed="81"/>
            <rFont val="Tahoma"/>
            <family val="2"/>
          </rPr>
          <t>MB33100:</t>
        </r>
        <r>
          <rPr>
            <sz val="8"/>
            <color indexed="81"/>
            <rFont val="Tahoma"/>
            <family val="2"/>
          </rPr>
          <t xml:space="preserve">
1156</t>
        </r>
      </text>
    </comment>
    <comment ref="K104" authorId="5">
      <text>
        <r>
          <rPr>
            <b/>
            <sz val="8"/>
            <color indexed="81"/>
            <rFont val="Tahoma"/>
            <family val="2"/>
          </rPr>
          <t>MB33100:</t>
        </r>
        <r>
          <rPr>
            <sz val="8"/>
            <color indexed="81"/>
            <rFont val="Tahoma"/>
            <family val="2"/>
          </rPr>
          <t xml:space="preserve">
382
</t>
        </r>
      </text>
    </comment>
    <comment ref="W104" authorId="5">
      <text>
        <r>
          <rPr>
            <b/>
            <sz val="8"/>
            <color indexed="81"/>
            <rFont val="Tahoma"/>
            <family val="2"/>
          </rPr>
          <t>MB33100:</t>
        </r>
        <r>
          <rPr>
            <sz val="8"/>
            <color indexed="81"/>
            <rFont val="Tahoma"/>
            <family val="2"/>
          </rPr>
          <t xml:space="preserve">
2/26/06 number already reduced by gift card breakage of $15.8mm
est 1027</t>
        </r>
      </text>
    </comment>
    <comment ref="AL104" authorId="5">
      <text>
        <r>
          <rPr>
            <b/>
            <sz val="8"/>
            <color indexed="81"/>
            <rFont val="Tahoma"/>
            <family val="2"/>
          </rPr>
          <t>MB33100:</t>
        </r>
        <r>
          <rPr>
            <sz val="8"/>
            <color indexed="81"/>
            <rFont val="Tahoma"/>
            <family val="2"/>
          </rPr>
          <t xml:space="preserve">
2/22/06 number already reduced by $14.6mm gift card breakage
est 582</t>
        </r>
      </text>
    </comment>
    <comment ref="AO104" authorId="5">
      <text>
        <r>
          <rPr>
            <b/>
            <sz val="8"/>
            <color indexed="81"/>
            <rFont val="Tahoma"/>
            <family val="2"/>
          </rPr>
          <t>MB33100:</t>
        </r>
        <r>
          <rPr>
            <sz val="8"/>
            <color indexed="81"/>
            <rFont val="Tahoma"/>
            <family val="2"/>
          </rPr>
          <t xml:space="preserve">
169</t>
        </r>
      </text>
    </comment>
    <comment ref="AP104" authorId="6">
      <text>
        <r>
          <rPr>
            <b/>
            <sz val="8"/>
            <color indexed="81"/>
            <rFont val="Tahoma"/>
            <family val="2"/>
          </rPr>
          <t>mm98285:</t>
        </r>
        <r>
          <rPr>
            <sz val="8"/>
            <color indexed="81"/>
            <rFont val="Tahoma"/>
            <family val="2"/>
          </rPr>
          <t xml:space="preserve">
adjusted from $746.124</t>
        </r>
      </text>
    </comment>
    <comment ref="BE104" authorId="5">
      <text>
        <r>
          <rPr>
            <b/>
            <sz val="8"/>
            <color indexed="81"/>
            <rFont val="Tahoma"/>
            <family val="2"/>
          </rPr>
          <t>MB33100:</t>
        </r>
        <r>
          <rPr>
            <sz val="8"/>
            <color indexed="81"/>
            <rFont val="Tahoma"/>
            <family val="2"/>
          </rPr>
          <t xml:space="preserve">
144</t>
        </r>
      </text>
    </comment>
    <comment ref="CT104" authorId="7">
      <text>
        <r>
          <rPr>
            <b/>
            <sz val="8"/>
            <color indexed="81"/>
            <rFont val="Tahoma"/>
            <family val="2"/>
          </rPr>
          <t>kg51925:</t>
        </r>
        <r>
          <rPr>
            <sz val="8"/>
            <color indexed="81"/>
            <rFont val="Tahoma"/>
            <family val="2"/>
          </rPr>
          <t xml:space="preserve">
395</t>
        </r>
      </text>
    </comment>
    <comment ref="DA104" authorId="7">
      <text>
        <r>
          <rPr>
            <b/>
            <sz val="8"/>
            <color indexed="81"/>
            <rFont val="Tahoma"/>
            <family val="2"/>
          </rPr>
          <t>kg51925:</t>
        </r>
        <r>
          <rPr>
            <sz val="8"/>
            <color indexed="81"/>
            <rFont val="Tahoma"/>
            <family val="2"/>
          </rPr>
          <t xml:space="preserve">
2/26/06 reduced by gift card breakage $15.8mm
est 341</t>
        </r>
      </text>
    </comment>
    <comment ref="DC104" authorId="7">
      <text>
        <r>
          <rPr>
            <b/>
            <sz val="8"/>
            <color indexed="81"/>
            <rFont val="Tahoma"/>
            <family val="2"/>
          </rPr>
          <t>kg51925:</t>
        </r>
        <r>
          <rPr>
            <sz val="8"/>
            <color indexed="81"/>
            <rFont val="Tahoma"/>
            <family val="2"/>
          </rPr>
          <t xml:space="preserve">
33% est</t>
        </r>
      </text>
    </comment>
    <comment ref="DH104" authorId="7">
      <text>
        <r>
          <rPr>
            <b/>
            <sz val="8"/>
            <color indexed="81"/>
            <rFont val="Tahoma"/>
            <family val="2"/>
          </rPr>
          <t>kg51925:</t>
        </r>
        <r>
          <rPr>
            <sz val="8"/>
            <color indexed="81"/>
            <rFont val="Tahoma"/>
            <family val="2"/>
          </rPr>
          <t xml:space="preserve">
2/22/06 reduced by $14.6mm gift card breakage at Express
est $0</t>
        </r>
      </text>
    </comment>
    <comment ref="DJ104" authorId="7">
      <text>
        <r>
          <rPr>
            <b/>
            <sz val="8"/>
            <color indexed="81"/>
            <rFont val="Tahoma"/>
            <family val="2"/>
          </rPr>
          <t>kg51925:</t>
        </r>
        <r>
          <rPr>
            <sz val="8"/>
            <color indexed="81"/>
            <rFont val="Tahoma"/>
            <family val="2"/>
          </rPr>
          <t xml:space="preserve">
est 0%</t>
        </r>
      </text>
    </comment>
    <comment ref="E108" authorId="4">
      <text>
        <r>
          <rPr>
            <b/>
            <sz val="8"/>
            <color indexed="81"/>
            <rFont val="Tahoma"/>
            <family val="2"/>
          </rPr>
          <t>Corinna Freedman:</t>
        </r>
        <r>
          <rPr>
            <sz val="8"/>
            <color indexed="81"/>
            <rFont val="Tahoma"/>
            <family val="2"/>
          </rPr>
          <t xml:space="preserve">
665</t>
        </r>
      </text>
    </comment>
    <comment ref="K108" authorId="4">
      <text>
        <r>
          <rPr>
            <b/>
            <sz val="8"/>
            <color indexed="81"/>
            <rFont val="Tahoma"/>
            <family val="2"/>
          </rPr>
          <t>Corinna Freedman:</t>
        </r>
        <r>
          <rPr>
            <sz val="8"/>
            <color indexed="81"/>
            <rFont val="Tahoma"/>
            <family val="2"/>
          </rPr>
          <t xml:space="preserve">
271</t>
        </r>
      </text>
    </comment>
    <comment ref="W108" authorId="4">
      <text>
        <r>
          <rPr>
            <b/>
            <sz val="8"/>
            <color indexed="81"/>
            <rFont val="Tahoma"/>
            <family val="2"/>
          </rPr>
          <t>Corinna Freedman:</t>
        </r>
        <r>
          <rPr>
            <sz val="8"/>
            <color indexed="81"/>
            <rFont val="Tahoma"/>
            <family val="2"/>
          </rPr>
          <t xml:space="preserve">
364</t>
        </r>
      </text>
    </comment>
    <comment ref="AL108" authorId="4">
      <text>
        <r>
          <rPr>
            <b/>
            <sz val="8"/>
            <color indexed="81"/>
            <rFont val="Tahoma"/>
            <family val="2"/>
          </rPr>
          <t>Corinna Freedman:</t>
        </r>
        <r>
          <rPr>
            <sz val="8"/>
            <color indexed="81"/>
            <rFont val="Tahoma"/>
            <family val="2"/>
          </rPr>
          <t xml:space="preserve">
377</t>
        </r>
      </text>
    </comment>
    <comment ref="AP108" authorId="4">
      <text>
        <r>
          <rPr>
            <b/>
            <sz val="8"/>
            <color indexed="81"/>
            <rFont val="Tahoma"/>
            <family val="2"/>
          </rPr>
          <t>Corinna Freedman:</t>
        </r>
        <r>
          <rPr>
            <sz val="8"/>
            <color indexed="81"/>
            <rFont val="Tahoma"/>
            <family val="2"/>
          </rPr>
          <t xml:space="preserve">
503</t>
        </r>
      </text>
    </comment>
    <comment ref="BE108" authorId="4">
      <text>
        <r>
          <rPr>
            <b/>
            <sz val="8"/>
            <color indexed="81"/>
            <rFont val="Tahoma"/>
            <family val="2"/>
          </rPr>
          <t>Corinna Freedman:</t>
        </r>
        <r>
          <rPr>
            <sz val="8"/>
            <color indexed="81"/>
            <rFont val="Tahoma"/>
            <family val="2"/>
          </rPr>
          <t xml:space="preserve">
130</t>
        </r>
      </text>
    </comment>
    <comment ref="BI108" authorId="4">
      <text>
        <r>
          <rPr>
            <b/>
            <sz val="8"/>
            <color indexed="81"/>
            <rFont val="Tahoma"/>
            <family val="2"/>
          </rPr>
          <t>Corinna Freedman:</t>
        </r>
        <r>
          <rPr>
            <sz val="8"/>
            <color indexed="81"/>
            <rFont val="Tahoma"/>
            <family val="2"/>
          </rPr>
          <t xml:space="preserve">
1933</t>
        </r>
      </text>
    </comment>
    <comment ref="E109" authorId="4">
      <text>
        <r>
          <rPr>
            <b/>
            <sz val="8"/>
            <color indexed="81"/>
            <rFont val="Tahoma"/>
            <family val="2"/>
          </rPr>
          <t>Corinna Freedman:</t>
        </r>
        <r>
          <rPr>
            <sz val="8"/>
            <color indexed="81"/>
            <rFont val="Tahoma"/>
            <family val="2"/>
          </rPr>
          <t xml:space="preserve">
753</t>
        </r>
      </text>
    </comment>
    <comment ref="AL109" authorId="4">
      <text>
        <r>
          <rPr>
            <b/>
            <sz val="8"/>
            <color indexed="81"/>
            <rFont val="Tahoma"/>
            <family val="2"/>
          </rPr>
          <t>Corinna Freedman:</t>
        </r>
        <r>
          <rPr>
            <sz val="8"/>
            <color indexed="81"/>
            <rFont val="Tahoma"/>
            <family val="2"/>
          </rPr>
          <t xml:space="preserve">
417</t>
        </r>
      </text>
    </comment>
    <comment ref="AO109" authorId="4">
      <text>
        <r>
          <rPr>
            <b/>
            <sz val="8"/>
            <color indexed="81"/>
            <rFont val="Tahoma"/>
            <family val="2"/>
          </rPr>
          <t>Corinna Freedman:</t>
        </r>
        <r>
          <rPr>
            <sz val="8"/>
            <color indexed="81"/>
            <rFont val="Tahoma"/>
            <family val="2"/>
          </rPr>
          <t xml:space="preserve">
137</t>
        </r>
      </text>
    </comment>
    <comment ref="BE109" authorId="4">
      <text>
        <r>
          <rPr>
            <b/>
            <sz val="8"/>
            <color indexed="81"/>
            <rFont val="Tahoma"/>
            <family val="2"/>
          </rPr>
          <t>Corinna Freedman:</t>
        </r>
        <r>
          <rPr>
            <sz val="8"/>
            <color indexed="81"/>
            <rFont val="Tahoma"/>
            <family val="2"/>
          </rPr>
          <t xml:space="preserve">
130
</t>
        </r>
      </text>
    </comment>
    <comment ref="E110" authorId="4">
      <text>
        <r>
          <rPr>
            <b/>
            <sz val="8"/>
            <color indexed="81"/>
            <rFont val="Tahoma"/>
            <family val="2"/>
          </rPr>
          <t>Corinna Freedman:</t>
        </r>
        <r>
          <rPr>
            <sz val="8"/>
            <color indexed="81"/>
            <rFont val="Tahoma"/>
            <family val="2"/>
          </rPr>
          <t xml:space="preserve">
622</t>
        </r>
      </text>
    </comment>
    <comment ref="K110" authorId="4">
      <text>
        <r>
          <rPr>
            <b/>
            <sz val="8"/>
            <color indexed="81"/>
            <rFont val="Tahoma"/>
            <family val="2"/>
          </rPr>
          <t>Corinna Freedman:</t>
        </r>
        <r>
          <rPr>
            <sz val="8"/>
            <color indexed="81"/>
            <rFont val="Tahoma"/>
            <family val="2"/>
          </rPr>
          <t xml:space="preserve">
208</t>
        </r>
      </text>
    </comment>
    <comment ref="W110" authorId="4">
      <text>
        <r>
          <rPr>
            <b/>
            <sz val="8"/>
            <color indexed="81"/>
            <rFont val="Tahoma"/>
            <family val="2"/>
          </rPr>
          <t>Corinna Freedman:</t>
        </r>
        <r>
          <rPr>
            <sz val="8"/>
            <color indexed="81"/>
            <rFont val="Tahoma"/>
            <family val="2"/>
          </rPr>
          <t xml:space="preserve">
356</t>
        </r>
      </text>
    </comment>
    <comment ref="AL110" authorId="4">
      <text>
        <r>
          <rPr>
            <b/>
            <sz val="8"/>
            <color indexed="81"/>
            <rFont val="Tahoma"/>
            <family val="2"/>
          </rPr>
          <t>Corinna Freedman:</t>
        </r>
        <r>
          <rPr>
            <sz val="8"/>
            <color indexed="81"/>
            <rFont val="Tahoma"/>
            <family val="2"/>
          </rPr>
          <t xml:space="preserve">
433</t>
        </r>
      </text>
    </comment>
    <comment ref="AO110" authorId="4">
      <text>
        <r>
          <rPr>
            <b/>
            <sz val="8"/>
            <color indexed="81"/>
            <rFont val="Tahoma"/>
            <family val="2"/>
          </rPr>
          <t>Corinna Freedman:</t>
        </r>
        <r>
          <rPr>
            <sz val="8"/>
            <color indexed="81"/>
            <rFont val="Tahoma"/>
            <family val="2"/>
          </rPr>
          <t xml:space="preserve">
136</t>
        </r>
      </text>
    </comment>
    <comment ref="BE110" authorId="4">
      <text>
        <r>
          <rPr>
            <b/>
            <sz val="8"/>
            <color indexed="81"/>
            <rFont val="Tahoma"/>
            <family val="2"/>
          </rPr>
          <t>Corinna Freedman:</t>
        </r>
        <r>
          <rPr>
            <sz val="8"/>
            <color indexed="81"/>
            <rFont val="Tahoma"/>
            <family val="2"/>
          </rPr>
          <t xml:space="preserve">
133</t>
        </r>
      </text>
    </comment>
    <comment ref="E111" authorId="5">
      <text>
        <r>
          <rPr>
            <b/>
            <sz val="8"/>
            <color indexed="81"/>
            <rFont val="Tahoma"/>
            <family val="2"/>
          </rPr>
          <t>MB33100:</t>
        </r>
        <r>
          <rPr>
            <sz val="8"/>
            <color indexed="81"/>
            <rFont val="Tahoma"/>
            <family val="2"/>
          </rPr>
          <t xml:space="preserve">
1156</t>
        </r>
      </text>
    </comment>
    <comment ref="K111" authorId="5">
      <text>
        <r>
          <rPr>
            <b/>
            <sz val="8"/>
            <color indexed="81"/>
            <rFont val="Tahoma"/>
            <family val="2"/>
          </rPr>
          <t>MB33100:</t>
        </r>
        <r>
          <rPr>
            <sz val="8"/>
            <color indexed="81"/>
            <rFont val="Tahoma"/>
            <family val="2"/>
          </rPr>
          <t xml:space="preserve">
382
</t>
        </r>
      </text>
    </comment>
    <comment ref="W111" authorId="5">
      <text>
        <r>
          <rPr>
            <b/>
            <sz val="8"/>
            <color indexed="81"/>
            <rFont val="Tahoma"/>
            <family val="2"/>
          </rPr>
          <t>MB33100:</t>
        </r>
        <r>
          <rPr>
            <sz val="8"/>
            <color indexed="81"/>
            <rFont val="Tahoma"/>
            <family val="2"/>
          </rPr>
          <t xml:space="preserve">
includes $15.8mm in gift card breakage
$1,027mm est.</t>
        </r>
      </text>
    </comment>
    <comment ref="AL111" authorId="5">
      <text>
        <r>
          <rPr>
            <b/>
            <sz val="8"/>
            <color indexed="81"/>
            <rFont val="Tahoma"/>
            <family val="2"/>
          </rPr>
          <t>MB33100:</t>
        </r>
        <r>
          <rPr>
            <sz val="8"/>
            <color indexed="81"/>
            <rFont val="Tahoma"/>
            <family val="2"/>
          </rPr>
          <t xml:space="preserve">
includes $14.6mm in gift card breakage
582</t>
        </r>
      </text>
    </comment>
    <comment ref="AO111" authorId="5">
      <text>
        <r>
          <rPr>
            <b/>
            <sz val="8"/>
            <color indexed="81"/>
            <rFont val="Tahoma"/>
            <family val="2"/>
          </rPr>
          <t>MB33100:</t>
        </r>
        <r>
          <rPr>
            <sz val="8"/>
            <color indexed="81"/>
            <rFont val="Tahoma"/>
            <family val="2"/>
          </rPr>
          <t xml:space="preserve">
169</t>
        </r>
      </text>
    </comment>
    <comment ref="AP111" authorId="7">
      <text>
        <r>
          <rPr>
            <b/>
            <sz val="8"/>
            <color indexed="81"/>
            <rFont val="Tahoma"/>
            <family val="2"/>
          </rPr>
          <t>kg51925:</t>
        </r>
        <r>
          <rPr>
            <sz val="8"/>
            <color indexed="81"/>
            <rFont val="Tahoma"/>
            <family val="2"/>
          </rPr>
          <t xml:space="preserve">
includes $14.578mm in gift card breakage gain
would have been $731.546mm without</t>
        </r>
      </text>
    </comment>
    <comment ref="BE111" authorId="5">
      <text>
        <r>
          <rPr>
            <b/>
            <sz val="8"/>
            <color indexed="81"/>
            <rFont val="Tahoma"/>
            <family val="2"/>
          </rPr>
          <t>MB33100:</t>
        </r>
        <r>
          <rPr>
            <sz val="8"/>
            <color indexed="81"/>
            <rFont val="Tahoma"/>
            <family val="2"/>
          </rPr>
          <t xml:space="preserve">
$27mm from Mast 3rd-party sales and other
144</t>
        </r>
      </text>
    </comment>
    <comment ref="BI111" authorId="7">
      <text>
        <r>
          <rPr>
            <b/>
            <sz val="8"/>
            <color indexed="81"/>
            <rFont val="Tahoma"/>
            <family val="2"/>
          </rPr>
          <t>kg51925:</t>
        </r>
        <r>
          <rPr>
            <sz val="8"/>
            <color indexed="81"/>
            <rFont val="Tahoma"/>
            <family val="2"/>
          </rPr>
          <t xml:space="preserve">
</t>
        </r>
        <r>
          <rPr>
            <sz val="8"/>
            <color indexed="81"/>
            <rFont val="Tahoma"/>
            <family val="2"/>
          </rPr>
          <t>2/22/06 Sales previously reported at $3.511 bil. Increased by $30.409mm to $3.542 bil due to gift card breakage. $15.8mm BBW plus $14.6mm Express.</t>
        </r>
      </text>
    </comment>
    <comment ref="DC111" authorId="7">
      <text>
        <r>
          <rPr>
            <b/>
            <sz val="8"/>
            <color indexed="81"/>
            <rFont val="Tahoma"/>
            <family val="2"/>
          </rPr>
          <t>kg51925:</t>
        </r>
        <r>
          <rPr>
            <sz val="8"/>
            <color indexed="81"/>
            <rFont val="Tahoma"/>
            <family val="2"/>
          </rPr>
          <t xml:space="preserve">
33% est</t>
        </r>
      </text>
    </comment>
    <comment ref="DH111" authorId="7">
      <text>
        <r>
          <rPr>
            <b/>
            <sz val="8"/>
            <color indexed="81"/>
            <rFont val="Tahoma"/>
            <family val="2"/>
          </rPr>
          <t>kg51925:</t>
        </r>
        <r>
          <rPr>
            <sz val="8"/>
            <color indexed="81"/>
            <rFont val="Tahoma"/>
            <family val="2"/>
          </rPr>
          <t xml:space="preserve">
Apparel 4Q05 would have been only $9.467mm profit if not for Gift Card breakage gain</t>
        </r>
      </text>
    </comment>
    <comment ref="DJ111" authorId="7">
      <text>
        <r>
          <rPr>
            <b/>
            <sz val="8"/>
            <color indexed="81"/>
            <rFont val="Tahoma"/>
            <family val="2"/>
          </rPr>
          <t>kg51925:</t>
        </r>
        <r>
          <rPr>
            <sz val="8"/>
            <color indexed="81"/>
            <rFont val="Tahoma"/>
            <family val="2"/>
          </rPr>
          <t xml:space="preserve">
est 0%</t>
        </r>
      </text>
    </comment>
    <comment ref="BE112" authorId="6">
      <text>
        <r>
          <rPr>
            <b/>
            <sz val="8"/>
            <color indexed="81"/>
            <rFont val="Tahoma"/>
            <family val="2"/>
          </rPr>
          <t>mm98285:</t>
        </r>
        <r>
          <rPr>
            <sz val="8"/>
            <color indexed="81"/>
            <rFont val="Tahoma"/>
            <family val="2"/>
          </rPr>
          <t xml:space="preserve">
$110mm from Mast 3rd-party sales and other</t>
        </r>
      </text>
    </comment>
    <comment ref="DH112" authorId="7">
      <text>
        <r>
          <rPr>
            <b/>
            <sz val="8"/>
            <color indexed="81"/>
            <rFont val="Tahoma"/>
            <family val="2"/>
          </rPr>
          <t>kg51925:</t>
        </r>
        <r>
          <rPr>
            <sz val="8"/>
            <color indexed="81"/>
            <rFont val="Tahoma"/>
            <family val="2"/>
          </rPr>
          <t xml:space="preserve">
Express lost $100mm
Limited stores lost $7mm
Exp Gift card breakage adj $14-15mm (benefit)</t>
        </r>
      </text>
    </comment>
    <comment ref="CT114" authorId="6">
      <text>
        <r>
          <rPr>
            <b/>
            <sz val="8"/>
            <color indexed="81"/>
            <rFont val="Tahoma"/>
            <family val="2"/>
          </rPr>
          <t>mm98285:</t>
        </r>
        <r>
          <rPr>
            <sz val="8"/>
            <color indexed="81"/>
            <rFont val="Tahoma"/>
            <family val="2"/>
          </rPr>
          <t xml:space="preserve">
restatement provided on 2/28/08</t>
        </r>
      </text>
    </comment>
    <comment ref="DU115" authorId="7">
      <text>
        <r>
          <rPr>
            <b/>
            <sz val="8"/>
            <color indexed="81"/>
            <rFont val="Tahoma"/>
            <family val="2"/>
          </rPr>
          <t>kg51925:</t>
        </r>
        <r>
          <rPr>
            <sz val="8"/>
            <color indexed="81"/>
            <rFont val="Tahoma"/>
            <family val="2"/>
          </rPr>
          <t xml:space="preserve">
2006 signif growth in Other due to following:
1-Incr incentive comp (no payout LY)
2-Tech initiatives across enterprise (Project Insight: Finance, Supply Chain, CRM)
3-VS Direct new DC &amp; new front end technology, some of which gets charged to the brand</t>
        </r>
      </text>
    </comment>
    <comment ref="DU116" authorId="7">
      <text>
        <r>
          <rPr>
            <b/>
            <sz val="8"/>
            <color indexed="81"/>
            <rFont val="Tahoma"/>
            <family val="2"/>
          </rPr>
          <t>kg51925:</t>
        </r>
        <r>
          <rPr>
            <sz val="8"/>
            <color indexed="81"/>
            <rFont val="Tahoma"/>
            <family val="2"/>
          </rPr>
          <t xml:space="preserve">
2006 signif growth in Other due to following:
1-Incr incentive comp (no payout LY)
2-Tech initiatives across enterprise (Project Insight: Finance, Supply Chain, CRM)
3-VS Direct new DC &amp; new front end technology, some of which gets charged to the brand</t>
        </r>
      </text>
    </comment>
    <comment ref="CV117" authorId="6">
      <text>
        <r>
          <rPr>
            <b/>
            <sz val="8"/>
            <color indexed="81"/>
            <rFont val="Tahoma"/>
            <family val="2"/>
          </rPr>
          <t>mm98285:</t>
        </r>
        <r>
          <rPr>
            <sz val="8"/>
            <color indexed="81"/>
            <rFont val="Tahoma"/>
            <family val="2"/>
          </rPr>
          <t xml:space="preserve">
GM decreased (invt's to incr. cust awareness) and incr marketing and store selling exp.</t>
        </r>
      </text>
    </comment>
    <comment ref="DC117" authorId="6">
      <text>
        <r>
          <rPr>
            <b/>
            <sz val="8"/>
            <color indexed="81"/>
            <rFont val="Tahoma"/>
            <family val="2"/>
          </rPr>
          <t>mm98285:</t>
        </r>
        <r>
          <rPr>
            <sz val="8"/>
            <color indexed="81"/>
            <rFont val="Tahoma"/>
            <family val="2"/>
          </rPr>
          <t xml:space="preserve">
sig. increase in GM (levrg on B&amp;O exp) &amp; modest levrg on gen/ admin exp on strong sales</t>
        </r>
      </text>
    </comment>
    <comment ref="DJ117" authorId="6">
      <text>
        <r>
          <rPr>
            <b/>
            <sz val="8"/>
            <color indexed="81"/>
            <rFont val="Tahoma"/>
            <family val="2"/>
          </rPr>
          <t>mm98285:</t>
        </r>
        <r>
          <rPr>
            <sz val="8"/>
            <color indexed="81"/>
            <rFont val="Tahoma"/>
            <family val="2"/>
          </rPr>
          <t xml:space="preserve">
sig. incrse in GM &amp; incr'd focus on inventory mgmt</t>
        </r>
      </text>
    </comment>
    <comment ref="DT117" authorId="7">
      <text>
        <r>
          <rPr>
            <b/>
            <sz val="8"/>
            <color indexed="81"/>
            <rFont val="Tahoma"/>
            <family val="2"/>
          </rPr>
          <t>kg51925:</t>
        </r>
        <r>
          <rPr>
            <sz val="8"/>
            <color indexed="81"/>
            <rFont val="Tahoma"/>
            <family val="2"/>
          </rPr>
          <t xml:space="preserve">
$80 for 3Q
$70 for 4Q</t>
        </r>
      </text>
    </comment>
    <comment ref="DU117" authorId="7">
      <text>
        <r>
          <rPr>
            <b/>
            <sz val="8"/>
            <color indexed="81"/>
            <rFont val="Tahoma"/>
            <family val="2"/>
          </rPr>
          <t>kg51925:</t>
        </r>
        <r>
          <rPr>
            <sz val="8"/>
            <color indexed="81"/>
            <rFont val="Tahoma"/>
            <family val="2"/>
          </rPr>
          <t xml:space="preserve">
2006 signif growth in Other due to following:
1-Incr incentive comp (no payout LY)
2-Tech initiatives across enterprise (Project Insight: Finance, Supply Chain, CRM)
3-VS Direct new DC &amp; new front end technology, some of which gets charged to the brand</t>
        </r>
      </text>
    </comment>
    <comment ref="N118" authorId="6">
      <text>
        <r>
          <rPr>
            <b/>
            <sz val="8"/>
            <color indexed="81"/>
            <rFont val="Tahoma"/>
            <family val="2"/>
          </rPr>
          <t>mm98285:</t>
        </r>
        <r>
          <rPr>
            <sz val="8"/>
            <color indexed="81"/>
            <rFont val="Tahoma"/>
            <family val="2"/>
          </rPr>
          <t xml:space="preserve">
represents sales subsequent to the closing of the La Senza acq on 1/12/07</t>
        </r>
      </text>
    </comment>
    <comment ref="CV118" authorId="6">
      <text>
        <r>
          <rPr>
            <b/>
            <sz val="8"/>
            <color indexed="81"/>
            <rFont val="Tahoma"/>
            <family val="2"/>
          </rPr>
          <t>mm98285:</t>
        </r>
        <r>
          <rPr>
            <sz val="8"/>
            <color indexed="81"/>
            <rFont val="Tahoma"/>
            <family val="2"/>
          </rPr>
          <t xml:space="preserve">
4/07: decline in merch margin (incrs MDs, promo direct mailings, shift in mix from core lingerie to Pink, loungewr, sleepwr &amp; exp of multiple pricing offer on panties) part offset by levge on buy &amp; occ</t>
        </r>
      </text>
    </comment>
    <comment ref="DC118" authorId="6">
      <text>
        <r>
          <rPr>
            <b/>
            <sz val="8"/>
            <color indexed="81"/>
            <rFont val="Tahoma"/>
            <family val="2"/>
          </rPr>
          <t>mm98285:</t>
        </r>
        <r>
          <rPr>
            <sz val="8"/>
            <color indexed="81"/>
            <rFont val="Tahoma"/>
            <family val="2"/>
          </rPr>
          <t xml:space="preserve">
4/07: decline in merch margin (incrs in promo transaction driving activity, better perf at semi-ann sale) part offset by levge on buy &amp; occ</t>
        </r>
      </text>
    </comment>
    <comment ref="DJ118" authorId="6">
      <text>
        <r>
          <rPr>
            <b/>
            <sz val="8"/>
            <color indexed="81"/>
            <rFont val="Tahoma"/>
            <family val="2"/>
          </rPr>
          <t>mm98285:</t>
        </r>
        <r>
          <rPr>
            <sz val="8"/>
            <color indexed="81"/>
            <rFont val="Tahoma"/>
            <family val="2"/>
          </rPr>
          <t xml:space="preserve">
4/07: incrs in merch margin (lower product costs &amp; reduced MDs) &amp; buy &amp; occ levge</t>
        </r>
      </text>
    </comment>
    <comment ref="DT118" authorId="7">
      <text>
        <r>
          <rPr>
            <b/>
            <sz val="8"/>
            <color indexed="81"/>
            <rFont val="Tahoma"/>
            <family val="2"/>
          </rPr>
          <t>kg51925:</t>
        </r>
        <r>
          <rPr>
            <sz val="8"/>
            <color indexed="81"/>
            <rFont val="Tahoma"/>
            <family val="2"/>
          </rPr>
          <t xml:space="preserve">
$80 for 3Q
$70 for 4Q</t>
        </r>
      </text>
    </comment>
    <comment ref="DU118" authorId="7">
      <text>
        <r>
          <rPr>
            <b/>
            <sz val="8"/>
            <color indexed="81"/>
            <rFont val="Tahoma"/>
            <family val="2"/>
          </rPr>
          <t>kg51925:</t>
        </r>
        <r>
          <rPr>
            <sz val="8"/>
            <color indexed="81"/>
            <rFont val="Tahoma"/>
            <family val="2"/>
          </rPr>
          <t xml:space="preserve">
2006 signif growth in Other due to following:
1-Incr incentive comp (no payout LY)
2-Tech initiatives across enterprise (Project Insight: Finance, Supply Chain, CRM)
3-VS Direct new DC &amp; new front end technology, some of which gets charged to the brand</t>
        </r>
      </text>
    </comment>
    <comment ref="N119" authorId="6">
      <text>
        <r>
          <rPr>
            <b/>
            <sz val="8"/>
            <color indexed="81"/>
            <rFont val="Tahoma"/>
            <family val="2"/>
          </rPr>
          <t>mm98285:</t>
        </r>
        <r>
          <rPr>
            <sz val="8"/>
            <color indexed="81"/>
            <rFont val="Tahoma"/>
            <family val="2"/>
          </rPr>
          <t xml:space="preserve">
US $364M reported</t>
        </r>
      </text>
    </comment>
    <comment ref="BE119" authorId="6">
      <text>
        <r>
          <rPr>
            <b/>
            <sz val="8"/>
            <color indexed="81"/>
            <rFont val="Tahoma"/>
            <family val="2"/>
          </rPr>
          <t>mm98285:</t>
        </r>
        <r>
          <rPr>
            <sz val="8"/>
            <color indexed="81"/>
            <rFont val="Tahoma"/>
            <family val="2"/>
          </rPr>
          <t xml:space="preserve">
10/07: 10K: Henri Bendel revenue of $42mm, Mast &amp; Beauty Avenue revenue of $650mm in 2006 = ~$692, Other $42mm is from JVs (i.e. N2N)</t>
        </r>
      </text>
    </comment>
    <comment ref="DT119" authorId="6">
      <text>
        <r>
          <rPr>
            <b/>
            <sz val="8"/>
            <color indexed="81"/>
            <rFont val="Tahoma"/>
            <family val="2"/>
          </rPr>
          <t>mm98285:</t>
        </r>
        <r>
          <rPr>
            <sz val="8"/>
            <color indexed="81"/>
            <rFont val="Tahoma"/>
            <family val="2"/>
          </rPr>
          <t xml:space="preserve">
9/08: Henri Bendel $(10)-$(15)mm loss, Corp Overhead ~$400mm, offset by Mast profit of $150 (or MSD op. margin on total revenue base of $3b - incl internal sales &amp; 3rd party) </t>
        </r>
        <r>
          <rPr>
            <b/>
            <sz val="8"/>
            <color indexed="81"/>
            <rFont val="Tahoma"/>
            <family val="2"/>
          </rPr>
          <t>=&gt; $260-$265mm</t>
        </r>
        <r>
          <rPr>
            <sz val="8"/>
            <color indexed="81"/>
            <rFont val="Tahoma"/>
            <family val="2"/>
          </rPr>
          <t>; restated to $121 given transfer of $143mm corporate expenses were transferred to VS ($79mm), BBW ($36mm) and Apparel ($28mm).
6/07: Mast Income: $175mm (total sales volume $3b -incl $700mm external sales- w/5-6% op mrgn)
3/06: Henri Bendels -10-15mm, Mast +100-150, Corporate Overhead -3.5-4% of sales (~-380m) (total mid-point est -$269m)</t>
        </r>
      </text>
    </comment>
    <comment ref="DU119" authorId="7">
      <text>
        <r>
          <rPr>
            <b/>
            <sz val="8"/>
            <color indexed="81"/>
            <rFont val="Tahoma"/>
            <family val="2"/>
          </rPr>
          <t>kg51925:</t>
        </r>
        <r>
          <rPr>
            <sz val="8"/>
            <color indexed="81"/>
            <rFont val="Tahoma"/>
            <family val="2"/>
          </rPr>
          <t xml:space="preserve">
2006 signif growth in Other due to following:
1-Incr incentive comp (no payout LY)
2-Tech initiatives across enterprise (Project Insight: Finance, Supply Chain, CRM)
3-VS Direct new DC &amp; new front end technology, some of which gets charged to the brand</t>
        </r>
      </text>
    </comment>
    <comment ref="BE122" authorId="6">
      <text>
        <r>
          <rPr>
            <b/>
            <sz val="8"/>
            <color indexed="81"/>
            <rFont val="Tahoma"/>
            <family val="2"/>
          </rPr>
          <t>mm98285:</t>
        </r>
        <r>
          <rPr>
            <sz val="8"/>
            <color indexed="81"/>
            <rFont val="Tahoma"/>
            <family val="2"/>
          </rPr>
          <t xml:space="preserve">
Over 50% of $35mm increase was due to an increase in Mast 3rd party sales.  The remainder was roughly equally split between Beauty Avenues 3rd party sales and sales from a fully consolidated personal care investment. </t>
        </r>
      </text>
    </comment>
    <comment ref="CV122" authorId="6">
      <text>
        <r>
          <rPr>
            <b/>
            <sz val="8"/>
            <color indexed="81"/>
            <rFont val="Tahoma"/>
            <family val="2"/>
          </rPr>
          <t>mm98285:</t>
        </r>
        <r>
          <rPr>
            <sz val="8"/>
            <color indexed="81"/>
            <rFont val="Tahoma"/>
            <family val="2"/>
          </rPr>
          <t xml:space="preserve">
Feb -sig, March -sig, April -sig</t>
        </r>
      </text>
    </comment>
    <comment ref="DC122" authorId="6">
      <text>
        <r>
          <rPr>
            <b/>
            <sz val="8"/>
            <color indexed="81"/>
            <rFont val="Tahoma"/>
            <family val="2"/>
          </rPr>
          <t>mm98285:</t>
        </r>
        <r>
          <rPr>
            <sz val="8"/>
            <color indexed="81"/>
            <rFont val="Tahoma"/>
            <family val="2"/>
          </rPr>
          <t xml:space="preserve">
Feb up, March down, April down</t>
        </r>
      </text>
    </comment>
    <comment ref="DJ122" authorId="6">
      <text>
        <r>
          <rPr>
            <b/>
            <sz val="8"/>
            <color indexed="81"/>
            <rFont val="Tahoma"/>
            <family val="2"/>
          </rPr>
          <t>mm98285:</t>
        </r>
        <r>
          <rPr>
            <sz val="8"/>
            <color indexed="81"/>
            <rFont val="Tahoma"/>
            <family val="2"/>
          </rPr>
          <t xml:space="preserve">
Feb up slightly, March up sig, April down sig.</t>
        </r>
      </text>
    </comment>
    <comment ref="L123" authorId="6">
      <text>
        <r>
          <rPr>
            <b/>
            <sz val="8"/>
            <color indexed="81"/>
            <rFont val="Tahoma"/>
            <family val="2"/>
          </rPr>
          <t>mm98285:</t>
        </r>
        <r>
          <rPr>
            <sz val="8"/>
            <color indexed="81"/>
            <rFont val="Tahoma"/>
            <family val="2"/>
          </rPr>
          <t xml:space="preserve">
May VSD +21%</t>
        </r>
      </text>
    </comment>
    <comment ref="AL123" authorId="6">
      <text>
        <r>
          <rPr>
            <b/>
            <sz val="8"/>
            <color indexed="81"/>
            <rFont val="Tahoma"/>
            <family val="2"/>
          </rPr>
          <t>mm98285:</t>
        </r>
        <r>
          <rPr>
            <sz val="8"/>
            <color indexed="81"/>
            <rFont val="Tahoma"/>
            <family val="2"/>
          </rPr>
          <t xml:space="preserve">
net sales through 7/6/07, closing date of sale of majority interest to affiliates of Golden Gate Capital</t>
        </r>
      </text>
    </comment>
    <comment ref="AO123" authorId="6">
      <text>
        <r>
          <rPr>
            <b/>
            <sz val="8"/>
            <color indexed="81"/>
            <rFont val="Tahoma"/>
            <family val="2"/>
          </rPr>
          <t>mm98285:</t>
        </r>
        <r>
          <rPr>
            <sz val="8"/>
            <color indexed="81"/>
            <rFont val="Tahoma"/>
            <family val="2"/>
          </rPr>
          <t xml:space="preserve">
net sales through 8/3/07, closing date of the transfer of majority interest to affiliates of Sun Capital Partners</t>
        </r>
      </text>
    </comment>
    <comment ref="BE123" authorId="6">
      <text>
        <r>
          <rPr>
            <b/>
            <sz val="8"/>
            <color indexed="81"/>
            <rFont val="Tahoma"/>
            <family val="2"/>
          </rPr>
          <t>mm98285:</t>
        </r>
        <r>
          <rPr>
            <sz val="8"/>
            <color indexed="81"/>
            <rFont val="Tahoma"/>
            <family val="2"/>
          </rPr>
          <t xml:space="preserve">
includes some incremental Mast revenue to Express</t>
        </r>
      </text>
    </comment>
    <comment ref="CV123" authorId="6">
      <text>
        <r>
          <rPr>
            <b/>
            <sz val="8"/>
            <color indexed="81"/>
            <rFont val="Tahoma"/>
            <family val="2"/>
          </rPr>
          <t>mm98285:</t>
        </r>
        <r>
          <rPr>
            <sz val="8"/>
            <color indexed="81"/>
            <rFont val="Tahoma"/>
            <family val="2"/>
          </rPr>
          <t xml:space="preserve">
MM: May: down
2Q 10Q: decline in merch margin, buy &amp; occup delvg (RE initiative), increased store selling exp, &amp; costs associated with new DC and tech upgrades to support direct bus.</t>
        </r>
      </text>
    </comment>
    <comment ref="DC123" authorId="6">
      <text>
        <r>
          <rPr>
            <b/>
            <sz val="8"/>
            <color indexed="81"/>
            <rFont val="Tahoma"/>
            <family val="2"/>
          </rPr>
          <t>mm98285:</t>
        </r>
        <r>
          <rPr>
            <sz val="8"/>
            <color indexed="81"/>
            <rFont val="Tahoma"/>
            <family val="2"/>
          </rPr>
          <t xml:space="preserve">
MM: May: down
2Q 10Q: declined from 1) inventory related charge (50% of the decline), 2) decline in merch margin, 3) on-going supply chain system support costs and RE initiatives</t>
        </r>
      </text>
    </comment>
    <comment ref="DH123" authorId="6">
      <text>
        <r>
          <rPr>
            <b/>
            <sz val="8"/>
            <color indexed="81"/>
            <rFont val="Tahoma"/>
            <family val="2"/>
          </rPr>
          <t>mm98285:</t>
        </r>
        <r>
          <rPr>
            <sz val="8"/>
            <color indexed="81"/>
            <rFont val="Tahoma"/>
            <family val="2"/>
          </rPr>
          <t xml:space="preserve">
 includes gain on divestiture of apparel segment (Express: $302.412, Limited: -$72.538) </t>
        </r>
      </text>
    </comment>
    <comment ref="DJ123" authorId="6">
      <text>
        <r>
          <rPr>
            <b/>
            <sz val="8"/>
            <color indexed="81"/>
            <rFont val="Tahoma"/>
            <family val="2"/>
          </rPr>
          <t>mm98285:</t>
        </r>
        <r>
          <rPr>
            <sz val="8"/>
            <color indexed="81"/>
            <rFont val="Tahoma"/>
            <family val="2"/>
          </rPr>
          <t xml:space="preserve">
MM: May: down</t>
        </r>
      </text>
    </comment>
    <comment ref="DT123" authorId="6">
      <text>
        <r>
          <rPr>
            <b/>
            <sz val="8"/>
            <color indexed="81"/>
            <rFont val="Tahoma"/>
            <family val="2"/>
          </rPr>
          <t>mm98285:</t>
        </r>
        <r>
          <rPr>
            <sz val="8"/>
            <color indexed="81"/>
            <rFont val="Tahoma"/>
            <family val="2"/>
          </rPr>
          <t xml:space="preserve">
2/08: excludes: 1) $100mm related to the refinancing of Easton Town Center, &amp; 2) $17mm related to an interest rate hedge entered into in 1Q in anticipation of intended financing of the LaSenza acq. and comment below
8/07: excludes $53mm pre-tax restructuring charge for costs of disposing of non-core assets and severance related to thee termination of ~10% of the home office headcount (offset by $6mm in minority interest to get to $47mm as reported in PR)
sell off express in July 07, so only get May and June op income which represents ~73% of quarter</t>
        </r>
      </text>
    </comment>
    <comment ref="L124" authorId="6">
      <text>
        <r>
          <rPr>
            <b/>
            <sz val="8"/>
            <color indexed="81"/>
            <rFont val="Tahoma"/>
            <family val="2"/>
          </rPr>
          <t>mm98285:</t>
        </r>
        <r>
          <rPr>
            <sz val="8"/>
            <color indexed="81"/>
            <rFont val="Tahoma"/>
            <family val="2"/>
          </rPr>
          <t xml:space="preserve">
Aug. -64%, Sept +27 (Aug/Sept -10-15%)
Oct. +5</t>
        </r>
      </text>
    </comment>
    <comment ref="BE124" authorId="6">
      <text>
        <r>
          <rPr>
            <b/>
            <sz val="8"/>
            <color indexed="81"/>
            <rFont val="Tahoma"/>
            <family val="2"/>
          </rPr>
          <t>mm98285:</t>
        </r>
        <r>
          <rPr>
            <sz val="8"/>
            <color indexed="81"/>
            <rFont val="Tahoma"/>
            <family val="2"/>
          </rPr>
          <t xml:space="preserve">
includes $190mm incremental Mast Revenue (from Express and Limited) and excludes some ANF sales to Mast given phase out in 2H
</t>
        </r>
      </text>
    </comment>
    <comment ref="CV124" authorId="6">
      <text>
        <r>
          <rPr>
            <b/>
            <sz val="8"/>
            <color indexed="81"/>
            <rFont val="Tahoma"/>
            <family val="2"/>
          </rPr>
          <t>mm98285:</t>
        </r>
        <r>
          <rPr>
            <sz val="8"/>
            <color indexed="81"/>
            <rFont val="Tahoma"/>
            <family val="2"/>
          </rPr>
          <t xml:space="preserve">
B&amp;O delvg driven by R/E initiative (accelerated depreciation and increased rent prior to realization of benefits associated with expanded store) and VSD loss of revs
merch margin: Aug. "VS flat, VSD -sig.", Sept. "VS down, VSD flat", Oct. "VS down, VSD -sig."</t>
        </r>
      </text>
    </comment>
    <comment ref="DC124" authorId="6">
      <text>
        <r>
          <rPr>
            <b/>
            <sz val="8"/>
            <color indexed="81"/>
            <rFont val="Tahoma"/>
            <family val="2"/>
          </rPr>
          <t>mm98285:</t>
        </r>
        <r>
          <rPr>
            <sz val="8"/>
            <color indexed="81"/>
            <rFont val="Tahoma"/>
            <family val="2"/>
          </rPr>
          <t xml:space="preserve">
GM up given increased MM due to improved product costs and mix partially offset by decline in B&amp;O driven by rent exp associated with new stores and heavy promos and product assortment misses
merch margin: Aug. "flat", Sept. "down", Oct. "+sig."</t>
        </r>
      </text>
    </comment>
    <comment ref="DT124" authorId="6">
      <text>
        <r>
          <rPr>
            <b/>
            <sz val="8"/>
            <color indexed="81"/>
            <rFont val="Tahoma"/>
            <family val="2"/>
          </rPr>
          <t>mm98285:</t>
        </r>
        <r>
          <rPr>
            <sz val="8"/>
            <color indexed="81"/>
            <rFont val="Tahoma"/>
            <family val="2"/>
          </rPr>
          <t xml:space="preserve">
excludes $25mm gain on sale of corp aircraft</t>
        </r>
      </text>
    </comment>
    <comment ref="DX124" authorId="6">
      <text>
        <r>
          <rPr>
            <b/>
            <sz val="8"/>
            <color indexed="81"/>
            <rFont val="Tahoma"/>
            <family val="2"/>
          </rPr>
          <t>mm98285:</t>
        </r>
        <r>
          <rPr>
            <sz val="8"/>
            <color indexed="81"/>
            <rFont val="Tahoma"/>
            <family val="2"/>
          </rPr>
          <t xml:space="preserve">
excludes Apparel division beginning in 3Q07</t>
        </r>
      </text>
    </comment>
    <comment ref="E125" authorId="6">
      <text>
        <r>
          <rPr>
            <b/>
            <sz val="8"/>
            <color indexed="81"/>
            <rFont val="Tahoma"/>
            <family val="2"/>
          </rPr>
          <t>mm98285:</t>
        </r>
        <r>
          <rPr>
            <sz val="8"/>
            <color indexed="81"/>
            <rFont val="Tahoma"/>
            <family val="2"/>
          </rPr>
          <t xml:space="preserve">
2/08: includes $47.8mm for initial gift card breakage</t>
        </r>
      </text>
    </comment>
    <comment ref="K125" authorId="6">
      <text>
        <r>
          <rPr>
            <b/>
            <sz val="8"/>
            <color indexed="81"/>
            <rFont val="Tahoma"/>
            <family val="2"/>
          </rPr>
          <t>mm98285:</t>
        </r>
        <r>
          <rPr>
            <sz val="8"/>
            <color indexed="81"/>
            <rFont val="Tahoma"/>
            <family val="2"/>
          </rPr>
          <t xml:space="preserve">
expect down $150mm</t>
        </r>
      </text>
    </comment>
    <comment ref="L125" authorId="6">
      <text>
        <r>
          <rPr>
            <b/>
            <sz val="8"/>
            <color indexed="81"/>
            <rFont val="Tahoma"/>
            <family val="2"/>
          </rPr>
          <t>mm98285:</t>
        </r>
        <r>
          <rPr>
            <sz val="8"/>
            <color indexed="81"/>
            <rFont val="Tahoma"/>
            <family val="2"/>
          </rPr>
          <t xml:space="preserve">
Nov -6%; Dec -9%, Jan -27%</t>
        </r>
      </text>
    </comment>
    <comment ref="BE125" authorId="6">
      <text>
        <r>
          <rPr>
            <b/>
            <sz val="8"/>
            <color indexed="81"/>
            <rFont val="Tahoma"/>
            <family val="2"/>
          </rPr>
          <t>mm98285:</t>
        </r>
        <r>
          <rPr>
            <sz val="8"/>
            <color indexed="81"/>
            <rFont val="Tahoma"/>
            <family val="2"/>
          </rPr>
          <t xml:space="preserve">
includes $80mm incremental Mast Revenue (from Express and Limited) and excludes some ANF sales to Mast given phase out in 2H</t>
        </r>
      </text>
    </comment>
    <comment ref="CT125" authorId="6">
      <text>
        <r>
          <rPr>
            <b/>
            <sz val="8"/>
            <color indexed="81"/>
            <rFont val="Tahoma"/>
            <family val="2"/>
          </rPr>
          <t>mm98285:</t>
        </r>
        <r>
          <rPr>
            <sz val="8"/>
            <color indexed="81"/>
            <rFont val="Tahoma"/>
            <family val="2"/>
          </rPr>
          <t xml:space="preserve">
2/08: excludes $47.8mm in gift card breakage</t>
        </r>
      </text>
    </comment>
    <comment ref="CV125" authorId="6">
      <text>
        <r>
          <rPr>
            <b/>
            <sz val="8"/>
            <color indexed="81"/>
            <rFont val="Tahoma"/>
            <family val="2"/>
          </rPr>
          <t>mm98285:</t>
        </r>
        <r>
          <rPr>
            <sz val="8"/>
            <color indexed="81"/>
            <rFont val="Tahoma"/>
            <family val="2"/>
          </rPr>
          <t xml:space="preserve">
10K: decrease from VSD DC limitations, 53rd week, increased buy and occup given RE expansion strategy
2/08: 16.4% ex gift card breakage
Merch margins: Nov up, Dec -sig., Jan -sig.</t>
        </r>
      </text>
    </comment>
    <comment ref="DC125" authorId="6">
      <text>
        <r>
          <rPr>
            <b/>
            <sz val="8"/>
            <color indexed="81"/>
            <rFont val="Tahoma"/>
            <family val="2"/>
          </rPr>
          <t>mm98285:</t>
        </r>
        <r>
          <rPr>
            <sz val="8"/>
            <color indexed="81"/>
            <rFont val="Tahoma"/>
            <family val="2"/>
          </rPr>
          <t xml:space="preserve">
10K: con't traffic challenging, disappointing holiday and semi-annual sale perf, partially offset by modest decrease in general, admin and store operating exp.
Merch margins: Nov up, Dec -sig., Jan +sig.</t>
        </r>
      </text>
    </comment>
    <comment ref="DT125" authorId="7">
      <text>
        <r>
          <rPr>
            <b/>
            <sz val="8"/>
            <color indexed="81"/>
            <rFont val="Tahoma"/>
            <family val="2"/>
          </rPr>
          <t>kg51925:</t>
        </r>
        <r>
          <rPr>
            <sz val="8"/>
            <color indexed="81"/>
            <rFont val="Tahoma"/>
            <family val="2"/>
          </rPr>
          <t xml:space="preserve">
excludes $47.8mm gift card breakage at VS
3/4/08 decline in MAST profitability 4Q07 down 20-30mm which offset any yoy savings from corp downsizing - expect declining profit at MAST by $10mm or so each quarter in 2008 as well. Also wrote off JV and op loss attrib to JV = $10mm in 4Q07 other bucket. LASTLY, part of the cost savings of $20-25mm are now being allocated to brands in the restatement, so will see less savings/qtr in 2008 b/c benefits accruing to brands post restatement.</t>
        </r>
      </text>
    </comment>
    <comment ref="DX125" authorId="6">
      <text>
        <r>
          <rPr>
            <b/>
            <sz val="8"/>
            <color indexed="81"/>
            <rFont val="Tahoma"/>
            <family val="2"/>
          </rPr>
          <t>mm98285:</t>
        </r>
        <r>
          <rPr>
            <sz val="8"/>
            <color indexed="81"/>
            <rFont val="Tahoma"/>
            <family val="2"/>
          </rPr>
          <t xml:space="preserve">
excludes Apparel division beginning in 3Q07</t>
        </r>
      </text>
    </comment>
    <comment ref="K126" authorId="6">
      <text>
        <r>
          <rPr>
            <b/>
            <sz val="8"/>
            <color indexed="81"/>
            <rFont val="Tahoma"/>
            <family val="2"/>
          </rPr>
          <t>mm98285:</t>
        </r>
        <r>
          <rPr>
            <sz val="8"/>
            <color indexed="81"/>
            <rFont val="Tahoma"/>
            <family val="2"/>
          </rPr>
          <t xml:space="preserve">
9/08: VSD currently does business w/100-125 countries. VS international sales through direct &amp; duty free shops totals ~$200M (incl. ~$100mm in internet sales outside U.S.)</t>
        </r>
      </text>
    </comment>
    <comment ref="N126" authorId="6">
      <text>
        <r>
          <rPr>
            <b/>
            <sz val="8"/>
            <color indexed="81"/>
            <rFont val="Tahoma"/>
            <family val="2"/>
          </rPr>
          <t>mm98285:</t>
        </r>
        <r>
          <rPr>
            <sz val="8"/>
            <color indexed="81"/>
            <rFont val="Tahoma"/>
            <family val="2"/>
          </rPr>
          <t xml:space="preserve">
2/07: expect $450-$500m</t>
        </r>
      </text>
    </comment>
    <comment ref="R126" authorId="6">
      <text>
        <r>
          <rPr>
            <b/>
            <sz val="8"/>
            <color indexed="81"/>
            <rFont val="Tahoma"/>
            <family val="2"/>
          </rPr>
          <t>mm98285:</t>
        </r>
        <r>
          <rPr>
            <sz val="8"/>
            <color indexed="81"/>
            <rFont val="Tahoma"/>
            <family val="2"/>
          </rPr>
          <t xml:space="preserve">
9/28/07: beauty segment is worth ~$1 billion according to WWD article</t>
        </r>
      </text>
    </comment>
    <comment ref="BE126" authorId="6">
      <text>
        <r>
          <rPr>
            <b/>
            <sz val="8"/>
            <color indexed="81"/>
            <rFont val="Tahoma"/>
            <family val="2"/>
          </rPr>
          <t>mm98285:</t>
        </r>
        <r>
          <rPr>
            <sz val="8"/>
            <color indexed="81"/>
            <rFont val="Tahoma"/>
            <family val="2"/>
          </rPr>
          <t xml:space="preserve">
10/07: assume Henri Bendel revenue of $42mm, Mast revenue of $1075 (includes Limited &amp; Express and excludes some ANF sales given phase out in 2H), &amp; $42 other JV</t>
        </r>
      </text>
    </comment>
    <comment ref="CV126" authorId="6">
      <text>
        <r>
          <rPr>
            <b/>
            <sz val="8"/>
            <color indexed="81"/>
            <rFont val="Tahoma"/>
            <family val="2"/>
          </rPr>
          <t>mm98285:</t>
        </r>
        <r>
          <rPr>
            <sz val="8"/>
            <color indexed="81"/>
            <rFont val="Tahoma"/>
            <family val="2"/>
          </rPr>
          <t xml:space="preserve">
10K: decline from increased promos and MDs to drive traffic in 1H, 53rd week LY, and new VSD DC capacity issues in 2H, increased buying and occup from RE expansion strategy</t>
        </r>
      </text>
    </comment>
    <comment ref="DC126" authorId="6">
      <text>
        <r>
          <rPr>
            <b/>
            <sz val="8"/>
            <color indexed="81"/>
            <rFont val="Tahoma"/>
            <family val="2"/>
          </rPr>
          <t>mm98285:</t>
        </r>
        <r>
          <rPr>
            <sz val="8"/>
            <color indexed="81"/>
            <rFont val="Tahoma"/>
            <family val="2"/>
          </rPr>
          <t xml:space="preserve">
10K: decrease given increased promos to drive sales/traffic</t>
        </r>
      </text>
    </comment>
    <comment ref="DT126" authorId="6">
      <text>
        <r>
          <rPr>
            <b/>
            <sz val="8"/>
            <color indexed="81"/>
            <rFont val="Tahoma"/>
            <family val="2"/>
          </rPr>
          <t>mm98285:</t>
        </r>
        <r>
          <rPr>
            <sz val="8"/>
            <color indexed="81"/>
            <rFont val="Tahoma"/>
            <family val="2"/>
          </rPr>
          <t xml:space="preserve">
9/08: Henri Bendel $10-$15mm loss, Corp Overhead ~$360mm (assume ~$40mm in corp savings in 2H), JV's loss of ~$20mm (N2N), offset by Mast profit of $160 (or MSD op. margin on total revenue base of $3b - incl internal sales &amp; 3rd party - minus $10-$15 for lost ANF business) =&gt; ~</t>
        </r>
        <r>
          <rPr>
            <b/>
            <sz val="8"/>
            <color indexed="81"/>
            <rFont val="Tahoma"/>
            <family val="2"/>
          </rPr>
          <t xml:space="preserve">$230-$235mm loss </t>
        </r>
        <r>
          <rPr>
            <sz val="8"/>
            <color indexed="81"/>
            <rFont val="Tahoma"/>
            <family val="2"/>
          </rPr>
          <t xml:space="preserve">(vs. $251mm as reported including $28mm net loss from 1) $25mm gain from sale of corporate aircraft offset by 2) $53mm pre-tax restructuring charge for costs of disposing of non-core assets and severance related to thee termination of ~10% of the home office headcount ).  
-LTD changed its methodology for allocating certain corporate costs including store R/E, design &amp; construction activities and transferred certain individuals &amp; functions from corporate to operating business units. As a result 2007 op. income was restated to $160mm as $91mm in corp. exp's were transferred to VS ($54mm), BBW ($28mm) and Apparel ($9mm).
</t>
        </r>
      </text>
    </comment>
    <comment ref="L129" authorId="6">
      <text>
        <r>
          <rPr>
            <b/>
            <sz val="8"/>
            <color indexed="81"/>
            <rFont val="Tahoma"/>
            <family val="2"/>
          </rPr>
          <t>mm98285:</t>
        </r>
        <r>
          <rPr>
            <sz val="8"/>
            <color indexed="81"/>
            <rFont val="Tahoma"/>
            <family val="2"/>
          </rPr>
          <t xml:space="preserve">
Feb +12%
Mar +8%
Apr +13%</t>
        </r>
      </text>
    </comment>
    <comment ref="BE129" authorId="6">
      <text>
        <r>
          <rPr>
            <b/>
            <sz val="8"/>
            <color indexed="81"/>
            <rFont val="Tahoma"/>
            <family val="2"/>
          </rPr>
          <t>mm98285:</t>
        </r>
        <r>
          <rPr>
            <sz val="8"/>
            <color indexed="81"/>
            <rFont val="Tahoma"/>
            <family val="2"/>
          </rPr>
          <t xml:space="preserve">
1/08: Mast adds $100-$150 per qtr rev</t>
        </r>
      </text>
    </comment>
    <comment ref="CV129" authorId="6">
      <text>
        <r>
          <rPr>
            <b/>
            <sz val="8"/>
            <color indexed="81"/>
            <rFont val="Tahoma"/>
            <family val="2"/>
          </rPr>
          <t>mm98285:</t>
        </r>
        <r>
          <rPr>
            <sz val="8"/>
            <color indexed="81"/>
            <rFont val="Tahoma"/>
            <family val="2"/>
          </rPr>
          <t xml:space="preserve">
GM down as better merch. margins (less promos &amp; tight inventory control) offset by buying &amp; occupancy delvge 
SG&amp;A lvge driven by exp control &amp; reduced marketing 
1Q GM: flat at VSS, -sig. at VSD and +sig at La Senza
MM: Feb VSS, La Senza +sig., VSD down; Mar VSS up, La Senza +sig., VSD -sig.; Apr VSS, La Senza +sig., VSD flat
2/08: expect VSD to weigh on profitability</t>
        </r>
      </text>
    </comment>
    <comment ref="DC129" authorId="6">
      <text>
        <r>
          <rPr>
            <b/>
            <sz val="8"/>
            <color indexed="81"/>
            <rFont val="Tahoma"/>
            <family val="2"/>
          </rPr>
          <t>mm98285:</t>
        </r>
        <r>
          <rPr>
            <sz val="8"/>
            <color indexed="81"/>
            <rFont val="Tahoma"/>
            <family val="2"/>
          </rPr>
          <t xml:space="preserve">
GM up given merch margin +sig. (given improved inventory mgmt) offset by buying &amp; occupancy deleverage 
SG&amp;A deleverage on -11% comp (traffic softness, challenging economic env, insufficient innovation in prod assormtent), partially offset by aggressive exp. mgmt 
MM: Feb, March, April +sig.</t>
        </r>
      </text>
    </comment>
    <comment ref="DT129" authorId="6">
      <text>
        <r>
          <rPr>
            <b/>
            <sz val="8"/>
            <color indexed="81"/>
            <rFont val="Tahoma"/>
            <family val="2"/>
          </rPr>
          <t>mm98285:</t>
        </r>
        <r>
          <rPr>
            <sz val="8"/>
            <color indexed="81"/>
            <rFont val="Tahoma"/>
            <family val="2"/>
          </rPr>
          <t xml:space="preserve">
1/08: ~$20-$25mm savings in 1Q &amp; 2Q somewhat offset by ext $10mm MAST profitability drop yoy - reduced ANF orders, and Express &amp; Limited stores will be allowed to step down orders from MAST starting in 2008. Also, part of the cost savings of $20-25mm are now being allocated to brands in the restatement, so will see less savings/qtr in 2008 b/c benefits accruing to brands post restatement.</t>
        </r>
      </text>
    </comment>
    <comment ref="G130" authorId="6">
      <text>
        <r>
          <rPr>
            <b/>
            <sz val="8"/>
            <color indexed="81"/>
            <rFont val="Tahoma"/>
            <family val="2"/>
          </rPr>
          <t>mm98285:</t>
        </r>
        <r>
          <rPr>
            <sz val="8"/>
            <color indexed="81"/>
            <rFont val="Tahoma"/>
            <family val="2"/>
          </rPr>
          <t xml:space="preserve">
decreased in most cat's driven by challenging economic envm't, less promo activity &amp; insufficient innovation in beauty product assortment partially offset by growth in new &amp; expanded stores and increase in Pink</t>
        </r>
      </text>
    </comment>
    <comment ref="L130" authorId="6">
      <text>
        <r>
          <rPr>
            <b/>
            <sz val="8"/>
            <color indexed="81"/>
            <rFont val="Tahoma"/>
            <family val="2"/>
          </rPr>
          <t>mm98285:</t>
        </r>
        <r>
          <rPr>
            <sz val="8"/>
            <color indexed="81"/>
            <rFont val="Tahoma"/>
            <family val="2"/>
          </rPr>
          <t xml:space="preserve">
strong performance of spring merchandise incl: swimwear and dresses, as well as bras and shoes
May +9%, June +4%, July +10%</t>
        </r>
      </text>
    </comment>
    <comment ref="O130" authorId="6">
      <text>
        <r>
          <rPr>
            <b/>
            <sz val="8"/>
            <color indexed="81"/>
            <rFont val="Tahoma"/>
            <family val="2"/>
          </rPr>
          <t>mm98285:</t>
        </r>
        <r>
          <rPr>
            <sz val="8"/>
            <color indexed="81"/>
            <rFont val="Tahoma"/>
            <family val="2"/>
          </rPr>
          <t xml:space="preserve">
increase due to favorable currency fluctuations, new store growth and incremental sales of Victoria's Secret Beauty product</t>
        </r>
      </text>
    </comment>
    <comment ref="W130" authorId="6">
      <text>
        <r>
          <rPr>
            <b/>
            <sz val="8"/>
            <color indexed="81"/>
            <rFont val="Tahoma"/>
            <family val="2"/>
          </rPr>
          <t>mm98285:</t>
        </r>
        <r>
          <rPr>
            <sz val="8"/>
            <color indexed="81"/>
            <rFont val="Tahoma"/>
            <family val="2"/>
          </rPr>
          <t xml:space="preserve">
decrease driven by driven by traffic softness, a challenging economic envm't &amp; insufficient innovation in product assortment</t>
        </r>
      </text>
    </comment>
    <comment ref="CV130" authorId="6">
      <text>
        <r>
          <rPr>
            <b/>
            <sz val="8"/>
            <color indexed="81"/>
            <rFont val="Tahoma"/>
            <family val="2"/>
          </rPr>
          <t>mm98285:</t>
        </r>
        <r>
          <rPr>
            <sz val="8"/>
            <color indexed="81"/>
            <rFont val="Tahoma"/>
            <family val="2"/>
          </rPr>
          <t xml:space="preserve">
9/08: GM up given higher merch margin partially offset by B&amp;O increase. SG&amp;A rate -slightly given leverage on higher overall sales 
La Senza: GM +sig driven by increased net sales and an increase in
merchandise margin due to less promotional activity, improved inventory management and favorable currency fluctuations
VSS: GM up driven by significant improvements in merchandise margin due to less promo activity, improved inventory mgmt and improved sell through of fashion merchandise, partially offset by increased B&amp;O associated with R/E expansion activities
VSD: GM flat as the impact of promo activity &amp; increased B&amp;O associated w/ DC offset impact of 7% increase in net sales
MM: May: VSS up, La Senza, VSD flat; June: VSS, La Senza +sig., VSD down; July VSS, La Sen +sig, VSD -sig.
2/08: expect VSD to weigh on profitability</t>
        </r>
      </text>
    </comment>
    <comment ref="DC130" authorId="6">
      <text>
        <r>
          <rPr>
            <b/>
            <sz val="8"/>
            <color indexed="81"/>
            <rFont val="Tahoma"/>
            <family val="2"/>
          </rPr>
          <t>mm98285:</t>
        </r>
        <r>
          <rPr>
            <sz val="8"/>
            <color indexed="81"/>
            <rFont val="Tahoma"/>
            <family val="2"/>
          </rPr>
          <t xml:space="preserve">
GM up due to merch margin +sig. given '07 inventory charges associated w/write-off of excess component inventory &amp; shrink offset by B&amp;O rate increase. SG&amp;A increased on flat total expenses due to sales decline. 
MM: May +sig., June down, July +Sig</t>
        </r>
      </text>
    </comment>
    <comment ref="DT130" authorId="6">
      <text>
        <r>
          <rPr>
            <b/>
            <sz val="8"/>
            <color indexed="81"/>
            <rFont val="Tahoma"/>
            <family val="2"/>
          </rPr>
          <t>mm98285:</t>
        </r>
        <r>
          <rPr>
            <sz val="8"/>
            <color indexed="81"/>
            <rFont val="Tahoma"/>
            <family val="2"/>
          </rPr>
          <t xml:space="preserve">
1/08: ~$20-$25mm savings in 1Q &amp; 2Q somewhat offset by ext $10mm MAST profitability drop yoy - reduced ANF orders, and Express &amp; Limited stores will be allowed to step down orders from MAST starting in 2008. Also, part of the cost savings of $20-25mm are now being allocated to brands in the restatement, so will see less savings/qtr in 2008 b/c benefits accruing to brands post restatement.</t>
        </r>
      </text>
    </comment>
    <comment ref="L131" authorId="6">
      <text>
        <r>
          <rPr>
            <b/>
            <sz val="8"/>
            <color indexed="81"/>
            <rFont val="Tahoma"/>
            <family val="2"/>
          </rPr>
          <t>mm98285:</t>
        </r>
        <r>
          <rPr>
            <sz val="8"/>
            <color indexed="81"/>
            <rFont val="Tahoma"/>
            <family val="2"/>
          </rPr>
          <t xml:space="preserve">
Aug. +214% (or +13% on 2-year basis)
Sept -12% (vs. LY's +27%)
Oct +2% (orders received -20%)</t>
        </r>
      </text>
    </comment>
    <comment ref="BE131" authorId="6">
      <text>
        <r>
          <rPr>
            <b/>
            <sz val="8"/>
            <color indexed="81"/>
            <rFont val="Tahoma"/>
            <family val="2"/>
          </rPr>
          <t>mm98285:</t>
        </r>
        <r>
          <rPr>
            <sz val="8"/>
            <color indexed="81"/>
            <rFont val="Tahoma"/>
            <family val="2"/>
          </rPr>
          <t xml:space="preserve">
8/08: expect Mast down over $100mm (-$135)</t>
        </r>
      </text>
    </comment>
    <comment ref="CV131" authorId="6">
      <text>
        <r>
          <rPr>
            <b/>
            <sz val="8"/>
            <color indexed="81"/>
            <rFont val="Tahoma"/>
            <family val="2"/>
          </rPr>
          <t>mm98285:</t>
        </r>
        <r>
          <rPr>
            <sz val="8"/>
            <color indexed="81"/>
            <rFont val="Tahoma"/>
            <family val="2"/>
          </rPr>
          <t xml:space="preserve">
5/08: expect marketing up for extra bra launch</t>
        </r>
      </text>
    </comment>
    <comment ref="DT131" authorId="6">
      <text>
        <r>
          <rPr>
            <b/>
            <sz val="8"/>
            <color indexed="81"/>
            <rFont val="Tahoma"/>
            <family val="2"/>
          </rPr>
          <t>mm98285:</t>
        </r>
        <r>
          <rPr>
            <sz val="8"/>
            <color indexed="81"/>
            <rFont val="Tahoma"/>
            <family val="2"/>
          </rPr>
          <t xml:space="preserve">
8/08: expect $(22)</t>
        </r>
      </text>
    </comment>
    <comment ref="L132" authorId="6">
      <text>
        <r>
          <rPr>
            <b/>
            <sz val="8"/>
            <color indexed="81"/>
            <rFont val="Tahoma"/>
            <family val="2"/>
          </rPr>
          <t>mm98285:</t>
        </r>
        <r>
          <rPr>
            <sz val="8"/>
            <color indexed="81"/>
            <rFont val="Tahoma"/>
            <family val="2"/>
          </rPr>
          <t xml:space="preserve">
-15% in Nov. (Cyber Monday shift to Dec); Dec. +11%
Jan. +12%</t>
        </r>
      </text>
    </comment>
    <comment ref="BE132" authorId="6">
      <text>
        <r>
          <rPr>
            <sz val="8"/>
            <color indexed="81"/>
            <rFont val="Tahoma"/>
            <family val="2"/>
          </rPr>
          <t>10K: net sales decreased $98 million to $1.065 billion primarily driven by a decrease in Mast sales as well as the personal care joint venture that was sold in the first quarter of 2008</t>
        </r>
        <r>
          <rPr>
            <b/>
            <sz val="8"/>
            <color indexed="81"/>
            <rFont val="Tahoma"/>
            <family val="2"/>
          </rPr>
          <t xml:space="preserve">
mm98285:</t>
        </r>
        <r>
          <rPr>
            <sz val="8"/>
            <color indexed="81"/>
            <rFont val="Tahoma"/>
            <family val="2"/>
          </rPr>
          <t xml:space="preserve">
3/09: includes $86M decline in Mast 3rd party sales &amp; personal care JV that was sold in 1Q
8/08: expect down -$40</t>
        </r>
      </text>
    </comment>
    <comment ref="CV132" authorId="6">
      <text>
        <r>
          <rPr>
            <b/>
            <sz val="8"/>
            <color indexed="81"/>
            <rFont val="Tahoma"/>
            <family val="2"/>
          </rPr>
          <t>mm98285:</t>
        </r>
        <r>
          <rPr>
            <sz val="8"/>
            <color indexed="81"/>
            <rFont val="Tahoma"/>
            <family val="2"/>
          </rPr>
          <t xml:space="preserve">
2/08: expect improvement from VSD given op deterioration LY (also have to take out gift card breakage LY to get comparable margin of 16.4%)</t>
        </r>
      </text>
    </comment>
    <comment ref="DT132" authorId="6">
      <text>
        <r>
          <rPr>
            <b/>
            <sz val="8"/>
            <color indexed="81"/>
            <rFont val="Tahoma"/>
            <family val="2"/>
          </rPr>
          <t>mm98285:</t>
        </r>
        <r>
          <rPr>
            <sz val="8"/>
            <color indexed="81"/>
            <rFont val="Tahoma"/>
            <family val="2"/>
          </rPr>
          <t xml:space="preserve">
8/08: expect $(32)</t>
        </r>
      </text>
    </comment>
    <comment ref="N133" authorId="6">
      <text>
        <r>
          <rPr>
            <b/>
            <sz val="8"/>
            <color indexed="81"/>
            <rFont val="Tahoma"/>
            <family val="2"/>
          </rPr>
          <t>mm98285:</t>
        </r>
        <r>
          <rPr>
            <sz val="8"/>
            <color indexed="81"/>
            <rFont val="Tahoma"/>
            <family val="2"/>
          </rPr>
          <t xml:space="preserve">
assume 8% sq ft growth at 75% productivity, and +LSD comp yields 8% sales growth</t>
        </r>
      </text>
    </comment>
    <comment ref="BE133" authorId="6">
      <text>
        <r>
          <rPr>
            <b/>
            <sz val="8"/>
            <color indexed="81"/>
            <rFont val="Tahoma"/>
            <family val="2"/>
          </rPr>
          <t>mm98285:</t>
        </r>
        <r>
          <rPr>
            <sz val="8"/>
            <color indexed="81"/>
            <rFont val="Tahoma"/>
            <family val="2"/>
          </rPr>
          <t xml:space="preserve">
10/07: assume Henri Bendel revenue of $42mm, Mast revenue of $1,125 (includes Limited &amp; Express rev of $650 and excludes ANF rev of $250), &amp; $42 other JV =&gt; $1,209mm</t>
        </r>
      </text>
    </comment>
    <comment ref="DT133" authorId="6">
      <text>
        <r>
          <rPr>
            <b/>
            <sz val="8"/>
            <color indexed="81"/>
            <rFont val="Tahoma"/>
            <family val="2"/>
          </rPr>
          <t>mm98285:</t>
        </r>
        <r>
          <rPr>
            <sz val="8"/>
            <color indexed="81"/>
            <rFont val="Tahoma"/>
            <family val="2"/>
          </rPr>
          <t xml:space="preserve">
3/08: Henri Bendel $10-$15mm loss, Corp Overhead ~$~$250mm (2-2.5% of sales), Mast profit $110-$120mm (ANF orders fell somewhat in 3Q07 and all of 4Q07, so still impacting in 1Q/2Q08 and part of 3Q08, plus Express and Limited stores lowering purchases thru MAST starting in 2008 pressuring MAST profit)
10/07: Henri Bendel $10-$15mm loss, Corp Overhead ~$300mm (after $100mm savings), JV's loss of ~$20mm (N2N), offset by Mast profit of $140 (or MSD op. margin on total revenue base of $3b - incl internal sales &amp; 3rd party - minus $10-$15 for lost ANF business) =&gt; </t>
        </r>
        <r>
          <rPr>
            <b/>
            <sz val="8"/>
            <color indexed="81"/>
            <rFont val="Tahoma"/>
            <family val="2"/>
          </rPr>
          <t>$190mm loss</t>
        </r>
      </text>
    </comment>
    <comment ref="L136" authorId="6">
      <text>
        <r>
          <rPr>
            <b/>
            <sz val="8"/>
            <color indexed="81"/>
            <rFont val="Tahoma"/>
            <family val="2"/>
          </rPr>
          <t>mm98285:</t>
        </r>
        <r>
          <rPr>
            <sz val="8"/>
            <color indexed="81"/>
            <rFont val="Tahoma"/>
            <family val="2"/>
          </rPr>
          <t xml:space="preserve">
April -17%
March -14%
Feb: -19%</t>
        </r>
      </text>
    </comment>
    <comment ref="BE136" authorId="8">
      <text>
        <r>
          <rPr>
            <b/>
            <sz val="8"/>
            <color indexed="81"/>
            <rFont val="Tahoma"/>
            <family val="2"/>
          </rPr>
          <t>sancfa:</t>
        </r>
        <r>
          <rPr>
            <sz val="8"/>
            <color indexed="81"/>
            <rFont val="Tahoma"/>
            <family val="2"/>
          </rPr>
          <t xml:space="preserve">
10Q: gross profit declined as a result of the divestiture of a joint venture in April 2008. The gross profit rate increased as a result of a
decline in lower margin Mast third-party sales</t>
        </r>
      </text>
    </comment>
    <comment ref="L137" authorId="6">
      <text>
        <r>
          <rPr>
            <b/>
            <sz val="8"/>
            <color indexed="81"/>
            <rFont val="Tahoma"/>
            <family val="2"/>
          </rPr>
          <t>mm98285:</t>
        </r>
        <r>
          <rPr>
            <sz val="8"/>
            <color indexed="81"/>
            <rFont val="Tahoma"/>
            <family val="2"/>
          </rPr>
          <t xml:space="preserve">
May -11%
June -21%</t>
        </r>
      </text>
    </comment>
    <comment ref="BE137" authorId="8">
      <text>
        <r>
          <rPr>
            <b/>
            <sz val="8"/>
            <color indexed="81"/>
            <rFont val="Tahoma"/>
            <family val="2"/>
          </rPr>
          <t>sancfa:</t>
        </r>
        <r>
          <rPr>
            <sz val="8"/>
            <color indexed="81"/>
            <rFont val="Tahoma"/>
            <family val="2"/>
          </rPr>
          <t xml:space="preserve">
10Q: For year-to-date 2009, net sales decreased $107 million to $425 million related to lower third-party sales at Mast.</t>
        </r>
      </text>
    </comment>
    <comment ref="CV137" authorId="6">
      <text>
        <r>
          <rPr>
            <b/>
            <sz val="8"/>
            <color indexed="81"/>
            <rFont val="Tahoma"/>
            <family val="2"/>
          </rPr>
          <t>mm98285:</t>
        </r>
        <r>
          <rPr>
            <sz val="8"/>
            <color indexed="81"/>
            <rFont val="Tahoma"/>
            <family val="2"/>
          </rPr>
          <t xml:space="preserve">
lower merchandise margin given higher promo activity to drive sales &amp; B&amp;O deleverage</t>
        </r>
      </text>
    </comment>
    <comment ref="DC137" authorId="6">
      <text>
        <r>
          <rPr>
            <b/>
            <sz val="8"/>
            <color indexed="81"/>
            <rFont val="Tahoma"/>
            <family val="2"/>
          </rPr>
          <t>mm98285:</t>
        </r>
        <r>
          <rPr>
            <sz val="8"/>
            <color indexed="81"/>
            <rFont val="Tahoma"/>
            <family val="2"/>
          </rPr>
          <t xml:space="preserve">
higher merchandise margin rate partially offset by B&amp;O delevg</t>
        </r>
      </text>
    </comment>
    <comment ref="E138" authorId="6">
      <text>
        <r>
          <rPr>
            <b/>
            <sz val="8"/>
            <color indexed="81"/>
            <rFont val="Tahoma"/>
            <family val="2"/>
          </rPr>
          <t>mm98285:</t>
        </r>
        <r>
          <rPr>
            <sz val="8"/>
            <color indexed="81"/>
            <rFont val="Tahoma"/>
            <family val="2"/>
          </rPr>
          <t xml:space="preserve">
declines in many intimate apparel cats mostly offset by growth in new and expanded stores, and increases in Pink, beauty and swimwear</t>
        </r>
      </text>
    </comment>
    <comment ref="K138" authorId="6">
      <text>
        <r>
          <rPr>
            <b/>
            <sz val="8"/>
            <color indexed="81"/>
            <rFont val="Tahoma"/>
            <family val="2"/>
          </rPr>
          <t>mm98285:</t>
        </r>
        <r>
          <rPr>
            <sz val="8"/>
            <color indexed="81"/>
            <rFont val="Tahoma"/>
            <family val="2"/>
          </rPr>
          <t xml:space="preserve">
10Q: declines in apparel partially offset by growth in many intimate apparel categories</t>
        </r>
      </text>
    </comment>
    <comment ref="L138" authorId="6">
      <text>
        <r>
          <rPr>
            <b/>
            <sz val="8"/>
            <color indexed="81"/>
            <rFont val="Tahoma"/>
            <family val="2"/>
          </rPr>
          <t>mm98285:</t>
        </r>
        <r>
          <rPr>
            <sz val="8"/>
            <color indexed="81"/>
            <rFont val="Tahoma"/>
            <family val="2"/>
          </rPr>
          <t xml:space="preserve">
August -14%
Sept -3%
October -7%</t>
        </r>
      </text>
    </comment>
    <comment ref="N138" authorId="6">
      <text>
        <r>
          <rPr>
            <b/>
            <sz val="8"/>
            <color indexed="81"/>
            <rFont val="Tahoma"/>
            <family val="2"/>
          </rPr>
          <t>mm98285:</t>
        </r>
        <r>
          <rPr>
            <sz val="8"/>
            <color indexed="81"/>
            <rFont val="Tahoma"/>
            <family val="2"/>
          </rPr>
          <t xml:space="preserve">
10Q: declines in international business and Candian retail slightly offset by favorable FX translation adjustments</t>
        </r>
      </text>
    </comment>
    <comment ref="W138" authorId="6">
      <text>
        <r>
          <rPr>
            <b/>
            <sz val="8"/>
            <color indexed="81"/>
            <rFont val="Tahoma"/>
            <family val="2"/>
          </rPr>
          <t>mm98285:</t>
        </r>
        <r>
          <rPr>
            <sz val="8"/>
            <color indexed="81"/>
            <rFont val="Tahoma"/>
            <family val="2"/>
          </rPr>
          <t xml:space="preserve">
10Q: increases in Sig. Coll and home fragrance partially offset by decreases in perf brands and discon't product lines</t>
        </r>
      </text>
    </comment>
    <comment ref="BD138" authorId="6">
      <text>
        <r>
          <rPr>
            <b/>
            <sz val="8"/>
            <color indexed="81"/>
            <rFont val="Tahoma"/>
            <family val="2"/>
          </rPr>
          <t>mm98285:</t>
        </r>
        <r>
          <rPr>
            <sz val="8"/>
            <color indexed="81"/>
            <rFont val="Tahoma"/>
            <family val="2"/>
          </rPr>
          <t xml:space="preserve">
8/09: Exp &amp; Lim. contracted purchase rate comes down in 3Q
5/09: Mast sales down 30-40% in 3Q</t>
        </r>
      </text>
    </comment>
    <comment ref="BE138" authorId="6">
      <text>
        <r>
          <rPr>
            <sz val="8"/>
            <color indexed="81"/>
            <rFont val="Tahoma"/>
            <family val="2"/>
          </rPr>
          <t>10Q: net sales decreased $47 million to $260 million related to a decline in third-party sales at Mast partially offset by net sales
primarily related to the introduction of our brands into Canada.</t>
        </r>
        <r>
          <rPr>
            <b/>
            <sz val="8"/>
            <color indexed="81"/>
            <rFont val="Tahoma"/>
            <family val="2"/>
          </rPr>
          <t xml:space="preserve">
mm98285:</t>
        </r>
        <r>
          <rPr>
            <sz val="8"/>
            <color indexed="81"/>
            <rFont val="Tahoma"/>
            <family val="2"/>
          </rPr>
          <t xml:space="preserve">
10Q: LTD recognized merchandise sourcing revenue in 3Q09 from Express of $107M vs. $129M LY ($260M YTD vs. $343M LY) &amp; $18M from Limited Stores vs. $28M LY or ($44M YTD vs. $77M LY). These amounts are net of elimination of 25% gross merchandise sourcing rev. given 25% ownership</t>
        </r>
      </text>
    </comment>
    <comment ref="BF138" authorId="6">
      <text>
        <r>
          <rPr>
            <b/>
            <sz val="8"/>
            <color indexed="81"/>
            <rFont val="Tahoma"/>
            <family val="2"/>
          </rPr>
          <t>mm98285:</t>
        </r>
        <r>
          <rPr>
            <sz val="8"/>
            <color indexed="81"/>
            <rFont val="Tahoma"/>
            <family val="2"/>
          </rPr>
          <t xml:space="preserve">
8/09: Exp &amp; Lim. contracted purchase rate comes down in 3Q
5/09: Mast sales down 30-40% in 3Q</t>
        </r>
      </text>
    </comment>
    <comment ref="CV138" authorId="6">
      <text>
        <r>
          <rPr>
            <b/>
            <sz val="8"/>
            <color indexed="81"/>
            <rFont val="Tahoma"/>
            <family val="2"/>
          </rPr>
          <t>mm98285:</t>
        </r>
        <r>
          <rPr>
            <sz val="8"/>
            <color indexed="81"/>
            <rFont val="Tahoma"/>
            <family val="2"/>
          </rPr>
          <t xml:space="preserve">
decrease in MM due to factors below; B&amp;O deleverage associated with comp decline
VSS: lower MM given increased promo activity to drive sales, VSD: lower MM decline in sales and increased promos to drive sales; LS: decline in sales largely offsetr by higher MM driven by F/X fluctuations</t>
        </r>
      </text>
    </comment>
    <comment ref="DC138" authorId="6">
      <text>
        <r>
          <rPr>
            <b/>
            <sz val="8"/>
            <color indexed="81"/>
            <rFont val="Tahoma"/>
            <family val="2"/>
          </rPr>
          <t>mm98285:</t>
        </r>
        <r>
          <rPr>
            <sz val="8"/>
            <color indexed="81"/>
            <rFont val="Tahoma"/>
            <family val="2"/>
          </rPr>
          <t xml:space="preserve">
increase in MM due to higher net sales, merchandise cost reduction efforts and improved inventory turnover, partially offset by promo activity to drive traffic; B&amp;O leverage due to increase sales and reduction in store real estate activity</t>
        </r>
      </text>
    </comment>
    <comment ref="DT138" authorId="6">
      <text>
        <r>
          <rPr>
            <b/>
            <sz val="8"/>
            <color indexed="81"/>
            <rFont val="Tahoma"/>
            <family val="2"/>
          </rPr>
          <t>mm98285:</t>
        </r>
        <r>
          <rPr>
            <sz val="8"/>
            <color indexed="81"/>
            <rFont val="Tahoma"/>
            <family val="2"/>
          </rPr>
          <t xml:space="preserve">
8/09: Amie said $(19)-$(20) sounded reasonable</t>
        </r>
      </text>
    </comment>
    <comment ref="L139" authorId="6">
      <text>
        <r>
          <rPr>
            <b/>
            <sz val="8"/>
            <color indexed="81"/>
            <rFont val="Tahoma"/>
            <family val="2"/>
          </rPr>
          <t>mm98285:</t>
        </r>
        <r>
          <rPr>
            <sz val="8"/>
            <color indexed="81"/>
            <rFont val="Tahoma"/>
            <family val="2"/>
          </rPr>
          <t xml:space="preserve">
Nov. +3%
Dec. +2%</t>
        </r>
      </text>
    </comment>
    <comment ref="BD139" authorId="6">
      <text>
        <r>
          <rPr>
            <b/>
            <sz val="8"/>
            <color indexed="81"/>
            <rFont val="Tahoma"/>
            <family val="2"/>
          </rPr>
          <t>mm98285:</t>
        </r>
        <r>
          <rPr>
            <sz val="8"/>
            <color indexed="81"/>
            <rFont val="Tahoma"/>
            <family val="2"/>
          </rPr>
          <t xml:space="preserve">
5/09: Mast sales flat in 4Q</t>
        </r>
      </text>
    </comment>
    <comment ref="BE139" authorId="8">
      <text>
        <r>
          <rPr>
            <b/>
            <sz val="8"/>
            <color indexed="81"/>
            <rFont val="Tahoma"/>
            <family val="2"/>
          </rPr>
          <t>sancfa:</t>
        </r>
        <r>
          <rPr>
            <sz val="8"/>
            <color indexed="81"/>
            <rFont val="Tahoma"/>
            <family val="2"/>
          </rPr>
          <t xml:space="preserve">
10K: For 2009, net sales decreased $123 million to $942 million related to a decline in third-party sales at Mast partially offset by net sales primarily related to the introduction of Bath &amp; Body Works and Victoria's Secret Pink into Canada.</t>
        </r>
      </text>
    </comment>
    <comment ref="BF139" authorId="6">
      <text>
        <r>
          <rPr>
            <b/>
            <sz val="8"/>
            <color indexed="81"/>
            <rFont val="Tahoma"/>
            <family val="2"/>
          </rPr>
          <t>mm98285:</t>
        </r>
        <r>
          <rPr>
            <sz val="8"/>
            <color indexed="81"/>
            <rFont val="Tahoma"/>
            <family val="2"/>
          </rPr>
          <t xml:space="preserve">
5/09: Mast sales flat in 4Q</t>
        </r>
      </text>
    </comment>
    <comment ref="DT139" authorId="6">
      <text>
        <r>
          <rPr>
            <b/>
            <sz val="8"/>
            <color indexed="81"/>
            <rFont val="Tahoma"/>
            <family val="2"/>
          </rPr>
          <t>mm98285:</t>
        </r>
        <r>
          <rPr>
            <sz val="8"/>
            <color indexed="81"/>
            <rFont val="Tahoma"/>
            <family val="2"/>
          </rPr>
          <t xml:space="preserve">
8/09: Amie said could be around $(30)M</t>
        </r>
      </text>
    </comment>
    <comment ref="L140" authorId="6">
      <text>
        <r>
          <rPr>
            <b/>
            <sz val="8"/>
            <color indexed="81"/>
            <rFont val="Tahoma"/>
            <family val="2"/>
          </rPr>
          <t>mm98285:</t>
        </r>
        <r>
          <rPr>
            <sz val="8"/>
            <color indexed="81"/>
            <rFont val="Tahoma"/>
            <family val="2"/>
          </rPr>
          <t xml:space="preserve">
11/09: -10%
8/09: -15%
5/09: expect -10%
2/09: expect (5)-(10)%</t>
        </r>
      </text>
    </comment>
    <comment ref="BD140" authorId="6">
      <text>
        <r>
          <rPr>
            <b/>
            <sz val="8"/>
            <color indexed="81"/>
            <rFont val="Tahoma"/>
            <family val="2"/>
          </rPr>
          <t>mm98285:</t>
        </r>
        <r>
          <rPr>
            <sz val="8"/>
            <color indexed="81"/>
            <rFont val="Tahoma"/>
            <family val="2"/>
          </rPr>
          <t xml:space="preserve">
11/09 &amp; 8/09: -20%
5/09: expect -20%
2/09: Mast (15)-(20)%</t>
        </r>
      </text>
    </comment>
    <comment ref="BF140" authorId="6">
      <text>
        <r>
          <rPr>
            <b/>
            <sz val="8"/>
            <color indexed="81"/>
            <rFont val="Tahoma"/>
            <family val="2"/>
          </rPr>
          <t>mm98285:</t>
        </r>
        <r>
          <rPr>
            <sz val="8"/>
            <color indexed="81"/>
            <rFont val="Tahoma"/>
            <family val="2"/>
          </rPr>
          <t xml:space="preserve">
11/09 &amp; 8/09: -20%
5/09: expect -20%
2/09: Mast (15)-(20)%</t>
        </r>
      </text>
    </comment>
    <comment ref="DT140" authorId="6">
      <text>
        <r>
          <rPr>
            <b/>
            <sz val="8"/>
            <color indexed="81"/>
            <rFont val="Tahoma"/>
            <family val="2"/>
          </rPr>
          <t>mm98285:</t>
        </r>
        <r>
          <rPr>
            <sz val="8"/>
            <color indexed="81"/>
            <rFont val="Tahoma"/>
            <family val="2"/>
          </rPr>
          <t xml:space="preserve">
per Amie (10/10) ($79) loss includes:
($200) corporate overhead
($10-15) Henri Bendel
$120-150 Mast profit, or MSD operating margin rate on sales (just under $3bn)
Some growth in int'l profitability
2/09: expect a couple million improvement per quarter through 2009</t>
        </r>
      </text>
    </comment>
    <comment ref="E143" authorId="9">
      <text>
        <r>
          <rPr>
            <b/>
            <sz val="8"/>
            <color indexed="81"/>
            <rFont val="Tahoma"/>
            <family val="2"/>
          </rPr>
          <t>ns66486:</t>
        </r>
        <r>
          <rPr>
            <sz val="8"/>
            <color indexed="81"/>
            <rFont val="Tahoma"/>
            <family val="2"/>
          </rPr>
          <t xml:space="preserve">
we est 820mm</t>
        </r>
      </text>
    </comment>
    <comment ref="K143" authorId="9">
      <text>
        <r>
          <rPr>
            <b/>
            <sz val="8"/>
            <color indexed="81"/>
            <rFont val="Tahoma"/>
            <family val="2"/>
          </rPr>
          <t>ns66486:</t>
        </r>
        <r>
          <rPr>
            <sz val="8"/>
            <color indexed="81"/>
            <rFont val="Tahoma"/>
            <family val="2"/>
          </rPr>
          <t xml:space="preserve">
we est 340 mm</t>
        </r>
      </text>
    </comment>
    <comment ref="L143" authorId="6">
      <text>
        <r>
          <rPr>
            <b/>
            <sz val="8"/>
            <color indexed="81"/>
            <rFont val="Tahoma"/>
            <family val="2"/>
          </rPr>
          <t>mm98285:</t>
        </r>
        <r>
          <rPr>
            <sz val="8"/>
            <color indexed="81"/>
            <rFont val="Tahoma"/>
            <family val="2"/>
          </rPr>
          <t xml:space="preserve">
April -17%
March -14%
Feb: -19%</t>
        </r>
      </text>
    </comment>
    <comment ref="N143" authorId="9">
      <text>
        <r>
          <rPr>
            <b/>
            <sz val="8"/>
            <color indexed="81"/>
            <rFont val="Tahoma"/>
            <family val="2"/>
          </rPr>
          <t>ns66486:</t>
        </r>
        <r>
          <rPr>
            <sz val="8"/>
            <color indexed="81"/>
            <rFont val="Tahoma"/>
            <family val="2"/>
          </rPr>
          <t xml:space="preserve">
we est 81mm</t>
        </r>
      </text>
    </comment>
    <comment ref="R143" authorId="9">
      <text>
        <r>
          <rPr>
            <b/>
            <sz val="8"/>
            <color indexed="81"/>
            <rFont val="Tahoma"/>
            <family val="2"/>
          </rPr>
          <t>ns66486:</t>
        </r>
        <r>
          <rPr>
            <sz val="8"/>
            <color indexed="81"/>
            <rFont val="Tahoma"/>
            <family val="2"/>
          </rPr>
          <t xml:space="preserve">
we est 1241mm</t>
        </r>
      </text>
    </comment>
    <comment ref="W143" authorId="9">
      <text>
        <r>
          <rPr>
            <b/>
            <sz val="8"/>
            <color indexed="81"/>
            <rFont val="Tahoma"/>
            <family val="2"/>
          </rPr>
          <t>ns66486:</t>
        </r>
        <r>
          <rPr>
            <sz val="8"/>
            <color indexed="81"/>
            <rFont val="Tahoma"/>
            <family val="2"/>
          </rPr>
          <t xml:space="preserve">
we est 429mm</t>
        </r>
      </text>
    </comment>
    <comment ref="BE143" authorId="9">
      <text>
        <r>
          <rPr>
            <sz val="8"/>
            <color indexed="81"/>
            <rFont val="Tahoma"/>
            <family val="2"/>
          </rPr>
          <t>10Q: net sales increased $40 million to $238 million primarily related to new Bath &amp; Body Works stores in Canada, the introduction
of Victoria's Secret Pink stores to Canada and an increase in third-party sales at Mast.</t>
        </r>
        <r>
          <rPr>
            <b/>
            <sz val="8"/>
            <color indexed="81"/>
            <rFont val="Tahoma"/>
            <family val="2"/>
          </rPr>
          <t xml:space="preserve">
ns66486:</t>
        </r>
        <r>
          <rPr>
            <sz val="8"/>
            <color indexed="81"/>
            <rFont val="Tahoma"/>
            <family val="2"/>
          </rPr>
          <t xml:space="preserve">
we est 203mm
</t>
        </r>
      </text>
    </comment>
    <comment ref="CV143" authorId="10">
      <text>
        <r>
          <rPr>
            <b/>
            <sz val="8"/>
            <color indexed="81"/>
            <rFont val="Tahoma"/>
            <family val="2"/>
          </rPr>
          <t>nicholjs:</t>
        </r>
        <r>
          <rPr>
            <sz val="8"/>
            <color indexed="81"/>
            <rFont val="Tahoma"/>
            <family val="2"/>
          </rPr>
          <t xml:space="preserve">
increase in merch margin due to factors below; B+O rate decreased due to leverage
* VSS higher merch margin on sales and decreased promotions
* VSD higher merch margin on sales and decreased promotions
* La Senza gross margin flat</t>
        </r>
      </text>
    </comment>
    <comment ref="DC143" authorId="10">
      <text>
        <r>
          <rPr>
            <b/>
            <sz val="8"/>
            <color indexed="81"/>
            <rFont val="Tahoma"/>
            <family val="2"/>
          </rPr>
          <t>nicholjs:</t>
        </r>
        <r>
          <rPr>
            <sz val="8"/>
            <color indexed="81"/>
            <rFont val="Tahoma"/>
            <family val="2"/>
          </rPr>
          <t xml:space="preserve">
increase in merchandise margin (sales, decreased promotions); B+O rate decreased due to leverage</t>
        </r>
      </text>
    </comment>
    <comment ref="E144" authorId="10">
      <text>
        <r>
          <rPr>
            <b/>
            <sz val="8"/>
            <color indexed="81"/>
            <rFont val="Tahoma"/>
            <family val="2"/>
          </rPr>
          <t>nicholjs:</t>
        </r>
        <r>
          <rPr>
            <sz val="8"/>
            <color indexed="81"/>
            <rFont val="Tahoma"/>
            <family val="2"/>
          </rPr>
          <t xml:space="preserve">
we est 901</t>
        </r>
      </text>
    </comment>
    <comment ref="K144" authorId="10">
      <text>
        <r>
          <rPr>
            <b/>
            <sz val="8"/>
            <color indexed="81"/>
            <rFont val="Tahoma"/>
            <family val="2"/>
          </rPr>
          <t>nicholjs:</t>
        </r>
        <r>
          <rPr>
            <sz val="8"/>
            <color indexed="81"/>
            <rFont val="Tahoma"/>
            <family val="2"/>
          </rPr>
          <t xml:space="preserve">
we est 377</t>
        </r>
      </text>
    </comment>
    <comment ref="L144" authorId="11">
      <text>
        <r>
          <rPr>
            <b/>
            <sz val="8"/>
            <color indexed="81"/>
            <rFont val="Tahoma"/>
            <family val="2"/>
          </rPr>
          <t>NS66486:</t>
        </r>
        <r>
          <rPr>
            <sz val="8"/>
            <color indexed="81"/>
            <rFont val="Tahoma"/>
            <family val="2"/>
          </rPr>
          <t xml:space="preserve">
May +4%
June +17%
July +2%</t>
        </r>
      </text>
    </comment>
    <comment ref="N144" authorId="10">
      <text>
        <r>
          <rPr>
            <b/>
            <sz val="8"/>
            <color indexed="81"/>
            <rFont val="Tahoma"/>
            <family val="2"/>
          </rPr>
          <t>nicholjs:</t>
        </r>
        <r>
          <rPr>
            <sz val="8"/>
            <color indexed="81"/>
            <rFont val="Tahoma"/>
            <family val="2"/>
          </rPr>
          <t xml:space="preserve">
we est 109</t>
        </r>
      </text>
    </comment>
    <comment ref="W144" authorId="10">
      <text>
        <r>
          <rPr>
            <b/>
            <sz val="8"/>
            <color indexed="81"/>
            <rFont val="Tahoma"/>
            <family val="2"/>
          </rPr>
          <t>nicholjs:</t>
        </r>
        <r>
          <rPr>
            <sz val="8"/>
            <color indexed="81"/>
            <rFont val="Tahoma"/>
            <family val="2"/>
          </rPr>
          <t xml:space="preserve">
we est $526</t>
        </r>
      </text>
    </comment>
    <comment ref="BE144" authorId="8">
      <text>
        <r>
          <rPr>
            <b/>
            <sz val="8"/>
            <color indexed="81"/>
            <rFont val="Tahoma"/>
            <family val="2"/>
          </rPr>
          <t>sancfa:</t>
        </r>
        <r>
          <rPr>
            <sz val="8"/>
            <color indexed="81"/>
            <rFont val="Tahoma"/>
            <family val="2"/>
          </rPr>
          <t xml:space="preserve">
10Q: net sales increased $30 million to $257 million primarily related to new Bath &amp; Body Works stores in Canada and the
introduction of Victoria's Secret stores to Canada</t>
        </r>
      </text>
    </comment>
    <comment ref="CV144" authorId="10">
      <text>
        <r>
          <rPr>
            <b/>
            <sz val="8"/>
            <color indexed="81"/>
            <rFont val="Tahoma"/>
            <family val="2"/>
          </rPr>
          <t>nicholjs:</t>
        </r>
        <r>
          <rPr>
            <sz val="8"/>
            <color indexed="81"/>
            <rFont val="Tahoma"/>
            <family val="2"/>
          </rPr>
          <t xml:space="preserve">
MM increased due to following factors:
*VSS higher merchandise margin on comps and decreased promotions
* VSD higher merchandise margin on comps and decreased promotions
* La Senza higher merchandise margin on decreased promotional activity and
favorable currency fluctuations
B+O leverage due to sales growth
</t>
        </r>
      </text>
    </comment>
    <comment ref="DC144" authorId="10">
      <text>
        <r>
          <rPr>
            <b/>
            <sz val="8"/>
            <color indexed="81"/>
            <rFont val="Tahoma"/>
            <family val="2"/>
          </rPr>
          <t>nicholjs:</t>
        </r>
        <r>
          <rPr>
            <sz val="8"/>
            <color indexed="81"/>
            <rFont val="Tahoma"/>
            <family val="2"/>
          </rPr>
          <t xml:space="preserve">
increase in merchandise margin (comps, decreased promotions); B+O rate was ~flat</t>
        </r>
      </text>
    </comment>
    <comment ref="DT144" authorId="9">
      <text>
        <r>
          <rPr>
            <b/>
            <sz val="8"/>
            <color indexed="81"/>
            <rFont val="Tahoma"/>
            <family val="2"/>
          </rPr>
          <t>ns66486:</t>
        </r>
        <r>
          <rPr>
            <sz val="8"/>
            <color indexed="81"/>
            <rFont val="Tahoma"/>
            <family val="2"/>
          </rPr>
          <t xml:space="preserve">
5/10: expect $(15)</t>
        </r>
      </text>
    </comment>
    <comment ref="L145" authorId="10">
      <text>
        <r>
          <rPr>
            <b/>
            <sz val="8"/>
            <color indexed="81"/>
            <rFont val="Tahoma"/>
            <family val="2"/>
          </rPr>
          <t>nicholjs:</t>
        </r>
        <r>
          <rPr>
            <sz val="8"/>
            <color indexed="81"/>
            <rFont val="Tahoma"/>
            <family val="2"/>
          </rPr>
          <t xml:space="preserve">
August: +9%
September: +1%
October: +2%</t>
        </r>
      </text>
    </comment>
    <comment ref="BE145" authorId="10">
      <text>
        <r>
          <rPr>
            <b/>
            <sz val="8"/>
            <color indexed="81"/>
            <rFont val="Tahoma"/>
            <family val="2"/>
          </rPr>
          <t>nicholjs:</t>
        </r>
        <r>
          <rPr>
            <sz val="8"/>
            <color indexed="81"/>
            <rFont val="Tahoma"/>
            <family val="2"/>
          </rPr>
          <t xml:space="preserve">
10Q: net sales increased $67 million to $327mm partially related to new BBW stores in Canada and the introduction of VS to Canada. In addition, Mast recognized 100% of merchandise sourcing sales to Express and Limited Stores. 
8/2010: expect other segment sales growth between $60-$70mm</t>
        </r>
      </text>
    </comment>
    <comment ref="DT145" authorId="9">
      <text>
        <r>
          <rPr>
            <b/>
            <sz val="8"/>
            <color indexed="81"/>
            <rFont val="Tahoma"/>
            <family val="2"/>
          </rPr>
          <t>ns66486:</t>
        </r>
        <r>
          <rPr>
            <sz val="8"/>
            <color indexed="81"/>
            <rFont val="Tahoma"/>
            <family val="2"/>
          </rPr>
          <t xml:space="preserve">
5/10: expect $(6)</t>
        </r>
      </text>
    </comment>
    <comment ref="L146" authorId="10">
      <text>
        <r>
          <rPr>
            <b/>
            <sz val="8"/>
            <color indexed="81"/>
            <rFont val="Tahoma"/>
            <family val="2"/>
          </rPr>
          <t>nicholjs:</t>
        </r>
        <r>
          <rPr>
            <sz val="8"/>
            <color indexed="81"/>
            <rFont val="Tahoma"/>
            <family val="2"/>
          </rPr>
          <t xml:space="preserve">
Nov: +10%
Dec: +11%
Jan: +5%</t>
        </r>
      </text>
    </comment>
    <comment ref="BE146" authorId="10">
      <text>
        <r>
          <rPr>
            <b/>
            <sz val="8"/>
            <color indexed="81"/>
            <rFont val="Tahoma"/>
            <family val="2"/>
          </rPr>
          <t>nicholjs:</t>
        </r>
        <r>
          <rPr>
            <sz val="8"/>
            <color indexed="81"/>
            <rFont val="Tahoma"/>
            <family val="2"/>
          </rPr>
          <t xml:space="preserve">
11/2010: expect $90-100mm growth</t>
        </r>
      </text>
    </comment>
    <comment ref="CV146" authorId="10">
      <text>
        <r>
          <rPr>
            <b/>
            <sz val="8"/>
            <color indexed="81"/>
            <rFont val="Tahoma"/>
            <family val="2"/>
          </rPr>
          <t>nicholjs:</t>
        </r>
        <r>
          <rPr>
            <sz val="8"/>
            <color indexed="81"/>
            <rFont val="Tahoma"/>
            <family val="2"/>
          </rPr>
          <t xml:space="preserve">
increase in GM rate driven by decrease in B+O expense as % of sales as well as increase in merch margin rate</t>
        </r>
      </text>
    </comment>
    <comment ref="DC146" authorId="10">
      <text>
        <r>
          <rPr>
            <b/>
            <sz val="8"/>
            <color indexed="81"/>
            <rFont val="Tahoma"/>
            <family val="2"/>
          </rPr>
          <t>nicholjs:</t>
        </r>
        <r>
          <rPr>
            <sz val="8"/>
            <color indexed="81"/>
            <rFont val="Tahoma"/>
            <family val="2"/>
          </rPr>
          <t xml:space="preserve">
increase in GM rate driven by increase in merch margin rate, partially offset by increase in B+O</t>
        </r>
      </text>
    </comment>
    <comment ref="DT146" authorId="9">
      <text>
        <r>
          <rPr>
            <b/>
            <sz val="8"/>
            <color indexed="81"/>
            <rFont val="Tahoma"/>
            <family val="2"/>
          </rPr>
          <t>ns66486:</t>
        </r>
        <r>
          <rPr>
            <sz val="8"/>
            <color indexed="81"/>
            <rFont val="Tahoma"/>
            <family val="2"/>
          </rPr>
          <t xml:space="preserve">
1/2011: $(9) implies $1.20 eps for the qtr
11/10: $(9) ok
5/10: expect $(10)</t>
        </r>
      </text>
    </comment>
    <comment ref="K147" authorId="10">
      <text>
        <r>
          <rPr>
            <b/>
            <sz val="8"/>
            <color indexed="81"/>
            <rFont val="Tahoma"/>
            <family val="2"/>
          </rPr>
          <t>nicholjs:</t>
        </r>
        <r>
          <rPr>
            <sz val="8"/>
            <color indexed="81"/>
            <rFont val="Tahoma"/>
            <family val="2"/>
          </rPr>
          <t xml:space="preserve">
over $150mm in sales to over 200 countries internationally</t>
        </r>
      </text>
    </comment>
    <comment ref="N147" authorId="10">
      <text>
        <r>
          <rPr>
            <b/>
            <sz val="8"/>
            <color indexed="81"/>
            <rFont val="Tahoma"/>
            <family val="2"/>
          </rPr>
          <t>nicholjs:</t>
        </r>
        <r>
          <rPr>
            <sz val="8"/>
            <color indexed="81"/>
            <rFont val="Tahoma"/>
            <family val="2"/>
          </rPr>
          <t xml:space="preserve">
LaSenza break-even in 2010
* More than 250 La Senza stores in Canada, online, and addt'lly La Senza has 463 stores in 45 countries operating under licensing arrangements.</t>
        </r>
      </text>
    </comment>
    <comment ref="BD147" authorId="6">
      <text>
        <r>
          <rPr>
            <b/>
            <sz val="8"/>
            <color indexed="81"/>
            <rFont val="Tahoma"/>
            <family val="2"/>
          </rPr>
          <t>mm98285:</t>
        </r>
        <r>
          <rPr>
            <sz val="8"/>
            <color indexed="81"/>
            <rFont val="Tahoma"/>
            <family val="2"/>
          </rPr>
          <t xml:space="preserve">
2/10: expect improvement with int'l sales; Mast rev. stabalization (but pressure from cost side to drive lower margis)</t>
        </r>
      </text>
    </comment>
    <comment ref="BE147" authorId="6">
      <text>
        <r>
          <rPr>
            <sz val="8"/>
            <color indexed="81"/>
            <rFont val="Tahoma"/>
            <family val="2"/>
          </rPr>
          <t>6 BBW franchise stores
18 VS TnT stores (could be 500 or 1,000, or more over time, probably 300-400 airport oppty alone, from Martin Waters call)
note: on 4Q10 call said 150-250 BBW potential in Canada and 30-40 VS
note: TnT profitability.  go fwd stores average $1.5mm/yr.  operate under franchise (royality on sales) and wholesale (double cost) arrangements.  under each, LTD recognizes 30-35% of retail sales as profit and ~30% of that as profit.
breakdown of sales:
Mast $886mm, +$100mm vs. LY (~$70mm related to accting change)
BBW/VS Canada $165mm (+$100mm vs. LY, new stores)
TnT, BBW franchisee $75 +50% vs. LY
Henri Bendel $50mm +20% vs. LY
8/10: expect sales growth in other segment between $210-$225M
5/10: expect up $40M straight-lined through year according to Amie
2/10: expect up $20-$30M straight-lined through year according to Amie</t>
        </r>
      </text>
    </comment>
    <comment ref="BF147" authorId="6">
      <text>
        <r>
          <rPr>
            <b/>
            <sz val="8"/>
            <color indexed="81"/>
            <rFont val="Tahoma"/>
            <family val="2"/>
          </rPr>
          <t>mm98285:</t>
        </r>
        <r>
          <rPr>
            <sz val="8"/>
            <color indexed="81"/>
            <rFont val="Tahoma"/>
            <family val="2"/>
          </rPr>
          <t xml:space="preserve">
2/10: expect improvement with int'l sales; Mast rev. stabalization (but pressure from cost side to drive lower margis)</t>
        </r>
      </text>
    </comment>
    <comment ref="CT147" authorId="10">
      <text>
        <r>
          <rPr>
            <b/>
            <sz val="8"/>
            <color indexed="81"/>
            <rFont val="Tahoma"/>
            <family val="2"/>
          </rPr>
          <t>nicholjs:</t>
        </r>
        <r>
          <rPr>
            <sz val="8"/>
            <color indexed="81"/>
            <rFont val="Tahoma"/>
            <family val="2"/>
          </rPr>
          <t xml:space="preserve">
D&amp;A $168
EBITDA $1045</t>
        </r>
      </text>
    </comment>
    <comment ref="CV147" authorId="10">
      <text>
        <r>
          <rPr>
            <b/>
            <sz val="8"/>
            <color indexed="81"/>
            <rFont val="Tahoma"/>
            <family val="2"/>
          </rPr>
          <t>nicholjs:</t>
        </r>
        <r>
          <rPr>
            <sz val="8"/>
            <color indexed="81"/>
            <rFont val="Tahoma"/>
            <family val="2"/>
          </rPr>
          <t xml:space="preserve">
GM rate increase driven by higher merch margin rate, in addition B+O expense leveraged w/ sales</t>
        </r>
      </text>
    </comment>
    <comment ref="DA147" authorId="10">
      <text>
        <r>
          <rPr>
            <b/>
            <sz val="8"/>
            <color indexed="81"/>
            <rFont val="Tahoma"/>
            <family val="2"/>
          </rPr>
          <t>nicholjs:</t>
        </r>
        <r>
          <rPr>
            <sz val="8"/>
            <color indexed="81"/>
            <rFont val="Tahoma"/>
            <family val="2"/>
          </rPr>
          <t xml:space="preserve">
D&amp;A $55
EBITDA $519</t>
        </r>
      </text>
    </comment>
    <comment ref="DC147" authorId="10">
      <text>
        <r>
          <rPr>
            <b/>
            <sz val="8"/>
            <color indexed="81"/>
            <rFont val="Tahoma"/>
            <family val="2"/>
          </rPr>
          <t>nicholjs:</t>
        </r>
        <r>
          <rPr>
            <sz val="8"/>
            <color indexed="81"/>
            <rFont val="Tahoma"/>
            <family val="2"/>
          </rPr>
          <t xml:space="preserve">
increase in GM rate driven by increases in merch margin rate</t>
        </r>
      </text>
    </comment>
    <comment ref="DT147" authorId="10">
      <text>
        <r>
          <rPr>
            <b/>
            <sz val="8"/>
            <color indexed="81"/>
            <rFont val="Tahoma"/>
            <family val="2"/>
          </rPr>
          <t>nicholjs:</t>
        </r>
        <r>
          <rPr>
            <sz val="8"/>
            <color indexed="81"/>
            <rFont val="Tahoma"/>
            <family val="2"/>
          </rPr>
          <t xml:space="preserve">
The Other segment operating loss is driven by corporate overhead expense and the loss from Henri Bendel, partially offset by operating income from Mast and international business. The $22mm improvement was driven by the allocation of technology cost to Victoria's Secret and an increase in profit from  international business partially offset by a decline in profitability at Mast.
per Amie: Mast profitability +140-150mm.  HB loss about $25mm per year.</t>
        </r>
      </text>
    </comment>
    <comment ref="DV147" authorId="10">
      <text>
        <r>
          <rPr>
            <b/>
            <sz val="8"/>
            <color indexed="81"/>
            <rFont val="Tahoma"/>
            <family val="2"/>
          </rPr>
          <t>nicholjs:</t>
        </r>
        <r>
          <rPr>
            <sz val="8"/>
            <color indexed="81"/>
            <rFont val="Tahoma"/>
            <family val="2"/>
          </rPr>
          <t xml:space="preserve">
10K: For 2010, gross profit increased primarily driven by higher merchandise margin dollars primarily related to the expansion of our Canadian Bath &amp; Body Works and Victoria’s Secret stores. The gross profit rate decreased due to an increase in lower margin Mast Global third-party sales, including the impact of recognizing 100% of Mast Global’s sales to Express and Limited Stores in the third and fourth quarters of 2010.</t>
        </r>
      </text>
    </comment>
    <comment ref="EG147" authorId="10">
      <text>
        <r>
          <rPr>
            <b/>
            <sz val="8"/>
            <color indexed="81"/>
            <rFont val="Tahoma"/>
            <family val="2"/>
          </rPr>
          <t>nicholjs:</t>
        </r>
        <r>
          <rPr>
            <sz val="8"/>
            <color indexed="81"/>
            <rFont val="Tahoma"/>
            <family val="2"/>
          </rPr>
          <t xml:space="preserve">
* 323 retail stores in Canada
* 463 independently owned La Senza stores operated under licensing arrangements in 45 countries
* 6 independently owned BBW stores operated by a franchisee in 2 Middle Eastern countries
* 18 independently owned VS TnT as well as various duty free locations</t>
        </r>
      </text>
    </comment>
    <comment ref="G150" authorId="10">
      <text>
        <r>
          <rPr>
            <b/>
            <sz val="8"/>
            <color indexed="81"/>
            <rFont val="Tahoma"/>
            <family val="2"/>
          </rPr>
          <t>nicholjs:</t>
        </r>
        <r>
          <rPr>
            <sz val="8"/>
            <color indexed="81"/>
            <rFont val="Tahoma"/>
            <family val="2"/>
          </rPr>
          <t xml:space="preserve">
10Q: net sales increased across most categories including Pink, core lingerie, swimwear and
beauty driven by a compelling merchandise assortment that incorporated newness, innovation and fashion;</t>
        </r>
      </text>
    </comment>
    <comment ref="L150" authorId="10">
      <text>
        <r>
          <rPr>
            <b/>
            <sz val="8"/>
            <color indexed="81"/>
            <rFont val="Tahoma"/>
            <family val="2"/>
          </rPr>
          <t>nicholjs:</t>
        </r>
        <r>
          <rPr>
            <sz val="8"/>
            <color indexed="81"/>
            <rFont val="Tahoma"/>
            <family val="2"/>
          </rPr>
          <t xml:space="preserve">
February +2%
March +8%
April +5%
10Q: increases across most categories including intimates and swimwear driven by a compelling merchandise  assortment;</t>
        </r>
      </text>
    </comment>
    <comment ref="O150" authorId="10">
      <text>
        <r>
          <rPr>
            <b/>
            <sz val="8"/>
            <color indexed="81"/>
            <rFont val="Tahoma"/>
            <family val="2"/>
          </rPr>
          <t>nicholjs:</t>
        </r>
        <r>
          <rPr>
            <sz val="8"/>
            <color indexed="81"/>
            <rFont val="Tahoma"/>
            <family val="2"/>
          </rPr>
          <t xml:space="preserve">
10Q: increased primarily due to favorable currency translation and an increase in the international licensee business partially offset by a decline in the Canadian retail business.</t>
        </r>
      </text>
    </comment>
    <comment ref="AC150" authorId="10">
      <text>
        <r>
          <rPr>
            <b/>
            <sz val="8"/>
            <color indexed="81"/>
            <rFont val="Tahoma"/>
            <family val="2"/>
          </rPr>
          <t>nicholjs:</t>
        </r>
        <r>
          <rPr>
            <sz val="8"/>
            <color indexed="81"/>
            <rFont val="Tahoma"/>
            <family val="2"/>
          </rPr>
          <t xml:space="preserve">
10Q: net sales were driven by growth in the Signature Collection (including the re-launch of the men’s line), home fragrance and antibacterial categories which all incorporated newness and innovation</t>
        </r>
      </text>
    </comment>
    <comment ref="BD150" authorId="10">
      <text>
        <r>
          <rPr>
            <b/>
            <sz val="8"/>
            <color indexed="81"/>
            <rFont val="Tahoma"/>
            <family val="2"/>
          </rPr>
          <t>nicholjs:</t>
        </r>
        <r>
          <rPr>
            <sz val="8"/>
            <color indexed="81"/>
            <rFont val="Tahoma"/>
            <family val="2"/>
          </rPr>
          <t xml:space="preserve">
from 10Q: of incremental $55mm dollars, $25 were sales associated w/ new, non-comparable stores ie int'l) and $28 from Mast third-party sales (acctging change), while F/X added $2mm
first couple qtrs incremental sales due to express and limited accounting changes (75% to 100%)</t>
        </r>
      </text>
    </comment>
    <comment ref="BF150" authorId="10">
      <text>
        <r>
          <rPr>
            <b/>
            <sz val="8"/>
            <color indexed="81"/>
            <rFont val="Tahoma"/>
            <family val="2"/>
          </rPr>
          <t>nicholjs:</t>
        </r>
        <r>
          <rPr>
            <sz val="8"/>
            <color indexed="81"/>
            <rFont val="Tahoma"/>
            <family val="2"/>
          </rPr>
          <t xml:space="preserve">
from 10Q: of incremental $55mm dollars, $25 were sales associated w/ new, non-comparable stores ie int'l) and $28 from Mast third-party sales (acctging change), while F/X added $2mm
first couple qtrs incremental sales due to express and limited accounting changes (75% to 100%)</t>
        </r>
      </text>
    </comment>
    <comment ref="CV150" authorId="10">
      <text>
        <r>
          <rPr>
            <b/>
            <sz val="8"/>
            <color indexed="81"/>
            <rFont val="Tahoma"/>
            <family val="2"/>
          </rPr>
          <t>nicholjs:</t>
        </r>
        <r>
          <rPr>
            <sz val="8"/>
            <color indexed="81"/>
            <rFont val="Tahoma"/>
            <family val="2"/>
          </rPr>
          <t xml:space="preserve">
at VSS: higher merch margin $$ as a result of increase in net sales, partially offset by higher buying and occupancy expenses due to an increase in occupancy expense driven by higher net sales and store related activity
at VSD: higher MM $$ as a result of the increase in net sales and a decrease in promotional activity
increase in GM primarily driven by leverage on buying and occupancy at VSS and increase in MM rate at VSD</t>
        </r>
      </text>
    </comment>
    <comment ref="DC150" authorId="10">
      <text>
        <r>
          <rPr>
            <b/>
            <sz val="8"/>
            <color indexed="81"/>
            <rFont val="Tahoma"/>
            <family val="2"/>
          </rPr>
          <t>nicholjs:</t>
        </r>
        <r>
          <rPr>
            <sz val="8"/>
            <color indexed="81"/>
            <rFont val="Tahoma"/>
            <family val="2"/>
          </rPr>
          <t xml:space="preserve">
10Q: increase in merch margin rate, in addition to buying and occupancy leverage</t>
        </r>
      </text>
    </comment>
    <comment ref="DT150" authorId="10">
      <text>
        <r>
          <rPr>
            <b/>
            <sz val="8"/>
            <color indexed="81"/>
            <rFont val="Tahoma"/>
            <family val="2"/>
          </rPr>
          <t>nicholjs:</t>
        </r>
        <r>
          <rPr>
            <sz val="8"/>
            <color indexed="81"/>
            <rFont val="Tahoma"/>
            <family val="2"/>
          </rPr>
          <t xml:space="preserve">
we estimate this $27mm loss includes about ~$10mm due to legal acrruals.
2/2011: ($14) is okay to use</t>
        </r>
      </text>
    </comment>
    <comment ref="G151" authorId="10">
      <text>
        <r>
          <rPr>
            <b/>
            <sz val="8"/>
            <color indexed="81"/>
            <rFont val="Tahoma"/>
            <family val="2"/>
          </rPr>
          <t>nicholjs:</t>
        </r>
        <r>
          <rPr>
            <sz val="8"/>
            <color indexed="81"/>
            <rFont val="Tahoma"/>
            <family val="2"/>
          </rPr>
          <t xml:space="preserve">
10Q: net sales increased across most categories including Pink, core lingerie, swimwear and beauty
driven by a compelling merchandise assortment that incorporated newness, innovation and fashion</t>
        </r>
      </text>
    </comment>
    <comment ref="L151" authorId="10">
      <text>
        <r>
          <rPr>
            <b/>
            <sz val="8"/>
            <color indexed="81"/>
            <rFont val="Tahoma"/>
            <family val="2"/>
          </rPr>
          <t>nicholjs:</t>
        </r>
        <r>
          <rPr>
            <sz val="8"/>
            <color indexed="81"/>
            <rFont val="Tahoma"/>
            <family val="2"/>
          </rPr>
          <t xml:space="preserve">
10Q: net sales increased 1% related to increases in Pink and swimwear offset by decreases in core lingerie and apparel. Victoria’s Secret Direct sales were negatively impacted by a reduction in Semi-annual sale days
-LSD sounds okay
July likely negative (7 days less Semi Annual sale)
June -2%
May flat (sale started 2 days later this year)
email from Amie: 
VSD does start before stores and the date for their sale is:
This Year - Friday, May 20th to Tuesday, July 5th Total days: 47
Last Year - Wednesday, May 19th to Tuesday, July 13th Total days: 56
</t>
        </r>
      </text>
    </comment>
    <comment ref="O151" authorId="10">
      <text>
        <r>
          <rPr>
            <b/>
            <sz val="8"/>
            <color indexed="81"/>
            <rFont val="Tahoma"/>
            <family val="2"/>
          </rPr>
          <t>nicholjs:</t>
        </r>
        <r>
          <rPr>
            <sz val="8"/>
            <color indexed="81"/>
            <rFont val="Tahoma"/>
            <family val="2"/>
          </rPr>
          <t xml:space="preserve">
10Q: increased primarily due to favorable currency translation and an increase in the international
franchise business</t>
        </r>
      </text>
    </comment>
    <comment ref="AC151" authorId="10">
      <text>
        <r>
          <rPr>
            <b/>
            <sz val="8"/>
            <color indexed="81"/>
            <rFont val="Tahoma"/>
            <family val="2"/>
          </rPr>
          <t>nicholjs:</t>
        </r>
        <r>
          <rPr>
            <sz val="8"/>
            <color indexed="81"/>
            <rFont val="Tahoma"/>
            <family val="2"/>
          </rPr>
          <t xml:space="preserve">
10Q: net sales were driven by growth in the Signature Collection, home fragrance and antibacterial
categories which all incorporated newness and innovation</t>
        </r>
      </text>
    </comment>
    <comment ref="BD151" authorId="10">
      <text>
        <r>
          <rPr>
            <b/>
            <sz val="8"/>
            <color indexed="81"/>
            <rFont val="Tahoma"/>
            <family val="2"/>
          </rPr>
          <t>nicholjs:</t>
        </r>
        <r>
          <rPr>
            <sz val="8"/>
            <color indexed="81"/>
            <rFont val="Tahoma"/>
            <family val="2"/>
          </rPr>
          <t xml:space="preserve">
over 75% of the increase was attributable to international sales
10Q: of the $67mm in incremental revenue, $1 was comparable store sales, $33 from new and non-comp stores (int'l), $5 from F/X, and $28 from Mast sales due to Express/Limited accounting change</t>
        </r>
      </text>
    </comment>
    <comment ref="BF151" authorId="10">
      <text>
        <r>
          <rPr>
            <b/>
            <sz val="8"/>
            <color indexed="81"/>
            <rFont val="Tahoma"/>
            <family val="2"/>
          </rPr>
          <t>nicholjs:</t>
        </r>
        <r>
          <rPr>
            <sz val="8"/>
            <color indexed="81"/>
            <rFont val="Tahoma"/>
            <family val="2"/>
          </rPr>
          <t xml:space="preserve">
over 75% of the increase was attributable to international sales
10Q: of the $67mm in incremental revenue, $1 was comparable store sales, $33 from new and non-comp stores (int'l), $5 from F/X, and $28 from Mast sales due to Express/Limited accounting change</t>
        </r>
      </text>
    </comment>
    <comment ref="CV151" authorId="10">
      <text>
        <r>
          <rPr>
            <b/>
            <sz val="8"/>
            <color indexed="81"/>
            <rFont val="Tahoma"/>
            <family val="2"/>
          </rPr>
          <t>nicholjs:</t>
        </r>
        <r>
          <rPr>
            <sz val="8"/>
            <color indexed="81"/>
            <rFont val="Tahoma"/>
            <family val="2"/>
          </rPr>
          <t xml:space="preserve">
VSS: gross profit increased due to higher merch margin dollars as ar esult of increase in net sales.  Increase in MM $ partially offset by higher B+O expense due to an increase in occupancy expense driven by higher sales and store related activity
VSD: gross profit increase due to higher MM $ as a result of decrease in promotional activity and decrease in B+O expense primarily related to lower fulfillment costs
increase in GM rate primarily driven by leverage on B+O expenses at VSS and increase in MM rate at VSD</t>
        </r>
      </text>
    </comment>
    <comment ref="DC151" authorId="10">
      <text>
        <r>
          <rPr>
            <b/>
            <sz val="8"/>
            <color indexed="81"/>
            <rFont val="Tahoma"/>
            <family val="2"/>
          </rPr>
          <t>nicholjs:</t>
        </r>
        <r>
          <rPr>
            <sz val="8"/>
            <color indexed="81"/>
            <rFont val="Tahoma"/>
            <family val="2"/>
          </rPr>
          <t xml:space="preserve">
10Q: increase in gross profit rate was driven by an increase in MM rate</t>
        </r>
      </text>
    </comment>
    <comment ref="DT151" authorId="10">
      <text>
        <r>
          <rPr>
            <b/>
            <sz val="8"/>
            <color indexed="81"/>
            <rFont val="Tahoma"/>
            <family val="2"/>
          </rPr>
          <t>nicholjs:</t>
        </r>
        <r>
          <rPr>
            <sz val="8"/>
            <color indexed="81"/>
            <rFont val="Tahoma"/>
            <family val="2"/>
          </rPr>
          <t xml:space="preserve">
5/2011: 5-7mm improvement by quarter reasonable place to be</t>
        </r>
      </text>
    </comment>
    <comment ref="L152" authorId="10">
      <text>
        <r>
          <rPr>
            <b/>
            <sz val="8"/>
            <color indexed="81"/>
            <rFont val="Tahoma"/>
            <family val="2"/>
          </rPr>
          <t>nicholjs:</t>
        </r>
        <r>
          <rPr>
            <sz val="8"/>
            <color indexed="81"/>
            <rFont val="Tahoma"/>
            <family val="2"/>
          </rPr>
          <t xml:space="preserve">
August +4%
September +7%</t>
        </r>
      </text>
    </comment>
    <comment ref="BE152" authorId="10">
      <text>
        <r>
          <rPr>
            <b/>
            <sz val="8"/>
            <color indexed="81"/>
            <rFont val="Tahoma"/>
            <family val="2"/>
          </rPr>
          <t>nicholjs:</t>
        </r>
        <r>
          <rPr>
            <sz val="8"/>
            <color indexed="81"/>
            <rFont val="Tahoma"/>
            <family val="2"/>
          </rPr>
          <t xml:space="preserve">
8/2011: $360mm would be at mid point of guidance</t>
        </r>
      </text>
    </comment>
    <comment ref="CT152" authorId="12">
      <text>
        <r>
          <rPr>
            <sz val="8"/>
            <color indexed="81"/>
            <rFont val="Tahoma"/>
            <family val="2"/>
          </rPr>
          <t>11/17: GM - flat</t>
        </r>
        <r>
          <rPr>
            <sz val="8"/>
            <color indexed="81"/>
            <rFont val="Tahoma"/>
            <family val="2"/>
          </rPr>
          <t xml:space="preserve">
VS stores - GM down
VS Direct - GM up significantly</t>
        </r>
      </text>
    </comment>
    <comment ref="DA152" authorId="12">
      <text>
        <r>
          <rPr>
            <sz val="8"/>
            <color indexed="81"/>
            <rFont val="Tahoma"/>
            <family val="2"/>
          </rPr>
          <t>11/17: GM - flat</t>
        </r>
        <r>
          <rPr>
            <sz val="8"/>
            <color indexed="81"/>
            <rFont val="Tahoma"/>
            <family val="2"/>
          </rPr>
          <t xml:space="preserve">
</t>
        </r>
      </text>
    </comment>
    <comment ref="DC152" authorId="10">
      <text>
        <r>
          <rPr>
            <b/>
            <sz val="8"/>
            <color indexed="81"/>
            <rFont val="Tahoma"/>
            <family val="2"/>
          </rPr>
          <t>nicholjs:</t>
        </r>
        <r>
          <rPr>
            <sz val="8"/>
            <color indexed="81"/>
            <rFont val="Tahoma"/>
            <family val="2"/>
          </rPr>
          <t xml:space="preserve">
8/2011: OK to have less lvg at BBW this qtr vs. VS</t>
        </r>
      </text>
    </comment>
    <comment ref="DT152" authorId="10">
      <text>
        <r>
          <rPr>
            <b/>
            <sz val="8"/>
            <color indexed="81"/>
            <rFont val="Tahoma"/>
            <family val="2"/>
          </rPr>
          <t>nicholjs:</t>
        </r>
        <r>
          <rPr>
            <sz val="8"/>
            <color indexed="81"/>
            <rFont val="Tahoma"/>
            <family val="2"/>
          </rPr>
          <t xml:space="preserve">
8/2011: could see 2-3mm improvement in this quarter
5/2011: 5-7mm improvement by quarter reasonable place to be</t>
        </r>
      </text>
    </comment>
    <comment ref="BE153" authorId="13">
      <text>
        <r>
          <rPr>
            <b/>
            <sz val="8"/>
            <color indexed="81"/>
            <rFont val="Tahoma"/>
            <family val="2"/>
          </rPr>
          <t xml:space="preserve">lauraro:
</t>
        </r>
        <r>
          <rPr>
            <sz val="8"/>
            <color indexed="81"/>
            <rFont val="Tahoma"/>
            <family val="2"/>
          </rPr>
          <t>orig est 422</t>
        </r>
        <r>
          <rPr>
            <sz val="8"/>
            <color indexed="81"/>
            <rFont val="Tahoma"/>
            <family val="2"/>
          </rPr>
          <t xml:space="preserve">
-223 Mast sales</t>
        </r>
      </text>
    </comment>
    <comment ref="DT153" authorId="10">
      <text>
        <r>
          <rPr>
            <b/>
            <sz val="8"/>
            <color indexed="81"/>
            <rFont val="Tahoma"/>
            <family val="2"/>
          </rPr>
          <t>nicholjs:</t>
        </r>
        <r>
          <rPr>
            <sz val="8"/>
            <color indexed="81"/>
            <rFont val="Tahoma"/>
            <family val="2"/>
          </rPr>
          <t xml:space="preserve">
5/2011: 5-7mm improvement by quarter reasonable place to be.
But now sold MAST at ~$50M/year profit, so lose 1/4 of that benefit per qtr</t>
        </r>
      </text>
    </comment>
    <comment ref="L154" authorId="10">
      <text>
        <r>
          <rPr>
            <b/>
            <sz val="8"/>
            <color indexed="81"/>
            <rFont val="Tahoma"/>
            <family val="2"/>
          </rPr>
          <t>nicholjs:</t>
        </r>
        <r>
          <rPr>
            <sz val="8"/>
            <color indexed="81"/>
            <rFont val="Tahoma"/>
            <family val="2"/>
          </rPr>
          <t xml:space="preserve">
10/2010: 3-5% growth range usually good</t>
        </r>
      </text>
    </comment>
    <comment ref="N154" authorId="10">
      <text>
        <r>
          <rPr>
            <b/>
            <sz val="8"/>
            <color indexed="81"/>
            <rFont val="Tahoma"/>
            <family val="2"/>
          </rPr>
          <t>nicholjs:</t>
        </r>
        <r>
          <rPr>
            <sz val="8"/>
            <color indexed="81"/>
            <rFont val="Tahoma"/>
            <family val="2"/>
          </rPr>
          <t xml:space="preserve">
2010 10K: plan to open ~50 new La Senza stores globally (partners) in 2011
2/2011: not out of question for 500 bps increase in LaSenza operating margin this yr (breakeven in 2010).  L-MSD rate is what is in the guidance, but could be higher.</t>
        </r>
      </text>
    </comment>
    <comment ref="BE154" authorId="10">
      <text>
        <r>
          <rPr>
            <b/>
            <sz val="8"/>
            <color indexed="81"/>
            <rFont val="Tahoma"/>
            <family val="2"/>
          </rPr>
          <t>nicholjs:</t>
        </r>
        <r>
          <rPr>
            <sz val="8"/>
            <color indexed="81"/>
            <rFont val="Tahoma"/>
            <family val="2"/>
          </rPr>
          <t xml:space="preserve">
2010 10K: expect to open 40-50 TnT stores (from 18 beg. of year), expect to open ~20 BBW franchise (from 6)
10/2010 call: expect +130mm w/ $50-60mm accounting related</t>
        </r>
      </text>
    </comment>
    <comment ref="DT154" authorId="14">
      <text>
        <r>
          <rPr>
            <b/>
            <sz val="8"/>
            <color indexed="81"/>
            <rFont val="Tahoma"/>
            <family val="2"/>
          </rPr>
          <t>kimberlg:</t>
        </r>
        <r>
          <rPr>
            <sz val="8"/>
            <color indexed="81"/>
            <rFont val="Tahoma"/>
            <family val="2"/>
          </rPr>
          <t xml:space="preserve">
2/2011: could see another $20mm improvement this year
11/10: should continue to improve
10/18/10: $130M incremental 2011 sales but $50-60M is just acctg change on sales (Exp/Ltd) w/ no benefit to Income. So estimate flow through rate 15% on $70-80M of incremental sales = $10-12M incremental profit. So loss of $56M LY goes to loss of $44-46M in 2011</t>
        </r>
      </text>
    </comment>
    <comment ref="L157" authorId="6">
      <text>
        <r>
          <rPr>
            <b/>
            <sz val="8"/>
            <color indexed="81"/>
            <rFont val="Tahoma"/>
            <family val="2"/>
          </rPr>
          <t>mm98285:</t>
        </r>
        <r>
          <rPr>
            <sz val="8"/>
            <color indexed="81"/>
            <rFont val="Tahoma"/>
            <family val="2"/>
          </rPr>
          <t xml:space="preserve">
Feb +12%
Mar +8%
Apr +13%</t>
        </r>
      </text>
    </comment>
    <comment ref="R157" authorId="0">
      <text>
        <r>
          <rPr>
            <b/>
            <sz val="8"/>
            <color indexed="81"/>
            <rFont val="Tahoma"/>
            <family val="2"/>
          </rPr>
          <t>kahng:</t>
        </r>
        <r>
          <rPr>
            <sz val="8"/>
            <color indexed="81"/>
            <rFont val="Tahoma"/>
            <family val="2"/>
          </rPr>
          <t xml:space="preserve">
2/22/12: VS division restated on 2/22/12 to exclude LS, which is now classified under "Other". See hidden rows for prior reporting.</t>
        </r>
      </text>
    </comment>
    <comment ref="S157" authorId="0">
      <text>
        <r>
          <rPr>
            <b/>
            <sz val="8"/>
            <color indexed="81"/>
            <rFont val="Tahoma"/>
            <family val="2"/>
          </rPr>
          <t>kahng:</t>
        </r>
        <r>
          <rPr>
            <sz val="8"/>
            <color indexed="81"/>
            <rFont val="Tahoma"/>
            <family val="2"/>
          </rPr>
          <t xml:space="preserve">
formula excludes LS for a like for like comparison based on reclassified VS revenue (excl LS)</t>
        </r>
      </text>
    </comment>
    <comment ref="BC157" authorId="6">
      <text>
        <r>
          <rPr>
            <b/>
            <sz val="8"/>
            <color indexed="81"/>
            <rFont val="Tahoma"/>
            <family val="2"/>
          </rPr>
          <t>mm98285:</t>
        </r>
        <r>
          <rPr>
            <sz val="8"/>
            <color indexed="81"/>
            <rFont val="Tahoma"/>
            <family val="2"/>
          </rPr>
          <t xml:space="preserve">
1/08: Mast adds $100-$150 per qtr rev</t>
        </r>
      </text>
    </comment>
    <comment ref="CT157" authorId="0">
      <text>
        <r>
          <rPr>
            <b/>
            <sz val="8"/>
            <color indexed="81"/>
            <rFont val="Tahoma"/>
            <family val="2"/>
          </rPr>
          <t>kahng:</t>
        </r>
        <r>
          <rPr>
            <sz val="8"/>
            <color indexed="81"/>
            <rFont val="Tahoma"/>
            <family val="2"/>
          </rPr>
          <t xml:space="preserve">
2/22/12: op inc now excludes LS as restated in 2/22/12</t>
        </r>
      </text>
    </comment>
    <comment ref="CV157" authorId="6">
      <text>
        <r>
          <rPr>
            <b/>
            <sz val="8"/>
            <color indexed="81"/>
            <rFont val="Tahoma"/>
            <family val="2"/>
          </rPr>
          <t>mm98285:</t>
        </r>
        <r>
          <rPr>
            <sz val="8"/>
            <color indexed="81"/>
            <rFont val="Tahoma"/>
            <family val="2"/>
          </rPr>
          <t xml:space="preserve">
GM down as better merch. margins (less promos &amp; tight inventory control) offset by buying &amp; occupancy delvge 
SG&amp;A lvge driven by exp control &amp; reduced marketing 
1Q GM: flat at VSS, -sig. at VSD and +sig at La Senza
MM: Feb VSS, La Senza +sig., VSD down; Mar VSS up, La Senza +sig., VSD -sig.; Apr VSS, La Senza +sig., VSD flat
2/08: expect VSD to weigh on profitability</t>
        </r>
      </text>
    </comment>
    <comment ref="DC157" authorId="6">
      <text>
        <r>
          <rPr>
            <b/>
            <sz val="8"/>
            <color indexed="81"/>
            <rFont val="Tahoma"/>
            <family val="2"/>
          </rPr>
          <t>mm98285:</t>
        </r>
        <r>
          <rPr>
            <sz val="8"/>
            <color indexed="81"/>
            <rFont val="Tahoma"/>
            <family val="2"/>
          </rPr>
          <t xml:space="preserve">
GM up given merch margin +sig. (given improved inventory mgmt) offset by buying &amp; occupancy deleverage 
SG&amp;A deleverage on -11% comp (traffic softness, challenging economic env, insufficient innovation in prod assormtent), partially offset by aggressive exp. mgmt 
MM: Feb, March, April +sig.</t>
        </r>
      </text>
    </comment>
    <comment ref="DT157" authorId="6">
      <text>
        <r>
          <rPr>
            <b/>
            <sz val="8"/>
            <color indexed="81"/>
            <rFont val="Tahoma"/>
            <family val="2"/>
          </rPr>
          <t>mm98285:</t>
        </r>
        <r>
          <rPr>
            <sz val="8"/>
            <color indexed="81"/>
            <rFont val="Tahoma"/>
            <family val="2"/>
          </rPr>
          <t xml:space="preserve">
2/12: now includes op inc for LS, as was reclassified on 2/22/12. See hidden row beginning 129 for prior reporting.
1/08: ~$20-$25mm savings in 1Q &amp; 2Q somewhat offset by ext $10mm MAST profitability drop yoy - reduced ANF orders, and Express &amp; Limited stores will be allowed to step down orders from MAST starting in 2008. Also, part of the cost savings of $20-25mm are now being allocated to brands in the restatement, so will see less savings/qtr in 2008 b/c benefits accruing to brands post restatement.</t>
        </r>
      </text>
    </comment>
    <comment ref="G158" authorId="6">
      <text>
        <r>
          <rPr>
            <b/>
            <sz val="8"/>
            <color indexed="81"/>
            <rFont val="Tahoma"/>
            <family val="2"/>
          </rPr>
          <t>mm98285:</t>
        </r>
        <r>
          <rPr>
            <sz val="8"/>
            <color indexed="81"/>
            <rFont val="Tahoma"/>
            <family val="2"/>
          </rPr>
          <t xml:space="preserve">
decreased in most cat's driven by challenging economic envm't, less promo activity &amp; insufficient innovation in beauty product assortment partially offset by growth in new &amp; expanded stores and increase in Pink</t>
        </r>
      </text>
    </comment>
    <comment ref="L158" authorId="6">
      <text>
        <r>
          <rPr>
            <b/>
            <sz val="8"/>
            <color indexed="81"/>
            <rFont val="Tahoma"/>
            <family val="2"/>
          </rPr>
          <t>mm98285:</t>
        </r>
        <r>
          <rPr>
            <sz val="8"/>
            <color indexed="81"/>
            <rFont val="Tahoma"/>
            <family val="2"/>
          </rPr>
          <t xml:space="preserve">
strong performance of spring merchandise incl: swimwear and dresses, as well as bras and shoes
May +9%, June +4%, July +10%</t>
        </r>
      </text>
    </comment>
    <comment ref="S158" authorId="0">
      <text>
        <r>
          <rPr>
            <b/>
            <sz val="8"/>
            <color indexed="81"/>
            <rFont val="Tahoma"/>
            <family val="2"/>
          </rPr>
          <t>kahng:</t>
        </r>
        <r>
          <rPr>
            <sz val="8"/>
            <color indexed="81"/>
            <rFont val="Tahoma"/>
            <family val="2"/>
          </rPr>
          <t xml:space="preserve">
formula excludes LS for a like for like comparison based on reclassified VS revenue (excl LS)</t>
        </r>
      </text>
    </comment>
    <comment ref="W158" authorId="6">
      <text>
        <r>
          <rPr>
            <b/>
            <sz val="8"/>
            <color indexed="81"/>
            <rFont val="Tahoma"/>
            <family val="2"/>
          </rPr>
          <t>mm98285:</t>
        </r>
        <r>
          <rPr>
            <sz val="8"/>
            <color indexed="81"/>
            <rFont val="Tahoma"/>
            <family val="2"/>
          </rPr>
          <t xml:space="preserve">
decrease driven by driven by traffic softness, a challenging economic envm't &amp; insufficient innovation in product assortment</t>
        </r>
      </text>
    </comment>
    <comment ref="BA158" authorId="6">
      <text>
        <r>
          <rPr>
            <b/>
            <sz val="8"/>
            <color indexed="81"/>
            <rFont val="Tahoma"/>
            <family val="2"/>
          </rPr>
          <t>mm98285:</t>
        </r>
        <r>
          <rPr>
            <sz val="8"/>
            <color indexed="81"/>
            <rFont val="Tahoma"/>
            <family val="2"/>
          </rPr>
          <t xml:space="preserve">
increase due to favorable currency fluctuations, new store growth and incremental sales of Victoria's Secret Beauty product</t>
        </r>
      </text>
    </comment>
    <comment ref="CV158" authorId="6">
      <text>
        <r>
          <rPr>
            <b/>
            <sz val="8"/>
            <color indexed="81"/>
            <rFont val="Tahoma"/>
            <family val="2"/>
          </rPr>
          <t>mm98285:</t>
        </r>
        <r>
          <rPr>
            <sz val="8"/>
            <color indexed="81"/>
            <rFont val="Tahoma"/>
            <family val="2"/>
          </rPr>
          <t xml:space="preserve">
9/08: GM up given higher merch margin partially offset by B&amp;O increase. SG&amp;A rate -slightly given leverage on higher overall sales 
La Senza: GM +sig driven by increased net sales and an increase in
merchandise margin due to less promotional activity, improved inventory management and favorable currency fluctuations
VSS: GM up driven by significant improvements in merchandise margin due to less promo activity, improved inventory mgmt and improved sell through of fashion merchandise, partially offset by increased B&amp;O associated with R/E expansion activities
VSD: GM flat as the impact of promo activity &amp; increased B&amp;O associated w/ DC offset impact of 7% increase in net sales
MM: May: VSS up, La Senza, VSD flat; June: VSS, La Senza +sig., VSD down; July VSS, La Sen +sig, VSD -sig.
2/08: expect VSD to weigh on profitability</t>
        </r>
      </text>
    </comment>
    <comment ref="DC158" authorId="6">
      <text>
        <r>
          <rPr>
            <b/>
            <sz val="8"/>
            <color indexed="81"/>
            <rFont val="Tahoma"/>
            <family val="2"/>
          </rPr>
          <t>mm98285:</t>
        </r>
        <r>
          <rPr>
            <sz val="8"/>
            <color indexed="81"/>
            <rFont val="Tahoma"/>
            <family val="2"/>
          </rPr>
          <t xml:space="preserve">
GM up due to merch margin +sig. given '07 inventory charges associated w/write-off of excess component inventory &amp; shrink offset by B&amp;O rate increase. SG&amp;A increased on flat total expenses due to sales decline. 
MM: May +sig., June down, July +Sig</t>
        </r>
      </text>
    </comment>
    <comment ref="DT158" authorId="6">
      <text>
        <r>
          <rPr>
            <b/>
            <sz val="8"/>
            <color indexed="81"/>
            <rFont val="Tahoma"/>
            <family val="2"/>
          </rPr>
          <t>mm98285:</t>
        </r>
        <r>
          <rPr>
            <sz val="8"/>
            <color indexed="81"/>
            <rFont val="Tahoma"/>
            <family val="2"/>
          </rPr>
          <t xml:space="preserve">
1/08: ~$20-$25mm savings in 1Q &amp; 2Q somewhat offset by ext $10mm MAST profitability drop yoy - reduced ANF orders, and Express &amp; Limited stores will be allowed to step down orders from MAST starting in 2008. Also, part of the cost savings of $20-25mm are now being allocated to brands in the restatement, so will see less savings/qtr in 2008 b/c benefits accruing to brands post restatement.</t>
        </r>
      </text>
    </comment>
    <comment ref="L159" authorId="6">
      <text>
        <r>
          <rPr>
            <b/>
            <sz val="8"/>
            <color indexed="81"/>
            <rFont val="Tahoma"/>
            <family val="2"/>
          </rPr>
          <t>mm98285:</t>
        </r>
        <r>
          <rPr>
            <sz val="8"/>
            <color indexed="81"/>
            <rFont val="Tahoma"/>
            <family val="2"/>
          </rPr>
          <t xml:space="preserve">
Aug. +214% (or +13% on 2-year basis)
Sept -12% (vs. LY's +27%)
Oct +2% (orders received -20%)</t>
        </r>
      </text>
    </comment>
    <comment ref="S159" authorId="0">
      <text>
        <r>
          <rPr>
            <b/>
            <sz val="8"/>
            <color indexed="81"/>
            <rFont val="Tahoma"/>
            <family val="2"/>
          </rPr>
          <t>kahng:</t>
        </r>
        <r>
          <rPr>
            <sz val="8"/>
            <color indexed="81"/>
            <rFont val="Tahoma"/>
            <family val="2"/>
          </rPr>
          <t xml:space="preserve">
formula excludes LS for a like for like comparison based on reclassified VS revenue (excl LS)</t>
        </r>
      </text>
    </comment>
    <comment ref="BC159" authorId="6">
      <text>
        <r>
          <rPr>
            <b/>
            <sz val="8"/>
            <color indexed="81"/>
            <rFont val="Tahoma"/>
            <family val="2"/>
          </rPr>
          <t>mm98285:</t>
        </r>
        <r>
          <rPr>
            <sz val="8"/>
            <color indexed="81"/>
            <rFont val="Tahoma"/>
            <family val="2"/>
          </rPr>
          <t xml:space="preserve">
8/08: expect Mast down over $100mm (-$135)</t>
        </r>
      </text>
    </comment>
    <comment ref="CV159" authorId="6">
      <text>
        <r>
          <rPr>
            <b/>
            <sz val="8"/>
            <color indexed="81"/>
            <rFont val="Tahoma"/>
            <family val="2"/>
          </rPr>
          <t>mm98285:</t>
        </r>
        <r>
          <rPr>
            <sz val="8"/>
            <color indexed="81"/>
            <rFont val="Tahoma"/>
            <family val="2"/>
          </rPr>
          <t xml:space="preserve">
5/08: expect marketing up for extra bra launch</t>
        </r>
      </text>
    </comment>
    <comment ref="DT159" authorId="6">
      <text>
        <r>
          <rPr>
            <b/>
            <sz val="8"/>
            <color indexed="81"/>
            <rFont val="Tahoma"/>
            <family val="2"/>
          </rPr>
          <t>mm98285:</t>
        </r>
        <r>
          <rPr>
            <sz val="8"/>
            <color indexed="81"/>
            <rFont val="Tahoma"/>
            <family val="2"/>
          </rPr>
          <t xml:space="preserve">
8/08: expect $(22)</t>
        </r>
      </text>
    </comment>
    <comment ref="L160" authorId="6">
      <text>
        <r>
          <rPr>
            <b/>
            <sz val="8"/>
            <color indexed="81"/>
            <rFont val="Tahoma"/>
            <family val="2"/>
          </rPr>
          <t>mm98285:</t>
        </r>
        <r>
          <rPr>
            <sz val="8"/>
            <color indexed="81"/>
            <rFont val="Tahoma"/>
            <family val="2"/>
          </rPr>
          <t xml:space="preserve">
-15% in Nov. (Cyber Monday shift to Dec); Dec. +11%
Jan. +12%</t>
        </r>
      </text>
    </comment>
    <comment ref="S160" authorId="0">
      <text>
        <r>
          <rPr>
            <b/>
            <sz val="8"/>
            <color indexed="81"/>
            <rFont val="Tahoma"/>
            <family val="2"/>
          </rPr>
          <t>kahng:</t>
        </r>
        <r>
          <rPr>
            <sz val="8"/>
            <color indexed="81"/>
            <rFont val="Tahoma"/>
            <family val="2"/>
          </rPr>
          <t xml:space="preserve">
formula excludes LS for a like for like comparison based on reclassified VS revenue (excl LS)</t>
        </r>
      </text>
    </comment>
    <comment ref="BC160" authorId="6">
      <text>
        <r>
          <rPr>
            <sz val="8"/>
            <color indexed="81"/>
            <rFont val="Tahoma"/>
            <family val="2"/>
          </rPr>
          <t>10K: net sales decreased $98 million to $1.065 billion primarily driven by a decrease in Mast sales as well as the personal care joint venture that was sold in the first quarter of 2008</t>
        </r>
        <r>
          <rPr>
            <b/>
            <sz val="8"/>
            <color indexed="81"/>
            <rFont val="Tahoma"/>
            <family val="2"/>
          </rPr>
          <t xml:space="preserve">
mm98285:</t>
        </r>
        <r>
          <rPr>
            <sz val="8"/>
            <color indexed="81"/>
            <rFont val="Tahoma"/>
            <family val="2"/>
          </rPr>
          <t xml:space="preserve">
3/09: includes $86M decline in Mast 3rd party sales &amp; personal care JV that was sold in 1Q
8/08: expect down -$40</t>
        </r>
      </text>
    </comment>
    <comment ref="CV160" authorId="6">
      <text>
        <r>
          <rPr>
            <b/>
            <sz val="8"/>
            <color indexed="81"/>
            <rFont val="Tahoma"/>
            <family val="2"/>
          </rPr>
          <t>mm98285:</t>
        </r>
        <r>
          <rPr>
            <sz val="8"/>
            <color indexed="81"/>
            <rFont val="Tahoma"/>
            <family val="2"/>
          </rPr>
          <t xml:space="preserve">
2/08: expect improvement from VSD given op deterioration LY (also have to take out gift card breakage LY to get comparable margin of 16.4%)</t>
        </r>
      </text>
    </comment>
    <comment ref="DT160" authorId="6">
      <text>
        <r>
          <rPr>
            <b/>
            <sz val="8"/>
            <color indexed="81"/>
            <rFont val="Tahoma"/>
            <family val="2"/>
          </rPr>
          <t>mm98285:</t>
        </r>
        <r>
          <rPr>
            <sz val="8"/>
            <color indexed="81"/>
            <rFont val="Tahoma"/>
            <family val="2"/>
          </rPr>
          <t xml:space="preserve">
8/08: expect $(32)</t>
        </r>
      </text>
    </comment>
    <comment ref="R161" authorId="0">
      <text>
        <r>
          <rPr>
            <b/>
            <sz val="8"/>
            <color indexed="81"/>
            <rFont val="Tahoma"/>
            <family val="2"/>
          </rPr>
          <t>kahng:</t>
        </r>
        <r>
          <rPr>
            <sz val="8"/>
            <color indexed="81"/>
            <rFont val="Tahoma"/>
            <family val="2"/>
          </rPr>
          <t xml:space="preserve">
2/22/12: VS division restated on 2/22/12 to exclude LS, which is now classified under "Other". See hidden rows for prior reporting.</t>
        </r>
      </text>
    </comment>
    <comment ref="AZ161" authorId="6">
      <text>
        <r>
          <rPr>
            <b/>
            <sz val="8"/>
            <color indexed="81"/>
            <rFont val="Tahoma"/>
            <family val="2"/>
          </rPr>
          <t>mm98285:</t>
        </r>
        <r>
          <rPr>
            <sz val="8"/>
            <color indexed="81"/>
            <rFont val="Tahoma"/>
            <family val="2"/>
          </rPr>
          <t xml:space="preserve">
assume 8% sq ft growth at 75% productivity, and +LSD comp yields 8% sales growth</t>
        </r>
      </text>
    </comment>
    <comment ref="BC161" authorId="6">
      <text>
        <r>
          <rPr>
            <b/>
            <sz val="8"/>
            <color indexed="81"/>
            <rFont val="Tahoma"/>
            <family val="2"/>
          </rPr>
          <t>mm98285:</t>
        </r>
        <r>
          <rPr>
            <sz val="8"/>
            <color indexed="81"/>
            <rFont val="Tahoma"/>
            <family val="2"/>
          </rPr>
          <t xml:space="preserve">
10/07: assume Henri Bendel revenue of $42mm, Mast revenue of $1,125 (includes Limited &amp; Express rev of $650 and excludes ANF rev of $250), &amp; $42 other JV =&gt; $1,209mm</t>
        </r>
      </text>
    </comment>
    <comment ref="DT161" authorId="6">
      <text>
        <r>
          <rPr>
            <b/>
            <sz val="8"/>
            <color indexed="81"/>
            <rFont val="Tahoma"/>
            <family val="2"/>
          </rPr>
          <t>mm98285:</t>
        </r>
        <r>
          <rPr>
            <sz val="8"/>
            <color indexed="81"/>
            <rFont val="Tahoma"/>
            <family val="2"/>
          </rPr>
          <t xml:space="preserve">
3/08: Henri Bendel $10-$15mm loss, Corp Overhead ~$~$250mm (2-2.5% of sales), Mast profit $110-$120mm (ANF orders fell somewhat in 3Q07 and all of 4Q07, so still impacting in 1Q/2Q08 and part of 3Q08, plus Express and Limited stores lowering purchases thru MAST starting in 2008 pressuring MAST profit)
10/07: Henri Bendel $10-$15mm loss, Corp Overhead ~$300mm (after $100mm savings), JV's loss of ~$20mm (N2N), offset by Mast profit of $140 (or MSD op. margin on total revenue base of $3b - incl internal sales &amp; 3rd party - minus $10-$15 for lost ANF business) =&gt; </t>
        </r>
        <r>
          <rPr>
            <b/>
            <sz val="8"/>
            <color indexed="81"/>
            <rFont val="Tahoma"/>
            <family val="2"/>
          </rPr>
          <t>$190mm loss</t>
        </r>
      </text>
    </comment>
    <comment ref="L164" authorId="6">
      <text>
        <r>
          <rPr>
            <b/>
            <sz val="8"/>
            <color indexed="81"/>
            <rFont val="Tahoma"/>
            <family val="2"/>
          </rPr>
          <t>mm98285:</t>
        </r>
        <r>
          <rPr>
            <sz val="8"/>
            <color indexed="81"/>
            <rFont val="Tahoma"/>
            <family val="2"/>
          </rPr>
          <t xml:space="preserve">
April -17%
March -14%
Feb: -19%</t>
        </r>
      </text>
    </comment>
    <comment ref="BC164" authorId="8">
      <text>
        <r>
          <rPr>
            <b/>
            <sz val="8"/>
            <color indexed="81"/>
            <rFont val="Tahoma"/>
            <family val="2"/>
          </rPr>
          <t>sancfa:</t>
        </r>
        <r>
          <rPr>
            <sz val="8"/>
            <color indexed="81"/>
            <rFont val="Tahoma"/>
            <family val="2"/>
          </rPr>
          <t xml:space="preserve">
10Q: gross profit declined as a result of the divestiture of a joint venture in April 2008. The gross profit rate increased as a result of a
decline in lower margin Mast third-party sales</t>
        </r>
      </text>
    </comment>
    <comment ref="L165" authorId="6">
      <text>
        <r>
          <rPr>
            <b/>
            <sz val="8"/>
            <color indexed="81"/>
            <rFont val="Tahoma"/>
            <family val="2"/>
          </rPr>
          <t>mm98285:</t>
        </r>
        <r>
          <rPr>
            <sz val="8"/>
            <color indexed="81"/>
            <rFont val="Tahoma"/>
            <family val="2"/>
          </rPr>
          <t xml:space="preserve">
May -11%
June -21%</t>
        </r>
      </text>
    </comment>
    <comment ref="BC165" authorId="8">
      <text>
        <r>
          <rPr>
            <b/>
            <sz val="8"/>
            <color indexed="81"/>
            <rFont val="Tahoma"/>
            <family val="2"/>
          </rPr>
          <t>sancfa:</t>
        </r>
        <r>
          <rPr>
            <sz val="8"/>
            <color indexed="81"/>
            <rFont val="Tahoma"/>
            <family val="2"/>
          </rPr>
          <t xml:space="preserve">
10Q: For year-to-date 2009, net sales decreased $107 million to $425 million related to lower third-party sales at Mast.</t>
        </r>
      </text>
    </comment>
    <comment ref="CV165" authorId="6">
      <text>
        <r>
          <rPr>
            <b/>
            <sz val="8"/>
            <color indexed="81"/>
            <rFont val="Tahoma"/>
            <family val="2"/>
          </rPr>
          <t>mm98285:</t>
        </r>
        <r>
          <rPr>
            <sz val="8"/>
            <color indexed="81"/>
            <rFont val="Tahoma"/>
            <family val="2"/>
          </rPr>
          <t xml:space="preserve">
lower merchandise margin given higher promo activity to drive sales &amp; B&amp;O deleverage</t>
        </r>
      </text>
    </comment>
    <comment ref="DC165" authorId="6">
      <text>
        <r>
          <rPr>
            <b/>
            <sz val="8"/>
            <color indexed="81"/>
            <rFont val="Tahoma"/>
            <family val="2"/>
          </rPr>
          <t>mm98285:</t>
        </r>
        <r>
          <rPr>
            <sz val="8"/>
            <color indexed="81"/>
            <rFont val="Tahoma"/>
            <family val="2"/>
          </rPr>
          <t xml:space="preserve">
higher merchandise margin rate partially offset by B&amp;O delevg</t>
        </r>
      </text>
    </comment>
    <comment ref="E166" authorId="6">
      <text>
        <r>
          <rPr>
            <b/>
            <sz val="8"/>
            <color indexed="81"/>
            <rFont val="Tahoma"/>
            <family val="2"/>
          </rPr>
          <t>mm98285:</t>
        </r>
        <r>
          <rPr>
            <sz val="8"/>
            <color indexed="81"/>
            <rFont val="Tahoma"/>
            <family val="2"/>
          </rPr>
          <t xml:space="preserve">
declines in many intimate apparel cats mostly offset by growth in new and expanded stores, and increases in Pink, beauty and swimwear</t>
        </r>
      </text>
    </comment>
    <comment ref="K166" authorId="6">
      <text>
        <r>
          <rPr>
            <b/>
            <sz val="8"/>
            <color indexed="81"/>
            <rFont val="Tahoma"/>
            <family val="2"/>
          </rPr>
          <t>mm98285:</t>
        </r>
        <r>
          <rPr>
            <sz val="8"/>
            <color indexed="81"/>
            <rFont val="Tahoma"/>
            <family val="2"/>
          </rPr>
          <t xml:space="preserve">
10Q: declines in apparel partially offset by growth in many intimate apparel categories</t>
        </r>
      </text>
    </comment>
    <comment ref="L166" authorId="6">
      <text>
        <r>
          <rPr>
            <b/>
            <sz val="8"/>
            <color indexed="81"/>
            <rFont val="Tahoma"/>
            <family val="2"/>
          </rPr>
          <t>mm98285:</t>
        </r>
        <r>
          <rPr>
            <sz val="8"/>
            <color indexed="81"/>
            <rFont val="Tahoma"/>
            <family val="2"/>
          </rPr>
          <t xml:space="preserve">
August -14%
Sept -3%
October -7%</t>
        </r>
      </text>
    </comment>
    <comment ref="W166" authorId="6">
      <text>
        <r>
          <rPr>
            <b/>
            <sz val="8"/>
            <color indexed="81"/>
            <rFont val="Tahoma"/>
            <family val="2"/>
          </rPr>
          <t>mm98285:</t>
        </r>
        <r>
          <rPr>
            <sz val="8"/>
            <color indexed="81"/>
            <rFont val="Tahoma"/>
            <family val="2"/>
          </rPr>
          <t xml:space="preserve">
10Q: increases in Sig. Coll and home fragrance partially offset by decreases in perf brands and discon't product lines</t>
        </r>
      </text>
    </comment>
    <comment ref="AZ166" authorId="6">
      <text>
        <r>
          <rPr>
            <b/>
            <sz val="8"/>
            <color indexed="81"/>
            <rFont val="Tahoma"/>
            <family val="2"/>
          </rPr>
          <t>mm98285:</t>
        </r>
        <r>
          <rPr>
            <sz val="8"/>
            <color indexed="81"/>
            <rFont val="Tahoma"/>
            <family val="2"/>
          </rPr>
          <t xml:space="preserve">
10Q: declines in international business and Candian retail slightly offset by favorable FX translation adjustments</t>
        </r>
      </text>
    </comment>
    <comment ref="BC166" authorId="6">
      <text>
        <r>
          <rPr>
            <sz val="8"/>
            <color indexed="81"/>
            <rFont val="Tahoma"/>
            <family val="2"/>
          </rPr>
          <t>10Q: net sales decreased $47 million to $260 million related to a decline in third-party sales at Mast partially offset by net sales
primarily related to the introduction of our brands into Canada.</t>
        </r>
        <r>
          <rPr>
            <b/>
            <sz val="8"/>
            <color indexed="81"/>
            <rFont val="Tahoma"/>
            <family val="2"/>
          </rPr>
          <t xml:space="preserve">
mm98285:</t>
        </r>
        <r>
          <rPr>
            <sz val="8"/>
            <color indexed="81"/>
            <rFont val="Tahoma"/>
            <family val="2"/>
          </rPr>
          <t xml:space="preserve">
10Q: LTD recognized merchandise sourcing revenue in 3Q09 from Express of $107M vs. $129M LY ($260M YTD vs. $343M LY) &amp; $18M from Limited Stores vs. $28M LY or ($44M YTD vs. $77M LY). These amounts are net of elimination of 25% gross merchandise sourcing rev. given 25% ownership</t>
        </r>
      </text>
    </comment>
    <comment ref="BD166" authorId="6">
      <text>
        <r>
          <rPr>
            <b/>
            <sz val="8"/>
            <color indexed="81"/>
            <rFont val="Tahoma"/>
            <family val="2"/>
          </rPr>
          <t>mm98285:</t>
        </r>
        <r>
          <rPr>
            <sz val="8"/>
            <color indexed="81"/>
            <rFont val="Tahoma"/>
            <family val="2"/>
          </rPr>
          <t xml:space="preserve">
8/09: Exp &amp; Lim. contracted purchase rate comes down in 3Q
5/09: Mast sales down 30-40% in 3Q</t>
        </r>
      </text>
    </comment>
    <comment ref="CV166" authorId="6">
      <text>
        <r>
          <rPr>
            <b/>
            <sz val="8"/>
            <color indexed="81"/>
            <rFont val="Tahoma"/>
            <family val="2"/>
          </rPr>
          <t>mm98285:</t>
        </r>
        <r>
          <rPr>
            <sz val="8"/>
            <color indexed="81"/>
            <rFont val="Tahoma"/>
            <family val="2"/>
          </rPr>
          <t xml:space="preserve">
decrease in MM due to factors below; B&amp;O deleverage associated with comp decline
VSS: lower MM given increased promo activity to drive sales, VSD: lower MM decline in sales and increased promos to drive sales; LS: decline in sales largely offsetr by higher MM driven by F/X fluctuations</t>
        </r>
      </text>
    </comment>
    <comment ref="DC166" authorId="6">
      <text>
        <r>
          <rPr>
            <b/>
            <sz val="8"/>
            <color indexed="81"/>
            <rFont val="Tahoma"/>
            <family val="2"/>
          </rPr>
          <t>mm98285:</t>
        </r>
        <r>
          <rPr>
            <sz val="8"/>
            <color indexed="81"/>
            <rFont val="Tahoma"/>
            <family val="2"/>
          </rPr>
          <t xml:space="preserve">
increase in MM due to higher net sales, merchandise cost reduction efforts and improved inventory turnover, partially offset by promo activity to drive traffic; B&amp;O leverage due to increase sales and reduction in store real estate activity</t>
        </r>
      </text>
    </comment>
    <comment ref="DT166" authorId="6">
      <text>
        <r>
          <rPr>
            <b/>
            <sz val="8"/>
            <color indexed="81"/>
            <rFont val="Tahoma"/>
            <family val="2"/>
          </rPr>
          <t>mm98285:</t>
        </r>
        <r>
          <rPr>
            <sz val="8"/>
            <color indexed="81"/>
            <rFont val="Tahoma"/>
            <family val="2"/>
          </rPr>
          <t xml:space="preserve">
8/09: Amie said $(19)-$(20) sounded reasonable</t>
        </r>
      </text>
    </comment>
    <comment ref="L167" authorId="6">
      <text>
        <r>
          <rPr>
            <b/>
            <sz val="8"/>
            <color indexed="81"/>
            <rFont val="Tahoma"/>
            <family val="2"/>
          </rPr>
          <t>mm98285:</t>
        </r>
        <r>
          <rPr>
            <sz val="8"/>
            <color indexed="81"/>
            <rFont val="Tahoma"/>
            <family val="2"/>
          </rPr>
          <t xml:space="preserve">
Nov. +3%
Dec. +2%</t>
        </r>
      </text>
    </comment>
    <comment ref="BC167" authorId="8">
      <text>
        <r>
          <rPr>
            <b/>
            <sz val="8"/>
            <color indexed="81"/>
            <rFont val="Tahoma"/>
            <family val="2"/>
          </rPr>
          <t>sancfa:</t>
        </r>
        <r>
          <rPr>
            <sz val="8"/>
            <color indexed="81"/>
            <rFont val="Tahoma"/>
            <family val="2"/>
          </rPr>
          <t xml:space="preserve">
10K: For 2009, net sales decreased $123 million to $942 million related to a decline in third-party sales at Mast partially offset by net sales primarily related to the introduction of Bath &amp; Body Works and Victoria's Secret Pink into Canada.</t>
        </r>
      </text>
    </comment>
    <comment ref="BD167" authorId="6">
      <text>
        <r>
          <rPr>
            <b/>
            <sz val="8"/>
            <color indexed="81"/>
            <rFont val="Tahoma"/>
            <family val="2"/>
          </rPr>
          <t>mm98285:</t>
        </r>
        <r>
          <rPr>
            <sz val="8"/>
            <color indexed="81"/>
            <rFont val="Tahoma"/>
            <family val="2"/>
          </rPr>
          <t xml:space="preserve">
5/09: Mast sales flat in 4Q</t>
        </r>
      </text>
    </comment>
    <comment ref="DT167" authorId="6">
      <text>
        <r>
          <rPr>
            <b/>
            <sz val="8"/>
            <color indexed="81"/>
            <rFont val="Tahoma"/>
            <family val="2"/>
          </rPr>
          <t>mm98285:</t>
        </r>
        <r>
          <rPr>
            <sz val="8"/>
            <color indexed="81"/>
            <rFont val="Tahoma"/>
            <family val="2"/>
          </rPr>
          <t xml:space="preserve">
8/09: Amie said could be around $(30)M</t>
        </r>
      </text>
    </comment>
    <comment ref="L168" authorId="6">
      <text>
        <r>
          <rPr>
            <b/>
            <sz val="8"/>
            <color indexed="81"/>
            <rFont val="Tahoma"/>
            <family val="2"/>
          </rPr>
          <t>mm98285:</t>
        </r>
        <r>
          <rPr>
            <sz val="8"/>
            <color indexed="81"/>
            <rFont val="Tahoma"/>
            <family val="2"/>
          </rPr>
          <t xml:space="preserve">
11/09: -10%
8/09: -15%
5/09: expect -10%
2/09: expect (5)-(10)%</t>
        </r>
      </text>
    </comment>
    <comment ref="BD168" authorId="6">
      <text>
        <r>
          <rPr>
            <b/>
            <sz val="8"/>
            <color indexed="81"/>
            <rFont val="Tahoma"/>
            <family val="2"/>
          </rPr>
          <t>mm98285:</t>
        </r>
        <r>
          <rPr>
            <sz val="8"/>
            <color indexed="81"/>
            <rFont val="Tahoma"/>
            <family val="2"/>
          </rPr>
          <t xml:space="preserve">
11/09 &amp; 8/09: -20%
5/09: expect -20%
2/09: Mast (15)-(20)%</t>
        </r>
      </text>
    </comment>
    <comment ref="DT168" authorId="6">
      <text>
        <r>
          <rPr>
            <b/>
            <sz val="8"/>
            <color indexed="81"/>
            <rFont val="Tahoma"/>
            <family val="2"/>
          </rPr>
          <t>mm98285:</t>
        </r>
        <r>
          <rPr>
            <sz val="8"/>
            <color indexed="81"/>
            <rFont val="Tahoma"/>
            <family val="2"/>
          </rPr>
          <t xml:space="preserve">
per Amie (10/10) ($79) loss includes:
($200) corporate overhead
($10-15) Henri Bendel
$120-150 Mast profit, or MSD operating margin rate on sales (just under $3bn)
Some growth in int'l profitability
2/09: expect a couple million improvement per quarter through 2009</t>
        </r>
      </text>
    </comment>
    <comment ref="E171" authorId="9">
      <text>
        <r>
          <rPr>
            <b/>
            <sz val="8"/>
            <color indexed="81"/>
            <rFont val="Tahoma"/>
            <family val="2"/>
          </rPr>
          <t>ns66486:</t>
        </r>
        <r>
          <rPr>
            <sz val="8"/>
            <color indexed="81"/>
            <rFont val="Tahoma"/>
            <family val="2"/>
          </rPr>
          <t xml:space="preserve">
we est 820mm</t>
        </r>
      </text>
    </comment>
    <comment ref="K171" authorId="9">
      <text>
        <r>
          <rPr>
            <b/>
            <sz val="8"/>
            <color indexed="81"/>
            <rFont val="Tahoma"/>
            <family val="2"/>
          </rPr>
          <t>ns66486:</t>
        </r>
        <r>
          <rPr>
            <sz val="8"/>
            <color indexed="81"/>
            <rFont val="Tahoma"/>
            <family val="2"/>
          </rPr>
          <t xml:space="preserve">
we est 340 mm</t>
        </r>
      </text>
    </comment>
    <comment ref="L171" authorId="6">
      <text>
        <r>
          <rPr>
            <b/>
            <sz val="8"/>
            <color indexed="81"/>
            <rFont val="Tahoma"/>
            <family val="2"/>
          </rPr>
          <t>mm98285:</t>
        </r>
        <r>
          <rPr>
            <sz val="8"/>
            <color indexed="81"/>
            <rFont val="Tahoma"/>
            <family val="2"/>
          </rPr>
          <t xml:space="preserve">
April -17%
March -14%
Feb: -19%</t>
        </r>
      </text>
    </comment>
    <comment ref="R171" authorId="9">
      <text>
        <r>
          <rPr>
            <b/>
            <sz val="8"/>
            <color indexed="81"/>
            <rFont val="Tahoma"/>
            <family val="2"/>
          </rPr>
          <t>ns66486:</t>
        </r>
        <r>
          <rPr>
            <sz val="8"/>
            <color indexed="81"/>
            <rFont val="Tahoma"/>
            <family val="2"/>
          </rPr>
          <t xml:space="preserve">
we est 1241mm</t>
        </r>
      </text>
    </comment>
    <comment ref="W171" authorId="9">
      <text>
        <r>
          <rPr>
            <b/>
            <sz val="8"/>
            <color indexed="81"/>
            <rFont val="Tahoma"/>
            <family val="2"/>
          </rPr>
          <t>ns66486:</t>
        </r>
        <r>
          <rPr>
            <sz val="8"/>
            <color indexed="81"/>
            <rFont val="Tahoma"/>
            <family val="2"/>
          </rPr>
          <t xml:space="preserve">
we est 429mm</t>
        </r>
      </text>
    </comment>
    <comment ref="AZ171" authorId="9">
      <text>
        <r>
          <rPr>
            <b/>
            <sz val="8"/>
            <color indexed="81"/>
            <rFont val="Tahoma"/>
            <family val="2"/>
          </rPr>
          <t>ns66486:</t>
        </r>
        <r>
          <rPr>
            <sz val="8"/>
            <color indexed="81"/>
            <rFont val="Tahoma"/>
            <family val="2"/>
          </rPr>
          <t xml:space="preserve">
we est 81mm</t>
        </r>
      </text>
    </comment>
    <comment ref="CV171" authorId="10">
      <text>
        <r>
          <rPr>
            <b/>
            <sz val="8"/>
            <color indexed="81"/>
            <rFont val="Tahoma"/>
            <family val="2"/>
          </rPr>
          <t>nicholjs:</t>
        </r>
        <r>
          <rPr>
            <sz val="8"/>
            <color indexed="81"/>
            <rFont val="Tahoma"/>
            <family val="2"/>
          </rPr>
          <t xml:space="preserve">
increase in merch margin due to factors below; B+O rate decreased due to leverage
* VSS higher merch margin on sales and decreased promotions
* VSD higher merch margin on sales and decreased promotions
* La Senza gross margin flat</t>
        </r>
      </text>
    </comment>
    <comment ref="DC171" authorId="10">
      <text>
        <r>
          <rPr>
            <b/>
            <sz val="8"/>
            <color indexed="81"/>
            <rFont val="Tahoma"/>
            <family val="2"/>
          </rPr>
          <t>nicholjs:</t>
        </r>
        <r>
          <rPr>
            <sz val="8"/>
            <color indexed="81"/>
            <rFont val="Tahoma"/>
            <family val="2"/>
          </rPr>
          <t xml:space="preserve">
increase in merchandise margin (sales, decreased promotions); B+O rate decreased due to leverage</t>
        </r>
      </text>
    </comment>
    <comment ref="E172" authorId="10">
      <text>
        <r>
          <rPr>
            <b/>
            <sz val="8"/>
            <color indexed="81"/>
            <rFont val="Tahoma"/>
            <family val="2"/>
          </rPr>
          <t>nicholjs:</t>
        </r>
        <r>
          <rPr>
            <sz val="8"/>
            <color indexed="81"/>
            <rFont val="Tahoma"/>
            <family val="2"/>
          </rPr>
          <t xml:space="preserve">
we est 901</t>
        </r>
      </text>
    </comment>
    <comment ref="K172" authorId="10">
      <text>
        <r>
          <rPr>
            <b/>
            <sz val="8"/>
            <color indexed="81"/>
            <rFont val="Tahoma"/>
            <family val="2"/>
          </rPr>
          <t>nicholjs:</t>
        </r>
        <r>
          <rPr>
            <sz val="8"/>
            <color indexed="81"/>
            <rFont val="Tahoma"/>
            <family val="2"/>
          </rPr>
          <t xml:space="preserve">
we est 377</t>
        </r>
      </text>
    </comment>
    <comment ref="L172" authorId="11">
      <text>
        <r>
          <rPr>
            <b/>
            <sz val="8"/>
            <color indexed="81"/>
            <rFont val="Tahoma"/>
            <family val="2"/>
          </rPr>
          <t>NS66486:</t>
        </r>
        <r>
          <rPr>
            <sz val="8"/>
            <color indexed="81"/>
            <rFont val="Tahoma"/>
            <family val="2"/>
          </rPr>
          <t xml:space="preserve">
May +4%
June +17%
July +2%</t>
        </r>
      </text>
    </comment>
    <comment ref="W172" authorId="10">
      <text>
        <r>
          <rPr>
            <b/>
            <sz val="8"/>
            <color indexed="81"/>
            <rFont val="Tahoma"/>
            <family val="2"/>
          </rPr>
          <t>nicholjs:</t>
        </r>
        <r>
          <rPr>
            <sz val="8"/>
            <color indexed="81"/>
            <rFont val="Tahoma"/>
            <family val="2"/>
          </rPr>
          <t xml:space="preserve">
we est $526</t>
        </r>
      </text>
    </comment>
    <comment ref="AZ172" authorId="10">
      <text>
        <r>
          <rPr>
            <b/>
            <sz val="8"/>
            <color indexed="81"/>
            <rFont val="Tahoma"/>
            <family val="2"/>
          </rPr>
          <t>nicholjs:</t>
        </r>
        <r>
          <rPr>
            <sz val="8"/>
            <color indexed="81"/>
            <rFont val="Tahoma"/>
            <family val="2"/>
          </rPr>
          <t xml:space="preserve">
we est 109</t>
        </r>
      </text>
    </comment>
    <comment ref="CV172" authorId="10">
      <text>
        <r>
          <rPr>
            <b/>
            <sz val="8"/>
            <color indexed="81"/>
            <rFont val="Tahoma"/>
            <family val="2"/>
          </rPr>
          <t>nicholjs:</t>
        </r>
        <r>
          <rPr>
            <sz val="8"/>
            <color indexed="81"/>
            <rFont val="Tahoma"/>
            <family val="2"/>
          </rPr>
          <t xml:space="preserve">
MM increased due to following factors:
*VSS higher merchandise margin on comps and decreased promotions
* VSD higher merchandise margin on comps and decreased promotions
* La Senza higher merchandise margin on decreased promotional activity and
favorable currency fluctuations
B+O leverage due to sales growth
</t>
        </r>
      </text>
    </comment>
    <comment ref="DC172" authorId="10">
      <text>
        <r>
          <rPr>
            <b/>
            <sz val="8"/>
            <color indexed="81"/>
            <rFont val="Tahoma"/>
            <family val="2"/>
          </rPr>
          <t>nicholjs:</t>
        </r>
        <r>
          <rPr>
            <sz val="8"/>
            <color indexed="81"/>
            <rFont val="Tahoma"/>
            <family val="2"/>
          </rPr>
          <t xml:space="preserve">
increase in merchandise margin (comps, decreased promotions); B+O rate was ~flat</t>
        </r>
      </text>
    </comment>
    <comment ref="DT172" authorId="9">
      <text>
        <r>
          <rPr>
            <b/>
            <sz val="8"/>
            <color indexed="81"/>
            <rFont val="Tahoma"/>
            <family val="2"/>
          </rPr>
          <t>ns66486:</t>
        </r>
        <r>
          <rPr>
            <sz val="8"/>
            <color indexed="81"/>
            <rFont val="Tahoma"/>
            <family val="2"/>
          </rPr>
          <t xml:space="preserve">
5/10: expect $(15)</t>
        </r>
      </text>
    </comment>
    <comment ref="L173" authorId="10">
      <text>
        <r>
          <rPr>
            <b/>
            <sz val="8"/>
            <color indexed="81"/>
            <rFont val="Tahoma"/>
            <family val="2"/>
          </rPr>
          <t>nicholjs:</t>
        </r>
        <r>
          <rPr>
            <sz val="8"/>
            <color indexed="81"/>
            <rFont val="Tahoma"/>
            <family val="2"/>
          </rPr>
          <t xml:space="preserve">
August: +9%
September: +1%
October: +2%</t>
        </r>
      </text>
    </comment>
    <comment ref="DT173" authorId="9">
      <text>
        <r>
          <rPr>
            <b/>
            <sz val="8"/>
            <color indexed="81"/>
            <rFont val="Tahoma"/>
            <family val="2"/>
          </rPr>
          <t>ns66486:</t>
        </r>
        <r>
          <rPr>
            <sz val="8"/>
            <color indexed="81"/>
            <rFont val="Tahoma"/>
            <family val="2"/>
          </rPr>
          <t xml:space="preserve">
5/10: expect $(6)</t>
        </r>
      </text>
    </comment>
    <comment ref="L174" authorId="10">
      <text>
        <r>
          <rPr>
            <b/>
            <sz val="8"/>
            <color indexed="81"/>
            <rFont val="Tahoma"/>
            <family val="2"/>
          </rPr>
          <t>nicholjs:</t>
        </r>
        <r>
          <rPr>
            <sz val="8"/>
            <color indexed="81"/>
            <rFont val="Tahoma"/>
            <family val="2"/>
          </rPr>
          <t xml:space="preserve">
Nov: +10%
Dec: +11%
Jan: +5%</t>
        </r>
      </text>
    </comment>
    <comment ref="CV174" authorId="10">
      <text>
        <r>
          <rPr>
            <b/>
            <sz val="8"/>
            <color indexed="81"/>
            <rFont val="Tahoma"/>
            <family val="2"/>
          </rPr>
          <t>nicholjs:</t>
        </r>
        <r>
          <rPr>
            <sz val="8"/>
            <color indexed="81"/>
            <rFont val="Tahoma"/>
            <family val="2"/>
          </rPr>
          <t xml:space="preserve">
increase in GM rate driven by decrease in B+O expense as % of sales as well as increase in merch margin rate</t>
        </r>
      </text>
    </comment>
    <comment ref="DC174" authorId="10">
      <text>
        <r>
          <rPr>
            <b/>
            <sz val="8"/>
            <color indexed="81"/>
            <rFont val="Tahoma"/>
            <family val="2"/>
          </rPr>
          <t>nicholjs:</t>
        </r>
        <r>
          <rPr>
            <sz val="8"/>
            <color indexed="81"/>
            <rFont val="Tahoma"/>
            <family val="2"/>
          </rPr>
          <t xml:space="preserve">
increase in GM rate driven by increase in merch margin rate, partially offset by increase in B+O</t>
        </r>
      </text>
    </comment>
    <comment ref="DT174" authorId="9">
      <text>
        <r>
          <rPr>
            <b/>
            <sz val="8"/>
            <color indexed="81"/>
            <rFont val="Tahoma"/>
            <family val="2"/>
          </rPr>
          <t>ns66486:</t>
        </r>
        <r>
          <rPr>
            <sz val="8"/>
            <color indexed="81"/>
            <rFont val="Tahoma"/>
            <family val="2"/>
          </rPr>
          <t xml:space="preserve">
1/2011: $(9) implies $1.20 eps for the qtr
11/10: $(9) ok
5/10: expect $(10)</t>
        </r>
      </text>
    </comment>
    <comment ref="K175" authorId="10">
      <text>
        <r>
          <rPr>
            <b/>
            <sz val="8"/>
            <color indexed="81"/>
            <rFont val="Tahoma"/>
            <family val="2"/>
          </rPr>
          <t>nicholjs:</t>
        </r>
        <r>
          <rPr>
            <sz val="8"/>
            <color indexed="81"/>
            <rFont val="Tahoma"/>
            <family val="2"/>
          </rPr>
          <t xml:space="preserve">
over $150mm in sales to over 200 countries internationally</t>
        </r>
      </text>
    </comment>
    <comment ref="AZ175" authorId="10">
      <text>
        <r>
          <rPr>
            <b/>
            <sz val="8"/>
            <color indexed="81"/>
            <rFont val="Tahoma"/>
            <family val="2"/>
          </rPr>
          <t>nicholjs:</t>
        </r>
        <r>
          <rPr>
            <sz val="8"/>
            <color indexed="81"/>
            <rFont val="Tahoma"/>
            <family val="2"/>
          </rPr>
          <t xml:space="preserve">
LaSenza break-even in 2010
* More than 250 La Senza stores in Canada, online, and addt'lly La Senza has 463 stores in 45 countries operating under licensing arrangements.</t>
        </r>
      </text>
    </comment>
    <comment ref="BD175" authorId="6">
      <text>
        <r>
          <rPr>
            <b/>
            <sz val="8"/>
            <color indexed="81"/>
            <rFont val="Tahoma"/>
            <family val="2"/>
          </rPr>
          <t>mm98285:</t>
        </r>
        <r>
          <rPr>
            <sz val="8"/>
            <color indexed="81"/>
            <rFont val="Tahoma"/>
            <family val="2"/>
          </rPr>
          <t xml:space="preserve">
2/10: expect improvement with int'l sales; Mast rev. stabalization (but pressure from cost side to drive lower margis)</t>
        </r>
      </text>
    </comment>
    <comment ref="CT175" authorId="10">
      <text>
        <r>
          <rPr>
            <b/>
            <sz val="8"/>
            <color indexed="81"/>
            <rFont val="Tahoma"/>
            <family val="2"/>
          </rPr>
          <t>nicholjs:</t>
        </r>
        <r>
          <rPr>
            <sz val="8"/>
            <color indexed="81"/>
            <rFont val="Tahoma"/>
            <family val="2"/>
          </rPr>
          <t xml:space="preserve">
D&amp;A $168
EBITDA $1045</t>
        </r>
      </text>
    </comment>
    <comment ref="CV175" authorId="10">
      <text>
        <r>
          <rPr>
            <b/>
            <sz val="8"/>
            <color indexed="81"/>
            <rFont val="Tahoma"/>
            <family val="2"/>
          </rPr>
          <t>nicholjs:</t>
        </r>
        <r>
          <rPr>
            <sz val="8"/>
            <color indexed="81"/>
            <rFont val="Tahoma"/>
            <family val="2"/>
          </rPr>
          <t xml:space="preserve">
GM rate increase driven by higher merch margin rate, in addition B+O expense leveraged w/ sales</t>
        </r>
      </text>
    </comment>
    <comment ref="DA175" authorId="10">
      <text>
        <r>
          <rPr>
            <b/>
            <sz val="8"/>
            <color indexed="81"/>
            <rFont val="Tahoma"/>
            <family val="2"/>
          </rPr>
          <t>nicholjs:</t>
        </r>
        <r>
          <rPr>
            <sz val="8"/>
            <color indexed="81"/>
            <rFont val="Tahoma"/>
            <family val="2"/>
          </rPr>
          <t xml:space="preserve">
D&amp;A $55
EBITDA $519</t>
        </r>
      </text>
    </comment>
    <comment ref="DC175" authorId="10">
      <text>
        <r>
          <rPr>
            <b/>
            <sz val="8"/>
            <color indexed="81"/>
            <rFont val="Tahoma"/>
            <family val="2"/>
          </rPr>
          <t>nicholjs:</t>
        </r>
        <r>
          <rPr>
            <sz val="8"/>
            <color indexed="81"/>
            <rFont val="Tahoma"/>
            <family val="2"/>
          </rPr>
          <t xml:space="preserve">
increase in GM rate driven by increases in merch margin rate</t>
        </r>
      </text>
    </comment>
    <comment ref="DT175" authorId="10">
      <text>
        <r>
          <rPr>
            <b/>
            <sz val="8"/>
            <color indexed="81"/>
            <rFont val="Tahoma"/>
            <family val="2"/>
          </rPr>
          <t>nicholjs:</t>
        </r>
        <r>
          <rPr>
            <sz val="8"/>
            <color indexed="81"/>
            <rFont val="Tahoma"/>
            <family val="2"/>
          </rPr>
          <t xml:space="preserve">
The Other segment operating loss is driven by corporate overhead expense and the loss from Henri Bendel, partially offset by operating income from Mast and international business. The $22mm improvement was driven by the allocation of technology cost to Victoria's Secret and an increase in profit from  international business partially offset by a decline in profitability at Mast.
per Amie: Mast profitability +140-150mm.  HB loss about $25mm per year.</t>
        </r>
      </text>
    </comment>
    <comment ref="DV175" authorId="10">
      <text>
        <r>
          <rPr>
            <b/>
            <sz val="8"/>
            <color indexed="81"/>
            <rFont val="Tahoma"/>
            <family val="2"/>
          </rPr>
          <t>nicholjs:</t>
        </r>
        <r>
          <rPr>
            <sz val="8"/>
            <color indexed="81"/>
            <rFont val="Tahoma"/>
            <family val="2"/>
          </rPr>
          <t xml:space="preserve">
10K: For 2010, gross profit increased primarily driven by higher merchandise margin dollars primarily related to the expansion of our Canadian Bath &amp; Body Works and Victoria’s Secret stores. The gross profit rate decreased due to an increase in lower margin Mast Global third-party sales, including the impact of recognizing 100% of Mast Global’s sales to Express and Limited Stores in the third and fourth quarters of 2010.</t>
        </r>
      </text>
    </comment>
    <comment ref="EG175" authorId="10">
      <text>
        <r>
          <rPr>
            <b/>
            <sz val="8"/>
            <color indexed="81"/>
            <rFont val="Tahoma"/>
            <family val="2"/>
          </rPr>
          <t>nicholjs:</t>
        </r>
        <r>
          <rPr>
            <sz val="8"/>
            <color indexed="81"/>
            <rFont val="Tahoma"/>
            <family val="2"/>
          </rPr>
          <t xml:space="preserve">
* 323 retail stores in Canada
* 463 independently owned La Senza stores operated under licensing arrangements in 45 countries
* 6 independently owned BBW stores operated by a franchisee in 2 Middle Eastern countries
* 18 independently owned VS TnT as well as various duty free locations</t>
        </r>
      </text>
    </comment>
    <comment ref="G178" authorId="10">
      <text>
        <r>
          <rPr>
            <b/>
            <sz val="8"/>
            <color indexed="81"/>
            <rFont val="Tahoma"/>
            <family val="2"/>
          </rPr>
          <t>nicholjs:</t>
        </r>
        <r>
          <rPr>
            <sz val="8"/>
            <color indexed="81"/>
            <rFont val="Tahoma"/>
            <family val="2"/>
          </rPr>
          <t xml:space="preserve">
10Q: net sales increased across most categories including Pink, core lingerie, swimwear and
beauty driven by a compelling merchandise assortment that incorporated newness, innovation and fashion;</t>
        </r>
      </text>
    </comment>
    <comment ref="L178" authorId="10">
      <text>
        <r>
          <rPr>
            <b/>
            <sz val="8"/>
            <color indexed="81"/>
            <rFont val="Tahoma"/>
            <family val="2"/>
          </rPr>
          <t>nicholjs:</t>
        </r>
        <r>
          <rPr>
            <sz val="8"/>
            <color indexed="81"/>
            <rFont val="Tahoma"/>
            <family val="2"/>
          </rPr>
          <t xml:space="preserve">
February +2%
March +8%
April +5%
10Q: increases across most categories including intimates and swimwear driven by a compelling merchandise  assortment;</t>
        </r>
      </text>
    </comment>
    <comment ref="AC178" authorId="10">
      <text>
        <r>
          <rPr>
            <b/>
            <sz val="8"/>
            <color indexed="81"/>
            <rFont val="Tahoma"/>
            <family val="2"/>
          </rPr>
          <t>nicholjs:</t>
        </r>
        <r>
          <rPr>
            <sz val="8"/>
            <color indexed="81"/>
            <rFont val="Tahoma"/>
            <family val="2"/>
          </rPr>
          <t xml:space="preserve">
10Q: net sales were driven by growth in the Signature Collection (including the re-launch of the men’s line), home fragrance and antibacterial categories which all incorporated newness and innovation</t>
        </r>
      </text>
    </comment>
    <comment ref="BA178" authorId="10">
      <text>
        <r>
          <rPr>
            <b/>
            <sz val="8"/>
            <color indexed="81"/>
            <rFont val="Tahoma"/>
            <family val="2"/>
          </rPr>
          <t>nicholjs:</t>
        </r>
        <r>
          <rPr>
            <sz val="8"/>
            <color indexed="81"/>
            <rFont val="Tahoma"/>
            <family val="2"/>
          </rPr>
          <t xml:space="preserve">
10Q: increased primarily due to favorable currency translation and an increase in the international licensee business partially offset by a decline in the Canadian retail business.</t>
        </r>
      </text>
    </comment>
    <comment ref="BC178" authorId="0">
      <text>
        <r>
          <rPr>
            <sz val="8"/>
            <color indexed="81"/>
            <rFont val="Tahoma"/>
            <family val="2"/>
          </rPr>
          <t>Mast Feb Sales: $70.5M</t>
        </r>
      </text>
    </comment>
    <comment ref="BD178" authorId="10">
      <text>
        <r>
          <rPr>
            <b/>
            <sz val="8"/>
            <color indexed="81"/>
            <rFont val="Tahoma"/>
            <family val="2"/>
          </rPr>
          <t>nicholjs:</t>
        </r>
        <r>
          <rPr>
            <sz val="8"/>
            <color indexed="81"/>
            <rFont val="Tahoma"/>
            <family val="2"/>
          </rPr>
          <t xml:space="preserve">
from 10Q: of incremental $55mm dollars, $25 were sales associated w/ new, non-comparable stores ie int'l) and $28 from Mast third-party sales (acctging change), while F/X added $2mm
first couple qtrs incremental sales due to express and limited accounting changes (75% to 100%)</t>
        </r>
      </text>
    </comment>
    <comment ref="CV178" authorId="10">
      <text>
        <r>
          <rPr>
            <b/>
            <sz val="8"/>
            <color indexed="81"/>
            <rFont val="Tahoma"/>
            <family val="2"/>
          </rPr>
          <t>nicholjs:</t>
        </r>
        <r>
          <rPr>
            <sz val="8"/>
            <color indexed="81"/>
            <rFont val="Tahoma"/>
            <family val="2"/>
          </rPr>
          <t xml:space="preserve">
at VSS: higher merch margin $$ as a result of increase in net sales, partially offset by higher buying and occupancy expenses due to an increase in occupancy expense driven by higher net sales and store related activity
at VSD: higher MM $$ as a result of the increase in net sales and a decrease in promotional activity
increase in GM primarily driven by leverage on buying and occupancy at VSS and increase in MM rate at VSD</t>
        </r>
      </text>
    </comment>
    <comment ref="DC178" authorId="10">
      <text>
        <r>
          <rPr>
            <b/>
            <sz val="8"/>
            <color indexed="81"/>
            <rFont val="Tahoma"/>
            <family val="2"/>
          </rPr>
          <t>nicholjs:</t>
        </r>
        <r>
          <rPr>
            <sz val="8"/>
            <color indexed="81"/>
            <rFont val="Tahoma"/>
            <family val="2"/>
          </rPr>
          <t xml:space="preserve">
10Q: increase in merch margin rate, in addition to buying and occupancy leverage</t>
        </r>
      </text>
    </comment>
    <comment ref="DT178" authorId="10">
      <text>
        <r>
          <rPr>
            <b/>
            <sz val="8"/>
            <color indexed="81"/>
            <rFont val="Tahoma"/>
            <family val="2"/>
          </rPr>
          <t>nicholjs:</t>
        </r>
        <r>
          <rPr>
            <sz val="8"/>
            <color indexed="81"/>
            <rFont val="Tahoma"/>
            <family val="2"/>
          </rPr>
          <t xml:space="preserve">
we estimate this $27mm loss includes about ~$10mm due to legal acrruals.
2/2011: ($14) is okay to use</t>
        </r>
      </text>
    </comment>
    <comment ref="G179" authorId="10">
      <text>
        <r>
          <rPr>
            <b/>
            <sz val="8"/>
            <color indexed="81"/>
            <rFont val="Tahoma"/>
            <family val="2"/>
          </rPr>
          <t>nicholjs:</t>
        </r>
        <r>
          <rPr>
            <sz val="8"/>
            <color indexed="81"/>
            <rFont val="Tahoma"/>
            <family val="2"/>
          </rPr>
          <t xml:space="preserve">
10Q: net sales increased across most categories including Pink, core lingerie, swimwear and beauty
driven by a compelling merchandise assortment that incorporated newness, innovation and fashion</t>
        </r>
      </text>
    </comment>
    <comment ref="L179" authorId="10">
      <text>
        <r>
          <rPr>
            <b/>
            <sz val="8"/>
            <color indexed="81"/>
            <rFont val="Tahoma"/>
            <family val="2"/>
          </rPr>
          <t>nicholjs:</t>
        </r>
        <r>
          <rPr>
            <sz val="8"/>
            <color indexed="81"/>
            <rFont val="Tahoma"/>
            <family val="2"/>
          </rPr>
          <t xml:space="preserve">
10Q: net sales increased 1% related to increases in Pink and swimwear offset by decreases in core lingerie and apparel. Victoria’s Secret Direct sales were negatively impacted by a reduction in Semi-annual sale days
-LSD sounds okay
July likely negative (7 days less Semi Annual sale)
June -2%
May flat (sale started 2 days later this year)
email from Amie: 
VSD does start before stores and the date for their sale is:
This Year - Friday, May 20th to Tuesday, July 5th Total days: 47
Last Year - Wednesday, May 19th to Tuesday, July 13th Total days: 56
</t>
        </r>
      </text>
    </comment>
    <comment ref="AC179" authorId="10">
      <text>
        <r>
          <rPr>
            <b/>
            <sz val="8"/>
            <color indexed="81"/>
            <rFont val="Tahoma"/>
            <family val="2"/>
          </rPr>
          <t>nicholjs:</t>
        </r>
        <r>
          <rPr>
            <sz val="8"/>
            <color indexed="81"/>
            <rFont val="Tahoma"/>
            <family val="2"/>
          </rPr>
          <t xml:space="preserve">
10Q: net sales were driven by growth in the Signature Collection, home fragrance and antibacterial
categories which all incorporated newness and innovation</t>
        </r>
      </text>
    </comment>
    <comment ref="BA179" authorId="10">
      <text>
        <r>
          <rPr>
            <b/>
            <sz val="8"/>
            <color indexed="81"/>
            <rFont val="Tahoma"/>
            <family val="2"/>
          </rPr>
          <t>nicholjs:</t>
        </r>
        <r>
          <rPr>
            <sz val="8"/>
            <color indexed="81"/>
            <rFont val="Tahoma"/>
            <family val="2"/>
          </rPr>
          <t xml:space="preserve">
10Q: increased primarily due to favorable currency translation and an increase in the international
franchise business</t>
        </r>
      </text>
    </comment>
    <comment ref="BD179" authorId="10">
      <text>
        <r>
          <rPr>
            <b/>
            <sz val="8"/>
            <color indexed="81"/>
            <rFont val="Tahoma"/>
            <family val="2"/>
          </rPr>
          <t>nicholjs:</t>
        </r>
        <r>
          <rPr>
            <sz val="8"/>
            <color indexed="81"/>
            <rFont val="Tahoma"/>
            <family val="2"/>
          </rPr>
          <t xml:space="preserve">
over 75% of the increase was attributable to international sales
10Q: of the $67mm in incremental revenue, $1 was comparable store sales, $33 from new and non-comp stores (int'l), $5 from F/X, and $28 from Mast sales due to Express/Limited accounting change</t>
        </r>
      </text>
    </comment>
    <comment ref="CV179" authorId="10">
      <text>
        <r>
          <rPr>
            <b/>
            <sz val="8"/>
            <color indexed="81"/>
            <rFont val="Tahoma"/>
            <family val="2"/>
          </rPr>
          <t>nicholjs:</t>
        </r>
        <r>
          <rPr>
            <sz val="8"/>
            <color indexed="81"/>
            <rFont val="Tahoma"/>
            <family val="2"/>
          </rPr>
          <t xml:space="preserve">
VSS: gross profit increased due to higher merch margin dollars as ar esult of increase in net sales.  Increase in MM $ partially offset by higher B+O expense due to an increase in occupancy expense driven by higher sales and store related activity
VSD: gross profit increase due to higher MM $ as a result of decrease in promotional activity and decrease in B+O expense primarily related to lower fulfillment costs
increase in GM rate primarily driven by leverage on B+O expenses at VSS and increase in MM rate at VSD</t>
        </r>
      </text>
    </comment>
    <comment ref="DC179" authorId="10">
      <text>
        <r>
          <rPr>
            <b/>
            <sz val="8"/>
            <color indexed="81"/>
            <rFont val="Tahoma"/>
            <family val="2"/>
          </rPr>
          <t>nicholjs:</t>
        </r>
        <r>
          <rPr>
            <sz val="8"/>
            <color indexed="81"/>
            <rFont val="Tahoma"/>
            <family val="2"/>
          </rPr>
          <t xml:space="preserve">
10Q: increase in gross profit rate was driven by an increase in MM rate</t>
        </r>
      </text>
    </comment>
    <comment ref="DT179" authorId="10">
      <text>
        <r>
          <rPr>
            <b/>
            <sz val="8"/>
            <color indexed="81"/>
            <rFont val="Tahoma"/>
            <family val="2"/>
          </rPr>
          <t>nicholjs:</t>
        </r>
        <r>
          <rPr>
            <sz val="8"/>
            <color indexed="81"/>
            <rFont val="Tahoma"/>
            <family val="2"/>
          </rPr>
          <t xml:space="preserve">
5/2011: 5-7mm improvement by quarter reasonable place to be</t>
        </r>
      </text>
    </comment>
    <comment ref="F180" authorId="1">
      <text>
        <r>
          <rPr>
            <b/>
            <sz val="9"/>
            <color indexed="81"/>
            <rFont val="Tahoma"/>
            <family val="2"/>
          </rPr>
          <t>casselau:</t>
        </r>
        <r>
          <rPr>
            <sz val="9"/>
            <color indexed="81"/>
            <rFont val="Tahoma"/>
            <family val="2"/>
          </rPr>
          <t xml:space="preserve">
La Senza -4%, total VS -11%</t>
        </r>
      </text>
    </comment>
    <comment ref="L180" authorId="10">
      <text>
        <r>
          <rPr>
            <b/>
            <sz val="8"/>
            <color indexed="81"/>
            <rFont val="Tahoma"/>
            <family val="2"/>
          </rPr>
          <t>nicholjs:</t>
        </r>
        <r>
          <rPr>
            <sz val="8"/>
            <color indexed="81"/>
            <rFont val="Tahoma"/>
            <family val="2"/>
          </rPr>
          <t xml:space="preserve">
August +4%
September +7%</t>
        </r>
      </text>
    </comment>
    <comment ref="BC180" authorId="10">
      <text>
        <r>
          <rPr>
            <b/>
            <sz val="8"/>
            <color indexed="81"/>
            <rFont val="Tahoma"/>
            <family val="2"/>
          </rPr>
          <t>nicholjs:</t>
        </r>
        <r>
          <rPr>
            <sz val="8"/>
            <color indexed="81"/>
            <rFont val="Tahoma"/>
            <family val="2"/>
          </rPr>
          <t xml:space="preserve">
8/2011: $360mm would be at mid point of guidance</t>
        </r>
      </text>
    </comment>
    <comment ref="CT180" authorId="12">
      <text>
        <r>
          <rPr>
            <sz val="8"/>
            <color indexed="81"/>
            <rFont val="Tahoma"/>
            <family val="2"/>
          </rPr>
          <t>11/17: GM - flat</t>
        </r>
        <r>
          <rPr>
            <sz val="8"/>
            <color indexed="81"/>
            <rFont val="Tahoma"/>
            <family val="2"/>
          </rPr>
          <t xml:space="preserve">
VS stores - GM down
VS Direct - GM up significantly</t>
        </r>
      </text>
    </comment>
    <comment ref="DA180" authorId="12">
      <text>
        <r>
          <rPr>
            <sz val="8"/>
            <color indexed="81"/>
            <rFont val="Tahoma"/>
            <family val="2"/>
          </rPr>
          <t>11/17: GM - flat</t>
        </r>
        <r>
          <rPr>
            <sz val="8"/>
            <color indexed="81"/>
            <rFont val="Tahoma"/>
            <family val="2"/>
          </rPr>
          <t xml:space="preserve">
</t>
        </r>
      </text>
    </comment>
    <comment ref="DC180" authorId="10">
      <text>
        <r>
          <rPr>
            <b/>
            <sz val="8"/>
            <color indexed="81"/>
            <rFont val="Tahoma"/>
            <family val="2"/>
          </rPr>
          <t>nicholjs:</t>
        </r>
        <r>
          <rPr>
            <sz val="8"/>
            <color indexed="81"/>
            <rFont val="Tahoma"/>
            <family val="2"/>
          </rPr>
          <t xml:space="preserve">
8/2011: OK to have less lvg at BBW this qtr vs. VS</t>
        </r>
      </text>
    </comment>
    <comment ref="DT180" authorId="10">
      <text>
        <r>
          <rPr>
            <b/>
            <sz val="8"/>
            <color indexed="81"/>
            <rFont val="Tahoma"/>
            <family val="2"/>
          </rPr>
          <t>nicholjs:</t>
        </r>
        <r>
          <rPr>
            <sz val="8"/>
            <color indexed="81"/>
            <rFont val="Tahoma"/>
            <family val="2"/>
          </rPr>
          <t xml:space="preserve">
8/2011: could see 2-3mm improvement in this quarter
5/2011: 5-7mm improvement by quarter reasonable place to be</t>
        </r>
      </text>
    </comment>
    <comment ref="R181" authorId="1">
      <text>
        <r>
          <rPr>
            <b/>
            <sz val="7"/>
            <color indexed="81"/>
            <rFont val="Tahoma"/>
            <family val="2"/>
          </rPr>
          <t xml:space="preserve">casselau: </t>
        </r>
        <r>
          <rPr>
            <sz val="7"/>
            <color indexed="81"/>
            <rFont val="Tahoma"/>
            <family val="2"/>
          </rPr>
          <t xml:space="preserve">first quarter of La Senza included in "other" reportable segment. Prior to 4Q11, the VS reportable segment consisted of VS and La Senza operating segments. </t>
        </r>
      </text>
    </comment>
    <comment ref="AZ181" authorId="1">
      <text>
        <r>
          <rPr>
            <b/>
            <sz val="8"/>
            <color indexed="81"/>
            <rFont val="Tahoma"/>
            <family val="2"/>
          </rPr>
          <t xml:space="preserve">casselau: </t>
        </r>
        <r>
          <rPr>
            <sz val="8"/>
            <color indexed="81"/>
            <rFont val="Tahoma"/>
            <family val="2"/>
          </rPr>
          <t>first quarter of La Senza included in "other" reportable segment</t>
        </r>
        <r>
          <rPr>
            <b/>
            <sz val="8"/>
            <color indexed="81"/>
            <rFont val="Tahoma"/>
            <family val="2"/>
          </rPr>
          <t xml:space="preserve"> </t>
        </r>
      </text>
    </comment>
    <comment ref="BC181" authorId="13">
      <text>
        <r>
          <rPr>
            <b/>
            <sz val="8"/>
            <color indexed="81"/>
            <rFont val="Tahoma"/>
            <family val="2"/>
          </rPr>
          <t xml:space="preserve">lauraro:
</t>
        </r>
        <r>
          <rPr>
            <sz val="8"/>
            <color indexed="81"/>
            <rFont val="Tahoma"/>
            <family val="2"/>
          </rPr>
          <t>orig est 422</t>
        </r>
        <r>
          <rPr>
            <sz val="8"/>
            <color indexed="81"/>
            <rFont val="Tahoma"/>
            <family val="2"/>
          </rPr>
          <t xml:space="preserve">
-223 Mast sales</t>
        </r>
      </text>
    </comment>
    <comment ref="BE181" authorId="1">
      <text>
        <r>
          <rPr>
            <b/>
            <sz val="8"/>
            <color indexed="81"/>
            <rFont val="Tahoma"/>
            <family val="2"/>
          </rPr>
          <t>casselau:</t>
        </r>
        <r>
          <rPr>
            <sz val="8"/>
            <color indexed="81"/>
            <rFont val="Tahoma"/>
            <family val="2"/>
          </rPr>
          <t xml:space="preserve">
first quarter of La Senza included in "other" reportable segment</t>
        </r>
      </text>
    </comment>
    <comment ref="DT181" authorId="10">
      <text>
        <r>
          <rPr>
            <b/>
            <sz val="8"/>
            <color indexed="81"/>
            <rFont val="Tahoma"/>
            <family val="2"/>
          </rPr>
          <t>nicholjs:</t>
        </r>
        <r>
          <rPr>
            <sz val="8"/>
            <color indexed="81"/>
            <rFont val="Tahoma"/>
            <family val="2"/>
          </rPr>
          <t xml:space="preserve">
5/2011: 5-7mm improvement by quarter reasonable place to be.
But now sold MAST at ~$50M/year profit, so lose 1/4 of that benefit per qtr</t>
        </r>
      </text>
    </comment>
    <comment ref="L182" authorId="10">
      <text>
        <r>
          <rPr>
            <b/>
            <sz val="8"/>
            <color indexed="81"/>
            <rFont val="Tahoma"/>
            <family val="2"/>
          </rPr>
          <t>nicholjs:</t>
        </r>
        <r>
          <rPr>
            <sz val="8"/>
            <color indexed="81"/>
            <rFont val="Tahoma"/>
            <family val="2"/>
          </rPr>
          <t xml:space="preserve">
10/2010: 3-5% growth range usually good</t>
        </r>
      </text>
    </comment>
    <comment ref="AZ182" authorId="10">
      <text>
        <r>
          <rPr>
            <b/>
            <sz val="8"/>
            <color indexed="81"/>
            <rFont val="Tahoma"/>
            <family val="2"/>
          </rPr>
          <t>nicholjs:</t>
        </r>
        <r>
          <rPr>
            <sz val="8"/>
            <color indexed="81"/>
            <rFont val="Tahoma"/>
            <family val="2"/>
          </rPr>
          <t xml:space="preserve">
2010 10K: plan to open ~50 new La Senza stores globally (partners) in 2011
2/2011: not out of question for 500 bps increase in LaSenza operating margin this yr (breakeven in 2010).  L-MSD rate is what is in the guidance, but could be higher.</t>
        </r>
      </text>
    </comment>
    <comment ref="BC182" authorId="10">
      <text>
        <r>
          <rPr>
            <b/>
            <sz val="8"/>
            <color indexed="81"/>
            <rFont val="Tahoma"/>
            <family val="2"/>
          </rPr>
          <t>nicholjs:</t>
        </r>
        <r>
          <rPr>
            <sz val="8"/>
            <color indexed="81"/>
            <rFont val="Tahoma"/>
            <family val="2"/>
          </rPr>
          <t xml:space="preserve">
2010 10K: expect to open 40-50 TnT stores (from 18 beg. of year), expect to open ~20 BBW franchise (from 6)
10/2010 call: expect +130mm w/ $50-60mm accounting related
402 mast sales
Henri Bendel $60M</t>
        </r>
      </text>
    </comment>
    <comment ref="DT182" authorId="14">
      <text>
        <r>
          <rPr>
            <b/>
            <sz val="8"/>
            <color indexed="81"/>
            <rFont val="Tahoma"/>
            <family val="2"/>
          </rPr>
          <t>kimberlg:</t>
        </r>
        <r>
          <rPr>
            <sz val="8"/>
            <color indexed="81"/>
            <rFont val="Tahoma"/>
            <family val="2"/>
          </rPr>
          <t xml:space="preserve">
2/2011: could see another $20mm improvement this year
11/10: should continue to improve
10/18/10: $130M incremental 2011 sales but $50-60M is just acctg change on sales (Exp/Ltd) w/ no benefit to Income. So estimate flow through rate 15% on $70-80M of incremental sales = $10-12M incremental profit. So loss of $56M LY goes to loss of $44-46M in 2011</t>
        </r>
      </text>
    </comment>
    <comment ref="BC186" authorId="13">
      <text>
        <r>
          <rPr>
            <b/>
            <sz val="8"/>
            <color indexed="81"/>
            <rFont val="Tahoma"/>
            <family val="2"/>
          </rPr>
          <t xml:space="preserve">5/3/12: </t>
        </r>
        <r>
          <rPr>
            <sz val="8"/>
            <color indexed="81"/>
            <rFont val="Tahoma"/>
            <family val="2"/>
          </rPr>
          <t>was at $129. 1Q11 included $214M in revs attributable to 3rd party apparel sourcing business. (Would be $318 including lost sourcing revenues) or +8%</t>
        </r>
        <r>
          <rPr>
            <b/>
            <sz val="8"/>
            <color indexed="81"/>
            <rFont val="Tahoma"/>
            <family val="2"/>
          </rPr>
          <t xml:space="preserve">
lauraro:</t>
        </r>
        <r>
          <rPr>
            <sz val="8"/>
            <color indexed="81"/>
            <rFont val="Tahoma"/>
            <family val="2"/>
          </rPr>
          <t xml:space="preserve">
orig est $338
-214 Mast sales</t>
        </r>
      </text>
    </comment>
    <comment ref="AZ187" authorId="14">
      <text>
        <r>
          <rPr>
            <b/>
            <sz val="8"/>
            <color indexed="81"/>
            <rFont val="Tahoma"/>
            <family val="2"/>
          </rPr>
          <t>expected 99
kimberlg:</t>
        </r>
        <r>
          <rPr>
            <sz val="8"/>
            <color indexed="81"/>
            <rFont val="Tahoma"/>
            <family val="2"/>
          </rPr>
          <t xml:space="preserve">
$98M LS = would have to accel in June and July</t>
        </r>
      </text>
    </comment>
    <comment ref="BC187" authorId="13">
      <text>
        <r>
          <rPr>
            <b/>
            <sz val="8"/>
            <color indexed="81"/>
            <rFont val="Tahoma"/>
            <family val="2"/>
          </rPr>
          <t>lauraro:</t>
        </r>
        <r>
          <rPr>
            <sz val="8"/>
            <color indexed="81"/>
            <rFont val="Tahoma"/>
            <family val="2"/>
          </rPr>
          <t xml:space="preserve">
orig est $373
-217 Mast sales
$156M est could be $20-$30M too high</t>
        </r>
      </text>
    </comment>
    <comment ref="AZ188" authorId="12">
      <text>
        <r>
          <rPr>
            <b/>
            <sz val="8"/>
            <color indexed="81"/>
            <rFont val="Tahoma"/>
            <family val="2"/>
          </rPr>
          <t>solejay:</t>
        </r>
        <r>
          <rPr>
            <sz val="8"/>
            <color indexed="81"/>
            <rFont val="Tahoma"/>
            <family val="2"/>
          </rPr>
          <t xml:space="preserve">
expected 77</t>
        </r>
      </text>
    </comment>
    <comment ref="BC188" authorId="13">
      <text>
        <r>
          <rPr>
            <b/>
            <sz val="8"/>
            <color indexed="81"/>
            <rFont val="Tahoma"/>
            <family val="2"/>
          </rPr>
          <t>lauraro:</t>
        </r>
        <r>
          <rPr>
            <sz val="8"/>
            <color indexed="81"/>
            <rFont val="Tahoma"/>
            <family val="2"/>
          </rPr>
          <t xml:space="preserve">
orig est $419
-260 Mast sales
--&gt; expected 160</t>
        </r>
      </text>
    </comment>
    <comment ref="BC193" authorId="14">
      <text>
        <r>
          <rPr>
            <b/>
            <sz val="8"/>
            <color indexed="81"/>
            <rFont val="Tahoma"/>
            <family val="2"/>
          </rPr>
          <t>kimberlg:</t>
        </r>
        <r>
          <rPr>
            <sz val="8"/>
            <color indexed="81"/>
            <rFont val="Tahoma"/>
            <family val="2"/>
          </rPr>
          <t xml:space="preserve">
HB &amp; MAST each $16-18M sales 1Q13 
we est:
HB $16M
MAST $18M
Other int'l $126M</t>
        </r>
      </text>
    </comment>
    <comment ref="BC197" authorId="1">
      <text>
        <r>
          <rPr>
            <b/>
            <sz val="8"/>
            <color indexed="81"/>
            <rFont val="Tahoma"/>
            <family val="2"/>
          </rPr>
          <t>casselau:</t>
        </r>
        <r>
          <rPr>
            <sz val="8"/>
            <color indexed="81"/>
            <rFont val="Tahoma"/>
            <family val="2"/>
          </rPr>
          <t xml:space="preserve">
Henri Bendel $85M</t>
        </r>
      </text>
    </comment>
    <comment ref="L202" authorId="0">
      <text>
        <r>
          <rPr>
            <b/>
            <sz val="8"/>
            <color indexed="81"/>
            <rFont val="Tahoma"/>
            <family val="2"/>
          </rPr>
          <t>kahng:</t>
        </r>
        <r>
          <rPr>
            <sz val="8"/>
            <color indexed="81"/>
            <rFont val="Tahoma"/>
            <family val="2"/>
          </rPr>
          <t xml:space="preserve">
February +5%
March +3%</t>
        </r>
      </text>
    </comment>
    <comment ref="R202" authorId="1">
      <text>
        <r>
          <rPr>
            <sz val="8"/>
            <color indexed="81"/>
            <rFont val="Tahoma"/>
            <family val="2"/>
          </rPr>
          <t>Prior to 4Q11, the VS reportable segment consisted of VS and La Senza operating segments. In 4Q11, the Company ceased aggregating La Senza with Victoria's Secret.</t>
        </r>
        <r>
          <rPr>
            <sz val="8"/>
            <color indexed="81"/>
            <rFont val="Tahoma"/>
            <family val="2"/>
          </rPr>
          <t xml:space="preserve">
</t>
        </r>
      </text>
    </comment>
    <comment ref="BE202" authorId="1">
      <text>
        <r>
          <rPr>
            <sz val="8"/>
            <color indexed="81"/>
            <rFont val="Tahoma"/>
            <family val="2"/>
          </rPr>
          <t>La Senza now included in "other" reportable segment</t>
        </r>
      </text>
    </comment>
    <comment ref="CT202" authorId="15">
      <text>
        <r>
          <rPr>
            <b/>
            <sz val="8"/>
            <color indexed="81"/>
            <rFont val="Tahoma"/>
            <family val="2"/>
          </rPr>
          <t>P Kahng:</t>
        </r>
        <r>
          <rPr>
            <sz val="8"/>
            <color indexed="81"/>
            <rFont val="Tahoma"/>
            <family val="2"/>
          </rPr>
          <t xml:space="preserve">
5/16/12: Was 249.866
VS Stores GM about flat
VSD GM down slightly
VSS OM Up
VSD OM Up
VSS Op Inc Up significantly
VSD Op Inc Up
</t>
        </r>
      </text>
    </comment>
    <comment ref="CV202" authorId="0">
      <text>
        <r>
          <rPr>
            <b/>
            <sz val="8"/>
            <color indexed="81"/>
            <rFont val="Tahoma"/>
            <family val="2"/>
          </rPr>
          <t xml:space="preserve">5/3/12: </t>
        </r>
        <r>
          <rPr>
            <sz val="8"/>
            <color indexed="81"/>
            <rFont val="Tahoma"/>
            <family val="2"/>
          </rPr>
          <t>was at 18.14%, revised to 17 after April comp</t>
        </r>
        <r>
          <rPr>
            <b/>
            <sz val="8"/>
            <color indexed="81"/>
            <rFont val="Tahoma"/>
            <family val="2"/>
          </rPr>
          <t xml:space="preserve">
Feb: </t>
        </r>
        <r>
          <rPr>
            <sz val="8"/>
            <color indexed="81"/>
            <rFont val="Tahoma"/>
            <family val="2"/>
          </rPr>
          <t xml:space="preserve">Total company up significantly;
VSS down; BBW: down;
VSD down significantly; 
La Senza down significantly; 
</t>
        </r>
        <r>
          <rPr>
            <b/>
            <sz val="8"/>
            <color indexed="81"/>
            <rFont val="Tahoma"/>
            <family val="2"/>
          </rPr>
          <t xml:space="preserve">Mar: </t>
        </r>
        <r>
          <rPr>
            <sz val="8"/>
            <color indexed="81"/>
            <rFont val="Tahoma"/>
            <family val="2"/>
          </rPr>
          <t xml:space="preserve">Total company up significantly (absent Mast sale, down)
VS: up; BBW: down; BBW: up; 
LS: up significantly)
</t>
        </r>
        <r>
          <rPr>
            <b/>
            <sz val="8"/>
            <color indexed="81"/>
            <rFont val="Tahoma"/>
            <family val="2"/>
          </rPr>
          <t xml:space="preserve">Apr: </t>
        </r>
        <r>
          <rPr>
            <sz val="8"/>
            <color indexed="81"/>
            <rFont val="Tahoma"/>
            <family val="2"/>
          </rPr>
          <t>LTD down (but up signficantly due to sale of 3rd party apparel sourcing business)
VSS: down to LY driven by planned promotional activity and impact of mix shift from lingerie and pink from beauty
VSD: flat
BBW: flat
LS: down signficantly to LY driven by incremental promotional activity</t>
        </r>
        <r>
          <rPr>
            <b/>
            <sz val="8"/>
            <color indexed="81"/>
            <rFont val="Tahoma"/>
            <family val="2"/>
          </rPr>
          <t xml:space="preserve">
3/1/12: </t>
        </r>
        <r>
          <rPr>
            <sz val="8"/>
            <color indexed="81"/>
            <rFont val="Tahoma"/>
            <family val="2"/>
          </rPr>
          <t xml:space="preserve">Feb MM rate down to last year driven by strong response to planned promotions. MM dollars up to LY. VSD MM rate down sig to LY primarily driven by incr cost and incremental promo activity. </t>
        </r>
      </text>
    </comment>
    <comment ref="DA202" authorId="15">
      <text>
        <r>
          <rPr>
            <b/>
            <sz val="8"/>
            <color indexed="81"/>
            <rFont val="Tahoma"/>
            <family val="2"/>
          </rPr>
          <t>P Kahng:</t>
        </r>
        <r>
          <rPr>
            <sz val="8"/>
            <color indexed="81"/>
            <rFont val="Tahoma"/>
            <family val="2"/>
          </rPr>
          <t xml:space="preserve">
5/16/12: was 57.267
GM down</t>
        </r>
      </text>
    </comment>
    <comment ref="DC202" authorId="0">
      <text>
        <r>
          <rPr>
            <b/>
            <sz val="8"/>
            <color indexed="81"/>
            <rFont val="Tahoma"/>
            <family val="2"/>
          </rPr>
          <t xml:space="preserve">Feb: </t>
        </r>
        <r>
          <rPr>
            <sz val="8"/>
            <color indexed="81"/>
            <rFont val="Tahoma"/>
            <family val="2"/>
          </rPr>
          <t xml:space="preserve">Total company up significantly;
VSS down; BBW: down;
VSD down significantly; 
La Senza down significantly; </t>
        </r>
        <r>
          <rPr>
            <b/>
            <sz val="8"/>
            <color indexed="81"/>
            <rFont val="Tahoma"/>
            <family val="2"/>
          </rPr>
          <t xml:space="preserve">
Mar: </t>
        </r>
        <r>
          <rPr>
            <sz val="8"/>
            <color indexed="81"/>
            <rFont val="Tahoma"/>
            <family val="2"/>
          </rPr>
          <t>Total company up significantly (absent Mast sale, down)
VS: up; BBW: down; BBW: up; 
LS: up significantly)</t>
        </r>
        <r>
          <rPr>
            <b/>
            <sz val="8"/>
            <color indexed="81"/>
            <rFont val="Tahoma"/>
            <family val="2"/>
          </rPr>
          <t xml:space="preserve">
Apr:</t>
        </r>
        <r>
          <rPr>
            <sz val="8"/>
            <color indexed="81"/>
            <rFont val="Tahoma"/>
            <family val="2"/>
          </rPr>
          <t xml:space="preserve"> LTD down (but up signficantly due to sale of 3rd party apparel sourcing business)
VSS: down to LY driven by planned promotional activity and impact of mix shift from lingerie and pink from beauty
VSD: flat
BBW: flat
LS: down signficantly to LY driven by incremental promotional activity</t>
        </r>
        <r>
          <rPr>
            <b/>
            <sz val="8"/>
            <color indexed="81"/>
            <rFont val="Tahoma"/>
            <family val="2"/>
          </rPr>
          <t xml:space="preserve">
3/1/12: </t>
        </r>
        <r>
          <rPr>
            <sz val="8"/>
            <color indexed="81"/>
            <rFont val="Tahoma"/>
            <family val="2"/>
          </rPr>
          <t>Feb MM rate down driven by cost increases and promo activity</t>
        </r>
      </text>
    </comment>
    <comment ref="DL202" authorId="14">
      <text>
        <r>
          <rPr>
            <b/>
            <sz val="8"/>
            <color indexed="81"/>
            <rFont val="Tahoma"/>
            <family val="2"/>
          </rPr>
          <t xml:space="preserve">5/17/12: </t>
        </r>
        <r>
          <rPr>
            <sz val="8"/>
            <color indexed="81"/>
            <rFont val="Tahoma"/>
            <family val="2"/>
          </rPr>
          <t xml:space="preserve"> Around $11M loss is better than prior $14M est</t>
        </r>
        <r>
          <rPr>
            <b/>
            <sz val="8"/>
            <color indexed="81"/>
            <rFont val="Tahoma"/>
            <family val="2"/>
          </rPr>
          <t xml:space="preserve">
3/1/12: </t>
        </r>
        <r>
          <rPr>
            <sz val="8"/>
            <color indexed="81"/>
            <rFont val="Tahoma"/>
            <family val="2"/>
          </rPr>
          <t>Feb MM rate down sig to LY driven by incremental promo activity</t>
        </r>
        <r>
          <rPr>
            <b/>
            <sz val="8"/>
            <color indexed="81"/>
            <rFont val="Tahoma"/>
            <family val="2"/>
          </rPr>
          <t xml:space="preserve">
kg 2/24/12: </t>
        </r>
        <r>
          <rPr>
            <sz val="8"/>
            <color indexed="81"/>
            <rFont val="Tahoma"/>
            <family val="2"/>
          </rPr>
          <t>we est $15M of LaSenza costs in 1Q12 re: restructuring, travel, personnel &amp; relo costs</t>
        </r>
      </text>
    </comment>
    <comment ref="DP202" authorId="14">
      <text>
        <r>
          <rPr>
            <b/>
            <sz val="8"/>
            <color indexed="81"/>
            <rFont val="Tahoma"/>
            <family val="2"/>
          </rPr>
          <t>kimberlg:</t>
        </r>
        <r>
          <rPr>
            <sz val="8"/>
            <color indexed="81"/>
            <rFont val="Tahoma"/>
            <family val="2"/>
          </rPr>
          <t xml:space="preserve">
80bps of 1Q12 EBIT hit on MAST sale = 2c EPS
we calc $19M op inc dollars lost. LY 1Q loss $17M excl legal accruals. Cum loss = $37M</t>
        </r>
      </text>
    </comment>
    <comment ref="DT202" authorId="14">
      <text>
        <r>
          <rPr>
            <b/>
            <sz val="8"/>
            <color indexed="81"/>
            <rFont val="Tahoma"/>
            <family val="2"/>
          </rPr>
          <t>kimberlg:</t>
        </r>
        <r>
          <rPr>
            <sz val="8"/>
            <color indexed="81"/>
            <rFont val="Tahoma"/>
            <family val="2"/>
          </rPr>
          <t xml:space="preserve">
5/16/12: Was $45
losing $10-15M income 1Q-3Q12 from MAST sale, so think about 1Q-3Q as flat to slight lower than LY, then "at least" $5-10M impvmt in 4Q12
Q1 expected 2c hit equals $10M
"$5M for every penny. 2c dilutive in Q1, will lose about $10M there. 2 in Q2 and 3 in the 3rd."
per Amie: $59M loss should be fine
Loss worse than LY b/c:
1. $10M less MAST income
2. LaSenza personnel, relo, travel, etc expenses as they continue to restructure
3. VS flagship in London/UK store = $3-4M headwind</t>
        </r>
      </text>
    </comment>
    <comment ref="DZ202" authorId="0">
      <text>
        <r>
          <rPr>
            <b/>
            <sz val="8"/>
            <color indexed="81"/>
            <rFont val="Tahoma"/>
            <family val="2"/>
          </rPr>
          <t xml:space="preserve">3/1/12: </t>
        </r>
        <r>
          <rPr>
            <sz val="8"/>
            <color indexed="81"/>
            <rFont val="Tahoma"/>
            <family val="2"/>
          </rPr>
          <t xml:space="preserve">Feb MM rate up sig to LY. Pos impacted by Mast sale. Absent impact MM rate would be down to LY. </t>
        </r>
      </text>
    </comment>
    <comment ref="E203" authorId="15">
      <text>
        <r>
          <rPr>
            <b/>
            <sz val="8"/>
            <color indexed="81"/>
            <rFont val="Tahoma"/>
            <family val="2"/>
          </rPr>
          <t>P Kahng:</t>
        </r>
        <r>
          <rPr>
            <sz val="8"/>
            <color indexed="81"/>
            <rFont val="Tahoma"/>
            <family val="2"/>
          </rPr>
          <t xml:space="preserve">
expected 1183</t>
        </r>
      </text>
    </comment>
    <comment ref="K203" authorId="15">
      <text>
        <r>
          <rPr>
            <b/>
            <sz val="8"/>
            <color indexed="81"/>
            <rFont val="Tahoma"/>
            <family val="2"/>
          </rPr>
          <t>P Kahng:</t>
        </r>
        <r>
          <rPr>
            <sz val="8"/>
            <color indexed="81"/>
            <rFont val="Tahoma"/>
            <family val="2"/>
          </rPr>
          <t xml:space="preserve">
expected 407</t>
        </r>
      </text>
    </comment>
    <comment ref="R203" authorId="15">
      <text>
        <r>
          <rPr>
            <b/>
            <sz val="8"/>
            <color indexed="81"/>
            <rFont val="Tahoma"/>
            <family val="2"/>
          </rPr>
          <t>P Kahng:</t>
        </r>
        <r>
          <rPr>
            <sz val="8"/>
            <color indexed="81"/>
            <rFont val="Tahoma"/>
            <family val="2"/>
          </rPr>
          <t xml:space="preserve">
expected 1689</t>
        </r>
      </text>
    </comment>
    <comment ref="W203" authorId="15">
      <text>
        <r>
          <rPr>
            <b/>
            <sz val="8"/>
            <color indexed="81"/>
            <rFont val="Tahoma"/>
            <family val="2"/>
          </rPr>
          <t>P Kahng:</t>
        </r>
        <r>
          <rPr>
            <sz val="8"/>
            <color indexed="81"/>
            <rFont val="Tahoma"/>
            <family val="2"/>
          </rPr>
          <t xml:space="preserve">
expected 608</t>
        </r>
      </text>
    </comment>
    <comment ref="AZ203" authorId="14">
      <text>
        <r>
          <rPr>
            <b/>
            <sz val="8"/>
            <color indexed="81"/>
            <rFont val="Tahoma"/>
            <family val="2"/>
          </rPr>
          <t>expected 99
kimberlg:</t>
        </r>
        <r>
          <rPr>
            <sz val="8"/>
            <color indexed="81"/>
            <rFont val="Tahoma"/>
            <family val="2"/>
          </rPr>
          <t xml:space="preserve">
$98M LS = would have to accel in June and July</t>
        </r>
      </text>
    </comment>
    <comment ref="CV203" authorId="15">
      <text>
        <r>
          <rPr>
            <b/>
            <sz val="8"/>
            <color indexed="81"/>
            <rFont val="Tahoma"/>
            <family val="2"/>
          </rPr>
          <t>P Kahng:</t>
        </r>
        <r>
          <rPr>
            <sz val="8"/>
            <color indexed="81"/>
            <rFont val="Tahoma"/>
            <family val="2"/>
          </rPr>
          <t xml:space="preserve">
</t>
        </r>
        <r>
          <rPr>
            <b/>
            <sz val="8"/>
            <color indexed="81"/>
            <rFont val="Tahoma"/>
            <family val="2"/>
          </rPr>
          <t xml:space="preserve">May: </t>
        </r>
        <r>
          <rPr>
            <sz val="8"/>
            <color indexed="81"/>
            <rFont val="Tahoma"/>
            <family val="2"/>
          </rPr>
          <t xml:space="preserve">LTD up significantly (excl Mast, about flat); VSS: down; VSD: about flat; BBW: about flat; LS: up significantly
</t>
        </r>
        <r>
          <rPr>
            <b/>
            <sz val="8"/>
            <color indexed="81"/>
            <rFont val="Tahoma"/>
            <family val="2"/>
          </rPr>
          <t xml:space="preserve">June: </t>
        </r>
        <r>
          <rPr>
            <sz val="8"/>
            <color indexed="81"/>
            <rFont val="Tahoma"/>
            <family val="2"/>
          </rPr>
          <t>LTD up significantly (excl Mast, about flat); VSS: Roughtly flat; VSD: Down significantly; BBW: Up significantly; 
LS: Down significantly</t>
        </r>
      </text>
    </comment>
    <comment ref="DC203" authorId="15">
      <text>
        <r>
          <rPr>
            <b/>
            <sz val="8"/>
            <color indexed="81"/>
            <rFont val="Tahoma"/>
            <family val="2"/>
          </rPr>
          <t>P Kahng:</t>
        </r>
        <r>
          <rPr>
            <sz val="8"/>
            <color indexed="81"/>
            <rFont val="Tahoma"/>
            <family val="2"/>
          </rPr>
          <t xml:space="preserve">
May: LTD up significantly (excl Mast, about flat); VSS: down; VSD: about flat; BBW: about flat; LS: up significantly
June: LTD up significantly (excl Mast, about flat); VSS: Roughtly flat; VSD: Down significantly; BBW: Up significantly; 
LS: Down significantly</t>
        </r>
      </text>
    </comment>
    <comment ref="DL203" authorId="1">
      <text>
        <r>
          <rPr>
            <b/>
            <sz val="8"/>
            <color indexed="81"/>
            <rFont val="Tahoma"/>
            <family val="2"/>
          </rPr>
          <t>casselau:</t>
        </r>
        <r>
          <rPr>
            <sz val="8"/>
            <color indexed="81"/>
            <rFont val="Tahoma"/>
            <family val="2"/>
          </rPr>
          <t xml:space="preserve">
8/18/12: now included in "other" -35.5 in 2Q
5/23/13: about $5M loss LY</t>
        </r>
      </text>
    </comment>
    <comment ref="DP203" authorId="14">
      <text>
        <r>
          <rPr>
            <b/>
            <sz val="8"/>
            <color indexed="81"/>
            <rFont val="Tahoma"/>
            <family val="2"/>
          </rPr>
          <t>kimberlg:</t>
        </r>
        <r>
          <rPr>
            <sz val="8"/>
            <color indexed="81"/>
            <rFont val="Tahoma"/>
            <family val="2"/>
          </rPr>
          <t xml:space="preserve">
70bps of 2Q12 EBIT hit on MAST sale = 2c EPS
we calc $17M op inc dollars lost</t>
        </r>
      </text>
    </comment>
    <comment ref="DT203" authorId="14">
      <text>
        <r>
          <rPr>
            <b/>
            <sz val="8"/>
            <color indexed="81"/>
            <rFont val="Tahoma"/>
            <family val="2"/>
          </rPr>
          <t xml:space="preserve">5/31/12: </t>
        </r>
        <r>
          <rPr>
            <sz val="8"/>
            <color indexed="81"/>
            <rFont val="Tahoma"/>
            <family val="2"/>
          </rPr>
          <t>$5M loss LS and $30M loss other sounds ok for 2Q (= $35M total)</t>
        </r>
        <r>
          <rPr>
            <b/>
            <sz val="8"/>
            <color indexed="81"/>
            <rFont val="Tahoma"/>
            <family val="2"/>
          </rPr>
          <t xml:space="preserve">
kimberlg:</t>
        </r>
        <r>
          <rPr>
            <sz val="8"/>
            <color indexed="81"/>
            <rFont val="Tahoma"/>
            <family val="2"/>
          </rPr>
          <t xml:space="preserve">
losing $10-15M income 1Q-3Q12 from MAST sale, so think about 1Q-3Q as flat to slight lower than LY, then "at least" $5-10M impvmt in 4Q12</t>
        </r>
      </text>
    </comment>
    <comment ref="DZ203" authorId="15">
      <text>
        <r>
          <rPr>
            <b/>
            <sz val="8"/>
            <color indexed="81"/>
            <rFont val="Tahoma"/>
            <family val="2"/>
          </rPr>
          <t>P Kahng:</t>
        </r>
        <r>
          <rPr>
            <sz val="8"/>
            <color indexed="81"/>
            <rFont val="Tahoma"/>
            <family val="2"/>
          </rPr>
          <t xml:space="preserve">
May: LTD up significantly (excl Mast, about flat); VSS: down; VSD: about flat; BBW: about flat; LS: up significantly
June: LTD up significantly (excl Mast, about flat); VSS: Roughtly flat; VSD: Down significantly; BBW: Up significantly; 
LS: Down significantly</t>
        </r>
      </text>
    </comment>
    <comment ref="E204" authorId="12">
      <text>
        <r>
          <rPr>
            <b/>
            <sz val="8"/>
            <color indexed="81"/>
            <rFont val="Tahoma"/>
            <family val="2"/>
          </rPr>
          <t>solejay:</t>
        </r>
        <r>
          <rPr>
            <sz val="8"/>
            <color indexed="81"/>
            <rFont val="Tahoma"/>
            <family val="2"/>
          </rPr>
          <t xml:space="preserve">
expected 1006</t>
        </r>
      </text>
    </comment>
    <comment ref="K204" authorId="12">
      <text>
        <r>
          <rPr>
            <b/>
            <sz val="8"/>
            <color indexed="81"/>
            <rFont val="Tahoma"/>
            <family val="2"/>
          </rPr>
          <t>solejay:</t>
        </r>
        <r>
          <rPr>
            <sz val="8"/>
            <color indexed="81"/>
            <rFont val="Tahoma"/>
            <family val="2"/>
          </rPr>
          <t xml:space="preserve">
expected 270</t>
        </r>
      </text>
    </comment>
    <comment ref="W204" authorId="12">
      <text>
        <r>
          <rPr>
            <b/>
            <sz val="8"/>
            <color indexed="81"/>
            <rFont val="Tahoma"/>
            <family val="2"/>
          </rPr>
          <t>solejay:</t>
        </r>
        <r>
          <rPr>
            <sz val="8"/>
            <color indexed="81"/>
            <rFont val="Tahoma"/>
            <family val="2"/>
          </rPr>
          <t xml:space="preserve">
expected 533</t>
        </r>
      </text>
    </comment>
    <comment ref="AZ204" authorId="12">
      <text>
        <r>
          <rPr>
            <b/>
            <sz val="8"/>
            <color indexed="81"/>
            <rFont val="Tahoma"/>
            <family val="2"/>
          </rPr>
          <t>solejay:</t>
        </r>
        <r>
          <rPr>
            <sz val="8"/>
            <color indexed="81"/>
            <rFont val="Tahoma"/>
            <family val="2"/>
          </rPr>
          <t xml:space="preserve">
expected 77</t>
        </r>
      </text>
    </comment>
    <comment ref="DL204" authorId="14">
      <text>
        <r>
          <rPr>
            <b/>
            <sz val="8"/>
            <color indexed="81"/>
            <rFont val="Tahoma"/>
            <family val="2"/>
          </rPr>
          <t>kimberlg:</t>
        </r>
        <r>
          <rPr>
            <sz val="8"/>
            <color indexed="81"/>
            <rFont val="Tahoma"/>
            <family val="2"/>
          </rPr>
          <t xml:space="preserve">
5/23/13: about $4M loss LY</t>
        </r>
      </text>
    </comment>
    <comment ref="DP204" authorId="14">
      <text>
        <r>
          <rPr>
            <b/>
            <sz val="8"/>
            <color indexed="81"/>
            <rFont val="Tahoma"/>
            <family val="2"/>
          </rPr>
          <t>kimberlg:</t>
        </r>
        <r>
          <rPr>
            <sz val="8"/>
            <color indexed="81"/>
            <rFont val="Tahoma"/>
            <family val="2"/>
          </rPr>
          <t xml:space="preserve">
30bps of 3Q12 EBIT hit on MAST sale = 3c EPS. We calc $6M op inc dollars lost at 30bps = 1.2c</t>
        </r>
      </text>
    </comment>
    <comment ref="DT204" authorId="14">
      <text>
        <r>
          <rPr>
            <b/>
            <sz val="8"/>
            <color indexed="81"/>
            <rFont val="Tahoma"/>
            <family val="2"/>
          </rPr>
          <t>kimberlg:</t>
        </r>
        <r>
          <rPr>
            <sz val="8"/>
            <color indexed="81"/>
            <rFont val="Tahoma"/>
            <family val="2"/>
          </rPr>
          <t xml:space="preserve">
losing $10-15M income 1Q-3Q12 from MAST sale, so think about 1Q-3Q as flat to slight lower than LY, then "at least" $5-10M impvmt in 4Q12</t>
        </r>
      </text>
    </comment>
    <comment ref="K205" authorId="0">
      <text>
        <r>
          <rPr>
            <b/>
            <sz val="8"/>
            <color indexed="81"/>
            <rFont val="Tahoma"/>
            <family val="2"/>
          </rPr>
          <t>kahng:</t>
        </r>
        <r>
          <rPr>
            <sz val="8"/>
            <color indexed="81"/>
            <rFont val="Tahoma"/>
            <family val="2"/>
          </rPr>
          <t xml:space="preserve">
$539.46M excl 53rd week. Adding 5.4% in addt'l revs to acct for incremental revenue which yields $29.1M in addt'l revs. </t>
        </r>
      </text>
    </comment>
    <comment ref="L205" authorId="0">
      <text>
        <r>
          <rPr>
            <b/>
            <sz val="8"/>
            <color indexed="81"/>
            <rFont val="Tahoma"/>
            <family val="2"/>
          </rPr>
          <t>kahng:</t>
        </r>
        <r>
          <rPr>
            <sz val="8"/>
            <color indexed="81"/>
            <rFont val="Tahoma"/>
            <family val="2"/>
          </rPr>
          <t xml:space="preserve">
4% growth excl 53rd week</t>
        </r>
      </text>
    </comment>
    <comment ref="CT205" authorId="1">
      <text>
        <r>
          <rPr>
            <b/>
            <sz val="8"/>
            <color indexed="81"/>
            <rFont val="Tahoma"/>
            <family val="2"/>
          </rPr>
          <t>casselau:</t>
        </r>
        <r>
          <rPr>
            <sz val="8"/>
            <color indexed="81"/>
            <rFont val="Tahoma"/>
            <family val="2"/>
          </rPr>
          <t xml:space="preserve">
operating income rate down for VS stores, up significantly for VS direct; operating income dollars up for VS, up significantly for VS direct</t>
        </r>
      </text>
    </comment>
    <comment ref="CV205" authorId="0">
      <text>
        <r>
          <rPr>
            <b/>
            <sz val="8"/>
            <color indexed="81"/>
            <rFont val="Tahoma"/>
            <family val="2"/>
          </rPr>
          <t>kahng:</t>
        </r>
        <r>
          <rPr>
            <sz val="8"/>
            <color indexed="81"/>
            <rFont val="Tahoma"/>
            <family val="2"/>
          </rPr>
          <t xml:space="preserve">
left margs at 22.5% in spite of addt'l 53rd week</t>
        </r>
      </text>
    </comment>
    <comment ref="DC205" authorId="0">
      <text>
        <r>
          <rPr>
            <b/>
            <sz val="8"/>
            <color indexed="81"/>
            <rFont val="Tahoma"/>
            <family val="2"/>
          </rPr>
          <t>kahng:</t>
        </r>
        <r>
          <rPr>
            <sz val="8"/>
            <color indexed="81"/>
            <rFont val="Tahoma"/>
            <family val="2"/>
          </rPr>
          <t xml:space="preserve">
left margins at 30.7% in spite of addt'l 53rd week</t>
        </r>
      </text>
    </comment>
    <comment ref="DL205" authorId="14">
      <text>
        <r>
          <rPr>
            <b/>
            <sz val="8"/>
            <color indexed="81"/>
            <rFont val="Tahoma"/>
            <family val="2"/>
          </rPr>
          <t>kimberlg:</t>
        </r>
        <r>
          <rPr>
            <sz val="8"/>
            <color indexed="81"/>
            <rFont val="Tahoma"/>
            <family val="2"/>
          </rPr>
          <t xml:space="preserve">
-$5M per Amie
5/23/13: confirmed about $5M loss LY</t>
        </r>
      </text>
    </comment>
    <comment ref="DT205" authorId="14">
      <text>
        <r>
          <rPr>
            <b/>
            <sz val="8"/>
            <color indexed="81"/>
            <rFont val="Tahoma"/>
            <family val="2"/>
          </rPr>
          <t>kimberlg:</t>
        </r>
        <r>
          <rPr>
            <sz val="8"/>
            <color indexed="81"/>
            <rFont val="Tahoma"/>
            <family val="2"/>
          </rPr>
          <t xml:space="preserve">
losing $10-15M income 1Q-3Q12 from MAST sale, so think about 1Q-3Q as flat to slight lower than LY, then "at least" $5-10M impvmt in 4Q12</t>
        </r>
      </text>
    </comment>
    <comment ref="K206" authorId="1">
      <text>
        <r>
          <rPr>
            <b/>
            <sz val="9"/>
            <color indexed="81"/>
            <rFont val="Tahoma"/>
            <family val="2"/>
          </rPr>
          <t>casselau:</t>
        </r>
        <r>
          <rPr>
            <sz val="9"/>
            <color indexed="81"/>
            <rFont val="Tahoma"/>
            <family val="2"/>
          </rPr>
          <t xml:space="preserve">
Apparel $485M</t>
        </r>
      </text>
    </comment>
    <comment ref="BC206" authorId="1">
      <text>
        <r>
          <rPr>
            <b/>
            <sz val="9"/>
            <color indexed="81"/>
            <rFont val="Tahoma"/>
            <family val="2"/>
          </rPr>
          <t>casselau:</t>
        </r>
        <r>
          <rPr>
            <sz val="9"/>
            <color indexed="81"/>
            <rFont val="Tahoma"/>
            <family val="2"/>
          </rPr>
          <t xml:space="preserve">
Henri bendel $75M</t>
        </r>
      </text>
    </comment>
    <comment ref="CT206" authorId="1">
      <text>
        <r>
          <rPr>
            <b/>
            <sz val="8"/>
            <color indexed="81"/>
            <rFont val="Tahoma"/>
            <family val="2"/>
          </rPr>
          <t>casselau:</t>
        </r>
        <r>
          <rPr>
            <sz val="8"/>
            <color indexed="81"/>
            <rFont val="Tahoma"/>
            <family val="2"/>
          </rPr>
          <t xml:space="preserve">
operating income rate about flat at VS stores and up at VS direct; operating income dollars up significantly at VS stores and direct </t>
        </r>
      </text>
    </comment>
    <comment ref="DL206" authorId="14">
      <text>
        <r>
          <rPr>
            <b/>
            <sz val="8"/>
            <color indexed="81"/>
            <rFont val="Tahoma"/>
            <family val="2"/>
          </rPr>
          <t>kimberlg:</t>
        </r>
        <r>
          <rPr>
            <sz val="8"/>
            <color indexed="81"/>
            <rFont val="Tahoma"/>
            <family val="2"/>
          </rPr>
          <t xml:space="preserve">
full year La Senza lost $25M per Amie</t>
        </r>
      </text>
    </comment>
    <comment ref="DT206" authorId="14">
      <text>
        <r>
          <rPr>
            <b/>
            <sz val="8"/>
            <color indexed="81"/>
            <rFont val="Tahoma"/>
            <family val="2"/>
          </rPr>
          <t>kimberlg:</t>
        </r>
        <r>
          <rPr>
            <sz val="8"/>
            <color indexed="81"/>
            <rFont val="Tahoma"/>
            <family val="2"/>
          </rPr>
          <t xml:space="preserve">
Income:
International/MAST +$158M
LS -$25M
Corp OH -$180M
Bendel $35-40M loss</t>
        </r>
      </text>
    </comment>
    <comment ref="W209" authorId="1">
      <text>
        <r>
          <rPr>
            <b/>
            <sz val="9"/>
            <color indexed="81"/>
            <rFont val="Tahoma"/>
            <family val="2"/>
          </rPr>
          <t>casselau:</t>
        </r>
        <r>
          <rPr>
            <sz val="9"/>
            <color indexed="81"/>
            <rFont val="Tahoma"/>
            <family val="2"/>
          </rPr>
          <t xml:space="preserve">
5/8/14: Direct $43.7M</t>
        </r>
      </text>
    </comment>
    <comment ref="AG209" authorId="1">
      <text>
        <r>
          <rPr>
            <b/>
            <sz val="9"/>
            <color indexed="81"/>
            <rFont val="Tahoma"/>
            <family val="2"/>
          </rPr>
          <t>casselau:</t>
        </r>
        <r>
          <rPr>
            <sz val="8"/>
            <color indexed="81"/>
            <rFont val="Tahoma"/>
            <family val="2"/>
          </rPr>
          <t xml:space="preserve">
10-Q: intl sales across all segments totaled $251M; includes Canada, the Direct international business, La Senza and Mast sales to franchise partners in addition to VS &amp; BBW owned int'l stores
</t>
        </r>
      </text>
    </comment>
    <comment ref="CT209" authorId="1">
      <text>
        <r>
          <rPr>
            <b/>
            <sz val="8"/>
            <color indexed="81"/>
            <rFont val="Tahoma"/>
            <family val="2"/>
          </rPr>
          <t>casselau:</t>
        </r>
        <r>
          <rPr>
            <sz val="8"/>
            <color indexed="81"/>
            <rFont val="Tahoma"/>
            <family val="2"/>
          </rPr>
          <t xml:space="preserve">
5/22/13: gross profit down at VS stores, flat at VS direct; operating income rate down significantly at VS stores, down slightly at VS direct; operating income $ down at both </t>
        </r>
      </text>
    </comment>
    <comment ref="DA209" authorId="1">
      <text>
        <r>
          <rPr>
            <b/>
            <sz val="8"/>
            <color indexed="81"/>
            <rFont val="Tahoma"/>
            <family val="2"/>
          </rPr>
          <t>casselau:</t>
        </r>
        <r>
          <rPr>
            <sz val="8"/>
            <color indexed="81"/>
            <rFont val="Tahoma"/>
            <family val="2"/>
          </rPr>
          <t xml:space="preserve">
5/22/13: gross profit flat</t>
        </r>
      </text>
    </comment>
    <comment ref="DL209" authorId="14">
      <text>
        <r>
          <rPr>
            <b/>
            <sz val="8"/>
            <color indexed="81"/>
            <rFont val="Tahoma"/>
            <family val="2"/>
          </rPr>
          <t>kimberlg:</t>
        </r>
        <r>
          <rPr>
            <sz val="8"/>
            <color indexed="81"/>
            <rFont val="Tahoma"/>
            <family val="2"/>
          </rPr>
          <t xml:space="preserve">
"just under $7M loss"</t>
        </r>
      </text>
    </comment>
    <comment ref="DP209" authorId="14">
      <text>
        <r>
          <rPr>
            <b/>
            <sz val="8"/>
            <color indexed="81"/>
            <rFont val="Tahoma"/>
            <family val="2"/>
          </rPr>
          <t>kimberlg:</t>
        </r>
        <r>
          <rPr>
            <sz val="8"/>
            <color indexed="81"/>
            <rFont val="Tahoma"/>
            <family val="2"/>
          </rPr>
          <t xml:space="preserve">
$29M impvmt YOY
#1=higher MAST sourcing profit
#2=lower pre-open exp (VS London)
#3=higher profit on other int'l business</t>
        </r>
      </text>
    </comment>
    <comment ref="W210" authorId="1">
      <text>
        <r>
          <rPr>
            <b/>
            <sz val="9"/>
            <color indexed="81"/>
            <rFont val="Tahoma"/>
            <family val="2"/>
          </rPr>
          <t>casselau:</t>
        </r>
        <r>
          <rPr>
            <sz val="9"/>
            <color indexed="81"/>
            <rFont val="Tahoma"/>
            <family val="2"/>
          </rPr>
          <t xml:space="preserve">
stores $611.3M; direct $56.6M</t>
        </r>
      </text>
    </comment>
    <comment ref="CT210" authorId="1">
      <text>
        <r>
          <rPr>
            <b/>
            <sz val="8"/>
            <color indexed="81"/>
            <rFont val="Tahoma"/>
            <family val="2"/>
          </rPr>
          <t>casselau:</t>
        </r>
        <r>
          <rPr>
            <sz val="8"/>
            <color indexed="81"/>
            <rFont val="Tahoma"/>
            <family val="2"/>
          </rPr>
          <t xml:space="preserve">
8/21/13: VS stores: gross profit up, operating income % up significantly, operating income dollars up significantly; VS direct: gross profit down significantly, operating income % down significantly, operating income dollars down significantly </t>
        </r>
      </text>
    </comment>
    <comment ref="DA210" authorId="1">
      <text>
        <r>
          <rPr>
            <b/>
            <sz val="8"/>
            <color indexed="81"/>
            <rFont val="Tahoma"/>
            <family val="2"/>
          </rPr>
          <t>casselau:</t>
        </r>
        <r>
          <rPr>
            <sz val="8"/>
            <color indexed="81"/>
            <rFont val="Tahoma"/>
            <family val="2"/>
          </rPr>
          <t xml:space="preserve">
8/21/13: gross profit flat</t>
        </r>
      </text>
    </comment>
    <comment ref="DT210" authorId="14">
      <text>
        <r>
          <rPr>
            <b/>
            <sz val="8"/>
            <color indexed="81"/>
            <rFont val="Tahoma"/>
            <family val="2"/>
          </rPr>
          <t>kimberlg:</t>
        </r>
        <r>
          <rPr>
            <sz val="8"/>
            <color indexed="81"/>
            <rFont val="Tahoma"/>
            <family val="2"/>
          </rPr>
          <t xml:space="preserve">
5/23/13: target loss of -mid $20'sM or ~$10M in YOY improvement</t>
        </r>
      </text>
    </comment>
    <comment ref="CT211" authorId="1">
      <text>
        <r>
          <rPr>
            <b/>
            <sz val="8"/>
            <color indexed="81"/>
            <rFont val="Tahoma"/>
            <family val="2"/>
          </rPr>
          <t>casselau:</t>
        </r>
        <r>
          <rPr>
            <sz val="8"/>
            <color indexed="81"/>
            <rFont val="Tahoma"/>
            <family val="2"/>
          </rPr>
          <t xml:space="preserve">
11/20: gross profit down significantly; VS direct gross profit down significantly; VS EBIT $ flat, VS direct EBIT $ down significantly</t>
        </r>
      </text>
    </comment>
    <comment ref="DA211" authorId="1">
      <text>
        <r>
          <rPr>
            <b/>
            <sz val="8"/>
            <color indexed="81"/>
            <rFont val="Tahoma"/>
            <family val="2"/>
          </rPr>
          <t>casselau:</t>
        </r>
        <r>
          <rPr>
            <sz val="8"/>
            <color indexed="81"/>
            <rFont val="Tahoma"/>
            <family val="2"/>
          </rPr>
          <t xml:space="preserve">
11/20: gross profit up slightly</t>
        </r>
      </text>
    </comment>
    <comment ref="DL211" authorId="14">
      <text>
        <r>
          <rPr>
            <b/>
            <sz val="8"/>
            <color indexed="81"/>
            <rFont val="Tahoma"/>
            <family val="2"/>
          </rPr>
          <t>kimberlg:</t>
        </r>
        <r>
          <rPr>
            <sz val="8"/>
            <color indexed="81"/>
            <rFont val="Tahoma"/>
            <family val="2"/>
          </rPr>
          <t xml:space="preserve">
incremental costs re: SAP systems implementation. Should be complete w/ impl. by year end.</t>
        </r>
      </text>
    </comment>
    <comment ref="DT211" authorId="14">
      <text>
        <r>
          <rPr>
            <b/>
            <sz val="8"/>
            <color indexed="81"/>
            <rFont val="Tahoma"/>
            <family val="2"/>
          </rPr>
          <t xml:space="preserve">8/23/13: </t>
        </r>
        <r>
          <rPr>
            <sz val="8"/>
            <color indexed="81"/>
            <rFont val="Tahoma"/>
            <family val="2"/>
          </rPr>
          <t>per Amie - level of 1H improvement not achievable in 2H</t>
        </r>
        <r>
          <rPr>
            <b/>
            <sz val="8"/>
            <color indexed="81"/>
            <rFont val="Tahoma"/>
            <family val="2"/>
          </rPr>
          <t xml:space="preserve">
kimberlg:</t>
        </r>
        <r>
          <rPr>
            <sz val="8"/>
            <color indexed="81"/>
            <rFont val="Tahoma"/>
            <family val="2"/>
          </rPr>
          <t xml:space="preserve">
8/22/13: LS costs will pressure other segment. Plus London helped 1H13 a lot. 3Q &amp; 4Q should see slight improvement, but not like 1H13 
5/23/13
target $10-15M impvmt YOY - we think closer to $15M</t>
        </r>
      </text>
    </comment>
    <comment ref="CT212" authorId="1">
      <text>
        <r>
          <rPr>
            <b/>
            <sz val="8"/>
            <color indexed="81"/>
            <rFont val="Tahoma"/>
            <family val="2"/>
          </rPr>
          <t>casselau:</t>
        </r>
        <r>
          <rPr>
            <sz val="8"/>
            <color indexed="81"/>
            <rFont val="Tahoma"/>
            <family val="2"/>
          </rPr>
          <t xml:space="preserve">
2/26/14: gross profit down significantly (both stores and direct); operating income down in VSS, down significantly in VSD</t>
        </r>
      </text>
    </comment>
    <comment ref="DA212" authorId="1">
      <text>
        <r>
          <rPr>
            <b/>
            <sz val="8"/>
            <color indexed="81"/>
            <rFont val="Tahoma"/>
            <family val="2"/>
          </rPr>
          <t>casselau:</t>
        </r>
        <r>
          <rPr>
            <sz val="8"/>
            <color indexed="81"/>
            <rFont val="Tahoma"/>
            <family val="2"/>
          </rPr>
          <t xml:space="preserve">
2/26/14: gross profit down</t>
        </r>
      </text>
    </comment>
    <comment ref="DT212" authorId="14">
      <text>
        <r>
          <rPr>
            <b/>
            <sz val="8"/>
            <color indexed="81"/>
            <rFont val="Tahoma"/>
            <family val="2"/>
          </rPr>
          <t>kimberlg:</t>
        </r>
        <r>
          <rPr>
            <sz val="8"/>
            <color indexed="81"/>
            <rFont val="Tahoma"/>
            <family val="2"/>
          </rPr>
          <t xml:space="preserve">
5/23/13
target $35Mish of op. income
$40M would be at the upper end of optimistic, but not completely unachievable</t>
        </r>
      </text>
    </comment>
    <comment ref="W213" authorId="1">
      <text>
        <r>
          <rPr>
            <b/>
            <sz val="9"/>
            <color indexed="81"/>
            <rFont val="Tahoma"/>
            <family val="2"/>
          </rPr>
          <t>casselau:</t>
        </r>
        <r>
          <rPr>
            <sz val="9"/>
            <color indexed="81"/>
            <rFont val="Tahoma"/>
            <family val="2"/>
          </rPr>
          <t xml:space="preserve">
Direct: $250M</t>
        </r>
      </text>
    </comment>
    <comment ref="CT213" authorId="1">
      <text>
        <r>
          <rPr>
            <b/>
            <sz val="8"/>
            <color indexed="81"/>
            <rFont val="Tahoma"/>
            <family val="2"/>
          </rPr>
          <t>casselau:</t>
        </r>
        <r>
          <rPr>
            <sz val="8"/>
            <color indexed="81"/>
            <rFont val="Tahoma"/>
            <family val="2"/>
          </rPr>
          <t xml:space="preserve">
2/26/14: gross profit down; operating income down in VSS (flat in $), down significantly in VSD</t>
        </r>
      </text>
    </comment>
    <comment ref="DA213" authorId="1">
      <text>
        <r>
          <rPr>
            <b/>
            <sz val="8"/>
            <color indexed="81"/>
            <rFont val="Tahoma"/>
            <family val="2"/>
          </rPr>
          <t>casselau:</t>
        </r>
        <r>
          <rPr>
            <sz val="8"/>
            <color indexed="81"/>
            <rFont val="Tahoma"/>
            <family val="2"/>
          </rPr>
          <t xml:space="preserve">
2/26/14: gross profit down</t>
        </r>
      </text>
    </comment>
    <comment ref="DL213" authorId="14">
      <text>
        <r>
          <rPr>
            <b/>
            <sz val="8"/>
            <color indexed="81"/>
            <rFont val="Tahoma"/>
            <family val="2"/>
          </rPr>
          <t xml:space="preserve">2/27/14: LS loss -$35M for FY13
kimberlg: 7/30/13:
</t>
        </r>
        <r>
          <rPr>
            <sz val="8"/>
            <color indexed="81"/>
            <rFont val="Tahoma"/>
            <family val="2"/>
          </rPr>
          <t>per Stuart, LS loss in 2013 could be similar to 2012 loss despite improving fundamentals because of cost of IT system conversion to get LS on same systems as VS and BBW</t>
        </r>
      </text>
    </comment>
    <comment ref="DP213" authorId="1">
      <text>
        <r>
          <rPr>
            <b/>
            <sz val="8"/>
            <color indexed="81"/>
            <rFont val="Tahoma"/>
            <family val="2"/>
          </rPr>
          <t>All FY13 numbers
Henri Bendel revenue: $85M
Henri Bendel loss -$38M
La Senza loss -$35M</t>
        </r>
      </text>
    </comment>
    <comment ref="DT213" authorId="14">
      <text>
        <r>
          <rPr>
            <sz val="8"/>
            <color indexed="81"/>
            <rFont val="Tahoma"/>
            <family val="2"/>
          </rPr>
          <t xml:space="preserve">HB revenue $85M
HB loss -$35M
Corp overhead: -$170M
LS loss: -$35M
= -$240M loss = $143.89M from MAST and VSBA markup
</t>
        </r>
        <r>
          <rPr>
            <b/>
            <sz val="8"/>
            <color indexed="81"/>
            <rFont val="Tahoma"/>
            <family val="2"/>
          </rPr>
          <t xml:space="preserve">
kimberlg:</t>
        </r>
        <r>
          <rPr>
            <sz val="8"/>
            <color indexed="81"/>
            <rFont val="Tahoma"/>
            <family val="2"/>
          </rPr>
          <t xml:space="preserve">
LTD indicated it would expect to cut in half (approx) the loss incurred LY (which was $85M) - TARGET -$42MM!!</t>
        </r>
      </text>
    </comment>
    <comment ref="K216" authorId="1">
      <text>
        <r>
          <rPr>
            <b/>
            <sz val="9"/>
            <color indexed="81"/>
            <rFont val="Tahoma"/>
            <family val="2"/>
          </rPr>
          <t>casselau:</t>
        </r>
        <r>
          <rPr>
            <sz val="9"/>
            <color indexed="81"/>
            <rFont val="Tahoma"/>
            <family val="2"/>
          </rPr>
          <t xml:space="preserve">
5/21/14: +HSD lingerie, pink and sport was offset by -HSD apparel decline
"We plan to sell through the remaining inventory of non-go-froward merchandise through the remainder of the year. We currently expect total apparel sales will decline by about $130M in 2014 and makeup sales will decline by about $25M"</t>
        </r>
      </text>
    </comment>
    <comment ref="W216" authorId="1">
      <text>
        <r>
          <rPr>
            <b/>
            <sz val="9"/>
            <color indexed="81"/>
            <rFont val="Tahoma"/>
            <family val="2"/>
          </rPr>
          <t>casselau:</t>
        </r>
        <r>
          <rPr>
            <sz val="9"/>
            <color indexed="81"/>
            <rFont val="Tahoma"/>
            <family val="2"/>
          </rPr>
          <t xml:space="preserve">
5/8/14: Direct $51.4M</t>
        </r>
      </text>
    </comment>
    <comment ref="AG216" authorId="1">
      <text>
        <r>
          <rPr>
            <b/>
            <sz val="9"/>
            <color indexed="81"/>
            <rFont val="Tahoma"/>
            <family val="2"/>
          </rPr>
          <t>casselau:</t>
        </r>
        <r>
          <rPr>
            <sz val="8"/>
            <color indexed="81"/>
            <rFont val="Tahoma"/>
            <family val="2"/>
          </rPr>
          <t xml:space="preserve">
10-Q: int'l sales across all segments totaled $295M; includes Canada, the Direct international business, La Senza and Mast sales to franchise partners in addition to VS &amp; BBW owned int'l stores
</t>
        </r>
      </text>
    </comment>
    <comment ref="AZ216" authorId="1">
      <text>
        <r>
          <rPr>
            <b/>
            <sz val="9"/>
            <color indexed="81"/>
            <rFont val="Tahoma"/>
            <family val="2"/>
          </rPr>
          <t>casselau:</t>
        </r>
        <r>
          <rPr>
            <sz val="9"/>
            <color indexed="81"/>
            <rFont val="Tahoma"/>
            <family val="2"/>
          </rPr>
          <t xml:space="preserve">
per Amie: $55M revenue, 1Q $13-15M loss</t>
        </r>
      </text>
    </comment>
    <comment ref="CT216" authorId="1">
      <text>
        <r>
          <rPr>
            <b/>
            <sz val="9"/>
            <color indexed="81"/>
            <rFont val="Tahoma"/>
            <family val="2"/>
          </rPr>
          <t>casselau:</t>
        </r>
        <r>
          <rPr>
            <sz val="9"/>
            <color indexed="81"/>
            <rFont val="Tahoma"/>
            <family val="2"/>
          </rPr>
          <t xml:space="preserve">
5/21/14: gross profit flat (VSS up, VSD down); VSS operating $'s up significantly, VSD EBIT $'s down</t>
        </r>
      </text>
    </comment>
    <comment ref="DA216" authorId="1">
      <text>
        <r>
          <rPr>
            <b/>
            <sz val="9"/>
            <color indexed="81"/>
            <rFont val="Tahoma"/>
            <family val="2"/>
          </rPr>
          <t>casselau:</t>
        </r>
        <r>
          <rPr>
            <sz val="9"/>
            <color indexed="81"/>
            <rFont val="Tahoma"/>
            <family val="2"/>
          </rPr>
          <t xml:space="preserve">
5/21/14: gross profit up driven by B&amp;O leverage; merch margin flat due to Canada FX (US and direct up)</t>
        </r>
      </text>
    </comment>
    <comment ref="DL216" authorId="1">
      <text>
        <r>
          <rPr>
            <b/>
            <sz val="9"/>
            <color indexed="81"/>
            <rFont val="Tahoma"/>
            <family val="2"/>
          </rPr>
          <t>casselau:</t>
        </r>
        <r>
          <rPr>
            <sz val="9"/>
            <color indexed="81"/>
            <rFont val="Tahoma"/>
            <family val="2"/>
          </rPr>
          <t xml:space="preserve">
5/21/14: per Amie: La Senza $13-15M 1Q loss</t>
        </r>
      </text>
    </comment>
    <comment ref="DT216" authorId="1">
      <text>
        <r>
          <rPr>
            <b/>
            <sz val="9"/>
            <color indexed="81"/>
            <rFont val="Tahoma"/>
            <family val="2"/>
          </rPr>
          <t>casselau:</t>
        </r>
        <r>
          <rPr>
            <sz val="9"/>
            <color indexed="81"/>
            <rFont val="Tahoma"/>
            <family val="2"/>
          </rPr>
          <t xml:space="preserve">
La Senza 1Q $13-15M loss; Corporate overhead favorable y/y ($40-45M); The corporate overhead improvement offset a decline in the domestic sourcing business (MAST); Bendel loss relatively flat y/y
</t>
        </r>
      </text>
    </comment>
    <comment ref="W217" authorId="1">
      <text>
        <r>
          <rPr>
            <b/>
            <sz val="9"/>
            <color indexed="81"/>
            <rFont val="Tahoma"/>
            <family val="2"/>
          </rPr>
          <t>casselau:</t>
        </r>
        <r>
          <rPr>
            <sz val="9"/>
            <color indexed="81"/>
            <rFont val="Tahoma"/>
            <family val="2"/>
          </rPr>
          <t xml:space="preserve">
stores $638.3; Direct $66.4M</t>
        </r>
      </text>
    </comment>
    <comment ref="AZ217" authorId="1">
      <text>
        <r>
          <rPr>
            <b/>
            <sz val="9"/>
            <color indexed="81"/>
            <rFont val="Tahoma"/>
            <family val="2"/>
          </rPr>
          <t>casselau:</t>
        </r>
        <r>
          <rPr>
            <sz val="9"/>
            <color indexed="81"/>
            <rFont val="Tahoma"/>
            <family val="2"/>
          </rPr>
          <t xml:space="preserve">
per Amie: $71.7M revenue</t>
        </r>
      </text>
    </comment>
    <comment ref="CT217" authorId="1">
      <text>
        <r>
          <rPr>
            <b/>
            <sz val="9"/>
            <color indexed="81"/>
            <rFont val="Tahoma"/>
            <family val="2"/>
          </rPr>
          <t>casselau:</t>
        </r>
        <r>
          <rPr>
            <sz val="9"/>
            <color indexed="81"/>
            <rFont val="Tahoma"/>
            <family val="2"/>
          </rPr>
          <t xml:space="preserve">
8/20/14: gross profit flat (stores up slightly, direct down); merch margin increased; operating income up in stores, down in directly; op inc. dollars up significantly in store</t>
        </r>
      </text>
    </comment>
    <comment ref="DA217" authorId="1">
      <text>
        <r>
          <rPr>
            <b/>
            <sz val="9"/>
            <color indexed="81"/>
            <rFont val="Tahoma"/>
            <family val="2"/>
          </rPr>
          <t>casselau:</t>
        </r>
        <r>
          <rPr>
            <sz val="9"/>
            <color indexed="81"/>
            <rFont val="Tahoma"/>
            <family val="2"/>
          </rPr>
          <t xml:space="preserve">
8/20/14: gross profit up slightly </t>
        </r>
      </text>
    </comment>
    <comment ref="DH217" authorId="1">
      <text>
        <r>
          <rPr>
            <b/>
            <sz val="9"/>
            <color indexed="81"/>
            <rFont val="Tahoma"/>
            <family val="2"/>
          </rPr>
          <t>casselau:</t>
        </r>
        <r>
          <rPr>
            <sz val="9"/>
            <color indexed="81"/>
            <rFont val="Tahoma"/>
            <family val="2"/>
          </rPr>
          <t xml:space="preserve">
negatively impacted by ~$1M of accelerated depreciation due to Bond Street remodel</t>
        </r>
      </text>
    </comment>
    <comment ref="DT217" authorId="1">
      <text>
        <r>
          <rPr>
            <b/>
            <sz val="9"/>
            <color indexed="81"/>
            <rFont val="Tahoma"/>
            <family val="2"/>
          </rPr>
          <t>casselau:</t>
        </r>
        <r>
          <rPr>
            <sz val="9"/>
            <color indexed="81"/>
            <rFont val="Tahoma"/>
            <family val="2"/>
          </rPr>
          <t xml:space="preserve">
8/20/14: of the y/y loss increase, half due to severance charge and half due to LS</t>
        </r>
      </text>
    </comment>
    <comment ref="K218" authorId="1">
      <text>
        <r>
          <rPr>
            <b/>
            <sz val="9"/>
            <color indexed="81"/>
            <rFont val="Tahoma"/>
            <family val="2"/>
          </rPr>
          <t>casselau:</t>
        </r>
        <r>
          <rPr>
            <sz val="9"/>
            <color indexed="81"/>
            <rFont val="Tahoma"/>
            <family val="2"/>
          </rPr>
          <t xml:space="preserve">
11/20/14: merchandise margin higher; core products +mid-teens</t>
        </r>
      </text>
    </comment>
    <comment ref="L218" authorId="1">
      <text>
        <r>
          <rPr>
            <b/>
            <sz val="9"/>
            <color indexed="81"/>
            <rFont val="Tahoma"/>
            <family val="2"/>
          </rPr>
          <t>casselau:</t>
        </r>
        <r>
          <rPr>
            <sz val="9"/>
            <color indexed="81"/>
            <rFont val="Tahoma"/>
            <family val="2"/>
          </rPr>
          <t xml:space="preserve">
8/20/14: per Amie; expect to decline LSD to MSD</t>
        </r>
      </text>
    </comment>
    <comment ref="W218" authorId="1">
      <text>
        <r>
          <rPr>
            <b/>
            <sz val="9"/>
            <color indexed="81"/>
            <rFont val="Tahoma"/>
            <family val="2"/>
          </rPr>
          <t>casselau:</t>
        </r>
        <r>
          <rPr>
            <sz val="9"/>
            <color indexed="81"/>
            <rFont val="Tahoma"/>
            <family val="2"/>
          </rPr>
          <t xml:space="preserve">
11/6/14: direct +16% to $56.7M</t>
        </r>
      </text>
    </comment>
    <comment ref="AZ218" authorId="1">
      <text>
        <r>
          <rPr>
            <b/>
            <sz val="9"/>
            <color indexed="81"/>
            <rFont val="Tahoma"/>
            <family val="2"/>
          </rPr>
          <t>casselau:</t>
        </r>
        <r>
          <rPr>
            <sz val="9"/>
            <color indexed="81"/>
            <rFont val="Tahoma"/>
            <family val="2"/>
          </rPr>
          <t xml:space="preserve">
per Amie ~$60M</t>
        </r>
      </text>
    </comment>
    <comment ref="CT218" authorId="1">
      <text>
        <r>
          <rPr>
            <b/>
            <sz val="9"/>
            <color indexed="81"/>
            <rFont val="Tahoma"/>
            <family val="2"/>
          </rPr>
          <t>casselau:</t>
        </r>
        <r>
          <rPr>
            <sz val="9"/>
            <color indexed="81"/>
            <rFont val="Tahoma"/>
            <family val="2"/>
          </rPr>
          <t xml:space="preserve">
gross profit up; VSS operating income rate up significantly, VSD down slightly</t>
        </r>
      </text>
    </comment>
    <comment ref="DA218" authorId="1">
      <text>
        <r>
          <rPr>
            <b/>
            <sz val="9"/>
            <color indexed="81"/>
            <rFont val="Tahoma"/>
            <family val="2"/>
          </rPr>
          <t>casselau:</t>
        </r>
        <r>
          <rPr>
            <sz val="9"/>
            <color indexed="81"/>
            <rFont val="Tahoma"/>
            <family val="2"/>
          </rPr>
          <t xml:space="preserve">
gross profit up slightly</t>
        </r>
      </text>
    </comment>
    <comment ref="DH218" authorId="1">
      <text>
        <r>
          <rPr>
            <b/>
            <sz val="9"/>
            <color indexed="81"/>
            <rFont val="Tahoma"/>
            <family val="2"/>
          </rPr>
          <t>casselau:</t>
        </r>
        <r>
          <rPr>
            <sz val="9"/>
            <color indexed="81"/>
            <rFont val="Tahoma"/>
            <family val="2"/>
          </rPr>
          <t xml:space="preserve">
negatively impacted by ~$1M of accelerated depreciation due to Bond Street remodel</t>
        </r>
      </text>
    </comment>
    <comment ref="DL218" authorId="1">
      <text>
        <r>
          <rPr>
            <b/>
            <sz val="9"/>
            <color indexed="81"/>
            <rFont val="Tahoma"/>
            <family val="2"/>
          </rPr>
          <t>casselau:</t>
        </r>
        <r>
          <rPr>
            <sz val="9"/>
            <color indexed="81"/>
            <rFont val="Tahoma"/>
            <family val="2"/>
          </rPr>
          <t xml:space="preserve">
11/20/14: per Amie ~$4.8M y/y improvement mainly driven by La Senza </t>
        </r>
      </text>
    </comment>
    <comment ref="DT218" authorId="1">
      <text>
        <r>
          <rPr>
            <b/>
            <sz val="9"/>
            <color indexed="81"/>
            <rFont val="Tahoma"/>
            <family val="2"/>
          </rPr>
          <t>casselau:</t>
        </r>
        <r>
          <rPr>
            <sz val="9"/>
            <color indexed="81"/>
            <rFont val="Tahoma"/>
            <family val="2"/>
          </rPr>
          <t xml:space="preserve">
11/20/14: y/y improvement primarily driven by La Senza</t>
        </r>
      </text>
    </comment>
    <comment ref="K219" authorId="1">
      <text>
        <r>
          <rPr>
            <b/>
            <sz val="9"/>
            <color indexed="81"/>
            <rFont val="Tahoma"/>
            <family val="2"/>
          </rPr>
          <t xml:space="preserve">casselau:
2/5/15: go-forward sales increased in the mid-teens; non-go-forward sales decreased in the low 90% range
2/26/15: exited $80M of non-go-forward apparel; merch margin dollars flat
</t>
        </r>
        <r>
          <rPr>
            <sz val="9"/>
            <color indexed="81"/>
            <rFont val="Tahoma"/>
            <family val="2"/>
          </rPr>
          <t>2/25/15: gross profit up despite apparel exit (EBIT down)</t>
        </r>
      </text>
    </comment>
    <comment ref="L219" authorId="1">
      <text>
        <r>
          <rPr>
            <b/>
            <sz val="9"/>
            <color indexed="81"/>
            <rFont val="Tahoma"/>
            <family val="2"/>
          </rPr>
          <t>casselau:</t>
        </r>
        <r>
          <rPr>
            <sz val="9"/>
            <color indexed="81"/>
            <rFont val="Tahoma"/>
            <family val="2"/>
          </rPr>
          <t xml:space="preserve">
8/20/14: expect to decline -HSD</t>
        </r>
      </text>
    </comment>
    <comment ref="W219" authorId="1">
      <text>
        <r>
          <rPr>
            <b/>
            <sz val="9"/>
            <color indexed="81"/>
            <rFont val="Tahoma"/>
            <family val="2"/>
          </rPr>
          <t>casselau:</t>
        </r>
        <r>
          <rPr>
            <sz val="9"/>
            <color indexed="81"/>
            <rFont val="Tahoma"/>
            <family val="2"/>
          </rPr>
          <t xml:space="preserve">
2/5/15: stores $1276.7M; Direct increased 25% to $127.3M</t>
        </r>
      </text>
    </comment>
    <comment ref="AZ219" authorId="1">
      <text>
        <r>
          <rPr>
            <b/>
            <sz val="9"/>
            <color indexed="81"/>
            <rFont val="Tahoma"/>
            <family val="2"/>
          </rPr>
          <t>casselau:</t>
        </r>
        <r>
          <rPr>
            <sz val="9"/>
            <color indexed="81"/>
            <rFont val="Tahoma"/>
            <family val="2"/>
          </rPr>
          <t xml:space="preserve">
per Amie $72M</t>
        </r>
      </text>
    </comment>
    <comment ref="CT219" authorId="1">
      <text>
        <r>
          <rPr>
            <b/>
            <sz val="9"/>
            <color indexed="81"/>
            <rFont val="Tahoma"/>
            <family val="2"/>
          </rPr>
          <t>casselau:</t>
        </r>
        <r>
          <rPr>
            <sz val="9"/>
            <color indexed="81"/>
            <rFont val="Tahoma"/>
            <family val="2"/>
          </rPr>
          <t xml:space="preserve">
2/25/15: gross margin up signifcantly</t>
        </r>
      </text>
    </comment>
    <comment ref="DA219" authorId="1">
      <text>
        <r>
          <rPr>
            <b/>
            <sz val="9"/>
            <color indexed="81"/>
            <rFont val="Tahoma"/>
            <family val="2"/>
          </rPr>
          <t>casselau:</t>
        </r>
        <r>
          <rPr>
            <sz val="9"/>
            <color indexed="81"/>
            <rFont val="Tahoma"/>
            <family val="2"/>
          </rPr>
          <t xml:space="preserve">
2/25/15: gross margin up</t>
        </r>
      </text>
    </comment>
    <comment ref="DH219" authorId="1">
      <text>
        <r>
          <rPr>
            <b/>
            <sz val="9"/>
            <color indexed="81"/>
            <rFont val="Tahoma"/>
            <family val="2"/>
          </rPr>
          <t>casselau:</t>
        </r>
        <r>
          <rPr>
            <sz val="9"/>
            <color indexed="81"/>
            <rFont val="Tahoma"/>
            <family val="2"/>
          </rPr>
          <t xml:space="preserve">
negatively impacted by ~$1M of accelerated depreciation due to Bond Street remodel</t>
        </r>
      </text>
    </comment>
    <comment ref="DL219" authorId="1">
      <text>
        <r>
          <rPr>
            <b/>
            <sz val="9"/>
            <color indexed="81"/>
            <rFont val="Tahoma"/>
            <family val="2"/>
          </rPr>
          <t>casselau:</t>
        </r>
        <r>
          <rPr>
            <sz val="9"/>
            <color indexed="81"/>
            <rFont val="Tahoma"/>
            <family val="2"/>
          </rPr>
          <t xml:space="preserve">
2/26/15: per Amie they cut their loss in half</t>
        </r>
      </text>
    </comment>
    <comment ref="DT219" authorId="1">
      <text>
        <r>
          <rPr>
            <b/>
            <sz val="9"/>
            <color indexed="81"/>
            <rFont val="Tahoma"/>
            <family val="2"/>
          </rPr>
          <t>casselau:</t>
        </r>
        <r>
          <rPr>
            <sz val="9"/>
            <color indexed="81"/>
            <rFont val="Tahoma"/>
            <family val="2"/>
          </rPr>
          <t xml:space="preserve">
2/26/15: Bendel flat to LY, LS cut loss in half, internal MAST about flat, corporate overhead much higher driven by incentive comp</t>
        </r>
      </text>
    </comment>
    <comment ref="K220" authorId="1">
      <text>
        <r>
          <rPr>
            <b/>
            <sz val="9"/>
            <color indexed="81"/>
            <rFont val="Tahoma"/>
            <family val="2"/>
          </rPr>
          <t>casselau:
2/26/15: gross profit down slightly</t>
        </r>
        <r>
          <rPr>
            <sz val="9"/>
            <color indexed="81"/>
            <rFont val="Tahoma"/>
            <family val="2"/>
          </rPr>
          <t xml:space="preserve">
5/21/14: expect apparel to be $200-$220M in 2015</t>
        </r>
      </text>
    </comment>
    <comment ref="R220" authorId="1">
      <text>
        <r>
          <rPr>
            <b/>
            <sz val="9"/>
            <color indexed="81"/>
            <rFont val="Tahoma"/>
            <family val="2"/>
          </rPr>
          <t>casselau:</t>
        </r>
        <r>
          <rPr>
            <sz val="9"/>
            <color indexed="81"/>
            <rFont val="Tahoma"/>
            <family val="2"/>
          </rPr>
          <t xml:space="preserve">
11/4/14: VS Canada &gt;$300M</t>
        </r>
      </text>
    </comment>
    <comment ref="W220" authorId="1">
      <text>
        <r>
          <rPr>
            <b/>
            <sz val="9"/>
            <color indexed="81"/>
            <rFont val="Tahoma"/>
            <family val="2"/>
          </rPr>
          <t>casselau:
2/5/15: Direct $301.8M</t>
        </r>
        <r>
          <rPr>
            <sz val="9"/>
            <color indexed="81"/>
            <rFont val="Tahoma"/>
            <family val="2"/>
          </rPr>
          <t xml:space="preserve">
11/4/14: BBW Canada ~$250M</t>
        </r>
      </text>
    </comment>
    <comment ref="CT220" authorId="1">
      <text>
        <r>
          <rPr>
            <b/>
            <sz val="9"/>
            <color indexed="81"/>
            <rFont val="Tahoma"/>
            <family val="2"/>
          </rPr>
          <t>casselau:</t>
        </r>
        <r>
          <rPr>
            <sz val="9"/>
            <color indexed="81"/>
            <rFont val="Tahoma"/>
            <family val="2"/>
          </rPr>
          <t xml:space="preserve">
2/25/15: gross margin up</t>
        </r>
      </text>
    </comment>
    <comment ref="DA220" authorId="1">
      <text>
        <r>
          <rPr>
            <b/>
            <sz val="9"/>
            <color indexed="81"/>
            <rFont val="Tahoma"/>
            <family val="2"/>
          </rPr>
          <t>casselau:</t>
        </r>
        <r>
          <rPr>
            <sz val="9"/>
            <color indexed="81"/>
            <rFont val="Tahoma"/>
            <family val="2"/>
          </rPr>
          <t xml:space="preserve">
2/25/15: gross margin up</t>
        </r>
      </text>
    </comment>
    <comment ref="E223" authorId="1">
      <text>
        <r>
          <rPr>
            <b/>
            <sz val="9"/>
            <color indexed="81"/>
            <rFont val="Tahoma"/>
            <family val="2"/>
          </rPr>
          <t>casselau:</t>
        </r>
        <r>
          <rPr>
            <sz val="9"/>
            <color indexed="81"/>
            <rFont val="Tahoma"/>
            <family val="2"/>
          </rPr>
          <t xml:space="preserve">
5/20/15: 212 stores full sport assortment</t>
        </r>
      </text>
    </comment>
    <comment ref="G223" authorId="1">
      <text>
        <r>
          <rPr>
            <b/>
            <sz val="9"/>
            <color indexed="81"/>
            <rFont val="Tahoma"/>
            <family val="2"/>
          </rPr>
          <t>casselau:</t>
        </r>
        <r>
          <rPr>
            <sz val="9"/>
            <color indexed="81"/>
            <rFont val="Tahoma"/>
            <family val="2"/>
          </rPr>
          <t xml:space="preserve">
delivered high single to double digit growth in bras, panties and fragrance; swim +DD; sport exceeding expectatoins</t>
        </r>
      </text>
    </comment>
    <comment ref="K223" authorId="1">
      <text>
        <r>
          <rPr>
            <b/>
            <sz val="9"/>
            <color indexed="81"/>
            <rFont val="Tahoma"/>
            <family val="2"/>
          </rPr>
          <t>casselau:
5/7/15: go forward categories +mid-teens</t>
        </r>
        <r>
          <rPr>
            <sz val="9"/>
            <color indexed="81"/>
            <rFont val="Tahoma"/>
            <family val="2"/>
          </rPr>
          <t xml:space="preserve">
2/26/15: lapping $65M apparel, $15 Makeup</t>
        </r>
      </text>
    </comment>
    <comment ref="W223" authorId="1">
      <text>
        <r>
          <rPr>
            <b/>
            <sz val="9"/>
            <color indexed="81"/>
            <rFont val="Tahoma"/>
            <family val="2"/>
          </rPr>
          <t>casselau:</t>
        </r>
        <r>
          <rPr>
            <sz val="9"/>
            <color indexed="81"/>
            <rFont val="Tahoma"/>
            <family val="2"/>
          </rPr>
          <t xml:space="preserve">
5/7/15: BBW direct sales increased +15% to $59.3M</t>
        </r>
      </text>
    </comment>
    <comment ref="AZ223" authorId="1">
      <text>
        <r>
          <rPr>
            <b/>
            <sz val="9"/>
            <color indexed="81"/>
            <rFont val="Tahoma"/>
            <family val="2"/>
          </rPr>
          <t>casselau:</t>
        </r>
        <r>
          <rPr>
            <sz val="9"/>
            <color indexed="81"/>
            <rFont val="Tahoma"/>
            <family val="2"/>
          </rPr>
          <t xml:space="preserve">
5/7/15: $45-50M per Amie; comps were positive; dollar decline primarily FX</t>
        </r>
      </text>
    </comment>
    <comment ref="BC223" authorId="1">
      <text>
        <r>
          <rPr>
            <b/>
            <sz val="9"/>
            <color indexed="81"/>
            <rFont val="Tahoma"/>
            <family val="2"/>
          </rPr>
          <t>casselau:</t>
        </r>
        <r>
          <rPr>
            <sz val="9"/>
            <color indexed="81"/>
            <rFont val="Tahoma"/>
            <family val="2"/>
          </rPr>
          <t xml:space="preserve">
5/7/15: Henri Bendel $15-20M</t>
        </r>
      </text>
    </comment>
    <comment ref="BE223" authorId="1">
      <text>
        <r>
          <rPr>
            <b/>
            <sz val="9"/>
            <color indexed="81"/>
            <rFont val="Tahoma"/>
            <family val="2"/>
          </rPr>
          <t>casselau:</t>
        </r>
        <r>
          <rPr>
            <sz val="9"/>
            <color indexed="81"/>
            <rFont val="Tahoma"/>
            <family val="2"/>
          </rPr>
          <t xml:space="preserve">
5/20/15: decline primarily FX</t>
        </r>
      </text>
    </comment>
    <comment ref="CT223" authorId="1">
      <text>
        <r>
          <rPr>
            <b/>
            <sz val="9"/>
            <color indexed="81"/>
            <rFont val="Tahoma"/>
            <family val="2"/>
          </rPr>
          <t>casselau:</t>
        </r>
        <r>
          <rPr>
            <sz val="9"/>
            <color indexed="81"/>
            <rFont val="Tahoma"/>
            <family val="2"/>
          </rPr>
          <t xml:space="preserve">
gross profit up (up in stores, down in Direct); VSS EBIT margin up slightly, VS Direct EBIT % down</t>
        </r>
      </text>
    </comment>
    <comment ref="CV223" authorId="1">
      <text>
        <r>
          <rPr>
            <b/>
            <sz val="9"/>
            <color indexed="81"/>
            <rFont val="Tahoma"/>
            <family val="2"/>
          </rPr>
          <t>casselau:</t>
        </r>
        <r>
          <rPr>
            <sz val="9"/>
            <color indexed="81"/>
            <rFont val="Tahoma"/>
            <family val="2"/>
          </rPr>
          <t xml:space="preserve">
5/20/15: decline driven by the elimination of non-go-forward sales and an increase in expenses driven by investments in our digital shopping experience</t>
        </r>
      </text>
    </comment>
    <comment ref="DA223" authorId="1">
      <text>
        <r>
          <rPr>
            <b/>
            <sz val="9"/>
            <color indexed="81"/>
            <rFont val="Tahoma"/>
            <family val="2"/>
          </rPr>
          <t>casselau:</t>
        </r>
        <r>
          <rPr>
            <sz val="9"/>
            <color indexed="81"/>
            <rFont val="Tahoma"/>
            <family val="2"/>
          </rPr>
          <t xml:space="preserve">
gross profit up</t>
        </r>
      </text>
    </comment>
    <comment ref="DC223" authorId="1">
      <text>
        <r>
          <rPr>
            <b/>
            <sz val="9"/>
            <color indexed="81"/>
            <rFont val="Tahoma"/>
            <family val="2"/>
          </rPr>
          <t>casselau:</t>
        </r>
        <r>
          <rPr>
            <sz val="9"/>
            <color indexed="81"/>
            <rFont val="Tahoma"/>
            <family val="2"/>
          </rPr>
          <t xml:space="preserve">
5/20/15: driven by expense leverage and improvements in merchandise margin rate</t>
        </r>
      </text>
    </comment>
    <comment ref="DL223" authorId="1">
      <text>
        <r>
          <rPr>
            <b/>
            <sz val="9"/>
            <color indexed="81"/>
            <rFont val="Tahoma"/>
            <family val="2"/>
          </rPr>
          <t>casselau:</t>
        </r>
        <r>
          <rPr>
            <sz val="9"/>
            <color indexed="81"/>
            <rFont val="Tahoma"/>
            <family val="2"/>
          </rPr>
          <t xml:space="preserve">
5/20/15: per Amie: saw an improvement in profitability everywhere except corporate which was up a few million year over year</t>
        </r>
      </text>
    </comment>
    <comment ref="DP223" authorId="1">
      <text>
        <r>
          <rPr>
            <b/>
            <sz val="9"/>
            <color indexed="81"/>
            <rFont val="Tahoma"/>
            <family val="2"/>
          </rPr>
          <t>casselau:</t>
        </r>
        <r>
          <rPr>
            <sz val="9"/>
            <color indexed="81"/>
            <rFont val="Tahoma"/>
            <family val="2"/>
          </rPr>
          <t xml:space="preserve">
5/20/15: per Amie: saw an improvement in profitability everywhere except corporate which was up a few million year over year</t>
        </r>
      </text>
    </comment>
    <comment ref="DT223" authorId="1">
      <text>
        <r>
          <rPr>
            <b/>
            <sz val="9"/>
            <color indexed="81"/>
            <rFont val="Tahoma"/>
            <family val="2"/>
          </rPr>
          <t>casselau:</t>
        </r>
        <r>
          <rPr>
            <sz val="9"/>
            <color indexed="81"/>
            <rFont val="Tahoma"/>
            <family val="2"/>
          </rPr>
          <t xml:space="preserve">
5/20/15: per Amie: saw an improvement in profitability everywhere except corporate which was up a few million year over year</t>
        </r>
      </text>
    </comment>
    <comment ref="G224" authorId="1">
      <text>
        <r>
          <rPr>
            <b/>
            <sz val="9"/>
            <color indexed="81"/>
            <rFont val="Tahoma"/>
            <family val="2"/>
          </rPr>
          <t>casselau:</t>
        </r>
        <r>
          <rPr>
            <sz val="9"/>
            <color indexed="81"/>
            <rFont val="Tahoma"/>
            <family val="2"/>
          </rPr>
          <t xml:space="preserve">
8/19/15: driven by strength in PINK, panties, and lingerie (all bra categories +DD); negatively impacted by swim and beauty (reflects the impact of exiting the makeup category and softness in gifting)</t>
        </r>
      </text>
    </comment>
    <comment ref="K224" authorId="1">
      <text>
        <r>
          <rPr>
            <b/>
            <sz val="9"/>
            <color indexed="81"/>
            <rFont val="Tahoma"/>
            <family val="2"/>
          </rPr>
          <t xml:space="preserve">casselau:
8/19/15: Collectively, sales in go-forward categories were up over 10%. </t>
        </r>
        <r>
          <rPr>
            <sz val="9"/>
            <color indexed="81"/>
            <rFont val="Tahoma"/>
            <family val="2"/>
          </rPr>
          <t xml:space="preserve">Swim also missed in the Direct channel. </t>
        </r>
        <r>
          <rPr>
            <b/>
            <sz val="9"/>
            <color indexed="81"/>
            <rFont val="Tahoma"/>
            <family val="2"/>
          </rPr>
          <t xml:space="preserve">
</t>
        </r>
        <r>
          <rPr>
            <sz val="9"/>
            <color indexed="81"/>
            <rFont val="Tahoma"/>
            <family val="2"/>
          </rPr>
          <t>5/20/15: shortening the semiannual sale in the direct channel by about two weeks which will negatively impact sales (although they think they can do similar volumn in same # of days)
2/26/15: lapping $45M apparel, $20M makeup</t>
        </r>
      </text>
    </comment>
    <comment ref="S224" authorId="1">
      <text>
        <r>
          <rPr>
            <b/>
            <sz val="9"/>
            <color indexed="81"/>
            <rFont val="Tahoma"/>
            <family val="2"/>
          </rPr>
          <t>casselau:</t>
        </r>
        <r>
          <rPr>
            <sz val="9"/>
            <color indexed="81"/>
            <rFont val="Tahoma"/>
            <family val="2"/>
          </rPr>
          <t xml:space="preserve">
8/19/15: ex. Direct apparel/makeup exit, slaes growth would have been +MSD and comps +4%; bras and panties +DD and increased margin rate; swim and beauty disappointing and were primary drivers of our miss in operating income</t>
        </r>
      </text>
    </comment>
    <comment ref="W224" authorId="1">
      <text>
        <r>
          <rPr>
            <b/>
            <sz val="9"/>
            <color indexed="81"/>
            <rFont val="Tahoma"/>
            <family val="2"/>
          </rPr>
          <t>casselau:</t>
        </r>
        <r>
          <rPr>
            <sz val="9"/>
            <color indexed="81"/>
            <rFont val="Tahoma"/>
            <family val="2"/>
          </rPr>
          <t xml:space="preserve">
Direct sales +15% to $76.2M</t>
        </r>
      </text>
    </comment>
    <comment ref="AH224" authorId="1">
      <text>
        <r>
          <rPr>
            <b/>
            <sz val="9"/>
            <color indexed="81"/>
            <rFont val="Tahoma"/>
            <family val="2"/>
          </rPr>
          <t>casselau:
8/19/15:</t>
        </r>
        <r>
          <rPr>
            <sz val="9"/>
            <color indexed="81"/>
            <rFont val="Tahoma"/>
            <family val="2"/>
          </rPr>
          <t xml:space="preserve"> softer sales growth driven by timing shifts of wholesale VSBA shipments (30-40% of VSBA stores); Importantly, retail sales growth in the international business continues to be strong and has been consistent over the last several quarters.</t>
        </r>
      </text>
    </comment>
    <comment ref="AZ224" authorId="1">
      <text>
        <r>
          <rPr>
            <b/>
            <sz val="9"/>
            <color indexed="81"/>
            <rFont val="Tahoma"/>
            <family val="2"/>
          </rPr>
          <t>casselau:</t>
        </r>
        <r>
          <rPr>
            <sz val="9"/>
            <color indexed="81"/>
            <rFont val="Tahoma"/>
            <family val="2"/>
          </rPr>
          <t xml:space="preserve">
Per Amie $57-58M</t>
        </r>
      </text>
    </comment>
    <comment ref="BC224" authorId="1">
      <text>
        <r>
          <rPr>
            <b/>
            <sz val="9"/>
            <color indexed="81"/>
            <rFont val="Tahoma"/>
            <family val="2"/>
          </rPr>
          <t>casselau:</t>
        </r>
        <r>
          <rPr>
            <sz val="9"/>
            <color indexed="81"/>
            <rFont val="Tahoma"/>
            <family val="2"/>
          </rPr>
          <t xml:space="preserve">
per Amie Henri Bendel ~$21M</t>
        </r>
      </text>
    </comment>
    <comment ref="BE224" authorId="1">
      <text>
        <r>
          <rPr>
            <b/>
            <sz val="9"/>
            <color indexed="81"/>
            <rFont val="Tahoma"/>
            <family val="2"/>
          </rPr>
          <t>casselau:</t>
        </r>
        <r>
          <rPr>
            <sz val="9"/>
            <color indexed="81"/>
            <rFont val="Tahoma"/>
            <family val="2"/>
          </rPr>
          <t xml:space="preserve">
5/20/15: decline primarily FX</t>
        </r>
      </text>
    </comment>
    <comment ref="CT224" authorId="1">
      <text>
        <r>
          <rPr>
            <b/>
            <sz val="8"/>
            <color indexed="81"/>
            <rFont val="Tahoma"/>
            <family val="2"/>
          </rPr>
          <t>casselau:</t>
        </r>
        <r>
          <rPr>
            <sz val="8"/>
            <color indexed="81"/>
            <rFont val="Tahoma"/>
            <family val="2"/>
          </rPr>
          <t xml:space="preserve">
8/19/15: gross profit up (stores down, Direct up significantly); stores EBIT down, Direct EBIT up significantly; VS store EBIT dollars flat </t>
        </r>
        <r>
          <rPr>
            <b/>
            <sz val="8"/>
            <color indexed="81"/>
            <rFont val="Tahoma"/>
            <family val="2"/>
          </rPr>
          <t>(we estimate stores EBIT margin -70-75 bps, Direct +200 bps)</t>
        </r>
        <r>
          <rPr>
            <sz val="8"/>
            <color indexed="81"/>
            <rFont val="Tahoma"/>
            <family val="2"/>
          </rPr>
          <t xml:space="preserve">
**Store: swim and beauty disappointing and were primary drivers of our miss in operating income; Merchandise margin dollars increased versus last year, but the </t>
        </r>
        <r>
          <rPr>
            <b/>
            <sz val="8"/>
            <color indexed="81"/>
            <rFont val="Tahoma"/>
            <family val="2"/>
          </rPr>
          <t xml:space="preserve">rate was about flat as strength in full price selling was mostly offset by increased swim clearance and unfavorable FX impact in our Canadian business. Expenses, including buying and occupancy and SG&amp;A, delevered in the quarter versus last year, driven by investments in store real estate and
higher store selling costs. Operating income dollars were about flat to last year. Excluding the impact of exiting makeup, earnings would have been
up mid single-digits versus last year.
</t>
        </r>
        <r>
          <rPr>
            <sz val="8"/>
            <color indexed="81"/>
            <rFont val="Tahoma"/>
            <family val="2"/>
          </rPr>
          <t>*Direct: Operating income dollars and rate
improved, driven by the increase in merchandise margin and decrease in expenses.</t>
        </r>
      </text>
    </comment>
    <comment ref="CV224" authorId="1">
      <text>
        <r>
          <rPr>
            <b/>
            <sz val="9"/>
            <color indexed="81"/>
            <rFont val="Tahoma"/>
            <family val="2"/>
          </rPr>
          <t>casselau:</t>
        </r>
        <r>
          <rPr>
            <sz val="9"/>
            <color indexed="81"/>
            <rFont val="Tahoma"/>
            <family val="2"/>
          </rPr>
          <t xml:space="preserve">
We estimate Stores -75 bps, eComm+200 bps. Store merchandise margins were flat despite negative FX headwinds and incremental swim markdowns, but B&amp;O and SG&amp;A delevered driven by real estate investments (remodels) and higher store selling costs (including higher wages). </t>
        </r>
      </text>
    </comment>
    <comment ref="DA224" authorId="1">
      <text>
        <r>
          <rPr>
            <b/>
            <sz val="9"/>
            <color indexed="81"/>
            <rFont val="Tahoma"/>
            <family val="2"/>
          </rPr>
          <t>casselau:</t>
        </r>
        <r>
          <rPr>
            <sz val="9"/>
            <color indexed="81"/>
            <rFont val="Tahoma"/>
            <family val="2"/>
          </rPr>
          <t xml:space="preserve">
8/19/15: gross profit up; Our operating income rate improved by 210 basis points to 18.4%, driven by improvements in gross profit and SG&amp;A expense leverage;  We were able to pull back in promotional activity versus last year. We reduced clearance selling throughout the quarter and we were able to
effectively leverage product newness in our semi-annual sale.</t>
        </r>
      </text>
    </comment>
    <comment ref="DL224" authorId="1">
      <text>
        <r>
          <rPr>
            <b/>
            <sz val="9"/>
            <color indexed="81"/>
            <rFont val="Tahoma"/>
            <family val="2"/>
          </rPr>
          <t xml:space="preserve">casselau:
</t>
        </r>
        <r>
          <rPr>
            <sz val="9"/>
            <color indexed="81"/>
            <rFont val="Tahoma"/>
            <family val="2"/>
          </rPr>
          <t>per Amie: both LS and Bendel generally improved</t>
        </r>
      </text>
    </comment>
    <comment ref="DP224" authorId="1">
      <text>
        <r>
          <rPr>
            <b/>
            <sz val="9"/>
            <color indexed="81"/>
            <rFont val="Tahoma"/>
            <family val="2"/>
          </rPr>
          <t xml:space="preserve">casselau:
</t>
        </r>
        <r>
          <rPr>
            <sz val="9"/>
            <color indexed="81"/>
            <rFont val="Tahoma"/>
            <family val="2"/>
          </rPr>
          <t>per Amie: both LS and Bendel generally improved</t>
        </r>
      </text>
    </comment>
    <comment ref="G225" authorId="1">
      <text>
        <r>
          <rPr>
            <b/>
            <sz val="9"/>
            <color indexed="81"/>
            <rFont val="Tahoma"/>
            <family val="2"/>
          </rPr>
          <t>casselau:</t>
        </r>
        <r>
          <rPr>
            <sz val="9"/>
            <color indexed="81"/>
            <rFont val="Tahoma"/>
            <family val="2"/>
          </rPr>
          <t xml:space="preserve">
11/20/15: driven by strength in bras and panties as well as PINK loungewear; all bras (VS, PINK, sport) grew mid double digits; beauty weak</t>
        </r>
      </text>
    </comment>
    <comment ref="K225" authorId="1">
      <text>
        <r>
          <rPr>
            <b/>
            <sz val="9"/>
            <color indexed="81"/>
            <rFont val="Tahoma"/>
            <family val="2"/>
          </rPr>
          <t xml:space="preserve">casselau:
11/19/15: go forward categories +20%
</t>
        </r>
        <r>
          <rPr>
            <sz val="9"/>
            <color indexed="81"/>
            <rFont val="Tahoma"/>
            <family val="2"/>
          </rPr>
          <t>2/26/15: lapping $36M apparel (no makeup)
11/20/14: finish anniversarying apparel exit in October '15</t>
        </r>
      </text>
    </comment>
    <comment ref="S225" authorId="1">
      <text>
        <r>
          <rPr>
            <b/>
            <sz val="9"/>
            <color indexed="81"/>
            <rFont val="Tahoma"/>
            <family val="2"/>
          </rPr>
          <t>casselau:</t>
        </r>
        <r>
          <rPr>
            <sz val="9"/>
            <color indexed="81"/>
            <rFont val="Tahoma"/>
            <family val="2"/>
          </rPr>
          <t xml:space="preserve">
Included in last year's results are approximately $36 million in apparel
sales in the direct channel, which we have fully exited this year. Excluding this item, our segment sales growth would have been between 2 and 3
points higher.</t>
        </r>
      </text>
    </comment>
    <comment ref="W225" authorId="1">
      <text>
        <r>
          <rPr>
            <b/>
            <sz val="9"/>
            <color indexed="81"/>
            <rFont val="Tahoma"/>
            <family val="2"/>
          </rPr>
          <t>casselau:</t>
        </r>
        <r>
          <rPr>
            <sz val="9"/>
            <color indexed="81"/>
            <rFont val="Tahoma"/>
            <family val="2"/>
          </rPr>
          <t xml:space="preserve">
11/5/15: Direct sales +20% to $68.3M</t>
        </r>
      </text>
    </comment>
    <comment ref="AH225" authorId="1">
      <text>
        <r>
          <rPr>
            <b/>
            <sz val="9"/>
            <color indexed="81"/>
            <rFont val="Tahoma"/>
            <family val="2"/>
          </rPr>
          <t>casselau:</t>
        </r>
        <r>
          <rPr>
            <sz val="9"/>
            <color indexed="81"/>
            <rFont val="Tahoma"/>
            <family val="2"/>
          </rPr>
          <t xml:space="preserve">
+22% constant currency</t>
        </r>
      </text>
    </comment>
    <comment ref="AZ225" authorId="1">
      <text>
        <r>
          <rPr>
            <b/>
            <sz val="9"/>
            <color indexed="81"/>
            <rFont val="Tahoma"/>
            <family val="2"/>
          </rPr>
          <t>casselau:</t>
        </r>
        <r>
          <rPr>
            <sz val="9"/>
            <color indexed="81"/>
            <rFont val="Tahoma"/>
            <family val="2"/>
          </rPr>
          <t xml:space="preserve">
Per Amie $45-50M</t>
        </r>
      </text>
    </comment>
    <comment ref="BC225" authorId="1">
      <text>
        <r>
          <rPr>
            <b/>
            <sz val="9"/>
            <color indexed="81"/>
            <rFont val="Tahoma"/>
            <family val="2"/>
          </rPr>
          <t>casselau:</t>
        </r>
        <r>
          <rPr>
            <sz val="9"/>
            <color indexed="81"/>
            <rFont val="Tahoma"/>
            <family val="2"/>
          </rPr>
          <t xml:space="preserve">
per Amie: Henri Bendel $20M</t>
        </r>
      </text>
    </comment>
    <comment ref="BE225" authorId="1">
      <text>
        <r>
          <rPr>
            <b/>
            <sz val="9"/>
            <color indexed="81"/>
            <rFont val="Tahoma"/>
            <family val="2"/>
          </rPr>
          <t>casselau:</t>
        </r>
        <r>
          <rPr>
            <sz val="9"/>
            <color indexed="81"/>
            <rFont val="Tahoma"/>
            <family val="2"/>
          </rPr>
          <t xml:space="preserve">
5/20/15: decline primarily FX</t>
        </r>
      </text>
    </comment>
    <comment ref="CT225" authorId="1">
      <text>
        <r>
          <rPr>
            <b/>
            <sz val="9"/>
            <color indexed="81"/>
            <rFont val="Tahoma"/>
            <family val="2"/>
          </rPr>
          <t>casselau:</t>
        </r>
        <r>
          <rPr>
            <sz val="9"/>
            <color indexed="81"/>
            <rFont val="Tahoma"/>
            <family val="2"/>
          </rPr>
          <t xml:space="preserve">
11/19/15: gross profit up (stores down, Direct up significantly); stores EBIT down, Direct up significantly</t>
        </r>
      </text>
    </comment>
    <comment ref="CV225" authorId="1">
      <text>
        <r>
          <rPr>
            <b/>
            <sz val="9"/>
            <color indexed="81"/>
            <rFont val="Tahoma"/>
            <family val="2"/>
          </rPr>
          <t xml:space="preserve">casselau:
11/20/15: </t>
        </r>
        <r>
          <rPr>
            <sz val="9"/>
            <color indexed="81"/>
            <rFont val="Tahoma"/>
            <family val="2"/>
          </rPr>
          <t>We estimate Stores -60 bps, eComm +450 bps, as store merch margins declined driven by planned promotional activity (including the Angel Card reissue), FX headwinds, and an unfavorable mix shift from lower beauty sales. Total store expenses leveraged slightly as an improvement in the B&amp;O rate was partially offset by SG&amp;A deleverage from higher payroll (total SG&amp;A up less than 50 bps). 
8/19/15: In addition, we are continuing to invest in real estate, store selling and digital enhancements to create a more seamless shopping experience for
our customer. These are the right investments for the long-term growth of our business but will pressure rates in the third quarter.</t>
        </r>
      </text>
    </comment>
    <comment ref="DA225" authorId="1">
      <text>
        <r>
          <rPr>
            <b/>
            <sz val="9"/>
            <color indexed="81"/>
            <rFont val="Tahoma"/>
            <family val="2"/>
          </rPr>
          <t>casselau:</t>
        </r>
        <r>
          <rPr>
            <sz val="9"/>
            <color indexed="81"/>
            <rFont val="Tahoma"/>
            <family val="2"/>
          </rPr>
          <t xml:space="preserve">
11/19/15: gross profit up significantly</t>
        </r>
      </text>
    </comment>
    <comment ref="DC225" authorId="1">
      <text>
        <r>
          <rPr>
            <b/>
            <sz val="9"/>
            <color indexed="81"/>
            <rFont val="Tahoma"/>
            <family val="2"/>
          </rPr>
          <t>casselau:</t>
        </r>
        <r>
          <rPr>
            <sz val="9"/>
            <color indexed="81"/>
            <rFont val="Tahoma"/>
            <family val="2"/>
          </rPr>
          <t xml:space="preserve">
11/20/15: driven by higher merchandise margin (+50-100 bps despite FX headwinds) and expense leverage (&gt;400 bps)</t>
        </r>
      </text>
    </comment>
    <comment ref="DJ225" authorId="1">
      <text>
        <r>
          <rPr>
            <b/>
            <sz val="9"/>
            <color indexed="81"/>
            <rFont val="Tahoma"/>
            <family val="2"/>
          </rPr>
          <t>casselau:</t>
        </r>
        <r>
          <rPr>
            <sz val="9"/>
            <color indexed="81"/>
            <rFont val="Tahoma"/>
            <family val="2"/>
          </rPr>
          <t xml:space="preserve">
11/20/15: FX negatively impacted the rate by 3-4%</t>
        </r>
      </text>
    </comment>
    <comment ref="DL225" authorId="1">
      <text>
        <r>
          <rPr>
            <b/>
            <sz val="9"/>
            <color indexed="81"/>
            <rFont val="Tahoma"/>
            <family val="2"/>
          </rPr>
          <t>casselau:</t>
        </r>
        <r>
          <rPr>
            <sz val="9"/>
            <color indexed="81"/>
            <rFont val="Tahoma"/>
            <family val="2"/>
          </rPr>
          <t xml:space="preserve">
11/19/15: per Amie: loss up a few million y/y driven by FX (although the business had positive comps and improvement in their margin rates)</t>
        </r>
      </text>
    </comment>
    <comment ref="DP225" authorId="1">
      <text>
        <r>
          <rPr>
            <b/>
            <sz val="9"/>
            <color indexed="81"/>
            <rFont val="Tahoma"/>
            <family val="2"/>
          </rPr>
          <t>casselau:</t>
        </r>
        <r>
          <rPr>
            <sz val="9"/>
            <color indexed="81"/>
            <rFont val="Tahoma"/>
            <family val="2"/>
          </rPr>
          <t xml:space="preserve">
11/19/15: per Amie: Bendel about flat y/y, MAST a bit improved by a few million or so, corporate up y/y by several million</t>
        </r>
      </text>
    </comment>
    <comment ref="G226" authorId="1">
      <text>
        <r>
          <rPr>
            <b/>
            <sz val="9"/>
            <color indexed="81"/>
            <rFont val="Tahoma"/>
            <family val="2"/>
          </rPr>
          <t>casselau:</t>
        </r>
        <r>
          <rPr>
            <sz val="9"/>
            <color indexed="81"/>
            <rFont val="Tahoma"/>
            <family val="2"/>
          </rPr>
          <t xml:space="preserve">
2/25/16: mid-teen growth in bras, high single-digit growth in panties and low 20s growth in PINK lounge wear; beauty down y/y</t>
        </r>
      </text>
    </comment>
    <comment ref="K226" authorId="1">
      <text>
        <r>
          <rPr>
            <b/>
            <sz val="9"/>
            <color indexed="81"/>
            <rFont val="Tahoma"/>
            <family val="2"/>
          </rPr>
          <t>casselau:
2/26/16: Bras, panties, sleep, PINK and sport all
experienced double-digit growth to last year.</t>
        </r>
        <r>
          <rPr>
            <sz val="9"/>
            <color indexed="81"/>
            <rFont val="Tahoma"/>
            <family val="2"/>
          </rPr>
          <t xml:space="preserve">
2/26/15: lapping less than $10M in apparel</t>
        </r>
      </text>
    </comment>
    <comment ref="T226" authorId="1">
      <text>
        <r>
          <rPr>
            <b/>
            <sz val="9"/>
            <color indexed="81"/>
            <rFont val="Tahoma"/>
            <family val="2"/>
          </rPr>
          <t>casselau:</t>
        </r>
        <r>
          <rPr>
            <sz val="9"/>
            <color indexed="81"/>
            <rFont val="Tahoma"/>
            <family val="2"/>
          </rPr>
          <t xml:space="preserve">
per Amie: eCommerce would have added 2 points to comp for ~15% growth</t>
        </r>
      </text>
    </comment>
    <comment ref="W226" authorId="1">
      <text>
        <r>
          <rPr>
            <b/>
            <sz val="9"/>
            <color indexed="81"/>
            <rFont val="Tahoma"/>
            <family val="2"/>
          </rPr>
          <t>casselau:</t>
        </r>
        <r>
          <rPr>
            <sz val="9"/>
            <color indexed="81"/>
            <rFont val="Tahoma"/>
            <family val="2"/>
          </rPr>
          <t xml:space="preserve">
2/4/16: BBW direct grew +24% y/y to $157.8M</t>
        </r>
      </text>
    </comment>
    <comment ref="AH226" authorId="1">
      <text>
        <r>
          <rPr>
            <b/>
            <sz val="9"/>
            <color indexed="81"/>
            <rFont val="Tahoma"/>
            <family val="2"/>
          </rPr>
          <t>casselau:</t>
        </r>
        <r>
          <rPr>
            <sz val="9"/>
            <color indexed="81"/>
            <rFont val="Tahoma"/>
            <family val="2"/>
          </rPr>
          <t xml:space="preserve">
2/26/16: FX 5% headwind to sales growth and -$3M negative impact to EBIT; However, the BFBA business experienced a significant decline in both revenue and operating income in the fourth quarter. This decline was primarily the result of foreign currency translation, softness in travel retail and tourism generally, and a decline in shipments of beauty products in anticipation of the new Victoria's Secret Fantasy's collection being launched in the spring</t>
        </r>
      </text>
    </comment>
    <comment ref="AZ226" authorId="1">
      <text>
        <r>
          <rPr>
            <b/>
            <sz val="9"/>
            <color indexed="81"/>
            <rFont val="Tahoma"/>
            <family val="2"/>
          </rPr>
          <t>casselau:</t>
        </r>
        <r>
          <rPr>
            <sz val="9"/>
            <color indexed="81"/>
            <rFont val="Tahoma"/>
            <family val="2"/>
          </rPr>
          <t xml:space="preserve">
Per Amie $62M</t>
        </r>
      </text>
    </comment>
    <comment ref="BC226" authorId="1">
      <text>
        <r>
          <rPr>
            <b/>
            <sz val="9"/>
            <color indexed="81"/>
            <rFont val="Tahoma"/>
            <family val="2"/>
          </rPr>
          <t>casselau:</t>
        </r>
        <r>
          <rPr>
            <sz val="9"/>
            <color indexed="81"/>
            <rFont val="Tahoma"/>
            <family val="2"/>
          </rPr>
          <t xml:space="preserve">
per Amie Henri Bendel $35M</t>
        </r>
      </text>
    </comment>
    <comment ref="BE226" authorId="1">
      <text>
        <r>
          <rPr>
            <b/>
            <sz val="9"/>
            <color indexed="81"/>
            <rFont val="Tahoma"/>
            <family val="2"/>
          </rPr>
          <t>casselau:</t>
        </r>
        <r>
          <rPr>
            <sz val="9"/>
            <color indexed="81"/>
            <rFont val="Tahoma"/>
            <family val="2"/>
          </rPr>
          <t xml:space="preserve">
2/4/16: decline primarily FX</t>
        </r>
      </text>
    </comment>
    <comment ref="CT226" authorId="1">
      <text>
        <r>
          <rPr>
            <b/>
            <sz val="9"/>
            <color indexed="81"/>
            <rFont val="Tahoma"/>
            <family val="2"/>
          </rPr>
          <t>casselau:</t>
        </r>
        <r>
          <rPr>
            <sz val="9"/>
            <color indexed="81"/>
            <rFont val="Tahoma"/>
            <family val="2"/>
          </rPr>
          <t xml:space="preserve">
2/24/16: gross profit up (stores up, Direct up significantly); Merchandise margin dollars for the segment increased versus last year, driven by strength in both stores and direct. Rate was about flat to last year.</t>
        </r>
        <r>
          <rPr>
            <b/>
            <sz val="9"/>
            <color indexed="81"/>
            <rFont val="Tahoma"/>
            <family val="2"/>
          </rPr>
          <t xml:space="preserve"> Stores: </t>
        </r>
        <r>
          <rPr>
            <sz val="9"/>
            <color indexed="81"/>
            <rFont val="Tahoma"/>
            <family val="2"/>
          </rPr>
          <t xml:space="preserve">Merchandise margin dollars also increased versus last year. Merchandise margin rate was about flat, as full-price selling strength in PINK was offset by a planned sport event in January, declines in beauty as we reposition this category and an unfavorable FX impact in our Canadian business. Both buying and occupancy and SG&amp;A rates leveraged in the quarter as we remained focus on disciplined expense management. </t>
        </r>
        <r>
          <rPr>
            <b/>
            <sz val="9"/>
            <color indexed="81"/>
            <rFont val="Tahoma"/>
            <family val="2"/>
          </rPr>
          <t xml:space="preserve">Direct: </t>
        </r>
        <r>
          <rPr>
            <sz val="9"/>
            <color indexed="81"/>
            <rFont val="Tahoma"/>
            <family val="2"/>
          </rPr>
          <t>The merchandise margin rate and dollars were up to last year during the quarter, as we continued to distort to the core. Operating income dollars and rate increased significantly, driven by the sales increase, margin rate expansion and expense leverage.</t>
        </r>
      </text>
    </comment>
    <comment ref="CV226" authorId="1">
      <text>
        <r>
          <rPr>
            <b/>
            <sz val="9"/>
            <color indexed="81"/>
            <rFont val="Tahoma"/>
            <family val="2"/>
          </rPr>
          <t>casselau:</t>
        </r>
        <r>
          <rPr>
            <sz val="9"/>
            <color indexed="81"/>
            <rFont val="Tahoma"/>
            <family val="2"/>
          </rPr>
          <t xml:space="preserve">
2/24/16: operating income rate up for VS stores, up significantly VS Direct; </t>
        </r>
        <r>
          <rPr>
            <b/>
            <sz val="9"/>
            <color indexed="81"/>
            <rFont val="Tahoma"/>
            <family val="2"/>
          </rPr>
          <t>We estimate Stores +70 bps, eComm +400 bps</t>
        </r>
      </text>
    </comment>
    <comment ref="DA226" authorId="1">
      <text>
        <r>
          <rPr>
            <b/>
            <sz val="9"/>
            <color indexed="81"/>
            <rFont val="Tahoma"/>
            <family val="2"/>
          </rPr>
          <t>casselau:</t>
        </r>
        <r>
          <rPr>
            <sz val="9"/>
            <color indexed="81"/>
            <rFont val="Tahoma"/>
            <family val="2"/>
          </rPr>
          <t xml:space="preserve">
2/24/16: gross profit up slightly</t>
        </r>
      </text>
    </comment>
    <comment ref="DC226" authorId="1">
      <text>
        <r>
          <rPr>
            <b/>
            <sz val="9"/>
            <color indexed="81"/>
            <rFont val="Tahoma"/>
            <family val="2"/>
          </rPr>
          <t>casselau:</t>
        </r>
        <r>
          <rPr>
            <sz val="9"/>
            <color indexed="81"/>
            <rFont val="Tahoma"/>
            <family val="2"/>
          </rPr>
          <t xml:space="preserve">
2/25/16: driven by improvement in merch margin somewhat offset by increase in B&amp;O expense and FX</t>
        </r>
      </text>
    </comment>
    <comment ref="DH226" authorId="1">
      <text>
        <r>
          <rPr>
            <b/>
            <sz val="9"/>
            <color indexed="81"/>
            <rFont val="Tahoma"/>
            <family val="2"/>
          </rPr>
          <t>casselau:</t>
        </r>
        <r>
          <rPr>
            <sz val="9"/>
            <color indexed="81"/>
            <rFont val="Tahoma"/>
            <family val="2"/>
          </rPr>
          <t xml:space="preserve">
2/25/16: FX negatively impacted EBIT by $3M</t>
        </r>
      </text>
    </comment>
    <comment ref="DL226" authorId="1">
      <text>
        <r>
          <rPr>
            <b/>
            <sz val="9"/>
            <color indexed="81"/>
            <rFont val="Tahoma"/>
            <family val="2"/>
          </rPr>
          <t>casselau:</t>
        </r>
        <r>
          <rPr>
            <sz val="9"/>
            <color indexed="81"/>
            <rFont val="Tahoma"/>
            <family val="2"/>
          </rPr>
          <t xml:space="preserve">
2/25/16: Per Amie, La Senza loss a bit better y/y, close to breakeven, but still a little bit of a loss</t>
        </r>
      </text>
    </comment>
    <comment ref="DP226" authorId="1">
      <text>
        <r>
          <rPr>
            <b/>
            <sz val="9"/>
            <color indexed="81"/>
            <rFont val="Tahoma"/>
            <family val="2"/>
          </rPr>
          <t>casselau:</t>
        </r>
        <r>
          <rPr>
            <sz val="9"/>
            <color indexed="81"/>
            <rFont val="Tahoma"/>
            <family val="2"/>
          </rPr>
          <t xml:space="preserve">
2/25/16: HB slight improvement, MAST relatively flat, corporate in total a couple of million higher</t>
        </r>
      </text>
    </comment>
    <comment ref="K227" authorId="1">
      <text>
        <r>
          <rPr>
            <b/>
            <sz val="9"/>
            <color indexed="81"/>
            <rFont val="Tahoma"/>
            <family val="2"/>
          </rPr>
          <t>casselau:
2/25/16: go-forward categories +16%</t>
        </r>
        <r>
          <rPr>
            <sz val="9"/>
            <color indexed="81"/>
            <rFont val="Tahoma"/>
            <family val="2"/>
          </rPr>
          <t xml:space="preserve">
2/26/15: per Amie "planning flattish"; exiting $185M in non-go-forward apparel and makeup; "lounge" a ~$300M business going forward</t>
        </r>
      </text>
    </comment>
    <comment ref="L227" authorId="1">
      <text>
        <r>
          <rPr>
            <b/>
            <sz val="9"/>
            <color indexed="81"/>
            <rFont val="Tahoma"/>
            <family val="2"/>
          </rPr>
          <t>casselau:</t>
        </r>
        <r>
          <rPr>
            <sz val="9"/>
            <color indexed="81"/>
            <rFont val="Tahoma"/>
            <family val="2"/>
          </rPr>
          <t xml:space="preserve">
2/25/16: go-forward categories +16%</t>
        </r>
      </text>
    </comment>
    <comment ref="W227" authorId="1">
      <text>
        <r>
          <rPr>
            <b/>
            <sz val="9"/>
            <color indexed="81"/>
            <rFont val="Tahoma"/>
            <family val="2"/>
          </rPr>
          <t>casselau:</t>
        </r>
        <r>
          <rPr>
            <sz val="9"/>
            <color indexed="81"/>
            <rFont val="Tahoma"/>
            <family val="2"/>
          </rPr>
          <t xml:space="preserve">
2/4/16: BBW direct grew 20% to $361.6M</t>
        </r>
      </text>
    </comment>
    <comment ref="AG227" authorId="1">
      <text>
        <r>
          <rPr>
            <b/>
            <sz val="9"/>
            <color indexed="81"/>
            <rFont val="Tahoma"/>
            <family val="2"/>
          </rPr>
          <t>casselau:</t>
        </r>
        <r>
          <rPr>
            <sz val="9"/>
            <color indexed="81"/>
            <rFont val="Tahoma"/>
            <family val="2"/>
          </rPr>
          <t xml:space="preserve">
~$408.3M CC</t>
        </r>
      </text>
    </comment>
    <comment ref="AH227" authorId="1">
      <text>
        <r>
          <rPr>
            <b/>
            <sz val="9"/>
            <color indexed="81"/>
            <rFont val="Tahoma"/>
            <family val="2"/>
          </rPr>
          <t>casselau:</t>
        </r>
        <r>
          <rPr>
            <sz val="9"/>
            <color indexed="81"/>
            <rFont val="Tahoma"/>
            <family val="2"/>
          </rPr>
          <t xml:space="preserve">
5/20/15: expect growth rate for the year similar to 1Q (29%)</t>
        </r>
      </text>
    </comment>
    <comment ref="CT227" authorId="1">
      <text>
        <r>
          <rPr>
            <b/>
            <sz val="9"/>
            <color indexed="81"/>
            <rFont val="Tahoma"/>
            <family val="2"/>
          </rPr>
          <t>casselau:</t>
        </r>
        <r>
          <rPr>
            <sz val="9"/>
            <color indexed="81"/>
            <rFont val="Tahoma"/>
            <family val="2"/>
          </rPr>
          <t xml:space="preserve">
2/24/16: gross profit up (stores flat, Direct up significantly)</t>
        </r>
      </text>
    </comment>
    <comment ref="CV227" authorId="1">
      <text>
        <r>
          <rPr>
            <b/>
            <sz val="9"/>
            <color indexed="81"/>
            <rFont val="Tahoma"/>
            <family val="2"/>
          </rPr>
          <t>casselau:</t>
        </r>
        <r>
          <rPr>
            <sz val="9"/>
            <color indexed="81"/>
            <rFont val="Tahoma"/>
            <family val="2"/>
          </rPr>
          <t xml:space="preserve">
2/24/16: operating income rate flat for VS stores, up significantly VS Direct</t>
        </r>
      </text>
    </comment>
    <comment ref="DA227" authorId="1">
      <text>
        <r>
          <rPr>
            <b/>
            <sz val="9"/>
            <color indexed="81"/>
            <rFont val="Tahoma"/>
            <family val="2"/>
          </rPr>
          <t>casselau:</t>
        </r>
        <r>
          <rPr>
            <sz val="9"/>
            <color indexed="81"/>
            <rFont val="Tahoma"/>
            <family val="2"/>
          </rPr>
          <t xml:space="preserve">
2/24/16: gross profit up</t>
        </r>
      </text>
    </comment>
    <comment ref="DC227" authorId="1">
      <text>
        <r>
          <rPr>
            <b/>
            <sz val="9"/>
            <color indexed="81"/>
            <rFont val="Tahoma"/>
            <family val="2"/>
          </rPr>
          <t>casselau:</t>
        </r>
        <r>
          <rPr>
            <sz val="9"/>
            <color indexed="81"/>
            <rFont val="Tahoma"/>
            <family val="2"/>
          </rPr>
          <t xml:space="preserve">
2/25/16: driven by merch margin improvement and expense leverage</t>
        </r>
      </text>
    </comment>
    <comment ref="DH227" authorId="1">
      <text>
        <r>
          <rPr>
            <b/>
            <sz val="9"/>
            <color indexed="81"/>
            <rFont val="Tahoma"/>
            <family val="2"/>
          </rPr>
          <t>casselau:</t>
        </r>
        <r>
          <rPr>
            <sz val="9"/>
            <color indexed="81"/>
            <rFont val="Tahoma"/>
            <family val="2"/>
          </rPr>
          <t xml:space="preserve">
2/26/16: FX negatively impacted 2015 operating income by about $15 million. So absent the FX impact, operating income would have increased 32% and the rate would have increased by 200 basis points to 25.2%. </t>
        </r>
      </text>
    </comment>
    <comment ref="R230" authorId="16">
      <text>
        <r>
          <rPr>
            <b/>
            <sz val="9"/>
            <color indexed="81"/>
            <rFont val="Tahoma"/>
            <family val="2"/>
          </rPr>
          <t>Cassel, Lauren (Research):</t>
        </r>
        <r>
          <rPr>
            <sz val="9"/>
            <color indexed="81"/>
            <rFont val="Tahoma"/>
            <family val="2"/>
          </rPr>
          <t xml:space="preserve">
5/18/16: PINK CONTINUES TO BE STRONG, WITH DOUBLE DIGIT GROWTH IN THE QUARTER. CORE LINGERIE BRAS AND PANTIES WERE UP SLIGHTLY IN THE QUARTER, AND DECELERATED VERSUS THE FOURTH QUARTER TREND. SLEEPWEAR AND SWIMWEAR SALES
DECLINED IN THE QUARTER. BEAUTY RESULTS CONTINUE TO DECLINE, IN LINE WITH OUR EXPECTATIONS AS WE CONTINUE TO
REPOSITION THE CATEGORY.</t>
        </r>
      </text>
    </comment>
    <comment ref="W230" authorId="16">
      <text>
        <r>
          <rPr>
            <b/>
            <sz val="9"/>
            <color indexed="81"/>
            <rFont val="Tahoma"/>
            <family val="2"/>
          </rPr>
          <t>Cassel, Lauren (Research):</t>
        </r>
        <r>
          <rPr>
            <sz val="9"/>
            <color indexed="81"/>
            <rFont val="Tahoma"/>
            <family val="2"/>
          </rPr>
          <t xml:space="preserve">
5/5/16: BBW Direct +24% to $73.5M; strength in home fragrance; continue to see growth in transaction volume as well as ADS</t>
        </r>
      </text>
    </comment>
    <comment ref="AG230" authorId="16">
      <text>
        <r>
          <rPr>
            <b/>
            <sz val="9"/>
            <color indexed="81"/>
            <rFont val="Tahoma"/>
            <family val="2"/>
          </rPr>
          <t xml:space="preserve">Cassel, Lauren (Research):
5/18/16: Per Amie: VS UK +mid-teens; middle east BBW full assortment &amp; VS full assortment both +L-MSD range;  VSBA was –MSD; </t>
        </r>
        <r>
          <rPr>
            <sz val="9"/>
            <color indexed="81"/>
            <rFont val="Tahoma"/>
            <family val="2"/>
          </rPr>
          <t xml:space="preserve">
5/18/16: negatively impacted by several items: 1) macro economic condiitions in the middle east and turkey which is their biggest intl market by far (negative); 2) VSBA has seen similar levels of sales performance as domesticaly, working diligently to improve content in that business under new leadership; 3) reduction in global travel by consumers from Russia, ME, and China has negatively impacted Airport stores and high profile cities; 4) FX rates similar to 4Q continue to have negative impact on the business; as a result slowing the rate of new store openings</t>
        </r>
      </text>
    </comment>
    <comment ref="AH230" authorId="16">
      <text>
        <r>
          <rPr>
            <b/>
            <sz val="9"/>
            <color indexed="81"/>
            <rFont val="Tahoma"/>
            <family val="2"/>
          </rPr>
          <t>Cassel, Lauren (Research):</t>
        </r>
        <r>
          <rPr>
            <sz val="9"/>
            <color indexed="81"/>
            <rFont val="Tahoma"/>
            <family val="2"/>
          </rPr>
          <t xml:space="preserve">
5/18/16: +DD growth in retail sales on a CC basis; FX had about a 5% impact on recorded revenue growth </t>
        </r>
      </text>
    </comment>
    <comment ref="AZ230" authorId="16">
      <text>
        <r>
          <rPr>
            <b/>
            <sz val="9"/>
            <color indexed="81"/>
            <rFont val="Tahoma"/>
            <family val="2"/>
          </rPr>
          <t>Cassel, Lauren (Research):</t>
        </r>
        <r>
          <rPr>
            <sz val="9"/>
            <color indexed="81"/>
            <rFont val="Tahoma"/>
            <family val="2"/>
          </rPr>
          <t xml:space="preserve">
5/5/16: $45M per amie</t>
        </r>
      </text>
    </comment>
    <comment ref="BC230" authorId="1">
      <text>
        <r>
          <rPr>
            <b/>
            <sz val="9"/>
            <color indexed="81"/>
            <rFont val="Tahoma"/>
            <family val="2"/>
          </rPr>
          <t>casselau:</t>
        </r>
        <r>
          <rPr>
            <sz val="9"/>
            <color indexed="81"/>
            <rFont val="Tahoma"/>
            <family val="2"/>
          </rPr>
          <t xml:space="preserve">
5/7/15: Henri Bendel $15-20M</t>
        </r>
      </text>
    </comment>
    <comment ref="CT230" authorId="16">
      <text>
        <r>
          <rPr>
            <b/>
            <sz val="9"/>
            <color indexed="81"/>
            <rFont val="Tahoma"/>
            <family val="2"/>
          </rPr>
          <t>Cassel, Lauren (Research):</t>
        </r>
        <r>
          <rPr>
            <sz val="9"/>
            <color indexed="81"/>
            <rFont val="Tahoma"/>
            <family val="2"/>
          </rPr>
          <t xml:space="preserve">
5/18/16: gross profit down significantly; driven by a lower merchandise margin rate (increased promotional activity in beauty, increased shipping offers in digital, higher penetration in Secret Rewards promotion, and Canada FX) and deleverage related to our real estate investments, including the 5th ave flagship, which was not fully offset by a decline in catalog costs. SG&amp;A leveraged vs. LY. </t>
        </r>
      </text>
    </comment>
    <comment ref="CV230" authorId="16">
      <text>
        <r>
          <rPr>
            <b/>
            <sz val="9"/>
            <color indexed="81"/>
            <rFont val="Tahoma"/>
            <family val="2"/>
          </rPr>
          <t>Cassel, Lauren (Research):</t>
        </r>
        <r>
          <rPr>
            <sz val="9"/>
            <color indexed="81"/>
            <rFont val="Tahoma"/>
            <family val="2"/>
          </rPr>
          <t xml:space="preserve">
5/18/16: gross profit down significantly; driven by a lower merchandise margin rate (increased promotional activity in beauty, increased shipping offers in digital, higher penetration in Secret Rewards promotion, and Canada FX) and deleverage related to our real estate investments, including the 5th ave flagship, which was not fully offset by a decline in catalog costs. SG&amp;A leveraged vs. LY. </t>
        </r>
      </text>
    </comment>
    <comment ref="DA230" authorId="16">
      <text>
        <r>
          <rPr>
            <b/>
            <sz val="9"/>
            <color indexed="81"/>
            <rFont val="Tahoma"/>
            <family val="2"/>
          </rPr>
          <t>Cassel, Lauren (Research):</t>
        </r>
        <r>
          <rPr>
            <sz val="9"/>
            <color indexed="81"/>
            <rFont val="Tahoma"/>
            <family val="2"/>
          </rPr>
          <t xml:space="preserve">
5/18/16: gross profit down; merch margin flat as promotional activity was fairly consistent y/y and the margin rate was negatively impacted by FX in Canada; operating income improvement driven by expense leverage in SG&amp;A offset by increased expenses in occupancy
82 white barn stores at end of the quarter (250 by year end)</t>
        </r>
      </text>
    </comment>
    <comment ref="DH230" authorId="16">
      <text>
        <r>
          <rPr>
            <b/>
            <sz val="9"/>
            <color indexed="81"/>
            <rFont val="Tahoma"/>
            <family val="2"/>
          </rPr>
          <t>Cassel, Lauren (Research):</t>
        </r>
        <r>
          <rPr>
            <sz val="9"/>
            <color indexed="81"/>
            <rFont val="Tahoma"/>
            <family val="2"/>
          </rPr>
          <t xml:space="preserve">
5/18/16: includes $4M in China expense; FX had -$4M impact on operating income; UK particularly strong on both sales and EBIT front</t>
        </r>
      </text>
    </comment>
    <comment ref="DL230" authorId="16">
      <text>
        <r>
          <rPr>
            <b/>
            <sz val="9"/>
            <color indexed="81"/>
            <rFont val="Tahoma"/>
            <family val="2"/>
          </rPr>
          <t>Cassel, Lauren (Research):</t>
        </r>
        <r>
          <rPr>
            <sz val="9"/>
            <color indexed="81"/>
            <rFont val="Tahoma"/>
            <family val="2"/>
          </rPr>
          <t xml:space="preserve">
5/18/16: per Amie relatively flat ex. FX impcat </t>
        </r>
      </text>
    </comment>
    <comment ref="DP230" authorId="16">
      <text>
        <r>
          <rPr>
            <b/>
            <sz val="9"/>
            <color indexed="81"/>
            <rFont val="Tahoma"/>
            <family val="2"/>
          </rPr>
          <t>Cassel, Lauren (Research):</t>
        </r>
        <r>
          <rPr>
            <sz val="9"/>
            <color indexed="81"/>
            <rFont val="Tahoma"/>
            <family val="2"/>
          </rPr>
          <t xml:space="preserve">
5/18/16: per Amie Henri Bendel, corporate overhead, and MAST relatively flat </t>
        </r>
      </text>
    </comment>
    <comment ref="E231" authorId="16">
      <text>
        <r>
          <rPr>
            <b/>
            <sz val="9"/>
            <color indexed="81"/>
            <rFont val="Tahoma"/>
            <family val="2"/>
          </rPr>
          <t>Cassel, Lauren (Research):</t>
        </r>
        <r>
          <rPr>
            <sz val="9"/>
            <color indexed="81"/>
            <rFont val="Tahoma"/>
            <family val="2"/>
          </rPr>
          <t xml:space="preserve">
8/17/16: PINK +DD; core lingerie and panties including sport bras +LSD; beauty continues to decline (-MSD)</t>
        </r>
      </text>
    </comment>
    <comment ref="K231" authorId="16">
      <text>
        <r>
          <rPr>
            <b/>
            <sz val="9"/>
            <color indexed="81"/>
            <rFont val="Tahoma"/>
            <family val="2"/>
          </rPr>
          <t>Cassel, Lauren (Research):</t>
        </r>
        <r>
          <rPr>
            <sz val="9"/>
            <color indexed="81"/>
            <rFont val="Tahoma"/>
            <family val="2"/>
          </rPr>
          <t xml:space="preserve">
5/5/16: assume $15M reduction in apparel sales and +3% core category growth ($365M)</t>
        </r>
      </text>
    </comment>
    <comment ref="R231" authorId="16">
      <text>
        <r>
          <rPr>
            <b/>
            <sz val="9"/>
            <color indexed="81"/>
            <rFont val="Tahoma"/>
            <family val="2"/>
          </rPr>
          <t>Cassel, Lauren (Research):</t>
        </r>
        <r>
          <rPr>
            <sz val="9"/>
            <color indexed="81"/>
            <rFont val="Tahoma"/>
            <family val="2"/>
          </rPr>
          <t xml:space="preserve">
8/17/16: PINK +DD; core lingerie and panties including sport bras +LSD; beauty continues to decline (-MSD)</t>
        </r>
      </text>
    </comment>
    <comment ref="S231" authorId="16">
      <text>
        <r>
          <rPr>
            <b/>
            <sz val="9"/>
            <color indexed="81"/>
            <rFont val="Tahoma"/>
            <family val="2"/>
          </rPr>
          <t>Cassel, Lauren (Research):</t>
        </r>
        <r>
          <rPr>
            <sz val="9"/>
            <color indexed="81"/>
            <rFont val="Tahoma"/>
            <family val="2"/>
          </rPr>
          <t xml:space="preserve">
5/18/16: expect VS sales decline -MSD</t>
        </r>
      </text>
    </comment>
    <comment ref="W231" authorId="16">
      <text>
        <r>
          <rPr>
            <b/>
            <sz val="9"/>
            <color indexed="81"/>
            <rFont val="Tahoma"/>
            <family val="2"/>
          </rPr>
          <t>Cassel, Lauren (Research):</t>
        </r>
        <r>
          <rPr>
            <sz val="9"/>
            <color indexed="81"/>
            <rFont val="Tahoma"/>
            <family val="2"/>
          </rPr>
          <t xml:space="preserve">
Direct $92.3M (+21%) 
8/17/16: sales were led by strong growth in the home fragrance assortment and they continue to see growth in the average dollar sale </t>
        </r>
      </text>
    </comment>
    <comment ref="AG231" authorId="16">
      <text>
        <r>
          <rPr>
            <b/>
            <sz val="9"/>
            <color indexed="81"/>
            <rFont val="Tahoma"/>
            <family val="2"/>
          </rPr>
          <t>Cassel, Lauren (Research):</t>
        </r>
        <r>
          <rPr>
            <sz val="9"/>
            <color indexed="81"/>
            <rFont val="Tahoma"/>
            <family val="2"/>
          </rPr>
          <t xml:space="preserve">
8/17/16: performance continues to be negatively impacted by serval things: macro economic conditions in the middle east and turkey which is our biggest intl geography by far (sales are negative); VS beauty business has seen similar performance as in NA; reduction in global travel by consumers from russia, the middle east, and china has negatively impacted airport stores and stores in high profile cities around the world; and FX</t>
        </r>
      </text>
    </comment>
    <comment ref="AH231" authorId="16">
      <text>
        <r>
          <rPr>
            <b/>
            <sz val="9"/>
            <color indexed="81"/>
            <rFont val="Tahoma"/>
            <family val="2"/>
          </rPr>
          <t>Cassel, Lauren (Research):</t>
        </r>
        <r>
          <rPr>
            <sz val="9"/>
            <color indexed="81"/>
            <rFont val="Tahoma"/>
            <family val="2"/>
          </rPr>
          <t xml:space="preserve">
8/17/16: the reflection of China as a now company-owned business increased revenue and decreased operating income in the quarter; </t>
        </r>
        <r>
          <rPr>
            <b/>
            <sz val="9"/>
            <color indexed="81"/>
            <rFont val="Tahoma"/>
            <family val="2"/>
          </rPr>
          <t xml:space="preserve">adjusting for the impact of China, revenue and operating income results were similar to 1Q, revenue +LSD and operating income dollars -$5M; FX had an -8% impact to recorded revenue growth and -$4M negative impact to operating income; </t>
        </r>
        <r>
          <rPr>
            <sz val="9"/>
            <color indexed="81"/>
            <rFont val="Tahoma"/>
            <family val="2"/>
          </rPr>
          <t xml:space="preserve">the british pound weakened significantly in 2Q post Brexit </t>
        </r>
      </text>
    </comment>
    <comment ref="AZ231" authorId="16">
      <text>
        <r>
          <rPr>
            <b/>
            <sz val="9"/>
            <color indexed="81"/>
            <rFont val="Tahoma"/>
            <family val="2"/>
          </rPr>
          <t>Cassel, Lauren (Research):</t>
        </r>
        <r>
          <rPr>
            <sz val="9"/>
            <color indexed="81"/>
            <rFont val="Tahoma"/>
            <family val="2"/>
          </rPr>
          <t xml:space="preserve">
8/5/16: Per amie $55M</t>
        </r>
      </text>
    </comment>
    <comment ref="CV231" authorId="16">
      <text>
        <r>
          <rPr>
            <b/>
            <sz val="9"/>
            <color indexed="81"/>
            <rFont val="Tahoma"/>
            <family val="2"/>
          </rPr>
          <t xml:space="preserve">Cassel, Lauren (Research):
8/17/16: driven by lower merchandise margin rate which was partially offset by leverage in both the B&amp;O and SG&amp;A rates; </t>
        </r>
        <r>
          <rPr>
            <sz val="9"/>
            <color indexed="81"/>
            <rFont val="Tahoma"/>
            <family val="2"/>
          </rPr>
          <t>continued to see deleverage related to real estate investments, including the fifth avenue flagshop, but this was more than offset by a decline in catalogue and home office costs;</t>
        </r>
        <r>
          <rPr>
            <b/>
            <sz val="9"/>
            <color indexed="81"/>
            <rFont val="Tahoma"/>
            <family val="2"/>
          </rPr>
          <t xml:space="preserve"> the merchandise margin rate declined significantly as increased clearance activity and promotions and pricing to drive trial in the beauty business more than offset an improvement from fewer direct mail coupons; gross profit down significantly </t>
        </r>
        <r>
          <rPr>
            <sz val="9"/>
            <color indexed="81"/>
            <rFont val="Tahoma"/>
            <family val="2"/>
          </rPr>
          <t xml:space="preserve">
5/18/16: expect merch margin to decline, primarily driven by beauty and the clearance of swim and apparel, and expense deleverage on the negative sales result</t>
        </r>
      </text>
    </comment>
    <comment ref="DC231" authorId="16">
      <text>
        <r>
          <rPr>
            <b/>
            <sz val="9"/>
            <color indexed="81"/>
            <rFont val="Tahoma"/>
            <family val="2"/>
          </rPr>
          <t>Cassel, Lauren (Research):</t>
        </r>
        <r>
          <rPr>
            <sz val="9"/>
            <color indexed="81"/>
            <rFont val="Tahoma"/>
            <family val="2"/>
          </rPr>
          <t xml:space="preserve">
8/17/16: operating income rate improvement driven by expense leverage in SG&amp;A offset by significant increases in occupancy expenses from real estate; the merchandise margin rate for the quarter was up slightly to last year and the margin rate was negatively impacted by Canada FX; gross profit down</t>
        </r>
      </text>
    </comment>
    <comment ref="DH231" authorId="16">
      <text>
        <r>
          <rPr>
            <b/>
            <sz val="9"/>
            <color indexed="81"/>
            <rFont val="Tahoma"/>
            <family val="2"/>
          </rPr>
          <t>Cassel, Lauren (Research):
8/17/16: adjusting for the impact of China, revenue and operating income results were similar to 1Q, revenue +LSD and operating income dollars -$5M; FX had an -8% impact to recorded revenue growth and -$4M negative impact to operating income
*China $8M benefit to revenue and -$8M headwind to operating income</t>
        </r>
        <r>
          <rPr>
            <sz val="9"/>
            <color indexed="81"/>
            <rFont val="Tahoma"/>
            <family val="2"/>
          </rPr>
          <t xml:space="preserve">
5/18/16: expect increased investment vs. 1Q ($4M) as they ramp up support for full assortment openings later in the year; we estimate $4M FX headwind and $12M China investment</t>
        </r>
      </text>
    </comment>
    <comment ref="DL231" authorId="16">
      <text>
        <r>
          <rPr>
            <b/>
            <sz val="9"/>
            <color indexed="81"/>
            <rFont val="Tahoma"/>
            <family val="2"/>
          </rPr>
          <t>Cassel, Lauren (Research):</t>
        </r>
        <r>
          <rPr>
            <sz val="9"/>
            <color indexed="81"/>
            <rFont val="Tahoma"/>
            <family val="2"/>
          </rPr>
          <t xml:space="preserve">
8/17/16: Per Amie ~-$5M</t>
        </r>
      </text>
    </comment>
    <comment ref="DP231" authorId="16">
      <text>
        <r>
          <rPr>
            <b/>
            <sz val="9"/>
            <color indexed="81"/>
            <rFont val="Tahoma"/>
            <family val="2"/>
          </rPr>
          <t>Cassel, Lauren (Research):</t>
        </r>
        <r>
          <rPr>
            <sz val="9"/>
            <color indexed="81"/>
            <rFont val="Tahoma"/>
            <family val="2"/>
          </rPr>
          <t xml:space="preserve">
8/16/17: Per Amie HB ~-$7-8M; MAST profitability in the low 40s; corporate overhead dollars down DD</t>
        </r>
      </text>
    </comment>
    <comment ref="E232" authorId="16">
      <text>
        <r>
          <rPr>
            <b/>
            <sz val="9"/>
            <color indexed="81"/>
            <rFont val="Tahoma"/>
            <family val="2"/>
          </rPr>
          <t>Cassel, Lauren (Research):</t>
        </r>
        <r>
          <rPr>
            <sz val="9"/>
            <color indexed="81"/>
            <rFont val="Tahoma"/>
            <family val="2"/>
          </rPr>
          <t xml:space="preserve">
11/16/16: PINK remained strong in the quarter with high-single digit growthl; In Lingerie, total bra and panty sales declined slightly versus last year; Total core bra unit growth increased high-single digits versus last year. This was driven by substantial increases in sport bras and bralettes, where we drove trial. However, total core bra sales dollars declined as lower AUR’s in sport bras and bralettes offset unit growth. Beauty results continued to decline in the mid-single digit range as we continue to reposition this category.</t>
        </r>
      </text>
    </comment>
    <comment ref="K232" authorId="16">
      <text>
        <r>
          <rPr>
            <b/>
            <sz val="9"/>
            <color indexed="81"/>
            <rFont val="Tahoma"/>
            <family val="2"/>
          </rPr>
          <t>Cassel, Lauren (Research):
8/17/16: Per Amie - planning the buiness -LSD</t>
        </r>
        <r>
          <rPr>
            <sz val="9"/>
            <color indexed="81"/>
            <rFont val="Tahoma"/>
            <family val="2"/>
          </rPr>
          <t xml:space="preserve">
5/5/16: assume $32M reduction in apparel sales and +5% core category growth ($266M)</t>
        </r>
      </text>
    </comment>
    <comment ref="L232" authorId="16">
      <text>
        <r>
          <rPr>
            <b/>
            <sz val="9"/>
            <color indexed="81"/>
            <rFont val="Tahoma"/>
            <family val="2"/>
          </rPr>
          <t>Cassel, Lauren (Research):</t>
        </r>
        <r>
          <rPr>
            <sz val="9"/>
            <color indexed="81"/>
            <rFont val="Tahoma"/>
            <family val="2"/>
          </rPr>
          <t xml:space="preserve">
11/16/16: core categories grew +12%</t>
        </r>
      </text>
    </comment>
    <comment ref="R232" authorId="16">
      <text>
        <r>
          <rPr>
            <b/>
            <sz val="9"/>
            <color indexed="81"/>
            <rFont val="Tahoma"/>
            <family val="2"/>
          </rPr>
          <t>Cassel, Lauren (Research):</t>
        </r>
        <r>
          <rPr>
            <sz val="9"/>
            <color indexed="81"/>
            <rFont val="Tahoma"/>
            <family val="2"/>
          </rPr>
          <t xml:space="preserve">
11/17/16: PINK grew +HSD during the quarter; in lingerie, total bra and panty sales declined slightly versus last year; total core bra unit growth increased +HSD vs. LY driven by substantial increases in sport bras and bralettes; however core bra sales dollars declined as lower AURs in sports bras and bralettes offset unit growth; beauty results continued to decline -MSD</t>
        </r>
      </text>
    </comment>
    <comment ref="T232" authorId="16">
      <text>
        <r>
          <rPr>
            <b/>
            <sz val="9"/>
            <color indexed="81"/>
            <rFont val="Tahoma"/>
            <family val="2"/>
          </rPr>
          <t>Cassel, Lauren (Research):</t>
        </r>
        <r>
          <rPr>
            <sz val="9"/>
            <color indexed="81"/>
            <rFont val="Tahoma"/>
            <family val="2"/>
          </rPr>
          <t xml:space="preserve">
Excluding the impact of exited categories, comps would have been up 1%.</t>
        </r>
      </text>
    </comment>
    <comment ref="W232" authorId="16">
      <text>
        <r>
          <rPr>
            <b/>
            <sz val="9"/>
            <color indexed="81"/>
            <rFont val="Tahoma"/>
            <family val="2"/>
          </rPr>
          <t>Cassel, Lauren (Research):</t>
        </r>
        <r>
          <rPr>
            <sz val="9"/>
            <color indexed="81"/>
            <rFont val="Tahoma"/>
            <family val="2"/>
          </rPr>
          <t xml:space="preserve">
Direct sales +30% to $88.6; strong growth in home fragrance assortment</t>
        </r>
      </text>
    </comment>
    <comment ref="AG232" authorId="16">
      <text>
        <r>
          <rPr>
            <b/>
            <sz val="9"/>
            <color indexed="81"/>
            <rFont val="Tahoma"/>
            <family val="2"/>
          </rPr>
          <t>Cassel, Lauren (Research):</t>
        </r>
        <r>
          <rPr>
            <sz val="9"/>
            <color indexed="81"/>
            <rFont val="Tahoma"/>
            <family val="2"/>
          </rPr>
          <t xml:space="preserve">
11/17/16: intl continues to be negatively impacted by several things: 1) the macro economic conditions in the Middle East and Turkey which is our biggest international geography by far; reduced tourism to this region and a domestic slow down have made this a very tough market for all retailers (negative); 2) VSBA business has seen similar levels of sales performance as they have seen in North America; 3) reduction in global travel by consumers from Russia, the Middle East, and China has negatively impacted the airport stores and stores in high profile cities; 4) FX rates continue to have a negative impact on the business; 5) the inclusion of China as a no company-owned bysiness increased revenue and decreased operating income in the quarter. Adjusting for the impact of China, revenue would have increased about 4% and operating income would have increased about 14% </t>
        </r>
      </text>
    </comment>
    <comment ref="AH232" authorId="16">
      <text>
        <r>
          <rPr>
            <b/>
            <sz val="9"/>
            <color indexed="81"/>
            <rFont val="Tahoma"/>
            <family val="2"/>
          </rPr>
          <t xml:space="preserve">Cassel, Lauren (Research):
11/17/16: FX had a -8% impact on recorded revenue growth; Excluding China, revenue would have increased about 4% </t>
        </r>
        <r>
          <rPr>
            <sz val="9"/>
            <color indexed="81"/>
            <rFont val="Tahoma"/>
            <family val="2"/>
          </rPr>
          <t xml:space="preserve">
8/17/16: most focused on comp store performance and believe they can move from -LSD to positive in 2H</t>
        </r>
      </text>
    </comment>
    <comment ref="AZ232" authorId="16">
      <text>
        <r>
          <rPr>
            <b/>
            <sz val="9"/>
            <color indexed="81"/>
            <rFont val="Tahoma"/>
            <family val="2"/>
          </rPr>
          <t>Cassel, Lauren (Research):</t>
        </r>
        <r>
          <rPr>
            <sz val="9"/>
            <color indexed="81"/>
            <rFont val="Tahoma"/>
            <family val="2"/>
          </rPr>
          <t xml:space="preserve">
Per Amie: A little higher than LY, in the $45-50M range</t>
        </r>
      </text>
    </comment>
    <comment ref="CV232" authorId="16">
      <text>
        <r>
          <rPr>
            <b/>
            <sz val="9"/>
            <color indexed="81"/>
            <rFont val="Tahoma"/>
            <family val="2"/>
          </rPr>
          <t>Cassel, Lauren (Research):</t>
        </r>
        <r>
          <rPr>
            <sz val="9"/>
            <color indexed="81"/>
            <rFont val="Tahoma"/>
            <family val="2"/>
          </rPr>
          <t xml:space="preserve">
11/16/2016: gross profit rate down significantly; driven primarily by a lower merchandise margin rate. Buying &amp;
occupancy leverage from a decline in catalogue was offset by SG&amp;A
deleverage primarily due to increased legal expenses; The merchandise margin rate declined significantly, primarily due to a decline in Beauty as we reposition this category. In addition, margin rate was unfavorably impacted by promotional events to drive trial in key categories and proactively manage inventory, and by the impact of exiting non-core businesses.</t>
        </r>
      </text>
    </comment>
    <comment ref="DC232" authorId="1">
      <text>
        <r>
          <rPr>
            <b/>
            <sz val="9"/>
            <color indexed="81"/>
            <rFont val="Tahoma"/>
            <family val="2"/>
          </rPr>
          <t xml:space="preserve">casselau:
11/16/16: gross profit rate down; merchandise margin rate was about flat; expense leverage in SG&amp;A was offset by significant increases in occupancy expenses from our real estate activity; </t>
        </r>
        <r>
          <rPr>
            <sz val="9"/>
            <color indexed="81"/>
            <rFont val="Tahoma"/>
            <family val="2"/>
          </rPr>
          <t>seeing more pressure from buying and occupancy costs as a result of our investment in Bath &amp; Body Works and White Barn remodels; 210 new concept stores at the end of the quarter (250 by year end)
11/20/15: assume 30 bps headwind from one-time favorable benefit in 3Q15</t>
        </r>
      </text>
    </comment>
    <comment ref="DH232" authorId="16">
      <text>
        <r>
          <rPr>
            <b/>
            <sz val="9"/>
            <color indexed="81"/>
            <rFont val="Tahoma"/>
            <family val="2"/>
          </rPr>
          <t xml:space="preserve">Cassel, Lauren (Research):
11/17/16: FX negatively impacted intl EBIT by $3M;  excluding China, operating income would have increased about 14% </t>
        </r>
        <r>
          <rPr>
            <sz val="9"/>
            <color indexed="81"/>
            <rFont val="Tahoma"/>
            <family val="2"/>
          </rPr>
          <t xml:space="preserve">
5/18/16: we estimate $3M FX headwind and $12M China investment</t>
        </r>
      </text>
    </comment>
    <comment ref="DL232" authorId="16">
      <text>
        <r>
          <rPr>
            <b/>
            <sz val="9"/>
            <color indexed="81"/>
            <rFont val="Tahoma"/>
            <family val="2"/>
          </rPr>
          <t>Cassel, Lauren (Research):</t>
        </r>
        <r>
          <rPr>
            <sz val="9"/>
            <color indexed="81"/>
            <rFont val="Tahoma"/>
            <family val="2"/>
          </rPr>
          <t xml:space="preserve">
per Amie "loss down a little" ($1M) </t>
        </r>
      </text>
    </comment>
    <comment ref="DP232" authorId="16">
      <text>
        <r>
          <rPr>
            <b/>
            <sz val="9"/>
            <color indexed="81"/>
            <rFont val="Tahoma"/>
            <family val="2"/>
          </rPr>
          <t>Cassel, Lauren (Research):</t>
        </r>
        <r>
          <rPr>
            <sz val="9"/>
            <color indexed="81"/>
            <rFont val="Tahoma"/>
            <family val="2"/>
          </rPr>
          <t xml:space="preserve">
per Amie: HB loss down a little ($1M)</t>
        </r>
      </text>
    </comment>
    <comment ref="K233" authorId="16">
      <text>
        <r>
          <rPr>
            <b/>
            <sz val="9"/>
            <color indexed="81"/>
            <rFont val="Tahoma"/>
            <family val="2"/>
          </rPr>
          <t>Cassel, Lauren (Research):</t>
        </r>
        <r>
          <rPr>
            <sz val="9"/>
            <color indexed="81"/>
            <rFont val="Tahoma"/>
            <family val="2"/>
          </rPr>
          <t xml:space="preserve">
5/5/16: assume $70M reduction in apparel sales and +3% core category growth ($512M)</t>
        </r>
      </text>
    </comment>
    <comment ref="L233" authorId="16">
      <text>
        <r>
          <rPr>
            <b/>
            <sz val="9"/>
            <color indexed="81"/>
            <rFont val="Tahoma"/>
            <family val="2"/>
          </rPr>
          <t>Cassel, Lauren (Research):</t>
        </r>
        <r>
          <rPr>
            <sz val="9"/>
            <color indexed="81"/>
            <rFont val="Tahoma"/>
            <family val="2"/>
          </rPr>
          <t xml:space="preserve">
2/22/17: go forward categories grew 7%</t>
        </r>
      </text>
    </comment>
    <comment ref="R233" authorId="16">
      <text>
        <r>
          <rPr>
            <b/>
            <sz val="9"/>
            <color indexed="81"/>
            <rFont val="Tahoma"/>
            <family val="2"/>
          </rPr>
          <t>Cassel, Lauren (Research):</t>
        </r>
        <r>
          <rPr>
            <sz val="9"/>
            <color indexed="81"/>
            <rFont val="Tahoma"/>
            <family val="2"/>
          </rPr>
          <t xml:space="preserve">
2/22/17: PINK +HSD, total bra and panty sales -MSD; total core bra unit growth increased +LDD vs. LY driven by a substantial increases in sport bras and bralettes where they drove trial; however total core bra sales declined as lower AURs in sport bras and bralettes offset unit growth; beauty results improved (+MSD) as they lapped easier comparisons</t>
        </r>
      </text>
    </comment>
    <comment ref="W233" authorId="16">
      <text>
        <r>
          <rPr>
            <b/>
            <sz val="9"/>
            <color indexed="81"/>
            <rFont val="Tahoma"/>
            <family val="2"/>
          </rPr>
          <t>Cassel, Lauren (Research):</t>
        </r>
        <r>
          <rPr>
            <sz val="9"/>
            <color indexed="81"/>
            <rFont val="Tahoma"/>
            <family val="2"/>
          </rPr>
          <t xml:space="preserve">
2/2/17: Direct +25% to $197.8; sales led by strong growth in home fragrance</t>
        </r>
      </text>
    </comment>
    <comment ref="AG233" authorId="16">
      <text>
        <r>
          <rPr>
            <b/>
            <sz val="9"/>
            <color indexed="81"/>
            <rFont val="Tahoma"/>
            <family val="2"/>
          </rPr>
          <t>Cassel, Lauren (Research):</t>
        </r>
        <r>
          <rPr>
            <sz val="9"/>
            <color indexed="81"/>
            <rFont val="Tahoma"/>
            <family val="2"/>
          </rPr>
          <t xml:space="preserve">
2/22/16: performance continues to be somewhat negatively impacted by: 1) macro economic conditions in the ME and Turkey (negative); 2) VSBA assortment remains challenged; 3) reduction in global travel by consumers from Russia, Middle East, and China has negatively impcated airport stores in high profile cities around the world; 4) FX rates continue to have a negative impact on the business -</t>
        </r>
        <r>
          <rPr>
            <b/>
            <sz val="9"/>
            <color indexed="81"/>
            <rFont val="Tahoma"/>
            <family val="2"/>
          </rPr>
          <t xml:space="preserve"> FX had a 10% negative impact to recorded revenue growth and $6M negative impact to EBIT; </t>
        </r>
        <r>
          <rPr>
            <sz val="9"/>
            <color indexed="81"/>
            <rFont val="Tahoma"/>
            <family val="2"/>
          </rPr>
          <t xml:space="preserve">5) the inclusion of China as company owned business increased revenue and decrease EBIT </t>
        </r>
        <r>
          <rPr>
            <b/>
            <sz val="9"/>
            <color indexed="81"/>
            <rFont val="Tahoma"/>
            <family val="2"/>
          </rPr>
          <t>(adjusting for impact of China and FX - reveune increased 7% and 4Q EBIT increased 5% to LY)</t>
        </r>
      </text>
    </comment>
    <comment ref="AZ233" authorId="16">
      <text>
        <r>
          <rPr>
            <b/>
            <sz val="9"/>
            <color indexed="81"/>
            <rFont val="Tahoma"/>
            <family val="2"/>
          </rPr>
          <t>Cassel, Lauren (Research):</t>
        </r>
        <r>
          <rPr>
            <sz val="9"/>
            <color indexed="81"/>
            <rFont val="Tahoma"/>
            <family val="2"/>
          </rPr>
          <t xml:space="preserve">
2/2/17: per Amie ~$68M</t>
        </r>
      </text>
    </comment>
    <comment ref="BC233" authorId="16">
      <text>
        <r>
          <rPr>
            <b/>
            <sz val="9"/>
            <color indexed="81"/>
            <rFont val="Tahoma"/>
            <family val="2"/>
          </rPr>
          <t>Cassel, Lauren (Research):</t>
        </r>
        <r>
          <rPr>
            <sz val="9"/>
            <color indexed="81"/>
            <rFont val="Tahoma"/>
            <family val="2"/>
          </rPr>
          <t xml:space="preserve">
2/2/17: per Amie Henri Bendel ~$33M</t>
        </r>
      </text>
    </comment>
    <comment ref="CV233" authorId="16">
      <text>
        <r>
          <rPr>
            <b/>
            <sz val="9"/>
            <color indexed="81"/>
            <rFont val="Tahoma"/>
            <family val="2"/>
          </rPr>
          <t>Cassel, Lauren (Research):</t>
        </r>
        <r>
          <rPr>
            <sz val="9"/>
            <color indexed="81"/>
            <rFont val="Tahoma"/>
            <family val="2"/>
          </rPr>
          <t xml:space="preserve">
2/22/17: gross profit down significantly primarily driven by lower merch margin )driven by promotional events to drive traffic and to proactively manage inventory; was also unfavorably impacted by a decline in beauty as they reposition the cateogry); B&amp;O leverage from a decline in catalogue was more than offset by SG&amp;A deleverage primarily due to increased fashion show costs and store selling investment</t>
        </r>
      </text>
    </comment>
    <comment ref="DC233" authorId="16">
      <text>
        <r>
          <rPr>
            <b/>
            <sz val="9"/>
            <color indexed="81"/>
            <rFont val="Tahoma"/>
            <family val="2"/>
          </rPr>
          <t>Cassel, Lauren (Research):</t>
        </r>
        <r>
          <rPr>
            <sz val="9"/>
            <color indexed="81"/>
            <rFont val="Tahoma"/>
            <family val="2"/>
          </rPr>
          <t xml:space="preserve">
2/22/17: gross profit down; merch margin about flat; promotional activity was relatively flat during the quarter; EBIT decline primarily driven by an increase in B&amp;P expense as they continue the store investment program</t>
        </r>
      </text>
    </comment>
    <comment ref="DH233" authorId="16">
      <text>
        <r>
          <rPr>
            <b/>
            <sz val="9"/>
            <color indexed="81"/>
            <rFont val="Tahoma"/>
            <family val="2"/>
          </rPr>
          <t>Cassel, Lauren (Research):
2/22/17: Adjusting for impact of China and FX - revenue increased 7% and 4Q EBIT increased 5% to LY</t>
        </r>
        <r>
          <rPr>
            <sz val="9"/>
            <color indexed="81"/>
            <rFont val="Tahoma"/>
            <family val="2"/>
          </rPr>
          <t xml:space="preserve">
5/18/16: we estimate $3M FX headwind and $12M China investment</t>
        </r>
      </text>
    </comment>
    <comment ref="DL233" authorId="16">
      <text>
        <r>
          <rPr>
            <b/>
            <sz val="9"/>
            <color indexed="81"/>
            <rFont val="Tahoma"/>
            <family val="2"/>
          </rPr>
          <t>Cassel, Lauren (Research):</t>
        </r>
        <r>
          <rPr>
            <sz val="9"/>
            <color indexed="81"/>
            <rFont val="Tahoma"/>
            <family val="2"/>
          </rPr>
          <t xml:space="preserve">
2/23/17: down a few million per Amie</t>
        </r>
      </text>
    </comment>
    <comment ref="DP233" authorId="16">
      <text>
        <r>
          <rPr>
            <b/>
            <sz val="9"/>
            <color indexed="81"/>
            <rFont val="Tahoma"/>
            <family val="2"/>
          </rPr>
          <t>Cassel, Lauren (Research):</t>
        </r>
        <r>
          <rPr>
            <sz val="9"/>
            <color indexed="81"/>
            <rFont val="Tahoma"/>
            <family val="2"/>
          </rPr>
          <t xml:space="preserve">
2/23/17: per amie HB flat</t>
        </r>
      </text>
    </comment>
    <comment ref="E234" authorId="16">
      <text>
        <r>
          <rPr>
            <b/>
            <sz val="9"/>
            <color indexed="81"/>
            <rFont val="Tahoma"/>
            <family val="2"/>
          </rPr>
          <t>Cassel, Lauren (Research):</t>
        </r>
        <r>
          <rPr>
            <sz val="9"/>
            <color indexed="81"/>
            <rFont val="Tahoma"/>
            <family val="2"/>
          </rPr>
          <t xml:space="preserve">
5/18/15: $525M in non-go-forward category revenue - swim mixes higher to Direct - 2/3 swim - 1/3 apparel - most swim in 1H 
*We assume swim is $375M ($125M in store), apparel $150M</t>
        </r>
      </text>
    </comment>
    <comment ref="K234" authorId="16">
      <text>
        <r>
          <rPr>
            <b/>
            <sz val="9"/>
            <color indexed="81"/>
            <rFont val="Tahoma"/>
            <family val="2"/>
          </rPr>
          <t>Cassel, Lauren (Research):</t>
        </r>
        <r>
          <rPr>
            <sz val="9"/>
            <color indexed="81"/>
            <rFont val="Tahoma"/>
            <family val="2"/>
          </rPr>
          <t xml:space="preserve">
*We assume swim is $350M ($150M in store), apparel $175M</t>
        </r>
      </text>
    </comment>
    <comment ref="L234" authorId="1">
      <text>
        <r>
          <rPr>
            <b/>
            <sz val="9"/>
            <color indexed="81"/>
            <rFont val="Tahoma"/>
            <family val="2"/>
          </rPr>
          <t xml:space="preserve">casselau:
</t>
        </r>
        <r>
          <rPr>
            <sz val="9"/>
            <color indexed="81"/>
            <rFont val="Tahoma"/>
            <family val="2"/>
          </rPr>
          <t>2/25/16: per Amie: "Planning a bit more conservative than what we actually did (15%), we would expect Direct to add 1pt to overall comps. That’s in planning Direct +HSD to +LDD range"</t>
        </r>
      </text>
    </comment>
    <comment ref="R234" authorId="16">
      <text>
        <r>
          <rPr>
            <b/>
            <sz val="9"/>
            <color indexed="81"/>
            <rFont val="Tahoma"/>
            <family val="2"/>
          </rPr>
          <t>Cassel, Lauren (Research):</t>
        </r>
        <r>
          <rPr>
            <sz val="9"/>
            <color indexed="81"/>
            <rFont val="Tahoma"/>
            <family val="2"/>
          </rPr>
          <t xml:space="preserve">
5/18/16: non go forward categories $525M in revenue in 2015</t>
        </r>
      </text>
    </comment>
    <comment ref="T234" authorId="1">
      <text>
        <r>
          <rPr>
            <b/>
            <sz val="9"/>
            <color indexed="81"/>
            <rFont val="Tahoma"/>
            <family val="2"/>
          </rPr>
          <t>casselau:</t>
        </r>
        <r>
          <rPr>
            <sz val="9"/>
            <color indexed="81"/>
            <rFont val="Tahoma"/>
            <family val="2"/>
          </rPr>
          <t xml:space="preserve">
2/25/16: per Amie: we would expect Direct to add 1pt to overall comps</t>
        </r>
      </text>
    </comment>
    <comment ref="W234" authorId="16">
      <text>
        <r>
          <rPr>
            <b/>
            <sz val="9"/>
            <color indexed="81"/>
            <rFont val="Tahoma"/>
            <family val="2"/>
          </rPr>
          <t>Cassel, Lauren (Research):</t>
        </r>
        <r>
          <rPr>
            <sz val="9"/>
            <color indexed="81"/>
            <rFont val="Tahoma"/>
            <family val="2"/>
          </rPr>
          <t xml:space="preserve">
2/22/17: full year direct sales +25% ($452M)</t>
        </r>
      </text>
    </comment>
    <comment ref="AG234" authorId="16">
      <text>
        <r>
          <rPr>
            <b/>
            <sz val="9"/>
            <color indexed="81"/>
            <rFont val="Tahoma"/>
            <family val="2"/>
          </rPr>
          <t>Cassel, Lauren (Research):</t>
        </r>
        <r>
          <rPr>
            <sz val="9"/>
            <color indexed="81"/>
            <rFont val="Tahoma"/>
            <family val="2"/>
          </rPr>
          <t xml:space="preserve">
2/22/17: </t>
        </r>
        <r>
          <rPr>
            <b/>
            <sz val="9"/>
            <color indexed="81"/>
            <rFont val="Tahoma"/>
            <family val="2"/>
          </rPr>
          <t xml:space="preserve">Excluding China and the negative 8 point impact of F/X for the year, revenue increased 9%; </t>
        </r>
        <r>
          <rPr>
            <sz val="9"/>
            <color indexed="81"/>
            <rFont val="Tahoma"/>
            <family val="2"/>
          </rPr>
          <t xml:space="preserve">Retail sales at POS of $1.1B; 20% of retail sales and 50% of record revenue came from wholly-owned stores in the UK and Greater China; 55% of retail sales and 20% of recorded revenue comes from franchise business; balance is from travel retail </t>
        </r>
      </text>
    </comment>
    <comment ref="CV234" authorId="16">
      <text>
        <r>
          <rPr>
            <b/>
            <sz val="9"/>
            <color indexed="81"/>
            <rFont val="Tahoma"/>
            <family val="2"/>
          </rPr>
          <t>Cassel, Lauren (Research):</t>
        </r>
        <r>
          <rPr>
            <sz val="9"/>
            <color indexed="81"/>
            <rFont val="Tahoma"/>
            <family val="2"/>
          </rPr>
          <t xml:space="preserve">
2/22/17: gross profit down significantly</t>
        </r>
      </text>
    </comment>
    <comment ref="DC234" authorId="16">
      <text>
        <r>
          <rPr>
            <b/>
            <sz val="9"/>
            <color indexed="81"/>
            <rFont val="Tahoma"/>
            <family val="2"/>
          </rPr>
          <t>Cassel, Lauren (Research):</t>
        </r>
        <r>
          <rPr>
            <sz val="9"/>
            <color indexed="81"/>
            <rFont val="Tahoma"/>
            <family val="2"/>
          </rPr>
          <t xml:space="preserve">
2/22/17: gross profit down; EBIT margin decline driven by an increase in B&amp;O expense</t>
        </r>
      </text>
    </comment>
    <comment ref="DH234" authorId="16">
      <text>
        <r>
          <rPr>
            <b/>
            <sz val="9"/>
            <color indexed="81"/>
            <rFont val="Tahoma"/>
            <family val="2"/>
          </rPr>
          <t>Cassel, Lauren (Research):</t>
        </r>
        <r>
          <rPr>
            <sz val="9"/>
            <color indexed="81"/>
            <rFont val="Tahoma"/>
            <family val="2"/>
          </rPr>
          <t xml:space="preserve">
2/22/17: </t>
        </r>
        <r>
          <rPr>
            <b/>
            <sz val="9"/>
            <color indexed="81"/>
            <rFont val="Tahoma"/>
            <family val="2"/>
          </rPr>
          <t>Excluding China and F/X, EBIT  increased 5%, as improvements in the U.K. and the full assortment store franchise business was offset by a decline in VSBA</t>
        </r>
      </text>
    </comment>
    <comment ref="E237" authorId="16">
      <text>
        <r>
          <rPr>
            <b/>
            <sz val="9"/>
            <color indexed="81"/>
            <rFont val="Tahoma"/>
            <family val="2"/>
          </rPr>
          <t>Cassel, Lauren (Research):</t>
        </r>
        <r>
          <rPr>
            <sz val="9"/>
            <color indexed="81"/>
            <rFont val="Tahoma"/>
            <family val="2"/>
          </rPr>
          <t xml:space="preserve">
Exit of categories: -$43M headwind in stores; assume 50% of volume is replaced by sport/other categories in sqftage, so $21.5M headwind</t>
        </r>
      </text>
    </comment>
    <comment ref="K237" authorId="16">
      <text>
        <r>
          <rPr>
            <b/>
            <sz val="9"/>
            <color indexed="81"/>
            <rFont val="Tahoma"/>
            <family val="2"/>
          </rPr>
          <t xml:space="preserve">Cassel, Lauren (Research):
8/17/16: Per Amie: 
$160M in swim/apparel revenue in 1Q (80% swim/20% apparel) and 2/3 of swim  online with all apparel online
So -$117M headwind in Direct; -$43M headwind in stores 
Assume core categories grow 5%
So 1Q = $255M
</t>
        </r>
        <r>
          <rPr>
            <sz val="9"/>
            <color indexed="81"/>
            <rFont val="Tahoma"/>
            <family val="2"/>
          </rPr>
          <t xml:space="preserve">
June 2016: For the full year we est VS lapping $375M in swim sales ($125M in store/$250 online), apparel $150M for full year
Assume swim 50% 1Q/50% 2Q = -$125M in 1Q
Assume apparel 1Q = -$33M
Assume core categories grow 5%
So 1Q = $212M
</t>
        </r>
      </text>
    </comment>
    <comment ref="L237" authorId="16">
      <text>
        <r>
          <rPr>
            <b/>
            <sz val="9"/>
            <color indexed="81"/>
            <rFont val="Tahoma"/>
            <family val="2"/>
          </rPr>
          <t>Cassel, Lauren (Research):</t>
        </r>
        <r>
          <rPr>
            <sz val="9"/>
            <color indexed="81"/>
            <rFont val="Tahoma"/>
            <family val="2"/>
          </rPr>
          <t xml:space="preserve">
5/17/17: go forward categories +9%</t>
        </r>
      </text>
    </comment>
    <comment ref="R237" authorId="16">
      <text>
        <r>
          <rPr>
            <b/>
            <sz val="9"/>
            <color indexed="81"/>
            <rFont val="Tahoma"/>
            <family val="2"/>
          </rPr>
          <t>Cassel, Lauren (Research):</t>
        </r>
        <r>
          <rPr>
            <sz val="9"/>
            <color indexed="81"/>
            <rFont val="Tahoma"/>
            <family val="2"/>
          </rPr>
          <t xml:space="preserve">
5/17/17: in lingerie, go forward category comps were -LDD; total lingerie bra UNIT growth +mid-teens driven by substantial increases in sport bras and bralettes; however, total lingerie bra sales dollars declined as AURs in sport bras and bralettes offset unit growth
PINK comps +LSD; Beauty -HSD; both businesses improved throughout the quarter
PINK bras +DD
Panties were negative</t>
        </r>
      </text>
    </comment>
    <comment ref="W237" authorId="16">
      <text>
        <r>
          <rPr>
            <b/>
            <sz val="9"/>
            <color indexed="81"/>
            <rFont val="Tahoma"/>
            <family val="2"/>
          </rPr>
          <t>Cassel, Lauren (Research):</t>
        </r>
        <r>
          <rPr>
            <sz val="9"/>
            <color indexed="81"/>
            <rFont val="Tahoma"/>
            <family val="2"/>
          </rPr>
          <t xml:space="preserve">
BBW Direct +22% to $89.6M; sales led by home fragrance</t>
        </r>
      </text>
    </comment>
    <comment ref="AG237" authorId="16">
      <text>
        <r>
          <rPr>
            <b/>
            <sz val="9"/>
            <color indexed="81"/>
            <rFont val="Tahoma"/>
            <family val="2"/>
          </rPr>
          <t>Cassel, Lauren (Research):</t>
        </r>
        <r>
          <rPr>
            <sz val="9"/>
            <color indexed="81"/>
            <rFont val="Tahoma"/>
            <family val="2"/>
          </rPr>
          <t xml:space="preserve">
5/17/17: in VS international they experienced comp declines in all parts of the world driven by the exit of swim and aparel (partially offset by growth in Sport) and by weakness in Beauty
*UK and Ireland continue to show growth, driven by new stores, but the impact of the negative comp, FX, and preopening costs in Dublin had a material impact to profitability
*China: pleased with early results; VSBA business in China is showing very healthy comp growth and sales continue to build on TMall; in the process of transitioning to the domestic T Mall platform with next day delivery which it expected to be completed this summer
*VS Franchise business: tough market conditions in the Middle East and Turkey but encouraging performance in southeast Asia; travel retail is down to LY driven by weakness in beauty and reduced traffic in some key locations, particularly in Europe
*BBW International delivered positive comps and solid growth in EBIT</t>
        </r>
      </text>
    </comment>
    <comment ref="AH237" authorId="16">
      <text>
        <r>
          <rPr>
            <b/>
            <sz val="9"/>
            <color indexed="81"/>
            <rFont val="Tahoma"/>
            <family val="2"/>
          </rPr>
          <t>Cassel, Lauren (Research):</t>
        </r>
        <r>
          <rPr>
            <sz val="9"/>
            <color indexed="81"/>
            <rFont val="Tahoma"/>
            <family val="2"/>
          </rPr>
          <t xml:space="preserve">
Constant currency +13%, including the exited category impact (so underlying even higher than +13%)
UK headwind specifically about 7% - ex. that the underlying comp in the UK still would have been negative 
Generally there was an impact from the UK from the overall macro environment (Brexit)
Bond Street is doing better than the other locations</t>
        </r>
      </text>
    </comment>
    <comment ref="AZ237" authorId="16">
      <text>
        <r>
          <rPr>
            <b/>
            <sz val="9"/>
            <color indexed="81"/>
            <rFont val="Tahoma"/>
            <family val="2"/>
          </rPr>
          <t>Cassel, Lauren (Research):</t>
        </r>
        <r>
          <rPr>
            <sz val="9"/>
            <color indexed="81"/>
            <rFont val="Tahoma"/>
            <family val="2"/>
          </rPr>
          <t xml:space="preserve">
about $43M per Amie</t>
        </r>
      </text>
    </comment>
    <comment ref="BC237" authorId="16">
      <text>
        <r>
          <rPr>
            <b/>
            <sz val="9"/>
            <color indexed="81"/>
            <rFont val="Tahoma"/>
            <family val="2"/>
          </rPr>
          <t>Cassel, Lauren (Research):</t>
        </r>
        <r>
          <rPr>
            <sz val="9"/>
            <color indexed="81"/>
            <rFont val="Tahoma"/>
            <family val="2"/>
          </rPr>
          <t xml:space="preserve">
Henri Bendel about $19M Per Amie</t>
        </r>
      </text>
    </comment>
    <comment ref="CV237" authorId="16">
      <text>
        <r>
          <rPr>
            <b/>
            <sz val="9"/>
            <color indexed="81"/>
            <rFont val="Tahoma"/>
            <family val="2"/>
          </rPr>
          <t>Cassel, Lauren (Research):</t>
        </r>
        <r>
          <rPr>
            <sz val="9"/>
            <color indexed="81"/>
            <rFont val="Tahoma"/>
            <family val="2"/>
          </rPr>
          <t xml:space="preserve">
5/17/17: Gross profit down significantly driven by a lower merch margin (down less than 200 bps, more than 100 bps) and significant expense deleverage</t>
        </r>
      </text>
    </comment>
    <comment ref="DC237" authorId="16">
      <text>
        <r>
          <rPr>
            <b/>
            <sz val="9"/>
            <color indexed="81"/>
            <rFont val="Tahoma"/>
            <family val="2"/>
          </rPr>
          <t>Cassel, Lauren (Research):</t>
        </r>
        <r>
          <rPr>
            <sz val="9"/>
            <color indexed="81"/>
            <rFont val="Tahoma"/>
            <family val="2"/>
          </rPr>
          <t xml:space="preserve">
5/17/17: Gross profit down mainly driven by an increase in B&amp;O expenses as they continue the store investment program (267 done at end of 1Q); merchandise margin about flat; AUR growth driven by mix shift (home fragrance) and less deep promotions y/y; SG&amp;A about flat </t>
        </r>
      </text>
    </comment>
    <comment ref="DH237" authorId="16">
      <text>
        <r>
          <rPr>
            <b/>
            <sz val="9"/>
            <color indexed="81"/>
            <rFont val="Tahoma"/>
            <family val="2"/>
          </rPr>
          <t>Cassel, Lauren (Research):</t>
        </r>
        <r>
          <rPr>
            <sz val="9"/>
            <color indexed="81"/>
            <rFont val="Tahoma"/>
            <family val="2"/>
          </rPr>
          <t xml:space="preserve">
5/17/17: excluding the impact of investment in China and FX, operating declined by $7M = $6.1M
China was much more siginficant; overall FX impact was not nearly as significant </t>
        </r>
      </text>
    </comment>
    <comment ref="DL237" authorId="16">
      <text>
        <r>
          <rPr>
            <b/>
            <sz val="9"/>
            <color indexed="81"/>
            <rFont val="Tahoma"/>
            <family val="2"/>
          </rPr>
          <t>Cassel, Lauren (Research):</t>
        </r>
        <r>
          <rPr>
            <sz val="9"/>
            <color indexed="81"/>
            <rFont val="Tahoma"/>
            <family val="2"/>
          </rPr>
          <t xml:space="preserve">
La Senze EBIT roughly flat y/y</t>
        </r>
      </text>
    </comment>
    <comment ref="DP237" authorId="16">
      <text>
        <r>
          <rPr>
            <b/>
            <sz val="9"/>
            <color indexed="81"/>
            <rFont val="Tahoma"/>
            <family val="2"/>
          </rPr>
          <t>Cassel, Lauren (Research):</t>
        </r>
        <r>
          <rPr>
            <sz val="9"/>
            <color indexed="81"/>
            <rFont val="Tahoma"/>
            <family val="2"/>
          </rPr>
          <t xml:space="preserve">
5/17/17: HB roughly flat y/y; majority of the decline was in the MAST business due to exit of swim and apparel; corporate overhead down slightly y/y
</t>
        </r>
      </text>
    </comment>
    <comment ref="E238" authorId="16">
      <text>
        <r>
          <rPr>
            <b/>
            <sz val="9"/>
            <color indexed="81"/>
            <rFont val="Tahoma"/>
            <family val="2"/>
          </rPr>
          <t>Cassel, Lauren (Research):</t>
        </r>
        <r>
          <rPr>
            <sz val="9"/>
            <color indexed="81"/>
            <rFont val="Tahoma"/>
            <family val="2"/>
          </rPr>
          <t xml:space="preserve">
Exit of categories: -$47M headwind in stores; assume 50% of volume is replaced by sport/other categories in sqftage, so $23.5M headwind</t>
        </r>
      </text>
    </comment>
    <comment ref="K238" authorId="16">
      <text>
        <r>
          <rPr>
            <b/>
            <sz val="9"/>
            <color indexed="81"/>
            <rFont val="Tahoma"/>
            <family val="2"/>
          </rPr>
          <t xml:space="preserve">Cassel, Lauren (Research):
5/17/17: $170M
8/17/16: Per Amie: 
$175M in swim/apparel revenue in 2Q (80% swim/20% apparel) and 2/3 of swim  online with all apparel online
So -$128M headwind in Direct; -$47M headwind in stores 
Assume core categories grow 5%
So 2Q = $284M
</t>
        </r>
        <r>
          <rPr>
            <sz val="9"/>
            <color indexed="81"/>
            <rFont val="Tahoma"/>
            <family val="2"/>
          </rPr>
          <t xml:space="preserve">
June 2016: For the full year we est VS lapping $375M in swim sales ($125M in store/$250 online), apparel $150M for full year
Assume swim 50% 1Q/50% 2Q = -$125M
Assume apparel 2Q = -$35M
Assume core categories grow 5%
So 2Q = $227M</t>
        </r>
      </text>
    </comment>
    <comment ref="L238" authorId="16">
      <text>
        <r>
          <rPr>
            <b/>
            <sz val="9"/>
            <color indexed="81"/>
            <rFont val="Tahoma"/>
            <family val="2"/>
          </rPr>
          <t>Cassel, Lauren (Research):</t>
        </r>
        <r>
          <rPr>
            <sz val="9"/>
            <color indexed="81"/>
            <rFont val="Tahoma"/>
            <family val="2"/>
          </rPr>
          <t xml:space="preserve">
8/16/17: go-forward categories +11%</t>
        </r>
      </text>
    </comment>
    <comment ref="R238" authorId="16">
      <text>
        <r>
          <rPr>
            <b/>
            <sz val="9"/>
            <color indexed="81"/>
            <rFont val="Tahoma"/>
            <family val="2"/>
          </rPr>
          <t>Cassel, Lauren (Research):</t>
        </r>
        <r>
          <rPr>
            <sz val="9"/>
            <color indexed="81"/>
            <rFont val="Tahoma"/>
            <family val="2"/>
          </rPr>
          <t xml:space="preserve">
8/16/17: Lingerie go-forward sales -HSD; total lingerie bra unit growth increased +MSD driven by unit growth in bralettes and sport bras which nearly doubled vs. LY; however total lingerie bra sales dollars declined in the -HSD range as lower AURs in bralettes and sport bras offset unit growth; panty sales were also down for the quarter and below our expectations; PINK - total sales increased +MSD driven by growth in all merchandise categories at healthy margin rates; Beauty - sales were +LSD and the merchandise margin rate was up significantly as they pulled back on promotional activity </t>
        </r>
      </text>
    </comment>
    <comment ref="W238" authorId="16">
      <text>
        <r>
          <rPr>
            <b/>
            <sz val="9"/>
            <color indexed="81"/>
            <rFont val="Tahoma"/>
            <family val="2"/>
          </rPr>
          <t>Cassel, Lauren (Research):</t>
        </r>
        <r>
          <rPr>
            <sz val="9"/>
            <color indexed="81"/>
            <rFont val="Tahoma"/>
            <family val="2"/>
          </rPr>
          <t xml:space="preserve">
BBW Direct sales +16% to $107.3M; sales across the quarter were led by growth in both home fragrance as well as new forms and collectoins in the body care assortment </t>
        </r>
      </text>
    </comment>
    <comment ref="AG238" authorId="16">
      <text>
        <r>
          <rPr>
            <b/>
            <sz val="9"/>
            <color indexed="81"/>
            <rFont val="Tahoma"/>
            <family val="2"/>
          </rPr>
          <t>Cassel, Lauren (Research):</t>
        </r>
        <r>
          <rPr>
            <sz val="9"/>
            <color indexed="81"/>
            <rFont val="Tahoma"/>
            <family val="2"/>
          </rPr>
          <t xml:space="preserve">
8/16/17: VS international experienced comp declines in all part of the world except for China, driven by the exit of swim and apparel (partially offset by growth in sport) and continued softness in beauty; 
UK: sales were about flat as the negative comp was mostly offset by sales from new stores; 
China: opened first two full assortment stores in February; four more opening thsi year; VSBA China business continued to show healthy comp growth; moved to domestic T mall platform with in country distribution in July 
VS franchise: continue to see tough market conditions in the Middle East and Turkey but encouraging performance in Southeast Asia
BBW Intl: continues with solid performance and growth in sales and operating income</t>
        </r>
      </text>
    </comment>
    <comment ref="AH238" authorId="16">
      <text>
        <r>
          <rPr>
            <b/>
            <sz val="9"/>
            <color indexed="81"/>
            <rFont val="Tahoma"/>
            <family val="2"/>
          </rPr>
          <t>Cassel, Lauren (Research):</t>
        </r>
        <r>
          <rPr>
            <sz val="9"/>
            <color indexed="81"/>
            <rFont val="Tahoma"/>
            <family val="2"/>
          </rPr>
          <t xml:space="preserve">
8/16/17: growth was driven by China and VS franchise full assortment stores</t>
        </r>
      </text>
    </comment>
    <comment ref="AZ238" authorId="16">
      <text>
        <r>
          <rPr>
            <b/>
            <sz val="9"/>
            <color indexed="81"/>
            <rFont val="Tahoma"/>
            <family val="2"/>
          </rPr>
          <t>Cassel, Lauren (Research):</t>
        </r>
        <r>
          <rPr>
            <sz val="9"/>
            <color indexed="81"/>
            <rFont val="Tahoma"/>
            <family val="2"/>
          </rPr>
          <t xml:space="preserve">
about $55M/flattish per Amie</t>
        </r>
      </text>
    </comment>
    <comment ref="BC238" authorId="16">
      <text>
        <r>
          <rPr>
            <b/>
            <sz val="9"/>
            <color indexed="81"/>
            <rFont val="Tahoma"/>
            <family val="2"/>
          </rPr>
          <t>Cassel, Lauren (Research):</t>
        </r>
        <r>
          <rPr>
            <sz val="9"/>
            <color indexed="81"/>
            <rFont val="Tahoma"/>
            <family val="2"/>
          </rPr>
          <t xml:space="preserve">
Henri Bendel about $22m/flattish per Amie</t>
        </r>
      </text>
    </comment>
    <comment ref="CV238" authorId="16">
      <text>
        <r>
          <rPr>
            <b/>
            <sz val="9"/>
            <color indexed="81"/>
            <rFont val="Tahoma"/>
            <family val="2"/>
          </rPr>
          <t>Cassel, Lauren (Research):</t>
        </r>
        <r>
          <rPr>
            <sz val="9"/>
            <color indexed="81"/>
            <rFont val="Tahoma"/>
            <family val="2"/>
          </rPr>
          <t xml:space="preserve">
8/16/17: gross profit rate down (merch margin increased, driven by lower clearance and promotion this year); B&amp;O and SG&amp;A expenses while well-countrolled and roughly flat on a dollar basis, deleveraged significantly on the sales decline; the majority of the EBIT decline was related to the loss of operating income associated with swim and apparel </t>
        </r>
      </text>
    </comment>
    <comment ref="DC238" authorId="16">
      <text>
        <r>
          <rPr>
            <b/>
            <sz val="9"/>
            <color indexed="81"/>
            <rFont val="Tahoma"/>
            <family val="2"/>
          </rPr>
          <t>Cassel, Lauren (Research):</t>
        </r>
        <r>
          <rPr>
            <sz val="9"/>
            <color indexed="81"/>
            <rFont val="Tahoma"/>
            <family val="2"/>
          </rPr>
          <t xml:space="preserve">
8/15/17: gross profit rate down slightly (merch margin about flat); a little bit of deleverage on SG&amp;A too </t>
        </r>
      </text>
    </comment>
    <comment ref="DH238" authorId="16">
      <text>
        <r>
          <rPr>
            <b/>
            <sz val="9"/>
            <color indexed="81"/>
            <rFont val="Tahoma"/>
            <family val="2"/>
          </rPr>
          <t>Cassel, Lauren (Research):</t>
        </r>
        <r>
          <rPr>
            <sz val="9"/>
            <color indexed="81"/>
            <rFont val="Tahoma"/>
            <family val="2"/>
          </rPr>
          <t xml:space="preserve">
8/16/17: an increase in the franchise businesses and travel retail was more than offset by increased infrastructure and pre-opening rent costs in China and a decline in the UK business; 
UK EBIT; declined, driven by FX, the negative comp and preopening costs in dublin
In summary: ongoing pressure related to China investment, some sales pressure related to the exit of swim and apparel, weakness in beauty and some negative FX pressure reducing the profitability in the short term</t>
        </r>
      </text>
    </comment>
    <comment ref="DL238" authorId="16">
      <text>
        <r>
          <rPr>
            <b/>
            <sz val="9"/>
            <color indexed="81"/>
            <rFont val="Tahoma"/>
            <family val="2"/>
          </rPr>
          <t>Cassel, Lauren (Research):</t>
        </r>
        <r>
          <rPr>
            <sz val="9"/>
            <color indexed="81"/>
            <rFont val="Tahoma"/>
            <family val="2"/>
          </rPr>
          <t xml:space="preserve">
8/16/17: down a few million y/y per Amie</t>
        </r>
      </text>
    </comment>
    <comment ref="DP238" authorId="16">
      <text>
        <r>
          <rPr>
            <b/>
            <sz val="9"/>
            <color indexed="81"/>
            <rFont val="Tahoma"/>
            <family val="2"/>
          </rPr>
          <t>Cassel, Lauren (Research):</t>
        </r>
        <r>
          <rPr>
            <sz val="9"/>
            <color indexed="81"/>
            <rFont val="Tahoma"/>
            <family val="2"/>
          </rPr>
          <t xml:space="preserve">
8/17/17: Henri Bendel EBIT down a few million y/y; corporate overhead loss </t>
        </r>
      </text>
    </comment>
    <comment ref="K239" authorId="16">
      <text>
        <r>
          <rPr>
            <b/>
            <sz val="9"/>
            <color indexed="81"/>
            <rFont val="Tahoma"/>
            <family val="2"/>
          </rPr>
          <t xml:space="preserve">Cassel, Lauren (Research):
2/2/17: Per Amie "A little over $40M" in swim/apparel revenue in 4Q 
</t>
        </r>
        <r>
          <rPr>
            <sz val="9"/>
            <color indexed="81"/>
            <rFont val="Tahoma"/>
            <family val="2"/>
          </rPr>
          <t xml:space="preserve">
</t>
        </r>
        <r>
          <rPr>
            <b/>
            <sz val="9"/>
            <color indexed="81"/>
            <rFont val="Tahoma"/>
            <family val="2"/>
          </rPr>
          <t>8/17/16: Per Amie: 
$35M in swim/apparel revenue in 3Q (50% swim/50% apparel) and 2/3 of swim  online with all apparel online
So -$29M headwind in Direct; -$6M headwind in stores 
Assume core categories grow 5%
So 3Q = $282M</t>
        </r>
      </text>
    </comment>
    <comment ref="L239" authorId="16">
      <text>
        <r>
          <rPr>
            <b/>
            <sz val="9"/>
            <color indexed="81"/>
            <rFont val="Tahoma"/>
            <family val="2"/>
          </rPr>
          <t>Cassel, Lauren (Research):</t>
        </r>
        <r>
          <rPr>
            <sz val="9"/>
            <color indexed="81"/>
            <rFont val="Tahoma"/>
            <family val="2"/>
          </rPr>
          <t xml:space="preserve">
11/15/17: go forward sales +Mid-teens</t>
        </r>
      </text>
    </comment>
    <comment ref="R239" authorId="16">
      <text>
        <r>
          <rPr>
            <b/>
            <sz val="9"/>
            <color indexed="81"/>
            <rFont val="Tahoma"/>
            <family val="2"/>
          </rPr>
          <t xml:space="preserve">Cassel, Lauren (Research):
11/15/17: </t>
        </r>
        <r>
          <rPr>
            <sz val="9"/>
            <color indexed="81"/>
            <rFont val="Tahoma"/>
            <family val="2"/>
          </rPr>
          <t xml:space="preserve">go forward lingerie sales -LSD; lingerie bra sales -LSD as growth in constructed bras was more than offset by a significant decline in unconstructed bras; panty sales were also down for the quarter as they continue to edit and reposition the panty assortment; PINK sales +MSD, driven principally by growth in bras and panties; beauty +LSD and the merchandise margin rate was up significantly as they pulled back on the promotional activity 
8/15/17: The impact of the mix shift into lower AUR sport bras and bralettes moderated in the second quarter vs. the first and will continue to moderate through the remainder of the year as we rebalance the assortment and increase focus on core constructed bras </t>
        </r>
      </text>
    </comment>
    <comment ref="W239" authorId="16">
      <text>
        <r>
          <rPr>
            <b/>
            <sz val="9"/>
            <color indexed="81"/>
            <rFont val="Tahoma"/>
            <family val="2"/>
          </rPr>
          <t>Cassel, Lauren (Research):
11/15/17: sales were led by home fragrance; also pleased with performance of new and relaunched forms and fragrances in the body care assortment</t>
        </r>
        <r>
          <rPr>
            <sz val="9"/>
            <color indexed="81"/>
            <rFont val="Tahoma"/>
            <family val="2"/>
          </rPr>
          <t xml:space="preserve">
11/1/17: Direct sales +27% to $112.7M</t>
        </r>
      </text>
    </comment>
    <comment ref="AH239" authorId="16">
      <text>
        <r>
          <rPr>
            <b/>
            <sz val="9"/>
            <color indexed="81"/>
            <rFont val="Tahoma"/>
            <family val="2"/>
          </rPr>
          <t>Cassel, Lauren (Research):</t>
        </r>
        <r>
          <rPr>
            <sz val="9"/>
            <color indexed="81"/>
            <rFont val="Tahoma"/>
            <family val="2"/>
          </rPr>
          <t xml:space="preserve">
11/15/17: driven by growth in VS and BBW; BBW in particular had a very strong quarter with solid growth in all categories and regions of the world; the base VS business continues to see negative comps similar to those experienced in North America; continued to be negatively impacted by exited categories; UK continues to be tough with major road works impacting the flagship store on Bond St and the balance of the UK seeing soft foot traffic across the country; FX has had an impact to pricing y/y which has negatively impacted customer demand; full assortment franchise stores made sequential gains in comp performance; VS Beauty also gained traction as the quarter progressed; strength in fragrance continues to favorably impcat the mix of business; VSBA in China continues to show healthy comp growth and the online business is seeing very significant growth </t>
        </r>
      </text>
    </comment>
    <comment ref="AZ239" authorId="16">
      <text>
        <r>
          <rPr>
            <b/>
            <sz val="9"/>
            <color indexed="81"/>
            <rFont val="Tahoma"/>
            <family val="2"/>
          </rPr>
          <t>Cassel, Lauren (Research):</t>
        </r>
        <r>
          <rPr>
            <sz val="9"/>
            <color indexed="81"/>
            <rFont val="Tahoma"/>
            <family val="2"/>
          </rPr>
          <t xml:space="preserve">
mid-50s per Amie</t>
        </r>
      </text>
    </comment>
    <comment ref="BC239" authorId="16">
      <text>
        <r>
          <rPr>
            <b/>
            <sz val="9"/>
            <color indexed="81"/>
            <rFont val="Tahoma"/>
            <family val="2"/>
          </rPr>
          <t>Cassel, Lauren (Research):</t>
        </r>
        <r>
          <rPr>
            <sz val="9"/>
            <color indexed="81"/>
            <rFont val="Tahoma"/>
            <family val="2"/>
          </rPr>
          <t xml:space="preserve">
Henri Bendel, just under $20M per Amie</t>
        </r>
      </text>
    </comment>
    <comment ref="CV239" authorId="16">
      <text>
        <r>
          <rPr>
            <b/>
            <sz val="9"/>
            <color indexed="81"/>
            <rFont val="Tahoma"/>
            <family val="2"/>
          </rPr>
          <t>Cassel, Lauren (Research):</t>
        </r>
        <r>
          <rPr>
            <sz val="9"/>
            <color indexed="81"/>
            <rFont val="Tahoma"/>
            <family val="2"/>
          </rPr>
          <t xml:space="preserve">
11/15/17: merchandise margin was about flat; absent a higher shrink result vs. LY, the merch margin rate would have increased</t>
        </r>
      </text>
    </comment>
    <comment ref="DC239" authorId="16">
      <text>
        <r>
          <rPr>
            <b/>
            <sz val="9"/>
            <color indexed="81"/>
            <rFont val="Tahoma"/>
            <family val="2"/>
          </rPr>
          <t>Cassel, Lauren (Research):</t>
        </r>
        <r>
          <rPr>
            <sz val="9"/>
            <color indexed="81"/>
            <rFont val="Tahoma"/>
            <family val="2"/>
          </rPr>
          <t xml:space="preserve">
11/15/17: gross margin decreased due to lower merch margin (~80-100) and deleverage in buying and occupancy driven by continued investment in real estate</t>
        </r>
      </text>
    </comment>
    <comment ref="DH239" authorId="16">
      <text>
        <r>
          <rPr>
            <b/>
            <sz val="9"/>
            <color indexed="81"/>
            <rFont val="Tahoma"/>
            <family val="2"/>
          </rPr>
          <t>Cassel, Lauren (Research):</t>
        </r>
        <r>
          <rPr>
            <sz val="9"/>
            <color indexed="81"/>
            <rFont val="Tahoma"/>
            <family val="2"/>
          </rPr>
          <t xml:space="preserve">
11/15/17: continued to increase investments in infrastructure and pre-opening rent costs in china; UK also reducing profitability in the short term</t>
        </r>
      </text>
    </comment>
    <comment ref="DL239" authorId="16">
      <text>
        <r>
          <rPr>
            <b/>
            <sz val="9"/>
            <color indexed="81"/>
            <rFont val="Tahoma"/>
            <family val="2"/>
          </rPr>
          <t>Cassel, Lauren (Research):</t>
        </r>
        <r>
          <rPr>
            <sz val="9"/>
            <color indexed="81"/>
            <rFont val="Tahoma"/>
            <family val="2"/>
          </rPr>
          <t xml:space="preserve">
11/16/17: Per amie, slightly better than last year</t>
        </r>
      </text>
    </comment>
    <comment ref="DP239" authorId="16">
      <text>
        <r>
          <rPr>
            <b/>
            <sz val="9"/>
            <color indexed="81"/>
            <rFont val="Tahoma"/>
            <family val="2"/>
          </rPr>
          <t>Cassel, Lauren (Research):</t>
        </r>
        <r>
          <rPr>
            <sz val="9"/>
            <color indexed="81"/>
            <rFont val="Tahoma"/>
            <family val="2"/>
          </rPr>
          <t xml:space="preserve">
Henri Bendel slightly worse y/y; corporate overhead about the same</t>
        </r>
      </text>
    </comment>
    <comment ref="K240" authorId="16">
      <text>
        <r>
          <rPr>
            <b/>
            <sz val="9"/>
            <color indexed="81"/>
            <rFont val="Tahoma"/>
            <family val="2"/>
          </rPr>
          <t xml:space="preserve">Cassel, Lauren (Research):
2/2/17: Per Amie ~$25M in swim/apparel revenue in 4Q 
</t>
        </r>
        <r>
          <rPr>
            <sz val="9"/>
            <color indexed="81"/>
            <rFont val="Tahoma"/>
            <family val="2"/>
          </rPr>
          <t xml:space="preserve">
</t>
        </r>
        <r>
          <rPr>
            <b/>
            <sz val="9"/>
            <color indexed="81"/>
            <rFont val="Tahoma"/>
            <family val="2"/>
          </rPr>
          <t>8/17/16: Per Amie: 
$35M in swim/apparel revenue in 4Q (50% swim/50% apparel) and 2/3 of swim  online with all apparel online
So -$29M headwind in Direct; -$6M headwind in stores 
Assume core categories grow 5%
So 4Q = $584M</t>
        </r>
      </text>
    </comment>
    <comment ref="L240" authorId="16">
      <text>
        <r>
          <rPr>
            <b/>
            <sz val="9"/>
            <color indexed="81"/>
            <rFont val="Tahoma"/>
            <family val="2"/>
          </rPr>
          <t>Cassel, Lauren (Research):</t>
        </r>
        <r>
          <rPr>
            <sz val="9"/>
            <color indexed="81"/>
            <rFont val="Tahoma"/>
            <family val="2"/>
          </rPr>
          <t xml:space="preserve">
+15% on 14 to 14 week basis</t>
        </r>
      </text>
    </comment>
    <comment ref="R240" authorId="16">
      <text>
        <r>
          <rPr>
            <b/>
            <sz val="9"/>
            <color indexed="81"/>
            <rFont val="Tahoma"/>
            <family val="2"/>
          </rPr>
          <t>Cassel, Lauren (Research):</t>
        </r>
        <r>
          <rPr>
            <sz val="9"/>
            <color indexed="81"/>
            <rFont val="Tahoma"/>
            <family val="2"/>
          </rPr>
          <t xml:space="preserve">
2/28/18: continue to make progress in the lingerie business (4Q -MSD); constructed bras were up; newer constructed bra launches contributed to these results; </t>
        </r>
        <r>
          <rPr>
            <b/>
            <sz val="9"/>
            <color indexed="81"/>
            <rFont val="Tahoma"/>
            <family val="2"/>
          </rPr>
          <t xml:space="preserve">total bra AUR increased in the fourth quarter; </t>
        </r>
        <r>
          <rPr>
            <sz val="9"/>
            <color indexed="81"/>
            <rFont val="Tahoma"/>
            <family val="2"/>
          </rPr>
          <t xml:space="preserve">however lingerie bra comps decreased in total driven by a decline in unconstructed and sport bra performance, lappiung last year's deep discounts in this category; panty comps were flat; the reset of the "5 for" program drove non-red-line sales growth 23 out of 13 weeks y/y; this growth was offset by softness in the  "3 for" and single ticket panty businesses which they are resetting in 2018; sleep and sport apparel were up in total driven by sport apparel 
</t>
        </r>
        <r>
          <rPr>
            <b/>
            <sz val="9"/>
            <color indexed="81"/>
            <rFont val="Tahoma"/>
            <family val="2"/>
          </rPr>
          <t>PINK comps up slightly in 4Q as growth in the bra and panty business was partially offset by a decline in loungewear 
Beauty comps +MSD</t>
        </r>
        <r>
          <rPr>
            <sz val="9"/>
            <color indexed="81"/>
            <rFont val="Tahoma"/>
            <family val="2"/>
          </rPr>
          <t xml:space="preserve">
Pink beauty a key focus for 2018
</t>
        </r>
      </text>
    </comment>
    <comment ref="W240" authorId="16">
      <text>
        <r>
          <rPr>
            <b/>
            <sz val="9"/>
            <color indexed="81"/>
            <rFont val="Tahoma"/>
            <family val="2"/>
          </rPr>
          <t>Cassel, Lauren (Research):</t>
        </r>
        <r>
          <rPr>
            <sz val="9"/>
            <color indexed="81"/>
            <rFont val="Tahoma"/>
            <family val="2"/>
          </rPr>
          <t xml:space="preserve">
BBW Direct +26%  to $249.1M (+22% on 14 to 14 week basis)
2/28/18: led by strong growth in home fragrance; Christmas met expectations and January exceeded</t>
        </r>
      </text>
    </comment>
    <comment ref="AH240" authorId="16">
      <text>
        <r>
          <rPr>
            <b/>
            <sz val="9"/>
            <color indexed="81"/>
            <rFont val="Tahoma"/>
            <family val="2"/>
          </rPr>
          <t>Cassel, Lauren (Research):</t>
        </r>
        <r>
          <rPr>
            <sz val="9"/>
            <color indexed="81"/>
            <rFont val="Tahoma"/>
            <family val="2"/>
          </rPr>
          <t xml:space="preserve">
+31% ex extra week</t>
        </r>
      </text>
    </comment>
    <comment ref="AZ240" authorId="16">
      <text>
        <r>
          <rPr>
            <b/>
            <sz val="9"/>
            <color indexed="81"/>
            <rFont val="Tahoma"/>
            <family val="2"/>
          </rPr>
          <t>Cassel, Lauren (Research):</t>
        </r>
        <r>
          <rPr>
            <sz val="9"/>
            <color indexed="81"/>
            <rFont val="Tahoma"/>
            <family val="2"/>
          </rPr>
          <t xml:space="preserve">
2/28/18: $75M</t>
        </r>
      </text>
    </comment>
    <comment ref="BC240" authorId="16">
      <text>
        <r>
          <rPr>
            <b/>
            <sz val="9"/>
            <color indexed="81"/>
            <rFont val="Tahoma"/>
            <family val="2"/>
          </rPr>
          <t>Cassel, Lauren (Research):</t>
        </r>
        <r>
          <rPr>
            <sz val="9"/>
            <color indexed="81"/>
            <rFont val="Tahoma"/>
            <family val="2"/>
          </rPr>
          <t xml:space="preserve">
2/28/18: Bendel about $35</t>
        </r>
      </text>
    </comment>
    <comment ref="CV240" authorId="16">
      <text>
        <r>
          <rPr>
            <b/>
            <sz val="9"/>
            <color indexed="81"/>
            <rFont val="Tahoma"/>
            <family val="2"/>
          </rPr>
          <t>Cassel, Lauren (Research):</t>
        </r>
        <r>
          <rPr>
            <sz val="9"/>
            <color indexed="81"/>
            <rFont val="Tahoma"/>
            <family val="2"/>
          </rPr>
          <t xml:space="preserve">
2/28/18: The total segment gross margin rate decreased by 80 basis points, driven by a decline in the merchandise margin rate. The merchandise margin rate decline was principally the result of the Holiday reward card, which successfully drove a margin dollar increase, but was incremental to last year, and
increased promotional and free shipping offers in the digital channel. SG&amp;A expense deleveraged, driven by increased marketing expense, principally as a result of incremental direct mail.</t>
        </r>
      </text>
    </comment>
    <comment ref="DC240" authorId="16">
      <text>
        <r>
          <rPr>
            <b/>
            <sz val="9"/>
            <color indexed="81"/>
            <rFont val="Tahoma"/>
            <family val="2"/>
          </rPr>
          <t>Cassel, Lauren (Research):</t>
        </r>
        <r>
          <rPr>
            <sz val="9"/>
            <color indexed="81"/>
            <rFont val="Tahoma"/>
            <family val="2"/>
          </rPr>
          <t xml:space="preserve">
2/28/18: gross profit margin down slightly; The flat profit rate was driven
by a decline in the merchandise margin rate as well as our continued real
estate investments,</t>
        </r>
        <r>
          <rPr>
            <b/>
            <sz val="9"/>
            <color indexed="81"/>
            <rFont val="Tahoma"/>
            <family val="2"/>
          </rPr>
          <t xml:space="preserve"> offset by SG&amp;A leverage and the impact of the extra week. The merchandise margin rate for the quarter was down to last year.</t>
        </r>
        <r>
          <rPr>
            <sz val="9"/>
            <color indexed="81"/>
            <rFont val="Tahoma"/>
            <family val="2"/>
          </rPr>
          <t xml:space="preserve"> Promotional activity for the quarter was up slightly to last year driven by relatively flat holiday promotional activity and strong performance in the semi-annual sale time period. </t>
        </r>
      </text>
    </comment>
    <comment ref="DH240" authorId="16">
      <text>
        <r>
          <rPr>
            <b/>
            <sz val="9"/>
            <color indexed="81"/>
            <rFont val="Tahoma"/>
            <family val="2"/>
          </rPr>
          <t>Cassel, Lauren (Research):</t>
        </r>
        <r>
          <rPr>
            <sz val="9"/>
            <color indexed="81"/>
            <rFont val="Tahoma"/>
            <family val="2"/>
          </rPr>
          <t xml:space="preserve">
2/28/18: driven by our investment in China and
continued declines in profitability in the U.K.</t>
        </r>
      </text>
    </comment>
    <comment ref="DL240" authorId="16">
      <text>
        <r>
          <rPr>
            <b/>
            <sz val="9"/>
            <color indexed="81"/>
            <rFont val="Tahoma"/>
            <family val="2"/>
          </rPr>
          <t>Cassel, Lauren (Research):</t>
        </r>
        <r>
          <rPr>
            <sz val="9"/>
            <color indexed="81"/>
            <rFont val="Tahoma"/>
            <family val="2"/>
          </rPr>
          <t xml:space="preserve">
Per Amie LS EBIT about flat</t>
        </r>
      </text>
    </comment>
    <comment ref="DP240" authorId="16">
      <text>
        <r>
          <rPr>
            <b/>
            <sz val="9"/>
            <color indexed="81"/>
            <rFont val="Tahoma"/>
            <family val="2"/>
          </rPr>
          <t>Cassel, Lauren (Research):</t>
        </r>
        <r>
          <rPr>
            <sz val="9"/>
            <color indexed="81"/>
            <rFont val="Tahoma"/>
            <family val="2"/>
          </rPr>
          <t xml:space="preserve">
Per Amie Henri Bendel EBIT down a little</t>
        </r>
      </text>
    </comment>
    <comment ref="K241" authorId="16">
      <text>
        <r>
          <rPr>
            <b/>
            <sz val="9"/>
            <color indexed="81"/>
            <rFont val="Tahoma"/>
            <family val="2"/>
          </rPr>
          <t>Cassel, Lauren (Research):</t>
        </r>
        <r>
          <rPr>
            <sz val="9"/>
            <color indexed="81"/>
            <rFont val="Tahoma"/>
            <family val="2"/>
          </rPr>
          <t xml:space="preserve">
2/22/17: Swim and apparel sales were approximately $400 million in 2016, which is about a 3 to 4 point negative comp impact to the total company and 5 points to Victoria’s Secret</t>
        </r>
      </text>
    </comment>
    <comment ref="R241" authorId="16">
      <text>
        <r>
          <rPr>
            <b/>
            <sz val="9"/>
            <color indexed="81"/>
            <rFont val="Tahoma"/>
            <family val="2"/>
          </rPr>
          <t>Cassel, Lauren (Research):</t>
        </r>
        <r>
          <rPr>
            <sz val="9"/>
            <color indexed="81"/>
            <rFont val="Tahoma"/>
            <family val="2"/>
          </rPr>
          <t xml:space="preserve">
2/28/18: continue to make progress in the lingerie business; in the spring, go forward comps were -HSD and in the fall were -MSD</t>
        </r>
      </text>
    </comment>
    <comment ref="T241" authorId="16">
      <text>
        <r>
          <rPr>
            <b/>
            <sz val="9"/>
            <color indexed="81"/>
            <rFont val="Tahoma"/>
            <family val="2"/>
          </rPr>
          <t>Cassel, Lauren (Research):</t>
        </r>
        <r>
          <rPr>
            <sz val="9"/>
            <color indexed="81"/>
            <rFont val="Tahoma"/>
            <family val="2"/>
          </rPr>
          <t xml:space="preserve">
2/28/18: -3% underlying comp</t>
        </r>
      </text>
    </comment>
    <comment ref="W241" authorId="16">
      <text>
        <r>
          <rPr>
            <b/>
            <sz val="9"/>
            <color indexed="81"/>
            <rFont val="Tahoma"/>
            <family val="2"/>
          </rPr>
          <t>Cassel, Lauren (Research):</t>
        </r>
        <r>
          <rPr>
            <sz val="9"/>
            <color indexed="81"/>
            <rFont val="Tahoma"/>
            <family val="2"/>
          </rPr>
          <t xml:space="preserve">
2/28/18: Total direct channel sales +24%; 425 new concept stores at the end of the year.</t>
        </r>
      </text>
    </comment>
    <comment ref="AG241" authorId="16">
      <text>
        <r>
          <rPr>
            <b/>
            <sz val="9"/>
            <color indexed="81"/>
            <rFont val="Tahoma"/>
            <family val="2"/>
          </rPr>
          <t xml:space="preserve">Cassel, Lauren (Research):
2/28/18: 2017 retail sales: $1.3B, +16% y/y with stores in 74 countries across the world; </t>
        </r>
        <r>
          <rPr>
            <sz val="9"/>
            <color indexed="81"/>
            <rFont val="Tahoma"/>
            <family val="2"/>
          </rPr>
          <t>About 20% of our retail sales and 55% of our recorded revenue come from our wholly-owned stores in the U.K. and Greater China. Roughly 55% of retail sales and 20% of recorded revenue comes from our franchise business, which is a royalty-based business. The balance comes from our presence in Travel Retail.  The U.K. business was very challenged in 2017. We are very focused on improving performance in that market.
Overall, comps in the International segment were broadly in line with
the patterns we saw in our North American businesses.
*we assume China contributed $65-135M</t>
        </r>
        <r>
          <rPr>
            <b/>
            <sz val="9"/>
            <color indexed="81"/>
            <rFont val="Tahoma"/>
            <family val="2"/>
          </rPr>
          <t xml:space="preserve">
</t>
        </r>
        <r>
          <rPr>
            <sz val="9"/>
            <color indexed="81"/>
            <rFont val="Tahoma"/>
            <family val="2"/>
          </rPr>
          <t>Two full China stores open in 1Q - assume $60M per store in year 1</t>
        </r>
      </text>
    </comment>
    <comment ref="AH241" authorId="16">
      <text>
        <r>
          <rPr>
            <b/>
            <sz val="9"/>
            <color indexed="81"/>
            <rFont val="Tahoma"/>
            <family val="2"/>
          </rPr>
          <t>Cassel, Lauren (Research):</t>
        </r>
        <r>
          <rPr>
            <sz val="9"/>
            <color indexed="81"/>
            <rFont val="Tahoma"/>
            <family val="2"/>
          </rPr>
          <t xml:space="preserve">
2/28/18: driven primarily by growth in China and the Victoria’s Secret and Bath &amp; Body Works franchise businesses.</t>
        </r>
      </text>
    </comment>
    <comment ref="CV241" authorId="16">
      <text>
        <r>
          <rPr>
            <b/>
            <sz val="9"/>
            <color indexed="81"/>
            <rFont val="Tahoma"/>
            <family val="2"/>
          </rPr>
          <t>Cassel, Lauren (Research):</t>
        </r>
        <r>
          <rPr>
            <sz val="9"/>
            <color indexed="81"/>
            <rFont val="Tahoma"/>
            <family val="2"/>
          </rPr>
          <t xml:space="preserve">
2/28/18: The operating income rate
decline of 290 basis points was primarily driven by buying and occupancy
and SG&amp;A expense deleverage. The merchandise margin rate decreased
slightly (gross margin down slightly)</t>
        </r>
      </text>
    </comment>
    <comment ref="DC241" authorId="16">
      <text>
        <r>
          <rPr>
            <b/>
            <sz val="9"/>
            <color indexed="81"/>
            <rFont val="Tahoma"/>
            <family val="2"/>
          </rPr>
          <t>Cassel, Lauren (Research):</t>
        </r>
        <r>
          <rPr>
            <sz val="9"/>
            <color indexed="81"/>
            <rFont val="Tahoma"/>
            <family val="2"/>
          </rPr>
          <t xml:space="preserve">
2/28/18: Our operating income rate decreased by 60 basis points to 23% driven by a decline in the merchandise margin rate (gross margin down) as well as our continued real estate investments offset by SG&amp;A leverage.</t>
        </r>
      </text>
    </comment>
    <comment ref="DH241" authorId="16">
      <text>
        <r>
          <rPr>
            <b/>
            <sz val="9"/>
            <color indexed="81"/>
            <rFont val="Tahoma"/>
            <family val="2"/>
          </rPr>
          <t xml:space="preserve">Cassel, Lauren (Research):
2/28/18: Decline driven by
our investment in China and the decline in the U.K.; The partner-based businesses are doing well, with good operating income growth for the quarter and the year at a high operating income rate; </t>
        </r>
        <r>
          <rPr>
            <sz val="9"/>
            <color indexed="81"/>
            <rFont val="Tahoma"/>
            <family val="2"/>
          </rPr>
          <t xml:space="preserve">
2/23/17: don’t expect FX to be a major headwind</t>
        </r>
      </text>
    </comment>
    <comment ref="DL244" authorId="16">
      <text>
        <r>
          <rPr>
            <b/>
            <sz val="9"/>
            <color indexed="81"/>
            <rFont val="Tahoma"/>
            <family val="2"/>
          </rPr>
          <t>Cassel, Lauren (Research):</t>
        </r>
        <r>
          <rPr>
            <sz val="9"/>
            <color indexed="81"/>
            <rFont val="Tahoma"/>
            <family val="2"/>
          </rPr>
          <t xml:space="preserve">
La Senze EBIT roughly flat y/y</t>
        </r>
      </text>
    </comment>
    <comment ref="DP244" authorId="16">
      <text>
        <r>
          <rPr>
            <b/>
            <sz val="9"/>
            <color indexed="81"/>
            <rFont val="Tahoma"/>
            <family val="2"/>
          </rPr>
          <t>Cassel, Lauren (Research):</t>
        </r>
        <r>
          <rPr>
            <sz val="9"/>
            <color indexed="81"/>
            <rFont val="Tahoma"/>
            <family val="2"/>
          </rPr>
          <t xml:space="preserve">
5/17/17: HB roughly flat y/y; majority of the decline was in the MAST business due to exit of swim and apparel; corporate overhead down slightly y/y
</t>
        </r>
      </text>
    </comment>
    <comment ref="DL245" authorId="16">
      <text>
        <r>
          <rPr>
            <b/>
            <sz val="9"/>
            <color indexed="81"/>
            <rFont val="Tahoma"/>
            <family val="2"/>
          </rPr>
          <t>Cassel, Lauren (Research):</t>
        </r>
        <r>
          <rPr>
            <sz val="9"/>
            <color indexed="81"/>
            <rFont val="Tahoma"/>
            <family val="2"/>
          </rPr>
          <t xml:space="preserve">
8/16/17: down a few million y/y per Amie</t>
        </r>
      </text>
    </comment>
    <comment ref="DP245" authorId="16">
      <text>
        <r>
          <rPr>
            <b/>
            <sz val="9"/>
            <color indexed="81"/>
            <rFont val="Tahoma"/>
            <family val="2"/>
          </rPr>
          <t>Cassel, Lauren (Research):</t>
        </r>
        <r>
          <rPr>
            <sz val="9"/>
            <color indexed="81"/>
            <rFont val="Tahoma"/>
            <family val="2"/>
          </rPr>
          <t xml:space="preserve">
8/17/17: Henri Bendel EBIT down a few million y/y; corporate overhead loss </t>
        </r>
      </text>
    </comment>
    <comment ref="DH247" authorId="16">
      <text>
        <r>
          <rPr>
            <b/>
            <sz val="9"/>
            <color indexed="81"/>
            <rFont val="Tahoma"/>
            <family val="2"/>
          </rPr>
          <t>Cassel, Lauren (Research):</t>
        </r>
        <r>
          <rPr>
            <sz val="9"/>
            <color indexed="81"/>
            <rFont val="Tahoma"/>
            <family val="2"/>
          </rPr>
          <t xml:space="preserve">
2/28/18: We would expect 2018 operating income in
the international segment to improve, weighted toward the fourth quarter as a result of the timing of store openings.</t>
        </r>
      </text>
    </comment>
    <comment ref="AG248" authorId="16">
      <text>
        <r>
          <rPr>
            <b/>
            <sz val="9"/>
            <color indexed="81"/>
            <rFont val="Tahoma"/>
            <family val="2"/>
          </rPr>
          <t>Cassel, Lauren (Research):</t>
        </r>
        <r>
          <rPr>
            <sz val="9"/>
            <color indexed="81"/>
            <rFont val="Tahoma"/>
            <family val="2"/>
          </rPr>
          <t xml:space="preserve">
11/2/17: China should generate $350-400M of revenue by the end of 2018</t>
        </r>
      </text>
    </comment>
    <comment ref="DC248" authorId="16">
      <text>
        <r>
          <rPr>
            <b/>
            <sz val="9"/>
            <color indexed="81"/>
            <rFont val="Tahoma"/>
            <family val="2"/>
          </rPr>
          <t>Cassel, Lauren (Research):</t>
        </r>
        <r>
          <rPr>
            <sz val="9"/>
            <color indexed="81"/>
            <rFont val="Tahoma"/>
            <family val="2"/>
          </rPr>
          <t xml:space="preserve">
2/28/18:  We will continue our real estate initiative, and this will continue to place
pressure on occupancy costs into the first quarter and the foreseeable future.
In addition, we expect SG&amp;A deleverage in the near term driven by the
investments in store wages previously discussed.</t>
        </r>
      </text>
    </comment>
    <comment ref="DH248" authorId="16">
      <text>
        <r>
          <rPr>
            <b/>
            <sz val="9"/>
            <color indexed="81"/>
            <rFont val="Tahoma"/>
            <family val="2"/>
          </rPr>
          <t>Cassel, Lauren (Research):</t>
        </r>
        <r>
          <rPr>
            <sz val="9"/>
            <color indexed="81"/>
            <rFont val="Tahoma"/>
            <family val="2"/>
          </rPr>
          <t xml:space="preserve">
2/28/18: We would expect 2018 operating income in
the international segment to improve, weighted toward the fourth quarter as a result of the timing of store openings; China loss will be about the same as in 2018</t>
        </r>
      </text>
    </comment>
  </commentList>
</comments>
</file>

<file path=xl/comments9.xml><?xml version="1.0" encoding="utf-8"?>
<comments xmlns="http://schemas.openxmlformats.org/spreadsheetml/2006/main">
  <authors>
    <author>casselau</author>
    <author>Cassel, Lauren (Research)</author>
  </authors>
  <commentList>
    <comment ref="I4" authorId="0">
      <text>
        <r>
          <rPr>
            <b/>
            <sz val="9"/>
            <color indexed="81"/>
            <rFont val="Tahoma"/>
            <family val="2"/>
          </rPr>
          <t>casselau:</t>
        </r>
        <r>
          <rPr>
            <sz val="9"/>
            <color indexed="81"/>
            <rFont val="Tahoma"/>
            <family val="2"/>
          </rPr>
          <t xml:space="preserve">
military deliveries, beauty counter sales, and other travel retail; 25-30% EBIT margin</t>
        </r>
      </text>
    </comment>
    <comment ref="N4" authorId="0">
      <text>
        <r>
          <rPr>
            <b/>
            <sz val="9"/>
            <color indexed="81"/>
            <rFont val="Tahoma"/>
            <family val="2"/>
          </rPr>
          <t>casselau:</t>
        </r>
        <r>
          <rPr>
            <sz val="9"/>
            <color indexed="81"/>
            <rFont val="Tahoma"/>
            <family val="2"/>
          </rPr>
          <t xml:space="preserve">
Per IR: Only 2/3 of the VSBA stores operate under the royalty franchise model. The other 1/3 operate under the wholesale model (airport locations) where they record cost plus a 30-40% markup on the inventory, no royalty. This is is in the "international segment"</t>
        </r>
      </text>
    </comment>
    <comment ref="AC4" authorId="0">
      <text>
        <r>
          <rPr>
            <b/>
            <sz val="9"/>
            <color indexed="81"/>
            <rFont val="Tahoma"/>
            <family val="2"/>
          </rPr>
          <t>casselau:</t>
        </r>
        <r>
          <rPr>
            <sz val="9"/>
            <color indexed="81"/>
            <rFont val="Tahoma"/>
            <family val="2"/>
          </rPr>
          <t xml:space="preserve">
military deliveries, beauty counter sales, and other travel retail; 25-30% EBIT margin</t>
        </r>
      </text>
    </comment>
    <comment ref="G5" authorId="0">
      <text>
        <r>
          <rPr>
            <b/>
            <sz val="9"/>
            <color indexed="81"/>
            <rFont val="Tahoma"/>
            <family val="2"/>
          </rPr>
          <t>casselau:</t>
        </r>
        <r>
          <rPr>
            <sz val="9"/>
            <color indexed="81"/>
            <rFont val="Tahoma"/>
            <family val="2"/>
          </rPr>
          <t xml:space="preserve">
1/3 of VSBA stores operate on wholesale model (inventory cost + 30-40% markup, no royalty fee); falls in "international", not "other"</t>
        </r>
      </text>
    </comment>
    <comment ref="J5" authorId="0">
      <text>
        <r>
          <rPr>
            <b/>
            <sz val="9"/>
            <color indexed="81"/>
            <rFont val="Tahoma"/>
            <family val="2"/>
          </rPr>
          <t>casselau:</t>
        </r>
        <r>
          <rPr>
            <sz val="9"/>
            <color indexed="81"/>
            <rFont val="Tahoma"/>
            <family val="2"/>
          </rPr>
          <t xml:space="preserve">
owned stores (VS UK) and royalty revenue on int'l franchise stores </t>
        </r>
      </text>
    </comment>
    <comment ref="AA5" authorId="0">
      <text>
        <r>
          <rPr>
            <b/>
            <sz val="9"/>
            <color indexed="81"/>
            <rFont val="Tahoma"/>
            <family val="2"/>
          </rPr>
          <t>casselau:</t>
        </r>
        <r>
          <rPr>
            <sz val="9"/>
            <color indexed="81"/>
            <rFont val="Tahoma"/>
            <family val="2"/>
          </rPr>
          <t xml:space="preserve">
1/3 of VSBA stores operate on wholesale model (inventory cost + 30-40% markup, no royalty fee); falls in "international", not "other"</t>
        </r>
      </text>
    </comment>
    <comment ref="AD5" authorId="0">
      <text>
        <r>
          <rPr>
            <b/>
            <sz val="9"/>
            <color indexed="81"/>
            <rFont val="Tahoma"/>
            <family val="2"/>
          </rPr>
          <t>casselau:</t>
        </r>
        <r>
          <rPr>
            <sz val="9"/>
            <color indexed="81"/>
            <rFont val="Tahoma"/>
            <family val="2"/>
          </rPr>
          <t xml:space="preserve">
owned stores (VS UK) and royalty revenue on int'l franchise stores</t>
        </r>
      </text>
    </comment>
    <comment ref="K12" authorId="1">
      <text>
        <r>
          <rPr>
            <b/>
            <sz val="9"/>
            <color indexed="81"/>
            <rFont val="Tahoma"/>
            <family val="2"/>
          </rPr>
          <t>Cassel, Lauren (Research):</t>
        </r>
        <r>
          <rPr>
            <sz val="9"/>
            <color indexed="81"/>
            <rFont val="Tahoma"/>
            <family val="2"/>
          </rPr>
          <t xml:space="preserve">
Intl sales at POS $298M (+66%)</t>
        </r>
      </text>
    </comment>
    <comment ref="J19" authorId="1">
      <text>
        <r>
          <rPr>
            <b/>
            <sz val="9"/>
            <color indexed="81"/>
            <rFont val="Tahoma"/>
            <family val="2"/>
          </rPr>
          <t>Cassel, Lauren (Research):</t>
        </r>
        <r>
          <rPr>
            <sz val="9"/>
            <color indexed="81"/>
            <rFont val="Tahoma"/>
            <family val="2"/>
          </rPr>
          <t xml:space="preserve">
</t>
        </r>
      </text>
    </comment>
    <comment ref="K19" authorId="1">
      <text>
        <r>
          <rPr>
            <b/>
            <sz val="9"/>
            <color indexed="81"/>
            <rFont val="Tahoma"/>
            <family val="2"/>
          </rPr>
          <t>Cassel, Lauren (Research):</t>
        </r>
        <r>
          <rPr>
            <sz val="9"/>
            <color indexed="81"/>
            <rFont val="Tahoma"/>
            <family val="2"/>
          </rPr>
          <t xml:space="preserve">
Intl Sales at POS $519M (+74%)</t>
        </r>
      </text>
    </comment>
    <comment ref="P22" authorId="0">
      <text>
        <r>
          <rPr>
            <b/>
            <sz val="9"/>
            <color indexed="81"/>
            <rFont val="Tahoma"/>
            <family val="2"/>
          </rPr>
          <t>casselau:</t>
        </r>
        <r>
          <rPr>
            <sz val="9"/>
            <color indexed="81"/>
            <rFont val="Tahoma"/>
            <family val="2"/>
          </rPr>
          <t xml:space="preserve">
per Amie: $55M revenue, 1Q $13-15M loss</t>
        </r>
      </text>
    </comment>
    <comment ref="R22" authorId="0">
      <text>
        <r>
          <rPr>
            <b/>
            <sz val="9"/>
            <color indexed="81"/>
            <rFont val="Tahoma"/>
            <family val="2"/>
          </rPr>
          <t>casselau:</t>
        </r>
        <r>
          <rPr>
            <sz val="9"/>
            <color indexed="81"/>
            <rFont val="Tahoma"/>
            <family val="2"/>
          </rPr>
          <t xml:space="preserve">
per Amie $18-19M</t>
        </r>
      </text>
    </comment>
    <comment ref="AH22" authorId="0">
      <text>
        <r>
          <rPr>
            <b/>
            <sz val="9"/>
            <color indexed="81"/>
            <rFont val="Tahoma"/>
            <family val="2"/>
          </rPr>
          <t>casselau:</t>
        </r>
        <r>
          <rPr>
            <sz val="9"/>
            <color indexed="81"/>
            <rFont val="Tahoma"/>
            <family val="2"/>
          </rPr>
          <t xml:space="preserve">
5/21/14: per Amie: La Senza $13-15M 1Q loss</t>
        </r>
      </text>
    </comment>
    <comment ref="AO22" authorId="0">
      <text>
        <r>
          <rPr>
            <b/>
            <sz val="9"/>
            <color indexed="81"/>
            <rFont val="Tahoma"/>
            <family val="2"/>
          </rPr>
          <t>casselau:</t>
        </r>
        <r>
          <rPr>
            <sz val="9"/>
            <color indexed="81"/>
            <rFont val="Tahoma"/>
            <family val="2"/>
          </rPr>
          <t xml:space="preserve">
La Senza 1Q $13-15M loss; Corporate overhead favorable y/y ($40-45M); The corporate overhead improvement offset a decline in the domestic sourcing business (MAST); Bendel loss relatively flat y/y</t>
        </r>
      </text>
    </comment>
    <comment ref="P23" authorId="0">
      <text>
        <r>
          <rPr>
            <b/>
            <sz val="9"/>
            <color indexed="81"/>
            <rFont val="Tahoma"/>
            <family val="2"/>
          </rPr>
          <t>casselau:</t>
        </r>
        <r>
          <rPr>
            <sz val="9"/>
            <color indexed="81"/>
            <rFont val="Tahoma"/>
            <family val="2"/>
          </rPr>
          <t xml:space="preserve">
per Amie: $71.7M revenue</t>
        </r>
      </text>
    </comment>
    <comment ref="AO23" authorId="0">
      <text>
        <r>
          <rPr>
            <b/>
            <sz val="9"/>
            <color indexed="81"/>
            <rFont val="Tahoma"/>
            <family val="2"/>
          </rPr>
          <t>casselau:</t>
        </r>
        <r>
          <rPr>
            <sz val="9"/>
            <color indexed="81"/>
            <rFont val="Tahoma"/>
            <family val="2"/>
          </rPr>
          <t xml:space="preserve">
8/20/14: of the y/y loss increase, half due to severance charge and half due to LS</t>
        </r>
      </text>
    </comment>
    <comment ref="P24" authorId="0">
      <text>
        <r>
          <rPr>
            <b/>
            <sz val="9"/>
            <color indexed="81"/>
            <rFont val="Tahoma"/>
            <family val="2"/>
          </rPr>
          <t>casselau:</t>
        </r>
        <r>
          <rPr>
            <sz val="9"/>
            <color indexed="81"/>
            <rFont val="Tahoma"/>
            <family val="2"/>
          </rPr>
          <t xml:space="preserve">
per Amie ~$60M</t>
        </r>
      </text>
    </comment>
    <comment ref="R24" authorId="0">
      <text>
        <r>
          <rPr>
            <b/>
            <sz val="9"/>
            <color indexed="81"/>
            <rFont val="Tahoma"/>
            <family val="2"/>
          </rPr>
          <t>casselau:</t>
        </r>
        <r>
          <rPr>
            <sz val="9"/>
            <color indexed="81"/>
            <rFont val="Tahoma"/>
            <family val="2"/>
          </rPr>
          <t xml:space="preserve">
per Amie ~$17M</t>
        </r>
      </text>
    </comment>
    <comment ref="AH24" authorId="0">
      <text>
        <r>
          <rPr>
            <b/>
            <sz val="9"/>
            <color indexed="81"/>
            <rFont val="Tahoma"/>
            <family val="2"/>
          </rPr>
          <t>casselau:</t>
        </r>
        <r>
          <rPr>
            <sz val="9"/>
            <color indexed="81"/>
            <rFont val="Tahoma"/>
            <family val="2"/>
          </rPr>
          <t xml:space="preserve">
11/20/14: per Amie ~$4.8M y/y improvement mainly driven by La Senza </t>
        </r>
      </text>
    </comment>
    <comment ref="AJ24" authorId="0">
      <text>
        <r>
          <rPr>
            <b/>
            <sz val="9"/>
            <color indexed="81"/>
            <rFont val="Tahoma"/>
            <family val="2"/>
          </rPr>
          <t>casselau:</t>
        </r>
        <r>
          <rPr>
            <sz val="9"/>
            <color indexed="81"/>
            <rFont val="Tahoma"/>
            <family val="2"/>
          </rPr>
          <t xml:space="preserve">
11/20/14: per Amie a bit better y/y</t>
        </r>
      </text>
    </comment>
    <comment ref="AL24" authorId="0">
      <text>
        <r>
          <rPr>
            <b/>
            <sz val="9"/>
            <color indexed="81"/>
            <rFont val="Tahoma"/>
            <family val="2"/>
          </rPr>
          <t>casselau:</t>
        </r>
        <r>
          <rPr>
            <sz val="9"/>
            <color indexed="81"/>
            <rFont val="Tahoma"/>
            <family val="2"/>
          </rPr>
          <t xml:space="preserve">
11/20/14: per Amie a bit worse y/y</t>
        </r>
      </text>
    </comment>
    <comment ref="AN24" authorId="0">
      <text>
        <r>
          <rPr>
            <b/>
            <sz val="9"/>
            <color indexed="81"/>
            <rFont val="Tahoma"/>
            <family val="2"/>
          </rPr>
          <t>casselau:</t>
        </r>
        <r>
          <rPr>
            <sz val="9"/>
            <color indexed="81"/>
            <rFont val="Tahoma"/>
            <family val="2"/>
          </rPr>
          <t xml:space="preserve">
11/20/14: per Amie flat y/y</t>
        </r>
      </text>
    </comment>
    <comment ref="AO24" authorId="0">
      <text>
        <r>
          <rPr>
            <b/>
            <sz val="9"/>
            <color indexed="81"/>
            <rFont val="Tahoma"/>
            <family val="2"/>
          </rPr>
          <t>casselau:</t>
        </r>
        <r>
          <rPr>
            <sz val="9"/>
            <color indexed="81"/>
            <rFont val="Tahoma"/>
            <family val="2"/>
          </rPr>
          <t xml:space="preserve">
11/20/14: improvement was driven primarily by La Senza; Henri Bendel a bit better, MAST a bit worse</t>
        </r>
      </text>
    </comment>
    <comment ref="P25" authorId="0">
      <text>
        <r>
          <rPr>
            <b/>
            <sz val="9"/>
            <color indexed="81"/>
            <rFont val="Tahoma"/>
            <family val="2"/>
          </rPr>
          <t>casselau:</t>
        </r>
        <r>
          <rPr>
            <sz val="9"/>
            <color indexed="81"/>
            <rFont val="Tahoma"/>
            <family val="2"/>
          </rPr>
          <t xml:space="preserve">
per Amie $72M</t>
        </r>
      </text>
    </comment>
    <comment ref="R25" authorId="0">
      <text>
        <r>
          <rPr>
            <b/>
            <sz val="9"/>
            <color indexed="81"/>
            <rFont val="Tahoma"/>
            <family val="2"/>
          </rPr>
          <t>casselau:</t>
        </r>
        <r>
          <rPr>
            <sz val="9"/>
            <color indexed="81"/>
            <rFont val="Tahoma"/>
            <family val="2"/>
          </rPr>
          <t xml:space="preserve">
per Amie ~$28M</t>
        </r>
      </text>
    </comment>
    <comment ref="AH25" authorId="0">
      <text>
        <r>
          <rPr>
            <b/>
            <sz val="9"/>
            <color indexed="81"/>
            <rFont val="Tahoma"/>
            <family val="2"/>
          </rPr>
          <t>casselau:</t>
        </r>
        <r>
          <rPr>
            <sz val="9"/>
            <color indexed="81"/>
            <rFont val="Tahoma"/>
            <family val="2"/>
          </rPr>
          <t xml:space="preserve">
2/26/15: per Amie they cut their loss in half</t>
        </r>
      </text>
    </comment>
    <comment ref="AJ25" authorId="0">
      <text>
        <r>
          <rPr>
            <b/>
            <sz val="9"/>
            <color indexed="81"/>
            <rFont val="Tahoma"/>
            <family val="2"/>
          </rPr>
          <t>casselau:</t>
        </r>
        <r>
          <rPr>
            <sz val="9"/>
            <color indexed="81"/>
            <rFont val="Tahoma"/>
            <family val="2"/>
          </rPr>
          <t xml:space="preserve">
2/26/15: per Amie a bit better than LY</t>
        </r>
      </text>
    </comment>
    <comment ref="AL25" authorId="0">
      <text>
        <r>
          <rPr>
            <b/>
            <sz val="9"/>
            <color indexed="81"/>
            <rFont val="Tahoma"/>
            <family val="2"/>
          </rPr>
          <t>casselau:</t>
        </r>
        <r>
          <rPr>
            <sz val="9"/>
            <color indexed="81"/>
            <rFont val="Tahoma"/>
            <family val="2"/>
          </rPr>
          <t xml:space="preserve">
2/26/15: per Amie, internal MAST about flat</t>
        </r>
      </text>
    </comment>
    <comment ref="AN25" authorId="0">
      <text>
        <r>
          <rPr>
            <b/>
            <sz val="9"/>
            <color indexed="81"/>
            <rFont val="Tahoma"/>
            <family val="2"/>
          </rPr>
          <t>casselau:</t>
        </r>
        <r>
          <rPr>
            <sz val="9"/>
            <color indexed="81"/>
            <rFont val="Tahoma"/>
            <family val="2"/>
          </rPr>
          <t xml:space="preserve">
2/26/15: per Amie "a lot higher" driven by incentive comp</t>
        </r>
      </text>
    </comment>
    <comment ref="AO25" authorId="0">
      <text>
        <r>
          <rPr>
            <b/>
            <sz val="9"/>
            <color indexed="81"/>
            <rFont val="Tahoma"/>
            <family val="2"/>
          </rPr>
          <t>casselau:</t>
        </r>
        <r>
          <rPr>
            <sz val="9"/>
            <color indexed="81"/>
            <rFont val="Tahoma"/>
            <family val="2"/>
          </rPr>
          <t xml:space="preserve">
2/26/15: Bendel flat to LY, LS cut loss in half, internal MAST about flat, corporate overhead much higher driven by incentive comp</t>
        </r>
      </text>
    </comment>
    <comment ref="K26" authorId="1">
      <text>
        <r>
          <rPr>
            <b/>
            <sz val="9"/>
            <color indexed="81"/>
            <rFont val="Tahoma"/>
            <family val="2"/>
          </rPr>
          <t>Cassel, Lauren (Research):</t>
        </r>
        <r>
          <rPr>
            <sz val="9"/>
            <color indexed="81"/>
            <rFont val="Tahoma"/>
            <family val="2"/>
          </rPr>
          <t xml:space="preserve">
Intl sales at POS $765M (+47%)</t>
        </r>
      </text>
    </comment>
    <comment ref="P29" authorId="0">
      <text>
        <r>
          <rPr>
            <b/>
            <sz val="9"/>
            <color indexed="81"/>
            <rFont val="Tahoma"/>
            <family val="2"/>
          </rPr>
          <t>casselau:</t>
        </r>
        <r>
          <rPr>
            <sz val="9"/>
            <color indexed="81"/>
            <rFont val="Tahoma"/>
            <family val="2"/>
          </rPr>
          <t xml:space="preserve">
5/7/15: per Amie $45-50M</t>
        </r>
      </text>
    </comment>
    <comment ref="R29" authorId="0">
      <text>
        <r>
          <rPr>
            <b/>
            <sz val="9"/>
            <color indexed="81"/>
            <rFont val="Tahoma"/>
            <family val="2"/>
          </rPr>
          <t>casselau:</t>
        </r>
        <r>
          <rPr>
            <sz val="9"/>
            <color indexed="81"/>
            <rFont val="Tahoma"/>
            <family val="2"/>
          </rPr>
          <t xml:space="preserve">
5/7/15: per Amie $15-20M</t>
        </r>
      </text>
    </comment>
    <comment ref="AN29" authorId="0">
      <text>
        <r>
          <rPr>
            <b/>
            <sz val="9"/>
            <color indexed="81"/>
            <rFont val="Tahoma"/>
            <family val="2"/>
          </rPr>
          <t>casselau:</t>
        </r>
        <r>
          <rPr>
            <sz val="9"/>
            <color indexed="81"/>
            <rFont val="Tahoma"/>
            <family val="2"/>
          </rPr>
          <t xml:space="preserve">
5/20/15: per Amie: saw an improvement in profitability everywhere except corporate which was up a few million year over year</t>
        </r>
      </text>
    </comment>
    <comment ref="AO29" authorId="0">
      <text>
        <r>
          <rPr>
            <b/>
            <sz val="9"/>
            <color indexed="81"/>
            <rFont val="Tahoma"/>
            <family val="2"/>
          </rPr>
          <t>casselau:</t>
        </r>
        <r>
          <rPr>
            <sz val="9"/>
            <color indexed="81"/>
            <rFont val="Tahoma"/>
            <family val="2"/>
          </rPr>
          <t xml:space="preserve">
5/20/15: per Amie: saw an improvement in profitability everywhere except corporate which was up a few million year over year</t>
        </r>
      </text>
    </comment>
    <comment ref="P30" authorId="0">
      <text>
        <r>
          <rPr>
            <b/>
            <sz val="9"/>
            <color indexed="81"/>
            <rFont val="Tahoma"/>
            <family val="2"/>
          </rPr>
          <t>casselau:</t>
        </r>
        <r>
          <rPr>
            <sz val="9"/>
            <color indexed="81"/>
            <rFont val="Tahoma"/>
            <family val="2"/>
          </rPr>
          <t xml:space="preserve">
Per Amie $57-58M</t>
        </r>
      </text>
    </comment>
    <comment ref="R30" authorId="0">
      <text>
        <r>
          <rPr>
            <b/>
            <sz val="9"/>
            <color indexed="81"/>
            <rFont val="Tahoma"/>
            <family val="2"/>
          </rPr>
          <t>casselau:</t>
        </r>
        <r>
          <rPr>
            <sz val="9"/>
            <color indexed="81"/>
            <rFont val="Tahoma"/>
            <family val="2"/>
          </rPr>
          <t xml:space="preserve">
Per Amie $21Mish</t>
        </r>
      </text>
    </comment>
    <comment ref="AJ30" authorId="0">
      <text>
        <r>
          <rPr>
            <b/>
            <sz val="9"/>
            <color indexed="81"/>
            <rFont val="Tahoma"/>
            <family val="2"/>
          </rPr>
          <t xml:space="preserve">casselau:
</t>
        </r>
        <r>
          <rPr>
            <sz val="9"/>
            <color indexed="81"/>
            <rFont val="Tahoma"/>
            <family val="2"/>
          </rPr>
          <t>per Amie: both LS and Bendel generally improved</t>
        </r>
      </text>
    </comment>
    <comment ref="AL30" authorId="0">
      <text>
        <r>
          <rPr>
            <b/>
            <sz val="9"/>
            <color indexed="81"/>
            <rFont val="Tahoma"/>
            <family val="2"/>
          </rPr>
          <t>casselau:</t>
        </r>
        <r>
          <rPr>
            <sz val="9"/>
            <color indexed="81"/>
            <rFont val="Tahoma"/>
            <family val="2"/>
          </rPr>
          <t xml:space="preserve">
8/19/15: external MAST sales were down between $5-10M y/y driven by decreases in our LS international business </t>
        </r>
      </text>
    </comment>
    <comment ref="AN30" authorId="0">
      <text>
        <r>
          <rPr>
            <b/>
            <sz val="9"/>
            <color indexed="81"/>
            <rFont val="Tahoma"/>
            <family val="2"/>
          </rPr>
          <t>casselau:</t>
        </r>
        <r>
          <rPr>
            <sz val="9"/>
            <color indexed="81"/>
            <rFont val="Tahoma"/>
            <family val="2"/>
          </rPr>
          <t xml:space="preserve">
8/19/15: benefit from LS and Bendel offset by an increase at corporate driven by various one time types of things</t>
        </r>
      </text>
    </comment>
    <comment ref="AO30" authorId="0">
      <text>
        <r>
          <rPr>
            <b/>
            <sz val="9"/>
            <color indexed="81"/>
            <rFont val="Tahoma"/>
            <family val="2"/>
          </rPr>
          <t>casselau:</t>
        </r>
        <r>
          <rPr>
            <sz val="9"/>
            <color indexed="81"/>
            <rFont val="Tahoma"/>
            <family val="2"/>
          </rPr>
          <t xml:space="preserve">
5/20/15: per Amie: saw an improvement in profitability everywhere except corporate which was up a few million year over year</t>
        </r>
      </text>
    </comment>
    <comment ref="P31" authorId="0">
      <text>
        <r>
          <rPr>
            <b/>
            <sz val="9"/>
            <color indexed="81"/>
            <rFont val="Tahoma"/>
            <family val="2"/>
          </rPr>
          <t>casselau:</t>
        </r>
        <r>
          <rPr>
            <sz val="9"/>
            <color indexed="81"/>
            <rFont val="Tahoma"/>
            <family val="2"/>
          </rPr>
          <t xml:space="preserve">
per Amie $45-50M</t>
        </r>
      </text>
    </comment>
    <comment ref="R31" authorId="0">
      <text>
        <r>
          <rPr>
            <b/>
            <sz val="9"/>
            <color indexed="81"/>
            <rFont val="Tahoma"/>
            <family val="2"/>
          </rPr>
          <t>casselau:</t>
        </r>
        <r>
          <rPr>
            <sz val="9"/>
            <color indexed="81"/>
            <rFont val="Tahoma"/>
            <family val="2"/>
          </rPr>
          <t xml:space="preserve">
per Amie ~$20M</t>
        </r>
      </text>
    </comment>
    <comment ref="AH31" authorId="0">
      <text>
        <r>
          <rPr>
            <b/>
            <sz val="9"/>
            <color indexed="81"/>
            <rFont val="Tahoma"/>
            <family val="2"/>
          </rPr>
          <t>casselau:</t>
        </r>
        <r>
          <rPr>
            <sz val="9"/>
            <color indexed="81"/>
            <rFont val="Tahoma"/>
            <family val="2"/>
          </rPr>
          <t xml:space="preserve">
11/19/15: per Amie: loss up a few million y/y driven by FX (although the business had positive comps and improvement in their margin rates)</t>
        </r>
      </text>
    </comment>
    <comment ref="AJ31" authorId="0">
      <text>
        <r>
          <rPr>
            <b/>
            <sz val="9"/>
            <color indexed="81"/>
            <rFont val="Tahoma"/>
            <family val="2"/>
          </rPr>
          <t>casselau:</t>
        </r>
        <r>
          <rPr>
            <sz val="9"/>
            <color indexed="81"/>
            <rFont val="Tahoma"/>
            <family val="2"/>
          </rPr>
          <t xml:space="preserve">
11/19/15: per Amie: about flat y/y</t>
        </r>
      </text>
    </comment>
    <comment ref="AL31" authorId="0">
      <text>
        <r>
          <rPr>
            <b/>
            <sz val="9"/>
            <color indexed="81"/>
            <rFont val="Tahoma"/>
            <family val="2"/>
          </rPr>
          <t>casselau:</t>
        </r>
        <r>
          <rPr>
            <sz val="9"/>
            <color indexed="81"/>
            <rFont val="Tahoma"/>
            <family val="2"/>
          </rPr>
          <t xml:space="preserve">
per Amie: MAST was a bit improved by a few million or so</t>
        </r>
      </text>
    </comment>
    <comment ref="AN31" authorId="0">
      <text>
        <r>
          <rPr>
            <b/>
            <sz val="9"/>
            <color indexed="81"/>
            <rFont val="Tahoma"/>
            <family val="2"/>
          </rPr>
          <t>casselau:</t>
        </r>
        <r>
          <rPr>
            <sz val="9"/>
            <color indexed="81"/>
            <rFont val="Tahoma"/>
            <family val="2"/>
          </rPr>
          <t xml:space="preserve">
per Amie: corporate was up y/y by several million
</t>
        </r>
      </text>
    </comment>
    <comment ref="P32" authorId="0">
      <text>
        <r>
          <rPr>
            <b/>
            <sz val="9"/>
            <color indexed="81"/>
            <rFont val="Tahoma"/>
            <family val="2"/>
          </rPr>
          <t>casselau:</t>
        </r>
        <r>
          <rPr>
            <sz val="9"/>
            <color indexed="81"/>
            <rFont val="Tahoma"/>
            <family val="2"/>
          </rPr>
          <t xml:space="preserve">
per Amie $62M </t>
        </r>
      </text>
    </comment>
    <comment ref="R32" authorId="0">
      <text>
        <r>
          <rPr>
            <b/>
            <sz val="9"/>
            <color indexed="81"/>
            <rFont val="Tahoma"/>
            <family val="2"/>
          </rPr>
          <t>casselau:</t>
        </r>
        <r>
          <rPr>
            <sz val="9"/>
            <color indexed="81"/>
            <rFont val="Tahoma"/>
            <family val="2"/>
          </rPr>
          <t xml:space="preserve">
Per Amie $35M</t>
        </r>
      </text>
    </comment>
    <comment ref="AH32" authorId="0">
      <text>
        <r>
          <rPr>
            <b/>
            <sz val="9"/>
            <color indexed="81"/>
            <rFont val="Tahoma"/>
            <family val="2"/>
          </rPr>
          <t>casselau:</t>
        </r>
        <r>
          <rPr>
            <sz val="9"/>
            <color indexed="81"/>
            <rFont val="Tahoma"/>
            <family val="2"/>
          </rPr>
          <t xml:space="preserve">
2/25/16: Per Amie, La Senza loss a bit better y/y, close to breakeven, but still a little bit of a loss</t>
        </r>
      </text>
    </comment>
    <comment ref="AJ32" authorId="0">
      <text>
        <r>
          <rPr>
            <b/>
            <sz val="9"/>
            <color indexed="81"/>
            <rFont val="Tahoma"/>
            <family val="2"/>
          </rPr>
          <t>casselau:
2/25/16: per Amie, HB slight improvement</t>
        </r>
      </text>
    </comment>
    <comment ref="AL32" authorId="0">
      <text>
        <r>
          <rPr>
            <b/>
            <sz val="9"/>
            <color indexed="81"/>
            <rFont val="Tahoma"/>
            <family val="2"/>
          </rPr>
          <t>casselau:</t>
        </r>
        <r>
          <rPr>
            <sz val="9"/>
            <color indexed="81"/>
            <rFont val="Tahoma"/>
            <family val="2"/>
          </rPr>
          <t xml:space="preserve">
2/25/16: per Amie, MAST relatively flat y/y</t>
        </r>
      </text>
    </comment>
    <comment ref="AN32" authorId="0">
      <text>
        <r>
          <rPr>
            <b/>
            <sz val="9"/>
            <color indexed="81"/>
            <rFont val="Tahoma"/>
            <family val="2"/>
          </rPr>
          <t>casselau:</t>
        </r>
        <r>
          <rPr>
            <sz val="9"/>
            <color indexed="81"/>
            <rFont val="Tahoma"/>
            <family val="2"/>
          </rPr>
          <t xml:space="preserve">
2/25/16: per Amie, corporate in total was a couple million higher y/y</t>
        </r>
      </text>
    </comment>
    <comment ref="K33" authorId="0">
      <text>
        <r>
          <rPr>
            <b/>
            <sz val="9"/>
            <color indexed="81"/>
            <rFont val="Tahoma"/>
            <family val="2"/>
          </rPr>
          <t>casselau:
$1.006M at POS (+32% y/y)</t>
        </r>
        <r>
          <rPr>
            <sz val="9"/>
            <color indexed="81"/>
            <rFont val="Tahoma"/>
            <family val="2"/>
          </rPr>
          <t xml:space="preserve">
11/3/15: "about $400M in recognized revenue and 4010 in operating income"</t>
        </r>
      </text>
    </comment>
    <comment ref="AD33" authorId="0">
      <text>
        <r>
          <rPr>
            <b/>
            <sz val="9"/>
            <color indexed="81"/>
            <rFont val="Tahoma"/>
            <family val="2"/>
          </rPr>
          <t>casselau:</t>
        </r>
        <r>
          <rPr>
            <sz val="9"/>
            <color indexed="81"/>
            <rFont val="Tahoma"/>
            <family val="2"/>
          </rPr>
          <t xml:space="preserve">
11/3/15: "about $400M in recognized revenue and 4010 in operating income"</t>
        </r>
      </text>
    </comment>
    <comment ref="R36" authorId="0">
      <text>
        <r>
          <rPr>
            <b/>
            <sz val="9"/>
            <color indexed="81"/>
            <rFont val="Tahoma"/>
            <family val="2"/>
          </rPr>
          <t>casselau:</t>
        </r>
        <r>
          <rPr>
            <sz val="9"/>
            <color indexed="81"/>
            <rFont val="Tahoma"/>
            <family val="2"/>
          </rPr>
          <t xml:space="preserve">
5/7/15: per Amie $15-20M</t>
        </r>
      </text>
    </comment>
    <comment ref="AH36" authorId="1">
      <text>
        <r>
          <rPr>
            <b/>
            <sz val="9"/>
            <color indexed="81"/>
            <rFont val="Tahoma"/>
            <family val="2"/>
          </rPr>
          <t>Cassel, Lauren (Research):</t>
        </r>
        <r>
          <rPr>
            <sz val="9"/>
            <color indexed="81"/>
            <rFont val="Tahoma"/>
            <family val="2"/>
          </rPr>
          <t xml:space="preserve">
5/18/16: per Amie relatively flat ex FX</t>
        </r>
      </text>
    </comment>
    <comment ref="AJ36" authorId="1">
      <text>
        <r>
          <rPr>
            <b/>
            <sz val="9"/>
            <color indexed="81"/>
            <rFont val="Tahoma"/>
            <family val="2"/>
          </rPr>
          <t>Cassel, Lauren (Research):</t>
        </r>
        <r>
          <rPr>
            <sz val="9"/>
            <color indexed="81"/>
            <rFont val="Tahoma"/>
            <family val="2"/>
          </rPr>
          <t xml:space="preserve">
5/18/16: per Amie Henri Bendel, corporate overhead, and MAST relatively flat </t>
        </r>
      </text>
    </comment>
    <comment ref="AL36" authorId="1">
      <text>
        <r>
          <rPr>
            <b/>
            <sz val="9"/>
            <color indexed="81"/>
            <rFont val="Tahoma"/>
            <family val="2"/>
          </rPr>
          <t>Cassel, Lauren (Research):</t>
        </r>
        <r>
          <rPr>
            <sz val="9"/>
            <color indexed="81"/>
            <rFont val="Tahoma"/>
            <family val="2"/>
          </rPr>
          <t xml:space="preserve">
5/18/16: per Amie Henri Bendel, corporate overhead, and MAST relatively flat </t>
        </r>
      </text>
    </comment>
    <comment ref="AN36" authorId="1">
      <text>
        <r>
          <rPr>
            <b/>
            <sz val="9"/>
            <color indexed="81"/>
            <rFont val="Tahoma"/>
            <family val="2"/>
          </rPr>
          <t>Cassel, Lauren (Research):</t>
        </r>
        <r>
          <rPr>
            <sz val="9"/>
            <color indexed="81"/>
            <rFont val="Tahoma"/>
            <family val="2"/>
          </rPr>
          <t xml:space="preserve">
5/18/16: per Amie Henri Bendel, corporate overhead, and MAST relatively flat </t>
        </r>
      </text>
    </comment>
    <comment ref="R37" authorId="0">
      <text>
        <r>
          <rPr>
            <b/>
            <sz val="9"/>
            <color indexed="81"/>
            <rFont val="Tahoma"/>
            <family val="2"/>
          </rPr>
          <t>casselau:</t>
        </r>
        <r>
          <rPr>
            <sz val="9"/>
            <color indexed="81"/>
            <rFont val="Tahoma"/>
            <family val="2"/>
          </rPr>
          <t xml:space="preserve">
Per Amie $23Mish</t>
        </r>
      </text>
    </comment>
    <comment ref="AH37" authorId="1">
      <text>
        <r>
          <rPr>
            <b/>
            <sz val="9"/>
            <color indexed="81"/>
            <rFont val="Tahoma"/>
            <family val="2"/>
          </rPr>
          <t>Cassel, Lauren (Research):</t>
        </r>
        <r>
          <rPr>
            <sz val="9"/>
            <color indexed="81"/>
            <rFont val="Tahoma"/>
            <family val="2"/>
          </rPr>
          <t xml:space="preserve">
8/17/16: per Amie: ~-$5M</t>
        </r>
      </text>
    </comment>
    <comment ref="AJ37" authorId="1">
      <text>
        <r>
          <rPr>
            <b/>
            <sz val="9"/>
            <color indexed="81"/>
            <rFont val="Tahoma"/>
            <family val="2"/>
          </rPr>
          <t>Cassel, Lauren (Research):</t>
        </r>
        <r>
          <rPr>
            <sz val="9"/>
            <color indexed="81"/>
            <rFont val="Tahoma"/>
            <family val="2"/>
          </rPr>
          <t xml:space="preserve">
8/17/16: per Amie: ~-7-8</t>
        </r>
      </text>
    </comment>
    <comment ref="AL37" authorId="1">
      <text>
        <r>
          <rPr>
            <b/>
            <sz val="9"/>
            <color indexed="81"/>
            <rFont val="Tahoma"/>
            <family val="2"/>
          </rPr>
          <t>Cassel, Lauren (Research):</t>
        </r>
        <r>
          <rPr>
            <sz val="9"/>
            <color indexed="81"/>
            <rFont val="Tahoma"/>
            <family val="2"/>
          </rPr>
          <t xml:space="preserve">
8/17/16: per Amie: MAST profitability in the low 40s</t>
        </r>
      </text>
    </comment>
    <comment ref="AN37" authorId="1">
      <text>
        <r>
          <rPr>
            <b/>
            <sz val="9"/>
            <color indexed="81"/>
            <rFont val="Tahoma"/>
            <family val="2"/>
          </rPr>
          <t>Cassel, Lauren (Research):</t>
        </r>
        <r>
          <rPr>
            <sz val="9"/>
            <color indexed="81"/>
            <rFont val="Tahoma"/>
            <family val="2"/>
          </rPr>
          <t xml:space="preserve">
8/17/16: Per Amie: Corporate overhead -DD dollar wise</t>
        </r>
      </text>
    </comment>
    <comment ref="R38" authorId="1">
      <text>
        <r>
          <rPr>
            <b/>
            <sz val="9"/>
            <color indexed="81"/>
            <rFont val="Tahoma"/>
            <family val="2"/>
          </rPr>
          <t>Cassel, Lauren (Research):</t>
        </r>
        <r>
          <rPr>
            <sz val="9"/>
            <color indexed="81"/>
            <rFont val="Tahoma"/>
            <family val="2"/>
          </rPr>
          <t xml:space="preserve">
Per Amie - flat to LY</t>
        </r>
      </text>
    </comment>
    <comment ref="AH38" authorId="1">
      <text>
        <r>
          <rPr>
            <b/>
            <sz val="9"/>
            <color indexed="81"/>
            <rFont val="Tahoma"/>
            <family val="2"/>
          </rPr>
          <t>Cassel, Lauren (Research):</t>
        </r>
        <r>
          <rPr>
            <sz val="9"/>
            <color indexed="81"/>
            <rFont val="Tahoma"/>
            <family val="2"/>
          </rPr>
          <t xml:space="preserve">
per Amie "loss down a little ($1M)"</t>
        </r>
      </text>
    </comment>
    <comment ref="AJ38" authorId="1">
      <text>
        <r>
          <rPr>
            <b/>
            <sz val="9"/>
            <color indexed="81"/>
            <rFont val="Tahoma"/>
            <family val="2"/>
          </rPr>
          <t>Cassel, Lauren (Research):</t>
        </r>
        <r>
          <rPr>
            <sz val="9"/>
            <color indexed="81"/>
            <rFont val="Tahoma"/>
            <family val="2"/>
          </rPr>
          <t xml:space="preserve">
Per Amie: Loss down a little ($1M)</t>
        </r>
      </text>
    </comment>
    <comment ref="AL38" authorId="1">
      <text>
        <r>
          <rPr>
            <b/>
            <sz val="9"/>
            <color indexed="81"/>
            <rFont val="Tahoma"/>
            <family val="2"/>
          </rPr>
          <t>Cassel, Lauren (Research):</t>
        </r>
        <r>
          <rPr>
            <sz val="9"/>
            <color indexed="81"/>
            <rFont val="Tahoma"/>
            <family val="2"/>
          </rPr>
          <t xml:space="preserve">
per Amie: MAST roughly flat</t>
        </r>
      </text>
    </comment>
    <comment ref="AN38" authorId="1">
      <text>
        <r>
          <rPr>
            <b/>
            <sz val="9"/>
            <color indexed="81"/>
            <rFont val="Tahoma"/>
            <family val="2"/>
          </rPr>
          <t>Cassel, Lauren (Research):</t>
        </r>
        <r>
          <rPr>
            <sz val="9"/>
            <color indexed="81"/>
            <rFont val="Tahoma"/>
            <family val="2"/>
          </rPr>
          <t xml:space="preserve">
Per Amie was up several million y/y due to technology project expense</t>
        </r>
      </text>
    </comment>
    <comment ref="R39" authorId="1">
      <text>
        <r>
          <rPr>
            <b/>
            <sz val="9"/>
            <color indexed="81"/>
            <rFont val="Tahoma"/>
            <family val="2"/>
          </rPr>
          <t>Cassel, Lauren (Research):</t>
        </r>
        <r>
          <rPr>
            <sz val="9"/>
            <color indexed="81"/>
            <rFont val="Tahoma"/>
            <family val="2"/>
          </rPr>
          <t xml:space="preserve">
2/2/17: per Amie ~$33M</t>
        </r>
      </text>
    </comment>
    <comment ref="AH39" authorId="1">
      <text>
        <r>
          <rPr>
            <b/>
            <sz val="9"/>
            <color indexed="81"/>
            <rFont val="Tahoma"/>
            <family val="2"/>
          </rPr>
          <t>Cassel, Lauren (Research):</t>
        </r>
        <r>
          <rPr>
            <sz val="9"/>
            <color indexed="81"/>
            <rFont val="Tahoma"/>
            <family val="2"/>
          </rPr>
          <t xml:space="preserve">
2/23/17: per Amie "Down a couple of million"</t>
        </r>
      </text>
    </comment>
    <comment ref="AJ39" authorId="1">
      <text>
        <r>
          <rPr>
            <b/>
            <sz val="9"/>
            <color indexed="81"/>
            <rFont val="Tahoma"/>
            <family val="2"/>
          </rPr>
          <t>Cassel, Lauren (Research):</t>
        </r>
        <r>
          <rPr>
            <sz val="9"/>
            <color indexed="81"/>
            <rFont val="Tahoma"/>
            <family val="2"/>
          </rPr>
          <t xml:space="preserve">
2/23/17: per Amie, flat y/y </t>
        </r>
      </text>
    </comment>
    <comment ref="AN39" authorId="1">
      <text>
        <r>
          <rPr>
            <b/>
            <sz val="9"/>
            <color indexed="81"/>
            <rFont val="Tahoma"/>
            <family val="2"/>
          </rPr>
          <t>Cassel, Lauren (Research):</t>
        </r>
        <r>
          <rPr>
            <sz val="9"/>
            <color indexed="81"/>
            <rFont val="Tahoma"/>
            <family val="2"/>
          </rPr>
          <t xml:space="preserve">
2/23/17: corporate overhead down significantly due to a reduction in incentive comp</t>
        </r>
      </text>
    </comment>
    <comment ref="K40" authorId="1">
      <text>
        <r>
          <rPr>
            <b/>
            <sz val="9"/>
            <color indexed="81"/>
            <rFont val="Tahoma"/>
            <family val="2"/>
          </rPr>
          <t>Cassel, Lauren (Research):</t>
        </r>
        <r>
          <rPr>
            <sz val="9"/>
            <color indexed="81"/>
            <rFont val="Tahoma"/>
            <family val="2"/>
          </rPr>
          <t xml:space="preserve">
2/22/17: 20% of retail sales and 50% of record revenue came from wholly-owned stores in the UK and Greater China; 55% of retail sales and 20% of recorded revenue comes from franchise business; balance is from travel retail </t>
        </r>
      </text>
    </comment>
    <comment ref="R43" authorId="0">
      <text>
        <r>
          <rPr>
            <b/>
            <sz val="9"/>
            <color indexed="81"/>
            <rFont val="Tahoma"/>
            <family val="2"/>
          </rPr>
          <t>casselau:</t>
        </r>
        <r>
          <rPr>
            <sz val="9"/>
            <color indexed="81"/>
            <rFont val="Tahoma"/>
            <family val="2"/>
          </rPr>
          <t xml:space="preserve">
5/7/15: per Amie $15-20M</t>
        </r>
      </text>
    </comment>
    <comment ref="AH43" authorId="1">
      <text>
        <r>
          <rPr>
            <b/>
            <sz val="9"/>
            <color indexed="81"/>
            <rFont val="Tahoma"/>
            <family val="2"/>
          </rPr>
          <t>Cassel, Lauren (Research):</t>
        </r>
        <r>
          <rPr>
            <sz val="9"/>
            <color indexed="81"/>
            <rFont val="Tahoma"/>
            <family val="2"/>
          </rPr>
          <t xml:space="preserve">
5/17/17: roughly flat y/y</t>
        </r>
      </text>
    </comment>
    <comment ref="AJ43" authorId="1">
      <text>
        <r>
          <rPr>
            <b/>
            <sz val="9"/>
            <color indexed="81"/>
            <rFont val="Tahoma"/>
            <family val="2"/>
          </rPr>
          <t>Cassel, Lauren (Research):</t>
        </r>
        <r>
          <rPr>
            <sz val="9"/>
            <color indexed="81"/>
            <rFont val="Tahoma"/>
            <family val="2"/>
          </rPr>
          <t xml:space="preserve">
5/17/17: roughly flat y/y</t>
        </r>
      </text>
    </comment>
    <comment ref="AL43" authorId="1">
      <text>
        <r>
          <rPr>
            <b/>
            <sz val="9"/>
            <color indexed="81"/>
            <rFont val="Tahoma"/>
            <family val="2"/>
          </rPr>
          <t>Cassel, Lauren (Research):</t>
        </r>
        <r>
          <rPr>
            <sz val="9"/>
            <color indexed="81"/>
            <rFont val="Tahoma"/>
            <family val="2"/>
          </rPr>
          <t xml:space="preserve">
5/17/17: Majority of "other" EBIT decline driven by MAST decline given non go forward category declines</t>
        </r>
      </text>
    </comment>
    <comment ref="AN43" authorId="1">
      <text>
        <r>
          <rPr>
            <b/>
            <sz val="9"/>
            <color indexed="81"/>
            <rFont val="Tahoma"/>
            <family val="2"/>
          </rPr>
          <t>Cassel, Lauren (Research):</t>
        </r>
        <r>
          <rPr>
            <sz val="9"/>
            <color indexed="81"/>
            <rFont val="Tahoma"/>
            <family val="2"/>
          </rPr>
          <t xml:space="preserve">
Per Amie, down slightly
</t>
        </r>
      </text>
    </comment>
    <comment ref="AJ44" authorId="1">
      <text>
        <r>
          <rPr>
            <b/>
            <sz val="9"/>
            <color indexed="81"/>
            <rFont val="Tahoma"/>
            <family val="2"/>
          </rPr>
          <t>Cassel, Lauren (Research):</t>
        </r>
        <r>
          <rPr>
            <sz val="9"/>
            <color indexed="81"/>
            <rFont val="Tahoma"/>
            <family val="2"/>
          </rPr>
          <t xml:space="preserve">
8/17/17: Henri Bendel EBIT  down a few million y/y </t>
        </r>
      </text>
    </comment>
    <comment ref="AN44" authorId="1">
      <text>
        <r>
          <rPr>
            <b/>
            <sz val="9"/>
            <color indexed="81"/>
            <rFont val="Tahoma"/>
            <family val="2"/>
          </rPr>
          <t>Cassel, Lauren (Research):</t>
        </r>
        <r>
          <rPr>
            <sz val="9"/>
            <color indexed="81"/>
            <rFont val="Tahoma"/>
            <family val="2"/>
          </rPr>
          <t xml:space="preserve">
8/17/17: corporate overhead also up a few million y/y </t>
        </r>
      </text>
    </comment>
    <comment ref="R45" authorId="1">
      <text>
        <r>
          <rPr>
            <b/>
            <sz val="9"/>
            <color indexed="81"/>
            <rFont val="Tahoma"/>
            <family val="2"/>
          </rPr>
          <t>Cassel, Lauren (Research):</t>
        </r>
        <r>
          <rPr>
            <sz val="9"/>
            <color indexed="81"/>
            <rFont val="Tahoma"/>
            <family val="2"/>
          </rPr>
          <t xml:space="preserve">
A little under $20M per Amie</t>
        </r>
      </text>
    </comment>
    <comment ref="AJ46" authorId="1">
      <text>
        <r>
          <rPr>
            <b/>
            <sz val="9"/>
            <color indexed="81"/>
            <rFont val="Tahoma"/>
            <family val="2"/>
          </rPr>
          <t>Cassel, Lauren (Research):</t>
        </r>
        <r>
          <rPr>
            <sz val="9"/>
            <color indexed="81"/>
            <rFont val="Tahoma"/>
            <family val="2"/>
          </rPr>
          <t xml:space="preserve">
Per amie HB EBIT down a little</t>
        </r>
      </text>
    </comment>
    <comment ref="AN46" authorId="1">
      <text>
        <r>
          <rPr>
            <b/>
            <sz val="9"/>
            <color indexed="81"/>
            <rFont val="Tahoma"/>
            <family val="2"/>
          </rPr>
          <t>Cassel, Lauren (Research):</t>
        </r>
        <r>
          <rPr>
            <sz val="9"/>
            <color indexed="81"/>
            <rFont val="Tahoma"/>
            <family val="2"/>
          </rPr>
          <t xml:space="preserve">
Per Amie corporate overhead up a bit</t>
        </r>
      </text>
    </comment>
    <comment ref="J51" authorId="0">
      <text>
        <r>
          <rPr>
            <b/>
            <sz val="9"/>
            <color indexed="81"/>
            <rFont val="Tahoma"/>
            <family val="2"/>
          </rPr>
          <t>casselau:</t>
        </r>
        <r>
          <rPr>
            <sz val="9"/>
            <color indexed="81"/>
            <rFont val="Tahoma"/>
            <family val="2"/>
          </rPr>
          <t xml:space="preserve">
rough avg, there are several super high volume VSBA's incl sau Paulo airport at $10M+ per year, hong kong at $7m per year, macau also huge.</t>
        </r>
      </text>
    </comment>
    <comment ref="C64" authorId="0">
      <text>
        <r>
          <rPr>
            <b/>
            <sz val="9"/>
            <color indexed="81"/>
            <rFont val="Tahoma"/>
            <family val="2"/>
          </rPr>
          <t>casselau:
8/20/14: 287-297</t>
        </r>
        <r>
          <rPr>
            <sz val="9"/>
            <color indexed="81"/>
            <rFont val="Tahoma"/>
            <family val="2"/>
          </rPr>
          <t xml:space="preserve">
290-300
</t>
        </r>
      </text>
    </comment>
    <comment ref="D64" authorId="0">
      <text>
        <r>
          <rPr>
            <b/>
            <sz val="9"/>
            <color indexed="81"/>
            <rFont val="Tahoma"/>
            <family val="2"/>
          </rPr>
          <t>casselau:
8/20/14: 13-15 (All Middle East - 14 VS, 1 PINK)</t>
        </r>
        <r>
          <rPr>
            <sz val="9"/>
            <color indexed="81"/>
            <rFont val="Tahoma"/>
            <family val="2"/>
          </rPr>
          <t xml:space="preserve">
12-14
</t>
        </r>
      </text>
    </comment>
    <comment ref="E64" authorId="0">
      <text>
        <r>
          <rPr>
            <b/>
            <sz val="9"/>
            <color indexed="81"/>
            <rFont val="Tahoma"/>
            <family val="2"/>
          </rPr>
          <t>casselau:</t>
        </r>
        <r>
          <rPr>
            <sz val="9"/>
            <color indexed="81"/>
            <rFont val="Tahoma"/>
            <family val="2"/>
          </rPr>
          <t xml:space="preserve">
74-84, launched in Asia and Latin America</t>
        </r>
      </text>
    </comment>
    <comment ref="F64" authorId="0">
      <text>
        <r>
          <rPr>
            <b/>
            <sz val="9"/>
            <color indexed="81"/>
            <rFont val="Tahoma"/>
            <family val="2"/>
          </rPr>
          <t>casselau:
8/20/14: 257-264</t>
        </r>
        <r>
          <rPr>
            <sz val="9"/>
            <color indexed="81"/>
            <rFont val="Tahoma"/>
            <family val="2"/>
          </rPr>
          <t xml:space="preserve">
307-314
</t>
        </r>
      </text>
    </comment>
    <comment ref="C66" authorId="0">
      <text>
        <r>
          <rPr>
            <b/>
            <sz val="9"/>
            <color indexed="81"/>
            <rFont val="Tahoma"/>
            <family val="2"/>
          </rPr>
          <t>casselau:
1/3 in airports</t>
        </r>
      </text>
    </comment>
    <comment ref="D66" authorId="0">
      <text>
        <r>
          <rPr>
            <b/>
            <sz val="9"/>
            <color indexed="81"/>
            <rFont val="Tahoma"/>
            <family val="2"/>
          </rPr>
          <t>casselau:</t>
        </r>
        <r>
          <rPr>
            <sz val="9"/>
            <color indexed="81"/>
            <rFont val="Tahoma"/>
            <family val="2"/>
          </rPr>
          <t xml:space="preserve">
14 VS, 1 PINK</t>
        </r>
      </text>
    </comment>
    <comment ref="D67" authorId="0">
      <text>
        <r>
          <rPr>
            <b/>
            <sz val="9"/>
            <color indexed="81"/>
            <rFont val="Tahoma"/>
            <family val="2"/>
          </rPr>
          <t>casselau:</t>
        </r>
        <r>
          <rPr>
            <sz val="9"/>
            <color indexed="81"/>
            <rFont val="Tahoma"/>
            <family val="2"/>
          </rPr>
          <t xml:space="preserve">
14 VS 3 PINK</t>
        </r>
      </text>
    </comment>
    <comment ref="D68" authorId="0">
      <text>
        <r>
          <rPr>
            <b/>
            <sz val="9"/>
            <color indexed="81"/>
            <rFont val="Tahoma"/>
            <family val="2"/>
          </rPr>
          <t>casselau:</t>
        </r>
        <r>
          <rPr>
            <sz val="9"/>
            <color indexed="81"/>
            <rFont val="Tahoma"/>
            <family val="2"/>
          </rPr>
          <t xml:space="preserve">
15 VS, 3 PINK</t>
        </r>
      </text>
    </comment>
    <comment ref="C69" authorId="0">
      <text>
        <r>
          <rPr>
            <b/>
            <sz val="9"/>
            <color indexed="81"/>
            <rFont val="Tahoma"/>
            <family val="2"/>
          </rPr>
          <t>casselau:
11/3/15: average $1300 sales per square foot; 27 Greater China by year end (20 Mainland)</t>
        </r>
        <r>
          <rPr>
            <sz val="9"/>
            <color indexed="81"/>
            <rFont val="Tahoma"/>
            <family val="2"/>
          </rPr>
          <t xml:space="preserve">
5/20/15: 390-410 (110-130 new stores, 10 closures)
2/25/15: 400-420 year end
11/4/14: planning 100-125 new stores - launching 9 new stores in China 2015</t>
        </r>
      </text>
    </comment>
    <comment ref="D69" authorId="0">
      <text>
        <r>
          <rPr>
            <b/>
            <sz val="9"/>
            <color indexed="81"/>
            <rFont val="Tahoma"/>
            <family val="2"/>
          </rPr>
          <t>casselau:
2/4/16: 16 VS, 3 PINK
8/19/15: 15-17 VS, +3 PINK (Middle East)
2/25/15: 21-24 total (19-21 VS, 3 PINK)</t>
        </r>
        <r>
          <rPr>
            <sz val="9"/>
            <color indexed="81"/>
            <rFont val="Tahoma"/>
            <family val="2"/>
          </rPr>
          <t xml:space="preserve">
includes Saudi Arabia and Mexico</t>
        </r>
      </text>
    </comment>
    <comment ref="E69" authorId="0">
      <text>
        <r>
          <rPr>
            <b/>
            <sz val="9"/>
            <color indexed="81"/>
            <rFont val="Tahoma"/>
            <family val="2"/>
          </rPr>
          <t>casselau:
2/25/15: 123-133</t>
        </r>
        <r>
          <rPr>
            <sz val="9"/>
            <color indexed="81"/>
            <rFont val="Tahoma"/>
            <family val="2"/>
          </rPr>
          <t xml:space="preserve">
11/4/14: planning ~50 new stores in 2015</t>
        </r>
      </text>
    </comment>
    <comment ref="F69" authorId="0">
      <text>
        <r>
          <rPr>
            <b/>
            <sz val="9"/>
            <color indexed="81"/>
            <rFont val="Tahoma"/>
            <family val="2"/>
          </rPr>
          <t>casselau:</t>
        </r>
        <r>
          <rPr>
            <sz val="9"/>
            <color indexed="81"/>
            <rFont val="Tahoma"/>
            <family val="2"/>
          </rPr>
          <t xml:space="preserve">
5/20/15: 249-257</t>
        </r>
      </text>
    </comment>
    <comment ref="C71" authorId="1">
      <text>
        <r>
          <rPr>
            <b/>
            <sz val="9"/>
            <color indexed="81"/>
            <rFont val="Tahoma"/>
            <family val="2"/>
          </rPr>
          <t>Cassel, Lauren (Research):</t>
        </r>
        <r>
          <rPr>
            <sz val="9"/>
            <color indexed="81"/>
            <rFont val="Tahoma"/>
            <family val="2"/>
          </rPr>
          <t xml:space="preserve">
transferred 26 VSBA stores to owned</t>
        </r>
      </text>
    </comment>
    <comment ref="D71" authorId="1">
      <text>
        <r>
          <rPr>
            <b/>
            <sz val="9"/>
            <color indexed="81"/>
            <rFont val="Tahoma"/>
            <family val="2"/>
          </rPr>
          <t>Cassel, Lauren (Research):</t>
        </r>
        <r>
          <rPr>
            <sz val="9"/>
            <color indexed="81"/>
            <rFont val="Tahoma"/>
            <family val="2"/>
          </rPr>
          <t xml:space="preserve">
17 VS, 3 PINK</t>
        </r>
      </text>
    </comment>
    <comment ref="D73" authorId="1">
      <text>
        <r>
          <rPr>
            <b/>
            <sz val="9"/>
            <color indexed="81"/>
            <rFont val="Tahoma"/>
            <family val="2"/>
          </rPr>
          <t>Cassel, Lauren (Research):</t>
        </r>
        <r>
          <rPr>
            <sz val="9"/>
            <color indexed="81"/>
            <rFont val="Tahoma"/>
            <family val="2"/>
          </rPr>
          <t xml:space="preserve">
21 VS, 5 PINK</t>
        </r>
      </text>
    </comment>
    <comment ref="C74" authorId="0">
      <text>
        <r>
          <rPr>
            <b/>
            <sz val="9"/>
            <color indexed="81"/>
            <rFont val="Tahoma"/>
            <family val="2"/>
          </rPr>
          <t xml:space="preserve">casselau:
2/23/17: travel retail = 152 stores
</t>
        </r>
        <r>
          <rPr>
            <sz val="9"/>
            <color indexed="81"/>
            <rFont val="Tahoma"/>
            <family val="2"/>
          </rPr>
          <t>11/16/16: guidance 395
5/18/16: planning 53-68 new openings, 10 closures for 390-405</t>
        </r>
        <r>
          <rPr>
            <b/>
            <sz val="9"/>
            <color indexed="81"/>
            <rFont val="Tahoma"/>
            <family val="2"/>
          </rPr>
          <t xml:space="preserve">
</t>
        </r>
        <r>
          <rPr>
            <sz val="9"/>
            <color indexed="81"/>
            <rFont val="Tahoma"/>
            <family val="2"/>
          </rPr>
          <t>2/24/16: planning 80-95 new stores and 10 closures
11/3/15: planning 80-100 new stores</t>
        </r>
      </text>
    </comment>
    <comment ref="D74" authorId="0">
      <text>
        <r>
          <rPr>
            <b/>
            <sz val="9"/>
            <color indexed="81"/>
            <rFont val="Tahoma"/>
            <family val="2"/>
          </rPr>
          <t>casselau:
11/16/16: guidance 23 VS, 5 PINK
5/18/16: planning 8-12 new VS stores and 2-4 PINK stores for 29-35 year end
2/24/16: planning 10-14 new VS stores and 4-6 PINK</t>
        </r>
        <r>
          <rPr>
            <sz val="9"/>
            <color indexed="81"/>
            <rFont val="Tahoma"/>
            <family val="2"/>
          </rPr>
          <t xml:space="preserve">
11/3/15: planning 10-15 new stores; 32 by year end - including new markets: 2 in Russia, 1 in Mexico, 1 in Singapore, and 2 China (Shanghai: 20k sqft)
</t>
        </r>
      </text>
    </comment>
    <comment ref="E74" authorId="0">
      <text>
        <r>
          <rPr>
            <b/>
            <sz val="9"/>
            <color indexed="81"/>
            <rFont val="Tahoma"/>
            <family val="2"/>
          </rPr>
          <t>casselau:
2/23/19: includes 8 travel retail 
11/16/16: guidance 163
5/18/16: planning 41-51 new openings and 1 closure for 165-175 total</t>
        </r>
        <r>
          <rPr>
            <sz val="9"/>
            <color indexed="81"/>
            <rFont val="Tahoma"/>
            <family val="2"/>
          </rPr>
          <t xml:space="preserve">
11/3/15: planning 52-72 new stores</t>
        </r>
      </text>
    </comment>
    <comment ref="F74" authorId="0">
      <text>
        <r>
          <rPr>
            <b/>
            <sz val="9"/>
            <color indexed="81"/>
            <rFont val="Tahoma"/>
            <family val="2"/>
          </rPr>
          <t>casselau:
11/16/16: guidance 201
8/17/16: planning 4-6 openings and 20-24 closures for 201-207</t>
        </r>
        <r>
          <rPr>
            <sz val="9"/>
            <color indexed="81"/>
            <rFont val="Tahoma"/>
            <family val="2"/>
          </rPr>
          <t xml:space="preserve">
2/24/16: planning to open 3-6 new stores and close 8-12</t>
        </r>
      </text>
    </comment>
    <comment ref="G74" authorId="1">
      <text>
        <r>
          <rPr>
            <b/>
            <sz val="9"/>
            <color indexed="81"/>
            <rFont val="Tahoma"/>
            <family val="2"/>
          </rPr>
          <t>Cassel, Lauren (Research):</t>
        </r>
        <r>
          <rPr>
            <sz val="9"/>
            <color indexed="81"/>
            <rFont val="Tahoma"/>
            <family val="2"/>
          </rPr>
          <t xml:space="preserve">
guidance 796-834
Middle East &amp; Turkey 190 stores; SE Asia 105 stores; Latin America/Mexico 90 stores; Europe 38 Stores; 170 Travel Retail; 170 Wholesale stores</t>
        </r>
      </text>
    </comment>
    <comment ref="C76" authorId="1">
      <text>
        <r>
          <rPr>
            <b/>
            <sz val="9"/>
            <color indexed="81"/>
            <rFont val="Tahoma"/>
            <family val="2"/>
          </rPr>
          <t>Cassel, Lauren (Research):</t>
        </r>
        <r>
          <rPr>
            <sz val="9"/>
            <color indexed="81"/>
            <rFont val="Tahoma"/>
            <family val="2"/>
          </rPr>
          <t xml:space="preserve">
156 travel retail</t>
        </r>
      </text>
    </comment>
    <comment ref="D76" authorId="1">
      <text>
        <r>
          <rPr>
            <b/>
            <sz val="9"/>
            <color indexed="81"/>
            <rFont val="Tahoma"/>
            <family val="2"/>
          </rPr>
          <t>Cassel, Lauren (Research):</t>
        </r>
        <r>
          <rPr>
            <sz val="9"/>
            <color indexed="81"/>
            <rFont val="Tahoma"/>
            <family val="2"/>
          </rPr>
          <t xml:space="preserve">
25 VS, 5 PINK</t>
        </r>
      </text>
    </comment>
    <comment ref="E76" authorId="1">
      <text>
        <r>
          <rPr>
            <b/>
            <sz val="9"/>
            <color indexed="81"/>
            <rFont val="Tahoma"/>
            <family val="2"/>
          </rPr>
          <t>Cassel, Lauren (Research):</t>
        </r>
        <r>
          <rPr>
            <sz val="9"/>
            <color indexed="81"/>
            <rFont val="Tahoma"/>
            <family val="2"/>
          </rPr>
          <t xml:space="preserve">
9 Travel retail</t>
        </r>
      </text>
    </comment>
    <comment ref="C77" authorId="1">
      <text>
        <r>
          <rPr>
            <b/>
            <sz val="9"/>
            <color indexed="81"/>
            <rFont val="Tahoma"/>
            <family val="2"/>
          </rPr>
          <t>Cassel, Lauren (Research):</t>
        </r>
        <r>
          <rPr>
            <sz val="9"/>
            <color indexed="81"/>
            <rFont val="Tahoma"/>
            <family val="2"/>
          </rPr>
          <t xml:space="preserve">
155 Travel Retail</t>
        </r>
      </text>
    </comment>
    <comment ref="D77" authorId="1">
      <text>
        <r>
          <rPr>
            <b/>
            <sz val="9"/>
            <color indexed="81"/>
            <rFont val="Tahoma"/>
            <family val="2"/>
          </rPr>
          <t>Cassel, Lauren (Research):</t>
        </r>
        <r>
          <rPr>
            <sz val="9"/>
            <color indexed="81"/>
            <rFont val="Tahoma"/>
            <family val="2"/>
          </rPr>
          <t xml:space="preserve">
27 VS, 5 PINK</t>
        </r>
      </text>
    </comment>
    <comment ref="E77" authorId="1">
      <text>
        <r>
          <rPr>
            <b/>
            <sz val="9"/>
            <color indexed="81"/>
            <rFont val="Tahoma"/>
            <family val="2"/>
          </rPr>
          <t>Cassel, Lauren (Research):</t>
        </r>
        <r>
          <rPr>
            <sz val="9"/>
            <color indexed="81"/>
            <rFont val="Tahoma"/>
            <family val="2"/>
          </rPr>
          <t xml:space="preserve">
10 Travel Retail</t>
        </r>
      </text>
    </comment>
    <comment ref="C78" authorId="1">
      <text>
        <r>
          <rPr>
            <b/>
            <sz val="9"/>
            <color indexed="81"/>
            <rFont val="Tahoma"/>
            <family val="2"/>
          </rPr>
          <t>Cassel, Lauren (Research):</t>
        </r>
        <r>
          <rPr>
            <sz val="9"/>
            <color indexed="81"/>
            <rFont val="Tahoma"/>
            <family val="2"/>
          </rPr>
          <t xml:space="preserve">
154 Travel retail, 244 VSBA</t>
        </r>
      </text>
    </comment>
    <comment ref="D78" authorId="1">
      <text>
        <r>
          <rPr>
            <b/>
            <sz val="9"/>
            <color indexed="81"/>
            <rFont val="Tahoma"/>
            <family val="2"/>
          </rPr>
          <t>Cassel, Lauren (Research):</t>
        </r>
        <r>
          <rPr>
            <sz val="9"/>
            <color indexed="81"/>
            <rFont val="Tahoma"/>
            <family val="2"/>
          </rPr>
          <t xml:space="preserve">
30 VS, 5 PINK</t>
        </r>
      </text>
    </comment>
    <comment ref="E78" authorId="1">
      <text>
        <r>
          <rPr>
            <b/>
            <sz val="9"/>
            <color indexed="81"/>
            <rFont val="Tahoma"/>
            <family val="2"/>
          </rPr>
          <t>Cassel, Lauren (Research):</t>
        </r>
        <r>
          <rPr>
            <sz val="9"/>
            <color indexed="81"/>
            <rFont val="Tahoma"/>
            <family val="2"/>
          </rPr>
          <t xml:space="preserve">
166 BBW, 10 Travel Retail</t>
        </r>
      </text>
    </comment>
    <comment ref="C79" authorId="1">
      <text>
        <r>
          <rPr>
            <b/>
            <sz val="9"/>
            <color indexed="81"/>
            <rFont val="Tahoma"/>
            <family val="2"/>
          </rPr>
          <t>Cassel, Lauren (Research):
2/8/18: 156 VSBA Travel Retail; 241 Stand alone
8/17/17: guidance 245-250 VSBA, 160-165 travel retail
5/17/17: guidance 245-250 VSBA, 178-188 travel retail
2/23/17: guidance 246-251 VSBA and 177-187 travel retail</t>
        </r>
        <r>
          <rPr>
            <sz val="9"/>
            <color indexed="81"/>
            <rFont val="Tahoma"/>
            <family val="2"/>
          </rPr>
          <t xml:space="preserve">
11/1/16: ~460</t>
        </r>
      </text>
    </comment>
    <comment ref="D79" authorId="1">
      <text>
        <r>
          <rPr>
            <b/>
            <sz val="9"/>
            <color indexed="81"/>
            <rFont val="Tahoma"/>
            <family val="2"/>
          </rPr>
          <t>Cassel, Lauren (Research):
8/16/17: guidance 30-35 VS and 5 PINK
2/23/17: 33-38 VSFA, 5-6 PINK</t>
        </r>
        <r>
          <rPr>
            <sz val="9"/>
            <color indexed="81"/>
            <rFont val="Tahoma"/>
            <family val="2"/>
          </rPr>
          <t xml:space="preserve">
11/1/16: ~37 VS and 7 PINK</t>
        </r>
      </text>
    </comment>
    <comment ref="E79" authorId="1">
      <text>
        <r>
          <rPr>
            <b/>
            <sz val="9"/>
            <color indexed="81"/>
            <rFont val="Tahoma"/>
            <family val="2"/>
          </rPr>
          <t>Cassel, Lauren (Research):
2/8/18: 177 + 9 travel retail
8/17/17: guidance 180-185 plus 10-15 travel retail
2/23/19: guidance 190-195 plus 11-16 travel retail</t>
        </r>
        <r>
          <rPr>
            <sz val="9"/>
            <color indexed="81"/>
            <rFont val="Tahoma"/>
            <family val="2"/>
          </rPr>
          <t xml:space="preserve">
11/1/16: ~219</t>
        </r>
      </text>
    </comment>
    <comment ref="F79" authorId="1">
      <text>
        <r>
          <rPr>
            <b/>
            <sz val="9"/>
            <color indexed="81"/>
            <rFont val="Tahoma"/>
            <family val="2"/>
          </rPr>
          <t>Cassel, Lauren (Research):</t>
        </r>
        <r>
          <rPr>
            <sz val="9"/>
            <color indexed="81"/>
            <rFont val="Tahoma"/>
            <family val="2"/>
          </rPr>
          <t xml:space="preserve">
2/23/17: guidance 193-198</t>
        </r>
      </text>
    </comment>
    <comment ref="G79" authorId="1">
      <text>
        <r>
          <rPr>
            <b/>
            <sz val="9"/>
            <color indexed="81"/>
            <rFont val="Tahoma"/>
            <family val="2"/>
          </rPr>
          <t>Cassel, Lauren (Research):</t>
        </r>
        <r>
          <rPr>
            <sz val="9"/>
            <color indexed="81"/>
            <rFont val="Tahoma"/>
            <family val="2"/>
          </rPr>
          <t xml:space="preserve">
11/1/16: Guidance: Middle East &amp; Turkey 215 stores; SE Asia 126 stores; Latin America/Mexico 111 stores; Europe 61 
Stores; 210 Travel Retail; 210 Wholesale stores</t>
        </r>
      </text>
    </comment>
    <comment ref="C84" authorId="1">
      <text>
        <r>
          <rPr>
            <b/>
            <sz val="9"/>
            <color indexed="81"/>
            <rFont val="Tahoma"/>
            <family val="2"/>
          </rPr>
          <t>Cassel, Lauren (Research):</t>
        </r>
        <r>
          <rPr>
            <sz val="9"/>
            <color indexed="81"/>
            <rFont val="Tahoma"/>
            <family val="2"/>
          </rPr>
          <t xml:space="preserve">
2/28/18: guidance 225-236 VSBA local market, and 175-180 VSBA travel retail</t>
        </r>
      </text>
    </comment>
    <comment ref="D84" authorId="1">
      <text>
        <r>
          <rPr>
            <b/>
            <sz val="9"/>
            <color indexed="81"/>
            <rFont val="Tahoma"/>
            <family val="2"/>
          </rPr>
          <t>Cassel, Lauren (Research):</t>
        </r>
        <r>
          <rPr>
            <sz val="9"/>
            <color indexed="81"/>
            <rFont val="Tahoma"/>
            <family val="2"/>
          </rPr>
          <t xml:space="preserve">
2/28/18: guidance 50-52 VS and 10-11 PINK</t>
        </r>
      </text>
    </comment>
    <comment ref="E84" authorId="1">
      <text>
        <r>
          <rPr>
            <b/>
            <sz val="9"/>
            <color indexed="81"/>
            <rFont val="Tahoma"/>
            <family val="2"/>
          </rPr>
          <t>Cassel, Lauren (Research):</t>
        </r>
        <r>
          <rPr>
            <sz val="9"/>
            <color indexed="81"/>
            <rFont val="Tahoma"/>
            <family val="2"/>
          </rPr>
          <t xml:space="preserve">
2/28/18: 214-225 local market, 12-15 travel retail</t>
        </r>
      </text>
    </comment>
    <comment ref="F84" authorId="1">
      <text>
        <r>
          <rPr>
            <b/>
            <sz val="9"/>
            <color indexed="81"/>
            <rFont val="Tahoma"/>
            <family val="2"/>
          </rPr>
          <t>Cassel, Lauren (Research):</t>
        </r>
        <r>
          <rPr>
            <sz val="9"/>
            <color indexed="81"/>
            <rFont val="Tahoma"/>
            <family val="2"/>
          </rPr>
          <t xml:space="preserve">
2/28/18: guidance 187</t>
        </r>
      </text>
    </comment>
    <comment ref="G84" authorId="1">
      <text>
        <r>
          <rPr>
            <b/>
            <sz val="9"/>
            <color indexed="81"/>
            <rFont val="Tahoma"/>
            <family val="2"/>
          </rPr>
          <t>Cassel, Lauren (Research):</t>
        </r>
        <r>
          <rPr>
            <sz val="9"/>
            <color indexed="81"/>
            <rFont val="Tahoma"/>
            <family val="2"/>
          </rPr>
          <t xml:space="preserve">
11/1/16: Guidance: Middle East &amp; Turkey 215 stores; SE Asia 126 stores; Latin America/Mexico 111 stores; Europe 61 
Stores; 210 Travel Retail; 210 Wholesale stores</t>
        </r>
      </text>
    </comment>
    <comment ref="D91" authorId="0">
      <text>
        <r>
          <rPr>
            <b/>
            <sz val="9"/>
            <color indexed="81"/>
            <rFont val="Tahoma"/>
            <family val="2"/>
          </rPr>
          <t>casselau:</t>
        </r>
        <r>
          <rPr>
            <sz val="9"/>
            <color indexed="81"/>
            <rFont val="Tahoma"/>
            <family val="2"/>
          </rPr>
          <t xml:space="preserve">
Bond street opened in August</t>
        </r>
      </text>
    </comment>
    <comment ref="D102" authorId="0">
      <text>
        <r>
          <rPr>
            <b/>
            <sz val="9"/>
            <color indexed="81"/>
            <rFont val="Tahoma"/>
            <family val="2"/>
          </rPr>
          <t>casselau:
8/10/14: 10 VS UK (8 VS, 2 PINK)</t>
        </r>
        <r>
          <rPr>
            <sz val="9"/>
            <color indexed="81"/>
            <rFont val="Tahoma"/>
            <family val="2"/>
          </rPr>
          <t xml:space="preserve">
guidance 11 VS UK
Bond Street remodel - opening in three pieces - one right before Christmas '14, spring next year, April May 2016?</t>
        </r>
      </text>
    </comment>
    <comment ref="D106" authorId="0">
      <text>
        <r>
          <rPr>
            <b/>
            <sz val="9"/>
            <color indexed="81"/>
            <rFont val="Tahoma"/>
            <family val="2"/>
          </rPr>
          <t>casselau:</t>
        </r>
        <r>
          <rPr>
            <sz val="9"/>
            <color indexed="81"/>
            <rFont val="Tahoma"/>
            <family val="2"/>
          </rPr>
          <t xml:space="preserve">
2 Pink 8 VS</t>
        </r>
      </text>
    </comment>
    <comment ref="D107" authorId="0">
      <text>
        <r>
          <rPr>
            <b/>
            <sz val="9"/>
            <color indexed="81"/>
            <rFont val="Tahoma"/>
            <family val="2"/>
          </rPr>
          <t>casselau:
2/25/15: 12 VS, 2 PINK</t>
        </r>
        <r>
          <rPr>
            <sz val="9"/>
            <color indexed="81"/>
            <rFont val="Tahoma"/>
            <family val="2"/>
          </rPr>
          <t xml:space="preserve">
11/4/14: expect 12 at FY15 year end</t>
        </r>
      </text>
    </comment>
    <comment ref="D109" authorId="1">
      <text>
        <r>
          <rPr>
            <b/>
            <sz val="9"/>
            <color indexed="81"/>
            <rFont val="Tahoma"/>
            <family val="2"/>
          </rPr>
          <t>Cassel, Lauren (Research):</t>
        </r>
        <r>
          <rPr>
            <sz val="9"/>
            <color indexed="81"/>
            <rFont val="Tahoma"/>
            <family val="2"/>
          </rPr>
          <t xml:space="preserve">
acquired 26 VSBA stores in China</t>
        </r>
      </text>
    </comment>
    <comment ref="D112" authorId="0">
      <text>
        <r>
          <rPr>
            <b/>
            <sz val="9"/>
            <color indexed="81"/>
            <rFont val="Tahoma"/>
            <family val="2"/>
          </rPr>
          <t>casselau:
11/16/16: 15 VS UK, 3 PINK UK, 31 China VSBA
5/18/16: planning 4 VS UK, 1 PINK UK, 2 VS China, 5 VSBA China - net 52-55
2/24/16: planning 4 VS and 1 PINK</t>
        </r>
        <r>
          <rPr>
            <sz val="9"/>
            <color indexed="81"/>
            <rFont val="Tahoma"/>
            <family val="2"/>
          </rPr>
          <t xml:space="preserve">
11/3/15: planning 4-6 new stores, 19 by year end</t>
        </r>
      </text>
    </comment>
    <comment ref="D114" authorId="1">
      <text>
        <r>
          <rPr>
            <b/>
            <sz val="9"/>
            <color indexed="81"/>
            <rFont val="Tahoma"/>
            <family val="2"/>
          </rPr>
          <t>Cassel, Lauren (Research):</t>
        </r>
        <r>
          <rPr>
            <sz val="9"/>
            <color indexed="81"/>
            <rFont val="Tahoma"/>
            <family val="2"/>
          </rPr>
          <t xml:space="preserve">
31 China VSBA, 2 VSFA China</t>
        </r>
      </text>
    </comment>
    <comment ref="E114" authorId="1">
      <text>
        <r>
          <rPr>
            <b/>
            <sz val="9"/>
            <color indexed="81"/>
            <rFont val="Tahoma"/>
            <family val="2"/>
          </rPr>
          <t>Cassel, Lauren (Research):</t>
        </r>
        <r>
          <rPr>
            <sz val="9"/>
            <color indexed="81"/>
            <rFont val="Tahoma"/>
            <family val="2"/>
          </rPr>
          <t xml:space="preserve">
15 VS UK, 3 PINK UK</t>
        </r>
      </text>
    </comment>
    <comment ref="D115" authorId="1">
      <text>
        <r>
          <rPr>
            <b/>
            <sz val="9"/>
            <color indexed="81"/>
            <rFont val="Tahoma"/>
            <family val="2"/>
          </rPr>
          <t>Cassel, Lauren (Research):</t>
        </r>
        <r>
          <rPr>
            <sz val="9"/>
            <color indexed="81"/>
            <rFont val="Tahoma"/>
            <family val="2"/>
          </rPr>
          <t xml:space="preserve">
30 VSBA, 2 VS China</t>
        </r>
      </text>
    </comment>
    <comment ref="E115" authorId="1">
      <text>
        <r>
          <rPr>
            <b/>
            <sz val="9"/>
            <color indexed="81"/>
            <rFont val="Tahoma"/>
            <family val="2"/>
          </rPr>
          <t>Cassel, Lauren (Research):</t>
        </r>
        <r>
          <rPr>
            <sz val="9"/>
            <color indexed="81"/>
            <rFont val="Tahoma"/>
            <family val="2"/>
          </rPr>
          <t xml:space="preserve">
16 VS, 3 UK</t>
        </r>
      </text>
    </comment>
    <comment ref="D116" authorId="1">
      <text>
        <r>
          <rPr>
            <b/>
            <sz val="9"/>
            <color indexed="81"/>
            <rFont val="Tahoma"/>
            <family val="2"/>
          </rPr>
          <t>Cassel, Lauren (Research):</t>
        </r>
        <r>
          <rPr>
            <sz val="9"/>
            <color indexed="81"/>
            <rFont val="Tahoma"/>
            <family val="2"/>
          </rPr>
          <t xml:space="preserve">
16 VS UK, 5 PINK UK, 29 VSBA China, 2 VS China</t>
        </r>
      </text>
    </comment>
    <comment ref="E116" authorId="1">
      <text>
        <r>
          <rPr>
            <b/>
            <sz val="9"/>
            <color indexed="81"/>
            <rFont val="Tahoma"/>
            <family val="2"/>
          </rPr>
          <t>Cassel, Lauren (Research):</t>
        </r>
        <r>
          <rPr>
            <sz val="9"/>
            <color indexed="81"/>
            <rFont val="Tahoma"/>
            <family val="2"/>
          </rPr>
          <t xml:space="preserve">
16 VS 4 PINK</t>
        </r>
      </text>
    </comment>
    <comment ref="D117" authorId="1">
      <text>
        <r>
          <rPr>
            <b/>
            <sz val="9"/>
            <color indexed="81"/>
            <rFont val="Tahoma"/>
            <family val="2"/>
          </rPr>
          <t xml:space="preserve">Cassel, Lauren (Research):
2/8/18: 19 VS UK/Ireland; 5 PINK UK, 32 VSBA CHina, 7 VS China
8/16/17: 17 VSFA UK, 5 PINK UK, 1 VSFA Ireland, 6 VSFA China, 30 VSBA Greater China
</t>
        </r>
        <r>
          <rPr>
            <sz val="9"/>
            <color indexed="81"/>
            <rFont val="Tahoma"/>
            <family val="2"/>
          </rPr>
          <t>5/17/17: 18 VSFA UK, 5 PINK UK, 1 VSFA Ireland, 6 VSFA China, 31 VSBA Greater China</t>
        </r>
        <r>
          <rPr>
            <b/>
            <sz val="9"/>
            <color indexed="81"/>
            <rFont val="Tahoma"/>
            <family val="2"/>
          </rPr>
          <t xml:space="preserve">
</t>
        </r>
        <r>
          <rPr>
            <sz val="9"/>
            <color indexed="81"/>
            <rFont val="Tahoma"/>
            <family val="2"/>
          </rPr>
          <t>2/23/17: 17 VSFA UK, 4 PINK UK, 1 VSFA Ireland, 6 VSFA China, 28 VSBA Greater China
11/1/16: 19 VSFA UK, 4 PINK UK, 35 VSBA China, 6 VSFA China</t>
        </r>
      </text>
    </comment>
    <comment ref="E117" authorId="1">
      <text>
        <r>
          <rPr>
            <b/>
            <sz val="9"/>
            <color indexed="81"/>
            <rFont val="Tahoma"/>
            <family val="2"/>
          </rPr>
          <t xml:space="preserve">Cassel, Lauren (Research):
5/17/17: 18 VSFA UK, 5 PINK UK, 1 VSFA Ireland
</t>
        </r>
        <r>
          <rPr>
            <sz val="9"/>
            <color indexed="81"/>
            <rFont val="Tahoma"/>
            <family val="2"/>
          </rPr>
          <t>2/23/17: 17 VSFA UK, 4 PINK UK, 1 VSFA Ireland, 6 VSFA China, 28 VSBA Greater China
11/1/16: 23</t>
        </r>
      </text>
    </comment>
    <comment ref="D122" authorId="1">
      <text>
        <r>
          <rPr>
            <b/>
            <sz val="9"/>
            <color indexed="81"/>
            <rFont val="Tahoma"/>
            <family val="2"/>
          </rPr>
          <t>Cassel, Lauren (Research):</t>
        </r>
        <r>
          <rPr>
            <sz val="9"/>
            <color indexed="81"/>
            <rFont val="Tahoma"/>
            <family val="2"/>
          </rPr>
          <t xml:space="preserve">
2/28/18: guidance 19-20 VS UK, 5-6 PINK UK, 1 VSFA Ireland, 17-18 VSFA China, 32-36 VSBA Greater China</t>
        </r>
      </text>
    </comment>
    <comment ref="E122" authorId="1">
      <text>
        <r>
          <rPr>
            <b/>
            <sz val="9"/>
            <color indexed="81"/>
            <rFont val="Tahoma"/>
            <family val="2"/>
          </rPr>
          <t>Cassel, Lauren (Research):</t>
        </r>
        <r>
          <rPr>
            <sz val="9"/>
            <color indexed="81"/>
            <rFont val="Tahoma"/>
            <family val="2"/>
          </rPr>
          <t xml:space="preserve">
2/28/18: guidance 19-20 VS UK, 5-6 PINK UK, 1 VSFA Ireland</t>
        </r>
      </text>
    </comment>
  </commentList>
</comments>
</file>

<file path=xl/comments10.xml><?xml version="1.0" encoding="utf-8"?>
<comments xmlns="http://schemas.openxmlformats.org/spreadsheetml/2006/main">
  <authors>
    <author>casselau</author>
    <author>dliu</author>
    <author>Corinna Freedman</author>
    <author>mm98285</author>
    <author>P Kahng</author>
    <author>nicholjs</author>
    <author>kimberlg</author>
    <author>kahng</author>
    <author>Cassel, Lauren (Research)</author>
    <author>ns66486</author>
    <author>kg51925</author>
    <author>solejay</author>
    <author>Mains, Spencer (Research)</author>
    <author>lauraro</author>
    <author>Kimberly Greenberger</author>
    <author>MB33100</author>
    <author>kgreenbe</author>
    <author>Lehman Brothers</author>
    <author>KG51925</author>
  </authors>
  <commentList>
    <comment ref="DK6" authorId="0">
      <text>
        <r>
          <rPr>
            <b/>
            <sz val="9"/>
            <color indexed="81"/>
            <rFont val="Tahoma"/>
            <family val="2"/>
          </rPr>
          <t>casselau:</t>
        </r>
        <r>
          <rPr>
            <sz val="9"/>
            <color indexed="81"/>
            <rFont val="Tahoma"/>
            <family val="2"/>
          </rPr>
          <t xml:space="preserve">
Comparable store sales begin to include eCommerce</t>
        </r>
      </text>
    </comment>
    <comment ref="DO6" authorId="0">
      <text>
        <r>
          <rPr>
            <b/>
            <sz val="9"/>
            <color indexed="81"/>
            <rFont val="Tahoma"/>
            <family val="2"/>
          </rPr>
          <t>casselau:</t>
        </r>
        <r>
          <rPr>
            <sz val="9"/>
            <color indexed="81"/>
            <rFont val="Tahoma"/>
            <family val="2"/>
          </rPr>
          <t xml:space="preserve">
Comparable store sales include eCommerce</t>
        </r>
      </text>
    </comment>
    <comment ref="DS6" authorId="0">
      <text>
        <r>
          <rPr>
            <b/>
            <sz val="9"/>
            <color indexed="81"/>
            <rFont val="Tahoma"/>
            <family val="2"/>
          </rPr>
          <t>casselau:</t>
        </r>
        <r>
          <rPr>
            <sz val="9"/>
            <color indexed="81"/>
            <rFont val="Tahoma"/>
            <family val="2"/>
          </rPr>
          <t xml:space="preserve">
Comparable store sales include eCommerce</t>
        </r>
      </text>
    </comment>
    <comment ref="D10" authorId="1">
      <text>
        <r>
          <rPr>
            <b/>
            <sz val="8"/>
            <color indexed="81"/>
            <rFont val="Tahoma"/>
            <family val="2"/>
          </rPr>
          <t>dliu:</t>
        </r>
        <r>
          <rPr>
            <sz val="8"/>
            <color indexed="81"/>
            <rFont val="Tahoma"/>
            <family val="2"/>
          </rPr>
          <t xml:space="preserve">
sold Lerner Woman to URGI, a new corp owned equally by Lerner Woman's mgmt, Centre Capital Investors and Limited.</t>
        </r>
      </text>
    </comment>
    <comment ref="E10" authorId="1">
      <text>
        <r>
          <rPr>
            <b/>
            <sz val="8"/>
            <color indexed="81"/>
            <rFont val="Tahoma"/>
            <family val="2"/>
          </rPr>
          <t>dliu:</t>
        </r>
        <r>
          <rPr>
            <sz val="8"/>
            <color indexed="81"/>
            <rFont val="Tahoma"/>
            <family val="2"/>
          </rPr>
          <t xml:space="preserve">
comp growth, not total sales growth</t>
        </r>
      </text>
    </comment>
    <comment ref="BN10" authorId="2">
      <text>
        <r>
          <rPr>
            <b/>
            <sz val="8"/>
            <color indexed="81"/>
            <rFont val="Tahoma"/>
            <family val="2"/>
          </rPr>
          <t>Corinna Freedman:</t>
        </r>
        <r>
          <rPr>
            <sz val="8"/>
            <color indexed="81"/>
            <rFont val="Tahoma"/>
            <family val="2"/>
          </rPr>
          <t xml:space="preserve">
1933</t>
        </r>
      </text>
    </comment>
    <comment ref="BR10" authorId="2">
      <text>
        <r>
          <rPr>
            <b/>
            <sz val="8"/>
            <color indexed="81"/>
            <rFont val="Tahoma"/>
            <family val="2"/>
          </rPr>
          <t>Corinna Freedman:</t>
        </r>
        <r>
          <rPr>
            <sz val="8"/>
            <color indexed="81"/>
            <rFont val="Tahoma"/>
            <family val="2"/>
          </rPr>
          <t xml:space="preserve">
1933</t>
        </r>
      </text>
    </comment>
    <comment ref="CF10" authorId="3">
      <text>
        <r>
          <rPr>
            <b/>
            <sz val="8"/>
            <color indexed="81"/>
            <rFont val="Tahoma"/>
            <family val="2"/>
          </rPr>
          <t>mm98285:</t>
        </r>
        <r>
          <rPr>
            <sz val="8"/>
            <color indexed="81"/>
            <rFont val="Tahoma"/>
            <family val="2"/>
          </rPr>
          <t xml:space="preserve">
2/08: -M-HSD</t>
        </r>
      </text>
    </comment>
    <comment ref="CJ10" authorId="3">
      <text>
        <r>
          <rPr>
            <b/>
            <sz val="8"/>
            <color indexed="81"/>
            <rFont val="Tahoma"/>
            <family val="2"/>
          </rPr>
          <t>mm98285:</t>
        </r>
        <r>
          <rPr>
            <sz val="8"/>
            <color indexed="81"/>
            <rFont val="Tahoma"/>
            <family val="2"/>
          </rPr>
          <t xml:space="preserve">
2/09: -HSD</t>
        </r>
      </text>
    </comment>
    <comment ref="CN10" authorId="3">
      <text>
        <r>
          <rPr>
            <b/>
            <sz val="8"/>
            <color indexed="81"/>
            <rFont val="Tahoma"/>
            <family val="2"/>
          </rPr>
          <t>mm98285:</t>
        </r>
        <r>
          <rPr>
            <sz val="8"/>
            <color indexed="81"/>
            <rFont val="Tahoma"/>
            <family val="2"/>
          </rPr>
          <t xml:space="preserve">
2/10: +2-4%</t>
        </r>
      </text>
    </comment>
    <comment ref="CP10" authorId="4">
      <text>
        <r>
          <rPr>
            <sz val="8"/>
            <color indexed="81"/>
            <rFont val="Tahoma"/>
            <family val="2"/>
          </rPr>
          <t>4/5/12: 3rd party sourcing  business (Mast) sale
Feb: $70.5M
March: $84.3M</t>
        </r>
      </text>
    </comment>
    <comment ref="CQ10" authorId="5">
      <text>
        <r>
          <rPr>
            <b/>
            <sz val="8"/>
            <color indexed="81"/>
            <rFont val="Tahoma"/>
            <family val="2"/>
          </rPr>
          <t>nicholjs:</t>
        </r>
        <r>
          <rPr>
            <sz val="8"/>
            <color indexed="81"/>
            <rFont val="Tahoma"/>
            <family val="2"/>
          </rPr>
          <t xml:space="preserve">
4/2011: spread could narrow a bit from 2-3%.  Previously forecast a lower comp so other rev drivers were more meaningful.  
2/2011: expect 2-3% total sales to comp spread</t>
        </r>
      </text>
    </comment>
    <comment ref="CR10" authorId="5">
      <text>
        <r>
          <rPr>
            <b/>
            <sz val="8"/>
            <color indexed="81"/>
            <rFont val="Tahoma"/>
            <family val="2"/>
          </rPr>
          <t>nicholjs:</t>
        </r>
        <r>
          <rPr>
            <sz val="8"/>
            <color indexed="81"/>
            <rFont val="Tahoma"/>
            <family val="2"/>
          </rPr>
          <t xml:space="preserve">
2/2011: expect up 2-4%</t>
        </r>
      </text>
    </comment>
    <comment ref="CT10" authorId="6">
      <text>
        <r>
          <rPr>
            <b/>
            <sz val="8"/>
            <color indexed="81"/>
            <rFont val="Tahoma"/>
            <family val="2"/>
          </rPr>
          <t>kimberlg:</t>
        </r>
        <r>
          <rPr>
            <sz val="8"/>
            <color indexed="81"/>
            <rFont val="Tahoma"/>
            <family val="2"/>
          </rPr>
          <t xml:space="preserve">
2/22/12: original revenue estimate $2,143 - raised to $2,147.8M w/ Feb beat
Feb sales beat our est by $5.5M</t>
        </r>
      </text>
    </comment>
    <comment ref="CV10" authorId="7">
      <text>
        <r>
          <rPr>
            <b/>
            <sz val="8"/>
            <color indexed="81"/>
            <rFont val="Tahoma"/>
            <family val="2"/>
          </rPr>
          <t>kahng:</t>
        </r>
        <r>
          <rPr>
            <sz val="8"/>
            <color indexed="81"/>
            <rFont val="Tahoma"/>
            <family val="2"/>
          </rPr>
          <t xml:space="preserve">
2/22/12: +LSD to + MSD</t>
        </r>
      </text>
    </comment>
    <comment ref="CZ10" authorId="0">
      <text>
        <r>
          <rPr>
            <b/>
            <sz val="8"/>
            <color indexed="81"/>
            <rFont val="Tahoma"/>
            <family val="2"/>
          </rPr>
          <t>casselau:</t>
        </r>
        <r>
          <rPr>
            <sz val="8"/>
            <color indexed="81"/>
            <rFont val="Tahoma"/>
            <family val="2"/>
          </rPr>
          <t xml:space="preserve">
2/27/13: guidance +LSD</t>
        </r>
      </text>
    </comment>
    <comment ref="DD10" authorId="0">
      <text>
        <r>
          <rPr>
            <b/>
            <sz val="8"/>
            <color indexed="81"/>
            <rFont val="Tahoma"/>
            <family val="2"/>
          </rPr>
          <t>casselau:</t>
        </r>
        <r>
          <rPr>
            <sz val="8"/>
            <color indexed="81"/>
            <rFont val="Tahoma"/>
            <family val="2"/>
          </rPr>
          <t xml:space="preserve">
2/26/14: guidance +LSD</t>
        </r>
      </text>
    </comment>
    <comment ref="DG10" authorId="0">
      <text>
        <r>
          <rPr>
            <b/>
            <sz val="9"/>
            <color indexed="81"/>
            <rFont val="Tahoma"/>
            <family val="2"/>
          </rPr>
          <t>casselau:</t>
        </r>
        <r>
          <rPr>
            <sz val="9"/>
            <color indexed="81"/>
            <rFont val="Tahoma"/>
            <family val="2"/>
          </rPr>
          <t xml:space="preserve">
5/20/15: FX negatively impacted sales by 1%</t>
        </r>
      </text>
    </comment>
    <comment ref="DH10" authorId="0">
      <text>
        <r>
          <rPr>
            <b/>
            <sz val="9"/>
            <color indexed="81"/>
            <rFont val="Tahoma"/>
            <family val="2"/>
          </rPr>
          <t>casselau:</t>
        </r>
        <r>
          <rPr>
            <sz val="9"/>
            <color indexed="81"/>
            <rFont val="Tahoma"/>
            <family val="2"/>
          </rPr>
          <t xml:space="preserve">
2/25/15: guidance +L-MSD</t>
        </r>
      </text>
    </comment>
    <comment ref="DL10" authorId="0">
      <text>
        <r>
          <rPr>
            <b/>
            <sz val="9"/>
            <color indexed="81"/>
            <rFont val="Tahoma"/>
            <family val="2"/>
          </rPr>
          <t>casselau:</t>
        </r>
        <r>
          <rPr>
            <sz val="9"/>
            <color indexed="81"/>
            <rFont val="Tahoma"/>
            <family val="2"/>
          </rPr>
          <t xml:space="preserve">
2/24/16: +2-4% guidance</t>
        </r>
      </text>
    </comment>
    <comment ref="DP10" authorId="8">
      <text>
        <r>
          <rPr>
            <b/>
            <sz val="9"/>
            <color indexed="81"/>
            <rFont val="Tahoma"/>
            <family val="2"/>
          </rPr>
          <t>Cassel, Lauren (Research):
5/4/17: -6% headwind from exit of swim and apparel; -3% underlying</t>
        </r>
        <r>
          <rPr>
            <sz val="9"/>
            <color indexed="81"/>
            <rFont val="Tahoma"/>
            <family val="2"/>
          </rPr>
          <t xml:space="preserve">
2/22/17: guidance -HSD to -LDD (go forward -LSD to -MSD); includes -6% impact from the exit of swim and apparel</t>
        </r>
      </text>
    </comment>
    <comment ref="DS10" authorId="8">
      <text>
        <r>
          <rPr>
            <b/>
            <sz val="9"/>
            <color indexed="81"/>
            <rFont val="Tahoma"/>
            <family val="2"/>
          </rPr>
          <t>Cassel, Lauren (Research):</t>
        </r>
        <r>
          <rPr>
            <sz val="9"/>
            <color indexed="81"/>
            <rFont val="Tahoma"/>
            <family val="2"/>
          </rPr>
          <t xml:space="preserve">
2/28/18: Sales in the first quarter will be about 5 points higher than comps, driven by square
footage growth and a point each from the Angel card income reclassification and the calendar shift as a result of the extra week in 2017.</t>
        </r>
      </text>
    </comment>
    <comment ref="DT10" authorId="8">
      <text>
        <r>
          <rPr>
            <b/>
            <sz val="9"/>
            <color indexed="81"/>
            <rFont val="Tahoma"/>
            <family val="2"/>
          </rPr>
          <t>Cassel, Lauren (Research):</t>
        </r>
        <r>
          <rPr>
            <sz val="9"/>
            <color indexed="81"/>
            <rFont val="Tahoma"/>
            <family val="2"/>
          </rPr>
          <t xml:space="preserve">
2/28/18: guidance +LSD</t>
        </r>
      </text>
    </comment>
    <comment ref="BF11" authorId="1">
      <text>
        <r>
          <rPr>
            <b/>
            <sz val="8"/>
            <color indexed="81"/>
            <rFont val="Tahoma"/>
            <family val="2"/>
          </rPr>
          <t>dliu:</t>
        </r>
        <r>
          <rPr>
            <sz val="8"/>
            <color indexed="81"/>
            <rFont val="Tahoma"/>
            <family val="2"/>
          </rPr>
          <t xml:space="preserve">
had 2021.4</t>
        </r>
      </text>
    </comment>
    <comment ref="BX11" authorId="3">
      <text>
        <r>
          <rPr>
            <b/>
            <sz val="8"/>
            <color indexed="81"/>
            <rFont val="Tahoma"/>
            <family val="2"/>
          </rPr>
          <t>mm98285:</t>
        </r>
        <r>
          <rPr>
            <sz val="8"/>
            <color indexed="81"/>
            <rFont val="Tahoma"/>
            <family val="2"/>
          </rPr>
          <t xml:space="preserve">
5/06: Mgmt expects 
+L-MSD comp</t>
        </r>
      </text>
    </comment>
    <comment ref="CF11" authorId="3">
      <text>
        <r>
          <rPr>
            <b/>
            <sz val="8"/>
            <color indexed="81"/>
            <rFont val="Tahoma"/>
            <family val="2"/>
          </rPr>
          <t>mm98285:</t>
        </r>
        <r>
          <rPr>
            <sz val="8"/>
            <color indexed="81"/>
            <rFont val="Tahoma"/>
            <family val="2"/>
          </rPr>
          <t xml:space="preserve">
5/08: expect down M-HSD range</t>
        </r>
      </text>
    </comment>
    <comment ref="CJ11" authorId="3">
      <text>
        <r>
          <rPr>
            <b/>
            <sz val="8"/>
            <color indexed="81"/>
            <rFont val="Tahoma"/>
            <family val="2"/>
          </rPr>
          <t>mm98285:</t>
        </r>
        <r>
          <rPr>
            <sz val="8"/>
            <color indexed="81"/>
            <rFont val="Tahoma"/>
            <family val="2"/>
          </rPr>
          <t xml:space="preserve">
5/09: -HSD</t>
        </r>
      </text>
    </comment>
    <comment ref="CN11" authorId="9">
      <text>
        <r>
          <rPr>
            <b/>
            <sz val="8"/>
            <color indexed="81"/>
            <rFont val="Tahoma"/>
            <family val="2"/>
          </rPr>
          <t>ns66486:</t>
        </r>
        <r>
          <rPr>
            <sz val="8"/>
            <color indexed="81"/>
            <rFont val="Tahoma"/>
            <family val="2"/>
          </rPr>
          <t xml:space="preserve">
5/10: +2-4%</t>
        </r>
      </text>
    </comment>
    <comment ref="CR11" authorId="5">
      <text>
        <r>
          <rPr>
            <b/>
            <sz val="8"/>
            <color indexed="81"/>
            <rFont val="Tahoma"/>
            <family val="2"/>
          </rPr>
          <t>nicholjs:</t>
        </r>
        <r>
          <rPr>
            <sz val="8"/>
            <color indexed="81"/>
            <rFont val="Tahoma"/>
            <family val="2"/>
          </rPr>
          <t xml:space="preserve">
5/2011: expect +L-MSD</t>
        </r>
      </text>
    </comment>
    <comment ref="CT11" authorId="6">
      <text>
        <r>
          <rPr>
            <b/>
            <sz val="8"/>
            <color indexed="81"/>
            <rFont val="Tahoma"/>
            <family val="2"/>
          </rPr>
          <t>kimberlg:</t>
        </r>
        <r>
          <rPr>
            <sz val="8"/>
            <color indexed="81"/>
            <rFont val="Tahoma"/>
            <family val="2"/>
          </rPr>
          <t xml:space="preserve">
5/31/12: if they do deliver a 5% comp in 2Q, $2.38BN sales is about right</t>
        </r>
      </text>
    </comment>
    <comment ref="CV11" authorId="4">
      <text>
        <r>
          <rPr>
            <b/>
            <sz val="8"/>
            <color indexed="81"/>
            <rFont val="Tahoma"/>
            <family val="2"/>
          </rPr>
          <t xml:space="preserve">8/2/12 pk: </t>
        </r>
        <r>
          <rPr>
            <sz val="8"/>
            <color indexed="81"/>
            <rFont val="Tahoma"/>
            <family val="2"/>
          </rPr>
          <t>prior est was 7%</t>
        </r>
        <r>
          <rPr>
            <b/>
            <sz val="8"/>
            <color indexed="81"/>
            <rFont val="Tahoma"/>
            <family val="2"/>
          </rPr>
          <t xml:space="preserve">
</t>
        </r>
        <r>
          <rPr>
            <b/>
            <sz val="8"/>
            <color indexed="81"/>
            <rFont val="Tahoma"/>
            <family val="2"/>
          </rPr>
          <t xml:space="preserve">7/5/12 pk: </t>
        </r>
        <r>
          <rPr>
            <sz val="8"/>
            <color indexed="81"/>
            <rFont val="Tahoma"/>
            <family val="2"/>
          </rPr>
          <t>prior est was 5%</t>
        </r>
        <r>
          <rPr>
            <sz val="8"/>
            <color indexed="81"/>
            <rFont val="Tahoma"/>
            <family val="2"/>
          </rPr>
          <t xml:space="preserve">
</t>
        </r>
        <r>
          <rPr>
            <b/>
            <sz val="8"/>
            <color indexed="81"/>
            <rFont val="Tahoma"/>
            <family val="2"/>
          </rPr>
          <t xml:space="preserve">5/16/12 pk: </t>
        </r>
        <r>
          <rPr>
            <sz val="8"/>
            <color indexed="81"/>
            <rFont val="Tahoma"/>
            <family val="2"/>
          </rPr>
          <t>guidance +L-MSD</t>
        </r>
      </text>
    </comment>
    <comment ref="CZ11" authorId="0">
      <text>
        <r>
          <rPr>
            <sz val="8"/>
            <color indexed="81"/>
            <rFont val="Tahoma"/>
            <family val="2"/>
          </rPr>
          <t xml:space="preserve">8/8/13: Per Amie: Herald Square headwind has been ~100 bps </t>
        </r>
        <r>
          <rPr>
            <b/>
            <sz val="8"/>
            <color indexed="81"/>
            <rFont val="Tahoma"/>
            <family val="2"/>
          </rPr>
          <t xml:space="preserve">
casselau:</t>
        </r>
        <r>
          <rPr>
            <sz val="8"/>
            <color indexed="81"/>
            <rFont val="Tahoma"/>
            <family val="2"/>
          </rPr>
          <t xml:space="preserve">
5/22/13 guidance: +LSD
Q: did the 1 week shift in the qtr help 2Q sales growth? Or hurt? Or neutral?</t>
        </r>
      </text>
    </comment>
    <comment ref="DD11" authorId="0">
      <text>
        <r>
          <rPr>
            <b/>
            <sz val="9"/>
            <color indexed="81"/>
            <rFont val="Tahoma"/>
            <family val="2"/>
          </rPr>
          <t>casselau:</t>
        </r>
        <r>
          <rPr>
            <sz val="9"/>
            <color indexed="81"/>
            <rFont val="Tahoma"/>
            <family val="2"/>
          </rPr>
          <t xml:space="preserve">
5/21/14: guidance +LSD</t>
        </r>
      </text>
    </comment>
    <comment ref="DG11" authorId="0">
      <text>
        <r>
          <rPr>
            <b/>
            <sz val="9"/>
            <color indexed="81"/>
            <rFont val="Tahoma"/>
            <family val="2"/>
          </rPr>
          <t>casselau:</t>
        </r>
        <r>
          <rPr>
            <sz val="9"/>
            <color indexed="81"/>
            <rFont val="Tahoma"/>
            <family val="2"/>
          </rPr>
          <t xml:space="preserve">
FX negatively impacted sales by 1pt</t>
        </r>
      </text>
    </comment>
    <comment ref="DH11" authorId="0">
      <text>
        <r>
          <rPr>
            <b/>
            <sz val="9"/>
            <color indexed="81"/>
            <rFont val="Tahoma"/>
            <family val="2"/>
          </rPr>
          <t>casselau:</t>
        </r>
        <r>
          <rPr>
            <sz val="9"/>
            <color indexed="81"/>
            <rFont val="Tahoma"/>
            <family val="2"/>
          </rPr>
          <t xml:space="preserve">
5/20/15: guidance +LSD</t>
        </r>
      </text>
    </comment>
    <comment ref="DL11" authorId="8">
      <text>
        <r>
          <rPr>
            <b/>
            <sz val="9"/>
            <color indexed="81"/>
            <rFont val="Tahoma"/>
            <family val="2"/>
          </rPr>
          <t>Cassel, Lauren (Research):</t>
        </r>
        <r>
          <rPr>
            <sz val="9"/>
            <color indexed="81"/>
            <rFont val="Tahoma"/>
            <family val="2"/>
          </rPr>
          <t xml:space="preserve">
5/18/16: guidance flat to -LSD</t>
        </r>
      </text>
    </comment>
    <comment ref="DP11" authorId="8">
      <text>
        <r>
          <rPr>
            <b/>
            <sz val="9"/>
            <color indexed="81"/>
            <rFont val="Tahoma"/>
            <family val="2"/>
          </rPr>
          <t>Cassel, Lauren (Research):
8/3/17: underlying comp -2% (-6% headwind from non-go-forward comps)</t>
        </r>
        <r>
          <rPr>
            <sz val="9"/>
            <color indexed="81"/>
            <rFont val="Tahoma"/>
            <family val="2"/>
          </rPr>
          <t xml:space="preserve">
5/17/17: guidance -MSD reported (ex. non-go-forward flat to +LSD)</t>
        </r>
      </text>
    </comment>
    <comment ref="BF12" authorId="1">
      <text>
        <r>
          <rPr>
            <b/>
            <sz val="8"/>
            <color indexed="81"/>
            <rFont val="Tahoma"/>
            <family val="2"/>
          </rPr>
          <t>dliu:</t>
        </r>
        <r>
          <rPr>
            <sz val="8"/>
            <color indexed="81"/>
            <rFont val="Tahoma"/>
            <family val="2"/>
          </rPr>
          <t xml:space="preserve">
had 1,839.9</t>
        </r>
      </text>
    </comment>
    <comment ref="BL12" authorId="2">
      <text>
        <r>
          <rPr>
            <b/>
            <sz val="8"/>
            <color indexed="81"/>
            <rFont val="Tahoma"/>
            <family val="2"/>
          </rPr>
          <t>Corinna Freedman:</t>
        </r>
        <r>
          <rPr>
            <sz val="8"/>
            <color indexed="81"/>
            <rFont val="Tahoma"/>
            <family val="2"/>
          </rPr>
          <t xml:space="preserve">
prev est 4</t>
        </r>
      </text>
    </comment>
    <comment ref="BX12" authorId="3">
      <text>
        <r>
          <rPr>
            <b/>
            <sz val="8"/>
            <color indexed="81"/>
            <rFont val="Tahoma"/>
            <family val="2"/>
          </rPr>
          <t>mm98285:</t>
        </r>
        <r>
          <rPr>
            <sz val="8"/>
            <color indexed="81"/>
            <rFont val="Tahoma"/>
            <family val="2"/>
          </rPr>
          <t xml:space="preserve">
8/06: guided to +HSD</t>
        </r>
      </text>
    </comment>
    <comment ref="BZ12" authorId="3">
      <text>
        <r>
          <rPr>
            <b/>
            <sz val="8"/>
            <color indexed="81"/>
            <rFont val="Tahoma"/>
            <family val="2"/>
          </rPr>
          <t>mm98285:</t>
        </r>
        <r>
          <rPr>
            <sz val="8"/>
            <color indexed="81"/>
            <rFont val="Tahoma"/>
            <family val="2"/>
          </rPr>
          <t xml:space="preserve">
8/07: includes Mast sales: $190mm</t>
        </r>
      </text>
    </comment>
    <comment ref="CA12" authorId="3">
      <text>
        <r>
          <rPr>
            <b/>
            <sz val="8"/>
            <color indexed="81"/>
            <rFont val="Tahoma"/>
            <family val="2"/>
          </rPr>
          <t>mm98285:</t>
        </r>
        <r>
          <rPr>
            <sz val="8"/>
            <color indexed="81"/>
            <rFont val="Tahoma"/>
            <family val="2"/>
          </rPr>
          <t xml:space="preserve">
8/07: expect -LSD (-$520 Apparel sales, offset by +$190 Mast sales)</t>
        </r>
      </text>
    </comment>
    <comment ref="CB12" authorId="3">
      <text>
        <r>
          <rPr>
            <b/>
            <sz val="8"/>
            <color indexed="81"/>
            <rFont val="Tahoma"/>
            <family val="2"/>
          </rPr>
          <t>mm98285:</t>
        </r>
        <r>
          <rPr>
            <sz val="8"/>
            <color indexed="81"/>
            <rFont val="Tahoma"/>
            <family val="2"/>
          </rPr>
          <t xml:space="preserve">
8/07: expect flat</t>
        </r>
      </text>
    </comment>
    <comment ref="CD12" authorId="3">
      <text>
        <r>
          <rPr>
            <b/>
            <sz val="8"/>
            <color indexed="81"/>
            <rFont val="Tahoma"/>
            <family val="2"/>
          </rPr>
          <t>mm98285:</t>
        </r>
        <r>
          <rPr>
            <sz val="8"/>
            <color indexed="81"/>
            <rFont val="Tahoma"/>
            <family val="2"/>
          </rPr>
          <t xml:space="preserve">
8/08: expect flat</t>
        </r>
      </text>
    </comment>
    <comment ref="CF12" authorId="3">
      <text>
        <r>
          <rPr>
            <b/>
            <sz val="8"/>
            <color indexed="81"/>
            <rFont val="Tahoma"/>
            <family val="2"/>
          </rPr>
          <t>mm98285:</t>
        </r>
        <r>
          <rPr>
            <sz val="8"/>
            <color indexed="81"/>
            <rFont val="Tahoma"/>
            <family val="2"/>
          </rPr>
          <t xml:space="preserve">
8/08: -LSD
2/08: slightly positive</t>
        </r>
      </text>
    </comment>
    <comment ref="CJ12" authorId="3">
      <text>
        <r>
          <rPr>
            <b/>
            <sz val="8"/>
            <color indexed="81"/>
            <rFont val="Tahoma"/>
            <family val="2"/>
          </rPr>
          <t>mm98285:</t>
        </r>
        <r>
          <rPr>
            <sz val="8"/>
            <color indexed="81"/>
            <rFont val="Tahoma"/>
            <family val="2"/>
          </rPr>
          <t xml:space="preserve">
8/09: -MSD</t>
        </r>
      </text>
    </comment>
    <comment ref="CN12" authorId="5">
      <text>
        <r>
          <rPr>
            <b/>
            <sz val="8"/>
            <color indexed="81"/>
            <rFont val="Tahoma"/>
            <family val="2"/>
          </rPr>
          <t>nicholjs:</t>
        </r>
        <r>
          <rPr>
            <sz val="8"/>
            <color indexed="81"/>
            <rFont val="Tahoma"/>
            <family val="2"/>
          </rPr>
          <t xml:space="preserve">
8/10: expect +3-5%</t>
        </r>
      </text>
    </comment>
    <comment ref="CR12" authorId="5">
      <text>
        <r>
          <rPr>
            <b/>
            <sz val="8"/>
            <color indexed="81"/>
            <rFont val="Tahoma"/>
            <family val="2"/>
          </rPr>
          <t>nicholjs:</t>
        </r>
        <r>
          <rPr>
            <sz val="8"/>
            <color indexed="81"/>
            <rFont val="Tahoma"/>
            <family val="2"/>
          </rPr>
          <t xml:space="preserve">
8/2011: expects +L-MSD</t>
        </r>
      </text>
    </comment>
    <comment ref="CV12" authorId="0">
      <text>
        <r>
          <rPr>
            <b/>
            <sz val="8"/>
            <color indexed="81"/>
            <rFont val="Tahoma"/>
            <family val="2"/>
          </rPr>
          <t>casselau:</t>
        </r>
        <r>
          <rPr>
            <sz val="8"/>
            <color indexed="81"/>
            <rFont val="Tahoma"/>
            <family val="2"/>
          </rPr>
          <t xml:space="preserve">
+L-MSD</t>
        </r>
      </text>
    </comment>
    <comment ref="CZ12" authorId="6">
      <text>
        <r>
          <rPr>
            <b/>
            <sz val="8"/>
            <color indexed="81"/>
            <rFont val="Tahoma"/>
            <family val="2"/>
          </rPr>
          <t xml:space="preserve">8/21/13: </t>
        </r>
        <r>
          <rPr>
            <sz val="8"/>
            <color indexed="81"/>
            <rFont val="Tahoma"/>
            <family val="2"/>
          </rPr>
          <t>guidance +LSD</t>
        </r>
        <r>
          <rPr>
            <b/>
            <sz val="8"/>
            <color indexed="81"/>
            <rFont val="Tahoma"/>
            <family val="2"/>
          </rPr>
          <t xml:space="preserve">
8/8/13: </t>
        </r>
        <r>
          <rPr>
            <sz val="8"/>
            <color indexed="81"/>
            <rFont val="Tahoma"/>
            <family val="2"/>
          </rPr>
          <t>Per Amie: Herald Square could be a ~100 bps comp headwind</t>
        </r>
        <r>
          <rPr>
            <b/>
            <sz val="8"/>
            <color indexed="81"/>
            <rFont val="Tahoma"/>
            <family val="2"/>
          </rPr>
          <t xml:space="preserve">
kimberlg:</t>
        </r>
        <r>
          <rPr>
            <sz val="8"/>
            <color indexed="81"/>
            <rFont val="Tahoma"/>
            <family val="2"/>
          </rPr>
          <t xml:space="preserve">
5/23/13 sounds like should plan flattish comps in 3Q13 - VS Herald Sq grand reopen could cause other NY stores to negative comp in 3Q</t>
        </r>
      </text>
    </comment>
    <comment ref="DD12" authorId="0">
      <text>
        <r>
          <rPr>
            <b/>
            <sz val="9"/>
            <color indexed="81"/>
            <rFont val="Tahoma"/>
            <family val="2"/>
          </rPr>
          <t>casselau:</t>
        </r>
        <r>
          <rPr>
            <sz val="9"/>
            <color indexed="81"/>
            <rFont val="Tahoma"/>
            <family val="2"/>
          </rPr>
          <t xml:space="preserve">
8/20/14: +LSD guidance</t>
        </r>
      </text>
    </comment>
    <comment ref="DG12" authorId="0">
      <text>
        <r>
          <rPr>
            <b/>
            <sz val="9"/>
            <color indexed="81"/>
            <rFont val="Tahoma"/>
            <family val="2"/>
          </rPr>
          <t>casselau:</t>
        </r>
        <r>
          <rPr>
            <sz val="9"/>
            <color indexed="81"/>
            <rFont val="Tahoma"/>
            <family val="2"/>
          </rPr>
          <t xml:space="preserve">
11/19/15: FX negatively impacted sales by 1%</t>
        </r>
      </text>
    </comment>
    <comment ref="DH12" authorId="0">
      <text>
        <r>
          <rPr>
            <b/>
            <sz val="9"/>
            <color indexed="81"/>
            <rFont val="Tahoma"/>
            <family val="2"/>
          </rPr>
          <t>casselau:</t>
        </r>
        <r>
          <rPr>
            <sz val="9"/>
            <color indexed="81"/>
            <rFont val="Tahoma"/>
            <family val="2"/>
          </rPr>
          <t xml:space="preserve">
8/19/15: +LSD guidance</t>
        </r>
      </text>
    </comment>
    <comment ref="DL12" authorId="8">
      <text>
        <r>
          <rPr>
            <b/>
            <sz val="9"/>
            <color indexed="81"/>
            <rFont val="Tahoma"/>
            <family val="2"/>
          </rPr>
          <t>Cassel, Lauren (Research):</t>
        </r>
        <r>
          <rPr>
            <sz val="9"/>
            <color indexed="81"/>
            <rFont val="Tahoma"/>
            <family val="2"/>
          </rPr>
          <t xml:space="preserve">
8/17/16: guidance: comps roughly flat; VS comps lower in 3Q than 2Q</t>
        </r>
      </text>
    </comment>
    <comment ref="DO12" authorId="8">
      <text>
        <r>
          <rPr>
            <b/>
            <sz val="9"/>
            <color indexed="81"/>
            <rFont val="Tahoma"/>
            <family val="2"/>
          </rPr>
          <t>Cassel, Lauren (Research):</t>
        </r>
        <r>
          <rPr>
            <sz val="9"/>
            <color indexed="81"/>
            <rFont val="Tahoma"/>
            <family val="2"/>
          </rPr>
          <t xml:space="preserve">
11/1/16: Stuart thinks they can deliver 7-10% sales growth by 2H17</t>
        </r>
      </text>
    </comment>
    <comment ref="DP12" authorId="8">
      <text>
        <r>
          <rPr>
            <b/>
            <sz val="9"/>
            <color indexed="81"/>
            <rFont val="Tahoma"/>
            <family val="2"/>
          </rPr>
          <t>Cassel, Lauren (Research):
11/1/17: +1% excluding exited categories</t>
        </r>
        <r>
          <rPr>
            <sz val="9"/>
            <color indexed="81"/>
            <rFont val="Tahoma"/>
            <family val="2"/>
          </rPr>
          <t xml:space="preserve">
8/16/17: guidance flat to -LSD (flat to +LSD underlying)</t>
        </r>
      </text>
    </comment>
    <comment ref="BJ13" authorId="2">
      <text>
        <r>
          <rPr>
            <b/>
            <sz val="8"/>
            <color indexed="81"/>
            <rFont val="Tahoma"/>
            <family val="2"/>
          </rPr>
          <t>Corinna Freedman:</t>
        </r>
        <r>
          <rPr>
            <sz val="8"/>
            <color indexed="81"/>
            <rFont val="Tahoma"/>
            <family val="2"/>
          </rPr>
          <t xml:space="preserve">
3344.3</t>
        </r>
      </text>
    </comment>
    <comment ref="BL13" authorId="2">
      <text>
        <r>
          <rPr>
            <b/>
            <sz val="8"/>
            <color indexed="81"/>
            <rFont val="Tahoma"/>
            <family val="2"/>
          </rPr>
          <t>Corinna Freedman:</t>
        </r>
        <r>
          <rPr>
            <sz val="8"/>
            <color indexed="81"/>
            <rFont val="Tahoma"/>
            <family val="2"/>
          </rPr>
          <t xml:space="preserve">
0</t>
        </r>
      </text>
    </comment>
    <comment ref="BN13" authorId="10">
      <text>
        <r>
          <rPr>
            <b/>
            <sz val="8"/>
            <color indexed="81"/>
            <rFont val="Tahoma"/>
            <family val="2"/>
          </rPr>
          <t>kg51925:</t>
        </r>
        <r>
          <rPr>
            <sz val="8"/>
            <color indexed="81"/>
            <rFont val="Tahoma"/>
            <family val="2"/>
          </rPr>
          <t xml:space="preserve">
2/22/06 Sales previously reported at $3.511 bil. Increased by $30.409mm to $3.542 bil due to gift card breakage. $15.8mm BBW plus $14.6mm Express.</t>
        </r>
      </text>
    </comment>
    <comment ref="BO13" authorId="2">
      <text>
        <r>
          <rPr>
            <b/>
            <sz val="8"/>
            <color indexed="81"/>
            <rFont val="Tahoma"/>
            <family val="2"/>
          </rPr>
          <t>Corinna Freedman:</t>
        </r>
        <r>
          <rPr>
            <sz val="8"/>
            <color indexed="81"/>
            <rFont val="Tahoma"/>
            <family val="2"/>
          </rPr>
          <t xml:space="preserve">
11/16 mgmt exp +MSD increase in top-line</t>
        </r>
      </text>
    </comment>
    <comment ref="BR13" authorId="10">
      <text>
        <r>
          <rPr>
            <b/>
            <sz val="8"/>
            <color indexed="81"/>
            <rFont val="Tahoma"/>
            <family val="2"/>
          </rPr>
          <t>kg51925:</t>
        </r>
        <r>
          <rPr>
            <sz val="8"/>
            <color indexed="81"/>
            <rFont val="Tahoma"/>
            <family val="2"/>
          </rPr>
          <t xml:space="preserve">
</t>
        </r>
        <r>
          <rPr>
            <sz val="8"/>
            <color indexed="81"/>
            <rFont val="Tahoma"/>
            <family val="2"/>
          </rPr>
          <t>2/22/06 Sales previously reported at $3.511 bil. Increased by $30.409mm to $3.542 bil due to gift card breakage. $15.8mm BBW plus $14.6mm Express.</t>
        </r>
      </text>
    </comment>
    <comment ref="BS13" authorId="2">
      <text>
        <r>
          <rPr>
            <b/>
            <sz val="8"/>
            <color indexed="81"/>
            <rFont val="Tahoma"/>
            <family val="2"/>
          </rPr>
          <t>Corinna Freedman:</t>
        </r>
        <r>
          <rPr>
            <sz val="8"/>
            <color indexed="81"/>
            <rFont val="Tahoma"/>
            <family val="2"/>
          </rPr>
          <t xml:space="preserve">
11/16 mgmt exp +MSD increase in top-line</t>
        </r>
      </text>
    </comment>
    <comment ref="BV13" authorId="3">
      <text>
        <r>
          <rPr>
            <b/>
            <sz val="8"/>
            <color indexed="81"/>
            <rFont val="Tahoma"/>
            <family val="2"/>
          </rPr>
          <t>mm98285:</t>
        </r>
        <r>
          <rPr>
            <sz val="8"/>
            <color indexed="81"/>
            <rFont val="Tahoma"/>
            <family val="2"/>
          </rPr>
          <t xml:space="preserve">
2/07: extra week = $171m 
8/06: account for 53rd week </t>
        </r>
      </text>
    </comment>
    <comment ref="BZ13" authorId="3">
      <text>
        <r>
          <rPr>
            <b/>
            <sz val="8"/>
            <color indexed="81"/>
            <rFont val="Tahoma"/>
            <family val="2"/>
          </rPr>
          <t>mm98285:</t>
        </r>
        <r>
          <rPr>
            <sz val="8"/>
            <color indexed="81"/>
            <rFont val="Tahoma"/>
            <family val="2"/>
          </rPr>
          <t xml:space="preserve">
2/08: excludes $47.8mm or $0.08 per share related to recognition of initial gift card breakage at VS
8/07: includes Mast sales: $150mm</t>
        </r>
      </text>
    </comment>
    <comment ref="CA13" authorId="3">
      <text>
        <r>
          <rPr>
            <b/>
            <sz val="8"/>
            <color indexed="81"/>
            <rFont val="Tahoma"/>
            <family val="2"/>
          </rPr>
          <t>mm98285:</t>
        </r>
        <r>
          <rPr>
            <sz val="8"/>
            <color indexed="81"/>
            <rFont val="Tahoma"/>
            <family val="2"/>
          </rPr>
          <t xml:space="preserve">
11/07: expect down 15-20%
8/07: expect down ~-LSD</t>
        </r>
      </text>
    </comment>
    <comment ref="CB13" authorId="3">
      <text>
        <r>
          <rPr>
            <b/>
            <sz val="8"/>
            <color indexed="81"/>
            <rFont val="Tahoma"/>
            <family val="2"/>
          </rPr>
          <t>mm98285:</t>
        </r>
        <r>
          <rPr>
            <sz val="8"/>
            <color indexed="81"/>
            <rFont val="Tahoma"/>
            <family val="2"/>
          </rPr>
          <t xml:space="preserve">
11/07: -LSD comp</t>
        </r>
      </text>
    </comment>
    <comment ref="CD13" authorId="3">
      <text>
        <r>
          <rPr>
            <b/>
            <sz val="8"/>
            <color indexed="81"/>
            <rFont val="Tahoma"/>
            <family val="2"/>
          </rPr>
          <t>mm98285:</t>
        </r>
        <r>
          <rPr>
            <sz val="8"/>
            <color indexed="81"/>
            <rFont val="Tahoma"/>
            <family val="2"/>
          </rPr>
          <t xml:space="preserve">
11/08: expect $3.24BN</t>
        </r>
      </text>
    </comment>
    <comment ref="CF13" authorId="3">
      <text>
        <r>
          <rPr>
            <b/>
            <sz val="8"/>
            <color indexed="81"/>
            <rFont val="Tahoma"/>
            <family val="2"/>
          </rPr>
          <t>mm98285:</t>
        </r>
        <r>
          <rPr>
            <sz val="8"/>
            <color indexed="81"/>
            <rFont val="Tahoma"/>
            <family val="2"/>
          </rPr>
          <t xml:space="preserve">
11/08: –M-HSD range
2/08: slightly positive</t>
        </r>
      </text>
    </comment>
    <comment ref="CI13" authorId="3">
      <text>
        <r>
          <rPr>
            <b/>
            <sz val="8"/>
            <color indexed="81"/>
            <rFont val="Tahoma"/>
            <family val="2"/>
          </rPr>
          <t>mm98285:</t>
        </r>
        <r>
          <rPr>
            <sz val="8"/>
            <color indexed="81"/>
            <rFont val="Tahoma"/>
            <family val="2"/>
          </rPr>
          <t xml:space="preserve">
11/09: flat to -LSD</t>
        </r>
      </text>
    </comment>
    <comment ref="CJ13" authorId="3">
      <text>
        <r>
          <rPr>
            <b/>
            <sz val="8"/>
            <color indexed="81"/>
            <rFont val="Tahoma"/>
            <family val="2"/>
          </rPr>
          <t>mm98285:</t>
        </r>
        <r>
          <rPr>
            <sz val="8"/>
            <color indexed="81"/>
            <rFont val="Tahoma"/>
            <family val="2"/>
          </rPr>
          <t xml:space="preserve">
11/09: -L-MSD</t>
        </r>
      </text>
    </comment>
    <comment ref="CN13" authorId="5">
      <text>
        <r>
          <rPr>
            <b/>
            <sz val="8"/>
            <color indexed="81"/>
            <rFont val="Tahoma"/>
            <family val="2"/>
          </rPr>
          <t>nicholjs:</t>
        </r>
        <r>
          <rPr>
            <sz val="8"/>
            <color indexed="81"/>
            <rFont val="Tahoma"/>
            <family val="2"/>
          </rPr>
          <t xml:space="preserve">
11/2010: expect +LSD</t>
        </r>
      </text>
    </comment>
    <comment ref="CQ13" authorId="6">
      <text>
        <r>
          <rPr>
            <b/>
            <sz val="8"/>
            <color indexed="81"/>
            <rFont val="Tahoma"/>
            <family val="2"/>
          </rPr>
          <t>kimberlg:</t>
        </r>
        <r>
          <rPr>
            <sz val="8"/>
            <color indexed="81"/>
            <rFont val="Tahoma"/>
            <family val="2"/>
          </rPr>
          <t xml:space="preserve">
per Amie comp to total revenue spread should be ~5% given sale of MAST (hit to total revenue), so our flat sales on +5% comp sounds fine if they can achieve a +5%</t>
        </r>
      </text>
    </comment>
    <comment ref="CR13" authorId="11">
      <text>
        <r>
          <rPr>
            <b/>
            <sz val="8"/>
            <color indexed="81"/>
            <rFont val="Tahoma"/>
            <family val="2"/>
          </rPr>
          <t>solejay:</t>
        </r>
        <r>
          <rPr>
            <sz val="8"/>
            <color indexed="81"/>
            <rFont val="Tahoma"/>
            <family val="2"/>
          </rPr>
          <t xml:space="preserve">
11/16: +LSD</t>
        </r>
      </text>
    </comment>
    <comment ref="CT13" authorId="7">
      <text>
        <r>
          <rPr>
            <b/>
            <sz val="8"/>
            <color indexed="81"/>
            <rFont val="Tahoma"/>
            <family val="2"/>
          </rPr>
          <t xml:space="preserve">antons: 
2/28/13: </t>
        </r>
        <r>
          <rPr>
            <sz val="8"/>
            <color indexed="81"/>
            <rFont val="Tahoma"/>
            <family val="2"/>
          </rPr>
          <t>From 4Q12 Conf. call - CFO, Sales increased ~10% due to +5% comps growth. "...net sales were $3.856 billion which includes $125 million for the 53rd week, versus $3.515 billion last year, and comps increased 5% on top of 7% last year."</t>
        </r>
        <r>
          <rPr>
            <b/>
            <sz val="8"/>
            <color indexed="81"/>
            <rFont val="Tahoma"/>
            <family val="2"/>
          </rPr>
          <t xml:space="preserve">
11/15: </t>
        </r>
        <r>
          <rPr>
            <sz val="8"/>
            <color indexed="81"/>
            <rFont val="Tahoma"/>
            <family val="2"/>
          </rPr>
          <t>etimate 53rd week ~$140M in sales</t>
        </r>
        <r>
          <rPr>
            <b/>
            <sz val="8"/>
            <color indexed="81"/>
            <rFont val="Tahoma"/>
            <family val="2"/>
          </rPr>
          <t xml:space="preserve">
kahng:
2/22/12: </t>
        </r>
        <r>
          <rPr>
            <sz val="8"/>
            <color indexed="81"/>
            <rFont val="Tahoma"/>
            <family val="2"/>
          </rPr>
          <t>Mgmt "$135M additional revenue on 53rd week"</t>
        </r>
      </text>
    </comment>
    <comment ref="CV13" authorId="0">
      <text>
        <r>
          <rPr>
            <b/>
            <sz val="8"/>
            <color indexed="81"/>
            <rFont val="Tahoma"/>
            <family val="2"/>
          </rPr>
          <t>casselau:</t>
        </r>
        <r>
          <rPr>
            <sz val="8"/>
            <color indexed="81"/>
            <rFont val="Tahoma"/>
            <family val="2"/>
          </rPr>
          <t xml:space="preserve">
11/14: guide +2-4</t>
        </r>
      </text>
    </comment>
    <comment ref="CZ13" authorId="0">
      <text>
        <r>
          <rPr>
            <b/>
            <sz val="8"/>
            <color indexed="81"/>
            <rFont val="Tahoma"/>
            <family val="2"/>
          </rPr>
          <t>casselau:</t>
        </r>
        <r>
          <rPr>
            <sz val="8"/>
            <color indexed="81"/>
            <rFont val="Tahoma"/>
            <family val="2"/>
          </rPr>
          <t xml:space="preserve">
11/20: guidance +LSD</t>
        </r>
      </text>
    </comment>
    <comment ref="DD13" authorId="0">
      <text>
        <r>
          <rPr>
            <b/>
            <sz val="9"/>
            <color indexed="81"/>
            <rFont val="Tahoma"/>
            <family val="2"/>
          </rPr>
          <t>casselau:</t>
        </r>
        <r>
          <rPr>
            <sz val="9"/>
            <color indexed="81"/>
            <rFont val="Tahoma"/>
            <family val="2"/>
          </rPr>
          <t xml:space="preserve">
11/19/14: guidance +LSD</t>
        </r>
      </text>
    </comment>
    <comment ref="DG13" authorId="0">
      <text>
        <r>
          <rPr>
            <b/>
            <sz val="9"/>
            <color indexed="81"/>
            <rFont val="Tahoma"/>
            <family val="2"/>
          </rPr>
          <t>casselau:</t>
        </r>
        <r>
          <rPr>
            <sz val="9"/>
            <color indexed="81"/>
            <rFont val="Tahoma"/>
            <family val="2"/>
          </rPr>
          <t xml:space="preserve">
11/19/15: expect 2-3% positive spread</t>
        </r>
      </text>
    </comment>
    <comment ref="DH13" authorId="0">
      <text>
        <r>
          <rPr>
            <b/>
            <sz val="9"/>
            <color indexed="81"/>
            <rFont val="Tahoma"/>
            <family val="2"/>
          </rPr>
          <t>casselau:</t>
        </r>
        <r>
          <rPr>
            <sz val="9"/>
            <color indexed="81"/>
            <rFont val="Tahoma"/>
            <family val="2"/>
          </rPr>
          <t xml:space="preserve">
11/19/15: guidance +LSD</t>
        </r>
      </text>
    </comment>
    <comment ref="DK13" authorId="8">
      <text>
        <r>
          <rPr>
            <b/>
            <sz val="9"/>
            <color indexed="81"/>
            <rFont val="Tahoma"/>
            <family val="2"/>
          </rPr>
          <t>Cassel, Lauren (Research):</t>
        </r>
        <r>
          <rPr>
            <sz val="9"/>
            <color indexed="81"/>
            <rFont val="Tahoma"/>
            <family val="2"/>
          </rPr>
          <t xml:space="preserve">
8/16/17: ~$15-20M from 5th ave store should add 35-50 bps to spread</t>
        </r>
      </text>
    </comment>
    <comment ref="DL13" authorId="8">
      <text>
        <r>
          <rPr>
            <b/>
            <sz val="9"/>
            <color indexed="81"/>
            <rFont val="Tahoma"/>
            <family val="2"/>
          </rPr>
          <t>Cassel, Lauren (Research):
2/22/17: exit of VS swim and apparel had a 2pt negative impact to total company comps</t>
        </r>
        <r>
          <rPr>
            <sz val="9"/>
            <color indexed="81"/>
            <rFont val="Tahoma"/>
            <family val="2"/>
          </rPr>
          <t xml:space="preserve">
11/16/16: guidance flat to +LSD</t>
        </r>
      </text>
    </comment>
    <comment ref="DO13" authorId="8">
      <text>
        <r>
          <rPr>
            <b/>
            <sz val="9"/>
            <color indexed="81"/>
            <rFont val="Tahoma"/>
            <family val="2"/>
          </rPr>
          <t xml:space="preserve">Cassel, Lauren (Research):
2/28/18: extra week added ~$160M in sales and 10c to extra week
2/8/18: 53rd week added $150M to sales and 7c in EPS
11/15/17: extra week is estimated to add $170M in sales, resulting in a 5-6% spread
</t>
        </r>
        <r>
          <rPr>
            <sz val="9"/>
            <color indexed="81"/>
            <rFont val="Tahoma"/>
            <family val="2"/>
          </rPr>
          <t xml:space="preserve">
2012 53rd week =$140M = ~3% growth </t>
        </r>
      </text>
    </comment>
    <comment ref="DP13" authorId="8">
      <text>
        <r>
          <rPr>
            <b/>
            <sz val="9"/>
            <color indexed="81"/>
            <rFont val="Tahoma"/>
            <family val="2"/>
          </rPr>
          <t>Cassel, Lauren (Research):</t>
        </r>
        <r>
          <rPr>
            <sz val="9"/>
            <color indexed="81"/>
            <rFont val="Tahoma"/>
            <family val="2"/>
          </rPr>
          <t xml:space="preserve">
11/15/17: guidance flat to +LSD (exit of swim and apparel will have a negative impact of a little less than 1%)</t>
        </r>
      </text>
    </comment>
    <comment ref="DS13" authorId="8">
      <text>
        <r>
          <rPr>
            <b/>
            <sz val="9"/>
            <color indexed="81"/>
            <rFont val="Tahoma"/>
            <family val="2"/>
          </rPr>
          <t>Cassel, Lauren (Research):</t>
        </r>
        <r>
          <rPr>
            <sz val="9"/>
            <color indexed="81"/>
            <rFont val="Tahoma"/>
            <family val="2"/>
          </rPr>
          <t xml:space="preserve">
9/19/17: Removng ~$150M for 53rd week = ~3.5% </t>
        </r>
      </text>
    </comment>
    <comment ref="BX14" authorId="3">
      <text>
        <r>
          <rPr>
            <b/>
            <sz val="8"/>
            <color indexed="81"/>
            <rFont val="Tahoma"/>
            <family val="2"/>
          </rPr>
          <t>mm98285:</t>
        </r>
        <r>
          <rPr>
            <sz val="8"/>
            <color indexed="81"/>
            <rFont val="Tahoma"/>
            <family val="2"/>
          </rPr>
          <t xml:space="preserve">
8/06: guided to +M-HSD
4Q05: Mgmt expects 
+L-MSD comp</t>
        </r>
      </text>
    </comment>
    <comment ref="CF14" authorId="3">
      <text>
        <r>
          <rPr>
            <b/>
            <sz val="8"/>
            <color indexed="81"/>
            <rFont val="Tahoma"/>
            <family val="2"/>
          </rPr>
          <t>mm98285:</t>
        </r>
        <r>
          <rPr>
            <sz val="8"/>
            <color indexed="81"/>
            <rFont val="Tahoma"/>
            <family val="2"/>
          </rPr>
          <t xml:space="preserve">
5/08: expect flat to -LSD
2/08: flat</t>
        </r>
      </text>
    </comment>
    <comment ref="CJ14" authorId="3">
      <text>
        <r>
          <rPr>
            <b/>
            <sz val="8"/>
            <color indexed="81"/>
            <rFont val="Tahoma"/>
            <family val="2"/>
          </rPr>
          <t>mm98285:</t>
        </r>
        <r>
          <rPr>
            <sz val="8"/>
            <color indexed="81"/>
            <rFont val="Tahoma"/>
            <family val="2"/>
          </rPr>
          <t xml:space="preserve">
11/09: -MSD
8/09: -M-HSD
5/09 &amp; 2/09: (5)-(10)%</t>
        </r>
      </text>
    </comment>
    <comment ref="CN14" authorId="3">
      <text>
        <r>
          <rPr>
            <sz val="8"/>
            <color indexed="81"/>
            <rFont val="Tahoma"/>
            <family val="2"/>
          </rPr>
          <t>11/10: +MSD
8/10: +MSD
5/10: +LSD</t>
        </r>
        <r>
          <rPr>
            <sz val="8"/>
            <color indexed="81"/>
            <rFont val="Tahoma"/>
            <family val="2"/>
          </rPr>
          <t xml:space="preserve">
2/10: flat to +LSD</t>
        </r>
      </text>
    </comment>
    <comment ref="CQ14" authorId="5">
      <text>
        <r>
          <rPr>
            <b/>
            <sz val="8"/>
            <color indexed="81"/>
            <rFont val="Tahoma"/>
            <family val="2"/>
          </rPr>
          <t>nicholjs:</t>
        </r>
        <r>
          <rPr>
            <sz val="8"/>
            <color indexed="81"/>
            <rFont val="Tahoma"/>
            <family val="2"/>
          </rPr>
          <t xml:space="preserve">
2/2011: expect 3% total sales to comp spread driven by Mast and international</t>
        </r>
      </text>
    </comment>
    <comment ref="CR14" authorId="5">
      <text>
        <r>
          <rPr>
            <sz val="8"/>
            <color indexed="81"/>
            <rFont val="Tahoma"/>
            <family val="2"/>
          </rPr>
          <t>11/2011: expect +MSD-HSD</t>
        </r>
        <r>
          <rPr>
            <sz val="8"/>
            <color indexed="81"/>
            <rFont val="Tahoma"/>
            <family val="2"/>
          </rPr>
          <t xml:space="preserve">
8/2011: expect +MSD
5/2011: expect +L-MSD
2/2011: expect +LSD
11/2010: lvg b+o and sg&amp;a on ~3% comp</t>
        </r>
      </text>
    </comment>
    <comment ref="CV14" authorId="7">
      <text>
        <r>
          <rPr>
            <b/>
            <sz val="8"/>
            <color indexed="81"/>
            <rFont val="Tahoma"/>
            <family val="2"/>
          </rPr>
          <t xml:space="preserve">11/14: ~5%
8/15/12: </t>
        </r>
        <r>
          <rPr>
            <sz val="8"/>
            <color indexed="81"/>
            <rFont val="Tahoma"/>
            <family val="2"/>
          </rPr>
          <t>reit +3-5%</t>
        </r>
        <r>
          <rPr>
            <b/>
            <sz val="8"/>
            <color indexed="81"/>
            <rFont val="Tahoma"/>
            <family val="2"/>
          </rPr>
          <t xml:space="preserve">
kahng:
5/16/12: </t>
        </r>
        <r>
          <rPr>
            <sz val="8"/>
            <color indexed="81"/>
            <rFont val="Tahoma"/>
            <family val="2"/>
          </rPr>
          <t xml:space="preserve">+3-5%
</t>
        </r>
        <r>
          <rPr>
            <b/>
            <sz val="8"/>
            <color indexed="81"/>
            <rFont val="Tahoma"/>
            <family val="2"/>
          </rPr>
          <t>2/22/12:</t>
        </r>
        <r>
          <rPr>
            <sz val="8"/>
            <color indexed="81"/>
            <rFont val="Tahoma"/>
            <family val="2"/>
          </rPr>
          <t xml:space="preserve"> +2-4%</t>
        </r>
      </text>
    </comment>
    <comment ref="CZ14" authorId="0">
      <text>
        <r>
          <rPr>
            <b/>
            <sz val="8"/>
            <color indexed="81"/>
            <rFont val="Tahoma"/>
            <family val="2"/>
          </rPr>
          <t xml:space="preserve">casselau:
</t>
        </r>
        <r>
          <rPr>
            <sz val="8"/>
            <color indexed="81"/>
            <rFont val="Tahoma"/>
            <family val="2"/>
          </rPr>
          <t>11/20/13: reiterate +LSD</t>
        </r>
        <r>
          <rPr>
            <b/>
            <sz val="8"/>
            <color indexed="81"/>
            <rFont val="Tahoma"/>
            <family val="2"/>
          </rPr>
          <t xml:space="preserve">
</t>
        </r>
        <r>
          <rPr>
            <sz val="8"/>
            <color indexed="81"/>
            <rFont val="Tahoma"/>
            <family val="2"/>
          </rPr>
          <t>8/21/13: reiterate +LSD
5/22/13 guidance: +LSD</t>
        </r>
        <r>
          <rPr>
            <sz val="8"/>
            <color indexed="81"/>
            <rFont val="Tahoma"/>
            <family val="2"/>
          </rPr>
          <t xml:space="preserve">
2/27/13: guidance +LSD</t>
        </r>
      </text>
    </comment>
    <comment ref="DC14" authorId="0">
      <text>
        <r>
          <rPr>
            <b/>
            <sz val="8"/>
            <color indexed="81"/>
            <rFont val="Tahoma"/>
            <family val="2"/>
          </rPr>
          <t>casselau:</t>
        </r>
        <r>
          <rPr>
            <sz val="8"/>
            <color indexed="81"/>
            <rFont val="Tahoma"/>
            <family val="2"/>
          </rPr>
          <t xml:space="preserve">
2/27/14: spread should be +2%</t>
        </r>
      </text>
    </comment>
    <comment ref="DD14" authorId="0">
      <text>
        <r>
          <rPr>
            <b/>
            <sz val="8"/>
            <color indexed="81"/>
            <rFont val="Tahoma"/>
            <family val="2"/>
          </rPr>
          <t xml:space="preserve">casselau:
</t>
        </r>
        <r>
          <rPr>
            <sz val="8"/>
            <color indexed="81"/>
            <rFont val="Tahoma"/>
            <family val="2"/>
          </rPr>
          <t>11/19/14: guidance +LSD
2/26/14: guidance +LSD</t>
        </r>
      </text>
    </comment>
    <comment ref="DG14" authorId="0">
      <text>
        <r>
          <rPr>
            <b/>
            <sz val="9"/>
            <color indexed="81"/>
            <rFont val="Tahoma"/>
            <family val="2"/>
          </rPr>
          <t>casselau:
2/26/15:</t>
        </r>
        <r>
          <rPr>
            <sz val="9"/>
            <color indexed="81"/>
            <rFont val="Tahoma"/>
            <family val="2"/>
          </rPr>
          <t xml:space="preserve"> expect 1% comp/sales spread; total company sqft +3.5%;</t>
        </r>
        <r>
          <rPr>
            <b/>
            <sz val="9"/>
            <color indexed="81"/>
            <rFont val="Tahoma"/>
            <family val="2"/>
          </rPr>
          <t xml:space="preserve"> </t>
        </r>
        <r>
          <rPr>
            <sz val="9"/>
            <color indexed="81"/>
            <rFont val="Tahoma"/>
            <family val="2"/>
          </rPr>
          <t>FX expected to impact total sales -1%</t>
        </r>
      </text>
    </comment>
    <comment ref="DH14" authorId="12">
      <text>
        <r>
          <rPr>
            <b/>
            <sz val="9"/>
            <color indexed="81"/>
            <rFont val="Tahoma"/>
            <family val="2"/>
          </rPr>
          <t>casselau:
11/19/15: guidance +L-MSD</t>
        </r>
        <r>
          <rPr>
            <sz val="9"/>
            <color indexed="81"/>
            <rFont val="Tahoma"/>
            <family val="2"/>
          </rPr>
          <t xml:space="preserve">
2/25/15: guidance +LSD</t>
        </r>
      </text>
    </comment>
    <comment ref="DJ14" authorId="8">
      <text>
        <r>
          <rPr>
            <b/>
            <sz val="9"/>
            <color indexed="81"/>
            <rFont val="Tahoma"/>
            <family val="2"/>
          </rPr>
          <t>Cassel, Lauren (Research):</t>
        </r>
        <r>
          <rPr>
            <sz val="9"/>
            <color indexed="81"/>
            <rFont val="Tahoma"/>
            <family val="2"/>
          </rPr>
          <t xml:space="preserve">
5/18/16: swim and non-go-forward direct categories $525M in 2015</t>
        </r>
      </text>
    </comment>
    <comment ref="DK14" authorId="0">
      <text>
        <r>
          <rPr>
            <b/>
            <sz val="9"/>
            <color indexed="81"/>
            <rFont val="Tahoma"/>
            <family val="2"/>
          </rPr>
          <t xml:space="preserve">casselau:
11/16/16: Total sales growth will be about 1 to 2 points higher than comps due to growth in
square footage.
</t>
        </r>
        <r>
          <rPr>
            <sz val="9"/>
            <color indexed="81"/>
            <rFont val="Tahoma"/>
            <family val="2"/>
          </rPr>
          <t>5/18/16: total sales growth will be 2% higher due to growth in square footage</t>
        </r>
        <r>
          <rPr>
            <b/>
            <sz val="9"/>
            <color indexed="81"/>
            <rFont val="Tahoma"/>
            <family val="2"/>
          </rPr>
          <t xml:space="preserve">
</t>
        </r>
        <r>
          <rPr>
            <sz val="9"/>
            <color indexed="81"/>
            <rFont val="Tahoma"/>
            <family val="2"/>
          </rPr>
          <t>2/26/15: 1-2% spread
11/19/15: expect 2-3% spread</t>
        </r>
      </text>
    </comment>
    <comment ref="DL14" authorId="0">
      <text>
        <r>
          <rPr>
            <b/>
            <sz val="9"/>
            <color indexed="81"/>
            <rFont val="Tahoma"/>
            <family val="2"/>
          </rPr>
          <t xml:space="preserve">casselau:
2/22/17: exit of VS swim and apparel had a 2pt negative impact to total company comps
8/17/16: guidance flat to up slightly 
</t>
        </r>
        <r>
          <rPr>
            <sz val="9"/>
            <color indexed="81"/>
            <rFont val="Tahoma"/>
            <family val="2"/>
          </rPr>
          <t>5/18/16: guidance roughly flat
2/24/16: +LSD guidance (per Amie: we would expect Direct to add 1pt to overall comps)</t>
        </r>
      </text>
    </comment>
    <comment ref="DO14" authorId="8">
      <text>
        <r>
          <rPr>
            <b/>
            <sz val="9"/>
            <color indexed="81"/>
            <rFont val="Tahoma"/>
            <family val="2"/>
          </rPr>
          <t xml:space="preserve">Cassel, Lauren (Research):
11/15/17: total sales growth will be about 3-4% higher than comps due to growth in square footage and 53rd week
</t>
        </r>
        <r>
          <rPr>
            <sz val="9"/>
            <color indexed="81"/>
            <rFont val="Tahoma"/>
            <family val="2"/>
          </rPr>
          <t>5/17/17: total sales growth will be about 3% higher than comps due to growth in square footage and 53rd week
2/22/17: total sales growth will be about 3-4% higher than comps due to growth in square footage and 1% higher due to the 53rd week</t>
        </r>
      </text>
    </comment>
    <comment ref="DP14" authorId="8">
      <text>
        <r>
          <rPr>
            <b/>
            <sz val="9"/>
            <color indexed="81"/>
            <rFont val="Tahoma"/>
            <family val="2"/>
          </rPr>
          <t xml:space="preserve">Cassel, Lauren (Research):
2/28/18: flat underlying comp
11/15/17: guidance -LSD to -MSD (underlying about flat)
8/15/17: guidance -LSD to -MSD (underlying about flat)
</t>
        </r>
        <r>
          <rPr>
            <sz val="9"/>
            <color indexed="81"/>
            <rFont val="Tahoma"/>
            <family val="2"/>
          </rPr>
          <t>Swim and apparel sales were approximately $400 million in 2016, which is
about a 3 to 4 point negative comp impact to the total company 
2/22/17: guidance -LSD (go forward +LSD); goal is to get to flat or improving AURs as the year progresses</t>
        </r>
      </text>
    </comment>
    <comment ref="DS14" authorId="8">
      <text>
        <r>
          <rPr>
            <b/>
            <sz val="9"/>
            <color indexed="81"/>
            <rFont val="Tahoma"/>
            <family val="2"/>
          </rPr>
          <t>Cassel, Lauren (Research):</t>
        </r>
        <r>
          <rPr>
            <sz val="9"/>
            <color indexed="81"/>
            <rFont val="Tahoma"/>
            <family val="2"/>
          </rPr>
          <t xml:space="preserve">
2/28/18: Total sales growth will be about 2 points higher than comps due to growth in square footage and international and the reclassification of Angel card income, offset by the extra week in 2017.</t>
        </r>
      </text>
    </comment>
    <comment ref="DT14" authorId="8">
      <text>
        <r>
          <rPr>
            <b/>
            <sz val="9"/>
            <color indexed="81"/>
            <rFont val="Tahoma"/>
            <family val="2"/>
          </rPr>
          <t>Cassel, Lauren (Research):</t>
        </r>
        <r>
          <rPr>
            <sz val="9"/>
            <color indexed="81"/>
            <rFont val="Tahoma"/>
            <family val="2"/>
          </rPr>
          <t xml:space="preserve">
2/28/18: guidance +2-4%</t>
        </r>
      </text>
    </comment>
    <comment ref="BF20" authorId="3">
      <text>
        <r>
          <rPr>
            <b/>
            <sz val="8"/>
            <color indexed="81"/>
            <rFont val="Tahoma"/>
            <family val="2"/>
          </rPr>
          <t>mm98285:</t>
        </r>
        <r>
          <rPr>
            <sz val="8"/>
            <color indexed="81"/>
            <rFont val="Tahoma"/>
            <family val="2"/>
          </rPr>
          <t xml:space="preserve">
restated per 2005 10-K from $1,230.234mm</t>
        </r>
      </text>
    </comment>
    <comment ref="BG20" authorId="1">
      <text>
        <r>
          <rPr>
            <b/>
            <sz val="8"/>
            <color indexed="81"/>
            <rFont val="Tahoma"/>
            <family val="2"/>
          </rPr>
          <t>dliu:</t>
        </r>
        <r>
          <rPr>
            <sz val="8"/>
            <color indexed="81"/>
            <rFont val="Tahoma"/>
            <family val="2"/>
          </rPr>
          <t xml:space="preserve">
GM decline of 140 bps related to expected reduction in mdse mgns, driven by declines in Bath and Bodyworks and Express, and by declines at Mast.</t>
        </r>
      </text>
    </comment>
    <comment ref="BJ20" authorId="3">
      <text>
        <r>
          <rPr>
            <b/>
            <sz val="8"/>
            <color indexed="81"/>
            <rFont val="Tahoma"/>
            <family val="2"/>
          </rPr>
          <t>mm98285:</t>
        </r>
        <r>
          <rPr>
            <sz val="8"/>
            <color indexed="81"/>
            <rFont val="Tahoma"/>
            <family val="2"/>
          </rPr>
          <t xml:space="preserve">
restated per 2005 10-K from $1,302.549mm</t>
        </r>
      </text>
    </comment>
    <comment ref="BK20" authorId="1">
      <text>
        <r>
          <rPr>
            <b/>
            <sz val="8"/>
            <color indexed="81"/>
            <rFont val="Tahoma"/>
            <family val="2"/>
          </rPr>
          <t>dliu:</t>
        </r>
        <r>
          <rPr>
            <sz val="8"/>
            <color indexed="81"/>
            <rFont val="Tahoma"/>
            <family val="2"/>
          </rPr>
          <t xml:space="preserve">
GM decline of 140 bps related to expected reduction in mdse mgns, driven by declines in Bath and Bodyworks and Express, and by declines at Mast.</t>
        </r>
      </text>
    </comment>
    <comment ref="BW20" authorId="3">
      <text>
        <r>
          <rPr>
            <b/>
            <sz val="8"/>
            <color indexed="81"/>
            <rFont val="Tahoma"/>
            <family val="2"/>
          </rPr>
          <t>mm98285:</t>
        </r>
        <r>
          <rPr>
            <sz val="8"/>
            <color indexed="81"/>
            <rFont val="Tahoma"/>
            <family val="2"/>
          </rPr>
          <t xml:space="preserve">
5/06: +mdse margin (VS &amp; Expss)
+levrg on buying &amp; occup
(GM up at VS, down at BBW, &amp; up sig. at Apparel) </t>
        </r>
      </text>
    </comment>
    <comment ref="BZ20" authorId="3">
      <text>
        <r>
          <rPr>
            <b/>
            <sz val="8"/>
            <color indexed="81"/>
            <rFont val="Tahoma"/>
            <family val="2"/>
          </rPr>
          <t>mm98285:</t>
        </r>
        <r>
          <rPr>
            <sz val="8"/>
            <color indexed="81"/>
            <rFont val="Tahoma"/>
            <family val="2"/>
          </rPr>
          <t xml:space="preserve">
2/28/08: $1,507.476 prior to restatement </t>
        </r>
      </text>
    </comment>
    <comment ref="CA20" authorId="3">
      <text>
        <r>
          <rPr>
            <b/>
            <sz val="8"/>
            <color indexed="81"/>
            <rFont val="Tahoma"/>
            <family val="2"/>
          </rPr>
          <t>mm98285:</t>
        </r>
        <r>
          <rPr>
            <sz val="8"/>
            <color indexed="81"/>
            <rFont val="Tahoma"/>
            <family val="2"/>
          </rPr>
          <t xml:space="preserve">
-merch margin (esp at VS)
flat B&amp;O exp
4/07: merch margin comments: Feb "down sig", March "down", April "down sig"
2/07: expect down
</t>
        </r>
      </text>
    </comment>
    <comment ref="CD20" authorId="3">
      <text>
        <r>
          <rPr>
            <b/>
            <sz val="8"/>
            <color indexed="81"/>
            <rFont val="Tahoma"/>
            <family val="2"/>
          </rPr>
          <t>mm98285:</t>
        </r>
        <r>
          <rPr>
            <sz val="8"/>
            <color indexed="81"/>
            <rFont val="Tahoma"/>
            <family val="2"/>
          </rPr>
          <t xml:space="preserve">
10Q: gross profit by division
</t>
        </r>
        <r>
          <rPr>
            <b/>
            <sz val="8"/>
            <color indexed="81"/>
            <rFont val="Tahoma"/>
            <family val="2"/>
          </rPr>
          <t>La Senza:</t>
        </r>
        <r>
          <rPr>
            <sz val="8"/>
            <color indexed="81"/>
            <rFont val="Tahoma"/>
            <family val="2"/>
          </rPr>
          <t xml:space="preserve"> +sig given increased sales and merch margins
</t>
        </r>
        <r>
          <rPr>
            <b/>
            <sz val="8"/>
            <color indexed="81"/>
            <rFont val="Tahoma"/>
            <family val="2"/>
          </rPr>
          <t>VSS</t>
        </r>
        <r>
          <rPr>
            <sz val="8"/>
            <color indexed="81"/>
            <rFont val="Tahoma"/>
            <family val="2"/>
          </rPr>
          <t xml:space="preserve">: down given higher B&amp;O exp associated w/RE expansion which more than offset higher merch margin (less promo activity and improved inv. mgmt)
</t>
        </r>
        <r>
          <rPr>
            <b/>
            <sz val="8"/>
            <color indexed="81"/>
            <rFont val="Tahoma"/>
            <family val="2"/>
          </rPr>
          <t>VSD</t>
        </r>
        <r>
          <rPr>
            <sz val="8"/>
            <color indexed="81"/>
            <rFont val="Tahoma"/>
            <family val="2"/>
          </rPr>
          <t xml:space="preserve">: down given higher B&amp;O associated w/new DC which more than offset higher merch margin (11% sales increase)
</t>
        </r>
        <r>
          <rPr>
            <b/>
            <sz val="8"/>
            <color indexed="81"/>
            <rFont val="Tahoma"/>
            <family val="2"/>
          </rPr>
          <t>BBW</t>
        </r>
        <r>
          <rPr>
            <sz val="8"/>
            <color indexed="81"/>
            <rFont val="Tahoma"/>
            <family val="2"/>
          </rPr>
          <t>: down given lower sales and higher B&amp;O associated with store RE activity</t>
        </r>
      </text>
    </comment>
    <comment ref="CE20" authorId="3">
      <text>
        <r>
          <rPr>
            <b/>
            <sz val="8"/>
            <color indexed="81"/>
            <rFont val="Tahoma"/>
            <family val="2"/>
          </rPr>
          <t>mm98285:</t>
        </r>
        <r>
          <rPr>
            <sz val="8"/>
            <color indexed="81"/>
            <rFont val="Tahoma"/>
            <family val="2"/>
          </rPr>
          <t xml:space="preserve">
-160 bps from net impact of the recognition of Mast sales to the Apparel business partially offset by the elimination of the lower margin Apparel division 
+50 bps: BBW GM up (higher merch margin on improved inventory) partially offset by VS GM down (increase in B&amp;O partially offset by increased merch margin)
2/08: expect GM down
8/07: elimination of lower margin apparel div. offset by impact of recognizing Mast sales results in -80 bps decrease in GM for the fall, and also on an annual basis</t>
        </r>
      </text>
    </comment>
    <comment ref="CI20" authorId="3">
      <text>
        <r>
          <rPr>
            <b/>
            <sz val="8"/>
            <color indexed="81"/>
            <rFont val="Tahoma"/>
            <family val="2"/>
          </rPr>
          <t xml:space="preserve">mm98285
</t>
        </r>
        <r>
          <rPr>
            <sz val="8"/>
            <color indexed="81"/>
            <rFont val="Tahoma"/>
            <family val="2"/>
          </rPr>
          <t>5/09: ~-200-250 bps B&amp;O delevg. partially offset by +50-100 bps higher merch. margins.  Although merch. margins were down ~150-200 bps at VS and BBW combined (higher promotional activity), this was offset by +150-200 bps (by our est's) benefit from decline of lower margin Mast sales (1Q -27%) &amp; ~50-100 bps (by our est's) from favorability in physical inventory results at VS and BBW</t>
        </r>
        <r>
          <rPr>
            <b/>
            <sz val="8"/>
            <color indexed="81"/>
            <rFont val="Tahoma"/>
            <family val="2"/>
          </rPr>
          <t xml:space="preserve">
</t>
        </r>
        <r>
          <rPr>
            <sz val="8"/>
            <color indexed="81"/>
            <rFont val="Tahoma"/>
            <family val="2"/>
          </rPr>
          <t>Assume B&amp;O delvg -220bps 
April Total +signif (we est. +200 bps); VS, BBW up; VSD down, LS -signif
Mar: Total +slight (we est +30), VSS -sig, VSD +slight, LS up, BBW down
Feb. MM: Total down (we est -170); VS, VSD, BBW -sig., LS up</t>
        </r>
        <r>
          <rPr>
            <sz val="8"/>
            <color indexed="81"/>
            <rFont val="Tahoma"/>
            <family val="2"/>
          </rPr>
          <t xml:space="preserve">
2/09: expect 1Q GM down signif.</t>
        </r>
      </text>
    </comment>
    <comment ref="CM20" authorId="3">
      <text>
        <r>
          <rPr>
            <sz val="8"/>
            <color indexed="81"/>
            <rFont val="Tahoma"/>
            <family val="2"/>
          </rPr>
          <t>merch margin = +~210
occupancy leverage = 210
(mgt indicated roughly equal)
2/10: expect up
Merch marg:
Feb: all brands up significantly
Mar: total up, VSD and La Senza up significantly, VSS and BBW up
April: total up sig; VSS &amp; BBW up sig; VSD up; and LS down sig.</t>
        </r>
      </text>
    </comment>
    <comment ref="CQ20" authorId="5">
      <text>
        <r>
          <rPr>
            <b/>
            <sz val="8"/>
            <color indexed="81"/>
            <rFont val="Tahoma"/>
            <family val="2"/>
          </rPr>
          <t>nicholjs:</t>
        </r>
        <r>
          <rPr>
            <sz val="8"/>
            <color indexed="81"/>
            <rFont val="Tahoma"/>
            <family val="2"/>
          </rPr>
          <t xml:space="preserve">
merchandise margin up slightly despite 80bps hit from Mast accounting change
primarily leverage of buying and occupancy expense
</t>
        </r>
        <r>
          <rPr>
            <b/>
            <sz val="8"/>
            <color indexed="81"/>
            <rFont val="Tahoma"/>
            <family val="2"/>
          </rPr>
          <t>February</t>
        </r>
        <r>
          <rPr>
            <sz val="8"/>
            <color indexed="81"/>
            <rFont val="Tahoma"/>
            <family val="2"/>
          </rPr>
          <t xml:space="preserve"> MM about flat to LY (VSS and La Senza down, VSD and BBW up to LY).  Excluding Pink, VS rate would have been about flat.  Pink impacted by higher air freight, mix shift to apparel vs. bras, promo (LY free panty w/ purch vs. TY free panty).
</t>
        </r>
        <r>
          <rPr>
            <b/>
            <sz val="8"/>
            <color indexed="81"/>
            <rFont val="Tahoma"/>
            <family val="2"/>
          </rPr>
          <t>March</t>
        </r>
        <r>
          <rPr>
            <sz val="8"/>
            <color indexed="81"/>
            <rFont val="Tahoma"/>
            <family val="2"/>
          </rPr>
          <t xml:space="preserve"> MM about flat to LY (VSS and BBW roughly flat, VSD up significantly, La Senza down significantly)
</t>
        </r>
        <r>
          <rPr>
            <b/>
            <sz val="8"/>
            <color indexed="81"/>
            <rFont val="Tahoma"/>
            <family val="2"/>
          </rPr>
          <t>April</t>
        </r>
        <r>
          <rPr>
            <sz val="8"/>
            <color indexed="81"/>
            <rFont val="Tahoma"/>
            <family val="2"/>
          </rPr>
          <t xml:space="preserve"> MM up to LY (La Senza up significantly, VSD up, BBW flat, VSS slightly lower)
2/2011: expect about flat to 35.9%.  Mast acctging change will impact 1Q and 2Q.
</t>
        </r>
      </text>
    </comment>
    <comment ref="CR20" authorId="6">
      <text>
        <r>
          <rPr>
            <b/>
            <sz val="8"/>
            <color indexed="81"/>
            <rFont val="Tahoma"/>
            <family val="2"/>
          </rPr>
          <t>kimberlg:</t>
        </r>
        <r>
          <rPr>
            <sz val="8"/>
            <color indexed="81"/>
            <rFont val="Tahoma"/>
            <family val="2"/>
          </rPr>
          <t xml:space="preserve">
we assume 40bps lvg B&amp;O and flat mdse marg</t>
        </r>
      </text>
    </comment>
    <comment ref="CT20" authorId="4">
      <text>
        <r>
          <rPr>
            <b/>
            <sz val="8"/>
            <color indexed="81"/>
            <rFont val="Tahoma"/>
            <family val="2"/>
          </rPr>
          <t>P Kahng:</t>
        </r>
        <r>
          <rPr>
            <sz val="8"/>
            <color indexed="81"/>
            <rFont val="Tahoma"/>
            <family val="2"/>
          </rPr>
          <t xml:space="preserve">
5/16/12: was $1,249.2</t>
        </r>
      </text>
    </comment>
    <comment ref="CU20" authorId="13">
      <text>
        <r>
          <rPr>
            <b/>
            <sz val="8"/>
            <color indexed="81"/>
            <rFont val="Tahoma"/>
            <family val="2"/>
          </rPr>
          <t xml:space="preserve">MM rate:
Feb: </t>
        </r>
        <r>
          <rPr>
            <sz val="8"/>
            <color indexed="81"/>
            <rFont val="Tahoma"/>
            <family val="2"/>
          </rPr>
          <t xml:space="preserve">Total company up significantly;
VSS down; BBW: down;
VSD down significantly; 
La Senza down significantly; 
</t>
        </r>
        <r>
          <rPr>
            <b/>
            <sz val="8"/>
            <color indexed="81"/>
            <rFont val="Tahoma"/>
            <family val="2"/>
          </rPr>
          <t>Mar:</t>
        </r>
        <r>
          <rPr>
            <sz val="8"/>
            <color indexed="81"/>
            <rFont val="Tahoma"/>
            <family val="2"/>
          </rPr>
          <t xml:space="preserve"> Total company down absent Mast sale (but up significantly)
VS: up; BBW: down; BBW: up; 
LS: up significantly)</t>
        </r>
        <r>
          <rPr>
            <b/>
            <sz val="8"/>
            <color indexed="81"/>
            <rFont val="Tahoma"/>
            <family val="2"/>
          </rPr>
          <t xml:space="preserve">
Apr:</t>
        </r>
        <r>
          <rPr>
            <sz val="8"/>
            <color indexed="81"/>
            <rFont val="Tahoma"/>
            <family val="2"/>
          </rPr>
          <t xml:space="preserve"> LTD down (but up signficantly due to sale of 3rd party apparel sourcing business)
VSS: down to LY driven by planned promotional activity and impact of mix shift from lingerie and pink from beauty
VSD: flat
BBW: flat
LS: down signficantly to LY driven by incremental promotional activity</t>
        </r>
        <r>
          <rPr>
            <b/>
            <sz val="8"/>
            <color indexed="81"/>
            <rFont val="Tahoma"/>
            <family val="2"/>
          </rPr>
          <t xml:space="preserve">
3/1/12: </t>
        </r>
        <r>
          <rPr>
            <sz val="8"/>
            <color indexed="81"/>
            <rFont val="Tahoma"/>
            <family val="2"/>
          </rPr>
          <t>Absent MAST sale, mdse margin rate would have been "down" in Feb</t>
        </r>
        <r>
          <rPr>
            <b/>
            <sz val="8"/>
            <color indexed="81"/>
            <rFont val="Tahoma"/>
            <family val="2"/>
          </rPr>
          <t xml:space="preserve">
2/22/12: </t>
        </r>
        <r>
          <rPr>
            <sz val="8"/>
            <color indexed="81"/>
            <rFont val="Tahoma"/>
            <family val="2"/>
          </rPr>
          <t>LY 38% rate +350bps for MAST adj -50bps for lower MM on continued sourcing cost inflation and +20bps on B&amp;O leverage less London flagship pre-open rent 10bps estimate. We adjusted by 40bps (30bps after Feb sales) for sandbagging.
"</t>
        </r>
        <r>
          <rPr>
            <sz val="8"/>
            <color indexed="81"/>
            <rFont val="Tahoma"/>
            <family val="2"/>
          </rPr>
          <t xml:space="preserve">Up significantly from 38% LY (sourcing sale impact favorable 350bps; excl this impact rate would be down to LY)"
</t>
        </r>
        <r>
          <rPr>
            <b/>
            <sz val="8"/>
            <color indexed="81"/>
            <rFont val="Tahoma"/>
            <family val="2"/>
          </rPr>
          <t xml:space="preserve">2/22/12: </t>
        </r>
        <r>
          <rPr>
            <sz val="8"/>
            <color indexed="81"/>
            <rFont val="Tahoma"/>
            <family val="2"/>
          </rPr>
          <t xml:space="preserve">Was at 41.8% 
+350bps MAST adjustment
</t>
        </r>
      </text>
    </comment>
    <comment ref="CV20" authorId="6">
      <text>
        <r>
          <rPr>
            <b/>
            <sz val="8"/>
            <color indexed="81"/>
            <rFont val="Tahoma"/>
            <family val="2"/>
          </rPr>
          <t>kimberlg:</t>
        </r>
        <r>
          <rPr>
            <sz val="8"/>
            <color indexed="81"/>
            <rFont val="Tahoma"/>
            <family val="2"/>
          </rPr>
          <t xml:space="preserve">
5/3/12 we est GM +400bps comprised of:
+350bps sale of MAST
+100-150bps lvg B&amp;O
-50 to -100 bps mdse margin decline ("down" all months of the quarter)
</t>
        </r>
      </text>
    </comment>
    <comment ref="CY20" authorId="13">
      <text>
        <r>
          <rPr>
            <b/>
            <sz val="8"/>
            <color indexed="81"/>
            <rFont val="Tahoma"/>
            <family val="2"/>
          </rPr>
          <t xml:space="preserve">5/22/13: </t>
        </r>
        <r>
          <rPr>
            <sz val="8"/>
            <color indexed="81"/>
            <rFont val="Tahoma"/>
            <family val="2"/>
          </rPr>
          <t>gross profit: VS down, BBW flat</t>
        </r>
        <r>
          <rPr>
            <b/>
            <sz val="8"/>
            <color indexed="81"/>
            <rFont val="Tahoma"/>
            <family val="2"/>
          </rPr>
          <t xml:space="preserve">
MM rate:
Feb: </t>
        </r>
        <r>
          <rPr>
            <sz val="8"/>
            <color indexed="81"/>
            <rFont val="Tahoma"/>
            <family val="2"/>
          </rPr>
          <t xml:space="preserve">Total company up significantly;
VSS down; BBW: down;
VSD down significantly; 
La Senza down significantly; 
</t>
        </r>
        <r>
          <rPr>
            <b/>
            <sz val="8"/>
            <color indexed="81"/>
            <rFont val="Tahoma"/>
            <family val="2"/>
          </rPr>
          <t>Mar:</t>
        </r>
        <r>
          <rPr>
            <sz val="8"/>
            <color indexed="81"/>
            <rFont val="Tahoma"/>
            <family val="2"/>
          </rPr>
          <t xml:space="preserve"> Total company down absent Mast sale (but up significantly)
VS: up; BBW: down; BBW: up; 
LS: up significantly)</t>
        </r>
        <r>
          <rPr>
            <b/>
            <sz val="8"/>
            <color indexed="81"/>
            <rFont val="Tahoma"/>
            <family val="2"/>
          </rPr>
          <t xml:space="preserve">
Apr:</t>
        </r>
        <r>
          <rPr>
            <sz val="8"/>
            <color indexed="81"/>
            <rFont val="Tahoma"/>
            <family val="2"/>
          </rPr>
          <t xml:space="preserve"> LTD down (but up signficantly due to sale of 3rd party apparel sourcing business)
VSS: down to LY driven by planned promotional activity and impact of mix shift from lingerie and pink from beauty
VSD: flat
BBW: flat
LS: down signficantly to LY driven by incremental promotional activity</t>
        </r>
        <r>
          <rPr>
            <b/>
            <sz val="8"/>
            <color indexed="81"/>
            <rFont val="Tahoma"/>
            <family val="2"/>
          </rPr>
          <t xml:space="preserve">
3/1/12: </t>
        </r>
        <r>
          <rPr>
            <sz val="8"/>
            <color indexed="81"/>
            <rFont val="Tahoma"/>
            <family val="2"/>
          </rPr>
          <t>Absent MAST sale, mdse margin rate would have been "down" in Feb</t>
        </r>
        <r>
          <rPr>
            <b/>
            <sz val="8"/>
            <color indexed="81"/>
            <rFont val="Tahoma"/>
            <family val="2"/>
          </rPr>
          <t xml:space="preserve">
2/22/12: </t>
        </r>
        <r>
          <rPr>
            <sz val="8"/>
            <color indexed="81"/>
            <rFont val="Tahoma"/>
            <family val="2"/>
          </rPr>
          <t>LY 38% rate +350bps for MAST adj -50bps for lower MM on continued sourcing cost inflation and +20bps on B&amp;O leverage less London flagship pre-open rent 10bps estimate. We adjusted by 40bps (30bps after Feb sales) for sandbagging.
"</t>
        </r>
        <r>
          <rPr>
            <sz val="8"/>
            <color indexed="81"/>
            <rFont val="Tahoma"/>
            <family val="2"/>
          </rPr>
          <t xml:space="preserve">Up significantly from 38% LY (sourcing sale impact favorable 350bps; excl this impact rate would be down to LY)"
</t>
        </r>
        <r>
          <rPr>
            <b/>
            <sz val="8"/>
            <color indexed="81"/>
            <rFont val="Tahoma"/>
            <family val="2"/>
          </rPr>
          <t xml:space="preserve">2/22/12: </t>
        </r>
        <r>
          <rPr>
            <sz val="8"/>
            <color indexed="81"/>
            <rFont val="Tahoma"/>
            <family val="2"/>
          </rPr>
          <t xml:space="preserve">Was at 41.8% 
+350bps MAST adjustment
</t>
        </r>
      </text>
    </comment>
    <comment ref="DC20" authorId="0">
      <text>
        <r>
          <rPr>
            <b/>
            <sz val="8"/>
            <color indexed="81"/>
            <rFont val="Tahoma"/>
            <family val="2"/>
          </rPr>
          <t>casselau:</t>
        </r>
        <r>
          <rPr>
            <sz val="8"/>
            <color indexed="81"/>
            <rFont val="Tahoma"/>
            <family val="2"/>
          </rPr>
          <t xml:space="preserve">
2/26/14: guidance down from LY; slight merchandise margin decrease and buying &amp; occupancy deleverage </t>
        </r>
      </text>
    </comment>
    <comment ref="DD20" authorId="0">
      <text>
        <r>
          <rPr>
            <b/>
            <sz val="9"/>
            <color indexed="81"/>
            <rFont val="Tahoma"/>
            <family val="2"/>
          </rPr>
          <t>casselau:</t>
        </r>
        <r>
          <rPr>
            <sz val="9"/>
            <color indexed="81"/>
            <rFont val="Tahoma"/>
            <family val="2"/>
          </rPr>
          <t xml:space="preserve">
5/21/14: 20 bps driven by merch margin, 20 bps from B&amp;O deleverage</t>
        </r>
      </text>
    </comment>
    <comment ref="DG20" authorId="12">
      <text>
        <r>
          <rPr>
            <b/>
            <sz val="9"/>
            <color indexed="81"/>
            <rFont val="Tahoma"/>
            <family val="2"/>
          </rPr>
          <t>casselau:
driven by increase in merch margin; B&amp;O flat</t>
        </r>
        <r>
          <rPr>
            <sz val="9"/>
            <color indexed="81"/>
            <rFont val="Tahoma"/>
            <family val="2"/>
          </rPr>
          <t xml:space="preserve">
2/25/15 Guidance: About flat to LY</t>
        </r>
      </text>
    </comment>
    <comment ref="DJ20" authorId="8">
      <text>
        <r>
          <rPr>
            <b/>
            <sz val="9"/>
            <color indexed="81"/>
            <rFont val="Tahoma"/>
            <family val="2"/>
          </rPr>
          <t>Cassel, Lauren (Research):</t>
        </r>
        <r>
          <rPr>
            <sz val="9"/>
            <color indexed="81"/>
            <rFont val="Tahoma"/>
            <family val="2"/>
          </rPr>
          <t xml:space="preserve">
5/18/16: excludes pre-tax charges related previously
announced actions at Victoria’s Secret, including severance charges, fabric cancellations and the write-off of catalogue paper.</t>
        </r>
      </text>
    </comment>
    <comment ref="DK20" authorId="0">
      <text>
        <r>
          <rPr>
            <b/>
            <sz val="9"/>
            <color indexed="81"/>
            <rFont val="Tahoma"/>
            <family val="2"/>
          </rPr>
          <t xml:space="preserve">casselau:
5/18/16: decline dirven by a decrease in the merchandise margin rate and B&amp;O deleverage. Merch margin decline was primarily driven by VS and FX pressure
Monthly merch margin cadence: 
- </t>
        </r>
        <r>
          <rPr>
            <sz val="9"/>
            <color indexed="81"/>
            <rFont val="Tahoma"/>
            <family val="2"/>
          </rPr>
          <t>Feb down (VS down driven by beauty and FX; BBW up but impacted by FX)
- March down (VS down driven by beauty and FX; BBW up slighty but impacted by FX)
- April down (VS down driven by beauty, higher secret reward redemptions, and FX; BBW flat driven by FX)
2/24/16: guidance down to LY (merch margin lower due to FX and B&amp;O deleverage); B&amp;O more significant; 5th avenue the biggest driver (opens in November)</t>
        </r>
      </text>
    </comment>
    <comment ref="DO20" authorId="8">
      <text>
        <r>
          <rPr>
            <b/>
            <sz val="9"/>
            <color indexed="81"/>
            <rFont val="Tahoma"/>
            <family val="2"/>
          </rPr>
          <t xml:space="preserve">Cassel, Lauren (Research):
5/17/17: decline principally driven by B&amp;O deleverage (a little over 2/3 of decline), remainder decline in merchandise margin rate
- Total company Feburary merch margin </t>
        </r>
        <r>
          <rPr>
            <sz val="9"/>
            <color indexed="81"/>
            <rFont val="Tahoma"/>
            <family val="2"/>
          </rPr>
          <t>was</t>
        </r>
        <r>
          <rPr>
            <b/>
            <sz val="9"/>
            <color indexed="81"/>
            <rFont val="Tahoma"/>
            <family val="2"/>
          </rPr>
          <t xml:space="preserve"> down significantly: VS down significantly </t>
        </r>
        <r>
          <rPr>
            <sz val="9"/>
            <color indexed="81"/>
            <rFont val="Tahoma"/>
            <family val="2"/>
          </rPr>
          <t>primarily due to promotional events to drive traffic</t>
        </r>
        <r>
          <rPr>
            <b/>
            <sz val="9"/>
            <color indexed="81"/>
            <rFont val="Tahoma"/>
            <family val="2"/>
          </rPr>
          <t xml:space="preserve">; BBW down </t>
        </r>
        <r>
          <rPr>
            <sz val="9"/>
            <color indexed="81"/>
            <rFont val="Tahoma"/>
            <family val="2"/>
          </rPr>
          <t>driven by promotional activity</t>
        </r>
        <r>
          <rPr>
            <b/>
            <sz val="9"/>
            <color indexed="81"/>
            <rFont val="Tahoma"/>
            <family val="2"/>
          </rPr>
          <t xml:space="preserve">
- Total company March merch margin </t>
        </r>
        <r>
          <rPr>
            <sz val="9"/>
            <color indexed="81"/>
            <rFont val="Tahoma"/>
            <family val="2"/>
          </rPr>
          <t>was</t>
        </r>
        <r>
          <rPr>
            <b/>
            <sz val="9"/>
            <color indexed="81"/>
            <rFont val="Tahoma"/>
            <family val="2"/>
          </rPr>
          <t xml:space="preserve"> down: VS down </t>
        </r>
        <r>
          <rPr>
            <sz val="9"/>
            <color indexed="81"/>
            <rFont val="Tahoma"/>
            <family val="2"/>
          </rPr>
          <t xml:space="preserve">primarily due to promotional events to drive traffic and the impact of exiting non-core businesses; </t>
        </r>
        <r>
          <rPr>
            <b/>
            <sz val="9"/>
            <color indexed="81"/>
            <rFont val="Tahoma"/>
            <family val="2"/>
          </rPr>
          <t xml:space="preserve">BBW up
- Total company April merch margin </t>
        </r>
        <r>
          <rPr>
            <sz val="9"/>
            <color indexed="81"/>
            <rFont val="Tahoma"/>
            <family val="2"/>
          </rPr>
          <t>was</t>
        </r>
        <r>
          <rPr>
            <b/>
            <sz val="9"/>
            <color indexed="81"/>
            <rFont val="Tahoma"/>
            <family val="2"/>
          </rPr>
          <t xml:space="preserve"> up: VS about flat</t>
        </r>
        <r>
          <rPr>
            <sz val="9"/>
            <color indexed="81"/>
            <rFont val="Tahoma"/>
            <family val="2"/>
          </rPr>
          <t xml:space="preserve"> as a decline in lingerie was offset by an improvement in beauty; </t>
        </r>
        <r>
          <rPr>
            <b/>
            <sz val="9"/>
            <color indexed="81"/>
            <rFont val="Tahoma"/>
            <family val="2"/>
          </rPr>
          <t>BBW up
2/22/17: guidance down significantly primarily driven by buying and occupancy expense deleverage</t>
        </r>
        <r>
          <rPr>
            <sz val="9"/>
            <color indexed="81"/>
            <rFont val="Tahoma"/>
            <family val="2"/>
          </rPr>
          <t xml:space="preserve">
1/11/17: we estimate 70 bps B&amp;O deleverage  and flat merch margin</t>
        </r>
      </text>
    </comment>
    <comment ref="DT20" authorId="8">
      <text>
        <r>
          <rPr>
            <b/>
            <sz val="9"/>
            <color indexed="81"/>
            <rFont val="Tahoma"/>
            <family val="2"/>
          </rPr>
          <t xml:space="preserve">Cassel, Lauren (Research):
</t>
        </r>
        <r>
          <rPr>
            <sz val="9"/>
            <color indexed="81"/>
            <rFont val="Tahoma"/>
            <family val="2"/>
          </rPr>
          <t xml:space="preserve">- Total company </t>
        </r>
        <r>
          <rPr>
            <b/>
            <sz val="9"/>
            <color indexed="81"/>
            <rFont val="Tahoma"/>
            <family val="2"/>
          </rPr>
          <t xml:space="preserve">Feb </t>
        </r>
        <r>
          <rPr>
            <sz val="9"/>
            <color indexed="81"/>
            <rFont val="Tahoma"/>
            <family val="2"/>
          </rPr>
          <t>merch margin</t>
        </r>
        <r>
          <rPr>
            <b/>
            <sz val="9"/>
            <color indexed="81"/>
            <rFont val="Tahoma"/>
            <family val="2"/>
          </rPr>
          <t xml:space="preserve"> down </t>
        </r>
        <r>
          <rPr>
            <sz val="9"/>
            <color indexed="81"/>
            <rFont val="Tahoma"/>
            <family val="2"/>
          </rPr>
          <t xml:space="preserve">vs. LY; </t>
        </r>
        <r>
          <rPr>
            <b/>
            <sz val="9"/>
            <color indexed="81"/>
            <rFont val="Tahoma"/>
            <family val="2"/>
          </rPr>
          <t xml:space="preserve">VS down significantly </t>
        </r>
        <r>
          <rPr>
            <sz val="9"/>
            <color indexed="81"/>
            <rFont val="Tahoma"/>
            <family val="2"/>
          </rPr>
          <t>vs. LY driven by additional promotional activity in order to drive traffic (majority driven by PINK but VS also down;</t>
        </r>
        <r>
          <rPr>
            <b/>
            <sz val="9"/>
            <color indexed="81"/>
            <rFont val="Tahoma"/>
            <family val="2"/>
          </rPr>
          <t xml:space="preserve"> BBW about flat</t>
        </r>
        <r>
          <rPr>
            <sz val="9"/>
            <color indexed="81"/>
            <rFont val="Tahoma"/>
            <family val="2"/>
          </rPr>
          <t xml:space="preserve">
</t>
        </r>
        <r>
          <rPr>
            <b/>
            <sz val="9"/>
            <color indexed="81"/>
            <rFont val="Tahoma"/>
            <family val="2"/>
          </rPr>
          <t xml:space="preserve">- </t>
        </r>
        <r>
          <rPr>
            <sz val="9"/>
            <color indexed="81"/>
            <rFont val="Tahoma"/>
            <family val="2"/>
          </rPr>
          <t xml:space="preserve">Total company </t>
        </r>
        <r>
          <rPr>
            <b/>
            <sz val="9"/>
            <color indexed="81"/>
            <rFont val="Tahoma"/>
            <family val="2"/>
          </rPr>
          <t xml:space="preserve">March </t>
        </r>
        <r>
          <rPr>
            <sz val="9"/>
            <color indexed="81"/>
            <rFont val="Tahoma"/>
            <family val="2"/>
          </rPr>
          <t xml:space="preserve">merch margin </t>
        </r>
        <r>
          <rPr>
            <b/>
            <sz val="9"/>
            <color indexed="81"/>
            <rFont val="Tahoma"/>
            <family val="2"/>
          </rPr>
          <t xml:space="preserve">down </t>
        </r>
        <r>
          <rPr>
            <sz val="9"/>
            <color indexed="81"/>
            <rFont val="Tahoma"/>
            <family val="2"/>
          </rPr>
          <t xml:space="preserve">vs. LY, below expectations; </t>
        </r>
        <r>
          <rPr>
            <b/>
            <sz val="9"/>
            <color indexed="81"/>
            <rFont val="Tahoma"/>
            <family val="2"/>
          </rPr>
          <t>VS</t>
        </r>
        <r>
          <rPr>
            <sz val="9"/>
            <color indexed="81"/>
            <rFont val="Tahoma"/>
            <family val="2"/>
          </rPr>
          <t xml:space="preserve"> </t>
        </r>
        <r>
          <rPr>
            <b/>
            <sz val="9"/>
            <color indexed="81"/>
            <rFont val="Tahoma"/>
            <family val="2"/>
          </rPr>
          <t xml:space="preserve">down significantly </t>
        </r>
        <r>
          <rPr>
            <sz val="9"/>
            <color indexed="81"/>
            <rFont val="Tahoma"/>
            <family val="2"/>
          </rPr>
          <t xml:space="preserve">vs. LY driven by additional promotional activity in order to drive traffic; </t>
        </r>
        <r>
          <rPr>
            <b/>
            <sz val="9"/>
            <color indexed="81"/>
            <rFont val="Tahoma"/>
            <family val="2"/>
          </rPr>
          <t>BBW about flat</t>
        </r>
        <r>
          <rPr>
            <sz val="9"/>
            <color indexed="81"/>
            <rFont val="Tahoma"/>
            <family val="2"/>
          </rPr>
          <t xml:space="preserve">
</t>
        </r>
        <r>
          <rPr>
            <b/>
            <sz val="9"/>
            <color indexed="81"/>
            <rFont val="Tahoma"/>
            <family val="2"/>
          </rPr>
          <t>2/28/18: We expect the first quarter gross margin rate to be down slightly to last year, driven by a decline in merchandise margin rate, partially offset by buying and occupancy expense leverage.</t>
        </r>
      </text>
    </comment>
    <comment ref="BF21" authorId="3">
      <text>
        <r>
          <rPr>
            <b/>
            <sz val="8"/>
            <color indexed="81"/>
            <rFont val="Tahoma"/>
            <family val="2"/>
          </rPr>
          <t>mm98285:</t>
        </r>
        <r>
          <rPr>
            <sz val="8"/>
            <color indexed="81"/>
            <rFont val="Tahoma"/>
            <family val="2"/>
          </rPr>
          <t xml:space="preserve">
restated per 2005 10-K from $1,311.882mm</t>
        </r>
      </text>
    </comment>
    <comment ref="BJ21" authorId="3">
      <text>
        <r>
          <rPr>
            <b/>
            <sz val="8"/>
            <color indexed="81"/>
            <rFont val="Tahoma"/>
            <family val="2"/>
          </rPr>
          <t>mm98285:</t>
        </r>
        <r>
          <rPr>
            <sz val="8"/>
            <color indexed="81"/>
            <rFont val="Tahoma"/>
            <family val="2"/>
          </rPr>
          <t xml:space="preserve">
restated per 2005 10-K from $1,412.863mm</t>
        </r>
      </text>
    </comment>
    <comment ref="BW21" authorId="3">
      <text>
        <r>
          <rPr>
            <b/>
            <sz val="8"/>
            <color indexed="81"/>
            <rFont val="Tahoma"/>
            <family val="2"/>
          </rPr>
          <t>mm98285:</t>
        </r>
        <r>
          <rPr>
            <sz val="8"/>
            <color indexed="81"/>
            <rFont val="Tahoma"/>
            <family val="2"/>
          </rPr>
          <t xml:space="preserve">
8/06: +230 bps combo of mdse margin incrs. at Express, and buying &amp; occup levrg at all div's</t>
        </r>
      </text>
    </comment>
    <comment ref="BZ21" authorId="3">
      <text>
        <r>
          <rPr>
            <b/>
            <sz val="8"/>
            <color indexed="81"/>
            <rFont val="Tahoma"/>
            <family val="2"/>
          </rPr>
          <t>mm98285:</t>
        </r>
        <r>
          <rPr>
            <sz val="8"/>
            <color indexed="81"/>
            <rFont val="Tahoma"/>
            <family val="2"/>
          </rPr>
          <t xml:space="preserve">
2/28/08: $1,803.181 prior to restatement </t>
        </r>
      </text>
    </comment>
    <comment ref="CA21" authorId="3">
      <text>
        <r>
          <rPr>
            <b/>
            <sz val="8"/>
            <color indexed="81"/>
            <rFont val="Tahoma"/>
            <family val="2"/>
          </rPr>
          <t>mm98285:</t>
        </r>
        <r>
          <rPr>
            <sz val="8"/>
            <color indexed="81"/>
            <rFont val="Tahoma"/>
            <family val="2"/>
          </rPr>
          <t xml:space="preserve">
-350 bps given decline in merch margin, particularly @ BBW.
6/07: merch margin comments: May "down", June "down sig", July "down sig"
</t>
        </r>
      </text>
    </comment>
    <comment ref="CE21" authorId="3">
      <text>
        <r>
          <rPr>
            <b/>
            <sz val="8"/>
            <color indexed="81"/>
            <rFont val="Tahoma"/>
            <family val="2"/>
          </rPr>
          <t>mm98285:</t>
        </r>
        <r>
          <rPr>
            <sz val="8"/>
            <color indexed="81"/>
            <rFont val="Tahoma"/>
            <family val="2"/>
          </rPr>
          <t xml:space="preserve">
8/08: GM +340 bps ex recognition of Mast sales to Apparel business, partially offset by elimination of lower margin Apparel div. GM up at VS &amp; +sig. at BBW. Merch margin +sig at both divs partially offset by B&amp;O deleverage at both divs
8/7: July MM: Total, La Senza, VSS, BBW +sig., VSD -sig.
5/08: guided to roughly flat
1/08: expect improving margins given inventory write down at BBW LY (which contributed to ~600 bps of segment OM deterioration)
8/07: elimination of lower margin apparel div. offset by impact of recognizing Mast sales results in -80 bps decrease in GM for the fall, and also on an annual basis
</t>
        </r>
      </text>
    </comment>
    <comment ref="CI21" authorId="3">
      <text>
        <r>
          <rPr>
            <b/>
            <sz val="8"/>
            <color indexed="81"/>
            <rFont val="Tahoma"/>
            <family val="2"/>
          </rPr>
          <t>mm98285:</t>
        </r>
        <r>
          <rPr>
            <sz val="8"/>
            <color indexed="81"/>
            <rFont val="Tahoma"/>
            <family val="2"/>
          </rPr>
          <t xml:space="preserve">
~-100 bps B&amp;O deleverage on -9% comp 
Flat merch. mgn: VS down (higher promos), BBW +slightly, &amp; +100 bps from decline of lower mgn Mast sales (2Q -12.8%). 
Merch. Margin: 
</t>
        </r>
        <r>
          <rPr>
            <u/>
            <sz val="8"/>
            <color indexed="81"/>
            <rFont val="Tahoma"/>
            <family val="2"/>
          </rPr>
          <t>May</t>
        </r>
        <r>
          <rPr>
            <sz val="8"/>
            <color indexed="81"/>
            <rFont val="Tahoma"/>
            <family val="2"/>
          </rPr>
          <t xml:space="preserve"> total, BBW, LS down; VSS, VSD -signif.
</t>
        </r>
        <r>
          <rPr>
            <u/>
            <sz val="8"/>
            <color indexed="81"/>
            <rFont val="Tahoma"/>
            <family val="2"/>
          </rPr>
          <t xml:space="preserve">June: </t>
        </r>
        <r>
          <rPr>
            <sz val="8"/>
            <color indexed="81"/>
            <rFont val="Tahoma"/>
            <family val="2"/>
          </rPr>
          <t xml:space="preserve">total, VS -signif, VSD, La Senza down, BBW flat
</t>
        </r>
        <r>
          <rPr>
            <u/>
            <sz val="8"/>
            <color indexed="81"/>
            <rFont val="Tahoma"/>
            <family val="2"/>
          </rPr>
          <t>July</t>
        </r>
        <r>
          <rPr>
            <sz val="8"/>
            <color indexed="81"/>
            <rFont val="Tahoma"/>
            <family val="2"/>
          </rPr>
          <t xml:space="preserve">: total up; BBW +signif, VSD up, VS down, LS -signif
5/09: expect down significantly 
</t>
        </r>
      </text>
    </comment>
    <comment ref="CM21" authorId="9">
      <text>
        <r>
          <rPr>
            <sz val="8"/>
            <color indexed="81"/>
            <rFont val="Tahoma"/>
            <family val="2"/>
          </rPr>
          <t>B+O deleveraged slightly (we est. 10-20 bps)
merch margin ~+250 bps
5/10: expect up
May MM up significantly (all segments up)  June MM up significantly (VSS +up significantly, VSD +up, La Senza -down significantly, +up significantly)
July MM up (VSS +up, VSD +up significantly, La Senza +up significantly, +up)</t>
        </r>
      </text>
    </comment>
    <comment ref="CQ21" authorId="5">
      <text>
        <r>
          <rPr>
            <b/>
            <sz val="8"/>
            <color indexed="81"/>
            <rFont val="Tahoma"/>
            <family val="2"/>
          </rPr>
          <t>nicholjs:</t>
        </r>
        <r>
          <rPr>
            <sz val="8"/>
            <color indexed="81"/>
            <rFont val="Tahoma"/>
            <family val="2"/>
          </rPr>
          <t xml:space="preserve">
primarily B+O leverage, although MM was up slightly despite a 60 bps hit from Mast
</t>
        </r>
        <r>
          <rPr>
            <b/>
            <sz val="8"/>
            <color indexed="81"/>
            <rFont val="Tahoma"/>
            <family val="2"/>
          </rPr>
          <t>July MM</t>
        </r>
        <r>
          <rPr>
            <sz val="8"/>
            <color indexed="81"/>
            <rFont val="Tahoma"/>
            <family val="2"/>
          </rPr>
          <t xml:space="preserve"> up significantly (VSS up significantly, VSD up, BBW up slightly, La Senza down significantly)
</t>
        </r>
        <r>
          <rPr>
            <sz val="8"/>
            <color indexed="81"/>
            <rFont val="Tahoma"/>
            <family val="2"/>
          </rPr>
          <t>July MM at VSS and VSD should benefit from lower clearance/fewer promos (less carryover redlines at VS and 7 days less Semi Annual sale at VSD)</t>
        </r>
        <r>
          <rPr>
            <sz val="8"/>
            <color indexed="81"/>
            <rFont val="Tahoma"/>
            <family val="2"/>
          </rPr>
          <t xml:space="preserve">
</t>
        </r>
        <r>
          <rPr>
            <b/>
            <sz val="8"/>
            <color indexed="81"/>
            <rFont val="Tahoma"/>
            <family val="2"/>
          </rPr>
          <t>June MM</t>
        </r>
        <r>
          <rPr>
            <sz val="8"/>
            <color indexed="81"/>
            <rFont val="Tahoma"/>
            <family val="2"/>
          </rPr>
          <t xml:space="preserve"> about flat to LY (VSD up significantly, BBW up, VSS down, La Senza down significantly)
</t>
        </r>
        <r>
          <rPr>
            <b/>
            <sz val="8"/>
            <color indexed="81"/>
            <rFont val="Tahoma"/>
            <family val="2"/>
          </rPr>
          <t xml:space="preserve">May MM </t>
        </r>
        <r>
          <rPr>
            <sz val="8"/>
            <color indexed="81"/>
            <rFont val="Tahoma"/>
            <family val="2"/>
          </rPr>
          <t>down to LY (VSD up significantly, BBW up, VSS down slightly, La Senza down significantly)
7/2011: on +9% comp, B+O leverage could be about 120 bps
5/2011: expect up vs. LY
2/2011: Mast acctging change will impact 1Q and 2Q.</t>
        </r>
      </text>
    </comment>
    <comment ref="CT21" authorId="0">
      <text>
        <r>
          <rPr>
            <b/>
            <sz val="8"/>
            <color indexed="81"/>
            <rFont val="Tahoma"/>
            <family val="2"/>
          </rPr>
          <t>casselau:</t>
        </r>
        <r>
          <rPr>
            <sz val="8"/>
            <color indexed="81"/>
            <rFont val="Tahoma"/>
            <family val="2"/>
          </rPr>
          <t xml:space="preserve">
11/14/12: excludes 3.6M of store closure costs at la senza</t>
        </r>
      </text>
    </comment>
    <comment ref="CU21" authorId="13">
      <text>
        <r>
          <rPr>
            <b/>
            <sz val="8"/>
            <color indexed="81"/>
            <rFont val="Tahoma"/>
            <family val="2"/>
          </rPr>
          <t xml:space="preserve">Merch Marg
May: </t>
        </r>
        <r>
          <rPr>
            <sz val="8"/>
            <color indexed="81"/>
            <rFont val="Tahoma"/>
            <family val="2"/>
          </rPr>
          <t>LTD: up significantly; VSS: down; VSD: about flat; LS: up significantly; BBW: about flat</t>
        </r>
        <r>
          <rPr>
            <b/>
            <sz val="8"/>
            <color indexed="81"/>
            <rFont val="Tahoma"/>
            <family val="2"/>
          </rPr>
          <t xml:space="preserve">
June: </t>
        </r>
        <r>
          <rPr>
            <sz val="8"/>
            <color indexed="81"/>
            <rFont val="Tahoma"/>
            <family val="2"/>
          </rPr>
          <t>LTD: about flat; VSS: about flat; VSD: down significantly; BBW: up significantly; LS: down signficantly</t>
        </r>
        <r>
          <rPr>
            <b/>
            <sz val="8"/>
            <color indexed="81"/>
            <rFont val="Tahoma"/>
            <family val="2"/>
          </rPr>
          <t xml:space="preserve">
July: </t>
        </r>
        <r>
          <rPr>
            <sz val="8"/>
            <color indexed="81"/>
            <rFont val="Tahoma"/>
            <family val="2"/>
          </rPr>
          <t xml:space="preserve">LTD: down significantly; VSS:  down significantly; VSD: down significantly; BBW: down significantly; LS: down significantly
</t>
        </r>
        <r>
          <rPr>
            <b/>
            <sz val="8"/>
            <color indexed="81"/>
            <rFont val="Tahoma"/>
            <family val="2"/>
          </rPr>
          <t xml:space="preserve">
5/17/12: </t>
        </r>
        <r>
          <rPr>
            <sz val="8"/>
            <color indexed="81"/>
            <rFont val="Tahoma"/>
            <family val="2"/>
          </rPr>
          <t>LY 36.7% +300bps for Mast adj -15bps on cost inflation, +10bps on B&amp;O Leverage, -15bp on London flagship exp</t>
        </r>
        <r>
          <rPr>
            <b/>
            <sz val="8"/>
            <color indexed="81"/>
            <rFont val="Tahoma"/>
            <family val="2"/>
          </rPr>
          <t xml:space="preserve">
5/16/12: </t>
        </r>
        <r>
          <rPr>
            <sz val="8"/>
            <color indexed="81"/>
            <rFont val="Tahoma"/>
            <family val="2"/>
          </rPr>
          <t>Up significantly from 36.7% LY (sourcing sale impact favorable 300bps: excl this impact rate would be down slightly to LY)</t>
        </r>
        <r>
          <rPr>
            <b/>
            <sz val="8"/>
            <color indexed="81"/>
            <rFont val="Tahoma"/>
            <family val="2"/>
          </rPr>
          <t xml:space="preserve">
2/22/12:</t>
        </r>
        <r>
          <rPr>
            <sz val="8"/>
            <color indexed="81"/>
            <rFont val="Tahoma"/>
            <family val="2"/>
          </rPr>
          <t xml:space="preserve"> LY 36.7% + 300bps for Mast adj -15bps for continued cost inflation +30bps on B&amp;O leverage on 5% comp  less London flagship pre-open rent 10bps estimate
</t>
        </r>
        <r>
          <rPr>
            <b/>
            <sz val="8"/>
            <color indexed="81"/>
            <rFont val="Tahoma"/>
            <family val="2"/>
          </rPr>
          <t xml:space="preserve">lauraro: </t>
        </r>
        <r>
          <rPr>
            <sz val="8"/>
            <color indexed="81"/>
            <rFont val="Tahoma"/>
            <family val="2"/>
          </rPr>
          <t>+300 bps MAST adjustment</t>
        </r>
      </text>
    </comment>
    <comment ref="CV21" authorId="6">
      <text>
        <r>
          <rPr>
            <b/>
            <sz val="8"/>
            <color indexed="81"/>
            <rFont val="Tahoma"/>
            <family val="2"/>
          </rPr>
          <t>kimberlg:</t>
        </r>
        <r>
          <rPr>
            <sz val="8"/>
            <color indexed="81"/>
            <rFont val="Tahoma"/>
            <family val="2"/>
          </rPr>
          <t xml:space="preserve">
May mdse margin: flat ex MAST
June mdse margin: flat ex MAST</t>
        </r>
      </text>
    </comment>
    <comment ref="CY21" authorId="0">
      <text>
        <r>
          <rPr>
            <b/>
            <sz val="8"/>
            <color indexed="81"/>
            <rFont val="Tahoma"/>
            <family val="2"/>
          </rPr>
          <t>casselau:</t>
        </r>
        <r>
          <rPr>
            <sz val="8"/>
            <color indexed="81"/>
            <rFont val="Tahoma"/>
            <family val="2"/>
          </rPr>
          <t xml:space="preserve">
5/22/13 guidance: down vs. LY</t>
        </r>
      </text>
    </comment>
    <comment ref="CZ21" authorId="6">
      <text>
        <r>
          <rPr>
            <b/>
            <sz val="8"/>
            <color indexed="81"/>
            <rFont val="Tahoma"/>
            <family val="2"/>
          </rPr>
          <t xml:space="preserve">casselau:
8/8/13: </t>
        </r>
        <r>
          <rPr>
            <sz val="8"/>
            <color indexed="81"/>
            <rFont val="Tahoma"/>
            <family val="2"/>
          </rPr>
          <t>Per Amie: deleverage B&amp;O slightly (barely) on +2% comp</t>
        </r>
        <r>
          <rPr>
            <b/>
            <sz val="8"/>
            <color indexed="81"/>
            <rFont val="Tahoma"/>
            <family val="2"/>
          </rPr>
          <t xml:space="preserve">
kimberlg:</t>
        </r>
        <r>
          <rPr>
            <sz val="8"/>
            <color indexed="81"/>
            <rFont val="Tahoma"/>
            <family val="2"/>
          </rPr>
          <t xml:space="preserve">
7/11/13: we had originally modeled  -40bps, but that sounds too low following June sales results</t>
        </r>
      </text>
    </comment>
    <comment ref="DC21" authorId="0">
      <text>
        <r>
          <rPr>
            <b/>
            <sz val="9"/>
            <color indexed="81"/>
            <rFont val="Tahoma"/>
            <family val="2"/>
          </rPr>
          <t>casselau:</t>
        </r>
        <r>
          <rPr>
            <sz val="9"/>
            <color indexed="81"/>
            <rFont val="Tahoma"/>
            <family val="2"/>
          </rPr>
          <t xml:space="preserve">
5/21/14: down vs. LY driven by merchandise margin decline (apparel exit) and occupancy expense pressure</t>
        </r>
      </text>
    </comment>
    <comment ref="DG21" authorId="0">
      <text>
        <r>
          <rPr>
            <b/>
            <sz val="9"/>
            <color indexed="81"/>
            <rFont val="Tahoma"/>
            <family val="2"/>
          </rPr>
          <t xml:space="preserve">casselau:
8/19/15: increase due to +170 bps merch margin offset by 40 bps B&amp;O deleverage driven by investments in real estate </t>
        </r>
        <r>
          <rPr>
            <sz val="9"/>
            <color indexed="81"/>
            <rFont val="Tahoma"/>
            <family val="2"/>
          </rPr>
          <t xml:space="preserve">
5/20/15: guidance: up driven by merch margin improvement offset by B&amp;O deleverage</t>
        </r>
      </text>
    </comment>
    <comment ref="DK21" authorId="8">
      <text>
        <r>
          <rPr>
            <b/>
            <sz val="9"/>
            <color indexed="81"/>
            <rFont val="Tahoma"/>
            <family val="2"/>
          </rPr>
          <t xml:space="preserve">8/17/16: driven by a decrease in merch margin rate, which declined significantly, partially offset by leverage in B&amp;O expense. B&amp;O expense +LSD as an increase related to investments in real estate was partially offset by the elimination of catalogue costs; clearance #1 merch margin drag followed by Beauty
*Merch margin -200 plus bps; clearance activity 100 plus bps
</t>
        </r>
        <r>
          <rPr>
            <sz val="9"/>
            <color indexed="81"/>
            <rFont val="Tahoma"/>
            <family val="2"/>
          </rPr>
          <t>Monthly merch margin cadence: 
- May down significantly (VS down significantly primary driven by a decline in beauty as they reposition the category and by the impact of existing non-core businesses; BBW down and continues to be negatively impacted by FX)
- June down significantly/below expectations driven by clearance at VS (VS down significantly due to increased penetration of clearance selling related to the semi-annual sale and a decline in beauty; BBW up but negatively impacted by FX)
- July down (VS down primarily driven by beauty and a planned event featuring sport bras and pants; BBW flat despite negative FX)
Cassel, Lauren (Research):
5/18/16: down from last year; expect clearance of non-go-forward categories and beauty to weigh on merch margin (partially offset by lower promotional activity) as well as B&amp;O deleverage</t>
        </r>
        <r>
          <rPr>
            <b/>
            <sz val="9"/>
            <color indexed="81"/>
            <rFont val="Tahoma"/>
            <family val="2"/>
          </rPr>
          <t xml:space="preserve">
5/5/16: </t>
        </r>
        <r>
          <rPr>
            <sz val="9"/>
            <color indexed="81"/>
            <rFont val="Tahoma"/>
            <family val="2"/>
          </rPr>
          <t xml:space="preserve">We assume a ~50 bps quarterly headwind from +HSD domestic buying and occupancy expense growth (Fifth Avenue flagship, VS and BBW remodels), ~50 bps negative FX impact, ~20-30 bps deleverage from China infrastructure investments, plus ~20-30 bps deleverage on a -1% comp, less 25 bps from catalog savings. = -135 bps - 40 bps lower merchandise margin due to non-go-forward promotions
</t>
        </r>
      </text>
    </comment>
    <comment ref="DO21" authorId="8">
      <text>
        <r>
          <rPr>
            <b/>
            <sz val="9"/>
            <color indexed="81"/>
            <rFont val="Tahoma"/>
            <family val="2"/>
          </rPr>
          <t xml:space="preserve">Cassel, Lauren (Research):
8/15/17: merch margin increased but was more than offset by B&amp;O deleverage; </t>
        </r>
        <r>
          <rPr>
            <sz val="9"/>
            <color indexed="81"/>
            <rFont val="Tahoma"/>
            <family val="2"/>
          </rPr>
          <t>merch margin increased in the quarter, principally driven by an improvement at VS (we estimate 100-150 bps) which was partially offset by a decline driven by the sourcing function in the other reporting segment</t>
        </r>
        <r>
          <rPr>
            <b/>
            <sz val="9"/>
            <color indexed="81"/>
            <rFont val="Tahoma"/>
            <family val="2"/>
          </rPr>
          <t xml:space="preserve">
- Total company May merch margin </t>
        </r>
        <r>
          <rPr>
            <sz val="9"/>
            <color indexed="81"/>
            <rFont val="Tahoma"/>
            <family val="2"/>
          </rPr>
          <t>was about</t>
        </r>
        <r>
          <rPr>
            <b/>
            <sz val="9"/>
            <color indexed="81"/>
            <rFont val="Tahoma"/>
            <family val="2"/>
          </rPr>
          <t xml:space="preserve"> flat; VS up to LY </t>
        </r>
        <r>
          <rPr>
            <sz val="9"/>
            <color indexed="81"/>
            <rFont val="Tahoma"/>
            <family val="2"/>
          </rPr>
          <t xml:space="preserve">driven by improvement in the beauty business and the impact of exiting non-core businesses LY; </t>
        </r>
        <r>
          <rPr>
            <b/>
            <sz val="9"/>
            <color indexed="81"/>
            <rFont val="Tahoma"/>
            <family val="2"/>
          </rPr>
          <t xml:space="preserve">BBW flat 
- Total company June merch margin </t>
        </r>
        <r>
          <rPr>
            <sz val="9"/>
            <color indexed="81"/>
            <rFont val="Tahoma"/>
            <family val="2"/>
          </rPr>
          <t>was</t>
        </r>
        <r>
          <rPr>
            <b/>
            <sz val="9"/>
            <color indexed="81"/>
            <rFont val="Tahoma"/>
            <family val="2"/>
          </rPr>
          <t xml:space="preserve"> up; VS up </t>
        </r>
        <r>
          <rPr>
            <sz val="9"/>
            <color indexed="81"/>
            <rFont val="Tahoma"/>
            <family val="2"/>
          </rPr>
          <t>to LY driven by improvement in the lingerie business related to less aggressive semi-annual sale pricing and the impact of exiting non-core businesses LY;</t>
        </r>
        <r>
          <rPr>
            <b/>
            <sz val="9"/>
            <color indexed="81"/>
            <rFont val="Tahoma"/>
            <family val="2"/>
          </rPr>
          <t xml:space="preserve"> BBW flat
- Total Company July merch margin </t>
        </r>
        <r>
          <rPr>
            <sz val="9"/>
            <color indexed="81"/>
            <rFont val="Tahoma"/>
            <family val="2"/>
          </rPr>
          <t>was</t>
        </r>
        <r>
          <rPr>
            <b/>
            <sz val="9"/>
            <color indexed="81"/>
            <rFont val="Tahoma"/>
            <family val="2"/>
          </rPr>
          <t xml:space="preserve"> up; VS up </t>
        </r>
        <r>
          <rPr>
            <sz val="9"/>
            <color indexed="81"/>
            <rFont val="Tahoma"/>
            <family val="2"/>
          </rPr>
          <t xml:space="preserve">driven by the impact of exiting non-core businesses last year and an improvement in the beauty business; </t>
        </r>
        <r>
          <rPr>
            <b/>
            <sz val="9"/>
            <color indexed="81"/>
            <rFont val="Tahoma"/>
            <family val="2"/>
          </rPr>
          <t xml:space="preserve">BBW down </t>
        </r>
        <r>
          <rPr>
            <sz val="9"/>
            <color indexed="81"/>
            <rFont val="Tahoma"/>
            <family val="2"/>
          </rPr>
          <t>driven by the penetration of clearance selling during the month.</t>
        </r>
        <r>
          <rPr>
            <b/>
            <sz val="9"/>
            <color indexed="81"/>
            <rFont val="Tahoma"/>
            <family val="2"/>
          </rPr>
          <t xml:space="preserve">
5/17/17: guidance down from 38.5% LY as B&amp;O deleverage (but not as much as 1Q) will more than offset an increase in the merchandise margin rate 
</t>
        </r>
        <r>
          <rPr>
            <sz val="9"/>
            <color indexed="81"/>
            <rFont val="Tahoma"/>
            <family val="2"/>
          </rPr>
          <t xml:space="preserve">
5/4/17: merch margin should be better than LY</t>
        </r>
      </text>
    </comment>
    <comment ref="BF22" authorId="3">
      <text>
        <r>
          <rPr>
            <b/>
            <sz val="8"/>
            <color indexed="81"/>
            <rFont val="Tahoma"/>
            <family val="2"/>
          </rPr>
          <t>mm98285:</t>
        </r>
        <r>
          <rPr>
            <sz val="8"/>
            <color indexed="81"/>
            <rFont val="Tahoma"/>
            <family val="2"/>
          </rPr>
          <t xml:space="preserve">
restated per 2005 10-K from $1,251.317mm</t>
        </r>
      </text>
    </comment>
    <comment ref="BJ22" authorId="3">
      <text>
        <r>
          <rPr>
            <b/>
            <sz val="8"/>
            <color indexed="81"/>
            <rFont val="Tahoma"/>
            <family val="2"/>
          </rPr>
          <t>mm98285:</t>
        </r>
        <r>
          <rPr>
            <sz val="8"/>
            <color indexed="81"/>
            <rFont val="Tahoma"/>
            <family val="2"/>
          </rPr>
          <t xml:space="preserve">
restated per 2005 10-K from $1,277.27mm</t>
        </r>
      </text>
    </comment>
    <comment ref="BO22" authorId="3">
      <text>
        <r>
          <rPr>
            <b/>
            <sz val="8"/>
            <color indexed="81"/>
            <rFont val="Tahoma"/>
            <family val="2"/>
          </rPr>
          <t>mm98285:</t>
        </r>
        <r>
          <rPr>
            <sz val="8"/>
            <color indexed="81"/>
            <rFont val="Tahoma"/>
            <family val="2"/>
          </rPr>
          <t xml:space="preserve">
-merch margins down sig. due to higher MDs at Apparel &amp; lower product margins at BBW (due to new product/store launches);
-delevge on buying &amp; occup cost
-GM: VS flat, down sig. BBW, Apparel</t>
        </r>
      </text>
    </comment>
    <comment ref="BP22" authorId="14">
      <text>
        <r>
          <rPr>
            <b/>
            <sz val="8"/>
            <color indexed="81"/>
            <rFont val="Tahoma"/>
            <family val="2"/>
          </rPr>
          <t>Kimberly Greenberger:</t>
        </r>
        <r>
          <rPr>
            <sz val="8"/>
            <color indexed="81"/>
            <rFont val="Tahoma"/>
            <family val="2"/>
          </rPr>
          <t xml:space="preserve">
assume mdse margin down similar to 2Q, but also neg 50 bps occup lvg b/c -3% comp</t>
        </r>
      </text>
    </comment>
    <comment ref="BS22" authorId="3">
      <text>
        <r>
          <rPr>
            <b/>
            <sz val="8"/>
            <color indexed="81"/>
            <rFont val="Tahoma"/>
            <family val="2"/>
          </rPr>
          <t>mm98285:</t>
        </r>
        <r>
          <rPr>
            <sz val="8"/>
            <color indexed="81"/>
            <rFont val="Tahoma"/>
            <family val="2"/>
          </rPr>
          <t xml:space="preserve">
-merch margins down sig. due to higher MDs at Apparel &amp; lower product margins at BBW (due to new product/store launches);
-delevge on buying &amp; occup cost
-GM: VS flat, down sig. BBW, Apparel</t>
        </r>
      </text>
    </comment>
    <comment ref="BW22" authorId="3">
      <text>
        <r>
          <rPr>
            <b/>
            <sz val="8"/>
            <color indexed="81"/>
            <rFont val="Tahoma"/>
            <family val="2"/>
          </rPr>
          <t>mm98285:</t>
        </r>
        <r>
          <rPr>
            <sz val="8"/>
            <color indexed="81"/>
            <rFont val="Tahoma"/>
            <family val="2"/>
          </rPr>
          <t xml:space="preserve">
+merch margin at Express 
+leverage on buying/occupancy costs at all divisions.  
AUG mdse margin "+slightly" and SEPT "up" and OCT "flat" so must be down slightly for quarter</t>
        </r>
      </text>
    </comment>
    <comment ref="BZ22" authorId="3">
      <text>
        <r>
          <rPr>
            <b/>
            <sz val="8"/>
            <color indexed="81"/>
            <rFont val="Tahoma"/>
            <family val="2"/>
          </rPr>
          <t>mm98285:</t>
        </r>
        <r>
          <rPr>
            <sz val="8"/>
            <color indexed="81"/>
            <rFont val="Tahoma"/>
            <family val="2"/>
          </rPr>
          <t xml:space="preserve">
2/28/08: $1,309.019 prior to restatement </t>
        </r>
      </text>
    </comment>
    <comment ref="CA22" authorId="3">
      <text>
        <r>
          <rPr>
            <b/>
            <sz val="8"/>
            <color indexed="81"/>
            <rFont val="Tahoma"/>
            <family val="2"/>
          </rPr>
          <t>mm98285:</t>
        </r>
        <r>
          <rPr>
            <sz val="8"/>
            <color indexed="81"/>
            <rFont val="Tahoma"/>
            <family val="2"/>
          </rPr>
          <t xml:space="preserve">
-200+ bps recognition of Mast sales to Apparel businesses, partially offset by the elimination of the lower margin Apparel businesses
-200 bps GM at VSD and to a lesser extent buying and occupancy delvge at VSS
merchandise margins were ~flat at VSS and up at BBW
Merch margin: Aug. "down sig.", Sept "down sig.", Oct "down sig." (all from recognt'n of Mast sales)
8/07: expect -400 bps (elimination of lower margin apparel div. offset by impact of recognizing Mast sales results in -80 bps decrease in GM for the fall, and also on an annual basis also includes VS margin deterioration given B&amp;O delevge)</t>
        </r>
      </text>
    </comment>
    <comment ref="CE22" authorId="3">
      <text>
        <r>
          <rPr>
            <b/>
            <sz val="8"/>
            <color indexed="81"/>
            <rFont val="Tahoma"/>
            <family val="2"/>
          </rPr>
          <t>mm98285:</t>
        </r>
        <r>
          <rPr>
            <sz val="8"/>
            <color indexed="81"/>
            <rFont val="Tahoma"/>
            <family val="2"/>
          </rPr>
          <t xml:space="preserve">
11/08: decline driven by sig. increase in buying &amp; occupancy costs (we estimate +175) as % of sales (given -7% comp) largely offset by improvement in merch margin (primarily driven by impact of lower sales in the lower margin Mast channel,
while merch margins were flat at VS and -sig. at BBW).
Merch margin: Oct: Total flat; VSS down; VSD up sig.; BBW, La Senz down sig.; Aug. Total, VSD +sig., VSS up, BBW down, La Senza -sig. ; Sept: Total, LS, BBW down, VSS +slightly., VSD up
8/08: expect up given better inv mgmt (although moderating as anniv LY's inv mgmt), and benefit from lower Mast sales to 3rd party brands offset by B&amp;O delevg
</t>
        </r>
      </text>
    </comment>
    <comment ref="CI22" authorId="3">
      <text>
        <r>
          <rPr>
            <b/>
            <sz val="8"/>
            <color indexed="81"/>
            <rFont val="Tahoma"/>
            <family val="2"/>
          </rPr>
          <t>mm98285:</t>
        </r>
        <r>
          <rPr>
            <sz val="8"/>
            <color indexed="81"/>
            <rFont val="Tahoma"/>
            <family val="2"/>
          </rPr>
          <t xml:space="preserve">
+150 bps merchandise margin driven by +150 bps benefit from decline of lower margin Mast sales (3Q -35%), partially offset by -130 bps increase in B&amp;O rate. Excl. Mast, merchandise margins were flat (VS down; BBW up) 
MM: Aug: total flat, VSS -sig., BBW &amp; VSD up, LS +slighly; Sept: up, BBW up, LS +sig., VSD down, VS -signif; Oct: total, VSD, LS +sign., BBW up, VSS flat
8/09: expect down
5/09: expect down but get more benefit from Mast sales decline</t>
        </r>
      </text>
    </comment>
    <comment ref="CM22" authorId="5">
      <text>
        <r>
          <rPr>
            <b/>
            <sz val="8"/>
            <color indexed="81"/>
            <rFont val="Tahoma"/>
            <family val="2"/>
          </rPr>
          <t>nicholjs:</t>
        </r>
        <r>
          <rPr>
            <sz val="8"/>
            <color indexed="81"/>
            <rFont val="Tahoma"/>
            <family val="2"/>
          </rPr>
          <t xml:space="preserve">
GM +435bps split "fairly equally b/t mdse margin &amp; B&amp;O lvg, but mdse margin a little higher"
8/10: expect up
August MM up significantly (VSS, VSD, BBW +up significantly, La Senza -down)
September MM up significantly (VSS, VSD +up significantly, BBW +up, La Senza flat)
October MM up significantly (VSS, VSD, BBW +up significantly, La Senza +up)
</t>
        </r>
      </text>
    </comment>
    <comment ref="CN22" authorId="6">
      <text>
        <r>
          <rPr>
            <b/>
            <sz val="8"/>
            <color indexed="81"/>
            <rFont val="Tahoma"/>
            <family val="2"/>
          </rPr>
          <t>kimberlg:</t>
        </r>
        <r>
          <rPr>
            <sz val="8"/>
            <color indexed="81"/>
            <rFont val="Tahoma"/>
            <family val="2"/>
          </rPr>
          <t xml:space="preserve">
we est +235bps mdse margin
we est +200 B&amp;O lvg</t>
        </r>
      </text>
    </comment>
    <comment ref="CQ22" authorId="5">
      <text>
        <r>
          <rPr>
            <b/>
            <sz val="8"/>
            <color indexed="81"/>
            <rFont val="Tahoma"/>
            <family val="2"/>
          </rPr>
          <t>nicholjs:</t>
        </r>
        <r>
          <rPr>
            <sz val="8"/>
            <color indexed="81"/>
            <rFont val="Tahoma"/>
            <family val="2"/>
          </rPr>
          <t xml:space="preserve">
10/06/2011: +30-40 bps probably good
</t>
        </r>
        <r>
          <rPr>
            <b/>
            <sz val="8"/>
            <color indexed="81"/>
            <rFont val="Tahoma"/>
            <family val="2"/>
          </rPr>
          <t>September MM</t>
        </r>
        <r>
          <rPr>
            <sz val="8"/>
            <color indexed="81"/>
            <rFont val="Tahoma"/>
            <family val="2"/>
          </rPr>
          <t xml:space="preserve"> down to LY (VSS, VSD, BBW down, La Senza down significantly)
</t>
        </r>
        <r>
          <rPr>
            <b/>
            <sz val="8"/>
            <color indexed="81"/>
            <rFont val="Tahoma"/>
            <family val="2"/>
          </rPr>
          <t>August MM</t>
        </r>
        <r>
          <rPr>
            <sz val="8"/>
            <color indexed="81"/>
            <rFont val="Tahoma"/>
            <family val="2"/>
          </rPr>
          <t xml:space="preserve"> down to LY (VSD up, BBW down, La Senza and VSS down significantly)
note: we est. 90-100 bps MM for qtr (125 in Aug, ~100 in Sept, 50-75 in Oct) offset by B+O lvg on at least 7% comp
8/2011: expects about flat to 36.0% LY. Expect merchandise margin rate to be down somewhat, negatively impacted by cost increases.  This should be principally offset by leverage on B+O, so total GM rate flat to LY.</t>
        </r>
      </text>
    </comment>
    <comment ref="CT22" authorId="0">
      <text>
        <r>
          <rPr>
            <b/>
            <sz val="8"/>
            <color indexed="81"/>
            <rFont val="Tahoma"/>
            <family val="2"/>
          </rPr>
          <t>casselau:</t>
        </r>
        <r>
          <rPr>
            <sz val="8"/>
            <color indexed="81"/>
            <rFont val="Tahoma"/>
            <family val="2"/>
          </rPr>
          <t xml:space="preserve">
11/14: excludes a $10.4M pre-tax charge related to la Senza store closures which were previously announced</t>
        </r>
      </text>
    </comment>
    <comment ref="CU22" authorId="13">
      <text>
        <r>
          <rPr>
            <b/>
            <sz val="8"/>
            <color indexed="81"/>
            <rFont val="Tahoma"/>
            <family val="2"/>
          </rPr>
          <t xml:space="preserve">11/15/12: </t>
        </r>
        <r>
          <rPr>
            <sz val="8"/>
            <color indexed="81"/>
            <rFont val="Tahoma"/>
            <family val="2"/>
          </rPr>
          <t>Adjusting for the impact of the sourcing business sale, the gross margin rate increased by about 60 basis points, driven by an increase in the merchandise margin rate (up in both VS and BBW) and buying and occupancy leverage. Our total Company merchandise margin rate was negatively impacted by about 50 basis points from an increase in mast sales to our international franchise businesses.</t>
        </r>
        <r>
          <rPr>
            <b/>
            <sz val="8"/>
            <color indexed="81"/>
            <rFont val="Tahoma"/>
            <family val="2"/>
          </rPr>
          <t xml:space="preserve">
10/4/12: </t>
        </r>
        <r>
          <rPr>
            <sz val="8"/>
            <color indexed="81"/>
            <rFont val="Tahoma"/>
            <family val="2"/>
          </rPr>
          <t xml:space="preserve">September merch margin - Excluding the positive impact of the sale of third party apparel sourcing business, the merchandise margin rate would have been up to last year. Reported merch marg rate was up significantly to last year. 
</t>
        </r>
        <r>
          <rPr>
            <b/>
            <sz val="8"/>
            <color indexed="81"/>
            <rFont val="Tahoma"/>
            <family val="2"/>
          </rPr>
          <t>8/30/12:</t>
        </r>
        <r>
          <rPr>
            <sz val="8"/>
            <color indexed="81"/>
            <rFont val="Tahoma"/>
            <family val="2"/>
          </rPr>
          <t xml:space="preserve"> August merch margin - Excluding the positive impact of the sale of third party apparel sourcing business, the merchandise margin rate would have been about flat to last year. Reported merch marg rate was up significantly to last year. 
</t>
        </r>
        <r>
          <rPr>
            <b/>
            <sz val="8"/>
            <color indexed="81"/>
            <rFont val="Tahoma"/>
            <family val="2"/>
          </rPr>
          <t xml:space="preserve">
8/16/12: </t>
        </r>
        <r>
          <rPr>
            <sz val="8"/>
            <color indexed="81"/>
            <rFont val="Tahoma"/>
            <family val="2"/>
          </rPr>
          <t>+400bps MAST adj w/ VS and BBW mdse margins ~flat. should get ~25 bps B&amp;O lvg on 4% comp</t>
        </r>
        <r>
          <rPr>
            <b/>
            <sz val="8"/>
            <color indexed="81"/>
            <rFont val="Tahoma"/>
            <family val="2"/>
          </rPr>
          <t xml:space="preserve">
5/31/12: revised: </t>
        </r>
        <r>
          <rPr>
            <sz val="8"/>
            <color indexed="81"/>
            <rFont val="Tahoma"/>
            <family val="2"/>
          </rPr>
          <t>+400 bps MAST adjustment and assume get +60bps back on lower cotton costs(3Q1 hit 100bps) +25bps B&amp;O leverage on 4% comp. We estimate they lost 100bps on COGS inflation in 3Q11 and 4Q11 each.</t>
        </r>
        <r>
          <rPr>
            <b/>
            <sz val="8"/>
            <color indexed="81"/>
            <rFont val="Tahoma"/>
            <family val="2"/>
          </rPr>
          <t xml:space="preserve">
lauraro: </t>
        </r>
        <r>
          <rPr>
            <sz val="8"/>
            <color indexed="81"/>
            <rFont val="Tahoma"/>
            <family val="2"/>
          </rPr>
          <t>+400 bps MAST adjustment and assume get +60bps back on lower cotton costs(3Q1 hit 100bps) +20bps B&amp;O leverage on 4% comp. We estimate they lost 100bps on COGS inflation in 3Q11 and 4Q11 each.</t>
        </r>
      </text>
    </comment>
    <comment ref="CY22" authorId="0">
      <text>
        <r>
          <rPr>
            <b/>
            <sz val="8"/>
            <color indexed="81"/>
            <rFont val="Tahoma"/>
            <family val="2"/>
          </rPr>
          <t>casselau:</t>
        </r>
        <r>
          <rPr>
            <sz val="8"/>
            <color indexed="81"/>
            <rFont val="Tahoma"/>
            <family val="2"/>
          </rPr>
          <t xml:space="preserve">
8/21/13: guidance down from 40.8% LY</t>
        </r>
      </text>
    </comment>
    <comment ref="CZ22" authorId="6">
      <text>
        <r>
          <rPr>
            <b/>
            <sz val="8"/>
            <color indexed="81"/>
            <rFont val="Tahoma"/>
            <family val="2"/>
          </rPr>
          <t>kimberlg:</t>
        </r>
        <r>
          <rPr>
            <sz val="8"/>
            <color indexed="81"/>
            <rFont val="Tahoma"/>
            <family val="2"/>
          </rPr>
          <t xml:space="preserve">
8/22/13: B&amp;O dlvg could be more signific than 2Q's 30bps, guided mdse down slightly, but promos planned flat (but increased response), so mdse margin likely down slightly (could be flat)
5/23/13: sounds like they expect flattish</t>
        </r>
      </text>
    </comment>
    <comment ref="DC22" authorId="0">
      <text>
        <r>
          <rPr>
            <b/>
            <sz val="9"/>
            <color indexed="81"/>
            <rFont val="Tahoma"/>
            <family val="2"/>
          </rPr>
          <t>casselau:</t>
        </r>
        <r>
          <rPr>
            <sz val="9"/>
            <color indexed="81"/>
            <rFont val="Tahoma"/>
            <family val="2"/>
          </rPr>
          <t xml:space="preserve">
8/20/14: about flat to LY</t>
        </r>
      </text>
    </comment>
    <comment ref="DD22" authorId="0">
      <text>
        <r>
          <rPr>
            <b/>
            <sz val="9"/>
            <color indexed="81"/>
            <rFont val="Tahoma"/>
            <family val="2"/>
          </rPr>
          <t>casselau:</t>
        </r>
        <r>
          <rPr>
            <sz val="9"/>
            <color indexed="81"/>
            <rFont val="Tahoma"/>
            <family val="2"/>
          </rPr>
          <t xml:space="preserve">
11/20/14: driven by an increase in merchandise margin rate (assume 100 bps) and slight B&amp;O leverage (30 bps)</t>
        </r>
      </text>
    </comment>
    <comment ref="DG22" authorId="0">
      <text>
        <r>
          <rPr>
            <b/>
            <sz val="9"/>
            <color indexed="81"/>
            <rFont val="Tahoma"/>
            <family val="2"/>
          </rPr>
          <t xml:space="preserve">casselau:
11/19/15: </t>
        </r>
        <r>
          <rPr>
            <sz val="9"/>
            <color indexed="81"/>
            <rFont val="Tahoma"/>
            <family val="2"/>
          </rPr>
          <t xml:space="preserve">equal improvements in merch margin  and B&amp;O leverage
</t>
        </r>
        <r>
          <rPr>
            <sz val="9"/>
            <color indexed="81"/>
            <rFont val="Tahoma"/>
            <family val="2"/>
          </rPr>
          <t xml:space="preserve">
8/19/15: guidance: up from LY (merch margin improvement offset by B&amp;O deleverage)</t>
        </r>
      </text>
    </comment>
    <comment ref="DK22" authorId="8">
      <text>
        <r>
          <rPr>
            <b/>
            <sz val="9"/>
            <color indexed="81"/>
            <rFont val="Tahoma"/>
            <family val="2"/>
          </rPr>
          <t xml:space="preserve">Cassel, Lauren (Research):
11/16/16: </t>
        </r>
        <r>
          <rPr>
            <sz val="9"/>
            <color indexed="81"/>
            <rFont val="Tahoma"/>
            <family val="2"/>
          </rPr>
          <t xml:space="preserve">driven by a decrease in the merchandise margin rate. Buying and occupancy expenses were flat as a percent of sales, as an increase related to our investments in real estate was partially offset by the elimination of catalogue costs at VS.
</t>
        </r>
        <r>
          <rPr>
            <b/>
            <sz val="9"/>
            <color indexed="81"/>
            <rFont val="Tahoma"/>
            <family val="2"/>
          </rPr>
          <t xml:space="preserve">
August merch margin: </t>
        </r>
        <r>
          <rPr>
            <sz val="9"/>
            <color indexed="81"/>
            <rFont val="Tahoma"/>
            <family val="2"/>
          </rPr>
          <t xml:space="preserve">Down significantly; VS down significantly primary driven by a decline in beauty as they reposition the category and incremental promotional activities designed to drive trial in key categories including beauty, sport, and bralettes; BBW merch margin down  driven by increased promotional activity (direct mail, email) and slight FX pressure
</t>
        </r>
        <r>
          <rPr>
            <b/>
            <sz val="9"/>
            <color indexed="81"/>
            <rFont val="Tahoma"/>
            <family val="2"/>
          </rPr>
          <t xml:space="preserve">Sept merch margin: </t>
        </r>
        <r>
          <rPr>
            <sz val="9"/>
            <color indexed="81"/>
            <rFont val="Tahoma"/>
            <family val="2"/>
          </rPr>
          <t>Down significantly; VS down significantly primary driven by a decline in beauty as they reposition the category and by the impact of exiting non-core businesses. In addition, margin rate was unfavorably impacted by promotional events to drive trial in key categories and proactively manage inventory; BBW merch margin about flat to LY</t>
        </r>
        <r>
          <rPr>
            <b/>
            <sz val="9"/>
            <color indexed="81"/>
            <rFont val="Tahoma"/>
            <family val="2"/>
          </rPr>
          <t xml:space="preserve">
October merch margin: </t>
        </r>
        <r>
          <rPr>
            <sz val="9"/>
            <color indexed="81"/>
            <rFont val="Tahoma"/>
            <family val="2"/>
          </rPr>
          <t xml:space="preserve">Down; VS down primary driven by a decline in beauty as they reposition the category, promotional events to drive trail in key categories, and proactively manage inventory; BBW about flat
</t>
        </r>
        <r>
          <rPr>
            <b/>
            <sz val="9"/>
            <color indexed="81"/>
            <rFont val="Tahoma"/>
            <family val="2"/>
          </rPr>
          <t xml:space="preserve">
8/17/16: guidance: decrease vs. LY driven primarily by a decline in the merchandise margin rate, primarily driven by VS; </t>
        </r>
        <r>
          <rPr>
            <sz val="9"/>
            <color indexed="81"/>
            <rFont val="Tahoma"/>
            <family val="2"/>
          </rPr>
          <t xml:space="preserve">while we will see less pressure from clearance activity in 3Q, we expect that will be offset by continued pricing and promotional strategies to drive trial in key categories and by continued pressure from repositioning beauty; </t>
        </r>
        <r>
          <rPr>
            <b/>
            <sz val="9"/>
            <color indexed="81"/>
            <rFont val="Tahoma"/>
            <family val="2"/>
          </rPr>
          <t xml:space="preserve">expect 3Q B&amp;O rate to be roughly flat, </t>
        </r>
        <r>
          <rPr>
            <sz val="9"/>
            <color indexed="81"/>
            <rFont val="Tahoma"/>
            <family val="2"/>
          </rPr>
          <t xml:space="preserve">as growth in occupancy related to increased invesmtent in real estate will be partially offset by the elimination of catalogue costs 
</t>
        </r>
        <r>
          <rPr>
            <b/>
            <sz val="9"/>
            <color indexed="81"/>
            <rFont val="Tahoma"/>
            <family val="2"/>
          </rPr>
          <t>*Merch margin down more than 200 bps in 2Q, clearance markdowns more than 100 bps of that, followed by promotions and pricing to drive trial in the beauty business; clearance activity will not be anniversaried in 3Q, thus we are raising our gross margin forecast to -80 bps</t>
        </r>
        <r>
          <rPr>
            <sz val="9"/>
            <color indexed="81"/>
            <rFont val="Tahoma"/>
            <family val="2"/>
          </rPr>
          <t xml:space="preserve">
</t>
        </r>
        <r>
          <rPr>
            <sz val="9"/>
            <color indexed="81"/>
            <rFont val="Tahoma"/>
            <family val="2"/>
          </rPr>
          <t xml:space="preserve">
5/5/16: We assume a ~50 bps quarterly headwind from +HSD domestic buying and occupancy expense growth (Fifth Avenue flagship, VS and BBW remodels), ~50 bps negative FX impact, ~20-30 bps deleverage from China infrastructure investments, plus ~30-40 bps deleverage on a -3% comp;  less 25 bps from catalog savings. = -150 bps</t>
        </r>
      </text>
    </comment>
    <comment ref="DO22" authorId="8">
      <text>
        <r>
          <rPr>
            <b/>
            <sz val="9"/>
            <color indexed="81"/>
            <rFont val="Tahoma"/>
            <family val="2"/>
          </rPr>
          <t xml:space="preserve">Cassel, Lauren (Research):
- Decline driven roughly equally by a decrease in merch margin and B&amp;O expense deleverage
-Total company October merch margin </t>
        </r>
        <r>
          <rPr>
            <sz val="9"/>
            <color indexed="81"/>
            <rFont val="Tahoma"/>
            <family val="2"/>
          </rPr>
          <t>was</t>
        </r>
        <r>
          <rPr>
            <b/>
            <sz val="9"/>
            <color indexed="81"/>
            <rFont val="Tahoma"/>
            <family val="2"/>
          </rPr>
          <t xml:space="preserve"> down </t>
        </r>
        <r>
          <rPr>
            <sz val="9"/>
            <color indexed="81"/>
            <rFont val="Tahoma"/>
            <family val="2"/>
          </rPr>
          <t>vs. LY;</t>
        </r>
        <r>
          <rPr>
            <b/>
            <sz val="9"/>
            <color indexed="81"/>
            <rFont val="Tahoma"/>
            <family val="2"/>
          </rPr>
          <t xml:space="preserve"> VS </t>
        </r>
        <r>
          <rPr>
            <sz val="9"/>
            <color indexed="81"/>
            <rFont val="Tahoma"/>
            <family val="2"/>
          </rPr>
          <t>was</t>
        </r>
        <r>
          <rPr>
            <b/>
            <sz val="9"/>
            <color indexed="81"/>
            <rFont val="Tahoma"/>
            <family val="2"/>
          </rPr>
          <t xml:space="preserve"> down </t>
        </r>
        <r>
          <rPr>
            <sz val="9"/>
            <color indexed="81"/>
            <rFont val="Tahoma"/>
            <family val="2"/>
          </rPr>
          <t xml:space="preserve">driven by quarter end </t>
        </r>
        <r>
          <rPr>
            <b/>
            <sz val="9"/>
            <color indexed="81"/>
            <rFont val="Tahoma"/>
            <family val="2"/>
          </rPr>
          <t xml:space="preserve">shrink </t>
        </r>
        <r>
          <rPr>
            <sz val="9"/>
            <color indexed="81"/>
            <rFont val="Tahoma"/>
            <family val="2"/>
          </rPr>
          <t>results.</t>
        </r>
        <r>
          <rPr>
            <b/>
            <sz val="9"/>
            <color indexed="81"/>
            <rFont val="Tahoma"/>
            <family val="2"/>
          </rPr>
          <t xml:space="preserve"> Absent the shrink impact,</t>
        </r>
        <r>
          <rPr>
            <sz val="9"/>
            <color indexed="81"/>
            <rFont val="Tahoma"/>
            <family val="2"/>
          </rPr>
          <t xml:space="preserve"> the merchandise margin rate would have been</t>
        </r>
        <r>
          <rPr>
            <b/>
            <sz val="9"/>
            <color indexed="81"/>
            <rFont val="Tahoma"/>
            <family val="2"/>
          </rPr>
          <t xml:space="preserve"> about flat y/y; BBW down, </t>
        </r>
        <r>
          <rPr>
            <sz val="9"/>
            <color indexed="81"/>
            <rFont val="Tahoma"/>
            <family val="2"/>
          </rPr>
          <t>promotional activity was relatively flat to LY, but mix shift to home fragrance and eCommerce negatively impacted merch margin</t>
        </r>
        <r>
          <rPr>
            <b/>
            <sz val="9"/>
            <color indexed="81"/>
            <rFont val="Tahoma"/>
            <family val="2"/>
          </rPr>
          <t xml:space="preserve">
- Total company September merch margin </t>
        </r>
        <r>
          <rPr>
            <sz val="9"/>
            <color indexed="81"/>
            <rFont val="Tahoma"/>
            <family val="2"/>
          </rPr>
          <t>was</t>
        </r>
        <r>
          <rPr>
            <b/>
            <sz val="9"/>
            <color indexed="81"/>
            <rFont val="Tahoma"/>
            <family val="2"/>
          </rPr>
          <t xml:space="preserve"> down </t>
        </r>
        <r>
          <rPr>
            <sz val="9"/>
            <color indexed="81"/>
            <rFont val="Tahoma"/>
            <family val="2"/>
          </rPr>
          <t xml:space="preserve">vs. LY, </t>
        </r>
        <r>
          <rPr>
            <b/>
            <sz val="9"/>
            <color indexed="81"/>
            <rFont val="Tahoma"/>
            <family val="2"/>
          </rPr>
          <t xml:space="preserve">below expectations; VS up slightly </t>
        </r>
        <r>
          <rPr>
            <sz val="9"/>
            <color indexed="81"/>
            <rFont val="Tahoma"/>
            <family val="2"/>
          </rPr>
          <t>driven by</t>
        </r>
        <r>
          <rPr>
            <b/>
            <sz val="9"/>
            <color indexed="81"/>
            <rFont val="Tahoma"/>
            <family val="2"/>
          </rPr>
          <t xml:space="preserve"> lower clearance and promotion </t>
        </r>
        <r>
          <rPr>
            <sz val="9"/>
            <color indexed="81"/>
            <rFont val="Tahoma"/>
            <family val="2"/>
          </rPr>
          <t xml:space="preserve">vs. LY; </t>
        </r>
        <r>
          <rPr>
            <b/>
            <sz val="9"/>
            <color indexed="81"/>
            <rFont val="Tahoma"/>
            <family val="2"/>
          </rPr>
          <t xml:space="preserve">BBW down </t>
        </r>
        <r>
          <rPr>
            <sz val="9"/>
            <color indexed="81"/>
            <rFont val="Tahoma"/>
            <family val="2"/>
          </rPr>
          <t xml:space="preserve">driven by </t>
        </r>
        <r>
          <rPr>
            <b/>
            <sz val="9"/>
            <color indexed="81"/>
            <rFont val="Tahoma"/>
            <family val="2"/>
          </rPr>
          <t xml:space="preserve">increased promotion
- Total company August merch margin </t>
        </r>
        <r>
          <rPr>
            <sz val="9"/>
            <color indexed="81"/>
            <rFont val="Tahoma"/>
            <family val="2"/>
          </rPr>
          <t>was about</t>
        </r>
        <r>
          <rPr>
            <b/>
            <sz val="9"/>
            <color indexed="81"/>
            <rFont val="Tahoma"/>
            <family val="2"/>
          </rPr>
          <t xml:space="preserve"> flat; VS up </t>
        </r>
        <r>
          <rPr>
            <sz val="9"/>
            <color indexed="81"/>
            <rFont val="Tahoma"/>
            <family val="2"/>
          </rPr>
          <t xml:space="preserve">to LY driven by </t>
        </r>
        <r>
          <rPr>
            <b/>
            <sz val="9"/>
            <color indexed="81"/>
            <rFont val="Tahoma"/>
            <family val="2"/>
          </rPr>
          <t xml:space="preserve">lower clearance and promotion vs. LY; BBW down </t>
        </r>
        <r>
          <rPr>
            <sz val="9"/>
            <color indexed="81"/>
            <rFont val="Tahoma"/>
            <family val="2"/>
          </rPr>
          <t xml:space="preserve">driven by </t>
        </r>
        <r>
          <rPr>
            <b/>
            <sz val="9"/>
            <color indexed="81"/>
            <rFont val="Tahoma"/>
            <family val="2"/>
          </rPr>
          <t xml:space="preserve">increased promotion and product mix 
</t>
        </r>
        <r>
          <rPr>
            <sz val="9"/>
            <color indexed="81"/>
            <rFont val="Tahoma"/>
            <family val="2"/>
          </rPr>
          <t xml:space="preserve">
8/15/17: guidance down vs. LY, driven by B&amp;O deleverage that will more than offset a merch margin increase; per Amie: down closer to -100 bps </t>
        </r>
      </text>
    </comment>
    <comment ref="DP22" authorId="8">
      <text>
        <r>
          <rPr>
            <b/>
            <sz val="9"/>
            <color indexed="81"/>
            <rFont val="Tahoma"/>
            <family val="2"/>
          </rPr>
          <t>Cassel, Lauren (Research):</t>
        </r>
        <r>
          <rPr>
            <sz val="9"/>
            <color indexed="81"/>
            <rFont val="Tahoma"/>
            <family val="2"/>
          </rPr>
          <t xml:space="preserve">
11/15/17: decline driven roughly equally by a decrease in merch margin and B&amp;O expense deleverage</t>
        </r>
      </text>
    </comment>
    <comment ref="DT22" authorId="8">
      <text>
        <r>
          <rPr>
            <b/>
            <sz val="9"/>
            <color indexed="81"/>
            <rFont val="Tahoma"/>
            <family val="2"/>
          </rPr>
          <t>Cassel, Lauren (Research):</t>
        </r>
        <r>
          <rPr>
            <sz val="9"/>
            <color indexed="81"/>
            <rFont val="Tahoma"/>
            <family val="2"/>
          </rPr>
          <t xml:space="preserve">
11/16/17: should benefit from reversal of shrink </t>
        </r>
      </text>
    </comment>
    <comment ref="AH23" authorId="1">
      <text>
        <r>
          <rPr>
            <b/>
            <sz val="8"/>
            <color indexed="81"/>
            <rFont val="Tahoma"/>
            <family val="2"/>
          </rPr>
          <t>dliu:</t>
        </r>
        <r>
          <rPr>
            <sz val="8"/>
            <color indexed="81"/>
            <rFont val="Tahoma"/>
            <family val="2"/>
          </rPr>
          <t xml:space="preserve">
includes a $13.0 mm Henri Bendel inventory liquidation charge (or approx 45 bps)</t>
        </r>
      </text>
    </comment>
    <comment ref="BF23" authorId="3">
      <text>
        <r>
          <rPr>
            <b/>
            <sz val="8"/>
            <color indexed="81"/>
            <rFont val="Tahoma"/>
            <family val="2"/>
          </rPr>
          <t>mm98285:</t>
        </r>
        <r>
          <rPr>
            <sz val="8"/>
            <color indexed="81"/>
            <rFont val="Tahoma"/>
            <family val="2"/>
          </rPr>
          <t xml:space="preserve">
restated per 2005 10-K from $1,889.815mm</t>
        </r>
      </text>
    </comment>
    <comment ref="BJ23" authorId="15">
      <text>
        <r>
          <rPr>
            <b/>
            <sz val="8"/>
            <color indexed="81"/>
            <rFont val="Tahoma"/>
            <family val="2"/>
          </rPr>
          <t>MB33100:</t>
        </r>
        <r>
          <rPr>
            <sz val="8"/>
            <color indexed="81"/>
            <rFont val="Tahoma"/>
            <family val="2"/>
          </rPr>
          <t xml:space="preserve">
was 1,976.131… now includes all $61mm of the lease accounting charge… previously only $50mm was included in CGS, with the balance in SG&amp;A</t>
        </r>
      </text>
    </comment>
    <comment ref="BO23" authorId="2">
      <text>
        <r>
          <rPr>
            <b/>
            <sz val="8"/>
            <color indexed="81"/>
            <rFont val="Tahoma"/>
            <family val="2"/>
          </rPr>
          <t>Corinna Freedman:</t>
        </r>
        <r>
          <rPr>
            <sz val="8"/>
            <color indexed="81"/>
            <rFont val="Tahoma"/>
            <family val="2"/>
          </rPr>
          <t xml:space="preserve">
+180 bps due to $61 m one-time lease accounting charge in 4Q04; 
~+60 buying &amp; occup leverage
-merchandise margins flat (lower MDs at Apparel offset by higher MDs at VS and BBW)
-GM VS up, BBW flat (down at both VS &amp; BBW excl. lease acct adj. in 4Q04),  Apparel up sig. 
11/16 mgmt exp lower gross margins</t>
        </r>
      </text>
    </comment>
    <comment ref="BS23" authorId="2">
      <text>
        <r>
          <rPr>
            <b/>
            <sz val="8"/>
            <color indexed="81"/>
            <rFont val="Tahoma"/>
            <family val="2"/>
          </rPr>
          <t>Corinna Freedman:</t>
        </r>
        <r>
          <rPr>
            <sz val="8"/>
            <color indexed="81"/>
            <rFont val="Tahoma"/>
            <family val="2"/>
          </rPr>
          <t xml:space="preserve">
+180 bps due to $61 m one-time lease accounting charge incl. in 4Q04; 
~+60 buying &amp; occup leverage
-merchandise margins flat (lower MDs at Apparel offset by higher MDs at VS and BBW)
-GM VS up, BBW flat (down at both VS &amp; BBW excl. lease acct adj. in 4Q04),  Apparel up sig. 
11/16 mgmt exp lower gross margins</t>
        </r>
      </text>
    </comment>
    <comment ref="BW23" authorId="3">
      <text>
        <r>
          <rPr>
            <b/>
            <sz val="8"/>
            <color indexed="81"/>
            <rFont val="Tahoma"/>
            <family val="2"/>
          </rPr>
          <t>mm98285:</t>
        </r>
        <r>
          <rPr>
            <sz val="8"/>
            <color indexed="81"/>
            <rFont val="Tahoma"/>
            <family val="2"/>
          </rPr>
          <t xml:space="preserve">
3/07: decline in merch margin partially offset by buying &amp; occ levrge (by div GM was down at VS &amp; BBW, and +sig at Apparel 
11/06: guid to flat GM but NOV mdse margin "down signif" and DEC "flat" and JAN "down signif" so must be down slightly for quarter</t>
        </r>
      </text>
    </comment>
    <comment ref="BZ23" authorId="3">
      <text>
        <r>
          <rPr>
            <b/>
            <sz val="8"/>
            <color indexed="81"/>
            <rFont val="Tahoma"/>
            <family val="2"/>
          </rPr>
          <t>mm98285:</t>
        </r>
        <r>
          <rPr>
            <sz val="8"/>
            <color indexed="81"/>
            <rFont val="Tahoma"/>
            <family val="2"/>
          </rPr>
          <t xml:space="preserve">
2/28/08: $1,972.36 prior to restatement </t>
        </r>
      </text>
    </comment>
    <comment ref="CA23" authorId="3">
      <text>
        <r>
          <rPr>
            <b/>
            <sz val="8"/>
            <color indexed="81"/>
            <rFont val="Tahoma"/>
            <family val="2"/>
          </rPr>
          <t>mm98285:</t>
        </r>
        <r>
          <rPr>
            <sz val="8"/>
            <color indexed="81"/>
            <rFont val="Tahoma"/>
            <family val="2"/>
          </rPr>
          <t xml:space="preserve">
GM of 38.7% excludes $47.8mm in gift card breakage at VS. 
-180 bps from GM decline at VS and BBW 
+60 from net impact of recognition of Mast sales to Apparel bus'ns, partially offset by elimination of lower margin Apparel business 
-20 bps from  reclassification of some exp. into COGS from SG&amp;A 
11/07: expect flat
8/07: more consistent with 2006A results (elimination of lower margin apparel div. offset by impact of recognizing Mast sales results in -80 bps decrease in GM for the fall, and also on an annual basis)</t>
        </r>
      </text>
    </comment>
    <comment ref="CE23" authorId="3">
      <text>
        <r>
          <rPr>
            <b/>
            <sz val="8"/>
            <color indexed="81"/>
            <rFont val="Tahoma"/>
            <family val="2"/>
          </rPr>
          <t>mm98285:</t>
        </r>
        <r>
          <rPr>
            <sz val="8"/>
            <color indexed="81"/>
            <rFont val="Tahoma"/>
            <family val="2"/>
          </rPr>
          <t xml:space="preserve">
-220 bps merchandise margins 
-220 bps buying &amp; occupancy delevg    
Merch margin: Jan: all div's down; Dec: all div's -signif.; Nov: total &amp; BBW down; VSS, VSD, LS -signif.
11/08: expect down on greater promo activity and buying &amp; occupancy deleverage on –M-HSD comp</t>
        </r>
      </text>
    </comment>
    <comment ref="CI23" authorId="3">
      <text>
        <r>
          <rPr>
            <b/>
            <sz val="8"/>
            <color indexed="81"/>
            <rFont val="Tahoma"/>
            <family val="2"/>
          </rPr>
          <t>mm98285:</t>
        </r>
        <r>
          <rPr>
            <sz val="8"/>
            <color indexed="81"/>
            <rFont val="Tahoma"/>
            <family val="2"/>
          </rPr>
          <t xml:space="preserve">
merch margin ~+600 
B&amp;O levg ~+50 bps
11/09: up signif
5/09: oppty for benefit from cost reductions and better inventory 
MM:Nov: total &amp; all div's +signif; Dec: total, VSS, VSD, BBW +sign., La Senza up; Jan: total, VS, VSD, BBW, La Senza +signif</t>
        </r>
      </text>
    </comment>
    <comment ref="CM23" authorId="5">
      <text>
        <r>
          <rPr>
            <b/>
            <sz val="8"/>
            <color indexed="81"/>
            <rFont val="Tahoma"/>
            <family val="2"/>
          </rPr>
          <t>nicholjs:</t>
        </r>
        <r>
          <rPr>
            <sz val="8"/>
            <color indexed="81"/>
            <rFont val="Tahoma"/>
            <family val="2"/>
          </rPr>
          <t xml:space="preserve">
MM rate increased slightly despite negative impact of 60 bps related to increase in Mast sales to Express and Limited Stores which were recognized at 100% vs. 75% LY (so overwhelmingly B+O lvg)
November MM about flat (up excluding increase in Mast sales to Express and Limited Stores, recognized at 100% this yr vs. 75% LY).  VSS, VSD, and BBW up, La Senza down (Canadian business up but higher international licensed sales brought MM down)
December MM up vs. LY (VSS, VSD, BBW all up, La Senza up significantly)
January MM about flat vs. LY (VSS flat, VSD up, La Senza and BBW up significantly)
11/2010: expect flat to 40.8%
1/2011: sounds like +90bps is a tad too high</t>
        </r>
      </text>
    </comment>
    <comment ref="CP23" authorId="7">
      <text>
        <r>
          <rPr>
            <b/>
            <sz val="8"/>
            <color indexed="81"/>
            <rFont val="Tahoma"/>
            <family val="2"/>
          </rPr>
          <t>kahng:</t>
        </r>
        <r>
          <rPr>
            <sz val="8"/>
            <color indexed="81"/>
            <rFont val="Tahoma"/>
            <family val="2"/>
          </rPr>
          <t xml:space="preserve">
2/22/12: excludes $16.985M in B&amp;O (principally lease closure costs) from La Senza restructuring. GM would have been 43.5% excl adjustment.</t>
        </r>
      </text>
    </comment>
    <comment ref="CQ23" authorId="11">
      <text>
        <r>
          <rPr>
            <b/>
            <sz val="8"/>
            <color indexed="81"/>
            <rFont val="Tahoma"/>
            <family val="2"/>
          </rPr>
          <t>solejay:</t>
        </r>
        <r>
          <rPr>
            <sz val="8"/>
            <color indexed="81"/>
            <rFont val="Tahoma"/>
            <family val="2"/>
          </rPr>
          <t xml:space="preserve">
</t>
        </r>
        <r>
          <rPr>
            <sz val="8"/>
            <color indexed="81"/>
            <rFont val="Tahoma"/>
            <family val="2"/>
          </rPr>
          <t>11/16: "up significantly from LY"
11/16 +250bps ex MAST
Color from the conf call - "We expect the fourth quarter merchandise margin rate to be up significantly as the sale of the third party sourcing business will benefit our merchandise margin rate by approximately 300 basis points. Absent this impact, we expect the merchandise margin rate to continue to be down, negatively impacted by cost increases.  We expect the buying and occupancy rate to increase slightly driven by the negative impact of the sale of the third party sourcing business.  Excluding this impact, buying and occupancy costs would leverage on a low single digit comp in the high volume fourth quarter.  We expect the gross margin rate to be up significantly given the merchandise margin and buying and occupancy result I just discussed.  The sale will favorably impact our gross margin rate by about 250 basis points, and again absent this impact, our gross margin rate would be down slightly."</t>
        </r>
      </text>
    </comment>
    <comment ref="CR23" authorId="11">
      <text>
        <r>
          <rPr>
            <sz val="8"/>
            <color indexed="81"/>
            <rFont val="Tahoma"/>
            <family val="2"/>
          </rPr>
          <t xml:space="preserve">12/1: 
</t>
        </r>
        <r>
          <rPr>
            <b/>
            <sz val="8"/>
            <color indexed="81"/>
            <rFont val="Tahoma"/>
            <family val="2"/>
          </rPr>
          <t xml:space="preserve">January MM: </t>
        </r>
        <r>
          <rPr>
            <sz val="8"/>
            <color indexed="81"/>
            <rFont val="Tahoma"/>
            <family val="2"/>
          </rPr>
          <t xml:space="preserve">was up to last year, positively impacted by sale of MAST. Excl Mast sale, MM would have been down. VS merch marg rate and dollars were up on cleaner inv during semi ann sale. VSD merch marg down drive by increased cost and lower pricing during semi ann sale. LS merch marg about flat to last year. BBW merch marg rate down to last year driven by cost increases and promo activity.
</t>
        </r>
        <r>
          <rPr>
            <b/>
            <sz val="8"/>
            <color indexed="81"/>
            <rFont val="Tahoma"/>
            <family val="2"/>
          </rPr>
          <t xml:space="preserve">Dec MM rate was about flat to last year. </t>
        </r>
        <r>
          <rPr>
            <sz val="8"/>
            <color indexed="81"/>
            <rFont val="Tahoma"/>
            <family val="2"/>
          </rPr>
          <t xml:space="preserve">Total company MM was positively impacted by sale of Mast. Absent the sale, MM would have been down to last year. Inventories at the end of the month were down 2% psf at cost. 
</t>
        </r>
        <r>
          <rPr>
            <b/>
            <sz val="8"/>
            <color indexed="81"/>
            <rFont val="Tahoma"/>
            <family val="2"/>
          </rPr>
          <t>November LTD Merchandise Margin (MM) up significantly to LY</t>
        </r>
        <r>
          <rPr>
            <sz val="8"/>
            <color indexed="81"/>
            <rFont val="Tahoma"/>
            <family val="2"/>
          </rPr>
          <t xml:space="preserve">.  As a reminder, the total company merchandise margin rate is positively impacted by the sale of the 3rd party apparel sourcing business.  Absent this impact, the merchandise margin rate would have been down to last year in November.
</t>
        </r>
        <r>
          <rPr>
            <b/>
            <sz val="8"/>
            <color indexed="81"/>
            <rFont val="Tahoma"/>
            <family val="2"/>
          </rPr>
          <t>VS stores November MM rate down significantly to LY</t>
        </r>
        <r>
          <rPr>
            <sz val="8"/>
            <color indexed="81"/>
            <rFont val="Tahoma"/>
            <family val="2"/>
          </rPr>
          <t xml:space="preserve">; driven by expected cost pressures in Pink and strong response to gift with purchase programs; MM dollars increased over LY.
</t>
        </r>
        <r>
          <rPr>
            <b/>
            <sz val="8"/>
            <color indexed="81"/>
            <rFont val="Tahoma"/>
            <family val="2"/>
          </rPr>
          <t>VS Direct -3% November MM flat to LY</t>
        </r>
        <r>
          <rPr>
            <sz val="8"/>
            <color indexed="81"/>
            <rFont val="Tahoma"/>
            <family val="2"/>
          </rPr>
          <t xml:space="preserve">.  Direct had been incrementally more promotional in Sept., Oct. but pulled back pre- Thanksgiving.  Black Friday sales won't be recognized until Dec as revenue isn't recognized until customers recieve the merchandise.
</t>
        </r>
        <r>
          <rPr>
            <b/>
            <sz val="8"/>
            <color indexed="81"/>
            <rFont val="Tahoma"/>
            <family val="2"/>
          </rPr>
          <t>La Senza November MM down significantly to LY</t>
        </r>
        <r>
          <rPr>
            <sz val="8"/>
            <color indexed="81"/>
            <rFont val="Tahoma"/>
            <family val="2"/>
          </rPr>
          <t xml:space="preserve"> driven by incremental promotional activity.
</t>
        </r>
        <r>
          <rPr>
            <b/>
            <sz val="8"/>
            <color indexed="81"/>
            <rFont val="Tahoma"/>
            <family val="2"/>
          </rPr>
          <t>BBW November MM down to LY</t>
        </r>
        <r>
          <rPr>
            <sz val="8"/>
            <color indexed="81"/>
            <rFont val="Tahoma"/>
            <family val="2"/>
          </rPr>
          <t xml:space="preserve"> driven by cost increases and promotional activity.
</t>
        </r>
      </text>
    </comment>
    <comment ref="CT23" authorId="0">
      <text>
        <r>
          <rPr>
            <b/>
            <sz val="8"/>
            <color indexed="81"/>
            <rFont val="Tahoma"/>
            <family val="2"/>
          </rPr>
          <t>casselau:</t>
        </r>
        <r>
          <rPr>
            <sz val="8"/>
            <color indexed="81"/>
            <rFont val="Tahoma"/>
            <family val="2"/>
          </rPr>
          <t xml:space="preserve">
adjusted gross profit up for VS (down at VS stores up significantly as VS direct) and BBW; A $26.9 million pre-tax charge ($16.6 million net of tax), included in buying and occupancy expenses, related to the impairment of Henri Bendel store fixed assets</t>
        </r>
      </text>
    </comment>
    <comment ref="CU23" authorId="7">
      <text>
        <r>
          <rPr>
            <b/>
            <sz val="8"/>
            <color indexed="81"/>
            <rFont val="Tahoma"/>
            <family val="2"/>
          </rPr>
          <t xml:space="preserve">antons:
</t>
        </r>
        <r>
          <rPr>
            <b/>
            <sz val="8"/>
            <color indexed="81"/>
            <rFont val="Tahoma"/>
            <family val="2"/>
          </rPr>
          <t xml:space="preserve">2/28/13: </t>
        </r>
        <r>
          <rPr>
            <sz val="8"/>
            <color indexed="81"/>
            <rFont val="Tahoma"/>
            <family val="2"/>
          </rPr>
          <t>From 4Q12 Conf. Call - CFO, GM up +130bps on mdse margin improvement and B&amp;O costs leverage. "The gross margin rate increased 130 basis points to 45.2%, driven by an improvement in the merchandise margin rate and buying and occupancy expense leverage."</t>
        </r>
        <r>
          <rPr>
            <b/>
            <sz val="8"/>
            <color indexed="81"/>
            <rFont val="Tahoma"/>
            <family val="2"/>
          </rPr>
          <t xml:space="preserve">
11/14: </t>
        </r>
        <r>
          <rPr>
            <sz val="8"/>
            <color indexed="81"/>
            <rFont val="Tahoma"/>
            <family val="2"/>
          </rPr>
          <t>up from 43.9% LY, driven by an icnreased merchandise margin rate and B&amp;O leverage; expect 20bps headwind from an increase in mast sales to our international franchise businesses.</t>
        </r>
        <r>
          <rPr>
            <b/>
            <sz val="8"/>
            <color indexed="81"/>
            <rFont val="Tahoma"/>
            <family val="2"/>
          </rPr>
          <t xml:space="preserve">
8/16/12: </t>
        </r>
        <r>
          <rPr>
            <sz val="8"/>
            <color indexed="81"/>
            <rFont val="Tahoma"/>
            <family val="2"/>
          </rPr>
          <t>+115 bps to 45.1% sounds good if get 4% comp, extra week benefit and lower input cost benefit</t>
        </r>
        <r>
          <rPr>
            <b/>
            <sz val="8"/>
            <color indexed="81"/>
            <rFont val="Tahoma"/>
            <family val="2"/>
          </rPr>
          <t xml:space="preserve">
2/22/12:</t>
        </r>
        <r>
          <rPr>
            <sz val="8"/>
            <color indexed="81"/>
            <rFont val="Tahoma"/>
            <family val="2"/>
          </rPr>
          <t xml:space="preserve"> Regain 80 bps of LY's 100 bps hit on cost inflation + 35bps from B&amp;O leverage on 4% comp</t>
        </r>
        <r>
          <rPr>
            <sz val="8"/>
            <color indexed="81"/>
            <rFont val="Tahoma"/>
            <family val="2"/>
          </rPr>
          <t xml:space="preserve">
</t>
        </r>
      </text>
    </comment>
    <comment ref="CV23" authorId="6">
      <text>
        <r>
          <rPr>
            <b/>
            <sz val="8"/>
            <color indexed="81"/>
            <rFont val="Tahoma"/>
            <family val="2"/>
          </rPr>
          <t>kimberlg:</t>
        </r>
        <r>
          <rPr>
            <sz val="8"/>
            <color indexed="81"/>
            <rFont val="Tahoma"/>
            <family val="2"/>
          </rPr>
          <t xml:space="preserve">
cotton cost reduction, B&amp;O lvg from 53rd week</t>
        </r>
      </text>
    </comment>
    <comment ref="CY23" authorId="0">
      <text>
        <r>
          <rPr>
            <b/>
            <sz val="8"/>
            <color indexed="81"/>
            <rFont val="Tahoma"/>
            <family val="2"/>
          </rPr>
          <t xml:space="preserve">casselau:
1/9/14: </t>
        </r>
        <r>
          <rPr>
            <sz val="8"/>
            <color indexed="81"/>
            <rFont val="Tahoma"/>
            <family val="2"/>
          </rPr>
          <t>guide down primarily the result of lower than forecsted merch margins due to increased promotional activit</t>
        </r>
        <r>
          <rPr>
            <b/>
            <sz val="8"/>
            <color indexed="81"/>
            <rFont val="Tahoma"/>
            <family val="2"/>
          </rPr>
          <t>y</t>
        </r>
        <r>
          <rPr>
            <sz val="8"/>
            <color indexed="81"/>
            <rFont val="Tahoma"/>
            <family val="2"/>
          </rPr>
          <t xml:space="preserve">
11/20: guidance down vs. LY</t>
        </r>
      </text>
    </comment>
    <comment ref="CZ23" authorId="6">
      <text>
        <r>
          <rPr>
            <b/>
            <sz val="8"/>
            <color indexed="81"/>
            <rFont val="Tahoma"/>
            <family val="2"/>
          </rPr>
          <t xml:space="preserve">casselau:
</t>
        </r>
        <r>
          <rPr>
            <sz val="8"/>
            <color indexed="81"/>
            <rFont val="Tahoma"/>
            <family val="2"/>
          </rPr>
          <t>11/20: guidance down vs. LY</t>
        </r>
        <r>
          <rPr>
            <b/>
            <sz val="8"/>
            <color indexed="81"/>
            <rFont val="Tahoma"/>
            <family val="2"/>
          </rPr>
          <t xml:space="preserve">
kimberlg:</t>
        </r>
        <r>
          <rPr>
            <sz val="8"/>
            <color indexed="81"/>
            <rFont val="Tahoma"/>
            <family val="2"/>
          </rPr>
          <t xml:space="preserve">
5/23/13: sounds like "flattish"</t>
        </r>
      </text>
    </comment>
    <comment ref="DC23" authorId="0">
      <text>
        <r>
          <rPr>
            <b/>
            <sz val="9"/>
            <color indexed="81"/>
            <rFont val="Tahoma"/>
            <family val="2"/>
          </rPr>
          <t>casselau:</t>
        </r>
        <r>
          <rPr>
            <sz val="9"/>
            <color indexed="81"/>
            <rFont val="Tahoma"/>
            <family val="2"/>
          </rPr>
          <t xml:space="preserve">
11/19/14: guidance: increase vs. LY driven by improvement in merch margins</t>
        </r>
      </text>
    </comment>
    <comment ref="DD23" authorId="0">
      <text>
        <r>
          <rPr>
            <b/>
            <sz val="9"/>
            <color indexed="81"/>
            <rFont val="Tahoma"/>
            <family val="2"/>
          </rPr>
          <t>casselau:
2/26/15: driven by merch margin</t>
        </r>
        <r>
          <rPr>
            <sz val="9"/>
            <color indexed="81"/>
            <rFont val="Tahoma"/>
            <family val="2"/>
          </rPr>
          <t xml:space="preserve">
assume 50 bps merch margin expansion (nov flat, december up (assume 100 bps)) and 50 bps B&amp;O leverage (in 3Q was ~30 bps on 5% comp)</t>
        </r>
      </text>
    </comment>
    <comment ref="DG23" authorId="0">
      <text>
        <r>
          <rPr>
            <b/>
            <sz val="9"/>
            <color indexed="81"/>
            <rFont val="Tahoma"/>
            <family val="2"/>
          </rPr>
          <t xml:space="preserve">casselau:
2/25/16: driven by merch margin improvement and B&amp;O leverage
</t>
        </r>
        <r>
          <rPr>
            <sz val="9"/>
            <color indexed="81"/>
            <rFont val="Tahoma"/>
            <family val="2"/>
          </rPr>
          <t xml:space="preserve">
11/19/15: guidance about flat to LY</t>
        </r>
      </text>
    </comment>
    <comment ref="DK23" authorId="8">
      <text>
        <r>
          <rPr>
            <b/>
            <sz val="9"/>
            <color indexed="81"/>
            <rFont val="Tahoma"/>
            <family val="2"/>
          </rPr>
          <t xml:space="preserve">Cassel, Lauren (Research):
2/22/17: decline principally driven by merch margin decline 
Total company January merch margin was up: </t>
        </r>
        <r>
          <rPr>
            <sz val="9"/>
            <color indexed="81"/>
            <rFont val="Tahoma"/>
            <family val="2"/>
          </rPr>
          <t>VS down as an improvement in go-forward selling margin rate was more than offset by year-end inventory adjustments and by the impact of exiting non-core businesses; BBW up significantly vs. LY, driven by product mix</t>
        </r>
        <r>
          <rPr>
            <b/>
            <sz val="9"/>
            <color indexed="81"/>
            <rFont val="Tahoma"/>
            <family val="2"/>
          </rPr>
          <t xml:space="preserve">
Total company December merch margin down significantly and below expectations: </t>
        </r>
        <r>
          <rPr>
            <sz val="9"/>
            <color indexed="81"/>
            <rFont val="Tahoma"/>
            <family val="2"/>
          </rPr>
          <t xml:space="preserve">VS down significantly primarily due to promotional events to drive traffic and proactively manage inventory, also impacted by decline in beauty; BBW merch margin down, mainly due to growth in the Direct channel with stores margin rate relatively in-line to last year
</t>
        </r>
        <r>
          <rPr>
            <b/>
            <sz val="9"/>
            <color indexed="81"/>
            <rFont val="Tahoma"/>
            <family val="2"/>
          </rPr>
          <t xml:space="preserve">
Total company November merch margin down significantly:</t>
        </r>
        <r>
          <rPr>
            <sz val="9"/>
            <color indexed="81"/>
            <rFont val="Tahoma"/>
            <family val="2"/>
          </rPr>
          <t xml:space="preserve"> VS down significantly primarily due to promotional events to drive trial in key categories and proactively manage inventory, also impacted by decline in beauty; BBW merch margin down slightly</t>
        </r>
        <r>
          <rPr>
            <b/>
            <sz val="9"/>
            <color indexed="81"/>
            <rFont val="Tahoma"/>
            <family val="2"/>
          </rPr>
          <t xml:space="preserve">
11/16/16:guidance: down to LY driven primarily by a decline in the merchandise margin rate
</t>
        </r>
        <r>
          <rPr>
            <sz val="9"/>
            <color indexed="81"/>
            <rFont val="Tahoma"/>
            <family val="2"/>
          </rPr>
          <t xml:space="preserve">
5/5/16: FX will lessen as we go through the year and anniversarying beauty headwinds; assume ~20 bps quarterly headwind from +HSD domestic buying and occupancy expense growth (Fifth Avenue flagship, VS and BBW remodels), ~20 bps negative FX impact, ~20-30 bps deleverage from China infrastructure investments, plus ~10-20 bps deleverage on a flat comp, less 25 bps savings from catalog = -65 bps</t>
        </r>
      </text>
    </comment>
    <comment ref="DO23" authorId="8">
      <text>
        <r>
          <rPr>
            <b/>
            <sz val="9"/>
            <color indexed="81"/>
            <rFont val="Tahoma"/>
            <family val="2"/>
          </rPr>
          <t>Cassel, Lauren (Research):
-</t>
        </r>
        <r>
          <rPr>
            <sz val="9"/>
            <color indexed="81"/>
            <rFont val="Tahoma"/>
            <family val="2"/>
          </rPr>
          <t xml:space="preserve">Total company  </t>
        </r>
        <r>
          <rPr>
            <b/>
            <sz val="9"/>
            <color indexed="81"/>
            <rFont val="Tahoma"/>
            <family val="2"/>
          </rPr>
          <t xml:space="preserve">November </t>
        </r>
        <r>
          <rPr>
            <sz val="9"/>
            <color indexed="81"/>
            <rFont val="Tahoma"/>
            <family val="2"/>
          </rPr>
          <t xml:space="preserve">merch margin was </t>
        </r>
        <r>
          <rPr>
            <b/>
            <sz val="9"/>
            <color indexed="81"/>
            <rFont val="Tahoma"/>
            <family val="2"/>
          </rPr>
          <t xml:space="preserve">up; VS up significantly </t>
        </r>
        <r>
          <rPr>
            <sz val="9"/>
            <color indexed="81"/>
            <rFont val="Tahoma"/>
            <family val="2"/>
          </rPr>
          <t xml:space="preserve">to LY driven by the reduction in promotional activity; margin dollars were about flat to LY, in-line with expectations; </t>
        </r>
        <r>
          <rPr>
            <b/>
            <sz val="9"/>
            <color indexed="81"/>
            <rFont val="Tahoma"/>
            <family val="2"/>
          </rPr>
          <t xml:space="preserve">BBW down slightly  </t>
        </r>
        <r>
          <rPr>
            <sz val="9"/>
            <color indexed="81"/>
            <rFont val="Tahoma"/>
            <family val="2"/>
          </rPr>
          <t xml:space="preserve">vs. LY, due to promotional activity </t>
        </r>
        <r>
          <rPr>
            <b/>
            <sz val="9"/>
            <color indexed="81"/>
            <rFont val="Tahoma"/>
            <family val="2"/>
          </rPr>
          <t xml:space="preserve">
- </t>
        </r>
        <r>
          <rPr>
            <sz val="9"/>
            <color indexed="81"/>
            <rFont val="Tahoma"/>
            <family val="2"/>
          </rPr>
          <t>Total company</t>
        </r>
        <r>
          <rPr>
            <b/>
            <sz val="9"/>
            <color indexed="81"/>
            <rFont val="Tahoma"/>
            <family val="2"/>
          </rPr>
          <t xml:space="preserve"> December </t>
        </r>
        <r>
          <rPr>
            <sz val="9"/>
            <color indexed="81"/>
            <rFont val="Tahoma"/>
            <family val="2"/>
          </rPr>
          <t>merch margin was</t>
        </r>
        <r>
          <rPr>
            <b/>
            <sz val="9"/>
            <color indexed="81"/>
            <rFont val="Tahoma"/>
            <family val="2"/>
          </rPr>
          <t xml:space="preserve"> down; </t>
        </r>
        <r>
          <rPr>
            <sz val="9"/>
            <color indexed="81"/>
            <rFont val="Tahoma"/>
            <family val="2"/>
          </rPr>
          <t>the merchandise margin rate result was</t>
        </r>
        <r>
          <rPr>
            <b/>
            <sz val="9"/>
            <color indexed="81"/>
            <rFont val="Tahoma"/>
            <family val="2"/>
          </rPr>
          <t xml:space="preserve"> below expectations </t>
        </r>
        <r>
          <rPr>
            <sz val="9"/>
            <color indexed="81"/>
            <rFont val="Tahoma"/>
            <family val="2"/>
          </rPr>
          <t xml:space="preserve">driven in part by a stronger than anticipated response to Victoria’s Secret’s Holiday reward card. </t>
        </r>
        <r>
          <rPr>
            <b/>
            <sz val="9"/>
            <color indexed="81"/>
            <rFont val="Tahoma"/>
            <family val="2"/>
          </rPr>
          <t xml:space="preserve">VS down significantly </t>
        </r>
        <r>
          <rPr>
            <sz val="9"/>
            <color indexed="81"/>
            <rFont val="Tahoma"/>
            <family val="2"/>
          </rPr>
          <t>to LY driven by an increase in promotional activity;</t>
        </r>
        <r>
          <rPr>
            <b/>
            <sz val="9"/>
            <color indexed="81"/>
            <rFont val="Tahoma"/>
            <family val="2"/>
          </rPr>
          <t xml:space="preserve"> BBW down </t>
        </r>
        <r>
          <rPr>
            <sz val="9"/>
            <color indexed="81"/>
            <rFont val="Tahoma"/>
            <family val="2"/>
          </rPr>
          <t xml:space="preserve">vs. LY with promotional levels about flat.
- Total company </t>
        </r>
        <r>
          <rPr>
            <b/>
            <sz val="9"/>
            <color indexed="81"/>
            <rFont val="Tahoma"/>
            <family val="2"/>
          </rPr>
          <t xml:space="preserve">January </t>
        </r>
        <r>
          <rPr>
            <sz val="9"/>
            <color indexed="81"/>
            <rFont val="Tahoma"/>
            <family val="2"/>
          </rPr>
          <t xml:space="preserve">merch margin </t>
        </r>
        <r>
          <rPr>
            <b/>
            <sz val="9"/>
            <color indexed="81"/>
            <rFont val="Tahoma"/>
            <family val="2"/>
          </rPr>
          <t>down</t>
        </r>
        <r>
          <rPr>
            <sz val="9"/>
            <color indexed="81"/>
            <rFont val="Tahoma"/>
            <family val="2"/>
          </rPr>
          <t xml:space="preserve"> vs. LY; merchandise margin rates were positively impacted by the extra-week of full-priced selling. </t>
        </r>
        <r>
          <rPr>
            <b/>
            <sz val="9"/>
            <color indexed="81"/>
            <rFont val="Tahoma"/>
            <family val="2"/>
          </rPr>
          <t>VS up, but down</t>
        </r>
        <r>
          <rPr>
            <sz val="9"/>
            <color indexed="81"/>
            <rFont val="Tahoma"/>
            <family val="2"/>
          </rPr>
          <t xml:space="preserve"> ex. the extra week; </t>
        </r>
        <r>
          <rPr>
            <b/>
            <sz val="9"/>
            <color indexed="81"/>
            <rFont val="Tahoma"/>
            <family val="2"/>
          </rPr>
          <t>BBW down</t>
        </r>
        <r>
          <rPr>
            <sz val="9"/>
            <color indexed="81"/>
            <rFont val="Tahoma"/>
            <family val="2"/>
          </rPr>
          <t xml:space="preserve"> driven by sales mix (clearing through higher quality items in semi-annual sale) (but merchandise margin dollars up on 4-week basis)</t>
        </r>
        <r>
          <rPr>
            <b/>
            <sz val="9"/>
            <color indexed="81"/>
            <rFont val="Tahoma"/>
            <family val="2"/>
          </rPr>
          <t xml:space="preserve">
</t>
        </r>
        <r>
          <rPr>
            <sz val="9"/>
            <color indexed="81"/>
            <rFont val="Tahoma"/>
            <family val="2"/>
          </rPr>
          <t xml:space="preserve">
11/15/17: guidance: down from LY</t>
        </r>
      </text>
    </comment>
    <comment ref="DP23" authorId="8">
      <text>
        <r>
          <rPr>
            <b/>
            <sz val="9"/>
            <color indexed="81"/>
            <rFont val="Tahoma"/>
            <family val="2"/>
          </rPr>
          <t>Cassel, Lauren (Research):</t>
        </r>
        <r>
          <rPr>
            <sz val="9"/>
            <color indexed="81"/>
            <rFont val="Tahoma"/>
            <family val="2"/>
          </rPr>
          <t xml:space="preserve">
2/28/18: driven by a decline in the merchandise margin rate </t>
        </r>
      </text>
    </comment>
    <comment ref="BW24" authorId="15">
      <text>
        <r>
          <rPr>
            <b/>
            <sz val="8"/>
            <color indexed="81"/>
            <rFont val="Tahoma"/>
            <family val="2"/>
          </rPr>
          <t>MB33100:</t>
        </r>
        <r>
          <rPr>
            <sz val="8"/>
            <color indexed="81"/>
            <rFont val="Tahoma"/>
            <family val="2"/>
          </rPr>
          <t xml:space="preserve">
2/06 mgmt's 2006 guidance is based on gross margins improving</t>
        </r>
      </text>
    </comment>
    <comment ref="CA24" authorId="3">
      <text>
        <r>
          <rPr>
            <b/>
            <sz val="8"/>
            <color indexed="81"/>
            <rFont val="Tahoma"/>
            <family val="2"/>
          </rPr>
          <t>mm98285:</t>
        </r>
        <r>
          <rPr>
            <sz val="8"/>
            <color indexed="81"/>
            <rFont val="Tahoma"/>
            <family val="2"/>
          </rPr>
          <t xml:space="preserve">
2/07: expect to be down modestly</t>
        </r>
      </text>
    </comment>
    <comment ref="CE24" authorId="3">
      <text>
        <r>
          <rPr>
            <b/>
            <sz val="8"/>
            <color indexed="81"/>
            <rFont val="Tahoma"/>
            <family val="2"/>
          </rPr>
          <t>mm98285:</t>
        </r>
        <r>
          <rPr>
            <sz val="8"/>
            <color indexed="81"/>
            <rFont val="Tahoma"/>
            <family val="2"/>
          </rPr>
          <t xml:space="preserve">
5/08: expect up given higher merch margins at both brands</t>
        </r>
      </text>
    </comment>
    <comment ref="CI24" authorId="3">
      <text>
        <r>
          <rPr>
            <b/>
            <sz val="8"/>
            <color indexed="81"/>
            <rFont val="Tahoma"/>
            <family val="2"/>
          </rPr>
          <t>mm98285:</t>
        </r>
        <r>
          <rPr>
            <sz val="8"/>
            <color indexed="81"/>
            <rFont val="Tahoma"/>
            <family val="2"/>
          </rPr>
          <t xml:space="preserve">
2/10: higher merch margin offset by B&amp;O delevg
11/09: +slightly
8/09 &amp; 5/09: expect ~flat vs. LY (higher merch. margin offset by B&amp;O delevg)
2/09: expect down</t>
        </r>
      </text>
    </comment>
    <comment ref="CM24" authorId="3">
      <text>
        <r>
          <rPr>
            <sz val="8"/>
            <color indexed="81"/>
            <rFont val="Tahoma"/>
            <family val="2"/>
          </rPr>
          <t>11/10: expect up significantly
8/10: expect up
5/10: expect up
2/10: expect up</t>
        </r>
      </text>
    </comment>
    <comment ref="CQ24" authorId="5">
      <text>
        <r>
          <rPr>
            <sz val="8"/>
            <color indexed="81"/>
            <rFont val="Tahoma"/>
            <family val="2"/>
          </rPr>
          <t>4q cc: The gross margin rate increased 150 basis points to 39.3%, and was positively impacted by the sourcing business sale by about 70 basis points. Again, absent this impact, the gross margin rate would have increased 80 basis points, as buying and occupancy leverage more than offset a slight decline in the merchandise margin rate.
11/2011: expect up from 37.8% LY</t>
        </r>
        <r>
          <rPr>
            <sz val="8"/>
            <color indexed="81"/>
            <rFont val="Tahoma"/>
            <family val="2"/>
          </rPr>
          <t xml:space="preserve">
8/2011: expect up
5/2011: expect up slightly from LY (continue to expect some impact from increasing cost pressures this fall and therefore outlook does call for some decline in merchandise margin rate in 2011)
2/2011: expect flat to 37.8%</t>
        </r>
      </text>
    </comment>
    <comment ref="CT24" authorId="0">
      <text>
        <r>
          <rPr>
            <b/>
            <sz val="8"/>
            <color indexed="81"/>
            <rFont val="Tahoma"/>
            <family val="2"/>
          </rPr>
          <t>casselau:</t>
        </r>
        <r>
          <rPr>
            <sz val="8"/>
            <color indexed="81"/>
            <rFont val="Tahoma"/>
            <family val="2"/>
          </rPr>
          <t xml:space="preserve">
adjusted gross profit flat for VS (about flat at VS, up at VS direct) and up at BBW</t>
        </r>
      </text>
    </comment>
    <comment ref="CU24" authorId="7">
      <text>
        <r>
          <rPr>
            <b/>
            <sz val="8"/>
            <color indexed="81"/>
            <rFont val="Tahoma"/>
            <family val="2"/>
          </rPr>
          <t xml:space="preserve">antons:
2/28/13: </t>
        </r>
        <r>
          <rPr>
            <sz val="8"/>
            <color indexed="81"/>
            <rFont val="Tahoma"/>
            <family val="2"/>
          </rPr>
          <t>From 4Q12 Conf. Call - CFO, GM increased +300bps due to the impact of the sourcing business sale. "The gross margin rate increased 300 basis points to 42.3%, and was positively impacted by the sourcing business sale by about 250 basis points. Absent this impact, the gross margin rate would have increased 50 basis points, driven by buying and occupancy leverage and a roughly flat merchandise margin rate."</t>
        </r>
        <r>
          <rPr>
            <b/>
            <sz val="8"/>
            <color indexed="81"/>
            <rFont val="Tahoma"/>
            <family val="2"/>
          </rPr>
          <t xml:space="preserve">
11/15/12:</t>
        </r>
        <r>
          <rPr>
            <sz val="8"/>
            <color indexed="81"/>
            <rFont val="Tahoma"/>
            <family val="2"/>
          </rPr>
          <t xml:space="preserve"> expect up significantly y/y, positively impacted by the sourcing business sale by about 250 bps. Excluding this
impact,would still be up for the year, driven by a roughly flat merchandise margin rate and an improvement in the B&amp;O expense rate.
5/16/12: up from 24.4% LY (sourcing sale impact unfav by 170bps; excl this impact rate would be about flat)</t>
        </r>
        <r>
          <rPr>
            <b/>
            <sz val="8"/>
            <color indexed="81"/>
            <rFont val="Tahoma"/>
            <family val="2"/>
          </rPr>
          <t xml:space="preserve">
8/15: </t>
        </r>
        <r>
          <rPr>
            <sz val="8"/>
            <color indexed="81"/>
            <rFont val="Tahoma"/>
            <family val="2"/>
          </rPr>
          <t>up significantly from 39.3% LY (sourcing sale impact favorable 250bps; excl. this impact rate would be up vs LY)</t>
        </r>
        <r>
          <rPr>
            <b/>
            <sz val="8"/>
            <color indexed="81"/>
            <rFont val="Tahoma"/>
            <family val="2"/>
          </rPr>
          <t xml:space="preserve">
kahng:</t>
        </r>
        <r>
          <rPr>
            <sz val="8"/>
            <color indexed="81"/>
            <rFont val="Tahoma"/>
            <family val="2"/>
          </rPr>
          <t xml:space="preserve">
5/16/12: </t>
        </r>
        <r>
          <rPr>
            <sz val="8"/>
            <color indexed="81"/>
            <rFont val="Tahoma"/>
            <family val="2"/>
          </rPr>
          <t>up significantly from 39.3% LY (sourcing sale impact favorable 250bps; excluding this impact rate would be up to LY)</t>
        </r>
        <r>
          <rPr>
            <sz val="8"/>
            <color indexed="81"/>
            <rFont val="Tahoma"/>
            <family val="2"/>
          </rPr>
          <t xml:space="preserve">
2/22/12: up sig from 39.3% LY (sourcing sale impact favorable 250bps: excl this impact, rate would be up to LY)</t>
        </r>
      </text>
    </comment>
    <comment ref="CY24" authorId="0">
      <text>
        <r>
          <rPr>
            <b/>
            <sz val="8"/>
            <color indexed="81"/>
            <rFont val="Tahoma"/>
            <family val="2"/>
          </rPr>
          <t xml:space="preserve">casselau:
</t>
        </r>
        <r>
          <rPr>
            <sz val="8"/>
            <color indexed="81"/>
            <rFont val="Tahoma"/>
            <family val="2"/>
          </rPr>
          <t>11/20/13: reiterate down vs. LY</t>
        </r>
        <r>
          <rPr>
            <b/>
            <sz val="8"/>
            <color indexed="81"/>
            <rFont val="Tahoma"/>
            <family val="2"/>
          </rPr>
          <t xml:space="preserve">
</t>
        </r>
        <r>
          <rPr>
            <sz val="8"/>
            <color indexed="81"/>
            <rFont val="Tahoma"/>
            <family val="2"/>
          </rPr>
          <t>8/21/13: guidance down vs. LY
5/22/13 guidance: down slightly vs. LY</t>
        </r>
        <r>
          <rPr>
            <sz val="8"/>
            <color indexed="81"/>
            <rFont val="Tahoma"/>
            <family val="2"/>
          </rPr>
          <t xml:space="preserve">
2/27/13: guidance about flat at 42.3%</t>
        </r>
      </text>
    </comment>
    <comment ref="DC24" authorId="0">
      <text>
        <r>
          <rPr>
            <b/>
            <sz val="8"/>
            <color indexed="81"/>
            <rFont val="Tahoma"/>
            <family val="2"/>
          </rPr>
          <t>casselau:
11/19/14: increase vs. LY
8/20/14: about flat to LY</t>
        </r>
        <r>
          <rPr>
            <sz val="8"/>
            <color indexed="81"/>
            <rFont val="Tahoma"/>
            <family val="2"/>
          </rPr>
          <t xml:space="preserve">
2/26/14: guidance down slightly from LY (expect slight improvement in merchandise margin, B&amp;O deleverage slightly more than that)</t>
        </r>
      </text>
    </comment>
    <comment ref="DD24" authorId="0">
      <text>
        <r>
          <rPr>
            <b/>
            <sz val="8"/>
            <color indexed="81"/>
            <rFont val="Tahoma"/>
            <family val="2"/>
          </rPr>
          <t>casselau:</t>
        </r>
        <r>
          <rPr>
            <sz val="8"/>
            <color indexed="81"/>
            <rFont val="Tahoma"/>
            <family val="2"/>
          </rPr>
          <t xml:space="preserve">
2/27/14: occupancy costs are estimated to increase ~$125M, or about 7%</t>
        </r>
      </text>
    </comment>
    <comment ref="DG24" authorId="12">
      <text>
        <r>
          <rPr>
            <sz val="9"/>
            <color indexed="81"/>
            <rFont val="Tahoma"/>
            <family val="2"/>
          </rPr>
          <t>2/25/16: primarily driven by merch margin improvement 
11/19/15: guidance up from LY
8/19/15: guidance: up from LY
5/20/15: guidance: up slightly</t>
        </r>
        <r>
          <rPr>
            <b/>
            <sz val="9"/>
            <color indexed="81"/>
            <rFont val="Tahoma"/>
            <family val="2"/>
          </rPr>
          <t xml:space="preserve">
</t>
        </r>
        <r>
          <rPr>
            <sz val="9"/>
            <color indexed="81"/>
            <rFont val="Tahoma"/>
            <family val="2"/>
          </rPr>
          <t>2/25/15 Guidance: About flat to LY</t>
        </r>
      </text>
    </comment>
    <comment ref="DK24" authorId="0">
      <text>
        <r>
          <rPr>
            <b/>
            <sz val="9"/>
            <color indexed="81"/>
            <rFont val="Tahoma"/>
            <family val="2"/>
          </rPr>
          <t xml:space="preserve">casselau:
2/22/16: driven by a decline in the merchandise margin rate 
5/18/16: expect +MSD increase in B&amp;O expense; lower than previously forecsted due to the reduction in catalogue costs; 5th Ave will driven incremental expense related to pre-opening costs of ~$30M
</t>
        </r>
        <r>
          <rPr>
            <sz val="9"/>
            <color indexed="81"/>
            <rFont val="Tahoma"/>
            <family val="2"/>
          </rPr>
          <t xml:space="preserve">
2/24/16: guidance down to LY (merch margin rate decline due to FX (ex FX ~flat) and B&amp;O deleverage; "Our increased investment in real estate will result in high single-digit percentage increase in buying and occupancy expense in 2016. About 3 points higher than growth in 2015. The Victoria's Secret Fifth Avenue store will drive incremental expense related to preopening costs of about $30M"</t>
        </r>
      </text>
    </comment>
    <comment ref="DP24" authorId="8">
      <text>
        <r>
          <rPr>
            <b/>
            <sz val="9"/>
            <color indexed="81"/>
            <rFont val="Tahoma"/>
            <family val="2"/>
          </rPr>
          <t>Cassel, Lauren (Research):
2/28/18: driven roughly equally by a decrease in the merchandise margin rate and B&amp;O deleverage
11/15/17: guidance: down from LY driven by a decrease in merch margin and deleverage in B&amp;O</t>
        </r>
        <r>
          <rPr>
            <sz val="9"/>
            <color indexed="81"/>
            <rFont val="Tahoma"/>
            <family val="2"/>
          </rPr>
          <t xml:space="preserve">
2/22/17: guidance down from LY as B&amp;O deleverage will be partially offset by an improvement in the merch margin </t>
        </r>
      </text>
    </comment>
    <comment ref="DT24" authorId="8">
      <text>
        <r>
          <rPr>
            <b/>
            <sz val="9"/>
            <color indexed="81"/>
            <rFont val="Tahoma"/>
            <family val="2"/>
          </rPr>
          <t>Cassel, Lauren (Research):</t>
        </r>
        <r>
          <rPr>
            <sz val="9"/>
            <color indexed="81"/>
            <rFont val="Tahoma"/>
            <family val="2"/>
          </rPr>
          <t xml:space="preserve">
2/28/18: guidance: about flat  (merchandise margin decline, B&amp;O roughly flat, credit card change will benefit  gross margin 50 bps
</t>
        </r>
        <r>
          <rPr>
            <b/>
            <sz val="9"/>
            <color indexed="81"/>
            <rFont val="Tahoma"/>
            <family val="2"/>
          </rPr>
          <t>*eComm is lower merchandise margin business but higher EBIT</t>
        </r>
      </text>
    </comment>
    <comment ref="BF30" authorId="3">
      <text>
        <r>
          <rPr>
            <b/>
            <sz val="8"/>
            <color indexed="81"/>
            <rFont val="Tahoma"/>
            <family val="2"/>
          </rPr>
          <t>mm98285:</t>
        </r>
        <r>
          <rPr>
            <sz val="8"/>
            <color indexed="81"/>
            <rFont val="Tahoma"/>
            <family val="2"/>
          </rPr>
          <t xml:space="preserve">
restated per 2005 10-K from $503.012mm</t>
        </r>
      </text>
    </comment>
    <comment ref="BJ30" authorId="1">
      <text>
        <r>
          <rPr>
            <b/>
            <sz val="8"/>
            <color indexed="81"/>
            <rFont val="Tahoma"/>
            <family val="2"/>
          </rPr>
          <t>dliu:</t>
        </r>
        <r>
          <rPr>
            <sz val="8"/>
            <color indexed="81"/>
            <rFont val="Tahoma"/>
            <family val="2"/>
          </rPr>
          <t xml:space="preserve">
restated per 2005 10-K from $556.282mm
550, 557.8</t>
        </r>
      </text>
    </comment>
    <comment ref="BW30" authorId="3">
      <text>
        <r>
          <rPr>
            <b/>
            <sz val="8"/>
            <color indexed="81"/>
            <rFont val="Tahoma"/>
            <family val="2"/>
          </rPr>
          <t>mm98285:</t>
        </r>
        <r>
          <rPr>
            <sz val="8"/>
            <color indexed="81"/>
            <rFont val="Tahoma"/>
            <family val="2"/>
          </rPr>
          <t xml:space="preserve">
5/06: +incentive comp. exp.
+store payroll costs
+incrmtl invmts in tech &amp; infrastructure
+marketing expenses (prim. at VS)
+incrmtl stock option exp.</t>
        </r>
      </text>
    </comment>
    <comment ref="BZ30" authorId="3">
      <text>
        <r>
          <rPr>
            <b/>
            <sz val="8"/>
            <color indexed="81"/>
            <rFont val="Tahoma"/>
            <family val="2"/>
          </rPr>
          <t>mm98285:</t>
        </r>
        <r>
          <rPr>
            <sz val="8"/>
            <color indexed="81"/>
            <rFont val="Tahoma"/>
            <family val="2"/>
          </rPr>
          <t xml:space="preserve">
2/28/08: $694.842 prior to restatement </t>
        </r>
      </text>
    </comment>
    <comment ref="CA30" authorId="3">
      <text>
        <r>
          <rPr>
            <b/>
            <sz val="8"/>
            <color indexed="81"/>
            <rFont val="Tahoma"/>
            <family val="2"/>
          </rPr>
          <t>mm98285:</t>
        </r>
        <r>
          <rPr>
            <sz val="8"/>
            <color indexed="81"/>
            <rFont val="Tahoma"/>
            <family val="2"/>
          </rPr>
          <t xml:space="preserve">
30% of the increase, or ~$27.6 million, was driven by incremental cost from recording La Senza’s SG&amp;A costs, 50% of the increase, or $46.0 million, was due to 110 bps of deleverage on store selling costs given additional payroll hours to support sales growth, the remaining 20% of the increase, or $18.4 million, relates to increased marketing costs (primarily at Victoria's Secret), which delevered by ~60 basis points</t>
        </r>
      </text>
    </comment>
    <comment ref="CB30" authorId="3">
      <text>
        <r>
          <rPr>
            <b/>
            <sz val="8"/>
            <color indexed="81"/>
            <rFont val="Tahoma"/>
            <family val="2"/>
          </rPr>
          <t>mm98285:</t>
        </r>
        <r>
          <rPr>
            <sz val="8"/>
            <color indexed="81"/>
            <rFont val="Tahoma"/>
            <family val="2"/>
          </rPr>
          <t xml:space="preserve">
2/07: expect ~18% growth</t>
        </r>
      </text>
    </comment>
    <comment ref="CE30" authorId="3">
      <text>
        <r>
          <rPr>
            <b/>
            <sz val="8"/>
            <color indexed="81"/>
            <rFont val="Tahoma"/>
            <family val="2"/>
          </rPr>
          <t>mm98285:</t>
        </r>
        <r>
          <rPr>
            <sz val="8"/>
            <color indexed="81"/>
            <rFont val="Tahoma"/>
            <family val="2"/>
          </rPr>
          <t xml:space="preserve">
-170 bps from net impact of the recognition of Mast sales to the Apparel businesses, partially offset by the elimination of the Apparel businesses 
+10 bps given expense deleverage on the -8% comp
VS: reduction in marketing expenses
reduced home office expenses
2/08: expect SG&amp;A down
8/07: net effect of apparel divestiture, Mast sales &amp; benefit of headcount reduction will improve SG&amp;A rate by ~250 bps for fall &amp; on an annual basis.</t>
        </r>
      </text>
    </comment>
    <comment ref="CI30" authorId="3">
      <text>
        <r>
          <rPr>
            <b/>
            <sz val="8"/>
            <color indexed="81"/>
            <rFont val="Tahoma"/>
            <family val="2"/>
          </rPr>
          <t>mm98285:</t>
        </r>
        <r>
          <rPr>
            <sz val="8"/>
            <color indexed="81"/>
            <rFont val="Tahoma"/>
            <family val="2"/>
          </rPr>
          <t xml:space="preserve">
5/09: decline primarily attributable to mgmt's cost cutting efforts &amp; lower marketing exp's (to lesser extent)
2/09: rate up</t>
        </r>
      </text>
    </comment>
    <comment ref="CJ30" authorId="3">
      <text>
        <r>
          <rPr>
            <b/>
            <sz val="8"/>
            <color indexed="81"/>
            <rFont val="Tahoma"/>
            <family val="2"/>
          </rPr>
          <t>mm98285:</t>
        </r>
        <r>
          <rPr>
            <sz val="8"/>
            <color indexed="81"/>
            <rFont val="Tahoma"/>
            <family val="2"/>
          </rPr>
          <t xml:space="preserve">
down (5)-(10)%</t>
        </r>
      </text>
    </comment>
    <comment ref="CM30" authorId="3">
      <text>
        <r>
          <rPr>
            <b/>
            <sz val="8"/>
            <color indexed="81"/>
            <rFont val="Tahoma"/>
            <family val="2"/>
          </rPr>
          <t>mm98285:</t>
        </r>
        <r>
          <rPr>
            <sz val="8"/>
            <color indexed="81"/>
            <rFont val="Tahoma"/>
            <family val="2"/>
          </rPr>
          <t xml:space="preserve">
2/10: ~flat as percent of sales</t>
        </r>
      </text>
    </comment>
    <comment ref="CP30" authorId="5">
      <text>
        <r>
          <rPr>
            <b/>
            <sz val="8"/>
            <color indexed="81"/>
            <rFont val="Tahoma"/>
            <family val="2"/>
          </rPr>
          <t>nicholjs:</t>
        </r>
        <r>
          <rPr>
            <sz val="8"/>
            <color indexed="81"/>
            <rFont val="Tahoma"/>
            <family val="2"/>
          </rPr>
          <t xml:space="preserve">
of 13% dollar increase:
75% in store selling and marketing costs
25% home office expenses across various categories including investments related to international businesses, merit increases, and incentive compensation
excludes $50mm pre-tax expense ($31.2mm net of tax) related to pledge to Limited Brands Foundation</t>
        </r>
      </text>
    </comment>
    <comment ref="CQ30" authorId="5">
      <text>
        <r>
          <rPr>
            <b/>
            <sz val="8"/>
            <color indexed="81"/>
            <rFont val="Tahoma"/>
            <family val="2"/>
          </rPr>
          <t>nicholjs:</t>
        </r>
        <r>
          <rPr>
            <sz val="8"/>
            <color indexed="81"/>
            <rFont val="Tahoma"/>
            <family val="2"/>
          </rPr>
          <t xml:space="preserve">
2/2011: expect about flat to 26.4%</t>
        </r>
      </text>
    </comment>
    <comment ref="CU30" authorId="13">
      <text>
        <r>
          <rPr>
            <b/>
            <sz val="8"/>
            <color indexed="81"/>
            <rFont val="Tahoma"/>
            <family val="2"/>
          </rPr>
          <t xml:space="preserve">5/3/12: </t>
        </r>
        <r>
          <rPr>
            <sz val="8"/>
            <color indexed="81"/>
            <rFont val="Tahoma"/>
            <family val="2"/>
          </rPr>
          <t>2c severance is 45bps hit to SG&amp;A plus 3c hit on higher tax rate</t>
        </r>
        <r>
          <rPr>
            <b/>
            <sz val="8"/>
            <color indexed="81"/>
            <rFont val="Tahoma"/>
            <family val="2"/>
          </rPr>
          <t xml:space="preserve">
2/22/12: </t>
        </r>
        <r>
          <rPr>
            <sz val="8"/>
            <color indexed="81"/>
            <rFont val="Tahoma"/>
            <family val="2"/>
          </rPr>
          <t xml:space="preserve">LY 25.9% +270bp from Mast adj. + 10bps on VS London flagship pre-open costs + est 2c hit or +40 bps on LaSenza costs (relo, transition, personnel &amp; travel costs) - 10bps SGA leverage on 4% comp. We adjusted by 40bps for sandbagging.
up significantly from 25.9% LY (sourcing sale impact unfav by 270bps, excluding this impact, rate would be up slightly); 
</t>
        </r>
        <r>
          <rPr>
            <b/>
            <sz val="8"/>
            <color indexed="81"/>
            <rFont val="Tahoma"/>
            <family val="2"/>
          </rPr>
          <t>lauraro:</t>
        </r>
        <r>
          <rPr>
            <sz val="8"/>
            <color indexed="81"/>
            <rFont val="Tahoma"/>
            <family val="2"/>
          </rPr>
          <t xml:space="preserve"> +270bps MAST adjustment</t>
        </r>
      </text>
    </comment>
    <comment ref="CY30" authorId="13">
      <text>
        <r>
          <rPr>
            <b/>
            <sz val="8"/>
            <color indexed="81"/>
            <rFont val="Tahoma"/>
            <family val="2"/>
          </rPr>
          <t xml:space="preserve">5/3/12: </t>
        </r>
        <r>
          <rPr>
            <sz val="8"/>
            <color indexed="81"/>
            <rFont val="Tahoma"/>
            <family val="2"/>
          </rPr>
          <t>2c severance is 45bps hit to SG&amp;A plus 3c hit on higher tax rate</t>
        </r>
        <r>
          <rPr>
            <b/>
            <sz val="8"/>
            <color indexed="81"/>
            <rFont val="Tahoma"/>
            <family val="2"/>
          </rPr>
          <t xml:space="preserve">
2/22/12: </t>
        </r>
        <r>
          <rPr>
            <sz val="8"/>
            <color indexed="81"/>
            <rFont val="Tahoma"/>
            <family val="2"/>
          </rPr>
          <t xml:space="preserve">LY 25.9% +270bp from Mast adj. + 10bps on VS London flagship pre-open costs + est 2c hit or +40 bps on LaSenza costs (relo, transition, personnel &amp; travel costs) - 10bps SGA leverage on 4% comp. We adjusted by 40bps for sandbagging.
up significantly from 25.9% LY (sourcing sale impact unfav by 270bps, excluding this impact, rate would be up slightly); 
</t>
        </r>
        <r>
          <rPr>
            <b/>
            <sz val="8"/>
            <color indexed="81"/>
            <rFont val="Tahoma"/>
            <family val="2"/>
          </rPr>
          <t>lauraro:</t>
        </r>
        <r>
          <rPr>
            <sz val="8"/>
            <color indexed="81"/>
            <rFont val="Tahoma"/>
            <family val="2"/>
          </rPr>
          <t xml:space="preserve"> +270bps MAST adjustment</t>
        </r>
      </text>
    </comment>
    <comment ref="DC30" authorId="0">
      <text>
        <r>
          <rPr>
            <b/>
            <sz val="8"/>
            <color indexed="81"/>
            <rFont val="Tahoma"/>
            <family val="2"/>
          </rPr>
          <t>casselau:</t>
        </r>
        <r>
          <rPr>
            <sz val="8"/>
            <color indexed="81"/>
            <rFont val="Tahoma"/>
            <family val="2"/>
          </rPr>
          <t xml:space="preserve">
2/26/14: guidance down from LY</t>
        </r>
      </text>
    </comment>
    <comment ref="DG30" authorId="12">
      <text>
        <r>
          <rPr>
            <b/>
            <sz val="9"/>
            <color indexed="81"/>
            <rFont val="Tahoma"/>
            <family val="2"/>
          </rPr>
          <t xml:space="preserve">casselau:
</t>
        </r>
        <r>
          <rPr>
            <sz val="9"/>
            <color indexed="81"/>
            <rFont val="Tahoma"/>
            <family val="2"/>
          </rPr>
          <t>5/20/15: increase driven by investment in store selling
2/25/15 Guidance: slight increase vs. LY driven by an increase in marketing and store selling costs</t>
        </r>
      </text>
    </comment>
    <comment ref="DJ30" authorId="8">
      <text>
        <r>
          <rPr>
            <b/>
            <sz val="9"/>
            <color indexed="81"/>
            <rFont val="Tahoma"/>
            <family val="2"/>
          </rPr>
          <t>Cassel, Lauren (Research):</t>
        </r>
        <r>
          <rPr>
            <sz val="9"/>
            <color indexed="81"/>
            <rFont val="Tahoma"/>
            <family val="2"/>
          </rPr>
          <t xml:space="preserve">
5/18/16: excludes pre-tax charges related previously
announced actions at Victoria’s Secret, including severance charges, fabric cancellations and the write-off of catalogue paper.</t>
        </r>
      </text>
    </comment>
    <comment ref="DK30" authorId="0">
      <text>
        <r>
          <rPr>
            <b/>
            <sz val="9"/>
            <color indexed="81"/>
            <rFont val="Tahoma"/>
            <family val="2"/>
          </rPr>
          <t xml:space="preserve">casselau:
5/18/16: </t>
        </r>
        <r>
          <rPr>
            <sz val="9"/>
            <color indexed="81"/>
            <rFont val="Tahoma"/>
            <family val="2"/>
          </rPr>
          <t xml:space="preserve">
2/24/16: guidance up to LY driven by increase in store selling costs </t>
        </r>
      </text>
    </comment>
    <comment ref="DO30" authorId="8">
      <text>
        <r>
          <rPr>
            <b/>
            <sz val="9"/>
            <color indexed="81"/>
            <rFont val="Tahoma"/>
            <family val="2"/>
          </rPr>
          <t>Cassel, Lauren (Research):
5/17/17: deleverage on the negative comp, China, offset by lower marketing  (no swim special); flexed down on store selling payroll given when  comp results were softer</t>
        </r>
        <r>
          <rPr>
            <sz val="9"/>
            <color indexed="81"/>
            <rFont val="Tahoma"/>
            <family val="2"/>
          </rPr>
          <t xml:space="preserve">
2/22/17: guidance: up significantly driven by deleverage on the negative comp, China, and modest increase in store selling costs</t>
        </r>
      </text>
    </comment>
    <comment ref="DS30" authorId="8">
      <text>
        <r>
          <rPr>
            <b/>
            <sz val="9"/>
            <color indexed="81"/>
            <rFont val="Tahoma"/>
            <family val="2"/>
          </rPr>
          <t>Cassel, Lauren (Research):</t>
        </r>
        <r>
          <rPr>
            <sz val="9"/>
            <color indexed="81"/>
            <rFont val="Tahoma"/>
            <family val="2"/>
          </rPr>
          <t xml:space="preserve">
2/28/18: We expect the SG&amp;A rate to </t>
        </r>
        <r>
          <rPr>
            <b/>
            <sz val="9"/>
            <color indexed="81"/>
            <rFont val="Tahoma"/>
            <family val="2"/>
          </rPr>
          <t>increase, driven by the reclassification of Angel card income, the incremental wage investments, marketing investments to drive sales and the expense impact of technology projects, principally related to our digital channel.
Assume $22M for angel card + $10M for wage investments + $40M other = +$67M</t>
        </r>
      </text>
    </comment>
    <comment ref="BF31" authorId="3">
      <text>
        <r>
          <rPr>
            <b/>
            <sz val="8"/>
            <color indexed="81"/>
            <rFont val="Tahoma"/>
            <family val="2"/>
          </rPr>
          <t>mm98285:</t>
        </r>
        <r>
          <rPr>
            <sz val="8"/>
            <color indexed="81"/>
            <rFont val="Tahoma"/>
            <family val="2"/>
          </rPr>
          <t xml:space="preserve">
restated per 2005 10-K from $531.857mm</t>
        </r>
      </text>
    </comment>
    <comment ref="BJ31" authorId="1">
      <text>
        <r>
          <rPr>
            <b/>
            <sz val="8"/>
            <color indexed="81"/>
            <rFont val="Tahoma"/>
            <family val="2"/>
          </rPr>
          <t>dliu:</t>
        </r>
        <r>
          <rPr>
            <sz val="8"/>
            <color indexed="81"/>
            <rFont val="Tahoma"/>
            <family val="2"/>
          </rPr>
          <t xml:space="preserve">
restated per 2005 10-K from $571.026mm
545.6</t>
        </r>
      </text>
    </comment>
    <comment ref="BW31" authorId="3">
      <text>
        <r>
          <rPr>
            <b/>
            <sz val="8"/>
            <color indexed="81"/>
            <rFont val="Tahoma"/>
            <family val="2"/>
          </rPr>
          <t>mm98285:</t>
        </r>
        <r>
          <rPr>
            <sz val="8"/>
            <color indexed="81"/>
            <rFont val="Tahoma"/>
            <family val="2"/>
          </rPr>
          <t xml:space="preserve">
8/06: +45 bps marketing (primarily at VS)
+20 bps incentive comp
+30 bps store payroll, tech &amp; infrastructure invtmt's, and option exp. </t>
        </r>
      </text>
    </comment>
    <comment ref="BX31" authorId="3">
      <text>
        <r>
          <rPr>
            <b/>
            <sz val="8"/>
            <color indexed="81"/>
            <rFont val="Tahoma"/>
            <family val="2"/>
          </rPr>
          <t>mm98285:</t>
        </r>
        <r>
          <rPr>
            <sz val="8"/>
            <color indexed="81"/>
            <rFont val="Tahoma"/>
            <family val="2"/>
          </rPr>
          <t xml:space="preserve">
5/06: expect 7%-9% dollar growth</t>
        </r>
      </text>
    </comment>
    <comment ref="BZ31" authorId="3">
      <text>
        <r>
          <rPr>
            <b/>
            <sz val="8"/>
            <color indexed="81"/>
            <rFont val="Tahoma"/>
            <family val="2"/>
          </rPr>
          <t>mm98285:</t>
        </r>
        <r>
          <rPr>
            <sz val="8"/>
            <color indexed="81"/>
            <rFont val="Tahoma"/>
            <family val="2"/>
          </rPr>
          <t xml:space="preserve">
2/28/08: $678.596 prior to restatement (or $731.867-$53.271)
8/07: excludes $53mm pre-tax restructuring charge for costs of disposing of non-core assets and severance related to thee termination of ~10% of the home office headcount (offset by $6mm in minority interest to get to $47mm as reported in PR)</t>
        </r>
      </text>
    </comment>
    <comment ref="CA31" authorId="3">
      <text>
        <r>
          <rPr>
            <b/>
            <sz val="8"/>
            <color indexed="81"/>
            <rFont val="Tahoma"/>
            <family val="2"/>
          </rPr>
          <t>mm98285:</t>
        </r>
        <r>
          <rPr>
            <sz val="8"/>
            <color indexed="81"/>
            <rFont val="Tahoma"/>
            <family val="2"/>
          </rPr>
          <t xml:space="preserve">
Mgmt indicated SG&amp;A increased by ~$40mm or ~8% excl. La Senza, the restructuring charge in 2007, &amp; apparel in both 2006 and 2007
~50% of the incrse (or ~$20mm) relates to store selling expense (primarily at VS given add'l payroll hours to support sales growth).  ~50% of the incrse driven by invtmts in infrastructure &amp; tech initiatives, part. offset by decline in marketing &amp; incentive comp exp.
8/07: includes $53mm pre-tax restructuring charge for costs of disposing of non-core assets and severance related to thee termination of ~10% of the home office headcount (offset by $6mm in minority interest to get to $47mm as reported in PR)</t>
        </r>
      </text>
    </comment>
    <comment ref="CB31" authorId="3">
      <text>
        <r>
          <rPr>
            <b/>
            <sz val="8"/>
            <color indexed="81"/>
            <rFont val="Tahoma"/>
            <family val="2"/>
          </rPr>
          <t>mm98285:</t>
        </r>
        <r>
          <rPr>
            <sz val="8"/>
            <color indexed="81"/>
            <rFont val="Tahoma"/>
            <family val="2"/>
          </rPr>
          <t xml:space="preserve">
expect to increase inline with 1Q</t>
        </r>
      </text>
    </comment>
    <comment ref="CE31" authorId="3">
      <text>
        <r>
          <rPr>
            <b/>
            <sz val="8"/>
            <color indexed="81"/>
            <rFont val="Tahoma"/>
            <family val="2"/>
          </rPr>
          <t>mm98285:</t>
        </r>
        <r>
          <rPr>
            <sz val="8"/>
            <color indexed="81"/>
            <rFont val="Tahoma"/>
            <family val="2"/>
          </rPr>
          <t xml:space="preserve">
8/08: 100bps delevg on -7% comp ex 130bps benefit from apparel divestiture &amp; Mast sales to apparel (SG&amp;A dollars ex Apparel LY was roughly flat vs. LY)
8/07: net effect of apparel divestiture, Mast sales &amp; benefit of headcount reduction will improve SG&amp;A rate by ~250 bps for fall &amp; on an annual basis.</t>
        </r>
      </text>
    </comment>
    <comment ref="CI31" authorId="3">
      <text>
        <r>
          <rPr>
            <b/>
            <sz val="8"/>
            <color indexed="81"/>
            <rFont val="Tahoma"/>
            <family val="2"/>
          </rPr>
          <t>mm98285:</t>
        </r>
        <r>
          <rPr>
            <sz val="8"/>
            <color indexed="81"/>
            <rFont val="Tahoma"/>
            <family val="2"/>
          </rPr>
          <t xml:space="preserve">
decline in SG&amp;A dollars on mgmt's cost cutting efforts as well as lower marketing expenses (to lesser extent).   </t>
        </r>
      </text>
    </comment>
    <comment ref="CJ31" authorId="3">
      <text>
        <r>
          <rPr>
            <b/>
            <sz val="8"/>
            <color indexed="81"/>
            <rFont val="Tahoma"/>
            <family val="2"/>
          </rPr>
          <t>mm98285:</t>
        </r>
        <r>
          <rPr>
            <sz val="8"/>
            <color indexed="81"/>
            <rFont val="Tahoma"/>
            <family val="2"/>
          </rPr>
          <t xml:space="preserve">
5/09: ~-10%</t>
        </r>
      </text>
    </comment>
    <comment ref="CM31" authorId="9">
      <text>
        <r>
          <rPr>
            <b/>
            <sz val="8"/>
            <color indexed="81"/>
            <rFont val="Tahoma"/>
            <family val="2"/>
          </rPr>
          <t>ns66486:</t>
        </r>
        <r>
          <rPr>
            <sz val="8"/>
            <color indexed="81"/>
            <rFont val="Tahoma"/>
            <family val="2"/>
          </rPr>
          <t xml:space="preserve">
5/10: expect improvement as % of sales</t>
        </r>
      </text>
    </comment>
    <comment ref="CP31" authorId="5">
      <text>
        <r>
          <rPr>
            <b/>
            <sz val="8"/>
            <color indexed="81"/>
            <rFont val="Tahoma"/>
            <family val="2"/>
          </rPr>
          <t>nicholjs:</t>
        </r>
        <r>
          <rPr>
            <sz val="8"/>
            <color indexed="81"/>
            <rFont val="Tahoma"/>
            <family val="2"/>
          </rPr>
          <t xml:space="preserve">
EXCLUDES: A non-taxable gain of $147.1 million, or $0.47 per share, and a pre-tax expense of $113.4 million, or $0.22 per share, related to the charitable contribution of all of the company's remaining shares of Express (NYSE: EXPR) to the Limited Brands Foundation.
</t>
        </r>
      </text>
    </comment>
    <comment ref="CQ31" authorId="5">
      <text>
        <r>
          <rPr>
            <b/>
            <sz val="8"/>
            <color indexed="81"/>
            <rFont val="Tahoma"/>
            <family val="2"/>
          </rPr>
          <t>nicholjs:</t>
        </r>
        <r>
          <rPr>
            <sz val="8"/>
            <color indexed="81"/>
            <rFont val="Tahoma"/>
            <family val="2"/>
          </rPr>
          <t xml:space="preserve">
7/2011: 30-40 bps lvg ok
5/2011: expect roughly flat vs. LY</t>
        </r>
      </text>
    </comment>
    <comment ref="CR31" authorId="5">
      <text>
        <r>
          <rPr>
            <b/>
            <sz val="8"/>
            <color indexed="81"/>
            <rFont val="Tahoma"/>
            <family val="2"/>
          </rPr>
          <t>nicholjs:</t>
        </r>
        <r>
          <rPr>
            <sz val="8"/>
            <color indexed="81"/>
            <rFont val="Tahoma"/>
            <family val="2"/>
          </rPr>
          <t xml:space="preserve">
2/3 of increase relates to investments in store selling and marketing to support and drive sales growth (includes higher selling, payroll and credit card fees, increased investments in training, and investments in other store initiatives including technology).
1/3 home office expense across various categories including investments related to international business</t>
        </r>
      </text>
    </comment>
    <comment ref="CT31" authorId="4">
      <text>
        <r>
          <rPr>
            <b/>
            <sz val="8"/>
            <color indexed="81"/>
            <rFont val="Tahoma"/>
            <family val="2"/>
          </rPr>
          <t>P Kahng:</t>
        </r>
        <r>
          <rPr>
            <sz val="8"/>
            <color indexed="81"/>
            <rFont val="Tahoma"/>
            <family val="2"/>
          </rPr>
          <t xml:space="preserve">
5/31/12: $634M is closer to where they are…their EPS guidance includes a slightly higher SG&amp;A rate
5/17/12: $20M in addtl expenses from UK VS opening and marketing calendar shift. "$628M is a little light vs. our plan" per Amie</t>
        </r>
      </text>
    </comment>
    <comment ref="CU31" authorId="13">
      <text>
        <r>
          <rPr>
            <b/>
            <sz val="8"/>
            <color indexed="81"/>
            <rFont val="Tahoma"/>
            <family val="2"/>
          </rPr>
          <t xml:space="preserve">5/17/2012: </t>
        </r>
        <r>
          <rPr>
            <sz val="8"/>
            <color indexed="81"/>
            <rFont val="Tahoma"/>
            <family val="2"/>
          </rPr>
          <t>LY 24.2% rate +230 for Mast adj = 26.5% + ($20M) 10bps for VS flagship opening &amp; mktg shift into week 4 July. Assume no SGA leverage on 5% comp to get down closer to mgmt guidance.</t>
        </r>
        <r>
          <rPr>
            <b/>
            <sz val="8"/>
            <color indexed="81"/>
            <rFont val="Tahoma"/>
            <family val="2"/>
          </rPr>
          <t xml:space="preserve">
5/16/2012: </t>
        </r>
        <r>
          <rPr>
            <sz val="8"/>
            <color indexed="81"/>
            <rFont val="Tahoma"/>
            <family val="2"/>
          </rPr>
          <t>Up significantly from 24.2% LY (sourcing sale impact unfav by 230bps; excluding this impact, rate would be up)</t>
        </r>
        <r>
          <rPr>
            <b/>
            <sz val="8"/>
            <color indexed="81"/>
            <rFont val="Tahoma"/>
            <family val="2"/>
          </rPr>
          <t xml:space="preserve">
2/12/2012: </t>
        </r>
        <r>
          <rPr>
            <sz val="8"/>
            <color indexed="81"/>
            <rFont val="Tahoma"/>
            <family val="2"/>
          </rPr>
          <t>LY 25.9% rate +230bps for Mast adj + 10bps on VS London flagship - 10bps SGA leverage on 4% comp</t>
        </r>
        <r>
          <rPr>
            <b/>
            <sz val="8"/>
            <color indexed="81"/>
            <rFont val="Tahoma"/>
            <family val="2"/>
          </rPr>
          <t xml:space="preserve">
lauraro: </t>
        </r>
        <r>
          <rPr>
            <sz val="8"/>
            <color indexed="81"/>
            <rFont val="Tahoma"/>
            <family val="2"/>
          </rPr>
          <t>+230 bps MAST adjustment</t>
        </r>
      </text>
    </comment>
    <comment ref="CX31" authorId="6">
      <text>
        <r>
          <rPr>
            <b/>
            <sz val="8"/>
            <color indexed="81"/>
            <rFont val="Tahoma"/>
            <family val="2"/>
          </rPr>
          <t>kimberlg:</t>
        </r>
        <r>
          <rPr>
            <sz val="8"/>
            <color indexed="81"/>
            <rFont val="Tahoma"/>
            <family val="2"/>
          </rPr>
          <t xml:space="preserve">
7/11/13: SG&amp;A $650-652M? A: Oppty to be a bit better
8/8/13: $639M sounds about right</t>
        </r>
      </text>
    </comment>
    <comment ref="CY31" authorId="0">
      <text>
        <r>
          <rPr>
            <b/>
            <sz val="8"/>
            <color indexed="81"/>
            <rFont val="Tahoma"/>
            <family val="2"/>
          </rPr>
          <t>casselau:</t>
        </r>
        <r>
          <rPr>
            <sz val="8"/>
            <color indexed="81"/>
            <rFont val="Tahoma"/>
            <family val="2"/>
          </rPr>
          <t xml:space="preserve">
5/22/13 guidance: down vs. LY</t>
        </r>
      </text>
    </comment>
    <comment ref="DB31" authorId="0">
      <text>
        <r>
          <rPr>
            <b/>
            <sz val="9"/>
            <color indexed="81"/>
            <rFont val="Tahoma"/>
            <family val="2"/>
          </rPr>
          <t>casselau:</t>
        </r>
        <r>
          <rPr>
            <sz val="9"/>
            <color indexed="81"/>
            <rFont val="Tahoma"/>
            <family val="2"/>
          </rPr>
          <t xml:space="preserve">
8/20/14: severence charge roughly $10M</t>
        </r>
      </text>
    </comment>
    <comment ref="DC31" authorId="0">
      <text>
        <r>
          <rPr>
            <b/>
            <sz val="9"/>
            <color indexed="81"/>
            <rFont val="Tahoma"/>
            <family val="2"/>
          </rPr>
          <t>casselau:
8/7/14: should be flat y/y</t>
        </r>
        <r>
          <rPr>
            <sz val="9"/>
            <color indexed="81"/>
            <rFont val="Tahoma"/>
            <family val="2"/>
          </rPr>
          <t xml:space="preserve">
5/21/14: down vs. LY</t>
        </r>
      </text>
    </comment>
    <comment ref="DG31" authorId="0">
      <text>
        <r>
          <rPr>
            <b/>
            <sz val="9"/>
            <color indexed="81"/>
            <rFont val="Tahoma"/>
            <family val="2"/>
          </rPr>
          <t>casselau:
8/19/15: deleverage driven by investments in store selling to improve customer experience</t>
        </r>
        <r>
          <rPr>
            <sz val="9"/>
            <color indexed="81"/>
            <rFont val="Tahoma"/>
            <family val="2"/>
          </rPr>
          <t xml:space="preserve">
5/20/15: guidance: up from 25% LY due to increase in store selling costs</t>
        </r>
      </text>
    </comment>
    <comment ref="DK31" authorId="8">
      <text>
        <r>
          <rPr>
            <b/>
            <sz val="9"/>
            <color indexed="81"/>
            <rFont val="Tahoma"/>
            <family val="2"/>
          </rPr>
          <t xml:space="preserve">Cassel, Lauren (Research):
8/17/16: </t>
        </r>
        <r>
          <rPr>
            <sz val="9"/>
            <color indexed="81"/>
            <rFont val="Tahoma"/>
            <family val="2"/>
          </rPr>
          <t xml:space="preserve">largest buckets of reduction: incentive comp, headcount reductions, anniversarying one time items from LY, and store selling costs (in ingredient order); store selling costs still up y/y in 2Q and leveraged slightly </t>
        </r>
        <r>
          <rPr>
            <b/>
            <sz val="9"/>
            <color indexed="81"/>
            <rFont val="Tahoma"/>
            <family val="2"/>
          </rPr>
          <t xml:space="preserve">
5/18/16: Rate up from LYdriven primarily by an increase in store selling costs 
</t>
        </r>
        <r>
          <rPr>
            <sz val="9"/>
            <color indexed="81"/>
            <rFont val="Tahoma"/>
            <family val="2"/>
          </rPr>
          <t xml:space="preserve">
5/18/16: we assume ~$5M in quarterly headcount savings (our estimate) is likely offset by ~$12M in China expenses for +$7M dollars per quarter
</t>
        </r>
      </text>
    </comment>
    <comment ref="DO31" authorId="8">
      <text>
        <r>
          <rPr>
            <b/>
            <sz val="9"/>
            <color indexed="81"/>
            <rFont val="Tahoma"/>
            <family val="2"/>
          </rPr>
          <t xml:space="preserve">Cassel, Lauren (Research):
8/16/17: driven by an increase in marketing driven by the return to targeted direct mail 
</t>
        </r>
        <r>
          <rPr>
            <sz val="9"/>
            <color indexed="81"/>
            <rFont val="Tahoma"/>
            <family val="2"/>
          </rPr>
          <t xml:space="preserve">
5/17/17: guidance up significantly from 24.4% LY driven by deleverage on the negative comp, investment in China, and modest increase in store selling costs - also increase in marketing (greater than 1Q) and lapping headcount reductions</t>
        </r>
      </text>
    </comment>
    <comment ref="DS31" authorId="8">
      <text>
        <r>
          <rPr>
            <b/>
            <sz val="9"/>
            <color indexed="81"/>
            <rFont val="Tahoma"/>
            <family val="2"/>
          </rPr>
          <t>Cassel, Lauren (Research):</t>
        </r>
        <r>
          <rPr>
            <sz val="9"/>
            <color indexed="81"/>
            <rFont val="Tahoma"/>
            <family val="2"/>
          </rPr>
          <t xml:space="preserve">
</t>
        </r>
        <r>
          <rPr>
            <b/>
            <sz val="9"/>
            <color indexed="81"/>
            <rFont val="Tahoma"/>
            <family val="2"/>
          </rPr>
          <t>Assume $22M for angel card + $20M for wage investments + $28M other = +$70M</t>
        </r>
      </text>
    </comment>
    <comment ref="BF32" authorId="1">
      <text>
        <r>
          <rPr>
            <b/>
            <sz val="8"/>
            <color indexed="81"/>
            <rFont val="Tahoma"/>
            <family val="2"/>
          </rPr>
          <t>dliu:</t>
        </r>
        <r>
          <rPr>
            <sz val="8"/>
            <color indexed="81"/>
            <rFont val="Tahoma"/>
            <family val="2"/>
          </rPr>
          <t xml:space="preserve">
restated per 2005 10-K from $553.281mm
544.7</t>
        </r>
      </text>
    </comment>
    <comment ref="BJ32" authorId="3">
      <text>
        <r>
          <rPr>
            <b/>
            <sz val="8"/>
            <color indexed="81"/>
            <rFont val="Tahoma"/>
            <family val="2"/>
          </rPr>
          <t>mm98285:</t>
        </r>
        <r>
          <rPr>
            <sz val="8"/>
            <color indexed="81"/>
            <rFont val="Tahoma"/>
            <family val="2"/>
          </rPr>
          <t xml:space="preserve">
restated per 2005 10-K from $560.44mm</t>
        </r>
      </text>
    </comment>
    <comment ref="BS32" authorId="3">
      <text>
        <r>
          <rPr>
            <b/>
            <sz val="8"/>
            <color indexed="81"/>
            <rFont val="Tahoma"/>
            <family val="2"/>
          </rPr>
          <t>mm98285:</t>
        </r>
        <r>
          <rPr>
            <sz val="8"/>
            <color indexed="81"/>
            <rFont val="Tahoma"/>
            <family val="2"/>
          </rPr>
          <t xml:space="preserve">
+ direct costs related to hurricanes (~1c) and were associate-related, including gift cards, payroll and bonuses provided to impacted associates</t>
        </r>
      </text>
    </comment>
    <comment ref="BW32" authorId="3">
      <text>
        <r>
          <rPr>
            <b/>
            <sz val="8"/>
            <color indexed="81"/>
            <rFont val="Tahoma"/>
            <family val="2"/>
          </rPr>
          <t>mm98285:</t>
        </r>
        <r>
          <rPr>
            <sz val="8"/>
            <color indexed="81"/>
            <rFont val="Tahoma"/>
            <family val="2"/>
          </rPr>
          <t xml:space="preserve">
~60 bps increased marketing expenses (primarily at VS for new product launches)
~20 bps increase in incentive comp exp.
~45 bps increase in store payroll costs
~35 bps incremental investments in technology and infrastructure
~20 bps incremental stock option expense</t>
        </r>
      </text>
    </comment>
    <comment ref="BX32" authorId="3">
      <text>
        <r>
          <rPr>
            <b/>
            <sz val="8"/>
            <color indexed="81"/>
            <rFont val="Tahoma"/>
            <family val="2"/>
          </rPr>
          <t>mm98285:</t>
        </r>
        <r>
          <rPr>
            <sz val="8"/>
            <color indexed="81"/>
            <rFont val="Tahoma"/>
            <family val="2"/>
          </rPr>
          <t xml:space="preserve">
5/06: expect 7%-9% dollar growth</t>
        </r>
      </text>
    </comment>
    <comment ref="BZ32" authorId="3">
      <text>
        <r>
          <rPr>
            <b/>
            <sz val="8"/>
            <color indexed="81"/>
            <rFont val="Tahoma"/>
            <family val="2"/>
          </rPr>
          <t>mm98285:</t>
        </r>
        <r>
          <rPr>
            <sz val="8"/>
            <color indexed="81"/>
            <rFont val="Tahoma"/>
            <family val="2"/>
          </rPr>
          <t xml:space="preserve">
3/08: includes net gain on divestiture of apparel segment -($0.339) &amp; excludes $25mm sale on corp aircraft
2/28/08: $552.662 prior to restatement </t>
        </r>
      </text>
    </comment>
    <comment ref="CA32" authorId="3">
      <text>
        <r>
          <rPr>
            <b/>
            <sz val="8"/>
            <color indexed="81"/>
            <rFont val="Tahoma"/>
            <family val="2"/>
          </rPr>
          <t>mm98285:</t>
        </r>
        <r>
          <rPr>
            <sz val="8"/>
            <color indexed="81"/>
            <rFont val="Tahoma"/>
            <family val="2"/>
          </rPr>
          <t xml:space="preserve">
-280 bps excl $24.5mm pre-tax gains related to asset sale
1) ~200 bps from net impact of recognition of Mast sales to Apparel businesses, partially offset by the elimination of Apparel businesses, and 2) reductions in home office marketing &amp; other exp's, partially offset by 3) neg impact of incremental exp's at VSD on lower sales volume
8/07: expect -400 bps (marketing -$10mm)
-net effect of apparel divestiture, Mast sales &amp; benefit of headcount reduction will improve SG&amp;A rate by ~250 bps for fall &amp; on an annual
basis.
2/07: includes 1c benefit from La Senza</t>
        </r>
      </text>
    </comment>
    <comment ref="CE32" authorId="3">
      <text>
        <r>
          <rPr>
            <b/>
            <sz val="8"/>
            <color indexed="81"/>
            <rFont val="Tahoma"/>
            <family val="2"/>
          </rPr>
          <t>mm98285:</t>
        </r>
        <r>
          <rPr>
            <sz val="8"/>
            <color indexed="81"/>
            <rFont val="Tahoma"/>
            <family val="2"/>
          </rPr>
          <t xml:space="preserve">
11/08: 2/3 of decline (which was included in mgmt's original guidance for flat SG&amp;A $s) due to elimination of costs related to tech JV that was closed LY &amp; personal care business that was sold in 1Q08. The other 1/3 decline ($30M), not included in mgmt's original guidance, was driven by a focus on exp. reduction across the board in categories such as store selling and home office exp. 
8/08: expect flat as % of sales and $ basis</t>
        </r>
      </text>
    </comment>
    <comment ref="CH32" authorId="3">
      <text>
        <r>
          <rPr>
            <b/>
            <sz val="8"/>
            <color indexed="81"/>
            <rFont val="Tahoma"/>
            <family val="2"/>
          </rPr>
          <t>mm98285:</t>
        </r>
        <r>
          <rPr>
            <sz val="8"/>
            <color indexed="81"/>
            <rFont val="Tahoma"/>
            <family val="2"/>
          </rPr>
          <t xml:space="preserve">
5/09: 2H incremental costs related to incentive accruals (0 bonus LY) so $ level of sG&amp;A decline will be less significant (3)-(5)%</t>
        </r>
      </text>
    </comment>
    <comment ref="CI32" authorId="3">
      <text>
        <r>
          <rPr>
            <b/>
            <sz val="8"/>
            <color indexed="81"/>
            <rFont val="Tahoma"/>
            <family val="2"/>
          </rPr>
          <t>mm98285:</t>
        </r>
        <r>
          <rPr>
            <sz val="8"/>
            <color indexed="81"/>
            <rFont val="Tahoma"/>
            <family val="2"/>
          </rPr>
          <t xml:space="preserve">
decline primarily attributable to cost cutting &amp; lower marketing expenses (to lesser extent).  Expect to cut SG&amp;A expenses by ~$175M in 2009</t>
        </r>
      </text>
    </comment>
    <comment ref="CJ32" authorId="3">
      <text>
        <r>
          <rPr>
            <b/>
            <sz val="8"/>
            <color indexed="81"/>
            <rFont val="Tahoma"/>
            <family val="2"/>
          </rPr>
          <t>mm98285:</t>
        </r>
        <r>
          <rPr>
            <sz val="8"/>
            <color indexed="81"/>
            <rFont val="Tahoma"/>
            <family val="2"/>
          </rPr>
          <t xml:space="preserve">
8/09: dollars down ~5%</t>
        </r>
      </text>
    </comment>
    <comment ref="CL32" authorId="5">
      <text>
        <r>
          <rPr>
            <b/>
            <sz val="8"/>
            <color indexed="81"/>
            <rFont val="Tahoma"/>
            <family val="2"/>
          </rPr>
          <t>nicholjs:</t>
        </r>
        <r>
          <rPr>
            <sz val="8"/>
            <color indexed="81"/>
            <rFont val="Tahoma"/>
            <family val="2"/>
          </rPr>
          <t xml:space="preserve">
* 40% of the dollar increase in SG&amp;A was driven by increased store selling costs which leveraged as a percentage of sales. 
* 15% of the increase was driven by an increase in marketing costs. 
* A little over 10% of the dollar increase was due to a change in an estimate used to calculate our stock compensation expense.
* About 10% of the increase was driven by an increased fall season incentive compensation accrual versus last year as our third quarter performance has exceeded our season to date targets. 
* Remainder of the increase was driven by individually insignificant items including expenses to support our international growth, expenses to support technology initiatives at Victoria's Secret Direct, and increased payroll expense for merit increases.</t>
        </r>
      </text>
    </comment>
    <comment ref="CM32" authorId="5">
      <text>
        <r>
          <rPr>
            <b/>
            <sz val="8"/>
            <color indexed="81"/>
            <rFont val="Tahoma"/>
            <family val="2"/>
          </rPr>
          <t>nicholjs:</t>
        </r>
        <r>
          <rPr>
            <sz val="8"/>
            <color indexed="81"/>
            <rFont val="Tahoma"/>
            <family val="2"/>
          </rPr>
          <t xml:space="preserve">
28.1% as a % of sales excluding the change in estimate to calculate stock comp
8/10: expect roughly flat to LY as % of sales</t>
        </r>
      </text>
    </comment>
    <comment ref="CQ32" authorId="5">
      <text>
        <r>
          <rPr>
            <b/>
            <sz val="8"/>
            <color indexed="81"/>
            <rFont val="Tahoma"/>
            <family val="2"/>
          </rPr>
          <t>nicholjs:</t>
        </r>
        <r>
          <rPr>
            <sz val="8"/>
            <color indexed="81"/>
            <rFont val="Tahoma"/>
            <family val="2"/>
          </rPr>
          <t xml:space="preserve">
8/2011: expects about flat to 28.5% LY.  However, had accelerated spending beginning in 3Q/4Q LY so lvg could actually be a bit better here vs. 1H11</t>
        </r>
      </text>
    </comment>
    <comment ref="CT32" authorId="6">
      <text>
        <r>
          <rPr>
            <b/>
            <sz val="8"/>
            <color indexed="81"/>
            <rFont val="Tahoma"/>
            <family val="2"/>
          </rPr>
          <t>kimberlg:</t>
        </r>
        <r>
          <rPr>
            <sz val="8"/>
            <color indexed="81"/>
            <rFont val="Tahoma"/>
            <family val="2"/>
          </rPr>
          <t xml:space="preserve">
8/16/12: $636M about right if our sales est $2,043M is correct</t>
        </r>
      </text>
    </comment>
    <comment ref="CU32" authorId="13">
      <text>
        <r>
          <rPr>
            <b/>
            <sz val="8"/>
            <color indexed="81"/>
            <rFont val="Tahoma"/>
            <family val="2"/>
          </rPr>
          <t xml:space="preserve">11/15: </t>
        </r>
        <r>
          <rPr>
            <sz val="8"/>
            <color indexed="81"/>
            <rFont val="Tahoma"/>
            <family val="2"/>
          </rPr>
          <t>excluding sourcing sale impact, The SG&amp;A expense rate improved by about 20 basis points.</t>
        </r>
        <r>
          <rPr>
            <b/>
            <sz val="8"/>
            <color indexed="81"/>
            <rFont val="Tahoma"/>
            <family val="2"/>
          </rPr>
          <t xml:space="preserve">
8/15: </t>
        </r>
        <r>
          <rPr>
            <sz val="8"/>
            <color indexed="81"/>
            <rFont val="Tahoma"/>
            <family val="2"/>
          </rPr>
          <t>up significantly from 27.6% LY (sourcing sale impact unfavorable by 370bps; exc. this impact rate would be up)</t>
        </r>
        <r>
          <rPr>
            <b/>
            <sz val="8"/>
            <color indexed="81"/>
            <rFont val="Tahoma"/>
            <family val="2"/>
          </rPr>
          <t xml:space="preserve">
5/31/12: </t>
        </r>
        <r>
          <rPr>
            <sz val="8"/>
            <color indexed="81"/>
            <rFont val="Tahoma"/>
            <family val="2"/>
          </rPr>
          <t>LY 27.6% rate +370bps for MAST adj = 31.3 - 12bps SGA leverage.</t>
        </r>
        <r>
          <rPr>
            <b/>
            <sz val="8"/>
            <color indexed="81"/>
            <rFont val="Tahoma"/>
            <family val="2"/>
          </rPr>
          <t xml:space="preserve">
2/12/2012: </t>
        </r>
        <r>
          <rPr>
            <sz val="8"/>
            <color indexed="81"/>
            <rFont val="Tahoma"/>
            <family val="2"/>
          </rPr>
          <t xml:space="preserve">LY 27.6% rate +370bps for MAST adj = 31.3 - 10bps SGA leverage.
MAST hits 3Q12 by 3c or $15M EBIT.
</t>
        </r>
        <r>
          <rPr>
            <b/>
            <sz val="8"/>
            <color indexed="81"/>
            <rFont val="Tahoma"/>
            <family val="2"/>
          </rPr>
          <t xml:space="preserve">lauraro: </t>
        </r>
        <r>
          <rPr>
            <sz val="8"/>
            <color indexed="81"/>
            <rFont val="Tahoma"/>
            <family val="2"/>
          </rPr>
          <t>+370 bps MAST adjustment</t>
        </r>
      </text>
    </comment>
    <comment ref="CX32" authorId="6">
      <text>
        <r>
          <rPr>
            <b/>
            <sz val="8"/>
            <color indexed="81"/>
            <rFont val="Tahoma"/>
            <family val="2"/>
          </rPr>
          <t>kimberlg:</t>
        </r>
        <r>
          <rPr>
            <sz val="8"/>
            <color indexed="81"/>
            <rFont val="Tahoma"/>
            <family val="2"/>
          </rPr>
          <t xml:space="preserve">
$665M seems a touch too low
(sounds like they think high $660's to $675M est)</t>
        </r>
      </text>
    </comment>
    <comment ref="CY32" authorId="0">
      <text>
        <r>
          <rPr>
            <b/>
            <sz val="8"/>
            <color indexed="81"/>
            <rFont val="Tahoma"/>
            <family val="2"/>
          </rPr>
          <t>casselau:</t>
        </r>
        <r>
          <rPr>
            <sz val="8"/>
            <color indexed="81"/>
            <rFont val="Tahoma"/>
            <family val="2"/>
          </rPr>
          <t xml:space="preserve">
8/21/13: guidance down from 31.1% LY</t>
        </r>
      </text>
    </comment>
    <comment ref="DC32" authorId="0">
      <text>
        <r>
          <rPr>
            <b/>
            <sz val="9"/>
            <color indexed="81"/>
            <rFont val="Tahoma"/>
            <family val="2"/>
          </rPr>
          <t>casselau:</t>
        </r>
        <r>
          <rPr>
            <sz val="9"/>
            <color indexed="81"/>
            <rFont val="Tahoma"/>
            <family val="2"/>
          </rPr>
          <t xml:space="preserve">
8/20/14: guidance: about flat to LY
VS: leveraged selling expenses</t>
        </r>
      </text>
    </comment>
    <comment ref="DG32" authorId="0">
      <text>
        <r>
          <rPr>
            <b/>
            <sz val="9"/>
            <color indexed="81"/>
            <rFont val="Tahoma"/>
            <family val="2"/>
          </rPr>
          <t>casselau:</t>
        </r>
        <r>
          <rPr>
            <sz val="9"/>
            <color indexed="81"/>
            <rFont val="Tahoma"/>
            <family val="2"/>
          </rPr>
          <t xml:space="preserve">
8/19/15: guidance: rate up from LY driven by increase in store selling costs</t>
        </r>
      </text>
    </comment>
    <comment ref="DK32" authorId="8">
      <text>
        <r>
          <rPr>
            <b/>
            <sz val="9"/>
            <color indexed="81"/>
            <rFont val="Tahoma"/>
            <family val="2"/>
          </rPr>
          <t xml:space="preserve">Cassel, Lauren (Research):
11/16/16: was unfavorably impacted by our investments in China and increased legal expenses in the quarter. Excluding these incremental expenses, SG&amp;A would have
leveraged by ~10 basis points.
8/17/16: </t>
        </r>
        <r>
          <rPr>
            <sz val="9"/>
            <color indexed="81"/>
            <rFont val="Tahoma"/>
            <family val="2"/>
          </rPr>
          <t xml:space="preserve">guidance: expect deleverage, driven primarily by an increase in store selling costs; our investment in China and its impact on SG&amp;a is more significant in the third quarter than it was in the second; reduction in 3Q incentive comp also will not be as significant as it was in 2Q </t>
        </r>
        <r>
          <rPr>
            <sz val="9"/>
            <color indexed="81"/>
            <rFont val="Tahoma"/>
            <family val="2"/>
          </rPr>
          <t xml:space="preserve">
5/18/16: we assume ~$5M in quarterly headcount savings (our estimate) is likely offset by ~$12M in China expenses for +$7M dollars per quarter</t>
        </r>
      </text>
    </comment>
    <comment ref="DN32" authorId="8">
      <text>
        <r>
          <rPr>
            <b/>
            <sz val="9"/>
            <color indexed="81"/>
            <rFont val="Tahoma"/>
            <family val="2"/>
          </rPr>
          <t>Cassel, Lauren (Research):</t>
        </r>
        <r>
          <rPr>
            <sz val="9"/>
            <color indexed="81"/>
            <rFont val="Tahoma"/>
            <family val="2"/>
          </rPr>
          <t xml:space="preserve">
11/16/16: Back out ~$13M in one-time legal costs LY</t>
        </r>
      </text>
    </comment>
    <comment ref="DO32" authorId="8">
      <text>
        <r>
          <rPr>
            <b/>
            <sz val="9"/>
            <color indexed="81"/>
            <rFont val="Tahoma"/>
            <family val="2"/>
          </rPr>
          <t xml:space="preserve">Cassel, Lauren (Research):
11/15/17: driven by an increase in marketing (principally driven by an increased investment in targeted direct mail)
</t>
        </r>
        <r>
          <rPr>
            <sz val="9"/>
            <color indexed="81"/>
            <rFont val="Tahoma"/>
            <family val="2"/>
          </rPr>
          <t xml:space="preserve">
8/15/17: guidance up from LY, driven by deleverage on the flat to negative comp and increased marketing and store selling costs</t>
        </r>
      </text>
    </comment>
    <comment ref="DS32" authorId="8">
      <text>
        <r>
          <rPr>
            <b/>
            <sz val="9"/>
            <color indexed="81"/>
            <rFont val="Tahoma"/>
            <family val="2"/>
          </rPr>
          <t xml:space="preserve">Cassel, Lauren (Research):
</t>
        </r>
        <r>
          <rPr>
            <sz val="9"/>
            <color indexed="81"/>
            <rFont val="Tahoma"/>
            <family val="2"/>
          </rPr>
          <t xml:space="preserve">
</t>
        </r>
        <r>
          <rPr>
            <b/>
            <sz val="9"/>
            <color indexed="81"/>
            <rFont val="Tahoma"/>
            <family val="2"/>
          </rPr>
          <t>Assume $22M for angel card + $30M for wage investments + $18M other = +$70M</t>
        </r>
      </text>
    </comment>
    <comment ref="BF33" authorId="16">
      <text>
        <r>
          <rPr>
            <b/>
            <sz val="8"/>
            <color indexed="81"/>
            <rFont val="Tahoma"/>
            <family val="2"/>
          </rPr>
          <t>kgreenbe:</t>
        </r>
        <r>
          <rPr>
            <sz val="8"/>
            <color indexed="81"/>
            <rFont val="Tahoma"/>
            <family val="2"/>
          </rPr>
          <t xml:space="preserve">
restated per 2005 10-K from $699.611mm
4/12/04 WSJ article - LTD cancelled VS fashion show. Cost "close to $10mm"</t>
        </r>
      </text>
    </comment>
    <comment ref="BJ33" authorId="16">
      <text>
        <r>
          <rPr>
            <b/>
            <sz val="10"/>
            <color indexed="81"/>
            <rFont val="Tahoma"/>
            <family val="2"/>
          </rPr>
          <t>kgreenbe:</t>
        </r>
        <r>
          <rPr>
            <sz val="10"/>
            <color indexed="81"/>
            <rFont val="Tahoma"/>
            <family val="2"/>
          </rPr>
          <t xml:space="preserve">
2/06 previously was 663.617... we now includes ~$10.2 million from the lease restatement (See GM note)
</t>
        </r>
        <r>
          <rPr>
            <sz val="8"/>
            <color indexed="81"/>
            <rFont val="Tahoma"/>
            <family val="2"/>
          </rPr>
          <t>2/06 $673.845mm in press release vs. our model $663.6 because we exclude $61mm pre-tax lease acctg one time charge</t>
        </r>
        <r>
          <rPr>
            <sz val="10"/>
            <color indexed="81"/>
            <rFont val="Tahoma"/>
            <family val="2"/>
          </rPr>
          <t xml:space="preserve">
</t>
        </r>
        <r>
          <rPr>
            <sz val="8"/>
            <color indexed="81"/>
            <rFont val="Tahoma"/>
            <family val="2"/>
          </rPr>
          <t>4/12/04 WSJ article - LTD cancelled VS fashion show. Cost "close to $10mm." s/b savings in 4Q04 resulting.</t>
        </r>
      </text>
    </comment>
    <comment ref="BO33" authorId="2">
      <text>
        <r>
          <rPr>
            <b/>
            <sz val="8"/>
            <color indexed="81"/>
            <rFont val="Tahoma"/>
            <family val="2"/>
          </rPr>
          <t>Corinna Freedman:</t>
        </r>
        <r>
          <rPr>
            <sz val="8"/>
            <color indexed="81"/>
            <rFont val="Tahoma"/>
            <family val="2"/>
          </rPr>
          <t xml:space="preserve">
11/16: mgmt exp increases in $ and % due to higher marketing at Exp and VS</t>
        </r>
      </text>
    </comment>
    <comment ref="BS33" authorId="2">
      <text>
        <r>
          <rPr>
            <b/>
            <sz val="8"/>
            <color indexed="81"/>
            <rFont val="Tahoma"/>
            <family val="2"/>
          </rPr>
          <t>Corinna Freedman:</t>
        </r>
        <r>
          <rPr>
            <sz val="8"/>
            <color indexed="81"/>
            <rFont val="Tahoma"/>
            <family val="2"/>
          </rPr>
          <t xml:space="preserve">
+ marketing costs and store selling exp. (we est $10 million incremental exp. due to the resumption of the VS fashion show)
11/16: mgmt exp incrs in $ and % due to higher marketing at Exp &amp; VS</t>
        </r>
      </text>
    </comment>
    <comment ref="BW33" authorId="3">
      <text>
        <r>
          <rPr>
            <b/>
            <sz val="8"/>
            <color indexed="81"/>
            <rFont val="Tahoma"/>
            <family val="2"/>
          </rPr>
          <t>mm98285:</t>
        </r>
        <r>
          <rPr>
            <sz val="8"/>
            <color indexed="81"/>
            <rFont val="Tahoma"/>
            <family val="2"/>
          </rPr>
          <t xml:space="preserve">
3/07: +20 bps store selling costs (flat as % of sales)
+20 bps incremental payroll costs given extra week
+10 bps incremental invest's in 2 tech initiatives
+10 bps incentive comp given imprvd perf &amp; options
+15 bps for misc. items (i.e. incremental cost of recording La Senza’s SG&amp;A)</t>
        </r>
      </text>
    </comment>
    <comment ref="BX33" authorId="3">
      <text>
        <r>
          <rPr>
            <b/>
            <sz val="8"/>
            <color indexed="81"/>
            <rFont val="Tahoma"/>
            <family val="2"/>
          </rPr>
          <t>mm98285:</t>
        </r>
        <r>
          <rPr>
            <sz val="8"/>
            <color indexed="81"/>
            <rFont val="Tahoma"/>
            <family val="2"/>
          </rPr>
          <t xml:space="preserve">
1/04/07: expect mid-teens dollar growth
11/06: expect 18% dollar growth (similar to 3Q)
5/06: expect 7%-9% dollar growth</t>
        </r>
      </text>
    </comment>
    <comment ref="BZ33" authorId="3">
      <text>
        <r>
          <rPr>
            <b/>
            <sz val="8"/>
            <color indexed="81"/>
            <rFont val="Tahoma"/>
            <family val="2"/>
          </rPr>
          <t>mm98285:</t>
        </r>
        <r>
          <rPr>
            <sz val="8"/>
            <color indexed="81"/>
            <rFont val="Tahoma"/>
            <family val="2"/>
          </rPr>
          <t xml:space="preserve">
2/28/08: $682.377 prior to restatement </t>
        </r>
      </text>
    </comment>
    <comment ref="CA33" authorId="3">
      <text>
        <r>
          <rPr>
            <b/>
            <sz val="8"/>
            <color indexed="81"/>
            <rFont val="Tahoma"/>
            <family val="2"/>
          </rPr>
          <t>mm98285:</t>
        </r>
        <r>
          <rPr>
            <sz val="8"/>
            <color indexed="81"/>
            <rFont val="Tahoma"/>
            <family val="2"/>
          </rPr>
          <t xml:space="preserve">
SG&amp;A decreased -110 bps to 20.9% (excl. $47.8mm in gift card breakage).  Key drivers of the rate improvement include 1) -120 bps from the net impact of the recognition of Mast sales to the Apparel businesses, partially offset by the elimination of the Apparel businesses, and 2) reductions in home office head count, incentive compensation and marketing expenses, partially offset by 3) increased technology costs. A reclassification of some expenses into COGS from SG&amp;A accounted for the other 20 bps decline
8/07: net effect of apparel divestiture, Mast sales &amp; benefit of headcount reduction will improve SG&amp;A rate by ~250 bps for fall &amp; on an annual basis.
2/07: includes 2c benefit from La Senza</t>
        </r>
      </text>
    </comment>
    <comment ref="CD33" authorId="3">
      <text>
        <r>
          <rPr>
            <b/>
            <sz val="8"/>
            <color indexed="81"/>
            <rFont val="Tahoma"/>
            <family val="2"/>
          </rPr>
          <t>mm98285:</t>
        </r>
        <r>
          <rPr>
            <sz val="8"/>
            <color indexed="81"/>
            <rFont val="Tahoma"/>
            <family val="2"/>
          </rPr>
          <t xml:space="preserve">
1/09: assume ~$677M based on original guid. of flat as % of total sales (with total sale guid. of $3.24BN)</t>
        </r>
      </text>
    </comment>
    <comment ref="CE33" authorId="3">
      <text>
        <r>
          <rPr>
            <b/>
            <sz val="8"/>
            <color indexed="81"/>
            <rFont val="Tahoma"/>
            <family val="2"/>
          </rPr>
          <t>mm98285:</t>
        </r>
        <r>
          <rPr>
            <sz val="8"/>
            <color indexed="81"/>
            <rFont val="Tahoma"/>
            <family val="2"/>
          </rPr>
          <t xml:space="preserve">
50% of decline in SG&amp;A dollars (or ~$20M) attributable to lower costs at VSD (given elevated tech. &amp; DC costs LY).  
50% of decline attributable to mgmt's cost cutting efforts.   
11/08: expected to be ~flat as % of sales as expense savings are expected to be offset by expense deleverage on –M-HSD comp.
SG&amp;A 20.9% LY ex gift card breakage</t>
        </r>
      </text>
    </comment>
    <comment ref="CI33" authorId="3">
      <text>
        <r>
          <rPr>
            <b/>
            <sz val="8"/>
            <color indexed="81"/>
            <rFont val="Tahoma"/>
            <family val="2"/>
          </rPr>
          <t>mm98285:</t>
        </r>
        <r>
          <rPr>
            <sz val="8"/>
            <color indexed="81"/>
            <rFont val="Tahoma"/>
            <family val="2"/>
          </rPr>
          <t xml:space="preserve">
favorable cost cutting efforts offset by higher incentive comp (vs. ~none LY)</t>
        </r>
      </text>
    </comment>
    <comment ref="CJ33" authorId="3">
      <text>
        <r>
          <rPr>
            <b/>
            <sz val="8"/>
            <color indexed="81"/>
            <rFont val="Tahoma"/>
            <family val="2"/>
          </rPr>
          <t>mm98285:</t>
        </r>
        <r>
          <rPr>
            <sz val="8"/>
            <color indexed="81"/>
            <rFont val="Tahoma"/>
            <family val="2"/>
          </rPr>
          <t xml:space="preserve">
11/09: flat to LY in dollars</t>
        </r>
      </text>
    </comment>
    <comment ref="CL33" authorId="6">
      <text>
        <r>
          <rPr>
            <b/>
            <sz val="8"/>
            <color indexed="81"/>
            <rFont val="Tahoma"/>
            <family val="2"/>
          </rPr>
          <t>kimberlg:</t>
        </r>
        <r>
          <rPr>
            <sz val="8"/>
            <color indexed="81"/>
            <rFont val="Tahoma"/>
            <family val="2"/>
          </rPr>
          <t xml:space="preserve">
$714
1/6/11 "higher than $693M"</t>
        </r>
      </text>
    </comment>
    <comment ref="CM33" authorId="5">
      <text>
        <r>
          <rPr>
            <b/>
            <sz val="8"/>
            <color indexed="81"/>
            <rFont val="Tahoma"/>
            <family val="2"/>
          </rPr>
          <t>nicholjs:</t>
        </r>
        <r>
          <rPr>
            <sz val="8"/>
            <color indexed="81"/>
            <rFont val="Tahoma"/>
            <family val="2"/>
          </rPr>
          <t xml:space="preserve">
20.7% excluding unusual items
11/2010: expect improved</t>
        </r>
      </text>
    </comment>
    <comment ref="CN33" authorId="5">
      <text>
        <r>
          <rPr>
            <b/>
            <sz val="8"/>
            <color indexed="81"/>
            <rFont val="Tahoma"/>
            <family val="2"/>
          </rPr>
          <t>nicholjs:</t>
        </r>
        <r>
          <rPr>
            <sz val="8"/>
            <color indexed="81"/>
            <rFont val="Tahoma"/>
            <family val="2"/>
          </rPr>
          <t xml:space="preserve">
SG&amp;A dollars increased by $67.8mm or 10%
*&gt;50% of increase driven by increased store selling costs including costs related to new stores in Canada, total selling cost leveraged as a % of sales
*About 25% of the increase was related to unusual items including significant increase in stock compensation due to lower forfeiture rate and write-off of an intangible trade name asset
*Most of the remainder was driven by an increase in marketing costs which held flat as a % of sales
2/2011: could be some one time items here, ok to take up from ~8% range
1/2011: could take up a little bit more than the 5%
11/2010: will depend on comps, but view is +LSD-MSD</t>
        </r>
      </text>
    </comment>
    <comment ref="CP33" authorId="6">
      <text>
        <r>
          <rPr>
            <b/>
            <sz val="8"/>
            <color indexed="81"/>
            <rFont val="Tahoma"/>
            <family val="2"/>
          </rPr>
          <t xml:space="preserve">kimberlg:
2/2012: </t>
        </r>
        <r>
          <rPr>
            <sz val="8"/>
            <color indexed="81"/>
            <rFont val="Tahoma"/>
            <family val="2"/>
          </rPr>
          <t>excludes $7.357M in severance from La Senza restructuring. Exp ratio would have been 21.8% excl adjustment.</t>
        </r>
        <r>
          <rPr>
            <sz val="8"/>
            <color indexed="81"/>
            <rFont val="Tahoma"/>
            <family val="2"/>
          </rPr>
          <t xml:space="preserve">
1/2012:$754M sounds about right if comps +5% as we are modeling</t>
        </r>
      </text>
    </comment>
    <comment ref="CQ33" authorId="11">
      <text>
        <r>
          <rPr>
            <b/>
            <sz val="8"/>
            <color indexed="81"/>
            <rFont val="Tahoma"/>
            <family val="2"/>
          </rPr>
          <t>solejay:</t>
        </r>
        <r>
          <rPr>
            <sz val="8"/>
            <color indexed="81"/>
            <rFont val="Tahoma"/>
            <family val="2"/>
          </rPr>
          <t xml:space="preserve">
11/16: "up from 21.2 LY"
11/16: +150bps ex-mast
Color from the conference call - "We expect the fourth quarter SG&amp;A rate to increase driven by a negative impact related to the third party sourcing business sale of about 150 basis points.  Excluding this impact, the SG&amp;A rate would leverage on low single digit comps."</t>
        </r>
      </text>
    </comment>
    <comment ref="CT33" authorId="6">
      <text>
        <r>
          <rPr>
            <b/>
            <sz val="8"/>
            <color indexed="81"/>
            <rFont val="Tahoma"/>
            <family val="2"/>
          </rPr>
          <t>kimberlg:</t>
        </r>
        <r>
          <rPr>
            <sz val="8"/>
            <color indexed="81"/>
            <rFont val="Tahoma"/>
            <family val="2"/>
          </rPr>
          <t xml:space="preserve">
8/16/12: $816M ok if our $3,865M sales est is correct. They guided to +LSD comp 4Q, so our sales est is ~$35M above high end of their plan</t>
        </r>
      </text>
    </comment>
    <comment ref="CU33" authorId="7">
      <text>
        <r>
          <rPr>
            <b/>
            <sz val="8"/>
            <color indexed="81"/>
            <rFont val="Tahoma"/>
            <family val="2"/>
          </rPr>
          <t xml:space="preserve">11/14: </t>
        </r>
        <r>
          <rPr>
            <sz val="8"/>
            <color indexed="81"/>
            <rFont val="Tahoma"/>
            <family val="2"/>
          </rPr>
          <t>about flat to 21.6% LY</t>
        </r>
        <r>
          <rPr>
            <b/>
            <sz val="8"/>
            <color indexed="81"/>
            <rFont val="Tahoma"/>
            <family val="2"/>
          </rPr>
          <t xml:space="preserve">
5/31/12: </t>
        </r>
        <r>
          <rPr>
            <sz val="8"/>
            <color indexed="81"/>
            <rFont val="Tahoma"/>
            <family val="2"/>
          </rPr>
          <t>LY rate plus 44bps of leverage on 4% comp</t>
        </r>
        <r>
          <rPr>
            <b/>
            <sz val="8"/>
            <color indexed="81"/>
            <rFont val="Tahoma"/>
            <family val="2"/>
          </rPr>
          <t xml:space="preserve">
kahng: </t>
        </r>
        <r>
          <rPr>
            <sz val="8"/>
            <color indexed="81"/>
            <rFont val="Tahoma"/>
            <family val="2"/>
          </rPr>
          <t>orig 21.9%, but 53rd week should leverage g&amp;a by 40bps on 4% comp</t>
        </r>
      </text>
    </comment>
    <comment ref="CX33" authorId="6">
      <text>
        <r>
          <rPr>
            <b/>
            <sz val="8"/>
            <color indexed="81"/>
            <rFont val="Tahoma"/>
            <family val="2"/>
          </rPr>
          <t>kimberlg:</t>
        </r>
        <r>
          <rPr>
            <sz val="8"/>
            <color indexed="81"/>
            <rFont val="Tahoma"/>
            <family val="2"/>
          </rPr>
          <t xml:space="preserve">
5/23/13: sounds like could be below $855M </t>
        </r>
      </text>
    </comment>
    <comment ref="CY33" authorId="0">
      <text>
        <r>
          <rPr>
            <b/>
            <sz val="8"/>
            <color indexed="81"/>
            <rFont val="Tahoma"/>
            <family val="2"/>
          </rPr>
          <t>casselau:</t>
        </r>
        <r>
          <rPr>
            <sz val="8"/>
            <color indexed="81"/>
            <rFont val="Tahoma"/>
            <family val="2"/>
          </rPr>
          <t xml:space="preserve">
11/20: guidance down vs. LY</t>
        </r>
      </text>
    </comment>
    <comment ref="DC33" authorId="0">
      <text>
        <r>
          <rPr>
            <b/>
            <sz val="9"/>
            <color indexed="81"/>
            <rFont val="Tahoma"/>
            <family val="2"/>
          </rPr>
          <t xml:space="preserve">casselau:
</t>
        </r>
        <r>
          <rPr>
            <sz val="9"/>
            <color indexed="81"/>
            <rFont val="Tahoma"/>
            <family val="2"/>
          </rPr>
          <t>11/19/14: guidance: increase vs. LY
expect deleverage given incentive comp</t>
        </r>
      </text>
    </comment>
    <comment ref="DD33" authorId="0">
      <text>
        <r>
          <rPr>
            <b/>
            <sz val="9"/>
            <color indexed="81"/>
            <rFont val="Tahoma"/>
            <family val="2"/>
          </rPr>
          <t>casselau:</t>
        </r>
        <r>
          <rPr>
            <sz val="9"/>
            <color indexed="81"/>
            <rFont val="Tahoma"/>
            <family val="2"/>
          </rPr>
          <t xml:space="preserve">
2/26/16: driven by higher incentive comp, and to a lesser extent store selling costs</t>
        </r>
      </text>
    </comment>
    <comment ref="DG33" authorId="0">
      <text>
        <r>
          <rPr>
            <b/>
            <sz val="9"/>
            <color indexed="81"/>
            <rFont val="Tahoma"/>
            <family val="2"/>
          </rPr>
          <t>casselau:</t>
        </r>
        <r>
          <rPr>
            <sz val="9"/>
            <color indexed="81"/>
            <rFont val="Tahoma"/>
            <family val="2"/>
          </rPr>
          <t xml:space="preserve">
11/19/15: guidance about flat to LY</t>
        </r>
      </text>
    </comment>
    <comment ref="DK33" authorId="8">
      <text>
        <r>
          <rPr>
            <b/>
            <sz val="9"/>
            <color indexed="81"/>
            <rFont val="Tahoma"/>
            <family val="2"/>
          </rPr>
          <t>Cassel, Lauren (Research):
2/22/17: increase costs related to store selling, marketing, and China were partially offset by a reduction in incentive comp
11/16/16:up from 21% LY driven primarily by investment
in China.</t>
        </r>
        <r>
          <rPr>
            <sz val="9"/>
            <color indexed="81"/>
            <rFont val="Tahoma"/>
            <family val="2"/>
          </rPr>
          <t xml:space="preserve">
5/18/16: we assume ~$5M in quarterly headcount savings (our estimate) is likely offset by ~$12M in China expenses for +$7M dollars per quarter *In 4Q expect reversal in incentive comp </t>
        </r>
      </text>
    </comment>
    <comment ref="DO33" authorId="8">
      <text>
        <r>
          <rPr>
            <b/>
            <sz val="9"/>
            <color indexed="81"/>
            <rFont val="Tahoma"/>
            <family val="2"/>
          </rPr>
          <t xml:space="preserve">Cassel, Lauren (Research):
2/28/18: deleverage principally driven by marketing expense at Victoria's Secret 
</t>
        </r>
        <r>
          <rPr>
            <sz val="9"/>
            <color indexed="81"/>
            <rFont val="Tahoma"/>
            <family val="2"/>
          </rPr>
          <t xml:space="preserve">
11/15/17: guidance: up from LY</t>
        </r>
      </text>
    </comment>
    <comment ref="DS33" authorId="8">
      <text>
        <r>
          <rPr>
            <b/>
            <sz val="9"/>
            <color indexed="81"/>
            <rFont val="Tahoma"/>
            <family val="2"/>
          </rPr>
          <t xml:space="preserve">Cassel, Lauren (Research):
</t>
        </r>
        <r>
          <rPr>
            <sz val="9"/>
            <color indexed="81"/>
            <rFont val="Tahoma"/>
            <family val="2"/>
          </rPr>
          <t xml:space="preserve">
</t>
        </r>
        <r>
          <rPr>
            <b/>
            <sz val="9"/>
            <color indexed="81"/>
            <rFont val="Tahoma"/>
            <family val="2"/>
          </rPr>
          <t>Assume $35M for angel card + $40M for wage investments + $12M other = +$87M</t>
        </r>
      </text>
    </comment>
    <comment ref="BW34" authorId="15">
      <text>
        <r>
          <rPr>
            <b/>
            <sz val="8"/>
            <color indexed="81"/>
            <rFont val="Tahoma"/>
            <family val="2"/>
          </rPr>
          <t>MB33100:</t>
        </r>
        <r>
          <rPr>
            <sz val="8"/>
            <color indexed="81"/>
            <rFont val="Tahoma"/>
            <family val="2"/>
          </rPr>
          <t xml:space="preserve">
2/06 mgmt's 2006 guidance assumes an increase in SG&amp;A</t>
        </r>
      </text>
    </comment>
    <comment ref="CA34" authorId="3">
      <text>
        <r>
          <rPr>
            <b/>
            <sz val="8"/>
            <color indexed="81"/>
            <rFont val="Tahoma"/>
            <family val="2"/>
          </rPr>
          <t>mm98285:</t>
        </r>
        <r>
          <rPr>
            <sz val="8"/>
            <color indexed="81"/>
            <rFont val="Tahoma"/>
            <family val="2"/>
          </rPr>
          <t xml:space="preserve">
2/07: guide to ~flat</t>
        </r>
      </text>
    </comment>
    <comment ref="CE34" authorId="3">
      <text>
        <r>
          <rPr>
            <b/>
            <sz val="8"/>
            <color indexed="81"/>
            <rFont val="Tahoma"/>
            <family val="2"/>
          </rPr>
          <t>mm98285:</t>
        </r>
        <r>
          <rPr>
            <sz val="8"/>
            <color indexed="81"/>
            <rFont val="Tahoma"/>
            <family val="2"/>
          </rPr>
          <t xml:space="preserve">
5/08: expect down
2/08: expect flat SG&amp;A</t>
        </r>
      </text>
    </comment>
    <comment ref="CH34" authorId="3">
      <text>
        <r>
          <rPr>
            <b/>
            <sz val="8"/>
            <color indexed="81"/>
            <rFont val="Tahoma"/>
            <family val="2"/>
          </rPr>
          <t>mm98285:</t>
        </r>
        <r>
          <rPr>
            <sz val="8"/>
            <color indexed="81"/>
            <rFont val="Tahoma"/>
            <family val="2"/>
          </rPr>
          <t xml:space="preserve">
11/09: expect to achieve $175M expense savings in 2009
2/09: expect $150mm expense savings, weighted towards 2H</t>
        </r>
      </text>
    </comment>
    <comment ref="CI34" authorId="3">
      <text>
        <r>
          <rPr>
            <b/>
            <sz val="8"/>
            <color indexed="81"/>
            <rFont val="Tahoma"/>
            <family val="2"/>
          </rPr>
          <t>mm98285:</t>
        </r>
        <r>
          <rPr>
            <sz val="8"/>
            <color indexed="81"/>
            <rFont val="Tahoma"/>
            <family val="2"/>
          </rPr>
          <t xml:space="preserve">
2/10: levg: cost reduction efforts, partially offset by higher incentive comop in fall season
11/09: ~flat as % of sales
8/09 &amp; 5/09: up slightly as a percent of sales</t>
        </r>
      </text>
    </comment>
    <comment ref="CL34" authorId="3">
      <text>
        <r>
          <rPr>
            <b/>
            <sz val="8"/>
            <color indexed="81"/>
            <rFont val="Tahoma"/>
            <family val="2"/>
          </rPr>
          <t>mm98285:</t>
        </r>
        <r>
          <rPr>
            <sz val="8"/>
            <color indexed="81"/>
            <rFont val="Tahoma"/>
            <family val="2"/>
          </rPr>
          <t xml:space="preserve">
expect $25M reduction in SG&amp;A</t>
        </r>
      </text>
    </comment>
    <comment ref="CM34" authorId="3">
      <text>
        <r>
          <rPr>
            <sz val="8"/>
            <color indexed="81"/>
            <rFont val="Tahoma"/>
            <family val="2"/>
          </rPr>
          <t>11/10: improved as a % of sales
8/10: improved as a % of sales
5/10: improved as a % of sales
2/10: ~flat as percent of sales</t>
        </r>
      </text>
    </comment>
    <comment ref="CQ34" authorId="5">
      <text>
        <r>
          <rPr>
            <sz val="8"/>
            <color indexed="81"/>
            <rFont val="Tahoma"/>
            <family val="2"/>
          </rPr>
          <t>11/2011: about flat to 24.4% LY</t>
        </r>
        <r>
          <rPr>
            <sz val="8"/>
            <color indexed="81"/>
            <rFont val="Tahoma"/>
            <family val="2"/>
          </rPr>
          <t xml:space="preserve">
8/2011: expect improved slightly from 24.4% LY
5/2011: expect improved slightly from 24.4% LY
2/2011: expect improved from 24.4%</t>
        </r>
      </text>
    </comment>
    <comment ref="CR34" authorId="5">
      <text>
        <r>
          <rPr>
            <b/>
            <sz val="8"/>
            <color indexed="81"/>
            <rFont val="Tahoma"/>
            <family val="2"/>
          </rPr>
          <t>nicholjs:</t>
        </r>
        <r>
          <rPr>
            <sz val="8"/>
            <color indexed="81"/>
            <rFont val="Tahoma"/>
            <family val="2"/>
          </rPr>
          <t xml:space="preserve">
10/2010: on 6% rev growth could be less than ~5%, more like 4-4.5% is better</t>
        </r>
      </text>
    </comment>
    <comment ref="CU34" authorId="7">
      <text>
        <r>
          <rPr>
            <b/>
            <sz val="8"/>
            <color indexed="81"/>
            <rFont val="Tahoma"/>
            <family val="2"/>
          </rPr>
          <t xml:space="preserve">antons:
</t>
        </r>
        <r>
          <rPr>
            <sz val="8"/>
            <color indexed="81"/>
            <rFont val="Tahoma"/>
            <family val="2"/>
          </rPr>
          <t xml:space="preserve">2/28/13: From 4Q12 Conf. call - CFO, SG&amp;A rose +10 bps, excluding the 170 bps impact from the sourcing buisiness sale. "The SG&amp;A rate was negatively impacted by the sourcing business sale by about 170 basis points. Absent this impact the SG&amp;A rate improved by about 10 basis points." </t>
        </r>
        <r>
          <rPr>
            <sz val="8"/>
            <color indexed="81"/>
            <rFont val="Tahoma"/>
            <family val="2"/>
          </rPr>
          <t xml:space="preserve">
11/15/12: expect up vs LY, negatively impacted by the sourcing business sale by about 170 bps. Absent this impact, we expect the SG&amp;A rate to be about flat
</t>
        </r>
        <r>
          <rPr>
            <b/>
            <sz val="8"/>
            <color indexed="81"/>
            <rFont val="Tahoma"/>
            <family val="2"/>
          </rPr>
          <t xml:space="preserve">2/22/12: </t>
        </r>
        <r>
          <rPr>
            <sz val="8"/>
            <color indexed="81"/>
            <rFont val="Tahoma"/>
            <family val="2"/>
          </rPr>
          <t>up from 24.4% LY (sourcing sale impact unfavorable by 170 bps; excl this impact, rate would be flat to up slightly)</t>
        </r>
      </text>
    </comment>
    <comment ref="CY34" authorId="0">
      <text>
        <r>
          <rPr>
            <b/>
            <sz val="8"/>
            <color indexed="81"/>
            <rFont val="Tahoma"/>
            <family val="2"/>
          </rPr>
          <t xml:space="preserve">casselau:
</t>
        </r>
        <r>
          <rPr>
            <sz val="8"/>
            <color indexed="81"/>
            <rFont val="Tahoma"/>
            <family val="2"/>
          </rPr>
          <t>11/20/13: reiterate down vs. LY</t>
        </r>
        <r>
          <rPr>
            <b/>
            <sz val="8"/>
            <color indexed="81"/>
            <rFont val="Tahoma"/>
            <family val="2"/>
          </rPr>
          <t xml:space="preserve">
</t>
        </r>
        <r>
          <rPr>
            <sz val="8"/>
            <color indexed="81"/>
            <rFont val="Tahoma"/>
            <family val="2"/>
          </rPr>
          <t>8/21/13: guidance: down from 26% LY</t>
        </r>
        <r>
          <rPr>
            <b/>
            <sz val="8"/>
            <color indexed="81"/>
            <rFont val="Tahoma"/>
            <family val="2"/>
          </rPr>
          <t xml:space="preserve">
</t>
        </r>
        <r>
          <rPr>
            <sz val="8"/>
            <color indexed="81"/>
            <rFont val="Tahoma"/>
            <family val="2"/>
          </rPr>
          <t>5/22/13 guidance: down slightly vs. LY</t>
        </r>
        <r>
          <rPr>
            <sz val="8"/>
            <color indexed="81"/>
            <rFont val="Tahoma"/>
            <family val="2"/>
          </rPr>
          <t xml:space="preserve">
2/27/13: guidance about flat to 26.0%</t>
        </r>
      </text>
    </comment>
    <comment ref="DC34" authorId="0">
      <text>
        <r>
          <rPr>
            <b/>
            <sz val="8"/>
            <color indexed="81"/>
            <rFont val="Tahoma"/>
            <family val="2"/>
          </rPr>
          <t xml:space="preserve">casselau:
</t>
        </r>
        <r>
          <rPr>
            <sz val="8"/>
            <color indexed="81"/>
            <rFont val="Tahoma"/>
            <family val="2"/>
          </rPr>
          <t>11/19/14: guidance about flat to LY
2/26/14: guidance about flat to LY</t>
        </r>
      </text>
    </comment>
    <comment ref="DG34" authorId="12">
      <text>
        <r>
          <rPr>
            <sz val="9"/>
            <color indexed="81"/>
            <rFont val="Tahoma"/>
            <family val="2"/>
          </rPr>
          <t>11/19/15: guidance about flat to LY
8/19/15: guidance: up slightly from LY
5/20/15: guidance: about flat to LY 
2/25/15 guidance: flat to down slightly vs. LY (reflects flat to down slightly incentive comps)</t>
        </r>
      </text>
    </comment>
    <comment ref="DK34" authorId="0">
      <text>
        <r>
          <rPr>
            <b/>
            <sz val="9"/>
            <color indexed="81"/>
            <rFont val="Tahoma"/>
            <family val="2"/>
          </rPr>
          <t>casselau:
11/16/16:guidance roughly flat
8/17/16: guidance roughly flat
5/18/16: Guidance: Rate up to LY</t>
        </r>
        <r>
          <rPr>
            <sz val="9"/>
            <color indexed="81"/>
            <rFont val="Tahoma"/>
            <family val="2"/>
          </rPr>
          <t xml:space="preserve">
2/24/16: guidance about flat to LY</t>
        </r>
      </text>
    </comment>
    <comment ref="DO34" authorId="8">
      <text>
        <r>
          <rPr>
            <b/>
            <sz val="9"/>
            <color indexed="81"/>
            <rFont val="Tahoma"/>
            <family val="2"/>
          </rPr>
          <t xml:space="preserve">Cassel, Lauren (Research):
2/28/18: deleverage driven by increase marketing expense and investment in China
</t>
        </r>
        <r>
          <rPr>
            <sz val="9"/>
            <color indexed="81"/>
            <rFont val="Tahoma"/>
            <family val="2"/>
          </rPr>
          <t>8/16/17: We expect the full-year SG&amp;A rate to increase, driven by our investment in China and increased marketing and store selling costs
2/22/17: guidance up vs. LY driven by investment in China and store selling costs</t>
        </r>
      </text>
    </comment>
    <comment ref="DR34" authorId="8">
      <text>
        <r>
          <rPr>
            <b/>
            <sz val="9"/>
            <color indexed="81"/>
            <rFont val="Tahoma"/>
            <family val="2"/>
          </rPr>
          <t>Cassel, Lauren (Research):</t>
        </r>
        <r>
          <rPr>
            <sz val="9"/>
            <color indexed="81"/>
            <rFont val="Tahoma"/>
            <family val="2"/>
          </rPr>
          <t xml:space="preserve">
2/28/18: Following an extensive evaluation of our wage rates by market, we are
making investments in our work force by increasing wage rates and benefits, principally for hourly associates. These investments will help us continue to attract and retain high-quality talent and be an employer of choice. </t>
        </r>
        <r>
          <rPr>
            <b/>
            <sz val="9"/>
            <color indexed="81"/>
            <rFont val="Tahoma"/>
            <family val="2"/>
          </rPr>
          <t xml:space="preserve">The
impact of these investments is approximately $100 million in 2018, and is included in our guidance.
</t>
        </r>
        <r>
          <rPr>
            <sz val="9"/>
            <color indexed="81"/>
            <rFont val="Tahoma"/>
            <family val="2"/>
          </rPr>
          <t xml:space="preserve">- Additionally, we will adopt the new revenue recognition accounting standard in the first quarter of 2018. For L Brands, the only material change will be a </t>
        </r>
        <r>
          <rPr>
            <b/>
            <sz val="9"/>
            <color indexed="81"/>
            <rFont val="Tahoma"/>
            <family val="2"/>
          </rPr>
          <t xml:space="preserve">reclassification of income related to our Victoria’s Secret Angel credit card arrangement from SG&amp;A expense to net sales. </t>
        </r>
        <r>
          <rPr>
            <sz val="9"/>
            <color indexed="81"/>
            <rFont val="Tahoma"/>
            <family val="2"/>
          </rPr>
          <t xml:space="preserve">In 2017, this amount was approximately $25 million in each of the first 3 quarters and $35 million in the fourth quarter, about </t>
        </r>
        <r>
          <rPr>
            <b/>
            <sz val="9"/>
            <color indexed="81"/>
            <rFont val="Tahoma"/>
            <family val="2"/>
          </rPr>
          <t xml:space="preserve">$110 </t>
        </r>
        <r>
          <rPr>
            <sz val="9"/>
            <color indexed="81"/>
            <rFont val="Tahoma"/>
            <family val="2"/>
          </rPr>
          <t xml:space="preserve">million in total. </t>
        </r>
        <r>
          <rPr>
            <b/>
            <sz val="9"/>
            <color indexed="81"/>
            <rFont val="Tahoma"/>
            <family val="2"/>
          </rPr>
          <t>We expect the 2018 impact to be roughly similar, and our guidance reflects the increase to net sales and SG&amp;A expense accordingly.</t>
        </r>
      </text>
    </comment>
    <comment ref="DS34" authorId="8">
      <text>
        <r>
          <rPr>
            <b/>
            <sz val="9"/>
            <color indexed="81"/>
            <rFont val="Tahoma"/>
            <family val="2"/>
          </rPr>
          <t>Cassel, Lauren (Research):</t>
        </r>
        <r>
          <rPr>
            <sz val="9"/>
            <color indexed="81"/>
            <rFont val="Tahoma"/>
            <family val="2"/>
          </rPr>
          <t xml:space="preserve">
2/28/18: </t>
        </r>
        <r>
          <rPr>
            <b/>
            <sz val="9"/>
            <color indexed="81"/>
            <rFont val="Tahoma"/>
            <family val="2"/>
          </rPr>
          <t>We expect the full year SG&amp;A rate to increase, driven principally by the impact of the incremental wage investments and the reclassification of Angel card income. Excluding these increases, the SG&amp;A rate would be about flat</t>
        </r>
        <r>
          <rPr>
            <sz val="9"/>
            <color indexed="81"/>
            <rFont val="Tahoma"/>
            <family val="2"/>
          </rPr>
          <t>.</t>
        </r>
      </text>
    </comment>
    <comment ref="BV40" authorId="3">
      <text>
        <r>
          <rPr>
            <b/>
            <sz val="8"/>
            <color indexed="81"/>
            <rFont val="Tahoma"/>
            <family val="2"/>
          </rPr>
          <t>mm98285:</t>
        </r>
        <r>
          <rPr>
            <sz val="8"/>
            <color indexed="81"/>
            <rFont val="Tahoma"/>
            <family val="2"/>
          </rPr>
          <t xml:space="preserve">
~$1m in COGS
~$6m in SG&amp;A</t>
        </r>
      </text>
    </comment>
    <comment ref="BV41" authorId="3">
      <text>
        <r>
          <rPr>
            <b/>
            <sz val="8"/>
            <color indexed="81"/>
            <rFont val="Tahoma"/>
            <family val="2"/>
          </rPr>
          <t>mm98285:</t>
        </r>
        <r>
          <rPr>
            <sz val="8"/>
            <color indexed="81"/>
            <rFont val="Tahoma"/>
            <family val="2"/>
          </rPr>
          <t xml:space="preserve">
~$2m in COGS
~$7m in SG&amp;A</t>
        </r>
      </text>
    </comment>
    <comment ref="AL50" authorId="1">
      <text>
        <r>
          <rPr>
            <b/>
            <sz val="8"/>
            <color indexed="81"/>
            <rFont val="Tahoma"/>
            <family val="2"/>
          </rPr>
          <t>dliu:</t>
        </r>
        <r>
          <rPr>
            <sz val="8"/>
            <color indexed="81"/>
            <rFont val="Tahoma"/>
            <family val="2"/>
          </rPr>
          <t xml:space="preserve">
93.7mm gain from sale of 2.57mm shares at $51 per share representing remaining interest in brylane. Gain was partially offset by $5.1 mm pretax charge for severance and other associate termination costs related to the closing of 5 of 6 Henri Bendel stores</t>
        </r>
      </text>
    </comment>
    <comment ref="BB50" authorId="1">
      <text>
        <r>
          <rPr>
            <b/>
            <sz val="8"/>
            <color indexed="81"/>
            <rFont val="Tahoma"/>
            <family val="2"/>
          </rPr>
          <t>dliu:</t>
        </r>
        <r>
          <rPr>
            <sz val="8"/>
            <color indexed="81"/>
            <rFont val="Tahoma"/>
            <family val="2"/>
          </rPr>
          <t xml:space="preserve">
in connection w/ acquisition of IBI minority interest, vested IBI stock options and restricted stock were exchanged for Ltd brand stock awards with similar terms. The exchange was accounted for as a modification of a stock-based compensation arrangemt. Thus the co. recorded a pre-tax, non-cash charge of $34 mm.</t>
        </r>
      </text>
    </comment>
    <comment ref="BR50" authorId="3">
      <text>
        <r>
          <rPr>
            <b/>
            <sz val="8"/>
            <color indexed="81"/>
            <rFont val="Tahoma"/>
            <family val="2"/>
          </rPr>
          <t>mm98285:</t>
        </r>
        <r>
          <rPr>
            <sz val="8"/>
            <color indexed="81"/>
            <rFont val="Tahoma"/>
            <family val="2"/>
          </rPr>
          <t xml:space="preserve">
5/06:cumulative effect of changes in Accounting Principle (~4c)</t>
        </r>
      </text>
    </comment>
    <comment ref="BV50" authorId="3">
      <text>
        <r>
          <rPr>
            <b/>
            <sz val="8"/>
            <color indexed="81"/>
            <rFont val="Tahoma"/>
            <family val="2"/>
          </rPr>
          <t>mm98285:</t>
        </r>
        <r>
          <rPr>
            <sz val="8"/>
            <color indexed="81"/>
            <rFont val="Tahoma"/>
            <family val="2"/>
          </rPr>
          <t xml:space="preserve">
5/06:cumulative effect of changes in Accounting Principle (~0c)</t>
        </r>
      </text>
    </comment>
    <comment ref="CD50" authorId="3">
      <text>
        <r>
          <rPr>
            <b/>
            <sz val="8"/>
            <color indexed="81"/>
            <rFont val="Tahoma"/>
            <family val="2"/>
          </rPr>
          <t>mm98285:</t>
        </r>
        <r>
          <rPr>
            <sz val="8"/>
            <color indexed="81"/>
            <rFont val="Tahoma"/>
            <family val="2"/>
          </rPr>
          <t xml:space="preserve">
1) $128mm pretax gain ($81mm after tax) or $0.24 per share related to the sale of a non-core joint venture and 2) $19mm pretax charge ($19.6mm after tax) or $0.06 per share related to the impairment of the investment carring value of another non-core joint venture</t>
        </r>
      </text>
    </comment>
    <comment ref="AL51" authorId="1">
      <text>
        <r>
          <rPr>
            <b/>
            <sz val="8"/>
            <color indexed="81"/>
            <rFont val="Tahoma"/>
            <family val="2"/>
          </rPr>
          <t>dliu:</t>
        </r>
        <r>
          <rPr>
            <sz val="8"/>
            <color indexed="81"/>
            <rFont val="Tahoma"/>
            <family val="2"/>
          </rPr>
          <t xml:space="preserve">
tax-free gain from exchange offer to establish A&amp;F as independent co. Ltd shareholders received 0.013673 of 1 share of A&amp;F for each Ltd share owned on May 29, 98</t>
        </r>
      </text>
    </comment>
    <comment ref="BZ51" authorId="3">
      <text>
        <r>
          <rPr>
            <b/>
            <sz val="8"/>
            <color indexed="81"/>
            <rFont val="Tahoma"/>
            <family val="2"/>
          </rPr>
          <t>mm98285:</t>
        </r>
        <r>
          <rPr>
            <sz val="8"/>
            <color indexed="81"/>
            <rFont val="Tahoma"/>
            <family val="2"/>
          </rPr>
          <t xml:space="preserve">
8/07: gain on divestiture of apparel segment (Express: $302.412, Limited: -$72.538) 
$53mm pre-tax restructuring charge for costs of disposing of non-core assets and severance related to thee termination of ~10% of the home office headcount (offset by $6mm in minority interest to get to $47mm as reported in PR)
$100mm related to the refinancing of Easton Town Center
$17mm related to an interest rate hedge entered into in 1Q in anticipation of intended financing of the LaSenza acq.
$6mm related to severance related to termination of ~10% of home office headcount
(EXCLUDED FROM $0.20 EPS) </t>
        </r>
      </text>
    </comment>
    <comment ref="CP51" authorId="4">
      <text>
        <r>
          <rPr>
            <b/>
            <sz val="8"/>
            <color indexed="81"/>
            <rFont val="Tahoma"/>
            <family val="2"/>
          </rPr>
          <t>P Kahng:</t>
        </r>
        <r>
          <rPr>
            <sz val="8"/>
            <color indexed="81"/>
            <rFont val="Tahoma"/>
            <family val="2"/>
          </rPr>
          <t xml:space="preserve">
A non-taxable gain of $147.1 million, or $0.47 per share, and a pre-tax expense of $113.4 million, or $0.22 per share, related to the charitable
contribution of all of the company's remaining shares of Express (NYSE: EXPR) to the Limited Brands Foundation.</t>
        </r>
      </text>
    </comment>
    <comment ref="R52" authorId="1">
      <text>
        <r>
          <rPr>
            <b/>
            <sz val="8"/>
            <color indexed="81"/>
            <rFont val="Tahoma"/>
            <family val="2"/>
          </rPr>
          <t>dliu:</t>
        </r>
        <r>
          <rPr>
            <sz val="8"/>
            <color indexed="81"/>
            <rFont val="Tahoma"/>
            <family val="2"/>
          </rPr>
          <t xml:space="preserve">
pre-tax gain resulting from a) sale of 60% interest in Brylane mail order biz, b) acceleration of store remodelling, downsizing and closing program at Limited Stores and Lerner, and refocusing of mdsing strategy at Henri Bendel.</t>
        </r>
      </text>
    </comment>
    <comment ref="AH52" authorId="1">
      <text>
        <r>
          <rPr>
            <b/>
            <sz val="8"/>
            <color indexed="81"/>
            <rFont val="Tahoma"/>
            <family val="2"/>
          </rPr>
          <t>dliu:</t>
        </r>
        <r>
          <rPr>
            <sz val="8"/>
            <color indexed="81"/>
            <rFont val="Tahoma"/>
            <family val="2"/>
          </rPr>
          <t xml:space="preserve">
net $62.8 mm gain: from 1) sale of approx 1/2 of investmt in Brylane, partially offset by 2) valuation adjustmts on certain investmts where the carrying values are permanently impaired</t>
        </r>
      </text>
    </comment>
    <comment ref="BZ52" authorId="3">
      <text>
        <r>
          <rPr>
            <b/>
            <sz val="8"/>
            <color indexed="81"/>
            <rFont val="Tahoma"/>
            <family val="2"/>
          </rPr>
          <t>mm98285:</t>
        </r>
        <r>
          <rPr>
            <sz val="8"/>
            <color indexed="81"/>
            <rFont val="Tahoma"/>
            <family val="2"/>
          </rPr>
          <t xml:space="preserve">
net gain on divestiture of apparel segment.. INCLUDED IN ($0.01) EPS + sale of corp aircraft ($25mm)</t>
        </r>
      </text>
    </comment>
    <comment ref="Z53" authorId="1">
      <text>
        <r>
          <rPr>
            <b/>
            <sz val="8"/>
            <color indexed="81"/>
            <rFont val="Tahoma"/>
            <family val="2"/>
          </rPr>
          <t>dliu:</t>
        </r>
        <r>
          <rPr>
            <sz val="8"/>
            <color indexed="81"/>
            <rFont val="Tahoma"/>
            <family val="2"/>
          </rPr>
          <t xml:space="preserve">
$73.2mm pretax gain from sale of 60% interest in co's wholly-owned credit card back, WFNNB. This gain was mostly offset by a special and non-recurring charge of $71.9mm ($25.8 mm for closing of 26 stores, $19.8mm for downsizing of 33 stores (primarily at Limited and Lerner NY), and $26.3mm for writedown to mkt or net realizable value of certain assets arising from nonoperating activities. Net pretax gain was $1.3 mm.</t>
        </r>
      </text>
    </comment>
    <comment ref="AD53" authorId="1">
      <text>
        <r>
          <rPr>
            <b/>
            <sz val="8"/>
            <color indexed="81"/>
            <rFont val="Tahoma"/>
            <family val="2"/>
          </rPr>
          <t>dliu:</t>
        </r>
        <r>
          <rPr>
            <sz val="8"/>
            <color indexed="81"/>
            <rFont val="Tahoma"/>
            <family val="2"/>
          </rPr>
          <t xml:space="preserve">
revaluation of certain assets in connection w/ sale of Penhaligon's in April 97</t>
        </r>
      </text>
    </comment>
    <comment ref="AH53" authorId="1">
      <text>
        <r>
          <rPr>
            <b/>
            <sz val="8"/>
            <color indexed="81"/>
            <rFont val="Tahoma"/>
            <family val="2"/>
          </rPr>
          <t>dliu:</t>
        </r>
        <r>
          <rPr>
            <sz val="8"/>
            <color indexed="81"/>
            <rFont val="Tahoma"/>
            <family val="2"/>
          </rPr>
          <t xml:space="preserve">
1) asset writedowns of $67mm, 2) impaired asset charges of $86mm, 3) other liabs incl. severance and cancellations of mdse of $16mm, and 4) store closing and lease termination liabs of $107mm. From May 99 10-Q. Charges primarily assoc. w/ closure of 5 out of 6 Henri Bendel stores</t>
        </r>
      </text>
    </comment>
    <comment ref="BZ53" authorId="3">
      <text>
        <r>
          <rPr>
            <b/>
            <sz val="8"/>
            <color indexed="81"/>
            <rFont val="Tahoma"/>
            <family val="2"/>
          </rPr>
          <t>mm98285:</t>
        </r>
        <r>
          <rPr>
            <sz val="8"/>
            <color indexed="81"/>
            <rFont val="Tahoma"/>
            <family val="2"/>
          </rPr>
          <t xml:space="preserve">
$47.8mm or $0.08 per share related to recognition of initial gift card breakage at VS not included in con't earnings</t>
        </r>
      </text>
    </comment>
    <comment ref="CP53" authorId="7">
      <text>
        <r>
          <rPr>
            <b/>
            <sz val="8"/>
            <color indexed="81"/>
            <rFont val="Tahoma"/>
            <family val="2"/>
          </rPr>
          <t>2/22/12:</t>
        </r>
        <r>
          <rPr>
            <sz val="8"/>
            <color indexed="81"/>
            <rFont val="Tahoma"/>
            <family val="2"/>
          </rPr>
          <t xml:space="preserve"> 
$231.8M charge related to impairment of LS goodwill and other intangible assets. 
$110.8M gain related to sale of 51% of Mast to Sycamore Partners. 
$24.3M of resturcturing expenses at LS ($16.985M in COGS and $7.357M in SG&amp;A). 
$28.4M tax benefit related to dicrete income tax matters. 
</t>
        </r>
        <r>
          <rPr>
            <b/>
            <sz val="8"/>
            <color indexed="81"/>
            <rFont val="Tahoma"/>
            <family val="2"/>
          </rPr>
          <t xml:space="preserve">2/2/12: </t>
        </r>
        <r>
          <rPr>
            <sz val="8"/>
            <color indexed="81"/>
            <rFont val="Tahoma"/>
            <family val="2"/>
          </rPr>
          <t>pre-tax gain of $115 (37c) from sale of Mast. $220-</t>
        </r>
        <r>
          <rPr>
            <b/>
            <sz val="8"/>
            <color indexed="81"/>
            <rFont val="Tahoma"/>
            <family val="2"/>
          </rPr>
          <t xml:space="preserve">$270M </t>
        </r>
        <r>
          <rPr>
            <sz val="8"/>
            <color indexed="81"/>
            <rFont val="Tahoma"/>
            <family val="2"/>
          </rPr>
          <t xml:space="preserve">(64c-78c) related to intangible asset impairment and store closures at La Senza. LTD paid $600M for La Senza. Only $20-30M left after this write down. </t>
        </r>
      </text>
    </comment>
    <comment ref="CT53" authorId="0">
      <text>
        <r>
          <rPr>
            <b/>
            <sz val="8"/>
            <color indexed="81"/>
            <rFont val="Tahoma"/>
            <family val="2"/>
          </rPr>
          <t>casselau:</t>
        </r>
        <r>
          <rPr>
            <sz val="8"/>
            <color indexed="81"/>
            <rFont val="Tahoma"/>
            <family val="2"/>
          </rPr>
          <t xml:space="preserve">
A $93.2 million pre-tax charge ($91.2 million net of tax) related to the impairment of La Senza goodwill and other intangible assets</t>
        </r>
      </text>
    </comment>
    <comment ref="CT60" authorId="4">
      <text>
        <r>
          <rPr>
            <b/>
            <sz val="8"/>
            <color indexed="81"/>
            <rFont val="Tahoma"/>
            <family val="2"/>
          </rPr>
          <t>P Kahng:</t>
        </r>
        <r>
          <rPr>
            <sz val="8"/>
            <color indexed="81"/>
            <rFont val="Tahoma"/>
            <family val="2"/>
          </rPr>
          <t xml:space="preserve">
Was $285.4</t>
        </r>
      </text>
    </comment>
    <comment ref="DK60" authorId="8">
      <text>
        <r>
          <rPr>
            <b/>
            <sz val="9"/>
            <color indexed="81"/>
            <rFont val="Tahoma"/>
            <family val="2"/>
          </rPr>
          <t>Cassel, Lauren (Research):</t>
        </r>
        <r>
          <rPr>
            <sz val="9"/>
            <color indexed="81"/>
            <rFont val="Tahoma"/>
            <family val="2"/>
          </rPr>
          <t xml:space="preserve">
5/18/16: Operating income declined due to VS and Int'l, partially offset by BBW</t>
        </r>
      </text>
    </comment>
    <comment ref="CJ61" authorId="3">
      <text>
        <r>
          <rPr>
            <b/>
            <sz val="8"/>
            <color indexed="81"/>
            <rFont val="Tahoma"/>
            <family val="2"/>
          </rPr>
          <t>mm98285:</t>
        </r>
        <r>
          <rPr>
            <sz val="8"/>
            <color indexed="81"/>
            <rFont val="Tahoma"/>
            <family val="2"/>
          </rPr>
          <t xml:space="preserve">
5/09: expect similar to 1Q results</t>
        </r>
      </text>
    </comment>
    <comment ref="BZ62" authorId="3">
      <text>
        <r>
          <rPr>
            <b/>
            <sz val="8"/>
            <color indexed="81"/>
            <rFont val="Tahoma"/>
            <family val="2"/>
          </rPr>
          <t>mm98285:</t>
        </r>
        <r>
          <rPr>
            <sz val="8"/>
            <color indexed="81"/>
            <rFont val="Tahoma"/>
            <family val="2"/>
          </rPr>
          <t xml:space="preserve">
includes net gain on divestiture of apparel segment -($0.339) and excludes $25mm sale of corp aircraft
6/07: excludes an estimated $3mm of Express op income (.33% included in "other income")</t>
        </r>
      </text>
    </comment>
    <comment ref="BZ63" authorId="3">
      <text>
        <r>
          <rPr>
            <b/>
            <sz val="8"/>
            <color indexed="81"/>
            <rFont val="Tahoma"/>
            <family val="2"/>
          </rPr>
          <t>mm98285:</t>
        </r>
        <r>
          <rPr>
            <sz val="8"/>
            <color indexed="81"/>
            <rFont val="Tahoma"/>
            <family val="2"/>
          </rPr>
          <t xml:space="preserve">
6/07: excludes an estimated $45mm of Express op income (33% included in "other income")</t>
        </r>
      </text>
    </comment>
    <comment ref="CX63" authorId="0">
      <text>
        <r>
          <rPr>
            <b/>
            <sz val="8"/>
            <color indexed="81"/>
            <rFont val="Tahoma"/>
            <family val="2"/>
          </rPr>
          <t>casselau:</t>
        </r>
        <r>
          <rPr>
            <sz val="8"/>
            <color indexed="81"/>
            <rFont val="Tahoma"/>
            <family val="2"/>
          </rPr>
          <t xml:space="preserve">
2/27/14: excluding 53rd week, operating dollars roughly flat y/y</t>
        </r>
      </text>
    </comment>
    <comment ref="DP63" authorId="8">
      <text>
        <r>
          <rPr>
            <b/>
            <sz val="9"/>
            <color indexed="81"/>
            <rFont val="Tahoma"/>
            <family val="2"/>
          </rPr>
          <t>Cassel, Lauren (Research):</t>
        </r>
        <r>
          <rPr>
            <sz val="9"/>
            <color indexed="81"/>
            <rFont val="Tahoma"/>
            <family val="2"/>
          </rPr>
          <t xml:space="preserve">
2/28/18: on a 13-13 week basis, operating income -5%, but expected to do better </t>
        </r>
      </text>
    </comment>
    <comment ref="CZ64" authorId="0">
      <text>
        <r>
          <rPr>
            <b/>
            <sz val="9"/>
            <color indexed="81"/>
            <rFont val="Tahoma"/>
            <family val="2"/>
          </rPr>
          <t>casselau:</t>
        </r>
        <r>
          <rPr>
            <sz val="9"/>
            <color indexed="81"/>
            <rFont val="Tahoma"/>
            <family val="2"/>
          </rPr>
          <t xml:space="preserve">
2/27/14: excluding extra week, operating income dollars +5%</t>
        </r>
      </text>
    </comment>
    <comment ref="BF70" authorId="1">
      <text>
        <r>
          <rPr>
            <b/>
            <sz val="8"/>
            <color indexed="81"/>
            <rFont val="Tahoma"/>
            <family val="2"/>
          </rPr>
          <t>dliu:</t>
        </r>
        <r>
          <rPr>
            <sz val="8"/>
            <color indexed="81"/>
            <rFont val="Tahoma"/>
            <family val="2"/>
          </rPr>
          <t xml:space="preserve">
includes $13 mm in interest expense related to early retiremt of $250 mm in notes</t>
        </r>
      </text>
    </comment>
    <comment ref="BN70" authorId="2">
      <text>
        <r>
          <rPr>
            <b/>
            <sz val="8"/>
            <color indexed="81"/>
            <rFont val="Tahoma"/>
            <family val="2"/>
          </rPr>
          <t>Corinna Freedman:</t>
        </r>
        <r>
          <rPr>
            <sz val="8"/>
            <color indexed="81"/>
            <rFont val="Tahoma"/>
            <family val="2"/>
          </rPr>
          <t xml:space="preserve">
10/06  includes additional int expense of $500*2.66% (5y) and $500*5.5% (10y) PLUS amortization of $11m in financing costs (1.1m ann)</t>
        </r>
      </text>
    </comment>
    <comment ref="BR70" authorId="2">
      <text>
        <r>
          <rPr>
            <b/>
            <sz val="8"/>
            <color indexed="81"/>
            <rFont val="Tahoma"/>
            <family val="2"/>
          </rPr>
          <t>Corinna Freedman:</t>
        </r>
        <r>
          <rPr>
            <sz val="8"/>
            <color indexed="81"/>
            <rFont val="Tahoma"/>
            <family val="2"/>
          </rPr>
          <t xml:space="preserve">
10/06  includes additional int expense of $500*2.66% (5y) and $500*5.5% (10y) PLUS amortization of $11m in financing costs (1.1m ann)</t>
        </r>
      </text>
    </comment>
    <comment ref="CD70" authorId="3">
      <text>
        <r>
          <rPr>
            <b/>
            <sz val="8"/>
            <color indexed="81"/>
            <rFont val="Tahoma"/>
            <family val="2"/>
          </rPr>
          <t>mm98285:</t>
        </r>
        <r>
          <rPr>
            <sz val="8"/>
            <color indexed="81"/>
            <rFont val="Tahoma"/>
            <family val="2"/>
          </rPr>
          <t xml:space="preserve">
2Q 10Q:
$750 term loan due 8/12, 5.93% interest at 8/4/07
6.9% $700mm note due 7/17
5.25% $500mm note due 11/14
6.95% $350mm debenture due 3/33
7.60% $300mm note due 7/37
6.125% $300mm note due 12/12
~$19 credit facility due 1/10, 5.82% interest at 8/4/07
5.30% mortgage due 8/10 ~$2mm
7/07:$700 million due July 15, 2017, coupon: 6.9%. 
$300 million due July 15, 2037, coupon: 7.6%.
*Need terms of other $250 million debt - currently assuming 7% interest rate
6/07: assume start paying interest in $1.25b debt in 3Q at 7% interest rate</t>
        </r>
      </text>
    </comment>
    <comment ref="CH70" authorId="3">
      <text>
        <r>
          <rPr>
            <b/>
            <sz val="8"/>
            <color indexed="81"/>
            <rFont val="Tahoma"/>
            <family val="2"/>
          </rPr>
          <t>mm98285:</t>
        </r>
        <r>
          <rPr>
            <sz val="8"/>
            <color indexed="81"/>
            <rFont val="Tahoma"/>
            <family val="2"/>
          </rPr>
          <t xml:space="preserve">
5/09: includes $10M cost ($8M associated with term loan amendment and $2M of unamortized fees releated to the original agreement)
3/09: $750M term loan interest: LIBOR + 400bps
2/09: ~$60mm</t>
        </r>
      </text>
    </comment>
    <comment ref="CL70" authorId="3">
      <text>
        <r>
          <rPr>
            <b/>
            <sz val="8"/>
            <color indexed="81"/>
            <rFont val="Tahoma"/>
            <family val="2"/>
          </rPr>
          <t>mm98285:</t>
        </r>
        <r>
          <rPr>
            <sz val="8"/>
            <color indexed="81"/>
            <rFont val="Tahoma"/>
            <family val="2"/>
          </rPr>
          <t xml:space="preserve">
2/10: ~$61M</t>
        </r>
      </text>
    </comment>
    <comment ref="CP70" authorId="5">
      <text>
        <r>
          <rPr>
            <b/>
            <sz val="8"/>
            <color indexed="81"/>
            <rFont val="Tahoma"/>
            <family val="2"/>
          </rPr>
          <t>nicholjs:</t>
        </r>
        <r>
          <rPr>
            <sz val="8"/>
            <color indexed="81"/>
            <rFont val="Tahoma"/>
            <family val="2"/>
          </rPr>
          <t xml:space="preserve">
2/2011: expect net non-operating expense $47
10/2010 call: $49 per qtr reasonable</t>
        </r>
      </text>
    </comment>
    <comment ref="CT70" authorId="7">
      <text>
        <r>
          <rPr>
            <b/>
            <sz val="8"/>
            <color indexed="81"/>
            <rFont val="Tahoma"/>
            <family val="2"/>
          </rPr>
          <t>kahng:</t>
        </r>
        <r>
          <rPr>
            <sz val="8"/>
            <color indexed="81"/>
            <rFont val="Tahoma"/>
            <family val="2"/>
          </rPr>
          <t xml:space="preserve">
</t>
        </r>
        <r>
          <rPr>
            <b/>
            <sz val="8"/>
            <color indexed="81"/>
            <rFont val="Tahoma"/>
            <family val="2"/>
          </rPr>
          <t xml:space="preserve">2/22/12: </t>
        </r>
        <r>
          <rPr>
            <sz val="8"/>
            <color indexed="81"/>
            <rFont val="Tahoma"/>
            <family val="2"/>
          </rPr>
          <t xml:space="preserve">Net non-op exp about $75M
</t>
        </r>
        <r>
          <rPr>
            <b/>
            <sz val="8"/>
            <color indexed="81"/>
            <rFont val="Tahoma"/>
            <family val="2"/>
          </rPr>
          <t>2/7/12:</t>
        </r>
        <r>
          <rPr>
            <sz val="8"/>
            <color indexed="81"/>
            <rFont val="Tahoma"/>
            <family val="2"/>
          </rPr>
          <t xml:space="preserve"> LTD issued $1B in sr notes due 2022 and 2024 with a 5.625% coupon</t>
        </r>
      </text>
    </comment>
    <comment ref="CX70" authorId="0">
      <text>
        <r>
          <rPr>
            <b/>
            <sz val="8"/>
            <color indexed="81"/>
            <rFont val="Tahoma"/>
            <family val="2"/>
          </rPr>
          <t>casselau:</t>
        </r>
        <r>
          <rPr>
            <sz val="8"/>
            <color indexed="81"/>
            <rFont val="Tahoma"/>
            <family val="2"/>
          </rPr>
          <t xml:space="preserve">
2/27/13: guidance $75-$80M</t>
        </r>
      </text>
    </comment>
    <comment ref="DB70" authorId="0">
      <text>
        <r>
          <rPr>
            <b/>
            <sz val="8"/>
            <color indexed="81"/>
            <rFont val="Tahoma"/>
            <family val="2"/>
          </rPr>
          <t>casselau:</t>
        </r>
        <r>
          <rPr>
            <sz val="8"/>
            <color indexed="81"/>
            <rFont val="Tahoma"/>
            <family val="2"/>
          </rPr>
          <t xml:space="preserve">
2/26/14: guidance $80-$85M; about a negative 1c impact driven by incremental interest expense related to the November 2013 $500M bond issuance</t>
        </r>
      </text>
    </comment>
    <comment ref="DF70" authorId="12">
      <text>
        <r>
          <rPr>
            <b/>
            <sz val="9"/>
            <color indexed="81"/>
            <rFont val="Tahoma"/>
            <family val="2"/>
          </rPr>
          <t>Mains, Spencer:</t>
        </r>
        <r>
          <rPr>
            <sz val="9"/>
            <color indexed="81"/>
            <rFont val="Tahoma"/>
            <family val="2"/>
          </rPr>
          <t xml:space="preserve">
2/25/15 guidance: net non-operating expense about $80M</t>
        </r>
      </text>
    </comment>
    <comment ref="DJ70" authorId="0">
      <text>
        <r>
          <rPr>
            <b/>
            <sz val="9"/>
            <color indexed="81"/>
            <rFont val="Tahoma"/>
            <family val="2"/>
          </rPr>
          <t>casselau:</t>
        </r>
        <r>
          <rPr>
            <sz val="9"/>
            <color indexed="81"/>
            <rFont val="Tahoma"/>
            <family val="2"/>
          </rPr>
          <t xml:space="preserve">
2/24/16: guidance net non-operating expense ~$100M</t>
        </r>
      </text>
    </comment>
    <comment ref="DN70" authorId="8">
      <text>
        <r>
          <rPr>
            <b/>
            <sz val="9"/>
            <color indexed="81"/>
            <rFont val="Tahoma"/>
            <family val="2"/>
          </rPr>
          <t>Cassel, Lauren (Research):</t>
        </r>
        <r>
          <rPr>
            <sz val="9"/>
            <color indexed="81"/>
            <rFont val="Tahoma"/>
            <family val="2"/>
          </rPr>
          <t xml:space="preserve">
2/22/17: guidance: net non-operating expense ~$95</t>
        </r>
      </text>
    </comment>
    <comment ref="DR70" authorId="8">
      <text>
        <r>
          <rPr>
            <b/>
            <sz val="9"/>
            <color indexed="81"/>
            <rFont val="Tahoma"/>
            <family val="2"/>
          </rPr>
          <t>Cassel, Lauren (Research):</t>
        </r>
        <r>
          <rPr>
            <sz val="9"/>
            <color indexed="81"/>
            <rFont val="Tahoma"/>
            <family val="2"/>
          </rPr>
          <t xml:space="preserve">
2/28/18: guidance net non operating expense ~$95M</t>
        </r>
      </text>
    </comment>
    <comment ref="BZ71" authorId="3">
      <text>
        <r>
          <rPr>
            <b/>
            <sz val="8"/>
            <color indexed="81"/>
            <rFont val="Tahoma"/>
            <family val="2"/>
          </rPr>
          <t>mm98285:</t>
        </r>
        <r>
          <rPr>
            <sz val="8"/>
            <color indexed="81"/>
            <rFont val="Tahoma"/>
            <family val="2"/>
          </rPr>
          <t xml:space="preserve">
7/07:
$700mm due 7/15/2017, coupon: 6.9%. 
$300mm due July 15, 2037, coupon: 7.6%.
(assume paying interest on these for ~1/6 for the quarter.. July 15 onward)</t>
        </r>
      </text>
    </comment>
    <comment ref="CD71" authorId="3">
      <text>
        <r>
          <rPr>
            <b/>
            <sz val="8"/>
            <color indexed="81"/>
            <rFont val="Tahoma"/>
            <family val="2"/>
          </rPr>
          <t>mm98285:</t>
        </r>
        <r>
          <rPr>
            <sz val="8"/>
            <color indexed="81"/>
            <rFont val="Tahoma"/>
            <family val="2"/>
          </rPr>
          <t xml:space="preserve">
1Q08 10Q:
$750 term loan due 8/12, 3.50% interest at 5/3/08
6.9% $700mm note due 7/17
5.25% $500mm note due 11/14
6.95% $350mm debenture due 3/33
7.60% $300mm note due 7/37
6.125% $300mm note due 12/12
~$15 credit facility due 1/10, 3.61% interest at 5/3/08
5.30% mortgage due 8/10 ~$2mm
7/07:$700 million due July 15, 2017, coupon: 6.9%. 
$300 million due July 15, 2037, coupon: 7.6%.
*Need terms of other $250 million debt - currently assuming 7% interest rate
6/07: assume start paying interest in $1.25b debt in 3Q at 7% interest rate</t>
        </r>
      </text>
    </comment>
    <comment ref="CH71" authorId="3">
      <text>
        <r>
          <rPr>
            <b/>
            <sz val="8"/>
            <color indexed="81"/>
            <rFont val="Tahoma"/>
            <family val="2"/>
          </rPr>
          <t>mm98285:</t>
        </r>
        <r>
          <rPr>
            <sz val="8"/>
            <color indexed="81"/>
            <rFont val="Tahoma"/>
            <family val="2"/>
          </rPr>
          <t xml:space="preserve">
5/09: ~$53mm
2/09: $52mm
6/09: $750M term loan due 8/12 (variable 5.18% as of 5/2/09)
$700M note fixed 6.9% due 7/17
$500M note fixed 5.25% due 11/14
$350M note fixed 6.95% due 3/33
$300M note fixed 7.6% due 7/37
$300M note fixed 6.125% due 12/12
$2M Mortgage 5.30% due 8/10</t>
        </r>
      </text>
    </comment>
    <comment ref="CL71" authorId="9">
      <text>
        <r>
          <rPr>
            <sz val="8"/>
            <color indexed="81"/>
            <rFont val="Tahoma"/>
            <family val="2"/>
          </rPr>
          <t>5/2010: approx $50mm
adjusted with new debt instrument</t>
        </r>
      </text>
    </comment>
    <comment ref="CP71" authorId="5">
      <text>
        <r>
          <rPr>
            <b/>
            <sz val="8"/>
            <color indexed="81"/>
            <rFont val="Tahoma"/>
            <family val="2"/>
          </rPr>
          <t>nicholjs:</t>
        </r>
        <r>
          <rPr>
            <sz val="8"/>
            <color indexed="81"/>
            <rFont val="Tahoma"/>
            <family val="2"/>
          </rPr>
          <t xml:space="preserve">
5/2011: expect ~$65mm</t>
        </r>
      </text>
    </comment>
    <comment ref="CT71" authorId="4">
      <text>
        <r>
          <rPr>
            <b/>
            <sz val="8"/>
            <color indexed="81"/>
            <rFont val="Tahoma"/>
            <family val="2"/>
          </rPr>
          <t>P Kahng:</t>
        </r>
        <r>
          <rPr>
            <sz val="8"/>
            <color indexed="81"/>
            <rFont val="Tahoma"/>
            <family val="2"/>
          </rPr>
          <t xml:space="preserve">
5/16/12: Non-op exp about $75M</t>
        </r>
      </text>
    </comment>
    <comment ref="CX71" authorId="0">
      <text>
        <r>
          <rPr>
            <b/>
            <sz val="8"/>
            <color indexed="81"/>
            <rFont val="Tahoma"/>
            <family val="2"/>
          </rPr>
          <t>casselau:</t>
        </r>
        <r>
          <rPr>
            <sz val="8"/>
            <color indexed="81"/>
            <rFont val="Tahoma"/>
            <family val="2"/>
          </rPr>
          <t xml:space="preserve">
5/22/13 guidance: between $70-$75M</t>
        </r>
      </text>
    </comment>
    <comment ref="DB71" authorId="0">
      <text>
        <r>
          <rPr>
            <b/>
            <sz val="9"/>
            <color indexed="81"/>
            <rFont val="Tahoma"/>
            <family val="2"/>
          </rPr>
          <t>casselau:</t>
        </r>
        <r>
          <rPr>
            <sz val="9"/>
            <color indexed="81"/>
            <rFont val="Tahoma"/>
            <family val="2"/>
          </rPr>
          <t xml:space="preserve">
5/21/14: guidance net non-operating expense ~$80M</t>
        </r>
      </text>
    </comment>
    <comment ref="DF71" authorId="12">
      <text>
        <r>
          <rPr>
            <sz val="9"/>
            <color indexed="81"/>
            <rFont val="Tahoma"/>
            <family val="2"/>
          </rPr>
          <t>5/20/15 guidance: net non-operating expense about $80M</t>
        </r>
      </text>
    </comment>
    <comment ref="DN71" authorId="8">
      <text>
        <r>
          <rPr>
            <b/>
            <sz val="9"/>
            <color indexed="81"/>
            <rFont val="Tahoma"/>
            <family val="2"/>
          </rPr>
          <t>Cassel, Lauren (Research):</t>
        </r>
        <r>
          <rPr>
            <sz val="9"/>
            <color indexed="81"/>
            <rFont val="Tahoma"/>
            <family val="2"/>
          </rPr>
          <t xml:space="preserve">
5/17/17: guidance: net non-operating expense ~$95</t>
        </r>
      </text>
    </comment>
    <comment ref="BZ72" authorId="3">
      <text>
        <r>
          <rPr>
            <b/>
            <sz val="8"/>
            <color indexed="81"/>
            <rFont val="Tahoma"/>
            <family val="2"/>
          </rPr>
          <t>mm98285:</t>
        </r>
        <r>
          <rPr>
            <sz val="8"/>
            <color indexed="81"/>
            <rFont val="Tahoma"/>
            <family val="2"/>
          </rPr>
          <t xml:space="preserve">
8/07: estimate ~$50mm per quarter
2Q 10Q:
$750 term loan due 8/12, 5.93% interest at 8/4/07
6.9% $700mm note due 7/17
5.25% $500mm note due 11/14
6.95% $350mm debenture due 3/33
7.60% $300mm note due 7/37
6.125% $300mm note due 12/12
~$17 credit facility due 1/10, 5.82% interest at 8/4/07
5.30% mortgage due 8/10 ~$2mm
7/07:$700 million due July 15, 2017, coupon: 6.9%. 
$300 million due July 15, 2037, coupon: 7.6%.
*Need terms of other $250 million debt - currently assuming 7% interest rate
6/07: assume start paying interest in $1.25b debt in 3Q at 7% interest rate</t>
        </r>
      </text>
    </comment>
    <comment ref="CD72" authorId="3">
      <text>
        <r>
          <rPr>
            <b/>
            <sz val="8"/>
            <color indexed="81"/>
            <rFont val="Tahoma"/>
            <family val="2"/>
          </rPr>
          <t>mm98285:</t>
        </r>
        <r>
          <rPr>
            <sz val="8"/>
            <color indexed="81"/>
            <rFont val="Tahoma"/>
            <family val="2"/>
          </rPr>
          <t xml:space="preserve">
8/08: expect flat
1Q08 10Q:
$750 term loan due 8/12, 3.50% interest at 5/3/08
6.9% $700mm note due 7/17
5.25% $500mm note due 11/14
6.95% $350mm debenture due 3/33
7.60% $300mm note due 7/37
6.125% $300mm note due 12/12
~$15 credit facility due 1/10, 3.61% interest at 5/3/08
5.30% mortgage due 8/10 ~$2mm
7/07:$700 million due July 15, 2017, coupon: 6.9%. 
$300 million due July 15, 2037, coupon: 7.6%.
*Need terms of other $250 million debt - currently assuming 7% interest rate
6/07: assume start paying interest in $1.25b debt in 3Q at 7% interest rate</t>
        </r>
      </text>
    </comment>
    <comment ref="CH72" authorId="3">
      <text>
        <r>
          <rPr>
            <b/>
            <sz val="8"/>
            <color indexed="81"/>
            <rFont val="Tahoma"/>
            <family val="2"/>
          </rPr>
          <t>mm98285:</t>
        </r>
        <r>
          <rPr>
            <sz val="8"/>
            <color indexed="81"/>
            <rFont val="Tahoma"/>
            <family val="2"/>
          </rPr>
          <t xml:space="preserve">
higher interest expense given increases in avg borrowing rate and avg daily borrowings
9/09: used $500M offering to repo $108M of $300M 2012 note and prepay $392M of Term loan
term loan balance $625M as of 8/1 at 5.02% interest due Aug 2012
8/09: expect ~$58M
7/09: assume use $500M offering at 8.5% to redeem $300M note (due 2012) and portion of $750 term loan (reduce to $550M)
5/09: ~$53mm
2/09: $52mm
6/09: $750M term loan due 8/12 (variable 5.18% as of 5/2/09)
$700M note fixed 6.9% due 7/17
$500M note fixed 5.25% due 11/14
$350M note fixed 6.95% due 3/33
$300M note fixed 7.6% due 7/37
$300M note fixed 6.125% due 12/12
$2M Mortgage 5.30% due 8/10</t>
        </r>
      </text>
    </comment>
    <comment ref="CL72" authorId="9">
      <text>
        <r>
          <rPr>
            <sz val="8"/>
            <color indexed="81"/>
            <rFont val="Tahoma"/>
            <family val="2"/>
          </rPr>
          <t>8/10: approx $50mm</t>
        </r>
        <r>
          <rPr>
            <b/>
            <sz val="8"/>
            <color indexed="81"/>
            <rFont val="Tahoma"/>
            <family val="2"/>
          </rPr>
          <t xml:space="preserve">
ns66486:</t>
        </r>
        <r>
          <rPr>
            <sz val="8"/>
            <color indexed="81"/>
            <rFont val="Tahoma"/>
            <family val="2"/>
          </rPr>
          <t xml:space="preserve">
adjusted with new debt instrument</t>
        </r>
      </text>
    </comment>
    <comment ref="CP72" authorId="5">
      <text>
        <r>
          <rPr>
            <b/>
            <sz val="8"/>
            <color indexed="81"/>
            <rFont val="Tahoma"/>
            <family val="2"/>
          </rPr>
          <t>nicholjs:</t>
        </r>
        <r>
          <rPr>
            <sz val="8"/>
            <color indexed="81"/>
            <rFont val="Tahoma"/>
            <family val="2"/>
          </rPr>
          <t xml:space="preserve">
8/2011: expects about $60mm</t>
        </r>
      </text>
    </comment>
    <comment ref="CT72" authorId="0">
      <text>
        <r>
          <rPr>
            <b/>
            <sz val="8"/>
            <color indexed="81"/>
            <rFont val="Tahoma"/>
            <family val="2"/>
          </rPr>
          <t>casselau:</t>
        </r>
        <r>
          <rPr>
            <sz val="8"/>
            <color indexed="81"/>
            <rFont val="Tahoma"/>
            <family val="2"/>
          </rPr>
          <t xml:space="preserve">
8/15: net non-op expense ~75M</t>
        </r>
      </text>
    </comment>
    <comment ref="CX72" authorId="0">
      <text>
        <r>
          <rPr>
            <b/>
            <sz val="8"/>
            <color indexed="81"/>
            <rFont val="Tahoma"/>
            <family val="2"/>
          </rPr>
          <t>casselau:</t>
        </r>
        <r>
          <rPr>
            <sz val="8"/>
            <color indexed="81"/>
            <rFont val="Tahoma"/>
            <family val="2"/>
          </rPr>
          <t xml:space="preserve">
8/21/13: guidance $70-$75M</t>
        </r>
      </text>
    </comment>
    <comment ref="DB72" authorId="0">
      <text>
        <r>
          <rPr>
            <b/>
            <sz val="9"/>
            <color indexed="81"/>
            <rFont val="Tahoma"/>
            <family val="2"/>
          </rPr>
          <t>casselau:</t>
        </r>
        <r>
          <rPr>
            <sz val="9"/>
            <color indexed="81"/>
            <rFont val="Tahoma"/>
            <family val="2"/>
          </rPr>
          <t xml:space="preserve">
8/20/14: guidance net-non operating expense ~$77M</t>
        </r>
      </text>
    </comment>
    <comment ref="DF72" authorId="0">
      <text>
        <r>
          <rPr>
            <b/>
            <sz val="9"/>
            <color indexed="81"/>
            <rFont val="Tahoma"/>
            <family val="2"/>
          </rPr>
          <t>casselau:</t>
        </r>
        <r>
          <rPr>
            <sz val="9"/>
            <color indexed="81"/>
            <rFont val="Tahoma"/>
            <family val="2"/>
          </rPr>
          <t xml:space="preserve">
8/19/15: guidance: net non-operating expense ~$80M</t>
        </r>
      </text>
    </comment>
    <comment ref="DJ72" authorId="8">
      <text>
        <r>
          <rPr>
            <b/>
            <sz val="9"/>
            <color indexed="81"/>
            <rFont val="Tahoma"/>
            <family val="2"/>
          </rPr>
          <t>Cassel, Lauren (Research):</t>
        </r>
        <r>
          <rPr>
            <sz val="9"/>
            <color indexed="81"/>
            <rFont val="Tahoma"/>
            <family val="2"/>
          </rPr>
          <t xml:space="preserve">
8/17/16: expect 3Q net non-operating expense to be ~$95M</t>
        </r>
      </text>
    </comment>
    <comment ref="DN72" authorId="8">
      <text>
        <r>
          <rPr>
            <b/>
            <sz val="9"/>
            <color indexed="81"/>
            <rFont val="Tahoma"/>
            <family val="2"/>
          </rPr>
          <t>Cassel, Lauren (Research):</t>
        </r>
        <r>
          <rPr>
            <sz val="9"/>
            <color indexed="81"/>
            <rFont val="Tahoma"/>
            <family val="2"/>
          </rPr>
          <t xml:space="preserve">
guidance ~$95M net non-operating expense</t>
        </r>
      </text>
    </comment>
    <comment ref="BJ73" authorId="2">
      <text>
        <r>
          <rPr>
            <b/>
            <sz val="8"/>
            <color indexed="81"/>
            <rFont val="Tahoma"/>
            <family val="2"/>
          </rPr>
          <t>Corinna Freedman:</t>
        </r>
        <r>
          <rPr>
            <sz val="8"/>
            <color indexed="81"/>
            <rFont val="Tahoma"/>
            <family val="2"/>
          </rPr>
          <t xml:space="preserve">
10/06  includes additional int expense of $500*2.66% (5y) and $500*5.5% (10y) PLUS amortization of $11m in financing costs (1.1m ann)</t>
        </r>
      </text>
    </comment>
    <comment ref="BZ73" authorId="3">
      <text>
        <r>
          <rPr>
            <b/>
            <sz val="8"/>
            <color indexed="81"/>
            <rFont val="Tahoma"/>
            <family val="2"/>
          </rPr>
          <t>mm98285:</t>
        </r>
        <r>
          <rPr>
            <sz val="8"/>
            <color indexed="81"/>
            <rFont val="Tahoma"/>
            <family val="2"/>
          </rPr>
          <t xml:space="preserve">
11/07 &amp; 8/07: estimate ~$50mm per quarter
2Q 10Q:
$750 term loan due 8/12, 5.93% interest at 8/4/07
6.9% $700mm note due 7/17
5.25% $500mm note due 11/14
6.95% $350mm debenture due 3/33
7.60% $300mm note due 7/37
6.125% $300mm note due 12/12
~$17 credit facility due 1/10, 5.82% interest at 8/4/07
5.30% mortgage due 8/10 ~$2mm
7/07:$700 million due July 15, 2017, coupon: 6.9%. 
$300 million due July 15, 2037, coupon: 7.6%.
*Need terms of other $250 million debt - currently assuming 7% interest rate
6/07: assume start paying interest in $1.25b debt in 3Q at 7% interest rate</t>
        </r>
      </text>
    </comment>
    <comment ref="CD73" authorId="3">
      <text>
        <r>
          <rPr>
            <b/>
            <sz val="8"/>
            <color indexed="81"/>
            <rFont val="Tahoma"/>
            <family val="2"/>
          </rPr>
          <t>mm98285:</t>
        </r>
        <r>
          <rPr>
            <sz val="8"/>
            <color indexed="81"/>
            <rFont val="Tahoma"/>
            <family val="2"/>
          </rPr>
          <t xml:space="preserve">
1Q08 10Q:
$750 term loan due 8/12, 3.50% interest at 5/3/08
6.9% $700mm note due 7/17
5.25% $500mm note due 11/14
6.95% $350mm debenture due 3/33
7.60% $300mm note due 7/37
6.125% $300mm note due 12/12
~$15 credit facility due 1/10, 3.61% interest at 5/3/08
5.30% mortgage due 8/10 ~$2mm
7/07:$700 million due July 15, 2017, coupon: 6.9%. 
$300 million due July 15, 2037, coupon: 7.6%.
*Need terms of other $250 million debt - currently assuming 7% interest rate
6/07: assume start paying interest in $1.25b debt in 3Q at 7% interest rate</t>
        </r>
      </text>
    </comment>
    <comment ref="CH73" authorId="3">
      <text>
        <r>
          <rPr>
            <b/>
            <sz val="8"/>
            <color indexed="81"/>
            <rFont val="Tahoma"/>
            <family val="2"/>
          </rPr>
          <t>mm98285:</t>
        </r>
        <r>
          <rPr>
            <sz val="8"/>
            <color indexed="81"/>
            <rFont val="Tahoma"/>
            <family val="2"/>
          </rPr>
          <t xml:space="preserve">
11/09: ~$57M
5/09: ~$53mm
2/09: $52mm
6/09: $750M term loan due 8/12 (variable 5.18% as of 5/2/09)
$700M note fixed 6.9% due 7/17
$500M note fixed 5.25% due 11/14
$350M note fixed 6.95% due 3/33
$300M note fixed 7.6% due 7/37
$300M note fixed 6.125% due 12/12
$2M Mortgage 5.30% due 8/10</t>
        </r>
      </text>
    </comment>
    <comment ref="CL73" authorId="5">
      <text>
        <r>
          <rPr>
            <b/>
            <sz val="8"/>
            <color indexed="81"/>
            <rFont val="Tahoma"/>
            <family val="2"/>
          </rPr>
          <t>nicholjs:</t>
        </r>
        <r>
          <rPr>
            <sz val="8"/>
            <color indexed="81"/>
            <rFont val="Tahoma"/>
            <family val="2"/>
          </rPr>
          <t xml:space="preserve">
11/2010: expect 50mm</t>
        </r>
      </text>
    </comment>
    <comment ref="CP73" authorId="11">
      <text>
        <r>
          <rPr>
            <b/>
            <sz val="8"/>
            <color indexed="81"/>
            <rFont val="Tahoma"/>
            <family val="2"/>
          </rPr>
          <t>solejay:</t>
        </r>
        <r>
          <rPr>
            <sz val="8"/>
            <color indexed="81"/>
            <rFont val="Tahoma"/>
            <family val="2"/>
          </rPr>
          <t xml:space="preserve">
11/16: "Net non-operating expense approximately $65 mn"</t>
        </r>
      </text>
    </comment>
    <comment ref="CT73" authorId="0">
      <text>
        <r>
          <rPr>
            <b/>
            <sz val="8"/>
            <color indexed="81"/>
            <rFont val="Tahoma"/>
            <family val="2"/>
          </rPr>
          <t>casselau:</t>
        </r>
        <r>
          <rPr>
            <sz val="8"/>
            <color indexed="81"/>
            <rFont val="Tahoma"/>
            <family val="2"/>
          </rPr>
          <t xml:space="preserve">
11/14: ~80M</t>
        </r>
      </text>
    </comment>
    <comment ref="CX73" authorId="0">
      <text>
        <r>
          <rPr>
            <b/>
            <sz val="8"/>
            <color indexed="81"/>
            <rFont val="Tahoma"/>
            <family val="2"/>
          </rPr>
          <t>casselau:</t>
        </r>
        <r>
          <rPr>
            <sz val="8"/>
            <color indexed="81"/>
            <rFont val="Tahoma"/>
            <family val="2"/>
          </rPr>
          <t xml:space="preserve">
11/20: net non-operating expense ~$80M</t>
        </r>
      </text>
    </comment>
    <comment ref="DB73" authorId="0">
      <text>
        <r>
          <rPr>
            <b/>
            <sz val="9"/>
            <color indexed="81"/>
            <rFont val="Tahoma"/>
            <family val="2"/>
          </rPr>
          <t>casselau:</t>
        </r>
        <r>
          <rPr>
            <sz val="9"/>
            <color indexed="81"/>
            <rFont val="Tahoma"/>
            <family val="2"/>
          </rPr>
          <t xml:space="preserve">
11/19/14: guidance: net non-operating expense about ~$80M</t>
        </r>
      </text>
    </comment>
    <comment ref="DF73" authorId="0">
      <text>
        <r>
          <rPr>
            <b/>
            <sz val="9"/>
            <color indexed="81"/>
            <rFont val="Tahoma"/>
            <family val="2"/>
          </rPr>
          <t>casselau:
11/19/15: guidance net non-operating expense $95M</t>
        </r>
        <r>
          <rPr>
            <sz val="9"/>
            <color indexed="81"/>
            <rFont val="Tahoma"/>
            <family val="2"/>
          </rPr>
          <t xml:space="preserve">
11/4/15: $1B at 6 7/8 raised - will negatively impact 4Q by 4c</t>
        </r>
      </text>
    </comment>
    <comment ref="DJ73" authorId="8">
      <text>
        <r>
          <rPr>
            <b/>
            <sz val="9"/>
            <color indexed="81"/>
            <rFont val="Tahoma"/>
            <family val="2"/>
          </rPr>
          <t>Cassel, Lauren (Research):</t>
        </r>
        <r>
          <rPr>
            <sz val="9"/>
            <color indexed="81"/>
            <rFont val="Tahoma"/>
            <family val="2"/>
          </rPr>
          <t xml:space="preserve">
11/16/16: guidance $95M net non operating expense</t>
        </r>
      </text>
    </comment>
    <comment ref="DN73" authorId="8">
      <text>
        <r>
          <rPr>
            <b/>
            <sz val="9"/>
            <color indexed="81"/>
            <rFont val="Tahoma"/>
            <family val="2"/>
          </rPr>
          <t>Cassel, Lauren (Research):</t>
        </r>
        <r>
          <rPr>
            <sz val="9"/>
            <color indexed="81"/>
            <rFont val="Tahoma"/>
            <family val="2"/>
          </rPr>
          <t xml:space="preserve">
11/15/17: guidance: -$100M net non operating expense</t>
        </r>
      </text>
    </comment>
    <comment ref="CH74" authorId="3">
      <text>
        <r>
          <rPr>
            <b/>
            <sz val="8"/>
            <color indexed="81"/>
            <rFont val="Tahoma"/>
            <family val="2"/>
          </rPr>
          <t>mm98285:</t>
        </r>
        <r>
          <rPr>
            <sz val="8"/>
            <color indexed="81"/>
            <rFont val="Tahoma"/>
            <family val="2"/>
          </rPr>
          <t xml:space="preserve">
11/09: ~$235M
8/09: ~$235M
5/09: ~$220-225mm
2/09: $215-$220mm</t>
        </r>
      </text>
    </comment>
    <comment ref="CL74" authorId="3">
      <text>
        <r>
          <rPr>
            <sz val="8"/>
            <color indexed="81"/>
            <rFont val="Tahoma"/>
            <family val="2"/>
          </rPr>
          <t>8/10: ~$210M
5/10: ~$215M</t>
        </r>
        <r>
          <rPr>
            <sz val="8"/>
            <color indexed="81"/>
            <rFont val="Tahoma"/>
            <family val="2"/>
          </rPr>
          <t xml:space="preserve">
2/10: ~$215M</t>
        </r>
      </text>
    </comment>
    <comment ref="CP74" authorId="3">
      <text>
        <r>
          <rPr>
            <sz val="8"/>
            <color indexed="81"/>
            <rFont val="Tahoma"/>
            <family val="2"/>
          </rPr>
          <t>8/2011: expect net non-operating expense ~$250mm</t>
        </r>
        <r>
          <rPr>
            <sz val="8"/>
            <color indexed="81"/>
            <rFont val="Tahoma"/>
            <family val="2"/>
          </rPr>
          <t xml:space="preserve">
8/2011: expect net non-operating expense ~$245mm
5/2011: expect net non-operating expense ~$240mm
2/2011: expect net non-operating expense ~$188mm
8.50% $500mm Notes due June 2019
7.00% $400 Notes due May 2020
6.9% $700 Notes due July 2017
5.25% $237 million Notes due November 2014, less unamortized discount      
6.95% $350 million Debentures due March 2033, less unamortized discount
7.60% $300 Notes due July 2037   
6.125% $300 million Notes due December 2012, less unamortized discount  </t>
        </r>
      </text>
    </comment>
    <comment ref="CT74" authorId="7">
      <text>
        <r>
          <rPr>
            <b/>
            <sz val="8"/>
            <color indexed="81"/>
            <rFont val="Tahoma"/>
            <family val="2"/>
          </rPr>
          <t>11/14: ~310M
kahng:</t>
        </r>
        <r>
          <rPr>
            <sz val="8"/>
            <color indexed="81"/>
            <rFont val="Tahoma"/>
            <family val="2"/>
          </rPr>
          <t xml:space="preserve">
5/16/12: non-opex approx $315
2/22/12: non-opex ~$310M</t>
        </r>
      </text>
    </comment>
    <comment ref="CX74" authorId="0">
      <text>
        <r>
          <rPr>
            <sz val="8"/>
            <color indexed="81"/>
            <rFont val="Tahoma"/>
            <family val="2"/>
          </rPr>
          <t>net non-operating expense guidance:</t>
        </r>
        <r>
          <rPr>
            <b/>
            <sz val="8"/>
            <color indexed="81"/>
            <rFont val="Tahoma"/>
            <family val="2"/>
          </rPr>
          <t xml:space="preserve">
</t>
        </r>
        <r>
          <rPr>
            <sz val="8"/>
            <color indexed="81"/>
            <rFont val="Tahoma"/>
            <family val="2"/>
          </rPr>
          <t>11/20/13: ~$300M</t>
        </r>
        <r>
          <rPr>
            <b/>
            <sz val="8"/>
            <color indexed="81"/>
            <rFont val="Tahoma"/>
            <family val="2"/>
          </rPr>
          <t xml:space="preserve">
</t>
        </r>
        <r>
          <rPr>
            <sz val="8"/>
            <color indexed="81"/>
            <rFont val="Tahoma"/>
            <family val="2"/>
          </rPr>
          <t>8/21/13: guidance $290-$295
5/22/13 guidance: $285-290M</t>
        </r>
        <r>
          <rPr>
            <sz val="8"/>
            <color indexed="81"/>
            <rFont val="Tahoma"/>
            <family val="2"/>
          </rPr>
          <t xml:space="preserve">
2/27/13: guidance $290-$295M</t>
        </r>
      </text>
    </comment>
    <comment ref="DB74" authorId="0">
      <text>
        <r>
          <rPr>
            <b/>
            <sz val="8"/>
            <color indexed="81"/>
            <rFont val="Tahoma"/>
            <family val="2"/>
          </rPr>
          <t xml:space="preserve">casselau:
</t>
        </r>
        <r>
          <rPr>
            <sz val="8"/>
            <color indexed="81"/>
            <rFont val="Tahoma"/>
            <family val="2"/>
          </rPr>
          <t>5/21/14: guidance net non-operating expense ~$315M ($0.05 pressure on FY14 EPS)
2/26/14: net non-operating expense guidance $310-$315M; negative impact of ~2c-3c a share</t>
        </r>
      </text>
    </comment>
    <comment ref="DF74" authorId="12">
      <text>
        <r>
          <rPr>
            <sz val="9"/>
            <color indexed="81"/>
            <rFont val="Tahoma"/>
            <family val="2"/>
          </rPr>
          <t>11/19/15: guidance  net-non operating expense about $335M
2/25/15 guidance: net non-operating expense about $315M</t>
        </r>
      </text>
    </comment>
    <comment ref="DJ74" authorId="0">
      <text>
        <r>
          <rPr>
            <b/>
            <sz val="9"/>
            <color indexed="81"/>
            <rFont val="Tahoma"/>
            <family val="2"/>
          </rPr>
          <t xml:space="preserve">casselau:
11/16/16: ~$381M
8/17/1^; non-operating expenses ~$385M (about 11c higher than LY) 
</t>
        </r>
        <r>
          <rPr>
            <sz val="9"/>
            <color indexed="81"/>
            <rFont val="Tahoma"/>
            <family val="2"/>
          </rPr>
          <t>5/18/16: Guidance net non operating expense about $380M (-9c impact)
2/24/16: guidance net non-operating expense $390M</t>
        </r>
      </text>
    </comment>
    <comment ref="DN74" authorId="8">
      <text>
        <r>
          <rPr>
            <b/>
            <sz val="9"/>
            <color indexed="81"/>
            <rFont val="Tahoma"/>
            <family val="2"/>
          </rPr>
          <t>Cassel, Lauren (Research):
8/16/17: guidance ~375M net non operating expense
5/17/17: guidance ~$385M</t>
        </r>
        <r>
          <rPr>
            <sz val="9"/>
            <color indexed="81"/>
            <rFont val="Tahoma"/>
            <family val="2"/>
          </rPr>
          <t xml:space="preserve">
2/22/17: guidance: net non-operating expense ~$380</t>
        </r>
      </text>
    </comment>
    <comment ref="DR74" authorId="8">
      <text>
        <r>
          <rPr>
            <b/>
            <sz val="9"/>
            <color indexed="81"/>
            <rFont val="Tahoma"/>
            <family val="2"/>
          </rPr>
          <t>Cassel, Lauren (Research):</t>
        </r>
        <r>
          <rPr>
            <sz val="9"/>
            <color indexed="81"/>
            <rFont val="Tahoma"/>
            <family val="2"/>
          </rPr>
          <t xml:space="preserve">
2/28/18: guidance net non operating expense ~$370M</t>
        </r>
      </text>
    </comment>
    <comment ref="AS78" authorId="1">
      <text>
        <r>
          <rPr>
            <b/>
            <sz val="8"/>
            <color indexed="81"/>
            <rFont val="Tahoma"/>
            <family val="2"/>
          </rPr>
          <t>dliu:</t>
        </r>
        <r>
          <rPr>
            <sz val="8"/>
            <color indexed="81"/>
            <rFont val="Tahoma"/>
            <family val="2"/>
          </rPr>
          <t xml:space="preserve">
Interest income + other income from JVs</t>
        </r>
      </text>
    </comment>
    <comment ref="BF80" authorId="1">
      <text>
        <r>
          <rPr>
            <b/>
            <sz val="8"/>
            <color indexed="81"/>
            <rFont val="Tahoma"/>
            <family val="2"/>
          </rPr>
          <t>dliu:</t>
        </r>
        <r>
          <rPr>
            <sz val="8"/>
            <color indexed="81"/>
            <rFont val="Tahoma"/>
            <family val="2"/>
          </rPr>
          <t xml:space="preserve">
sold several non-strategic Mast ventures at a loss, which reduced other inc by ~$7 mm in the qtr</t>
        </r>
      </text>
    </comment>
    <comment ref="CD80" authorId="3">
      <text>
        <r>
          <rPr>
            <b/>
            <sz val="8"/>
            <color indexed="81"/>
            <rFont val="Tahoma"/>
            <family val="2"/>
          </rPr>
          <t>mm98285:</t>
        </r>
        <r>
          <rPr>
            <sz val="8"/>
            <color indexed="81"/>
            <rFont val="Tahoma"/>
            <family val="2"/>
          </rPr>
          <t xml:space="preserve">
6/08: $5mm income from Express and $6mm interest income given increased cash balance  partially offest by lower interest rate
add 25% of Apparel Op income (assumes 4.5% op margin at Apparel)</t>
        </r>
      </text>
    </comment>
    <comment ref="CH80" authorId="3">
      <text>
        <r>
          <rPr>
            <b/>
            <sz val="8"/>
            <color indexed="81"/>
            <rFont val="Tahoma"/>
            <family val="2"/>
          </rPr>
          <t>mm98285:</t>
        </r>
        <r>
          <rPr>
            <sz val="8"/>
            <color indexed="81"/>
            <rFont val="Tahoma"/>
            <family val="2"/>
          </rPr>
          <t xml:space="preserve">
5/09: interest income $1M vs. $6M LY (driven by lower yields given lower interest rate envm't &amp; more conservative investment portfolio comprised primarily of U.S. Treasury guaranteed money market funds, partially offset by an increase in avg. invested cash balances)</t>
        </r>
      </text>
    </comment>
    <comment ref="CL80" authorId="3">
      <text>
        <r>
          <rPr>
            <sz val="8"/>
            <color indexed="81"/>
            <rFont val="Tahoma"/>
            <family val="2"/>
          </rPr>
          <t>excludes 48.7mm (29.6mm net of tax) gain related to a 56.5mm cash distribution from Express
2/10: ~$7M</t>
        </r>
      </text>
    </comment>
    <comment ref="CP80" authorId="5">
      <text>
        <r>
          <rPr>
            <b/>
            <sz val="8"/>
            <color indexed="81"/>
            <rFont val="Tahoma"/>
            <family val="2"/>
          </rPr>
          <t>nicholjs:</t>
        </r>
        <r>
          <rPr>
            <sz val="8"/>
            <color indexed="81"/>
            <rFont val="Tahoma"/>
            <family val="2"/>
          </rPr>
          <t xml:space="preserve">
excludes $86.4mm pre-tax gain ($55.6mm net of tax) related to the sale of shares of Express Inc. common stock
10/2010: w/ accting change this will be mostly interest income, ok to zero it out</t>
        </r>
      </text>
    </comment>
    <comment ref="CT80" authorId="6">
      <text>
        <r>
          <rPr>
            <b/>
            <sz val="8"/>
            <color indexed="81"/>
            <rFont val="Tahoma"/>
            <family val="2"/>
          </rPr>
          <t xml:space="preserve">2/22/12: </t>
        </r>
        <r>
          <rPr>
            <sz val="8"/>
            <color indexed="81"/>
            <rFont val="Tahoma"/>
            <family val="2"/>
          </rPr>
          <t xml:space="preserve">net non-operating exp ~$75M
</t>
        </r>
        <r>
          <rPr>
            <b/>
            <sz val="8"/>
            <color indexed="81"/>
            <rFont val="Tahoma"/>
            <family val="2"/>
          </rPr>
          <t xml:space="preserve">prior: </t>
        </r>
        <r>
          <rPr>
            <sz val="8"/>
            <color indexed="81"/>
            <rFont val="Tahoma"/>
            <family val="2"/>
          </rPr>
          <t>Equity income or other misc income at $2-5M per quarter in 2012</t>
        </r>
      </text>
    </comment>
    <comment ref="DF80" authorId="0">
      <text>
        <r>
          <rPr>
            <b/>
            <sz val="9"/>
            <color indexed="81"/>
            <rFont val="Tahoma"/>
            <family val="2"/>
          </rPr>
          <t>casselau:</t>
        </r>
        <r>
          <rPr>
            <sz val="9"/>
            <color indexed="81"/>
            <rFont val="Tahoma"/>
            <family val="2"/>
          </rPr>
          <t xml:space="preserve">
5/20/15: excludes 78.1M pre-tax gain on sale of remaining MAST stake</t>
        </r>
      </text>
    </comment>
    <comment ref="BZ81" authorId="3">
      <text>
        <r>
          <rPr>
            <b/>
            <sz val="8"/>
            <color indexed="81"/>
            <rFont val="Tahoma"/>
            <family val="2"/>
          </rPr>
          <t>mm98285:</t>
        </r>
        <r>
          <rPr>
            <sz val="8"/>
            <color indexed="81"/>
            <rFont val="Tahoma"/>
            <family val="2"/>
          </rPr>
          <t xml:space="preserve">
8/07: other income excludes: 1) $100mm related to the refinancing of Easton Town Center, &amp; 2) $17mm related to an interest rate hedge entered into in 1Q in anticipation of intended financing of the LaSenza acq.... &amp; minority interest of $15.744 includes 3) $6mm related to severance related to termination of ~10% of home office headcount
7/09/07: finalized sale of 75% ownership interest in Express, so added 25% of July's op. income (or 27% of 2Q op income)
6/07: assumes Express transaction closes July 6, and 27% (~July volume) of Express's op income is included in "other income"</t>
        </r>
      </text>
    </comment>
    <comment ref="CD81" authorId="3">
      <text>
        <r>
          <rPr>
            <b/>
            <sz val="8"/>
            <color indexed="81"/>
            <rFont val="Tahoma"/>
            <family val="2"/>
          </rPr>
          <t>mm98285:</t>
        </r>
        <r>
          <rPr>
            <sz val="8"/>
            <color indexed="81"/>
            <rFont val="Tahoma"/>
            <family val="2"/>
          </rPr>
          <t xml:space="preserve">
9/08: int. income up given increase in avg invested cash balances slightly offset by a decrease in average effective interest rates; 
-minority interest down given losses in 2Q07 from both a personal care business and investment in independent tech co. focused on large multi-channel retailers
8/08: excludes $13.3mm related to $71mm cash distibution from Express; Minority int $2.734, Int Income $5.625
add 25% of Apparel Op income (assumes 4.5% op margin at Apparel)</t>
        </r>
      </text>
    </comment>
    <comment ref="CH81" authorId="3">
      <text>
        <r>
          <rPr>
            <b/>
            <sz val="8"/>
            <color indexed="81"/>
            <rFont val="Tahoma"/>
            <family val="2"/>
          </rPr>
          <t>mm98285:</t>
        </r>
        <r>
          <rPr>
            <sz val="8"/>
            <color indexed="81"/>
            <rFont val="Tahoma"/>
            <family val="2"/>
          </rPr>
          <t xml:space="preserve">
5/09: Interest income down ~$5M</t>
        </r>
      </text>
    </comment>
    <comment ref="CL81" authorId="9">
      <text>
        <r>
          <rPr>
            <b/>
            <sz val="8"/>
            <color indexed="81"/>
            <rFont val="Tahoma"/>
            <family val="2"/>
          </rPr>
          <t xml:space="preserve">
</t>
        </r>
        <r>
          <rPr>
            <sz val="8"/>
            <color indexed="81"/>
            <rFont val="Tahoma"/>
            <family val="2"/>
          </rPr>
          <t>adjusted results exclude:
A $52.3 million pre-tax gain ($31.8M net of tax), included in other income, related to the
initial public offering of Express including the sale of a portion of the company’s shares.
• A $19.7 million pre-tax gain, included in other income, and a related net tax benefit of
$22.4 million associated with the sale of our remaining 25% interest in Limited Stores.
• A $25.2 million pre-tax loss ($15.8M net of tax), included in other income, associated
with the early retirement of portions of our 2012 and 2014 maturity bonds.</t>
        </r>
        <r>
          <rPr>
            <sz val="8"/>
            <color indexed="81"/>
            <rFont val="Tahoma"/>
            <family val="2"/>
          </rPr>
          <t xml:space="preserve">
5/2010: about zero</t>
        </r>
      </text>
    </comment>
    <comment ref="CP81" authorId="5">
      <text>
        <r>
          <rPr>
            <b/>
            <sz val="8"/>
            <color indexed="81"/>
            <rFont val="Tahoma"/>
            <family val="2"/>
          </rPr>
          <t>nicholjs:</t>
        </r>
        <r>
          <rPr>
            <sz val="8"/>
            <color indexed="81"/>
            <rFont val="Tahoma"/>
            <family val="2"/>
          </rPr>
          <t xml:space="preserve">
EXCLUDES: A non-taxable gain of $147.1 million, or $0.47 per share, and a pre-tax expense of $113.4 million, or $0.22 per share, related to the charitable contribution of all of the company's remaining shares of Express (NYSE: EXPR) to the Limited Brands Foundation.</t>
        </r>
      </text>
    </comment>
    <comment ref="CT81" authorId="6">
      <text>
        <r>
          <rPr>
            <b/>
            <sz val="8"/>
            <color indexed="81"/>
            <rFont val="Tahoma"/>
            <family val="2"/>
          </rPr>
          <t xml:space="preserve">5/16/12: </t>
        </r>
        <r>
          <rPr>
            <sz val="8"/>
            <color indexed="81"/>
            <rFont val="Tahoma"/>
            <family val="2"/>
          </rPr>
          <t>net non-opex about $75M</t>
        </r>
        <r>
          <rPr>
            <b/>
            <sz val="8"/>
            <color indexed="81"/>
            <rFont val="Tahoma"/>
            <family val="2"/>
          </rPr>
          <t xml:space="preserve">
kimberlg:</t>
        </r>
        <r>
          <rPr>
            <sz val="8"/>
            <color indexed="81"/>
            <rFont val="Tahoma"/>
            <family val="2"/>
          </rPr>
          <t xml:space="preserve">
Equity income or other misc income at $2-5M per quarter in 2012</t>
        </r>
      </text>
    </comment>
    <comment ref="DJ81" authorId="8">
      <text>
        <r>
          <rPr>
            <b/>
            <sz val="9"/>
            <color indexed="81"/>
            <rFont val="Tahoma"/>
            <family val="2"/>
          </rPr>
          <t>Cassel, Lauren (Research):</t>
        </r>
        <r>
          <rPr>
            <sz val="9"/>
            <color indexed="81"/>
            <rFont val="Tahoma"/>
            <family val="2"/>
          </rPr>
          <t xml:space="preserve">
8/17/16: excludes a $108.3 million pre-tax gain ($70.2 million net of tax of $38.1 million), included in other
income (loss), related to a $124.4 million cash distribution from Easton Town Center. A $35.8 million pre-tax loss ($22.4 million net of tax of $13.4 million), included in other
income (loss), associated with the early extinguishment of our July 2017 notes.</t>
        </r>
      </text>
    </comment>
    <comment ref="DN81" authorId="8">
      <text>
        <r>
          <rPr>
            <b/>
            <sz val="9"/>
            <color indexed="81"/>
            <rFont val="Tahoma"/>
            <family val="2"/>
          </rPr>
          <t>Cassel, Lauren (Research):</t>
        </r>
        <r>
          <rPr>
            <sz val="9"/>
            <color indexed="81"/>
            <rFont val="Tahoma"/>
            <family val="2"/>
          </rPr>
          <t xml:space="preserve">
8/15/17: driven by one time gains related to the Easton investments</t>
        </r>
      </text>
    </comment>
    <comment ref="BF82" authorId="1">
      <text>
        <r>
          <rPr>
            <b/>
            <sz val="8"/>
            <color indexed="81"/>
            <rFont val="Tahoma"/>
            <family val="2"/>
          </rPr>
          <t>dliu:</t>
        </r>
        <r>
          <rPr>
            <sz val="8"/>
            <color indexed="81"/>
            <rFont val="Tahoma"/>
            <family val="2"/>
          </rPr>
          <t xml:space="preserve">
project 28 mm for 2H03. Weighted toward 4Q b/c earnings from Galyan's and ADS are higher in 4Q (10-12 in 3Q, remainder in 4Q).
11/20: this number includes an $30.1 mm pre-tax interest refund from a tax settlement ($0.03 per share), and a $6.9mm gain related to the sale of the Structure trademark to Sears ($0.01 per share). So sounds like the $5 mm of other income is normal and recurring</t>
        </r>
      </text>
    </comment>
    <comment ref="BZ82" authorId="3">
      <text>
        <r>
          <rPr>
            <b/>
            <sz val="8"/>
            <color indexed="81"/>
            <rFont val="Tahoma"/>
            <family val="2"/>
          </rPr>
          <t>mm98285:</t>
        </r>
        <r>
          <rPr>
            <sz val="8"/>
            <color indexed="81"/>
            <rFont val="Tahoma"/>
            <family val="2"/>
          </rPr>
          <t xml:space="preserve">
7/07: add 25% of apparel op income given sale of 75% ownership interest in Express</t>
        </r>
      </text>
    </comment>
    <comment ref="CD82" authorId="3">
      <text>
        <r>
          <rPr>
            <b/>
            <sz val="8"/>
            <color indexed="81"/>
            <rFont val="Tahoma"/>
            <family val="2"/>
          </rPr>
          <t>mm98285:</t>
        </r>
        <r>
          <rPr>
            <sz val="8"/>
            <color indexed="81"/>
            <rFont val="Tahoma"/>
            <family val="2"/>
          </rPr>
          <t xml:space="preserve">
8/08: expect down $5mm YOY
add 25% of Apparel Op income (assumes 4.5% op margin at Apparel)</t>
        </r>
      </text>
    </comment>
    <comment ref="CH82" authorId="3">
      <text>
        <r>
          <rPr>
            <b/>
            <sz val="8"/>
            <color indexed="81"/>
            <rFont val="Tahoma"/>
            <family val="2"/>
          </rPr>
          <t>mm98285:</t>
        </r>
        <r>
          <rPr>
            <sz val="8"/>
            <color indexed="81"/>
            <rFont val="Tahoma"/>
            <family val="2"/>
          </rPr>
          <t xml:space="preserve">
interest income decline of $5M to less than $1M driven by lower yields and more conservative investment portfolio, partially offset by higher avg invested cash balance; Other income increased $8M to $9M driven by higher income from investment in Express, which is accounted for uner equity method
8/09: expect interest income down ~$5M vs. $5.625M LY</t>
        </r>
      </text>
    </comment>
    <comment ref="CL82" authorId="5">
      <text>
        <r>
          <rPr>
            <b/>
            <sz val="8"/>
            <color indexed="81"/>
            <rFont val="Tahoma"/>
            <family val="2"/>
          </rPr>
          <t>nicholjs:</t>
        </r>
        <r>
          <rPr>
            <sz val="8"/>
            <color indexed="81"/>
            <rFont val="Tahoma"/>
            <family val="2"/>
          </rPr>
          <t xml:space="preserve">
8/10: interest income and other income, expect $2-5M</t>
        </r>
      </text>
    </comment>
    <comment ref="CT82" authorId="6">
      <text>
        <r>
          <rPr>
            <b/>
            <sz val="8"/>
            <color indexed="81"/>
            <rFont val="Tahoma"/>
            <family val="2"/>
          </rPr>
          <t xml:space="preserve">11/14: </t>
        </r>
        <r>
          <rPr>
            <sz val="8"/>
            <color indexed="81"/>
            <rFont val="Tahoma"/>
            <family val="2"/>
          </rPr>
          <t>excludes 12.7M pre tax gain from cash distributions related to the company's Easton investments</t>
        </r>
        <r>
          <rPr>
            <b/>
            <sz val="8"/>
            <color indexed="81"/>
            <rFont val="Tahoma"/>
            <family val="2"/>
          </rPr>
          <t xml:space="preserve">
kimberlg:</t>
        </r>
        <r>
          <rPr>
            <sz val="8"/>
            <color indexed="81"/>
            <rFont val="Tahoma"/>
            <family val="2"/>
          </rPr>
          <t xml:space="preserve">
Equity income or other misc income at $2-5M per quarter in 2012</t>
        </r>
      </text>
    </comment>
    <comment ref="BB83" authorId="1">
      <text>
        <r>
          <rPr>
            <b/>
            <sz val="8"/>
            <color indexed="81"/>
            <rFont val="Tahoma"/>
            <family val="2"/>
          </rPr>
          <t>dliu:</t>
        </r>
        <r>
          <rPr>
            <sz val="8"/>
            <color indexed="81"/>
            <rFont val="Tahoma"/>
            <family val="2"/>
          </rPr>
          <t xml:space="preserve">
includes interest income</t>
        </r>
      </text>
    </comment>
    <comment ref="BF83" authorId="1">
      <text>
        <r>
          <rPr>
            <b/>
            <sz val="8"/>
            <color indexed="81"/>
            <rFont val="Tahoma"/>
            <family val="2"/>
          </rPr>
          <t>dliu:</t>
        </r>
        <r>
          <rPr>
            <sz val="8"/>
            <color indexed="81"/>
            <rFont val="Tahoma"/>
            <family val="2"/>
          </rPr>
          <t xml:space="preserve">
earnings from Galyan's and ADS are higher in 4Q
10-12 in 3Q, remainder in 4Q</t>
        </r>
      </text>
    </comment>
    <comment ref="BJ83" authorId="2">
      <text>
        <r>
          <rPr>
            <b/>
            <sz val="8"/>
            <color indexed="81"/>
            <rFont val="Tahoma"/>
            <family val="2"/>
          </rPr>
          <t>Corinna Freedman:</t>
        </r>
        <r>
          <rPr>
            <sz val="8"/>
            <color indexed="81"/>
            <rFont val="Tahoma"/>
            <family val="2"/>
          </rPr>
          <t xml:space="preserve">
8/6 eliminate $23 m annual interest earned on $1.5b cash used in tender/div (assume eff ann rate of 1.5%)</t>
        </r>
      </text>
    </comment>
    <comment ref="BR83" authorId="10">
      <text>
        <r>
          <rPr>
            <b/>
            <sz val="8"/>
            <color indexed="81"/>
            <rFont val="Tahoma"/>
            <family val="2"/>
          </rPr>
          <t>kg51925:</t>
        </r>
        <r>
          <rPr>
            <sz val="8"/>
            <color indexed="81"/>
            <rFont val="Tahoma"/>
            <family val="2"/>
          </rPr>
          <t xml:space="preserve">
2/22/06 includes $40mm of interest income related to the settlement of a tax matter associated with the repatriation of foreign earnings</t>
        </r>
      </text>
    </comment>
    <comment ref="BZ83" authorId="3">
      <text>
        <r>
          <rPr>
            <b/>
            <sz val="8"/>
            <color indexed="81"/>
            <rFont val="Tahoma"/>
            <family val="2"/>
          </rPr>
          <t>mm98285:</t>
        </r>
        <r>
          <rPr>
            <sz val="8"/>
            <color indexed="81"/>
            <rFont val="Tahoma"/>
            <family val="2"/>
          </rPr>
          <t xml:space="preserve">
11/07: expect $15mm
7/07: add 25% of apparel op income given sale of 75% ownership interest in Express</t>
        </r>
      </text>
    </comment>
    <comment ref="CD83" authorId="3">
      <text>
        <r>
          <rPr>
            <b/>
            <sz val="8"/>
            <color indexed="81"/>
            <rFont val="Tahoma"/>
            <family val="2"/>
          </rPr>
          <t>mm98285:</t>
        </r>
        <r>
          <rPr>
            <sz val="8"/>
            <color indexed="81"/>
            <rFont val="Tahoma"/>
            <family val="2"/>
          </rPr>
          <t xml:space="preserve">
add 25% of Apparel Op income (assumes 4.5% op margin at Apparel)</t>
        </r>
      </text>
    </comment>
    <comment ref="CH83" authorId="3">
      <text>
        <r>
          <rPr>
            <b/>
            <sz val="8"/>
            <color indexed="81"/>
            <rFont val="Tahoma"/>
            <family val="2"/>
          </rPr>
          <t>mm98285:</t>
        </r>
        <r>
          <rPr>
            <sz val="8"/>
            <color indexed="81"/>
            <rFont val="Tahoma"/>
            <family val="2"/>
          </rPr>
          <t xml:space="preserve">
11/09: expect interest income and other income up ~$5M to LY</t>
        </r>
      </text>
    </comment>
    <comment ref="CL83" authorId="5">
      <text>
        <r>
          <rPr>
            <b/>
            <sz val="8"/>
            <color indexed="81"/>
            <rFont val="Tahoma"/>
            <family val="2"/>
          </rPr>
          <t>nicholjs:</t>
        </r>
        <r>
          <rPr>
            <sz val="8"/>
            <color indexed="81"/>
            <rFont val="Tahoma"/>
            <family val="2"/>
          </rPr>
          <t xml:space="preserve">
excludes $44.9mm or $0.09 per share related to the sale of Express stock and $7.1mm or $0.01 per share related to an Express dividend payment
11/2010: interest income and other income expect $1-3mm</t>
        </r>
      </text>
    </comment>
    <comment ref="CP83" authorId="11">
      <text>
        <r>
          <rPr>
            <b/>
            <sz val="8"/>
            <color indexed="81"/>
            <rFont val="Tahoma"/>
            <family val="2"/>
          </rPr>
          <t>solejay:</t>
        </r>
        <r>
          <rPr>
            <sz val="8"/>
            <color indexed="81"/>
            <rFont val="Tahoma"/>
            <family val="2"/>
          </rPr>
          <t xml:space="preserve">
11/16: "Net non-operating expense approximately $65 mn"
From the conf call - "Good morning. Just wanted to follow up on the sale of the sourcing business.  It doesn't look like you have too much equity income coming into your guidance in the fourth quarter or next year.  So I was just curious how the profit sharing would work there?
So in terms of (new biz), we'll account for it on the equity method.  The view at this point about income contribution from that stage is that it won't be material, and the reason for that is the new business, the newly formed business, will have some debt and related interest expense.  And it will also be recognition of intangible assets and other step-up in bases that will drive more depreciation and amortization.  So all of those details are still getting sorted out a bit, but at this point we don't judge it to be material to any particular period.  So that's why that is."</t>
        </r>
      </text>
    </comment>
    <comment ref="CT83" authorId="6">
      <text>
        <r>
          <rPr>
            <b/>
            <sz val="8"/>
            <color indexed="81"/>
            <rFont val="Tahoma"/>
            <family val="2"/>
          </rPr>
          <t>kimberlg:</t>
        </r>
        <r>
          <rPr>
            <sz val="8"/>
            <color indexed="81"/>
            <rFont val="Tahoma"/>
            <family val="2"/>
          </rPr>
          <t xml:space="preserve">
Equity income or other misc income at $2-5M per quarter in 2012</t>
        </r>
      </text>
    </comment>
    <comment ref="DN83" authorId="8">
      <text>
        <r>
          <rPr>
            <b/>
            <sz val="9"/>
            <color indexed="81"/>
            <rFont val="Tahoma"/>
            <family val="2"/>
          </rPr>
          <t>Cassel, Lauren (Research):</t>
        </r>
        <r>
          <rPr>
            <sz val="9"/>
            <color indexed="81"/>
            <rFont val="Tahoma"/>
            <family val="2"/>
          </rPr>
          <t xml:space="preserve">
Excludes $44.985M related to a loss on extinguishment of debt</t>
        </r>
      </text>
    </comment>
    <comment ref="BF84" authorId="1">
      <text>
        <r>
          <rPr>
            <b/>
            <sz val="8"/>
            <color indexed="81"/>
            <rFont val="Tahoma"/>
            <family val="2"/>
          </rPr>
          <t>dliu:</t>
        </r>
        <r>
          <rPr>
            <sz val="8"/>
            <color indexed="81"/>
            <rFont val="Tahoma"/>
            <family val="2"/>
          </rPr>
          <t xml:space="preserve">
$8 mm s/b interest income from Lerner $75 mm note paying 10-11% interest p.a.</t>
        </r>
      </text>
    </comment>
    <comment ref="CH84" authorId="3">
      <text>
        <r>
          <rPr>
            <b/>
            <sz val="8"/>
            <color indexed="81"/>
            <rFont val="Tahoma"/>
            <family val="2"/>
          </rPr>
          <t>mm98285:</t>
        </r>
        <r>
          <rPr>
            <sz val="8"/>
            <color indexed="81"/>
            <rFont val="Tahoma"/>
            <family val="2"/>
          </rPr>
          <t xml:space="preserve">
11/09: down ~$15M to LY
8/09 &amp; 5/09: Interest income down ~$15M vs. $17.917M LY</t>
        </r>
      </text>
    </comment>
    <comment ref="CL84" authorId="3">
      <text>
        <r>
          <rPr>
            <sz val="8"/>
            <color indexed="81"/>
            <rFont val="Tahoma"/>
            <family val="2"/>
          </rPr>
          <t>8/10: ~$30M
5/10: ~$40M</t>
        </r>
        <r>
          <rPr>
            <sz val="8"/>
            <color indexed="81"/>
            <rFont val="Tahoma"/>
            <family val="2"/>
          </rPr>
          <t xml:space="preserve">
2/10: ~$40M</t>
        </r>
      </text>
    </comment>
    <comment ref="CT84" authorId="7">
      <text>
        <r>
          <rPr>
            <b/>
            <sz val="8"/>
            <color indexed="81"/>
            <rFont val="Tahoma"/>
            <family val="2"/>
          </rPr>
          <t>kahng:</t>
        </r>
        <r>
          <rPr>
            <sz val="8"/>
            <color indexed="81"/>
            <rFont val="Tahoma"/>
            <family val="2"/>
          </rPr>
          <t xml:space="preserve">
5/16/12: non-opex approx $315
2/22/12: non-opex ~$310M</t>
        </r>
      </text>
    </comment>
    <comment ref="DN84" authorId="8">
      <text>
        <r>
          <rPr>
            <b/>
            <sz val="9"/>
            <color indexed="81"/>
            <rFont val="Tahoma"/>
            <family val="2"/>
          </rPr>
          <t>Cassel, Lauren (Research):
8/16/17: guidance ~375M net non operating expense
5/17/17: guidance ~$385M</t>
        </r>
        <r>
          <rPr>
            <sz val="9"/>
            <color indexed="81"/>
            <rFont val="Tahoma"/>
            <family val="2"/>
          </rPr>
          <t xml:space="preserve">
2/22/17: guidance: net non-operating expense ~$380</t>
        </r>
      </text>
    </comment>
    <comment ref="N100" authorId="17">
      <text>
        <r>
          <rPr>
            <b/>
            <sz val="8"/>
            <color indexed="81"/>
            <rFont val="Tahoma"/>
            <family val="2"/>
          </rPr>
          <t>Lehman Brothers:</t>
        </r>
        <r>
          <rPr>
            <sz val="8"/>
            <color indexed="81"/>
            <rFont val="Tahoma"/>
            <family val="2"/>
          </rPr>
          <t xml:space="preserve">
gain on issuance of URGI stock</t>
        </r>
      </text>
    </comment>
    <comment ref="AH100" authorId="1">
      <text>
        <r>
          <rPr>
            <b/>
            <sz val="8"/>
            <color indexed="81"/>
            <rFont val="Tahoma"/>
            <family val="2"/>
          </rPr>
          <t>dliu:</t>
        </r>
        <r>
          <rPr>
            <sz val="8"/>
            <color indexed="81"/>
            <rFont val="Tahoma"/>
            <family val="2"/>
          </rPr>
          <t xml:space="preserve">
IPO of Brylane, 26% owned (post-IPO)</t>
        </r>
      </text>
    </comment>
    <comment ref="BF100" authorId="1">
      <text>
        <r>
          <rPr>
            <b/>
            <sz val="8"/>
            <color indexed="81"/>
            <rFont val="Tahoma"/>
            <family val="2"/>
          </rPr>
          <t>dliu:</t>
        </r>
        <r>
          <rPr>
            <sz val="8"/>
            <color indexed="81"/>
            <rFont val="Tahoma"/>
            <family val="2"/>
          </rPr>
          <t xml:space="preserve">
pre-tax non-oper gain on sale of 1/2 of investmt in ADS</t>
        </r>
      </text>
    </comment>
    <comment ref="Z102" authorId="1">
      <text>
        <r>
          <rPr>
            <b/>
            <sz val="8"/>
            <color indexed="81"/>
            <rFont val="Tahoma"/>
            <family val="2"/>
          </rPr>
          <t>dliu:</t>
        </r>
        <r>
          <rPr>
            <sz val="8"/>
            <color indexed="81"/>
            <rFont val="Tahoma"/>
            <family val="2"/>
          </rPr>
          <t xml:space="preserve">
non-taxable gain related to IPO of 16.9% (42.7 mm shares) of IBI. </t>
        </r>
      </text>
    </comment>
    <comment ref="AD102" authorId="1">
      <text>
        <r>
          <rPr>
            <b/>
            <sz val="8"/>
            <color indexed="81"/>
            <rFont val="Tahoma"/>
            <family val="2"/>
          </rPr>
          <t>dliu:</t>
        </r>
        <r>
          <rPr>
            <sz val="8"/>
            <color indexed="81"/>
            <rFont val="Tahoma"/>
            <family val="2"/>
          </rPr>
          <t xml:space="preserve">
nontaxable gain associated w/ IPO of 15% (8.05 mm shares) of A&amp;F in Sept 96</t>
        </r>
      </text>
    </comment>
    <comment ref="AP102" authorId="1">
      <text>
        <r>
          <rPr>
            <b/>
            <sz val="8"/>
            <color indexed="81"/>
            <rFont val="Tahoma"/>
            <family val="2"/>
          </rPr>
          <t>dliu:</t>
        </r>
        <r>
          <rPr>
            <sz val="8"/>
            <color indexed="81"/>
            <rFont val="Tahoma"/>
            <family val="2"/>
          </rPr>
          <t xml:space="preserve">
$11mm pretax gain on 3rd party purchase of 60% majority interest in Galyan's Trading Co.</t>
        </r>
      </text>
    </comment>
    <comment ref="Z103" authorId="1">
      <text>
        <r>
          <rPr>
            <b/>
            <sz val="8"/>
            <color indexed="81"/>
            <rFont val="Tahoma"/>
            <family val="2"/>
          </rPr>
          <t>dliu:</t>
        </r>
        <r>
          <rPr>
            <sz val="8"/>
            <color indexed="81"/>
            <rFont val="Tahoma"/>
            <family val="2"/>
          </rPr>
          <t xml:space="preserve">
An addtnl 2.7mm IBI shares issued on 11/21/95 resulted in net proceeeds of ~$43 mm and (nontaxable) gain of ~$36 mm.</t>
        </r>
      </text>
    </comment>
    <comment ref="BZ120" authorId="3">
      <text>
        <r>
          <rPr>
            <b/>
            <sz val="8"/>
            <color indexed="81"/>
            <rFont val="Tahoma"/>
            <family val="2"/>
          </rPr>
          <t>mm98285:</t>
        </r>
        <r>
          <rPr>
            <sz val="8"/>
            <color indexed="81"/>
            <rFont val="Tahoma"/>
            <family val="2"/>
          </rPr>
          <t xml:space="preserve">
added $0.3 to tax to make total equal $295</t>
        </r>
      </text>
    </comment>
    <comment ref="CD120" authorId="3">
      <text>
        <r>
          <rPr>
            <b/>
            <sz val="8"/>
            <color indexed="81"/>
            <rFont val="Tahoma"/>
            <family val="2"/>
          </rPr>
          <t>mm98285:</t>
        </r>
        <r>
          <rPr>
            <sz val="8"/>
            <color indexed="81"/>
            <rFont val="Tahoma"/>
            <family val="2"/>
          </rPr>
          <t xml:space="preserve">
77.732 </t>
        </r>
      </text>
    </comment>
    <comment ref="CI120" authorId="3">
      <text>
        <r>
          <rPr>
            <b/>
            <sz val="8"/>
            <color indexed="81"/>
            <rFont val="Tahoma"/>
            <family val="2"/>
          </rPr>
          <t>mm98285:</t>
        </r>
        <r>
          <rPr>
            <sz val="8"/>
            <color indexed="81"/>
            <rFont val="Tahoma"/>
            <family val="2"/>
          </rPr>
          <t xml:space="preserve">
2/09: 38%</t>
        </r>
      </text>
    </comment>
    <comment ref="CM120" authorId="3">
      <text>
        <r>
          <rPr>
            <b/>
            <sz val="8"/>
            <color indexed="81"/>
            <rFont val="Tahoma"/>
            <family val="2"/>
          </rPr>
          <t>mm98285:</t>
        </r>
        <r>
          <rPr>
            <sz val="8"/>
            <color indexed="81"/>
            <rFont val="Tahoma"/>
            <family val="2"/>
          </rPr>
          <t xml:space="preserve">
2/10: ~38%</t>
        </r>
      </text>
    </comment>
    <comment ref="CP120" authorId="5">
      <text>
        <r>
          <rPr>
            <b/>
            <sz val="8"/>
            <color indexed="81"/>
            <rFont val="Tahoma"/>
            <family val="2"/>
          </rPr>
          <t>nicholjs:</t>
        </r>
        <r>
          <rPr>
            <sz val="8"/>
            <color indexed="81"/>
            <rFont val="Tahoma"/>
            <family val="2"/>
          </rPr>
          <t xml:space="preserve">
excludes an $11mm tax benefit primarily related to favorable resolution of certain discrete income tax matters</t>
        </r>
      </text>
    </comment>
    <comment ref="CQ120" authorId="5">
      <text>
        <r>
          <rPr>
            <b/>
            <sz val="8"/>
            <color indexed="81"/>
            <rFont val="Tahoma"/>
            <family val="2"/>
          </rPr>
          <t>nicholjs:</t>
        </r>
        <r>
          <rPr>
            <sz val="8"/>
            <color indexed="81"/>
            <rFont val="Tahoma"/>
            <family val="2"/>
          </rPr>
          <t xml:space="preserve">
2/2011: expect 38%</t>
        </r>
      </text>
    </comment>
    <comment ref="CU120" authorId="4">
      <text>
        <r>
          <rPr>
            <b/>
            <sz val="8"/>
            <color indexed="81"/>
            <rFont val="Tahoma"/>
            <family val="2"/>
          </rPr>
          <t>P Kahng:</t>
        </r>
        <r>
          <rPr>
            <sz val="8"/>
            <color indexed="81"/>
            <rFont val="Tahoma"/>
            <family val="2"/>
          </rPr>
          <t xml:space="preserve">
5/3/12: 4-5c impact due to severance and higher tax rate</t>
        </r>
      </text>
    </comment>
    <comment ref="CY120" authorId="4">
      <text>
        <r>
          <rPr>
            <b/>
            <sz val="8"/>
            <color indexed="81"/>
            <rFont val="Tahoma"/>
            <family val="2"/>
          </rPr>
          <t>P Kahng:</t>
        </r>
        <r>
          <rPr>
            <sz val="8"/>
            <color indexed="81"/>
            <rFont val="Tahoma"/>
            <family val="2"/>
          </rPr>
          <t xml:space="preserve">
5/3/12: 4-5c impact due to severance and higher tax rate</t>
        </r>
      </text>
    </comment>
    <comment ref="DC120" authorId="0">
      <text>
        <r>
          <rPr>
            <b/>
            <sz val="8"/>
            <color indexed="81"/>
            <rFont val="Tahoma"/>
            <family val="2"/>
          </rPr>
          <t>casselau:</t>
        </r>
        <r>
          <rPr>
            <sz val="8"/>
            <color indexed="81"/>
            <rFont val="Tahoma"/>
            <family val="2"/>
          </rPr>
          <t xml:space="preserve">
2/26/14: guidance ~38%</t>
        </r>
      </text>
    </comment>
    <comment ref="DG120" authorId="12">
      <text>
        <r>
          <rPr>
            <b/>
            <sz val="9"/>
            <color indexed="81"/>
            <rFont val="Tahoma"/>
            <family val="2"/>
          </rPr>
          <t>Mains, Spencer (Research):</t>
        </r>
        <r>
          <rPr>
            <sz val="9"/>
            <color indexed="81"/>
            <rFont val="Tahoma"/>
            <family val="2"/>
          </rPr>
          <t xml:space="preserve">
2/25/15 guidance: about 37.5%</t>
        </r>
      </text>
    </comment>
    <comment ref="DK120" authorId="0">
      <text>
        <r>
          <rPr>
            <b/>
            <sz val="9"/>
            <color indexed="81"/>
            <rFont val="Tahoma"/>
            <family val="2"/>
          </rPr>
          <t>casselau:</t>
        </r>
        <r>
          <rPr>
            <sz val="9"/>
            <color indexed="81"/>
            <rFont val="Tahoma"/>
            <family val="2"/>
          </rPr>
          <t xml:space="preserve">
2/24/16: guidance 37%</t>
        </r>
      </text>
    </comment>
    <comment ref="DO120" authorId="8">
      <text>
        <r>
          <rPr>
            <b/>
            <sz val="9"/>
            <color indexed="81"/>
            <rFont val="Tahoma"/>
            <family val="2"/>
          </rPr>
          <t xml:space="preserve">Cassel, Lauren (Research):
5/4/17: lowering to 25% due to stock comp impact from LW purchase of stock
</t>
        </r>
        <r>
          <rPr>
            <sz val="9"/>
            <color indexed="81"/>
            <rFont val="Tahoma"/>
            <family val="2"/>
          </rPr>
          <t xml:space="preserve">
 2/22/17: guidance 36.5%</t>
        </r>
      </text>
    </comment>
    <comment ref="DS120" authorId="8">
      <text>
        <r>
          <rPr>
            <b/>
            <sz val="9"/>
            <color indexed="81"/>
            <rFont val="Tahoma"/>
            <family val="2"/>
          </rPr>
          <t>Cassel, Lauren (Research):</t>
        </r>
        <r>
          <rPr>
            <sz val="9"/>
            <color indexed="81"/>
            <rFont val="Tahoma"/>
            <family val="2"/>
          </rPr>
          <t xml:space="preserve">
2/28/18: guidance ~27%</t>
        </r>
      </text>
    </comment>
    <comment ref="BZ121" authorId="3">
      <text>
        <r>
          <rPr>
            <b/>
            <sz val="8"/>
            <color indexed="81"/>
            <rFont val="Tahoma"/>
            <family val="2"/>
          </rPr>
          <t>mm98285:</t>
        </r>
        <r>
          <rPr>
            <sz val="8"/>
            <color indexed="81"/>
            <rFont val="Tahoma"/>
            <family val="2"/>
          </rPr>
          <t xml:space="preserve">
9/07: used a plug number to get to net income of $80.579mm
8/07: excludes tax benefit of $39mm or 10c per share related to adjustment to state net op. loss valuation alllowances in connection w/divestiture of apparel brands
</t>
        </r>
      </text>
    </comment>
    <comment ref="CI121" authorId="3">
      <text>
        <r>
          <rPr>
            <b/>
            <sz val="8"/>
            <color indexed="81"/>
            <rFont val="Tahoma"/>
            <family val="2"/>
          </rPr>
          <t>mm98285:</t>
        </r>
        <r>
          <rPr>
            <sz val="8"/>
            <color indexed="81"/>
            <rFont val="Tahoma"/>
            <family val="2"/>
          </rPr>
          <t xml:space="preserve">
5/09: ~38%</t>
        </r>
      </text>
    </comment>
    <comment ref="CM121" authorId="9">
      <text>
        <r>
          <rPr>
            <b/>
            <sz val="8"/>
            <color indexed="81"/>
            <rFont val="Tahoma"/>
            <family val="2"/>
          </rPr>
          <t>ns66486:</t>
        </r>
        <r>
          <rPr>
            <sz val="8"/>
            <color indexed="81"/>
            <rFont val="Tahoma"/>
            <family val="2"/>
          </rPr>
          <t xml:space="preserve">
5/2010: about 38%</t>
        </r>
      </text>
    </comment>
    <comment ref="CP121" authorId="5">
      <text>
        <r>
          <rPr>
            <b/>
            <sz val="8"/>
            <color indexed="81"/>
            <rFont val="Tahoma"/>
            <family val="2"/>
          </rPr>
          <t>nicholjs:</t>
        </r>
        <r>
          <rPr>
            <sz val="8"/>
            <color indexed="81"/>
            <rFont val="Tahoma"/>
            <family val="2"/>
          </rPr>
          <t xml:space="preserve">
EXCLUDES: A non-taxable gain of $147.1 million, or $0.47 per share, and a pre-tax expense of $113.4 million, or $0.22 per share, related to the charitable contribution of all of the company's remaining shares of Express (NYSE: EXPR) to the Limited Brands Foundation.</t>
        </r>
      </text>
    </comment>
    <comment ref="CQ121" authorId="5">
      <text>
        <r>
          <rPr>
            <b/>
            <sz val="8"/>
            <color indexed="81"/>
            <rFont val="Tahoma"/>
            <family val="2"/>
          </rPr>
          <t>nicholjs:</t>
        </r>
        <r>
          <rPr>
            <sz val="8"/>
            <color indexed="81"/>
            <rFont val="Tahoma"/>
            <family val="2"/>
          </rPr>
          <t xml:space="preserve">
5/2011: expect about 38%</t>
        </r>
      </text>
    </comment>
    <comment ref="CU121" authorId="4">
      <text>
        <r>
          <rPr>
            <b/>
            <sz val="8"/>
            <color indexed="81"/>
            <rFont val="Tahoma"/>
            <family val="2"/>
          </rPr>
          <t>P Kahng:</t>
        </r>
        <r>
          <rPr>
            <sz val="8"/>
            <color indexed="81"/>
            <rFont val="Tahoma"/>
            <family val="2"/>
          </rPr>
          <t xml:space="preserve">
5/16/12: about 38%
5/3/12: full year tax rate of 38%, but higher in Q1, Q2 and Q3 and lower in Q4.</t>
        </r>
      </text>
    </comment>
    <comment ref="CY121" authorId="0">
      <text>
        <r>
          <rPr>
            <b/>
            <sz val="8"/>
            <color indexed="81"/>
            <rFont val="Tahoma"/>
            <family val="2"/>
          </rPr>
          <t>casselau:</t>
        </r>
        <r>
          <rPr>
            <sz val="8"/>
            <color indexed="81"/>
            <rFont val="Tahoma"/>
            <family val="2"/>
          </rPr>
          <t xml:space="preserve">
5/22/13 guidance: ~38%</t>
        </r>
      </text>
    </comment>
    <comment ref="DC121" authorId="0">
      <text>
        <r>
          <rPr>
            <b/>
            <sz val="9"/>
            <color indexed="81"/>
            <rFont val="Tahoma"/>
            <family val="2"/>
          </rPr>
          <t>casselau:</t>
        </r>
        <r>
          <rPr>
            <sz val="9"/>
            <color indexed="81"/>
            <rFont val="Tahoma"/>
            <family val="2"/>
          </rPr>
          <t xml:space="preserve">
5/21/14: guidance 38%</t>
        </r>
      </text>
    </comment>
    <comment ref="DG121" authorId="0">
      <text>
        <r>
          <rPr>
            <b/>
            <sz val="9"/>
            <color indexed="81"/>
            <rFont val="Tahoma"/>
            <family val="2"/>
          </rPr>
          <t>casselau:</t>
        </r>
        <r>
          <rPr>
            <sz val="9"/>
            <color indexed="81"/>
            <rFont val="Tahoma"/>
            <family val="2"/>
          </rPr>
          <t xml:space="preserve">
5/20/15: guidance 37.5%</t>
        </r>
      </text>
    </comment>
    <comment ref="DK121" authorId="8">
      <text>
        <r>
          <rPr>
            <b/>
            <sz val="9"/>
            <color indexed="81"/>
            <rFont val="Tahoma"/>
            <family val="2"/>
          </rPr>
          <t>Cassel, Lauren (Research):</t>
        </r>
        <r>
          <rPr>
            <sz val="9"/>
            <color indexed="81"/>
            <rFont val="Tahoma"/>
            <family val="2"/>
          </rPr>
          <t xml:space="preserve">
5/18/16: guidance ~37%</t>
        </r>
      </text>
    </comment>
    <comment ref="DO121" authorId="8">
      <text>
        <r>
          <rPr>
            <b/>
            <sz val="9"/>
            <color indexed="81"/>
            <rFont val="Tahoma"/>
            <family val="2"/>
          </rPr>
          <t>Cassel, Lauren (Research):
5/17/17: guidance 36.5%</t>
        </r>
        <r>
          <rPr>
            <sz val="9"/>
            <color indexed="81"/>
            <rFont val="Tahoma"/>
            <family val="2"/>
          </rPr>
          <t xml:space="preserve">
5/4/17: per Amie - should return to 36%</t>
        </r>
      </text>
    </comment>
    <comment ref="BF122" authorId="1">
      <text>
        <r>
          <rPr>
            <b/>
            <sz val="8"/>
            <color indexed="81"/>
            <rFont val="Tahoma"/>
            <family val="2"/>
          </rPr>
          <t>dliu:</t>
        </r>
        <r>
          <rPr>
            <sz val="8"/>
            <color indexed="81"/>
            <rFont val="Tahoma"/>
            <family val="2"/>
          </rPr>
          <t xml:space="preserve">
adjusted number. Including the gain on investees' stock, taxes would be 71mm</t>
        </r>
      </text>
    </comment>
    <comment ref="BK122" authorId="2">
      <text>
        <r>
          <rPr>
            <b/>
            <sz val="8"/>
            <color indexed="81"/>
            <rFont val="Tahoma"/>
            <family val="2"/>
          </rPr>
          <t>Corinna Freedman:</t>
        </r>
        <r>
          <rPr>
            <sz val="8"/>
            <color indexed="81"/>
            <rFont val="Tahoma"/>
            <family val="2"/>
          </rPr>
          <t xml:space="preserve">
expecting 2c tax gain</t>
        </r>
      </text>
    </comment>
    <comment ref="BZ122" authorId="3">
      <text>
        <r>
          <rPr>
            <b/>
            <sz val="8"/>
            <color indexed="81"/>
            <rFont val="Tahoma"/>
            <family val="2"/>
          </rPr>
          <t>mm98285:</t>
        </r>
        <r>
          <rPr>
            <sz val="8"/>
            <color indexed="81"/>
            <rFont val="Tahoma"/>
            <family val="2"/>
          </rPr>
          <t xml:space="preserve">
3/08: includes $10mm tax benefit for excluding $25mm gain on corp aircraft sale</t>
        </r>
      </text>
    </comment>
    <comment ref="CE122" authorId="3">
      <text>
        <r>
          <rPr>
            <b/>
            <sz val="8"/>
            <color indexed="81"/>
            <rFont val="Tahoma"/>
            <family val="2"/>
          </rPr>
          <t>mm98285:</t>
        </r>
        <r>
          <rPr>
            <sz val="8"/>
            <color indexed="81"/>
            <rFont val="Tahoma"/>
            <family val="2"/>
          </rPr>
          <t xml:space="preserve">
8/08: use 39%</t>
        </r>
      </text>
    </comment>
    <comment ref="CI122" authorId="3">
      <text>
        <r>
          <rPr>
            <b/>
            <sz val="8"/>
            <color indexed="81"/>
            <rFont val="Tahoma"/>
            <family val="2"/>
          </rPr>
          <t>mm98285:</t>
        </r>
        <r>
          <rPr>
            <sz val="8"/>
            <color indexed="81"/>
            <rFont val="Tahoma"/>
            <family val="2"/>
          </rPr>
          <t xml:space="preserve">
8/09: expect ~38%</t>
        </r>
      </text>
    </comment>
    <comment ref="CM122" authorId="5">
      <text>
        <r>
          <rPr>
            <b/>
            <sz val="8"/>
            <color indexed="81"/>
            <rFont val="Tahoma"/>
            <family val="2"/>
          </rPr>
          <t>nicholjs:</t>
        </r>
        <r>
          <rPr>
            <sz val="8"/>
            <color indexed="81"/>
            <rFont val="Tahoma"/>
            <family val="2"/>
          </rPr>
          <t xml:space="preserve">
8/10: about 39.5%</t>
        </r>
      </text>
    </comment>
    <comment ref="CP122" authorId="11">
      <text>
        <r>
          <rPr>
            <b/>
            <sz val="8"/>
            <color indexed="81"/>
            <rFont val="Tahoma"/>
            <family val="2"/>
          </rPr>
          <t>solejay:</t>
        </r>
        <r>
          <rPr>
            <sz val="8"/>
            <color indexed="81"/>
            <rFont val="Tahoma"/>
            <family val="2"/>
          </rPr>
          <t xml:space="preserve">
this is the adjusted number.  LTD had a benefit of 16,691 ("favorable resolution of certain discrete income tax matters") in the unadjusted number, so the actual tax was 27,597.</t>
        </r>
      </text>
    </comment>
    <comment ref="CQ122" authorId="5">
      <text>
        <r>
          <rPr>
            <b/>
            <sz val="8"/>
            <color indexed="81"/>
            <rFont val="Tahoma"/>
            <family val="2"/>
          </rPr>
          <t>nicholjs:</t>
        </r>
        <r>
          <rPr>
            <sz val="8"/>
            <color indexed="81"/>
            <rFont val="Tahoma"/>
            <family val="2"/>
          </rPr>
          <t xml:space="preserve">
8/2011: expects ~38%</t>
        </r>
      </text>
    </comment>
    <comment ref="CT122" authorId="0">
      <text>
        <r>
          <rPr>
            <b/>
            <sz val="8"/>
            <color indexed="81"/>
            <rFont val="Tahoma"/>
            <family val="2"/>
          </rPr>
          <t>casselau:</t>
        </r>
        <r>
          <rPr>
            <sz val="8"/>
            <color indexed="81"/>
            <rFont val="Tahoma"/>
            <family val="2"/>
          </rPr>
          <t xml:space="preserve">
11/14: includes adjustment for one-time gains/losses</t>
        </r>
      </text>
    </comment>
    <comment ref="CU122" authorId="4">
      <text>
        <r>
          <rPr>
            <b/>
            <sz val="8"/>
            <color indexed="81"/>
            <rFont val="Tahoma"/>
            <family val="2"/>
          </rPr>
          <t xml:space="preserve">8/15: </t>
        </r>
        <r>
          <rPr>
            <sz val="8"/>
            <color indexed="81"/>
            <rFont val="Tahoma"/>
            <family val="2"/>
          </rPr>
          <t>~38.5%</t>
        </r>
        <r>
          <rPr>
            <b/>
            <sz val="8"/>
            <color indexed="81"/>
            <rFont val="Tahoma"/>
            <family val="2"/>
          </rPr>
          <t xml:space="preserve">
P Kahng:</t>
        </r>
        <r>
          <rPr>
            <sz val="8"/>
            <color indexed="81"/>
            <rFont val="Tahoma"/>
            <family val="2"/>
          </rPr>
          <t xml:space="preserve">
5/3/12: full year tax rate of 38%, but higher in Q1, Q2 and Q3 and lower in Q4.</t>
        </r>
      </text>
    </comment>
    <comment ref="CY122" authorId="0">
      <text>
        <r>
          <rPr>
            <b/>
            <sz val="8"/>
            <color indexed="81"/>
            <rFont val="Tahoma"/>
            <family val="2"/>
          </rPr>
          <t>casselau:</t>
        </r>
        <r>
          <rPr>
            <sz val="8"/>
            <color indexed="81"/>
            <rFont val="Tahoma"/>
            <family val="2"/>
          </rPr>
          <t xml:space="preserve">
8/21/13: guidance ~38%</t>
        </r>
      </text>
    </comment>
    <comment ref="DC122" authorId="0">
      <text>
        <r>
          <rPr>
            <b/>
            <sz val="9"/>
            <color indexed="81"/>
            <rFont val="Tahoma"/>
            <family val="2"/>
          </rPr>
          <t>casselau:</t>
        </r>
        <r>
          <rPr>
            <sz val="9"/>
            <color indexed="81"/>
            <rFont val="Tahoma"/>
            <family val="2"/>
          </rPr>
          <t xml:space="preserve">
8/20/14: guidance about 38%</t>
        </r>
      </text>
    </comment>
    <comment ref="DG122" authorId="0">
      <text>
        <r>
          <rPr>
            <b/>
            <sz val="9"/>
            <color indexed="81"/>
            <rFont val="Tahoma"/>
            <family val="2"/>
          </rPr>
          <t>casselau:</t>
        </r>
        <r>
          <rPr>
            <sz val="9"/>
            <color indexed="81"/>
            <rFont val="Tahoma"/>
            <family val="2"/>
          </rPr>
          <t xml:space="preserve">
8/19/15: guidance: ~37.5%</t>
        </r>
      </text>
    </comment>
    <comment ref="DK122" authorId="8">
      <text>
        <r>
          <rPr>
            <b/>
            <sz val="9"/>
            <color indexed="81"/>
            <rFont val="Tahoma"/>
            <family val="2"/>
          </rPr>
          <t>Cassel, Lauren (Research):</t>
        </r>
        <r>
          <rPr>
            <sz val="9"/>
            <color indexed="81"/>
            <rFont val="Tahoma"/>
            <family val="2"/>
          </rPr>
          <t xml:space="preserve">
8/17/16: guidance 38%</t>
        </r>
      </text>
    </comment>
    <comment ref="DO122" authorId="8">
      <text>
        <r>
          <rPr>
            <b/>
            <sz val="9"/>
            <color indexed="81"/>
            <rFont val="Tahoma"/>
            <family val="2"/>
          </rPr>
          <t>Cassel, Lauren (Research):</t>
        </r>
        <r>
          <rPr>
            <sz val="9"/>
            <color indexed="81"/>
            <rFont val="Tahoma"/>
            <family val="2"/>
          </rPr>
          <t xml:space="preserve">
8/16/17: guidance ~36.5%</t>
        </r>
      </text>
    </comment>
    <comment ref="BJ123" authorId="15">
      <text>
        <r>
          <rPr>
            <b/>
            <sz val="8"/>
            <color indexed="81"/>
            <rFont val="Tahoma"/>
            <family val="2"/>
          </rPr>
          <t>MB33100:</t>
        </r>
        <r>
          <rPr>
            <sz val="8"/>
            <color indexed="81"/>
            <rFont val="Tahoma"/>
            <family val="2"/>
          </rPr>
          <t xml:space="preserve">
previously 263.0, now includes $37 of one-time lease accounting restatement (see GM and SG&amp;A note)</t>
        </r>
      </text>
    </comment>
    <comment ref="BK123" authorId="2">
      <text>
        <r>
          <rPr>
            <b/>
            <sz val="8"/>
            <color indexed="81"/>
            <rFont val="Tahoma"/>
            <family val="2"/>
          </rPr>
          <t>Corinna Freedman:</t>
        </r>
        <r>
          <rPr>
            <sz val="8"/>
            <color indexed="81"/>
            <rFont val="Tahoma"/>
            <family val="2"/>
          </rPr>
          <t xml:space="preserve">
reflects tax impact - mgmt assuming 39% rate</t>
        </r>
      </text>
    </comment>
    <comment ref="BR123" authorId="10">
      <text>
        <r>
          <rPr>
            <b/>
            <sz val="8"/>
            <color indexed="81"/>
            <rFont val="Tahoma"/>
            <family val="2"/>
          </rPr>
          <t>kg51925:</t>
        </r>
        <r>
          <rPr>
            <sz val="8"/>
            <color indexed="81"/>
            <rFont val="Tahoma"/>
            <family val="2"/>
          </rPr>
          <t xml:space="preserve">
2/22/06 Tax expense reduced by $50mm due to a one-time tax benefit of $77mm re: repatriation of foreign earnings partially offset by tax effect of gift card breakage income and income related to $40mm settlement of tax matter.</t>
        </r>
      </text>
    </comment>
    <comment ref="BW123" authorId="3">
      <text>
        <r>
          <rPr>
            <b/>
            <sz val="8"/>
            <color indexed="81"/>
            <rFont val="Tahoma"/>
            <family val="2"/>
          </rPr>
          <t>mm98285:</t>
        </r>
        <r>
          <rPr>
            <sz val="8"/>
            <color indexed="81"/>
            <rFont val="Tahoma"/>
            <family val="2"/>
          </rPr>
          <t xml:space="preserve">
11/06:assume 39%</t>
        </r>
      </text>
    </comment>
    <comment ref="BZ123" authorId="3">
      <text>
        <r>
          <rPr>
            <b/>
            <sz val="8"/>
            <color indexed="81"/>
            <rFont val="Tahoma"/>
            <family val="2"/>
          </rPr>
          <t>mm98285:</t>
        </r>
        <r>
          <rPr>
            <sz val="8"/>
            <color indexed="81"/>
            <rFont val="Tahoma"/>
            <family val="2"/>
          </rPr>
          <t xml:space="preserve">
2/08: excludes $28mm or $0.08 per share related to a decline in the Canadian federal tax rate, the finalization of income taxes related to the Express and Limited stores divestitures , audit settlemnts &amp; other items and includes $19mm tax benefit given exclusion of $48.7mm in gift card breakage revenue</t>
        </r>
      </text>
    </comment>
    <comment ref="CA123" authorId="3">
      <text>
        <r>
          <rPr>
            <b/>
            <sz val="8"/>
            <color indexed="81"/>
            <rFont val="Tahoma"/>
            <family val="2"/>
          </rPr>
          <t>mm98285:</t>
        </r>
        <r>
          <rPr>
            <sz val="8"/>
            <color indexed="81"/>
            <rFont val="Tahoma"/>
            <family val="2"/>
          </rPr>
          <t xml:space="preserve">
11/07: assume 39%</t>
        </r>
      </text>
    </comment>
    <comment ref="CE123" authorId="3">
      <text>
        <r>
          <rPr>
            <b/>
            <sz val="8"/>
            <color indexed="81"/>
            <rFont val="Tahoma"/>
            <family val="2"/>
          </rPr>
          <t>mm98285:</t>
        </r>
        <r>
          <rPr>
            <sz val="8"/>
            <color indexed="81"/>
            <rFont val="Tahoma"/>
            <family val="2"/>
          </rPr>
          <t xml:space="preserve">
8/08: use 39%</t>
        </r>
      </text>
    </comment>
    <comment ref="CI123" authorId="3">
      <text>
        <r>
          <rPr>
            <b/>
            <sz val="8"/>
            <color indexed="81"/>
            <rFont val="Tahoma"/>
            <family val="2"/>
          </rPr>
          <t>mm98285:</t>
        </r>
        <r>
          <rPr>
            <sz val="8"/>
            <color indexed="81"/>
            <rFont val="Tahoma"/>
            <family val="2"/>
          </rPr>
          <t xml:space="preserve">
11/09: ~38%</t>
        </r>
      </text>
    </comment>
    <comment ref="CM123" authorId="5">
      <text>
        <r>
          <rPr>
            <b/>
            <sz val="8"/>
            <color indexed="81"/>
            <rFont val="Tahoma"/>
            <family val="2"/>
          </rPr>
          <t>nicholjs:</t>
        </r>
        <r>
          <rPr>
            <sz val="8"/>
            <color indexed="81"/>
            <rFont val="Tahoma"/>
            <family val="2"/>
          </rPr>
          <t xml:space="preserve">
11/2010: expect 39.5%</t>
        </r>
      </text>
    </comment>
    <comment ref="CQ123" authorId="11">
      <text>
        <r>
          <rPr>
            <b/>
            <sz val="8"/>
            <color indexed="81"/>
            <rFont val="Tahoma"/>
            <family val="2"/>
          </rPr>
          <t>solejay:</t>
        </r>
        <r>
          <rPr>
            <sz val="8"/>
            <color indexed="81"/>
            <rFont val="Tahoma"/>
            <family val="2"/>
          </rPr>
          <t xml:space="preserve">
11/16: "About 38%"</t>
        </r>
      </text>
    </comment>
    <comment ref="CU123" authorId="4">
      <text>
        <r>
          <rPr>
            <sz val="8"/>
            <color indexed="81"/>
            <rFont val="Tahoma"/>
            <family val="2"/>
          </rPr>
          <t>11/14: ~38.5%</t>
        </r>
        <r>
          <rPr>
            <b/>
            <sz val="8"/>
            <color indexed="81"/>
            <rFont val="Tahoma"/>
            <family val="2"/>
          </rPr>
          <t xml:space="preserve">
P Kahng:</t>
        </r>
        <r>
          <rPr>
            <sz val="8"/>
            <color indexed="81"/>
            <rFont val="Tahoma"/>
            <family val="2"/>
          </rPr>
          <t xml:space="preserve">
5/16/12: raised from 36.5 to 37.5 to get to 38.5% for full year
5/3/12: full year tax rate of 38%, but higher in Q1, Q2 and Q3 and lower in Q4.</t>
        </r>
      </text>
    </comment>
    <comment ref="CY123" authorId="0">
      <text>
        <r>
          <rPr>
            <b/>
            <sz val="8"/>
            <color indexed="81"/>
            <rFont val="Tahoma"/>
            <family val="2"/>
          </rPr>
          <t>casselau:</t>
        </r>
        <r>
          <rPr>
            <sz val="8"/>
            <color indexed="81"/>
            <rFont val="Tahoma"/>
            <family val="2"/>
          </rPr>
          <t xml:space="preserve">
11/20: guidance ~38%</t>
        </r>
      </text>
    </comment>
    <comment ref="DC123" authorId="0">
      <text>
        <r>
          <rPr>
            <b/>
            <sz val="9"/>
            <color indexed="81"/>
            <rFont val="Tahoma"/>
            <family val="2"/>
          </rPr>
          <t xml:space="preserve">casselau:
2/26/15: </t>
        </r>
        <r>
          <rPr>
            <sz val="9"/>
            <color indexed="81"/>
            <rFont val="Tahoma"/>
            <family val="2"/>
          </rPr>
          <t>tax rate provided 7c upside to our initial guidance and 6c vs. LY
11/19/14: guidance ~38%</t>
        </r>
      </text>
    </comment>
    <comment ref="DG123" authorId="0">
      <text>
        <r>
          <rPr>
            <b/>
            <sz val="9"/>
            <color indexed="81"/>
            <rFont val="Tahoma"/>
            <family val="2"/>
          </rPr>
          <t>casselau:
2/25/16: lower tax rate added 8c upside</t>
        </r>
        <r>
          <rPr>
            <sz val="9"/>
            <color indexed="81"/>
            <rFont val="Tahoma"/>
            <family val="2"/>
          </rPr>
          <t xml:space="preserve">
11/19/15: guidance 37.5%</t>
        </r>
      </text>
    </comment>
    <comment ref="DJ123" authorId="8">
      <text>
        <r>
          <rPr>
            <b/>
            <sz val="9"/>
            <color indexed="81"/>
            <rFont val="Tahoma"/>
            <family val="2"/>
          </rPr>
          <t>Cassel, Lauren (Research):</t>
        </r>
        <r>
          <rPr>
            <sz val="9"/>
            <color indexed="81"/>
            <rFont val="Tahoma"/>
            <family val="2"/>
          </rPr>
          <t xml:space="preserve">
2/22/17: excludes 15c tax settlement gain ($41.750)</t>
        </r>
      </text>
    </comment>
    <comment ref="DK123" authorId="8">
      <text>
        <r>
          <rPr>
            <b/>
            <sz val="9"/>
            <color indexed="81"/>
            <rFont val="Tahoma"/>
            <family val="2"/>
          </rPr>
          <t>Cassel, Lauren (Research):</t>
        </r>
        <r>
          <rPr>
            <sz val="9"/>
            <color indexed="81"/>
            <rFont val="Tahoma"/>
            <family val="2"/>
          </rPr>
          <t xml:space="preserve">
11/16/16: guidance 37.5%</t>
        </r>
      </text>
    </comment>
    <comment ref="DO123" authorId="8">
      <text>
        <r>
          <rPr>
            <b/>
            <sz val="9"/>
            <color indexed="81"/>
            <rFont val="Tahoma"/>
            <family val="2"/>
          </rPr>
          <t>Cassel, Lauren (Research):</t>
        </r>
        <r>
          <rPr>
            <sz val="9"/>
            <color indexed="81"/>
            <rFont val="Tahoma"/>
            <family val="2"/>
          </rPr>
          <t xml:space="preserve">
11/15/17: guidance 36.5%</t>
        </r>
      </text>
    </comment>
    <comment ref="CI124" authorId="3">
      <text>
        <r>
          <rPr>
            <b/>
            <sz val="8"/>
            <color indexed="81"/>
            <rFont val="Tahoma"/>
            <family val="2"/>
          </rPr>
          <t>mm98285:</t>
        </r>
        <r>
          <rPr>
            <sz val="8"/>
            <color indexed="81"/>
            <rFont val="Tahoma"/>
            <family val="2"/>
          </rPr>
          <t xml:space="preserve">
11/09, 8/09 &amp; 5/09 &amp; 2/09: ~38%</t>
        </r>
      </text>
    </comment>
    <comment ref="CM124" authorId="3">
      <text>
        <r>
          <rPr>
            <sz val="8"/>
            <color indexed="81"/>
            <rFont val="Tahoma"/>
            <family val="2"/>
          </rPr>
          <t>8/10: ~39.5%
5/10: ~38%</t>
        </r>
        <r>
          <rPr>
            <sz val="8"/>
            <color indexed="81"/>
            <rFont val="Tahoma"/>
            <family val="2"/>
          </rPr>
          <t xml:space="preserve">
2/10: ~38%</t>
        </r>
      </text>
    </comment>
    <comment ref="CQ124" authorId="5">
      <text>
        <r>
          <rPr>
            <sz val="8"/>
            <color indexed="81"/>
            <rFont val="Tahoma"/>
            <family val="2"/>
          </rPr>
          <t>11/2011: expect ~38%</t>
        </r>
        <r>
          <rPr>
            <sz val="8"/>
            <color indexed="81"/>
            <rFont val="Tahoma"/>
            <family val="2"/>
          </rPr>
          <t xml:space="preserve">
8/2011: expect ~38%
5/2011: expect ~38%
2/2011: expect ~38%</t>
        </r>
      </text>
    </comment>
    <comment ref="CU124" authorId="4">
      <text>
        <r>
          <rPr>
            <b/>
            <sz val="8"/>
            <color indexed="81"/>
            <rFont val="Tahoma"/>
            <family val="2"/>
          </rPr>
          <t xml:space="preserve">11/15: </t>
        </r>
        <r>
          <rPr>
            <sz val="8"/>
            <color indexed="81"/>
            <rFont val="Tahoma"/>
            <family val="2"/>
          </rPr>
          <t>~38.5%</t>
        </r>
        <r>
          <rPr>
            <b/>
            <sz val="8"/>
            <color indexed="81"/>
            <rFont val="Tahoma"/>
            <family val="2"/>
          </rPr>
          <t xml:space="preserve">
P Kahng:</t>
        </r>
        <r>
          <rPr>
            <sz val="8"/>
            <color indexed="81"/>
            <rFont val="Tahoma"/>
            <family val="2"/>
          </rPr>
          <t xml:space="preserve">
5/16/12: about 38.5%
5/3/12: full year tax rate of 38%, but higher in Q1, Q2 and Q3 and lower in Q4.</t>
        </r>
      </text>
    </comment>
    <comment ref="CY124" authorId="0">
      <text>
        <r>
          <rPr>
            <b/>
            <sz val="8"/>
            <color indexed="81"/>
            <rFont val="Tahoma"/>
            <family val="2"/>
          </rPr>
          <t xml:space="preserve">casselau:
</t>
        </r>
        <r>
          <rPr>
            <sz val="8"/>
            <color indexed="81"/>
            <rFont val="Tahoma"/>
            <family val="2"/>
          </rPr>
          <t>11/20/13: reiterate ~38%</t>
        </r>
        <r>
          <rPr>
            <b/>
            <sz val="8"/>
            <color indexed="81"/>
            <rFont val="Tahoma"/>
            <family val="2"/>
          </rPr>
          <t xml:space="preserve">
</t>
        </r>
        <r>
          <rPr>
            <sz val="8"/>
            <color indexed="81"/>
            <rFont val="Tahoma"/>
            <family val="2"/>
          </rPr>
          <t>8/21/13: guidance ~38%</t>
        </r>
        <r>
          <rPr>
            <b/>
            <sz val="8"/>
            <color indexed="81"/>
            <rFont val="Tahoma"/>
            <family val="2"/>
          </rPr>
          <t xml:space="preserve">
</t>
        </r>
        <r>
          <rPr>
            <sz val="8"/>
            <color indexed="81"/>
            <rFont val="Tahoma"/>
            <family val="2"/>
          </rPr>
          <t>5/22/13 guidance: ~38%</t>
        </r>
        <r>
          <rPr>
            <sz val="8"/>
            <color indexed="81"/>
            <rFont val="Tahoma"/>
            <family val="2"/>
          </rPr>
          <t xml:space="preserve">
2/27/13: guidance ~38%</t>
        </r>
      </text>
    </comment>
    <comment ref="DC124" authorId="0">
      <text>
        <r>
          <rPr>
            <b/>
            <sz val="8"/>
            <color indexed="81"/>
            <rFont val="Tahoma"/>
            <family val="2"/>
          </rPr>
          <t xml:space="preserve">casselau:
</t>
        </r>
        <r>
          <rPr>
            <sz val="8"/>
            <color indexed="81"/>
            <rFont val="Tahoma"/>
            <family val="2"/>
          </rPr>
          <t>11/19/14: guidance ~38%
2/26/14: guidance ~38%</t>
        </r>
      </text>
    </comment>
    <comment ref="DG124" authorId="12">
      <text>
        <r>
          <rPr>
            <sz val="9"/>
            <color indexed="81"/>
            <rFont val="Tahoma"/>
            <family val="2"/>
          </rPr>
          <t>11/19/15: guidance 37.5%
2/25/15 guidance: about 37.5%; higher projected tax rate will negatively impact EPS by ~7c</t>
        </r>
      </text>
    </comment>
    <comment ref="DK124" authorId="0">
      <text>
        <r>
          <rPr>
            <b/>
            <sz val="9"/>
            <color indexed="81"/>
            <rFont val="Tahoma"/>
            <family val="2"/>
          </rPr>
          <t>casselau:
11/16/16: guidance ~36%
8/17/16: guidance ~37%
5/18/16: -4c impact</t>
        </r>
        <r>
          <rPr>
            <sz val="9"/>
            <color indexed="81"/>
            <rFont val="Tahoma"/>
            <family val="2"/>
          </rPr>
          <t xml:space="preserve">
2/24/16: guidance 37% (negatively impact EPS by -5c)</t>
        </r>
      </text>
    </comment>
    <comment ref="DO124" authorId="8">
      <text>
        <r>
          <rPr>
            <b/>
            <sz val="9"/>
            <color indexed="81"/>
            <rFont val="Tahoma"/>
            <family val="2"/>
          </rPr>
          <t>Cassel, Lauren (Research):
8/15/17: guidance ~35.0%
5/17/17: guidance 35.3%</t>
        </r>
        <r>
          <rPr>
            <sz val="9"/>
            <color indexed="81"/>
            <rFont val="Tahoma"/>
            <family val="2"/>
          </rPr>
          <t xml:space="preserve">
 2/22/17: guidance 36.5%</t>
        </r>
      </text>
    </comment>
    <comment ref="DS124" authorId="8">
      <text>
        <r>
          <rPr>
            <b/>
            <sz val="9"/>
            <color indexed="81"/>
            <rFont val="Tahoma"/>
            <family val="2"/>
          </rPr>
          <t>Cassel, Lauren (Research):</t>
        </r>
        <r>
          <rPr>
            <sz val="9"/>
            <color indexed="81"/>
            <rFont val="Tahoma"/>
            <family val="2"/>
          </rPr>
          <t xml:space="preserve">
2/28/18: guidance ~27%</t>
        </r>
      </text>
    </comment>
    <comment ref="CD130" authorId="3">
      <text>
        <r>
          <rPr>
            <b/>
            <sz val="8"/>
            <color indexed="81"/>
            <rFont val="Tahoma"/>
            <family val="2"/>
          </rPr>
          <t>mm98285:</t>
        </r>
        <r>
          <rPr>
            <sz val="8"/>
            <color indexed="81"/>
            <rFont val="Tahoma"/>
            <family val="2"/>
          </rPr>
          <t xml:space="preserve">
reported NI incl non-recurring items: $81mm gain (sale of a non-core JV) and $19.6mm charge (impairment of investment carring value of another non-core JV)</t>
        </r>
      </text>
    </comment>
    <comment ref="CT130" authorId="4">
      <text>
        <r>
          <rPr>
            <b/>
            <sz val="8"/>
            <color indexed="81"/>
            <rFont val="Tahoma"/>
            <family val="2"/>
          </rPr>
          <t>P Kahng:</t>
        </r>
        <r>
          <rPr>
            <sz val="8"/>
            <color indexed="81"/>
            <rFont val="Tahoma"/>
            <family val="2"/>
          </rPr>
          <t xml:space="preserve">
5/3/12: 4-5c impact on severance and higher taxes ($12-15M net income impact)</t>
        </r>
      </text>
    </comment>
    <comment ref="BZ131" authorId="3">
      <text>
        <r>
          <rPr>
            <b/>
            <sz val="8"/>
            <color indexed="81"/>
            <rFont val="Tahoma"/>
            <family val="2"/>
          </rPr>
          <t>mm98285:</t>
        </r>
        <r>
          <rPr>
            <sz val="8"/>
            <color indexed="81"/>
            <rFont val="Tahoma"/>
            <family val="2"/>
          </rPr>
          <t xml:space="preserve">
net income $80.579mm excluding sig. items</t>
        </r>
      </text>
    </comment>
    <comment ref="Z140" authorId="1">
      <text>
        <r>
          <rPr>
            <b/>
            <sz val="8"/>
            <color indexed="81"/>
            <rFont val="Tahoma"/>
            <family val="2"/>
          </rPr>
          <t>dliu:</t>
        </r>
        <r>
          <rPr>
            <sz val="8"/>
            <color indexed="81"/>
            <rFont val="Tahoma"/>
            <family val="2"/>
          </rPr>
          <t xml:space="preserve">
May 15, 95 - split 2 co into 2 public cos: 85% owned by LTD, w/ balance owned by shareholders. Grouped based on complementary operations and opportunities: Intimate Brands: (VS Stores, Catalog, BBW, Cacique, Penhaligons, and Gryphon). Second co (Express, LImited, Lerner, Lane Bryant, and Henri Bendel).</t>
        </r>
      </text>
    </comment>
    <comment ref="BF140" authorId="1">
      <text>
        <r>
          <rPr>
            <b/>
            <sz val="8"/>
            <color indexed="81"/>
            <rFont val="Tahoma"/>
            <family val="2"/>
          </rPr>
          <t>dliu:</t>
        </r>
        <r>
          <rPr>
            <sz val="8"/>
            <color indexed="81"/>
            <rFont val="Tahoma"/>
            <family val="2"/>
          </rPr>
          <t xml:space="preserve">
of the 5c reduction from LY's EPS, 3c related to one-time charges as detailed in Interest Inc and Other Inc cells. 2c related to GM decline of 140 bps</t>
        </r>
      </text>
    </comment>
    <comment ref="BJ140" authorId="1">
      <text>
        <r>
          <rPr>
            <b/>
            <sz val="8"/>
            <color indexed="81"/>
            <rFont val="Tahoma"/>
            <family val="2"/>
          </rPr>
          <t>dliu:</t>
        </r>
        <r>
          <rPr>
            <sz val="8"/>
            <color indexed="81"/>
            <rFont val="Tahoma"/>
            <family val="2"/>
          </rPr>
          <t xml:space="preserve">
0.12
</t>
        </r>
      </text>
    </comment>
    <comment ref="BV140" authorId="15">
      <text>
        <r>
          <rPr>
            <b/>
            <sz val="8"/>
            <color indexed="81"/>
            <rFont val="Tahoma"/>
            <family val="2"/>
          </rPr>
          <t>MB33100:</t>
        </r>
        <r>
          <rPr>
            <sz val="8"/>
            <color indexed="81"/>
            <rFont val="Tahoma"/>
            <family val="2"/>
          </rPr>
          <t xml:space="preserve">
5/06: raised to 22c based on higher GM assumptions
2/06 guided to flat EPS of $0.16 for 1Q</t>
        </r>
      </text>
    </comment>
    <comment ref="BZ140" authorId="3">
      <text>
        <r>
          <rPr>
            <b/>
            <sz val="8"/>
            <color indexed="81"/>
            <rFont val="Tahoma"/>
            <family val="2"/>
          </rPr>
          <t>mm98285:</t>
        </r>
        <r>
          <rPr>
            <sz val="8"/>
            <color indexed="81"/>
            <rFont val="Tahoma"/>
            <family val="2"/>
          </rPr>
          <t xml:space="preserve">
5/07: lowered guid to 12-14c
2/07: guide to $0.25-$.28 (includes -1c from La Senza)</t>
        </r>
      </text>
    </comment>
    <comment ref="CD140" authorId="3">
      <text>
        <r>
          <rPr>
            <b/>
            <sz val="8"/>
            <color indexed="81"/>
            <rFont val="Tahoma"/>
            <family val="2"/>
          </rPr>
          <t>mm98285:</t>
        </r>
        <r>
          <rPr>
            <sz val="8"/>
            <color indexed="81"/>
            <rFont val="Tahoma"/>
            <family val="2"/>
          </rPr>
          <t xml:space="preserve">
EPS of $0.28 incl 1) $0.24 gain on divestiture of JV, offset by 2) $0.06 impairment charge associated w/another JV
2/08: expect $0.05-$0.10</t>
        </r>
      </text>
    </comment>
    <comment ref="CH140" authorId="3">
      <text>
        <r>
          <rPr>
            <b/>
            <sz val="8"/>
            <color indexed="81"/>
            <rFont val="Tahoma"/>
            <family val="2"/>
          </rPr>
          <t>mm98285:</t>
        </r>
        <r>
          <rPr>
            <sz val="8"/>
            <color indexed="81"/>
            <rFont val="Tahoma"/>
            <family val="2"/>
          </rPr>
          <t xml:space="preserve">
2/09: $(0.07)-$(0.12)</t>
        </r>
      </text>
    </comment>
    <comment ref="CL140" authorId="3">
      <text>
        <r>
          <rPr>
            <sz val="8"/>
            <color indexed="81"/>
            <rFont val="Tahoma"/>
            <family val="2"/>
          </rPr>
          <t xml:space="preserve">3/10: no update to 5-10c
2/10: 5-10c
</t>
        </r>
      </text>
    </comment>
    <comment ref="CP140" authorId="5">
      <text>
        <r>
          <rPr>
            <b/>
            <sz val="8"/>
            <color indexed="81"/>
            <rFont val="Tahoma"/>
            <family val="2"/>
          </rPr>
          <t>nicholjs:</t>
        </r>
        <r>
          <rPr>
            <sz val="8"/>
            <color indexed="81"/>
            <rFont val="Tahoma"/>
            <family val="2"/>
          </rPr>
          <t xml:space="preserve">
5/2011: expect $0.37-0.39
4/2011: 36c sounds okay
3/2011: contemplated 10-11% in Feb, so could be slight upside
2/2011: expect $0.26-0.31</t>
        </r>
      </text>
    </comment>
    <comment ref="CT140" authorId="7">
      <text>
        <r>
          <rPr>
            <b/>
            <sz val="8"/>
            <color indexed="81"/>
            <rFont val="Tahoma"/>
            <family val="2"/>
          </rPr>
          <t xml:space="preserve">kahng:
5/16/12: Was 40c
5/3/12: </t>
        </r>
        <r>
          <rPr>
            <sz val="8"/>
            <color indexed="81"/>
            <rFont val="Tahoma"/>
            <family val="2"/>
          </rPr>
          <t>April comp guidance revision $0.38-$0.40. 4-5c impact from severance and higher tax rate</t>
        </r>
        <r>
          <rPr>
            <sz val="8"/>
            <color indexed="81"/>
            <rFont val="Tahoma"/>
            <family val="2"/>
          </rPr>
          <t xml:space="preserve">
2/22/12: guidance $0.35 - $0.40</t>
        </r>
      </text>
    </comment>
    <comment ref="CX140" authorId="0">
      <text>
        <r>
          <rPr>
            <b/>
            <sz val="8"/>
            <color indexed="81"/>
            <rFont val="Tahoma"/>
            <family val="2"/>
          </rPr>
          <t>casselau:</t>
        </r>
        <r>
          <rPr>
            <sz val="8"/>
            <color indexed="81"/>
            <rFont val="Tahoma"/>
            <family val="2"/>
          </rPr>
          <t xml:space="preserve">
5/9: expect $0.46; 3c negative impact from higher tax rates and severance costs 
2/27/13: guidance $0.40-$0.45</t>
        </r>
      </text>
    </comment>
    <comment ref="DB140" authorId="0">
      <text>
        <r>
          <rPr>
            <b/>
            <sz val="8"/>
            <color indexed="81"/>
            <rFont val="Tahoma"/>
            <family val="2"/>
          </rPr>
          <t>casselau:
5/8/14: raised guidance to 50-52c</t>
        </r>
        <r>
          <rPr>
            <sz val="8"/>
            <color indexed="81"/>
            <rFont val="Tahoma"/>
            <family val="2"/>
          </rPr>
          <t xml:space="preserve">
2/26/14: guidance $0.44-$0.49</t>
        </r>
      </text>
    </comment>
    <comment ref="DF140" authorId="12">
      <text>
        <r>
          <rPr>
            <b/>
            <sz val="9"/>
            <color indexed="81"/>
            <rFont val="Tahoma"/>
            <family val="2"/>
          </rPr>
          <t xml:space="preserve">casselau:
</t>
        </r>
        <r>
          <rPr>
            <sz val="9"/>
            <color indexed="81"/>
            <rFont val="Tahoma"/>
            <family val="2"/>
          </rPr>
          <t>5/20/15: FX negatively impacted EPS by 2c</t>
        </r>
        <r>
          <rPr>
            <b/>
            <sz val="9"/>
            <color indexed="81"/>
            <rFont val="Tahoma"/>
            <family val="2"/>
          </rPr>
          <t xml:space="preserve">
</t>
        </r>
        <r>
          <rPr>
            <sz val="9"/>
            <color indexed="81"/>
            <rFont val="Tahoma"/>
            <family val="2"/>
          </rPr>
          <t>5/7/15: guidance raised to 58-60c
2/25/15 guidance: $0.50 to $0.55 (includes -3c impact from apparel exit and -1 to -2c from FX)</t>
        </r>
      </text>
    </comment>
    <comment ref="DJ140" authorId="0">
      <text>
        <r>
          <rPr>
            <b/>
            <sz val="9"/>
            <color indexed="81"/>
            <rFont val="Tahoma"/>
            <family val="2"/>
          </rPr>
          <t>casselau:
5/18/16: Includes -7c hit from FX, incremental interest expense, and pre-opening costs for 5th ave partially offset by 3c of favorability related to lower tax rate and shares outstanding
5/5/16: expect at upper end of 50-55c range</t>
        </r>
        <r>
          <rPr>
            <sz val="9"/>
            <color indexed="81"/>
            <rFont val="Tahoma"/>
            <family val="2"/>
          </rPr>
          <t xml:space="preserve">
2/24/16: 50-55c (includes -8c impact from FX, preopening costs, and interest)</t>
        </r>
      </text>
    </comment>
    <comment ref="DN140" authorId="8">
      <text>
        <r>
          <rPr>
            <b/>
            <sz val="9"/>
            <color indexed="81"/>
            <rFont val="Tahoma"/>
            <family val="2"/>
          </rPr>
          <t>Cassel, Lauren (Research):
5/17/17: 6c of upside driven by lower tax rate primarily due to a required change in accounting related to the new accounting standard for stock-based compensation
5/2/17: now expect 30c, including 5c benefit from lower tax rate than what was assumed in previous guidance</t>
        </r>
        <r>
          <rPr>
            <sz val="9"/>
            <color indexed="81"/>
            <rFont val="Tahoma"/>
            <family val="2"/>
          </rPr>
          <t xml:space="preserve">
2/22/17: guidance 20-25c</t>
        </r>
      </text>
    </comment>
    <comment ref="DR140" authorId="8">
      <text>
        <r>
          <rPr>
            <b/>
            <sz val="9"/>
            <color indexed="81"/>
            <rFont val="Tahoma"/>
            <family val="2"/>
          </rPr>
          <t>Cassel, Lauren (Research):</t>
        </r>
        <r>
          <rPr>
            <sz val="9"/>
            <color indexed="81"/>
            <rFont val="Tahoma"/>
            <family val="2"/>
          </rPr>
          <t xml:space="preserve">
2/28/18: guidance 15-20c</t>
        </r>
      </text>
    </comment>
    <comment ref="BF141" authorId="1">
      <text>
        <r>
          <rPr>
            <b/>
            <sz val="8"/>
            <color indexed="81"/>
            <rFont val="Tahoma"/>
            <family val="2"/>
          </rPr>
          <t>dliu:</t>
        </r>
        <r>
          <rPr>
            <sz val="8"/>
            <color indexed="81"/>
            <rFont val="Tahoma"/>
            <family val="2"/>
          </rPr>
          <t xml:space="preserve">
5/19/03 1Q03 cc: co reiterated comfort with $0.16 consensus, based on low SD positive comps, 100 bps decline in GM, and some SG&amp;A lvg</t>
        </r>
      </text>
    </comment>
    <comment ref="BJ141" authorId="14">
      <text>
        <r>
          <rPr>
            <b/>
            <sz val="8"/>
            <color indexed="81"/>
            <rFont val="Tahoma"/>
            <family val="2"/>
          </rPr>
          <t>Kimberly Greenberger:</t>
        </r>
        <r>
          <rPr>
            <sz val="8"/>
            <color indexed="81"/>
            <rFont val="Tahoma"/>
            <family val="2"/>
          </rPr>
          <t xml:space="preserve">
people are at 25-26c</t>
        </r>
      </text>
    </comment>
    <comment ref="BV141" authorId="3">
      <text>
        <r>
          <rPr>
            <b/>
            <sz val="8"/>
            <color indexed="81"/>
            <rFont val="Tahoma"/>
            <family val="2"/>
          </rPr>
          <t>mm98285:</t>
        </r>
        <r>
          <rPr>
            <sz val="8"/>
            <color indexed="81"/>
            <rFont val="Tahoma"/>
            <family val="2"/>
          </rPr>
          <t xml:space="preserve">
5/06: mgmt guided to $0.22-$0.24 (1c stock options)</t>
        </r>
      </text>
    </comment>
    <comment ref="BZ141" authorId="3">
      <text>
        <r>
          <rPr>
            <b/>
            <sz val="8"/>
            <color indexed="81"/>
            <rFont val="Tahoma"/>
            <family val="2"/>
          </rPr>
          <t>mm98285:</t>
        </r>
        <r>
          <rPr>
            <sz val="8"/>
            <color indexed="81"/>
            <rFont val="Tahoma"/>
            <family val="2"/>
          </rPr>
          <t xml:space="preserve">
5/07: guid to $0.20-$0.24</t>
        </r>
      </text>
    </comment>
    <comment ref="CD141" authorId="3">
      <text>
        <r>
          <rPr>
            <b/>
            <sz val="8"/>
            <color indexed="81"/>
            <rFont val="Tahoma"/>
            <family val="2"/>
          </rPr>
          <t>mm98285:</t>
        </r>
        <r>
          <rPr>
            <sz val="8"/>
            <color indexed="81"/>
            <rFont val="Tahoma"/>
            <family val="2"/>
          </rPr>
          <t xml:space="preserve">
5/08: expect $0.16-$0.20</t>
        </r>
      </text>
    </comment>
    <comment ref="CH141" authorId="3">
      <text>
        <r>
          <rPr>
            <b/>
            <sz val="8"/>
            <color indexed="81"/>
            <rFont val="Tahoma"/>
            <family val="2"/>
          </rPr>
          <t>mm98285:</t>
        </r>
        <r>
          <rPr>
            <sz val="8"/>
            <color indexed="81"/>
            <rFont val="Tahoma"/>
            <family val="2"/>
          </rPr>
          <t xml:space="preserve">
8/09: No update to 11-16c
7/09: No update to 11-16c
6/09: no update to $0.11-$0.16
5/09: $0.11-$0.16</t>
        </r>
      </text>
    </comment>
    <comment ref="CL141" authorId="9">
      <text>
        <r>
          <rPr>
            <b/>
            <sz val="8"/>
            <color indexed="81"/>
            <rFont val="Tahoma"/>
            <family val="2"/>
          </rPr>
          <t>ns66486:</t>
        </r>
        <r>
          <rPr>
            <sz val="8"/>
            <color indexed="81"/>
            <rFont val="Tahoma"/>
            <family val="2"/>
          </rPr>
          <t xml:space="preserve">
5/10: expect $0.27-$0.32
6/10: probably stay the same, 32c
8/10: now expect $0.34-$0.36</t>
        </r>
      </text>
    </comment>
    <comment ref="CP141" authorId="5">
      <text>
        <r>
          <rPr>
            <b/>
            <sz val="8"/>
            <color indexed="81"/>
            <rFont val="Tahoma"/>
            <family val="2"/>
          </rPr>
          <t>nicholjs:</t>
        </r>
        <r>
          <rPr>
            <sz val="8"/>
            <color indexed="81"/>
            <rFont val="Tahoma"/>
            <family val="2"/>
          </rPr>
          <t xml:space="preserve">
8/4: expects $0.44-$0.46
45c feels okay
5/18: expects $0.38-$0.43</t>
        </r>
      </text>
    </comment>
    <comment ref="CT141" authorId="4">
      <text>
        <r>
          <rPr>
            <b/>
            <sz val="8"/>
            <color indexed="81"/>
            <rFont val="Tahoma"/>
            <family val="2"/>
          </rPr>
          <t xml:space="preserve">8/2/12 pk: </t>
        </r>
        <r>
          <rPr>
            <sz val="8"/>
            <color indexed="81"/>
            <rFont val="Tahoma"/>
            <family val="2"/>
          </rPr>
          <t>revised guidance to 46-48c</t>
        </r>
        <r>
          <rPr>
            <sz val="8"/>
            <color indexed="81"/>
            <rFont val="Tahoma"/>
            <family val="2"/>
          </rPr>
          <t xml:space="preserve">
7/5/12 pk: prior Mse 48c. 2% incr in 2Q comp with same margins adds 1p
5/17/12 pk: revised from 51c to 48c. Will suffer by 6c. 2c from sourcing biz sale. Additional costs from UK VS opening and marketing calendar shift and LS restructuring.
5/16/12 pk: guidance $.40-$.45</t>
        </r>
      </text>
    </comment>
    <comment ref="CX141" authorId="0">
      <text>
        <r>
          <rPr>
            <b/>
            <sz val="8"/>
            <color indexed="81"/>
            <rFont val="Tahoma"/>
            <family val="2"/>
          </rPr>
          <t xml:space="preserve">casselau:
</t>
        </r>
        <r>
          <rPr>
            <sz val="8"/>
            <color indexed="81"/>
            <rFont val="Tahoma"/>
            <family val="2"/>
          </rPr>
          <t>8/8/13: guidance $0.60</t>
        </r>
        <r>
          <rPr>
            <sz val="8"/>
            <color indexed="81"/>
            <rFont val="Tahoma"/>
            <family val="2"/>
          </rPr>
          <t xml:space="preserve">
5/22/13 guidance:$0.50-$0.55</t>
        </r>
      </text>
    </comment>
    <comment ref="DB141" authorId="0">
      <text>
        <r>
          <rPr>
            <b/>
            <sz val="9"/>
            <color indexed="81"/>
            <rFont val="Tahoma"/>
            <family val="2"/>
          </rPr>
          <t xml:space="preserve">casselau:
8/7/14: </t>
        </r>
        <r>
          <rPr>
            <sz val="9"/>
            <color indexed="81"/>
            <rFont val="Tahoma"/>
            <family val="2"/>
          </rPr>
          <t>expect EPS at high end of 57-62c guidance, includes a severance charge of 2c that was not previously included in guidance
5/21/14: guidance $0.57-$0.62; -2c impact from apparel exit included; higher interest expense and a higher projected tax rate -2c impact</t>
        </r>
      </text>
    </comment>
    <comment ref="DF141" authorId="0">
      <text>
        <r>
          <rPr>
            <b/>
            <sz val="9"/>
            <color indexed="81"/>
            <rFont val="Tahoma"/>
            <family val="2"/>
          </rPr>
          <t>casselau:
8/19/15: includes -2c impact from FX (EPS growth would have been +11%)
8/6/15: raised guidance to 66c-68c</t>
        </r>
        <r>
          <rPr>
            <sz val="9"/>
            <color indexed="81"/>
            <rFont val="Tahoma"/>
            <family val="2"/>
          </rPr>
          <t xml:space="preserve">
5/20/15: guidance 60-65c (includes -2-3c from FX)</t>
        </r>
      </text>
    </comment>
    <comment ref="DJ141" authorId="8">
      <text>
        <r>
          <rPr>
            <b/>
            <sz val="9"/>
            <color indexed="81"/>
            <rFont val="Tahoma"/>
            <family val="2"/>
          </rPr>
          <t xml:space="preserve">Cassel, Lauren (Research):
8/17/16: </t>
        </r>
        <r>
          <rPr>
            <sz val="9"/>
            <color indexed="81"/>
            <rFont val="Tahoma"/>
            <family val="2"/>
          </rPr>
          <t xml:space="preserve">includes a total negative impact of 6c from FX, 5th Ave flagship, and China; offset by 4c of favorability from a lower tax rate in the quarter, driven by discrete favorable tax settlements </t>
        </r>
        <r>
          <rPr>
            <b/>
            <sz val="9"/>
            <color indexed="81"/>
            <rFont val="Tahoma"/>
            <family val="2"/>
          </rPr>
          <t xml:space="preserve">
8/4/16:</t>
        </r>
        <r>
          <rPr>
            <sz val="9"/>
            <color indexed="81"/>
            <rFont val="Tahoma"/>
            <family val="2"/>
          </rPr>
          <t xml:space="preserve"> now expect EPS at the high end of previous 50-60c guidance</t>
        </r>
        <r>
          <rPr>
            <b/>
            <sz val="9"/>
            <color indexed="81"/>
            <rFont val="Tahoma"/>
            <family val="2"/>
          </rPr>
          <t xml:space="preserve">
</t>
        </r>
        <r>
          <rPr>
            <sz val="9"/>
            <color indexed="81"/>
            <rFont val="Tahoma"/>
            <family val="2"/>
          </rPr>
          <t xml:space="preserve">
</t>
        </r>
        <r>
          <rPr>
            <b/>
            <sz val="9"/>
            <color indexed="81"/>
            <rFont val="Tahoma"/>
            <family val="2"/>
          </rPr>
          <t>5/18/16: Guidance 50-60c; includes -8c headwind from FX, 5th ave flagship, and higher interest expense</t>
        </r>
      </text>
    </comment>
    <comment ref="DN141" authorId="8">
      <text>
        <r>
          <rPr>
            <b/>
            <sz val="9"/>
            <color indexed="81"/>
            <rFont val="Tahoma"/>
            <family val="2"/>
          </rPr>
          <t xml:space="preserve">Cassel, Lauren (Research):
8/16/17: </t>
        </r>
        <r>
          <rPr>
            <sz val="9"/>
            <color indexed="81"/>
            <rFont val="Tahoma"/>
            <family val="2"/>
          </rPr>
          <t>earnings upside was delivered through expense control and non-operating income gains, sales missed</t>
        </r>
        <r>
          <rPr>
            <b/>
            <sz val="9"/>
            <color indexed="81"/>
            <rFont val="Tahoma"/>
            <family val="2"/>
          </rPr>
          <t xml:space="preserve">
8/3/17: now expect EPS at the high end of the previous 40-45c range</t>
        </r>
        <r>
          <rPr>
            <sz val="9"/>
            <color indexed="81"/>
            <rFont val="Tahoma"/>
            <family val="2"/>
          </rPr>
          <t xml:space="preserve">
5/17/17: guidance 40-45c</t>
        </r>
      </text>
    </comment>
    <comment ref="BJ142" authorId="2">
      <text>
        <r>
          <rPr>
            <b/>
            <sz val="8"/>
            <color indexed="81"/>
            <rFont val="Tahoma"/>
            <family val="2"/>
          </rPr>
          <t>Corinna Freedman:</t>
        </r>
        <r>
          <rPr>
            <sz val="8"/>
            <color indexed="81"/>
            <rFont val="Tahoma"/>
            <family val="2"/>
          </rPr>
          <t xml:space="preserve">
11/8 guidance incl 3c tax benefit
8/6 guidance incl 2c tax gain</t>
        </r>
      </text>
    </comment>
    <comment ref="BV142" authorId="3">
      <text>
        <r>
          <rPr>
            <b/>
            <sz val="8"/>
            <color indexed="81"/>
            <rFont val="Tahoma"/>
            <family val="2"/>
          </rPr>
          <t>mm98285:</t>
        </r>
        <r>
          <rPr>
            <sz val="8"/>
            <color indexed="81"/>
            <rFont val="Tahoma"/>
            <family val="2"/>
          </rPr>
          <t xml:space="preserve">
11/2: raised guid to 5-7c
8/06: guided to flat vs. LY's breakeven result (inc. 2c options)</t>
        </r>
      </text>
    </comment>
    <comment ref="BZ142" authorId="3">
      <text>
        <r>
          <rPr>
            <b/>
            <sz val="8"/>
            <color indexed="81"/>
            <rFont val="Tahoma"/>
            <family val="2"/>
          </rPr>
          <t>mm98285:</t>
        </r>
        <r>
          <rPr>
            <sz val="8"/>
            <color indexed="81"/>
            <rFont val="Tahoma"/>
            <family val="2"/>
          </rPr>
          <t xml:space="preserve">
3/08: excludes $0.04 for $25mm gain on sale of corp aircraft
10/07: $0.00-$0.04
8/07: comfortable with $0.04</t>
        </r>
      </text>
    </comment>
    <comment ref="CD142" authorId="3">
      <text>
        <r>
          <rPr>
            <b/>
            <sz val="8"/>
            <color indexed="81"/>
            <rFont val="Tahoma"/>
            <family val="2"/>
          </rPr>
          <t>mm98285:</t>
        </r>
        <r>
          <rPr>
            <sz val="8"/>
            <color indexed="81"/>
            <rFont val="Tahoma"/>
            <family val="2"/>
          </rPr>
          <t xml:space="preserve">
11/08: No update $0.00-$0.04
8/08: $0.00-$0.04</t>
        </r>
      </text>
    </comment>
    <comment ref="CH142" authorId="3">
      <text>
        <r>
          <rPr>
            <b/>
            <sz val="8"/>
            <color indexed="81"/>
            <rFont val="Tahoma"/>
            <family val="2"/>
          </rPr>
          <t>mm98285:</t>
        </r>
        <r>
          <rPr>
            <sz val="8"/>
            <color indexed="81"/>
            <rFont val="Tahoma"/>
            <family val="2"/>
          </rPr>
          <t xml:space="preserve">
10/26/09: $0.00-$(0.04)
10/09: no update to $(0.07)-$(0.12)
9/09: no update to $(0.07)-$(0.12)
8/09: $(0.07)-$(0.12)</t>
        </r>
      </text>
    </comment>
    <comment ref="CL142" authorId="18">
      <text>
        <r>
          <rPr>
            <sz val="8"/>
            <color indexed="81"/>
            <rFont val="Tahoma"/>
            <family val="2"/>
          </rPr>
          <t>11/10: now expect $0.15-0.17
8/10: $0.03-$0.08 (impact of Express decreased 3Q by $0.02)
5/20/10 sounds like guidance of 2-4c for 3Q10</t>
        </r>
      </text>
    </comment>
    <comment ref="CP142" authorId="5">
      <text>
        <r>
          <rPr>
            <b/>
            <sz val="8"/>
            <color indexed="81"/>
            <rFont val="Tahoma"/>
            <family val="2"/>
          </rPr>
          <t>nicholjs:</t>
        </r>
        <r>
          <rPr>
            <sz val="8"/>
            <color indexed="81"/>
            <rFont val="Tahoma"/>
            <family val="2"/>
          </rPr>
          <t xml:space="preserve">
8/2011: expects $0.17-0.22
11/2011: expects $0.22-0.24</t>
        </r>
      </text>
    </comment>
    <comment ref="CT142" authorId="0">
      <text>
        <r>
          <rPr>
            <b/>
            <sz val="8"/>
            <color indexed="81"/>
            <rFont val="Tahoma"/>
            <family val="2"/>
          </rPr>
          <t>casselau:</t>
        </r>
        <r>
          <rPr>
            <sz val="8"/>
            <color indexed="81"/>
            <rFont val="Tahoma"/>
            <family val="2"/>
          </rPr>
          <t xml:space="preserve">
11/1: $0.23-$0.25
8/15: $0.15-$0.20</t>
        </r>
      </text>
    </comment>
    <comment ref="CX142" authorId="0">
      <text>
        <r>
          <rPr>
            <b/>
            <sz val="8"/>
            <color indexed="81"/>
            <rFont val="Tahoma"/>
            <family val="2"/>
          </rPr>
          <t xml:space="preserve">11/7/13: </t>
        </r>
        <r>
          <rPr>
            <sz val="8"/>
            <color indexed="81"/>
            <rFont val="Tahoma"/>
            <family val="2"/>
          </rPr>
          <t>Expect 3Q EPS at high end of previous guidance of $0.23 to $0.28</t>
        </r>
        <r>
          <rPr>
            <b/>
            <sz val="8"/>
            <color indexed="81"/>
            <rFont val="Tahoma"/>
            <family val="2"/>
          </rPr>
          <t xml:space="preserve">
casselau:</t>
        </r>
        <r>
          <rPr>
            <sz val="8"/>
            <color indexed="81"/>
            <rFont val="Tahoma"/>
            <family val="2"/>
          </rPr>
          <t xml:space="preserve">
8/21/13: guidance $0.23-$0.28
8/8/13: per Amie: typically high end of guidance is 10% growth vs. LY</t>
        </r>
      </text>
    </comment>
    <comment ref="DB142" authorId="0">
      <text>
        <r>
          <rPr>
            <b/>
            <sz val="9"/>
            <color indexed="81"/>
            <rFont val="Tahoma"/>
            <family val="2"/>
          </rPr>
          <t xml:space="preserve">casselau:
11/3/14: </t>
        </r>
        <r>
          <rPr>
            <sz val="9"/>
            <color indexed="81"/>
            <rFont val="Tahoma"/>
            <family val="2"/>
          </rPr>
          <t>now expects 38-40c</t>
        </r>
        <r>
          <rPr>
            <sz val="9"/>
            <color indexed="81"/>
            <rFont val="Tahoma"/>
            <family val="2"/>
          </rPr>
          <t xml:space="preserve">
</t>
        </r>
        <r>
          <rPr>
            <b/>
            <sz val="9"/>
            <color indexed="81"/>
            <rFont val="Tahoma"/>
            <family val="2"/>
          </rPr>
          <t>8/20/14:</t>
        </r>
        <r>
          <rPr>
            <sz val="9"/>
            <color indexed="81"/>
            <rFont val="Tahoma"/>
            <family val="2"/>
          </rPr>
          <t xml:space="preserve"> guidance $0.26-$0.31 (includes -3-4c impact of non-core category exit)</t>
        </r>
      </text>
    </comment>
    <comment ref="DF142" authorId="0">
      <text>
        <r>
          <rPr>
            <b/>
            <sz val="9"/>
            <color indexed="81"/>
            <rFont val="Tahoma"/>
            <family val="2"/>
          </rPr>
          <t>casselau:
11/2/15: now expect 3Q EPS of 51-53c</t>
        </r>
        <r>
          <rPr>
            <sz val="9"/>
            <color indexed="81"/>
            <rFont val="Tahoma"/>
            <family val="2"/>
          </rPr>
          <t xml:space="preserve">
8/19/15: guidance 40-45c (including -3c FX impact)</t>
        </r>
      </text>
    </comment>
    <comment ref="DJ142" authorId="8">
      <text>
        <r>
          <rPr>
            <b/>
            <sz val="9"/>
            <color indexed="81"/>
            <rFont val="Tahoma"/>
            <family val="2"/>
          </rPr>
          <t xml:space="preserve">Cassel, Lauren (Research):
11/16/16: </t>
        </r>
        <r>
          <rPr>
            <sz val="9"/>
            <color indexed="81"/>
            <rFont val="Tahoma"/>
            <family val="2"/>
          </rPr>
          <t xml:space="preserve">This result includes a total negative impact of about 9c related to foreign currency, our investments in the Victoria’s Fifth Avenue flagship store and in China, and net higher non-operating expense, principally interest. </t>
        </r>
        <r>
          <rPr>
            <b/>
            <sz val="9"/>
            <color indexed="81"/>
            <rFont val="Tahoma"/>
            <family val="2"/>
          </rPr>
          <t xml:space="preserve">
10/31/16: now expect 40c 3Q EPS</t>
        </r>
        <r>
          <rPr>
            <sz val="9"/>
            <color indexed="81"/>
            <rFont val="Tahoma"/>
            <family val="2"/>
          </rPr>
          <t xml:space="preserve">
8/17/16: guidance 40-45c (includes -7c headwind from FX, 5th ave, and China)</t>
        </r>
      </text>
    </comment>
    <comment ref="DN142" authorId="8">
      <text>
        <r>
          <rPr>
            <b/>
            <sz val="9"/>
            <color indexed="81"/>
            <rFont val="Tahoma"/>
            <family val="2"/>
          </rPr>
          <t>Cassel, Lauren (Research):
11/1/17: now expect 3Q EPS at the high end of the initial 25-30c guidance</t>
        </r>
        <r>
          <rPr>
            <sz val="9"/>
            <color indexed="81"/>
            <rFont val="Tahoma"/>
            <family val="2"/>
          </rPr>
          <t xml:space="preserve">
8/16/17: guidance 25-30c</t>
        </r>
      </text>
    </comment>
    <comment ref="BF143" authorId="1">
      <text>
        <r>
          <rPr>
            <b/>
            <sz val="8"/>
            <color indexed="81"/>
            <rFont val="Tahoma"/>
            <family val="2"/>
          </rPr>
          <t>dliu:</t>
        </r>
        <r>
          <rPr>
            <sz val="8"/>
            <color indexed="81"/>
            <rFont val="Tahoma"/>
            <family val="2"/>
          </rPr>
          <t xml:space="preserve">
0.74</t>
        </r>
      </text>
    </comment>
    <comment ref="BN143" authorId="10">
      <text>
        <r>
          <rPr>
            <b/>
            <sz val="8"/>
            <color indexed="81"/>
            <rFont val="Tahoma"/>
            <family val="2"/>
          </rPr>
          <t>kg51925:</t>
        </r>
        <r>
          <rPr>
            <sz val="8"/>
            <color indexed="81"/>
            <rFont val="Tahoma"/>
            <family val="2"/>
          </rPr>
          <t xml:space="preserve">
2/22/06 includes 4c benefit from gift card breakage ($30.4mm revenue and pre-tax income)</t>
        </r>
      </text>
    </comment>
    <comment ref="BR143" authorId="2">
      <text>
        <r>
          <rPr>
            <b/>
            <sz val="8"/>
            <color indexed="81"/>
            <rFont val="Tahoma"/>
            <family val="2"/>
          </rPr>
          <t>KG:</t>
        </r>
        <r>
          <rPr>
            <sz val="8"/>
            <color indexed="81"/>
            <rFont val="Tahoma"/>
            <family val="2"/>
          </rPr>
          <t xml:space="preserve">
2/22/06 $1.28 includes 25c re: tax matter resolution, 4c re: recog gift card breakage, and -6c re: change from retail to cost method
11/16: mgmt comf w/ $1 (cons)</t>
        </r>
      </text>
    </comment>
    <comment ref="BV143" authorId="3">
      <text>
        <r>
          <rPr>
            <b/>
            <sz val="8"/>
            <color indexed="81"/>
            <rFont val="Tahoma"/>
            <family val="2"/>
          </rPr>
          <t>mm98285:</t>
        </r>
        <r>
          <rPr>
            <sz val="8"/>
            <color indexed="81"/>
            <rFont val="Tahoma"/>
            <family val="2"/>
          </rPr>
          <t xml:space="preserve">
+4c from 53rd week
2/07: stock options=$0.02
11/06: guid $1.07-$1.14</t>
        </r>
      </text>
    </comment>
    <comment ref="BZ143" authorId="3">
      <text>
        <r>
          <rPr>
            <b/>
            <sz val="8"/>
            <color indexed="81"/>
            <rFont val="Tahoma"/>
            <family val="2"/>
          </rPr>
          <t>mm98285:</t>
        </r>
        <r>
          <rPr>
            <sz val="8"/>
            <color indexed="81"/>
            <rFont val="Tahoma"/>
            <family val="2"/>
          </rPr>
          <t xml:space="preserve">
3/08: excludes $0.08 for gift card breakage and $0.08 tax benefit
1/08: expect to come in at low to mid-point of prior $0.90-$1.05
11/07: guided to $0.90-$1.05
8/07: comfortable with $1.18</t>
        </r>
      </text>
    </comment>
    <comment ref="CD143" authorId="3">
      <text>
        <r>
          <rPr>
            <b/>
            <sz val="8"/>
            <color indexed="81"/>
            <rFont val="Tahoma"/>
            <family val="2"/>
          </rPr>
          <t>mm98285:</t>
        </r>
        <r>
          <rPr>
            <sz val="8"/>
            <color indexed="81"/>
            <rFont val="Tahoma"/>
            <family val="2"/>
          </rPr>
          <t xml:space="preserve">
2/09: No update to 55-70c
1/09: lowered to $0.55-$0.70
12/08: $0.85-$1.00
11/08: expect $0.85-$1.00
8/08: $0.02 mid-point of 3Q guid. implies 4Q guid of $1.05-$1.20</t>
        </r>
      </text>
    </comment>
    <comment ref="CH143" authorId="3">
      <text>
        <r>
          <rPr>
            <b/>
            <sz val="8"/>
            <color indexed="81"/>
            <rFont val="Tahoma"/>
            <family val="2"/>
          </rPr>
          <t>mm98285:</t>
        </r>
        <r>
          <rPr>
            <sz val="8"/>
            <color indexed="81"/>
            <rFont val="Tahoma"/>
            <family val="2"/>
          </rPr>
          <t xml:space="preserve">
1/10: Raise to 92-97c
11/09: $0.71-$0.86 (includes 2c cost from La Senza Girl closures)
8/09: guid. implies ~$0.65-$0.80</t>
        </r>
      </text>
    </comment>
    <comment ref="CL143" authorId="5">
      <text>
        <r>
          <rPr>
            <b/>
            <sz val="8"/>
            <color indexed="81"/>
            <rFont val="Tahoma"/>
            <family val="2"/>
          </rPr>
          <t>nicholjs:</t>
        </r>
        <r>
          <rPr>
            <sz val="8"/>
            <color indexed="81"/>
            <rFont val="Tahoma"/>
            <family val="2"/>
          </rPr>
          <t xml:space="preserve">
excludes $44.9mm or $0.09 per share related to the sale of Express stock and $7.1mm or $0.01 per share related to an Express dividend payment
2/2011: expect $1.23-$1.25
11/2010: expect $1.02-1.17</t>
        </r>
      </text>
    </comment>
    <comment ref="CP143" authorId="5">
      <text>
        <r>
          <rPr>
            <b/>
            <sz val="8"/>
            <color indexed="81"/>
            <rFont val="Tahoma"/>
            <family val="2"/>
          </rPr>
          <t xml:space="preserve">2/2012: </t>
        </r>
        <r>
          <rPr>
            <sz val="8"/>
            <color indexed="81"/>
            <rFont val="Tahoma"/>
            <family val="2"/>
          </rPr>
          <t xml:space="preserve">high end of guidance of $1.42-$1.46; Special items in Q4, not included in adj EPS. Pre-tax gain of $115 or 37c from sale of third party sourcing business. $220 - $270M (64-78c) related to intangible asset impairment and store closures at La Senza
</t>
        </r>
        <r>
          <rPr>
            <b/>
            <sz val="8"/>
            <color indexed="81"/>
            <rFont val="Tahoma"/>
            <family val="2"/>
          </rPr>
          <t xml:space="preserve">1/2012: </t>
        </r>
        <r>
          <rPr>
            <sz val="8"/>
            <color indexed="81"/>
            <rFont val="Tahoma"/>
            <family val="2"/>
          </rPr>
          <t xml:space="preserve">expects $1.42-$1.46
</t>
        </r>
        <r>
          <rPr>
            <b/>
            <sz val="8"/>
            <color indexed="81"/>
            <rFont val="Tahoma"/>
            <family val="2"/>
          </rPr>
          <t xml:space="preserve">11/2011: </t>
        </r>
        <r>
          <rPr>
            <sz val="8"/>
            <color indexed="81"/>
            <rFont val="Tahoma"/>
            <family val="2"/>
          </rPr>
          <t xml:space="preserve">expects $1.28-1.43
</t>
        </r>
      </text>
    </comment>
    <comment ref="CT143" authorId="7">
      <text>
        <r>
          <rPr>
            <b/>
            <sz val="8"/>
            <color indexed="81"/>
            <rFont val="Tahoma"/>
            <family val="2"/>
          </rPr>
          <t xml:space="preserve">11/14: guidance $1.62-$1.77; </t>
        </r>
        <r>
          <rPr>
            <sz val="8"/>
            <color indexed="81"/>
            <rFont val="Tahoma"/>
            <family val="2"/>
          </rPr>
          <t>extra week ~$0.08</t>
        </r>
        <r>
          <rPr>
            <b/>
            <sz val="8"/>
            <color indexed="81"/>
            <rFont val="Tahoma"/>
            <family val="2"/>
          </rPr>
          <t xml:space="preserve">
5/17/12: </t>
        </r>
        <r>
          <rPr>
            <sz val="8"/>
            <color indexed="81"/>
            <rFont val="Tahoma"/>
            <family val="2"/>
          </rPr>
          <t>changed from $1.83 to $1.79 on tax rate</t>
        </r>
        <r>
          <rPr>
            <b/>
            <sz val="8"/>
            <color indexed="81"/>
            <rFont val="Tahoma"/>
            <family val="2"/>
          </rPr>
          <t xml:space="preserve">
kahng: </t>
        </r>
        <r>
          <rPr>
            <sz val="8"/>
            <color indexed="81"/>
            <rFont val="Tahoma"/>
            <family val="2"/>
          </rPr>
          <t>$1.68 excl addt'l 53rd week</t>
        </r>
      </text>
    </comment>
    <comment ref="CX143" authorId="0">
      <text>
        <r>
          <rPr>
            <b/>
            <sz val="8"/>
            <color indexed="81"/>
            <rFont val="Tahoma"/>
            <family val="2"/>
          </rPr>
          <t xml:space="preserve">casselau:
</t>
        </r>
        <r>
          <rPr>
            <sz val="8"/>
            <color indexed="81"/>
            <rFont val="Tahoma"/>
            <family val="2"/>
          </rPr>
          <t>2/6/14: now expect slightly above $1.60</t>
        </r>
        <r>
          <rPr>
            <b/>
            <sz val="8"/>
            <color indexed="81"/>
            <rFont val="Tahoma"/>
            <family val="2"/>
          </rPr>
          <t xml:space="preserve">
</t>
        </r>
        <r>
          <rPr>
            <sz val="8"/>
            <color indexed="81"/>
            <rFont val="Tahoma"/>
            <family val="2"/>
          </rPr>
          <t>1/9/14: now expect $1.60</t>
        </r>
        <r>
          <rPr>
            <sz val="8"/>
            <color indexed="81"/>
            <rFont val="Tahoma"/>
            <family val="2"/>
          </rPr>
          <t xml:space="preserve">
11/20: guidance $1.67-$1.82 (includes incremental interest expense of ~$0.02 related to the $500M notes issued in October)</t>
        </r>
      </text>
    </comment>
    <comment ref="DB143" authorId="0">
      <text>
        <r>
          <rPr>
            <b/>
            <sz val="9"/>
            <color indexed="81"/>
            <rFont val="Tahoma"/>
            <family val="2"/>
          </rPr>
          <t>casselau:
2/5/15: now expect $1.78-$1.80</t>
        </r>
        <r>
          <rPr>
            <sz val="9"/>
            <color indexed="81"/>
            <rFont val="Tahoma"/>
            <family val="2"/>
          </rPr>
          <t xml:space="preserve">
11/19/14: guidance $1.61-$1.71 (includes 5c impact from Direct apparel/makeup exit) </t>
        </r>
      </text>
    </comment>
    <comment ref="DF143" authorId="0">
      <text>
        <r>
          <rPr>
            <b/>
            <sz val="9"/>
            <color indexed="81"/>
            <rFont val="Tahoma"/>
            <family val="2"/>
          </rPr>
          <t>casselau:
2/25/16: FX -5c
2/4/16: now expect $2.05</t>
        </r>
        <r>
          <rPr>
            <sz val="9"/>
            <color indexed="81"/>
            <rFont val="Tahoma"/>
            <family val="2"/>
          </rPr>
          <t xml:space="preserve">
11/19/15: guidance $1.85-1.95 (incorporates 4c hit from new debt issuance and -5c FX)</t>
        </r>
      </text>
    </comment>
    <comment ref="DJ143" authorId="8">
      <text>
        <r>
          <rPr>
            <b/>
            <sz val="9"/>
            <color indexed="81"/>
            <rFont val="Tahoma"/>
            <family val="2"/>
          </rPr>
          <t xml:space="preserve">Cassel, Lauren (Research):
2/2/17: now expect $1.90 4Q EPS 
2/22/17: lower tax rate added 11c
1/5/2017: </t>
        </r>
        <r>
          <rPr>
            <sz val="9"/>
            <color indexed="81"/>
            <rFont val="Tahoma"/>
            <family val="2"/>
          </rPr>
          <t xml:space="preserve">now expect EPS toward the lower end  of previous $1.85-2.00 guidance
</t>
        </r>
        <r>
          <rPr>
            <b/>
            <sz val="9"/>
            <color indexed="81"/>
            <rFont val="Tahoma"/>
            <family val="2"/>
          </rPr>
          <t xml:space="preserve">11/16/15: </t>
        </r>
        <r>
          <rPr>
            <sz val="9"/>
            <color indexed="81"/>
            <rFont val="Tahoma"/>
            <family val="2"/>
          </rPr>
          <t>4Q guidance $1.85-2.00; includes -5c impact from investment in China and F/X</t>
        </r>
      </text>
    </comment>
    <comment ref="DN143" authorId="8">
      <text>
        <r>
          <rPr>
            <b/>
            <sz val="9"/>
            <color indexed="81"/>
            <rFont val="Tahoma"/>
            <family val="2"/>
          </rPr>
          <t xml:space="preserve">Cassel, Lauren (Research):
2/28/17: extra week added 10c; excludes a $45.0 million pre-tax loss ($28.8 million net of tax of $16.2 million), included in other income (loss), associated with the early extinguishment of our June 2019 notes and a $92.2 million tax benefit related to changes in U.S. tax legislation.
2/8/18: Now expect 4Q EPS of $2.05 vs. $2.00 prior – the increase vs. the previous guidance relates to a lower projected tax rate of 34% (which does not include any impact from tax reform legislation), compared to guidance of 36.5%; 53rd week added $150M to sales and 7c in EPS
</t>
        </r>
        <r>
          <rPr>
            <sz val="9"/>
            <color indexed="81"/>
            <rFont val="Tahoma"/>
            <family val="2"/>
          </rPr>
          <t xml:space="preserve">
11/15/17: guidance $1.95-2.10 (includes 9c from 53rd week)</t>
        </r>
      </text>
    </comment>
    <comment ref="BF144" authorId="1">
      <text>
        <r>
          <rPr>
            <b/>
            <sz val="8"/>
            <color indexed="81"/>
            <rFont val="Tahoma"/>
            <family val="2"/>
          </rPr>
          <t>dliu:</t>
        </r>
        <r>
          <rPr>
            <sz val="8"/>
            <color indexed="81"/>
            <rFont val="Tahoma"/>
            <family val="2"/>
          </rPr>
          <t xml:space="preserve">
1.11</t>
        </r>
      </text>
    </comment>
    <comment ref="BJ144" authorId="1">
      <text>
        <r>
          <rPr>
            <b/>
            <sz val="8"/>
            <color indexed="81"/>
            <rFont val="Tahoma"/>
            <family val="2"/>
          </rPr>
          <t>dliu:</t>
        </r>
        <r>
          <rPr>
            <sz val="8"/>
            <color indexed="81"/>
            <rFont val="Tahoma"/>
            <family val="2"/>
          </rPr>
          <t xml:space="preserve">
1.29</t>
        </r>
      </text>
    </comment>
    <comment ref="BV144" authorId="15">
      <text>
        <r>
          <rPr>
            <b/>
            <sz val="8"/>
            <color indexed="81"/>
            <rFont val="Tahoma"/>
            <family val="2"/>
          </rPr>
          <t>MB33100:</t>
        </r>
        <r>
          <rPr>
            <sz val="8"/>
            <color indexed="81"/>
            <rFont val="Tahoma"/>
            <family val="2"/>
          </rPr>
          <t xml:space="preserve">
2/07: stock options = $0.05
8/06: guided to $1.55-$1.65 (incl 5c of options)
5/06: increased guidance to $1.50-$1.60 (incl. 4c of stock options)
2/06 guided to $1.40-$1.50 for full year 2006</t>
        </r>
      </text>
    </comment>
    <comment ref="BZ144" authorId="3">
      <text>
        <r>
          <rPr>
            <b/>
            <sz val="8"/>
            <color indexed="81"/>
            <rFont val="Tahoma"/>
            <family val="2"/>
          </rPr>
          <t>mm98285:</t>
        </r>
        <r>
          <rPr>
            <sz val="8"/>
            <color indexed="81"/>
            <rFont val="Tahoma"/>
            <family val="2"/>
          </rPr>
          <t xml:space="preserve">
5/07: lowered guid to $1.55-$1.65
2/07: guide to $1.75-$1.90</t>
        </r>
      </text>
    </comment>
    <comment ref="CD144" authorId="3">
      <text>
        <r>
          <rPr>
            <b/>
            <sz val="8"/>
            <color indexed="81"/>
            <rFont val="Tahoma"/>
            <family val="2"/>
          </rPr>
          <t>mm98285:</t>
        </r>
        <r>
          <rPr>
            <sz val="8"/>
            <color indexed="81"/>
            <rFont val="Tahoma"/>
            <family val="2"/>
          </rPr>
          <t xml:space="preserve">
8/08: expect $1.45-$1.60
5/08: expect $1.38-$1.58
2/08: expect $1.35-$1.55</t>
        </r>
      </text>
    </comment>
    <comment ref="CH144" authorId="3">
      <text>
        <r>
          <rPr>
            <b/>
            <sz val="8"/>
            <color indexed="81"/>
            <rFont val="Tahoma"/>
            <family val="2"/>
          </rPr>
          <t>mm98285:</t>
        </r>
        <r>
          <rPr>
            <sz val="8"/>
            <color indexed="81"/>
            <rFont val="Tahoma"/>
            <family val="2"/>
          </rPr>
          <t xml:space="preserve">
11/09: $0.93-$1.08
8/09: $0.75-$0.90
5/09: $0.67-$0.87
2/09: $0.60-$0.85</t>
        </r>
      </text>
    </comment>
    <comment ref="CL144" authorId="3">
      <text>
        <r>
          <rPr>
            <sz val="8"/>
            <color indexed="81"/>
            <rFont val="Tahoma"/>
            <family val="2"/>
          </rPr>
          <t>11/10: $1.82-$1.97
8/10: $1.68-$1.83 (impact of Express decreased by $0.08)
5/10: $1.60-$1.80</t>
        </r>
        <r>
          <rPr>
            <sz val="8"/>
            <color indexed="81"/>
            <rFont val="Tahoma"/>
            <family val="2"/>
          </rPr>
          <t xml:space="preserve">
2/10: $1.40-$1.60</t>
        </r>
      </text>
    </comment>
    <comment ref="CP144" authorId="5">
      <text>
        <r>
          <rPr>
            <sz val="8"/>
            <color indexed="81"/>
            <rFont val="Tahoma"/>
            <family val="2"/>
          </rPr>
          <t>11/2011: expects $2.38-2.53</t>
        </r>
        <r>
          <rPr>
            <sz val="8"/>
            <color indexed="81"/>
            <rFont val="Tahoma"/>
            <family val="2"/>
          </rPr>
          <t xml:space="preserve">
8/2011: expects $2.35-2.50
5/2011: expects $2.25-2.45
2/2011: expect $2.15-2.35</t>
        </r>
      </text>
    </comment>
    <comment ref="CT144" authorId="7">
      <text>
        <r>
          <rPr>
            <b/>
            <sz val="8"/>
            <color indexed="81"/>
            <rFont val="Tahoma"/>
            <family val="2"/>
          </rPr>
          <t xml:space="preserve">11/14: $2.78-$2.93 </t>
        </r>
        <r>
          <rPr>
            <sz val="8"/>
            <color indexed="81"/>
            <rFont val="Tahoma"/>
            <family val="2"/>
          </rPr>
          <t>(53rd week ~8c)</t>
        </r>
        <r>
          <rPr>
            <b/>
            <sz val="8"/>
            <color indexed="81"/>
            <rFont val="Tahoma"/>
            <family val="2"/>
          </rPr>
          <t xml:space="preserve">
8/15: $2.73-$2.88
kahng:</t>
        </r>
        <r>
          <rPr>
            <sz val="8"/>
            <color indexed="81"/>
            <rFont val="Tahoma"/>
            <family val="2"/>
          </rPr>
          <t xml:space="preserve">
5/17/12: revised from $2.97 to $2.92
5/16/12: $2.63-$2.83
2/22/12: $2.60-$2.80
2/2012: We est $2.97 excl 53rd week vs $2.99
2/2/12: our guess is they guide 2012 to 4-14% EPS growth or $2.65-2.90</t>
        </r>
      </text>
    </comment>
    <comment ref="CX144" authorId="0">
      <text>
        <r>
          <rPr>
            <b/>
            <sz val="8"/>
            <color indexed="81"/>
            <rFont val="Tahoma"/>
            <family val="2"/>
          </rPr>
          <t>casselau:
11/20: guidance $3.07-$3.22</t>
        </r>
        <r>
          <rPr>
            <sz val="8"/>
            <color indexed="81"/>
            <rFont val="Tahoma"/>
            <family val="2"/>
          </rPr>
          <t xml:space="preserve">
8/22/13: guidance $3.06-$3.21</t>
        </r>
        <r>
          <rPr>
            <b/>
            <sz val="8"/>
            <color indexed="81"/>
            <rFont val="Tahoma"/>
            <family val="2"/>
          </rPr>
          <t xml:space="preserve">
</t>
        </r>
        <r>
          <rPr>
            <sz val="8"/>
            <color indexed="81"/>
            <rFont val="Tahoma"/>
            <family val="2"/>
          </rPr>
          <t>5/22/13:</t>
        </r>
        <r>
          <rPr>
            <b/>
            <sz val="8"/>
            <color indexed="81"/>
            <rFont val="Tahoma"/>
            <family val="2"/>
          </rPr>
          <t xml:space="preserve"> </t>
        </r>
        <r>
          <rPr>
            <sz val="8"/>
            <color indexed="81"/>
            <rFont val="Tahoma"/>
            <family val="2"/>
          </rPr>
          <t>guidance $2.95-$3.15</t>
        </r>
        <r>
          <rPr>
            <sz val="8"/>
            <color indexed="81"/>
            <rFont val="Tahoma"/>
            <family val="2"/>
          </rPr>
          <t xml:space="preserve">
2/27/13: guidance $2.92-$3.12</t>
        </r>
      </text>
    </comment>
    <comment ref="CY144" authorId="0">
      <text>
        <r>
          <rPr>
            <b/>
            <sz val="9"/>
            <color indexed="81"/>
            <rFont val="Tahoma"/>
            <family val="2"/>
          </rPr>
          <t>casselau:</t>
        </r>
        <r>
          <rPr>
            <sz val="9"/>
            <color indexed="81"/>
            <rFont val="Tahoma"/>
            <family val="2"/>
          </rPr>
          <t xml:space="preserve">
2/27/14: excluding extra week, EPS +7% for the year</t>
        </r>
      </text>
    </comment>
    <comment ref="DB144" authorId="0">
      <text>
        <r>
          <rPr>
            <b/>
            <sz val="8"/>
            <color indexed="81"/>
            <rFont val="Tahoma"/>
            <family val="2"/>
          </rPr>
          <t>casselau:
11/14/14: guidance $3.21-3.31</t>
        </r>
        <r>
          <rPr>
            <sz val="8"/>
            <color indexed="81"/>
            <rFont val="Tahoma"/>
            <family val="2"/>
          </rPr>
          <t xml:space="preserve"> (includes 10-12c impact of Direct apparel exit)</t>
        </r>
        <r>
          <rPr>
            <b/>
            <sz val="8"/>
            <color indexed="81"/>
            <rFont val="Tahoma"/>
            <family val="2"/>
          </rPr>
          <t xml:space="preserve">
8/20/14: </t>
        </r>
        <r>
          <rPr>
            <sz val="8"/>
            <color indexed="81"/>
            <rFont val="Tahoma"/>
            <family val="2"/>
          </rPr>
          <t>guidance $3.03-$3.18</t>
        </r>
        <r>
          <rPr>
            <b/>
            <sz val="8"/>
            <color indexed="81"/>
            <rFont val="Tahoma"/>
            <family val="2"/>
          </rPr>
          <t xml:space="preserve">
5/21/14: </t>
        </r>
        <r>
          <rPr>
            <sz val="8"/>
            <color indexed="81"/>
            <rFont val="Tahoma"/>
            <family val="2"/>
          </rPr>
          <t>guidance $3.00-$3.15; VS direct apparel a -10c to -12c impact (2c in 2Q, ~4c in 3Q, ~5c in 4Q); Higher interest expense, shares outstanding, and tax rate are negatively impacting our full year earnings by about $0.07
2/26/14: guidance $3.00-$3.20</t>
        </r>
      </text>
    </comment>
    <comment ref="DF144" authorId="12">
      <text>
        <r>
          <rPr>
            <b/>
            <sz val="9"/>
            <color indexed="81"/>
            <rFont val="Tahoma"/>
            <family val="2"/>
          </rPr>
          <t xml:space="preserve">2/26/15: FX -13c
11/19/15: guidance now expect $3.69-$3.79 (including -12c FX impact)
</t>
        </r>
        <r>
          <rPr>
            <sz val="9"/>
            <color indexed="81"/>
            <rFont val="Tahoma"/>
            <family val="2"/>
          </rPr>
          <t>8/19/15: now expect $3.58-$3.73 (including -12c impact from FX, and -7C from higher tax rate)
5/20/15: now expect $3.50-3.70  (includes -7c higher tax rate impact and -10 to -12c FX impact)
2/25/15 guidance: $3.45-3.65 (includes -7c higher tax rate impact and -10 to -12c FX impact)</t>
        </r>
      </text>
    </comment>
    <comment ref="DJ144" authorId="0">
      <text>
        <r>
          <rPr>
            <b/>
            <sz val="9"/>
            <color indexed="81"/>
            <rFont val="Tahoma"/>
            <family val="2"/>
          </rPr>
          <t xml:space="preserve">casselau:
11/16/16: updated guidance $3.56-3.71 </t>
        </r>
        <r>
          <rPr>
            <sz val="9"/>
            <color indexed="81"/>
            <rFont val="Tahoma"/>
            <family val="2"/>
          </rPr>
          <t>(The net negative impact of our investment in China, the Fifth Avenue flagship store, F/X, net higher non-operating expense, principally interest, and lower share count is about 26c for the year)</t>
        </r>
        <r>
          <rPr>
            <b/>
            <sz val="9"/>
            <color indexed="81"/>
            <rFont val="Tahoma"/>
            <family val="2"/>
          </rPr>
          <t xml:space="preserve">
8/17/16: </t>
        </r>
        <r>
          <rPr>
            <sz val="9"/>
            <color indexed="81"/>
            <rFont val="Tahoma"/>
            <family val="2"/>
          </rPr>
          <t>updated guidance: $3.70-$3.85; includes -7c FX impact</t>
        </r>
        <r>
          <rPr>
            <b/>
            <sz val="9"/>
            <color indexed="81"/>
            <rFont val="Tahoma"/>
            <family val="2"/>
          </rPr>
          <t xml:space="preserve">
3/18/16: </t>
        </r>
        <r>
          <rPr>
            <sz val="9"/>
            <color indexed="81"/>
            <rFont val="Tahoma"/>
            <family val="2"/>
          </rPr>
          <t>Now expects $3.60-$3.80; includes impact of 20c related to VS (estimate due to strategic changes as well as a decline related to sales deceleration); and incremental costs of approximately 10c related to China; FX will be -6c impact</t>
        </r>
        <r>
          <rPr>
            <b/>
            <sz val="9"/>
            <color indexed="81"/>
            <rFont val="Tahoma"/>
            <family val="2"/>
          </rPr>
          <t xml:space="preserve">
</t>
        </r>
        <r>
          <rPr>
            <sz val="9"/>
            <color indexed="81"/>
            <rFont val="Tahoma"/>
            <family val="2"/>
          </rPr>
          <t xml:space="preserve">
2/24/16: $3.90-4.10 (includes negtaive impacts from FX and incremental interest expense)</t>
        </r>
      </text>
    </comment>
    <comment ref="DN144" authorId="8">
      <text>
        <r>
          <rPr>
            <b/>
            <sz val="9"/>
            <color indexed="81"/>
            <rFont val="Tahoma"/>
            <family val="2"/>
          </rPr>
          <t xml:space="preserve">Cassel, Lauren (Research):
11/1/17: reiterates full year $3.00-$3.20 EPS
8/16/17: guidance $3.00-$3.20; </t>
        </r>
        <r>
          <rPr>
            <sz val="9"/>
            <color indexed="81"/>
            <rFont val="Tahoma"/>
            <family val="2"/>
          </rPr>
          <t>9c benefit of 53rd week is partially offset by assume higher tax rate of 35.0%</t>
        </r>
        <r>
          <rPr>
            <b/>
            <sz val="9"/>
            <color indexed="81"/>
            <rFont val="Tahoma"/>
            <family val="2"/>
          </rPr>
          <t xml:space="preserve">
</t>
        </r>
        <r>
          <rPr>
            <sz val="9"/>
            <color indexed="81"/>
            <rFont val="Tahoma"/>
            <family val="2"/>
          </rPr>
          <t>5/17/17: now expect $3.10-$3.40; 9c benefit of 53rd week is partially offset by assume higher tax rate of 35.3%</t>
        </r>
        <r>
          <rPr>
            <b/>
            <sz val="9"/>
            <color indexed="81"/>
            <rFont val="Tahoma"/>
            <family val="2"/>
          </rPr>
          <t xml:space="preserve">
</t>
        </r>
        <r>
          <rPr>
            <sz val="9"/>
            <color indexed="81"/>
            <rFont val="Tahoma"/>
            <family val="2"/>
          </rPr>
          <t xml:space="preserve">
2/22/17: guidance $3.05-3.35; the 9c benefit of the 53rd week is completely offset by the assume higher tax rate of 36.5% </t>
        </r>
      </text>
    </comment>
    <comment ref="DR144" authorId="8">
      <text>
        <r>
          <rPr>
            <b/>
            <sz val="9"/>
            <color indexed="81"/>
            <rFont val="Tahoma"/>
            <family val="2"/>
          </rPr>
          <t>Cassel, Lauren (Research):</t>
        </r>
        <r>
          <rPr>
            <sz val="9"/>
            <color indexed="81"/>
            <rFont val="Tahoma"/>
            <family val="2"/>
          </rPr>
          <t xml:space="preserve">
2/28/18: guidance $2.95-$3.25</t>
        </r>
      </text>
    </comment>
    <comment ref="Z150" authorId="1">
      <text>
        <r>
          <rPr>
            <b/>
            <sz val="8"/>
            <color indexed="81"/>
            <rFont val="Tahoma"/>
            <family val="2"/>
          </rPr>
          <t>dliu:</t>
        </r>
        <r>
          <rPr>
            <sz val="8"/>
            <color indexed="81"/>
            <rFont val="Tahoma"/>
            <family val="2"/>
          </rPr>
          <t xml:space="preserve">
May 15, 95 - split 2 co into 2 public cos: 85% owned by LTD, w/ balance owned by shareholders. Grouped based on complementary operations and opportunities: Intimate Brands: (VS Stores, Catalog, BBW, Cacique, Penhaligons, and Gryphon). Second co (Express, LImited, Lerner, Lane Bryant, and Henri Bendel).</t>
        </r>
      </text>
    </comment>
    <comment ref="BV150" authorId="3">
      <text>
        <r>
          <rPr>
            <b/>
            <sz val="8"/>
            <color indexed="81"/>
            <rFont val="Tahoma"/>
            <family val="2"/>
          </rPr>
          <t>mm98285:</t>
        </r>
        <r>
          <rPr>
            <sz val="8"/>
            <color indexed="81"/>
            <rFont val="Tahoma"/>
            <family val="2"/>
          </rPr>
          <t xml:space="preserve">
4Q05: Mgmt guided to 16c (incl. 1c stock options)</t>
        </r>
      </text>
    </comment>
    <comment ref="BN153" authorId="2">
      <text>
        <r>
          <rPr>
            <b/>
            <sz val="8"/>
            <color indexed="81"/>
            <rFont val="Tahoma"/>
            <family val="2"/>
          </rPr>
          <t>Corinna Freedman:</t>
        </r>
        <r>
          <rPr>
            <sz val="8"/>
            <color indexed="81"/>
            <rFont val="Tahoma"/>
            <family val="2"/>
          </rPr>
          <t xml:space="preserve">
11/16: mgmt comf w/ $1 (cons)</t>
        </r>
      </text>
    </comment>
    <comment ref="BR153" authorId="2">
      <text>
        <r>
          <rPr>
            <b/>
            <sz val="8"/>
            <color indexed="81"/>
            <rFont val="Tahoma"/>
            <family val="2"/>
          </rPr>
          <t>KG:</t>
        </r>
        <r>
          <rPr>
            <sz val="8"/>
            <color indexed="81"/>
            <rFont val="Tahoma"/>
            <family val="2"/>
          </rPr>
          <t xml:space="preserve">
2/22/06 $1.28 includes 25c re: tax matter resolution, 4c re: recog gift card breakage, and -6c re: change from retail to cost method
11/16: mgmt comf w/ $1 (cons)</t>
        </r>
      </text>
    </comment>
    <comment ref="BV154" authorId="3">
      <text>
        <r>
          <rPr>
            <b/>
            <sz val="8"/>
            <color indexed="81"/>
            <rFont val="Tahoma"/>
            <family val="2"/>
          </rPr>
          <t>mm98285:</t>
        </r>
        <r>
          <rPr>
            <sz val="8"/>
            <color indexed="81"/>
            <rFont val="Tahoma"/>
            <family val="2"/>
          </rPr>
          <t xml:space="preserve">
4Q05: Mgmt guided $1.40-$1.50 (incl. 5c stock options)</t>
        </r>
      </text>
    </comment>
    <comment ref="AD160" authorId="1">
      <text>
        <r>
          <rPr>
            <b/>
            <sz val="8"/>
            <color indexed="81"/>
            <rFont val="Tahoma"/>
            <family val="2"/>
          </rPr>
          <t>dliu:</t>
        </r>
        <r>
          <rPr>
            <sz val="8"/>
            <color indexed="81"/>
            <rFont val="Tahoma"/>
            <family val="2"/>
          </rPr>
          <t xml:space="preserve">
85 mm share repurch in Mar 96 for $1.615 bn</t>
        </r>
      </text>
    </comment>
    <comment ref="BV160" authorId="15">
      <text>
        <r>
          <rPr>
            <b/>
            <sz val="8"/>
            <color indexed="81"/>
            <rFont val="Tahoma"/>
            <family val="2"/>
          </rPr>
          <t>MB33100:</t>
        </r>
        <r>
          <rPr>
            <sz val="8"/>
            <color indexed="81"/>
            <rFont val="Tahoma"/>
            <family val="2"/>
          </rPr>
          <t xml:space="preserve">
5/06: repurchased $84mm (3.5m shares) with $42m finishing previous program and $42 under current program ($58m left of $100m)
2/06 finished remaining $42 of previous $200mm author QTD in 1Q and authorized new $100mm share repo. </t>
        </r>
      </text>
    </comment>
    <comment ref="CD160" authorId="3">
      <text>
        <r>
          <rPr>
            <b/>
            <sz val="8"/>
            <color indexed="81"/>
            <rFont val="Tahoma"/>
            <family val="2"/>
          </rPr>
          <t>mm98285:</t>
        </r>
        <r>
          <rPr>
            <sz val="8"/>
            <color indexed="81"/>
            <rFont val="Tahoma"/>
            <family val="2"/>
          </rPr>
          <t xml:space="preserve">
repo'd 7.1mmshares for $122.4 ($27.4mm remains)
2/08: $150mm remains, expect repurchase evenly over 2008 or 2.3mm shares per quarter, offset by option creep
6/07: assume an add'l $250-$300 mm share repo for 2008 given excess debt, or 18mm shares offset by 8mm option dilution = 10mm</t>
        </r>
      </text>
    </comment>
    <comment ref="CH160" authorId="3">
      <text>
        <r>
          <rPr>
            <b/>
            <sz val="8"/>
            <color indexed="81"/>
            <rFont val="Tahoma"/>
            <family val="2"/>
          </rPr>
          <t>mm98285:</t>
        </r>
        <r>
          <rPr>
            <sz val="8"/>
            <color indexed="81"/>
            <rFont val="Tahoma"/>
            <family val="2"/>
          </rPr>
          <t xml:space="preserve">
2/09: 322</t>
        </r>
      </text>
    </comment>
    <comment ref="CL160" authorId="3">
      <text>
        <r>
          <rPr>
            <b/>
            <sz val="8"/>
            <color indexed="81"/>
            <rFont val="Tahoma"/>
            <family val="2"/>
          </rPr>
          <t>mm98285:</t>
        </r>
        <r>
          <rPr>
            <sz val="8"/>
            <color indexed="81"/>
            <rFont val="Tahoma"/>
            <family val="2"/>
          </rPr>
          <t xml:space="preserve">
2/10: ~330M</t>
        </r>
      </text>
    </comment>
    <comment ref="CP160" authorId="5">
      <text>
        <r>
          <rPr>
            <b/>
            <sz val="8"/>
            <color indexed="81"/>
            <rFont val="Tahoma"/>
            <family val="2"/>
          </rPr>
          <t>nicholjs:</t>
        </r>
        <r>
          <rPr>
            <sz val="8"/>
            <color indexed="81"/>
            <rFont val="Tahoma"/>
            <family val="2"/>
          </rPr>
          <t xml:space="preserve">
repo'ed 16.7mm for ~$590mm
5/5/2011: company completed its $500mm share repurchase program, which was announced March 22
10K (3/18): subsequent to 4Q end repurchased 2mm shares for $76 under the program.  Also expect to repo using new debt offering at end of qtr.
2/2011: expect 333mm</t>
        </r>
      </text>
    </comment>
    <comment ref="CT160" authorId="6">
      <text>
        <r>
          <rPr>
            <b/>
            <sz val="8"/>
            <color indexed="81"/>
            <rFont val="Tahoma"/>
            <family val="2"/>
          </rPr>
          <t>kimberlg:
2/22/12:</t>
        </r>
        <r>
          <rPr>
            <sz val="8"/>
            <color indexed="81"/>
            <rFont val="Tahoma"/>
            <family val="2"/>
          </rPr>
          <t xml:space="preserve"> guidance of ~301M, was at 297.8 prior to guidance. Board authorized additional $500M share repurchase plan (11.1M shares at $45/share). in 1Q12 finished $250M repo program from November, which had $132M left on it. We est 2.93M shares repo'd in Feb '12.</t>
        </r>
        <r>
          <rPr>
            <sz val="8"/>
            <color indexed="81"/>
            <rFont val="Tahoma"/>
            <family val="2"/>
          </rPr>
          <t xml:space="preserve">
</t>
        </r>
        <r>
          <rPr>
            <b/>
            <sz val="8"/>
            <color indexed="81"/>
            <rFont val="Tahoma"/>
            <family val="2"/>
          </rPr>
          <t xml:space="preserve">per Stuart: </t>
        </r>
        <r>
          <rPr>
            <sz val="8"/>
            <color indexed="81"/>
            <rFont val="Tahoma"/>
            <family val="2"/>
          </rPr>
          <t>need to repurchase ~$200M stock annually to offset dilution…at $42/share = 4.8M shares/year. We assume $400M share repos in 2012 on top of $200M buyback for dilution at $45 = 9M shares annually or 2.25 per quarter
Total share repos 2012e $600M.
2/3/12 issued $1BN debt and could likely use majority of it to repo shares. if use $750M to accelerate repo, could buy 16-17M in 1Q12.</t>
        </r>
      </text>
    </comment>
    <comment ref="CX160" authorId="0">
      <text>
        <r>
          <rPr>
            <b/>
            <sz val="8"/>
            <color indexed="81"/>
            <rFont val="Tahoma"/>
            <family val="2"/>
          </rPr>
          <t xml:space="preserve">5/22/13: </t>
        </r>
        <r>
          <rPr>
            <sz val="8"/>
            <color indexed="81"/>
            <rFont val="Tahoma"/>
            <family val="2"/>
          </rPr>
          <t>The company repurchased 1.2M shares for $54.7M. At the end of the quarter, $184.2M remained under the $250M share repurchase program.</t>
        </r>
        <r>
          <rPr>
            <b/>
            <sz val="8"/>
            <color indexed="81"/>
            <rFont val="Tahoma"/>
            <family val="2"/>
          </rPr>
          <t xml:space="preserve">
casselau:</t>
        </r>
        <r>
          <rPr>
            <sz val="8"/>
            <color indexed="81"/>
            <rFont val="Tahoma"/>
            <family val="2"/>
          </rPr>
          <t xml:space="preserve">
2/27/13: guidance ~296M shares</t>
        </r>
      </text>
    </comment>
    <comment ref="DB160" authorId="0">
      <text>
        <r>
          <rPr>
            <b/>
            <sz val="8"/>
            <color indexed="81"/>
            <rFont val="Tahoma"/>
            <family val="2"/>
          </rPr>
          <t xml:space="preserve">casselau:
5/21/14: </t>
        </r>
        <r>
          <rPr>
            <sz val="8"/>
            <color indexed="81"/>
            <rFont val="Tahoma"/>
            <family val="2"/>
          </rPr>
          <t>repurchased 781k shares for $42.1M; $133.6M remaining under $250M repo program
2/26/14: guidance ~297M</t>
        </r>
      </text>
    </comment>
    <comment ref="DF160" authorId="12">
      <text>
        <r>
          <rPr>
            <b/>
            <sz val="9"/>
            <color indexed="81"/>
            <rFont val="Tahoma"/>
            <family val="2"/>
          </rPr>
          <t>5/20/15: repurchased 1.9M shares for $170.5M</t>
        </r>
        <r>
          <rPr>
            <sz val="9"/>
            <color indexed="81"/>
            <rFont val="Tahoma"/>
            <family val="2"/>
          </rPr>
          <t xml:space="preserve">
2/25/15 guidance: approximately 300mm</t>
        </r>
      </text>
    </comment>
    <comment ref="DJ160" authorId="0">
      <text>
        <r>
          <rPr>
            <b/>
            <sz val="9"/>
            <color indexed="81"/>
            <rFont val="Tahoma"/>
            <family val="2"/>
          </rPr>
          <t>casselau:
5/18/16: repurchased 3.1M shares for $260.2M; $240M remains under $500M repurchase program
2/24/16: guidance 292M</t>
        </r>
        <r>
          <rPr>
            <sz val="9"/>
            <color indexed="81"/>
            <rFont val="Tahoma"/>
            <family val="2"/>
          </rPr>
          <t xml:space="preserve">
2/4/16: authorized a new $500M share repuchase program, which includes the remaining $17M under the previous program</t>
        </r>
      </text>
    </comment>
    <comment ref="DN160" authorId="8">
      <text>
        <r>
          <rPr>
            <b/>
            <sz val="9"/>
            <color indexed="81"/>
            <rFont val="Tahoma"/>
            <family val="2"/>
          </rPr>
          <t>Cassel, Lauren (Research):
5/17/17: repurchased 1.6M shares of stock for $83M; have $170M remaining</t>
        </r>
        <r>
          <rPr>
            <sz val="9"/>
            <color indexed="81"/>
            <rFont val="Tahoma"/>
            <family val="2"/>
          </rPr>
          <t xml:space="preserve">
2/22/17: guidance 290M</t>
        </r>
      </text>
    </comment>
    <comment ref="DR160" authorId="8">
      <text>
        <r>
          <rPr>
            <b/>
            <sz val="9"/>
            <color indexed="81"/>
            <rFont val="Tahoma"/>
            <family val="2"/>
          </rPr>
          <t>Cassel, Lauren (Research):</t>
        </r>
        <r>
          <rPr>
            <sz val="9"/>
            <color indexed="81"/>
            <rFont val="Tahoma"/>
            <family val="2"/>
          </rPr>
          <t xml:space="preserve">
2/28/18: guidance ~283M
2/28/18: o The company has authorized a new $250M share repurchase program, which includes the remaining $23.1M outstanding under the previous program</t>
        </r>
      </text>
    </comment>
    <comment ref="BV161" authorId="15">
      <text>
        <r>
          <rPr>
            <b/>
            <sz val="8"/>
            <color indexed="81"/>
            <rFont val="Tahoma"/>
            <family val="2"/>
          </rPr>
          <t>MB33100:</t>
        </r>
        <r>
          <rPr>
            <sz val="8"/>
            <color indexed="81"/>
            <rFont val="Tahoma"/>
            <family val="2"/>
          </rPr>
          <t xml:space="preserve">
6/06 repo'd $28mm in 2Q thru 6/29. Added $100mm to prior $100mm auth. $30mm remains in current auth. Est repo'd 1.1mm shares in 2Q.
5/06- assume 1/3 of remaining $100mm authorization completed per Q ($58m)</t>
        </r>
      </text>
    </comment>
    <comment ref="BZ161" authorId="3">
      <text>
        <r>
          <rPr>
            <b/>
            <sz val="8"/>
            <color indexed="81"/>
            <rFont val="Tahoma"/>
            <family val="2"/>
          </rPr>
          <t>mm98285:</t>
        </r>
        <r>
          <rPr>
            <sz val="8"/>
            <color indexed="81"/>
            <rFont val="Tahoma"/>
            <family val="2"/>
          </rPr>
          <t xml:space="preserve">
8/07: completed $1b share repo, auth. (38.7mm shares) &amp; auth. new $250mm share repo
6/07: assume $1b buyback is spread evenly over 2Q-4Q07, or ~12m shares per quarter, offset by 1.5mm option dilution</t>
        </r>
      </text>
    </comment>
    <comment ref="CD161" authorId="3">
      <text>
        <r>
          <rPr>
            <b/>
            <sz val="8"/>
            <color indexed="81"/>
            <rFont val="Tahoma"/>
            <family val="2"/>
          </rPr>
          <t>mm98285:</t>
        </r>
        <r>
          <rPr>
            <sz val="8"/>
            <color indexed="81"/>
            <rFont val="Tahoma"/>
            <family val="2"/>
          </rPr>
          <t xml:space="preserve">
8/08: completed $500M repo w/  repo of 1.49M shares for $27.4M (avg price of $18.70)
6/07: assume an add'l $250-$300 mm share repo for 2008 given excess debt, or 18mm shares offset by 8mm option dilution = 10mm</t>
        </r>
      </text>
    </comment>
    <comment ref="CH161" authorId="3">
      <text>
        <r>
          <rPr>
            <b/>
            <sz val="8"/>
            <color indexed="81"/>
            <rFont val="Tahoma"/>
            <family val="2"/>
          </rPr>
          <t>mm98285:</t>
        </r>
        <r>
          <rPr>
            <sz val="8"/>
            <color indexed="81"/>
            <rFont val="Tahoma"/>
            <family val="2"/>
          </rPr>
          <t xml:space="preserve">
5/09: ~325M</t>
        </r>
      </text>
    </comment>
    <comment ref="CL161" authorId="9">
      <text>
        <r>
          <rPr>
            <b/>
            <sz val="8"/>
            <color indexed="81"/>
            <rFont val="Tahoma"/>
            <family val="2"/>
          </rPr>
          <t>ns66486:</t>
        </r>
        <r>
          <rPr>
            <sz val="8"/>
            <color indexed="81"/>
            <rFont val="Tahoma"/>
            <family val="2"/>
          </rPr>
          <t xml:space="preserve">
repo'ed 2.7M shares for $66.3M in 2Q
5/2010: approx 330mm</t>
        </r>
      </text>
    </comment>
    <comment ref="CP161" authorId="5">
      <text>
        <r>
          <rPr>
            <b/>
            <sz val="8"/>
            <color indexed="81"/>
            <rFont val="Tahoma"/>
            <family val="2"/>
          </rPr>
          <t>nicholjs:</t>
        </r>
        <r>
          <rPr>
            <sz val="8"/>
            <color indexed="81"/>
            <rFont val="Tahoma"/>
            <family val="2"/>
          </rPr>
          <t xml:space="preserve">
repo'ed 8.2mm shares for $314mm
7/2011: 318mm still okay
6/3/2011 (10Q): subsequent to Apr 30, 2011, company repo'ed 1.8mm shares for $75mm 
5/2011: expect ~318mm</t>
        </r>
      </text>
    </comment>
    <comment ref="CT161" authorId="6">
      <text>
        <r>
          <rPr>
            <b/>
            <sz val="8"/>
            <color indexed="81"/>
            <rFont val="Tahoma"/>
            <family val="2"/>
          </rPr>
          <t>5/17/12:</t>
        </r>
        <r>
          <rPr>
            <sz val="8"/>
            <color indexed="81"/>
            <rFont val="Tahoma"/>
            <family val="2"/>
          </rPr>
          <t xml:space="preserve"> revised share buyback to 1.5M from 2.5M previously
</t>
        </r>
        <r>
          <rPr>
            <b/>
            <sz val="8"/>
            <color indexed="81"/>
            <rFont val="Tahoma"/>
            <family val="2"/>
          </rPr>
          <t xml:space="preserve">5/16/12: </t>
        </r>
        <r>
          <rPr>
            <sz val="8"/>
            <color indexed="81"/>
            <rFont val="Tahoma"/>
            <family val="2"/>
          </rPr>
          <t>approx 300M
per Stuart: need to repurchase ~$200M stock annually to offset dilution…at $42/share = 4.8M shares/year. We assume $400M share repos in 2012 on top of $200M buyback for dilution at $45 = 9M shares annually or 2.25 per quarter
Total share repos 2012e $600M</t>
        </r>
      </text>
    </comment>
    <comment ref="CX161" authorId="0">
      <text>
        <r>
          <rPr>
            <b/>
            <sz val="8"/>
            <color indexed="81"/>
            <rFont val="Tahoma"/>
            <family val="2"/>
          </rPr>
          <t>casselau:</t>
        </r>
        <r>
          <rPr>
            <sz val="8"/>
            <color indexed="81"/>
            <rFont val="Tahoma"/>
            <family val="2"/>
          </rPr>
          <t xml:space="preserve">
5/22/13 guidance: ~295M</t>
        </r>
      </text>
    </comment>
    <comment ref="DB161" authorId="0">
      <text>
        <r>
          <rPr>
            <b/>
            <sz val="9"/>
            <color indexed="81"/>
            <rFont val="Tahoma"/>
            <family val="2"/>
          </rPr>
          <t>casselau:</t>
        </r>
        <r>
          <rPr>
            <sz val="9"/>
            <color indexed="81"/>
            <rFont val="Tahoma"/>
            <family val="2"/>
          </rPr>
          <t xml:space="preserve">
5/21/14: guidance 297M</t>
        </r>
      </text>
    </comment>
    <comment ref="DF161" authorId="0">
      <text>
        <r>
          <rPr>
            <b/>
            <sz val="9"/>
            <color indexed="81"/>
            <rFont val="Tahoma"/>
            <family val="2"/>
          </rPr>
          <t>casselau:
8/19/15: repurchased 1.5M shares for $131.2M; have $197.8M remaining under share repo program</t>
        </r>
        <r>
          <rPr>
            <sz val="9"/>
            <color indexed="81"/>
            <rFont val="Tahoma"/>
            <family val="2"/>
          </rPr>
          <t xml:space="preserve">
5/20/15: guidance ~300M
6/19/15: BofD authorized a new $250M share repurchase program, which includes $0.6M remaining under its previous program</t>
        </r>
      </text>
    </comment>
    <comment ref="DJ161" authorId="8">
      <text>
        <r>
          <rPr>
            <b/>
            <sz val="9"/>
            <color indexed="81"/>
            <rFont val="Tahoma"/>
            <family val="2"/>
          </rPr>
          <t xml:space="preserve">Cassel, Lauren (Research):
8/17/16: repurchased 1.8M shares for $127.8M; $112M remainining under $500M repo program 
</t>
        </r>
        <r>
          <rPr>
            <sz val="9"/>
            <color indexed="81"/>
            <rFont val="Tahoma"/>
            <family val="2"/>
          </rPr>
          <t xml:space="preserve">
5/18/16: guidance ~292M</t>
        </r>
      </text>
    </comment>
    <comment ref="DN161" authorId="8">
      <text>
        <r>
          <rPr>
            <b/>
            <sz val="9"/>
            <color indexed="81"/>
            <rFont val="Tahoma"/>
            <family val="2"/>
          </rPr>
          <t>Cassel, Lauren (Research):</t>
        </r>
        <r>
          <rPr>
            <sz val="9"/>
            <color indexed="81"/>
            <rFont val="Tahoma"/>
            <family val="2"/>
          </rPr>
          <t xml:space="preserve">
8/16/17: repurchased 1M shares for $49.2M; $121M remains</t>
        </r>
      </text>
    </comment>
    <comment ref="BV162" authorId="15">
      <text>
        <r>
          <rPr>
            <b/>
            <sz val="8"/>
            <color indexed="81"/>
            <rFont val="Tahoma"/>
            <family val="2"/>
          </rPr>
          <t>MB33100:</t>
        </r>
        <r>
          <rPr>
            <sz val="8"/>
            <color indexed="81"/>
            <rFont val="Tahoma"/>
            <family val="2"/>
          </rPr>
          <t xml:space="preserve">
6/06: assume $30m repo'd in 3Q
5/06- assume 1/3 of remaining $100mm authorization completed per Q ($58m)</t>
        </r>
      </text>
    </comment>
    <comment ref="BZ162" authorId="3">
      <text>
        <r>
          <rPr>
            <b/>
            <sz val="8"/>
            <color indexed="81"/>
            <rFont val="Tahoma"/>
            <family val="2"/>
          </rPr>
          <t>mm98285:</t>
        </r>
        <r>
          <rPr>
            <sz val="8"/>
            <color indexed="81"/>
            <rFont val="Tahoma"/>
            <family val="2"/>
          </rPr>
          <t xml:space="preserve">
11/07: repurchased 14.6mm shares for $336 (leaving $96mm remaining in its current $250mm auth) and auth. new $250mm authorization for a total of $346mm available
9/07: end of 2Q share count ~370 and bought back 7.7mm shares in first 2 weeks of August, assume complete new $250mm auth in 3Q at $23 or 10.9mm shares - will get benefit of 5.4mm in 3Q and 5.4mm in 4Q, offset by 1mm option creep per quarter
8/07: assume complete new $250mm auth over 3Q and 4Q and 1mm option creep
6/07: assume $1b buyback is spread evenly over 2Q-4Q07, or ~12m shares per quarter, offset by 1.5mm option dilution</t>
        </r>
      </text>
    </comment>
    <comment ref="CD162" authorId="3">
      <text>
        <r>
          <rPr>
            <b/>
            <sz val="8"/>
            <color indexed="81"/>
            <rFont val="Tahoma"/>
            <family val="2"/>
          </rPr>
          <t>mm98285:</t>
        </r>
        <r>
          <rPr>
            <sz val="8"/>
            <color indexed="81"/>
            <rFont val="Tahoma"/>
            <family val="2"/>
          </rPr>
          <t xml:space="preserve">
11/08: repo'd 14.1M shares for $175.5M in 3Q ($74.5M remains)
10/08: new $250mm auth; assume no repo in 3Q
8/08: assume no repo. No auth remains
6/07: assume an add'l $250-$300 mm share repo for 2008 given excess debt, or 18mm shares offset by 8mm option dilution = 10mm</t>
        </r>
      </text>
    </comment>
    <comment ref="CH162" authorId="3">
      <text>
        <r>
          <rPr>
            <b/>
            <sz val="8"/>
            <color indexed="81"/>
            <rFont val="Tahoma"/>
            <family val="2"/>
          </rPr>
          <t>mm98285:</t>
        </r>
        <r>
          <rPr>
            <sz val="8"/>
            <color indexed="81"/>
            <rFont val="Tahoma"/>
            <family val="2"/>
          </rPr>
          <t xml:space="preserve">
8/09: expect ~322M</t>
        </r>
      </text>
    </comment>
    <comment ref="CL162" authorId="5">
      <text>
        <r>
          <rPr>
            <b/>
            <sz val="8"/>
            <color indexed="81"/>
            <rFont val="Tahoma"/>
            <family val="2"/>
          </rPr>
          <t>nicholjs:</t>
        </r>
        <r>
          <rPr>
            <sz val="8"/>
            <color indexed="81"/>
            <rFont val="Tahoma"/>
            <family val="2"/>
          </rPr>
          <t xml:space="preserve">
repo'ed 2.9mm shares for $78mm in 3Q
8/10: ~330M, assume repo 1M shares @ $27, and also looks like repo in 2Q was at end of qtr</t>
        </r>
      </text>
    </comment>
    <comment ref="CP162" authorId="5">
      <text>
        <r>
          <rPr>
            <sz val="8"/>
            <color indexed="81"/>
            <rFont val="Tahoma"/>
            <family val="2"/>
          </rPr>
          <t>11/17: Repurchased 4.8 million shares for $172 mil in 3Q.  Completed $500 mn share repo program and authorized a new $250 program. 
10Q: subsequent to July 30, repurchased an addt'l 3mm shares of common stock for $113mm
8/2011: expects ~309mm</t>
        </r>
      </text>
    </comment>
    <comment ref="CT162" authorId="6">
      <text>
        <r>
          <rPr>
            <b/>
            <sz val="8"/>
            <color indexed="81"/>
            <rFont val="Tahoma"/>
            <family val="2"/>
          </rPr>
          <t xml:space="preserve">11/14: </t>
        </r>
        <r>
          <rPr>
            <sz val="8"/>
            <color indexed="81"/>
            <rFont val="Tahoma"/>
            <family val="2"/>
          </rPr>
          <t>repurchased 171,000 shares of stock in the third quarter for $8.4M; at 3Q end, we had $52.2M remaining under our current $500M repurchase program; the Board has authorized a new $250M share repurchase program.</t>
        </r>
        <r>
          <rPr>
            <b/>
            <sz val="8"/>
            <color indexed="81"/>
            <rFont val="Tahoma"/>
            <family val="2"/>
          </rPr>
          <t xml:space="preserve">
8/16/12: 293M
5/17/12:</t>
        </r>
        <r>
          <rPr>
            <sz val="8"/>
            <color indexed="81"/>
            <rFont val="Tahoma"/>
            <family val="2"/>
          </rPr>
          <t xml:space="preserve"> $283.4M remaining in current $500M repurchase program. 
</t>
        </r>
        <r>
          <rPr>
            <b/>
            <sz val="8"/>
            <color indexed="81"/>
            <rFont val="Tahoma"/>
            <family val="2"/>
          </rPr>
          <t xml:space="preserve">kimberlg per Stuart: </t>
        </r>
        <r>
          <rPr>
            <sz val="8"/>
            <color indexed="81"/>
            <rFont val="Tahoma"/>
            <family val="2"/>
          </rPr>
          <t>need to repurchase ~$200M stock annually to offset dilution…at $42/share = 4.8M shares/year. We assume $400M share repos in 2012 on top of $200M buyback for dilution at $45 = 9M shares annually or 2.25 per quarter
Total share repos 2012e $600M</t>
        </r>
      </text>
    </comment>
    <comment ref="CX162" authorId="0">
      <text>
        <r>
          <rPr>
            <b/>
            <sz val="8"/>
            <color indexed="81"/>
            <rFont val="Tahoma"/>
            <family val="2"/>
          </rPr>
          <t>casselau:</t>
        </r>
        <r>
          <rPr>
            <sz val="8"/>
            <color indexed="81"/>
            <rFont val="Tahoma"/>
            <family val="2"/>
          </rPr>
          <t xml:space="preserve">
8/21/13: guidance 295M</t>
        </r>
      </text>
    </comment>
    <comment ref="DB162" authorId="0">
      <text>
        <r>
          <rPr>
            <b/>
            <sz val="9"/>
            <color indexed="81"/>
            <rFont val="Tahoma"/>
            <family val="2"/>
          </rPr>
          <t>casselau:</t>
        </r>
        <r>
          <rPr>
            <sz val="9"/>
            <color indexed="81"/>
            <rFont val="Tahoma"/>
            <family val="2"/>
          </rPr>
          <t xml:space="preserve">
8/20/14: guidance ~298M</t>
        </r>
      </text>
    </comment>
    <comment ref="DF162" authorId="0">
      <text>
        <r>
          <rPr>
            <b/>
            <sz val="9"/>
            <color indexed="81"/>
            <rFont val="Tahoma"/>
            <family val="2"/>
          </rPr>
          <t>casselau:
11/19/15: repurchased 751k shares for $61M; $137M remaining under current repurchase program</t>
        </r>
        <r>
          <rPr>
            <sz val="9"/>
            <color indexed="81"/>
            <rFont val="Tahoma"/>
            <family val="2"/>
          </rPr>
          <t xml:space="preserve">
8/19/15: guidance: ~296M</t>
        </r>
      </text>
    </comment>
    <comment ref="DJ162" authorId="8">
      <text>
        <r>
          <rPr>
            <b/>
            <sz val="9"/>
            <color indexed="81"/>
            <rFont val="Tahoma"/>
            <family val="2"/>
          </rPr>
          <t>Cassel, Lauren (Research):
11/16/16: We repurchased 0.3M shares of stock for $21.9M. At quarter end, we had $90.1 million remaining under our current $500 million repurchase program</t>
        </r>
        <r>
          <rPr>
            <sz val="9"/>
            <color indexed="81"/>
            <rFont val="Tahoma"/>
            <family val="2"/>
          </rPr>
          <t xml:space="preserve">
8/17/16: guidance 290M</t>
        </r>
      </text>
    </comment>
    <comment ref="DN162" authorId="8">
      <text>
        <r>
          <rPr>
            <b/>
            <sz val="9"/>
            <color indexed="81"/>
            <rFont val="Tahoma"/>
            <family val="2"/>
          </rPr>
          <t xml:space="preserve">Cassel, Lauren (Research):
11/15/17: repurchased 3.8M shares for $149.2M; $211.4M repurchase remains
9/18/17: authorized new $250M repurchase program </t>
        </r>
        <r>
          <rPr>
            <sz val="9"/>
            <color indexed="81"/>
            <rFont val="Tahoma"/>
            <family val="2"/>
          </rPr>
          <t xml:space="preserve">
8/16/17: guidance 288M</t>
        </r>
      </text>
    </comment>
    <comment ref="Z163" authorId="1">
      <text>
        <r>
          <rPr>
            <b/>
            <sz val="8"/>
            <color indexed="81"/>
            <rFont val="Tahoma"/>
            <family val="2"/>
          </rPr>
          <t>dliu:</t>
        </r>
        <r>
          <rPr>
            <sz val="8"/>
            <color indexed="81"/>
            <rFont val="Tahoma"/>
            <family val="2"/>
          </rPr>
          <t xml:space="preserve">
not restated since other 3 qtrs also not</t>
        </r>
      </text>
    </comment>
    <comment ref="BV163" authorId="15">
      <text>
        <r>
          <rPr>
            <b/>
            <sz val="8"/>
            <color indexed="81"/>
            <rFont val="Tahoma"/>
            <family val="2"/>
          </rPr>
          <t>MB33100:</t>
        </r>
        <r>
          <rPr>
            <sz val="8"/>
            <color indexed="81"/>
            <rFont val="Tahoma"/>
            <family val="2"/>
          </rPr>
          <t xml:space="preserve">
6/06: assume $30m repo'd in 3Q
5/06- assume 1/3 of remaining $100mm authorization completed per Q ($58m)</t>
        </r>
      </text>
    </comment>
    <comment ref="BZ163" authorId="3">
      <text>
        <r>
          <rPr>
            <b/>
            <sz val="8"/>
            <color indexed="81"/>
            <rFont val="Tahoma"/>
            <family val="2"/>
          </rPr>
          <t>mm98285:</t>
        </r>
        <r>
          <rPr>
            <sz val="8"/>
            <color indexed="81"/>
            <rFont val="Tahoma"/>
            <family val="2"/>
          </rPr>
          <t xml:space="preserve">
10Q: Through Nov. 30 repo'd 3.3mm share for $64mm (assume $100mm repurchase or ~5.5mm shares in 4Q) 
11/07: repurchased 14.6mm hsares for $336 (leaving $96mm remaining in its current $250mm auth) and auth. new $250mm authorization for a total of $346mm available
9/07: end of 2Q share count ~370 and bought back 7.7mm shares in first 2 weeks of August, assume complete new $250mm auth in 3Q at $23 or 10.9mm shares - will get benefit of 5.4mm in 3Q and 5.4mm in 4Q, offset by 1mm option creep per quarter
8/07: assume complete new $250mm auth over 3Q and 4Q and 1mm option creep
6/07: assume $1b buyback is spread evenly over 2Q-4Q07, or ~12m shares per quarter, offset by 1.5mm option dilution</t>
        </r>
      </text>
    </comment>
    <comment ref="CD163" authorId="3">
      <text>
        <r>
          <rPr>
            <b/>
            <sz val="8"/>
            <color indexed="81"/>
            <rFont val="Tahoma"/>
            <family val="2"/>
          </rPr>
          <t>mm98285:</t>
        </r>
        <r>
          <rPr>
            <sz val="8"/>
            <color indexed="81"/>
            <rFont val="Tahoma"/>
            <family val="2"/>
          </rPr>
          <t xml:space="preserve">
11/08: repo'd 14.1M shares for $175.5M in 3Q ($74.5M remains)
10/08: new $250mm auth but assume no repo in 4Q
8/08: assume no repo. No auth remains
6/07: assume an add'l $250-$300 mm share repo for 2008 given excess debt, or 18mm shares offset by 8mm option dilution = 10mm</t>
        </r>
      </text>
    </comment>
    <comment ref="CH163" authorId="3">
      <text>
        <r>
          <rPr>
            <b/>
            <sz val="8"/>
            <color indexed="81"/>
            <rFont val="Tahoma"/>
            <family val="2"/>
          </rPr>
          <t>mm98285:</t>
        </r>
        <r>
          <rPr>
            <sz val="8"/>
            <color indexed="81"/>
            <rFont val="Tahoma"/>
            <family val="2"/>
          </rPr>
          <t xml:space="preserve">
11/09: ~330M</t>
        </r>
      </text>
    </comment>
    <comment ref="CL163" authorId="5">
      <text>
        <r>
          <rPr>
            <b/>
            <sz val="8"/>
            <color indexed="81"/>
            <rFont val="Tahoma"/>
            <family val="2"/>
          </rPr>
          <t>nicholjs:</t>
        </r>
        <r>
          <rPr>
            <sz val="8"/>
            <color indexed="81"/>
            <rFont val="Tahoma"/>
            <family val="2"/>
          </rPr>
          <t xml:space="preserve">
repo'ed 1.9mm shares for $60.5mm
11/2010: expect $332mm, assume 1M share repo 
assume repo 1M @ ~$27</t>
        </r>
      </text>
    </comment>
    <comment ref="CP163" authorId="11">
      <text>
        <r>
          <rPr>
            <b/>
            <sz val="8"/>
            <color indexed="81"/>
            <rFont val="Tahoma"/>
            <family val="2"/>
          </rPr>
          <t>solejay:</t>
        </r>
        <r>
          <rPr>
            <sz val="8"/>
            <color indexed="81"/>
            <rFont val="Tahoma"/>
            <family val="2"/>
          </rPr>
          <t xml:space="preserve">
11/16: "About 306 million"
2/23/12: 4Q bought 2.9M shares for $117.9M under new $250M authorization (approved Nov 3, 2011)</t>
        </r>
      </text>
    </comment>
    <comment ref="CT163" authorId="6">
      <text>
        <r>
          <rPr>
            <b/>
            <sz val="8"/>
            <color indexed="81"/>
            <rFont val="Tahoma"/>
            <family val="2"/>
          </rPr>
          <t xml:space="preserve">11/14: </t>
        </r>
        <r>
          <rPr>
            <sz val="8"/>
            <color indexed="81"/>
            <rFont val="Tahoma"/>
            <family val="2"/>
          </rPr>
          <t>approx 295M</t>
        </r>
        <r>
          <rPr>
            <b/>
            <sz val="8"/>
            <color indexed="81"/>
            <rFont val="Tahoma"/>
            <family val="2"/>
          </rPr>
          <t xml:space="preserve">
8/16/12: 293M would be conservative
kimberlg:</t>
        </r>
        <r>
          <rPr>
            <sz val="8"/>
            <color indexed="81"/>
            <rFont val="Tahoma"/>
            <family val="2"/>
          </rPr>
          <t xml:space="preserve">
per Stuart: need to repurchase ~$200M stock annually to offset dilution…at $42/share = 4.8M shares/year. We assume $400M share repos in 2012 on top of $200M buyback for dilution at $45 = 9M shares annually or 2.25 per quarter
Total share repos 2012e $600M</t>
        </r>
      </text>
    </comment>
    <comment ref="CX163" authorId="0">
      <text>
        <r>
          <rPr>
            <b/>
            <sz val="8"/>
            <color indexed="81"/>
            <rFont val="Tahoma"/>
            <family val="2"/>
          </rPr>
          <t xml:space="preserve">casselau:
</t>
        </r>
        <r>
          <rPr>
            <sz val="8"/>
            <color indexed="81"/>
            <rFont val="Tahoma"/>
            <family val="2"/>
          </rPr>
          <t xml:space="preserve">2/27/14: repurchased 160k shares for $8.5 million. </t>
        </r>
        <r>
          <rPr>
            <sz val="8"/>
            <color indexed="81"/>
            <rFont val="Tahoma"/>
            <family val="2"/>
          </rPr>
          <t xml:space="preserve">
11/20: guidance 297M</t>
        </r>
      </text>
    </comment>
    <comment ref="DB163" authorId="0">
      <text>
        <r>
          <rPr>
            <b/>
            <sz val="9"/>
            <color indexed="81"/>
            <rFont val="Tahoma"/>
            <family val="2"/>
          </rPr>
          <t>casselau:
2/5/15:</t>
        </r>
        <r>
          <rPr>
            <sz val="9"/>
            <color indexed="81"/>
            <rFont val="Tahoma"/>
            <family val="2"/>
          </rPr>
          <t xml:space="preserve"> announced a new $250M share repo program (includes $91M outstanding from previous program; repurchased $84M in 2014)
11/19/14: guidance ~299M</t>
        </r>
      </text>
    </comment>
    <comment ref="DF163" authorId="0">
      <text>
        <r>
          <rPr>
            <b/>
            <sz val="9"/>
            <color indexed="81"/>
            <rFont val="Tahoma"/>
            <family val="2"/>
          </rPr>
          <t xml:space="preserve">casselau:
</t>
        </r>
        <r>
          <rPr>
            <sz val="9"/>
            <color indexed="81"/>
            <rFont val="Tahoma"/>
            <family val="2"/>
          </rPr>
          <t>11/19/15: guidance 296M</t>
        </r>
      </text>
    </comment>
    <comment ref="DJ163" authorId="8">
      <text>
        <r>
          <rPr>
            <b/>
            <sz val="9"/>
            <color indexed="81"/>
            <rFont val="Tahoma"/>
            <family val="2"/>
          </rPr>
          <t xml:space="preserve">Cassel, Lauren (Research):
2/2/17: authorized a new $250M share repurchase program, which includes the remaining $62M outstanding under the previous program.
</t>
        </r>
        <r>
          <rPr>
            <sz val="9"/>
            <color indexed="81"/>
            <rFont val="Tahoma"/>
            <family val="2"/>
          </rPr>
          <t>11/16/16: guidance 290M</t>
        </r>
      </text>
    </comment>
    <comment ref="DN163" authorId="8">
      <text>
        <r>
          <rPr>
            <b/>
            <sz val="9"/>
            <color indexed="81"/>
            <rFont val="Tahoma"/>
            <family val="2"/>
          </rPr>
          <t xml:space="preserve">Cassel, Lauren (Research):
</t>
        </r>
        <r>
          <rPr>
            <sz val="9"/>
            <color indexed="81"/>
            <rFont val="Tahoma"/>
            <family val="2"/>
          </rPr>
          <t xml:space="preserve">11/15/17: guidance ~285M
</t>
        </r>
      </text>
    </comment>
    <comment ref="CH164" authorId="3">
      <text>
        <r>
          <rPr>
            <b/>
            <sz val="8"/>
            <color indexed="81"/>
            <rFont val="Tahoma"/>
            <family val="2"/>
          </rPr>
          <t>mm98285:</t>
        </r>
        <r>
          <rPr>
            <sz val="8"/>
            <color indexed="81"/>
            <rFont val="Tahoma"/>
            <family val="2"/>
          </rPr>
          <t xml:space="preserve">
11/09: ~327M
8/09 &amp; 5/09: ~325M
2/09: 324M</t>
        </r>
      </text>
    </comment>
    <comment ref="CL164" authorId="3">
      <text>
        <r>
          <rPr>
            <sz val="8"/>
            <color indexed="81"/>
            <rFont val="Tahoma"/>
            <family val="2"/>
          </rPr>
          <t>8/10: ~330M
5/10: ~330M
2/10: ~330M</t>
        </r>
      </text>
    </comment>
    <comment ref="CP164" authorId="5">
      <text>
        <r>
          <rPr>
            <sz val="8"/>
            <color indexed="81"/>
            <rFont val="Tahoma"/>
            <family val="2"/>
          </rPr>
          <t>11/2011: expect approx 315mm</t>
        </r>
        <r>
          <rPr>
            <sz val="8"/>
            <color indexed="81"/>
            <rFont val="Tahoma"/>
            <family val="2"/>
          </rPr>
          <t xml:space="preserve">
8/2011: expect approx 315mm
5/2011: expect approx 318mm
2/2011: expect approx 333mm</t>
        </r>
      </text>
    </comment>
    <comment ref="CT164" authorId="7">
      <text>
        <r>
          <rPr>
            <b/>
            <sz val="8"/>
            <color indexed="81"/>
            <rFont val="Tahoma"/>
            <family val="2"/>
          </rPr>
          <t xml:space="preserve">11/14: </t>
        </r>
        <r>
          <rPr>
            <sz val="8"/>
            <color indexed="81"/>
            <rFont val="Tahoma"/>
            <family val="2"/>
          </rPr>
          <t>~297M</t>
        </r>
        <r>
          <rPr>
            <b/>
            <sz val="8"/>
            <color indexed="81"/>
            <rFont val="Tahoma"/>
            <family val="2"/>
          </rPr>
          <t xml:space="preserve">
8/15: ~296M
kahng:
5/16/12: </t>
        </r>
        <r>
          <rPr>
            <sz val="8"/>
            <color indexed="81"/>
            <rFont val="Tahoma"/>
            <family val="2"/>
          </rPr>
          <t>~298M</t>
        </r>
        <r>
          <rPr>
            <sz val="8"/>
            <color indexed="81"/>
            <rFont val="Tahoma"/>
            <family val="2"/>
          </rPr>
          <t xml:space="preserve">
2/22/12: ~298M</t>
        </r>
      </text>
    </comment>
    <comment ref="CX164" authorId="0">
      <text>
        <r>
          <rPr>
            <b/>
            <sz val="8"/>
            <color indexed="81"/>
            <rFont val="Tahoma"/>
            <family val="2"/>
          </rPr>
          <t xml:space="preserve">casselau:
</t>
        </r>
        <r>
          <rPr>
            <sz val="8"/>
            <color indexed="81"/>
            <rFont val="Tahoma"/>
            <family val="2"/>
          </rPr>
          <t>11/20/13: guidance 296M</t>
        </r>
        <r>
          <rPr>
            <b/>
            <sz val="8"/>
            <color indexed="81"/>
            <rFont val="Tahoma"/>
            <family val="2"/>
          </rPr>
          <t xml:space="preserve">
</t>
        </r>
        <r>
          <rPr>
            <sz val="8"/>
            <color indexed="81"/>
            <rFont val="Tahoma"/>
            <family val="2"/>
          </rPr>
          <t>8/21/13:</t>
        </r>
        <r>
          <rPr>
            <b/>
            <sz val="8"/>
            <color indexed="81"/>
            <rFont val="Tahoma"/>
            <family val="2"/>
          </rPr>
          <t xml:space="preserve"> </t>
        </r>
        <r>
          <rPr>
            <sz val="8"/>
            <color indexed="81"/>
            <rFont val="Tahoma"/>
            <family val="2"/>
          </rPr>
          <t>guidance 295M
5/22/13 guidance: ~295M</t>
        </r>
        <r>
          <rPr>
            <sz val="8"/>
            <color indexed="81"/>
            <rFont val="Tahoma"/>
            <family val="2"/>
          </rPr>
          <t xml:space="preserve">
2/27/13: guidance ~296M</t>
        </r>
      </text>
    </comment>
    <comment ref="DB164" authorId="0">
      <text>
        <r>
          <rPr>
            <b/>
            <sz val="8"/>
            <color indexed="81"/>
            <rFont val="Tahoma"/>
            <family val="2"/>
          </rPr>
          <t>casselau:
2/26/15: repurchased 1.3M shares for $84M</t>
        </r>
        <r>
          <rPr>
            <sz val="8"/>
            <color indexed="81"/>
            <rFont val="Tahoma"/>
            <family val="2"/>
          </rPr>
          <t xml:space="preserve">
11/19/14: guidance ~298M
2/26/14: guidance ~297M</t>
        </r>
      </text>
    </comment>
    <comment ref="DF164" authorId="12">
      <text>
        <r>
          <rPr>
            <b/>
            <sz val="9"/>
            <color indexed="81"/>
            <rFont val="Tahoma"/>
            <family val="2"/>
          </rPr>
          <t xml:space="preserve">2/4/16: repurchased 5.5M shares/$483M of stock 
</t>
        </r>
        <r>
          <rPr>
            <sz val="9"/>
            <color indexed="81"/>
            <rFont val="Tahoma"/>
            <family val="2"/>
          </rPr>
          <t>8/19/15: guidance: ~297M
2/25/15 guidance: approximately 300mm</t>
        </r>
      </text>
    </comment>
    <comment ref="DJ164" authorId="0">
      <text>
        <r>
          <rPr>
            <b/>
            <sz val="9"/>
            <color indexed="81"/>
            <rFont val="Tahoma"/>
            <family val="2"/>
          </rPr>
          <t xml:space="preserve">casselau:
2/22/17: repurchased 5.7M share of stock for $438.4M 
8/17/16: guidance 291M; will be a 7c benefit
</t>
        </r>
        <r>
          <rPr>
            <sz val="9"/>
            <color indexed="81"/>
            <rFont val="Tahoma"/>
            <family val="2"/>
          </rPr>
          <t>5/18/16: 292M, 6c benefit 
2/24/16: guidance 292M (8c benefit)</t>
        </r>
      </text>
    </comment>
    <comment ref="DN164" authorId="8">
      <text>
        <r>
          <rPr>
            <b/>
            <sz val="9"/>
            <color indexed="81"/>
            <rFont val="Tahoma"/>
            <family val="2"/>
          </rPr>
          <t>Cassel, Lauren (Research):
2/28/18: repurchased 9.4M shares for $224.9M; $48M remains under the current progrma
8/15/17: guidance  ~288M
5/17/17: guidance 289M</t>
        </r>
        <r>
          <rPr>
            <sz val="9"/>
            <color indexed="81"/>
            <rFont val="Tahoma"/>
            <family val="2"/>
          </rPr>
          <t xml:space="preserve">
2/22/17: guidance 290M</t>
        </r>
      </text>
    </comment>
    <comment ref="DR164" authorId="8">
      <text>
        <r>
          <rPr>
            <b/>
            <sz val="9"/>
            <color indexed="81"/>
            <rFont val="Tahoma"/>
            <family val="2"/>
          </rPr>
          <t>Cassel, Lauren (Research):</t>
        </r>
        <r>
          <rPr>
            <sz val="9"/>
            <color indexed="81"/>
            <rFont val="Tahoma"/>
            <family val="2"/>
          </rPr>
          <t xml:space="preserve">
2/28/18: guidance 282M</t>
        </r>
      </text>
    </comment>
    <comment ref="CD170" authorId="3">
      <text>
        <r>
          <rPr>
            <b/>
            <sz val="8"/>
            <color indexed="81"/>
            <rFont val="Tahoma"/>
            <family val="2"/>
          </rPr>
          <t>mm98285:</t>
        </r>
        <r>
          <rPr>
            <sz val="8"/>
            <color indexed="81"/>
            <rFont val="Tahoma"/>
            <family val="2"/>
          </rPr>
          <t xml:space="preserve">
2/5/08: LTD announced the declaration of its regular quarterly dividend of $.15 per share payable on March 14, 2008, to shareholders of record at the close of
business on February 28, 2008.  
</t>
        </r>
      </text>
    </comment>
    <comment ref="CH170" authorId="3">
      <text>
        <r>
          <rPr>
            <b/>
            <sz val="8"/>
            <color indexed="81"/>
            <rFont val="Tahoma"/>
            <family val="2"/>
          </rPr>
          <t>mm98285:</t>
        </r>
        <r>
          <rPr>
            <sz val="8"/>
            <color indexed="81"/>
            <rFont val="Tahoma"/>
            <family val="2"/>
          </rPr>
          <t xml:space="preserve">
2/2/09: announced declaration of regular quarterly dividend of $0.15 per share payable on 3/13/09, to shareholders of record at close of business on 2/27/09</t>
        </r>
      </text>
    </comment>
    <comment ref="CL170" authorId="3">
      <text>
        <r>
          <rPr>
            <b/>
            <sz val="8"/>
            <color indexed="81"/>
            <rFont val="Tahoma"/>
            <family val="2"/>
          </rPr>
          <t>mm98285:</t>
        </r>
        <r>
          <rPr>
            <sz val="8"/>
            <color indexed="81"/>
            <rFont val="Tahoma"/>
            <family val="2"/>
          </rPr>
          <t xml:space="preserve">
2/10: declaration of its regular quarterly dividend of $0.15 per share payable on 3/12/10, to shareholders of record at the close of business on 2/26/2010. </t>
        </r>
      </text>
    </comment>
    <comment ref="CP170" authorId="5">
      <text>
        <r>
          <rPr>
            <b/>
            <sz val="8"/>
            <color indexed="81"/>
            <rFont val="Tahoma"/>
            <family val="2"/>
          </rPr>
          <t>nicholjs:</t>
        </r>
        <r>
          <rPr>
            <sz val="8"/>
            <color indexed="81"/>
            <rFont val="Tahoma"/>
            <family val="2"/>
          </rPr>
          <t xml:space="preserve">
As part of its ongoing commitment to increasing shareholder value, LTD announced a 33% increase in its regular annual dividend to $0.80 per share, from $0.60 per share previously. 
The company also announced the declaration of its regular quarterly dividend of $0.20 per share payable on March 11, 2011, to shareholders of record at the close of business on Feb. 25, 2011.</t>
        </r>
      </text>
    </comment>
    <comment ref="CX170" authorId="11">
      <text>
        <r>
          <rPr>
            <b/>
            <sz val="8"/>
            <color indexed="81"/>
            <rFont val="Tahoma"/>
            <family val="2"/>
          </rPr>
          <t>solejay:</t>
        </r>
        <r>
          <rPr>
            <sz val="8"/>
            <color indexed="81"/>
            <rFont val="Tahoma"/>
            <family val="2"/>
          </rPr>
          <t xml:space="preserve">
raised dividend on Feb 4th, 2013</t>
        </r>
      </text>
    </comment>
    <comment ref="DB170" authorId="0">
      <text>
        <r>
          <rPr>
            <b/>
            <sz val="8"/>
            <color indexed="81"/>
            <rFont val="Tahoma"/>
            <family val="2"/>
          </rPr>
          <t>casselau:</t>
        </r>
        <r>
          <rPr>
            <sz val="8"/>
            <color indexed="81"/>
            <rFont val="Tahoma"/>
            <family val="2"/>
          </rPr>
          <t xml:space="preserve">
raised dividend on 2/3/14 and announced $1 special dividend</t>
        </r>
      </text>
    </comment>
    <comment ref="BZ171" authorId="3">
      <text>
        <r>
          <rPr>
            <b/>
            <sz val="8"/>
            <color indexed="81"/>
            <rFont val="Tahoma"/>
            <family val="2"/>
          </rPr>
          <t>mm98285:</t>
        </r>
        <r>
          <rPr>
            <sz val="8"/>
            <color indexed="81"/>
            <rFont val="Tahoma"/>
            <family val="2"/>
          </rPr>
          <t xml:space="preserve">
5/22/07: declares regular quarterly dividend of $0.15 per share payable on 6/15/07 to shareholders of record at 5/31/07</t>
        </r>
      </text>
    </comment>
    <comment ref="CD171" authorId="3">
      <text>
        <r>
          <rPr>
            <b/>
            <sz val="8"/>
            <color indexed="81"/>
            <rFont val="Tahoma"/>
            <family val="2"/>
          </rPr>
          <t>mm98285:</t>
        </r>
        <r>
          <rPr>
            <sz val="8"/>
            <color indexed="81"/>
            <rFont val="Tahoma"/>
            <family val="2"/>
          </rPr>
          <t xml:space="preserve">
5/08: $0.15 dividend payable on 6/13/08, to shareholders of record at the close of business on 5/29/08</t>
        </r>
      </text>
    </comment>
    <comment ref="CH171" authorId="3">
      <text>
        <r>
          <rPr>
            <b/>
            <sz val="8"/>
            <color indexed="81"/>
            <rFont val="Tahoma"/>
            <family val="2"/>
          </rPr>
          <t>mm98285:</t>
        </r>
        <r>
          <rPr>
            <sz val="8"/>
            <color indexed="81"/>
            <rFont val="Tahoma"/>
            <family val="2"/>
          </rPr>
          <t xml:space="preserve">
May 28: announced regular quarterly dividend of $0.15 per share payable on June 16, 2009, to shareholders of record at the close of business on June 8, 2009.
</t>
        </r>
      </text>
    </comment>
    <comment ref="CL171" authorId="5">
      <text>
        <r>
          <rPr>
            <b/>
            <sz val="8"/>
            <color indexed="81"/>
            <rFont val="Tahoma"/>
            <family val="2"/>
          </rPr>
          <t>nicholjs:</t>
        </r>
        <r>
          <rPr>
            <sz val="8"/>
            <color indexed="81"/>
            <rFont val="Tahoma"/>
            <family val="2"/>
          </rPr>
          <t xml:space="preserve">
5/28/2010: announced today the declaration of its regular quarterly dividend of $.15 per share payable on June 15, 2010, to shareholders of record at the close of business on June 4, 2010.</t>
        </r>
      </text>
    </comment>
    <comment ref="CP171" authorId="5">
      <text>
        <r>
          <rPr>
            <b/>
            <sz val="8"/>
            <color indexed="81"/>
            <rFont val="Tahoma"/>
            <family val="2"/>
          </rPr>
          <t>nicholjs:</t>
        </r>
        <r>
          <rPr>
            <sz val="8"/>
            <color indexed="81"/>
            <rFont val="Tahoma"/>
            <family val="2"/>
          </rPr>
          <t xml:space="preserve">
May 31, 2011 / announced the declaration of its regular quarterly dividend of $.20 per share payable on June 17, 2011, to shareholders of record at the close of business on June 7, 2011.
May 31, 2011 / As part of its ongoing commitment to return value to shareholders, Limited Brands announced today that its Board of Directors has declared a special dividend of $1 per share.  The special dividend will be paid on July 1, 2011, to shareholders of record at the close of business on June 17, 2011.</t>
        </r>
      </text>
    </comment>
    <comment ref="BF172" authorId="1">
      <text>
        <r>
          <rPr>
            <b/>
            <sz val="8"/>
            <color indexed="81"/>
            <rFont val="Tahoma"/>
            <family val="2"/>
          </rPr>
          <t>dliu:</t>
        </r>
        <r>
          <rPr>
            <sz val="8"/>
            <color indexed="81"/>
            <rFont val="Tahoma"/>
            <family val="2"/>
          </rPr>
          <t xml:space="preserve">
whited out to keep calculation for B/S - whiteback in when report</t>
        </r>
      </text>
    </comment>
    <comment ref="BV172" authorId="3">
      <text>
        <r>
          <rPr>
            <b/>
            <sz val="8"/>
            <color indexed="81"/>
            <rFont val="Tahoma"/>
            <family val="2"/>
          </rPr>
          <t>mm98285:</t>
        </r>
        <r>
          <rPr>
            <sz val="8"/>
            <color indexed="81"/>
            <rFont val="Tahoma"/>
            <family val="2"/>
          </rPr>
          <t xml:space="preserve">
8/06: declared quarterly div of 15c ps payable on 9/15/06, to shareholders of record on 8/31/06</t>
        </r>
      </text>
    </comment>
    <comment ref="CD172" authorId="3">
      <text>
        <r>
          <rPr>
            <b/>
            <sz val="8"/>
            <color indexed="81"/>
            <rFont val="Tahoma"/>
            <family val="2"/>
          </rPr>
          <t>mm98285:</t>
        </r>
        <r>
          <rPr>
            <sz val="8"/>
            <color indexed="81"/>
            <rFont val="Tahoma"/>
            <family val="2"/>
          </rPr>
          <t xml:space="preserve">
8/08 announced regular quarterly dividend of $0.15 per share payable on 9/12/08, to shareholders of record at the close of business on 8/28/08</t>
        </r>
      </text>
    </comment>
    <comment ref="CL172" authorId="5">
      <text>
        <r>
          <rPr>
            <b/>
            <sz val="8"/>
            <color indexed="81"/>
            <rFont val="Tahoma"/>
            <family val="2"/>
          </rPr>
          <t>nicholjs:</t>
        </r>
        <r>
          <rPr>
            <sz val="8"/>
            <color indexed="81"/>
            <rFont val="Tahoma"/>
            <family val="2"/>
          </rPr>
          <t xml:space="preserve">
8/16/2010: announced today the declaration of its regular quarterly dividend of $.15 per share payable on Sept. 10, 2010, to shareholders of record at the close of business on Aug. 27, 2010.</t>
        </r>
      </text>
    </comment>
    <comment ref="CP172" authorId="5">
      <text>
        <r>
          <rPr>
            <b/>
            <sz val="8"/>
            <color indexed="81"/>
            <rFont val="Tahoma"/>
            <family val="2"/>
          </rPr>
          <t>nicholjs:</t>
        </r>
        <r>
          <rPr>
            <sz val="8"/>
            <color indexed="81"/>
            <rFont val="Tahoma"/>
            <family val="2"/>
          </rPr>
          <t xml:space="preserve">
COLUMBUS, Ohio, Aug. 5, 2011 /PRNewswire via COMTEX/ --
Limited Brands (NYSE: LTD) announced today the declaration of its regular quarterly dividend of $.20 per share payable on September 9, 2011, to shareholders of record at the close of business on August 26, 2011. This is the company's 147th consecutive quarterly dividend. 
</t>
        </r>
      </text>
    </comment>
    <comment ref="BJ173" authorId="2">
      <text>
        <r>
          <rPr>
            <b/>
            <sz val="8"/>
            <color indexed="81"/>
            <rFont val="Tahoma"/>
            <family val="2"/>
          </rPr>
          <t>Corinna Freedman:</t>
        </r>
        <r>
          <rPr>
            <sz val="8"/>
            <color indexed="81"/>
            <rFont val="Tahoma"/>
            <family val="2"/>
          </rPr>
          <t xml:space="preserve">
500m special one-time dividend</t>
        </r>
      </text>
    </comment>
    <comment ref="BZ173" authorId="3">
      <text>
        <r>
          <rPr>
            <b/>
            <sz val="8"/>
            <color indexed="81"/>
            <rFont val="Tahoma"/>
            <family val="2"/>
          </rPr>
          <t>mm98285:</t>
        </r>
        <r>
          <rPr>
            <sz val="8"/>
            <color indexed="81"/>
            <rFont val="Tahoma"/>
            <family val="2"/>
          </rPr>
          <t xml:space="preserve">
11/12/07: announced declaration of regular quarterly dividend of $.15 per share payable on 12/14/07, to shareholders of record at the close of business on 11/29/07</t>
        </r>
      </text>
    </comment>
    <comment ref="CL173" authorId="5">
      <text>
        <r>
          <rPr>
            <b/>
            <sz val="8"/>
            <color indexed="81"/>
            <rFont val="Tahoma"/>
            <family val="2"/>
          </rPr>
          <t>nicholjs:</t>
        </r>
        <r>
          <rPr>
            <sz val="8"/>
            <color indexed="81"/>
            <rFont val="Tahoma"/>
            <family val="2"/>
          </rPr>
          <t xml:space="preserve">
announced today the declaration of its regular quarterly dividend of $.15 per share payable on Dec. 10, 2010, to shareholders of record at the close of business on Nov. 26, 2010. 
</t>
        </r>
      </text>
    </comment>
    <comment ref="DF174" authorId="0">
      <text>
        <r>
          <rPr>
            <b/>
            <sz val="9"/>
            <color indexed="81"/>
            <rFont val="Tahoma"/>
            <family val="2"/>
          </rPr>
          <t>casselau:</t>
        </r>
        <r>
          <rPr>
            <sz val="9"/>
            <color indexed="81"/>
            <rFont val="Tahoma"/>
            <family val="2"/>
          </rPr>
          <t xml:space="preserve">
2/5/15: raised dividend to $2 from $1.36</t>
        </r>
      </text>
    </comment>
    <comment ref="DJ174" authorId="0">
      <text>
        <r>
          <rPr>
            <b/>
            <sz val="9"/>
            <color indexed="81"/>
            <rFont val="Tahoma"/>
            <family val="2"/>
          </rPr>
          <t>casselau:</t>
        </r>
        <r>
          <rPr>
            <sz val="9"/>
            <color indexed="81"/>
            <rFont val="Tahoma"/>
            <family val="2"/>
          </rPr>
          <t xml:space="preserve">
2/4/16: raised dividend 20% to $2.40/share</t>
        </r>
      </text>
    </comment>
    <comment ref="CP189" authorId="5">
      <text>
        <r>
          <rPr>
            <b/>
            <sz val="8"/>
            <color indexed="81"/>
            <rFont val="Tahoma"/>
            <family val="2"/>
          </rPr>
          <t>nicholjs:</t>
        </r>
        <r>
          <rPr>
            <sz val="8"/>
            <color indexed="81"/>
            <rFont val="Tahoma"/>
            <family val="2"/>
          </rPr>
          <t xml:space="preserve">
307,577,400 shares outstanding as of May 27</t>
        </r>
      </text>
    </comment>
    <comment ref="CP190" authorId="5">
      <text>
        <r>
          <rPr>
            <b/>
            <sz val="8"/>
            <color indexed="81"/>
            <rFont val="Tahoma"/>
            <family val="2"/>
          </rPr>
          <t>nicholjs:</t>
        </r>
        <r>
          <rPr>
            <sz val="8"/>
            <color indexed="81"/>
            <rFont val="Tahoma"/>
            <family val="2"/>
          </rPr>
          <t xml:space="preserve">
298,324,674 shares out as of Aug 26</t>
        </r>
      </text>
    </comment>
    <comment ref="CT198" authorId="7">
      <text>
        <r>
          <rPr>
            <b/>
            <sz val="8"/>
            <color indexed="81"/>
            <rFont val="Tahoma"/>
            <family val="2"/>
          </rPr>
          <t xml:space="preserve">kahng:
2/22/12: Was 86/qtr. Updated for new guid of $360M annually
</t>
        </r>
      </text>
    </comment>
    <comment ref="CH202" authorId="3">
      <text>
        <r>
          <rPr>
            <b/>
            <sz val="8"/>
            <color indexed="81"/>
            <rFont val="Tahoma"/>
            <family val="2"/>
          </rPr>
          <t>mm98285:</t>
        </r>
        <r>
          <rPr>
            <sz val="8"/>
            <color indexed="81"/>
            <rFont val="Tahoma"/>
            <family val="2"/>
          </rPr>
          <t xml:space="preserve">
11/09: ~$350M
8/09 &amp; 5/09: ~$340M
2/09: $320</t>
        </r>
      </text>
    </comment>
    <comment ref="CL202" authorId="5">
      <text>
        <r>
          <rPr>
            <b/>
            <sz val="8"/>
            <color indexed="81"/>
            <rFont val="Tahoma"/>
            <family val="2"/>
          </rPr>
          <t>nicholjs:</t>
        </r>
        <r>
          <rPr>
            <sz val="8"/>
            <color indexed="81"/>
            <rFont val="Tahoma"/>
            <family val="2"/>
          </rPr>
          <t xml:space="preserve">
11/10: ~$360M
8/10: ~$360M</t>
        </r>
      </text>
    </comment>
    <comment ref="CP202" authorId="5">
      <text>
        <r>
          <rPr>
            <b/>
            <sz val="8"/>
            <color indexed="81"/>
            <rFont val="Tahoma"/>
            <family val="2"/>
          </rPr>
          <t>nicholjs:</t>
        </r>
        <r>
          <rPr>
            <sz val="8"/>
            <color indexed="81"/>
            <rFont val="Tahoma"/>
            <family val="2"/>
          </rPr>
          <t xml:space="preserve">
8/2011: expect $350mm
5/2011: expect $350mm
2/2011: expect $360mm</t>
        </r>
      </text>
    </comment>
    <comment ref="CT202" authorId="7">
      <text>
        <r>
          <rPr>
            <b/>
            <sz val="8"/>
            <color indexed="81"/>
            <rFont val="Tahoma"/>
            <family val="2"/>
          </rPr>
          <t xml:space="preserve">11/14: </t>
        </r>
        <r>
          <rPr>
            <sz val="8"/>
            <color indexed="81"/>
            <rFont val="Tahoma"/>
            <family val="2"/>
          </rPr>
          <t>$350</t>
        </r>
        <r>
          <rPr>
            <b/>
            <sz val="8"/>
            <color indexed="81"/>
            <rFont val="Tahoma"/>
            <family val="2"/>
          </rPr>
          <t xml:space="preserve">
kahng:</t>
        </r>
        <r>
          <rPr>
            <sz val="8"/>
            <color indexed="81"/>
            <rFont val="Tahoma"/>
            <family val="2"/>
          </rPr>
          <t xml:space="preserve">
5/16/12~360M
2/22/12~360M</t>
        </r>
      </text>
    </comment>
    <comment ref="DB202" authorId="0">
      <text>
        <r>
          <rPr>
            <b/>
            <sz val="8"/>
            <color indexed="81"/>
            <rFont val="Tahoma"/>
            <family val="2"/>
          </rPr>
          <t>casselau:</t>
        </r>
        <r>
          <rPr>
            <sz val="8"/>
            <color indexed="81"/>
            <rFont val="Tahoma"/>
            <family val="2"/>
          </rPr>
          <t xml:space="preserve">
2/26/14: guidance ~$385M</t>
        </r>
      </text>
    </comment>
    <comment ref="DF202" authorId="12">
      <text>
        <r>
          <rPr>
            <b/>
            <sz val="9"/>
            <color indexed="81"/>
            <rFont val="Tahoma"/>
            <family val="2"/>
          </rPr>
          <t>Mains, Spencer (Research):</t>
        </r>
        <r>
          <rPr>
            <sz val="9"/>
            <color indexed="81"/>
            <rFont val="Tahoma"/>
            <family val="2"/>
          </rPr>
          <t xml:space="preserve">
2/25/15 guidance: approximately $430mm</t>
        </r>
      </text>
    </comment>
    <comment ref="DJ202" authorId="0">
      <text>
        <r>
          <rPr>
            <b/>
            <sz val="9"/>
            <color indexed="81"/>
            <rFont val="Tahoma"/>
            <family val="2"/>
          </rPr>
          <t>casselau:</t>
        </r>
        <r>
          <rPr>
            <sz val="9"/>
            <color indexed="81"/>
            <rFont val="Tahoma"/>
            <family val="2"/>
          </rPr>
          <t xml:space="preserve">
2/24/16: ~$470M</t>
        </r>
      </text>
    </comment>
    <comment ref="DN202" authorId="8">
      <text>
        <r>
          <rPr>
            <b/>
            <sz val="9"/>
            <color indexed="81"/>
            <rFont val="Tahoma"/>
            <family val="2"/>
          </rPr>
          <t>Cassel, Lauren (Research):</t>
        </r>
        <r>
          <rPr>
            <sz val="9"/>
            <color indexed="81"/>
            <rFont val="Tahoma"/>
            <family val="2"/>
          </rPr>
          <t xml:space="preserve">
2/22/17: guidance $525M</t>
        </r>
      </text>
    </comment>
    <comment ref="AL209" authorId="1">
      <text>
        <r>
          <rPr>
            <b/>
            <sz val="8"/>
            <color indexed="81"/>
            <rFont val="Tahoma"/>
            <family val="2"/>
          </rPr>
          <t>dliu:</t>
        </r>
        <r>
          <rPr>
            <sz val="8"/>
            <color indexed="81"/>
            <rFont val="Tahoma"/>
            <family val="2"/>
          </rPr>
          <t xml:space="preserve">
excludes the gain on sale of brylane since that is a non-operating gain, but INCLUDES the $5.1 mm charge</t>
        </r>
      </text>
    </comment>
    <comment ref="AL210" authorId="1">
      <text>
        <r>
          <rPr>
            <b/>
            <sz val="8"/>
            <color indexed="81"/>
            <rFont val="Tahoma"/>
            <family val="2"/>
          </rPr>
          <t>dliu:</t>
        </r>
        <r>
          <rPr>
            <sz val="8"/>
            <color indexed="81"/>
            <rFont val="Tahoma"/>
            <family val="2"/>
          </rPr>
          <t xml:space="preserve">
excludes the gain on A&amp;F since it's non-operating</t>
        </r>
      </text>
    </comment>
    <comment ref="AX211" authorId="1">
      <text>
        <r>
          <rPr>
            <b/>
            <sz val="8"/>
            <color indexed="81"/>
            <rFont val="Tahoma"/>
            <family val="2"/>
          </rPr>
          <t>dliu:</t>
        </r>
        <r>
          <rPr>
            <sz val="8"/>
            <color indexed="81"/>
            <rFont val="Tahoma"/>
            <family val="2"/>
          </rPr>
          <t xml:space="preserve">
excludes the $170mm gain on sale of Lane Bryant since it's non-operating</t>
        </r>
      </text>
    </comment>
    <comment ref="CL219" authorId="5">
      <text>
        <r>
          <rPr>
            <b/>
            <sz val="8"/>
            <color indexed="81"/>
            <rFont val="Tahoma"/>
            <family val="2"/>
          </rPr>
          <t>nicholjs:</t>
        </r>
        <r>
          <rPr>
            <sz val="8"/>
            <color indexed="81"/>
            <rFont val="Tahoma"/>
            <family val="2"/>
          </rPr>
          <t xml:space="preserve">
In the first quarter of 2010, adjusted results exclude the following:
A $48.7 million pre-tax gain ($29.6M net of tax), included in other income, related to a $56.5 million cash distribution from Express.
</t>
        </r>
      </text>
    </comment>
    <comment ref="BZ220" authorId="3">
      <text>
        <r>
          <rPr>
            <b/>
            <sz val="8"/>
            <color indexed="81"/>
            <rFont val="Tahoma"/>
            <family val="2"/>
          </rPr>
          <t>mm98285:</t>
        </r>
        <r>
          <rPr>
            <sz val="8"/>
            <color indexed="81"/>
            <rFont val="Tahoma"/>
            <family val="2"/>
          </rPr>
          <t xml:space="preserve">
$159mm income tax expense</t>
        </r>
      </text>
    </comment>
    <comment ref="CL220" authorId="5">
      <text>
        <r>
          <rPr>
            <b/>
            <sz val="8"/>
            <color indexed="81"/>
            <rFont val="Tahoma"/>
            <family val="2"/>
          </rPr>
          <t>nicholjs:</t>
        </r>
        <r>
          <rPr>
            <sz val="8"/>
            <color indexed="81"/>
            <rFont val="Tahoma"/>
            <family val="2"/>
          </rPr>
          <t xml:space="preserve">
In the second quarter of 2010, adjusted results exclude the following:
A $52.3 million pre-tax gain ($31.8M net of tax), included in other income, related to the initial public offering of Express including the sale of a portion of the company’s shares.  
A $19.7 million pre-tax gain, included in other income, and a related net tax benefit of $22.4 million associated with the sale of our remaining 25% interest in Limited Stores.    
A $25.2 million pre-tax loss ($15.8M net of tax), included in other income, associated with the early retirement of portions of our 2012 and 2014 maturity bonds.  
</t>
        </r>
      </text>
    </comment>
    <comment ref="CP220" authorId="4">
      <text>
        <r>
          <rPr>
            <b/>
            <sz val="8"/>
            <color indexed="81"/>
            <rFont val="Tahoma"/>
            <family val="2"/>
          </rPr>
          <t>P Kahng:</t>
        </r>
        <r>
          <rPr>
            <sz val="8"/>
            <color indexed="81"/>
            <rFont val="Tahoma"/>
            <family val="2"/>
          </rPr>
          <t xml:space="preserve">
$147.053M in other income.
A non-taxable gain of $147.1 million, or $0.47 per share, and a pre-tax expense of $113.4 million, or $0.22 per share, related to the charitable
contribution of all of the company's remaining shares of Express (NYSE: EXPR) to the Limited Brands Foundation.</t>
        </r>
      </text>
    </comment>
    <comment ref="BZ221" authorId="3">
      <text>
        <r>
          <rPr>
            <b/>
            <sz val="8"/>
            <color indexed="81"/>
            <rFont val="Tahoma"/>
            <family val="2"/>
          </rPr>
          <t>mm98285:</t>
        </r>
        <r>
          <rPr>
            <sz val="8"/>
            <color indexed="81"/>
            <rFont val="Tahoma"/>
            <family val="2"/>
          </rPr>
          <t xml:space="preserve">
$11mm income tax expense and add back $0.339 b/c already included in op income from con't ops</t>
        </r>
      </text>
    </comment>
    <comment ref="CH221" authorId="9">
      <text>
        <r>
          <rPr>
            <b/>
            <sz val="8"/>
            <color indexed="81"/>
            <rFont val="Tahoma"/>
            <family val="2"/>
          </rPr>
          <t>ns66486:</t>
        </r>
        <r>
          <rPr>
            <sz val="8"/>
            <color indexed="81"/>
            <rFont val="Tahoma"/>
            <family val="2"/>
          </rPr>
          <t xml:space="preserve">
add back 8.8mm resolution of certain tax matters</t>
        </r>
      </text>
    </comment>
    <comment ref="CP221" authorId="7">
      <text>
        <r>
          <rPr>
            <b/>
            <sz val="8"/>
            <color indexed="81"/>
            <rFont val="Tahoma"/>
            <family val="2"/>
          </rPr>
          <t>kahng:</t>
        </r>
        <r>
          <rPr>
            <sz val="8"/>
            <color indexed="81"/>
            <rFont val="Tahoma"/>
            <family val="2"/>
          </rPr>
          <t xml:space="preserve">
$16.691M tax benefit related to favorable resolutino of certain discrete income tax matters</t>
        </r>
      </text>
    </comment>
    <comment ref="BZ222" authorId="3">
      <text>
        <r>
          <rPr>
            <b/>
            <sz val="8"/>
            <color indexed="81"/>
            <rFont val="Tahoma"/>
            <family val="2"/>
          </rPr>
          <t>mm98285:</t>
        </r>
        <r>
          <rPr>
            <sz val="8"/>
            <color indexed="81"/>
            <rFont val="Tahoma"/>
            <family val="2"/>
          </rPr>
          <t xml:space="preserve">
$202 income tax expense</t>
        </r>
      </text>
    </comment>
    <comment ref="CH222" authorId="9">
      <text>
        <r>
          <rPr>
            <b/>
            <sz val="8"/>
            <color indexed="81"/>
            <rFont val="Tahoma"/>
            <family val="2"/>
          </rPr>
          <t>ns66486:</t>
        </r>
        <r>
          <rPr>
            <sz val="8"/>
            <color indexed="81"/>
            <rFont val="Tahoma"/>
            <family val="2"/>
          </rPr>
          <t xml:space="preserve">
add back tax benefit of 23.3mm relating to reorganization of certain foreign subsidiaries</t>
        </r>
      </text>
    </comment>
    <comment ref="CL222" authorId="5">
      <text>
        <r>
          <rPr>
            <b/>
            <sz val="8"/>
            <color indexed="81"/>
            <rFont val="Tahoma"/>
            <family val="2"/>
          </rPr>
          <t>nicholjs:</t>
        </r>
        <r>
          <rPr>
            <sz val="8"/>
            <color indexed="81"/>
            <rFont val="Tahoma"/>
            <family val="2"/>
          </rPr>
          <t xml:space="preserve">
In the fourth quarter of 2010, adjusted results exclude the following: 
A $44.9 million pre-tax gain ($28.2M net of tax), included in other income and expense, related to the sale of Express stock. 
A $7.1 million pre-tax gain ($4.4M net of tax), included in other income and expense, related to a dividend payment from Express. 
</t>
        </r>
      </text>
    </comment>
    <comment ref="CP222" authorId="7">
      <text>
        <r>
          <rPr>
            <b/>
            <sz val="8"/>
            <color indexed="81"/>
            <rFont val="Tahoma"/>
            <family val="2"/>
          </rPr>
          <t>kahng:</t>
        </r>
        <r>
          <rPr>
            <sz val="8"/>
            <color indexed="81"/>
            <rFont val="Tahoma"/>
            <family val="2"/>
          </rPr>
          <t xml:space="preserve">
2/2012: $45.636 is the tax adjustment</t>
        </r>
      </text>
    </comment>
  </commentList>
</comments>
</file>

<file path=xl/comments11.xml><?xml version="1.0" encoding="utf-8"?>
<comments xmlns="http://schemas.openxmlformats.org/spreadsheetml/2006/main">
  <authors>
    <author>mm98285</author>
    <author>dliu</author>
    <author>Cassel, Lauren (Research)</author>
    <author>casselau</author>
    <author>P Kahng</author>
    <author>jwyatt</author>
    <author>kahng</author>
    <author>solejay</author>
    <author>MB33100</author>
    <author>Kimberly Greenberger</author>
    <author>nicholjs</author>
    <author>Corinna Freedman</author>
    <author>kgreenbe</author>
    <author>kimberlg</author>
  </authors>
  <commentList>
    <comment ref="Q5" authorId="0">
      <text>
        <r>
          <rPr>
            <b/>
            <sz val="8"/>
            <color indexed="81"/>
            <rFont val="Tahoma"/>
            <family val="2"/>
          </rPr>
          <t>mm98285:</t>
        </r>
        <r>
          <rPr>
            <sz val="8"/>
            <color indexed="81"/>
            <rFont val="Tahoma"/>
            <family val="2"/>
          </rPr>
          <t xml:space="preserve">
restated under cost method (from retail method)</t>
        </r>
      </text>
    </comment>
    <comment ref="E7" authorId="1">
      <text>
        <r>
          <rPr>
            <b/>
            <sz val="8"/>
            <color indexed="81"/>
            <rFont val="Tahoma"/>
            <family val="2"/>
          </rPr>
          <t>dliu:</t>
        </r>
        <r>
          <rPr>
            <sz val="8"/>
            <color indexed="81"/>
            <rFont val="Tahoma"/>
            <family val="2"/>
          </rPr>
          <t xml:space="preserve">
excl sales of brylane total sales were 7.003 bn</t>
        </r>
      </text>
    </comment>
    <comment ref="T7" authorId="0">
      <text>
        <r>
          <rPr>
            <b/>
            <sz val="8"/>
            <color indexed="81"/>
            <rFont val="Tahoma"/>
            <family val="2"/>
          </rPr>
          <t>mm98285:</t>
        </r>
        <r>
          <rPr>
            <sz val="8"/>
            <color indexed="81"/>
            <rFont val="Tahoma"/>
            <family val="2"/>
          </rPr>
          <t xml:space="preserve">
8/07: includes Mast sales (~$650mm on annual basis)
6/07: assumes Limited div is sold and excludes Limited div. revenues in 2008 &amp; future yrs</t>
        </r>
      </text>
    </comment>
    <comment ref="AD8" authorId="2">
      <text>
        <r>
          <rPr>
            <b/>
            <sz val="9"/>
            <color indexed="81"/>
            <rFont val="Tahoma"/>
            <family val="2"/>
          </rPr>
          <t xml:space="preserve">Cassel, Lauren (Research):
11/2/17:  believe they can deliver 5-10% total sales growth (NA comps +L-MSD, NA sqft +flat to +LSD, eComm  +mid-high teen, intl +20-25%)
8/17/17: Per Stuart: need a +3-5% comp and +MSD revenue growth to leverage expenses slightly
</t>
        </r>
        <r>
          <rPr>
            <sz val="9"/>
            <color indexed="81"/>
            <rFont val="Tahoma"/>
            <family val="2"/>
          </rPr>
          <t xml:space="preserve">
11/1/16: believe they can deliver 7-10% total sales growth (NA comps +L-MSD, NA sqft +L-MSD, eComm  +mid-high teen, intl +20-25%)</t>
        </r>
      </text>
    </comment>
    <comment ref="AE8" authorId="2">
      <text>
        <r>
          <rPr>
            <b/>
            <sz val="9"/>
            <color indexed="81"/>
            <rFont val="Tahoma"/>
            <family val="2"/>
          </rPr>
          <t>Cassel, Lauren (Research):
11/2/17:  believe they can deliver 5-10% total sales growth (NA comps +L-MSD, NA sqft +flat to +LSD, eComm  +mid-high teen, intl +20-25%)</t>
        </r>
        <r>
          <rPr>
            <sz val="9"/>
            <color indexed="81"/>
            <rFont val="Tahoma"/>
            <family val="2"/>
          </rPr>
          <t xml:space="preserve">
11/1/16: believe they can deliver 7-10% total sales growth (NA comps +L-MSD, NA sqft +L-MSD, eComm  +mid-high teen, intl +20-25%)</t>
        </r>
      </text>
    </comment>
    <comment ref="AF8" authorId="2">
      <text>
        <r>
          <rPr>
            <b/>
            <sz val="9"/>
            <color indexed="81"/>
            <rFont val="Tahoma"/>
            <family val="2"/>
          </rPr>
          <t>Cassel, Lauren (Research):
11/2/17:  believe they can deliver 5-10% total sales growth (NA comps +L-MSD, NA sqft +flat to +LSD, eComm  +mid-high teen, intl +20-25%)</t>
        </r>
        <r>
          <rPr>
            <sz val="9"/>
            <color indexed="81"/>
            <rFont val="Tahoma"/>
            <family val="2"/>
          </rPr>
          <t xml:space="preserve">
11/1/16: believe they can deliver 7-10% total sales growth (NA comps +L-MSD, NA sqft +L-MSD, eComm  +mid-high teen, intl +20-25%)</t>
        </r>
      </text>
    </comment>
    <comment ref="AG8" authorId="2">
      <text>
        <r>
          <rPr>
            <b/>
            <sz val="9"/>
            <color indexed="81"/>
            <rFont val="Tahoma"/>
            <family val="2"/>
          </rPr>
          <t>Cassel, Lauren (Research):
11/2/17:  believe they can deliver 5-10% total sales growth (NA comps +L-MSD, NA sqft +flat to +LSD, eComm  +mid-high teen, intl +20-25%)</t>
        </r>
        <r>
          <rPr>
            <sz val="9"/>
            <color indexed="81"/>
            <rFont val="Tahoma"/>
            <family val="2"/>
          </rPr>
          <t xml:space="preserve">
11/1/16: believe they can deliver 7-10% total sales growth (NA comps +L-MSD, NA sqft +L-MSD, eComm  +mid-high teen, intl +20-25%)</t>
        </r>
      </text>
    </comment>
    <comment ref="AH8" authorId="2">
      <text>
        <r>
          <rPr>
            <b/>
            <sz val="9"/>
            <color indexed="81"/>
            <rFont val="Tahoma"/>
            <family val="2"/>
          </rPr>
          <t>Cassel, Lauren (Research):
11/2/17:  believe they can deliver 5-10% total sales growth (NA comps +L-MSD, NA sqft +flat to +LSD, eComm  +mid-high teen, intl +20-25%)</t>
        </r>
        <r>
          <rPr>
            <sz val="9"/>
            <color indexed="81"/>
            <rFont val="Tahoma"/>
            <family val="2"/>
          </rPr>
          <t xml:space="preserve">
11/1/16: believe they can deliver 7-10% total sales growth (NA comps +L-MSD, NA sqft +L-MSD, eComm  +mid-high teen, intl +20-25%)</t>
        </r>
      </text>
    </comment>
    <comment ref="Y12" authorId="3">
      <text>
        <r>
          <rPr>
            <sz val="8"/>
            <color indexed="81"/>
            <rFont val="Tahoma"/>
            <family val="2"/>
          </rPr>
          <t>we assume rent leverage on stronger sales and less markdowns (not merchandise margin; fewer markdowns and rent leverage)</t>
        </r>
      </text>
    </comment>
    <comment ref="Z12" authorId="3">
      <text>
        <r>
          <rPr>
            <sz val="8"/>
            <color indexed="81"/>
            <rFont val="Tahoma"/>
            <family val="2"/>
          </rPr>
          <t>we assume rent leverage on stronger sales and less markdowns (not merchandise margin; fewer markdowns and rent leverage)</t>
        </r>
      </text>
    </comment>
    <comment ref="M13" authorId="1">
      <text>
        <r>
          <rPr>
            <b/>
            <sz val="8"/>
            <color indexed="81"/>
            <rFont val="Tahoma"/>
            <family val="2"/>
          </rPr>
          <t>dliu:</t>
        </r>
        <r>
          <rPr>
            <sz val="8"/>
            <color indexed="81"/>
            <rFont val="Tahoma"/>
            <family val="2"/>
          </rPr>
          <t xml:space="preserve">
restated in 2003 10-K. 2002 10-K figure was $689mm</t>
        </r>
      </text>
    </comment>
    <comment ref="N13" authorId="1">
      <text>
        <r>
          <rPr>
            <b/>
            <sz val="8"/>
            <color indexed="81"/>
            <rFont val="Tahoma"/>
            <family val="2"/>
          </rPr>
          <t>dliu:</t>
        </r>
        <r>
          <rPr>
            <sz val="8"/>
            <color indexed="81"/>
            <rFont val="Tahoma"/>
            <family val="2"/>
          </rPr>
          <t xml:space="preserve">
restated in 2003 10-K. 2002 10-K figure was $542mm</t>
        </r>
      </text>
    </comment>
    <comment ref="P13" authorId="0">
      <text>
        <r>
          <rPr>
            <b/>
            <sz val="8"/>
            <color indexed="81"/>
            <rFont val="Tahoma"/>
            <family val="2"/>
          </rPr>
          <t>mm98285:</t>
        </r>
        <r>
          <rPr>
            <sz val="8"/>
            <color indexed="81"/>
            <rFont val="Tahoma"/>
            <family val="2"/>
          </rPr>
          <t xml:space="preserve">
includes $22mm pretax noncash charge to correct lease accting ($31mm charge and $9m benefit)</t>
        </r>
      </text>
    </comment>
    <comment ref="Q13" authorId="0">
      <text>
        <r>
          <rPr>
            <b/>
            <sz val="8"/>
            <color indexed="81"/>
            <rFont val="Tahoma"/>
            <family val="2"/>
          </rPr>
          <t>mm98285:</t>
        </r>
        <r>
          <rPr>
            <sz val="8"/>
            <color indexed="81"/>
            <rFont val="Tahoma"/>
            <family val="2"/>
          </rPr>
          <t xml:space="preserve">
fixed min $500
contingent $62
Eqm't. &amp; other $34
Excludes sublease rental income $(18)</t>
        </r>
      </text>
    </comment>
    <comment ref="R13" authorId="0">
      <text>
        <r>
          <rPr>
            <b/>
            <sz val="8"/>
            <color indexed="81"/>
            <rFont val="Tahoma"/>
            <family val="2"/>
          </rPr>
          <t>mm98285:</t>
        </r>
        <r>
          <rPr>
            <sz val="8"/>
            <color indexed="81"/>
            <rFont val="Tahoma"/>
            <family val="2"/>
          </rPr>
          <t xml:space="preserve">
$836.3M = all in rent expense incl CAM, taxes &amp; Insurance
fixed min $504
contingent $72
Eqm't. &amp; other $41
Excl. sublease rental income $(14)</t>
        </r>
      </text>
    </comment>
    <comment ref="S13" authorId="0">
      <text>
        <r>
          <rPr>
            <b/>
            <sz val="8"/>
            <color indexed="81"/>
            <rFont val="Tahoma"/>
            <family val="2"/>
          </rPr>
          <t>mm98285:</t>
        </r>
        <r>
          <rPr>
            <sz val="8"/>
            <color indexed="81"/>
            <rFont val="Tahoma"/>
            <family val="2"/>
          </rPr>
          <t xml:space="preserve">
$721.3M =  all in rent expense incl CAM, taxes &amp; Insurance
fixed min $431
contingent $58
Eqm't. &amp; other $70
Excludes sublease rental income $(9)</t>
        </r>
      </text>
    </comment>
    <comment ref="T13" authorId="0">
      <text>
        <r>
          <rPr>
            <b/>
            <sz val="8"/>
            <color indexed="81"/>
            <rFont val="Tahoma"/>
            <family val="2"/>
          </rPr>
          <t>mm98285:</t>
        </r>
        <r>
          <rPr>
            <sz val="8"/>
            <color indexed="81"/>
            <rFont val="Tahoma"/>
            <family val="2"/>
          </rPr>
          <t xml:space="preserve">
$612.0M = all in rent expense incl CAM, taxes &amp; Insurance
fixed min $391
contingent $37
Eqm't. &amp; other $64
Excludes sublease rental income $(4)</t>
        </r>
      </text>
    </comment>
    <comment ref="U13" authorId="0">
      <text>
        <r>
          <rPr>
            <sz val="8"/>
            <color indexed="81"/>
            <rFont val="Tahoma"/>
            <family val="2"/>
          </rPr>
          <t>fixed min $407
contingent $40
Eqm't. &amp; other $61
Excl. sublease rental income $(2)</t>
        </r>
      </text>
    </comment>
    <comment ref="V13" authorId="0">
      <text>
        <r>
          <rPr>
            <sz val="8"/>
            <color indexed="81"/>
            <rFont val="Tahoma"/>
            <family val="2"/>
          </rPr>
          <t>fixed min $416
contingent $44
Eqm't. &amp; other $60
Excl. sublease rental income $(3)</t>
        </r>
      </text>
    </comment>
    <comment ref="W13" authorId="4">
      <text>
        <r>
          <rPr>
            <b/>
            <sz val="8"/>
            <color indexed="81"/>
            <rFont val="Tahoma"/>
            <family val="2"/>
          </rPr>
          <t>P Kahng:</t>
        </r>
        <r>
          <rPr>
            <sz val="8"/>
            <color indexed="81"/>
            <rFont val="Tahoma"/>
            <family val="2"/>
          </rPr>
          <t xml:space="preserve">
fixed minimum $437
contingent $50
office equip, other $62</t>
        </r>
      </text>
    </comment>
    <comment ref="X13" authorId="5">
      <text>
        <r>
          <rPr>
            <b/>
            <sz val="8"/>
            <color indexed="81"/>
            <rFont val="Tahoma"/>
            <family val="2"/>
          </rPr>
          <t>jwyatt:</t>
        </r>
        <r>
          <rPr>
            <sz val="8"/>
            <color indexed="81"/>
            <rFont val="Tahoma"/>
            <family val="2"/>
          </rPr>
          <t xml:space="preserve">
fixed minimum $453
contingent $60
office equip, other $67</t>
        </r>
      </text>
    </comment>
    <comment ref="Z13" authorId="2">
      <text>
        <r>
          <rPr>
            <b/>
            <sz val="9"/>
            <color indexed="81"/>
            <rFont val="Tahoma"/>
            <family val="2"/>
          </rPr>
          <t>Cassel, Lauren (Research):</t>
        </r>
        <r>
          <rPr>
            <sz val="9"/>
            <color indexed="81"/>
            <rFont val="Tahoma"/>
            <family val="2"/>
          </rPr>
          <t xml:space="preserve">
516 fixed, 63 contingent, 68 office/equipment/other</t>
        </r>
      </text>
    </comment>
    <comment ref="AA13" authorId="2">
      <text>
        <r>
          <rPr>
            <b/>
            <sz val="9"/>
            <color indexed="81"/>
            <rFont val="Tahoma"/>
            <family val="2"/>
          </rPr>
          <t>Cassel, Lauren (Research):</t>
        </r>
        <r>
          <rPr>
            <sz val="9"/>
            <color indexed="81"/>
            <rFont val="Tahoma"/>
            <family val="2"/>
          </rPr>
          <t xml:space="preserve">
535 fixed, 73 contingent, 77 office/equipment/other</t>
        </r>
      </text>
    </comment>
    <comment ref="AB13" authorId="2">
      <text>
        <r>
          <rPr>
            <b/>
            <sz val="9"/>
            <color indexed="81"/>
            <rFont val="Tahoma"/>
            <family val="2"/>
          </rPr>
          <t>Cassel, Lauren (Research):</t>
        </r>
        <r>
          <rPr>
            <sz val="9"/>
            <color indexed="81"/>
            <rFont val="Tahoma"/>
            <family val="2"/>
          </rPr>
          <t xml:space="preserve">
Minimum: 607
Contingent: 71
Office, Equipment, and Other: 87
</t>
        </r>
      </text>
    </comment>
    <comment ref="AC13" authorId="2">
      <text>
        <r>
          <rPr>
            <b/>
            <sz val="9"/>
            <color indexed="81"/>
            <rFont val="Tahoma"/>
            <family val="2"/>
          </rPr>
          <t>Cassel, Lauren (Research):</t>
        </r>
        <r>
          <rPr>
            <sz val="9"/>
            <color indexed="81"/>
            <rFont val="Tahoma"/>
            <family val="2"/>
          </rPr>
          <t xml:space="preserve">
Minimum $642
Contingent $67
Office, Equipmentm Other: $94</t>
        </r>
      </text>
    </comment>
    <comment ref="Y14" authorId="4">
      <text>
        <r>
          <rPr>
            <b/>
            <sz val="8"/>
            <color indexed="81"/>
            <rFont val="Tahoma"/>
            <family val="2"/>
          </rPr>
          <t>P Kahng:</t>
        </r>
        <r>
          <rPr>
            <sz val="8"/>
            <color indexed="81"/>
            <rFont val="Tahoma"/>
            <family val="2"/>
          </rPr>
          <t xml:space="preserve">
increasing as continue int'l expansion</t>
        </r>
      </text>
    </comment>
    <comment ref="T15" authorId="0">
      <text>
        <r>
          <rPr>
            <b/>
            <sz val="8"/>
            <color indexed="81"/>
            <rFont val="Tahoma"/>
            <family val="2"/>
          </rPr>
          <t>mm98285:</t>
        </r>
        <r>
          <rPr>
            <sz val="8"/>
            <color indexed="81"/>
            <rFont val="Tahoma"/>
            <family val="2"/>
          </rPr>
          <t xml:space="preserve">
8/07: elimination of lower margin apparel div. offset by impact of recognizing Mast sales results in -80 bps decrease in GM for the fall, and also on an annual basis - expect to impact in 1H08 vs. 1H07 as well </t>
        </r>
      </text>
    </comment>
    <comment ref="W15" authorId="6">
      <text>
        <r>
          <rPr>
            <b/>
            <sz val="8"/>
            <color indexed="81"/>
            <rFont val="Tahoma"/>
            <family val="2"/>
          </rPr>
          <t>kahng:</t>
        </r>
        <r>
          <rPr>
            <sz val="8"/>
            <color indexed="81"/>
            <rFont val="Tahoma"/>
            <family val="2"/>
          </rPr>
          <t xml:space="preserve">
4Q CC: The gross margin rate increased 150 basis points to 39.3%, and was positively impacted by the sourcing business sale by about 70 basis points. Again, absent this impact, the gross margin rate would have increased 80 basis points, as buying and occupancy leverage more than offset a slight decline in the merchandise margin rate.</t>
        </r>
      </text>
    </comment>
    <comment ref="P16" authorId="0">
      <text>
        <r>
          <rPr>
            <b/>
            <sz val="8"/>
            <color indexed="81"/>
            <rFont val="Tahoma"/>
            <family val="2"/>
          </rPr>
          <t>mm98285:</t>
        </r>
        <r>
          <rPr>
            <sz val="8"/>
            <color indexed="81"/>
            <rFont val="Tahoma"/>
            <family val="2"/>
          </rPr>
          <t xml:space="preserve">
excludes $22mm pretax noncash charge to correct lease accting ($31mm charge and $9m benefit)</t>
        </r>
      </text>
    </comment>
    <comment ref="W16" authorId="7">
      <text>
        <r>
          <rPr>
            <b/>
            <sz val="8"/>
            <color indexed="81"/>
            <rFont val="Tahoma"/>
            <family val="2"/>
          </rPr>
          <t>solejay:</t>
        </r>
        <r>
          <rPr>
            <sz val="8"/>
            <color indexed="81"/>
            <rFont val="Tahoma"/>
            <family val="2"/>
          </rPr>
          <t xml:space="preserve">
amie preston advised that CAM is 50% of rent</t>
        </r>
      </text>
    </comment>
    <comment ref="V19" authorId="0">
      <text>
        <r>
          <rPr>
            <b/>
            <sz val="8"/>
            <color indexed="81"/>
            <rFont val="Tahoma"/>
            <family val="2"/>
          </rPr>
          <t>mm98285:</t>
        </r>
        <r>
          <rPr>
            <sz val="8"/>
            <color indexed="81"/>
            <rFont val="Tahoma"/>
            <family val="2"/>
          </rPr>
          <t xml:space="preserve">
can reduce expenses by ~$50-$100 in 2010 ($150 of total $200-$250 realized in 2009</t>
        </r>
      </text>
    </comment>
    <comment ref="T20" authorId="0">
      <text>
        <r>
          <rPr>
            <b/>
            <sz val="8"/>
            <color indexed="81"/>
            <rFont val="Tahoma"/>
            <family val="2"/>
          </rPr>
          <t>mm98285:</t>
        </r>
        <r>
          <rPr>
            <sz val="8"/>
            <color indexed="81"/>
            <rFont val="Tahoma"/>
            <family val="2"/>
          </rPr>
          <t xml:space="preserve">
8/07: expect net effect of apparel divestiture, Mast sales &amp; benefit of headcount reduction will improve SG&amp;A rate by ~250 bps for fall &amp; on an annual basis to continue to benefit 1H08 SG&amp;A vs, 1H07
</t>
        </r>
      </text>
    </comment>
    <comment ref="X20" authorId="4">
      <text>
        <r>
          <rPr>
            <b/>
            <sz val="8"/>
            <color indexed="81"/>
            <rFont val="Tahoma"/>
            <family val="2"/>
          </rPr>
          <t>P Kahng:</t>
        </r>
        <r>
          <rPr>
            <sz val="8"/>
            <color indexed="81"/>
            <rFont val="Tahoma"/>
            <family val="2"/>
          </rPr>
          <t xml:space="preserve">
increased expenses on LS, restructuring, VS UK flagship pre-opening expense</t>
        </r>
      </text>
    </comment>
    <comment ref="Y20" authorId="3">
      <text>
        <r>
          <rPr>
            <sz val="8"/>
            <color indexed="81"/>
            <rFont val="Tahoma"/>
            <family val="2"/>
          </rPr>
          <t xml:space="preserve">investor day '12: continue to grow expenses lower than sales; expect leverage </t>
        </r>
      </text>
    </comment>
    <comment ref="Z20" authorId="3">
      <text>
        <r>
          <rPr>
            <sz val="8"/>
            <color indexed="81"/>
            <rFont val="Tahoma"/>
            <family val="2"/>
          </rPr>
          <t xml:space="preserve">investor day '12: continue to grow expenses lower than sales; expect leverage </t>
        </r>
      </text>
    </comment>
    <comment ref="AA20" authorId="3">
      <text>
        <r>
          <rPr>
            <sz val="8"/>
            <color indexed="81"/>
            <rFont val="Tahoma"/>
            <family val="2"/>
          </rPr>
          <t xml:space="preserve">investor day '12: continue to grow expenses lower than sales; expect leverage </t>
        </r>
      </text>
    </comment>
    <comment ref="AB20" authorId="3">
      <text>
        <r>
          <rPr>
            <sz val="8"/>
            <color indexed="81"/>
            <rFont val="Tahoma"/>
            <family val="2"/>
          </rPr>
          <t xml:space="preserve">investor day '12: continue to grow expenses lower than sales; expect leverage </t>
        </r>
      </text>
    </comment>
    <comment ref="AC20" authorId="3">
      <text>
        <r>
          <rPr>
            <sz val="8"/>
            <color indexed="81"/>
            <rFont val="Tahoma"/>
            <family val="2"/>
          </rPr>
          <t xml:space="preserve">investor day '12: continue to grow expenses lower than sales; expect leverage </t>
        </r>
      </text>
    </comment>
    <comment ref="AD20" authorId="2">
      <text>
        <r>
          <rPr>
            <b/>
            <sz val="9"/>
            <color indexed="81"/>
            <rFont val="Tahoma"/>
            <family val="2"/>
          </rPr>
          <t>Cassel, Lauren (Research):</t>
        </r>
        <r>
          <rPr>
            <sz val="9"/>
            <color indexed="81"/>
            <rFont val="Tahoma"/>
            <family val="2"/>
          </rPr>
          <t xml:space="preserve">
8/17/17: Per Stuart: need a +3-5% comp and +MSD revenue growth to leverage expenses slightly
</t>
        </r>
      </text>
    </comment>
    <comment ref="K21" authorId="1">
      <text>
        <r>
          <rPr>
            <b/>
            <sz val="10"/>
            <color indexed="81"/>
            <rFont val="Tahoma"/>
            <family val="2"/>
          </rPr>
          <t>dliu:</t>
        </r>
        <r>
          <rPr>
            <sz val="10"/>
            <color indexed="81"/>
            <rFont val="Tahoma"/>
            <family val="2"/>
          </rPr>
          <t xml:space="preserve">
this number is 432 in 2001 10-K and 324 in 1999 10-K so must have been some readjustments</t>
        </r>
      </text>
    </comment>
    <comment ref="G23" authorId="1">
      <text>
        <r>
          <rPr>
            <b/>
            <sz val="10"/>
            <color indexed="81"/>
            <rFont val="Tahoma"/>
            <family val="2"/>
          </rPr>
          <t>dliu:</t>
        </r>
        <r>
          <rPr>
            <sz val="10"/>
            <color indexed="81"/>
            <rFont val="Tahoma"/>
            <family val="2"/>
          </rPr>
          <t xml:space="preserve">
60% interest in WFN sold in 4Q95</t>
        </r>
      </text>
    </comment>
    <comment ref="G25" authorId="1">
      <text>
        <r>
          <rPr>
            <b/>
            <sz val="10"/>
            <color indexed="81"/>
            <rFont val="Tahoma"/>
            <family val="2"/>
          </rPr>
          <t>dliu:</t>
        </r>
        <r>
          <rPr>
            <sz val="10"/>
            <color indexed="81"/>
            <rFont val="Tahoma"/>
            <family val="2"/>
          </rPr>
          <t xml:space="preserve">
60% interest in WFN sold in 4Q95</t>
        </r>
      </text>
    </comment>
    <comment ref="R28" authorId="8">
      <text>
        <r>
          <rPr>
            <b/>
            <sz val="8"/>
            <color indexed="81"/>
            <rFont val="Tahoma"/>
            <family val="2"/>
          </rPr>
          <t>MB33100:</t>
        </r>
        <r>
          <rPr>
            <sz val="8"/>
            <color indexed="81"/>
            <rFont val="Tahoma"/>
            <family val="2"/>
          </rPr>
          <t xml:space="preserve">
2/06 guided to 5c impact from options expense for the year</t>
        </r>
      </text>
    </comment>
    <comment ref="P31" authorId="9">
      <text>
        <r>
          <rPr>
            <b/>
            <sz val="8"/>
            <color indexed="81"/>
            <rFont val="Tahoma"/>
            <family val="2"/>
          </rPr>
          <t>Kimberly Greenberger:</t>
        </r>
        <r>
          <rPr>
            <sz val="8"/>
            <color indexed="81"/>
            <rFont val="Tahoma"/>
            <family val="2"/>
          </rPr>
          <t xml:space="preserve">
10/04 confirmed w/ Tom that accelerated depc'n causing incr in '04 due to extensive remodels</t>
        </r>
      </text>
    </comment>
    <comment ref="Y31" authorId="3">
      <text>
        <r>
          <rPr>
            <b/>
            <sz val="8"/>
            <color indexed="81"/>
            <rFont val="Tahoma"/>
            <family val="2"/>
          </rPr>
          <t xml:space="preserve">casselau:
</t>
        </r>
        <r>
          <rPr>
            <sz val="8"/>
            <color indexed="81"/>
            <rFont val="Tahoma"/>
            <family val="2"/>
          </rPr>
          <t>8/21/13: ~$360M</t>
        </r>
        <r>
          <rPr>
            <sz val="8"/>
            <color indexed="81"/>
            <rFont val="Tahoma"/>
            <family val="2"/>
          </rPr>
          <t xml:space="preserve">
2/27/13: guidance ~$360M</t>
        </r>
      </text>
    </comment>
    <comment ref="Z31" authorId="3">
      <text>
        <r>
          <rPr>
            <b/>
            <sz val="8"/>
            <color indexed="81"/>
            <rFont val="Tahoma"/>
            <family val="2"/>
          </rPr>
          <t>casselau:</t>
        </r>
        <r>
          <rPr>
            <sz val="8"/>
            <color indexed="81"/>
            <rFont val="Tahoma"/>
            <family val="2"/>
          </rPr>
          <t xml:space="preserve">
3/3/14: assume similar growth rate from '12-'13</t>
        </r>
      </text>
    </comment>
    <comment ref="AC31" authorId="3">
      <text>
        <r>
          <rPr>
            <b/>
            <sz val="8"/>
            <color indexed="81"/>
            <rFont val="Tahoma"/>
            <family val="2"/>
          </rPr>
          <t>casselau:</t>
        </r>
        <r>
          <rPr>
            <sz val="8"/>
            <color indexed="81"/>
            <rFont val="Tahoma"/>
            <family val="2"/>
          </rPr>
          <t xml:space="preserve">
3/3/14: assume accelerated depreciation ends with end of store remodels - likely in next three years or so</t>
        </r>
      </text>
    </comment>
    <comment ref="T38" authorId="0">
      <text>
        <r>
          <rPr>
            <b/>
            <sz val="8"/>
            <color indexed="81"/>
            <rFont val="Tahoma"/>
            <family val="2"/>
          </rPr>
          <t>mm98285:</t>
        </r>
        <r>
          <rPr>
            <sz val="8"/>
            <color indexed="81"/>
            <rFont val="Tahoma"/>
            <family val="2"/>
          </rPr>
          <t xml:space="preserve">
6/07: without Apparel div., op margin could get back to 13% in 2008 assuming 16% margin at VS and 17% margin at BBW and other exp of -$175mm (incl $100mm savings)</t>
        </r>
      </text>
    </comment>
    <comment ref="X38" authorId="10">
      <text>
        <r>
          <rPr>
            <b/>
            <sz val="8"/>
            <color indexed="81"/>
            <rFont val="Tahoma"/>
            <family val="2"/>
          </rPr>
          <t>nicholjs:</t>
        </r>
        <r>
          <rPr>
            <sz val="8"/>
            <color indexed="81"/>
            <rFont val="Tahoma"/>
            <family val="2"/>
          </rPr>
          <t xml:space="preserve">
goal is 15% op margin by 2012</t>
        </r>
      </text>
    </comment>
    <comment ref="AA38" authorId="3">
      <text>
        <r>
          <rPr>
            <b/>
            <sz val="8"/>
            <color indexed="81"/>
            <rFont val="Tahoma"/>
            <family val="2"/>
          </rPr>
          <t xml:space="preserve">casselau: </t>
        </r>
        <r>
          <rPr>
            <sz val="8"/>
            <color indexed="81"/>
            <rFont val="Tahoma"/>
            <family val="2"/>
          </rPr>
          <t>investor day 10/17/12: 20% LT goal</t>
        </r>
        <r>
          <rPr>
            <sz val="8"/>
            <color indexed="81"/>
            <rFont val="Tahoma"/>
            <family val="2"/>
          </rPr>
          <t xml:space="preserve">
</t>
        </r>
      </text>
    </comment>
    <comment ref="P40" authorId="1">
      <text>
        <r>
          <rPr>
            <b/>
            <sz val="10"/>
            <color indexed="81"/>
            <rFont val="Tahoma"/>
            <family val="2"/>
          </rPr>
          <t>dliu:</t>
        </r>
        <r>
          <rPr>
            <sz val="10"/>
            <color indexed="81"/>
            <rFont val="Tahoma"/>
            <family val="2"/>
          </rPr>
          <t xml:space="preserve">
Interest expense from two debt issuances + $4 mm in financing fees</t>
        </r>
      </text>
    </comment>
    <comment ref="Q40" authorId="11">
      <text>
        <r>
          <rPr>
            <b/>
            <sz val="8"/>
            <color indexed="81"/>
            <rFont val="Tahoma"/>
            <family val="2"/>
          </rPr>
          <t>Corinna Freedman:</t>
        </r>
        <r>
          <rPr>
            <sz val="8"/>
            <color indexed="81"/>
            <rFont val="Tahoma"/>
            <family val="2"/>
          </rPr>
          <t xml:space="preserve">
10/06  includes additional int expense of $500*2.66% (5y) and $500*5.5% (10y) PLUS amortization of $11m in financing costs (1.1m ann)</t>
        </r>
      </text>
    </comment>
    <comment ref="R40" authorId="11">
      <text>
        <r>
          <rPr>
            <b/>
            <sz val="8"/>
            <color indexed="81"/>
            <rFont val="Tahoma"/>
            <family val="2"/>
          </rPr>
          <t>Corinna Freedman:</t>
        </r>
        <r>
          <rPr>
            <sz val="8"/>
            <color indexed="81"/>
            <rFont val="Tahoma"/>
            <family val="2"/>
          </rPr>
          <t xml:space="preserve">
10/06  includes additional int expense of $500*2.66% (5y) and $500*5.5% (10y) PLUS amortization of $11m in financing costs (1.1m ann)</t>
        </r>
      </text>
    </comment>
    <comment ref="S40" authorId="11">
      <text>
        <r>
          <rPr>
            <b/>
            <sz val="8"/>
            <color indexed="81"/>
            <rFont val="Tahoma"/>
            <family val="2"/>
          </rPr>
          <t>Corinna Freedman:</t>
        </r>
        <r>
          <rPr>
            <sz val="8"/>
            <color indexed="81"/>
            <rFont val="Tahoma"/>
            <family val="2"/>
          </rPr>
          <t xml:space="preserve">
10/06  includes additional int expense of $500*2.66% (5y) and $500*5.5% (10y) PLUS amortization of $11m in financing costs (1.1m ann)</t>
        </r>
      </text>
    </comment>
    <comment ref="T40" authorId="0">
      <text>
        <r>
          <rPr>
            <b/>
            <sz val="8"/>
            <color indexed="81"/>
            <rFont val="Tahoma"/>
            <family val="2"/>
          </rPr>
          <t>mm98285:</t>
        </r>
        <r>
          <rPr>
            <sz val="8"/>
            <color indexed="81"/>
            <rFont val="Tahoma"/>
            <family val="2"/>
          </rPr>
          <t xml:space="preserve">
2Q 10Q:
$750 term loan due 8/12, 5.93% interest at 8/4/07
6.9% $700mm note due 7/17
5.25% $500mm note due 11/14
6.95% $350mm debenture due 3/33
7.60% $300mm note due 7/37
6.125% $300mm note due 12/12
~$19 credit facility due 1/10, 5.82% interest at 8/4/07
5.30% mortgage due 8/10 ~$2mm
7/07:$700 million due July 15, 2017, coupon: 6.9%. 
$300 million due July 15, 2037, coupon: 7.6%.
*Need terms of other $250 million debt - currently assuming 7% interest rate
6/07: assume start paying interest in $1.25b debt in 3Q at 7% interest rate</t>
        </r>
      </text>
    </comment>
    <comment ref="U40" authorId="0">
      <text>
        <r>
          <rPr>
            <b/>
            <sz val="8"/>
            <color indexed="81"/>
            <rFont val="Tahoma"/>
            <family val="2"/>
          </rPr>
          <t>mm98285:</t>
        </r>
        <r>
          <rPr>
            <sz val="8"/>
            <color indexed="81"/>
            <rFont val="Tahoma"/>
            <family val="2"/>
          </rPr>
          <t xml:space="preserve">
$750 million term loan due August 2012. Interest rate of 5.93% at August 4, 2007 
5.25% $500 million Notes due November 2014, less unamortized discount      
6.95% $350 million Debentures due March 2033, less unamortized discount   
6.125% $300 million Notes due December 2012, less unamortized discount  
$23 million credit facility due January 2010. Interest rate of 5.84% at February 3, 2007      
$2 million 5.30% mortgage due August 2010    
$700 million due July 15, 2017, coupon: 6.9%. 
$300 million due July 15, 2037, coupon: 7.6%.</t>
        </r>
      </text>
    </comment>
    <comment ref="V40" authorId="0">
      <text>
        <r>
          <rPr>
            <b/>
            <sz val="8"/>
            <color indexed="81"/>
            <rFont val="Tahoma"/>
            <family val="2"/>
          </rPr>
          <t>mm98285:</t>
        </r>
        <r>
          <rPr>
            <sz val="8"/>
            <color indexed="81"/>
            <rFont val="Tahoma"/>
            <family val="2"/>
          </rPr>
          <t xml:space="preserve">
$750 million term loan due August 2012. Interest rate of 5.93% at August 4, 2007 
5.25% $500 million Notes due November 2014, less unamortized discount      
6.95% $350 million Debentures due March 2033, less unamortized discount   
6.125% $300 million Notes due December 2012, less unamortized discount  
$23 million credit facility due January 2010. Interest rate of 5.84% at February 3, 2007      
$2 million 5.30% mortgage due August 2010    
$700 million due July 15, 2017, coupon: 6.9%. 
$300 million due July 15, 2037, coupon: 7.6%.</t>
        </r>
      </text>
    </comment>
    <comment ref="W40" authorId="0">
      <text>
        <r>
          <rPr>
            <b/>
            <sz val="8"/>
            <color indexed="81"/>
            <rFont val="Tahoma"/>
            <family val="2"/>
          </rPr>
          <t>mm98285:</t>
        </r>
        <r>
          <rPr>
            <sz val="8"/>
            <color indexed="81"/>
            <rFont val="Tahoma"/>
            <family val="2"/>
          </rPr>
          <t xml:space="preserve">
8.50% $500mm Notes due June 2019
7.00% $400 Notes due May 2020
6.9% $700 Notes due July 2017
5.25% $215 million Notes due November 2014, less unamortized discount      
6.95% $350 million Debentures due March 2033, less unamortized discount
7.60% $300 Notes due July 2037   
6.125% $58 million Notes due December 2012, less unamortized discount  
$1 billion 6.625% senior notes due 2021 (the "2021 Notes")  </t>
        </r>
      </text>
    </comment>
    <comment ref="X40" authorId="0">
      <text>
        <r>
          <rPr>
            <b/>
            <sz val="8"/>
            <color indexed="81"/>
            <rFont val="Tahoma"/>
            <family val="2"/>
          </rPr>
          <t xml:space="preserve">kahng:
</t>
        </r>
        <r>
          <rPr>
            <sz val="8"/>
            <color indexed="81"/>
            <rFont val="Tahoma"/>
            <family val="2"/>
          </rPr>
          <t xml:space="preserve">8.50% $500mm Notes due June 2019
7.00% $400 Notes due May 2020
6.9% $700 Notes due July 2017
5.25% $215 million Notes due November 2014, less unamortized discount      
6.95% $350 million Debentures due March 2033, less unamortized discount
7.60% $300 Notes due July 2037   
6.125% $58 million Notes due December 2012, less unamortized discount  
$1 billion 6.625% senior notes due 2021 (the "2021 Notes")  
5.625% $1B senior notes due 2022 and 2024 (issued 2/7/12)
</t>
        </r>
      </text>
    </comment>
    <comment ref="S43" authorId="0">
      <text>
        <r>
          <rPr>
            <b/>
            <sz val="8"/>
            <color indexed="81"/>
            <rFont val="Tahoma"/>
            <family val="2"/>
          </rPr>
          <t>mm98285:</t>
        </r>
        <r>
          <rPr>
            <sz val="8"/>
            <color indexed="81"/>
            <rFont val="Tahoma"/>
            <family val="2"/>
          </rPr>
          <t xml:space="preserve">
includes net gain on divestiture of apparel segment -($0.339) and excludes $25mm sale of corp aircraft
</t>
        </r>
      </text>
    </comment>
    <comment ref="T43" authorId="0">
      <text>
        <r>
          <rPr>
            <b/>
            <sz val="8"/>
            <color indexed="81"/>
            <rFont val="Tahoma"/>
            <family val="2"/>
          </rPr>
          <t>mm98285:</t>
        </r>
        <r>
          <rPr>
            <sz val="8"/>
            <color indexed="81"/>
            <rFont val="Tahoma"/>
            <family val="2"/>
          </rPr>
          <t xml:space="preserve">
add 25% of Apparel Op income (assumes 4.5% op margin at Apparel)</t>
        </r>
      </text>
    </comment>
    <comment ref="U43" authorId="0">
      <text>
        <r>
          <rPr>
            <b/>
            <sz val="8"/>
            <color indexed="81"/>
            <rFont val="Tahoma"/>
            <family val="2"/>
          </rPr>
          <t>mm98285:</t>
        </r>
        <r>
          <rPr>
            <sz val="8"/>
            <color indexed="81"/>
            <rFont val="Tahoma"/>
            <family val="2"/>
          </rPr>
          <t xml:space="preserve">
add 25% of Apparel Op income (assumes 4% op margin at Apparel)</t>
        </r>
      </text>
    </comment>
    <comment ref="V43" authorId="0">
      <text>
        <r>
          <rPr>
            <b/>
            <sz val="8"/>
            <color indexed="81"/>
            <rFont val="Tahoma"/>
            <family val="2"/>
          </rPr>
          <t>mm98285:</t>
        </r>
        <r>
          <rPr>
            <sz val="8"/>
            <color indexed="81"/>
            <rFont val="Tahoma"/>
            <family val="2"/>
          </rPr>
          <t xml:space="preserve">
add 25% of Apparel Op income (assumes 4% op margin at Apparel)</t>
        </r>
      </text>
    </comment>
    <comment ref="Q59" authorId="0">
      <text>
        <r>
          <rPr>
            <b/>
            <sz val="8"/>
            <color indexed="81"/>
            <rFont val="Tahoma"/>
            <family val="2"/>
          </rPr>
          <t>mm98285:</t>
        </r>
        <r>
          <rPr>
            <sz val="8"/>
            <color indexed="81"/>
            <rFont val="Tahoma"/>
            <family val="2"/>
          </rPr>
          <t xml:space="preserve">
restated under cost method (from retail method, prev. $1.34)</t>
        </r>
      </text>
    </comment>
    <comment ref="S60" authorId="0">
      <text>
        <r>
          <rPr>
            <b/>
            <sz val="8"/>
            <color indexed="81"/>
            <rFont val="Tahoma"/>
            <family val="2"/>
          </rPr>
          <t>mm98285:</t>
        </r>
        <r>
          <rPr>
            <sz val="8"/>
            <color indexed="81"/>
            <rFont val="Tahoma"/>
            <family val="2"/>
          </rPr>
          <t xml:space="preserve">
11/06: expect 12% EPS growth going forward</t>
        </r>
      </text>
    </comment>
    <comment ref="T60" authorId="0">
      <text>
        <r>
          <rPr>
            <b/>
            <sz val="8"/>
            <color indexed="81"/>
            <rFont val="Tahoma"/>
            <family val="2"/>
          </rPr>
          <t>mm98285:</t>
        </r>
        <r>
          <rPr>
            <sz val="8"/>
            <color indexed="81"/>
            <rFont val="Tahoma"/>
            <family val="2"/>
          </rPr>
          <t xml:space="preserve">
11/06: expect 12% EPS growth going forward</t>
        </r>
      </text>
    </comment>
    <comment ref="Q65" authorId="12">
      <text>
        <r>
          <rPr>
            <b/>
            <sz val="10"/>
            <color indexed="81"/>
            <rFont val="Tahoma"/>
            <family val="2"/>
          </rPr>
          <t>kgreenbe:</t>
        </r>
        <r>
          <rPr>
            <sz val="10"/>
            <color indexed="81"/>
            <rFont val="Tahoma"/>
            <family val="2"/>
          </rPr>
          <t xml:space="preserve">
KG changed to reference qtr p&amp;l b/c the 2004 annual average is not relevant for 2005 given the enormous repurchase 1Q04. prior share count was 483mm</t>
        </r>
      </text>
    </comment>
    <comment ref="R65" authorId="9">
      <text>
        <r>
          <rPr>
            <b/>
            <sz val="8"/>
            <color indexed="81"/>
            <rFont val="Tahoma"/>
            <family val="2"/>
          </rPr>
          <t>Kimberly Greenberger:</t>
        </r>
        <r>
          <rPr>
            <sz val="8"/>
            <color indexed="81"/>
            <rFont val="Tahoma"/>
            <family val="2"/>
          </rPr>
          <t xml:space="preserve">
2/24/05 approved $100mm share repurchase</t>
        </r>
      </text>
    </comment>
    <comment ref="S65" authorId="9">
      <text>
        <r>
          <rPr>
            <b/>
            <sz val="8"/>
            <color indexed="81"/>
            <rFont val="Tahoma"/>
            <family val="2"/>
          </rPr>
          <t>Kimberly Greenberger:</t>
        </r>
        <r>
          <rPr>
            <sz val="8"/>
            <color indexed="81"/>
            <rFont val="Tahoma"/>
            <family val="2"/>
          </rPr>
          <t xml:space="preserve">
2/24/05 approved $100mm share repurchase</t>
        </r>
      </text>
    </comment>
    <comment ref="T65" authorId="0">
      <text>
        <r>
          <rPr>
            <b/>
            <sz val="8"/>
            <color indexed="81"/>
            <rFont val="Tahoma"/>
            <family val="2"/>
          </rPr>
          <t>mm98285:</t>
        </r>
        <r>
          <rPr>
            <sz val="8"/>
            <color indexed="81"/>
            <rFont val="Tahoma"/>
            <family val="2"/>
          </rPr>
          <t xml:space="preserve">
9/07: assume an add'l $150 mm share repo for 2008 or 6.5mm shares offset by 6mm option dilution = 0.5mm shares
6/07: assume an add'l $250 mm share repo for 2008 or 10.5mm shares offset by 6mm option dilution = 4.5mm shares</t>
        </r>
      </text>
    </comment>
    <comment ref="U65" authorId="0">
      <text>
        <r>
          <rPr>
            <b/>
            <sz val="8"/>
            <color indexed="81"/>
            <rFont val="Tahoma"/>
            <family val="2"/>
          </rPr>
          <t>mm98285:</t>
        </r>
        <r>
          <rPr>
            <sz val="8"/>
            <color indexed="81"/>
            <rFont val="Tahoma"/>
            <family val="2"/>
          </rPr>
          <t xml:space="preserve">
10/08: assume ~$100mm repo for ~6mm shares</t>
        </r>
      </text>
    </comment>
    <comment ref="V65" authorId="0">
      <text>
        <r>
          <rPr>
            <b/>
            <sz val="8"/>
            <color indexed="81"/>
            <rFont val="Tahoma"/>
            <family val="2"/>
          </rPr>
          <t>mm98285:</t>
        </r>
        <r>
          <rPr>
            <sz val="8"/>
            <color indexed="81"/>
            <rFont val="Tahoma"/>
            <family val="2"/>
          </rPr>
          <t xml:space="preserve">
10/08: assume $200mm share repo or 10mm shares</t>
        </r>
      </text>
    </comment>
    <comment ref="Y65" authorId="13">
      <text>
        <r>
          <rPr>
            <b/>
            <sz val="8"/>
            <color indexed="81"/>
            <rFont val="Tahoma"/>
            <family val="2"/>
          </rPr>
          <t>kimberlg:</t>
        </r>
        <r>
          <rPr>
            <sz val="8"/>
            <color indexed="81"/>
            <rFont val="Tahoma"/>
            <family val="2"/>
          </rPr>
          <t xml:space="preserve">
2/2/12: Stuart indicated $200M in buybacks annually will offset share grants to management and employees or 4.8M shares</t>
        </r>
      </text>
    </comment>
    <comment ref="Z65" authorId="13">
      <text>
        <r>
          <rPr>
            <b/>
            <sz val="8"/>
            <color indexed="81"/>
            <rFont val="Tahoma"/>
            <family val="2"/>
          </rPr>
          <t>kimberlg:</t>
        </r>
        <r>
          <rPr>
            <sz val="8"/>
            <color indexed="81"/>
            <rFont val="Tahoma"/>
            <family val="2"/>
          </rPr>
          <t xml:space="preserve">
2/2/12: Stuart indicated $200M in buybacks annually will offset share grants to management and employees or 4.8M shares</t>
        </r>
      </text>
    </comment>
    <comment ref="P68" authorId="11">
      <text>
        <r>
          <rPr>
            <b/>
            <sz val="8"/>
            <color indexed="81"/>
            <rFont val="Tahoma"/>
            <family val="2"/>
          </rPr>
          <t>Corinna Freedman:</t>
        </r>
        <r>
          <rPr>
            <sz val="8"/>
            <color indexed="81"/>
            <rFont val="Tahoma"/>
            <family val="2"/>
          </rPr>
          <t xml:space="preserve">
incl spec one-time div of $500m</t>
        </r>
      </text>
    </comment>
    <comment ref="V68" authorId="4">
      <text>
        <r>
          <rPr>
            <b/>
            <sz val="8"/>
            <color indexed="81"/>
            <rFont val="Tahoma"/>
            <family val="2"/>
          </rPr>
          <t>P Kahng:</t>
        </r>
        <r>
          <rPr>
            <sz val="8"/>
            <color indexed="81"/>
            <rFont val="Tahoma"/>
            <family val="2"/>
          </rPr>
          <t xml:space="preserve">
$5 in spec dividends
$1.00 in 1Q, $1.00 in 2Q and $3.00 in 4Q</t>
        </r>
      </text>
    </comment>
    <comment ref="W68" authorId="4">
      <text>
        <r>
          <rPr>
            <b/>
            <sz val="8"/>
            <color indexed="81"/>
            <rFont val="Tahoma"/>
            <family val="2"/>
          </rPr>
          <t>P Kahng:</t>
        </r>
        <r>
          <rPr>
            <sz val="8"/>
            <color indexed="81"/>
            <rFont val="Tahoma"/>
            <family val="2"/>
          </rPr>
          <t xml:space="preserve">
$1.00 spec div paid in 1Q (on july 1)
$2.00 spec div paid in 2Q</t>
        </r>
      </text>
    </comment>
    <comment ref="X68" authorId="4">
      <text>
        <r>
          <rPr>
            <sz val="8"/>
            <color indexed="81"/>
            <rFont val="Tahoma"/>
            <family val="2"/>
          </rPr>
          <t>adding  $4 in special dividends ($1 in August, $3 in December)</t>
        </r>
      </text>
    </comment>
    <comment ref="Y68" authorId="3">
      <text>
        <r>
          <rPr>
            <b/>
            <sz val="8"/>
            <color indexed="81"/>
            <rFont val="Tahoma"/>
            <family val="2"/>
          </rPr>
          <t>casselau:</t>
        </r>
        <r>
          <rPr>
            <sz val="8"/>
            <color indexed="81"/>
            <rFont val="Tahoma"/>
            <family val="2"/>
          </rPr>
          <t xml:space="preserve">
raised dividend on 2/3/14 and announced $1 special dividend</t>
        </r>
      </text>
    </comment>
    <comment ref="Z68" authorId="3">
      <text>
        <r>
          <rPr>
            <b/>
            <sz val="9"/>
            <color indexed="81"/>
            <rFont val="Tahoma"/>
            <family val="2"/>
          </rPr>
          <t>casselau:</t>
        </r>
        <r>
          <rPr>
            <sz val="9"/>
            <color indexed="81"/>
            <rFont val="Tahoma"/>
            <family val="2"/>
          </rPr>
          <t xml:space="preserve">
2/5/15: $2 special dividend announced on 2/5/15 to be paid 3/6/15</t>
        </r>
      </text>
    </comment>
    <comment ref="AA68" authorId="3">
      <text>
        <r>
          <rPr>
            <b/>
            <sz val="9"/>
            <color indexed="81"/>
            <rFont val="Tahoma"/>
            <family val="2"/>
          </rPr>
          <t>casselau:</t>
        </r>
        <r>
          <rPr>
            <sz val="9"/>
            <color indexed="81"/>
            <rFont val="Tahoma"/>
            <family val="2"/>
          </rPr>
          <t xml:space="preserve">
2/4/16: $2 special dividend announced to be paid 3/4/16</t>
        </r>
      </text>
    </comment>
    <comment ref="Q80" authorId="8">
      <text>
        <r>
          <rPr>
            <b/>
            <sz val="8"/>
            <color indexed="81"/>
            <rFont val="Tahoma"/>
            <family val="2"/>
          </rPr>
          <t>MB33100:</t>
        </r>
        <r>
          <rPr>
            <sz val="8"/>
            <color indexed="81"/>
            <rFont val="Tahoma"/>
            <family val="2"/>
          </rPr>
          <t xml:space="preserve">
2/23/06 reflects cumulative effect of accounting change, see 4Q05 release packet</t>
        </r>
      </text>
    </comment>
    <comment ref="P107" authorId="1">
      <text>
        <r>
          <rPr>
            <b/>
            <sz val="10"/>
            <color indexed="81"/>
            <rFont val="Tahoma"/>
            <family val="2"/>
          </rPr>
          <t>dliu:</t>
        </r>
        <r>
          <rPr>
            <sz val="10"/>
            <color indexed="81"/>
            <rFont val="Tahoma"/>
            <family val="2"/>
          </rPr>
          <t xml:space="preserve">
what is this being affected by now that Lerner is sold? CHECK May 10-Q!!</t>
        </r>
      </text>
    </comment>
  </commentList>
</comments>
</file>

<file path=xl/comments12.xml><?xml version="1.0" encoding="utf-8"?>
<comments xmlns="http://schemas.openxmlformats.org/spreadsheetml/2006/main">
  <authors>
    <author>mm98285</author>
    <author>casselau</author>
    <author>dliu</author>
    <author>P Kahng</author>
    <author>Cassel, Lauren (Research)</author>
    <author>Lehman Brothers</author>
    <author>kahng</author>
  </authors>
  <commentList>
    <comment ref="AA8" authorId="0">
      <text>
        <r>
          <rPr>
            <b/>
            <sz val="8"/>
            <color indexed="81"/>
            <rFont val="Tahoma"/>
            <family val="2"/>
          </rPr>
          <t>mm98285:</t>
        </r>
        <r>
          <rPr>
            <sz val="8"/>
            <color indexed="81"/>
            <rFont val="Tahoma"/>
            <family val="2"/>
          </rPr>
          <t xml:space="preserve">
cost method</t>
        </r>
      </text>
    </comment>
    <comment ref="AI8" authorId="1">
      <text>
        <r>
          <rPr>
            <sz val="8"/>
            <color indexed="81"/>
            <rFont val="Tahoma"/>
            <family val="2"/>
          </rPr>
          <t>sales growth driven by sqft growth and higher comps (driven by shorter leadtimes)</t>
        </r>
      </text>
    </comment>
    <comment ref="AJ8" authorId="1">
      <text>
        <r>
          <rPr>
            <sz val="8"/>
            <color indexed="81"/>
            <rFont val="Tahoma"/>
            <family val="2"/>
          </rPr>
          <t>sales growth driven by sqft growth and higher comps (driven by shorter leadtimes)</t>
        </r>
        <r>
          <rPr>
            <b/>
            <sz val="8"/>
            <color indexed="81"/>
            <rFont val="Tahoma"/>
            <family val="2"/>
          </rPr>
          <t xml:space="preserve">
</t>
        </r>
      </text>
    </comment>
    <comment ref="AK8" authorId="1">
      <text>
        <r>
          <rPr>
            <sz val="8"/>
            <color indexed="81"/>
            <rFont val="Tahoma"/>
            <family val="2"/>
          </rPr>
          <t xml:space="preserve">sales growth driven by sqft growth and higher comps (driven by shorter leadtimes)
</t>
        </r>
      </text>
    </comment>
    <comment ref="A12" authorId="2">
      <text>
        <r>
          <rPr>
            <b/>
            <sz val="8"/>
            <color indexed="81"/>
            <rFont val="Tahoma"/>
            <family val="2"/>
          </rPr>
          <t>dliu:</t>
        </r>
        <r>
          <rPr>
            <sz val="8"/>
            <color indexed="81"/>
            <rFont val="Tahoma"/>
            <family val="2"/>
          </rPr>
          <t xml:space="preserve">
including Corporate, Mast </t>
        </r>
      </text>
    </comment>
    <comment ref="AD12" authorId="0">
      <text>
        <r>
          <rPr>
            <b/>
            <sz val="8"/>
            <color indexed="81"/>
            <rFont val="Tahoma"/>
            <family val="2"/>
          </rPr>
          <t>mm98285:</t>
        </r>
        <r>
          <rPr>
            <sz val="8"/>
            <color indexed="81"/>
            <rFont val="Tahoma"/>
            <family val="2"/>
          </rPr>
          <t xml:space="preserve">
includes $650mm for Mast revenues</t>
        </r>
      </text>
    </comment>
    <comment ref="AE12" authorId="0">
      <text>
        <r>
          <rPr>
            <b/>
            <sz val="8"/>
            <color indexed="81"/>
            <rFont val="Tahoma"/>
            <family val="2"/>
          </rPr>
          <t>mm98285:</t>
        </r>
        <r>
          <rPr>
            <sz val="8"/>
            <color indexed="81"/>
            <rFont val="Tahoma"/>
            <family val="2"/>
          </rPr>
          <t xml:space="preserve">
includes $650mm for Mast revenues</t>
        </r>
      </text>
    </comment>
    <comment ref="AF12" authorId="0">
      <text>
        <r>
          <rPr>
            <b/>
            <sz val="8"/>
            <color indexed="81"/>
            <rFont val="Tahoma"/>
            <family val="2"/>
          </rPr>
          <t>mm98285:</t>
        </r>
        <r>
          <rPr>
            <sz val="8"/>
            <color indexed="81"/>
            <rFont val="Tahoma"/>
            <family val="2"/>
          </rPr>
          <t xml:space="preserve">
includes $650mm for Mast revenues</t>
        </r>
      </text>
    </comment>
    <comment ref="AG12" authorId="0">
      <text>
        <r>
          <rPr>
            <b/>
            <sz val="8"/>
            <color indexed="81"/>
            <rFont val="Tahoma"/>
            <family val="2"/>
          </rPr>
          <t>mm98285:
2/2012: excluding LS after recategorization</t>
        </r>
        <r>
          <rPr>
            <sz val="8"/>
            <color indexed="81"/>
            <rFont val="Tahoma"/>
            <family val="2"/>
          </rPr>
          <t xml:space="preserve">
includes $650mm for Mast revenues</t>
        </r>
      </text>
    </comment>
    <comment ref="AH12" authorId="0">
      <text>
        <r>
          <rPr>
            <b/>
            <sz val="8"/>
            <color indexed="81"/>
            <rFont val="Tahoma"/>
            <family val="2"/>
          </rPr>
          <t>mm98285:</t>
        </r>
        <r>
          <rPr>
            <sz val="8"/>
            <color indexed="81"/>
            <rFont val="Tahoma"/>
            <family val="2"/>
          </rPr>
          <t xml:space="preserve">
includes $650mm for Mast revenues</t>
        </r>
      </text>
    </comment>
    <comment ref="AI12" authorId="0">
      <text>
        <r>
          <rPr>
            <b/>
            <sz val="8"/>
            <color indexed="81"/>
            <rFont val="Tahoma"/>
            <family val="2"/>
          </rPr>
          <t>mm98285:</t>
        </r>
        <r>
          <rPr>
            <sz val="8"/>
            <color indexed="81"/>
            <rFont val="Tahoma"/>
            <family val="2"/>
          </rPr>
          <t xml:space="preserve">
includes $650mm for Mast revenues</t>
        </r>
      </text>
    </comment>
    <comment ref="AA13" authorId="0">
      <text>
        <r>
          <rPr>
            <b/>
            <sz val="8"/>
            <color indexed="81"/>
            <rFont val="Tahoma"/>
            <family val="2"/>
          </rPr>
          <t>mm98285:</t>
        </r>
        <r>
          <rPr>
            <sz val="8"/>
            <color indexed="81"/>
            <rFont val="Tahoma"/>
            <family val="2"/>
          </rPr>
          <t xml:space="preserve">
cost method</t>
        </r>
      </text>
    </comment>
    <comment ref="AH13" authorId="3">
      <text>
        <r>
          <rPr>
            <b/>
            <sz val="8"/>
            <color indexed="81"/>
            <rFont val="Tahoma"/>
            <family val="2"/>
          </rPr>
          <t>P Kahng:</t>
        </r>
        <r>
          <rPr>
            <sz val="8"/>
            <color indexed="81"/>
            <rFont val="Tahoma"/>
            <family val="2"/>
          </rPr>
          <t xml:space="preserve">
Little growth in revenues due to sale of 3rd party apparel sourcing business</t>
        </r>
      </text>
    </comment>
    <comment ref="L16" authorId="2">
      <text>
        <r>
          <rPr>
            <b/>
            <sz val="10"/>
            <color indexed="81"/>
            <rFont val="Tahoma"/>
            <family val="2"/>
          </rPr>
          <t>dliu:</t>
        </r>
        <r>
          <rPr>
            <sz val="10"/>
            <color indexed="81"/>
            <rFont val="Tahoma"/>
            <family val="2"/>
          </rPr>
          <t xml:space="preserve">
Historical store ct:
1974: 48
1979: 309
1984: 1,412
1989: 3,344</t>
        </r>
      </text>
    </comment>
    <comment ref="G17" authorId="2">
      <text>
        <r>
          <rPr>
            <b/>
            <sz val="10"/>
            <color indexed="81"/>
            <rFont val="Tahoma"/>
            <family val="2"/>
          </rPr>
          <t>dliu:</t>
        </r>
        <r>
          <rPr>
            <sz val="10"/>
            <color indexed="81"/>
            <rFont val="Tahoma"/>
            <family val="2"/>
          </rPr>
          <t xml:space="preserve">
acquired 799</t>
        </r>
      </text>
    </comment>
    <comment ref="AC17" authorId="0">
      <text>
        <r>
          <rPr>
            <b/>
            <sz val="8"/>
            <color indexed="81"/>
            <rFont val="Tahoma"/>
            <family val="2"/>
          </rPr>
          <t>mm98285:</t>
        </r>
        <r>
          <rPr>
            <sz val="8"/>
            <color indexed="81"/>
            <rFont val="Tahoma"/>
            <family val="2"/>
          </rPr>
          <t xml:space="preserve">
2006 10K: expect to open 125 new stores and close 143</t>
        </r>
      </text>
    </comment>
    <comment ref="AE17" authorId="0">
      <text>
        <r>
          <rPr>
            <b/>
            <sz val="8"/>
            <color indexed="81"/>
            <rFont val="Tahoma"/>
            <family val="2"/>
          </rPr>
          <t>mm98285:</t>
        </r>
        <r>
          <rPr>
            <sz val="8"/>
            <color indexed="81"/>
            <rFont val="Tahoma"/>
            <family val="2"/>
          </rPr>
          <t xml:space="preserve">
4/09: includes 25 Canada openings (mostly BBW, a few Pink)
10/07: includes 20 La Senza openings</t>
        </r>
      </text>
    </comment>
    <comment ref="AF17" authorId="0">
      <text>
        <r>
          <rPr>
            <b/>
            <sz val="8"/>
            <color indexed="81"/>
            <rFont val="Tahoma"/>
            <family val="2"/>
          </rPr>
          <t>mm98285:</t>
        </r>
        <r>
          <rPr>
            <sz val="8"/>
            <color indexed="81"/>
            <rFont val="Tahoma"/>
            <family val="2"/>
          </rPr>
          <t xml:space="preserve">
10/07: includes 15 La Senza openings</t>
        </r>
      </text>
    </comment>
    <comment ref="AG17" authorId="0">
      <text>
        <r>
          <rPr>
            <b/>
            <sz val="8"/>
            <color indexed="81"/>
            <rFont val="Tahoma"/>
            <family val="2"/>
          </rPr>
          <t>mm98285:</t>
        </r>
        <r>
          <rPr>
            <sz val="8"/>
            <color indexed="81"/>
            <rFont val="Tahoma"/>
            <family val="2"/>
          </rPr>
          <t xml:space="preserve">
10/07: includes 10 La Senza openings</t>
        </r>
      </text>
    </comment>
    <comment ref="AM17" authorId="4">
      <text>
        <r>
          <rPr>
            <b/>
            <sz val="9"/>
            <color indexed="81"/>
            <rFont val="Tahoma"/>
            <family val="2"/>
          </rPr>
          <t>Cassel, Lauren (Research):</t>
        </r>
        <r>
          <rPr>
            <sz val="9"/>
            <color indexed="81"/>
            <rFont val="Tahoma"/>
            <family val="2"/>
          </rPr>
          <t xml:space="preserve">
11/1/16: ~98 new stores, 307 remodels</t>
        </r>
      </text>
    </comment>
    <comment ref="AC18" authorId="0">
      <text>
        <r>
          <rPr>
            <b/>
            <sz val="8"/>
            <color indexed="81"/>
            <rFont val="Tahoma"/>
            <family val="2"/>
          </rPr>
          <t>mm98285:</t>
        </r>
        <r>
          <rPr>
            <sz val="8"/>
            <color indexed="81"/>
            <rFont val="Tahoma"/>
            <family val="2"/>
          </rPr>
          <t xml:space="preserve">
2006 10K: expect to open 125 new stores and close 143</t>
        </r>
      </text>
    </comment>
    <comment ref="K19" authorId="2">
      <text>
        <r>
          <rPr>
            <b/>
            <sz val="10"/>
            <color indexed="81"/>
            <rFont val="Tahoma"/>
            <family val="2"/>
          </rPr>
          <t>dliu:</t>
        </r>
        <r>
          <rPr>
            <sz val="10"/>
            <color indexed="81"/>
            <rFont val="Tahoma"/>
            <family val="2"/>
          </rPr>
          <t xml:space="preserve">
sale of Lerner Woman on 4/30/89</t>
        </r>
      </text>
    </comment>
    <comment ref="S19" authorId="2">
      <text>
        <r>
          <rPr>
            <b/>
            <sz val="8"/>
            <color indexed="81"/>
            <rFont val="Tahoma"/>
            <family val="2"/>
          </rPr>
          <t>dliu:</t>
        </r>
        <r>
          <rPr>
            <sz val="8"/>
            <color indexed="81"/>
            <rFont val="Tahoma"/>
            <family val="2"/>
          </rPr>
          <t xml:space="preserve">
sale of Penhaligon's</t>
        </r>
      </text>
    </comment>
    <comment ref="T19" authorId="5">
      <text>
        <r>
          <rPr>
            <sz val="8"/>
            <color indexed="81"/>
            <rFont val="Tahoma"/>
            <family val="2"/>
          </rPr>
          <t xml:space="preserve">
A&amp;F</t>
        </r>
      </text>
    </comment>
    <comment ref="U19" authorId="5">
      <text>
        <r>
          <rPr>
            <sz val="8"/>
            <color indexed="81"/>
            <rFont val="Tahoma"/>
            <family val="2"/>
          </rPr>
          <t xml:space="preserve">
Ltd2 and Galyans</t>
        </r>
      </text>
    </comment>
    <comment ref="W19" authorId="5">
      <text>
        <r>
          <rPr>
            <sz val="8"/>
            <color indexed="81"/>
            <rFont val="Tahoma"/>
            <family val="2"/>
          </rPr>
          <t xml:space="preserve">
Lane Bryant</t>
        </r>
      </text>
    </comment>
    <comment ref="X19" authorId="2">
      <text>
        <r>
          <rPr>
            <b/>
            <sz val="10"/>
            <color indexed="81"/>
            <rFont val="Tahoma"/>
            <family val="2"/>
          </rPr>
          <t>dliu:</t>
        </r>
        <r>
          <rPr>
            <sz val="10"/>
            <color indexed="81"/>
            <rFont val="Tahoma"/>
            <family val="2"/>
          </rPr>
          <t xml:space="preserve">
Lerner disposition</t>
        </r>
      </text>
    </comment>
    <comment ref="AJ28" authorId="1">
      <text>
        <r>
          <rPr>
            <b/>
            <sz val="9"/>
            <color indexed="81"/>
            <rFont val="Tahoma"/>
            <family val="2"/>
          </rPr>
          <t>casselau:</t>
        </r>
        <r>
          <rPr>
            <sz val="9"/>
            <color indexed="81"/>
            <rFont val="Tahoma"/>
            <family val="2"/>
          </rPr>
          <t xml:space="preserve">
2/27/14: VS sq ft in NA +6%, total company +3.5%</t>
        </r>
      </text>
    </comment>
    <comment ref="Z30" authorId="2">
      <text>
        <r>
          <rPr>
            <b/>
            <sz val="8"/>
            <color indexed="81"/>
            <rFont val="Tahoma"/>
            <family val="2"/>
          </rPr>
          <t>dliu:</t>
        </r>
        <r>
          <rPr>
            <sz val="8"/>
            <color indexed="81"/>
            <rFont val="Tahoma"/>
            <family val="2"/>
          </rPr>
          <t xml:space="preserve">
includes Bendel</t>
        </r>
      </text>
    </comment>
    <comment ref="AA30" authorId="2">
      <text>
        <r>
          <rPr>
            <b/>
            <sz val="8"/>
            <color indexed="81"/>
            <rFont val="Tahoma"/>
            <family val="2"/>
          </rPr>
          <t>dliu:</t>
        </r>
        <r>
          <rPr>
            <sz val="8"/>
            <color indexed="81"/>
            <rFont val="Tahoma"/>
            <family val="2"/>
          </rPr>
          <t xml:space="preserve">
includes Bendel</t>
        </r>
      </text>
    </comment>
    <comment ref="AB30" authorId="2">
      <text>
        <r>
          <rPr>
            <b/>
            <sz val="8"/>
            <color indexed="81"/>
            <rFont val="Tahoma"/>
            <family val="2"/>
          </rPr>
          <t>dliu:</t>
        </r>
        <r>
          <rPr>
            <sz val="8"/>
            <color indexed="81"/>
            <rFont val="Tahoma"/>
            <family val="2"/>
          </rPr>
          <t xml:space="preserve">
includes Bendel, Diva, &amp; La Senza</t>
        </r>
      </text>
    </comment>
    <comment ref="AC30" authorId="2">
      <text>
        <r>
          <rPr>
            <b/>
            <sz val="10"/>
            <color indexed="81"/>
            <rFont val="Tahoma"/>
            <family val="2"/>
          </rPr>
          <t>dliu:</t>
        </r>
        <r>
          <rPr>
            <sz val="10"/>
            <color indexed="81"/>
            <rFont val="Tahoma"/>
            <family val="2"/>
          </rPr>
          <t xml:space="preserve">
includes Bendel &amp; La Senza &amp; excludes Apparel divisions
</t>
        </r>
      </text>
    </comment>
    <comment ref="AD30" authorId="2">
      <text>
        <r>
          <rPr>
            <b/>
            <sz val="10"/>
            <color indexed="81"/>
            <rFont val="Tahoma"/>
            <family val="2"/>
          </rPr>
          <t>dliu:</t>
        </r>
        <r>
          <rPr>
            <sz val="10"/>
            <color indexed="81"/>
            <rFont val="Tahoma"/>
            <family val="2"/>
          </rPr>
          <t xml:space="preserve">
includes Bendel &amp; La Senza &amp; excludes Apparel divisions
</t>
        </r>
      </text>
    </comment>
    <comment ref="AE30" authorId="2">
      <text>
        <r>
          <rPr>
            <b/>
            <sz val="10"/>
            <color indexed="81"/>
            <rFont val="Tahoma"/>
            <family val="2"/>
          </rPr>
          <t xml:space="preserve">mm98285:
</t>
        </r>
        <r>
          <rPr>
            <sz val="10"/>
            <color indexed="81"/>
            <rFont val="Tahoma"/>
            <family val="2"/>
          </rPr>
          <t>5/09: Expect total company sq. ft. to grow ~+1% (U.S. ~flat &amp; +5% in Canada) 
Expect 61 new stores; 28 in U.S. and 33 in Canada. Expect 53 stores to be remodeled</t>
        </r>
        <r>
          <rPr>
            <b/>
            <sz val="10"/>
            <color indexed="81"/>
            <rFont val="Tahoma"/>
            <family val="2"/>
          </rPr>
          <t xml:space="preserve">
</t>
        </r>
        <r>
          <rPr>
            <sz val="10"/>
            <color indexed="81"/>
            <rFont val="Tahoma"/>
            <family val="2"/>
          </rPr>
          <t xml:space="preserve">11/08: L-T goal of 2-5% sq ft. growth
</t>
        </r>
        <r>
          <rPr>
            <b/>
            <sz val="10"/>
            <color indexed="81"/>
            <rFont val="Tahoma"/>
            <family val="2"/>
          </rPr>
          <t xml:space="preserve">
dliu:</t>
        </r>
        <r>
          <rPr>
            <sz val="10"/>
            <color indexed="81"/>
            <rFont val="Tahoma"/>
            <family val="2"/>
          </rPr>
          <t xml:space="preserve">
includes Bendel &amp; La Senza &amp; excludes Apparel divisions
</t>
        </r>
      </text>
    </comment>
    <comment ref="AF30" authorId="2">
      <text>
        <r>
          <rPr>
            <b/>
            <sz val="10"/>
            <color indexed="81"/>
            <rFont val="Tahoma"/>
            <family val="2"/>
          </rPr>
          <t xml:space="preserve">mm98285:
</t>
        </r>
        <r>
          <rPr>
            <sz val="10"/>
            <color indexed="81"/>
            <rFont val="Tahoma"/>
            <family val="2"/>
          </rPr>
          <t xml:space="preserve">11/08: L-T goal of 2-5% sq ft. growth
</t>
        </r>
        <r>
          <rPr>
            <b/>
            <sz val="10"/>
            <color indexed="81"/>
            <rFont val="Tahoma"/>
            <family val="2"/>
          </rPr>
          <t xml:space="preserve">
dliu:</t>
        </r>
        <r>
          <rPr>
            <sz val="10"/>
            <color indexed="81"/>
            <rFont val="Tahoma"/>
            <family val="2"/>
          </rPr>
          <t xml:space="preserve">
includes Bendel &amp; La Senza &amp; excludes Apparel divisions
</t>
        </r>
      </text>
    </comment>
    <comment ref="AG30" authorId="2">
      <text>
        <r>
          <rPr>
            <b/>
            <sz val="10"/>
            <color indexed="81"/>
            <rFont val="Tahoma"/>
            <family val="2"/>
          </rPr>
          <t xml:space="preserve">mm98285:
</t>
        </r>
        <r>
          <rPr>
            <sz val="10"/>
            <color indexed="81"/>
            <rFont val="Tahoma"/>
            <family val="2"/>
          </rPr>
          <t xml:space="preserve">11/08: L-T goal of 2-5% sq ft. growth
</t>
        </r>
        <r>
          <rPr>
            <b/>
            <sz val="10"/>
            <color indexed="81"/>
            <rFont val="Tahoma"/>
            <family val="2"/>
          </rPr>
          <t xml:space="preserve">
dliu:</t>
        </r>
        <r>
          <rPr>
            <sz val="10"/>
            <color indexed="81"/>
            <rFont val="Tahoma"/>
            <family val="2"/>
          </rPr>
          <t xml:space="preserve">
includes Bendel &amp; La Senza &amp; excludes Apparel divisions
</t>
        </r>
      </text>
    </comment>
    <comment ref="AH30" authorId="2">
      <text>
        <r>
          <rPr>
            <b/>
            <sz val="10"/>
            <color indexed="81"/>
            <rFont val="Tahoma"/>
            <family val="2"/>
          </rPr>
          <t xml:space="preserve">mm98285:
</t>
        </r>
        <r>
          <rPr>
            <sz val="10"/>
            <color indexed="81"/>
            <rFont val="Tahoma"/>
            <family val="2"/>
          </rPr>
          <t xml:space="preserve">11/08: L-T goal of 2-5% sq ft. growth
</t>
        </r>
        <r>
          <rPr>
            <b/>
            <sz val="10"/>
            <color indexed="81"/>
            <rFont val="Tahoma"/>
            <family val="2"/>
          </rPr>
          <t xml:space="preserve">
dliu:</t>
        </r>
        <r>
          <rPr>
            <sz val="10"/>
            <color indexed="81"/>
            <rFont val="Tahoma"/>
            <family val="2"/>
          </rPr>
          <t xml:space="preserve">
includes Bendel &amp; La Senza &amp; excludes Apparel divisions
</t>
        </r>
      </text>
    </comment>
    <comment ref="AI30" authorId="2">
      <text>
        <r>
          <rPr>
            <b/>
            <sz val="10"/>
            <color indexed="81"/>
            <rFont val="Tahoma"/>
            <family val="2"/>
          </rPr>
          <t xml:space="preserve">mm98285:
</t>
        </r>
        <r>
          <rPr>
            <sz val="10"/>
            <color indexed="81"/>
            <rFont val="Tahoma"/>
            <family val="2"/>
          </rPr>
          <t xml:space="preserve">11/08: L-T goal of 2-5% sq ft. growth
</t>
        </r>
        <r>
          <rPr>
            <b/>
            <sz val="10"/>
            <color indexed="81"/>
            <rFont val="Tahoma"/>
            <family val="2"/>
          </rPr>
          <t xml:space="preserve">
dliu:</t>
        </r>
        <r>
          <rPr>
            <sz val="10"/>
            <color indexed="81"/>
            <rFont val="Tahoma"/>
            <family val="2"/>
          </rPr>
          <t xml:space="preserve">
includes Bendel &amp; La Senza &amp; excludes Apparel divisions
</t>
        </r>
      </text>
    </comment>
    <comment ref="AC31" authorId="0">
      <text>
        <r>
          <rPr>
            <b/>
            <sz val="8"/>
            <color indexed="81"/>
            <rFont val="Tahoma"/>
            <family val="2"/>
          </rPr>
          <t>mm98285:</t>
        </r>
        <r>
          <rPr>
            <sz val="8"/>
            <color indexed="81"/>
            <rFont val="Tahoma"/>
            <family val="2"/>
          </rPr>
          <t xml:space="preserve">
</t>
        </r>
        <r>
          <rPr>
            <sz val="9"/>
            <color indexed="81"/>
            <rFont val="Tahoma"/>
            <family val="2"/>
          </rPr>
          <t>excludes Apparel divisions which were included in prior years
flat</t>
        </r>
      </text>
    </comment>
    <comment ref="AD31" authorId="0">
      <text>
        <r>
          <rPr>
            <b/>
            <sz val="8"/>
            <color indexed="81"/>
            <rFont val="Tahoma"/>
            <family val="2"/>
          </rPr>
          <t>mm98285:</t>
        </r>
        <r>
          <rPr>
            <sz val="8"/>
            <color indexed="81"/>
            <rFont val="Tahoma"/>
            <family val="2"/>
          </rPr>
          <t xml:space="preserve">
5/08: expect 7% sq ft growth</t>
        </r>
      </text>
    </comment>
    <comment ref="AJ31" authorId="1">
      <text>
        <r>
          <rPr>
            <b/>
            <sz val="9"/>
            <color indexed="81"/>
            <rFont val="Tahoma"/>
            <family val="2"/>
          </rPr>
          <t>casselau:</t>
        </r>
        <r>
          <rPr>
            <sz val="9"/>
            <color indexed="81"/>
            <rFont val="Tahoma"/>
            <family val="2"/>
          </rPr>
          <t xml:space="preserve">
2/27/14: VS sq ft in NA +6%, total company +3.5%</t>
        </r>
      </text>
    </comment>
    <comment ref="AK31" authorId="1">
      <text>
        <r>
          <rPr>
            <b/>
            <sz val="9"/>
            <color indexed="81"/>
            <rFont val="Tahoma"/>
            <family val="2"/>
          </rPr>
          <t xml:space="preserve">casselau:
11/19/15: Total Company square footage will increase by between 3-4%. 
</t>
        </r>
        <r>
          <rPr>
            <sz val="9"/>
            <color indexed="81"/>
            <rFont val="Tahoma"/>
            <family val="2"/>
          </rPr>
          <t xml:space="preserve">
VS sqft in NA will increase by about 4% this year, driven by expansions
of existing VS stores and 25 net new openings. Bath &amp; Body Works square footage in North America will increase by about 3%, driven by 28 net
new openings and 83 remodels. Total company square footage will increase by about 3.5%.</t>
        </r>
      </text>
    </comment>
    <comment ref="AL31" authorId="1">
      <text>
        <r>
          <rPr>
            <b/>
            <sz val="9"/>
            <color indexed="81"/>
            <rFont val="Tahoma"/>
            <family val="2"/>
          </rPr>
          <t>casselau:</t>
        </r>
        <r>
          <rPr>
            <sz val="9"/>
            <color indexed="81"/>
            <rFont val="Tahoma"/>
            <family val="2"/>
          </rPr>
          <t xml:space="preserve">
11/3/15: expect 4% net square footage growth</t>
        </r>
      </text>
    </comment>
    <comment ref="AM31" authorId="4">
      <text>
        <r>
          <rPr>
            <b/>
            <sz val="9"/>
            <color indexed="81"/>
            <rFont val="Tahoma"/>
            <family val="2"/>
          </rPr>
          <t xml:space="preserve">Cassel, Lauren (Research):
11/15/17: total company sqft +2%; VS flat driven by 80 remodels; BBW +3% driven by 160 remodels
5/17/17: total company sqft +3%; VS +1% driven by 75 remodels and 2 net new openings; BBW +4% driven by 21 net new openings and 160 remodels
2/22/17: </t>
        </r>
        <r>
          <rPr>
            <sz val="9"/>
            <color indexed="81"/>
            <rFont val="Tahoma"/>
            <family val="2"/>
          </rPr>
          <t xml:space="preserve">VS NA sqftge will grow +1% driven by ~75 remodels and 3 net new openings; BBW NA sqft +4% driven by 25 net new openings and 160 remodels; </t>
        </r>
        <r>
          <rPr>
            <b/>
            <sz val="9"/>
            <color indexed="81"/>
            <rFont val="Tahoma"/>
            <family val="2"/>
          </rPr>
          <t>total company sqftge ~+3%</t>
        </r>
        <r>
          <rPr>
            <sz val="9"/>
            <color indexed="81"/>
            <rFont val="Tahoma"/>
            <family val="2"/>
          </rPr>
          <t xml:space="preserve">
11/1/16: expect 3% net square footage growth (VS/PINK 2%, BBW 5%)</t>
        </r>
      </text>
    </comment>
    <comment ref="AN31" authorId="4">
      <text>
        <r>
          <rPr>
            <b/>
            <sz val="9"/>
            <color indexed="81"/>
            <rFont val="Tahoma"/>
            <family val="2"/>
          </rPr>
          <t>Cassel, Lauren (Research):</t>
        </r>
        <r>
          <rPr>
            <sz val="9"/>
            <color indexed="81"/>
            <rFont val="Tahoma"/>
            <family val="2"/>
          </rPr>
          <t xml:space="preserve">
11/1/17: forecast: 2% gross, 1% net of closures</t>
        </r>
      </text>
    </comment>
    <comment ref="AO31" authorId="4">
      <text>
        <r>
          <rPr>
            <b/>
            <sz val="9"/>
            <color indexed="81"/>
            <rFont val="Tahoma"/>
            <family val="2"/>
          </rPr>
          <t>Cassel, Lauren (Research):</t>
        </r>
        <r>
          <rPr>
            <sz val="9"/>
            <color indexed="81"/>
            <rFont val="Tahoma"/>
            <family val="2"/>
          </rPr>
          <t xml:space="preserve">
2/28/18: Victoria’s Secret square footage in North America will remain flat, and Bath &amp; Body Works square footage in North America will increase by about 3%, yielding a total company square footage increase of about 2%.</t>
        </r>
      </text>
    </comment>
    <comment ref="AJ39" authorId="1">
      <text>
        <r>
          <rPr>
            <b/>
            <sz val="9"/>
            <color indexed="81"/>
            <rFont val="Tahoma"/>
            <family val="2"/>
          </rPr>
          <t>casselau:</t>
        </r>
        <r>
          <rPr>
            <sz val="9"/>
            <color indexed="81"/>
            <rFont val="Tahoma"/>
            <family val="2"/>
          </rPr>
          <t xml:space="preserve">
10/17/12 investor day: lead times have been reduced by 50%; opportunity for further 50% reduction</t>
        </r>
        <r>
          <rPr>
            <b/>
            <sz val="9"/>
            <color indexed="81"/>
            <rFont val="Tahoma"/>
            <family val="2"/>
          </rPr>
          <t xml:space="preserve">
</t>
        </r>
      </text>
    </comment>
    <comment ref="AK39" authorId="1">
      <text>
        <r>
          <rPr>
            <b/>
            <sz val="7"/>
            <color indexed="81"/>
            <rFont val="Tahoma"/>
            <family val="2"/>
          </rPr>
          <t xml:space="preserve">casselau: </t>
        </r>
        <r>
          <rPr>
            <sz val="7"/>
            <color indexed="81"/>
            <rFont val="Tahoma"/>
            <family val="2"/>
          </rPr>
          <t xml:space="preserve">
10/17/12 investor day: lead times have been reduced by 50%; opportunity for further 50% reduction</t>
        </r>
      </text>
    </comment>
    <comment ref="AL39" authorId="1">
      <text>
        <r>
          <rPr>
            <b/>
            <sz val="9"/>
            <color indexed="81"/>
            <rFont val="Tahoma"/>
            <family val="2"/>
          </rPr>
          <t>casselau:</t>
        </r>
        <r>
          <rPr>
            <sz val="9"/>
            <color indexed="81"/>
            <rFont val="Tahoma"/>
            <family val="2"/>
          </rPr>
          <t xml:space="preserve">
2/25/16: includes eCommerce for the first time</t>
        </r>
      </text>
    </comment>
    <comment ref="AI61" authorId="6">
      <text>
        <r>
          <rPr>
            <b/>
            <sz val="8"/>
            <color indexed="81"/>
            <rFont val="Tahoma"/>
            <family val="2"/>
          </rPr>
          <t>kahng:</t>
        </r>
        <r>
          <rPr>
            <sz val="8"/>
            <color indexed="81"/>
            <rFont val="Tahoma"/>
            <family val="2"/>
          </rPr>
          <t xml:space="preserve">
$430M for 2012 excl 53rd week growing at 3%</t>
        </r>
      </text>
    </comment>
    <comment ref="AI63" authorId="6">
      <text>
        <r>
          <rPr>
            <b/>
            <sz val="8"/>
            <color indexed="81"/>
            <rFont val="Tahoma"/>
            <family val="2"/>
          </rPr>
          <t>kahng:</t>
        </r>
        <r>
          <rPr>
            <sz val="8"/>
            <color indexed="81"/>
            <rFont val="Tahoma"/>
            <family val="2"/>
          </rPr>
          <t xml:space="preserve">
</t>
        </r>
      </text>
    </comment>
    <comment ref="AB65" authorId="0">
      <text>
        <r>
          <rPr>
            <b/>
            <sz val="8"/>
            <color indexed="81"/>
            <rFont val="Tahoma"/>
            <family val="2"/>
          </rPr>
          <t>mm98285:</t>
        </r>
        <r>
          <rPr>
            <sz val="8"/>
            <color indexed="81"/>
            <rFont val="Tahoma"/>
            <family val="2"/>
          </rPr>
          <t xml:space="preserve">
expect sales to double in 5 years($5B to $10B)</t>
        </r>
      </text>
    </comment>
    <comment ref="AC69" authorId="0">
      <text>
        <r>
          <rPr>
            <b/>
            <sz val="8"/>
            <color indexed="81"/>
            <rFont val="Tahoma"/>
            <family val="2"/>
          </rPr>
          <t>mm98285:</t>
        </r>
        <r>
          <rPr>
            <sz val="8"/>
            <color indexed="81"/>
            <rFont val="Tahoma"/>
            <family val="2"/>
          </rPr>
          <t xml:space="preserve">
2006 10K: expect to open 35 new stores in 2007</t>
        </r>
      </text>
    </comment>
    <comment ref="AD69" authorId="0">
      <text>
        <r>
          <rPr>
            <b/>
            <sz val="8"/>
            <color indexed="81"/>
            <rFont val="Tahoma"/>
            <family val="2"/>
          </rPr>
          <t>mm98285:</t>
        </r>
        <r>
          <rPr>
            <sz val="8"/>
            <color indexed="81"/>
            <rFont val="Tahoma"/>
            <family val="2"/>
          </rPr>
          <t xml:space="preserve">
10/07: open 30 new stores per year</t>
        </r>
      </text>
    </comment>
    <comment ref="AE69" authorId="0">
      <text>
        <r>
          <rPr>
            <b/>
            <sz val="8"/>
            <color indexed="81"/>
            <rFont val="Tahoma"/>
            <family val="2"/>
          </rPr>
          <t>mm98285:</t>
        </r>
        <r>
          <rPr>
            <sz val="8"/>
            <color indexed="81"/>
            <rFont val="Tahoma"/>
            <family val="2"/>
          </rPr>
          <t xml:space="preserve">
11/09: +9 VS U.S., +4 Pink U.S. +4 Pink Canada</t>
        </r>
      </text>
    </comment>
    <comment ref="AI69" authorId="1">
      <text>
        <r>
          <rPr>
            <b/>
            <sz val="8"/>
            <color indexed="81"/>
            <rFont val="Tahoma"/>
            <family val="2"/>
          </rPr>
          <t>casselau:</t>
        </r>
        <r>
          <rPr>
            <sz val="8"/>
            <color indexed="81"/>
            <rFont val="Tahoma"/>
            <family val="2"/>
          </rPr>
          <t xml:space="preserve">
10/17/12 investor day: +5-8 VS canada, +3-5 more VS UK, +70-100 VSBA</t>
        </r>
      </text>
    </comment>
    <comment ref="AE70" authorId="0">
      <text>
        <r>
          <rPr>
            <b/>
            <sz val="8"/>
            <color indexed="81"/>
            <rFont val="Tahoma"/>
            <family val="2"/>
          </rPr>
          <t>mm98285:</t>
        </r>
        <r>
          <rPr>
            <sz val="8"/>
            <color indexed="81"/>
            <rFont val="Tahoma"/>
            <family val="2"/>
          </rPr>
          <t xml:space="preserve">
11/09: -18 VS U.S.</t>
        </r>
      </text>
    </comment>
    <comment ref="BF72" authorId="0">
      <text>
        <r>
          <rPr>
            <b/>
            <sz val="8"/>
            <color indexed="81"/>
            <rFont val="Tahoma"/>
            <family val="2"/>
          </rPr>
          <t>mm98285:</t>
        </r>
        <r>
          <rPr>
            <sz val="8"/>
            <color indexed="81"/>
            <rFont val="Tahoma"/>
            <family val="2"/>
          </rPr>
          <t xml:space="preserve">
used info from 2007 analyst day presentation and assumed new remodeled stores running ~20% above old stores</t>
        </r>
      </text>
    </comment>
    <comment ref="BD77" authorId="0">
      <text>
        <r>
          <rPr>
            <b/>
            <sz val="8"/>
            <color indexed="81"/>
            <rFont val="Tahoma"/>
            <family val="2"/>
          </rPr>
          <t>mm98285:</t>
        </r>
        <r>
          <rPr>
            <sz val="8"/>
            <color indexed="81"/>
            <rFont val="Tahoma"/>
            <family val="2"/>
          </rPr>
          <t xml:space="preserve">
expect to remodel 125-140 stores in 2007 and 700 store eventually</t>
        </r>
      </text>
    </comment>
    <comment ref="BE77" authorId="0">
      <text>
        <r>
          <rPr>
            <b/>
            <sz val="8"/>
            <color indexed="81"/>
            <rFont val="Tahoma"/>
            <family val="2"/>
          </rPr>
          <t>mm98285:</t>
        </r>
        <r>
          <rPr>
            <sz val="8"/>
            <color indexed="81"/>
            <rFont val="Tahoma"/>
            <family val="2"/>
          </rPr>
          <t xml:space="preserve">
2/08: reducing openings and expansions by 25%, now expect 71 expansions in 2008</t>
        </r>
      </text>
    </comment>
    <comment ref="BD80" authorId="0">
      <text>
        <r>
          <rPr>
            <b/>
            <sz val="8"/>
            <color indexed="81"/>
            <rFont val="Tahoma"/>
            <family val="2"/>
          </rPr>
          <t>mm98285:</t>
        </r>
        <r>
          <rPr>
            <sz val="8"/>
            <color indexed="81"/>
            <rFont val="Tahoma"/>
            <family val="2"/>
          </rPr>
          <t xml:space="preserve">
8/07: new stores productivity down 15% (get back to normal levels over 3 yrs)</t>
        </r>
      </text>
    </comment>
    <comment ref="AC82" authorId="0">
      <text>
        <r>
          <rPr>
            <b/>
            <sz val="10"/>
            <color indexed="81"/>
            <rFont val="Tahoma"/>
            <family val="2"/>
          </rPr>
          <t>mm98285:</t>
        </r>
        <r>
          <rPr>
            <sz val="10"/>
            <color indexed="81"/>
            <rFont val="Tahoma"/>
            <family val="2"/>
          </rPr>
          <t xml:space="preserve">
2006 10K: expect 8-10% sq ft growth from incr store remodels , in 2007 plan to open 35 new stores and remodel another 105 stores in new larger store design (50% increase in sq ft) 
11/06: 50% expansion on 125-140 stores per yr</t>
        </r>
      </text>
    </comment>
    <comment ref="AD82" authorId="0">
      <text>
        <r>
          <rPr>
            <b/>
            <sz val="8"/>
            <color indexed="81"/>
            <rFont val="Tahoma"/>
            <family val="2"/>
          </rPr>
          <t>mm98285:</t>
        </r>
        <r>
          <rPr>
            <sz val="8"/>
            <color indexed="81"/>
            <rFont val="Tahoma"/>
            <family val="2"/>
          </rPr>
          <t xml:space="preserve">
5/08: +7% vs. prior +8%
2/08: sq. ft growth 2% lower than previously planned, now expect 8%</t>
        </r>
      </text>
    </comment>
    <comment ref="AK82" authorId="1">
      <text>
        <r>
          <rPr>
            <b/>
            <sz val="9"/>
            <color indexed="81"/>
            <rFont val="Tahoma"/>
            <family val="2"/>
          </rPr>
          <t xml:space="preserve">casselau:
11/19/15: Victoria's Secret square footage in North America will increase by about 4% this year driven by expansions of existing Victoria's Secrets stores and 26 net new openings. 
</t>
        </r>
        <r>
          <rPr>
            <sz val="9"/>
            <color indexed="81"/>
            <rFont val="Tahoma"/>
            <family val="2"/>
          </rPr>
          <t xml:space="preserve">
Victoria's Secret square footage in North America will increase by about 4% this year, driven by expansions
at existing Victoria's Secret stores and 25 net new openings.</t>
        </r>
      </text>
    </comment>
    <comment ref="AL82" authorId="1">
      <text>
        <r>
          <rPr>
            <b/>
            <sz val="9"/>
            <color indexed="81"/>
            <rFont val="Tahoma"/>
            <family val="2"/>
          </rPr>
          <t>casselau:
8/17/16: VS NA square footage will increased by 4% this year driven by expansions and 12 net new openings 
5/18/16: VS square footage will increase +3% driven by expansions of existing VS stores and 9 net new openings</t>
        </r>
        <r>
          <rPr>
            <sz val="9"/>
            <color indexed="81"/>
            <rFont val="Tahoma"/>
            <family val="2"/>
          </rPr>
          <t xml:space="preserve">
11/3/15: expect 4% net square footage growth</t>
        </r>
      </text>
    </comment>
    <comment ref="AM82" authorId="4">
      <text>
        <r>
          <rPr>
            <b/>
            <sz val="9"/>
            <color indexed="81"/>
            <rFont val="Tahoma"/>
            <family val="2"/>
          </rPr>
          <t>Cassel, Lauren (Research):</t>
        </r>
        <r>
          <rPr>
            <sz val="9"/>
            <color indexed="81"/>
            <rFont val="Tahoma"/>
            <family val="2"/>
          </rPr>
          <t xml:space="preserve">
8/15/17: Victoria’s Secret square footage in North America will increase by about 1%
this year, driven by about 78 remodels.</t>
        </r>
      </text>
    </comment>
    <comment ref="AN82" authorId="4">
      <text>
        <r>
          <rPr>
            <b/>
            <sz val="9"/>
            <color indexed="81"/>
            <rFont val="Tahoma"/>
            <family val="2"/>
          </rPr>
          <t>Cassel, Lauren (Research):</t>
        </r>
        <r>
          <rPr>
            <sz val="9"/>
            <color indexed="81"/>
            <rFont val="Tahoma"/>
            <family val="2"/>
          </rPr>
          <t xml:space="preserve">
11/1/17: forecast: 1% gross, 0% net of closures</t>
        </r>
      </text>
    </comment>
    <comment ref="AO82" authorId="4">
      <text>
        <r>
          <rPr>
            <b/>
            <sz val="9"/>
            <color indexed="81"/>
            <rFont val="Tahoma"/>
            <family val="2"/>
          </rPr>
          <t>Cassel, Lauren (Research):</t>
        </r>
        <r>
          <rPr>
            <sz val="9"/>
            <color indexed="81"/>
            <rFont val="Tahoma"/>
            <family val="2"/>
          </rPr>
          <t xml:space="preserve">
Victoria’s Secret square footage in North America will remain flat</t>
        </r>
      </text>
    </comment>
    <comment ref="AM84" authorId="4">
      <text>
        <r>
          <rPr>
            <b/>
            <sz val="9"/>
            <color indexed="81"/>
            <rFont val="Tahoma"/>
            <family val="2"/>
          </rPr>
          <t>Cassel, Lauren (Research):</t>
        </r>
        <r>
          <rPr>
            <sz val="9"/>
            <color indexed="81"/>
            <rFont val="Tahoma"/>
            <family val="2"/>
          </rPr>
          <t xml:space="preserve">
11/1/16: average store size of expanded stores is 8,500 sqft (177 completed through 2011-3Q16)</t>
        </r>
      </text>
    </comment>
    <comment ref="AD93" authorId="0">
      <text>
        <r>
          <rPr>
            <b/>
            <sz val="8"/>
            <color indexed="81"/>
            <rFont val="Tahoma"/>
            <family val="2"/>
          </rPr>
          <t>mm98285:</t>
        </r>
        <r>
          <rPr>
            <sz val="8"/>
            <color indexed="81"/>
            <rFont val="Tahoma"/>
            <family val="2"/>
          </rPr>
          <t xml:space="preserve">
5/08: average size 6700 of new stores</t>
        </r>
      </text>
    </comment>
    <comment ref="Y95" authorId="2">
      <text>
        <r>
          <rPr>
            <b/>
            <sz val="10"/>
            <color indexed="81"/>
            <rFont val="Tahoma"/>
            <family val="2"/>
          </rPr>
          <t>dliu:</t>
        </r>
        <r>
          <rPr>
            <sz val="10"/>
            <color indexed="81"/>
            <rFont val="Tahoma"/>
            <family val="2"/>
          </rPr>
          <t xml:space="preserve">
existing size is 6,000 sq ft.</t>
        </r>
      </text>
    </comment>
    <comment ref="AC117" authorId="0">
      <text>
        <r>
          <rPr>
            <b/>
            <sz val="10"/>
            <color indexed="81"/>
            <rFont val="Tahoma"/>
            <family val="2"/>
          </rPr>
          <t>mm98285:</t>
        </r>
        <r>
          <rPr>
            <sz val="10"/>
            <color indexed="81"/>
            <rFont val="Tahoma"/>
            <family val="2"/>
          </rPr>
          <t xml:space="preserve">
2006 10K: expect to open 55 stores in 2007
expect to open 30-50 stores annually</t>
        </r>
      </text>
    </comment>
    <comment ref="AD117" authorId="0">
      <text>
        <r>
          <rPr>
            <b/>
            <sz val="8"/>
            <color indexed="81"/>
            <rFont val="Tahoma"/>
            <family val="2"/>
          </rPr>
          <t>mm98285:</t>
        </r>
        <r>
          <rPr>
            <sz val="8"/>
            <color indexed="81"/>
            <rFont val="Tahoma"/>
            <family val="2"/>
          </rPr>
          <t xml:space="preserve">
6/07: 70-100 new BBW stores per year</t>
        </r>
      </text>
    </comment>
    <comment ref="AE117" authorId="0">
      <text>
        <r>
          <rPr>
            <b/>
            <sz val="8"/>
            <color indexed="81"/>
            <rFont val="Tahoma"/>
            <family val="2"/>
          </rPr>
          <t>mm98285:</t>
        </r>
        <r>
          <rPr>
            <sz val="8"/>
            <color indexed="81"/>
            <rFont val="Tahoma"/>
            <family val="2"/>
          </rPr>
          <t xml:space="preserve">
11/09: +9 BBW U.S., +25 BBW Canada + conversion of 1 C.O. Big to BBW
6/07: 70-100 new BBW stores per year</t>
        </r>
      </text>
    </comment>
    <comment ref="AF117" authorId="0">
      <text>
        <r>
          <rPr>
            <b/>
            <sz val="8"/>
            <color indexed="81"/>
            <rFont val="Tahoma"/>
            <family val="2"/>
          </rPr>
          <t>mm98285:</t>
        </r>
        <r>
          <rPr>
            <sz val="8"/>
            <color indexed="81"/>
            <rFont val="Tahoma"/>
            <family val="2"/>
          </rPr>
          <t xml:space="preserve">
6/07: 70-100 new BBW stores per year</t>
        </r>
      </text>
    </comment>
    <comment ref="AI117" authorId="1">
      <text>
        <r>
          <rPr>
            <b/>
            <sz val="8"/>
            <color indexed="81"/>
            <rFont val="Tahoma"/>
            <family val="2"/>
          </rPr>
          <t>casselau:</t>
        </r>
        <r>
          <rPr>
            <sz val="8"/>
            <color indexed="81"/>
            <rFont val="Tahoma"/>
            <family val="2"/>
          </rPr>
          <t xml:space="preserve">
10/17/12: +7-10 canada, +20-30 ROW</t>
        </r>
      </text>
    </comment>
    <comment ref="AL117" authorId="1">
      <text>
        <r>
          <rPr>
            <b/>
            <sz val="9"/>
            <color indexed="81"/>
            <rFont val="Tahoma"/>
            <family val="2"/>
          </rPr>
          <t>casselau:</t>
        </r>
        <r>
          <rPr>
            <sz val="9"/>
            <color indexed="81"/>
            <rFont val="Tahoma"/>
            <family val="2"/>
          </rPr>
          <t xml:space="preserve">
11/3/15: increased real estate investment: targeting 39 new stores and 150 remodels in 2016</t>
        </r>
      </text>
    </comment>
    <comment ref="AE118" authorId="0">
      <text>
        <r>
          <rPr>
            <b/>
            <sz val="8"/>
            <color indexed="81"/>
            <rFont val="Tahoma"/>
            <family val="2"/>
          </rPr>
          <t>mm98285:</t>
        </r>
        <r>
          <rPr>
            <sz val="8"/>
            <color indexed="81"/>
            <rFont val="Tahoma"/>
            <family val="2"/>
          </rPr>
          <t xml:space="preserve">
11/09: -26 BBW U.S., -6 C.O. Bigelow</t>
        </r>
      </text>
    </comment>
    <comment ref="AZ119" authorId="2">
      <text>
        <r>
          <rPr>
            <b/>
            <sz val="10"/>
            <color indexed="81"/>
            <rFont val="Tahoma"/>
            <family val="2"/>
          </rPr>
          <t>dliu:</t>
        </r>
        <r>
          <rPr>
            <sz val="10"/>
            <color indexed="81"/>
            <rFont val="Tahoma"/>
            <family val="2"/>
          </rPr>
          <t xml:space="preserve">
off by a bit b/c these projections are driven off of qtr sales guidance</t>
        </r>
      </text>
    </comment>
    <comment ref="AG120" authorId="0">
      <text>
        <r>
          <rPr>
            <b/>
            <sz val="8"/>
            <color indexed="81"/>
            <rFont val="Tahoma"/>
            <family val="2"/>
          </rPr>
          <t>mm98285:</t>
        </r>
        <r>
          <rPr>
            <sz val="8"/>
            <color indexed="81"/>
            <rFont val="Tahoma"/>
            <family val="2"/>
          </rPr>
          <t xml:space="preserve">
10/07: expect total 1800-2000 store potential</t>
        </r>
      </text>
    </comment>
    <comment ref="BF124" authorId="0">
      <text>
        <r>
          <rPr>
            <b/>
            <sz val="8"/>
            <color indexed="81"/>
            <rFont val="Tahoma"/>
            <family val="2"/>
          </rPr>
          <t>mm98285:</t>
        </r>
        <r>
          <rPr>
            <sz val="8"/>
            <color indexed="81"/>
            <rFont val="Tahoma"/>
            <family val="2"/>
          </rPr>
          <t xml:space="preserve">
10K 2007 avg. store sales $1.54B</t>
        </r>
      </text>
    </comment>
    <comment ref="AC130" authorId="0">
      <text>
        <r>
          <rPr>
            <b/>
            <sz val="8"/>
            <color indexed="81"/>
            <rFont val="Tahoma"/>
            <family val="2"/>
          </rPr>
          <t>mm98285:</t>
        </r>
        <r>
          <rPr>
            <sz val="8"/>
            <color indexed="81"/>
            <rFont val="Tahoma"/>
            <family val="2"/>
          </rPr>
          <t xml:space="preserve">
10/07: 6% sq. ft growth through 2009
2/07: expect to grow +3% in 2007</t>
        </r>
      </text>
    </comment>
    <comment ref="AD130" authorId="0">
      <text>
        <r>
          <rPr>
            <b/>
            <sz val="8"/>
            <color indexed="81"/>
            <rFont val="Tahoma"/>
            <family val="2"/>
          </rPr>
          <t>mm98285:</t>
        </r>
        <r>
          <rPr>
            <sz val="8"/>
            <color indexed="81"/>
            <rFont val="Tahoma"/>
            <family val="2"/>
          </rPr>
          <t xml:space="preserve">
5/08: +4% vs. prior +5%
2/08: plan sq. ft. growth 2% lower than prev expectations, now expect 5%
10/07: 6% sq. ft growth through 2009</t>
        </r>
      </text>
    </comment>
    <comment ref="AE130" authorId="0">
      <text>
        <r>
          <rPr>
            <b/>
            <sz val="8"/>
            <color indexed="81"/>
            <rFont val="Tahoma"/>
            <family val="2"/>
          </rPr>
          <t>mm98285:</t>
        </r>
        <r>
          <rPr>
            <sz val="8"/>
            <color indexed="81"/>
            <rFont val="Tahoma"/>
            <family val="2"/>
          </rPr>
          <t xml:space="preserve">
10/07: 6% sq. ft growth through 2009</t>
        </r>
      </text>
    </comment>
    <comment ref="AK130" authorId="1">
      <text>
        <r>
          <rPr>
            <b/>
            <sz val="9"/>
            <color indexed="81"/>
            <rFont val="Tahoma"/>
            <family val="2"/>
          </rPr>
          <t xml:space="preserve">casselau:
11/19/15: Bath &amp; Body Works square footage North America will increase by about 3% driven by 26 net new openings and 83 remodels. 
</t>
        </r>
        <r>
          <rPr>
            <sz val="9"/>
            <color indexed="81"/>
            <rFont val="Tahoma"/>
            <family val="2"/>
          </rPr>
          <t xml:space="preserve">
Bath &amp; Body Works square footage in North America will increase by about 3%, driven
by 28 net new openings and 83 remodels.</t>
        </r>
      </text>
    </comment>
    <comment ref="AL130" authorId="1">
      <text>
        <r>
          <rPr>
            <b/>
            <sz val="9"/>
            <color indexed="81"/>
            <rFont val="Tahoma"/>
            <family val="2"/>
          </rPr>
          <t xml:space="preserve">casselau:
8/17/16: +5% driven by 25 net new openings and 184 remodels
5/18/16: +4% driven by 23 net new openings and 149 remodels </t>
        </r>
        <r>
          <rPr>
            <sz val="9"/>
            <color indexed="81"/>
            <rFont val="Tahoma"/>
            <family val="2"/>
          </rPr>
          <t xml:space="preserve">
11/3/15: expect 5% net square footage growth</t>
        </r>
      </text>
    </comment>
    <comment ref="AM130" authorId="4">
      <text>
        <r>
          <rPr>
            <b/>
            <sz val="9"/>
            <color indexed="81"/>
            <rFont val="Tahoma"/>
            <family val="2"/>
          </rPr>
          <t>Cassel, Lauren (Research):</t>
        </r>
        <r>
          <rPr>
            <sz val="9"/>
            <color indexed="81"/>
            <rFont val="Tahoma"/>
            <family val="2"/>
          </rPr>
          <t xml:space="preserve">
8/16/17: Bath &amp; Body Works square footage
in North America will increase by about 4%, driven by 16 net new openings and about 160 remodels.</t>
        </r>
      </text>
    </comment>
    <comment ref="AN130" authorId="4">
      <text>
        <r>
          <rPr>
            <b/>
            <sz val="9"/>
            <color indexed="81"/>
            <rFont val="Tahoma"/>
            <family val="2"/>
          </rPr>
          <t>Cassel, Lauren (Research):</t>
        </r>
        <r>
          <rPr>
            <sz val="9"/>
            <color indexed="81"/>
            <rFont val="Tahoma"/>
            <family val="2"/>
          </rPr>
          <t xml:space="preserve">
11/1/17: forecast: +4% gross, +3% net of closures</t>
        </r>
      </text>
    </comment>
    <comment ref="AO130" authorId="4">
      <text>
        <r>
          <rPr>
            <b/>
            <sz val="9"/>
            <color indexed="81"/>
            <rFont val="Tahoma"/>
            <family val="2"/>
          </rPr>
          <t>Cassel, Lauren (Research):</t>
        </r>
        <r>
          <rPr>
            <sz val="9"/>
            <color indexed="81"/>
            <rFont val="Tahoma"/>
            <family val="2"/>
          </rPr>
          <t xml:space="preserve">
2/28/18: Bath &amp; Body Works square footage in North America will increase by about 3%,</t>
        </r>
      </text>
    </comment>
    <comment ref="Z140" authorId="2">
      <text>
        <r>
          <rPr>
            <b/>
            <sz val="10"/>
            <color indexed="81"/>
            <rFont val="Tahoma"/>
            <family val="2"/>
          </rPr>
          <t>dliu:</t>
        </r>
        <r>
          <rPr>
            <sz val="10"/>
            <color indexed="81"/>
            <rFont val="Tahoma"/>
            <family val="2"/>
          </rPr>
          <t xml:space="preserve">
Flagship store size: expanding from 2,000 to 4,500 sq ft. Want to get to 250-300 sq ft. over next several years. So assume add 50 flagships per year, comprising 10 new openings and 40 expansions. Assuming 40 expansions per year x 2,500 sq.ft =100,000 sq ft in remodels. Assume 80,000 to be conservative
3/22: assume 48 remodels going forward given trend in 03 and 04.  so assume 100,000 sq ft to be conservative.</t>
        </r>
      </text>
    </comment>
    <comment ref="AA140" authorId="2">
      <text>
        <r>
          <rPr>
            <b/>
            <sz val="10"/>
            <color indexed="81"/>
            <rFont val="Tahoma"/>
            <family val="2"/>
          </rPr>
          <t>dliu:</t>
        </r>
        <r>
          <rPr>
            <sz val="10"/>
            <color indexed="81"/>
            <rFont val="Tahoma"/>
            <family val="2"/>
          </rPr>
          <t xml:space="preserve">
Flagship store size: expanding from 2,000 to 4,500 sq ft. Want to get to 250-300 sq ft. over next several years. So assume add 50 flagships per year, comprising 10 new openings and 40 expansions. Assuming 40 expansions per year x 2,500 sq.ft =100,000 sq ft in remodels. Assume 80,000 to be conservative</t>
        </r>
      </text>
    </comment>
    <comment ref="AB140" authorId="2">
      <text>
        <r>
          <rPr>
            <b/>
            <sz val="10"/>
            <color indexed="81"/>
            <rFont val="Tahoma"/>
            <family val="2"/>
          </rPr>
          <t>dliu:</t>
        </r>
        <r>
          <rPr>
            <sz val="10"/>
            <color indexed="81"/>
            <rFont val="Tahoma"/>
            <family val="2"/>
          </rPr>
          <t xml:space="preserve">
Flagship store size: expanding from 2,000 to 4,500 sq ft. Want to get to 250-300 sq ft. over next several years. So assume add 50 flagships per year, comprising 10 new openings and 40 expansions. Assuming 40 expansions per year x 2,500 sq.ft =100,000 sq ft in remodels. Assume 80,000 to be conservative</t>
        </r>
      </text>
    </comment>
    <comment ref="AC140" authorId="2">
      <text>
        <r>
          <rPr>
            <b/>
            <sz val="10"/>
            <color indexed="81"/>
            <rFont val="Tahoma"/>
            <family val="2"/>
          </rPr>
          <t>dliu:</t>
        </r>
        <r>
          <rPr>
            <sz val="10"/>
            <color indexed="81"/>
            <rFont val="Tahoma"/>
            <family val="2"/>
          </rPr>
          <t xml:space="preserve">
Flagship store size: expanding from 2,000 to 4,500 sq ft. Want to get to 250-300 sq ft. over next several years. So assume add 50 flagships per year, comprising 10 new openings and 40 expansions. Assuming 40 expansions per year x 2,500 sq.ft =100,000 sq ft in remodels. Assume 80,000 to be conservative</t>
        </r>
      </text>
    </comment>
    <comment ref="AD140" authorId="2">
      <text>
        <r>
          <rPr>
            <b/>
            <sz val="10"/>
            <color indexed="81"/>
            <rFont val="Tahoma"/>
            <family val="2"/>
          </rPr>
          <t>dliu:</t>
        </r>
        <r>
          <rPr>
            <sz val="10"/>
            <color indexed="81"/>
            <rFont val="Tahoma"/>
            <family val="2"/>
          </rPr>
          <t xml:space="preserve">
5/08: remodels increase by ~3,300 selling squ ft or 14%
Flagship store size: expanding from 2,000 to 4,500 sq ft. Want to get to 250-300 sq ft. over next several years. So assume add 50 flagships per year, comprising 10 new openings and 40 expansions. Assuming 40 expansions per year x 2,500 sq.ft =100,000 sq ft in remodels. Assume 80,000 to be conservative</t>
        </r>
      </text>
    </comment>
    <comment ref="AE140" authorId="2">
      <text>
        <r>
          <rPr>
            <b/>
            <sz val="10"/>
            <color indexed="81"/>
            <rFont val="Tahoma"/>
            <family val="2"/>
          </rPr>
          <t>dliu:</t>
        </r>
        <r>
          <rPr>
            <sz val="10"/>
            <color indexed="81"/>
            <rFont val="Tahoma"/>
            <family val="2"/>
          </rPr>
          <t xml:space="preserve">
Flagship store size: expanding from 2,000 to 4,500 sq ft. Want to get to 250-300 sq ft. over next several years. So assume add 50 flagships per year, comprising 10 new openings and 40 expansions. Assuming 40 expansions per year x 2,500 sq.ft =100,000 sq ft in remodels. Assume 80,000 to be conservative</t>
        </r>
      </text>
    </comment>
    <comment ref="AF140" authorId="2">
      <text>
        <r>
          <rPr>
            <b/>
            <sz val="10"/>
            <color indexed="81"/>
            <rFont val="Tahoma"/>
            <family val="2"/>
          </rPr>
          <t>dliu:</t>
        </r>
        <r>
          <rPr>
            <sz val="10"/>
            <color indexed="81"/>
            <rFont val="Tahoma"/>
            <family val="2"/>
          </rPr>
          <t xml:space="preserve">
Flagship store size: expanding from 2,000 to 4,500 sq ft. Want to get to 250-300 sq ft. over next several years. So assume add 50 flagships per year, comprising 10 new openings and 40 expansions. Assuming 40 expansions per year x 2,500 sq.ft =100,000 sq ft in remodels. Assume 80,000 to be conservative</t>
        </r>
      </text>
    </comment>
    <comment ref="AG140" authorId="2">
      <text>
        <r>
          <rPr>
            <b/>
            <sz val="10"/>
            <color indexed="81"/>
            <rFont val="Tahoma"/>
            <family val="2"/>
          </rPr>
          <t>dliu:</t>
        </r>
        <r>
          <rPr>
            <sz val="10"/>
            <color indexed="81"/>
            <rFont val="Tahoma"/>
            <family val="2"/>
          </rPr>
          <t xml:space="preserve">
Flagship store size: expanding from 2,000 to 4,500 sq ft. Want to get to 250-300 sq ft. over next several years. So assume add 50 flagships per year, comprising 10 new openings and 40 expansions. Assuming 40 expansions per year x 2,500 sq.ft =100,000 sq ft in remodels. Assume 80,000 to be conservative</t>
        </r>
      </text>
    </comment>
    <comment ref="AH140" authorId="2">
      <text>
        <r>
          <rPr>
            <b/>
            <sz val="10"/>
            <color indexed="81"/>
            <rFont val="Tahoma"/>
            <family val="2"/>
          </rPr>
          <t>dliu:</t>
        </r>
        <r>
          <rPr>
            <sz val="10"/>
            <color indexed="81"/>
            <rFont val="Tahoma"/>
            <family val="2"/>
          </rPr>
          <t xml:space="preserve">
Flagship store size: expanding from 2,000 to 4,500 sq ft. Want to get to 250-300 sq ft. over next several years. So assume add 50 flagships per year, comprising 10 new openings and 40 expansions. Assuming 40 expansions per year x 2,500 sq.ft =100,000 sq ft in remodels. Assume 80,000 to be conservative</t>
        </r>
      </text>
    </comment>
    <comment ref="AI140" authorId="2">
      <text>
        <r>
          <rPr>
            <b/>
            <sz val="10"/>
            <color indexed="81"/>
            <rFont val="Tahoma"/>
            <family val="2"/>
          </rPr>
          <t>dliu:</t>
        </r>
        <r>
          <rPr>
            <sz val="10"/>
            <color indexed="81"/>
            <rFont val="Tahoma"/>
            <family val="2"/>
          </rPr>
          <t xml:space="preserve">
Flagship store size: expanding from 2,000 to 4,500 sq ft. Want to get to 250-300 sq ft. over next several years. So assume add 50 flagships per year, comprising 10 new openings and 40 expansions. Assuming 40 expansions per year x 2,500 sq.ft =100,000 sq ft in remodels. Assume 80,000 to be conservative</t>
        </r>
      </text>
    </comment>
    <comment ref="A141" authorId="2">
      <text>
        <r>
          <rPr>
            <b/>
            <sz val="10"/>
            <color indexed="81"/>
            <rFont val="Tahoma"/>
            <family val="2"/>
          </rPr>
          <t>dliu:</t>
        </r>
        <r>
          <rPr>
            <sz val="10"/>
            <color indexed="81"/>
            <rFont val="Tahoma"/>
            <family val="2"/>
          </rPr>
          <t xml:space="preserve">
assuming all opens are flagships</t>
        </r>
      </text>
    </comment>
    <comment ref="AL141" authorId="1">
      <text>
        <r>
          <rPr>
            <b/>
            <sz val="9"/>
            <color indexed="81"/>
            <rFont val="Tahoma"/>
            <family val="2"/>
          </rPr>
          <t>casselau:</t>
        </r>
        <r>
          <rPr>
            <sz val="9"/>
            <color indexed="81"/>
            <rFont val="Tahoma"/>
            <family val="2"/>
          </rPr>
          <t xml:space="preserve">
all new store openings are side-by-side concepts with White Barn Candle</t>
        </r>
      </text>
    </comment>
    <comment ref="W159" authorId="2">
      <text>
        <r>
          <rPr>
            <b/>
            <sz val="8"/>
            <color indexed="81"/>
            <rFont val="Tahoma"/>
            <family val="2"/>
          </rPr>
          <t>dliu:</t>
        </r>
        <r>
          <rPr>
            <sz val="8"/>
            <color indexed="81"/>
            <rFont val="Tahoma"/>
            <family val="2"/>
          </rPr>
          <t xml:space="preserve">
restated in 10-K</t>
        </r>
      </text>
    </comment>
    <comment ref="BE160" authorId="0">
      <text>
        <r>
          <rPr>
            <b/>
            <sz val="8"/>
            <color indexed="81"/>
            <rFont val="Tahoma"/>
            <family val="2"/>
          </rPr>
          <t>mm98285:</t>
        </r>
        <r>
          <rPr>
            <sz val="8"/>
            <color indexed="81"/>
            <rFont val="Tahoma"/>
            <family val="2"/>
          </rPr>
          <t xml:space="preserve">
add $100mm because excludes part of 2Q sales given Apparel div. sale closed mid-way through quarter</t>
        </r>
      </text>
    </comment>
    <comment ref="AZ172" authorId="2">
      <text>
        <r>
          <rPr>
            <b/>
            <sz val="10"/>
            <color indexed="81"/>
            <rFont val="Tahoma"/>
            <family val="2"/>
          </rPr>
          <t>dliu:</t>
        </r>
        <r>
          <rPr>
            <sz val="10"/>
            <color indexed="81"/>
            <rFont val="Tahoma"/>
            <family val="2"/>
          </rPr>
          <t xml:space="preserve">
close enough</t>
        </r>
      </text>
    </comment>
    <comment ref="Z186" authorId="2">
      <text>
        <r>
          <rPr>
            <b/>
            <sz val="10"/>
            <color indexed="81"/>
            <rFont val="Tahoma"/>
            <family val="2"/>
          </rPr>
          <t>dliu:</t>
        </r>
        <r>
          <rPr>
            <sz val="10"/>
            <color indexed="81"/>
            <rFont val="Tahoma"/>
            <family val="2"/>
          </rPr>
          <t xml:space="preserve">
had 149, but co announced doubling of store openings from 50 to 90 at update mtg - to end yr with 190 stores</t>
        </r>
      </text>
    </comment>
    <comment ref="AA186" authorId="2">
      <text>
        <r>
          <rPr>
            <b/>
            <sz val="10"/>
            <color indexed="81"/>
            <rFont val="Tahoma"/>
            <family val="2"/>
          </rPr>
          <t>dliu:</t>
        </r>
        <r>
          <rPr>
            <sz val="10"/>
            <color indexed="81"/>
            <rFont val="Tahoma"/>
            <family val="2"/>
          </rPr>
          <t xml:space="preserve">
now slated to open 50 stores but may open more depending on pfce of stores in 2004</t>
        </r>
      </text>
    </comment>
    <comment ref="Y217" authorId="2">
      <text>
        <r>
          <rPr>
            <b/>
            <sz val="10"/>
            <color indexed="81"/>
            <rFont val="Tahoma"/>
            <family val="2"/>
          </rPr>
          <t>dliu:</t>
        </r>
        <r>
          <rPr>
            <sz val="10"/>
            <color indexed="81"/>
            <rFont val="Tahoma"/>
            <family val="2"/>
          </rPr>
          <t xml:space="preserve">
est from closures since no openings: 193K/44=4,386</t>
        </r>
      </text>
    </comment>
    <comment ref="AZ237" authorId="2">
      <text>
        <r>
          <rPr>
            <b/>
            <sz val="10"/>
            <color indexed="81"/>
            <rFont val="Tahoma"/>
            <family val="2"/>
          </rPr>
          <t>dliu:</t>
        </r>
        <r>
          <rPr>
            <sz val="10"/>
            <color indexed="81"/>
            <rFont val="Tahoma"/>
            <family val="2"/>
          </rPr>
          <t xml:space="preserve">
Fudge in order to make match since sales for 03 are driven off of qtrly productivity</t>
        </r>
      </text>
    </comment>
    <comment ref="AZ246" authorId="2">
      <text>
        <r>
          <rPr>
            <b/>
            <sz val="8"/>
            <color indexed="81"/>
            <rFont val="Tahoma"/>
            <family val="2"/>
          </rPr>
          <t>dliu:</t>
        </r>
        <r>
          <rPr>
            <sz val="8"/>
            <color indexed="81"/>
            <rFont val="Tahoma"/>
            <family val="2"/>
          </rPr>
          <t xml:space="preserve">
close enough</t>
        </r>
      </text>
    </comment>
    <comment ref="L391" authorId="2">
      <text>
        <r>
          <rPr>
            <b/>
            <sz val="8"/>
            <color indexed="81"/>
            <rFont val="Tahoma"/>
            <family val="2"/>
          </rPr>
          <t>dliu:</t>
        </r>
        <r>
          <rPr>
            <sz val="8"/>
            <color indexed="81"/>
            <rFont val="Tahoma"/>
            <family val="2"/>
          </rPr>
          <t xml:space="preserve">
off by 5 stores from consolidated count in L22</t>
        </r>
      </text>
    </comment>
  </commentList>
</comments>
</file>

<file path=xl/comments13.xml><?xml version="1.0" encoding="utf-8"?>
<comments xmlns="http://schemas.openxmlformats.org/spreadsheetml/2006/main">
  <authors>
    <author>solejay</author>
    <author>dliu</author>
    <author>Lehman Brothers</author>
    <author>MB33100</author>
    <author>mm98285</author>
    <author>nicholjs</author>
    <author>ns66486</author>
    <author>kahng</author>
    <author>P Kahng</author>
    <author>casselau</author>
    <author>Cassel, Lauren (Research)</author>
  </authors>
  <commentList>
    <comment ref="L6" authorId="0">
      <text>
        <r>
          <rPr>
            <b/>
            <sz val="8"/>
            <color indexed="81"/>
            <rFont val="Tahoma"/>
            <family val="2"/>
          </rPr>
          <t>solejay:</t>
        </r>
        <r>
          <rPr>
            <sz val="8"/>
            <color indexed="81"/>
            <rFont val="Tahoma"/>
            <family val="2"/>
          </rPr>
          <t xml:space="preserve">
includes CO Bigelow as of 4Q12</t>
        </r>
      </text>
    </comment>
    <comment ref="AB11" authorId="1">
      <text>
        <r>
          <rPr>
            <b/>
            <sz val="8"/>
            <color indexed="81"/>
            <rFont val="Tahoma"/>
            <family val="2"/>
          </rPr>
          <t>dliu:</t>
        </r>
        <r>
          <rPr>
            <sz val="8"/>
            <color indexed="81"/>
            <rFont val="Tahoma"/>
            <family val="2"/>
          </rPr>
          <t xml:space="preserve">
incl 382 Lerner Woman stores which were sold to URGI eff 4/30/89</t>
        </r>
      </text>
    </comment>
    <comment ref="D13" authorId="1">
      <text>
        <r>
          <rPr>
            <b/>
            <sz val="8"/>
            <color indexed="81"/>
            <rFont val="Tahoma"/>
            <family val="2"/>
          </rPr>
          <t>dliu:</t>
        </r>
        <r>
          <rPr>
            <sz val="8"/>
            <color indexed="81"/>
            <rFont val="Tahoma"/>
            <family val="2"/>
          </rPr>
          <t xml:space="preserve">
excl 12 VS Bath stores</t>
        </r>
      </text>
    </comment>
    <comment ref="D14" authorId="1">
      <text>
        <r>
          <rPr>
            <b/>
            <sz val="8"/>
            <color indexed="81"/>
            <rFont val="Tahoma"/>
            <family val="2"/>
          </rPr>
          <t>dliu:</t>
        </r>
        <r>
          <rPr>
            <sz val="8"/>
            <color indexed="81"/>
            <rFont val="Tahoma"/>
            <family val="2"/>
          </rPr>
          <t xml:space="preserve">
excl 38 VS Bath shops</t>
        </r>
      </text>
    </comment>
    <comment ref="B16" authorId="1">
      <text>
        <r>
          <rPr>
            <b/>
            <sz val="8"/>
            <color indexed="81"/>
            <rFont val="Tahoma"/>
            <family val="2"/>
          </rPr>
          <t>dliu:</t>
        </r>
        <r>
          <rPr>
            <sz val="8"/>
            <color indexed="81"/>
            <rFont val="Tahoma"/>
            <family val="2"/>
          </rPr>
          <t xml:space="preserve">
includes VS Bath 3Q89-4Q90, but excluded from 91 as 91 data was taken from 92 10-Qs. Looks like 92 10-Qs restated 91 numbers to exclude VS Bath. Some other numbers were also slightly adjusted, i.e. Limited and Express and Structure (now Express Men's).</t>
        </r>
      </text>
    </comment>
    <comment ref="D17" authorId="1">
      <text>
        <r>
          <rPr>
            <b/>
            <sz val="8"/>
            <color indexed="81"/>
            <rFont val="Tahoma"/>
            <family val="2"/>
          </rPr>
          <t>dliu:</t>
        </r>
        <r>
          <rPr>
            <sz val="8"/>
            <color indexed="81"/>
            <rFont val="Tahoma"/>
            <family val="2"/>
          </rPr>
          <t xml:space="preserve">
excl 46 VS Bath stores</t>
        </r>
      </text>
    </comment>
    <comment ref="D18" authorId="1">
      <text>
        <r>
          <rPr>
            <b/>
            <sz val="8"/>
            <color indexed="81"/>
            <rFont val="Tahoma"/>
            <family val="2"/>
          </rPr>
          <t>dliu:</t>
        </r>
        <r>
          <rPr>
            <sz val="8"/>
            <color indexed="81"/>
            <rFont val="Tahoma"/>
            <family val="2"/>
          </rPr>
          <t xml:space="preserve">
excl 56 VS Bath</t>
        </r>
      </text>
    </comment>
    <comment ref="AN18" authorId="1">
      <text>
        <r>
          <rPr>
            <b/>
            <sz val="8"/>
            <color indexed="81"/>
            <rFont val="Tahoma"/>
            <family val="2"/>
          </rPr>
          <t>dliu:</t>
        </r>
        <r>
          <rPr>
            <sz val="8"/>
            <color indexed="81"/>
            <rFont val="Tahoma"/>
            <family val="2"/>
          </rPr>
          <t xml:space="preserve">
acq. Penhaligon's from Laura Ashley eff 7/2/90 for $11 mm. P is a British co that designs, distributes, wholesales and retails a variety of perfumes, toiletries, grooming access and antique silver gifts.</t>
        </r>
      </text>
    </comment>
    <comment ref="D19" authorId="1">
      <text>
        <r>
          <rPr>
            <b/>
            <sz val="8"/>
            <color indexed="81"/>
            <rFont val="Tahoma"/>
            <family val="2"/>
          </rPr>
          <t>dliu:</t>
        </r>
        <r>
          <rPr>
            <sz val="8"/>
            <color indexed="81"/>
            <rFont val="Tahoma"/>
            <family val="2"/>
          </rPr>
          <t xml:space="preserve">
excl 87 VS Bath stores</t>
        </r>
      </text>
    </comment>
    <comment ref="D20" authorId="1">
      <text>
        <r>
          <rPr>
            <b/>
            <sz val="8"/>
            <color indexed="81"/>
            <rFont val="Tahoma"/>
            <family val="2"/>
          </rPr>
          <t>dliu:</t>
        </r>
        <r>
          <rPr>
            <sz val="8"/>
            <color indexed="81"/>
            <rFont val="Tahoma"/>
            <family val="2"/>
          </rPr>
          <t xml:space="preserve">
excl 109 Bath stores</t>
        </r>
      </text>
    </comment>
    <comment ref="D23" authorId="1">
      <text>
        <r>
          <rPr>
            <b/>
            <sz val="8"/>
            <color indexed="81"/>
            <rFont val="Tahoma"/>
            <family val="2"/>
          </rPr>
          <t>dliu:</t>
        </r>
        <r>
          <rPr>
            <sz val="8"/>
            <color indexed="81"/>
            <rFont val="Tahoma"/>
            <family val="2"/>
          </rPr>
          <t xml:space="preserve">
excludes VS Bath Stores. 461 is as reported in May 92 10-Q, vs. the 454 VS Lingerie and 123 Bath stores in May 91 10-Q
</t>
        </r>
      </text>
    </comment>
    <comment ref="AW53" authorId="2">
      <text>
        <r>
          <rPr>
            <sz val="8"/>
            <color indexed="81"/>
            <rFont val="Tahoma"/>
            <family val="2"/>
          </rPr>
          <t>net of closings I believe- #s from 96 and prior taken from financials, not spreadsheets from co.</t>
        </r>
      </text>
    </comment>
    <comment ref="CQ93" authorId="1">
      <text>
        <r>
          <rPr>
            <b/>
            <sz val="8"/>
            <color indexed="81"/>
            <rFont val="Tahoma"/>
            <family val="2"/>
          </rPr>
          <t>dliu:</t>
        </r>
        <r>
          <rPr>
            <sz val="8"/>
            <color indexed="81"/>
            <rFont val="Tahoma"/>
            <family val="2"/>
          </rPr>
          <t xml:space="preserve">
512 sold</t>
        </r>
      </text>
    </comment>
    <comment ref="J95" authorId="1">
      <text>
        <r>
          <rPr>
            <b/>
            <sz val="8"/>
            <color indexed="81"/>
            <rFont val="Tahoma"/>
            <family val="2"/>
          </rPr>
          <t>dliu:</t>
        </r>
        <r>
          <rPr>
            <sz val="8"/>
            <color indexed="81"/>
            <rFont val="Tahoma"/>
            <family val="2"/>
          </rPr>
          <t xml:space="preserve">
assume 3 closures </t>
        </r>
      </text>
    </comment>
    <comment ref="L95" authorId="1">
      <text>
        <r>
          <rPr>
            <b/>
            <sz val="8"/>
            <color indexed="81"/>
            <rFont val="Tahoma"/>
            <family val="2"/>
          </rPr>
          <t>dliu:</t>
        </r>
        <r>
          <rPr>
            <sz val="8"/>
            <color indexed="81"/>
            <rFont val="Tahoma"/>
            <family val="2"/>
          </rPr>
          <t xml:space="preserve">
assume all 9 are closures</t>
        </r>
      </text>
    </comment>
    <comment ref="BZ96" authorId="1">
      <text>
        <r>
          <rPr>
            <b/>
            <sz val="8"/>
            <color indexed="81"/>
            <rFont val="Tahoma"/>
            <family val="2"/>
          </rPr>
          <t>dliu:</t>
        </r>
        <r>
          <rPr>
            <sz val="8"/>
            <color indexed="81"/>
            <rFont val="Tahoma"/>
            <family val="2"/>
          </rPr>
          <t xml:space="preserve">
end of 1Q03 said 39 closings, but end of 2Q said YTD closings was 35, so reversed 4 closings???</t>
        </r>
      </text>
    </comment>
    <comment ref="CF97" authorId="1">
      <text>
        <r>
          <rPr>
            <b/>
            <sz val="8"/>
            <color indexed="81"/>
            <rFont val="Tahoma"/>
            <family val="2"/>
          </rPr>
          <t>dliu:</t>
        </r>
        <r>
          <rPr>
            <sz val="8"/>
            <color indexed="81"/>
            <rFont val="Tahoma"/>
            <family val="2"/>
          </rPr>
          <t xml:space="preserve">
37 thru 3Q03</t>
        </r>
      </text>
    </comment>
    <comment ref="BG110" authorId="3">
      <text>
        <r>
          <rPr>
            <b/>
            <sz val="8"/>
            <color indexed="81"/>
            <rFont val="Tahoma"/>
            <family val="2"/>
          </rPr>
          <t>MB33100:</t>
        </r>
        <r>
          <rPr>
            <sz val="8"/>
            <color indexed="81"/>
            <rFont val="Tahoma"/>
            <family val="2"/>
          </rPr>
          <t xml:space="preserve">
2/26 don't know the breakdown b/w opened and closed… used as a plug to get final number correct</t>
        </r>
      </text>
    </comment>
    <comment ref="BK110" authorId="4">
      <text>
        <r>
          <rPr>
            <b/>
            <sz val="8"/>
            <color indexed="81"/>
            <rFont val="Tahoma"/>
            <family val="2"/>
          </rPr>
          <t>mm98285:</t>
        </r>
        <r>
          <rPr>
            <sz val="8"/>
            <color indexed="81"/>
            <rFont val="Tahoma"/>
            <family val="2"/>
          </rPr>
          <t xml:space="preserve">
7 C.O. Bigelow stores</t>
        </r>
      </text>
    </comment>
    <comment ref="J116" authorId="4">
      <text>
        <r>
          <rPr>
            <b/>
            <sz val="8"/>
            <color indexed="81"/>
            <rFont val="Tahoma"/>
            <family val="2"/>
          </rPr>
          <t>mm98285:</t>
        </r>
        <r>
          <rPr>
            <sz val="8"/>
            <color indexed="81"/>
            <rFont val="Tahoma"/>
            <family val="2"/>
          </rPr>
          <t xml:space="preserve">
1,001</t>
        </r>
      </text>
    </comment>
    <comment ref="L116" authorId="4">
      <text>
        <r>
          <rPr>
            <b/>
            <sz val="8"/>
            <color indexed="81"/>
            <rFont val="Tahoma"/>
            <family val="2"/>
          </rPr>
          <t>mm98285:</t>
        </r>
        <r>
          <rPr>
            <sz val="8"/>
            <color indexed="81"/>
            <rFont val="Tahoma"/>
            <family val="2"/>
          </rPr>
          <t xml:space="preserve">
1,535 (BBW) + 10 (C.O. Big)
=1,545</t>
        </r>
      </text>
    </comment>
    <comment ref="N116" authorId="4">
      <text>
        <r>
          <rPr>
            <b/>
            <sz val="8"/>
            <color indexed="81"/>
            <rFont val="Tahoma"/>
            <family val="2"/>
          </rPr>
          <t>mm98285:</t>
        </r>
        <r>
          <rPr>
            <sz val="8"/>
            <color indexed="81"/>
            <rFont val="Tahoma"/>
            <family val="2"/>
          </rPr>
          <t xml:space="preserve">
196
210</t>
        </r>
      </text>
    </comment>
    <comment ref="P116" authorId="4">
      <text>
        <r>
          <rPr>
            <b/>
            <sz val="8"/>
            <color indexed="81"/>
            <rFont val="Tahoma"/>
            <family val="2"/>
          </rPr>
          <t>mm98285:</t>
        </r>
        <r>
          <rPr>
            <sz val="8"/>
            <color indexed="81"/>
            <rFont val="Tahoma"/>
            <family val="2"/>
          </rPr>
          <t xml:space="preserve">
67
72</t>
        </r>
      </text>
    </comment>
    <comment ref="R116" authorId="4">
      <text>
        <r>
          <rPr>
            <b/>
            <sz val="8"/>
            <color indexed="81"/>
            <rFont val="Tahoma"/>
            <family val="2"/>
          </rPr>
          <t>mm98285:</t>
        </r>
        <r>
          <rPr>
            <sz val="8"/>
            <color indexed="81"/>
            <rFont val="Tahoma"/>
            <family val="2"/>
          </rPr>
          <t xml:space="preserve">
389
388</t>
        </r>
      </text>
    </comment>
    <comment ref="T116" authorId="4">
      <text>
        <r>
          <rPr>
            <b/>
            <sz val="8"/>
            <color indexed="81"/>
            <rFont val="Tahoma"/>
            <family val="2"/>
          </rPr>
          <t>mm98285:</t>
        </r>
        <r>
          <rPr>
            <sz val="8"/>
            <color indexed="81"/>
            <rFont val="Tahoma"/>
            <family val="2"/>
          </rPr>
          <t xml:space="preserve">
261
258</t>
        </r>
      </text>
    </comment>
    <comment ref="V116" authorId="4">
      <text>
        <r>
          <rPr>
            <b/>
            <sz val="8"/>
            <color indexed="81"/>
            <rFont val="Tahoma"/>
            <family val="2"/>
          </rPr>
          <t>mm98285:</t>
        </r>
        <r>
          <rPr>
            <sz val="8"/>
            <color indexed="81"/>
            <rFont val="Tahoma"/>
            <family val="2"/>
          </rPr>
          <t xml:space="preserve">
2</t>
        </r>
      </text>
    </comment>
    <comment ref="Z116" authorId="4">
      <text>
        <r>
          <rPr>
            <b/>
            <sz val="8"/>
            <color indexed="81"/>
            <rFont val="Tahoma"/>
            <family val="2"/>
          </rPr>
          <t>mm98285:</t>
        </r>
        <r>
          <rPr>
            <sz val="8"/>
            <color indexed="81"/>
            <rFont val="Tahoma"/>
            <family val="2"/>
          </rPr>
          <t xml:space="preserve">
6</t>
        </r>
      </text>
    </comment>
    <comment ref="BG117" authorId="3">
      <text>
        <r>
          <rPr>
            <b/>
            <sz val="8"/>
            <color indexed="81"/>
            <rFont val="Tahoma"/>
            <family val="2"/>
          </rPr>
          <t>MB33100:</t>
        </r>
        <r>
          <rPr>
            <sz val="8"/>
            <color indexed="81"/>
            <rFont val="Tahoma"/>
            <family val="2"/>
          </rPr>
          <t xml:space="preserve">
5/06: guided to 22 openings and 16 closures
2/06 guided to 21 openings and 15 closures</t>
        </r>
      </text>
    </comment>
    <comment ref="BH117" authorId="3">
      <text>
        <r>
          <rPr>
            <b/>
            <sz val="8"/>
            <color indexed="81"/>
            <rFont val="Tahoma"/>
            <family val="2"/>
          </rPr>
          <t>MB33100:</t>
        </r>
        <r>
          <rPr>
            <sz val="8"/>
            <color indexed="81"/>
            <rFont val="Tahoma"/>
            <family val="2"/>
          </rPr>
          <t xml:space="preserve">
5/06: guided to 22 openings and 16 closures
2/06 guided to 21 openings and 15 closures</t>
        </r>
      </text>
    </comment>
    <comment ref="BK117" authorId="3">
      <text>
        <r>
          <rPr>
            <b/>
            <sz val="8"/>
            <color indexed="81"/>
            <rFont val="Tahoma"/>
            <family val="2"/>
          </rPr>
          <t>MB33100:</t>
        </r>
        <r>
          <rPr>
            <sz val="8"/>
            <color indexed="81"/>
            <rFont val="Tahoma"/>
            <family val="2"/>
          </rPr>
          <t xml:space="preserve">
5/06: guided to 22 openings (incl 4 CO Big) and 32 closures
2/06 guided to +21 stores and 33 closures</t>
        </r>
      </text>
    </comment>
    <comment ref="BO117" authorId="3">
      <text>
        <r>
          <rPr>
            <b/>
            <sz val="8"/>
            <color indexed="81"/>
            <rFont val="Tahoma"/>
            <family val="2"/>
          </rPr>
          <t>MB33100:</t>
        </r>
        <r>
          <rPr>
            <sz val="8"/>
            <color indexed="81"/>
            <rFont val="Tahoma"/>
            <family val="2"/>
          </rPr>
          <t xml:space="preserve">
2/06 guided to 4 new bigelows and no new bendels</t>
        </r>
      </text>
    </comment>
    <comment ref="BU117" authorId="3">
      <text>
        <r>
          <rPr>
            <b/>
            <sz val="8"/>
            <color indexed="81"/>
            <rFont val="Tahoma"/>
            <family val="2"/>
          </rPr>
          <t>MB33100:</t>
        </r>
        <r>
          <rPr>
            <sz val="8"/>
            <color indexed="81"/>
            <rFont val="Tahoma"/>
            <family val="2"/>
          </rPr>
          <t xml:space="preserve">
5/06: guided to 43 closures and 91 conversions
guided to 42 closures, 0 openings and 28 conversions </t>
        </r>
      </text>
    </comment>
    <comment ref="BZ117" authorId="3">
      <text>
        <r>
          <rPr>
            <b/>
            <sz val="8"/>
            <color indexed="81"/>
            <rFont val="Tahoma"/>
            <family val="2"/>
          </rPr>
          <t>MB33100:</t>
        </r>
        <r>
          <rPr>
            <sz val="8"/>
            <color indexed="81"/>
            <rFont val="Tahoma"/>
            <family val="2"/>
          </rPr>
          <t xml:space="preserve">
5/06: guided to 34 closures and 3 conversions
2/06 guided to 35 closures and 2 conversions</t>
        </r>
      </text>
    </comment>
    <comment ref="CD117" authorId="3">
      <text>
        <r>
          <rPr>
            <b/>
            <sz val="8"/>
            <color indexed="81"/>
            <rFont val="Tahoma"/>
            <family val="2"/>
          </rPr>
          <t>MB33100:</t>
        </r>
        <r>
          <rPr>
            <sz val="8"/>
            <color indexed="81"/>
            <rFont val="Tahoma"/>
            <family val="2"/>
          </rPr>
          <t xml:space="preserve">
5/06: guided to 2 openings, 11 closures and 93 conversions
2/06 guided to 2 new stores, 11 closures and 30 conversions</t>
        </r>
      </text>
    </comment>
    <comment ref="CI117" authorId="3">
      <text>
        <r>
          <rPr>
            <b/>
            <sz val="8"/>
            <color indexed="81"/>
            <rFont val="Tahoma"/>
            <family val="2"/>
          </rPr>
          <t>MB33100:</t>
        </r>
        <r>
          <rPr>
            <sz val="8"/>
            <color indexed="81"/>
            <rFont val="Tahoma"/>
            <family val="2"/>
          </rPr>
          <t xml:space="preserve">
5/06: guided to 29 closures
2/06 guided to 0 openings and 26 closings</t>
        </r>
      </text>
    </comment>
    <comment ref="H121" authorId="4">
      <text>
        <r>
          <rPr>
            <b/>
            <sz val="8"/>
            <color indexed="81"/>
            <rFont val="Tahoma"/>
            <family val="2"/>
          </rPr>
          <t>mm98285:</t>
        </r>
        <r>
          <rPr>
            <sz val="8"/>
            <color indexed="81"/>
            <rFont val="Tahoma"/>
            <family val="2"/>
          </rPr>
          <t xml:space="preserve">
restated from La Senza concept count methodolgy to Limited Brands location count method</t>
        </r>
      </text>
    </comment>
    <comment ref="H122" authorId="4">
      <text>
        <r>
          <rPr>
            <b/>
            <sz val="8"/>
            <color indexed="81"/>
            <rFont val="Tahoma"/>
            <family val="2"/>
          </rPr>
          <t>mm98285:</t>
        </r>
        <r>
          <rPr>
            <sz val="8"/>
            <color indexed="81"/>
            <rFont val="Tahoma"/>
            <family val="2"/>
          </rPr>
          <t xml:space="preserve">
expect 366</t>
        </r>
      </text>
    </comment>
    <comment ref="J122" authorId="4">
      <text>
        <r>
          <rPr>
            <b/>
            <sz val="8"/>
            <color indexed="81"/>
            <rFont val="Tahoma"/>
            <family val="2"/>
          </rPr>
          <t>mm98285:</t>
        </r>
        <r>
          <rPr>
            <sz val="8"/>
            <color indexed="81"/>
            <rFont val="Tahoma"/>
            <family val="2"/>
          </rPr>
          <t xml:space="preserve">
1016
expect 8-10% sq. ft growth</t>
        </r>
      </text>
    </comment>
    <comment ref="L122" authorId="4">
      <text>
        <r>
          <rPr>
            <b/>
            <sz val="8"/>
            <color indexed="81"/>
            <rFont val="Tahoma"/>
            <family val="2"/>
          </rPr>
          <t>mm98285:</t>
        </r>
        <r>
          <rPr>
            <sz val="8"/>
            <color indexed="81"/>
            <rFont val="Tahoma"/>
            <family val="2"/>
          </rPr>
          <t xml:space="preserve">
1577+9=1586
expect to open 30-50 stores per year</t>
        </r>
      </text>
    </comment>
    <comment ref="N122" authorId="4">
      <text>
        <r>
          <rPr>
            <b/>
            <sz val="8"/>
            <color indexed="81"/>
            <rFont val="Tahoma"/>
            <family val="2"/>
          </rPr>
          <t>mm98285:</t>
        </r>
        <r>
          <rPr>
            <sz val="8"/>
            <color indexed="81"/>
            <rFont val="Tahoma"/>
            <family val="2"/>
          </rPr>
          <t xml:space="preserve">
75</t>
        </r>
      </text>
    </comment>
    <comment ref="P122" authorId="4">
      <text>
        <r>
          <rPr>
            <b/>
            <sz val="8"/>
            <color indexed="81"/>
            <rFont val="Tahoma"/>
            <family val="2"/>
          </rPr>
          <t>mm98285:</t>
        </r>
        <r>
          <rPr>
            <sz val="8"/>
            <color indexed="81"/>
            <rFont val="Tahoma"/>
            <family val="2"/>
          </rPr>
          <t xml:space="preserve">
39</t>
        </r>
      </text>
    </comment>
    <comment ref="R122" authorId="4">
      <text>
        <r>
          <rPr>
            <b/>
            <sz val="8"/>
            <color indexed="81"/>
            <rFont val="Tahoma"/>
            <family val="2"/>
          </rPr>
          <t>mm98285:</t>
        </r>
        <r>
          <rPr>
            <sz val="8"/>
            <color indexed="81"/>
            <rFont val="Tahoma"/>
            <family val="2"/>
          </rPr>
          <t xml:space="preserve">
469</t>
        </r>
      </text>
    </comment>
    <comment ref="T122" authorId="4">
      <text>
        <r>
          <rPr>
            <b/>
            <sz val="8"/>
            <color indexed="81"/>
            <rFont val="Tahoma"/>
            <family val="2"/>
          </rPr>
          <t>mm98285:</t>
        </r>
        <r>
          <rPr>
            <sz val="8"/>
            <color indexed="81"/>
            <rFont val="Tahoma"/>
            <family val="2"/>
          </rPr>
          <t xml:space="preserve">
233</t>
        </r>
      </text>
    </comment>
    <comment ref="V122" authorId="4">
      <text>
        <r>
          <rPr>
            <b/>
            <sz val="8"/>
            <color indexed="81"/>
            <rFont val="Tahoma"/>
            <family val="2"/>
          </rPr>
          <t>mm98285:</t>
        </r>
        <r>
          <rPr>
            <sz val="8"/>
            <color indexed="81"/>
            <rFont val="Tahoma"/>
            <family val="2"/>
          </rPr>
          <t xml:space="preserve">
2</t>
        </r>
      </text>
    </comment>
    <comment ref="Z122" authorId="4">
      <text>
        <r>
          <rPr>
            <b/>
            <sz val="8"/>
            <color indexed="81"/>
            <rFont val="Tahoma"/>
            <family val="2"/>
          </rPr>
          <t>mm98285:</t>
        </r>
        <r>
          <rPr>
            <sz val="8"/>
            <color indexed="81"/>
            <rFont val="Tahoma"/>
            <family val="2"/>
          </rPr>
          <t xml:space="preserve">
6</t>
        </r>
      </text>
    </comment>
    <comment ref="AQ122" authorId="4">
      <text>
        <r>
          <rPr>
            <b/>
            <sz val="8"/>
            <color indexed="81"/>
            <rFont val="Tahoma"/>
            <family val="2"/>
          </rPr>
          <t>mm98285:</t>
        </r>
        <r>
          <rPr>
            <sz val="8"/>
            <color indexed="81"/>
            <rFont val="Tahoma"/>
            <family val="2"/>
          </rPr>
          <t xml:space="preserve">
2/07: 3780</t>
        </r>
      </text>
    </comment>
    <comment ref="BC123" authorId="4">
      <text>
        <r>
          <rPr>
            <b/>
            <sz val="8"/>
            <color indexed="81"/>
            <rFont val="Tahoma"/>
            <family val="2"/>
          </rPr>
          <t>mm98285:</t>
        </r>
        <r>
          <rPr>
            <sz val="8"/>
            <color indexed="81"/>
            <rFont val="Tahoma"/>
            <family val="2"/>
          </rPr>
          <t xml:space="preserve">
2/07: +32</t>
        </r>
      </text>
    </comment>
    <comment ref="BD123" authorId="4">
      <text>
        <r>
          <rPr>
            <b/>
            <sz val="8"/>
            <color indexed="81"/>
            <rFont val="Tahoma"/>
            <family val="2"/>
          </rPr>
          <t>mm98285:</t>
        </r>
        <r>
          <rPr>
            <sz val="8"/>
            <color indexed="81"/>
            <rFont val="Tahoma"/>
            <family val="2"/>
          </rPr>
          <t xml:space="preserve">
2/07: (2)</t>
        </r>
      </text>
    </comment>
    <comment ref="BG123" authorId="4">
      <text>
        <r>
          <rPr>
            <b/>
            <sz val="8"/>
            <color indexed="81"/>
            <rFont val="Tahoma"/>
            <family val="2"/>
          </rPr>
          <t>mm98285:</t>
        </r>
        <r>
          <rPr>
            <sz val="8"/>
            <color indexed="81"/>
            <rFont val="Tahoma"/>
            <family val="2"/>
          </rPr>
          <t xml:space="preserve">
2/07: 35</t>
        </r>
      </text>
    </comment>
    <comment ref="BH123" authorId="4">
      <text>
        <r>
          <rPr>
            <b/>
            <sz val="8"/>
            <color indexed="81"/>
            <rFont val="Tahoma"/>
            <family val="2"/>
          </rPr>
          <t>mm98285:</t>
        </r>
        <r>
          <rPr>
            <sz val="8"/>
            <color indexed="81"/>
            <rFont val="Tahoma"/>
            <family val="2"/>
          </rPr>
          <t xml:space="preserve">
2/07: (19)</t>
        </r>
      </text>
    </comment>
    <comment ref="BK123" authorId="4">
      <text>
        <r>
          <rPr>
            <b/>
            <sz val="8"/>
            <color indexed="81"/>
            <rFont val="Tahoma"/>
            <family val="2"/>
          </rPr>
          <t>mm98285:</t>
        </r>
        <r>
          <rPr>
            <sz val="8"/>
            <color indexed="81"/>
            <rFont val="Tahoma"/>
            <family val="2"/>
          </rPr>
          <t xml:space="preserve">
2/07: +55</t>
        </r>
      </text>
    </comment>
    <comment ref="BL123" authorId="4">
      <text>
        <r>
          <rPr>
            <b/>
            <sz val="8"/>
            <color indexed="81"/>
            <rFont val="Tahoma"/>
            <family val="2"/>
          </rPr>
          <t>mm98285:</t>
        </r>
        <r>
          <rPr>
            <sz val="8"/>
            <color indexed="81"/>
            <rFont val="Tahoma"/>
            <family val="2"/>
          </rPr>
          <t xml:space="preserve">
2/07: (25)</t>
        </r>
      </text>
    </comment>
    <comment ref="BU123" authorId="4">
      <text>
        <r>
          <rPr>
            <b/>
            <sz val="8"/>
            <color indexed="81"/>
            <rFont val="Tahoma"/>
            <family val="2"/>
          </rPr>
          <t>mm98285:</t>
        </r>
        <r>
          <rPr>
            <sz val="8"/>
            <color indexed="81"/>
            <rFont val="Tahoma"/>
            <family val="2"/>
          </rPr>
          <t xml:space="preserve">
2/07: (33)</t>
        </r>
      </text>
    </comment>
    <comment ref="BV123" authorId="4">
      <text>
        <r>
          <rPr>
            <b/>
            <sz val="8"/>
            <color indexed="81"/>
            <rFont val="Tahoma"/>
            <family val="2"/>
          </rPr>
          <t>mm98285:</t>
        </r>
        <r>
          <rPr>
            <sz val="8"/>
            <color indexed="81"/>
            <rFont val="Tahoma"/>
            <family val="2"/>
          </rPr>
          <t xml:space="preserve">
2/07: (11)</t>
        </r>
      </text>
    </comment>
    <comment ref="BZ123" authorId="4">
      <text>
        <r>
          <rPr>
            <b/>
            <sz val="8"/>
            <color indexed="81"/>
            <rFont val="Tahoma"/>
            <family val="2"/>
          </rPr>
          <t>mm98285:</t>
        </r>
        <r>
          <rPr>
            <sz val="8"/>
            <color indexed="81"/>
            <rFont val="Tahoma"/>
            <family val="2"/>
          </rPr>
          <t xml:space="preserve">
2/07: (31)</t>
        </r>
      </text>
    </comment>
    <comment ref="CD123" authorId="4">
      <text>
        <r>
          <rPr>
            <b/>
            <sz val="8"/>
            <color indexed="81"/>
            <rFont val="Tahoma"/>
            <family val="2"/>
          </rPr>
          <t>mm98285:</t>
        </r>
        <r>
          <rPr>
            <sz val="8"/>
            <color indexed="81"/>
            <rFont val="Tahoma"/>
            <family val="2"/>
          </rPr>
          <t xml:space="preserve">
2/07: +3</t>
        </r>
      </text>
    </comment>
    <comment ref="CE123" authorId="4">
      <text>
        <r>
          <rPr>
            <b/>
            <sz val="8"/>
            <color indexed="81"/>
            <rFont val="Tahoma"/>
            <family val="2"/>
          </rPr>
          <t>mm98285:</t>
        </r>
        <r>
          <rPr>
            <sz val="8"/>
            <color indexed="81"/>
            <rFont val="Tahoma"/>
            <family val="2"/>
          </rPr>
          <t xml:space="preserve">
2/07: (10)</t>
        </r>
      </text>
    </comment>
    <comment ref="CF123" authorId="4">
      <text>
        <r>
          <rPr>
            <b/>
            <sz val="8"/>
            <color indexed="81"/>
            <rFont val="Tahoma"/>
            <family val="2"/>
          </rPr>
          <t>mm98285:</t>
        </r>
        <r>
          <rPr>
            <sz val="8"/>
            <color indexed="81"/>
            <rFont val="Tahoma"/>
            <family val="2"/>
          </rPr>
          <t xml:space="preserve">
2/07: +11</t>
        </r>
      </text>
    </comment>
    <comment ref="CJ123" authorId="4">
      <text>
        <r>
          <rPr>
            <b/>
            <sz val="8"/>
            <color indexed="81"/>
            <rFont val="Tahoma"/>
            <family val="2"/>
          </rPr>
          <t>mm98285:</t>
        </r>
        <r>
          <rPr>
            <sz val="8"/>
            <color indexed="81"/>
            <rFont val="Tahoma"/>
            <family val="2"/>
          </rPr>
          <t xml:space="preserve">
2/07: (23)</t>
        </r>
      </text>
    </comment>
    <comment ref="L127" authorId="4">
      <text>
        <r>
          <rPr>
            <b/>
            <sz val="8"/>
            <color indexed="81"/>
            <rFont val="Tahoma"/>
            <family val="2"/>
          </rPr>
          <t>mm98285:</t>
        </r>
        <r>
          <rPr>
            <sz val="8"/>
            <color indexed="81"/>
            <rFont val="Tahoma"/>
            <family val="2"/>
          </rPr>
          <t xml:space="preserve">
includes 5 in Canada</t>
        </r>
      </text>
    </comment>
    <comment ref="H128" authorId="4">
      <text>
        <r>
          <rPr>
            <b/>
            <sz val="8"/>
            <color indexed="81"/>
            <rFont val="Tahoma"/>
            <family val="2"/>
          </rPr>
          <t>mm98285:</t>
        </r>
        <r>
          <rPr>
            <sz val="8"/>
            <color indexed="81"/>
            <rFont val="Tahoma"/>
            <family val="2"/>
          </rPr>
          <t xml:space="preserve">
2/08: 329</t>
        </r>
      </text>
    </comment>
    <comment ref="J128" authorId="4">
      <text>
        <r>
          <rPr>
            <b/>
            <sz val="8"/>
            <color indexed="81"/>
            <rFont val="Tahoma"/>
            <family val="2"/>
          </rPr>
          <t>mm98285:</t>
        </r>
        <r>
          <rPr>
            <sz val="8"/>
            <color indexed="81"/>
            <rFont val="Tahoma"/>
            <family val="2"/>
          </rPr>
          <t xml:space="preserve">
5/09: 1034 VS, 9 Pink
2/08: 1056</t>
        </r>
      </text>
    </comment>
    <comment ref="L128" authorId="4">
      <text>
        <r>
          <rPr>
            <b/>
            <sz val="8"/>
            <color indexed="81"/>
            <rFont val="Tahoma"/>
            <family val="2"/>
          </rPr>
          <t>mm98285:</t>
        </r>
        <r>
          <rPr>
            <sz val="8"/>
            <color indexed="81"/>
            <rFont val="Tahoma"/>
            <family val="2"/>
          </rPr>
          <t xml:space="preserve">
2/09: includes 6 Canada
5/08: 1637+6 canada+ 9 CO
2/08: 1660 bbw + 9 C.O. Big = 1669 total</t>
        </r>
      </text>
    </comment>
    <comment ref="V128" authorId="4">
      <text>
        <r>
          <rPr>
            <b/>
            <sz val="8"/>
            <color indexed="81"/>
            <rFont val="Tahoma"/>
            <family val="2"/>
          </rPr>
          <t>mm98285:</t>
        </r>
        <r>
          <rPr>
            <sz val="8"/>
            <color indexed="81"/>
            <rFont val="Tahoma"/>
            <family val="2"/>
          </rPr>
          <t xml:space="preserve">
2/08: 5</t>
        </r>
      </text>
    </comment>
    <comment ref="AQ128" authorId="4">
      <text>
        <r>
          <rPr>
            <b/>
            <sz val="8"/>
            <color indexed="81"/>
            <rFont val="Tahoma"/>
            <family val="2"/>
          </rPr>
          <t>mm98285:</t>
        </r>
        <r>
          <rPr>
            <sz val="8"/>
            <color indexed="81"/>
            <rFont val="Tahoma"/>
            <family val="2"/>
          </rPr>
          <t xml:space="preserve">
8/08: 3022
2/08: 3059</t>
        </r>
      </text>
    </comment>
    <comment ref="BC129" authorId="4">
      <text>
        <r>
          <rPr>
            <b/>
            <sz val="8"/>
            <color indexed="81"/>
            <rFont val="Tahoma"/>
            <family val="2"/>
          </rPr>
          <t>mm98285:</t>
        </r>
        <r>
          <rPr>
            <sz val="8"/>
            <color indexed="81"/>
            <rFont val="Tahoma"/>
            <family val="2"/>
          </rPr>
          <t xml:space="preserve">
5/08: 19
2/08; 20</t>
        </r>
      </text>
    </comment>
    <comment ref="BD129" authorId="4">
      <text>
        <r>
          <rPr>
            <b/>
            <sz val="8"/>
            <color indexed="81"/>
            <rFont val="Tahoma"/>
            <family val="2"/>
          </rPr>
          <t>mm98285:</t>
        </r>
        <r>
          <rPr>
            <sz val="8"/>
            <color indexed="81"/>
            <rFont val="Tahoma"/>
            <family val="2"/>
          </rPr>
          <t xml:space="preserve">
5/08: -5
2/08: -3</t>
        </r>
      </text>
    </comment>
    <comment ref="BG129" authorId="4">
      <text>
        <r>
          <rPr>
            <b/>
            <sz val="8"/>
            <color indexed="81"/>
            <rFont val="Tahoma"/>
            <family val="2"/>
          </rPr>
          <t>mm98285:</t>
        </r>
        <r>
          <rPr>
            <sz val="8"/>
            <color indexed="81"/>
            <rFont val="Tahoma"/>
            <family val="2"/>
          </rPr>
          <t xml:space="preserve">
5/08: 43
2/08: 51</t>
        </r>
      </text>
    </comment>
    <comment ref="BH129" authorId="4">
      <text>
        <r>
          <rPr>
            <b/>
            <sz val="8"/>
            <color indexed="81"/>
            <rFont val="Tahoma"/>
            <family val="2"/>
          </rPr>
          <t>mm98285:</t>
        </r>
        <r>
          <rPr>
            <sz val="8"/>
            <color indexed="81"/>
            <rFont val="Tahoma"/>
            <family val="2"/>
          </rPr>
          <t xml:space="preserve">
5/08: -17
2/08: (15)</t>
        </r>
      </text>
    </comment>
    <comment ref="BK129" authorId="4">
      <text>
        <r>
          <rPr>
            <b/>
            <sz val="8"/>
            <color indexed="81"/>
            <rFont val="Tahoma"/>
            <family val="2"/>
          </rPr>
          <t>mm98285:</t>
        </r>
        <r>
          <rPr>
            <sz val="8"/>
            <color indexed="81"/>
            <rFont val="Tahoma"/>
            <family val="2"/>
          </rPr>
          <t xml:space="preserve">
5/08: 84 + 6 Canada
2/08: +97</t>
        </r>
      </text>
    </comment>
    <comment ref="BL129" authorId="4">
      <text>
        <r>
          <rPr>
            <b/>
            <sz val="8"/>
            <color indexed="81"/>
            <rFont val="Tahoma"/>
            <family val="2"/>
          </rPr>
          <t>mm98285:</t>
        </r>
        <r>
          <rPr>
            <sz val="8"/>
            <color indexed="81"/>
            <rFont val="Tahoma"/>
            <family val="2"/>
          </rPr>
          <t xml:space="preserve">
5/08: -30
2/08: (20)</t>
        </r>
      </text>
    </comment>
    <comment ref="BO129" authorId="4">
      <text>
        <r>
          <rPr>
            <b/>
            <sz val="8"/>
            <color indexed="81"/>
            <rFont val="Tahoma"/>
            <family val="2"/>
          </rPr>
          <t>mm98285:</t>
        </r>
        <r>
          <rPr>
            <sz val="8"/>
            <color indexed="81"/>
            <rFont val="Tahoma"/>
            <family val="2"/>
          </rPr>
          <t xml:space="preserve">
5/08: 3
2/08: 3</t>
        </r>
      </text>
    </comment>
    <comment ref="L131" authorId="4">
      <text>
        <r>
          <rPr>
            <b/>
            <sz val="8"/>
            <color indexed="81"/>
            <rFont val="Tahoma"/>
            <family val="2"/>
          </rPr>
          <t>mm98285:</t>
        </r>
        <r>
          <rPr>
            <sz val="8"/>
            <color indexed="81"/>
            <rFont val="Tahoma"/>
            <family val="2"/>
          </rPr>
          <t xml:space="preserve">
1,638 domestic
7 Canada</t>
        </r>
      </text>
    </comment>
    <comment ref="BK131" authorId="4">
      <text>
        <r>
          <rPr>
            <b/>
            <sz val="8"/>
            <color indexed="81"/>
            <rFont val="Tahoma"/>
            <family val="2"/>
          </rPr>
          <t>mm98285:</t>
        </r>
        <r>
          <rPr>
            <sz val="8"/>
            <color indexed="81"/>
            <rFont val="Tahoma"/>
            <family val="2"/>
          </rPr>
          <t xml:space="preserve">
includes 1 Canada</t>
        </r>
      </text>
    </comment>
    <comment ref="L132" authorId="4">
      <text>
        <r>
          <rPr>
            <b/>
            <sz val="8"/>
            <color indexed="81"/>
            <rFont val="Tahoma"/>
            <family val="2"/>
          </rPr>
          <t>mm98285:</t>
        </r>
        <r>
          <rPr>
            <sz val="8"/>
            <color indexed="81"/>
            <rFont val="Tahoma"/>
            <family val="2"/>
          </rPr>
          <t xml:space="preserve">
includes 14 BBW Canada</t>
        </r>
      </text>
    </comment>
    <comment ref="BC132" authorId="4">
      <text>
        <r>
          <rPr>
            <b/>
            <sz val="8"/>
            <color indexed="81"/>
            <rFont val="Tahoma"/>
            <family val="2"/>
          </rPr>
          <t>mm98285:</t>
        </r>
        <r>
          <rPr>
            <sz val="8"/>
            <color indexed="81"/>
            <rFont val="Tahoma"/>
            <family val="2"/>
          </rPr>
          <t xml:space="preserve">
May 0</t>
        </r>
      </text>
    </comment>
    <comment ref="BD132" authorId="4">
      <text>
        <r>
          <rPr>
            <b/>
            <sz val="8"/>
            <color indexed="81"/>
            <rFont val="Tahoma"/>
            <family val="2"/>
          </rPr>
          <t>mm98285:</t>
        </r>
        <r>
          <rPr>
            <sz val="8"/>
            <color indexed="81"/>
            <rFont val="Tahoma"/>
            <family val="2"/>
          </rPr>
          <t xml:space="preserve">
May -1</t>
        </r>
      </text>
    </comment>
    <comment ref="BG132" authorId="4">
      <text>
        <r>
          <rPr>
            <b/>
            <sz val="8"/>
            <color indexed="81"/>
            <rFont val="Tahoma"/>
            <family val="2"/>
          </rPr>
          <t>mm98285:</t>
        </r>
        <r>
          <rPr>
            <sz val="8"/>
            <color indexed="81"/>
            <rFont val="Tahoma"/>
            <family val="2"/>
          </rPr>
          <t xml:space="preserve">
May 1</t>
        </r>
      </text>
    </comment>
    <comment ref="BH132" authorId="4">
      <text>
        <r>
          <rPr>
            <b/>
            <sz val="8"/>
            <color indexed="81"/>
            <rFont val="Tahoma"/>
            <family val="2"/>
          </rPr>
          <t>mm98285:</t>
        </r>
        <r>
          <rPr>
            <sz val="8"/>
            <color indexed="81"/>
            <rFont val="Tahoma"/>
            <family val="2"/>
          </rPr>
          <t xml:space="preserve">
May 0</t>
        </r>
      </text>
    </comment>
    <comment ref="BK132" authorId="4">
      <text>
        <r>
          <rPr>
            <b/>
            <sz val="8"/>
            <color indexed="81"/>
            <rFont val="Tahoma"/>
            <family val="2"/>
          </rPr>
          <t>mm98285:</t>
        </r>
        <r>
          <rPr>
            <sz val="8"/>
            <color indexed="81"/>
            <rFont val="Tahoma"/>
            <family val="2"/>
          </rPr>
          <t xml:space="preserve">
May 1 Canada</t>
        </r>
      </text>
    </comment>
    <comment ref="BL132" authorId="4">
      <text>
        <r>
          <rPr>
            <b/>
            <sz val="8"/>
            <color indexed="81"/>
            <rFont val="Tahoma"/>
            <family val="2"/>
          </rPr>
          <t>mm98285:</t>
        </r>
        <r>
          <rPr>
            <sz val="8"/>
            <color indexed="81"/>
            <rFont val="Tahoma"/>
            <family val="2"/>
          </rPr>
          <t xml:space="preserve">
May 0</t>
        </r>
      </text>
    </comment>
    <comment ref="BO132" authorId="4">
      <text>
        <r>
          <rPr>
            <b/>
            <sz val="8"/>
            <color indexed="81"/>
            <rFont val="Tahoma"/>
            <family val="2"/>
          </rPr>
          <t>mm98285:</t>
        </r>
        <r>
          <rPr>
            <sz val="8"/>
            <color indexed="81"/>
            <rFont val="Tahoma"/>
            <family val="2"/>
          </rPr>
          <t xml:space="preserve">
May 0</t>
        </r>
      </text>
    </comment>
    <comment ref="H133" authorId="4">
      <text>
        <r>
          <rPr>
            <b/>
            <sz val="8"/>
            <color indexed="81"/>
            <rFont val="Tahoma"/>
            <family val="2"/>
          </rPr>
          <t>mm98285:</t>
        </r>
        <r>
          <rPr>
            <sz val="8"/>
            <color indexed="81"/>
            <rFont val="Tahoma"/>
            <family val="2"/>
          </rPr>
          <t xml:space="preserve">
includes 42 LS Girl stores which planned to be closed or converted</t>
        </r>
      </text>
    </comment>
    <comment ref="J133" authorId="4">
      <text>
        <r>
          <rPr>
            <b/>
            <sz val="8"/>
            <color indexed="81"/>
            <rFont val="Tahoma"/>
            <family val="2"/>
          </rPr>
          <t>mm98285:</t>
        </r>
        <r>
          <rPr>
            <sz val="8"/>
            <color indexed="81"/>
            <rFont val="Tahoma"/>
            <family val="2"/>
          </rPr>
          <t xml:space="preserve">
includes 3 VS Canada</t>
        </r>
      </text>
    </comment>
    <comment ref="L133" authorId="4">
      <text>
        <r>
          <rPr>
            <b/>
            <sz val="8"/>
            <color indexed="81"/>
            <rFont val="Tahoma"/>
            <family val="2"/>
          </rPr>
          <t>mm98285:</t>
        </r>
        <r>
          <rPr>
            <sz val="8"/>
            <color indexed="81"/>
            <rFont val="Tahoma"/>
            <family val="2"/>
          </rPr>
          <t xml:space="preserve">
includes 27 BBW Canada locations</t>
        </r>
      </text>
    </comment>
    <comment ref="AQ133" authorId="5">
      <text>
        <r>
          <rPr>
            <b/>
            <sz val="8"/>
            <color indexed="81"/>
            <rFont val="Tahoma"/>
            <family val="2"/>
          </rPr>
          <t>nicholjs:</t>
        </r>
        <r>
          <rPr>
            <sz val="8"/>
            <color indexed="81"/>
            <rFont val="Tahoma"/>
            <family val="2"/>
          </rPr>
          <t xml:space="preserve">
3025</t>
        </r>
      </text>
    </comment>
    <comment ref="BG133" authorId="4">
      <text>
        <r>
          <rPr>
            <b/>
            <sz val="8"/>
            <color indexed="81"/>
            <rFont val="Tahoma"/>
            <family val="2"/>
          </rPr>
          <t>mm98285:</t>
        </r>
        <r>
          <rPr>
            <sz val="8"/>
            <color indexed="81"/>
            <rFont val="Tahoma"/>
            <family val="2"/>
          </rPr>
          <t xml:space="preserve">
includes 3 Pink Canada locations</t>
        </r>
      </text>
    </comment>
    <comment ref="BK133" authorId="4">
      <text>
        <r>
          <rPr>
            <b/>
            <sz val="8"/>
            <color indexed="81"/>
            <rFont val="Tahoma"/>
            <family val="2"/>
          </rPr>
          <t>mm98285:</t>
        </r>
        <r>
          <rPr>
            <sz val="8"/>
            <color indexed="81"/>
            <rFont val="Tahoma"/>
            <family val="2"/>
          </rPr>
          <t xml:space="preserve">
includes 13 BBW Canada</t>
        </r>
      </text>
    </comment>
    <comment ref="J134" authorId="4">
      <text>
        <r>
          <rPr>
            <b/>
            <sz val="8"/>
            <color indexed="81"/>
            <rFont val="Tahoma"/>
            <family val="2"/>
          </rPr>
          <t>mm98285:</t>
        </r>
        <r>
          <rPr>
            <sz val="8"/>
            <color indexed="81"/>
            <rFont val="Tahoma"/>
            <family val="2"/>
          </rPr>
          <t xml:space="preserve">
1027 VS U.S., 13 Pink US, 4 Pink Canada</t>
        </r>
      </text>
    </comment>
    <comment ref="L134" authorId="4">
      <text>
        <r>
          <rPr>
            <b/>
            <sz val="8"/>
            <color indexed="81"/>
            <rFont val="Tahoma"/>
            <family val="2"/>
          </rPr>
          <t>mm98285:</t>
        </r>
        <r>
          <rPr>
            <sz val="8"/>
            <color indexed="81"/>
            <rFont val="Tahoma"/>
            <family val="2"/>
          </rPr>
          <t xml:space="preserve">
1,627 BBW U.S.
31 BBW Canada</t>
        </r>
      </text>
    </comment>
    <comment ref="BD134" authorId="4">
      <text>
        <r>
          <rPr>
            <b/>
            <sz val="8"/>
            <color indexed="81"/>
            <rFont val="Tahoma"/>
            <family val="2"/>
          </rPr>
          <t>mm98285:</t>
        </r>
        <r>
          <rPr>
            <sz val="8"/>
            <color indexed="81"/>
            <rFont val="Tahoma"/>
            <family val="2"/>
          </rPr>
          <t xml:space="preserve">
42 closures of La Senza girl</t>
        </r>
      </text>
    </comment>
    <comment ref="BC135" authorId="4">
      <text>
        <r>
          <rPr>
            <b/>
            <sz val="8"/>
            <color indexed="81"/>
            <rFont val="Tahoma"/>
            <family val="2"/>
          </rPr>
          <t>mm98285:</t>
        </r>
        <r>
          <rPr>
            <sz val="8"/>
            <color indexed="81"/>
            <rFont val="Tahoma"/>
            <family val="2"/>
          </rPr>
          <t xml:space="preserve">
8/09: 3
5/09: 4</t>
        </r>
      </text>
    </comment>
    <comment ref="BD135" authorId="4">
      <text>
        <r>
          <rPr>
            <b/>
            <sz val="8"/>
            <color indexed="81"/>
            <rFont val="Tahoma"/>
            <family val="2"/>
          </rPr>
          <t>mm98285:</t>
        </r>
        <r>
          <rPr>
            <sz val="8"/>
            <color indexed="81"/>
            <rFont val="Tahoma"/>
            <family val="2"/>
          </rPr>
          <t xml:space="preserve">
8/09 &amp; 5/09: -30</t>
        </r>
      </text>
    </comment>
    <comment ref="BG135" authorId="4">
      <text>
        <r>
          <rPr>
            <b/>
            <sz val="8"/>
            <color indexed="81"/>
            <rFont val="Tahoma"/>
            <family val="2"/>
          </rPr>
          <t>mm98285:</t>
        </r>
        <r>
          <rPr>
            <sz val="8"/>
            <color indexed="81"/>
            <rFont val="Tahoma"/>
            <family val="2"/>
          </rPr>
          <t xml:space="preserve">
8/09: 17 (9 VS. 4 Pink US, 4 Pink Canada)
5/09: 9 VS, 4 Pink domestic, 4 Pink Canada</t>
        </r>
      </text>
    </comment>
    <comment ref="BH135" authorId="4">
      <text>
        <r>
          <rPr>
            <b/>
            <sz val="8"/>
            <color indexed="81"/>
            <rFont val="Tahoma"/>
            <family val="2"/>
          </rPr>
          <t>mm98285:</t>
        </r>
        <r>
          <rPr>
            <sz val="8"/>
            <color indexed="81"/>
            <rFont val="Tahoma"/>
            <family val="2"/>
          </rPr>
          <t xml:space="preserve">
8/09 &amp; 5/09: 13</t>
        </r>
      </text>
    </comment>
    <comment ref="BK135" authorId="4">
      <text>
        <r>
          <rPr>
            <b/>
            <sz val="8"/>
            <color indexed="81"/>
            <rFont val="Tahoma"/>
            <family val="2"/>
          </rPr>
          <t>mm98285:</t>
        </r>
        <r>
          <rPr>
            <sz val="8"/>
            <color indexed="81"/>
            <rFont val="Tahoma"/>
            <family val="2"/>
          </rPr>
          <t xml:space="preserve">
8/09: 34 (9 BBW U.S., 25 BBW Canada)
5/09: 9 BBW dom; 25 BBW Canada</t>
        </r>
      </text>
    </comment>
    <comment ref="BL135" authorId="4">
      <text>
        <r>
          <rPr>
            <b/>
            <sz val="8"/>
            <color indexed="81"/>
            <rFont val="Tahoma"/>
            <family val="2"/>
          </rPr>
          <t>mm98285:</t>
        </r>
        <r>
          <rPr>
            <sz val="8"/>
            <color indexed="81"/>
            <rFont val="Tahoma"/>
            <family val="2"/>
          </rPr>
          <t xml:space="preserve">
8/09: -40 (-34 BBW US, -6 C.O.)
5/09: -37 BBW domestic, -6 CO Big</t>
        </r>
      </text>
    </comment>
    <comment ref="BO135" authorId="4">
      <text>
        <r>
          <rPr>
            <b/>
            <sz val="8"/>
            <color indexed="81"/>
            <rFont val="Tahoma"/>
            <family val="2"/>
          </rPr>
          <t>mm98285:</t>
        </r>
        <r>
          <rPr>
            <sz val="8"/>
            <color indexed="81"/>
            <rFont val="Tahoma"/>
            <family val="2"/>
          </rPr>
          <t xml:space="preserve">
8/09 &amp; 5/09: 6</t>
        </r>
      </text>
    </comment>
    <comment ref="AQ137" authorId="6">
      <text>
        <r>
          <rPr>
            <b/>
            <sz val="8"/>
            <color indexed="81"/>
            <rFont val="Tahoma"/>
            <family val="2"/>
          </rPr>
          <t>ns66486:</t>
        </r>
        <r>
          <rPr>
            <sz val="8"/>
            <color indexed="81"/>
            <rFont val="Tahoma"/>
            <family val="2"/>
          </rPr>
          <t xml:space="preserve">
1,040 VS, 257 La Senza, 1,621 BBW, 11 Henri Bendel, 36 BBW Canada, 4 VS Canada</t>
        </r>
      </text>
    </comment>
    <comment ref="J139" authorId="5">
      <text>
        <r>
          <rPr>
            <b/>
            <sz val="8"/>
            <color indexed="81"/>
            <rFont val="Tahoma"/>
            <family val="2"/>
          </rPr>
          <t>nicholjs:</t>
        </r>
        <r>
          <rPr>
            <sz val="8"/>
            <color indexed="81"/>
            <rFont val="Tahoma"/>
            <family val="2"/>
          </rPr>
          <t xml:space="preserve">
includes 12 VS Canada</t>
        </r>
      </text>
    </comment>
    <comment ref="L139" authorId="5">
      <text>
        <r>
          <rPr>
            <b/>
            <sz val="8"/>
            <color indexed="81"/>
            <rFont val="Tahoma"/>
            <family val="2"/>
          </rPr>
          <t>nicholjs:</t>
        </r>
        <r>
          <rPr>
            <sz val="8"/>
            <color indexed="81"/>
            <rFont val="Tahoma"/>
            <family val="2"/>
          </rPr>
          <t xml:space="preserve">
includes 56 BBW Canada</t>
        </r>
      </text>
    </comment>
    <comment ref="AQ139" authorId="5">
      <text>
        <r>
          <rPr>
            <b/>
            <sz val="8"/>
            <color indexed="81"/>
            <rFont val="Tahoma"/>
            <family val="2"/>
          </rPr>
          <t>nicholjs:</t>
        </r>
        <r>
          <rPr>
            <sz val="8"/>
            <color indexed="81"/>
            <rFont val="Tahoma"/>
            <family val="2"/>
          </rPr>
          <t xml:space="preserve">
2988</t>
        </r>
      </text>
    </comment>
    <comment ref="BG139" authorId="5">
      <text>
        <r>
          <rPr>
            <b/>
            <sz val="8"/>
            <color indexed="81"/>
            <rFont val="Tahoma"/>
            <family val="2"/>
          </rPr>
          <t>nicholjs:</t>
        </r>
        <r>
          <rPr>
            <sz val="8"/>
            <color indexed="81"/>
            <rFont val="Tahoma"/>
            <family val="2"/>
          </rPr>
          <t xml:space="preserve">
+6 VS Canada</t>
        </r>
      </text>
    </comment>
    <comment ref="H140" authorId="5">
      <text>
        <r>
          <rPr>
            <b/>
            <sz val="8"/>
            <color indexed="81"/>
            <rFont val="Tahoma"/>
            <family val="2"/>
          </rPr>
          <t>nicholjs:</t>
        </r>
        <r>
          <rPr>
            <sz val="8"/>
            <color indexed="81"/>
            <rFont val="Tahoma"/>
            <family val="2"/>
          </rPr>
          <t xml:space="preserve">
11/10: expect 253</t>
        </r>
      </text>
    </comment>
    <comment ref="J140" authorId="4">
      <text>
        <r>
          <rPr>
            <b/>
            <sz val="8"/>
            <color indexed="81"/>
            <rFont val="Tahoma"/>
            <family val="2"/>
          </rPr>
          <t>mm98285:</t>
        </r>
        <r>
          <rPr>
            <sz val="8"/>
            <color indexed="81"/>
            <rFont val="Tahoma"/>
            <family val="2"/>
          </rPr>
          <t xml:space="preserve">
1,028 US includes 13 Pink
12 VS Canada includes 8 Pink, 4 VS
11/10: expect 1,015 VS US, 13 Pink US, 4 VS Canada, 8 Pink Canada = 1,040
8/10: expect 1,003 VS US, 13 Pink US, 4 VS Canada, 8 Pink Canada = 1,028
2/10: expect 1,004 VS US, 12 Pink US, 4 VS Canada, 9 Pink Canada = 1,029</t>
        </r>
      </text>
    </comment>
    <comment ref="L140" authorId="4">
      <text>
        <r>
          <rPr>
            <b/>
            <sz val="8"/>
            <color indexed="81"/>
            <rFont val="Tahoma"/>
            <family val="2"/>
          </rPr>
          <t>mm98285:</t>
        </r>
        <r>
          <rPr>
            <sz val="8"/>
            <color indexed="81"/>
            <rFont val="Tahoma"/>
            <family val="2"/>
          </rPr>
          <t xml:space="preserve">
1,603 BBW US
59 BBW Canada
3 CO Big
11/10: 1,602 BBW US, 3 CO Big, 59 BBW Canada = 1,664
8</t>
        </r>
        <r>
          <rPr>
            <sz val="8"/>
            <color indexed="81"/>
            <rFont val="Tahoma"/>
            <family val="2"/>
          </rPr>
          <t>/10: 1,590 BBW US, 3 CO Big, 60 BBW Canada = 1,653</t>
        </r>
        <r>
          <rPr>
            <sz val="8"/>
            <color indexed="81"/>
            <rFont val="Tahoma"/>
            <family val="2"/>
          </rPr>
          <t xml:space="preserve">
2/10: 1,586 BBW US, 3 CO Big, 66 BBW Canada = 1,655</t>
        </r>
      </text>
    </comment>
    <comment ref="AQ140" authorId="4">
      <text>
        <r>
          <rPr>
            <b/>
            <sz val="8"/>
            <color indexed="81"/>
            <rFont val="Tahoma"/>
            <family val="2"/>
          </rPr>
          <t>mm98285:</t>
        </r>
        <r>
          <rPr>
            <sz val="8"/>
            <color indexed="81"/>
            <rFont val="Tahoma"/>
            <family val="2"/>
          </rPr>
          <t xml:space="preserve">
8/10: 2,968
8/10: 2,945
2/10: 2,945</t>
        </r>
      </text>
    </comment>
    <comment ref="BC141" authorId="4">
      <text>
        <r>
          <rPr>
            <b/>
            <sz val="8"/>
            <color indexed="81"/>
            <rFont val="Tahoma"/>
            <family val="2"/>
          </rPr>
          <t>mm98285:</t>
        </r>
        <r>
          <rPr>
            <sz val="8"/>
            <color indexed="81"/>
            <rFont val="Tahoma"/>
            <family val="2"/>
          </rPr>
          <t xml:space="preserve">
11/10: expect 0
8/10: expect 0
2/10: expect 0</t>
        </r>
      </text>
    </comment>
    <comment ref="BD141" authorId="4">
      <text>
        <r>
          <rPr>
            <b/>
            <sz val="8"/>
            <color indexed="81"/>
            <rFont val="Tahoma"/>
            <family val="2"/>
          </rPr>
          <t>mm98285:</t>
        </r>
        <r>
          <rPr>
            <sz val="8"/>
            <color indexed="81"/>
            <rFont val="Tahoma"/>
            <family val="2"/>
          </rPr>
          <t xml:space="preserve">
11/10: expect -5
8/10: expect -5
2/10: expect -8</t>
        </r>
      </text>
    </comment>
    <comment ref="BG141" authorId="4">
      <text>
        <r>
          <rPr>
            <b/>
            <sz val="8"/>
            <color indexed="81"/>
            <rFont val="Tahoma"/>
            <family val="2"/>
          </rPr>
          <t>mm98285:</t>
        </r>
        <r>
          <rPr>
            <sz val="8"/>
            <color indexed="81"/>
            <rFont val="Tahoma"/>
            <family val="2"/>
          </rPr>
          <t xml:space="preserve">
11/10: +4 VS US, +2 Pink US, +4 VS Canada, +4 Pink Canada = +14
8/10: +4 VS US, +2 Pink US, +4 VS Canada, +4 Pink Canada
2/10: +3 VS US, +1 Pink US, +4 VS Canada, +5 Pink Canada</t>
        </r>
      </text>
    </comment>
    <comment ref="BH141" authorId="4">
      <text>
        <r>
          <rPr>
            <b/>
            <sz val="8"/>
            <color indexed="81"/>
            <rFont val="Tahoma"/>
            <family val="2"/>
          </rPr>
          <t>mm98285:</t>
        </r>
        <r>
          <rPr>
            <sz val="8"/>
            <color indexed="81"/>
            <rFont val="Tahoma"/>
            <family val="2"/>
          </rPr>
          <t xml:space="preserve">
11/10: 16 VS US, 2 Pink US
8/10: 28 VS US, 2 Pink US
2/10: 26 VS US, 2 Pink US
</t>
        </r>
      </text>
    </comment>
    <comment ref="BK141" authorId="4">
      <text>
        <r>
          <rPr>
            <b/>
            <sz val="8"/>
            <color indexed="81"/>
            <rFont val="Tahoma"/>
            <family val="2"/>
          </rPr>
          <t>mm98285:</t>
        </r>
        <r>
          <rPr>
            <sz val="8"/>
            <color indexed="81"/>
            <rFont val="Tahoma"/>
            <family val="2"/>
          </rPr>
          <t xml:space="preserve">
11/10: +2 BBW US, +28 BBW Canada
8/10: +2 BBW US, +29 BBW Canada
2/10: +2 BBW US, +35 BBW Canada
11/09: expect to open 30-40 BBW canada stores in 2010</t>
        </r>
      </text>
    </comment>
    <comment ref="BL141" authorId="4">
      <text>
        <r>
          <rPr>
            <b/>
            <sz val="8"/>
            <color indexed="81"/>
            <rFont val="Tahoma"/>
            <family val="2"/>
          </rPr>
          <t>mm98285:</t>
        </r>
        <r>
          <rPr>
            <sz val="8"/>
            <color indexed="81"/>
            <rFont val="Tahoma"/>
            <family val="2"/>
          </rPr>
          <t xml:space="preserve">
11/10: 24 BBW US
8</t>
        </r>
        <r>
          <rPr>
            <sz val="8"/>
            <color indexed="81"/>
            <rFont val="Tahoma"/>
            <family val="2"/>
          </rPr>
          <t>/10: 36 BBW US</t>
        </r>
        <r>
          <rPr>
            <sz val="8"/>
            <color indexed="81"/>
            <rFont val="Tahoma"/>
            <family val="2"/>
          </rPr>
          <t xml:space="preserve">
2/10: 40 BBW US</t>
        </r>
      </text>
    </comment>
    <comment ref="H146" authorId="5">
      <text>
        <r>
          <rPr>
            <b/>
            <sz val="8"/>
            <color indexed="81"/>
            <rFont val="Tahoma"/>
            <family val="2"/>
          </rPr>
          <t>nicholjs:</t>
        </r>
        <r>
          <rPr>
            <sz val="8"/>
            <color indexed="81"/>
            <rFont val="Tahoma"/>
            <family val="2"/>
          </rPr>
          <t xml:space="preserve">
8/2011: expect 239
3/2011: expect 243
2/2011: expect 242</t>
        </r>
      </text>
    </comment>
    <comment ref="J146" authorId="5">
      <text>
        <r>
          <rPr>
            <b/>
            <sz val="8"/>
            <color indexed="81"/>
            <rFont val="Tahoma"/>
            <family val="2"/>
          </rPr>
          <t>nicholjs:</t>
        </r>
        <r>
          <rPr>
            <sz val="8"/>
            <color indexed="81"/>
            <rFont val="Tahoma"/>
            <family val="2"/>
          </rPr>
          <t xml:space="preserve">
2/22/12: 1036 total VS includes: 1002 VS US, 15 Pink, 11 VS Canada, 8 Pink Canada
8/2011: expect 1,035 including 1,001 VS US, 15 Pink US, 11 VS Canada, 8 Pink Canada
5/2011: expect 1,039 including 1,004 VS US, 15 Pink US, 12 VS Canada, 8 Pink Canada
2/2011: expect 1,036 including 1,003 VS US, 13 Pink US, 12 VS Canada, 8 Pink Canada</t>
        </r>
      </text>
    </comment>
    <comment ref="L146" authorId="5">
      <text>
        <r>
          <rPr>
            <b/>
            <sz val="8"/>
            <color indexed="81"/>
            <rFont val="Tahoma"/>
            <family val="2"/>
          </rPr>
          <t>nicholjs:</t>
        </r>
        <r>
          <rPr>
            <sz val="8"/>
            <color indexed="81"/>
            <rFont val="Tahoma"/>
            <family val="2"/>
          </rPr>
          <t xml:space="preserve">
2/2012: 1656 includes 1587 BBW US and 69 BBW Canada
8/2011: expect 1663 including 1595 BBW US and 68 BBW Canada
5/2011: expect 1657 including 1586 BBW US, 2 CO Big, and 69 BBW Canada
2/2011: expect 1662 including 1590 BBW US, 3 CO Big, and 69 BBW Canada</t>
        </r>
      </text>
    </comment>
    <comment ref="V146" authorId="5">
      <text>
        <r>
          <rPr>
            <b/>
            <sz val="8"/>
            <color indexed="81"/>
            <rFont val="Tahoma"/>
            <family val="2"/>
          </rPr>
          <t>nicholjs:</t>
        </r>
        <r>
          <rPr>
            <sz val="8"/>
            <color indexed="81"/>
            <rFont val="Tahoma"/>
            <family val="2"/>
          </rPr>
          <t xml:space="preserve">
8/2011: expect 19
5/2011: expect 18
2/2011: expect 18</t>
        </r>
      </text>
    </comment>
    <comment ref="AQ146" authorId="5">
      <text>
        <r>
          <rPr>
            <b/>
            <sz val="8"/>
            <color indexed="81"/>
            <rFont val="Tahoma"/>
            <family val="2"/>
          </rPr>
          <t>nicholjs:</t>
        </r>
        <r>
          <rPr>
            <sz val="8"/>
            <color indexed="81"/>
            <rFont val="Tahoma"/>
            <family val="2"/>
          </rPr>
          <t xml:space="preserve">
8/2011: expect 2,956
5/2011: expect 2,957
2/2011: expect 2,958</t>
        </r>
      </text>
    </comment>
    <comment ref="BC147" authorId="5">
      <text>
        <r>
          <rPr>
            <b/>
            <sz val="8"/>
            <color indexed="81"/>
            <rFont val="Tahoma"/>
            <family val="2"/>
          </rPr>
          <t>nicholjs:</t>
        </r>
        <r>
          <rPr>
            <sz val="8"/>
            <color indexed="81"/>
            <rFont val="Tahoma"/>
            <family val="2"/>
          </rPr>
          <t xml:space="preserve">
8/2011: expect 0
5/2011: expect 0
2/2011: expect 0</t>
        </r>
      </text>
    </comment>
    <comment ref="BD147" authorId="5">
      <text>
        <r>
          <rPr>
            <b/>
            <sz val="8"/>
            <color indexed="81"/>
            <rFont val="Tahoma"/>
            <family val="2"/>
          </rPr>
          <t>nicholjs:</t>
        </r>
        <r>
          <rPr>
            <sz val="8"/>
            <color indexed="81"/>
            <rFont val="Tahoma"/>
            <family val="2"/>
          </rPr>
          <t xml:space="preserve">
8/2011: expect -13
5/2011: expect -9
2/2011: expect -10</t>
        </r>
      </text>
    </comment>
    <comment ref="BG147" authorId="5">
      <text>
        <r>
          <rPr>
            <b/>
            <sz val="8"/>
            <color indexed="81"/>
            <rFont val="Tahoma"/>
            <family val="2"/>
          </rPr>
          <t>nicholjs:</t>
        </r>
        <r>
          <rPr>
            <sz val="8"/>
            <color indexed="81"/>
            <rFont val="Tahoma"/>
            <family val="2"/>
          </rPr>
          <t xml:space="preserve">
2/2012: 23 (+4 VS US, +19 Pink US, +5 VS Canada, +2 Pink Canada)
8/2011: expect 15 (+5 VS US, +2 Pink US, +7 VS Canada, +1 Pink Canada)
5/2011: expect 19 (+8 VS US, +2 Pink US, +8 VS Canada, +1 Pink Canada)
2/2011: expect 13 (+4 VS US, +8 VS Canada, +1 Pink Canada)</t>
        </r>
      </text>
    </comment>
    <comment ref="BH147" authorId="5">
      <text>
        <r>
          <rPr>
            <b/>
            <sz val="8"/>
            <color indexed="81"/>
            <rFont val="Tahoma"/>
            <family val="2"/>
          </rPr>
          <t>nicholjs:</t>
        </r>
        <r>
          <rPr>
            <sz val="8"/>
            <color indexed="81"/>
            <rFont val="Tahoma"/>
            <family val="2"/>
          </rPr>
          <t xml:space="preserve">
2/2012: 22 (-22 VS)
8/2011: expect 20 (-19 VS US, -1 Pink Canada)
5/2011: expect 20 (-19 VS US, -1 Pink Canada)
2/2011: expect 17 (-16 VS US, -1 Pink Canada)</t>
        </r>
      </text>
    </comment>
    <comment ref="BK147" authorId="5">
      <text>
        <r>
          <rPr>
            <b/>
            <sz val="8"/>
            <color indexed="81"/>
            <rFont val="Tahoma"/>
            <family val="2"/>
          </rPr>
          <t>nicholjs:</t>
        </r>
        <r>
          <rPr>
            <sz val="8"/>
            <color indexed="81"/>
            <rFont val="Tahoma"/>
            <family val="2"/>
          </rPr>
          <t xml:space="preserve">
8/2011: expect +15 (+5 BBW US, +10 BBW Canada)
5/2011: expect +15 (+5 BBW US, +10 BBW Canada)
2/2011: expect +15 (+5 BBW US, +10 BBW Canada)</t>
        </r>
      </text>
    </comment>
    <comment ref="BL147" authorId="5">
      <text>
        <r>
          <rPr>
            <b/>
            <sz val="8"/>
            <color indexed="81"/>
            <rFont val="Tahoma"/>
            <family val="2"/>
          </rPr>
          <t>nicholjs:</t>
        </r>
        <r>
          <rPr>
            <sz val="8"/>
            <color indexed="81"/>
            <rFont val="Tahoma"/>
            <family val="2"/>
          </rPr>
          <t xml:space="preserve">
5/2011: expect -16 BBW US, -1 BBW Canada 
5/2011: expect -22 (all US) BBW and also -1 CO Big
2/2011: expect -18 (all US)</t>
        </r>
      </text>
    </comment>
    <comment ref="BO147" authorId="5">
      <text>
        <r>
          <rPr>
            <b/>
            <sz val="8"/>
            <color indexed="81"/>
            <rFont val="Tahoma"/>
            <family val="2"/>
          </rPr>
          <t>nicholjs:</t>
        </r>
        <r>
          <rPr>
            <sz val="8"/>
            <color indexed="81"/>
            <rFont val="Tahoma"/>
            <family val="2"/>
          </rPr>
          <t xml:space="preserve">
8/2011: expect +8
5/2011: expect +7
2/2011: expect +7</t>
        </r>
      </text>
    </comment>
    <comment ref="J149" authorId="7">
      <text>
        <r>
          <rPr>
            <b/>
            <sz val="8"/>
            <color indexed="81"/>
            <rFont val="Tahoma"/>
            <family val="2"/>
          </rPr>
          <t>kahng:</t>
        </r>
        <r>
          <rPr>
            <sz val="8"/>
            <color indexed="81"/>
            <rFont val="Tahoma"/>
            <family val="2"/>
          </rPr>
          <t xml:space="preserve">
Apr: 1010 US stores and 20 Canada
Feb 1017 US stores and 19 Canada stores</t>
        </r>
      </text>
    </comment>
    <comment ref="L149" authorId="7">
      <text>
        <r>
          <rPr>
            <b/>
            <sz val="8"/>
            <color indexed="81"/>
            <rFont val="Tahoma"/>
            <family val="2"/>
          </rPr>
          <t>kahng:</t>
        </r>
        <r>
          <rPr>
            <sz val="8"/>
            <color indexed="81"/>
            <rFont val="Tahoma"/>
            <family val="2"/>
          </rPr>
          <t xml:space="preserve">
Apr 1583 US 68 Canada
Feb stores 1584 + 68 Canada
closed 3 in US and 1 in canada</t>
        </r>
      </text>
    </comment>
    <comment ref="V149" authorId="7">
      <text>
        <r>
          <rPr>
            <b/>
            <sz val="8"/>
            <color indexed="81"/>
            <rFont val="Tahoma"/>
            <family val="2"/>
          </rPr>
          <t>kahng:</t>
        </r>
        <r>
          <rPr>
            <sz val="8"/>
            <color indexed="81"/>
            <rFont val="Tahoma"/>
            <family val="2"/>
          </rPr>
          <t xml:space="preserve">
Feb 19 stores</t>
        </r>
      </text>
    </comment>
    <comment ref="BD149" authorId="7">
      <text>
        <r>
          <rPr>
            <b/>
            <sz val="8"/>
            <color indexed="81"/>
            <rFont val="Tahoma"/>
            <family val="2"/>
          </rPr>
          <t>kahng:</t>
        </r>
        <r>
          <rPr>
            <sz val="8"/>
            <color indexed="81"/>
            <rFont val="Tahoma"/>
            <family val="2"/>
          </rPr>
          <t xml:space="preserve">
During 4Q11, initated restructuring program for LS. Plan to close 38 underperforming stroes. Of these stores, 12 were closed as of Jan 28, 2012. The remainder were closed during 1Q12. 
Feb closed 19 stores YTD</t>
        </r>
      </text>
    </comment>
    <comment ref="J152" authorId="7">
      <text>
        <r>
          <rPr>
            <b/>
            <sz val="8"/>
            <color indexed="81"/>
            <rFont val="Tahoma"/>
            <family val="2"/>
          </rPr>
          <t>kahng:</t>
        </r>
        <r>
          <rPr>
            <sz val="8"/>
            <color indexed="81"/>
            <rFont val="Tahoma"/>
            <family val="2"/>
          </rPr>
          <t xml:space="preserve">
5/2012: expect 1040: 981 VS US, 33 Pink US, 16 VS Canada, 10 Pink Canada
2/2012: expect 984 VS US, 34 Pink US, 16 VS Canada, 10 Pink Canada, 2 VS London</t>
        </r>
      </text>
    </comment>
    <comment ref="DN152" authorId="7">
      <text>
        <r>
          <rPr>
            <b/>
            <sz val="8"/>
            <color indexed="81"/>
            <rFont val="Tahoma"/>
            <family val="2"/>
          </rPr>
          <t>kahng:</t>
        </r>
        <r>
          <rPr>
            <sz val="8"/>
            <color indexed="81"/>
            <rFont val="Tahoma"/>
            <family val="2"/>
          </rPr>
          <t xml:space="preserve">
of 96 openings, includes 60 UK stores acquired by Alshaya</t>
        </r>
      </text>
    </comment>
    <comment ref="BC153" authorId="7">
      <text>
        <r>
          <rPr>
            <b/>
            <sz val="8"/>
            <color indexed="81"/>
            <rFont val="Tahoma"/>
            <family val="2"/>
          </rPr>
          <t>kahng:</t>
        </r>
        <r>
          <rPr>
            <sz val="8"/>
            <color indexed="81"/>
            <rFont val="Tahoma"/>
            <family val="2"/>
          </rPr>
          <t xml:space="preserve">
2/22/12: expect -42</t>
        </r>
      </text>
    </comment>
    <comment ref="BD153" authorId="7">
      <text>
        <r>
          <rPr>
            <b/>
            <sz val="8"/>
            <color indexed="81"/>
            <rFont val="Tahoma"/>
            <family val="2"/>
          </rPr>
          <t xml:space="preserve">8/16/12: </t>
        </r>
        <r>
          <rPr>
            <sz val="8"/>
            <color indexed="81"/>
            <rFont val="Tahoma"/>
            <family val="2"/>
          </rPr>
          <t>expect -71</t>
        </r>
        <r>
          <rPr>
            <b/>
            <sz val="8"/>
            <color indexed="81"/>
            <rFont val="Tahoma"/>
            <family val="2"/>
          </rPr>
          <t xml:space="preserve">
kahng:
5/16/12: </t>
        </r>
        <r>
          <rPr>
            <sz val="8"/>
            <color indexed="81"/>
            <rFont val="Tahoma"/>
            <family val="2"/>
          </rPr>
          <t>expect -44</t>
        </r>
        <r>
          <rPr>
            <sz val="8"/>
            <color indexed="81"/>
            <rFont val="Tahoma"/>
            <family val="2"/>
          </rPr>
          <t xml:space="preserve">
2/22/12: expect -42</t>
        </r>
      </text>
    </comment>
    <comment ref="BE153" authorId="8">
      <text>
        <r>
          <rPr>
            <b/>
            <sz val="8"/>
            <color indexed="81"/>
            <rFont val="Tahoma"/>
            <family val="2"/>
          </rPr>
          <t>P Kahng:</t>
        </r>
        <r>
          <rPr>
            <sz val="8"/>
            <color indexed="81"/>
            <rFont val="Tahoma"/>
            <family val="2"/>
          </rPr>
          <t xml:space="preserve">
5/16/12: expect 6</t>
        </r>
      </text>
    </comment>
    <comment ref="BG153" authorId="7">
      <text>
        <r>
          <rPr>
            <b/>
            <sz val="8"/>
            <color indexed="81"/>
            <rFont val="Tahoma"/>
            <family val="2"/>
          </rPr>
          <t xml:space="preserve">5/16/12: </t>
        </r>
        <r>
          <rPr>
            <sz val="8"/>
            <color indexed="81"/>
            <rFont val="Tahoma"/>
            <family val="2"/>
          </rPr>
          <t>expect 29 (3 VS US, 19 Pink, 5 VS Canada, 2 Pink Canada, 2 VS UK)</t>
        </r>
        <r>
          <rPr>
            <b/>
            <sz val="8"/>
            <color indexed="81"/>
            <rFont val="Tahoma"/>
            <family val="2"/>
          </rPr>
          <t xml:space="preserve">
kahng:</t>
        </r>
        <r>
          <rPr>
            <sz val="8"/>
            <color indexed="81"/>
            <rFont val="Tahoma"/>
            <family val="2"/>
          </rPr>
          <t xml:space="preserve">
5/16/12: expect 28 (3 VS US, 18 Pink, 5 VS Canada, 2 Pink Canada, 2 VS UK)
2/22/12: expect 30 (4 VS US, 19 Pink US, 5 VS Canada, 2 Pink Canada)</t>
        </r>
      </text>
    </comment>
    <comment ref="BH153" authorId="7">
      <text>
        <r>
          <rPr>
            <b/>
            <sz val="8"/>
            <color indexed="81"/>
            <rFont val="Tahoma"/>
            <family val="2"/>
          </rPr>
          <t>kahng:</t>
        </r>
        <r>
          <rPr>
            <sz val="8"/>
            <color indexed="81"/>
            <rFont val="Tahoma"/>
            <family val="2"/>
          </rPr>
          <t xml:space="preserve">
5/16/12: expect 24 VS US closures
2/22/12: expect 22</t>
        </r>
      </text>
    </comment>
    <comment ref="BI153" authorId="5">
      <text>
        <r>
          <rPr>
            <b/>
            <sz val="8"/>
            <color indexed="81"/>
            <rFont val="Tahoma"/>
            <family val="2"/>
          </rPr>
          <t xml:space="preserve">kahng:
5/16/12: </t>
        </r>
        <r>
          <rPr>
            <sz val="8"/>
            <color indexed="81"/>
            <rFont val="Tahoma"/>
            <family val="2"/>
          </rPr>
          <t>54 VS US</t>
        </r>
        <r>
          <rPr>
            <sz val="8"/>
            <color indexed="81"/>
            <rFont val="Tahoma"/>
            <family val="2"/>
          </rPr>
          <t xml:space="preserve">
2/2012: 59 (59 VS US)</t>
        </r>
      </text>
    </comment>
    <comment ref="BK153" authorId="7">
      <text>
        <r>
          <rPr>
            <b/>
            <sz val="8"/>
            <color indexed="81"/>
            <rFont val="Tahoma"/>
            <family val="2"/>
          </rPr>
          <t>kahng:</t>
        </r>
        <r>
          <rPr>
            <sz val="8"/>
            <color indexed="81"/>
            <rFont val="Tahoma"/>
            <family val="2"/>
          </rPr>
          <t xml:space="preserve">
5/16/12: expect 7 (4 BBW US, 3 BBW Canada)
2/22/12: expect 7 (4 BBW US and 3 BBW Canada)</t>
        </r>
      </text>
    </comment>
    <comment ref="BL153" authorId="7">
      <text>
        <r>
          <rPr>
            <b/>
            <sz val="8"/>
            <color indexed="81"/>
            <rFont val="Tahoma"/>
            <family val="2"/>
          </rPr>
          <t xml:space="preserve">kahng:
5/16/12: </t>
        </r>
        <r>
          <rPr>
            <sz val="8"/>
            <color indexed="81"/>
            <rFont val="Tahoma"/>
            <family val="2"/>
          </rPr>
          <t>expect 25 closures (24 BBW US and 1 BBW Canada)</t>
        </r>
        <r>
          <rPr>
            <sz val="8"/>
            <color indexed="81"/>
            <rFont val="Tahoma"/>
            <family val="2"/>
          </rPr>
          <t xml:space="preserve">
2/22/12: expect 25 closures (24 BBW US and 1 BBW Canada)</t>
        </r>
      </text>
    </comment>
    <comment ref="BM153" authorId="7">
      <text>
        <r>
          <rPr>
            <b/>
            <sz val="8"/>
            <color indexed="81"/>
            <rFont val="Tahoma"/>
            <family val="2"/>
          </rPr>
          <t xml:space="preserve">5/16/12: </t>
        </r>
        <r>
          <rPr>
            <sz val="8"/>
            <color indexed="81"/>
            <rFont val="Tahoma"/>
            <family val="2"/>
          </rPr>
          <t>expect 38 in BBW US</t>
        </r>
        <r>
          <rPr>
            <b/>
            <sz val="8"/>
            <color indexed="81"/>
            <rFont val="Tahoma"/>
            <family val="2"/>
          </rPr>
          <t xml:space="preserve">
kahng:</t>
        </r>
        <r>
          <rPr>
            <sz val="8"/>
            <color indexed="81"/>
            <rFont val="Tahoma"/>
            <family val="2"/>
          </rPr>
          <t xml:space="preserve">
5/16/12: expect 40 in BBW US
2/22/12: expect 38 in BBW US
</t>
        </r>
      </text>
    </comment>
    <comment ref="BO153" authorId="7">
      <text>
        <r>
          <rPr>
            <b/>
            <sz val="8"/>
            <color indexed="81"/>
            <rFont val="Tahoma"/>
            <family val="2"/>
          </rPr>
          <t>kahng:</t>
        </r>
        <r>
          <rPr>
            <sz val="8"/>
            <color indexed="81"/>
            <rFont val="Tahoma"/>
            <family val="2"/>
          </rPr>
          <t xml:space="preserve">
5/16/12: expect 10
2/22/12: expect 10</t>
        </r>
      </text>
    </comment>
    <comment ref="J155" authorId="9">
      <text>
        <r>
          <rPr>
            <b/>
            <sz val="8"/>
            <color indexed="81"/>
            <rFont val="Tahoma"/>
            <family val="2"/>
          </rPr>
          <t>casselau:</t>
        </r>
        <r>
          <rPr>
            <sz val="8"/>
            <color indexed="81"/>
            <rFont val="Tahoma"/>
            <family val="2"/>
          </rPr>
          <t xml:space="preserve">
1019 US, 26 Canada, 2 UK</t>
        </r>
      </text>
    </comment>
    <comment ref="L155" authorId="9">
      <text>
        <r>
          <rPr>
            <b/>
            <sz val="8"/>
            <color indexed="81"/>
            <rFont val="Tahoma"/>
            <family val="2"/>
          </rPr>
          <t>casselau:</t>
        </r>
        <r>
          <rPr>
            <sz val="8"/>
            <color indexed="81"/>
            <rFont val="Tahoma"/>
            <family val="2"/>
          </rPr>
          <t xml:space="preserve">
1571 US, 71 Canada</t>
        </r>
      </text>
    </comment>
    <comment ref="J156" authorId="9">
      <text>
        <r>
          <rPr>
            <b/>
            <sz val="8"/>
            <color indexed="81"/>
            <rFont val="Tahoma"/>
            <family val="2"/>
          </rPr>
          <t>casselau:</t>
        </r>
        <r>
          <rPr>
            <sz val="8"/>
            <color indexed="81"/>
            <rFont val="Tahoma"/>
            <family val="2"/>
          </rPr>
          <t xml:space="preserve">
1035 US, 27 Canada, 2 UK</t>
        </r>
      </text>
    </comment>
    <comment ref="L156" authorId="9">
      <text>
        <r>
          <rPr>
            <b/>
            <sz val="8"/>
            <color indexed="81"/>
            <rFont val="Tahoma"/>
            <family val="2"/>
          </rPr>
          <t>casselau:</t>
        </r>
        <r>
          <rPr>
            <sz val="8"/>
            <color indexed="81"/>
            <rFont val="Tahoma"/>
            <family val="2"/>
          </rPr>
          <t xml:space="preserve">
1565 US, 77 Canada</t>
        </r>
      </text>
    </comment>
    <comment ref="J157" authorId="9">
      <text>
        <r>
          <rPr>
            <sz val="8"/>
            <color indexed="81"/>
            <rFont val="Tahoma"/>
            <family val="2"/>
          </rPr>
          <t>11/7/13: 1060 US, 31 canada, 5 UK</t>
        </r>
      </text>
    </comment>
    <comment ref="L157" authorId="9">
      <text>
        <r>
          <rPr>
            <sz val="8"/>
            <color indexed="81"/>
            <rFont val="Tahoma"/>
            <family val="2"/>
          </rPr>
          <t>11/7/13: 1566 US, 79 Canada</t>
        </r>
      </text>
    </comment>
    <comment ref="J158" authorId="9">
      <text>
        <r>
          <rPr>
            <b/>
            <sz val="9"/>
            <color indexed="81"/>
            <rFont val="Tahoma"/>
            <family val="2"/>
          </rPr>
          <t>casselau:</t>
        </r>
        <r>
          <rPr>
            <sz val="9"/>
            <color indexed="81"/>
            <rFont val="Tahoma"/>
            <family val="2"/>
          </rPr>
          <t xml:space="preserve">
1060 US, 34 Canada
93 PINK (included)</t>
        </r>
      </text>
    </comment>
    <comment ref="L158" authorId="9">
      <text>
        <r>
          <rPr>
            <b/>
            <sz val="9"/>
            <color indexed="81"/>
            <rFont val="Tahoma"/>
            <family val="2"/>
          </rPr>
          <t>casselau:</t>
        </r>
        <r>
          <rPr>
            <sz val="9"/>
            <color indexed="81"/>
            <rFont val="Tahoma"/>
            <family val="2"/>
          </rPr>
          <t xml:space="preserve">
1559 US, 79 Canada</t>
        </r>
      </text>
    </comment>
    <comment ref="DM158" authorId="9">
      <text>
        <r>
          <rPr>
            <b/>
            <sz val="8"/>
            <color indexed="81"/>
            <rFont val="Tahoma"/>
            <family val="2"/>
          </rPr>
          <t xml:space="preserve">casselau:
8/21/13: 156
</t>
        </r>
        <r>
          <rPr>
            <sz val="8"/>
            <color indexed="81"/>
            <rFont val="Tahoma"/>
            <family val="2"/>
          </rPr>
          <t>10/17/12:</t>
        </r>
        <r>
          <rPr>
            <sz val="8"/>
            <color indexed="81"/>
            <rFont val="Tahoma"/>
            <family val="2"/>
          </rPr>
          <t xml:space="preserve">
YE range 150-155</t>
        </r>
      </text>
    </comment>
    <comment ref="DN158" authorId="7">
      <text>
        <r>
          <rPr>
            <sz val="8"/>
            <color indexed="81"/>
            <rFont val="Tahoma"/>
            <family val="2"/>
          </rPr>
          <t>11/20: 330-340
8/21/13: 339-354
5/22/13: 349-359
10/17/12:
YE range 380-400</t>
        </r>
      </text>
    </comment>
    <comment ref="DO158" authorId="9">
      <text>
        <r>
          <rPr>
            <b/>
            <sz val="8"/>
            <color indexed="81"/>
            <rFont val="Tahoma"/>
            <family val="2"/>
          </rPr>
          <t xml:space="preserve">casselau:
</t>
        </r>
        <r>
          <rPr>
            <sz val="8"/>
            <color indexed="81"/>
            <rFont val="Tahoma"/>
            <family val="2"/>
          </rPr>
          <t>11/20: 79
8/21/13: 78</t>
        </r>
        <r>
          <rPr>
            <sz val="8"/>
            <color indexed="81"/>
            <rFont val="Tahoma"/>
            <family val="2"/>
          </rPr>
          <t xml:space="preserve">
10/17/12 investor day: 78-81  YE range</t>
        </r>
      </text>
    </comment>
    <comment ref="DP158" authorId="9">
      <text>
        <r>
          <rPr>
            <b/>
            <sz val="8"/>
            <color indexed="81"/>
            <rFont val="Tahoma"/>
            <family val="2"/>
          </rPr>
          <t>casselau:
5/22/13: 1Q13 55-60</t>
        </r>
        <r>
          <rPr>
            <sz val="8"/>
            <color indexed="81"/>
            <rFont val="Tahoma"/>
            <family val="2"/>
          </rPr>
          <t xml:space="preserve">
10/17/12 investor meeting: 64-74 YE range</t>
        </r>
      </text>
    </comment>
    <comment ref="DQ158" authorId="9">
      <text>
        <r>
          <rPr>
            <b/>
            <sz val="8"/>
            <color indexed="81"/>
            <rFont val="Tahoma"/>
            <family val="2"/>
          </rPr>
          <t>casselau:</t>
        </r>
        <r>
          <rPr>
            <sz val="8"/>
            <color indexed="81"/>
            <rFont val="Tahoma"/>
            <family val="2"/>
          </rPr>
          <t xml:space="preserve">
10/17/12 investor day: 21-24 VS YE range; 10 PINK</t>
        </r>
      </text>
    </comment>
    <comment ref="DR158" authorId="9">
      <text>
        <r>
          <rPr>
            <b/>
            <sz val="8"/>
            <color indexed="81"/>
            <rFont val="Tahoma"/>
            <family val="2"/>
          </rPr>
          <t>casselau:</t>
        </r>
        <r>
          <rPr>
            <sz val="8"/>
            <color indexed="81"/>
            <rFont val="Tahoma"/>
            <family val="2"/>
          </rPr>
          <t xml:space="preserve">
2Q13 earnings 9-10 (incl franchise)</t>
        </r>
        <r>
          <rPr>
            <b/>
            <sz val="8"/>
            <color indexed="81"/>
            <rFont val="Tahoma"/>
            <family val="2"/>
          </rPr>
          <t xml:space="preserve">
</t>
        </r>
        <r>
          <rPr>
            <sz val="8"/>
            <color indexed="81"/>
            <rFont val="Tahoma"/>
            <family val="2"/>
          </rPr>
          <t>1Q13 earnings 9-10 (incl franchise)</t>
        </r>
        <r>
          <rPr>
            <b/>
            <sz val="8"/>
            <color indexed="81"/>
            <rFont val="Tahoma"/>
            <family val="2"/>
          </rPr>
          <t xml:space="preserve">
</t>
        </r>
        <r>
          <rPr>
            <sz val="8"/>
            <color indexed="81"/>
            <rFont val="Tahoma"/>
            <family val="2"/>
          </rPr>
          <t>4Q12 earnings 10-12 (incl franchise)</t>
        </r>
        <r>
          <rPr>
            <sz val="8"/>
            <color indexed="81"/>
            <rFont val="Tahoma"/>
            <family val="2"/>
          </rPr>
          <t xml:space="preserve">
10/17/12 investor day: 8-10 YE range</t>
        </r>
      </text>
    </comment>
    <comment ref="DS158" authorId="9">
      <text>
        <r>
          <rPr>
            <b/>
            <sz val="8"/>
            <color indexed="81"/>
            <rFont val="Tahoma"/>
            <family val="2"/>
          </rPr>
          <t xml:space="preserve">casselau:
</t>
        </r>
        <r>
          <rPr>
            <sz val="8"/>
            <color indexed="81"/>
            <rFont val="Tahoma"/>
            <family val="2"/>
          </rPr>
          <t>11/20: 190-200
8/21/13: 2Q13 174-204</t>
        </r>
        <r>
          <rPr>
            <b/>
            <sz val="8"/>
            <color indexed="81"/>
            <rFont val="Tahoma"/>
            <family val="2"/>
          </rPr>
          <t xml:space="preserve">
</t>
        </r>
        <r>
          <rPr>
            <sz val="8"/>
            <color indexed="81"/>
            <rFont val="Tahoma"/>
            <family val="2"/>
          </rPr>
          <t>5/22/13: 1Q13 174-204</t>
        </r>
        <r>
          <rPr>
            <sz val="8"/>
            <color indexed="81"/>
            <rFont val="Tahoma"/>
            <family val="2"/>
          </rPr>
          <t xml:space="preserve">
10/17/12 investor meeting: 193-223 YE end range</t>
        </r>
      </text>
    </comment>
    <comment ref="BC159" authorId="9">
      <text>
        <r>
          <rPr>
            <b/>
            <sz val="8"/>
            <color indexed="81"/>
            <rFont val="Tahoma"/>
            <family val="2"/>
          </rPr>
          <t>casselau:</t>
        </r>
        <r>
          <rPr>
            <sz val="8"/>
            <color indexed="81"/>
            <rFont val="Tahoma"/>
            <family val="2"/>
          </rPr>
          <t xml:space="preserve">
expect 0
</t>
        </r>
      </text>
    </comment>
    <comment ref="BK159" authorId="9">
      <text>
        <r>
          <rPr>
            <b/>
            <sz val="8"/>
            <color indexed="81"/>
            <rFont val="Tahoma"/>
            <family val="2"/>
          </rPr>
          <t>casselau:</t>
        </r>
        <r>
          <rPr>
            <sz val="8"/>
            <color indexed="81"/>
            <rFont val="Tahoma"/>
            <family val="2"/>
          </rPr>
          <t xml:space="preserve">
expect 15</t>
        </r>
      </text>
    </comment>
    <comment ref="BL159" authorId="9">
      <text>
        <r>
          <rPr>
            <b/>
            <sz val="8"/>
            <color indexed="81"/>
            <rFont val="Tahoma"/>
            <family val="2"/>
          </rPr>
          <t>casselau:</t>
        </r>
        <r>
          <rPr>
            <sz val="8"/>
            <color indexed="81"/>
            <rFont val="Tahoma"/>
            <family val="2"/>
          </rPr>
          <t xml:space="preserve">
expect -27</t>
        </r>
      </text>
    </comment>
    <comment ref="BO159" authorId="9">
      <text>
        <r>
          <rPr>
            <b/>
            <sz val="8"/>
            <color indexed="81"/>
            <rFont val="Tahoma"/>
            <family val="2"/>
          </rPr>
          <t>casselau:</t>
        </r>
        <r>
          <rPr>
            <sz val="8"/>
            <color indexed="81"/>
            <rFont val="Tahoma"/>
            <family val="2"/>
          </rPr>
          <t xml:space="preserve">
expect 0 
</t>
        </r>
      </text>
    </comment>
    <comment ref="J161" authorId="9">
      <text>
        <r>
          <rPr>
            <b/>
            <sz val="9"/>
            <color indexed="81"/>
            <rFont val="Tahoma"/>
            <family val="2"/>
          </rPr>
          <t>casselau:
1065 US, 35 Canada
99 Pink (included)</t>
        </r>
        <r>
          <rPr>
            <sz val="9"/>
            <color indexed="81"/>
            <rFont val="Tahoma"/>
            <family val="2"/>
          </rPr>
          <t xml:space="preserve">
</t>
        </r>
      </text>
    </comment>
    <comment ref="L161" authorId="9">
      <text>
        <r>
          <rPr>
            <b/>
            <sz val="9"/>
            <color indexed="81"/>
            <rFont val="Tahoma"/>
            <family val="2"/>
          </rPr>
          <t>casselau:</t>
        </r>
        <r>
          <rPr>
            <sz val="9"/>
            <color indexed="81"/>
            <rFont val="Tahoma"/>
            <family val="2"/>
          </rPr>
          <t xml:space="preserve">
1553 US, 81 Canada</t>
        </r>
      </text>
    </comment>
    <comment ref="DN161" authorId="9">
      <text>
        <r>
          <rPr>
            <b/>
            <sz val="9"/>
            <color indexed="81"/>
            <rFont val="Tahoma"/>
            <family val="2"/>
          </rPr>
          <t>casselau:</t>
        </r>
        <r>
          <rPr>
            <sz val="9"/>
            <color indexed="81"/>
            <rFont val="Tahoma"/>
            <family val="2"/>
          </rPr>
          <t xml:space="preserve">
franchise</t>
        </r>
      </text>
    </comment>
    <comment ref="DP161" authorId="9">
      <text>
        <r>
          <rPr>
            <b/>
            <sz val="9"/>
            <color indexed="81"/>
            <rFont val="Tahoma"/>
            <family val="2"/>
          </rPr>
          <t>casselau:</t>
        </r>
        <r>
          <rPr>
            <sz val="9"/>
            <color indexed="81"/>
            <rFont val="Tahoma"/>
            <family val="2"/>
          </rPr>
          <t xml:space="preserve">
franchise</t>
        </r>
      </text>
    </comment>
    <comment ref="DR161" authorId="9">
      <text>
        <r>
          <rPr>
            <b/>
            <sz val="9"/>
            <color indexed="81"/>
            <rFont val="Tahoma"/>
            <family val="2"/>
          </rPr>
          <t>casselau:</t>
        </r>
        <r>
          <rPr>
            <sz val="9"/>
            <color indexed="81"/>
            <rFont val="Tahoma"/>
            <family val="2"/>
          </rPr>
          <t xml:space="preserve">
7 UK (owned), 6 franchised</t>
        </r>
      </text>
    </comment>
    <comment ref="DS161" authorId="9">
      <text>
        <r>
          <rPr>
            <b/>
            <sz val="9"/>
            <color indexed="81"/>
            <rFont val="Tahoma"/>
            <family val="2"/>
          </rPr>
          <t>casselau:</t>
        </r>
        <r>
          <rPr>
            <sz val="9"/>
            <color indexed="81"/>
            <rFont val="Tahoma"/>
            <family val="2"/>
          </rPr>
          <t xml:space="preserve">
franchise</t>
        </r>
      </text>
    </comment>
    <comment ref="DT161" authorId="9">
      <text>
        <r>
          <rPr>
            <b/>
            <sz val="9"/>
            <color indexed="81"/>
            <rFont val="Tahoma"/>
            <family val="2"/>
          </rPr>
          <t>casselau:</t>
        </r>
        <r>
          <rPr>
            <sz val="9"/>
            <color indexed="81"/>
            <rFont val="Tahoma"/>
            <family val="2"/>
          </rPr>
          <t xml:space="preserve">
total franchise 602</t>
        </r>
      </text>
    </comment>
    <comment ref="J162" authorId="9">
      <text>
        <r>
          <rPr>
            <b/>
            <sz val="9"/>
            <color indexed="81"/>
            <rFont val="Tahoma"/>
            <family val="2"/>
          </rPr>
          <t>casselau:</t>
        </r>
        <r>
          <rPr>
            <sz val="9"/>
            <color indexed="81"/>
            <rFont val="Tahoma"/>
            <family val="2"/>
          </rPr>
          <t xml:space="preserve">
978 VS US; 97 PINK US; 28 VS canada; 10 PINK canada</t>
        </r>
      </text>
    </comment>
    <comment ref="L162" authorId="9">
      <text>
        <r>
          <rPr>
            <b/>
            <sz val="9"/>
            <color indexed="81"/>
            <rFont val="Tahoma"/>
            <family val="2"/>
          </rPr>
          <t>casselau:</t>
        </r>
        <r>
          <rPr>
            <sz val="9"/>
            <color indexed="81"/>
            <rFont val="Tahoma"/>
            <family val="2"/>
          </rPr>
          <t xml:space="preserve">
1555 US, 85 Canada</t>
        </r>
      </text>
    </comment>
    <comment ref="J163" authorId="9">
      <text>
        <r>
          <rPr>
            <b/>
            <sz val="9"/>
            <color indexed="81"/>
            <rFont val="Tahoma"/>
            <family val="2"/>
          </rPr>
          <t>casselau:</t>
        </r>
        <r>
          <rPr>
            <sz val="9"/>
            <color indexed="81"/>
            <rFont val="Tahoma"/>
            <family val="2"/>
          </rPr>
          <t xml:space="preserve">
11/6/14: 982 VS US, 114 PINK US, 30 VS Canada, 10 PINK Canada</t>
        </r>
      </text>
    </comment>
    <comment ref="L163" authorId="9">
      <text>
        <r>
          <rPr>
            <b/>
            <sz val="9"/>
            <color indexed="81"/>
            <rFont val="Tahoma"/>
            <family val="2"/>
          </rPr>
          <t>casselau:</t>
        </r>
        <r>
          <rPr>
            <sz val="9"/>
            <color indexed="81"/>
            <rFont val="Tahoma"/>
            <family val="2"/>
          </rPr>
          <t xml:space="preserve">
11/6/14: 1561 US, 88 Canada</t>
        </r>
      </text>
    </comment>
    <comment ref="H164" authorId="9">
      <text>
        <r>
          <rPr>
            <b/>
            <sz val="9"/>
            <color indexed="81"/>
            <rFont val="Tahoma"/>
            <family val="2"/>
          </rPr>
          <t>casselau:
8/20/14: 144</t>
        </r>
        <r>
          <rPr>
            <sz val="9"/>
            <color indexed="81"/>
            <rFont val="Tahoma"/>
            <family val="2"/>
          </rPr>
          <t xml:space="preserve">
guidance 148</t>
        </r>
      </text>
    </comment>
    <comment ref="J164" authorId="9">
      <text>
        <r>
          <rPr>
            <b/>
            <sz val="9"/>
            <color indexed="81"/>
            <rFont val="Tahoma"/>
            <family val="2"/>
          </rPr>
          <t>casselau:</t>
        </r>
        <r>
          <rPr>
            <sz val="9"/>
            <color indexed="81"/>
            <rFont val="Tahoma"/>
            <family val="2"/>
          </rPr>
          <t xml:space="preserve">
2/5/15: 983 VS US, 115 PINK US, 31 VS Canada, 10 PINK Canada</t>
        </r>
      </text>
    </comment>
    <comment ref="L164" authorId="9">
      <text>
        <r>
          <rPr>
            <b/>
            <sz val="9"/>
            <color indexed="81"/>
            <rFont val="Tahoma"/>
            <family val="2"/>
          </rPr>
          <t>casselau:</t>
        </r>
        <r>
          <rPr>
            <sz val="9"/>
            <color indexed="81"/>
            <rFont val="Tahoma"/>
            <family val="2"/>
          </rPr>
          <t xml:space="preserve">
2/5/15: 1558 US, 88 Canada</t>
        </r>
      </text>
    </comment>
    <comment ref="X164" authorId="9">
      <text>
        <r>
          <rPr>
            <b/>
            <sz val="9"/>
            <color indexed="81"/>
            <rFont val="Tahoma"/>
            <family val="2"/>
          </rPr>
          <t>casselau:
8/10/14: guidance 10 (8 VS 2 PINK)</t>
        </r>
        <r>
          <rPr>
            <sz val="9"/>
            <color indexed="81"/>
            <rFont val="Tahoma"/>
            <family val="2"/>
          </rPr>
          <t xml:space="preserve">
guidance 11 VS UK</t>
        </r>
      </text>
    </comment>
    <comment ref="DN164" authorId="9">
      <text>
        <r>
          <rPr>
            <b/>
            <sz val="8"/>
            <color indexed="81"/>
            <rFont val="Tahoma"/>
            <family val="2"/>
          </rPr>
          <t xml:space="preserve">casselau:
5/21/14: </t>
        </r>
        <r>
          <rPr>
            <sz val="8"/>
            <color indexed="81"/>
            <rFont val="Tahoma"/>
            <family val="2"/>
          </rPr>
          <t>307-314
10/16: 5 US, 345 ROW</t>
        </r>
      </text>
    </comment>
    <comment ref="DO164" authorId="9">
      <text>
        <r>
          <rPr>
            <b/>
            <sz val="8"/>
            <color indexed="81"/>
            <rFont val="Tahoma"/>
            <family val="2"/>
          </rPr>
          <t>casselau:</t>
        </r>
        <r>
          <rPr>
            <sz val="8"/>
            <color indexed="81"/>
            <rFont val="Tahoma"/>
            <family val="2"/>
          </rPr>
          <t xml:space="preserve">
10/16: 89 Canada, 94 franchise ROW</t>
        </r>
      </text>
    </comment>
    <comment ref="DP164" authorId="9">
      <text>
        <r>
          <rPr>
            <b/>
            <sz val="8"/>
            <color indexed="81"/>
            <rFont val="Tahoma"/>
            <family val="2"/>
          </rPr>
          <t xml:space="preserve">casselau:
5/21/14: </t>
        </r>
        <r>
          <rPr>
            <sz val="8"/>
            <color indexed="81"/>
            <rFont val="Tahoma"/>
            <family val="2"/>
          </rPr>
          <t>74-84
10/16: 89 Canada, 94 franchise ROW</t>
        </r>
      </text>
    </comment>
    <comment ref="DQ164" authorId="9">
      <text>
        <r>
          <rPr>
            <b/>
            <sz val="8"/>
            <color indexed="81"/>
            <rFont val="Tahoma"/>
            <family val="2"/>
          </rPr>
          <t>casselau:</t>
        </r>
        <r>
          <rPr>
            <sz val="8"/>
            <color indexed="81"/>
            <rFont val="Tahoma"/>
            <family val="2"/>
          </rPr>
          <t xml:space="preserve">
10/16: 41 VS Canada, 10 VS UK, 10 VS franchise;
29 are VS, 12 PINK</t>
        </r>
      </text>
    </comment>
    <comment ref="DR164" authorId="9">
      <text>
        <r>
          <rPr>
            <b/>
            <sz val="8"/>
            <color indexed="81"/>
            <rFont val="Tahoma"/>
            <family val="2"/>
          </rPr>
          <t>casselau:
5/21/14: 12-14 VS int'l + 11 VS UK</t>
        </r>
        <r>
          <rPr>
            <sz val="8"/>
            <color indexed="81"/>
            <rFont val="Tahoma"/>
            <family val="2"/>
          </rPr>
          <t xml:space="preserve">
10/16: 41 VS Canada, 10 VS UK, 10 VS UK franchise</t>
        </r>
      </text>
    </comment>
    <comment ref="DS164" authorId="9">
      <text>
        <r>
          <rPr>
            <b/>
            <sz val="8"/>
            <color indexed="81"/>
            <rFont val="Tahoma"/>
            <family val="2"/>
          </rPr>
          <t xml:space="preserve">casselau:
5/21/14: </t>
        </r>
        <r>
          <rPr>
            <sz val="8"/>
            <color indexed="81"/>
            <rFont val="Tahoma"/>
            <family val="2"/>
          </rPr>
          <t>290-300
10/16: 320</t>
        </r>
      </text>
    </comment>
    <comment ref="BC165" authorId="9">
      <text>
        <r>
          <rPr>
            <b/>
            <sz val="8"/>
            <color indexed="81"/>
            <rFont val="Tahoma"/>
            <family val="2"/>
          </rPr>
          <t xml:space="preserve">10/16: </t>
        </r>
        <r>
          <rPr>
            <sz val="8"/>
            <color indexed="81"/>
            <rFont val="Tahoma"/>
            <family val="2"/>
          </rPr>
          <t>5 in USA (10 rest of world franchise)</t>
        </r>
        <r>
          <rPr>
            <sz val="8"/>
            <color indexed="81"/>
            <rFont val="Tahoma"/>
            <family val="2"/>
          </rPr>
          <t xml:space="preserve">
</t>
        </r>
      </text>
    </comment>
    <comment ref="J167" authorId="9">
      <text>
        <r>
          <rPr>
            <b/>
            <sz val="9"/>
            <color indexed="81"/>
            <rFont val="Tahoma"/>
            <family val="2"/>
          </rPr>
          <t>casselau:</t>
        </r>
        <r>
          <rPr>
            <sz val="9"/>
            <color indexed="81"/>
            <rFont val="Tahoma"/>
            <family val="2"/>
          </rPr>
          <t xml:space="preserve">
984 VS US, 120 PINK US, 32 VS Canada, 10 PINK Canada</t>
        </r>
      </text>
    </comment>
    <comment ref="L167" authorId="9">
      <text>
        <r>
          <rPr>
            <b/>
            <sz val="9"/>
            <color indexed="81"/>
            <rFont val="Tahoma"/>
            <family val="2"/>
          </rPr>
          <t>casselau:</t>
        </r>
        <r>
          <rPr>
            <sz val="9"/>
            <color indexed="81"/>
            <rFont val="Tahoma"/>
            <family val="2"/>
          </rPr>
          <t xml:space="preserve">
1559 US, 89 Canada</t>
        </r>
      </text>
    </comment>
    <comment ref="X167" authorId="9">
      <text>
        <r>
          <rPr>
            <b/>
            <sz val="9"/>
            <color indexed="81"/>
            <rFont val="Tahoma"/>
            <family val="2"/>
          </rPr>
          <t>casselau:</t>
        </r>
        <r>
          <rPr>
            <sz val="9"/>
            <color indexed="81"/>
            <rFont val="Tahoma"/>
            <family val="2"/>
          </rPr>
          <t xml:space="preserve">
8 VS, 2 PINK</t>
        </r>
      </text>
    </comment>
    <comment ref="J168" authorId="9">
      <text>
        <r>
          <rPr>
            <b/>
            <sz val="9"/>
            <color indexed="81"/>
            <rFont val="Tahoma"/>
            <family val="2"/>
          </rPr>
          <t>casselau:</t>
        </r>
        <r>
          <rPr>
            <sz val="9"/>
            <color indexed="81"/>
            <rFont val="Tahoma"/>
            <family val="2"/>
          </rPr>
          <t xml:space="preserve">
983 US, 122 PINK US, 33 VS Canada, 10 PINK Canada</t>
        </r>
      </text>
    </comment>
    <comment ref="L168" authorId="9">
      <text>
        <r>
          <rPr>
            <b/>
            <sz val="9"/>
            <color indexed="81"/>
            <rFont val="Tahoma"/>
            <family val="2"/>
          </rPr>
          <t>casselau:</t>
        </r>
        <r>
          <rPr>
            <sz val="9"/>
            <color indexed="81"/>
            <rFont val="Tahoma"/>
            <family val="2"/>
          </rPr>
          <t xml:space="preserve">
1565 US, 91 Canada</t>
        </r>
      </text>
    </comment>
    <comment ref="J169" authorId="9">
      <text>
        <r>
          <rPr>
            <b/>
            <sz val="9"/>
            <color indexed="81"/>
            <rFont val="Tahoma"/>
            <family val="2"/>
          </rPr>
          <t>casselau:</t>
        </r>
        <r>
          <rPr>
            <sz val="9"/>
            <color indexed="81"/>
            <rFont val="Tahoma"/>
            <family val="2"/>
          </rPr>
          <t xml:space="preserve">
989 VS US, 127 PINK US, 35 VS Canada, 10 PINK Canada</t>
        </r>
      </text>
    </comment>
    <comment ref="L169" authorId="9">
      <text>
        <r>
          <rPr>
            <b/>
            <sz val="9"/>
            <color indexed="81"/>
            <rFont val="Tahoma"/>
            <family val="2"/>
          </rPr>
          <t>casselau:</t>
        </r>
        <r>
          <rPr>
            <sz val="9"/>
            <color indexed="81"/>
            <rFont val="Tahoma"/>
            <family val="2"/>
          </rPr>
          <t xml:space="preserve">
1573 US 98 Canada</t>
        </r>
      </text>
    </comment>
    <comment ref="J170" authorId="9">
      <text>
        <r>
          <rPr>
            <b/>
            <sz val="9"/>
            <color indexed="81"/>
            <rFont val="Tahoma"/>
            <family val="2"/>
          </rPr>
          <t xml:space="preserve">casselau:
2/4/16: 990 VS US, 128 PINK US, 37 VS Canada, 9 PINK Canada
</t>
        </r>
        <r>
          <rPr>
            <sz val="9"/>
            <color indexed="81"/>
            <rFont val="Tahoma"/>
            <family val="2"/>
          </rPr>
          <t xml:space="preserve">
2/25/15: 990 VS US, 129 PINK US, 37 VS Canada, 9 PINK Canada
</t>
        </r>
      </text>
    </comment>
    <comment ref="L170" authorId="9">
      <text>
        <r>
          <rPr>
            <b/>
            <sz val="9"/>
            <color indexed="81"/>
            <rFont val="Tahoma"/>
            <family val="2"/>
          </rPr>
          <t>casselau:
2/24/16: 1574 US, 98 Canada</t>
        </r>
        <r>
          <rPr>
            <sz val="9"/>
            <color indexed="81"/>
            <rFont val="Tahoma"/>
            <family val="2"/>
          </rPr>
          <t xml:space="preserve">
2/25/15: 1572 US, 98 Canada</t>
        </r>
      </text>
    </comment>
    <comment ref="X170" authorId="9">
      <text>
        <r>
          <rPr>
            <b/>
            <sz val="9"/>
            <color indexed="81"/>
            <rFont val="Tahoma"/>
            <family val="2"/>
          </rPr>
          <t>casselau:</t>
        </r>
        <r>
          <rPr>
            <sz val="9"/>
            <color indexed="81"/>
            <rFont val="Tahoma"/>
            <family val="2"/>
          </rPr>
          <t xml:space="preserve">
2 PINK, 12 VS</t>
        </r>
      </text>
    </comment>
    <comment ref="BQ171" authorId="9">
      <text>
        <r>
          <rPr>
            <b/>
            <sz val="9"/>
            <color indexed="81"/>
            <rFont val="Tahoma"/>
            <family val="2"/>
          </rPr>
          <t>casselau:</t>
        </r>
        <r>
          <rPr>
            <sz val="9"/>
            <color indexed="81"/>
            <rFont val="Tahoma"/>
            <family val="2"/>
          </rPr>
          <t xml:space="preserve">
</t>
        </r>
      </text>
    </comment>
    <comment ref="J173" authorId="10">
      <text>
        <r>
          <rPr>
            <b/>
            <sz val="9"/>
            <color indexed="81"/>
            <rFont val="Tahoma"/>
            <family val="2"/>
          </rPr>
          <t>Cassel, Lauren (Research):</t>
        </r>
        <r>
          <rPr>
            <sz val="9"/>
            <color indexed="81"/>
            <rFont val="Tahoma"/>
            <family val="2"/>
          </rPr>
          <t xml:space="preserve">
992 VS US, 129 PINK US, 37 VS Canada, 9 PINK Canada</t>
        </r>
      </text>
    </comment>
    <comment ref="L173" authorId="10">
      <text>
        <r>
          <rPr>
            <b/>
            <sz val="9"/>
            <color indexed="81"/>
            <rFont val="Tahoma"/>
            <family val="2"/>
          </rPr>
          <t>Cassel, Lauren (Research):</t>
        </r>
        <r>
          <rPr>
            <sz val="9"/>
            <color indexed="81"/>
            <rFont val="Tahoma"/>
            <family val="2"/>
          </rPr>
          <t xml:space="preserve">
1576 US, 99 Canada</t>
        </r>
      </text>
    </comment>
    <comment ref="X173" authorId="10">
      <text>
        <r>
          <rPr>
            <b/>
            <sz val="9"/>
            <color indexed="81"/>
            <rFont val="Tahoma"/>
            <family val="2"/>
          </rPr>
          <t>Cassel, Lauren (Research):</t>
        </r>
        <r>
          <rPr>
            <sz val="9"/>
            <color indexed="81"/>
            <rFont val="Tahoma"/>
            <family val="2"/>
          </rPr>
          <t xml:space="preserve">
Acquired 27 VSBA stores
12 VS UK, 3 PINK UK, 27 VSBA</t>
        </r>
      </text>
    </comment>
    <comment ref="BQ173" authorId="10">
      <text>
        <r>
          <rPr>
            <b/>
            <sz val="9"/>
            <color indexed="81"/>
            <rFont val="Tahoma"/>
            <family val="2"/>
          </rPr>
          <t>Cassel, Lauren (Research):</t>
        </r>
        <r>
          <rPr>
            <sz val="9"/>
            <color indexed="81"/>
            <rFont val="Tahoma"/>
            <family val="2"/>
          </rPr>
          <t xml:space="preserve">
acquired 26 VSBA</t>
        </r>
      </text>
    </comment>
    <comment ref="J174" authorId="10">
      <text>
        <r>
          <rPr>
            <b/>
            <sz val="9"/>
            <color indexed="81"/>
            <rFont val="Tahoma"/>
            <family val="2"/>
          </rPr>
          <t>Cassel, Lauren (Research):</t>
        </r>
        <r>
          <rPr>
            <sz val="9"/>
            <color indexed="81"/>
            <rFont val="Tahoma"/>
            <family val="2"/>
          </rPr>
          <t xml:space="preserve">
993 VS US, 130 PINK US, VS Canada 37, PINK Canada 9</t>
        </r>
      </text>
    </comment>
    <comment ref="X174" authorId="10">
      <text>
        <r>
          <rPr>
            <b/>
            <sz val="9"/>
            <color indexed="81"/>
            <rFont val="Tahoma"/>
            <family val="2"/>
          </rPr>
          <t>Cassel, Lauren (Research):</t>
        </r>
        <r>
          <rPr>
            <sz val="9"/>
            <color indexed="81"/>
            <rFont val="Tahoma"/>
            <family val="2"/>
          </rPr>
          <t xml:space="preserve">
28 VSBA, 3 Pink UK, 13 VS UK</t>
        </r>
      </text>
    </comment>
    <comment ref="H175" authorId="10">
      <text>
        <r>
          <rPr>
            <b/>
            <sz val="9"/>
            <color indexed="81"/>
            <rFont val="Tahoma"/>
            <family val="2"/>
          </rPr>
          <t>Cassel, Lauren (Research):</t>
        </r>
        <r>
          <rPr>
            <sz val="9"/>
            <color indexed="81"/>
            <rFont val="Tahoma"/>
            <family val="2"/>
          </rPr>
          <t xml:space="preserve">
125 Canada, 3 US</t>
        </r>
      </text>
    </comment>
    <comment ref="J175" authorId="10">
      <text>
        <r>
          <rPr>
            <b/>
            <sz val="9"/>
            <color indexed="81"/>
            <rFont val="Tahoma"/>
            <family val="2"/>
          </rPr>
          <t>Cassel, Lauren (Research):</t>
        </r>
        <r>
          <rPr>
            <sz val="9"/>
            <color indexed="81"/>
            <rFont val="Tahoma"/>
            <family val="2"/>
          </rPr>
          <t xml:space="preserve">
998 VS US, 132 PINK US, 37 VS Canada, 9 PINK Canada</t>
        </r>
      </text>
    </comment>
    <comment ref="L175" authorId="10">
      <text>
        <r>
          <rPr>
            <b/>
            <sz val="9"/>
            <color indexed="81"/>
            <rFont val="Tahoma"/>
            <family val="2"/>
          </rPr>
          <t>Cassel, Lauren (Research):</t>
        </r>
        <r>
          <rPr>
            <sz val="9"/>
            <color indexed="81"/>
            <rFont val="Tahoma"/>
            <family val="2"/>
          </rPr>
          <t xml:space="preserve">
1592 US, 102 Canada</t>
        </r>
      </text>
    </comment>
    <comment ref="X175" authorId="10">
      <text>
        <r>
          <rPr>
            <b/>
            <sz val="9"/>
            <color indexed="81"/>
            <rFont val="Tahoma"/>
            <family val="2"/>
          </rPr>
          <t>Cassel, Lauren (Research):</t>
        </r>
        <r>
          <rPr>
            <sz val="9"/>
            <color indexed="81"/>
            <rFont val="Tahoma"/>
            <family val="2"/>
          </rPr>
          <t xml:space="preserve">
14 VS UK, 3 PINK UK, 29 VSBA</t>
        </r>
      </text>
    </comment>
    <comment ref="H176" authorId="10">
      <text>
        <r>
          <rPr>
            <b/>
            <sz val="9"/>
            <color indexed="81"/>
            <rFont val="Tahoma"/>
            <family val="2"/>
          </rPr>
          <t>Cassel, Lauren (Research):
2/22/17: 122 Canada 4 US
11/16/16: 127 (including 4 US)</t>
        </r>
        <r>
          <rPr>
            <sz val="9"/>
            <color indexed="81"/>
            <rFont val="Tahoma"/>
            <family val="2"/>
          </rPr>
          <t xml:space="preserve">
5/18/16: guidance 125</t>
        </r>
      </text>
    </comment>
    <comment ref="J176" authorId="10">
      <text>
        <r>
          <rPr>
            <b/>
            <sz val="9"/>
            <color indexed="81"/>
            <rFont val="Tahoma"/>
            <family val="2"/>
          </rPr>
          <t>Cassel, Lauren (Research):
2/2/17: 998 VS US, 133 PINK US, 37 VS Canada, 9 PINK Canada
11/16/16: guidance 999 VS US, 132 PINK US, VS Canada 37, PINK Canada 9
8/17/16: guidance 998 VS US, 132 PINK US, 37 VS Canada, 9 PINK Canada</t>
        </r>
        <r>
          <rPr>
            <sz val="9"/>
            <color indexed="81"/>
            <rFont val="Tahoma"/>
            <family val="2"/>
          </rPr>
          <t xml:space="preserve">
5/18/16: guidance 997 VS US, 130 PINK US, 37 VS Canada, 9 PINK Canada</t>
        </r>
      </text>
    </comment>
    <comment ref="L176" authorId="10">
      <text>
        <r>
          <rPr>
            <b/>
            <sz val="9"/>
            <color indexed="81"/>
            <rFont val="Tahoma"/>
            <family val="2"/>
          </rPr>
          <t>Cassel, Lauren (Research):
2/2/17: 1591 US, 102 Canada; 240 new concept stores at the end of the year
11/16/16: 1592 US, 103 Canada
8/17/16: guidance 1697 (103 Canada)</t>
        </r>
        <r>
          <rPr>
            <sz val="9"/>
            <color indexed="81"/>
            <rFont val="Tahoma"/>
            <family val="2"/>
          </rPr>
          <t xml:space="preserve">
5/18/16: guidance 1695</t>
        </r>
      </text>
    </comment>
    <comment ref="X176" authorId="10">
      <text>
        <r>
          <rPr>
            <b/>
            <sz val="9"/>
            <color indexed="81"/>
            <rFont val="Tahoma"/>
            <family val="2"/>
          </rPr>
          <t xml:space="preserve">Cassel, Lauren (Research):
11/16/16: 15 VS UK, 3 PINK uk, 31 VSBA China/HK
</t>
        </r>
        <r>
          <rPr>
            <sz val="9"/>
            <color indexed="81"/>
            <rFont val="Tahoma"/>
            <family val="2"/>
          </rPr>
          <t>8/17/16: 16 VS UK, 3 PINK UK, 31 China/HK
5/18/16: guidance 16 VS UK, 3 PINK UK, 2 VS China, 31 VSBA China</t>
        </r>
      </text>
    </comment>
    <comment ref="AQ176" authorId="10">
      <text>
        <r>
          <rPr>
            <b/>
            <sz val="9"/>
            <color indexed="81"/>
            <rFont val="Tahoma"/>
            <family val="2"/>
          </rPr>
          <t>Cassel, Lauren (Research):</t>
        </r>
        <r>
          <rPr>
            <sz val="9"/>
            <color indexed="81"/>
            <rFont val="Tahoma"/>
            <family val="2"/>
          </rPr>
          <t xml:space="preserve">
5/18/16: guidance 3074</t>
        </r>
      </text>
    </comment>
    <comment ref="BQ177" authorId="10">
      <text>
        <r>
          <rPr>
            <b/>
            <sz val="9"/>
            <color indexed="81"/>
            <rFont val="Tahoma"/>
            <family val="2"/>
          </rPr>
          <t>Cassel, Lauren (Research):</t>
        </r>
        <r>
          <rPr>
            <sz val="9"/>
            <color indexed="81"/>
            <rFont val="Tahoma"/>
            <family val="2"/>
          </rPr>
          <t xml:space="preserve">
open 12-15; transferred 26</t>
        </r>
      </text>
    </comment>
    <comment ref="H179" authorId="10">
      <text>
        <r>
          <rPr>
            <b/>
            <sz val="9"/>
            <color indexed="81"/>
            <rFont val="Tahoma"/>
            <family val="2"/>
          </rPr>
          <t>Cassel, Lauren (Research):</t>
        </r>
        <r>
          <rPr>
            <sz val="9"/>
            <color indexed="81"/>
            <rFont val="Tahoma"/>
            <family val="2"/>
          </rPr>
          <t xml:space="preserve">
121 Canada, 4 US</t>
        </r>
      </text>
    </comment>
    <comment ref="J179" authorId="10">
      <text>
        <r>
          <rPr>
            <b/>
            <sz val="9"/>
            <color indexed="81"/>
            <rFont val="Tahoma"/>
            <family val="2"/>
          </rPr>
          <t>Cassel, Lauren (Research):</t>
        </r>
        <r>
          <rPr>
            <sz val="9"/>
            <color indexed="81"/>
            <rFont val="Tahoma"/>
            <family val="2"/>
          </rPr>
          <t xml:space="preserve">
999 VS US, 133 PINK US, 38 VS Canada, 8 PINK Canada</t>
        </r>
      </text>
    </comment>
    <comment ref="L179" authorId="10">
      <text>
        <r>
          <rPr>
            <b/>
            <sz val="9"/>
            <color indexed="81"/>
            <rFont val="Tahoma"/>
            <family val="2"/>
          </rPr>
          <t>Cassel, Lauren (Research):</t>
        </r>
        <r>
          <rPr>
            <sz val="9"/>
            <color indexed="81"/>
            <rFont val="Tahoma"/>
            <family val="2"/>
          </rPr>
          <t xml:space="preserve">
1595 US, 102 Canada</t>
        </r>
      </text>
    </comment>
    <comment ref="X179" authorId="10">
      <text>
        <r>
          <rPr>
            <b/>
            <sz val="9"/>
            <color indexed="81"/>
            <rFont val="Tahoma"/>
            <family val="2"/>
          </rPr>
          <t>Cassel, Lauren (Research):
5/4/17: 15 VS UK, 3 PINK UK, 31 VSBA China, 2 VS China</t>
        </r>
        <r>
          <rPr>
            <sz val="9"/>
            <color indexed="81"/>
            <rFont val="Tahoma"/>
            <family val="2"/>
          </rPr>
          <t xml:space="preserve">
5/18/16: guidance 16 VS UK, 3 PINK UK, 2 VS China, 31 VSBA China</t>
        </r>
      </text>
    </comment>
    <comment ref="H180" authorId="10">
      <text>
        <r>
          <rPr>
            <b/>
            <sz val="9"/>
            <color indexed="81"/>
            <rFont val="Tahoma"/>
            <family val="2"/>
          </rPr>
          <t>Cassel, Lauren (Research):</t>
        </r>
        <r>
          <rPr>
            <sz val="9"/>
            <color indexed="81"/>
            <rFont val="Tahoma"/>
            <family val="2"/>
          </rPr>
          <t xml:space="preserve">
4 US, 121 Canada</t>
        </r>
      </text>
    </comment>
    <comment ref="J180" authorId="10">
      <text>
        <r>
          <rPr>
            <b/>
            <sz val="9"/>
            <color indexed="81"/>
            <rFont val="Tahoma"/>
            <family val="2"/>
          </rPr>
          <t>Cassel, Lauren (Research):</t>
        </r>
        <r>
          <rPr>
            <sz val="9"/>
            <color indexed="81"/>
            <rFont val="Tahoma"/>
            <family val="2"/>
          </rPr>
          <t xml:space="preserve">
994 VS US, 134 PINK US, 39 VS Canada, 7 PINK Canada</t>
        </r>
      </text>
    </comment>
    <comment ref="L180" authorId="10">
      <text>
        <r>
          <rPr>
            <b/>
            <sz val="9"/>
            <color indexed="81"/>
            <rFont val="Tahoma"/>
            <family val="2"/>
          </rPr>
          <t>Cassel, Lauren (Research):</t>
        </r>
        <r>
          <rPr>
            <sz val="9"/>
            <color indexed="81"/>
            <rFont val="Tahoma"/>
            <family val="2"/>
          </rPr>
          <t xml:space="preserve">
1596 US, 102 Canada
357 new format stores; 420 by the end of the year </t>
        </r>
      </text>
    </comment>
    <comment ref="X180" authorId="10">
      <text>
        <r>
          <rPr>
            <b/>
            <sz val="9"/>
            <color indexed="81"/>
            <rFont val="Tahoma"/>
            <family val="2"/>
          </rPr>
          <t>Cassel, Lauren (Research):</t>
        </r>
        <r>
          <rPr>
            <sz val="9"/>
            <color indexed="81"/>
            <rFont val="Tahoma"/>
            <family val="2"/>
          </rPr>
          <t xml:space="preserve">
16 VS UK, 3 PINK UK, 30 VSBA, 2 VS China</t>
        </r>
      </text>
    </comment>
    <comment ref="J181" authorId="10">
      <text>
        <r>
          <rPr>
            <b/>
            <sz val="9"/>
            <color indexed="81"/>
            <rFont val="Tahoma"/>
            <family val="2"/>
          </rPr>
          <t>Cassel, Lauren (Research):</t>
        </r>
        <r>
          <rPr>
            <sz val="9"/>
            <color indexed="81"/>
            <rFont val="Tahoma"/>
            <family val="2"/>
          </rPr>
          <t xml:space="preserve">
993 VS US, 139 PINK US, 39 VS Canada, 7 PINK Canada</t>
        </r>
      </text>
    </comment>
    <comment ref="L181" authorId="10">
      <text>
        <r>
          <rPr>
            <b/>
            <sz val="9"/>
            <color indexed="81"/>
            <rFont val="Tahoma"/>
            <family val="2"/>
          </rPr>
          <t>Cassel, Lauren (Research):</t>
        </r>
        <r>
          <rPr>
            <sz val="9"/>
            <color indexed="81"/>
            <rFont val="Tahoma"/>
            <family val="2"/>
          </rPr>
          <t xml:space="preserve">
1602 US, 102 Canada; opened or remodeled 51 addiitonal stores in the fleet; 408 new concept stores at end of the quarter</t>
        </r>
      </text>
    </comment>
    <comment ref="X181" authorId="10">
      <text>
        <r>
          <rPr>
            <b/>
            <sz val="9"/>
            <color indexed="81"/>
            <rFont val="Tahoma"/>
            <family val="2"/>
          </rPr>
          <t>Cassel, Lauren (Research):</t>
        </r>
        <r>
          <rPr>
            <sz val="9"/>
            <color indexed="81"/>
            <rFont val="Tahoma"/>
            <family val="2"/>
          </rPr>
          <t xml:space="preserve">
16 VS UK, 5 PINK UK, 29 VSBA China, 2 VS China</t>
        </r>
      </text>
    </comment>
    <comment ref="H182" authorId="10">
      <text>
        <r>
          <rPr>
            <b/>
            <sz val="9"/>
            <color indexed="81"/>
            <rFont val="Tahoma"/>
            <family val="2"/>
          </rPr>
          <t>Cassel, Lauren (Research):
2/8/2018: 5 US, 119 Canada
8/17/17: 5 US, 119 Canada
5/17/17: 5 US, 116 Canada</t>
        </r>
        <r>
          <rPr>
            <sz val="9"/>
            <color indexed="81"/>
            <rFont val="Tahoma"/>
            <family val="2"/>
          </rPr>
          <t xml:space="preserve">
2/22/17: 7 US, 119 Canada</t>
        </r>
      </text>
    </comment>
    <comment ref="J182" authorId="10">
      <text>
        <r>
          <rPr>
            <b/>
            <sz val="9"/>
            <color indexed="81"/>
            <rFont val="Tahoma"/>
            <family val="2"/>
          </rPr>
          <t>Cassel, Lauren (Research):
2/8/18: 984 VS US, 140 PINK US, 39 VS Canada, 7 PINK Canada
8/17/17: 990 VS US, 139 PINK US, 39 VS Canada, 7 PINK CAnada</t>
        </r>
        <r>
          <rPr>
            <sz val="9"/>
            <color indexed="81"/>
            <rFont val="Tahoma"/>
            <family val="2"/>
          </rPr>
          <t xml:space="preserve">
2/22/17: 994 VS US, 140 PINK US, 39 VS Canada, 7 PINK CAnada</t>
        </r>
      </text>
    </comment>
    <comment ref="L182" authorId="10">
      <text>
        <r>
          <rPr>
            <b/>
            <sz val="9"/>
            <color indexed="81"/>
            <rFont val="Tahoma"/>
            <family val="2"/>
          </rPr>
          <t xml:space="preserve">Cassel, Lauren (Research):
2/28/18: During the quarter, we continued our real estate initiative by opening or
remodeling 18 additional stores in our fleet, bringing the number of new
concept stores to 425 at the end of the year.
2/8/18: 1592 US, 102 Canada
8/17/17: 1607 US, 102 Canada; expect to end the year with 430 stores in new concept (either in a shop by shop or side by side)
</t>
        </r>
        <r>
          <rPr>
            <sz val="9"/>
            <color indexed="81"/>
            <rFont val="Tahoma"/>
            <family val="2"/>
          </rPr>
          <t xml:space="preserve">
5/18/17: 1606 US, 102 Canada</t>
        </r>
      </text>
    </comment>
    <comment ref="X182" authorId="10">
      <text>
        <r>
          <rPr>
            <b/>
            <sz val="9"/>
            <color indexed="81"/>
            <rFont val="Tahoma"/>
            <family val="2"/>
          </rPr>
          <t>Cassel, Lauren (Research):
2/8/18: 19 VS UK/Ireland, 5 PINK UK, 32 VSBA China, 7 VS China
8/15/17: 18 VS UK, 5 PINK UK, 30 VSBA HK, VSFA 6</t>
        </r>
        <r>
          <rPr>
            <sz val="9"/>
            <color indexed="81"/>
            <rFont val="Tahoma"/>
            <family val="2"/>
          </rPr>
          <t xml:space="preserve">
2/22/17: 19 VS UK, 4 PINK UK, 25 VSBA HK, VSFA 6</t>
        </r>
      </text>
    </comment>
    <comment ref="H188" authorId="10">
      <text>
        <r>
          <rPr>
            <b/>
            <sz val="9"/>
            <color indexed="81"/>
            <rFont val="Tahoma"/>
            <family val="2"/>
          </rPr>
          <t>Cassel, Lauren (Research):</t>
        </r>
        <r>
          <rPr>
            <sz val="9"/>
            <color indexed="81"/>
            <rFont val="Tahoma"/>
            <family val="2"/>
          </rPr>
          <t xml:space="preserve">
2/28/18: guidance 127</t>
        </r>
      </text>
    </comment>
    <comment ref="J188" authorId="10">
      <text>
        <r>
          <rPr>
            <b/>
            <sz val="9"/>
            <color indexed="81"/>
            <rFont val="Tahoma"/>
            <family val="2"/>
          </rPr>
          <t>Cassel, Lauren (Research):</t>
        </r>
        <r>
          <rPr>
            <sz val="9"/>
            <color indexed="81"/>
            <rFont val="Tahoma"/>
            <family val="2"/>
          </rPr>
          <t xml:space="preserve">
2/28/18: guidance 1724 (1621 US, 103 Canada)</t>
        </r>
      </text>
    </comment>
    <comment ref="L188" authorId="10">
      <text>
        <r>
          <rPr>
            <b/>
            <sz val="9"/>
            <color indexed="81"/>
            <rFont val="Tahoma"/>
            <family val="2"/>
          </rPr>
          <t>Cassel, Lauren (Research):</t>
        </r>
        <r>
          <rPr>
            <sz val="9"/>
            <color indexed="81"/>
            <rFont val="Tahoma"/>
            <family val="2"/>
          </rPr>
          <t xml:space="preserve">
2/28/18: guidance 1161 - 973 VS US, 143 PINK US, 39 VS Canada, 6 PINK canada</t>
        </r>
      </text>
    </comment>
    <comment ref="X188" authorId="10">
      <text>
        <r>
          <rPr>
            <b/>
            <sz val="9"/>
            <color indexed="81"/>
            <rFont val="Tahoma"/>
            <family val="2"/>
          </rPr>
          <t>Cassel, Lauren (Research):</t>
        </r>
        <r>
          <rPr>
            <sz val="9"/>
            <color indexed="81"/>
            <rFont val="Tahoma"/>
            <family val="2"/>
          </rPr>
          <t xml:space="preserve">
2/28/18: guidance 78: 21 VS UK, 6 PINK UK, 16 VS China, 33 VSBA China</t>
        </r>
      </text>
    </comment>
    <comment ref="AQ193" authorId="1">
      <text>
        <r>
          <rPr>
            <b/>
            <sz val="8"/>
            <color indexed="81"/>
            <rFont val="Tahoma"/>
            <family val="2"/>
          </rPr>
          <t>dliu:</t>
        </r>
        <r>
          <rPr>
            <sz val="8"/>
            <color indexed="81"/>
            <rFont val="Tahoma"/>
            <family val="2"/>
          </rPr>
          <t xml:space="preserve">
13.329 mm incl Lerner Woman</t>
        </r>
      </text>
    </comment>
    <comment ref="AL248" authorId="1">
      <text>
        <r>
          <rPr>
            <b/>
            <sz val="8"/>
            <color indexed="81"/>
            <rFont val="Tahoma"/>
            <family val="2"/>
          </rPr>
          <t>dliu:</t>
        </r>
        <r>
          <rPr>
            <sz val="8"/>
            <color indexed="81"/>
            <rFont val="Tahoma"/>
            <family val="2"/>
          </rPr>
          <t xml:space="preserve">
ANF split off in May 98 via tax-free exchange offer</t>
        </r>
      </text>
    </comment>
    <comment ref="CD274" authorId="2">
      <text>
        <r>
          <rPr>
            <sz val="8"/>
            <color indexed="81"/>
            <rFont val="Tahoma"/>
            <family val="2"/>
          </rPr>
          <t xml:space="preserve">
dual gender conversion</t>
        </r>
      </text>
    </comment>
    <comment ref="CQ274" authorId="2">
      <text>
        <r>
          <rPr>
            <sz val="8"/>
            <color indexed="81"/>
            <rFont val="Tahoma"/>
            <family val="2"/>
          </rPr>
          <t>incl 25K reduction through reconstruction</t>
        </r>
      </text>
    </comment>
    <comment ref="J279" authorId="1">
      <text>
        <r>
          <rPr>
            <b/>
            <sz val="8"/>
            <color indexed="81"/>
            <rFont val="Tahoma"/>
            <family val="2"/>
          </rPr>
          <t>dliu:</t>
        </r>
        <r>
          <rPr>
            <sz val="8"/>
            <color indexed="81"/>
            <rFont val="Tahoma"/>
            <family val="2"/>
          </rPr>
          <t xml:space="preserve">
had 4.69</t>
        </r>
      </text>
    </comment>
    <comment ref="L279" authorId="1">
      <text>
        <r>
          <rPr>
            <b/>
            <sz val="8"/>
            <color indexed="81"/>
            <rFont val="Tahoma"/>
            <family val="2"/>
          </rPr>
          <t>dliu:</t>
        </r>
        <r>
          <rPr>
            <sz val="8"/>
            <color indexed="81"/>
            <rFont val="Tahoma"/>
            <family val="2"/>
          </rPr>
          <t xml:space="preserve">
had 3.56</t>
        </r>
      </text>
    </comment>
    <comment ref="N279" authorId="1">
      <text>
        <r>
          <rPr>
            <b/>
            <sz val="8"/>
            <color indexed="81"/>
            <rFont val="Tahoma"/>
            <family val="2"/>
          </rPr>
          <t>dliu:</t>
        </r>
        <r>
          <rPr>
            <sz val="8"/>
            <color indexed="81"/>
            <rFont val="Tahoma"/>
            <family val="2"/>
          </rPr>
          <t xml:space="preserve">
had 3.62</t>
        </r>
      </text>
    </comment>
    <comment ref="P279" authorId="1">
      <text>
        <r>
          <rPr>
            <b/>
            <sz val="8"/>
            <color indexed="81"/>
            <rFont val="Tahoma"/>
            <family val="2"/>
          </rPr>
          <t>dliu:</t>
        </r>
        <r>
          <rPr>
            <sz val="8"/>
            <color indexed="81"/>
            <rFont val="Tahoma"/>
            <family val="2"/>
          </rPr>
          <t xml:space="preserve">
had 1.29</t>
        </r>
      </text>
    </comment>
    <comment ref="R279" authorId="1">
      <text>
        <r>
          <rPr>
            <b/>
            <sz val="8"/>
            <color indexed="81"/>
            <rFont val="Tahoma"/>
            <family val="2"/>
          </rPr>
          <t>dliu:</t>
        </r>
        <r>
          <rPr>
            <sz val="8"/>
            <color indexed="81"/>
            <rFont val="Tahoma"/>
            <family val="2"/>
          </rPr>
          <t xml:space="preserve">
supposed to be 18 closed but plugged 23 to get total co. sq ft. in better trend line, descending from 16.03 to 16.02 to 16.01; (vs. 16.03 to 15.95 to 16.01). Had 0.77</t>
        </r>
      </text>
    </comment>
    <comment ref="T279" authorId="1">
      <text>
        <r>
          <rPr>
            <b/>
            <sz val="8"/>
            <color indexed="81"/>
            <rFont val="Tahoma"/>
            <family val="2"/>
          </rPr>
          <t>dliu:</t>
        </r>
        <r>
          <rPr>
            <sz val="8"/>
            <color indexed="81"/>
            <rFont val="Tahoma"/>
            <family val="2"/>
          </rPr>
          <t xml:space="preserve">
had 2.11</t>
        </r>
      </text>
    </comment>
    <comment ref="R280" authorId="1">
      <text>
        <r>
          <rPr>
            <b/>
            <sz val="8"/>
            <color indexed="81"/>
            <rFont val="Tahoma"/>
            <family val="2"/>
          </rPr>
          <t>dliu:</t>
        </r>
        <r>
          <rPr>
            <sz val="8"/>
            <color indexed="81"/>
            <rFont val="Tahoma"/>
            <family val="2"/>
          </rPr>
          <t xml:space="preserve">
this # is bigger by 6 stores. At Update mtg mgmt indicated will end yr with 93 stores vs. 99 in original handout at beg of yr</t>
        </r>
      </text>
    </comment>
    <comment ref="H301" authorId="4">
      <text>
        <r>
          <rPr>
            <b/>
            <sz val="8"/>
            <color indexed="81"/>
            <rFont val="Tahoma"/>
            <family val="2"/>
          </rPr>
          <t>mm98285:</t>
        </r>
        <r>
          <rPr>
            <sz val="8"/>
            <color indexed="81"/>
            <rFont val="Tahoma"/>
            <family val="2"/>
          </rPr>
          <t xml:space="preserve">
avg store size 3,000</t>
        </r>
      </text>
    </comment>
    <comment ref="H304" authorId="4">
      <text>
        <r>
          <rPr>
            <b/>
            <sz val="8"/>
            <color indexed="81"/>
            <rFont val="Tahoma"/>
            <family val="2"/>
          </rPr>
          <t>mm98285:</t>
        </r>
        <r>
          <rPr>
            <sz val="8"/>
            <color indexed="81"/>
            <rFont val="Tahoma"/>
            <family val="2"/>
          </rPr>
          <t xml:space="preserve">
0.930
</t>
        </r>
      </text>
    </comment>
    <comment ref="I304" authorId="4">
      <text>
        <r>
          <rPr>
            <b/>
            <sz val="8"/>
            <color indexed="81"/>
            <rFont val="Tahoma"/>
            <family val="2"/>
          </rPr>
          <t>mm98285:</t>
        </r>
        <r>
          <rPr>
            <sz val="8"/>
            <color indexed="81"/>
            <rFont val="Tahoma"/>
            <family val="2"/>
          </rPr>
          <t xml:space="preserve">
2006 10K: expect 12% sq ft growth from 32 new stores</t>
        </r>
      </text>
    </comment>
    <comment ref="J304" authorId="4">
      <text>
        <r>
          <rPr>
            <b/>
            <sz val="8"/>
            <color indexed="81"/>
            <rFont val="Tahoma"/>
            <family val="2"/>
          </rPr>
          <t>mm98285:</t>
        </r>
        <r>
          <rPr>
            <sz val="8"/>
            <color indexed="81"/>
            <rFont val="Tahoma"/>
            <family val="2"/>
          </rPr>
          <t xml:space="preserve">
5.596</t>
        </r>
      </text>
    </comment>
    <comment ref="L304" authorId="4">
      <text>
        <r>
          <rPr>
            <b/>
            <sz val="8"/>
            <color indexed="81"/>
            <rFont val="Tahoma"/>
            <family val="2"/>
          </rPr>
          <t>mm98285:</t>
        </r>
        <r>
          <rPr>
            <sz val="8"/>
            <color indexed="81"/>
            <rFont val="Tahoma"/>
            <family val="2"/>
          </rPr>
          <t xml:space="preserve">
3.728+.038=3.766</t>
        </r>
      </text>
    </comment>
    <comment ref="N304" authorId="4">
      <text>
        <r>
          <rPr>
            <b/>
            <sz val="8"/>
            <color indexed="81"/>
            <rFont val="Tahoma"/>
            <family val="2"/>
          </rPr>
          <t>mm98285:</t>
        </r>
        <r>
          <rPr>
            <sz val="8"/>
            <color indexed="81"/>
            <rFont val="Tahoma"/>
            <family val="2"/>
          </rPr>
          <t xml:space="preserve">
.417</t>
        </r>
      </text>
    </comment>
    <comment ref="P304" authorId="4">
      <text>
        <r>
          <rPr>
            <b/>
            <sz val="8"/>
            <color indexed="81"/>
            <rFont val="Tahoma"/>
            <family val="2"/>
          </rPr>
          <t>mm98285:</t>
        </r>
        <r>
          <rPr>
            <sz val="8"/>
            <color indexed="81"/>
            <rFont val="Tahoma"/>
            <family val="2"/>
          </rPr>
          <t xml:space="preserve">
.156</t>
        </r>
      </text>
    </comment>
    <comment ref="R304" authorId="4">
      <text>
        <r>
          <rPr>
            <b/>
            <sz val="8"/>
            <color indexed="81"/>
            <rFont val="Tahoma"/>
            <family val="2"/>
          </rPr>
          <t>mm98285:</t>
        </r>
        <r>
          <rPr>
            <sz val="8"/>
            <color indexed="81"/>
            <rFont val="Tahoma"/>
            <family val="2"/>
          </rPr>
          <t xml:space="preserve">
3.411</t>
        </r>
      </text>
    </comment>
    <comment ref="T304" authorId="4">
      <text>
        <r>
          <rPr>
            <b/>
            <sz val="8"/>
            <color indexed="81"/>
            <rFont val="Tahoma"/>
            <family val="2"/>
          </rPr>
          <t>mm98285:</t>
        </r>
        <r>
          <rPr>
            <sz val="8"/>
            <color indexed="81"/>
            <rFont val="Tahoma"/>
            <family val="2"/>
          </rPr>
          <t xml:space="preserve">
1.255</t>
        </r>
      </text>
    </comment>
    <comment ref="V304" authorId="4">
      <text>
        <r>
          <rPr>
            <b/>
            <sz val="8"/>
            <color indexed="81"/>
            <rFont val="Tahoma"/>
            <family val="2"/>
          </rPr>
          <t>mm98285:</t>
        </r>
        <r>
          <rPr>
            <sz val="8"/>
            <color indexed="81"/>
            <rFont val="Tahoma"/>
            <family val="2"/>
          </rPr>
          <t xml:space="preserve">
0.037</t>
        </r>
      </text>
    </comment>
    <comment ref="Z304" authorId="4">
      <text>
        <r>
          <rPr>
            <b/>
            <sz val="8"/>
            <color indexed="81"/>
            <rFont val="Tahoma"/>
            <family val="2"/>
          </rPr>
          <t>mm98285:</t>
        </r>
        <r>
          <rPr>
            <sz val="8"/>
            <color indexed="81"/>
            <rFont val="Tahoma"/>
            <family val="2"/>
          </rPr>
          <t xml:space="preserve">
.003</t>
        </r>
      </text>
    </comment>
    <comment ref="AQ304" authorId="4">
      <text>
        <r>
          <rPr>
            <b/>
            <sz val="8"/>
            <color indexed="81"/>
            <rFont val="Tahoma"/>
            <family val="2"/>
          </rPr>
          <t>mm98285:</t>
        </r>
        <r>
          <rPr>
            <sz val="8"/>
            <color indexed="81"/>
            <rFont val="Tahoma"/>
            <family val="2"/>
          </rPr>
          <t xml:space="preserve">
2/07: 15.53</t>
        </r>
      </text>
    </comment>
    <comment ref="H310" authorId="4">
      <text>
        <r>
          <rPr>
            <b/>
            <sz val="8"/>
            <color indexed="81"/>
            <rFont val="Tahoma"/>
            <family val="2"/>
          </rPr>
          <t>mm98285:</t>
        </r>
        <r>
          <rPr>
            <sz val="8"/>
            <color indexed="81"/>
            <rFont val="Tahoma"/>
            <family val="2"/>
          </rPr>
          <t xml:space="preserve">
8/08: 1.014
5/08: 1.018
2/08: 1.009</t>
        </r>
      </text>
    </comment>
    <comment ref="J310" authorId="4">
      <text>
        <r>
          <rPr>
            <b/>
            <sz val="8"/>
            <color indexed="81"/>
            <rFont val="Tahoma"/>
            <family val="2"/>
          </rPr>
          <t>mm98285:</t>
        </r>
        <r>
          <rPr>
            <sz val="8"/>
            <color indexed="81"/>
            <rFont val="Tahoma"/>
            <family val="2"/>
          </rPr>
          <t xml:space="preserve">
8/08: 5.981
5/08: 5.998
2/08: 6.037</t>
        </r>
      </text>
    </comment>
    <comment ref="L310" authorId="4">
      <text>
        <r>
          <rPr>
            <b/>
            <sz val="8"/>
            <color indexed="81"/>
            <rFont val="Tahoma"/>
            <family val="2"/>
          </rPr>
          <t>mm98285:</t>
        </r>
        <r>
          <rPr>
            <sz val="8"/>
            <color indexed="81"/>
            <rFont val="Tahoma"/>
            <family val="2"/>
          </rPr>
          <t xml:space="preserve">
5/08: 3.897+.038+.013
2/08: 3.912 bbw + .038 C.O Big = 3.950
</t>
        </r>
      </text>
    </comment>
    <comment ref="V310" authorId="4">
      <text>
        <r>
          <rPr>
            <b/>
            <sz val="8"/>
            <color indexed="81"/>
            <rFont val="Tahoma"/>
            <family val="2"/>
          </rPr>
          <t>mm98285:</t>
        </r>
        <r>
          <rPr>
            <sz val="8"/>
            <color indexed="81"/>
            <rFont val="Tahoma"/>
            <family val="2"/>
          </rPr>
          <t xml:space="preserve">
5/08: .043
2/08: 0.046</t>
        </r>
      </text>
    </comment>
    <comment ref="AQ310" authorId="4">
      <text>
        <r>
          <rPr>
            <b/>
            <sz val="8"/>
            <color indexed="81"/>
            <rFont val="Tahoma"/>
            <family val="2"/>
          </rPr>
          <t>mm98285:</t>
        </r>
        <r>
          <rPr>
            <sz val="8"/>
            <color indexed="81"/>
            <rFont val="Tahoma"/>
            <family val="2"/>
          </rPr>
          <t xml:space="preserve">
5/08: 11.009
2/08: 11.042</t>
        </r>
      </text>
    </comment>
    <comment ref="L313" authorId="4">
      <text>
        <r>
          <rPr>
            <b/>
            <sz val="8"/>
            <color indexed="81"/>
            <rFont val="Tahoma"/>
            <family val="2"/>
          </rPr>
          <t>mm98285:</t>
        </r>
        <r>
          <rPr>
            <sz val="8"/>
            <color indexed="81"/>
            <rFont val="Tahoma"/>
            <family val="2"/>
          </rPr>
          <t xml:space="preserve">
3.891 domestic 
0.016 Canada</t>
        </r>
      </text>
    </comment>
    <comment ref="H316" authorId="4">
      <text>
        <r>
          <rPr>
            <b/>
            <sz val="8"/>
            <color indexed="81"/>
            <rFont val="Tahoma"/>
            <family val="2"/>
          </rPr>
          <t>mm98285:</t>
        </r>
        <r>
          <rPr>
            <sz val="8"/>
            <color indexed="81"/>
            <rFont val="Tahoma"/>
            <family val="2"/>
          </rPr>
          <t xml:space="preserve">
.939</t>
        </r>
      </text>
    </comment>
    <comment ref="J316" authorId="4">
      <text>
        <r>
          <rPr>
            <b/>
            <sz val="8"/>
            <color indexed="81"/>
            <rFont val="Tahoma"/>
            <family val="2"/>
          </rPr>
          <t>mm98285:</t>
        </r>
        <r>
          <rPr>
            <sz val="8"/>
            <color indexed="81"/>
            <rFont val="Tahoma"/>
            <family val="2"/>
          </rPr>
          <t xml:space="preserve">
6.101</t>
        </r>
      </text>
    </comment>
    <comment ref="L316" authorId="4">
      <text>
        <r>
          <rPr>
            <b/>
            <sz val="8"/>
            <color indexed="81"/>
            <rFont val="Tahoma"/>
            <family val="2"/>
          </rPr>
          <t>mm98285:</t>
        </r>
        <r>
          <rPr>
            <sz val="8"/>
            <color indexed="81"/>
            <rFont val="Tahoma"/>
            <family val="2"/>
          </rPr>
          <t xml:space="preserve">
3.895</t>
        </r>
      </text>
    </comment>
    <comment ref="V316" authorId="4">
      <text>
        <r>
          <rPr>
            <b/>
            <sz val="8"/>
            <color indexed="81"/>
            <rFont val="Tahoma"/>
            <family val="2"/>
          </rPr>
          <t>mm98285:</t>
        </r>
        <r>
          <rPr>
            <sz val="8"/>
            <color indexed="81"/>
            <rFont val="Tahoma"/>
            <family val="2"/>
          </rPr>
          <t xml:space="preserve">
.052</t>
        </r>
      </text>
    </comment>
    <comment ref="H322" authorId="4">
      <text>
        <r>
          <rPr>
            <b/>
            <sz val="8"/>
            <color indexed="81"/>
            <rFont val="Tahoma"/>
            <family val="2"/>
          </rPr>
          <t>mm98285:</t>
        </r>
        <r>
          <rPr>
            <sz val="8"/>
            <color indexed="81"/>
            <rFont val="Tahoma"/>
            <family val="2"/>
          </rPr>
          <t xml:space="preserve">
11/10: 0.851
8/10: 0.846
2/10: 0.838</t>
        </r>
      </text>
    </comment>
    <comment ref="J322" authorId="4">
      <text>
        <r>
          <rPr>
            <b/>
            <sz val="8"/>
            <color indexed="81"/>
            <rFont val="Tahoma"/>
            <family val="2"/>
          </rPr>
          <t>mm98285:</t>
        </r>
        <r>
          <rPr>
            <sz val="8"/>
            <color indexed="81"/>
            <rFont val="Tahoma"/>
            <family val="2"/>
          </rPr>
          <t xml:space="preserve">
11/2010: 
VS US 6.021
Pink US 0.039
VS Can 0.040
Pink Can 0.030
=6.13
8/2010: 
VS US 5.977
Pink US 0.039
VS Can 0.041
Pink Can 0.031
=6.088
VS US 5.984
Pink US 0.036
VS Can 0.041
Pink Can 0.033
=6.094</t>
        </r>
      </text>
    </comment>
    <comment ref="L322" authorId="4">
      <text>
        <r>
          <rPr>
            <b/>
            <sz val="8"/>
            <color indexed="81"/>
            <rFont val="Tahoma"/>
            <family val="2"/>
          </rPr>
          <t>mm98285:</t>
        </r>
        <r>
          <rPr>
            <sz val="8"/>
            <color indexed="81"/>
            <rFont val="Tahoma"/>
            <family val="2"/>
          </rPr>
          <t xml:space="preserve">
11/10: BBW US 3.789
CO Big 0.014
BBW Can 0.148
= 3.951
8/10: BBW US 3.763
CO Big 0.014
BBW Can 0.151
= 3.928
2/10: BBW US 3.761
CO Big 0.014
BBW Can 0.165
= 3.940</t>
        </r>
      </text>
    </comment>
    <comment ref="V322" authorId="4">
      <text>
        <r>
          <rPr>
            <b/>
            <sz val="8"/>
            <color indexed="81"/>
            <rFont val="Tahoma"/>
            <family val="2"/>
          </rPr>
          <t>mm98285:</t>
        </r>
        <r>
          <rPr>
            <sz val="8"/>
            <color indexed="81"/>
            <rFont val="Tahoma"/>
            <family val="2"/>
          </rPr>
          <t xml:space="preserve">
11/10: 0.052
8/10: 0.052
2/10: 0.052</t>
        </r>
      </text>
    </comment>
    <comment ref="AQ322" authorId="4">
      <text>
        <r>
          <rPr>
            <b/>
            <sz val="8"/>
            <color indexed="81"/>
            <rFont val="Tahoma"/>
            <family val="2"/>
          </rPr>
          <t>mm98285:</t>
        </r>
        <r>
          <rPr>
            <sz val="8"/>
            <color indexed="81"/>
            <rFont val="Tahoma"/>
            <family val="2"/>
          </rPr>
          <t xml:space="preserve">
11/10: 10.985 (9.916 US, 1.069 Internationally)
8/10: 10.913 (9.845 US, 1.068 Internationally)
2/10: 10.926 (9.848 US, 1.078 Internationally)</t>
        </r>
      </text>
    </comment>
    <comment ref="H328" authorId="5">
      <text>
        <r>
          <rPr>
            <sz val="8"/>
            <color indexed="81"/>
            <rFont val="Tahoma"/>
            <family val="2"/>
          </rPr>
          <t>11/2011: expect 0.806</t>
        </r>
        <r>
          <rPr>
            <sz val="8"/>
            <color indexed="81"/>
            <rFont val="Tahoma"/>
            <family val="2"/>
          </rPr>
          <t xml:space="preserve">
5/2011: expect 0.803</t>
        </r>
      </text>
    </comment>
    <comment ref="J328" authorId="5">
      <text>
        <r>
          <rPr>
            <sz val="8"/>
            <color indexed="81"/>
            <rFont val="Tahoma"/>
            <family val="2"/>
          </rPr>
          <t>2/22/2012: 
VS US 6.0
Pink US 0.47
VS Canada 0.099
Pink Canada 0.029
11/2011: 
VS US 5.984
Pink US 0.047
VS Canada .100
Pink Canada .029
= 6.160</t>
        </r>
        <r>
          <rPr>
            <sz val="8"/>
            <color indexed="81"/>
            <rFont val="Tahoma"/>
            <family val="2"/>
          </rPr>
          <t xml:space="preserve">
5/2011: 
VS US 6.00
Pink US 0.047
VS Canada .109
Pink Canada .029
= 6.185</t>
        </r>
      </text>
    </comment>
    <comment ref="L328" authorId="5">
      <text>
        <r>
          <rPr>
            <sz val="8"/>
            <color indexed="81"/>
            <rFont val="Tahoma"/>
            <family val="2"/>
          </rPr>
          <t>2/22/2011: 
BBW US 3.772
BBW Canada 0.170
11/2011: 
BBW US 3.775
BBW Can 0.169
= 3.944
5/2011: 
BBW US 3.767
CO Big 0.010
BBW Can 0.170
= 3.947</t>
        </r>
      </text>
    </comment>
    <comment ref="V328" authorId="5">
      <text>
        <r>
          <rPr>
            <sz val="8"/>
            <color indexed="81"/>
            <rFont val="Tahoma"/>
            <family val="2"/>
          </rPr>
          <t>11/2011: expect .064</t>
        </r>
        <r>
          <rPr>
            <sz val="8"/>
            <color indexed="81"/>
            <rFont val="Tahoma"/>
            <family val="2"/>
          </rPr>
          <t xml:space="preserve">
5/2011: expect .062</t>
        </r>
      </text>
    </comment>
    <comment ref="AQ328" authorId="5">
      <text>
        <r>
          <rPr>
            <sz val="8"/>
            <color indexed="81"/>
            <rFont val="Tahoma"/>
            <family val="2"/>
          </rPr>
          <t>11/2011: expect 10.974</t>
        </r>
        <r>
          <rPr>
            <sz val="8"/>
            <color indexed="81"/>
            <rFont val="Tahoma"/>
            <family val="2"/>
          </rPr>
          <t xml:space="preserve">
5/2011: expect 10.998
2/2011: expect 11.022</t>
        </r>
      </text>
    </comment>
    <comment ref="H334" authorId="8">
      <text>
        <r>
          <rPr>
            <b/>
            <sz val="8"/>
            <color indexed="81"/>
            <rFont val="Tahoma"/>
            <family val="2"/>
          </rPr>
          <t>8/16/12: 518
P Kahng:</t>
        </r>
        <r>
          <rPr>
            <sz val="8"/>
            <color indexed="81"/>
            <rFont val="Tahoma"/>
            <family val="2"/>
          </rPr>
          <t xml:space="preserve">
5/16/12: 618</t>
        </r>
      </text>
    </comment>
    <comment ref="J334" authorId="8">
      <text>
        <r>
          <rPr>
            <b/>
            <sz val="8"/>
            <color indexed="81"/>
            <rFont val="Tahoma"/>
            <family val="2"/>
          </rPr>
          <t xml:space="preserve">8/16/12: </t>
        </r>
        <r>
          <rPr>
            <sz val="8"/>
            <color indexed="81"/>
            <rFont val="Tahoma"/>
            <family val="2"/>
          </rPr>
          <t>6015 VS US, Pink 111, VS canada 142, Pink Canada, 30, VS UK 31</t>
        </r>
        <r>
          <rPr>
            <b/>
            <sz val="8"/>
            <color indexed="81"/>
            <rFont val="Tahoma"/>
            <family val="2"/>
          </rPr>
          <t xml:space="preserve">
P Kahng:</t>
        </r>
        <r>
          <rPr>
            <sz val="8"/>
            <color indexed="81"/>
            <rFont val="Tahoma"/>
            <family val="2"/>
          </rPr>
          <t xml:space="preserve">
5/16/12: expect 6.337 (6018 VS US, Pink 108, VS Canada 142, Pink Canada 38, VS UK 31)</t>
        </r>
      </text>
    </comment>
    <comment ref="L334" authorId="8">
      <text>
        <r>
          <rPr>
            <b/>
            <sz val="8"/>
            <color indexed="81"/>
            <rFont val="Tahoma"/>
            <family val="2"/>
          </rPr>
          <t xml:space="preserve">8/16/12: </t>
        </r>
        <r>
          <rPr>
            <sz val="8"/>
            <color indexed="81"/>
            <rFont val="Tahoma"/>
            <family val="2"/>
          </rPr>
          <t>BBW US 3710, BBW 176)</t>
        </r>
        <r>
          <rPr>
            <b/>
            <sz val="8"/>
            <color indexed="81"/>
            <rFont val="Tahoma"/>
            <family val="2"/>
          </rPr>
          <t xml:space="preserve">
P Kahng:</t>
        </r>
        <r>
          <rPr>
            <sz val="8"/>
            <color indexed="81"/>
            <rFont val="Tahoma"/>
            <family val="2"/>
          </rPr>
          <t xml:space="preserve">
5/16/12: BBW US 3,711; BBW Canada 176</t>
        </r>
      </text>
    </comment>
    <comment ref="V334" authorId="8">
      <text>
        <r>
          <rPr>
            <b/>
            <sz val="8"/>
            <color indexed="81"/>
            <rFont val="Tahoma"/>
            <family val="2"/>
          </rPr>
          <t>P Kahng:</t>
        </r>
        <r>
          <rPr>
            <sz val="8"/>
            <color indexed="81"/>
            <rFont val="Tahoma"/>
            <family val="2"/>
          </rPr>
          <t xml:space="preserve">
5/16/12: 81</t>
        </r>
      </text>
    </comment>
  </commentList>
</comments>
</file>

<file path=xl/comments14.xml><?xml version="1.0" encoding="utf-8"?>
<comments xmlns="http://schemas.openxmlformats.org/spreadsheetml/2006/main">
  <authors>
    <author>Corinna Freedman</author>
    <author>mm98285</author>
    <author>ns66486</author>
    <author>dliu</author>
    <author>kahng</author>
  </authors>
  <commentList>
    <comment ref="AE21" authorId="0">
      <text>
        <r>
          <rPr>
            <sz val="8"/>
            <color indexed="81"/>
            <rFont val="Tahoma"/>
            <family val="2"/>
          </rPr>
          <t>land $420
furn, fix $2313
leasehld $1090
c-i-p  $21
less acc d&amp;a $(2284)</t>
        </r>
      </text>
    </comment>
    <comment ref="AG21" authorId="0">
      <text>
        <r>
          <rPr>
            <sz val="8"/>
            <color indexed="81"/>
            <rFont val="Tahoma"/>
            <family val="2"/>
          </rPr>
          <t>land $426
furn, fix $2180
leasehld $1138
c-i-p  $38
less acc d&amp;a $(2298)</t>
        </r>
      </text>
    </comment>
    <comment ref="AG41" authorId="0">
      <text>
        <r>
          <rPr>
            <b/>
            <sz val="8"/>
            <color indexed="81"/>
            <rFont val="Tahoma"/>
            <family val="2"/>
          </rPr>
          <t>Corinna Freedman:</t>
        </r>
        <r>
          <rPr>
            <sz val="8"/>
            <color indexed="81"/>
            <rFont val="Tahoma"/>
            <family val="2"/>
          </rPr>
          <t xml:space="preserve">
500m 5Yr @2.66%
500 10 Yr @5.5% - amortizes 20% in 3Y, 20% in 4Y and 60% in 5Y</t>
        </r>
      </text>
    </comment>
    <comment ref="AM41" authorId="1">
      <text>
        <r>
          <rPr>
            <b/>
            <sz val="9"/>
            <color indexed="81"/>
            <rFont val="Tahoma"/>
            <family val="2"/>
          </rPr>
          <t>mm98285:</t>
        </r>
        <r>
          <rPr>
            <sz val="9"/>
            <color indexed="81"/>
            <rFont val="Tahoma"/>
            <family val="2"/>
          </rPr>
          <t xml:space="preserve">
$750 term loan due 8/12, 5.93% interest at 8/4/07
6.9% $700mm note due 7/17
5.25% $500mm note due 11/14
6.95% $350mm debenture due 3/33
7.60% $300mm note due 7/37
6.125% $300mm note due 12/12
~$19 credit facility due 1/10, 5.82% interest at 8/4/07
5.30% mortgage due 8/10 ~$2mm
6/07: LTD intends to raise $1.25b debt to fund the share repurchase program (current &amp; potential future programs), the recent La Senza acquisition (~$400mm) &amp; other general corporate requirements</t>
        </r>
      </text>
    </comment>
    <comment ref="AO41" authorId="1">
      <text>
        <r>
          <rPr>
            <b/>
            <sz val="9"/>
            <color indexed="81"/>
            <rFont val="Tahoma"/>
            <family val="2"/>
          </rPr>
          <t>mm98285:</t>
        </r>
        <r>
          <rPr>
            <sz val="9"/>
            <color indexed="81"/>
            <rFont val="Tahoma"/>
            <family val="2"/>
          </rPr>
          <t xml:space="preserve">
$750 term loan due 8/12, 3.43% interest at 8/2/08
6.9% $700mm note due 7/17
5.25% $500mm note due 11/14
6.95% $350mm debenture due 3/33
7.60% $300mm note due 7/37
6.125% $300mm note due 12/12
~$12 credit facility due 1/10, 3.25% interest at 8/2/08
5.30% mortgage due 8/10 ~$2mm</t>
        </r>
      </text>
    </comment>
    <comment ref="AQ41" authorId="1">
      <text>
        <r>
          <rPr>
            <sz val="9"/>
            <color indexed="81"/>
            <rFont val="Tahoma"/>
            <family val="2"/>
          </rPr>
          <t>$200 Term Loan due August 2012; variable interest rate 4.28%
$485 8.5% fixed notes due June 2019
6.9% $700mm note due 7/17
5.25% $500mm note due 11/14
6.95% $350mm debenture due 3/33
7.60% $300mm note due 7/37
6.125% $191mm note due 12/12
5.30% mortgage due 8/10 ~$2mm</t>
        </r>
      </text>
    </comment>
    <comment ref="AS41" authorId="2">
      <text>
        <r>
          <rPr>
            <b/>
            <sz val="9"/>
            <color indexed="81"/>
            <rFont val="Tahoma"/>
            <family val="2"/>
          </rPr>
          <t>ns66486:</t>
        </r>
        <r>
          <rPr>
            <sz val="9"/>
            <color indexed="81"/>
            <rFont val="Tahoma"/>
            <family val="2"/>
          </rPr>
          <t xml:space="preserve">
4/20/2010: Issues 2010 notes.  The 2020 Notes were priced at 100% of the aggregate principal amount to yield 7% at maturity. The gross proceeds from the sale of the 2020 Notes will be $400 million. 
Limited Brands intends to use proceeds from the sale of the 2020 Notes to fund the purchase of its 6-1/8% Notes due 2012, (the "2012 Notes") and a portion of its 5-1/4% Notes due 2014, (the "2014 Notes" and, together with the 2012 Notes, the "Notes") in two separate cash Tender Offers in an aggregate principal amount not to exceed the new Tender Cap.  Proceeds from the sale of the 2020 Notes not spent on purchasing the Notes may be used for general corporate purposes and the repayment of other indebtedness</t>
        </r>
      </text>
    </comment>
    <comment ref="Q49" authorId="3">
      <text>
        <r>
          <rPr>
            <b/>
            <sz val="10"/>
            <color indexed="81"/>
            <rFont val="Tahoma"/>
            <family val="2"/>
          </rPr>
          <t>dliu:</t>
        </r>
        <r>
          <rPr>
            <sz val="10"/>
            <color indexed="81"/>
            <rFont val="Tahoma"/>
            <family val="2"/>
          </rPr>
          <t xml:space="preserve">
The tax consequences of the 1996 tender offer in connection w/ the Reconfiguration Plan were less favorable to Wexner than for other shareholders given the size of his holdings and, as such, an alternative structure was set up in the form of a contingent stock agreement with Wexner. Wexner had the right to require the company to redeem a fixed number of his shares, and the company was given the opportunity to redeem these shares at specified prices and times.</t>
        </r>
      </text>
    </comment>
    <comment ref="W49" authorId="3">
      <text>
        <r>
          <rPr>
            <b/>
            <sz val="8"/>
            <color indexed="81"/>
            <rFont val="Tahoma"/>
            <family val="2"/>
          </rPr>
          <t>dliu:</t>
        </r>
        <r>
          <rPr>
            <sz val="8"/>
            <color indexed="81"/>
            <rFont val="Tahoma"/>
            <family val="2"/>
          </rPr>
          <t xml:space="preserve">
rescinded on may 3 99</t>
        </r>
      </text>
    </comment>
    <comment ref="AE55" authorId="3">
      <text>
        <r>
          <rPr>
            <b/>
            <sz val="8"/>
            <color indexed="81"/>
            <rFont val="Tahoma"/>
            <family val="2"/>
          </rPr>
          <t>dliu:</t>
        </r>
        <r>
          <rPr>
            <sz val="8"/>
            <color indexed="81"/>
            <rFont val="Tahoma"/>
            <family val="2"/>
          </rPr>
          <t xml:space="preserve">
includes amortization of deferred comp</t>
        </r>
      </text>
    </comment>
    <comment ref="AU57" authorId="4">
      <text>
        <r>
          <rPr>
            <b/>
            <sz val="8"/>
            <color indexed="81"/>
            <rFont val="Tahoma"/>
            <family val="2"/>
          </rPr>
          <t>kahng:</t>
        </r>
        <r>
          <rPr>
            <sz val="8"/>
            <color indexed="81"/>
            <rFont val="Tahoma"/>
            <family val="2"/>
          </rPr>
          <t xml:space="preserve">
adjusted for minority intereset</t>
        </r>
      </text>
    </comment>
  </commentList>
</comments>
</file>

<file path=xl/comments15.xml><?xml version="1.0" encoding="utf-8"?>
<comments xmlns="http://schemas.openxmlformats.org/spreadsheetml/2006/main">
  <authors>
    <author>dliu</author>
    <author>mm98285</author>
    <author>nicholjs</author>
    <author>kahng</author>
    <author>casselau</author>
    <author>Cassel, Lauren (Research)</author>
    <author>kg51925</author>
    <author>Corinna Freedman</author>
    <author>MB33100</author>
    <author>Mains, Spencer (Research)</author>
    <author>Lehman Brothers</author>
  </authors>
  <commentList>
    <comment ref="V6" authorId="0">
      <text>
        <r>
          <rPr>
            <b/>
            <sz val="8"/>
            <color indexed="81"/>
            <rFont val="Tahoma"/>
            <family val="2"/>
          </rPr>
          <t>dliu:</t>
        </r>
        <r>
          <rPr>
            <sz val="8"/>
            <color indexed="81"/>
            <rFont val="Tahoma"/>
            <family val="2"/>
          </rPr>
          <t xml:space="preserve">
from LTD 2001 ARS</t>
        </r>
      </text>
    </comment>
    <comment ref="AF8" authorId="1">
      <text>
        <r>
          <rPr>
            <b/>
            <sz val="8"/>
            <color indexed="81"/>
            <rFont val="Tahoma"/>
            <family val="2"/>
          </rPr>
          <t>mm98285:</t>
        </r>
        <r>
          <rPr>
            <sz val="8"/>
            <color indexed="81"/>
            <rFont val="Tahoma"/>
            <family val="2"/>
          </rPr>
          <t xml:space="preserve">
excludes various adjustments related to lease accounting</t>
        </r>
      </text>
    </comment>
    <comment ref="AH8" authorId="1">
      <text>
        <r>
          <rPr>
            <b/>
            <sz val="8"/>
            <color indexed="81"/>
            <rFont val="Tahoma"/>
            <family val="2"/>
          </rPr>
          <t>mm98285:</t>
        </r>
        <r>
          <rPr>
            <sz val="8"/>
            <color indexed="81"/>
            <rFont val="Tahoma"/>
            <family val="2"/>
          </rPr>
          <t xml:space="preserve">
$683.264 (Net Income) -$16.844 (Cumulative effect of change in accounting principle) = $666.420</t>
        </r>
      </text>
    </comment>
    <comment ref="AJ8" authorId="1">
      <text>
        <r>
          <rPr>
            <b/>
            <sz val="8"/>
            <color indexed="81"/>
            <rFont val="Tahoma"/>
            <family val="2"/>
          </rPr>
          <t>mm98285:</t>
        </r>
        <r>
          <rPr>
            <sz val="8"/>
            <color indexed="81"/>
            <rFont val="Tahoma"/>
            <family val="2"/>
          </rPr>
          <t xml:space="preserve">
$675.049 (Net Income) + $0.696 (Cumulative effect of change in accounting principle) </t>
        </r>
      </text>
    </comment>
    <comment ref="AJ9" authorId="1">
      <text>
        <r>
          <rPr>
            <b/>
            <sz val="8"/>
            <color indexed="81"/>
            <rFont val="Tahoma"/>
            <family val="2"/>
          </rPr>
          <t>mm98285:</t>
        </r>
        <r>
          <rPr>
            <sz val="8"/>
            <color indexed="81"/>
            <rFont val="Tahoma"/>
            <family val="2"/>
          </rPr>
          <t xml:space="preserve">
5/06: $74.014mm in 1Q</t>
        </r>
      </text>
    </comment>
    <comment ref="AR9" authorId="1">
      <text>
        <r>
          <rPr>
            <b/>
            <sz val="8"/>
            <color indexed="81"/>
            <rFont val="Tahoma"/>
            <family val="2"/>
          </rPr>
          <t>mm98285:</t>
        </r>
        <r>
          <rPr>
            <sz val="8"/>
            <color indexed="81"/>
            <rFont val="Tahoma"/>
            <family val="2"/>
          </rPr>
          <t xml:space="preserve">
11/10: ~$360M
8/10: ~$350M
2/10: ~$350M</t>
        </r>
      </text>
    </comment>
    <comment ref="AT9" authorId="2">
      <text>
        <r>
          <rPr>
            <sz val="8"/>
            <color indexed="81"/>
            <rFont val="Tahoma"/>
            <family val="2"/>
          </rPr>
          <t>11/2011: about 350 mn
10/2010: slightly higher than LY, 366 okay</t>
        </r>
      </text>
    </comment>
    <comment ref="AV9" authorId="3">
      <text>
        <r>
          <rPr>
            <b/>
            <sz val="8"/>
            <color indexed="81"/>
            <rFont val="Tahoma"/>
            <family val="2"/>
          </rPr>
          <t>kahng:</t>
        </r>
        <r>
          <rPr>
            <sz val="8"/>
            <color indexed="81"/>
            <rFont val="Tahoma"/>
            <family val="2"/>
          </rPr>
          <t xml:space="preserve">
2/22/12: ~$360M</t>
        </r>
      </text>
    </comment>
    <comment ref="AX9" authorId="4">
      <text>
        <r>
          <rPr>
            <b/>
            <sz val="8"/>
            <color indexed="81"/>
            <rFont val="Tahoma"/>
            <family val="2"/>
          </rPr>
          <t xml:space="preserve">casselau:
</t>
        </r>
        <r>
          <rPr>
            <sz val="8"/>
            <color indexed="81"/>
            <rFont val="Tahoma"/>
            <family val="2"/>
          </rPr>
          <t>11/20/13: reiterate ~$360M</t>
        </r>
        <r>
          <rPr>
            <sz val="8"/>
            <color indexed="81"/>
            <rFont val="Tahoma"/>
            <family val="2"/>
          </rPr>
          <t xml:space="preserve">
2/27/13: guidance ~$360M</t>
        </r>
      </text>
    </comment>
    <comment ref="BD9" authorId="4">
      <text>
        <r>
          <rPr>
            <b/>
            <sz val="9"/>
            <color indexed="81"/>
            <rFont val="Tahoma"/>
            <family val="2"/>
          </rPr>
          <t>casselau:</t>
        </r>
        <r>
          <rPr>
            <sz val="9"/>
            <color indexed="81"/>
            <rFont val="Tahoma"/>
            <family val="2"/>
          </rPr>
          <t xml:space="preserve">
2/24/16: ~$470M</t>
        </r>
      </text>
    </comment>
    <comment ref="BF9" authorId="5">
      <text>
        <r>
          <rPr>
            <b/>
            <sz val="9"/>
            <color indexed="81"/>
            <rFont val="Tahoma"/>
            <family val="2"/>
          </rPr>
          <t>Cassel, Lauren (Research):</t>
        </r>
        <r>
          <rPr>
            <sz val="9"/>
            <color indexed="81"/>
            <rFont val="Tahoma"/>
            <family val="2"/>
          </rPr>
          <t xml:space="preserve">
2/22/17: guidance $525M</t>
        </r>
      </text>
    </comment>
    <comment ref="BH9" authorId="5">
      <text>
        <r>
          <rPr>
            <b/>
            <sz val="9"/>
            <color indexed="81"/>
            <rFont val="Tahoma"/>
            <family val="2"/>
          </rPr>
          <t>Cassel, Lauren (Research):</t>
        </r>
        <r>
          <rPr>
            <sz val="9"/>
            <color indexed="81"/>
            <rFont val="Tahoma"/>
            <family val="2"/>
          </rPr>
          <t xml:space="preserve">
2/28/18: guidance $560M</t>
        </r>
      </text>
    </comment>
    <comment ref="AL13" authorId="6">
      <text>
        <r>
          <rPr>
            <b/>
            <sz val="8"/>
            <color indexed="81"/>
            <rFont val="Tahoma"/>
            <family val="2"/>
          </rPr>
          <t>kg51925:</t>
        </r>
        <r>
          <rPr>
            <sz val="8"/>
            <color indexed="81"/>
            <rFont val="Tahoma"/>
            <family val="2"/>
          </rPr>
          <t xml:space="preserve">
2/08 estimate of after tax proceeds from sale of apparel</t>
        </r>
      </text>
    </comment>
    <comment ref="T15" authorId="1">
      <text>
        <r>
          <rPr>
            <b/>
            <sz val="8"/>
            <color indexed="81"/>
            <rFont val="Tahoma"/>
            <family val="2"/>
          </rPr>
          <t>mm98285:</t>
        </r>
        <r>
          <rPr>
            <sz val="8"/>
            <color indexed="81"/>
            <rFont val="Tahoma"/>
            <family val="2"/>
          </rPr>
          <t xml:space="preserve">
plug to balance</t>
        </r>
      </text>
    </comment>
    <comment ref="AF15" authorId="7">
      <text>
        <r>
          <rPr>
            <b/>
            <sz val="8"/>
            <color indexed="81"/>
            <rFont val="Tahoma"/>
            <family val="2"/>
          </rPr>
          <t>Corinna Freedman:</t>
        </r>
        <r>
          <rPr>
            <sz val="8"/>
            <color indexed="81"/>
            <rFont val="Tahoma"/>
            <family val="2"/>
          </rPr>
          <t xml:space="preserve">
includes SL rent adjustment, gains on warrants and note</t>
        </r>
      </text>
    </comment>
    <comment ref="AH15" authorId="1">
      <text>
        <r>
          <rPr>
            <b/>
            <sz val="8"/>
            <color indexed="81"/>
            <rFont val="Tahoma"/>
            <family val="2"/>
          </rPr>
          <t>mm98285:</t>
        </r>
        <r>
          <rPr>
            <sz val="8"/>
            <color indexed="81"/>
            <rFont val="Tahoma"/>
            <family val="2"/>
          </rPr>
          <t xml:space="preserve">
includes $14.6 (tax benefit on stock options), -$1.1 (gain on sale of property), -$16.8 (cumulative effect of change in acct principle)
</t>
        </r>
      </text>
    </comment>
    <comment ref="AJ15" authorId="1">
      <text>
        <r>
          <rPr>
            <b/>
            <sz val="8"/>
            <color indexed="81"/>
            <rFont val="Tahoma"/>
            <family val="2"/>
          </rPr>
          <t>mm98285:</t>
        </r>
        <r>
          <rPr>
            <sz val="8"/>
            <color indexed="81"/>
            <rFont val="Tahoma"/>
            <family val="2"/>
          </rPr>
          <t xml:space="preserve">
includes -$16 (gain on sale of assets), -$0.696 (cumulative effect of change in acct principle), -$46 (excess tax benefits from share-based comp, operating), $46 (excess tax benefits from share-based comp, financing)
</t>
        </r>
      </text>
    </comment>
    <comment ref="BB15" authorId="4">
      <text>
        <r>
          <rPr>
            <b/>
            <sz val="9"/>
            <color indexed="81"/>
            <rFont val="Tahoma"/>
            <family val="2"/>
          </rPr>
          <t>casselau:</t>
        </r>
        <r>
          <rPr>
            <sz val="9"/>
            <color indexed="81"/>
            <rFont val="Tahoma"/>
            <family val="2"/>
          </rPr>
          <t xml:space="preserve">
Gain on divestiture of third-party apparel sourcing business</t>
        </r>
      </text>
    </comment>
    <comment ref="AD22" authorId="0">
      <text>
        <r>
          <rPr>
            <b/>
            <sz val="9"/>
            <color indexed="81"/>
            <rFont val="Tahoma"/>
            <family val="2"/>
          </rPr>
          <t>dliu:</t>
        </r>
        <r>
          <rPr>
            <sz val="9"/>
            <color indexed="81"/>
            <rFont val="Tahoma"/>
            <family val="2"/>
          </rPr>
          <t xml:space="preserve">
per 2005 10K: $230mm for new stores and remodeling
The Company anticipates spending approximately $400 million for capital expenditures in 2003, of which approximately $300 million will be for new stores and for the remodeling of and improvements to existing stores. Remaining capital expenditures are primarily related to information technology and distribution centers. The Company expects that 2003 capital expenditures will be funded principally by net cash provided by operating activities. The Company expects selling square footage to remain about flat in 2003. While the Company plans the addition of approximately 30 stores and the closure of approximately 90 stores, the majority of capital will be spent on the remodeling of and improvements to approximately 380 existing stores, 288 of which will be sign changes related to Express Men's stores.
reduced to 375 on 1Q conf call
10/22- changed to $310 per update mtg
3Q03 cc: confirmed $310</t>
        </r>
      </text>
    </comment>
    <comment ref="AF22" authorId="0">
      <text>
        <r>
          <rPr>
            <b/>
            <sz val="10"/>
            <color indexed="81"/>
            <rFont val="Tahoma"/>
            <family val="2"/>
          </rPr>
          <t>dliu:</t>
        </r>
        <r>
          <rPr>
            <sz val="10"/>
            <color indexed="81"/>
            <rFont val="Tahoma"/>
            <family val="2"/>
          </rPr>
          <t xml:space="preserve">
per 2005 10K: $381mm for new stores and remodeling
gdce was 500-550</t>
        </r>
      </text>
    </comment>
    <comment ref="AH22" authorId="7">
      <text>
        <r>
          <rPr>
            <b/>
            <sz val="8"/>
            <color indexed="81"/>
            <rFont val="Tahoma"/>
            <family val="2"/>
          </rPr>
          <t>Corinna Freedman:</t>
        </r>
        <r>
          <rPr>
            <sz val="8"/>
            <color indexed="81"/>
            <rFont val="Tahoma"/>
            <family val="2"/>
          </rPr>
          <t xml:space="preserve">
per 2005 10K: $298mm for new stores and remodeling; $164 for VS, $47 for BBW, $86 for Apparel, $183 for other
guidance 11/8/05; down from 550-575m on 8/17;
down from 600m on 2/24</t>
        </r>
      </text>
    </comment>
    <comment ref="AJ22" authorId="8">
      <text>
        <r>
          <rPr>
            <b/>
            <sz val="8"/>
            <color indexed="81"/>
            <rFont val="Tahoma"/>
            <family val="2"/>
          </rPr>
          <t>MB33100:</t>
        </r>
        <r>
          <rPr>
            <sz val="8"/>
            <color indexed="81"/>
            <rFont val="Tahoma"/>
            <family val="2"/>
          </rPr>
          <t xml:space="preserve">
per 2006 10K: $311mm for new stores and remodeling; $160 for VS, $87 for BBW, $66 for Apparel, $235 for other
8/06: expect capex ~$650mm ($100mm inv. to support growth of Direct business through DC and tech)
5/06: $123.365m in 1Q
2/06 mgmt guided to $600-$650 for 2006</t>
        </r>
      </text>
    </comment>
    <comment ref="AL22" authorId="1">
      <text>
        <r>
          <rPr>
            <b/>
            <sz val="9"/>
            <color indexed="81"/>
            <rFont val="Tahoma"/>
            <family val="2"/>
          </rPr>
          <t>mm98285:</t>
        </r>
        <r>
          <rPr>
            <sz val="9"/>
            <color indexed="81"/>
            <rFont val="Tahoma"/>
            <family val="2"/>
          </rPr>
          <t xml:space="preserve">
10K: includes $476mm for opening new stores, remodeling and improving existing stores; remaining spend on investments in new DC, increased spending on home office, tech and infrastructure; $315 for VS, $112 for BBW, $37 for Apparel, $285 for other
8/07: guided to $765-$790mm (excludes $25mm of Apparel capex, which was previously included)
1Q capex: $181.343, 2Q: $220.224, 3Q: $222.710
2/07: $790-$815mm: 60%+ ($480) relates to invest's in remodeling &amp; expand existing stores &amp; opening new stores primarily at VS &amp; BBW &amp; La Senza (driving 75% of incremental capex vs. LY); ~20% relates to invest's in 2 IT initiatives &amp; expansion of our direct DC (~flat YOY); remainder relates to home office and other invest's (mostly dedicated to consolidating majority of our NY offices into one location in 2007)</t>
        </r>
      </text>
    </comment>
    <comment ref="AN22" authorId="1">
      <text>
        <r>
          <rPr>
            <b/>
            <sz val="8"/>
            <color indexed="81"/>
            <rFont val="Tahoma"/>
            <family val="2"/>
          </rPr>
          <t>mm98285:</t>
        </r>
        <r>
          <rPr>
            <sz val="8"/>
            <color indexed="81"/>
            <rFont val="Tahoma"/>
            <family val="2"/>
          </rPr>
          <t xml:space="preserve">
3/09: $345M for opening new stores &amp; remodeling &amp; improving existing stores; remaining capex on tech &amp; infrastructure to support growth
$279 for VS, $92 for BBW, $108 other
10/08: $500m
8/08: $500-$525mm (75% for R/E, 15% for technology investments, 10% for HQ &amp; DC)
1Q: $139.234, 2Q $133.256; 3Q $133.173; 4Q 73.017
5/08: $515-$540 given reduced store openings (75% for real estate, 15% for IT, remainder in home office and other)
2/08: guided to $575-600mm with the majority related to opening new stores and remodeling and improving existing stores; other spending in tech, home office &amp; other</t>
        </r>
      </text>
    </comment>
    <comment ref="AP22" authorId="1">
      <text>
        <r>
          <rPr>
            <b/>
            <sz val="8"/>
            <color indexed="81"/>
            <rFont val="Tahoma"/>
            <family val="2"/>
          </rPr>
          <t>10K:  capex included $163mm mm98285:</t>
        </r>
        <r>
          <rPr>
            <sz val="8"/>
            <color indexed="81"/>
            <rFont val="Tahoma"/>
            <family val="2"/>
          </rPr>
          <t xml:space="preserve">
11/09 &amp; 8/09: $225M
1Q: 51.2M, 2Q $45.545; 3Q: $63.261M; 4Q $42.088M
2/09: $200mm (includes 50 new stores &amp; ~40 remodels)
10/08: $300-400mm</t>
        </r>
      </text>
    </comment>
    <comment ref="AR22" authorId="1">
      <text>
        <r>
          <rPr>
            <b/>
            <sz val="8"/>
            <color indexed="81"/>
            <rFont val="Tahoma"/>
            <family val="2"/>
          </rPr>
          <t>mm98285:</t>
        </r>
        <r>
          <rPr>
            <sz val="8"/>
            <color indexed="81"/>
            <rFont val="Tahoma"/>
            <family val="2"/>
          </rPr>
          <t xml:space="preserve">
11/10: ~$275M
8/10: $250-$300M
2/10: $250-$300M
10/09: $200-$300M</t>
        </r>
      </text>
    </comment>
    <comment ref="AT22" authorId="1">
      <text>
        <r>
          <rPr>
            <sz val="8"/>
            <color indexed="81"/>
            <rFont val="Tahoma"/>
            <family val="2"/>
          </rPr>
          <t>11/2011: expect $425mm</t>
        </r>
        <r>
          <rPr>
            <sz val="8"/>
            <color indexed="81"/>
            <rFont val="Tahoma"/>
            <family val="2"/>
          </rPr>
          <t xml:space="preserve">
8/2011: expect $425mm
5/2011: expect $400-425mm
10K: anticipate spending approximately $400 million for capital expenditures in 2011 with the majority relating to opening new stores and remodeling and improving existing stores.  Expect to open approximately 35 new stores in Canada and the U.S.
2/2011: expect capex $400mm
10/09: $250-$350M</t>
        </r>
      </text>
    </comment>
    <comment ref="AV22" authorId="3">
      <text>
        <r>
          <rPr>
            <sz val="8"/>
            <color indexed="81"/>
            <rFont val="Tahoma"/>
            <family val="2"/>
          </rPr>
          <t>10/17: $600 to 625 (48 new stores; 98 remodels)</t>
        </r>
        <r>
          <rPr>
            <b/>
            <sz val="8"/>
            <color indexed="81"/>
            <rFont val="Tahoma"/>
            <family val="2"/>
          </rPr>
          <t xml:space="preserve">
kahng:</t>
        </r>
        <r>
          <rPr>
            <sz val="8"/>
            <color indexed="81"/>
            <rFont val="Tahoma"/>
            <family val="2"/>
          </rPr>
          <t xml:space="preserve">
5/16/12: $575 to $625
2/22/12: $575 to $625</t>
        </r>
      </text>
    </comment>
    <comment ref="AX22" authorId="4">
      <text>
        <r>
          <rPr>
            <sz val="8"/>
            <color indexed="81"/>
            <rFont val="Tahoma"/>
            <family val="2"/>
          </rPr>
          <t>11/20/13: reiterate ~$700M
8/21/13: ~$700M
2/27/13: guidance ~$650M</t>
        </r>
        <r>
          <rPr>
            <b/>
            <sz val="8"/>
            <color indexed="81"/>
            <rFont val="Tahoma"/>
            <family val="2"/>
          </rPr>
          <t xml:space="preserve">
casselau:</t>
        </r>
        <r>
          <rPr>
            <sz val="8"/>
            <color indexed="81"/>
            <rFont val="Tahoma"/>
            <family val="2"/>
          </rPr>
          <t xml:space="preserve">
10/17/12 investor day: $650M (~80 new stores/~160 remodels)</t>
        </r>
      </text>
    </comment>
    <comment ref="AZ22" authorId="4">
      <text>
        <r>
          <rPr>
            <b/>
            <sz val="8"/>
            <color indexed="81"/>
            <rFont val="Tahoma"/>
            <family val="2"/>
          </rPr>
          <t>casselau:
2/26/14: ~$750M</t>
        </r>
        <r>
          <rPr>
            <sz val="8"/>
            <color indexed="81"/>
            <rFont val="Tahoma"/>
            <family val="2"/>
          </rPr>
          <t xml:space="preserve">
70% real estate and stores; 30% investments in technology, logistics and facilities</t>
        </r>
      </text>
    </comment>
    <comment ref="BB22" authorId="4">
      <text>
        <r>
          <rPr>
            <b/>
            <sz val="8"/>
            <color indexed="81"/>
            <rFont val="Tahoma"/>
            <family val="2"/>
          </rPr>
          <t>casselau:
2/25/15</t>
        </r>
        <r>
          <rPr>
            <sz val="8"/>
            <color indexed="81"/>
            <rFont val="Tahoma"/>
            <family val="2"/>
          </rPr>
          <t xml:space="preserve"> guidance: between $800 and $850M (70% for real estate/stores, rest relates to logistics/facilities)</t>
        </r>
        <r>
          <rPr>
            <b/>
            <sz val="8"/>
            <color indexed="81"/>
            <rFont val="Tahoma"/>
            <family val="2"/>
          </rPr>
          <t xml:space="preserve">
</t>
        </r>
        <r>
          <rPr>
            <sz val="8"/>
            <color indexed="81"/>
            <rFont val="Tahoma"/>
            <family val="2"/>
          </rPr>
          <t>11/4/14: ~$800M (incremental spend on the beauty park)
3/3/14: per Amie: $700 over next 2-3 years</t>
        </r>
      </text>
    </comment>
    <comment ref="BD22" authorId="4">
      <text>
        <r>
          <rPr>
            <b/>
            <sz val="9"/>
            <color indexed="81"/>
            <rFont val="Tahoma"/>
            <family val="2"/>
          </rPr>
          <t>casselau:
8/17/16: $950-1B</t>
        </r>
        <r>
          <rPr>
            <sz val="9"/>
            <color indexed="81"/>
            <rFont val="Tahoma"/>
            <family val="2"/>
          </rPr>
          <t xml:space="preserve">
11/3/15: $900-$1B</t>
        </r>
      </text>
    </comment>
    <comment ref="BF22" authorId="5">
      <text>
        <r>
          <rPr>
            <b/>
            <sz val="9"/>
            <color indexed="81"/>
            <rFont val="Tahoma"/>
            <family val="2"/>
          </rPr>
          <t>Cassel, Lauren (Research):
11/15/17: ~$750M
64 new stores, 236 remodeled stores
11/2/17: guidance $750M
8/16/17: guidance ~$800M
5/17/17: guidance $850M
2/22/17: guidance $850-900M</t>
        </r>
        <r>
          <rPr>
            <sz val="9"/>
            <color indexed="81"/>
            <rFont val="Tahoma"/>
            <family val="2"/>
          </rPr>
          <t xml:space="preserve">
11/1/16: ~$1B</t>
        </r>
      </text>
    </comment>
    <comment ref="BH22" authorId="5">
      <text>
        <r>
          <rPr>
            <b/>
            <sz val="9"/>
            <color indexed="81"/>
            <rFont val="Tahoma"/>
            <family val="2"/>
          </rPr>
          <t>Cassel, Lauren (Research):
2/28/18: ~750M; Real estate and store
capital accounts for about 70% of the total, versus about 85% in 2017, as we allocate more of our investment to digital and technology, which has increased roughly 80% over last year.</t>
        </r>
        <r>
          <rPr>
            <sz val="9"/>
            <color indexed="81"/>
            <rFont val="Tahoma"/>
            <family val="2"/>
          </rPr>
          <t xml:space="preserve">
11/2/17: Analyst Day: $750M; 81 new stores 197 remodels</t>
        </r>
      </text>
    </comment>
    <comment ref="AP26" authorId="1">
      <text>
        <r>
          <rPr>
            <b/>
            <sz val="8"/>
            <color indexed="81"/>
            <rFont val="Tahoma"/>
            <family val="2"/>
          </rPr>
          <t>mm98285:</t>
        </r>
        <r>
          <rPr>
            <sz val="8"/>
            <color indexed="81"/>
            <rFont val="Tahoma"/>
            <family val="2"/>
          </rPr>
          <t xml:space="preserve">
2/09: expect modest decline in A/R (given decline in Mast sales)</t>
        </r>
      </text>
    </comment>
    <comment ref="AP35" authorId="1">
      <text>
        <r>
          <rPr>
            <b/>
            <sz val="8"/>
            <color indexed="81"/>
            <rFont val="Tahoma"/>
            <family val="2"/>
          </rPr>
          <t>mm98285:</t>
        </r>
        <r>
          <rPr>
            <sz val="8"/>
            <color indexed="81"/>
            <rFont val="Tahoma"/>
            <family val="2"/>
          </rPr>
          <t xml:space="preserve">
11/09 &amp; 10/09: $500-$600M
8/09: high end of prior $350-$450M
5/09 &amp; 2/09: expect $350-$450m</t>
        </r>
      </text>
    </comment>
    <comment ref="AR35" authorId="1">
      <text>
        <r>
          <rPr>
            <b/>
            <sz val="8"/>
            <color indexed="81"/>
            <rFont val="Tahoma"/>
            <family val="2"/>
          </rPr>
          <t>mm98285:</t>
        </r>
        <r>
          <rPr>
            <sz val="8"/>
            <color indexed="81"/>
            <rFont val="Tahoma"/>
            <family val="2"/>
          </rPr>
          <t xml:space="preserve">
11/10: expects $800M
8/10: ~$550-$650M
2/10: ~$500-$600M</t>
        </r>
      </text>
    </comment>
    <comment ref="AT35" authorId="2">
      <text>
        <r>
          <rPr>
            <b/>
            <sz val="8"/>
            <color indexed="81"/>
            <rFont val="Tahoma"/>
            <family val="2"/>
          </rPr>
          <t>nicholjs:</t>
        </r>
        <r>
          <rPr>
            <sz val="8"/>
            <color indexed="81"/>
            <rFont val="Tahoma"/>
            <family val="2"/>
          </rPr>
          <t xml:space="preserve">
8/2011: expect ~$700mm
5/2011: expect ~$650mm
2/2011: expect ~$600-650mm</t>
        </r>
      </text>
    </comment>
    <comment ref="AV35" authorId="3">
      <text>
        <r>
          <rPr>
            <b/>
            <sz val="8"/>
            <color indexed="81"/>
            <rFont val="Tahoma"/>
            <family val="2"/>
          </rPr>
          <t>8/15: ~700M
kahng:</t>
        </r>
        <r>
          <rPr>
            <sz val="8"/>
            <color indexed="81"/>
            <rFont val="Tahoma"/>
            <family val="2"/>
          </rPr>
          <t xml:space="preserve">
5/16/12: ~$600-700M
2/22/12: ~$600-$700M</t>
        </r>
      </text>
    </comment>
    <comment ref="AX35" authorId="4">
      <text>
        <r>
          <rPr>
            <b/>
            <sz val="8"/>
            <color indexed="81"/>
            <rFont val="Tahoma"/>
            <family val="2"/>
          </rPr>
          <t xml:space="preserve">casselau:
8/21/13: </t>
        </r>
        <r>
          <rPr>
            <sz val="8"/>
            <color indexed="81"/>
            <rFont val="Tahoma"/>
            <family val="2"/>
          </rPr>
          <t xml:space="preserve">reiterate $650-$750
</t>
        </r>
        <r>
          <rPr>
            <sz val="8"/>
            <color indexed="81"/>
            <rFont val="Tahoma"/>
            <family val="2"/>
          </rPr>
          <t>2/27/13: guidance $650-
$750M</t>
        </r>
      </text>
    </comment>
    <comment ref="AZ35" authorId="4">
      <text>
        <r>
          <rPr>
            <b/>
            <sz val="8"/>
            <color indexed="81"/>
            <rFont val="Tahoma"/>
            <family val="2"/>
          </rPr>
          <t>casselau:
11/4/14: $750-850M</t>
        </r>
        <r>
          <rPr>
            <sz val="8"/>
            <color indexed="81"/>
            <rFont val="Tahoma"/>
            <family val="2"/>
          </rPr>
          <t xml:space="preserve">
2/26/14: gudiance $600-$700M</t>
        </r>
      </text>
    </comment>
    <comment ref="BB35" authorId="9">
      <text>
        <r>
          <rPr>
            <b/>
            <sz val="9"/>
            <color indexed="81"/>
            <rFont val="Tahoma"/>
            <family val="2"/>
          </rPr>
          <t>11/19/15: guidance $750-850M</t>
        </r>
        <r>
          <rPr>
            <sz val="9"/>
            <color indexed="81"/>
            <rFont val="Tahoma"/>
            <family val="2"/>
          </rPr>
          <t xml:space="preserve">
2/25/15 guidance: $700-800mm</t>
        </r>
      </text>
    </comment>
    <comment ref="BD35" authorId="4">
      <text>
        <r>
          <rPr>
            <b/>
            <sz val="9"/>
            <color indexed="81"/>
            <rFont val="Tahoma"/>
            <family val="2"/>
          </rPr>
          <t>casselau:
11/17/16: ~$600M
5/18/16: guidance $600-700M</t>
        </r>
        <r>
          <rPr>
            <sz val="9"/>
            <color indexed="81"/>
            <rFont val="Tahoma"/>
            <family val="2"/>
          </rPr>
          <t xml:space="preserve">
2/24/16: guidance $700-800M FCF</t>
        </r>
      </text>
    </comment>
    <comment ref="BF35" authorId="5">
      <text>
        <r>
          <rPr>
            <b/>
            <sz val="9"/>
            <color indexed="81"/>
            <rFont val="Tahoma"/>
            <family val="2"/>
          </rPr>
          <t>Cassel, Lauren (Research):
8/16/17: FCF $650-700M
5/17/17: guidance $750-850M, $100M higher principally driven by the required change in accounting related to the new accounting standard for stock based comp</t>
        </r>
        <r>
          <rPr>
            <sz val="9"/>
            <color indexed="81"/>
            <rFont val="Tahoma"/>
            <family val="2"/>
          </rPr>
          <t xml:space="preserve">
2/22/17: guidance $650-750M</t>
        </r>
      </text>
    </comment>
    <comment ref="BH35" authorId="5">
      <text>
        <r>
          <rPr>
            <b/>
            <sz val="9"/>
            <color indexed="81"/>
            <rFont val="Tahoma"/>
            <family val="2"/>
          </rPr>
          <t>Cassel, Lauren (Research):</t>
        </r>
        <r>
          <rPr>
            <sz val="9"/>
            <color indexed="81"/>
            <rFont val="Tahoma"/>
            <family val="2"/>
          </rPr>
          <t xml:space="preserve">
2/28/18: guidance ~$900M</t>
        </r>
      </text>
    </comment>
    <comment ref="F40" authorId="10">
      <text>
        <r>
          <rPr>
            <b/>
            <sz val="10"/>
            <color indexed="81"/>
            <rFont val="Tahoma"/>
            <family val="2"/>
          </rPr>
          <t>Lehman Brothers:</t>
        </r>
        <r>
          <rPr>
            <sz val="10"/>
            <color indexed="81"/>
            <rFont val="Tahoma"/>
            <family val="2"/>
          </rPr>
          <t xml:space="preserve">
B/S doesn't split out CP and CD from LT debt. So if we do B/S calc we get the same net number as adding lines 42 and 43 together (except for in 1993)</t>
        </r>
      </text>
    </comment>
    <comment ref="H40" authorId="10">
      <text>
        <r>
          <rPr>
            <b/>
            <sz val="10"/>
            <color indexed="81"/>
            <rFont val="Tahoma"/>
            <family val="2"/>
          </rPr>
          <t>Lehman Brothers:</t>
        </r>
        <r>
          <rPr>
            <sz val="10"/>
            <color indexed="81"/>
            <rFont val="Tahoma"/>
            <family val="2"/>
          </rPr>
          <t xml:space="preserve">
B/S doesn't split out CP and CD from LT debt. So if we do B/S calc we get the same net number as adding lines 42 and 43 together (except for in 1993)</t>
        </r>
      </text>
    </comment>
    <comment ref="AF40" authorId="7">
      <text>
        <r>
          <rPr>
            <b/>
            <sz val="8"/>
            <color indexed="81"/>
            <rFont val="Tahoma"/>
            <family val="2"/>
          </rPr>
          <t>Corinna Freedman:</t>
        </r>
        <r>
          <rPr>
            <sz val="8"/>
            <color indexed="81"/>
            <rFont val="Tahoma"/>
            <family val="2"/>
          </rPr>
          <t xml:space="preserve">
500m 5 yr
500 10 yr</t>
        </r>
      </text>
    </comment>
    <comment ref="D42" authorId="10">
      <text>
        <r>
          <rPr>
            <b/>
            <sz val="10"/>
            <color indexed="81"/>
            <rFont val="Tahoma"/>
            <family val="2"/>
          </rPr>
          <t>Lehman Brothers:</t>
        </r>
        <r>
          <rPr>
            <sz val="10"/>
            <color indexed="81"/>
            <rFont val="Tahoma"/>
            <family val="2"/>
          </rPr>
          <t xml:space="preserve">
business acquired</t>
        </r>
      </text>
    </comment>
    <comment ref="F42" authorId="10">
      <text>
        <r>
          <rPr>
            <b/>
            <sz val="10"/>
            <color indexed="81"/>
            <rFont val="Tahoma"/>
            <family val="2"/>
          </rPr>
          <t>Lehman Brothers:</t>
        </r>
        <r>
          <rPr>
            <sz val="10"/>
            <color indexed="81"/>
            <rFont val="Tahoma"/>
            <family val="2"/>
          </rPr>
          <t xml:space="preserve">
business acquired</t>
        </r>
      </text>
    </comment>
    <comment ref="H42" authorId="10">
      <text>
        <r>
          <rPr>
            <b/>
            <sz val="10"/>
            <color indexed="81"/>
            <rFont val="Tahoma"/>
            <family val="2"/>
          </rPr>
          <t>Lehman Brothers:</t>
        </r>
        <r>
          <rPr>
            <sz val="10"/>
            <color indexed="81"/>
            <rFont val="Tahoma"/>
            <family val="2"/>
          </rPr>
          <t xml:space="preserve">
business acquired</t>
        </r>
      </text>
    </comment>
    <comment ref="J42" authorId="10">
      <text>
        <r>
          <rPr>
            <b/>
            <sz val="8"/>
            <color indexed="81"/>
            <rFont val="Tahoma"/>
            <family val="2"/>
          </rPr>
          <t>Lehman Brothers:</t>
        </r>
        <r>
          <rPr>
            <sz val="8"/>
            <color indexed="81"/>
            <rFont val="Tahoma"/>
            <family val="2"/>
          </rPr>
          <t xml:space="preserve">
proceeds from sale of biz less tax impact</t>
        </r>
      </text>
    </comment>
    <comment ref="N42" authorId="10">
      <text>
        <r>
          <rPr>
            <b/>
            <sz val="8"/>
            <color indexed="81"/>
            <rFont val="Tahoma"/>
            <family val="2"/>
          </rPr>
          <t>Lehman Brothers:</t>
        </r>
        <r>
          <rPr>
            <sz val="8"/>
            <color indexed="81"/>
            <rFont val="Tahoma"/>
            <family val="2"/>
          </rPr>
          <t xml:space="preserve">
1.2 bn in proceeds from credit card securitization</t>
        </r>
      </text>
    </comment>
    <comment ref="AL42" authorId="1">
      <text>
        <r>
          <rPr>
            <b/>
            <sz val="8"/>
            <color indexed="81"/>
            <rFont val="Tahoma"/>
            <family val="2"/>
          </rPr>
          <t>mm98285:</t>
        </r>
        <r>
          <rPr>
            <sz val="8"/>
            <color indexed="81"/>
            <rFont val="Tahoma"/>
            <family val="2"/>
          </rPr>
          <t xml:space="preserve">
proceeds from divestiture of Express</t>
        </r>
      </text>
    </comment>
    <comment ref="BB42" authorId="4">
      <text>
        <r>
          <rPr>
            <b/>
            <sz val="9"/>
            <color indexed="81"/>
            <rFont val="Tahoma"/>
            <family val="2"/>
          </rPr>
          <t>casselau:</t>
        </r>
        <r>
          <rPr>
            <sz val="9"/>
            <color indexed="81"/>
            <rFont val="Tahoma"/>
            <family val="2"/>
          </rPr>
          <t xml:space="preserve">
proceeds from sale of assets and third-party apparel sourcing business</t>
        </r>
      </text>
    </comment>
    <comment ref="AH43" authorId="8">
      <text>
        <r>
          <rPr>
            <b/>
            <sz val="8"/>
            <color indexed="81"/>
            <rFont val="Tahoma"/>
            <family val="2"/>
          </rPr>
          <t>MB33100:</t>
        </r>
        <r>
          <rPr>
            <sz val="8"/>
            <color indexed="81"/>
            <rFont val="Tahoma"/>
            <family val="2"/>
          </rPr>
          <t xml:space="preserve">
proceeds from sale of property, offset by land purchase
</t>
        </r>
      </text>
    </comment>
    <comment ref="AL45" authorId="1">
      <text>
        <r>
          <rPr>
            <b/>
            <sz val="8"/>
            <color indexed="81"/>
            <rFont val="Tahoma"/>
            <family val="2"/>
          </rPr>
          <t>mm98285:</t>
        </r>
        <r>
          <rPr>
            <sz val="8"/>
            <color indexed="81"/>
            <rFont val="Tahoma"/>
            <family val="2"/>
          </rPr>
          <t xml:space="preserve">
includes $102 from proceeds from Distrubtion from Easton Twon Center and $97 proceeds from sale of assets</t>
        </r>
      </text>
    </comment>
    <comment ref="T46" authorId="0">
      <text>
        <r>
          <rPr>
            <b/>
            <sz val="10"/>
            <color indexed="81"/>
            <rFont val="Tahoma"/>
            <family val="2"/>
          </rPr>
          <t>dliu:</t>
        </r>
        <r>
          <rPr>
            <sz val="10"/>
            <color indexed="81"/>
            <rFont val="Tahoma"/>
            <family val="2"/>
          </rPr>
          <t xml:space="preserve">
settlemt of A&amp;F intercompany accounts</t>
        </r>
      </text>
    </comment>
    <comment ref="V46" authorId="0">
      <text>
        <r>
          <rPr>
            <b/>
            <sz val="8"/>
            <color indexed="81"/>
            <rFont val="Tahoma"/>
            <family val="2"/>
          </rPr>
          <t>dliu:</t>
        </r>
        <r>
          <rPr>
            <sz val="8"/>
            <color indexed="81"/>
            <rFont val="Tahoma"/>
            <family val="2"/>
          </rPr>
          <t xml:space="preserve">
decrease in restricted cash 352, settlemt of Ltd2 interco account 12, and dividend rec'd from ltd2 50</t>
        </r>
      </text>
    </comment>
    <comment ref="AJ46" authorId="1">
      <text>
        <r>
          <rPr>
            <b/>
            <sz val="8"/>
            <color indexed="81"/>
            <rFont val="Tahoma"/>
            <family val="2"/>
          </rPr>
          <t>mm98285:</t>
        </r>
        <r>
          <rPr>
            <sz val="8"/>
            <color indexed="81"/>
            <rFont val="Tahoma"/>
            <family val="2"/>
          </rPr>
          <t xml:space="preserve">
-$572 for acquisition of La Senza</t>
        </r>
      </text>
    </comment>
    <comment ref="AX46" authorId="4">
      <text>
        <r>
          <rPr>
            <b/>
            <sz val="9"/>
            <color indexed="81"/>
            <rFont val="Tahoma"/>
            <family val="2"/>
          </rPr>
          <t>return of capital from third party apparel sourcing business investment and other investing activities</t>
        </r>
      </text>
    </comment>
    <comment ref="BF46" authorId="5">
      <text>
        <r>
          <rPr>
            <b/>
            <sz val="9"/>
            <color indexed="81"/>
            <rFont val="Tahoma"/>
            <family val="2"/>
          </rPr>
          <t>Cassel, Lauren (Research):</t>
        </r>
        <r>
          <rPr>
            <sz val="9"/>
            <color indexed="81"/>
            <rFont val="Tahoma"/>
            <family val="2"/>
          </rPr>
          <t xml:space="preserve">
return of capital from Easton Investments</t>
        </r>
      </text>
    </comment>
    <comment ref="AF47" authorId="7">
      <text>
        <r>
          <rPr>
            <b/>
            <sz val="8"/>
            <color indexed="81"/>
            <rFont val="Tahoma"/>
            <family val="2"/>
          </rPr>
          <t>Corinna Freedman:</t>
        </r>
        <r>
          <rPr>
            <sz val="8"/>
            <color indexed="81"/>
            <rFont val="Tahoma"/>
            <family val="2"/>
          </rPr>
          <t xml:space="preserve">
to reflect tender repurch</t>
        </r>
      </text>
    </comment>
    <comment ref="AH47" authorId="1">
      <text>
        <r>
          <rPr>
            <b/>
            <sz val="8"/>
            <color indexed="81"/>
            <rFont val="Tahoma"/>
            <family val="2"/>
          </rPr>
          <t>mm98285:</t>
        </r>
        <r>
          <rPr>
            <sz val="8"/>
            <color indexed="81"/>
            <rFont val="Tahoma"/>
            <family val="2"/>
          </rPr>
          <t xml:space="preserve">
10K: repurchased $380mm or 17mm shares in FY05
5/06: repurchased $84mm (3.5mm shares) of stock in 1Q ($58m remaining in current authorization)
per 2005 10K: 8/05 authorized repurchase of $100mm, 11/05 authorized repurchase of $200mm, and both were completed in 2/06</t>
        </r>
      </text>
    </comment>
    <comment ref="AJ47" authorId="1">
      <text>
        <r>
          <rPr>
            <b/>
            <sz val="9"/>
            <color indexed="81"/>
            <rFont val="Tahoma"/>
            <family val="2"/>
          </rPr>
          <t>mm98285:</t>
        </r>
        <r>
          <rPr>
            <sz val="9"/>
            <color indexed="81"/>
            <rFont val="Tahoma"/>
            <family val="2"/>
          </rPr>
          <t xml:space="preserve">
10K: repurchased $193mm or 8mm shares in FY06
11/06: 3Q repo'd 1.2m shares ($34m) &amp; completed previous $100 auth in Aug,
8/06: 2Q repo'd 1.9m shares ($49.9m)
6/29: authorized new $100m share repo program ($30mm remains under current $100m auth.)
6/06: 1Q repo'd 1.7m shares at avg price of ~$24.35 ($41.4m)
per 2005 10K: 2/06 authorized repurchase of $100mm</t>
        </r>
      </text>
    </comment>
    <comment ref="AL47" authorId="1">
      <text>
        <r>
          <rPr>
            <b/>
            <sz val="9"/>
            <color indexed="81"/>
            <rFont val="Tahoma"/>
            <family val="2"/>
          </rPr>
          <t>mm98285:</t>
        </r>
        <r>
          <rPr>
            <sz val="9"/>
            <color indexed="81"/>
            <rFont val="Tahoma"/>
            <family val="2"/>
          </rPr>
          <t xml:space="preserve">
11/07: repurchased 14.6mm shares for $336 (leaving $96mm remaining in its current $250mm auth) and auth. new $250mm authorization for a total of $346mm available
8/07: 2Q07 repo'd ~30.9mm shares for $818mm and completed remaining 7.7mm share repo in Aug. ($182mm)...completing 1b share repo (announced June 22) and authorized new $250mm share repo. </t>
        </r>
      </text>
    </comment>
    <comment ref="AN47" authorId="1">
      <text>
        <r>
          <rPr>
            <b/>
            <sz val="8"/>
            <color indexed="81"/>
            <rFont val="Tahoma"/>
            <family val="2"/>
          </rPr>
          <t>mm98285:</t>
        </r>
        <r>
          <rPr>
            <sz val="8"/>
            <color indexed="81"/>
            <rFont val="Tahoma"/>
            <family val="2"/>
          </rPr>
          <t xml:space="preserve">
3/09: $379M to repo 28M shares at avg price of $13.36
10/08: new $250mm auth</t>
        </r>
      </text>
    </comment>
    <comment ref="AT47" authorId="2">
      <text>
        <r>
          <rPr>
            <b/>
            <sz val="8"/>
            <color indexed="81"/>
            <rFont val="Tahoma"/>
            <family val="2"/>
          </rPr>
          <t>nicholjs:</t>
        </r>
        <r>
          <rPr>
            <sz val="8"/>
            <color indexed="81"/>
            <rFont val="Tahoma"/>
            <family val="2"/>
          </rPr>
          <t xml:space="preserve">
3/22/2011: announced today that it is offering to sell $750 million aggregate principal amount of senior notes due 2021 (the "2021 Notes"). The 2021 Notes will be guaranteed by certain of Limited Brands' subsidiaries. The company also announced that its board of directors has authorized a new $500 million share repurchase program (which includes $31 million remaining under the company's existing $200 million share repurchase program). In accordance with the company's long-standing commitment to returning value to shareholders, the company intends to use the proceeds of the Notes offering, after the payment of fees and expenses, to repurchase $500 million of the company's shares pursuant to the new share repurchase program and for general corporate purposes. 
</t>
        </r>
      </text>
    </comment>
    <comment ref="AF49" authorId="7">
      <text>
        <r>
          <rPr>
            <b/>
            <sz val="8"/>
            <color indexed="81"/>
            <rFont val="Tahoma"/>
            <family val="2"/>
          </rPr>
          <t>Corinna Freedman:</t>
        </r>
        <r>
          <rPr>
            <sz val="8"/>
            <color indexed="81"/>
            <rFont val="Tahoma"/>
            <family val="2"/>
          </rPr>
          <t xml:space="preserve">
includes 500 one-time div</t>
        </r>
      </text>
    </comment>
    <comment ref="AR49" authorId="2">
      <text>
        <r>
          <rPr>
            <b/>
            <sz val="8"/>
            <color indexed="81"/>
            <rFont val="Tahoma"/>
            <family val="2"/>
          </rPr>
          <t>nicholjs:</t>
        </r>
        <r>
          <rPr>
            <sz val="8"/>
            <color indexed="81"/>
            <rFont val="Tahoma"/>
            <family val="2"/>
          </rPr>
          <t xml:space="preserve">
(a) In November 2010, our Board of Directors declared a special dividend of $3 per share which was distributed on December 21, 2010 to shareholders of record at the close of business on December 7, 2010.
(b) In March 2010, our Board of Directors declared a special dividend of $1 per share which was distributed on April 19, 2010 to shareholders of record at the close of business on April 5, 2010.</t>
        </r>
      </text>
    </comment>
    <comment ref="AT49" authorId="2">
      <text>
        <r>
          <rPr>
            <b/>
            <sz val="8"/>
            <color indexed="81"/>
            <rFont val="Tahoma"/>
            <family val="2"/>
          </rPr>
          <t>nicholjs:</t>
        </r>
        <r>
          <rPr>
            <sz val="8"/>
            <color indexed="81"/>
            <rFont val="Tahoma"/>
            <family val="2"/>
          </rPr>
          <t xml:space="preserve">
6/3/2011 (10Q): special dividend expected to total $310mm</t>
        </r>
      </text>
    </comment>
    <comment ref="AL56" authorId="1">
      <text>
        <r>
          <rPr>
            <b/>
            <sz val="8"/>
            <color indexed="81"/>
            <rFont val="Tahoma"/>
            <family val="2"/>
          </rPr>
          <t>mm98285:</t>
        </r>
        <r>
          <rPr>
            <sz val="8"/>
            <color indexed="81"/>
            <rFont val="Tahoma"/>
            <family val="2"/>
          </rPr>
          <t xml:space="preserve">
subtracted $0.252 to get to round number (10K does not report out to thousands)</t>
        </r>
      </text>
    </comment>
    <comment ref="AH57" authorId="1">
      <text>
        <r>
          <rPr>
            <b/>
            <sz val="8"/>
            <color indexed="81"/>
            <rFont val="Tahoma"/>
            <family val="2"/>
          </rPr>
          <t>mm98285:</t>
        </r>
        <r>
          <rPr>
            <sz val="8"/>
            <color indexed="81"/>
            <rFont val="Tahoma"/>
            <family val="2"/>
          </rPr>
          <t xml:space="preserve">
4/07: rounded up to $1208 because 10K did not provide cash balance in thousands</t>
        </r>
      </text>
    </comment>
    <comment ref="AJ57" authorId="1">
      <text>
        <r>
          <rPr>
            <b/>
            <sz val="8"/>
            <color indexed="81"/>
            <rFont val="Tahoma"/>
            <family val="2"/>
          </rPr>
          <t>mm98285:</t>
        </r>
        <r>
          <rPr>
            <sz val="8"/>
            <color indexed="81"/>
            <rFont val="Tahoma"/>
            <family val="2"/>
          </rPr>
          <t xml:space="preserve">
4/07: rounded up to $500 because 10K did not provide cash balance in thousands</t>
        </r>
      </text>
    </comment>
    <comment ref="AR57" authorId="2">
      <text>
        <r>
          <rPr>
            <b/>
            <sz val="8"/>
            <color indexed="81"/>
            <rFont val="Tahoma"/>
            <family val="2"/>
          </rPr>
          <t>nicholjs:</t>
        </r>
        <r>
          <rPr>
            <sz val="8"/>
            <color indexed="81"/>
            <rFont val="Tahoma"/>
            <family val="2"/>
          </rPr>
          <t xml:space="preserve">
11/2010: expects $750M</t>
        </r>
      </text>
    </comment>
    <comment ref="AT57" authorId="2">
      <text>
        <r>
          <rPr>
            <b/>
            <sz val="8"/>
            <color indexed="81"/>
            <rFont val="Tahoma"/>
            <family val="2"/>
          </rPr>
          <t>nicholjs:</t>
        </r>
        <r>
          <rPr>
            <sz val="8"/>
            <color indexed="81"/>
            <rFont val="Tahoma"/>
            <family val="2"/>
          </rPr>
          <t xml:space="preserve">
11/2010: expects $750M</t>
        </r>
      </text>
    </comment>
  </commentList>
</comments>
</file>

<file path=xl/comments16.xml><?xml version="1.0" encoding="utf-8"?>
<comments xmlns="http://schemas.openxmlformats.org/spreadsheetml/2006/main">
  <authors>
    <author>casselau</author>
    <author>Cassel, Lauren (Research)</author>
    <author>dliu</author>
    <author>mm98285</author>
  </authors>
  <commentList>
    <comment ref="CU10" authorId="0">
      <text>
        <r>
          <rPr>
            <b/>
            <sz val="8"/>
            <color indexed="81"/>
            <rFont val="Tahoma"/>
            <family val="2"/>
          </rPr>
          <t>casselau:</t>
        </r>
        <r>
          <rPr>
            <sz val="8"/>
            <color indexed="81"/>
            <rFont val="Tahoma"/>
            <family val="2"/>
          </rPr>
          <t xml:space="preserve">
2/27/14: inventory should be +MSD at end of Q1</t>
        </r>
      </text>
    </comment>
    <comment ref="DC10" authorId="1">
      <text>
        <r>
          <rPr>
            <b/>
            <sz val="9"/>
            <color indexed="81"/>
            <rFont val="Tahoma"/>
            <family val="2"/>
          </rPr>
          <t>Cassel, Lauren (Research):</t>
        </r>
        <r>
          <rPr>
            <sz val="9"/>
            <color indexed="81"/>
            <rFont val="Tahoma"/>
            <family val="2"/>
          </rPr>
          <t xml:space="preserve">
5/18/16: retail inventories per square foota at cost +3%</t>
        </r>
      </text>
    </comment>
    <comment ref="DG10" authorId="1">
      <text>
        <r>
          <rPr>
            <b/>
            <sz val="9"/>
            <color indexed="81"/>
            <rFont val="Tahoma"/>
            <family val="2"/>
          </rPr>
          <t>Cassel, Lauren (Research):</t>
        </r>
        <r>
          <rPr>
            <sz val="9"/>
            <color indexed="81"/>
            <rFont val="Tahoma"/>
            <family val="2"/>
          </rPr>
          <t xml:space="preserve">
5/17/17: per square foot -12%; very clean and ended the quarter well positioned; VS Store inventory ended -midteens per foot vs. LY with digitial inventories -30%</t>
        </r>
      </text>
    </comment>
    <comment ref="DK10" authorId="1">
      <text>
        <r>
          <rPr>
            <b/>
            <sz val="9"/>
            <color indexed="81"/>
            <rFont val="Tahoma"/>
            <family val="2"/>
          </rPr>
          <t>Cassel, Lauren (Research):</t>
        </r>
        <r>
          <rPr>
            <sz val="9"/>
            <color indexed="81"/>
            <rFont val="Tahoma"/>
            <family val="2"/>
          </rPr>
          <t xml:space="preserve">
2/28/18: We expect to end the first quarter with inventory per square foot up midteens.
As a reminder, last year our inventory per square foot at the end of the
first quarter was down 12%, so on a 2 year basis we’d be up low-to-mid-single
digits.</t>
        </r>
      </text>
    </comment>
    <comment ref="CU11" authorId="0">
      <text>
        <r>
          <rPr>
            <b/>
            <sz val="8"/>
            <color indexed="81"/>
            <rFont val="Tahoma"/>
            <family val="2"/>
          </rPr>
          <t>casselau:</t>
        </r>
        <r>
          <rPr>
            <sz val="8"/>
            <color indexed="81"/>
            <rFont val="Tahoma"/>
            <family val="2"/>
          </rPr>
          <t xml:space="preserve">
2/27/14: inventory should be flattish by the end of spring</t>
        </r>
      </text>
    </comment>
    <comment ref="DC11" authorId="1">
      <text>
        <r>
          <rPr>
            <b/>
            <sz val="9"/>
            <color indexed="81"/>
            <rFont val="Tahoma"/>
            <family val="2"/>
          </rPr>
          <t>Cassel, Lauren (Research):
8/17/16: retail inventories per sqft +4%</t>
        </r>
        <r>
          <rPr>
            <sz val="9"/>
            <color indexed="81"/>
            <rFont val="Tahoma"/>
            <family val="2"/>
          </rPr>
          <t xml:space="preserve">
5/18/16: expect inventory per square foot +MSD</t>
        </r>
      </text>
    </comment>
    <comment ref="DG11" authorId="1">
      <text>
        <r>
          <rPr>
            <b/>
            <sz val="9"/>
            <color indexed="81"/>
            <rFont val="Tahoma"/>
            <family val="2"/>
          </rPr>
          <t>Cassel, Lauren (Research):
8/16/17: per square foot -9%
VS - store inventory ended the quarter down -mid-teens per foot vs. LY; digital inventories -20%; BBW inventory down per sqft</t>
        </r>
        <r>
          <rPr>
            <sz val="9"/>
            <color indexed="81"/>
            <rFont val="Tahoma"/>
            <family val="2"/>
          </rPr>
          <t xml:space="preserve">
5/17/17: expect 2Q ending inventory per square foot -MSD and inventory at VS direct -low-teens</t>
        </r>
      </text>
    </comment>
    <comment ref="CL12" authorId="0">
      <text>
        <r>
          <rPr>
            <b/>
            <sz val="8"/>
            <color indexed="81"/>
            <rFont val="Tahoma"/>
            <family val="2"/>
          </rPr>
          <t>casselau:</t>
        </r>
        <r>
          <rPr>
            <sz val="8"/>
            <color indexed="81"/>
            <rFont val="Tahoma"/>
            <family val="2"/>
          </rPr>
          <t xml:space="preserve">
11/15: retail inventories per sq ft at cost ended up +2%</t>
        </r>
      </text>
    </comment>
    <comment ref="CU12" authorId="0">
      <text>
        <r>
          <rPr>
            <b/>
            <sz val="9"/>
            <color indexed="81"/>
            <rFont val="Tahoma"/>
            <family val="2"/>
          </rPr>
          <t>casselau:</t>
        </r>
        <r>
          <rPr>
            <sz val="9"/>
            <color indexed="81"/>
            <rFont val="Tahoma"/>
            <family val="2"/>
          </rPr>
          <t xml:space="preserve">
8/20/14: expect inventory psf -MSD to -HSD range</t>
        </r>
      </text>
    </comment>
    <comment ref="DC12" authorId="1">
      <text>
        <r>
          <rPr>
            <b/>
            <sz val="9"/>
            <color indexed="81"/>
            <rFont val="Tahoma"/>
            <family val="2"/>
          </rPr>
          <t>Cassel, Lauren (Research):
11/17/16: retail inventories per sqft at cost flat</t>
        </r>
        <r>
          <rPr>
            <sz val="9"/>
            <color indexed="81"/>
            <rFont val="Tahoma"/>
            <family val="2"/>
          </rPr>
          <t xml:space="preserve">
8/17/16: expect inventory per sqft +L-MSD</t>
        </r>
      </text>
    </comment>
    <comment ref="DG12" authorId="1">
      <text>
        <r>
          <rPr>
            <b/>
            <sz val="9"/>
            <color indexed="81"/>
            <rFont val="Tahoma"/>
            <family val="2"/>
          </rPr>
          <t>Cassel, Lauren (Research):</t>
        </r>
        <r>
          <rPr>
            <sz val="9"/>
            <color indexed="81"/>
            <rFont val="Tahoma"/>
            <family val="2"/>
          </rPr>
          <t xml:space="preserve">
8/16/17: expect to end with inventory per square foot about flat to LY</t>
        </r>
      </text>
    </comment>
    <comment ref="CQ13" authorId="0">
      <text>
        <r>
          <rPr>
            <b/>
            <sz val="8"/>
            <color indexed="81"/>
            <rFont val="Tahoma"/>
            <family val="2"/>
          </rPr>
          <t>casselau:</t>
        </r>
        <r>
          <rPr>
            <sz val="8"/>
            <color indexed="81"/>
            <rFont val="Tahoma"/>
            <family val="2"/>
          </rPr>
          <t xml:space="preserve">
2/27/14: +9% psf at cost</t>
        </r>
      </text>
    </comment>
    <comment ref="DG13" authorId="1">
      <text>
        <r>
          <rPr>
            <b/>
            <sz val="9"/>
            <color indexed="81"/>
            <rFont val="Tahoma"/>
            <family val="2"/>
          </rPr>
          <t>Cassel, Lauren (Research):
2/28/18: inventory per square foot +7%</t>
        </r>
        <r>
          <rPr>
            <sz val="9"/>
            <color indexed="81"/>
            <rFont val="Tahoma"/>
            <family val="2"/>
          </rPr>
          <t xml:space="preserve">
11/15/17: expect to end with inventory per square foot +MSD</t>
        </r>
      </text>
    </comment>
    <comment ref="BB18" authorId="2">
      <text>
        <r>
          <rPr>
            <b/>
            <sz val="8"/>
            <color indexed="81"/>
            <rFont val="Tahoma"/>
            <family val="2"/>
          </rPr>
          <t>dliu:</t>
        </r>
        <r>
          <rPr>
            <sz val="8"/>
            <color indexed="81"/>
            <rFont val="Tahoma"/>
            <family val="2"/>
          </rPr>
          <t xml:space="preserve">
from 3Q03 10-Q: The net proceeds from the sale of $192.9 million were included in accounts receivable in the accompanying Consolidated Balance Sheet and were collected on November 5, 2003</t>
        </r>
      </text>
    </comment>
    <comment ref="DG25" authorId="1">
      <text>
        <r>
          <rPr>
            <b/>
            <sz val="9"/>
            <color indexed="81"/>
            <rFont val="Tahoma"/>
            <family val="2"/>
          </rPr>
          <t>Cassel, Lauren (Research):</t>
        </r>
        <r>
          <rPr>
            <sz val="9"/>
            <color indexed="81"/>
            <rFont val="Tahoma"/>
            <family val="2"/>
          </rPr>
          <t xml:space="preserve">
2/28/18: due to deferred tax liabilities </t>
        </r>
      </text>
    </comment>
    <comment ref="BN28" authorId="3">
      <text>
        <r>
          <rPr>
            <b/>
            <sz val="8"/>
            <color indexed="81"/>
            <rFont val="Tahoma"/>
            <family val="2"/>
          </rPr>
          <t>mm98285:</t>
        </r>
        <r>
          <rPr>
            <sz val="8"/>
            <color indexed="81"/>
            <rFont val="Tahoma"/>
            <family val="2"/>
          </rPr>
          <t xml:space="preserve">
6/06: exludes $7.5mm in ST debt</t>
        </r>
      </text>
    </comment>
  </commentList>
</comments>
</file>

<file path=xl/comments17.xml><?xml version="1.0" encoding="utf-8"?>
<comments xmlns="http://schemas.openxmlformats.org/spreadsheetml/2006/main">
  <authors>
    <author>Corinna Freedman</author>
    <author>mm98285</author>
    <author>oc48540</author>
    <author>TI23070</author>
    <author>ns66486</author>
    <author>nicholjs</author>
    <author>sancfa</author>
    <author>solejay</author>
    <author>kahng</author>
    <author>P Kahng</author>
    <author>casselau</author>
    <author>Cassel, Lauren (Research)</author>
  </authors>
  <commentList>
    <comment ref="AF111" authorId="0">
      <text>
        <r>
          <rPr>
            <b/>
            <sz val="8"/>
            <color indexed="81"/>
            <rFont val="Tahoma"/>
            <family val="2"/>
          </rPr>
          <t>Corinna Freedman:</t>
        </r>
        <r>
          <rPr>
            <sz val="8"/>
            <color indexed="81"/>
            <rFont val="Tahoma"/>
            <family val="2"/>
          </rPr>
          <t xml:space="preserve">
guidance 10/7 +MSD 
11/05/04 mgmt indicated +15% total co, +3% apparel. Changed from +5% to +15%.</t>
        </r>
      </text>
    </comment>
    <comment ref="AF118" authorId="0">
      <text>
        <r>
          <rPr>
            <b/>
            <sz val="8"/>
            <color indexed="81"/>
            <rFont val="Tahoma"/>
            <family val="2"/>
          </rPr>
          <t>Corinna Freedman:</t>
        </r>
        <r>
          <rPr>
            <sz val="8"/>
            <color indexed="81"/>
            <rFont val="Tahoma"/>
            <family val="2"/>
          </rPr>
          <t xml:space="preserve">
+2% at end of oct</t>
        </r>
      </text>
    </comment>
    <comment ref="AF123" authorId="1">
      <text>
        <r>
          <rPr>
            <b/>
            <sz val="8"/>
            <color indexed="81"/>
            <rFont val="Tahoma"/>
            <family val="2"/>
          </rPr>
          <t>mm98285:</t>
        </r>
        <r>
          <rPr>
            <sz val="8"/>
            <color indexed="81"/>
            <rFont val="Tahoma"/>
            <family val="2"/>
          </rPr>
          <t xml:space="preserve">
5/06: Inv psf +3% and down -16% at the Apparel div.
3/2/06: +2% at end of Feb.</t>
        </r>
      </text>
    </comment>
    <comment ref="AF124" authorId="1">
      <text>
        <r>
          <rPr>
            <b/>
            <sz val="8"/>
            <color indexed="81"/>
            <rFont val="Tahoma"/>
            <family val="2"/>
          </rPr>
          <t>mm98285:</t>
        </r>
        <r>
          <rPr>
            <sz val="8"/>
            <color indexed="81"/>
            <rFont val="Tahoma"/>
            <family val="2"/>
          </rPr>
          <t xml:space="preserve">
6/06: +7% (App -19%) eo May
5/06: Inv expected to be up in the MSD range at end of 2Q</t>
        </r>
      </text>
    </comment>
    <comment ref="AF125" authorId="1">
      <text>
        <r>
          <rPr>
            <b/>
            <sz val="8"/>
            <color indexed="81"/>
            <rFont val="Tahoma"/>
            <family val="2"/>
          </rPr>
          <t>mm98285:</t>
        </r>
        <r>
          <rPr>
            <sz val="8"/>
            <color indexed="81"/>
            <rFont val="Tahoma"/>
            <family val="2"/>
          </rPr>
          <t xml:space="preserve">
8/06: expect inv to be up +L20s eo 3Q (due to safetly stock build at BBW)</t>
        </r>
      </text>
    </comment>
    <comment ref="AF126" authorId="1">
      <text>
        <r>
          <rPr>
            <b/>
            <sz val="8"/>
            <color indexed="81"/>
            <rFont val="Tahoma"/>
            <family val="2"/>
          </rPr>
          <t>mm98285:</t>
        </r>
        <r>
          <rPr>
            <sz val="8"/>
            <color indexed="81"/>
            <rFont val="Tahoma"/>
            <family val="2"/>
          </rPr>
          <t xml:space="preserve">
11/06: expect to be up low 20s</t>
        </r>
      </text>
    </comment>
    <comment ref="AF130" authorId="2">
      <text>
        <r>
          <rPr>
            <b/>
            <sz val="8"/>
            <color indexed="81"/>
            <rFont val="Tahoma"/>
            <family val="2"/>
          </rPr>
          <t>oc48540:</t>
        </r>
        <r>
          <rPr>
            <sz val="8"/>
            <color indexed="81"/>
            <rFont val="Tahoma"/>
            <family val="2"/>
          </rPr>
          <t xml:space="preserve">
4Q06 Earnings Call: From an inventory perspective we expect that the percentage growth in retail inventory per square foot will moderate somewhat during the first quarter </t>
        </r>
      </text>
    </comment>
    <comment ref="AF131" authorId="1">
      <text>
        <r>
          <rPr>
            <b/>
            <sz val="8"/>
            <color indexed="81"/>
            <rFont val="Tahoma"/>
            <family val="2"/>
          </rPr>
          <t xml:space="preserve">PW:
</t>
        </r>
        <r>
          <rPr>
            <sz val="8"/>
            <color indexed="81"/>
            <rFont val="Tahoma"/>
            <family val="2"/>
          </rPr>
          <t>-4% July Sales call (inc Express and Limited)</t>
        </r>
      </text>
    </comment>
    <comment ref="AF132" authorId="1">
      <text>
        <r>
          <rPr>
            <b/>
            <sz val="8"/>
            <color indexed="81"/>
            <rFont val="Tahoma"/>
            <family val="2"/>
          </rPr>
          <t>mm98285:</t>
        </r>
        <r>
          <rPr>
            <sz val="8"/>
            <color indexed="81"/>
            <rFont val="Tahoma"/>
            <family val="2"/>
          </rPr>
          <t xml:space="preserve">
aug. inv -7% psf</t>
        </r>
      </text>
    </comment>
    <comment ref="AF133" authorId="1">
      <text>
        <r>
          <rPr>
            <b/>
            <sz val="8"/>
            <color indexed="81"/>
            <rFont val="Tahoma"/>
            <family val="2"/>
          </rPr>
          <t>mm98285:</t>
        </r>
        <r>
          <rPr>
            <sz val="8"/>
            <color indexed="81"/>
            <rFont val="Tahoma"/>
            <family val="2"/>
          </rPr>
          <t xml:space="preserve">
Jan -25% psf
12/07: inv. -21% eo Nov.
11/07 &amp; 8/07: expect to be down 20-25%</t>
        </r>
      </text>
    </comment>
    <comment ref="AF137" authorId="1">
      <text>
        <r>
          <rPr>
            <b/>
            <sz val="8"/>
            <color indexed="81"/>
            <rFont val="Tahoma"/>
            <family val="2"/>
          </rPr>
          <t>mm98285:</t>
        </r>
        <r>
          <rPr>
            <sz val="8"/>
            <color indexed="81"/>
            <rFont val="Tahoma"/>
            <family val="2"/>
          </rPr>
          <t xml:space="preserve">
we estimate -18%, but won't show up on B/s because LY includes Apparel division</t>
        </r>
      </text>
    </comment>
    <comment ref="AF138" authorId="1">
      <text>
        <r>
          <rPr>
            <b/>
            <sz val="8"/>
            <color indexed="81"/>
            <rFont val="Tahoma"/>
            <family val="2"/>
          </rPr>
          <t>mm98285:</t>
        </r>
        <r>
          <rPr>
            <sz val="8"/>
            <color indexed="81"/>
            <rFont val="Tahoma"/>
            <family val="2"/>
          </rPr>
          <t xml:space="preserve">
9/08: according to Amie Preston VS &amp; BBW inventory levels are exactly equal to 2005 levels
8/08: 2Q call &amp; July sales said  -18% psf
5/08: expect down mid-high teens
2/08: -LDD</t>
        </r>
      </text>
    </comment>
    <comment ref="AF139" authorId="1">
      <text>
        <r>
          <rPr>
            <b/>
            <sz val="8"/>
            <color indexed="81"/>
            <rFont val="Tahoma"/>
            <family val="2"/>
          </rPr>
          <t>mm98285:</t>
        </r>
        <r>
          <rPr>
            <sz val="8"/>
            <color indexed="81"/>
            <rFont val="Tahoma"/>
            <family val="2"/>
          </rPr>
          <t xml:space="preserve">
Nov. -14% psf; -28% psf on 2 year basis
Oct -14%
Sept. -18% psf; Aug. -20%
8/08: down but moderating given anniversarying LY's declines </t>
        </r>
      </text>
    </comment>
    <comment ref="AF140" authorId="1">
      <text>
        <r>
          <rPr>
            <b/>
            <sz val="8"/>
            <color indexed="81"/>
            <rFont val="Tahoma"/>
            <family val="2"/>
          </rPr>
          <t>mm98285:</t>
        </r>
        <r>
          <rPr>
            <sz val="8"/>
            <color indexed="81"/>
            <rFont val="Tahoma"/>
            <family val="2"/>
          </rPr>
          <t xml:space="preserve">
2/09: -8% (-34% on 2yr basis)
1/09: expect flat to down slightly (-6% psf or -38% psf on 2yr basis at end of Dec.
12/8: expect flat to down slightly
11/08: guided to flat to down slightly 
8/08: expect flat</t>
        </r>
      </text>
    </comment>
    <comment ref="AF144" authorId="1">
      <text>
        <r>
          <rPr>
            <b/>
            <sz val="8"/>
            <color indexed="81"/>
            <rFont val="Tahoma"/>
            <family val="2"/>
          </rPr>
          <t>mm98285:</t>
        </r>
        <r>
          <rPr>
            <sz val="8"/>
            <color indexed="81"/>
            <rFont val="Tahoma"/>
            <family val="2"/>
          </rPr>
          <t xml:space="preserve">
5/09: +1% or -10% excl. VS (given pull forward of receipts for systems implementation)
4/09: March -5% end of month (-33% 2yr basis); No update to flattish at end of 1Q given early reciepts for VS SAP conversion; expect down (10)-(12)% in 1H09
3/09: February -8% (-35% on 2 year basis) No update to flattish at end of 1Q given early receipts for VS SAP conversion; Expect down (10)-(12)% in 1H09.
2/09 (10)-(12)% in 1H but B/S will show flattish in March/April/May given early receipt for VS in anticipation of SAP implementation</t>
        </r>
      </text>
    </comment>
    <comment ref="AF145" authorId="1">
      <text>
        <r>
          <rPr>
            <b/>
            <sz val="8"/>
            <color indexed="81"/>
            <rFont val="Tahoma"/>
            <family val="2"/>
          </rPr>
          <t>mm98285:</t>
        </r>
        <r>
          <rPr>
            <sz val="8"/>
            <color indexed="81"/>
            <rFont val="Tahoma"/>
            <family val="2"/>
          </rPr>
          <t xml:space="preserve">
8/09: -6% (-24% on 2-yr basis)
7/09: -8% (-29% on a 2yr basis) end of June. No update to expect -M-HSD end of 2Q
5/09: expect -M-HSD
May: +1% psf (-26% psf on 2 yr basis) given pull forward of VSS reciepts given new supply chain system; -10% psf ex. VS
No update to -M-HSD end of 2Q
2/09: -HSD</t>
        </r>
      </text>
    </comment>
    <comment ref="AF146" authorId="3">
      <text>
        <r>
          <rPr>
            <b/>
            <sz val="8"/>
            <color indexed="81"/>
            <rFont val="Tahoma"/>
            <family val="2"/>
          </rPr>
          <t>TI23070:</t>
        </r>
        <r>
          <rPr>
            <sz val="8"/>
            <color indexed="81"/>
            <rFont val="Tahoma"/>
            <family val="2"/>
          </rPr>
          <t xml:space="preserve">
August: -6% (-25% on a 2yr basis)
September: -11% (-24% on a 2yr basis)
October -10% ((-20% on 2yr basis)</t>
        </r>
      </text>
    </comment>
    <comment ref="AF147" authorId="1">
      <text>
        <r>
          <rPr>
            <b/>
            <sz val="8"/>
            <color indexed="81"/>
            <rFont val="Tahoma"/>
            <family val="2"/>
          </rPr>
          <t>mm98285:</t>
        </r>
        <r>
          <rPr>
            <sz val="8"/>
            <color indexed="81"/>
            <rFont val="Tahoma"/>
            <family val="2"/>
          </rPr>
          <t xml:space="preserve">
11/09: expect down -MSD
10/09: expect down ~8%
November: -10% (-17% on 2 yr basis)
December -10% (-16% on 2 year basis)
January -9% psf (-16% on 2-year basis)</t>
        </r>
      </text>
    </comment>
    <comment ref="AF151" authorId="1">
      <text>
        <r>
          <rPr>
            <b/>
            <sz val="8"/>
            <color indexed="81"/>
            <rFont val="Tahoma"/>
            <family val="2"/>
          </rPr>
          <t>mm98285:</t>
        </r>
        <r>
          <rPr>
            <sz val="8"/>
            <color indexed="81"/>
            <rFont val="Tahoma"/>
            <family val="2"/>
          </rPr>
          <t xml:space="preserve">
2/10: expect -HSD
3/10: -9% at end of Feb (-15% on 2yr basis)
4/10: -12% at end of Mar
5/10: -16% at cost at end of April</t>
        </r>
      </text>
    </comment>
    <comment ref="AF152" authorId="4">
      <text>
        <r>
          <rPr>
            <b/>
            <sz val="8"/>
            <color indexed="81"/>
            <rFont val="Tahoma"/>
            <family val="2"/>
          </rPr>
          <t>ns66486:</t>
        </r>
        <r>
          <rPr>
            <sz val="8"/>
            <color indexed="81"/>
            <rFont val="Tahoma"/>
            <family val="2"/>
          </rPr>
          <t xml:space="preserve">
8/10: ended July -5% psf at cost
7/10: ended June -4% psf at cost
6/10: no update to -L-MSD. May -9% at cost at end of month.
5/10: expect down -L-MSD</t>
        </r>
      </text>
    </comment>
    <comment ref="AF153" authorId="5">
      <text>
        <r>
          <rPr>
            <b/>
            <sz val="8"/>
            <color indexed="81"/>
            <rFont val="Tahoma"/>
            <family val="2"/>
          </rPr>
          <t>nicholjs:</t>
        </r>
        <r>
          <rPr>
            <sz val="8"/>
            <color indexed="81"/>
            <rFont val="Tahoma"/>
            <family val="2"/>
          </rPr>
          <t xml:space="preserve">
August: -4% psf
September: -8% psf
October: -2% psf
8/10: expect flat to up slightly
</t>
        </r>
      </text>
    </comment>
    <comment ref="AF154" authorId="5">
      <text>
        <r>
          <rPr>
            <b/>
            <sz val="8"/>
            <color indexed="81"/>
            <rFont val="Tahoma"/>
            <family val="2"/>
          </rPr>
          <t>nicholjs:</t>
        </r>
        <r>
          <rPr>
            <sz val="8"/>
            <color indexed="81"/>
            <rFont val="Tahoma"/>
            <family val="2"/>
          </rPr>
          <t xml:space="preserve">
Nov: +2% psf at cost
Jan: Inventories at end of month -2%, psf at cost and -11% on a two-year basis, ended January with clean inventory positions</t>
        </r>
      </text>
    </comment>
    <comment ref="AF158" authorId="5">
      <text>
        <r>
          <rPr>
            <b/>
            <sz val="8"/>
            <color indexed="81"/>
            <rFont val="Tahoma"/>
            <family val="2"/>
          </rPr>
          <t>nicholjs:</t>
        </r>
        <r>
          <rPr>
            <sz val="8"/>
            <color indexed="81"/>
            <rFont val="Tahoma"/>
            <family val="2"/>
          </rPr>
          <t xml:space="preserve">
1Q11: Inventory levels down to last year. Inventory per square foot has decreased for 16 consecutive quarters
5/2011: Inventories ended April -5% psf at cost and down -20% on a two year basis
4/2011: Inventories ended March -3% psf at cost and down -15% on a two year basis
3/2011: Inventories ended February down -3% psf at cost and down -12% on a two year basis
2/2011: expect flat to LY</t>
        </r>
      </text>
    </comment>
    <comment ref="AF159" authorId="6">
      <text>
        <r>
          <rPr>
            <sz val="8"/>
            <color indexed="81"/>
            <rFont val="Tahoma"/>
            <family val="2"/>
          </rPr>
          <t>Inventories psf at cost ended the quarter down -1% vs. LY, and down -5% on a two-year basis.</t>
        </r>
        <r>
          <rPr>
            <b/>
            <sz val="8"/>
            <color indexed="81"/>
            <rFont val="Tahoma"/>
            <family val="2"/>
          </rPr>
          <t xml:space="preserve"> 
sancfa:</t>
        </r>
        <r>
          <rPr>
            <sz val="8"/>
            <color indexed="81"/>
            <rFont val="Tahoma"/>
            <family val="2"/>
          </rPr>
          <t xml:space="preserve">
July SSS: Inventories at end of month down -1% psf at cost
June SSS: Inventories at end of month down -8% psf at cost and down -12% on a two year basis
May SSS: Inventories at end of month down -7% psf at cost and down -15% on a two year basis
5/2011: expect flat to up slightly</t>
        </r>
      </text>
    </comment>
    <comment ref="AF160" authorId="5">
      <text>
        <r>
          <rPr>
            <sz val="8"/>
            <color indexed="81"/>
            <rFont val="Tahoma"/>
            <family val="2"/>
          </rPr>
          <t>11/17:  Retail inventories per square foot ended the quarter up 2% at cost
September: Inventories at end of month down -2% psf at cost and -9% on a 2-year basis
August: Inventories at end of month down -3% psf at cost and -7% on a 2-year basis
8/2011: expect flat to up slightly to LY</t>
        </r>
      </text>
    </comment>
    <comment ref="AF161" authorId="7">
      <text>
        <r>
          <rPr>
            <b/>
            <sz val="8"/>
            <color indexed="81"/>
            <rFont val="Tahoma"/>
            <family val="2"/>
          </rPr>
          <t xml:space="preserve">solejay:
</t>
        </r>
        <r>
          <rPr>
            <sz val="8"/>
            <color indexed="81"/>
            <rFont val="Tahoma"/>
            <family val="2"/>
          </rPr>
          <t>11/17 - +L-MSD</t>
        </r>
        <r>
          <rPr>
            <sz val="8"/>
            <color indexed="81"/>
            <rFont val="Tahoma"/>
            <family val="2"/>
          </rPr>
          <t xml:space="preserve">
11/17 Conf. call - "Moving to inventories, we expect to end the fourth quarter with inventory per square foot roughly up low to mid single digits to last year.  The end of the quarter forecast includes a pull forward of inventory related to the timing of Chinese New Year this year, which has an impact of approximately 4 percentage points per foot."</t>
        </r>
      </text>
    </comment>
    <comment ref="AF165" authorId="8">
      <text>
        <r>
          <rPr>
            <b/>
            <sz val="8"/>
            <color indexed="81"/>
            <rFont val="Tahoma"/>
            <family val="2"/>
          </rPr>
          <t xml:space="preserve">5/3/12: </t>
        </r>
        <r>
          <rPr>
            <sz val="8"/>
            <color indexed="81"/>
            <rFont val="Tahoma"/>
            <family val="2"/>
          </rPr>
          <t>April inv up +9%/sqft at cost. Accelerated receipts to chase into sales at VS and BBW. Was previous est'd to be 5%</t>
        </r>
        <r>
          <rPr>
            <b/>
            <sz val="8"/>
            <color indexed="81"/>
            <rFont val="Tahoma"/>
            <family val="2"/>
          </rPr>
          <t xml:space="preserve">
4/5/12: </t>
        </r>
        <r>
          <rPr>
            <sz val="8"/>
            <color indexed="81"/>
            <rFont val="Tahoma"/>
            <family val="2"/>
          </rPr>
          <t>March inv up +8%/sqft at cost. Expect to end in +L-MSD at end of Q1</t>
        </r>
        <r>
          <rPr>
            <b/>
            <sz val="8"/>
            <color indexed="81"/>
            <rFont val="Tahoma"/>
            <family val="2"/>
          </rPr>
          <t xml:space="preserve">
3/1/12:</t>
        </r>
        <r>
          <rPr>
            <sz val="8"/>
            <color indexed="81"/>
            <rFont val="Tahoma"/>
            <family val="2"/>
          </rPr>
          <t xml:space="preserve"> Feb inv up +4%/sqft at cost
</t>
        </r>
        <r>
          <rPr>
            <b/>
            <sz val="8"/>
            <color indexed="81"/>
            <rFont val="Tahoma"/>
            <family val="2"/>
          </rPr>
          <t xml:space="preserve">2/2011: </t>
        </r>
        <r>
          <rPr>
            <sz val="8"/>
            <color indexed="81"/>
            <rFont val="Tahoma"/>
            <family val="2"/>
          </rPr>
          <t>expect inv/sqft up MSD at end of Q1</t>
        </r>
      </text>
    </comment>
    <comment ref="AF166" authorId="9">
      <text>
        <r>
          <rPr>
            <b/>
            <sz val="8"/>
            <color indexed="81"/>
            <rFont val="Tahoma"/>
            <family val="2"/>
          </rPr>
          <t>P Kahng:</t>
        </r>
        <r>
          <rPr>
            <sz val="8"/>
            <color indexed="81"/>
            <rFont val="Tahoma"/>
            <family val="2"/>
          </rPr>
          <t xml:space="preserve">
5/17/12: inv/sqft up +MSD</t>
        </r>
      </text>
    </comment>
    <comment ref="AF167" authorId="7">
      <text>
        <r>
          <rPr>
            <sz val="8"/>
            <color indexed="81"/>
            <rFont val="Tahoma"/>
            <family val="2"/>
          </rPr>
          <t>11/15: retail inventories per sq ft at cost ended up +2%</t>
        </r>
        <r>
          <rPr>
            <b/>
            <sz val="8"/>
            <color indexed="81"/>
            <rFont val="Tahoma"/>
            <family val="2"/>
          </rPr>
          <t xml:space="preserve">
solejay:</t>
        </r>
        <r>
          <rPr>
            <sz val="8"/>
            <color indexed="81"/>
            <rFont val="Tahoma"/>
            <family val="2"/>
          </rPr>
          <t xml:space="preserve">
August inventories ended up 4% per sqft at cost. 
</t>
        </r>
      </text>
    </comment>
    <comment ref="AF168" authorId="10">
      <text>
        <r>
          <rPr>
            <b/>
            <sz val="8"/>
            <color indexed="81"/>
            <rFont val="Tahoma"/>
            <family val="2"/>
          </rPr>
          <t>casselau:</t>
        </r>
        <r>
          <rPr>
            <sz val="8"/>
            <color indexed="81"/>
            <rFont val="Tahoma"/>
            <family val="2"/>
          </rPr>
          <t xml:space="preserve">
11/15: expect inventory per sq ft +MSD</t>
        </r>
      </text>
    </comment>
    <comment ref="AF172" authorId="8">
      <text>
        <r>
          <rPr>
            <b/>
            <sz val="8"/>
            <color indexed="81"/>
            <rFont val="Tahoma"/>
            <family val="2"/>
          </rPr>
          <t xml:space="preserve">5/3/12: </t>
        </r>
        <r>
          <rPr>
            <sz val="8"/>
            <color indexed="81"/>
            <rFont val="Tahoma"/>
            <family val="2"/>
          </rPr>
          <t>April inv up +9%/sqft at cost. Accelerated receipts to chase into sales at VS and BBW. Was previous est'd to be 5%</t>
        </r>
        <r>
          <rPr>
            <b/>
            <sz val="8"/>
            <color indexed="81"/>
            <rFont val="Tahoma"/>
            <family val="2"/>
          </rPr>
          <t xml:space="preserve">
4/5/12: </t>
        </r>
        <r>
          <rPr>
            <sz val="8"/>
            <color indexed="81"/>
            <rFont val="Tahoma"/>
            <family val="2"/>
          </rPr>
          <t>March inv up +8%/sqft at cost. Expect to end in +L-MSD at end of Q1</t>
        </r>
        <r>
          <rPr>
            <b/>
            <sz val="8"/>
            <color indexed="81"/>
            <rFont val="Tahoma"/>
            <family val="2"/>
          </rPr>
          <t xml:space="preserve">
3/1/12:</t>
        </r>
        <r>
          <rPr>
            <sz val="8"/>
            <color indexed="81"/>
            <rFont val="Tahoma"/>
            <family val="2"/>
          </rPr>
          <t xml:space="preserve"> Feb inv up +4%/sqft at cost
</t>
        </r>
        <r>
          <rPr>
            <b/>
            <sz val="8"/>
            <color indexed="81"/>
            <rFont val="Tahoma"/>
            <family val="2"/>
          </rPr>
          <t xml:space="preserve">2/2011: </t>
        </r>
        <r>
          <rPr>
            <sz val="8"/>
            <color indexed="81"/>
            <rFont val="Tahoma"/>
            <family val="2"/>
          </rPr>
          <t>expect inv/sqft up MSD at end of Q1</t>
        </r>
      </text>
    </comment>
    <comment ref="N174" authorId="10">
      <text>
        <r>
          <rPr>
            <b/>
            <sz val="8"/>
            <color indexed="81"/>
            <rFont val="Tahoma"/>
            <family val="2"/>
          </rPr>
          <t>casselau:</t>
        </r>
        <r>
          <rPr>
            <sz val="8"/>
            <color indexed="81"/>
            <rFont val="Tahoma"/>
            <family val="2"/>
          </rPr>
          <t xml:space="preserve">
8/8/13: per Amie: inventory could be up throughout the fall.  There are a few reasons why - 1) the Body by Victoria re-launch, 2) we are taking old Body product and boxing it up for the Jan semi-annual sale; 3) There will be an inventory build at BBW due to the restage of the Signature collection.  We need inventory up to support that.  That will be a Sept or Oct launch 4) Inventory will be building in late 3Q for a bigger Victoria's Secret Sport rollout.  
</t>
        </r>
      </text>
    </comment>
    <comment ref="N175" authorId="10">
      <text>
        <r>
          <rPr>
            <b/>
            <sz val="8"/>
            <color indexed="81"/>
            <rFont val="Tahoma"/>
            <family val="2"/>
          </rPr>
          <t>casselau:</t>
        </r>
        <r>
          <rPr>
            <sz val="8"/>
            <color indexed="81"/>
            <rFont val="Tahoma"/>
            <family val="2"/>
          </rPr>
          <t xml:space="preserve">
8/8/13: per Amie: inventory could be up throughout the fall.  There are a few reasons why - 1) the Body by Victoria re-launch, 2) we are taking old Body product and boxing it up for the Jan semi-annual sale; 3) There will be an inventory build at BBW due to the restage of the Signature collection.  We need inventory up to support that.  That will be a Sept or Oct launch 4) Inventory will be building in late 3Q for a bigger Victoria's Secret Sport rollout.  
</t>
        </r>
      </text>
    </comment>
    <comment ref="AF179" authorId="10">
      <text>
        <r>
          <rPr>
            <b/>
            <sz val="9"/>
            <color indexed="81"/>
            <rFont val="Tahoma"/>
            <family val="2"/>
          </rPr>
          <t>casselau:</t>
        </r>
        <r>
          <rPr>
            <sz val="9"/>
            <color indexed="81"/>
            <rFont val="Tahoma"/>
            <family val="2"/>
          </rPr>
          <t xml:space="preserve">
5/21/14: inv +6% per sqft at cost</t>
        </r>
      </text>
    </comment>
    <comment ref="AF180" authorId="10">
      <text>
        <r>
          <rPr>
            <b/>
            <sz val="9"/>
            <color indexed="81"/>
            <rFont val="Tahoma"/>
            <family val="2"/>
          </rPr>
          <t>casselau:</t>
        </r>
        <r>
          <rPr>
            <sz val="9"/>
            <color indexed="81"/>
            <rFont val="Tahoma"/>
            <family val="2"/>
          </rPr>
          <t xml:space="preserve">
5/21/14: expect roughly flat</t>
        </r>
      </text>
    </comment>
    <comment ref="AF181" authorId="10">
      <text>
        <r>
          <rPr>
            <b/>
            <sz val="9"/>
            <color indexed="81"/>
            <rFont val="Tahoma"/>
            <family val="2"/>
          </rPr>
          <t>casselau:</t>
        </r>
        <r>
          <rPr>
            <sz val="9"/>
            <color indexed="81"/>
            <rFont val="Tahoma"/>
            <family val="2"/>
          </rPr>
          <t xml:space="preserve">
-12% per sqft at cost</t>
        </r>
      </text>
    </comment>
    <comment ref="AF182" authorId="10">
      <text>
        <r>
          <rPr>
            <b/>
            <sz val="9"/>
            <color indexed="81"/>
            <rFont val="Tahoma"/>
            <family val="2"/>
          </rPr>
          <t>casselau:</t>
        </r>
        <r>
          <rPr>
            <sz val="9"/>
            <color indexed="81"/>
            <rFont val="Tahoma"/>
            <family val="2"/>
          </rPr>
          <t xml:space="preserve">
expect -MSD to -HSD range</t>
        </r>
      </text>
    </comment>
    <comment ref="AF186" authorId="10">
      <text>
        <r>
          <rPr>
            <b/>
            <sz val="9"/>
            <color indexed="81"/>
            <rFont val="Tahoma"/>
            <family val="2"/>
          </rPr>
          <t>casselau:</t>
        </r>
        <r>
          <rPr>
            <sz val="9"/>
            <color indexed="81"/>
            <rFont val="Tahoma"/>
            <family val="2"/>
          </rPr>
          <t xml:space="preserve">
2/26/15: expect to end -MSD</t>
        </r>
      </text>
    </comment>
    <comment ref="AF187" authorId="10">
      <text>
        <r>
          <rPr>
            <b/>
            <sz val="9"/>
            <color indexed="81"/>
            <rFont val="Tahoma"/>
            <family val="2"/>
          </rPr>
          <t>casselau:
8/19/15: ended the quarter flat at cost/sqft</t>
        </r>
        <r>
          <rPr>
            <sz val="9"/>
            <color indexed="81"/>
            <rFont val="Tahoma"/>
            <family val="2"/>
          </rPr>
          <t xml:space="preserve">
5/20/15: expect +LSD</t>
        </r>
      </text>
    </comment>
    <comment ref="AF188" authorId="10">
      <text>
        <r>
          <rPr>
            <b/>
            <sz val="9"/>
            <color indexed="81"/>
            <rFont val="Tahoma"/>
            <family val="2"/>
          </rPr>
          <t>casselau:</t>
        </r>
        <r>
          <rPr>
            <sz val="9"/>
            <color indexed="81"/>
            <rFont val="Tahoma"/>
            <family val="2"/>
          </rPr>
          <t xml:space="preserve">
8/19/15: expect inventory psf +L-MSD</t>
        </r>
      </text>
    </comment>
    <comment ref="AF189" authorId="10">
      <text>
        <r>
          <rPr>
            <b/>
            <sz val="9"/>
            <color indexed="81"/>
            <rFont val="Tahoma"/>
            <family val="2"/>
          </rPr>
          <t>casselau:</t>
        </r>
        <r>
          <rPr>
            <sz val="9"/>
            <color indexed="81"/>
            <rFont val="Tahoma"/>
            <family val="2"/>
          </rPr>
          <t xml:space="preserve">
11/19/15: +MSD
</t>
        </r>
      </text>
    </comment>
    <comment ref="AF193" authorId="10">
      <text>
        <r>
          <rPr>
            <b/>
            <sz val="9"/>
            <color indexed="81"/>
            <rFont val="Tahoma"/>
            <family val="2"/>
          </rPr>
          <t>casselau:
5/18/16: retail inventories per square foot at cost +3%</t>
        </r>
        <r>
          <rPr>
            <sz val="9"/>
            <color indexed="81"/>
            <rFont val="Tahoma"/>
            <family val="2"/>
          </rPr>
          <t xml:space="preserve">
2/25/16: expect +MSD</t>
        </r>
      </text>
    </comment>
    <comment ref="AF194" authorId="11">
      <text>
        <r>
          <rPr>
            <b/>
            <sz val="9"/>
            <color indexed="81"/>
            <rFont val="Tahoma"/>
            <family val="2"/>
          </rPr>
          <t>Cassel, Lauren (Research):</t>
        </r>
        <r>
          <rPr>
            <sz val="9"/>
            <color indexed="81"/>
            <rFont val="Tahoma"/>
            <family val="2"/>
          </rPr>
          <t xml:space="preserve">
5/18/16: expect inventory per square foot +MSD
7/7/16
Still expect to end 2Q with inventory +MSD</t>
        </r>
      </text>
    </comment>
    <comment ref="AF195" authorId="11">
      <text>
        <r>
          <rPr>
            <b/>
            <sz val="9"/>
            <color indexed="81"/>
            <rFont val="Tahoma"/>
            <family val="2"/>
          </rPr>
          <t xml:space="preserve">Cassel, Lauren (Research):
11/16/16: retail inventories per square foot at cost ended the quarter about flat versus last year; </t>
        </r>
        <r>
          <rPr>
            <sz val="9"/>
            <color indexed="81"/>
            <rFont val="Tahoma"/>
            <family val="2"/>
          </rPr>
          <t>VS Inventory ended the quarter up low-single digits per foot versus last year. Exited product is still on pace to be mostly sold through online by the end of this year.
8/17/16: expect inventory per sqft +L-MSD</t>
        </r>
      </text>
    </comment>
    <comment ref="AF196" authorId="11">
      <text>
        <r>
          <rPr>
            <b/>
            <sz val="9"/>
            <color indexed="81"/>
            <rFont val="Tahoma"/>
            <family val="2"/>
          </rPr>
          <t xml:space="preserve">Cassel, Lauren (Research):
2/22/17: inventories per square foot ended the year -1%
</t>
        </r>
        <r>
          <rPr>
            <sz val="9"/>
            <color indexed="81"/>
            <rFont val="Tahoma"/>
            <family val="2"/>
          </rPr>
          <t xml:space="preserve">
11/16/16: We expect to end the fourth quarter with inventory per square foot +LSD to +MSD</t>
        </r>
      </text>
    </comment>
    <comment ref="AF200" authorId="11">
      <text>
        <r>
          <rPr>
            <b/>
            <sz val="9"/>
            <color indexed="81"/>
            <rFont val="Tahoma"/>
            <family val="2"/>
          </rPr>
          <t>Cassel, Lauren (Research):</t>
        </r>
        <r>
          <rPr>
            <sz val="9"/>
            <color indexed="81"/>
            <rFont val="Tahoma"/>
            <family val="2"/>
          </rPr>
          <t xml:space="preserve">
2/22/17: expect to end the first quarter with inventory per square foot down low single digits to last year and inventory at Victoria’s Secret Direct down about 30% to last year.</t>
        </r>
      </text>
    </comment>
    <comment ref="AF201" authorId="11">
      <text>
        <r>
          <rPr>
            <b/>
            <sz val="9"/>
            <color indexed="81"/>
            <rFont val="Tahoma"/>
            <family val="2"/>
          </rPr>
          <t>Cassel, Lauren (Research):
8/16/17: per square foot -9%</t>
        </r>
        <r>
          <rPr>
            <sz val="9"/>
            <color indexed="81"/>
            <rFont val="Tahoma"/>
            <family val="2"/>
          </rPr>
          <t xml:space="preserve">
5/17/17: expect 2Q ending inventory per square foot -MSD and inventory at VS direct -low-teens</t>
        </r>
      </text>
    </comment>
    <comment ref="AF202" authorId="11">
      <text>
        <r>
          <rPr>
            <b/>
            <sz val="9"/>
            <color indexed="81"/>
            <rFont val="Tahoma"/>
            <family val="2"/>
          </rPr>
          <t xml:space="preserve">Cassel, Lauren (Research):
11/15/17: ended the quarter -4% per square foot y/y; VS store inventory -HSD per foot; BBW inventory down per sqft
</t>
        </r>
        <r>
          <rPr>
            <sz val="9"/>
            <color indexed="81"/>
            <rFont val="Tahoma"/>
            <family val="2"/>
          </rPr>
          <t xml:space="preserve">
8/16/17: expect to end with inventory per square foot about flat to LY</t>
        </r>
      </text>
    </comment>
    <comment ref="AF203" authorId="11">
      <text>
        <r>
          <rPr>
            <b/>
            <sz val="9"/>
            <color indexed="81"/>
            <rFont val="Tahoma"/>
            <family val="2"/>
          </rPr>
          <t xml:space="preserve">Cassel, Lauren (Research):
2/28/18: inventory per square foot +7% </t>
        </r>
        <r>
          <rPr>
            <sz val="9"/>
            <color indexed="81"/>
            <rFont val="Tahoma"/>
            <family val="2"/>
          </rPr>
          <t xml:space="preserve">
11/15/17: expect to end with inventory per square foot +MSD</t>
        </r>
      </text>
    </comment>
    <comment ref="AF207" authorId="11">
      <text>
        <r>
          <rPr>
            <b/>
            <sz val="9"/>
            <color indexed="81"/>
            <rFont val="Tahoma"/>
            <family val="2"/>
          </rPr>
          <t>Cassel, Lauren (Research):</t>
        </r>
        <r>
          <rPr>
            <sz val="9"/>
            <color indexed="81"/>
            <rFont val="Tahoma"/>
            <family val="2"/>
          </rPr>
          <t xml:space="preserve">
2/28/18: We expect to end the first quarter with inventory per square foot up midteens.
As a reminder, last year our inventory per square foot at the end of the
first quarter was down 12%, so on a 2 year basis we’d be up low-to-mid-single
digits.</t>
        </r>
      </text>
    </comment>
  </commentList>
</comments>
</file>

<file path=xl/comments18.xml><?xml version="1.0" encoding="utf-8"?>
<comments xmlns="http://schemas.openxmlformats.org/spreadsheetml/2006/main">
  <authors>
    <author>kahng</author>
    <author>casselau</author>
  </authors>
  <commentList>
    <comment ref="C9" authorId="0">
      <text>
        <r>
          <rPr>
            <b/>
            <sz val="8"/>
            <color indexed="81"/>
            <rFont val="Tahoma"/>
            <family val="2"/>
          </rPr>
          <t>kahng:</t>
        </r>
        <r>
          <rPr>
            <sz val="8"/>
            <color indexed="81"/>
            <rFont val="Tahoma"/>
            <family val="2"/>
          </rPr>
          <t xml:space="preserve">
net proceeds were $390 incl txn costs of $10M</t>
        </r>
      </text>
    </comment>
    <comment ref="C16" authorId="0">
      <text>
        <r>
          <rPr>
            <b/>
            <sz val="8"/>
            <color indexed="81"/>
            <rFont val="Tahoma"/>
            <family val="2"/>
          </rPr>
          <t>kahng:</t>
        </r>
        <r>
          <rPr>
            <sz val="8"/>
            <color indexed="81"/>
            <rFont val="Tahoma"/>
            <family val="2"/>
          </rPr>
          <t xml:space="preserve">
$1M fair value hedge rate adjustment of less than $1M</t>
        </r>
      </text>
    </comment>
    <comment ref="C18" authorId="1">
      <text>
        <r>
          <rPr>
            <b/>
            <sz val="9"/>
            <color indexed="81"/>
            <rFont val="Tahoma"/>
            <family val="2"/>
          </rPr>
          <t>casselau:</t>
        </r>
        <r>
          <rPr>
            <sz val="9"/>
            <color indexed="81"/>
            <rFont val="Tahoma"/>
            <family val="2"/>
          </rPr>
          <t xml:space="preserve">
COLUMBUS, Ohio, Oct. 27, 2015 (GLOBE NEWSWIRE) -- L Brands, Inc. (NYSE:LB) (the “Company”) announced today that its previously announced offering of $400 million aggregate principal amount of unsecured senior notes due 2035 (the “2035 Notes”) was upsized to $1 billion and priced at par with a coupon of 6.875%</t>
        </r>
      </text>
    </comment>
  </commentList>
</comments>
</file>

<file path=xl/comments19.xml><?xml version="1.0" encoding="utf-8"?>
<comments xmlns="http://schemas.openxmlformats.org/spreadsheetml/2006/main">
  <authors>
    <author>soumyajd</author>
    <author>John Mark Warren</author>
    <author>Leon Michaelides</author>
    <author>jccastro</author>
  </authors>
  <commentList>
    <comment ref="I3" authorId="0">
      <text>
        <r>
          <rPr>
            <b/>
            <sz val="8"/>
            <color indexed="81"/>
            <rFont val="Tahoma"/>
            <family val="2"/>
          </rPr>
          <t>Input MW ticker</t>
        </r>
        <r>
          <rPr>
            <sz val="8"/>
            <color indexed="81"/>
            <rFont val="Tahoma"/>
            <family val="2"/>
          </rPr>
          <t xml:space="preserve">
</t>
        </r>
      </text>
    </comment>
    <comment ref="C31" authorId="1">
      <text>
        <r>
          <rPr>
            <sz val="8"/>
            <color indexed="81"/>
            <rFont val="Tahoma"/>
            <family val="2"/>
          </rPr>
          <t xml:space="preserve">The repayment is equal to the rent expense because the rent expense can be thought of as a payment of interest and principal  to the owner (lessor) of the asset.
</t>
        </r>
      </text>
    </comment>
    <comment ref="G35"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C44" authorId="2">
      <text>
        <r>
          <rPr>
            <sz val="8"/>
            <color indexed="81"/>
            <rFont val="Tahoma"/>
            <family val="2"/>
          </rPr>
          <t>This rate is supposed to represent the average borrowing rate of the lease portfolio. If the company does not disclose this rate, you can use the regular borrowing rate of the company or the rate of capital leases, if exists.</t>
        </r>
      </text>
    </comment>
    <comment ref="C45" authorId="0">
      <text>
        <r>
          <rPr>
            <sz val="8"/>
            <color indexed="81"/>
            <rFont val="Tahoma"/>
            <family val="2"/>
          </rPr>
          <t>This rate is supposed to represent the cost of new leases which is equivalent to new debt, if not disclosed, use your forecasted interest rate on new debt for the company.</t>
        </r>
      </text>
    </comment>
    <comment ref="C58" authorId="0">
      <text>
        <r>
          <rPr>
            <sz val="8"/>
            <color indexed="81"/>
            <rFont val="Tahoma"/>
            <family val="2"/>
          </rPr>
          <t>You can break down your lease capex into maintenance and growth, if you don't know the breakdown you can assume all capex is maintenance.</t>
        </r>
      </text>
    </comment>
    <comment ref="C64" authorId="0">
      <text>
        <r>
          <rPr>
            <sz val="8"/>
            <color indexed="81"/>
            <rFont val="Tahoma"/>
            <family val="2"/>
          </rPr>
          <t>This is the main driver of the model. It is supposed to represent the growth rate on the rent expense and is used for growing all future payments.  When thinking about this rate, make sure it makes sense in relation to your units and/or your total operating expenses.</t>
        </r>
      </text>
    </comment>
    <comment ref="C66" authorId="2">
      <text>
        <r>
          <rPr>
            <sz val="8"/>
            <color indexed="81"/>
            <rFont val="Tahoma"/>
            <family val="2"/>
          </rPr>
          <t xml:space="preserve">This should only include non-cancelable leases
</t>
        </r>
      </text>
    </comment>
    <comment ref="C70" authorId="0">
      <text>
        <r>
          <rPr>
            <sz val="8"/>
            <color indexed="81"/>
            <rFont val="Tahoma"/>
            <family val="2"/>
          </rPr>
          <t>This is used for calculating the rate of depreciation for the assets added due to the leases.</t>
        </r>
      </text>
    </comment>
    <comment ref="C71" authorId="0">
      <text>
        <r>
          <rPr>
            <sz val="8"/>
            <color indexed="81"/>
            <rFont val="Tahoma"/>
            <family val="2"/>
          </rPr>
          <t>If you don't know what this is, one good approach is to calculate it taking the cumulative payments after year 5 (line 68) and dividing it by the payment in year 5 (line 81).
This row is used to distribute the remaining payments (line 68) over what is left of the lease life (starting in line 82).</t>
        </r>
      </text>
    </comment>
    <comment ref="H112" authorId="3">
      <text>
        <r>
          <rPr>
            <sz val="8"/>
            <color indexed="81"/>
            <rFont val="Tahoma"/>
            <family val="2"/>
          </rPr>
          <t xml:space="preserve">Sum of all future NPV's = </t>
        </r>
        <r>
          <rPr>
            <u/>
            <sz val="8"/>
            <color indexed="81"/>
            <rFont val="Tahoma"/>
            <family val="2"/>
          </rPr>
          <t>Initial</t>
        </r>
        <r>
          <rPr>
            <sz val="8"/>
            <color indexed="81"/>
            <rFont val="Tahoma"/>
            <family val="2"/>
          </rPr>
          <t xml:space="preserve"> debt balance</t>
        </r>
        <r>
          <rPr>
            <sz val="8"/>
            <color indexed="81"/>
            <rFont val="Tahoma"/>
            <family val="2"/>
          </rPr>
          <t xml:space="preserve">
</t>
        </r>
      </text>
    </comment>
    <comment ref="I112" authorId="3">
      <text>
        <r>
          <rPr>
            <sz val="8"/>
            <color indexed="81"/>
            <rFont val="Tahoma"/>
            <family val="2"/>
          </rPr>
          <t xml:space="preserve">Starting with this column (and all columns to the right) this calculates the </t>
        </r>
        <r>
          <rPr>
            <u/>
            <sz val="8"/>
            <color indexed="81"/>
            <rFont val="Tahoma"/>
            <family val="2"/>
          </rPr>
          <t>'additional'</t>
        </r>
        <r>
          <rPr>
            <sz val="8"/>
            <color indexed="81"/>
            <rFont val="Tahoma"/>
            <family val="2"/>
          </rPr>
          <t xml:space="preserve"> NPV value created through leases. What the formula does is compare what you thought you were going to pay last year, with what you really paid. It adjusts the period over period difference and then calculates the NPV of this difference.</t>
        </r>
        <r>
          <rPr>
            <sz val="8"/>
            <color indexed="81"/>
            <rFont val="Tahoma"/>
            <family val="2"/>
          </rPr>
          <t xml:space="preserve">
</t>
        </r>
      </text>
    </comment>
    <comment ref="H150" authorId="2">
      <text>
        <r>
          <rPr>
            <sz val="8"/>
            <color indexed="81"/>
            <rFont val="Tahoma"/>
            <family val="2"/>
          </rPr>
          <t xml:space="preserve">Input estimated percentage of leased assets that would not be depreciated (i.e. land).  This will be excluded from the calculation of your depreciation in the waterfall schedule.  It is assumed that the same portion applies to all years.
</t>
        </r>
      </text>
    </comment>
    <comment ref="H151" authorId="2">
      <text>
        <r>
          <rPr>
            <sz val="8"/>
            <color indexed="81"/>
            <rFont val="Tahoma"/>
            <family val="2"/>
          </rPr>
          <t xml:space="preserve">Factor to apply to smooth depreciation of the take on carrying value of leased assets.  This is used to depreciate them on a reducing balance method to simulate a portfolio where leases would roll off over time. </t>
        </r>
      </text>
    </comment>
    <comment ref="H152" authorId="2">
      <text>
        <r>
          <rPr>
            <sz val="8"/>
            <color indexed="81"/>
            <rFont val="Tahoma"/>
            <family val="2"/>
          </rPr>
          <t>This assumes that the average portfolio lease is halfway through it’s life.  Use the following amounts as a guideline if the average lease in the portfolio is newer/older, please contact AST to discuss the appropriate assumption.</t>
        </r>
      </text>
    </comment>
    <comment ref="H153" authorId="3">
      <text>
        <r>
          <rPr>
            <sz val="8"/>
            <color indexed="81"/>
            <rFont val="Tahoma"/>
            <family val="2"/>
          </rPr>
          <t>Original value of the asset recognized in the BS , excluding the portion that would not be depreciable</t>
        </r>
      </text>
    </comment>
    <comment ref="I153" authorId="3">
      <text>
        <r>
          <rPr>
            <sz val="8"/>
            <color indexed="81"/>
            <rFont val="Tahoma"/>
            <family val="2"/>
          </rPr>
          <t>total additions, except for the portion considered to be non-depreciable</t>
        </r>
      </text>
    </comment>
    <comment ref="H154" authorId="3">
      <text>
        <r>
          <rPr>
            <sz val="8"/>
            <color indexed="81"/>
            <rFont val="Tahoma"/>
            <family val="2"/>
          </rPr>
          <t>The original depreciation value is the total value of the asset divided by the total life. The total value of the asset will be affected by the multiple in cell C152. For example, if we assume we are at the mid-point of the lease life, then the multiple would be 2, which means we would multiply the asset by this factor to get to the original "book value" of the asset</t>
        </r>
        <r>
          <rPr>
            <sz val="8"/>
            <color indexed="81"/>
            <rFont val="Tahoma"/>
            <family val="2"/>
          </rPr>
          <t xml:space="preserve">
</t>
        </r>
      </text>
    </comment>
    <comment ref="I155" authorId="3">
      <text>
        <r>
          <rPr>
            <sz val="8"/>
            <color indexed="81"/>
            <rFont val="Tahoma"/>
            <family val="2"/>
          </rPr>
          <t>Depreciation of the additions, excluding the portion that is non depreciable</t>
        </r>
        <r>
          <rPr>
            <sz val="8"/>
            <color indexed="81"/>
            <rFont val="Tahoma"/>
            <family val="2"/>
          </rPr>
          <t xml:space="preserve">
</t>
        </r>
      </text>
    </comment>
  </commentList>
</comments>
</file>

<file path=xl/sharedStrings.xml><?xml version="1.0" encoding="utf-8"?>
<sst xmlns="http://schemas.openxmlformats.org/spreadsheetml/2006/main" count="8043" uniqueCount="1790">
  <si>
    <t>Henri</t>
  </si>
  <si>
    <t>Bendel</t>
  </si>
  <si>
    <t>STORES</t>
  </si>
  <si>
    <t>Cacique</t>
  </si>
  <si>
    <t>A&amp;F</t>
  </si>
  <si>
    <t>Too</t>
  </si>
  <si>
    <t>Discontinued Businesses</t>
  </si>
  <si>
    <t>Galyans</t>
  </si>
  <si>
    <t>Dual</t>
  </si>
  <si>
    <t>close</t>
  </si>
  <si>
    <t>Store Openings and Closings</t>
  </si>
  <si>
    <t>Abercrombie</t>
  </si>
  <si>
    <t>($ millions, except inventory per sq. ft. data)</t>
  </si>
  <si>
    <t>Proceeds from (Repayment of) LT debt</t>
  </si>
  <si>
    <t>Repurchase of common stock</t>
  </si>
  <si>
    <t>+7-8</t>
  </si>
  <si>
    <t>EBITDAR</t>
  </si>
  <si>
    <t>$63 for the yr in interest expense</t>
  </si>
  <si>
    <t>Total Reported Lease Commitments</t>
  </si>
  <si>
    <t>Growth in Aggregate Lease Obligations</t>
  </si>
  <si>
    <t>Cumulative Payments After Year 5</t>
  </si>
  <si>
    <t>Implied Total Lease Life</t>
  </si>
  <si>
    <t>Implied Remaining Duration on Reported Lease Payments</t>
  </si>
  <si>
    <t>% of average lease life term completed</t>
  </si>
  <si>
    <t>Lease Payment Schedule - Non Cancelable Leases Only</t>
  </si>
  <si>
    <t>Current year rental payment</t>
  </si>
  <si>
    <t>Expected payments forecast year 1</t>
  </si>
  <si>
    <t>Expected payments forecast year 2</t>
  </si>
  <si>
    <t>Expected payments forecast year 3</t>
  </si>
  <si>
    <t>Expected payments forecast year 4</t>
  </si>
  <si>
    <t>Expected payments forecast year 5</t>
  </si>
  <si>
    <t>Expected payments forecast year 6</t>
  </si>
  <si>
    <t>Expected payments forecast year 7</t>
  </si>
  <si>
    <t>Expected payments forecast year 8</t>
  </si>
  <si>
    <t>Expected payments forecast year 9</t>
  </si>
  <si>
    <t>Expected payments forecast year 10</t>
  </si>
  <si>
    <t>Expected payments forecast year 11</t>
  </si>
  <si>
    <t>Expected payments forecast year 12</t>
  </si>
  <si>
    <t>Expected payments forecast year 13</t>
  </si>
  <si>
    <t>International Stores</t>
  </si>
  <si>
    <t>VS Int'l</t>
  </si>
  <si>
    <t>VSBA</t>
  </si>
  <si>
    <t>VS Canada</t>
  </si>
  <si>
    <t>(incl Pink)</t>
  </si>
  <si>
    <t>Base</t>
  </si>
  <si>
    <t>LY</t>
  </si>
  <si>
    <t>Gross Profit</t>
  </si>
  <si>
    <t>MS</t>
  </si>
  <si>
    <t>34 mm interest income</t>
  </si>
  <si>
    <t>COGS (incl D&amp;A)</t>
  </si>
  <si>
    <t>Depr. &amp; Amort. (in COGS)</t>
  </si>
  <si>
    <t>BBW Int'l</t>
  </si>
  <si>
    <t>2Q14</t>
  </si>
  <si>
    <t>4Q14</t>
  </si>
  <si>
    <t>1Q14</t>
  </si>
  <si>
    <t>3Q14</t>
  </si>
  <si>
    <t>4Q12</t>
  </si>
  <si>
    <t>Franchise Store Count (excludes Company Owned)</t>
  </si>
  <si>
    <t>Int'l Company Owned Store Count</t>
  </si>
  <si>
    <t>1Q12</t>
  </si>
  <si>
    <t>2Q12</t>
  </si>
  <si>
    <t>3Q12</t>
  </si>
  <si>
    <t>FY11</t>
  </si>
  <si>
    <t>FY12</t>
  </si>
  <si>
    <t>FY10</t>
  </si>
  <si>
    <t>Owned Assumptions</t>
  </si>
  <si>
    <t>Inventory markup</t>
  </si>
  <si>
    <t>Royalty rate</t>
  </si>
  <si>
    <t>Revenue per store ($M)</t>
  </si>
  <si>
    <t xml:space="preserve">Bendel </t>
  </si>
  <si>
    <t>MAST</t>
  </si>
  <si>
    <t>Inv Sales</t>
  </si>
  <si>
    <t xml:space="preserve">TOTAL </t>
  </si>
  <si>
    <t xml:space="preserve">Check </t>
  </si>
  <si>
    <t>International Revenue (excludes VS/BBW Canada)</t>
  </si>
  <si>
    <t>Royalty fee</t>
  </si>
  <si>
    <t xml:space="preserve">"Other Revenue" Components </t>
  </si>
  <si>
    <t>"Int'l VS and BBW" Revenue Components</t>
  </si>
  <si>
    <t>Total Int'l</t>
  </si>
  <si>
    <t>Owned Store</t>
  </si>
  <si>
    <t>Franchise</t>
  </si>
  <si>
    <t>Royalty Rev</t>
  </si>
  <si>
    <t xml:space="preserve">VS/BBW </t>
  </si>
  <si>
    <t>"Other"</t>
  </si>
  <si>
    <t>Seasonality assumptions:</t>
  </si>
  <si>
    <t>Total Gross Sq Ft Growth</t>
  </si>
  <si>
    <t>Variance vs.</t>
  </si>
  <si>
    <t>Old</t>
  </si>
  <si>
    <t>Interest Expense/(Income)</t>
  </si>
  <si>
    <t>Net Inc. From Ops</t>
  </si>
  <si>
    <t>Average Shares</t>
  </si>
  <si>
    <t>CY</t>
  </si>
  <si>
    <t>Other Income/Expense</t>
  </si>
  <si>
    <t>Cons</t>
  </si>
  <si>
    <t>Expected payments forecast year 14</t>
  </si>
  <si>
    <t>Expected payments forecast year 15</t>
  </si>
  <si>
    <t>Expected payments forecast year 16</t>
  </si>
  <si>
    <t>Canada</t>
  </si>
  <si>
    <t>TnT/Franchise</t>
  </si>
  <si>
    <t>HB</t>
  </si>
  <si>
    <t>Expected payments forecast year 21</t>
  </si>
  <si>
    <t>Expected payments forecast year 22</t>
  </si>
  <si>
    <t>Expected payments forecast year 23</t>
  </si>
  <si>
    <t>Expected payments forecast year 24</t>
  </si>
  <si>
    <t>Expected payments forecast year 25</t>
  </si>
  <si>
    <t>Expected payments forecast year 26</t>
  </si>
  <si>
    <t>Expected payments forecast year 27</t>
  </si>
  <si>
    <t>Expected payments forecast year 28</t>
  </si>
  <si>
    <t>Expected payments forecast year 29</t>
  </si>
  <si>
    <t>Expected payments forecast year 30</t>
  </si>
  <si>
    <t>Rental Payments Schedule</t>
  </si>
  <si>
    <t>This sheet contains Factset binary data for use with this workbook's =FDS codes.  Modifying the worksheet's contents may damage the workbook's =FDS functionality.</t>
  </si>
  <si>
    <t>2010A</t>
  </si>
  <si>
    <t>Victoria's Secret Beauty standalone</t>
  </si>
  <si>
    <t>Lane Bryant</t>
  </si>
  <si>
    <t>Limited Too</t>
  </si>
  <si>
    <t>Penhaligon's</t>
  </si>
  <si>
    <t xml:space="preserve">*La Senza comps exclude F/X impact </t>
  </si>
  <si>
    <t>($ in millions except per share data)</t>
  </si>
  <si>
    <t>1Q</t>
  </si>
  <si>
    <t>2Q</t>
  </si>
  <si>
    <t>higher</t>
  </si>
  <si>
    <t>Net Margin</t>
  </si>
  <si>
    <t xml:space="preserve"> +Hteen</t>
  </si>
  <si>
    <t>-Hteen</t>
  </si>
  <si>
    <t>+Hteen</t>
  </si>
  <si>
    <t>11/29</t>
  </si>
  <si>
    <t>11/27</t>
  </si>
  <si>
    <t>12/30</t>
  </si>
  <si>
    <t>1/4</t>
  </si>
  <si>
    <t>Effects of Exchange Rates on Cash</t>
  </si>
  <si>
    <t xml:space="preserve">   % Chg. from LY (Avg. Sq. Ft.)</t>
  </si>
  <si>
    <t>2013E</t>
  </si>
  <si>
    <t>AUR down; UPT up</t>
  </si>
  <si>
    <t>Bull</t>
  </si>
  <si>
    <t>Bear</t>
  </si>
  <si>
    <t xml:space="preserve">Net Sales ($MM) </t>
  </si>
  <si>
    <t>TOTAL EXTERNAL SOURCES</t>
  </si>
  <si>
    <t>10.  Net Income</t>
  </si>
  <si>
    <t xml:space="preserve">11.  Earnings Per Share </t>
  </si>
  <si>
    <t>La</t>
  </si>
  <si>
    <t>Traffic down</t>
  </si>
  <si>
    <t>lower traffic</t>
  </si>
  <si>
    <t>2008A</t>
  </si>
  <si>
    <t>2007A</t>
  </si>
  <si>
    <t>Sales % chg from remodels</t>
  </si>
  <si>
    <t>Adding sales % chg</t>
  </si>
  <si>
    <t>+ $8 mm interest exp from Lerner note = 0??</t>
  </si>
  <si>
    <t>L Brands Inc.</t>
  </si>
  <si>
    <t>LB.N,mscalc:sedolCodeCalc</t>
  </si>
  <si>
    <t>LB.N,mscalc:defaultCurrencyCalc</t>
  </si>
  <si>
    <t>casselau</t>
  </si>
  <si>
    <t>L Brands Inc</t>
  </si>
  <si>
    <t>Accumulated Depreciation</t>
  </si>
  <si>
    <t>Pension Assets</t>
  </si>
  <si>
    <t>Pension Liabilities</t>
  </si>
  <si>
    <t>Pension Defecit/Surplus</t>
  </si>
  <si>
    <t>Amortization</t>
  </si>
  <si>
    <t xml:space="preserve">Total D&amp;A </t>
  </si>
  <si>
    <t>Depreciation as % of D&amp;A</t>
  </si>
  <si>
    <t>Assumptions</t>
  </si>
  <si>
    <t>LTD.N,mscalc:closePriceCurrencyCalc</t>
  </si>
  <si>
    <t>LTD.N,mscalc:sedolCodeCalc</t>
  </si>
  <si>
    <t>LTD.N,mscalc:targetPrice,,,,USD</t>
  </si>
  <si>
    <t>Dividends</t>
  </si>
  <si>
    <t>Current Stock Price</t>
  </si>
  <si>
    <t>OLD REPORTING STRUCTURE (VS US ONLY)</t>
  </si>
  <si>
    <t>VS Canada (implied)</t>
  </si>
  <si>
    <t>BBW Canada (Implied)</t>
  </si>
  <si>
    <t xml:space="preserve">VS </t>
  </si>
  <si>
    <t>VS &amp; BBW International (excludes Canada)</t>
  </si>
  <si>
    <t>Total External Sources &amp; Cash</t>
  </si>
  <si>
    <t>Options Expense</t>
  </si>
  <si>
    <t>3a.  Options Expense (% of Sales)</t>
  </si>
  <si>
    <t>10a.  Earnings Per Share Excl Options -- Fully Diluted   (% Change)</t>
  </si>
  <si>
    <t>Inventory     (Y-o-Y % Change vs. % Sales Growth)</t>
  </si>
  <si>
    <t>Equals:  "Operating" Working Capital     (Y-o-Y % Change vs. % Sales Growth)</t>
  </si>
  <si>
    <t>Total Sales</t>
  </si>
  <si>
    <t>Interest (Expense)</t>
  </si>
  <si>
    <t>Sales % chg from conversns</t>
  </si>
  <si>
    <t>Adjusted for Lerner sq ft reduction</t>
  </si>
  <si>
    <t>Chg</t>
  </si>
  <si>
    <t>Qtr</t>
  </si>
  <si>
    <t>($ millions except per share data)</t>
  </si>
  <si>
    <t>1.  Sales</t>
  </si>
  <si>
    <t>3.  SG&amp;A Expense</t>
  </si>
  <si>
    <t xml:space="preserve">FY03: $79.7 mm non-operating gain on sale of 1/2 of investment in Alliance Data Systems in 1Q, and $128.4 mm ($0.16) gain on remaining investment in ADS, $30.1 mm ($0.03) interest refund from tax settlement, </t>
  </si>
  <si>
    <t>+6</t>
  </si>
  <si>
    <t>+HSD</t>
  </si>
  <si>
    <t>+LSD</t>
  </si>
  <si>
    <t>+26</t>
  </si>
  <si>
    <t>+L30s</t>
  </si>
  <si>
    <t>+DD</t>
  </si>
  <si>
    <t>+M-HSD</t>
  </si>
  <si>
    <t>-DD</t>
  </si>
  <si>
    <t>down</t>
  </si>
  <si>
    <t xml:space="preserve"> -35-40</t>
  </si>
  <si>
    <t>+40</t>
  </si>
  <si>
    <t>-M30s</t>
  </si>
  <si>
    <t>+M30s</t>
  </si>
  <si>
    <t xml:space="preserve"> -L40s</t>
  </si>
  <si>
    <t>2012A</t>
  </si>
  <si>
    <t>Debt Payment Schedule</t>
  </si>
  <si>
    <t>Revolving credit facility</t>
  </si>
  <si>
    <t>Total senior secured debt</t>
  </si>
  <si>
    <t>2020 Notes</t>
  </si>
  <si>
    <t>2021 Notes</t>
  </si>
  <si>
    <t>Total guaranteed debt</t>
  </si>
  <si>
    <t>2017 Notes</t>
  </si>
  <si>
    <t>2033 Notes</t>
  </si>
  <si>
    <t>2037 Notes</t>
  </si>
  <si>
    <t>Int rate</t>
  </si>
  <si>
    <t>Balance</t>
  </si>
  <si>
    <t>Original</t>
  </si>
  <si>
    <t>Issue</t>
  </si>
  <si>
    <t>Interest Payment Schedule</t>
  </si>
  <si>
    <t>Due Date</t>
  </si>
  <si>
    <t>12/31</t>
  </si>
  <si>
    <t>1/28</t>
  </si>
  <si>
    <t>FY2005 Results were restated using the cost method of inventory valuation</t>
  </si>
  <si>
    <t>CapEx</t>
  </si>
  <si>
    <t>non-recurring</t>
  </si>
  <si>
    <t>items</t>
  </si>
  <si>
    <t>Oper Inc.</t>
  </si>
  <si>
    <t>Total Sales ($MM)</t>
  </si>
  <si>
    <t>Direct Sales ($MM)</t>
  </si>
  <si>
    <t>redo</t>
  </si>
  <si>
    <t>New  Store Size (Selling Sq. Ft.)</t>
  </si>
  <si>
    <t>Check</t>
  </si>
  <si>
    <t>2002A</t>
  </si>
  <si>
    <t>Amortization of deferred compensation</t>
  </si>
  <si>
    <t>Minority interest, net of dividends paid</t>
  </si>
  <si>
    <t>Loss on disposal of discontinued operations</t>
  </si>
  <si>
    <t>Gains on investees' stock</t>
  </si>
  <si>
    <t>Accounts payable, accrued expenses &amp; other</t>
  </si>
  <si>
    <t>Other assets and liabilities</t>
  </si>
  <si>
    <t xml:space="preserve">$100mm gain from distribution from Easton Town Center, $47mm expense for restructuring activities, $17mm gain on interest rate hedge; 3Q: $25mm gain on sale of corporate aircraft; 4Q: $48mm gain from initial recognition of income for unredeemed gift cards at VS, </t>
  </si>
  <si>
    <t>$28mm tax benefit given decline in Canadian federal tax rate, favorable tax benefits associated with Apparel divestitures, audit settlements and other items.</t>
  </si>
  <si>
    <t>Productivity (3)/(6)</t>
  </si>
  <si>
    <t>(7)</t>
  </si>
  <si>
    <t>(8)</t>
  </si>
  <si>
    <t>JAN</t>
  </si>
  <si>
    <t>TRANS. +/-</t>
  </si>
  <si>
    <t>,mscalc:sedolCodeCalc</t>
  </si>
  <si>
    <t>,mscalc:targetPrice,,,,USD</t>
  </si>
  <si>
    <t>,mscalc:closePriceCurrencyCalc</t>
  </si>
  <si>
    <t>LTD.N,mscalc:targetPrice</t>
  </si>
  <si>
    <t>-18 mm interest exp from 6.125%</t>
  </si>
  <si>
    <t>-24mm interest exp from 6.95%</t>
  </si>
  <si>
    <t>-Hteens</t>
  </si>
  <si>
    <t>(5)</t>
  </si>
  <si>
    <t>Expansion</t>
  </si>
  <si>
    <t>(6)</t>
  </si>
  <si>
    <t>Non-Comp</t>
  </si>
  <si>
    <t>Space</t>
  </si>
  <si>
    <r>
      <t xml:space="preserve">EXPRESS (MEN + WOMEN) </t>
    </r>
    <r>
      <rPr>
        <i/>
        <u/>
        <sz val="8"/>
        <rFont val="CIR Trade Gothic Cn"/>
      </rPr>
      <t>prior to 1999 combined comp assumes 60% W / 40% M from 1994 increasing to 70% W / 30% M by 1998</t>
    </r>
  </si>
  <si>
    <t>Remodels (Selling Sq. Ft.)</t>
  </si>
  <si>
    <t>% Chg from LY</t>
  </si>
  <si>
    <t>EOY Sq. Ft. (New Stores only)</t>
  </si>
  <si>
    <t>Net Sales</t>
  </si>
  <si>
    <t>4/6</t>
  </si>
  <si>
    <t>4/5</t>
  </si>
  <si>
    <t>4/4</t>
  </si>
  <si>
    <t>4/3</t>
  </si>
  <si>
    <t>+4</t>
  </si>
  <si>
    <t>-25</t>
  </si>
  <si>
    <t>(11)</t>
  </si>
  <si>
    <t>(12)</t>
  </si>
  <si>
    <t>(13)</t>
  </si>
  <si>
    <t>Square Ft.</t>
  </si>
  <si>
    <t>(14)</t>
  </si>
  <si>
    <t>(15)</t>
  </si>
  <si>
    <t>(16)</t>
  </si>
  <si>
    <t>(17)</t>
  </si>
  <si>
    <t>Jan' 07</t>
  </si>
  <si>
    <t>Jan' 08</t>
  </si>
  <si>
    <t>Jan' 09</t>
  </si>
  <si>
    <t>Jan' 10</t>
  </si>
  <si>
    <t>Jan' 11</t>
  </si>
  <si>
    <t>Jan' 12</t>
  </si>
  <si>
    <t>Jan' 13</t>
  </si>
  <si>
    <t>Jan' 14</t>
  </si>
  <si>
    <t>Jan' 15</t>
  </si>
  <si>
    <t>Jan' 16</t>
  </si>
  <si>
    <t>CapEx ($ Millions)</t>
  </si>
  <si>
    <t>Avg Size (gross square feet)</t>
  </si>
  <si>
    <t>Jan' 17</t>
  </si>
  <si>
    <t>Jan' 18</t>
  </si>
  <si>
    <t>Victoria's Secret - Canada</t>
  </si>
  <si>
    <t xml:space="preserve">PINK - Canada </t>
  </si>
  <si>
    <t>Bath &amp; Body Works - Canada</t>
  </si>
  <si>
    <t>VSBA Franchise Stores</t>
  </si>
  <si>
    <t xml:space="preserve">PINK - U.S. </t>
  </si>
  <si>
    <t>Victoria's Secret - Total</t>
  </si>
  <si>
    <t xml:space="preserve">Bath &amp; Body Works - Total </t>
  </si>
  <si>
    <t>Jan' 19</t>
  </si>
  <si>
    <t>Interest &amp; Other Income</t>
  </si>
  <si>
    <t>Operating Results Summary &amp; Financial Analysis</t>
  </si>
  <si>
    <t>Victoria's Secret - US</t>
  </si>
  <si>
    <t>2018E</t>
  </si>
  <si>
    <t>INTERACTIVE</t>
  </si>
  <si>
    <t xml:space="preserve">Type "Bull / Base / Bear" here to toggle scenarios &gt;&gt; </t>
  </si>
  <si>
    <t>B9M2WX3</t>
  </si>
  <si>
    <t>Annual Sales Model, Fiscal 2003A-2014E</t>
  </si>
  <si>
    <t>7.  Pre-Tax Income / (Loss) (% Pre-Tax Margin) / % Change</t>
  </si>
  <si>
    <t>8.  Income Taxes/(Credit)  (% Tax Rate)</t>
  </si>
  <si>
    <t>NY</t>
  </si>
  <si>
    <t>Secret</t>
  </si>
  <si>
    <t>Victoria's</t>
  </si>
  <si>
    <t>s</t>
  </si>
  <si>
    <t>pos, &lt;M</t>
  </si>
  <si>
    <t>pos, &gt;W</t>
  </si>
  <si>
    <t>down slightly</t>
  </si>
  <si>
    <t>2015E</t>
  </si>
  <si>
    <t>2016E</t>
  </si>
  <si>
    <t>2017E</t>
  </si>
  <si>
    <t>1. Net Sales    (% Increase -- Total/Comparable Stores)     (a)</t>
  </si>
  <si>
    <t xml:space="preserve">slight - </t>
  </si>
  <si>
    <t>Operating Income (including special items) (% Change)</t>
  </si>
  <si>
    <t>New stores</t>
  </si>
  <si>
    <t>-</t>
  </si>
  <si>
    <t>Closed stores</t>
  </si>
  <si>
    <t>Avg new store sales (DG)</t>
  </si>
  <si>
    <t>New Store Size (Selling Sq. Ft.)</t>
  </si>
  <si>
    <t>Sales Per Avg. Sq. Ft.</t>
  </si>
  <si>
    <t>Sales Per Avg. Selling Sq. Ft.</t>
  </si>
  <si>
    <t>New Store Size</t>
  </si>
  <si>
    <t xml:space="preserve"> -M20s</t>
  </si>
  <si>
    <t>up</t>
  </si>
  <si>
    <t>Earnings Per Share (including special items) (% Change)</t>
  </si>
  <si>
    <t>2014E</t>
  </si>
  <si>
    <t xml:space="preserve">higher </t>
  </si>
  <si>
    <t>DOWN</t>
  </si>
  <si>
    <t>base</t>
  </si>
  <si>
    <t>slightly -</t>
  </si>
  <si>
    <t>2014A</t>
  </si>
  <si>
    <t>Analysis of Space Productivity</t>
  </si>
  <si>
    <t>Segment Data</t>
  </si>
  <si>
    <t>Quarterly Analysis of Inventory Turnover</t>
  </si>
  <si>
    <t>Quarterly Analysis of "Operating" Working Capital</t>
  </si>
  <si>
    <t>2Q12E</t>
  </si>
  <si>
    <t>FY95: net $1.3 mm special and non-recurring gain, as a $73.2mm pretax gain from the sale of 60% of its credit card bank, WFNNB, was mostly offset by a charge of $71.9mm related to store closures/downsizing and asset writedowns.</t>
  </si>
  <si>
    <t>Return on Equity</t>
  </si>
  <si>
    <t>Sales base</t>
  </si>
  <si>
    <t>+</t>
  </si>
  <si>
    <t>Annual Sales Model, Fiscal 1997A-2007E</t>
  </si>
  <si>
    <t>Limited Brands, Inc. -- Consolidated Company</t>
  </si>
  <si>
    <t>mscalc:defaultCurrencyCalc</t>
  </si>
  <si>
    <t>ZAV(Avg(TF.FN.InterestExpenseOnDebt(period=#1,sdate=0FY,edate=-4FY,curn=#2)/(TF.FN.STDebtAndCurrentPortionLTDebt(period=#1,sdate=0FY,edate=-4FY,curn=#2)+TF.FN.LTDebtExclCapitalizedLeases(period=#1,sdate=0FY,edate=-4FY,curn=#2))))</t>
  </si>
  <si>
    <t>ZAV(TF.FN.InterestExpenseOnDebt(period=FY0,sdate=#1,edate=#2,curn=#3)/(ZAV(TF.FN.STDebtAndCurrentPortionLTDebt(period=FY0,sdate=#1,edate=#2,curn=#3))+ZAV(TF.FN.LTDebtExclCapitalizedLeases(period=FY0,sdate=#1,edate=#2,curn=#3))))</t>
  </si>
  <si>
    <t>Interest Rate Calculation</t>
  </si>
  <si>
    <t>TRSL data download</t>
  </si>
  <si>
    <t>5 years Average Interest Rate</t>
  </si>
  <si>
    <t xml:space="preserve">Interest Rate </t>
  </si>
  <si>
    <t>ZAV(TF.FN.InterestExpenseOnDebt(period=FY0,sdate=-8FY,edate=0FY,curn=#1,scale=6))</t>
  </si>
  <si>
    <t>Short Term Debt and Current Portion Long Term Debt</t>
  </si>
  <si>
    <t>ZAV(TF.FN.STDebtAndCurrentPortionLTDebt(period=FY0,sdate=-8FY,edate=0FY,curn=#1,scale=6))</t>
  </si>
  <si>
    <t>Long Term Debt excluding Capitalized Leases</t>
  </si>
  <si>
    <t>ZAV(TF.FN.LTDebtExclCapitalizedLeases(period=FY0,sdate=-8FY,edate=0FY,curn=#1,scale=6))</t>
  </si>
  <si>
    <t>Sales % chg from new stores</t>
  </si>
  <si>
    <t>Total</t>
  </si>
  <si>
    <t>Comp</t>
  </si>
  <si>
    <t>Total/Comp</t>
  </si>
  <si>
    <t>Spread</t>
  </si>
  <si>
    <t>(1) - (2)</t>
  </si>
  <si>
    <t>(3)</t>
  </si>
  <si>
    <t>(1)</t>
  </si>
  <si>
    <t>(2)</t>
  </si>
  <si>
    <t>No. of Stores</t>
  </si>
  <si>
    <t>(4)</t>
  </si>
  <si>
    <t>10/30</t>
  </si>
  <si>
    <t>11/25</t>
  </si>
  <si>
    <t>11/30</t>
  </si>
  <si>
    <r>
      <t>11.  Wtd. Average Shares Outstanding -- Fully Diluted</t>
    </r>
    <r>
      <rPr>
        <b/>
        <sz val="8"/>
        <color indexed="12"/>
        <rFont val="Arial"/>
        <family val="2"/>
      </rPr>
      <t/>
    </r>
  </si>
  <si>
    <t>Body</t>
  </si>
  <si>
    <t>Works</t>
  </si>
  <si>
    <t>Apparel</t>
  </si>
  <si>
    <t>Avg. Selling Sq. Ft. (MM)</t>
  </si>
  <si>
    <t>Express (Men's, Women's, and Dual Gender)</t>
  </si>
  <si>
    <t>Express Women</t>
  </si>
  <si>
    <t>Express Men</t>
  </si>
  <si>
    <t>Express Dual Gender</t>
  </si>
  <si>
    <t># Stores EOY</t>
  </si>
  <si>
    <t>Avg. Store Size</t>
  </si>
  <si>
    <t>9.  Net Earnings as adjusted (to exclude special and non-recurring items and gains on sale of stock) (% Change)</t>
  </si>
  <si>
    <t>External Sources and Changes in Cash</t>
  </si>
  <si>
    <t>Beginning cash balance</t>
  </si>
  <si>
    <t>Ending cash balance</t>
  </si>
  <si>
    <t>neg, &gt;M</t>
  </si>
  <si>
    <t>neg, &lt;W</t>
  </si>
  <si>
    <t>Avg. New Store Size (Selling Sq. Ft.)</t>
  </si>
  <si>
    <t>Avg Closed Store Size (Selling Sq. Ft.)</t>
  </si>
  <si>
    <t>New Space Productivity (Net)</t>
  </si>
  <si>
    <t>Avg new store sales</t>
  </si>
  <si>
    <t>Avg closed store sales</t>
  </si>
  <si>
    <t>Avg remodelled store sales</t>
  </si>
  <si>
    <t>Avg expansion per store</t>
  </si>
  <si>
    <t>Results exclude special and non-recurring items and gains on investees' stock.</t>
  </si>
  <si>
    <t>=W</t>
  </si>
  <si>
    <t xml:space="preserve">La  </t>
  </si>
  <si>
    <t>Senza</t>
  </si>
  <si>
    <t>N/A</t>
  </si>
  <si>
    <t>=M</t>
  </si>
  <si>
    <t>&gt;W</t>
  </si>
  <si>
    <t>-3</t>
  </si>
  <si>
    <t>&lt;M</t>
  </si>
  <si>
    <t>dn sig.</t>
  </si>
  <si>
    <t xml:space="preserve"> -Hteen</t>
  </si>
  <si>
    <t>+Mteen</t>
  </si>
  <si>
    <t>-Lteen</t>
  </si>
  <si>
    <t>Interest Expense</t>
  </si>
  <si>
    <t>Total Equity</t>
  </si>
  <si>
    <t>Mast</t>
  </si>
  <si>
    <t>USD</t>
  </si>
  <si>
    <t>Victoria's Secret (incl. Canada starting FY12)</t>
  </si>
  <si>
    <t>VS &amp;</t>
  </si>
  <si>
    <t xml:space="preserve">VS &amp; </t>
  </si>
  <si>
    <t xml:space="preserve">BBW </t>
  </si>
  <si>
    <t>VS &amp; BBW  ($MM)</t>
  </si>
  <si>
    <t>Other Sales (La Senza, Bendel; $MM)</t>
  </si>
  <si>
    <t>Reflects New Reporting Structure</t>
  </si>
  <si>
    <t>International VS &amp; BBW Sales</t>
  </si>
  <si>
    <t>^---this data not directly comparable to the prior yrs- it is separated into Intimate Brands, Apparel Brands, &amp; Other</t>
  </si>
  <si>
    <t>Debt/EBITDA (les than or equal to 5.0x)</t>
  </si>
  <si>
    <t>FY92: $9 mm pre-tax gain from the IPO of United Retail Group. The co. sold its Lerner Woman division to URGI in 4/89 and owned a 33% and 20% equity interest prior and post the IPO, respectively.</t>
  </si>
  <si>
    <t>+8</t>
  </si>
  <si>
    <t>+1</t>
  </si>
  <si>
    <t>-2</t>
  </si>
  <si>
    <t>weak</t>
  </si>
  <si>
    <t xml:space="preserve">  +MSD</t>
  </si>
  <si>
    <t xml:space="preserve"> +Mteen</t>
  </si>
  <si>
    <t>LEASE MODEL</t>
  </si>
  <si>
    <t>2011A</t>
  </si>
  <si>
    <t>Template Start Year</t>
  </si>
  <si>
    <t>Reverse Rent Payment</t>
  </si>
  <si>
    <t>Add Implied Depreciation Expense</t>
  </si>
  <si>
    <t>Net Increase/(Decrease) to Pre-Tax Operating Income</t>
  </si>
  <si>
    <t>ANN.N,mscalc:defaultCurrencyCalc</t>
  </si>
  <si>
    <t>Net Increase/(Decrease) to Pre-tax Income</t>
  </si>
  <si>
    <t>Implied leased assets, beginning of period</t>
  </si>
  <si>
    <t xml:space="preserve">Additions </t>
  </si>
  <si>
    <t>Current year charge</t>
  </si>
  <si>
    <t>Implied leased assets</t>
  </si>
  <si>
    <t xml:space="preserve">     Special and Non-Recurring Items</t>
  </si>
  <si>
    <t xml:space="preserve">      Gains on Investees' Stock</t>
  </si>
  <si>
    <t>8.  Pretax Income</t>
  </si>
  <si>
    <t>9.  Income Taxes</t>
  </si>
  <si>
    <t>FY00: $9.9 mm pre-tax charge to close Bath &amp; Body Works' UK stores (incl. non-cash store and other asset writeoffs of $5 mm and accruals for lease termination and other costs of $5 mm).</t>
  </si>
  <si>
    <t>Operating Income prior to IBI recombination and reclassification</t>
  </si>
  <si>
    <t>Revenues prior to IBI recombination and reclassification</t>
  </si>
  <si>
    <t>Emerging</t>
  </si>
  <si>
    <t>Leasehold and improvements</t>
  </si>
  <si>
    <t>Construction in progress</t>
  </si>
  <si>
    <t>Less Accumulated depreciation and amortization</t>
  </si>
  <si>
    <t>Dual Genger</t>
  </si>
  <si>
    <t>Goodwill</t>
  </si>
  <si>
    <t>Total store sales</t>
  </si>
  <si>
    <t>Store sales calculation</t>
  </si>
  <si>
    <t>5.  Gross Interest Expense   (% of Sales)</t>
  </si>
  <si>
    <t>Cash Per Share</t>
  </si>
  <si>
    <t>Net Sales ($MM)</t>
  </si>
  <si>
    <t>convert</t>
  </si>
  <si>
    <t>remod</t>
  </si>
  <si>
    <t>Dual Gender</t>
  </si>
  <si>
    <t>+ Express Integration</t>
  </si>
  <si>
    <t xml:space="preserve">NA </t>
  </si>
  <si>
    <t xml:space="preserve">+slightly </t>
  </si>
  <si>
    <t xml:space="preserve">Total Sales ($MM) </t>
  </si>
  <si>
    <t>Net repayments of CP borrowings and CDs</t>
  </si>
  <si>
    <t>Accrued Expenses / SG&amp;A</t>
  </si>
  <si>
    <t>Income Taxes Payable/SG&amp;A</t>
  </si>
  <si>
    <t>Other non-cash adj. (incl. special &amp; nonrecurr. items)</t>
  </si>
  <si>
    <r>
      <t>Average Basic Shares Outstanding</t>
    </r>
    <r>
      <rPr>
        <b/>
        <sz val="8"/>
        <color indexed="12"/>
        <rFont val="Arial"/>
        <family val="2"/>
      </rPr>
      <t/>
    </r>
  </si>
  <si>
    <t>Basic Shares Outstanding</t>
  </si>
  <si>
    <t>Depreciation and Amortization</t>
  </si>
  <si>
    <t>Basic Shares</t>
  </si>
  <si>
    <t>Avg Basic Shares</t>
  </si>
  <si>
    <t xml:space="preserve"> 2/27</t>
  </si>
  <si>
    <t xml:space="preserve"> 4/3</t>
  </si>
  <si>
    <t>FY02: $33.8 mm non-cash charge relating to the exchange of vested IBI stock options and restricted stock for similar Limited Brands stock awards.</t>
  </si>
  <si>
    <t>Sales fr. impv'd pdtvty of downsized stores</t>
  </si>
  <si>
    <t xml:space="preserve"> +LDD</t>
  </si>
  <si>
    <t xml:space="preserve"> +L30s</t>
  </si>
  <si>
    <t xml:space="preserve"> +MSD</t>
  </si>
  <si>
    <t xml:space="preserve"> -LSD</t>
  </si>
  <si>
    <t xml:space="preserve"> +LSD</t>
  </si>
  <si>
    <t xml:space="preserve"> +L40s</t>
  </si>
  <si>
    <t>+9</t>
  </si>
  <si>
    <t>-LDD</t>
  </si>
  <si>
    <t>-L20s</t>
  </si>
  <si>
    <t xml:space="preserve"> -LDD</t>
  </si>
  <si>
    <t xml:space="preserve">  +HSD</t>
  </si>
  <si>
    <t>-LSD</t>
  </si>
  <si>
    <t>+L20s</t>
  </si>
  <si>
    <t xml:space="preserve"> -H20s</t>
  </si>
  <si>
    <t xml:space="preserve"> -40s</t>
  </si>
  <si>
    <t>+30s</t>
  </si>
  <si>
    <t xml:space="preserve"> -H30s</t>
  </si>
  <si>
    <t xml:space="preserve"> -L20s</t>
  </si>
  <si>
    <t>+LDD</t>
  </si>
  <si>
    <t>-HSD</t>
  </si>
  <si>
    <t>+3</t>
  </si>
  <si>
    <t>+5</t>
  </si>
  <si>
    <t>Capex Growth</t>
  </si>
  <si>
    <t>Cape Maintenance</t>
  </si>
  <si>
    <t>Total Capex</t>
  </si>
  <si>
    <t>e</t>
  </si>
  <si>
    <t>Other Intangible Assets</t>
  </si>
  <si>
    <t>10/4</t>
  </si>
  <si>
    <t>10/3</t>
  </si>
  <si>
    <t>10/2</t>
  </si>
  <si>
    <t>-M-Hteen</t>
  </si>
  <si>
    <t xml:space="preserve"> +Lteen</t>
  </si>
  <si>
    <t>UP</t>
  </si>
  <si>
    <t>10/28</t>
  </si>
  <si>
    <t>11/2</t>
  </si>
  <si>
    <t>11/1</t>
  </si>
  <si>
    <t>10/31</t>
  </si>
  <si>
    <t>Limited Brands</t>
  </si>
  <si>
    <t>4th Qtr</t>
  </si>
  <si>
    <t>NA</t>
  </si>
  <si>
    <t>For the fiscal year ending January 31 of the following year</t>
  </si>
  <si>
    <t>Results also include additional interest income from the $75 mm subordinated note received in connection with the sale of Lerner (10% p.a. interest).</t>
  </si>
  <si>
    <t>MEMO:</t>
  </si>
  <si>
    <t>Plus:  Other Current Assets     (Y-o-Y % Change vs. % Sales Growth)</t>
  </si>
  <si>
    <t>Plus:  Accounts Receivable     (Y-o-Y % Change vs. % Sales Growth)</t>
  </si>
  <si>
    <t>Penha-</t>
  </si>
  <si>
    <t>ligons</t>
  </si>
  <si>
    <t>chg</t>
  </si>
  <si>
    <t>total</t>
  </si>
  <si>
    <r>
      <t>neg,</t>
    </r>
    <r>
      <rPr>
        <sz val="8"/>
        <color indexed="12"/>
        <rFont val="Arial"/>
        <family val="2"/>
      </rPr>
      <t>≈</t>
    </r>
    <r>
      <rPr>
        <sz val="8"/>
        <color indexed="12"/>
        <rFont val="Arial"/>
        <family val="2"/>
      </rPr>
      <t>W</t>
    </r>
  </si>
  <si>
    <r>
      <t>neg,</t>
    </r>
    <r>
      <rPr>
        <sz val="8"/>
        <color indexed="12"/>
        <rFont val="Arial"/>
        <family val="2"/>
      </rPr>
      <t>≈</t>
    </r>
    <r>
      <rPr>
        <sz val="8"/>
        <color indexed="12"/>
        <rFont val="Arial"/>
        <family val="2"/>
      </rPr>
      <t>M</t>
    </r>
  </si>
  <si>
    <t>Direct</t>
  </si>
  <si>
    <t xml:space="preserve"> </t>
  </si>
  <si>
    <t>Total working capital uses</t>
  </si>
  <si>
    <t>Selling Sq Ft</t>
  </si>
  <si>
    <t>Men's conversion to DG</t>
  </si>
  <si>
    <t>Women's conversion to DG</t>
  </si>
  <si>
    <t>New stores (Women + DG)</t>
  </si>
  <si>
    <t>Abercrombie &amp; Fitch</t>
  </si>
  <si>
    <t>Victoria's Secret Beauty side-by-side</t>
  </si>
  <si>
    <t>YoY % Chg in Units</t>
  </si>
  <si>
    <t>% of Store Base</t>
  </si>
  <si>
    <t>YoY Square Footage % Chg</t>
  </si>
  <si>
    <t>% of Total Revenue</t>
  </si>
  <si>
    <t>FY99-02 results exclude the operations of Lerner, Lane Bryant, ANF and TOO, and reflect the elimination of IBI minority interest and an increase in total weighted avg shares o/s, pro forma for the IBI recombination at the beg. of 1999.</t>
  </si>
  <si>
    <t>Notes:</t>
  </si>
  <si>
    <t>12.  Dividends per Share</t>
  </si>
  <si>
    <t>+4 mm financing fee</t>
  </si>
  <si>
    <t>Source: Company reports and Morgan Stanley estimates.</t>
  </si>
  <si>
    <t>Source: Company data and Morgan Stanley estimates.</t>
  </si>
  <si>
    <t>Earnings Per Share</t>
  </si>
  <si>
    <t>Equity Value</t>
  </si>
  <si>
    <t>&amp; Fitch</t>
  </si>
  <si>
    <t>Sales by Concept, Fiscal 1997A-2007E</t>
  </si>
  <si>
    <t>YoY % Change in Revenue</t>
  </si>
  <si>
    <t>wtd avg check</t>
  </si>
  <si>
    <t>Sales per Avg Gross Square Foot</t>
  </si>
  <si>
    <t>Revenue</t>
  </si>
  <si>
    <t>Net Sales Per Avg Gross Sq Ft</t>
  </si>
  <si>
    <t>lower</t>
  </si>
  <si>
    <t>Sales % chg from closed stores</t>
  </si>
  <si>
    <t>Total Gross Sq Ft (millions)</t>
  </si>
  <si>
    <t xml:space="preserve">Retail Sales / Avg Sq Ft </t>
  </si>
  <si>
    <t>LIMITED STORES</t>
  </si>
  <si>
    <t>Rent Expense</t>
  </si>
  <si>
    <t>Rent % Sales</t>
  </si>
  <si>
    <t>Average Diluted Shares</t>
  </si>
  <si>
    <t>Average Basic Shares</t>
  </si>
  <si>
    <t>Floor Space (Sq Ft millions)</t>
  </si>
  <si>
    <t>Statutory Tax Rate</t>
  </si>
  <si>
    <t>Federal taxes</t>
  </si>
  <si>
    <t>State Taxes</t>
  </si>
  <si>
    <t>Net issuances</t>
  </si>
  <si>
    <t>Unrecorded goodwill from poolings</t>
  </si>
  <si>
    <t>MW requirements</t>
  </si>
  <si>
    <t>Turnover</t>
  </si>
  <si>
    <t>Analysis</t>
  </si>
  <si>
    <t xml:space="preserve">Excl.  </t>
  </si>
  <si>
    <t>Occup. Costs</t>
  </si>
  <si>
    <t>Cumulative</t>
  </si>
  <si>
    <t>Net Change in Store Count</t>
  </si>
  <si>
    <t>Expansion %</t>
  </si>
  <si>
    <t>Deferred Income Taxes</t>
  </si>
  <si>
    <t>Accrued Expenses</t>
  </si>
  <si>
    <t>Certificate of Deposits / Commercial Paper</t>
  </si>
  <si>
    <t>Other long-term liabilities</t>
  </si>
  <si>
    <t>Minority interest</t>
  </si>
  <si>
    <t>Restricted Cash</t>
  </si>
  <si>
    <t>Contingent stock redemption agreement</t>
  </si>
  <si>
    <t>Other current assets (a)</t>
  </si>
  <si>
    <t>12/2</t>
  </si>
  <si>
    <t>% Chg.</t>
  </si>
  <si>
    <t>Square Footage and Store Count</t>
  </si>
  <si>
    <t>Limited Brands, Inc.</t>
  </si>
  <si>
    <t>Square Footage</t>
  </si>
  <si>
    <t>At</t>
  </si>
  <si>
    <t>Sq. Ft.</t>
  </si>
  <si>
    <t>Oct</t>
  </si>
  <si>
    <t>Nov</t>
  </si>
  <si>
    <t>Dec</t>
  </si>
  <si>
    <t>Jan</t>
  </si>
  <si>
    <t xml:space="preserve">     % Operating Margin</t>
  </si>
  <si>
    <t>Avg. Store Size (Gross Sq. Ft.)</t>
  </si>
  <si>
    <t>Sales Per Avg. Gross Sq. Ft.</t>
  </si>
  <si>
    <t xml:space="preserve">Net Retail Sales ($MM) </t>
  </si>
  <si>
    <t>Bath &amp; Body Works</t>
  </si>
  <si>
    <t>% Contribution to Total OM</t>
  </si>
  <si>
    <t>Oper Profit Contribution (excl non-recur)</t>
  </si>
  <si>
    <t>Operating Profit Analysis by Division, Fiscal 1999A-2007E</t>
  </si>
  <si>
    <t>Total Debt as % of Total Equity</t>
  </si>
  <si>
    <t>13. Dividends Paid</t>
  </si>
  <si>
    <t>Total Current Liabilities</t>
  </si>
  <si>
    <t>Shareholders' Equity:</t>
  </si>
  <si>
    <t>Common stock</t>
  </si>
  <si>
    <t>Additional paid-in capital</t>
  </si>
  <si>
    <t>Retained earnings</t>
  </si>
  <si>
    <t>Total Shareholders' Equity</t>
  </si>
  <si>
    <t>+Lteen</t>
  </si>
  <si>
    <t>Total Long-Term Liabilities</t>
  </si>
  <si>
    <t>-L-MSD</t>
  </si>
  <si>
    <t>Balance Check</t>
  </si>
  <si>
    <t>Quarterly Analysis of Debt and Total Capital</t>
  </si>
  <si>
    <t>Cash &amp; Equivalents</t>
  </si>
  <si>
    <t>Short-Term Debt</t>
  </si>
  <si>
    <t>Long-Term Debt</t>
  </si>
  <si>
    <t>Total Debt</t>
  </si>
  <si>
    <t>FINL.O,mscalc:targetPrice,,,,USD</t>
  </si>
  <si>
    <t>FINL.O,mscalc:closePriceCurrencyCalc</t>
  </si>
  <si>
    <t>FINL.O,mscalc:sedolCodeCalc</t>
  </si>
  <si>
    <t>2349819</t>
  </si>
  <si>
    <t>EXPRESS (Men's and Women's)</t>
  </si>
  <si>
    <t xml:space="preserve">FY97-98 results exclude the operations of Abercrombie &amp; Fitch and Limited Too. Results are NOT directly comparable with FY99 data. </t>
  </si>
  <si>
    <t>-slightly</t>
  </si>
  <si>
    <t>+Hteens</t>
  </si>
  <si>
    <t>-Lteens</t>
  </si>
  <si>
    <t>Limited</t>
  </si>
  <si>
    <t>Women</t>
  </si>
  <si>
    <t>Men</t>
  </si>
  <si>
    <t>Present Value of Incremental Lease Payments</t>
  </si>
  <si>
    <t>Increase in current year lease payments versus previous years expected</t>
  </si>
  <si>
    <t>Estimated additions to leased assets in period</t>
  </si>
  <si>
    <t>Depreciation schedule</t>
  </si>
  <si>
    <t>Assumed Average Lease Life</t>
  </si>
  <si>
    <t>Market Capitalization</t>
  </si>
  <si>
    <t>12.  Shares Outstanding</t>
  </si>
  <si>
    <t>INCLUDING NON-RECURRING (OPERATING) ITEMS:</t>
  </si>
  <si>
    <t>Tax Rate</t>
  </si>
  <si>
    <t>Year-Over-Year Growth</t>
  </si>
  <si>
    <t>Comp. Store Sales</t>
  </si>
  <si>
    <t>SG&amp;A  Expense</t>
  </si>
  <si>
    <t>Operating Income</t>
  </si>
  <si>
    <t>Jun</t>
  </si>
  <si>
    <t>Jul</t>
  </si>
  <si>
    <t>Aug</t>
  </si>
  <si>
    <t>Sep</t>
  </si>
  <si>
    <t>Expected payments forecast year 17</t>
  </si>
  <si>
    <t>Expected payments forecast year 18</t>
  </si>
  <si>
    <t>Expected payments forecast year 19</t>
  </si>
  <si>
    <t>Expected payments forecast year 20</t>
  </si>
  <si>
    <t>FY01: $170 mm gain (net of $24 mm in transaction costs), a $68 mm tax provision assoc'd with sale of Lane Bryant apparel business to Charming Shoppes, and $62.1 mm pre-tax gain from IPOs of Alliance Data Systems and Galyan's Trading Co.</t>
  </si>
  <si>
    <t>Percentage of assets, non depreciable</t>
  </si>
  <si>
    <t>Fade rate for depreciation of opening balance</t>
  </si>
  <si>
    <t>Multiple to take the asset to the original book value</t>
  </si>
  <si>
    <t>Total depreciable assets</t>
  </si>
  <si>
    <t>Depreciation of take on book value</t>
  </si>
  <si>
    <t>FINL.O,mscalc:factsetIdCalc</t>
  </si>
  <si>
    <t>FINL</t>
  </si>
  <si>
    <t>increase</t>
  </si>
  <si>
    <t xml:space="preserve">   % Chg. Total Units</t>
  </si>
  <si>
    <t>LTD</t>
  </si>
  <si>
    <t>Victoria's Secret Stores</t>
  </si>
  <si>
    <t>Bath and Body Works</t>
  </si>
  <si>
    <t>Express</t>
  </si>
  <si>
    <t>Limited Stores</t>
  </si>
  <si>
    <t>A$S +/-</t>
  </si>
  <si>
    <t>-MSD</t>
  </si>
  <si>
    <t>Comps By Merchandise Category</t>
  </si>
  <si>
    <t>MENS COMP %</t>
  </si>
  <si>
    <t xml:space="preserve"> +L20s</t>
  </si>
  <si>
    <t xml:space="preserve"> -MSD</t>
  </si>
  <si>
    <t xml:space="preserve"> -HSD</t>
  </si>
  <si>
    <t xml:space="preserve"> +HSD</t>
  </si>
  <si>
    <t>WOMENS COMP %</t>
  </si>
  <si>
    <t>+2</t>
  </si>
  <si>
    <t>Adjusted Debt/EBITDAR (less than or equal to 4)</t>
  </si>
  <si>
    <t>Fixed Charge Ratio (greater than or equal to 1.75X)</t>
  </si>
  <si>
    <t>2/26</t>
  </si>
  <si>
    <t>8/26</t>
  </si>
  <si>
    <t>5/29</t>
  </si>
  <si>
    <t>7/3</t>
  </si>
  <si>
    <t>7/31</t>
  </si>
  <si>
    <t>5/30</t>
  </si>
  <si>
    <t>7/4</t>
  </si>
  <si>
    <t>8/1</t>
  </si>
  <si>
    <t>5/31</t>
  </si>
  <si>
    <t>7/5</t>
  </si>
  <si>
    <t>8/2</t>
  </si>
  <si>
    <t>6/1</t>
  </si>
  <si>
    <t>7/6</t>
  </si>
  <si>
    <t>8/3</t>
  </si>
  <si>
    <t>EBITDA</t>
  </si>
  <si>
    <t>EPS</t>
  </si>
  <si>
    <t>Gross Margin</t>
  </si>
  <si>
    <t>EBITDA Margin</t>
  </si>
  <si>
    <t>Operating Margin</t>
  </si>
  <si>
    <t>Special Non-Recurring Items</t>
  </si>
  <si>
    <t>Other Operating Income</t>
  </si>
  <si>
    <t>Buildings and improvements</t>
  </si>
  <si>
    <t>Furniture, fixtures and equipment</t>
  </si>
  <si>
    <t>FY98: $93.7 mm gain on the sale of the co's remaining interest in Brylane in 1Q; a $5.1 mm charge in 1Q for severance and termination costs at Henri Bendel, and a $1.651 bn tax-free gain on the split-off of ANF in 2Q.</t>
  </si>
  <si>
    <t>45</t>
  </si>
  <si>
    <t>Same-Store Sales % Chg</t>
  </si>
  <si>
    <t>Stores by Concept, Fiscal 1997A-2007E</t>
  </si>
  <si>
    <t>aura science</t>
  </si>
  <si>
    <t>White Barn Candle Co.</t>
  </si>
  <si>
    <t>+MSD</t>
  </si>
  <si>
    <t>-1</t>
  </si>
  <si>
    <t>LB.N,mscalc:closePriceCurrencyCalc</t>
  </si>
  <si>
    <t>LB.N,mscalc:targetPrice,,,,USD</t>
  </si>
  <si>
    <t>Capitalized Operating Leases</t>
  </si>
  <si>
    <t>SELLING SQUARE FOOTAGE (in millions)</t>
  </si>
  <si>
    <t>GROSS SQUARE FOOTAGE (in millions)</t>
  </si>
  <si>
    <t>Factor:</t>
  </si>
  <si>
    <t>TOTAL</t>
  </si>
  <si>
    <t>open</t>
  </si>
  <si>
    <t>Special and non-recurring items and gains on sale of stock include:</t>
  </si>
  <si>
    <t>+M20s</t>
  </si>
  <si>
    <t>Qtr (b)</t>
  </si>
  <si>
    <t>of Qtr</t>
  </si>
  <si>
    <t>Results prior to FY98 not restated to reflect disposal of above-mentioned businesses; however they do reflect the elimination of IBI minority interest.</t>
  </si>
  <si>
    <t xml:space="preserve">       % Margin</t>
  </si>
  <si>
    <t xml:space="preserve">       % Tax Rate</t>
  </si>
  <si>
    <t>Net income from continuing operations (including special items) (% Change)</t>
  </si>
  <si>
    <t>Operating Income (including special items)   (% Change)</t>
  </si>
  <si>
    <t>shares tendered</t>
  </si>
  <si>
    <t>EPS from continuing operations (including special items)   (% Change)</t>
  </si>
  <si>
    <t xml:space="preserve">      Minority Interest</t>
  </si>
  <si>
    <t>Payables / Inventory</t>
  </si>
  <si>
    <t>Debt to Total capital</t>
  </si>
  <si>
    <t>% chg.</t>
  </si>
  <si>
    <t>flat to -slight</t>
  </si>
  <si>
    <t>LB.N</t>
  </si>
  <si>
    <t>$1 bil Dutch tender offer March 2004 should reduce share count by up to 50.633mm shares if all of the shares are tendered at the low end of the $19.75-22.50 range (stock trading at $19.25 on 3/10/04). Offer expires March 25, 2004</t>
  </si>
  <si>
    <t>2003A</t>
  </si>
  <si>
    <t>Currency</t>
  </si>
  <si>
    <t>Prior Yr</t>
  </si>
  <si>
    <t>Avg</t>
  </si>
  <si>
    <t>Gds Sold</t>
  </si>
  <si>
    <t>Avg (a)</t>
  </si>
  <si>
    <t xml:space="preserve">Oct </t>
  </si>
  <si>
    <t xml:space="preserve">Apr </t>
  </si>
  <si>
    <t>2001A</t>
  </si>
  <si>
    <t>2006A</t>
  </si>
  <si>
    <t>Sales per store contrib to DG from Men's</t>
  </si>
  <si>
    <t>Closed stores (men's)</t>
  </si>
  <si>
    <t>=</t>
  </si>
  <si>
    <t>DG new store sales assumptns</t>
  </si>
  <si>
    <t>Existing chain sales p.s.f. (2002)</t>
  </si>
  <si>
    <t>Top 160 Mall New Store Size (Selling)</t>
  </si>
  <si>
    <t xml:space="preserve">  </t>
  </si>
  <si>
    <t>4.  Depreciation and Amortization</t>
  </si>
  <si>
    <t>Assets</t>
  </si>
  <si>
    <t>% Increase</t>
  </si>
  <si>
    <t>11/28</t>
  </si>
  <si>
    <t xml:space="preserve"> 2/29</t>
  </si>
  <si>
    <t xml:space="preserve"> 4/4</t>
  </si>
  <si>
    <t>4/2</t>
  </si>
  <si>
    <t xml:space="preserve"> 5/2</t>
  </si>
  <si>
    <t>4/30</t>
  </si>
  <si>
    <t>Henri Bendel</t>
  </si>
  <si>
    <t>2005 restated</t>
  </si>
  <si>
    <t xml:space="preserve"> 5/30</t>
  </si>
  <si>
    <t>5/28</t>
  </si>
  <si>
    <t xml:space="preserve"> 7/4</t>
  </si>
  <si>
    <t>7/2</t>
  </si>
  <si>
    <t xml:space="preserve"> 8/1</t>
  </si>
  <si>
    <t xml:space="preserve"> 7/31</t>
  </si>
  <si>
    <t>7/30</t>
  </si>
  <si>
    <t xml:space="preserve"> 8/29</t>
  </si>
  <si>
    <t xml:space="preserve"> 8/28</t>
  </si>
  <si>
    <t>8/27</t>
  </si>
  <si>
    <t>10/1</t>
  </si>
  <si>
    <t>10/29</t>
  </si>
  <si>
    <t>11/26</t>
  </si>
  <si>
    <t xml:space="preserve"> 1/2</t>
  </si>
  <si>
    <t xml:space="preserve">Stores are included in the comparable store base after they have been open for at least 12 months and have not had a change in selling square footage of 20% or more. </t>
  </si>
  <si>
    <t>Stores of each brand are excluded if total selling sq. ft. for the brand in the mall changes by 20% or more through the opening or closing of a second store.</t>
  </si>
  <si>
    <t>Sales % chg from comp</t>
  </si>
  <si>
    <t>Adding sales % chgs</t>
  </si>
  <si>
    <t>Avg remodelled store sales (calc)</t>
  </si>
  <si>
    <t>Avg remodelled store sales  (conservative)</t>
  </si>
  <si>
    <t>VS Stores</t>
  </si>
  <si>
    <t>Less:  Income Taxes Payable and Other     (Y-o-Y % Change vs. % Sales Growth)</t>
  </si>
  <si>
    <t>Per Avg.</t>
  </si>
  <si>
    <t>(9)</t>
  </si>
  <si>
    <t>Percent</t>
  </si>
  <si>
    <t>(10)</t>
  </si>
  <si>
    <t>vs.</t>
  </si>
  <si>
    <t>Turnover Analysis</t>
  </si>
  <si>
    <t>Year-to-Year Dollar Change in Working Capital</t>
  </si>
  <si>
    <t>Net income</t>
  </si>
  <si>
    <t>Depreciation and amortization</t>
  </si>
  <si>
    <t>TOTAL OPERATING SOURCES</t>
  </si>
  <si>
    <t>Uses of Cash</t>
  </si>
  <si>
    <t>Capital expenditures</t>
  </si>
  <si>
    <t>Increase (decrease) in</t>
  </si>
  <si>
    <t>Inventories</t>
  </si>
  <si>
    <t xml:space="preserve">(Increase) decrease in </t>
  </si>
  <si>
    <t xml:space="preserve">Other Income </t>
  </si>
  <si>
    <t>64</t>
  </si>
  <si>
    <t>Land</t>
  </si>
  <si>
    <t>Results exclude a $649.5 mm gain in connection with the IPO of 16.9% of IBI.</t>
  </si>
  <si>
    <t>Jul 2017</t>
  </si>
  <si>
    <t>Mar 2033</t>
  </si>
  <si>
    <t>Jul 2037</t>
  </si>
  <si>
    <t>May 2020</t>
  </si>
  <si>
    <t>Total Interest Pmt</t>
  </si>
  <si>
    <t>* FY99-02 results exclude the operations of Lerner, Lane Bryant, Abercrombie &amp; Fitch and Limited Too, and reflect the elimination of IBI minority interest and an increase in total weighted avg shares o/s, pro forma for the IBI recombination at the beg. of 1999.</t>
  </si>
  <si>
    <t>Avg. # Open</t>
  </si>
  <si>
    <t xml:space="preserve">   % Chg. Avg. Units</t>
  </si>
  <si>
    <t>Avg Net Sales Per Store ($MM)</t>
  </si>
  <si>
    <t>Avg. Gross Sq. Ft. (MM)</t>
  </si>
  <si>
    <t>Comparable-Store Sales</t>
  </si>
  <si>
    <t>New Space Productivity</t>
  </si>
  <si>
    <t>Operating Profit ($MM)</t>
  </si>
  <si>
    <t xml:space="preserve">     % Margin</t>
  </si>
  <si>
    <t>TOTAL ASSETS</t>
  </si>
  <si>
    <t>Feb</t>
  </si>
  <si>
    <t>Mar</t>
  </si>
  <si>
    <t>Apr</t>
  </si>
  <si>
    <t>May</t>
  </si>
  <si>
    <t>Sales Metrics</t>
  </si>
  <si>
    <t>FEB</t>
  </si>
  <si>
    <t>MAR</t>
  </si>
  <si>
    <t>APR</t>
  </si>
  <si>
    <t>MAY</t>
  </si>
  <si>
    <t>JUNE</t>
  </si>
  <si>
    <t>JULY</t>
  </si>
  <si>
    <t>AUG</t>
  </si>
  <si>
    <t>SEP</t>
  </si>
  <si>
    <t>OCT</t>
  </si>
  <si>
    <t>NOV</t>
  </si>
  <si>
    <t>DEC</t>
  </si>
  <si>
    <t>Annual Earnings Model, Fiscal 2002A-2014E</t>
  </si>
  <si>
    <t>Dividends paid</t>
  </si>
  <si>
    <t>2012E</t>
  </si>
  <si>
    <t>Inv acctg: Cost Method</t>
  </si>
  <si>
    <t>TOTAL LIABILITIES</t>
  </si>
  <si>
    <t>Less Treasury Stock</t>
  </si>
  <si>
    <t>Monthly Sales Results</t>
  </si>
  <si>
    <t>Flat</t>
  </si>
  <si>
    <t>Divisional Analysis of Space Productivity</t>
  </si>
  <si>
    <t>2013A</t>
  </si>
  <si>
    <t>BASE CASE</t>
  </si>
  <si>
    <t>Depreciation &amp; Amortization</t>
  </si>
  <si>
    <t>Interest and Other Exp/(Inc)</t>
  </si>
  <si>
    <t>Pretax Income</t>
  </si>
  <si>
    <t>Net Income from Operations</t>
  </si>
  <si>
    <t>Operating EPS</t>
  </si>
  <si>
    <t>Comparable Store Sales</t>
  </si>
  <si>
    <t>BULL CASE</t>
  </si>
  <si>
    <t>Base Case Sales Comp Spread</t>
  </si>
  <si>
    <t>Bull Case Sales Comp Spread</t>
  </si>
  <si>
    <t>BEAR CASE</t>
  </si>
  <si>
    <t>Bear Case Sales Comp Spread</t>
  </si>
  <si>
    <t xml:space="preserve">Property and equipment, net </t>
  </si>
  <si>
    <t>Other current liabilities</t>
  </si>
  <si>
    <t xml:space="preserve">     % Net Sales</t>
  </si>
  <si>
    <t>Current portion of long-term debt</t>
  </si>
  <si>
    <t>Less:   Accounts Payable and Accrued Expenses     (Y-o-Y % Change vs. % Sales Growth)</t>
  </si>
  <si>
    <t>Advert'g % of Sales</t>
  </si>
  <si>
    <t>Fin Charge % of Sales</t>
  </si>
  <si>
    <t>DAP % of Sales</t>
  </si>
  <si>
    <t>Minority Interest</t>
  </si>
  <si>
    <t xml:space="preserve"> +DD</t>
  </si>
  <si>
    <t>-~1</t>
  </si>
  <si>
    <t>pos.</t>
  </si>
  <si>
    <t>neg.</t>
  </si>
  <si>
    <t>-5</t>
  </si>
  <si>
    <t>Total Apparel (includes EXPRESS and Limited Stores)</t>
  </si>
  <si>
    <t>Capital Expenditures</t>
  </si>
  <si>
    <t>-slightly to flattish</t>
  </si>
  <si>
    <t>1/5</t>
  </si>
  <si>
    <t>2/2</t>
  </si>
  <si>
    <t>5/4</t>
  </si>
  <si>
    <t>NM</t>
  </si>
  <si>
    <t>- Stores Closed (a)</t>
  </si>
  <si>
    <t>Avg. Sales Per Store ($MM)</t>
  </si>
  <si>
    <t>Other</t>
  </si>
  <si>
    <t>REVENUES</t>
  </si>
  <si>
    <t>SALES</t>
  </si>
  <si>
    <t>OPERATING INCOME</t>
  </si>
  <si>
    <t>mgn</t>
  </si>
  <si>
    <t>Consol.</t>
  </si>
  <si>
    <t>Oper.</t>
  </si>
  <si>
    <t>Inc.</t>
  </si>
  <si>
    <t>BBW</t>
  </si>
  <si>
    <t>Women's</t>
  </si>
  <si>
    <t>Intimate</t>
  </si>
  <si>
    <t>Brands</t>
  </si>
  <si>
    <t>Biz</t>
  </si>
  <si>
    <t>4/29</t>
  </si>
  <si>
    <t>5/3</t>
  </si>
  <si>
    <t>5/2</t>
  </si>
  <si>
    <t>5/1</t>
  </si>
  <si>
    <t>5/27</t>
  </si>
  <si>
    <t>7/1</t>
  </si>
  <si>
    <t>7/29</t>
  </si>
  <si>
    <t>8/31</t>
  </si>
  <si>
    <t>8/30</t>
  </si>
  <si>
    <t>8/29</t>
  </si>
  <si>
    <t>8/28</t>
  </si>
  <si>
    <t>9/30</t>
  </si>
  <si>
    <t>10/5</t>
  </si>
  <si>
    <t>Comp Store Sales</t>
  </si>
  <si>
    <t xml:space="preserve">UP </t>
  </si>
  <si>
    <t>+7</t>
  </si>
  <si>
    <t>-4</t>
  </si>
  <si>
    <t>-8-9</t>
  </si>
  <si>
    <t>Weeks</t>
  </si>
  <si>
    <t>1st Qtr</t>
  </si>
  <si>
    <t>$</t>
  </si>
  <si>
    <t>Vol.</t>
  </si>
  <si>
    <t>2nd Qtr</t>
  </si>
  <si>
    <t>3rd Qtr</t>
  </si>
  <si>
    <t>check</t>
  </si>
  <si>
    <t>-10</t>
  </si>
  <si>
    <t>flat</t>
  </si>
  <si>
    <t>(d) Reflects payment of special one-time dividend payment of $500 million.</t>
  </si>
  <si>
    <t>(c) Reflects $2 billion Dutch tender to be completed in November 2004.</t>
  </si>
  <si>
    <t>EBIT</t>
  </si>
  <si>
    <t>Productivity (3)/(13)</t>
  </si>
  <si>
    <t>Sales (mm)</t>
  </si>
  <si>
    <t>Sales (mm, except per foot data)</t>
  </si>
  <si>
    <t>Store Analysis</t>
  </si>
  <si>
    <t>Square Footage Analysis</t>
  </si>
  <si>
    <t>+ New Store Openings</t>
  </si>
  <si>
    <t xml:space="preserve">                                                                                                                        </t>
  </si>
  <si>
    <t>3/3</t>
  </si>
  <si>
    <t>4/7</t>
  </si>
  <si>
    <t>5/5</t>
  </si>
  <si>
    <t>6/2</t>
  </si>
  <si>
    <t>7/7</t>
  </si>
  <si>
    <t>8/4</t>
  </si>
  <si>
    <t>9/1</t>
  </si>
  <si>
    <t>10/6</t>
  </si>
  <si>
    <t>11/3</t>
  </si>
  <si>
    <t>12/1</t>
  </si>
  <si>
    <t>2004A</t>
  </si>
  <si>
    <t>Avg. Closed Store Size (Selling Sq. Ft.)</t>
  </si>
  <si>
    <t>Sales % chg from remodelling</t>
  </si>
  <si>
    <t>+slightly</t>
  </si>
  <si>
    <t>10.  Earnings Per Share as adjusted -- Fully Diluted   (% Change)</t>
  </si>
  <si>
    <t>La Senza</t>
  </si>
  <si>
    <t>VS stores</t>
  </si>
  <si>
    <t>Depreciation</t>
  </si>
  <si>
    <t>GM excl Rent % of Sales</t>
  </si>
  <si>
    <t>Finance Charge Revenue</t>
  </si>
  <si>
    <t>Doubtful A/C Provision</t>
  </si>
  <si>
    <t>Catalog/Advert'g Costs</t>
  </si>
  <si>
    <t>Proceeds from exercise of stock options and other</t>
  </si>
  <si>
    <t>Proceeds from sale of subsidiary</t>
  </si>
  <si>
    <t>Proceeds from sale of investee's stock</t>
  </si>
  <si>
    <t>Proceeds from sale of joint ventures</t>
  </si>
  <si>
    <t>Net proceeds (expenditures) related to Easton inv.</t>
  </si>
  <si>
    <t>Other investing activities</t>
  </si>
  <si>
    <t>up, &lt;W</t>
  </si>
  <si>
    <t>up, &gt;M</t>
  </si>
  <si>
    <r>
      <t xml:space="preserve">neg, </t>
    </r>
    <r>
      <rPr>
        <sz val="8"/>
        <color indexed="12"/>
        <rFont val="Arial"/>
        <family val="2"/>
      </rPr>
      <t>≈W</t>
    </r>
  </si>
  <si>
    <r>
      <t xml:space="preserve">neg, </t>
    </r>
    <r>
      <rPr>
        <sz val="8"/>
        <color indexed="12"/>
        <rFont val="Arial"/>
        <family val="2"/>
      </rPr>
      <t>≈M</t>
    </r>
  </si>
  <si>
    <t xml:space="preserve">NM </t>
  </si>
  <si>
    <t>LA SENZA</t>
  </si>
  <si>
    <t>Victoria's Secret Direct</t>
  </si>
  <si>
    <t>LTD.N,mscalc:defaultCurrencyCalc</t>
  </si>
  <si>
    <t>1999 ending cash flow does not tie to 2000 beginning, as restated 1999 cash flow statement not available.</t>
  </si>
  <si>
    <t>+13</t>
  </si>
  <si>
    <t>-22</t>
  </si>
  <si>
    <t>+25</t>
  </si>
  <si>
    <t xml:space="preserve">  +LSD</t>
  </si>
  <si>
    <t>-Mteen</t>
  </si>
  <si>
    <t xml:space="preserve"> +SD</t>
  </si>
  <si>
    <t>2005A</t>
  </si>
  <si>
    <t>Total Debt as % of Total Capital</t>
  </si>
  <si>
    <t>Net Debt as % of Total Capital</t>
  </si>
  <si>
    <t>VICTORIA'S SECRET STORES</t>
  </si>
  <si>
    <t>BATH &amp; BODY WORKS</t>
  </si>
  <si>
    <t>EXPRESS WOMEN</t>
  </si>
  <si>
    <t>Combined</t>
  </si>
  <si>
    <t>EXPRESS MEN</t>
  </si>
  <si>
    <t>Results prior to FY98 not restated to reflect disposal of above-mentioned businesses but reflect the elimination of IBI minority interest.</t>
  </si>
  <si>
    <t>2009A</t>
  </si>
  <si>
    <t>Remodels (incremental)</t>
  </si>
  <si>
    <t>Gross PPE</t>
  </si>
  <si>
    <t>Operating Margin excluding Apparel</t>
  </si>
  <si>
    <t>the yearly data is NOT the sum of the quarters</t>
  </si>
  <si>
    <t>Increase (decrease) in cash</t>
  </si>
  <si>
    <t xml:space="preserve">       </t>
  </si>
  <si>
    <t>At January 31 of the following year</t>
  </si>
  <si>
    <t>Period</t>
  </si>
  <si>
    <t>Comp.</t>
  </si>
  <si>
    <t>Ended</t>
  </si>
  <si>
    <t>2/25</t>
  </si>
  <si>
    <t>3/2</t>
  </si>
  <si>
    <t>2/28</t>
  </si>
  <si>
    <t>2/27</t>
  </si>
  <si>
    <t>4/1</t>
  </si>
  <si>
    <t>Retail Method</t>
  </si>
  <si>
    <t>Cost Method</t>
  </si>
  <si>
    <t>FY04: $17.6 mm non-operating gain or $0.02 per share, resulting from the sale of the remaining interest in Galyan's Trading Company.</t>
  </si>
  <si>
    <t>FY04: 2c benefit related to favorable tax settlement</t>
  </si>
  <si>
    <t>(c)</t>
  </si>
  <si>
    <t>(d)</t>
  </si>
  <si>
    <t>INTERNAL CASH GENERATION (FUNDS NEEDED)</t>
  </si>
  <si>
    <t>TOTAL OPERATING USES</t>
  </si>
  <si>
    <t xml:space="preserve">                       2013A</t>
  </si>
  <si>
    <t>Reflects New International Reporting Structure</t>
  </si>
  <si>
    <t xml:space="preserve">Note: Total Revenue and Operating Income exclude Apparel businesses in 3Q07 and beyond. However, LTD still receives 25% share of operating income in minority interest. </t>
  </si>
  <si>
    <t>3Q</t>
  </si>
  <si>
    <t>4Q</t>
  </si>
  <si>
    <t>Year</t>
  </si>
  <si>
    <t>6 Mos</t>
  </si>
  <si>
    <t>9 Mos</t>
  </si>
  <si>
    <t>KSS,mscalc:closePriceCurrencyCalc</t>
  </si>
  <si>
    <t>KSS,mscalc:targetPrice</t>
  </si>
  <si>
    <t>KSS,mscalc:stockRating</t>
  </si>
  <si>
    <t>KSS,mscalc:msIndustryView</t>
  </si>
  <si>
    <t>KSS,mscalc:firstEstimatedYearCalc</t>
  </si>
  <si>
    <t>KSS,mscalc:firstEstimatedYearfiscalAlignedCalc</t>
  </si>
  <si>
    <t>KSS,mscalc:lastActualYearCalc</t>
  </si>
  <si>
    <t>2.  Cost of Goods Sold   (% Gross Margin)</t>
  </si>
  <si>
    <t>(a)</t>
  </si>
  <si>
    <t>(b)</t>
  </si>
  <si>
    <t>Balance Sheet</t>
  </si>
  <si>
    <t>($ in millions)</t>
  </si>
  <si>
    <t>Accounts receivable</t>
  </si>
  <si>
    <t>Total Current Assets</t>
  </si>
  <si>
    <t>Liabilities and Shareholders' Equity</t>
  </si>
  <si>
    <t>Current Liabilities:</t>
  </si>
  <si>
    <t>Accounts payable</t>
  </si>
  <si>
    <t>7.  Other Income (incl. Interest), Net</t>
  </si>
  <si>
    <t>Gross Sq Ft</t>
  </si>
  <si>
    <t>Sq Ft</t>
  </si>
  <si>
    <t>$ per s.f.</t>
  </si>
  <si>
    <t>% chg</t>
  </si>
  <si>
    <t>Aparel</t>
  </si>
  <si>
    <t>Adjusted Net Inc. From Ops</t>
  </si>
  <si>
    <t>Operating Lease Debt schedule</t>
  </si>
  <si>
    <t>Implied debt, beginning of period</t>
  </si>
  <si>
    <t>Interest</t>
  </si>
  <si>
    <t>Repayment</t>
  </si>
  <si>
    <t>Debt Issuances (Reductions)</t>
  </si>
  <si>
    <t>Implied debt</t>
  </si>
  <si>
    <t>% assets to liabilities</t>
  </si>
  <si>
    <t>Cumulative Adjustment To Equity</t>
  </si>
  <si>
    <t>Principal Paid</t>
  </si>
  <si>
    <t>Year over Year Adjustment in Equity</t>
  </si>
  <si>
    <t>Weighted average interest rate of lease portfolio</t>
  </si>
  <si>
    <t>Interest implicit in new leases signed</t>
  </si>
  <si>
    <t>Number of Units Leased</t>
  </si>
  <si>
    <t>Growth in Leased Units</t>
  </si>
  <si>
    <t>Leased Units / Total Units in Capacity (%)</t>
  </si>
  <si>
    <t>Capex per Unit</t>
  </si>
  <si>
    <t>% change in capex per unit</t>
  </si>
  <si>
    <t>Capital expenditure financed through operating leases</t>
  </si>
  <si>
    <t>Marginal Tax Rate</t>
  </si>
  <si>
    <t>Avg new store sales (W)</t>
  </si>
  <si>
    <t>Avg closed store sales (Men)</t>
  </si>
  <si>
    <t>Avg store size (Selling)</t>
  </si>
  <si>
    <t>Source: Company reports and Smith Barney estimates.</t>
  </si>
  <si>
    <t>1/3</t>
  </si>
  <si>
    <t>1/2</t>
  </si>
  <si>
    <t>1/1</t>
  </si>
  <si>
    <t>2/3</t>
  </si>
  <si>
    <t>2/1</t>
  </si>
  <si>
    <t>1/30</t>
  </si>
  <si>
    <t>1/29</t>
  </si>
  <si>
    <t>Month</t>
  </si>
  <si>
    <t>No. of</t>
  </si>
  <si>
    <t xml:space="preserve"> 5/1</t>
  </si>
  <si>
    <t xml:space="preserve"> 5/29</t>
  </si>
  <si>
    <t xml:space="preserve"> 7/3</t>
  </si>
  <si>
    <t xml:space="preserve"> 1/30</t>
  </si>
  <si>
    <t>CAGR</t>
  </si>
  <si>
    <t>%</t>
  </si>
  <si>
    <t xml:space="preserve">   % Chg. from LY</t>
  </si>
  <si>
    <t># Stores Open BOY</t>
  </si>
  <si>
    <t>- Stores Closed</t>
  </si>
  <si>
    <t># Stores Open EOY</t>
  </si>
  <si>
    <t>Deferred taxes</t>
  </si>
  <si>
    <t>other income includes interest income in JVs and other investmts</t>
  </si>
  <si>
    <t>6.  Interest (Expense)</t>
  </si>
  <si>
    <t>Income taxes payable</t>
  </si>
  <si>
    <t>FY99: $13.1 mm charge for transaction costs related to the spin-off of Limited Too, and a $36.6 mm reserve reversal related to downsizing costs for Henri Bendel.</t>
  </si>
  <si>
    <t>LTD.US</t>
  </si>
  <si>
    <t>FY</t>
  </si>
  <si>
    <t>E</t>
  </si>
  <si>
    <t>Cash and equivalents</t>
  </si>
  <si>
    <t>Merchandise inventory</t>
  </si>
  <si>
    <t>+Mteens</t>
  </si>
  <si>
    <t>+H20s</t>
  </si>
  <si>
    <t>Repurchase of IBI common stock</t>
  </si>
  <si>
    <t>FY93: $2.6 mm charge related to a) the sale of a 60% interest in the Brylane mail order catalog, acceleration of a store closing program at Limited and Lerner, and refocusing of mdsing strategy at Henri Bendel.</t>
  </si>
  <si>
    <t>Diva</t>
  </si>
  <si>
    <t>London</t>
  </si>
  <si>
    <t>Avg Store Size (Gross Sq. Ft.)</t>
  </si>
  <si>
    <t>Net Sales Per Avg Gross Sq. Ft.</t>
  </si>
  <si>
    <t>Ending Gross Sq. Ft.</t>
  </si>
  <si>
    <t>Av. Gross Sq. Ft.</t>
  </si>
  <si>
    <t>Avg. Store Size (Selling Sq. Ft.)</t>
  </si>
  <si>
    <t>% Chg. From LY</t>
  </si>
  <si>
    <t>&amp;</t>
  </si>
  <si>
    <t>5.  Operating Income (excl Spec Items)</t>
  </si>
  <si>
    <t>(excl A&amp;F)</t>
  </si>
  <si>
    <t>Inv acctg: Retail Method ('05 &amp; prior)</t>
  </si>
  <si>
    <t>Inv acctg: Cost Method ('06 &amp; beyond)</t>
  </si>
  <si>
    <t>= -8 mm net int exp??</t>
  </si>
  <si>
    <t>Sales assumptns</t>
  </si>
  <si>
    <t>Remodels</t>
  </si>
  <si>
    <t>Pdvty impvmt</t>
  </si>
  <si>
    <t>Selling sq ft (000)</t>
  </si>
  <si>
    <t>Avg store size</t>
  </si>
  <si>
    <t>Accumulated other comprehensive (loss) income</t>
  </si>
  <si>
    <t>Change in Square footage</t>
  </si>
  <si>
    <t>- Discontinued Businesses</t>
  </si>
  <si>
    <t>Ending Selling Sq. Ft. (MM)</t>
  </si>
  <si>
    <t>Net Sales Per Avg Selling Sq Ft</t>
  </si>
  <si>
    <t>2006 &amp; Beyond Restated for New Segment Allocation of Costs</t>
  </si>
  <si>
    <t>Annual Data (Yearend)</t>
  </si>
  <si>
    <t>Int'l</t>
  </si>
  <si>
    <t>Dom</t>
  </si>
  <si>
    <t xml:space="preserve">Store Count </t>
  </si>
  <si>
    <t>Inventory Turnover</t>
  </si>
  <si>
    <t xml:space="preserve">       % Net Margin</t>
  </si>
  <si>
    <t xml:space="preserve">       % Increase</t>
  </si>
  <si>
    <t>Quarterly Operating Results and Financial Analysis</t>
  </si>
  <si>
    <t>* Results also include additional interest income from the $75 mm subordinated note received in connection with the sale of Lerner (10% p.a. interest).</t>
  </si>
  <si>
    <t xml:space="preserve">* FY97-98 results exclude the operations of Abercrombie &amp; Fitch and Limited Too. Results are NOT directly comparable with FY99 data. </t>
  </si>
  <si>
    <t>3.  Operating Expenses - Selling, General &amp; Administrative Expenses   (% of Sales)</t>
  </si>
  <si>
    <t xml:space="preserve">4.  Operating Income (% Operating Margin) </t>
  </si>
  <si>
    <t>Monthly Comparable Sales</t>
  </si>
  <si>
    <t>&lt;W</t>
  </si>
  <si>
    <t>&gt;M</t>
  </si>
  <si>
    <t>slight -</t>
  </si>
  <si>
    <t xml:space="preserve"> +H20s</t>
  </si>
  <si>
    <r>
      <t>≈</t>
    </r>
    <r>
      <rPr>
        <sz val="8"/>
        <color indexed="12"/>
        <rFont val="Arial"/>
        <family val="2"/>
      </rPr>
      <t>W</t>
    </r>
  </si>
  <si>
    <r>
      <t>≈</t>
    </r>
    <r>
      <rPr>
        <sz val="8"/>
        <color indexed="12"/>
        <rFont val="Arial"/>
        <family val="2"/>
      </rPr>
      <t>M</t>
    </r>
  </si>
  <si>
    <t>slight +</t>
  </si>
  <si>
    <t>neg, &gt;W</t>
  </si>
  <si>
    <t>neg, &lt;M</t>
  </si>
  <si>
    <t>1Q13</t>
  </si>
  <si>
    <t>2Q13</t>
  </si>
  <si>
    <t>3Q13</t>
  </si>
  <si>
    <t>4Q13</t>
  </si>
  <si>
    <t>FY97: $8.6 mm gain in 1Q related to the IPO of Brylane, a $62.8 mm net gain in 3Q on the sale of 1/2 of the co's investment in Brylane and a $276 mm charge in 4Q related to strategic initiatives to strengthen the co's brands.</t>
  </si>
  <si>
    <t>Special and</t>
  </si>
  <si>
    <t xml:space="preserve">FY07:  2Q: $229.9mm gain on divestiture of apparel segment (Express: $302.412, Limited: -$72.538); $39mm tax benefit related to reversal of state net operating loss carryforward valuation allowances associated with the Apparel divestitures, </t>
  </si>
  <si>
    <t>LTM estimated rent</t>
  </si>
  <si>
    <t>(a) Cost of Goods Sold divided by average inventory for the quarter.</t>
  </si>
  <si>
    <t>(b) Following quarter's COGS divided by inventory at the end of the quarter.</t>
  </si>
  <si>
    <t>Victoria's Secret</t>
  </si>
  <si>
    <t>Lerner</t>
  </si>
  <si>
    <t>New</t>
  </si>
  <si>
    <t>Count</t>
  </si>
  <si>
    <t>Average Number of Stores</t>
  </si>
  <si>
    <t>Lingerie</t>
  </si>
  <si>
    <t>Beauty</t>
  </si>
  <si>
    <t>Bath &amp;</t>
  </si>
  <si>
    <t>Body Works</t>
  </si>
  <si>
    <t>Lane</t>
  </si>
  <si>
    <t>Bryant</t>
  </si>
  <si>
    <t>Long-term debt</t>
  </si>
  <si>
    <t>TOTAL LIABILITIES AND S/H EQUITY</t>
  </si>
  <si>
    <t>Sales</t>
  </si>
  <si>
    <t>COGS</t>
  </si>
  <si>
    <t>SG&amp;A</t>
  </si>
  <si>
    <t>Ratio calculations:</t>
  </si>
  <si>
    <t>Net Income</t>
  </si>
  <si>
    <t>A/R / Sales</t>
  </si>
  <si>
    <t>A/P / Inventory</t>
  </si>
  <si>
    <t>Merchandise Inventory / Sales</t>
  </si>
  <si>
    <t>Cash Flow Statement</t>
  </si>
  <si>
    <t>($ millions)</t>
  </si>
  <si>
    <t>$ in Millions</t>
  </si>
  <si>
    <t>% Change</t>
  </si>
  <si>
    <t>Quarterly</t>
  </si>
  <si>
    <t>Stores</t>
  </si>
  <si>
    <t>Inventory</t>
  </si>
  <si>
    <t>Inventory vs.</t>
  </si>
  <si>
    <t>Open</t>
  </si>
  <si>
    <t>Y-o-Y</t>
  </si>
  <si>
    <t>Cost of</t>
  </si>
  <si>
    <t>End of</t>
  </si>
  <si>
    <t>Prior</t>
  </si>
  <si>
    <t>Following</t>
  </si>
  <si>
    <t>at End</t>
  </si>
  <si>
    <t>per</t>
  </si>
  <si>
    <t>Average</t>
  </si>
  <si>
    <t>Store</t>
  </si>
  <si>
    <t>Change</t>
  </si>
  <si>
    <t>x</t>
  </si>
  <si>
    <t>and $6.9 mm ($0.01) gain on sale of Structure trademark to Sears in 3Q.</t>
  </si>
  <si>
    <t>($ millions except per-share data)</t>
  </si>
  <si>
    <t>Quarterly Results and Estimates</t>
  </si>
  <si>
    <t>Annual Results and Estimates</t>
  </si>
  <si>
    <t/>
  </si>
  <si>
    <t>Income Statement</t>
  </si>
  <si>
    <t>Cost of Goods Sold</t>
  </si>
  <si>
    <t>SG&amp;A Expense</t>
  </si>
  <si>
    <t xml:space="preserve">  Operating Income</t>
  </si>
  <si>
    <t xml:space="preserve">   Pretax Income</t>
  </si>
  <si>
    <t>Taxes</t>
  </si>
  <si>
    <t xml:space="preserve">Earnings Per Share </t>
  </si>
  <si>
    <t xml:space="preserve">EBITDA </t>
  </si>
  <si>
    <t>Margin Analysis</t>
  </si>
  <si>
    <t xml:space="preserve">Gross Margin </t>
  </si>
  <si>
    <t>Expense Ratio</t>
  </si>
  <si>
    <t>Pretax Margin</t>
  </si>
  <si>
    <t>Adjusted Rent Expense</t>
  </si>
  <si>
    <t>Adj. Rent % Sales</t>
  </si>
  <si>
    <t>Other Income</t>
  </si>
  <si>
    <t>Net Debt (Total Debt Less Cash)</t>
  </si>
  <si>
    <t>Shareholders' Equity</t>
  </si>
  <si>
    <t>Total Capital</t>
  </si>
  <si>
    <t>FY96: $12 mm charge related to the sale of Penhaligons in 4/97, and nontaxable gain associated with the IPO of 15% of A&amp;F in 9/96.</t>
  </si>
  <si>
    <t>% of Capital Expenditures financed through operating leases (sustainable)</t>
  </si>
  <si>
    <t>Capital expenditure financed through operating leases (Sustainable)</t>
  </si>
  <si>
    <t>Capital expenditure financed through operating leases (Growth)</t>
  </si>
  <si>
    <t>Current Year Operating Lease Payments</t>
  </si>
  <si>
    <t>YOY % Change in Current Year Operating Lease Expense</t>
  </si>
  <si>
    <t>Guidance</t>
  </si>
  <si>
    <t>Actual vs. MSe</t>
  </si>
  <si>
    <t>EPS Impact</t>
  </si>
  <si>
    <t>Summary</t>
  </si>
  <si>
    <t>Reclassified La Senza to Other from VS</t>
  </si>
  <si>
    <t>Other Revenue</t>
  </si>
  <si>
    <t>LS was formerly classified under VS segment for reporting (2006 - 2011)</t>
  </si>
  <si>
    <t>Bond St. vol ($M)</t>
  </si>
  <si>
    <t>Mall store vol ($M)</t>
  </si>
  <si>
    <t>Mall store vol yr 2($M)</t>
  </si>
  <si>
    <t>International Operating Income (excludes VS/BBW Canada)</t>
  </si>
  <si>
    <t>"Int'l VS and BBW" EBIT Components</t>
  </si>
  <si>
    <t>Margin</t>
  </si>
  <si>
    <t>Royalty EBIT</t>
  </si>
  <si>
    <t>Corporate</t>
  </si>
  <si>
    <t>Overhead</t>
  </si>
  <si>
    <t>Profit Assumptions</t>
  </si>
  <si>
    <t>Royalty Fee</t>
  </si>
  <si>
    <t xml:space="preserve">Military </t>
  </si>
  <si>
    <t>Inventory Markup</t>
  </si>
  <si>
    <t>Key Franchise Assumptions</t>
  </si>
  <si>
    <t>Inv. Sales EBIT</t>
  </si>
  <si>
    <t>LS</t>
  </si>
  <si>
    <t>Owned</t>
  </si>
  <si>
    <t>Store EBIT</t>
  </si>
  <si>
    <t>Inv. Sales + markup</t>
  </si>
  <si>
    <t>Wholesale</t>
  </si>
  <si>
    <t>VSBA Wholesale Markup</t>
  </si>
  <si>
    <t>VSBA Wholesale</t>
  </si>
  <si>
    <t>1Q15</t>
  </si>
  <si>
    <t>2Q15</t>
  </si>
  <si>
    <t>3Q15</t>
  </si>
  <si>
    <t>4Q15</t>
  </si>
  <si>
    <t>(Owned)</t>
  </si>
  <si>
    <t>VS Intl</t>
  </si>
  <si>
    <t>ESTIMATES ONLY -- LB NO LONGER REPORTS LS Sales</t>
  </si>
  <si>
    <t>2015A</t>
  </si>
  <si>
    <t>2023 Notes</t>
  </si>
  <si>
    <r>
      <t>2.  Cost of Goods Sold</t>
    </r>
    <r>
      <rPr>
        <b/>
        <sz val="10"/>
        <rFont val="Arial"/>
        <family val="2"/>
      </rPr>
      <t xml:space="preserve"> (ex. D&amp;A)</t>
    </r>
  </si>
  <si>
    <r>
      <t>% Gross Margin</t>
    </r>
    <r>
      <rPr>
        <b/>
        <sz val="10"/>
        <rFont val="Arial"/>
        <family val="2"/>
      </rPr>
      <t xml:space="preserve"> (ex. D&amp;A)</t>
    </r>
  </si>
  <si>
    <r>
      <t>3a. Options Expense</t>
    </r>
    <r>
      <rPr>
        <vertAlign val="superscript"/>
        <sz val="10"/>
        <rFont val="Arial"/>
        <family val="2"/>
      </rPr>
      <t>1</t>
    </r>
  </si>
  <si>
    <r>
      <t>11a.  Earnings Per Share Excl Options</t>
    </r>
    <r>
      <rPr>
        <vertAlign val="superscript"/>
        <sz val="10"/>
        <color indexed="55"/>
        <rFont val="Arial"/>
        <family val="2"/>
      </rPr>
      <t>1</t>
    </r>
  </si>
  <si>
    <r>
      <t>1</t>
    </r>
    <r>
      <rPr>
        <sz val="8"/>
        <rFont val="Arial"/>
        <family val="2"/>
      </rPr>
      <t xml:space="preserve"> Options expense excluded from operating income and net income prior to 2006</t>
    </r>
  </si>
  <si>
    <r>
      <t>1. Net Sales    (% Increase -- Total/Comparable Stores)</t>
    </r>
    <r>
      <rPr>
        <b/>
        <sz val="10"/>
        <color indexed="12"/>
        <rFont val="Arial"/>
        <family val="2"/>
      </rPr>
      <t xml:space="preserve">     </t>
    </r>
    <r>
      <rPr>
        <sz val="10"/>
        <color indexed="12"/>
        <rFont val="Arial"/>
        <family val="2"/>
      </rPr>
      <t>(a)</t>
    </r>
  </si>
  <si>
    <r>
      <t>Special and Nonrecurring Items - Income/(Expense)   (% of Sales)</t>
    </r>
    <r>
      <rPr>
        <sz val="10"/>
        <color indexed="12"/>
        <rFont val="Arial"/>
        <family val="2"/>
      </rPr>
      <t xml:space="preserve">     (b)</t>
    </r>
  </si>
  <si>
    <r>
      <t>6.  Other Income (including Interest), Net (%Sales)</t>
    </r>
    <r>
      <rPr>
        <sz val="10"/>
        <color indexed="12"/>
        <rFont val="Arial"/>
        <family val="2"/>
      </rPr>
      <t xml:space="preserve">     (b)</t>
    </r>
  </si>
  <si>
    <r>
      <t>Gains on Sale of Stock</t>
    </r>
    <r>
      <rPr>
        <sz val="10"/>
        <color indexed="12"/>
        <rFont val="Arial"/>
        <family val="2"/>
      </rPr>
      <t xml:space="preserve">   (b)</t>
    </r>
  </si>
  <si>
    <t>+low-teens</t>
  </si>
  <si>
    <t xml:space="preserve">                               2014A</t>
  </si>
  <si>
    <t>WACC</t>
  </si>
  <si>
    <t>NOPAT</t>
  </si>
  <si>
    <t>LB.N,mscalc:sharePriceCurrent</t>
  </si>
  <si>
    <t>$AX$2</t>
  </si>
  <si>
    <t>comp</t>
  </si>
  <si>
    <t>+L-MSD</t>
  </si>
  <si>
    <t>External</t>
  </si>
  <si>
    <t>Add Estimated Interest Expense</t>
  </si>
  <si>
    <t>83.94</t>
  </si>
  <si>
    <t xml:space="preserve">slight + </t>
  </si>
  <si>
    <t>1Q16</t>
  </si>
  <si>
    <t>2Q16</t>
  </si>
  <si>
    <t>3Q16</t>
  </si>
  <si>
    <t>4Q16</t>
  </si>
  <si>
    <t xml:space="preserve">+MSD </t>
  </si>
  <si>
    <t>2035 Notes</t>
  </si>
  <si>
    <t>Store Counts</t>
  </si>
  <si>
    <t>VS - US</t>
  </si>
  <si>
    <t>PINK - US</t>
  </si>
  <si>
    <t>Remodel</t>
  </si>
  <si>
    <t>SSF Change (000s)</t>
  </si>
  <si>
    <t>2019E</t>
  </si>
  <si>
    <t>10-15E</t>
  </si>
  <si>
    <t>15-20E</t>
  </si>
  <si>
    <t xml:space="preserve">                       2015A</t>
  </si>
  <si>
    <t>No Longer Reported</t>
  </si>
  <si>
    <t>Jan' 20</t>
  </si>
  <si>
    <t xml:space="preserve">Flat </t>
  </si>
  <si>
    <t>UK</t>
  </si>
  <si>
    <t>2016A</t>
  </si>
  <si>
    <t>Capex/WC</t>
  </si>
  <si>
    <t xml:space="preserve">flat </t>
  </si>
  <si>
    <t>2036 Notes</t>
  </si>
  <si>
    <t>July 2036</t>
  </si>
  <si>
    <t>NA Sales / Sq Ft - VS (ex. eComm)</t>
  </si>
  <si>
    <t>NA Sales / Sq Ft - VS (incl. eComm)</t>
  </si>
  <si>
    <t>NA Sales / Sq Ft - BBW (ex. eComm)</t>
  </si>
  <si>
    <t>NA Sales / Sq Ft - BBW (incl. eComm)</t>
  </si>
  <si>
    <t>flatish</t>
  </si>
  <si>
    <t>Down</t>
  </si>
  <si>
    <t>1Q17</t>
  </si>
  <si>
    <t>2Q17</t>
  </si>
  <si>
    <t>3Q17</t>
  </si>
  <si>
    <t>4Q17</t>
  </si>
  <si>
    <t>4Q16A</t>
  </si>
  <si>
    <t>4Q15A</t>
  </si>
  <si>
    <t>4Q16E</t>
  </si>
  <si>
    <t>LB</t>
  </si>
  <si>
    <t>4QFY2017</t>
  </si>
  <si>
    <t xml:space="preserve">                       2016A</t>
  </si>
  <si>
    <t>-Mid-teens</t>
  </si>
  <si>
    <t>Victoria's Secret -  Intl Owned (UK/China)</t>
  </si>
  <si>
    <t>ESTIMATES (ex. FX)</t>
  </si>
  <si>
    <t>2017A</t>
  </si>
  <si>
    <t>-mid-20's</t>
  </si>
  <si>
    <t>+high-teens</t>
  </si>
  <si>
    <t>-high-teens</t>
  </si>
  <si>
    <t>Model</t>
  </si>
  <si>
    <t>Forecasts</t>
  </si>
  <si>
    <t>Metric</t>
  </si>
  <si>
    <t>Growth</t>
  </si>
  <si>
    <t>Operating Taxes</t>
  </si>
  <si>
    <t xml:space="preserve">  NOPAT Margin</t>
  </si>
  <si>
    <t>+Depreciation &amp; Amortization</t>
  </si>
  <si>
    <t xml:space="preserve"> Increase in WC (&amp; other NOA)</t>
  </si>
  <si>
    <t>Total Reinvestment</t>
  </si>
  <si>
    <t xml:space="preserve">  Reinvest Rate</t>
  </si>
  <si>
    <t>Free Cash Flow from Operations</t>
  </si>
  <si>
    <t>Discount Factor</t>
  </si>
  <si>
    <t>NPV of Forecasted Cash Flows</t>
  </si>
  <si>
    <t>Terminal Value</t>
  </si>
  <si>
    <t>NPV of Terminal Value</t>
  </si>
  <si>
    <t>Terminal Value Growth Rate</t>
  </si>
  <si>
    <t xml:space="preserve">Debt Balance </t>
  </si>
  <si>
    <t>Risk-Free Rate</t>
  </si>
  <si>
    <t>Cash Balance (2018E)</t>
  </si>
  <si>
    <t>Market Risk Premium</t>
  </si>
  <si>
    <t>Net Debt</t>
  </si>
  <si>
    <t>Equity Beta</t>
  </si>
  <si>
    <t>Cost of Debt (Pre-tax)</t>
  </si>
  <si>
    <t>Required Equity Return</t>
  </si>
  <si>
    <t>Cost of Debt (Post-tax @ 35%)</t>
  </si>
  <si>
    <t xml:space="preserve">Fully Diluted Shares </t>
  </si>
  <si>
    <t>Current Share Price</t>
  </si>
  <si>
    <t>Market Enterprise Value</t>
  </si>
  <si>
    <t>Sum of NPV Forecasted CFs</t>
  </si>
  <si>
    <t>Intrinsic Enterprise Value</t>
  </si>
  <si>
    <t>Less: Debt</t>
  </si>
  <si>
    <t>Plus: Cash</t>
  </si>
  <si>
    <t>Less: MV of Non-controlling Interest</t>
  </si>
  <si>
    <t>Plus: MV of Equity Investments</t>
  </si>
  <si>
    <t>Equity Value per Share</t>
  </si>
  <si>
    <t>Flattish</t>
  </si>
  <si>
    <t>Inventory Growth</t>
  </si>
  <si>
    <t>Forward Sales Growth</t>
  </si>
  <si>
    <t>2018A</t>
  </si>
  <si>
    <t>Nov 2035</t>
  </si>
  <si>
    <t>2022 Notes</t>
  </si>
  <si>
    <t>Feb 2022</t>
  </si>
  <si>
    <t>Apr 2021</t>
  </si>
  <si>
    <t>Oct 2023</t>
  </si>
  <si>
    <t xml:space="preserve">                       2018E</t>
  </si>
  <si>
    <t>Jan' 21</t>
  </si>
  <si>
    <t>2016 y/y Margin Changes</t>
  </si>
  <si>
    <t xml:space="preserve">Revenue Growth </t>
  </si>
  <si>
    <t>VS EBIT Margin</t>
  </si>
  <si>
    <t>BBW EBIT Margin</t>
  </si>
  <si>
    <t xml:space="preserve">2019 Bull (Tax Reform) </t>
  </si>
  <si>
    <t>EBIT Margin</t>
  </si>
  <si>
    <t>SG&amp;A Margin</t>
  </si>
  <si>
    <t>SG&amp;A Growth (%)</t>
  </si>
  <si>
    <t>y/y Growth</t>
  </si>
  <si>
    <t>y/y Growth (ex. 53rd Week)</t>
  </si>
  <si>
    <t xml:space="preserve">           LB Comp </t>
  </si>
  <si>
    <t xml:space="preserve">           VS Comp</t>
  </si>
  <si>
    <t xml:space="preserve">        BBW Comp</t>
  </si>
  <si>
    <t>2018E Base</t>
  </si>
  <si>
    <t>2018E Bull</t>
  </si>
  <si>
    <t>Intl EBIT ($M)</t>
  </si>
  <si>
    <t>+100 bps</t>
  </si>
  <si>
    <t>+190 bps</t>
  </si>
  <si>
    <t>+30 bps</t>
  </si>
  <si>
    <t xml:space="preserve">         y/y Change</t>
  </si>
  <si>
    <t>+80 bps</t>
  </si>
  <si>
    <t>Revenue Growth ex. 53rd Week</t>
  </si>
  <si>
    <t>-50 bps</t>
  </si>
  <si>
    <t>~Flat</t>
  </si>
  <si>
    <t xml:space="preserve">+20 bps </t>
  </si>
  <si>
    <t xml:space="preserve">+130 bps </t>
  </si>
  <si>
    <t xml:space="preserve">-140 bps </t>
  </si>
  <si>
    <t xml:space="preserve">-200 bps </t>
  </si>
  <si>
    <t xml:space="preserve">-250 bps </t>
  </si>
  <si>
    <t xml:space="preserve">-120 bps </t>
  </si>
  <si>
    <t>-$37.5</t>
  </si>
  <si>
    <t>2028 Notes</t>
  </si>
  <si>
    <t>Jan 2028</t>
  </si>
  <si>
    <t xml:space="preserve">                       2017A</t>
  </si>
  <si>
    <t>1Q18</t>
  </si>
  <si>
    <t>2Q18</t>
  </si>
  <si>
    <t>3Q18</t>
  </si>
  <si>
    <t>4Q18</t>
  </si>
  <si>
    <t xml:space="preserve">2/28/18: 2017 retail sales: $1.3B, +16% y/y with stores in 74 countries across the world; </t>
  </si>
  <si>
    <t xml:space="preserve">About 20% of our retail sales and 55% of our recorded revenue come from our wholly-owned stores in the U.K. and Greater China. Roughly 55% of retail sales and 20% of recorded revenue comes from our franchise business, which is a royalty-based business. The balance comes from our presence in Travel Retail. </t>
  </si>
  <si>
    <t>Down slightly</t>
  </si>
  <si>
    <t>55</t>
  </si>
  <si>
    <t>MS ROIC Calc</t>
  </si>
  <si>
    <t>After Tax Interest Expense</t>
  </si>
  <si>
    <t>After Tax Operating Lease Expense</t>
  </si>
  <si>
    <t>Adjusted Net Income</t>
  </si>
  <si>
    <t>Average Equity</t>
  </si>
  <si>
    <t>Average Debt</t>
  </si>
  <si>
    <t>Adjusted Total Capital</t>
  </si>
  <si>
    <t>Rent Expense (adj to include CAM)</t>
  </si>
  <si>
    <t>Adjusted ROIC</t>
  </si>
  <si>
    <t>MSA13041</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</si>
  <si>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</si>
  <si>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</si>
  <si>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</si>
  <si>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</si>
  <si>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</si>
  <si>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</si>
  <si>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</si>
  <si>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</si>
  <si>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Kimberly Greenberger</t>
  </si>
  <si>
    <t>Date: 12 Apr 2018</t>
  </si>
  <si>
    <t>Ticker: LB.N</t>
  </si>
  <si>
    <t>Stock Rating: Overweight</t>
  </si>
  <si>
    <t>Industry: Retail, Specialty Retail</t>
  </si>
  <si>
    <t>Industry View: Cautious</t>
  </si>
  <si>
    <t>Price as of 12 Apr 2018: 36.17</t>
  </si>
  <si>
    <t>Target Price: 55</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</si>
  <si>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</si>
  <si>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</si>
  <si>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</si>
  <si>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</si>
  <si>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L Brands Inc.</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</si>
  <si>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</si>
  <si>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</si>
  <si>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</si>
  <si>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</si>
  <si>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</si>
  <si>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</si>
  <si>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</si>
  <si>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</si>
  <si>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</si>
  <si>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</si>
  <si>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</si>
  <si>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</si>
  <si>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</si>
  <si>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</si>
  <si>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</si>
  <si>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</si>
  <si>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</si>
  <si>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</si>
  <si>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</si>
  <si>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</si>
  <si>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</si>
  <si>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</si>
  <si>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</si>
  <si>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</si>
  <si>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</si>
  <si>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</si>
  <si>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</si>
  <si>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</si>
  <si>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</si>
  <si>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</si>
  <si>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</si>
  <si>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</si>
  <si>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</si>
  <si>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</si>
  <si>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</si>
  <si>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</si>
  <si>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</si>
  <si>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</si>
  <si>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</si>
  <si>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</si>
  <si>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</si>
  <si>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</si>
  <si>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</si>
  <si>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</si>
  <si>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</si>
  <si>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</si>
  <si>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</si>
  <si>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</si>
  <si>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</si>
  <si>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</si>
  <si>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</si>
  <si>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</si>
  <si>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</si>
  <si>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</si>
  <si>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</si>
  <si>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</si>
  <si>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</si>
  <si>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</si>
  <si>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</si>
  <si>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</si>
  <si>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</si>
  <si>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</si>
  <si>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</si>
  <si>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</si>
  <si>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</si>
  <si>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</si>
  <si>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</si>
  <si>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</si>
  <si>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</si>
  <si>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</si>
  <si>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</si>
  <si>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</si>
  <si>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</si>
  <si>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</si>
  <si>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</si>
  <si>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</si>
  <si>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</si>
  <si>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</si>
  <si>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</si>
  <si>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</si>
  <si>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</si>
  <si>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</si>
  <si>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</si>
  <si>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</si>
  <si>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</si>
  <si>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</si>
  <si>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</si>
  <si>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</si>
  <si>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</si>
  <si>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</si>
  <si>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</si>
  <si>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</si>
  <si>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</si>
  <si>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</si>
  <si>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</si>
  <si>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</si>
  <si>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</si>
  <si>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</si>
  <si>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</si>
  <si>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</si>
  <si>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</si>
  <si>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</si>
  <si>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</si>
  <si>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</si>
  <si>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</si>
  <si>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</si>
  <si>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</si>
  <si>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</si>
  <si>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</si>
  <si>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</si>
  <si>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</si>
  <si>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</si>
  <si>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</si>
  <si>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</si>
  <si>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</si>
  <si>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</si>
  <si>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</si>
  <si>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</si>
  <si>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</si>
  <si>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</si>
  <si>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</si>
  <si>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</si>
  <si>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</si>
  <si>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</si>
  <si>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</si>
  <si>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</si>
  <si>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</si>
  <si>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</si>
  <si>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</si>
  <si>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</si>
  <si>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</si>
  <si>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</si>
  <si>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</si>
  <si>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</si>
  <si>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</si>
  <si>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</si>
  <si>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</si>
  <si>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</si>
  <si>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</si>
  <si>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</si>
  <si>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</si>
  <si>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</si>
  <si>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</si>
  <si>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</si>
  <si>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</si>
  <si>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</si>
  <si>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</si>
  <si>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</si>
  <si>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</si>
  <si>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</si>
  <si>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</si>
  <si>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</si>
  <si>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</si>
  <si>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</si>
  <si>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</si>
  <si>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</si>
  <si>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</si>
  <si>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</si>
  <si>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</si>
  <si>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</si>
  <si>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</si>
  <si>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</si>
  <si>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</si>
  <si>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</si>
  <si>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</si>
  <si>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</si>
  <si>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</si>
  <si>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</si>
  <si>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</si>
  <si>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</si>
  <si>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</si>
  <si>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</si>
  <si>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</si>
  <si>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</si>
  <si>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</si>
  <si>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</si>
  <si>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L Brands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</si>
  <si>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</si>
  <si>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</si>
  <si>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</si>
  <si>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</si>
  <si>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</si>
  <si>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</si>
  <si>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</si>
  <si>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</si>
  <si>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</si>
  <si>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</si>
  <si>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</si>
  <si>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</si>
  <si>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</si>
  <si>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</si>
  <si>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</si>
  <si>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</si>
  <si>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</si>
  <si>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</si>
  <si>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</si>
  <si>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</si>
  <si>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</si>
  <si>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</si>
  <si>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</si>
  <si>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</si>
  <si>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</si>
  <si>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</si>
  <si>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</si>
  <si>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</si>
  <si>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</si>
  <si>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</si>
  <si>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</si>
  <si>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</si>
  <si>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</si>
  <si>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</si>
  <si>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</si>
  <si>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</si>
  <si>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</si>
  <si>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</si>
  <si>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</si>
  <si>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</si>
  <si>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</si>
  <si>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</si>
  <si>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</si>
  <si>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</si>
  <si>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</si>
  <si>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</si>
  <si>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</si>
  <si>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</si>
  <si>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</si>
  <si>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</si>
  <si>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</si>
  <si>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</si>
  <si>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</si>
  <si>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</si>
  <si>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</si>
  <si>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</si>
  <si>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</si>
  <si>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</si>
  <si>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</si>
  <si>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</si>
  <si>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</si>
  <si>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</si>
  <si>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</si>
  <si>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</si>
  <si>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</si>
  <si>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</si>
  <si>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As of March 29, 2018, Morgan Stanley beneficially owned 1% or more of a class of common equity</t>
  </si>
  <si>
    <t>securities of the following companies covered in Morgan Stanley Research: L Brands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</si>
  <si>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</si>
  <si>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</si>
  <si>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</si>
  <si>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</si>
  <si>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</si>
  <si>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Kimberly C Greenberger.</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</si>
  <si>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</si>
  <si>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</si>
  <si>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</si>
  <si>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</si>
  <si>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</si>
  <si>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</si>
  <si>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</si>
  <si>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</si>
  <si>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</si>
  <si>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</si>
  <si>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</si>
  <si>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</si>
  <si>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</si>
  <si>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</si>
  <si>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</si>
  <si>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</si>
  <si>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</si>
  <si>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</si>
  <si>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</si>
  <si>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</si>
  <si>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</si>
  <si>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</si>
  <si>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</si>
  <si>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</si>
  <si>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</si>
  <si>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</si>
  <si>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</si>
  <si>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</si>
  <si>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</si>
  <si>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</si>
  <si>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</si>
  <si>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</si>
  <si>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</si>
  <si>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</si>
  <si>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</si>
  <si>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</si>
  <si>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</si>
  <si>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</si>
  <si>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</si>
  <si>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</si>
  <si>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</si>
  <si>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</si>
  <si>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</si>
  <si>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</si>
  <si>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</si>
  <si>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</si>
  <si>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</si>
  <si>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</si>
  <si>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</si>
  <si>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</si>
  <si>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</si>
  <si>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</si>
  <si>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</si>
  <si>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</si>
  <si>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</si>
  <si>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</si>
  <si>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</si>
  <si>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</si>
  <si>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</si>
  <si>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</si>
  <si>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</si>
  <si>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</si>
  <si>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</si>
  <si>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</si>
  <si>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</si>
  <si>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</si>
  <si>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</si>
  <si>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Cautious</t>
  </si>
  <si>
    <t>News Event</t>
  </si>
  <si>
    <t>NorthAmerica</t>
  </si>
  <si>
    <t>L:\RETAIL\Greenberger\Companies\LTD\Models\LB.xlsm</t>
  </si>
  <si>
    <t>[BRO MSA]</t>
  </si>
  <si>
    <t>[PRODUCT MODEL]</t>
  </si>
  <si>
    <t>[EMAIL_ALERT YES]</t>
  </si>
  <si>
    <t>[DISCIPLINE Company]</t>
  </si>
  <si>
    <t>[SUPPRESSED NO]</t>
  </si>
  <si>
    <t>[DOCDAT 2018-04-12]</t>
  </si>
  <si>
    <t>[DOCTIME 16:04]</t>
  </si>
  <si>
    <t>[PSYM LB.N(S&amp;P) (None)]</t>
  </si>
  <si>
    <t>[COU 1]</t>
  </si>
  <si>
    <t>[ANA ]</t>
  </si>
  <si>
    <t>[HL LB.N Model]</t>
  </si>
  <si>
    <t>[IND RETSPA]</t>
  </si>
  <si>
    <t>[PANA MSA13041]</t>
  </si>
</sst>
</file>

<file path=xl/styles.xml><?xml version="1.0" encoding="utf-8"?>
<styleSheet xmlns="http://schemas.openxmlformats.org/spreadsheetml/2006/main" xmlns:mc="http://schemas.openxmlformats.org/markup-compatibility/2006" xmlns:x14ac="http://schemas.microsoft.com/office/spreadsheetml/2009/9/ac" mc:Ignorable="x14ac">
  <numFmts count="99">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0.0"/>
    <numFmt numFmtId="165" formatCode="0.0"/>
    <numFmt numFmtId="166" formatCode="0.0%"/>
    <numFmt numFmtId="167" formatCode="#,##0.0_);\(#,##0.0\)"/>
    <numFmt numFmtId="169" formatCode="#,##0.0_);[Red]\(#,##0.0\)"/>
    <numFmt numFmtId="170" formatCode="0.000"/>
    <numFmt numFmtId="171" formatCode="&quot;$&quot;#,##0.0_);[Red]\(&quot;$&quot;#,##0.0\)"/>
    <numFmt numFmtId="172" formatCode="&quot;$&quot;#,##0.0_);\(&quot;$&quot;#,##0.0\)"/>
    <numFmt numFmtId="173" formatCode="0.000000"/>
    <numFmt numFmtId="174" formatCode="#,##0.0000"/>
    <numFmt numFmtId="175" formatCode="_(* #,##0.0_);_(* \(#,##0.0\);_(* &quot;-&quot;??_);_(@_)"/>
    <numFmt numFmtId="176" formatCode="0.0000000"/>
    <numFmt numFmtId="177" formatCode="_(* #,##0_);_(* \(#,##0\);_(* &quot;-&quot;??_);_(@_)"/>
    <numFmt numFmtId="178" formatCode="&quot;$&quot;#,##0.00"/>
    <numFmt numFmtId="179" formatCode="&quot;$&quot;#,##0"/>
    <numFmt numFmtId="180" formatCode="General_)"/>
    <numFmt numFmtId="181" formatCode="0.0_)"/>
    <numFmt numFmtId="182" formatCode="&quot;$&quot;#,##0.0"/>
    <numFmt numFmtId="183" formatCode="0.0_);\(0.0\)"/>
    <numFmt numFmtId="184" formatCode="_(* #,##0.0000_);_(* \(#,##0.0000\);_(* &quot;-&quot;??_);_(@_)"/>
    <numFmt numFmtId="185" formatCode="0_);\(0\)"/>
    <numFmt numFmtId="186" formatCode="&quot;$&quot;#,##0.000_);\(&quot;$&quot;#,##0.000\)"/>
    <numFmt numFmtId="187" formatCode="###0_);\(###0\)"/>
    <numFmt numFmtId="188" formatCode="mm/dd/yy_)"/>
    <numFmt numFmtId="189" formatCode="&quot;$&quot;#,##0.0\ ;[Red]\(&quot;$&quot;#,##0.0\)"/>
    <numFmt numFmtId="190" formatCode="0.0%;\(0.0%\)"/>
    <numFmt numFmtId="191" formatCode="\(0.0\)"/>
    <numFmt numFmtId="192" formatCode="\+0.0;\-0.0"/>
    <numFmt numFmtId="193" formatCode="0.000_)"/>
    <numFmt numFmtId="194" formatCode="&quot;$&quot;#,##0.000"/>
    <numFmt numFmtId="195" formatCode="####\A"/>
    <numFmt numFmtId="196" formatCode="\/0.0;\/\-0.0"/>
    <numFmt numFmtId="197" formatCode="####&quot;E&quot;"/>
    <numFmt numFmtId="198" formatCode="#,##0.0\ ;[Red]\(#,##0.0\)"/>
    <numFmt numFmtId="199" formatCode="#,##0.0%\ ;[Red]\(#,##0.0%\)"/>
    <numFmt numFmtId="200" formatCode="0.0_);[Red]\(0.0\)"/>
    <numFmt numFmtId="201" formatCode="0_);[Red]\(0\)"/>
    <numFmt numFmtId="202" formatCode="\+0;\-0"/>
    <numFmt numFmtId="203" formatCode="#,##0.000_);\(#,##0.000\)"/>
    <numFmt numFmtId="204" formatCode="#,##0.000_);[Red]\(#,##0.000\)"/>
    <numFmt numFmtId="205" formatCode="0%;\(0%\)"/>
    <numFmt numFmtId="206" formatCode="0.00_);\(0.00\)"/>
    <numFmt numFmtId="207" formatCode="0.000_);\(0.000\)"/>
    <numFmt numFmtId="208" formatCode="0.00_);[Red]\(0.00\)"/>
    <numFmt numFmtId="209" formatCode="0.000_);[Red]\(0.000\)"/>
    <numFmt numFmtId="210" formatCode="0.0%;[Red]\(0.0%\)"/>
    <numFmt numFmtId="211" formatCode="m/d"/>
    <numFmt numFmtId="212" formatCode="m/d;@"/>
    <numFmt numFmtId="213" formatCode="#,##0\ ;\(#,##0\)"/>
    <numFmt numFmtId="214" formatCode="\/0;\/\-0"/>
    <numFmt numFmtId="215" formatCode="&quot;$&quot;#,##0.000_);[Red]\(&quot;$&quot;#,##0.000\)"/>
    <numFmt numFmtId="216" formatCode="#,##0.000000_);\(#,##0.000000\)"/>
    <numFmt numFmtId="217" formatCode="#,##0.0000000_);\(#,##0.0000000\)"/>
    <numFmt numFmtId="219" formatCode="\(0.00\)"/>
    <numFmt numFmtId="220" formatCode="\(0.000\)"/>
    <numFmt numFmtId="221" formatCode="\+0.000;\-0.000"/>
    <numFmt numFmtId="223" formatCode="\/0.00;\/\-0.00"/>
    <numFmt numFmtId="224" formatCode="&quot;$&quot;#,##0.000000_);[Red]\(&quot;$&quot;#,##0.000000\)"/>
    <numFmt numFmtId="225" formatCode="_(* #,##0.000_);_(* \(#,##0.000\);_(* &quot;-&quot;??_);_(@_)"/>
    <numFmt numFmtId="226" formatCode="0.0000"/>
    <numFmt numFmtId="227" formatCode="####&quot;A&quot;"/>
    <numFmt numFmtId="228" formatCode="0.000%"/>
    <numFmt numFmtId="229" formatCode="_-&quot;£&quot;* #,##0.00_-;\-&quot;£&quot;* #,##0.00_-;_-&quot;£&quot;* &quot;-&quot;??_-;_-@_-"/>
    <numFmt numFmtId="230" formatCode="_-* #,##0.00_-;\-* #,##0.00_-;_-* &quot;-&quot;??_-;_-@_-"/>
    <numFmt numFmtId="242" formatCode="0.0\x"/>
    <numFmt numFmtId="244" formatCode="0\ &quot;bps&quot;"/>
    <numFmt numFmtId="246" formatCode="0.00\x"/>
    <numFmt numFmtId="247" formatCode="0.0000_);\(0.0000\)"/>
    <numFmt numFmtId="248" formatCode="_(* #,##0.000000000000000_);_(* \(#,##0.000000000000000\);_(* &quot;-&quot;??_);_(@_)"/>
    <numFmt numFmtId="249" formatCode="_(* #,##0.000000000000000000000_);_(* \(#,##0.000000000000000000000\);_(* &quot;-&quot;??_);_(@_)"/>
    <numFmt numFmtId="250" formatCode="0.00000000000000"/>
    <numFmt numFmtId="251" formatCode="0.00000000000000000"/>
    <numFmt numFmtId="252" formatCode="0.000000000000000000"/>
    <numFmt numFmtId="253" formatCode="\+0.00;\-0.00"/>
    <numFmt numFmtId="254" formatCode="#,##0.0000_);\(#,##0.0000\)"/>
    <numFmt numFmtId="255" formatCode="#,##0.00000000000_);\(#,##0.00000000000\)"/>
    <numFmt numFmtId="256" formatCode="0.00_)"/>
    <numFmt numFmtId="257" formatCode="#,##0;\(#,##0\)"/>
    <numFmt numFmtId="259" formatCode="0.000000000000000"/>
    <numFmt numFmtId="262" formatCode="\F###0\E"/>
    <numFmt numFmtId="263" formatCode="###0"/>
    <numFmt numFmtId="269" formatCode="####\E"/>
    <numFmt numFmtId="270" formatCode="&quot;$&quot;#,##0.0000_);[Red]\(&quot;$&quot;#,##0.0000\)"/>
    <numFmt numFmtId="271" formatCode="0.0000000000000"/>
    <numFmt numFmtId="272" formatCode="_(&quot;$&quot;* #,##0.0_);_(&quot;$&quot;* \(#,##0.0\);_(&quot;$&quot;* &quot;-&quot;?_);_(@_)"/>
    <numFmt numFmtId="273" formatCode="0\x"/>
    <numFmt numFmtId="274" formatCode="\+0%;\-0%"/>
    <numFmt numFmtId="275" formatCode="_(&quot;$&quot;* #,##0_);_(&quot;$&quot;* \(#,##0\);_(&quot;$&quot;* &quot;-&quot;??_);_(@_)"/>
    <numFmt numFmtId="276" formatCode="0.0000000000000000%"/>
    <numFmt numFmtId="277" formatCode="mm/yyyy"/>
    <numFmt numFmtId="278" formatCode="&quot;$&quot;#,##0.0000"/>
    <numFmt numFmtId="279" formatCode="_(&quot;$&quot;* #,##0.0_);_(&quot;$&quot;* \(#,##0.0\);_(&quot;$&quot;* &quot;-&quot;??_);_(@_)"/>
    <numFmt numFmtId="285" formatCode="mm/dd/yy\ hh:mm"/>
  </numFmts>
  <fonts count="214">
    <font>
      <sz val="10"/>
      <name val="Arial"/>
    </font>
    <font>
      <sz val="11"/>
      <color theme="1"/>
      <name val="Calibri"/>
      <family val="2"/>
      <scheme val="minor"/>
    </font>
    <font>
      <sz val="10"/>
      <name val="Arial"/>
      <family val="2"/>
    </font>
    <font>
      <sz val="10"/>
      <name val="Helv"/>
    </font>
    <font>
      <sz val="10"/>
      <name val="Courier"/>
      <family val="3"/>
    </font>
    <font>
      <sz val="8"/>
      <name val="Arial"/>
      <family val="2"/>
    </font>
    <font>
      <sz val="7"/>
      <name val="Courier"/>
      <family val="3"/>
    </font>
    <font>
      <sz val="8"/>
      <name val="Helv"/>
    </font>
    <font>
      <u/>
      <sz val="10"/>
      <name val="Helv"/>
    </font>
    <font>
      <sz val="10"/>
      <name val="Arial"/>
      <family val="2"/>
    </font>
    <font>
      <u/>
      <sz val="10"/>
      <name val="Arial"/>
      <family val="2"/>
    </font>
    <font>
      <b/>
      <sz val="8"/>
      <name val="Arial"/>
      <family val="2"/>
    </font>
    <font>
      <b/>
      <sz val="10"/>
      <name val="Arial"/>
      <family val="2"/>
    </font>
    <font>
      <sz val="10"/>
      <color indexed="12"/>
      <name val="Arial"/>
      <family val="2"/>
    </font>
    <font>
      <i/>
      <sz val="8"/>
      <name val="Arial"/>
      <family val="2"/>
    </font>
    <font>
      <b/>
      <u/>
      <sz val="8"/>
      <name val="Arial"/>
      <family val="2"/>
    </font>
    <font>
      <b/>
      <sz val="8"/>
      <color indexed="12"/>
      <name val="Arial"/>
      <family val="2"/>
    </font>
    <font>
      <b/>
      <u/>
      <sz val="8"/>
      <color indexed="12"/>
      <name val="Arial"/>
      <family val="2"/>
    </font>
    <font>
      <sz val="8"/>
      <color indexed="12"/>
      <name val="Arial"/>
      <family val="2"/>
    </font>
    <font>
      <sz val="8"/>
      <color indexed="81"/>
      <name val="Tahoma"/>
      <family val="2"/>
    </font>
    <font>
      <b/>
      <sz val="8"/>
      <color indexed="81"/>
      <name val="Tahoma"/>
      <family val="2"/>
    </font>
    <font>
      <b/>
      <sz val="10"/>
      <color indexed="12"/>
      <name val="Arial"/>
      <family val="2"/>
    </font>
    <font>
      <sz val="8"/>
      <color indexed="10"/>
      <name val="Arial"/>
      <family val="2"/>
    </font>
    <font>
      <b/>
      <u/>
      <sz val="10"/>
      <name val="Arial"/>
      <family val="2"/>
    </font>
    <font>
      <sz val="9"/>
      <name val="Arial"/>
      <family val="2"/>
    </font>
    <font>
      <sz val="10"/>
      <color indexed="10"/>
      <name val="Arial"/>
      <family val="2"/>
    </font>
    <font>
      <sz val="8"/>
      <color indexed="8"/>
      <name val="Arial"/>
      <family val="2"/>
    </font>
    <font>
      <u/>
      <sz val="8"/>
      <name val="Arial"/>
      <family val="2"/>
    </font>
    <font>
      <i/>
      <sz val="10"/>
      <name val="Arial"/>
      <family val="2"/>
    </font>
    <font>
      <b/>
      <sz val="12"/>
      <name val="Arial"/>
      <family val="2"/>
    </font>
    <font>
      <b/>
      <sz val="8"/>
      <color indexed="10"/>
      <name val="Arial"/>
      <family val="2"/>
    </font>
    <font>
      <b/>
      <sz val="9"/>
      <name val="Arial"/>
      <family val="2"/>
    </font>
    <font>
      <sz val="8"/>
      <color indexed="17"/>
      <name val="Arial"/>
      <family val="2"/>
    </font>
    <font>
      <i/>
      <sz val="7"/>
      <name val="Arial"/>
      <family val="2"/>
    </font>
    <font>
      <sz val="7"/>
      <name val="Arial"/>
      <family val="2"/>
    </font>
    <font>
      <b/>
      <i/>
      <sz val="8"/>
      <name val="Arial"/>
      <family val="2"/>
    </font>
    <font>
      <i/>
      <sz val="8"/>
      <color indexed="12"/>
      <name val="Arial"/>
      <family val="2"/>
    </font>
    <font>
      <sz val="7"/>
      <color indexed="12"/>
      <name val="Arial"/>
      <family val="2"/>
    </font>
    <font>
      <sz val="10"/>
      <color indexed="50"/>
      <name val="Arial"/>
      <family val="2"/>
    </font>
    <font>
      <sz val="8"/>
      <color indexed="50"/>
      <name val="Arial"/>
      <family val="2"/>
    </font>
    <font>
      <sz val="10"/>
      <color indexed="8"/>
      <name val="Arial"/>
      <family val="2"/>
    </font>
    <font>
      <b/>
      <sz val="10"/>
      <color indexed="81"/>
      <name val="Tahoma"/>
      <family val="2"/>
    </font>
    <font>
      <sz val="10"/>
      <color indexed="81"/>
      <name val="Tahoma"/>
      <family val="2"/>
    </font>
    <font>
      <sz val="10"/>
      <color indexed="56"/>
      <name val="Arial"/>
      <family val="2"/>
    </font>
    <font>
      <sz val="8"/>
      <color indexed="14"/>
      <name val="Arial"/>
      <family val="2"/>
    </font>
    <font>
      <i/>
      <sz val="10"/>
      <color indexed="12"/>
      <name val="Arial"/>
      <family val="2"/>
    </font>
    <font>
      <i/>
      <sz val="7"/>
      <color indexed="12"/>
      <name val="Arial"/>
      <family val="2"/>
    </font>
    <font>
      <sz val="8"/>
      <name val="Arial"/>
      <family val="2"/>
    </font>
    <font>
      <b/>
      <sz val="9"/>
      <color indexed="81"/>
      <name val="Tahoma"/>
      <family val="2"/>
    </font>
    <font>
      <sz val="9"/>
      <color indexed="81"/>
      <name val="Tahoma"/>
      <family val="2"/>
    </font>
    <font>
      <sz val="6"/>
      <color indexed="12"/>
      <name val="Arial"/>
      <family val="2"/>
    </font>
    <font>
      <sz val="10"/>
      <color indexed="14"/>
      <name val="Arial"/>
      <family val="2"/>
    </font>
    <font>
      <b/>
      <sz val="7"/>
      <name val="Arial"/>
      <family val="2"/>
    </font>
    <font>
      <b/>
      <sz val="8"/>
      <color indexed="21"/>
      <name val="Arial"/>
      <family val="2"/>
    </font>
    <font>
      <sz val="8"/>
      <color indexed="21"/>
      <name val="Arial"/>
      <family val="2"/>
    </font>
    <font>
      <vertAlign val="superscript"/>
      <sz val="10"/>
      <name val="Arial"/>
      <family val="2"/>
    </font>
    <font>
      <vertAlign val="superscript"/>
      <sz val="8"/>
      <name val="Arial"/>
      <family val="2"/>
    </font>
    <font>
      <sz val="8"/>
      <color indexed="56"/>
      <name val="Arial"/>
      <family val="2"/>
    </font>
    <font>
      <b/>
      <sz val="9"/>
      <color indexed="12"/>
      <name val="Arial"/>
      <family val="2"/>
    </font>
    <font>
      <b/>
      <sz val="8"/>
      <color indexed="17"/>
      <name val="Arial"/>
      <family val="2"/>
    </font>
    <font>
      <b/>
      <i/>
      <sz val="10"/>
      <color indexed="12"/>
      <name val="Arial"/>
      <family val="2"/>
    </font>
    <font>
      <sz val="8"/>
      <color indexed="12"/>
      <name val="Arial"/>
      <family val="2"/>
    </font>
    <font>
      <sz val="9"/>
      <name val="Futura UBS Bk"/>
    </font>
    <font>
      <b/>
      <sz val="10"/>
      <color indexed="9"/>
      <name val="Arial"/>
      <family val="2"/>
    </font>
    <font>
      <i/>
      <sz val="10"/>
      <color indexed="9"/>
      <name val="Arial"/>
      <family val="2"/>
    </font>
    <font>
      <sz val="10"/>
      <color indexed="9"/>
      <name val="Arial"/>
      <family val="2"/>
    </font>
    <font>
      <sz val="10"/>
      <color indexed="17"/>
      <name val="Arial"/>
      <family val="2"/>
    </font>
    <font>
      <i/>
      <sz val="9"/>
      <name val="Arial"/>
      <family val="2"/>
    </font>
    <font>
      <b/>
      <u/>
      <sz val="9"/>
      <name val="Arial"/>
      <family val="2"/>
    </font>
    <font>
      <b/>
      <sz val="10"/>
      <name val="CIR Trade Gothic Cn"/>
    </font>
    <font>
      <sz val="10"/>
      <name val="CIR Trade Gothic Cn"/>
    </font>
    <font>
      <sz val="8"/>
      <color indexed="8"/>
      <name val="Cir trade gothic cn"/>
    </font>
    <font>
      <sz val="8"/>
      <name val="CIR Trade Gothic Cn"/>
    </font>
    <font>
      <b/>
      <sz val="8"/>
      <color indexed="12"/>
      <name val="CIR Trade Gothic Cn"/>
    </font>
    <font>
      <b/>
      <sz val="8"/>
      <name val="CIR Trade Gothic Cn"/>
    </font>
    <font>
      <b/>
      <u/>
      <sz val="8"/>
      <color indexed="12"/>
      <name val="CIR Trade Gothic Cn"/>
    </font>
    <font>
      <b/>
      <u/>
      <sz val="8"/>
      <name val="CIR Trade Gothic Cn"/>
    </font>
    <font>
      <sz val="8"/>
      <color indexed="17"/>
      <name val="CIR Trade Gothic Cn"/>
    </font>
    <font>
      <sz val="8"/>
      <color indexed="12"/>
      <name val="CIR Trade Gothic Cn"/>
    </font>
    <font>
      <sz val="8"/>
      <color indexed="10"/>
      <name val="CIR Trade Gothic Cn"/>
    </font>
    <font>
      <b/>
      <i/>
      <u/>
      <sz val="8"/>
      <name val="CIR Trade Gothic Cn"/>
    </font>
    <font>
      <sz val="8"/>
      <color indexed="50"/>
      <name val="CIR Trade Gothic Cn"/>
    </font>
    <font>
      <i/>
      <u/>
      <sz val="8"/>
      <name val="CIR Trade Gothic Cn"/>
    </font>
    <font>
      <b/>
      <i/>
      <sz val="8"/>
      <name val="CIR Trade Gothic Cn"/>
    </font>
    <font>
      <sz val="7"/>
      <name val="CIR Trade Gothic Cn"/>
    </font>
    <font>
      <b/>
      <sz val="7"/>
      <name val="CIR Trade Gothic Cn"/>
    </font>
    <font>
      <sz val="8"/>
      <color indexed="55"/>
      <name val="Arial"/>
      <family val="2"/>
    </font>
    <font>
      <sz val="7"/>
      <color indexed="55"/>
      <name val="Arial"/>
      <family val="2"/>
    </font>
    <font>
      <sz val="8"/>
      <color indexed="23"/>
      <name val="Arial"/>
      <family val="2"/>
    </font>
    <font>
      <sz val="7"/>
      <color indexed="23"/>
      <name val="Arial"/>
      <family val="2"/>
    </font>
    <font>
      <i/>
      <sz val="10"/>
      <color indexed="20"/>
      <name val="Arial"/>
      <family val="2"/>
    </font>
    <font>
      <b/>
      <sz val="8"/>
      <color indexed="9"/>
      <name val="Arial"/>
      <family val="2"/>
    </font>
    <font>
      <u/>
      <sz val="8"/>
      <color indexed="81"/>
      <name val="Tahoma"/>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4"/>
      <name val="Arial"/>
      <family val="2"/>
    </font>
    <font>
      <sz val="11"/>
      <name val="Arial"/>
      <family val="2"/>
    </font>
    <font>
      <sz val="8"/>
      <name val="Times New Roman"/>
      <family val="1"/>
    </font>
    <font>
      <sz val="8"/>
      <color indexed="9"/>
      <name val="Arial"/>
      <family val="2"/>
    </font>
    <font>
      <b/>
      <sz val="14"/>
      <color indexed="18"/>
      <name val="Arial"/>
      <family val="2"/>
    </font>
    <font>
      <b/>
      <sz val="12"/>
      <color indexed="12"/>
      <name val="Arial"/>
      <family val="2"/>
    </font>
    <font>
      <sz val="10"/>
      <color indexed="53"/>
      <name val="Arial"/>
      <family val="2"/>
    </font>
    <font>
      <sz val="10"/>
      <color indexed="23"/>
      <name val="Arial"/>
      <family val="2"/>
    </font>
    <font>
      <sz val="8"/>
      <color indexed="9"/>
      <name val="Arial"/>
      <family val="2"/>
    </font>
    <font>
      <sz val="8"/>
      <color indexed="22"/>
      <name val="Arial"/>
      <family val="2"/>
    </font>
    <font>
      <sz val="10"/>
      <color indexed="22"/>
      <name val="Arial"/>
      <family val="2"/>
    </font>
    <font>
      <b/>
      <sz val="8"/>
      <color indexed="12"/>
      <name val="Arial"/>
      <family val="2"/>
    </font>
    <font>
      <sz val="10"/>
      <name val="Arial"/>
      <family val="2"/>
    </font>
    <font>
      <sz val="10"/>
      <color indexed="43"/>
      <name val="Arial"/>
      <family val="2"/>
    </font>
    <font>
      <sz val="10"/>
      <color indexed="55"/>
      <name val="Arial"/>
      <family val="2"/>
    </font>
    <font>
      <b/>
      <sz val="10"/>
      <color indexed="22"/>
      <name val="Arial"/>
      <family val="2"/>
    </font>
    <font>
      <b/>
      <sz val="7"/>
      <color indexed="81"/>
      <name val="Tahoma"/>
      <family val="2"/>
    </font>
    <font>
      <sz val="7"/>
      <color indexed="81"/>
      <name val="Tahoma"/>
      <family val="2"/>
    </font>
    <font>
      <sz val="8"/>
      <color indexed="23"/>
      <name val="Arial"/>
      <family val="2"/>
    </font>
    <font>
      <b/>
      <u/>
      <sz val="8"/>
      <color indexed="23"/>
      <name val="Arial"/>
      <family val="2"/>
    </font>
    <font>
      <b/>
      <sz val="8"/>
      <color indexed="62"/>
      <name val="Arial"/>
      <family val="2"/>
    </font>
    <font>
      <sz val="8"/>
      <color indexed="12"/>
      <name val="Arial"/>
      <family val="2"/>
    </font>
    <font>
      <b/>
      <i/>
      <u/>
      <sz val="9"/>
      <name val="CIR Trade Gothic Cn"/>
    </font>
    <font>
      <sz val="8"/>
      <color indexed="12"/>
      <name val="CIR Trade Gothic Cn"/>
    </font>
    <font>
      <sz val="8"/>
      <color indexed="12"/>
      <name val="Arial"/>
      <family val="2"/>
    </font>
    <font>
      <sz val="10"/>
      <name val="Arial"/>
      <family val="2"/>
    </font>
    <font>
      <sz val="8"/>
      <color indexed="12"/>
      <name val="Arial"/>
      <family val="2"/>
    </font>
    <font>
      <sz val="8"/>
      <color indexed="10"/>
      <name val="CIR Trade Gothic Cn"/>
    </font>
    <font>
      <b/>
      <sz val="8"/>
      <color indexed="10"/>
      <name val="CIR Trade Gothic Cn"/>
    </font>
    <font>
      <sz val="10"/>
      <color indexed="10"/>
      <name val="Arial"/>
      <family val="2"/>
    </font>
    <font>
      <sz val="8"/>
      <color indexed="12"/>
      <name val="Arial"/>
      <family val="2"/>
    </font>
    <font>
      <b/>
      <sz val="8"/>
      <color indexed="12"/>
      <name val="CIR Trade Gothic Cn"/>
    </font>
    <font>
      <sz val="8"/>
      <color indexed="10"/>
      <name val="Arial"/>
      <family val="2"/>
    </font>
    <font>
      <sz val="8"/>
      <color indexed="12"/>
      <name val="Arial"/>
      <family val="2"/>
    </font>
    <font>
      <sz val="8"/>
      <color indexed="10"/>
      <name val="CIR Trade Gothic Cn"/>
    </font>
    <font>
      <b/>
      <sz val="8"/>
      <color indexed="12"/>
      <name val="CIR Trade Gothic Cn"/>
    </font>
    <font>
      <sz val="9"/>
      <color indexed="8"/>
      <name val="Arial"/>
      <family val="2"/>
    </font>
    <font>
      <b/>
      <sz val="9"/>
      <color indexed="8"/>
      <name val="Arial"/>
      <family val="2"/>
    </font>
    <font>
      <b/>
      <u/>
      <sz val="9"/>
      <color indexed="8"/>
      <name val="Arial"/>
      <family val="2"/>
    </font>
    <font>
      <b/>
      <u/>
      <sz val="9"/>
      <color indexed="12"/>
      <name val="Arial"/>
      <family val="2"/>
    </font>
    <font>
      <u/>
      <sz val="9"/>
      <color indexed="8"/>
      <name val="Arial"/>
      <family val="2"/>
    </font>
    <font>
      <sz val="9"/>
      <color indexed="55"/>
      <name val="Arial"/>
      <family val="2"/>
    </font>
    <font>
      <sz val="9"/>
      <color indexed="23"/>
      <name val="Arial"/>
      <family val="2"/>
    </font>
    <font>
      <sz val="9"/>
      <color indexed="17"/>
      <name val="Arial"/>
      <family val="2"/>
    </font>
    <font>
      <sz val="9"/>
      <color indexed="57"/>
      <name val="Arial"/>
      <family val="2"/>
    </font>
    <font>
      <u/>
      <sz val="8"/>
      <color indexed="12"/>
      <name val="Arial"/>
      <family val="2"/>
    </font>
    <font>
      <vertAlign val="superscript"/>
      <sz val="10"/>
      <color indexed="55"/>
      <name val="Arial"/>
      <family val="2"/>
    </font>
    <font>
      <u/>
      <sz val="10"/>
      <color indexed="12"/>
      <name val="Arial"/>
      <family val="2"/>
    </font>
    <font>
      <sz val="10"/>
      <color indexed="20"/>
      <name val="Arial"/>
      <family val="2"/>
    </font>
    <font>
      <u/>
      <sz val="10"/>
      <color indexed="20"/>
      <name val="Arial"/>
      <family val="2"/>
    </font>
    <font>
      <i/>
      <sz val="8"/>
      <color indexed="9"/>
      <name val="Arial"/>
      <family val="2"/>
    </font>
    <font>
      <sz val="6"/>
      <color indexed="9"/>
      <name val="Arial"/>
      <family val="2"/>
    </font>
    <font>
      <sz val="7"/>
      <color indexed="17"/>
      <name val="Arial"/>
      <family val="2"/>
    </font>
    <font>
      <sz val="7"/>
      <color indexed="10"/>
      <name val="Arial"/>
      <family val="2"/>
    </font>
    <font>
      <sz val="7"/>
      <color indexed="14"/>
      <name val="Arial"/>
      <family val="2"/>
    </font>
    <font>
      <b/>
      <sz val="6"/>
      <name val="Arial"/>
      <family val="2"/>
    </font>
    <font>
      <sz val="5"/>
      <name val="Arial"/>
      <family val="2"/>
    </font>
    <font>
      <sz val="7"/>
      <color indexed="9"/>
      <name val="Arial"/>
      <family val="2"/>
    </font>
    <font>
      <u/>
      <sz val="8"/>
      <color indexed="9"/>
      <name val="Arial"/>
      <family val="2"/>
    </font>
    <font>
      <sz val="5"/>
      <color indexed="9"/>
      <name val="Arial"/>
      <family val="2"/>
    </font>
    <font>
      <sz val="7"/>
      <color indexed="22"/>
      <name val="Arial"/>
      <family val="2"/>
    </font>
    <font>
      <sz val="7"/>
      <color indexed="43"/>
      <name val="Arial"/>
      <family val="2"/>
    </font>
    <font>
      <sz val="8"/>
      <color indexed="43"/>
      <name val="Arial"/>
      <family val="2"/>
    </font>
    <font>
      <sz val="5"/>
      <color indexed="22"/>
      <name val="Arial"/>
      <family val="2"/>
    </font>
    <font>
      <u/>
      <sz val="8"/>
      <color indexed="43"/>
      <name val="Arial"/>
      <family val="2"/>
    </font>
    <font>
      <b/>
      <u/>
      <sz val="10"/>
      <color indexed="12"/>
      <name val="Arial"/>
      <family val="2"/>
    </font>
    <font>
      <sz val="10"/>
      <color indexed="47"/>
      <name val="Arial"/>
      <family val="2"/>
    </font>
    <font>
      <sz val="10"/>
      <color indexed="19"/>
      <name val="Arial"/>
      <family val="2"/>
    </font>
    <font>
      <u/>
      <sz val="10"/>
      <color indexed="19"/>
      <name val="Arial"/>
      <family val="2"/>
    </font>
    <font>
      <sz val="8"/>
      <color indexed="12"/>
      <name val="Arial"/>
      <family val="2"/>
    </font>
    <font>
      <sz val="10"/>
      <color indexed="12"/>
      <name val="Arial"/>
      <family val="2"/>
    </font>
    <font>
      <b/>
      <sz val="8"/>
      <color indexed="12"/>
      <name val="Arial"/>
      <family val="2"/>
    </font>
    <font>
      <b/>
      <sz val="8"/>
      <color indexed="12"/>
      <name val="CIR Trade Gothic Cn"/>
    </font>
    <font>
      <sz val="10"/>
      <color indexed="8"/>
      <name val="MS Sans Serif"/>
      <family val="2"/>
    </font>
    <font>
      <sz val="10"/>
      <color indexed="12"/>
      <name val="Arial"/>
      <family val="2"/>
    </font>
    <font>
      <sz val="8"/>
      <color indexed="12"/>
      <name val="Arial"/>
      <family val="2"/>
    </font>
    <font>
      <sz val="8"/>
      <color indexed="12"/>
      <name val="Arial"/>
      <family val="2"/>
    </font>
    <font>
      <sz val="10"/>
      <color indexed="12"/>
      <name val="Arial"/>
      <family val="2"/>
    </font>
    <font>
      <sz val="8"/>
      <color indexed="12"/>
      <name val="Arial"/>
      <family val="2"/>
    </font>
    <font>
      <sz val="10"/>
      <name val="ＭＳ Ｐゴシック"/>
      <family val="3"/>
      <charset val="128"/>
    </font>
    <font>
      <sz val="8"/>
      <color indexed="14"/>
      <name val="Arial"/>
      <family val="2"/>
    </font>
    <font>
      <sz val="8"/>
      <color indexed="12"/>
      <name val="Arial"/>
      <family val="2"/>
    </font>
    <font>
      <sz val="8"/>
      <color indexed="12"/>
      <name val="Arial"/>
      <family val="2"/>
    </font>
    <font>
      <sz val="10"/>
      <color indexed="12"/>
      <name val="Arial"/>
      <family val="2"/>
    </font>
    <font>
      <sz val="8"/>
      <color indexed="17"/>
      <name val="Arial"/>
      <family val="2"/>
    </font>
    <font>
      <sz val="10"/>
      <color indexed="17"/>
      <name val="Arial"/>
      <family val="2"/>
    </font>
    <font>
      <b/>
      <sz val="8"/>
      <color indexed="17"/>
      <name val="Arial"/>
      <family val="2"/>
    </font>
    <font>
      <sz val="10"/>
      <color indexed="12"/>
      <name val="Arial"/>
      <family val="2"/>
    </font>
    <font>
      <sz val="10"/>
      <color indexed="12"/>
      <name val="Arial"/>
      <family val="2"/>
    </font>
    <font>
      <sz val="8"/>
      <color indexed="12"/>
      <name val="Arial"/>
      <family val="2"/>
    </font>
    <font>
      <sz val="10"/>
      <color indexed="12"/>
      <name val="Arial"/>
      <family val="2"/>
    </font>
    <font>
      <sz val="8"/>
      <color indexed="12"/>
      <name val="Arial"/>
      <family val="2"/>
    </font>
    <font>
      <sz val="8"/>
      <color indexed="12"/>
      <name val="Arial"/>
      <family val="2"/>
    </font>
    <font>
      <sz val="8"/>
      <color indexed="12"/>
      <name val="Arial"/>
      <family val="2"/>
    </font>
    <font>
      <sz val="10"/>
      <color indexed="12"/>
      <name val="Arial"/>
      <family val="2"/>
    </font>
    <font>
      <sz val="8"/>
      <color indexed="12"/>
      <name val="Arial"/>
      <family val="2"/>
    </font>
    <font>
      <sz val="8"/>
      <color indexed="12"/>
      <name val="Arial"/>
      <family val="2"/>
    </font>
    <font>
      <b/>
      <u/>
      <sz val="9"/>
      <color indexed="12"/>
      <name val="Arial"/>
      <family val="2"/>
    </font>
    <font>
      <sz val="10"/>
      <color rgb="FF000000"/>
      <name val="Arial"/>
      <family val="2"/>
    </font>
    <font>
      <sz val="8"/>
      <color rgb="FF0000FF"/>
      <name val="Arial"/>
      <family val="2"/>
    </font>
    <font>
      <sz val="10"/>
      <color rgb="FF0000FF"/>
      <name val="Arial"/>
      <family val="2"/>
    </font>
    <font>
      <b/>
      <sz val="8"/>
      <color rgb="FF0000FF"/>
      <name val="CIR Trade Gothic Cn"/>
    </font>
    <font>
      <b/>
      <sz val="10"/>
      <color indexed="8"/>
      <name val="Arial"/>
      <family val="2"/>
    </font>
    <font>
      <b/>
      <i/>
      <sz val="10"/>
      <color indexed="62"/>
      <name val="Arial"/>
      <family val="2"/>
    </font>
    <font>
      <i/>
      <sz val="10"/>
      <color indexed="8"/>
      <name val="Arial"/>
      <family val="2"/>
    </font>
    <font>
      <i/>
      <sz val="10"/>
      <color rgb="FF0000FF"/>
      <name val="Arial"/>
      <family val="2"/>
    </font>
    <font>
      <i/>
      <sz val="10"/>
      <color indexed="23"/>
      <name val="Arial"/>
      <family val="2"/>
    </font>
    <font>
      <i/>
      <sz val="10"/>
      <color indexed="44"/>
      <name val="Arial"/>
      <family val="2"/>
    </font>
    <font>
      <i/>
      <sz val="8"/>
      <color indexed="55"/>
      <name val="Arial"/>
      <family val="2"/>
    </font>
    <font>
      <b/>
      <sz val="8"/>
      <color rgb="FF0000FF"/>
      <name val="Arial"/>
      <family val="2"/>
    </font>
    <font>
      <sz val="8"/>
      <color rgb="FF0000FF"/>
      <name val="CIR Trade Gothic Cn"/>
    </font>
    <font>
      <sz val="10"/>
      <color rgb="FF008000"/>
      <name val="Arial"/>
      <family val="2"/>
    </font>
    <font>
      <b/>
      <u/>
      <sz val="9"/>
      <color rgb="FF0000FF"/>
      <name val="Arial"/>
      <family val="2"/>
    </font>
    <font>
      <b/>
      <sz val="8"/>
      <color indexed="63"/>
      <name val="Arial"/>
      <family val="2"/>
    </font>
    <font>
      <i/>
      <sz val="10"/>
      <color rgb="FF000000"/>
      <name val="Arial"/>
      <family val="2"/>
    </font>
    <font>
      <b/>
      <sz val="12"/>
      <color rgb="FF000080"/>
      <name val="Arial"/>
      <family val="2"/>
    </font>
  </fonts>
  <fills count="19">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indexed="47"/>
        <bgColor indexed="64"/>
      </patternFill>
    </fill>
    <fill>
      <patternFill patternType="solid">
        <fgColor indexed="48"/>
        <bgColor indexed="64"/>
      </patternFill>
    </fill>
    <fill>
      <patternFill patternType="solid">
        <fgColor indexed="53"/>
        <bgColor indexed="64"/>
      </patternFill>
    </fill>
    <fill>
      <patternFill patternType="solid">
        <fgColor indexed="41"/>
        <bgColor indexed="64"/>
      </patternFill>
    </fill>
    <fill>
      <patternFill patternType="solid">
        <fgColor theme="0" tint="-0.14999847407452621"/>
        <bgColor indexed="64"/>
      </patternFill>
    </fill>
    <fill>
      <patternFill patternType="solid">
        <fgColor theme="0"/>
        <bgColor indexed="64"/>
      </patternFill>
    </fill>
    <fill>
      <patternFill patternType="solid">
        <fgColor theme="3" tint="0.59999389629810485"/>
        <bgColor indexed="64"/>
      </patternFill>
    </fill>
    <fill>
      <patternFill patternType="solid">
        <fgColor rgb="FFFFFF0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indexed="65"/>
        <bgColor indexed="64"/>
      </patternFill>
    </fill>
  </fills>
  <borders count="57">
    <border>
      <left/>
      <right/>
      <top/>
      <bottom/>
      <diagonal/>
    </border>
    <border>
      <left style="thin">
        <color indexed="64"/>
      </left>
      <right/>
      <top/>
      <bottom/>
      <diagonal/>
    </border>
    <border>
      <left/>
      <right/>
      <top/>
      <bottom style="thin">
        <color indexed="64"/>
      </bottom>
      <diagonal/>
    </border>
    <border>
      <left/>
      <right/>
      <top/>
      <bottom style="medium">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medium">
        <color indexed="64"/>
      </top>
      <bottom/>
      <diagonal/>
    </border>
    <border>
      <left/>
      <right/>
      <top/>
      <bottom style="thin">
        <color indexed="8"/>
      </bottom>
      <diagonal/>
    </border>
    <border>
      <left/>
      <right/>
      <top style="thin">
        <color indexed="64"/>
      </top>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hair">
        <color indexed="64"/>
      </bottom>
      <diagonal/>
    </border>
    <border>
      <left/>
      <right/>
      <top style="hair">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hair">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top style="thin">
        <color indexed="20"/>
      </top>
      <bottom style="thin">
        <color indexed="20"/>
      </bottom>
      <diagonal/>
    </border>
    <border>
      <left/>
      <right style="medium">
        <color indexed="64"/>
      </right>
      <top style="thin">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top style="thin">
        <color indexed="64"/>
      </top>
      <bottom style="dotted">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52">
    <xf numFmtId="0" fontId="0" fillId="0" borderId="0"/>
    <xf numFmtId="0" fontId="2" fillId="0" borderId="0"/>
    <xf numFmtId="0" fontId="9" fillId="0" borderId="0" applyNumberFormat="0" applyFont="0" applyFill="0" applyBorder="0" applyAlignment="0" applyProtection="0"/>
    <xf numFmtId="0" fontId="2" fillId="0" borderId="0"/>
    <xf numFmtId="0" fontId="2" fillId="5" borderId="0" applyNumberFormat="0" applyFont="0" applyBorder="0" applyAlignment="0" applyProtection="0"/>
    <xf numFmtId="0" fontId="93" fillId="0" borderId="0"/>
    <xf numFmtId="0" fontId="93" fillId="0" borderId="0"/>
    <xf numFmtId="0" fontId="94"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4" fontId="123" fillId="0" borderId="0" applyFont="0" applyFill="0" applyBorder="0" applyAlignment="0" applyProtection="0"/>
    <xf numFmtId="0" fontId="9" fillId="0" borderId="0"/>
    <xf numFmtId="0" fontId="4" fillId="0" borderId="0"/>
    <xf numFmtId="0" fontId="3" fillId="0" borderId="0"/>
    <xf numFmtId="0" fontId="2" fillId="0" borderId="0"/>
    <xf numFmtId="37" fontId="4" fillId="0" borderId="0"/>
    <xf numFmtId="0" fontId="4" fillId="0" borderId="0"/>
    <xf numFmtId="180" fontId="6" fillId="0" borderId="0" applyNumberFormat="0" applyBorder="0" applyAlignment="0">
      <alignment horizontal="left"/>
    </xf>
    <xf numFmtId="0" fontId="95" fillId="0" borderId="0"/>
    <xf numFmtId="0" fontId="5" fillId="0" borderId="0"/>
    <xf numFmtId="0" fontId="5" fillId="0" borderId="0"/>
    <xf numFmtId="0" fontId="4" fillId="0" borderId="0"/>
    <xf numFmtId="37" fontId="4" fillId="0" borderId="0"/>
    <xf numFmtId="0" fontId="9" fillId="0" borderId="0"/>
    <xf numFmtId="180" fontId="4" fillId="0" borderId="0"/>
    <xf numFmtId="180" fontId="4" fillId="0" borderId="0"/>
    <xf numFmtId="0" fontId="7" fillId="0" borderId="0"/>
    <xf numFmtId="0" fontId="95" fillId="0" borderId="0">
      <alignment vertical="center"/>
    </xf>
    <xf numFmtId="9" fontId="2" fillId="0" borderId="0" applyFont="0" applyFill="0" applyBorder="0" applyAlignment="0" applyProtection="0"/>
    <xf numFmtId="9" fontId="9" fillId="0" borderId="0" applyFont="0" applyFill="0" applyBorder="0" applyAlignment="0" applyProtection="0"/>
    <xf numFmtId="0" fontId="9" fillId="5" borderId="0" applyNumberFormat="0" applyFont="0" applyBorder="0" applyAlignment="0" applyProtection="0"/>
    <xf numFmtId="0" fontId="96" fillId="0" borderId="0"/>
    <xf numFmtId="0" fontId="96" fillId="0" borderId="10">
      <alignment horizontal="centerContinuous"/>
    </xf>
    <xf numFmtId="0" fontId="97" fillId="0" borderId="10"/>
    <xf numFmtId="0" fontId="5" fillId="4" borderId="7" applyNumberFormat="0" applyProtection="0">
      <alignment wrapText="1"/>
    </xf>
    <xf numFmtId="169" fontId="8" fillId="0" borderId="0"/>
    <xf numFmtId="0" fontId="2" fillId="0" borderId="0"/>
    <xf numFmtId="0" fontId="2" fillId="0" borderId="0"/>
    <xf numFmtId="9" fontId="2" fillId="0" borderId="0" applyFont="0" applyFill="0" applyBorder="0" applyAlignment="0" applyProtection="0"/>
    <xf numFmtId="0" fontId="1" fillId="0" borderId="0"/>
    <xf numFmtId="0" fontId="2" fillId="0" borderId="0" applyNumberFormat="0" applyFont="0" applyFill="0" applyBorder="0" applyAlignment="0" applyProtection="0"/>
    <xf numFmtId="0" fontId="2" fillId="0" borderId="0" applyFill="0" applyAlignment="0">
      <protection locked="0"/>
    </xf>
    <xf numFmtId="43" fontId="2" fillId="0" borderId="0" applyFont="0" applyFill="0" applyBorder="0" applyAlignment="0" applyProtection="0"/>
    <xf numFmtId="44" fontId="1" fillId="0" borderId="0" applyFont="0" applyFill="0" applyBorder="0" applyAlignment="0" applyProtection="0"/>
    <xf numFmtId="0" fontId="2" fillId="0" borderId="0" applyNumberFormat="0" applyFill="0" applyBorder="0" applyAlignment="0" applyProtection="0">
      <alignment vertical="top"/>
      <protection locked="0"/>
    </xf>
    <xf numFmtId="0" fontId="2" fillId="0" borderId="0" applyNumberFormat="0" applyFont="0" applyFill="0" applyBorder="0" applyAlignment="0" applyProtection="0"/>
    <xf numFmtId="0" fontId="2" fillId="0" borderId="0"/>
    <xf numFmtId="9" fontId="2" fillId="0" borderId="0" applyFont="0" applyFill="0" applyBorder="0" applyAlignment="0" applyProtection="0"/>
    <xf numFmtId="9" fontId="1" fillId="0" borderId="0" applyFont="0" applyFill="0" applyBorder="0" applyAlignment="0" applyProtection="0"/>
    <xf numFmtId="0" fontId="4" fillId="0" borderId="0"/>
  </cellStyleXfs>
  <cellXfs count="2958">
    <xf numFmtId="0" fontId="0" fillId="0" borderId="0" xfId="0"/>
    <xf numFmtId="0" fontId="2" fillId="0" borderId="0" xfId="39"/>
    <xf numFmtId="180" fontId="9" fillId="0" borderId="0" xfId="27" applyFont="1"/>
    <xf numFmtId="180" fontId="9" fillId="0" borderId="2" xfId="27" applyFont="1" applyBorder="1"/>
    <xf numFmtId="188" fontId="9" fillId="0" borderId="0" xfId="27" applyNumberFormat="1" applyFont="1" applyBorder="1" applyAlignment="1" applyProtection="1">
      <alignment horizontal="left"/>
    </xf>
    <xf numFmtId="180" fontId="9" fillId="0" borderId="0" xfId="27" applyNumberFormat="1" applyFont="1" applyProtection="1"/>
    <xf numFmtId="5" fontId="9" fillId="0" borderId="0" xfId="27" applyNumberFormat="1" applyFont="1" applyProtection="1"/>
    <xf numFmtId="167" fontId="9" fillId="0" borderId="0" xfId="27" applyNumberFormat="1" applyFont="1" applyProtection="1"/>
    <xf numFmtId="166" fontId="9" fillId="0" borderId="0" xfId="27" applyNumberFormat="1" applyFont="1" applyProtection="1"/>
    <xf numFmtId="37" fontId="9" fillId="0" borderId="0" xfId="27" applyNumberFormat="1" applyFont="1" applyProtection="1"/>
    <xf numFmtId="180" fontId="9" fillId="0" borderId="0" xfId="27" applyNumberFormat="1" applyFont="1" applyFill="1" applyAlignment="1" applyProtection="1">
      <alignment horizontal="left"/>
    </xf>
    <xf numFmtId="193" fontId="9" fillId="0" borderId="0" xfId="27" applyNumberFormat="1" applyFont="1" applyProtection="1"/>
    <xf numFmtId="186" fontId="9" fillId="0" borderId="0" xfId="27" applyNumberFormat="1" applyFont="1" applyProtection="1"/>
    <xf numFmtId="190" fontId="9" fillId="0" borderId="0" xfId="28" applyNumberFormat="1" applyFont="1" applyProtection="1"/>
    <xf numFmtId="180" fontId="9" fillId="0" borderId="0" xfId="27" applyFont="1" applyFill="1"/>
    <xf numFmtId="190" fontId="9" fillId="0" borderId="0" xfId="28" applyNumberFormat="1" applyFont="1" applyFill="1" applyProtection="1"/>
    <xf numFmtId="5" fontId="9" fillId="0" borderId="0" xfId="27" applyNumberFormat="1" applyFont="1" applyFill="1" applyProtection="1"/>
    <xf numFmtId="180" fontId="9" fillId="0" borderId="0" xfId="27" quotePrefix="1" applyFont="1" applyFill="1"/>
    <xf numFmtId="166" fontId="9" fillId="0" borderId="0" xfId="30" applyNumberFormat="1" applyFont="1"/>
    <xf numFmtId="180" fontId="5" fillId="0" borderId="0" xfId="27" applyFont="1"/>
    <xf numFmtId="180" fontId="9" fillId="0" borderId="0" xfId="27" applyFont="1" applyAlignment="1">
      <alignment horizontal="left"/>
    </xf>
    <xf numFmtId="0" fontId="12" fillId="0" borderId="0" xfId="15" applyFont="1" applyFill="1" applyBorder="1"/>
    <xf numFmtId="180" fontId="12" fillId="0" borderId="0" xfId="27" applyFont="1" applyBorder="1" applyAlignment="1" applyProtection="1">
      <alignment horizontal="left"/>
    </xf>
    <xf numFmtId="0" fontId="9" fillId="0" borderId="0" xfId="0" applyFont="1"/>
    <xf numFmtId="0" fontId="5" fillId="0" borderId="0" xfId="0" applyFont="1"/>
    <xf numFmtId="0" fontId="12" fillId="0" borderId="0" xfId="0" applyFont="1"/>
    <xf numFmtId="0" fontId="12" fillId="0" borderId="2" xfId="0" applyFont="1" applyBorder="1"/>
    <xf numFmtId="0" fontId="15" fillId="0" borderId="0" xfId="0" applyFont="1"/>
    <xf numFmtId="0" fontId="5" fillId="0" borderId="2" xfId="0" applyFont="1" applyBorder="1" applyAlignment="1">
      <alignment horizontal="centerContinuous"/>
    </xf>
    <xf numFmtId="195" fontId="11" fillId="0" borderId="2" xfId="0" applyNumberFormat="1" applyFont="1" applyBorder="1" applyAlignment="1">
      <alignment horizontal="centerContinuous"/>
    </xf>
    <xf numFmtId="0" fontId="5" fillId="0" borderId="0" xfId="0" applyFont="1" applyBorder="1"/>
    <xf numFmtId="0" fontId="18" fillId="0" borderId="0" xfId="0" applyFont="1"/>
    <xf numFmtId="192" fontId="5" fillId="0" borderId="0" xfId="30" applyNumberFormat="1" applyFont="1"/>
    <xf numFmtId="182" fontId="5" fillId="0" borderId="0" xfId="0" applyNumberFormat="1" applyFont="1"/>
    <xf numFmtId="164" fontId="5" fillId="0" borderId="0" xfId="0" applyNumberFormat="1" applyFont="1"/>
    <xf numFmtId="178" fontId="5" fillId="0" borderId="0" xfId="0" applyNumberFormat="1" applyFont="1"/>
    <xf numFmtId="165" fontId="18" fillId="0" borderId="0" xfId="0" applyNumberFormat="1" applyFont="1"/>
    <xf numFmtId="165" fontId="5" fillId="0" borderId="0" xfId="0" applyNumberFormat="1" applyFont="1"/>
    <xf numFmtId="164" fontId="5" fillId="0" borderId="2" xfId="0" applyNumberFormat="1" applyFont="1" applyBorder="1"/>
    <xf numFmtId="165" fontId="18" fillId="0" borderId="2" xfId="0" applyNumberFormat="1" applyFont="1" applyBorder="1"/>
    <xf numFmtId="4" fontId="5" fillId="0" borderId="0" xfId="0" applyNumberFormat="1" applyFont="1"/>
    <xf numFmtId="196" fontId="5" fillId="0" borderId="0" xfId="0" applyNumberFormat="1" applyFont="1" applyAlignment="1">
      <alignment horizontal="left"/>
    </xf>
    <xf numFmtId="171" fontId="5" fillId="0" borderId="0" xfId="0" applyNumberFormat="1" applyFont="1"/>
    <xf numFmtId="169" fontId="5" fillId="0" borderId="0" xfId="0" applyNumberFormat="1" applyFont="1"/>
    <xf numFmtId="192" fontId="9" fillId="0" borderId="0" xfId="0" applyNumberFormat="1" applyFont="1"/>
    <xf numFmtId="192" fontId="9" fillId="0" borderId="2" xfId="0" applyNumberFormat="1" applyFont="1" applyBorder="1"/>
    <xf numFmtId="0" fontId="12" fillId="0" borderId="0" xfId="0" applyFont="1" applyAlignment="1">
      <alignment horizontal="center"/>
    </xf>
    <xf numFmtId="195" fontId="12" fillId="0" borderId="2" xfId="0" applyNumberFormat="1" applyFont="1" applyBorder="1" applyAlignment="1">
      <alignment horizontal="center"/>
    </xf>
    <xf numFmtId="0" fontId="12" fillId="0" borderId="0" xfId="0" applyFont="1" applyBorder="1"/>
    <xf numFmtId="192" fontId="9" fillId="0" borderId="0" xfId="0" applyNumberFormat="1" applyFont="1" applyBorder="1"/>
    <xf numFmtId="37" fontId="13" fillId="0" borderId="0" xfId="27" applyNumberFormat="1" applyFont="1" applyProtection="1"/>
    <xf numFmtId="5" fontId="13" fillId="0" borderId="0" xfId="27" applyNumberFormat="1" applyFont="1" applyProtection="1"/>
    <xf numFmtId="190" fontId="13" fillId="0" borderId="0" xfId="28" applyNumberFormat="1" applyFont="1" applyProtection="1"/>
    <xf numFmtId="195" fontId="12" fillId="0" borderId="2" xfId="15" applyNumberFormat="1" applyFont="1" applyFill="1" applyBorder="1" applyAlignment="1">
      <alignment horizontal="center"/>
    </xf>
    <xf numFmtId="195" fontId="21" fillId="0" borderId="2" xfId="15" applyNumberFormat="1" applyFont="1" applyFill="1" applyBorder="1" applyAlignment="1">
      <alignment horizontal="center"/>
    </xf>
    <xf numFmtId="197" fontId="12" fillId="0" borderId="2" xfId="15" applyNumberFormat="1" applyFont="1" applyFill="1" applyBorder="1" applyAlignment="1">
      <alignment horizontal="center"/>
    </xf>
    <xf numFmtId="167" fontId="9" fillId="0" borderId="0" xfId="27" applyNumberFormat="1" applyFont="1" applyBorder="1" applyProtection="1"/>
    <xf numFmtId="180" fontId="9" fillId="0" borderId="0" xfId="27" applyFont="1" applyBorder="1"/>
    <xf numFmtId="37" fontId="14" fillId="0" borderId="0" xfId="17" applyFont="1"/>
    <xf numFmtId="188" fontId="14" fillId="0" borderId="0" xfId="17" applyNumberFormat="1" applyFont="1" applyProtection="1"/>
    <xf numFmtId="37" fontId="5" fillId="0" borderId="0" xfId="17" applyFont="1"/>
    <xf numFmtId="37" fontId="5" fillId="0" borderId="0" xfId="17" applyFont="1" applyAlignment="1" applyProtection="1">
      <alignment horizontal="left"/>
    </xf>
    <xf numFmtId="181" fontId="5" fillId="0" borderId="0" xfId="17" applyNumberFormat="1" applyFont="1" applyProtection="1"/>
    <xf numFmtId="37" fontId="14" fillId="0" borderId="0" xfId="17" applyFont="1" applyAlignment="1" applyProtection="1">
      <alignment horizontal="left"/>
    </xf>
    <xf numFmtId="181" fontId="14" fillId="0" borderId="0" xfId="17" applyNumberFormat="1" applyFont="1" applyProtection="1"/>
    <xf numFmtId="37" fontId="5" fillId="0" borderId="0" xfId="17" applyFont="1" applyAlignment="1">
      <alignment horizontal="center"/>
    </xf>
    <xf numFmtId="0" fontId="11" fillId="0" borderId="2" xfId="0" applyFont="1" applyBorder="1"/>
    <xf numFmtId="0" fontId="5" fillId="0" borderId="2" xfId="0" applyFont="1" applyBorder="1"/>
    <xf numFmtId="0" fontId="11" fillId="0" borderId="2" xfId="0" applyFont="1" applyBorder="1" applyAlignment="1">
      <alignment horizontal="center"/>
    </xf>
    <xf numFmtId="0" fontId="11" fillId="0" borderId="0" xfId="0" applyFont="1" applyAlignment="1">
      <alignment horizontal="center"/>
    </xf>
    <xf numFmtId="0" fontId="11" fillId="0" borderId="0" xfId="0" applyFont="1" applyBorder="1" applyAlignment="1">
      <alignment horizontal="center"/>
    </xf>
    <xf numFmtId="0" fontId="11" fillId="0" borderId="0" xfId="0" applyFont="1" applyBorder="1" applyAlignment="1">
      <alignment horizontal="centerContinuous"/>
    </xf>
    <xf numFmtId="0" fontId="11" fillId="0" borderId="2" xfId="0" applyFont="1" applyBorder="1" applyAlignment="1">
      <alignment horizontal="centerContinuous"/>
    </xf>
    <xf numFmtId="0" fontId="15" fillId="0" borderId="0" xfId="0" quotePrefix="1" applyFont="1" applyAlignment="1">
      <alignment horizontal="left"/>
    </xf>
    <xf numFmtId="195" fontId="15" fillId="0" borderId="0" xfId="0" quotePrefix="1" applyNumberFormat="1" applyFont="1"/>
    <xf numFmtId="195" fontId="15" fillId="0" borderId="0" xfId="0" applyNumberFormat="1" applyFont="1" applyAlignment="1">
      <alignment horizontal="left"/>
    </xf>
    <xf numFmtId="0" fontId="12" fillId="0" borderId="0" xfId="0" applyFont="1" applyAlignment="1">
      <alignment horizontal="left"/>
    </xf>
    <xf numFmtId="0" fontId="12" fillId="0" borderId="2" xfId="0" applyFont="1" applyBorder="1" applyAlignment="1">
      <alignment horizontal="left"/>
    </xf>
    <xf numFmtId="0" fontId="5" fillId="0" borderId="0" xfId="0" applyFont="1" applyAlignment="1">
      <alignment horizontal="left"/>
    </xf>
    <xf numFmtId="195" fontId="17" fillId="0" borderId="0" xfId="0" applyNumberFormat="1" applyFont="1" applyAlignment="1">
      <alignment horizontal="left"/>
    </xf>
    <xf numFmtId="165" fontId="5" fillId="0" borderId="2" xfId="0" applyNumberFormat="1" applyFont="1" applyBorder="1"/>
    <xf numFmtId="1" fontId="5" fillId="0" borderId="0" xfId="0" applyNumberFormat="1" applyFont="1"/>
    <xf numFmtId="0" fontId="11" fillId="0" borderId="5" xfId="0" applyFont="1" applyBorder="1" applyAlignment="1">
      <alignment horizontal="center"/>
    </xf>
    <xf numFmtId="0" fontId="5" fillId="0" borderId="14" xfId="0" applyFont="1" applyBorder="1"/>
    <xf numFmtId="169" fontId="5" fillId="0" borderId="2" xfId="0" applyNumberFormat="1" applyFont="1" applyBorder="1"/>
    <xf numFmtId="169" fontId="5" fillId="0" borderId="0" xfId="0" applyNumberFormat="1" applyFont="1" applyBorder="1"/>
    <xf numFmtId="4" fontId="5" fillId="0" borderId="13" xfId="0" applyNumberFormat="1" applyFont="1" applyBorder="1"/>
    <xf numFmtId="0" fontId="14" fillId="0" borderId="0" xfId="0" applyFont="1"/>
    <xf numFmtId="6" fontId="14" fillId="0" borderId="0" xfId="0" quotePrefix="1" applyNumberFormat="1" applyFont="1"/>
    <xf numFmtId="195" fontId="16" fillId="0" borderId="2" xfId="0" applyNumberFormat="1" applyFont="1" applyBorder="1" applyAlignment="1">
      <alignment horizontal="center"/>
    </xf>
    <xf numFmtId="195" fontId="11" fillId="0" borderId="0" xfId="0" applyNumberFormat="1" applyFont="1" applyBorder="1" applyAlignment="1">
      <alignment horizontal="center"/>
    </xf>
    <xf numFmtId="38" fontId="5" fillId="0" borderId="0" xfId="0" applyNumberFormat="1" applyFont="1"/>
    <xf numFmtId="38" fontId="18" fillId="0" borderId="0" xfId="0" applyNumberFormat="1" applyFont="1"/>
    <xf numFmtId="0" fontId="15" fillId="0" borderId="0" xfId="0" applyFont="1" applyAlignment="1">
      <alignment horizontal="center"/>
    </xf>
    <xf numFmtId="164" fontId="5" fillId="0" borderId="0" xfId="0" applyNumberFormat="1" applyFont="1" applyBorder="1"/>
    <xf numFmtId="0" fontId="0" fillId="0" borderId="2" xfId="0" applyBorder="1"/>
    <xf numFmtId="0" fontId="12" fillId="0" borderId="2" xfId="0" applyFont="1" applyBorder="1" applyAlignment="1">
      <alignment horizontal="center"/>
    </xf>
    <xf numFmtId="180" fontId="9" fillId="0" borderId="0" xfId="27" applyFont="1" applyBorder="1" applyAlignment="1" applyProtection="1">
      <alignment horizontal="left"/>
    </xf>
    <xf numFmtId="37" fontId="9" fillId="0" borderId="0" xfId="27" applyNumberFormat="1" applyFont="1" applyBorder="1" applyProtection="1"/>
    <xf numFmtId="180" fontId="10" fillId="0" borderId="1" xfId="27" applyFont="1" applyBorder="1"/>
    <xf numFmtId="180" fontId="9" fillId="0" borderId="15" xfId="27" applyFont="1" applyBorder="1"/>
    <xf numFmtId="180" fontId="9" fillId="0" borderId="1" xfId="27" applyFont="1" applyBorder="1"/>
    <xf numFmtId="180" fontId="9" fillId="0" borderId="15" xfId="27" applyFont="1" applyBorder="1" applyAlignment="1" applyProtection="1">
      <alignment horizontal="left"/>
    </xf>
    <xf numFmtId="37" fontId="9" fillId="0" borderId="1" xfId="27" applyNumberFormat="1" applyFont="1" applyBorder="1" applyProtection="1"/>
    <xf numFmtId="37" fontId="9" fillId="0" borderId="15" xfId="27" applyNumberFormat="1" applyFont="1" applyBorder="1" applyProtection="1"/>
    <xf numFmtId="190" fontId="9" fillId="0" borderId="1" xfId="28" applyNumberFormat="1" applyFont="1" applyBorder="1" applyProtection="1"/>
    <xf numFmtId="180" fontId="9" fillId="0" borderId="16" xfId="27" applyFont="1" applyBorder="1"/>
    <xf numFmtId="167" fontId="9" fillId="0" borderId="2" xfId="27" applyNumberFormat="1" applyFont="1" applyBorder="1" applyProtection="1"/>
    <xf numFmtId="180" fontId="9" fillId="0" borderId="17" xfId="27" applyFont="1" applyBorder="1"/>
    <xf numFmtId="180" fontId="12" fillId="0" borderId="5" xfId="27" applyFont="1" applyBorder="1" applyAlignment="1" applyProtection="1">
      <alignment horizontal="center"/>
    </xf>
    <xf numFmtId="180" fontId="12" fillId="0" borderId="14" xfId="27" applyFont="1" applyBorder="1"/>
    <xf numFmtId="180" fontId="12" fillId="0" borderId="15" xfId="27" applyFont="1" applyBorder="1"/>
    <xf numFmtId="0" fontId="9" fillId="0" borderId="0" xfId="0" applyFont="1" applyAlignment="1">
      <alignment horizontal="center"/>
    </xf>
    <xf numFmtId="0" fontId="5" fillId="0" borderId="0" xfId="0" applyFont="1" applyAlignment="1">
      <alignment horizontal="right"/>
    </xf>
    <xf numFmtId="0" fontId="18" fillId="0" borderId="0" xfId="0" applyFont="1" applyBorder="1"/>
    <xf numFmtId="165" fontId="18" fillId="0" borderId="0" xfId="0" applyNumberFormat="1" applyFont="1" applyBorder="1"/>
    <xf numFmtId="0" fontId="5" fillId="0" borderId="18" xfId="0" applyFont="1" applyBorder="1"/>
    <xf numFmtId="182" fontId="5" fillId="0" borderId="18" xfId="0" applyNumberFormat="1" applyFont="1" applyBorder="1"/>
    <xf numFmtId="0" fontId="18" fillId="0" borderId="18" xfId="0" applyFont="1" applyBorder="1"/>
    <xf numFmtId="0" fontId="5" fillId="0" borderId="19" xfId="0" applyFont="1" applyBorder="1"/>
    <xf numFmtId="0" fontId="18" fillId="0" borderId="0" xfId="0" applyFont="1" applyAlignment="1">
      <alignment horizontal="right"/>
    </xf>
    <xf numFmtId="0" fontId="5" fillId="0" borderId="18" xfId="0" applyFont="1" applyBorder="1" applyAlignment="1">
      <alignment horizontal="right"/>
    </xf>
    <xf numFmtId="0" fontId="5" fillId="0" borderId="19" xfId="0" applyFont="1" applyBorder="1" applyAlignment="1">
      <alignment horizontal="right"/>
    </xf>
    <xf numFmtId="180" fontId="18" fillId="0" borderId="0" xfId="26" quotePrefix="1" applyFont="1" applyAlignment="1">
      <alignment horizontal="right"/>
    </xf>
    <xf numFmtId="4" fontId="18" fillId="0" borderId="0" xfId="0" applyNumberFormat="1" applyFont="1" applyAlignment="1">
      <alignment horizontal="right"/>
    </xf>
    <xf numFmtId="193" fontId="9" fillId="0" borderId="0" xfId="27" applyNumberFormat="1" applyFont="1" applyFill="1" applyProtection="1"/>
    <xf numFmtId="180" fontId="9" fillId="0" borderId="5" xfId="27" applyFont="1" applyBorder="1"/>
    <xf numFmtId="166" fontId="5" fillId="0" borderId="0" xfId="30" applyNumberFormat="1" applyFont="1"/>
    <xf numFmtId="0" fontId="26" fillId="0" borderId="0" xfId="0" applyFont="1"/>
    <xf numFmtId="0" fontId="0" fillId="0" borderId="0" xfId="0" applyBorder="1"/>
    <xf numFmtId="198" fontId="5" fillId="0" borderId="0" xfId="0" applyNumberFormat="1" applyFont="1"/>
    <xf numFmtId="198" fontId="5" fillId="0" borderId="2" xfId="0" applyNumberFormat="1" applyFont="1" applyBorder="1"/>
    <xf numFmtId="198" fontId="5" fillId="0" borderId="0" xfId="0" applyNumberFormat="1" applyFont="1" applyBorder="1"/>
    <xf numFmtId="0" fontId="15" fillId="0" borderId="0" xfId="0" applyFont="1" applyBorder="1" applyAlignment="1">
      <alignment horizontal="center"/>
    </xf>
    <xf numFmtId="0" fontId="27" fillId="0" borderId="0" xfId="0" applyFont="1" applyBorder="1"/>
    <xf numFmtId="0" fontId="17" fillId="0" borderId="0" xfId="0" applyFont="1" applyAlignment="1">
      <alignment horizontal="left"/>
    </xf>
    <xf numFmtId="0" fontId="15" fillId="0" borderId="0" xfId="0" applyFont="1" applyAlignment="1">
      <alignment horizontal="left"/>
    </xf>
    <xf numFmtId="0" fontId="9" fillId="0" borderId="2" xfId="0" applyFont="1" applyBorder="1"/>
    <xf numFmtId="171" fontId="18" fillId="0" borderId="0" xfId="0" applyNumberFormat="1" applyFont="1"/>
    <xf numFmtId="0" fontId="9" fillId="0" borderId="0" xfId="0" applyFont="1" applyBorder="1"/>
    <xf numFmtId="0" fontId="14" fillId="0" borderId="0" xfId="0" applyFont="1" applyBorder="1"/>
    <xf numFmtId="0" fontId="11" fillId="0" borderId="0" xfId="0" applyFont="1"/>
    <xf numFmtId="172" fontId="5" fillId="0" borderId="0" xfId="0" applyNumberFormat="1" applyFont="1"/>
    <xf numFmtId="0" fontId="5" fillId="0" borderId="0" xfId="0" applyFont="1" applyAlignment="1">
      <alignment horizontal="center"/>
    </xf>
    <xf numFmtId="0" fontId="5" fillId="0" borderId="2" xfId="0" applyFont="1" applyBorder="1" applyAlignment="1">
      <alignment horizontal="center"/>
    </xf>
    <xf numFmtId="0" fontId="5" fillId="0" borderId="0" xfId="0" applyFont="1" applyBorder="1" applyAlignment="1">
      <alignment horizontal="center"/>
    </xf>
    <xf numFmtId="0" fontId="5" fillId="0" borderId="1" xfId="0" applyFont="1" applyBorder="1"/>
    <xf numFmtId="0" fontId="5" fillId="0" borderId="15" xfId="0" applyFont="1" applyBorder="1"/>
    <xf numFmtId="170" fontId="5" fillId="0" borderId="0" xfId="0" applyNumberFormat="1" applyFont="1"/>
    <xf numFmtId="170" fontId="18" fillId="0" borderId="0" xfId="0" applyNumberFormat="1" applyFont="1"/>
    <xf numFmtId="0" fontId="18" fillId="0" borderId="0" xfId="0" applyFont="1" applyFill="1"/>
    <xf numFmtId="167" fontId="9" fillId="0" borderId="0" xfId="27" applyNumberFormat="1" applyFont="1" applyFill="1" applyBorder="1" applyProtection="1"/>
    <xf numFmtId="169" fontId="18" fillId="0" borderId="0" xfId="0" applyNumberFormat="1" applyFont="1"/>
    <xf numFmtId="179" fontId="5" fillId="0" borderId="0" xfId="0" applyNumberFormat="1" applyFont="1"/>
    <xf numFmtId="3" fontId="5" fillId="0" borderId="0" xfId="0" applyNumberFormat="1" applyFont="1"/>
    <xf numFmtId="0" fontId="28" fillId="0" borderId="0" xfId="0" quotePrefix="1" applyFont="1"/>
    <xf numFmtId="0" fontId="28" fillId="0" borderId="0" xfId="0" applyFont="1"/>
    <xf numFmtId="5" fontId="9" fillId="0" borderId="2" xfId="0" applyNumberFormat="1" applyFont="1" applyBorder="1"/>
    <xf numFmtId="0" fontId="12" fillId="0" borderId="0" xfId="0" applyFont="1" applyBorder="1" applyAlignment="1">
      <alignment horizontal="center"/>
    </xf>
    <xf numFmtId="5" fontId="13" fillId="0" borderId="0" xfId="0" applyNumberFormat="1" applyFont="1"/>
    <xf numFmtId="5" fontId="9" fillId="0" borderId="0" xfId="0" applyNumberFormat="1" applyFont="1"/>
    <xf numFmtId="0" fontId="9" fillId="0" borderId="0" xfId="0" applyFont="1" applyFill="1"/>
    <xf numFmtId="0" fontId="17" fillId="0" borderId="0" xfId="0" applyFont="1" applyAlignment="1">
      <alignment horizontal="center"/>
    </xf>
    <xf numFmtId="167" fontId="18" fillId="0" borderId="0" xfId="0" applyNumberFormat="1" applyFont="1"/>
    <xf numFmtId="167" fontId="5" fillId="0" borderId="0" xfId="0" applyNumberFormat="1" applyFont="1"/>
    <xf numFmtId="5" fontId="5" fillId="0" borderId="0" xfId="0" applyNumberFormat="1" applyFont="1"/>
    <xf numFmtId="172" fontId="18" fillId="0" borderId="0" xfId="0" applyNumberFormat="1" applyFont="1"/>
    <xf numFmtId="190" fontId="5" fillId="0" borderId="0" xfId="0" applyNumberFormat="1" applyFont="1"/>
    <xf numFmtId="0" fontId="5" fillId="0" borderId="0" xfId="0" applyFont="1" applyFill="1"/>
    <xf numFmtId="3" fontId="5" fillId="0" borderId="2" xfId="0" applyNumberFormat="1" applyFont="1" applyBorder="1"/>
    <xf numFmtId="0" fontId="11" fillId="0" borderId="0" xfId="0" quotePrefix="1" applyFont="1" applyBorder="1" applyAlignment="1">
      <alignment horizontal="centerContinuous"/>
    </xf>
    <xf numFmtId="0" fontId="11" fillId="0" borderId="13" xfId="0" applyFont="1" applyBorder="1" applyAlignment="1">
      <alignment horizontal="centerContinuous"/>
    </xf>
    <xf numFmtId="0" fontId="11" fillId="0" borderId="5" xfId="0" applyFont="1" applyBorder="1" applyAlignment="1">
      <alignment horizontal="centerContinuous"/>
    </xf>
    <xf numFmtId="0" fontId="11" fillId="0" borderId="14" xfId="0" applyFont="1" applyBorder="1" applyAlignment="1">
      <alignment horizontal="centerContinuous"/>
    </xf>
    <xf numFmtId="183" fontId="18" fillId="0" borderId="0" xfId="0" applyNumberFormat="1" applyFont="1"/>
    <xf numFmtId="183" fontId="18" fillId="0" borderId="2" xfId="0" applyNumberFormat="1" applyFont="1" applyBorder="1"/>
    <xf numFmtId="183" fontId="18" fillId="0" borderId="0" xfId="0" applyNumberFormat="1" applyFont="1" applyBorder="1"/>
    <xf numFmtId="200" fontId="5" fillId="0" borderId="18" xfId="0" applyNumberFormat="1" applyFont="1" applyBorder="1"/>
    <xf numFmtId="180" fontId="25" fillId="0" borderId="0" xfId="27" applyFont="1" applyBorder="1"/>
    <xf numFmtId="201" fontId="9" fillId="0" borderId="0" xfId="27" applyNumberFormat="1" applyFont="1" applyProtection="1"/>
    <xf numFmtId="166" fontId="9" fillId="0" borderId="0" xfId="27" applyNumberFormat="1" applyFont="1" applyBorder="1" applyProtection="1"/>
    <xf numFmtId="9" fontId="9" fillId="0" borderId="0" xfId="30" applyNumberFormat="1" applyFont="1" applyBorder="1"/>
    <xf numFmtId="0" fontId="21" fillId="0" borderId="2" xfId="0" applyFont="1" applyBorder="1"/>
    <xf numFmtId="180" fontId="9" fillId="0" borderId="6" xfId="27" applyFont="1" applyBorder="1"/>
    <xf numFmtId="180" fontId="9" fillId="0" borderId="20" xfId="27" applyFont="1" applyBorder="1"/>
    <xf numFmtId="167" fontId="13" fillId="0" borderId="0" xfId="27" applyNumberFormat="1" applyFont="1" applyBorder="1" applyAlignment="1" applyProtection="1">
      <alignment horizontal="right"/>
    </xf>
    <xf numFmtId="166" fontId="9" fillId="0" borderId="0" xfId="27" applyNumberFormat="1" applyFont="1" applyAlignment="1" applyProtection="1">
      <alignment horizontal="right"/>
    </xf>
    <xf numFmtId="190" fontId="13" fillId="0" borderId="0" xfId="28" applyNumberFormat="1" applyFont="1" applyAlignment="1" applyProtection="1">
      <alignment horizontal="right"/>
    </xf>
    <xf numFmtId="193" fontId="13" fillId="0" borderId="0" xfId="27" applyNumberFormat="1" applyFont="1" applyProtection="1"/>
    <xf numFmtId="193" fontId="13" fillId="0" borderId="0" xfId="27" applyNumberFormat="1" applyFont="1" applyFill="1" applyBorder="1" applyProtection="1"/>
    <xf numFmtId="180" fontId="12" fillId="0" borderId="0" xfId="27" applyFont="1"/>
    <xf numFmtId="0" fontId="12" fillId="0" borderId="0" xfId="15" applyFont="1" applyAlignment="1" applyProtection="1">
      <alignment horizontal="left"/>
    </xf>
    <xf numFmtId="185" fontId="9" fillId="0" borderId="0" xfId="27" applyNumberFormat="1" applyFont="1" applyProtection="1"/>
    <xf numFmtId="166" fontId="9" fillId="0" borderId="0" xfId="27" applyNumberFormat="1" applyFont="1" applyFill="1" applyProtection="1"/>
    <xf numFmtId="201" fontId="5" fillId="0" borderId="0" xfId="0" applyNumberFormat="1" applyFont="1"/>
    <xf numFmtId="201" fontId="18" fillId="0" borderId="0" xfId="0" applyNumberFormat="1" applyFont="1" applyAlignment="1">
      <alignment horizontal="right"/>
    </xf>
    <xf numFmtId="203" fontId="5" fillId="0" borderId="0" xfId="0" applyNumberFormat="1" applyFont="1"/>
    <xf numFmtId="0" fontId="25" fillId="0" borderId="0" xfId="0" applyFont="1"/>
    <xf numFmtId="166" fontId="27" fillId="0" borderId="0" xfId="30" applyNumberFormat="1" applyFont="1"/>
    <xf numFmtId="180" fontId="12" fillId="0" borderId="2" xfId="27" applyFont="1" applyBorder="1" applyAlignment="1" applyProtection="1">
      <alignment horizontal="left"/>
    </xf>
    <xf numFmtId="0" fontId="12" fillId="0" borderId="2" xfId="0" applyFont="1" applyBorder="1" applyAlignment="1" applyProtection="1">
      <alignment horizontal="left"/>
    </xf>
    <xf numFmtId="0" fontId="15" fillId="0" borderId="0" xfId="0" applyFont="1" applyFill="1"/>
    <xf numFmtId="0" fontId="27" fillId="0" borderId="0" xfId="0" applyFont="1" applyFill="1" applyBorder="1"/>
    <xf numFmtId="0" fontId="15" fillId="0" borderId="0" xfId="0" applyFont="1" applyFill="1" applyBorder="1" applyAlignment="1">
      <alignment horizontal="center"/>
    </xf>
    <xf numFmtId="0" fontId="15" fillId="0" borderId="0" xfId="0" applyFont="1" applyFill="1" applyAlignment="1">
      <alignment horizontal="left"/>
    </xf>
    <xf numFmtId="182" fontId="18" fillId="0" borderId="0" xfId="0" applyNumberFormat="1" applyFont="1" applyFill="1" applyBorder="1"/>
    <xf numFmtId="183" fontId="5" fillId="0" borderId="2" xfId="0" applyNumberFormat="1" applyFont="1" applyFill="1" applyBorder="1"/>
    <xf numFmtId="0" fontId="11" fillId="0" borderId="0" xfId="0" applyFont="1" applyFill="1" applyAlignment="1">
      <alignment horizontal="center"/>
    </xf>
    <xf numFmtId="195" fontId="16" fillId="0" borderId="2" xfId="0" applyNumberFormat="1" applyFont="1" applyFill="1" applyBorder="1" applyAlignment="1">
      <alignment horizontal="centerContinuous"/>
    </xf>
    <xf numFmtId="195" fontId="11" fillId="0" borderId="2" xfId="0" applyNumberFormat="1" applyFont="1" applyFill="1" applyBorder="1" applyAlignment="1">
      <alignment horizontal="centerContinuous"/>
    </xf>
    <xf numFmtId="183" fontId="18" fillId="0" borderId="0" xfId="0" applyNumberFormat="1" applyFont="1" applyBorder="1" applyAlignment="1">
      <alignment horizontal="right"/>
    </xf>
    <xf numFmtId="183" fontId="18" fillId="0" borderId="2" xfId="0" applyNumberFormat="1" applyFont="1" applyBorder="1" applyAlignment="1">
      <alignment horizontal="right"/>
    </xf>
    <xf numFmtId="0" fontId="11" fillId="0" borderId="0" xfId="0" quotePrefix="1" applyFont="1" applyAlignment="1">
      <alignment horizontal="center"/>
    </xf>
    <xf numFmtId="180" fontId="9" fillId="0" borderId="0" xfId="27" applyNumberFormat="1" applyFont="1" applyAlignment="1" applyProtection="1">
      <alignment horizontal="left"/>
    </xf>
    <xf numFmtId="180" fontId="9" fillId="0" borderId="0" xfId="27" quotePrefix="1" applyNumberFormat="1" applyFont="1" applyAlignment="1" applyProtection="1">
      <alignment horizontal="left"/>
    </xf>
    <xf numFmtId="0" fontId="12" fillId="0" borderId="0" xfId="0" applyFont="1" applyFill="1"/>
    <xf numFmtId="0" fontId="12" fillId="0" borderId="0" xfId="0" applyFont="1" applyFill="1" applyAlignment="1">
      <alignment horizontal="left"/>
    </xf>
    <xf numFmtId="192" fontId="9" fillId="0" borderId="0" xfId="0" applyNumberFormat="1" applyFont="1" applyFill="1"/>
    <xf numFmtId="0" fontId="12" fillId="0" borderId="0" xfId="0" applyFont="1" applyFill="1" applyBorder="1"/>
    <xf numFmtId="192" fontId="9" fillId="0" borderId="0" xfId="0" applyNumberFormat="1" applyFont="1" applyFill="1" applyBorder="1"/>
    <xf numFmtId="0" fontId="12" fillId="0" borderId="2" xfId="0" applyFont="1" applyFill="1" applyBorder="1"/>
    <xf numFmtId="0" fontId="12" fillId="0" borderId="2" xfId="0" applyFont="1" applyFill="1" applyBorder="1" applyAlignment="1">
      <alignment horizontal="left"/>
    </xf>
    <xf numFmtId="192" fontId="9" fillId="0" borderId="2" xfId="0" applyNumberFormat="1" applyFont="1" applyFill="1" applyBorder="1"/>
    <xf numFmtId="37" fontId="14" fillId="0" borderId="0" xfId="17" applyFont="1" applyFill="1"/>
    <xf numFmtId="0" fontId="5" fillId="0" borderId="0" xfId="0" applyFont="1" applyFill="1" applyAlignment="1">
      <alignment horizontal="right"/>
    </xf>
    <xf numFmtId="0" fontId="11" fillId="0" borderId="0" xfId="0" applyFont="1" applyFill="1" applyBorder="1" applyAlignment="1">
      <alignment horizontal="center"/>
    </xf>
    <xf numFmtId="183" fontId="5" fillId="0" borderId="0" xfId="0" applyNumberFormat="1" applyFont="1" applyFill="1" applyBorder="1"/>
    <xf numFmtId="183" fontId="18" fillId="0" borderId="0" xfId="0" applyNumberFormat="1" applyFont="1" applyFill="1" applyBorder="1"/>
    <xf numFmtId="183" fontId="18" fillId="0" borderId="0" xfId="0" applyNumberFormat="1" applyFont="1" applyFill="1" applyBorder="1" applyAlignment="1">
      <alignment horizontal="right"/>
    </xf>
    <xf numFmtId="165" fontId="18" fillId="0" borderId="0" xfId="0" applyNumberFormat="1" applyFont="1" applyFill="1" applyBorder="1"/>
    <xf numFmtId="0" fontId="11" fillId="0" borderId="2" xfId="0" applyFont="1" applyFill="1" applyBorder="1" applyAlignment="1">
      <alignment horizontal="center"/>
    </xf>
    <xf numFmtId="183" fontId="18" fillId="0" borderId="2" xfId="0" applyNumberFormat="1" applyFont="1" applyFill="1" applyBorder="1"/>
    <xf numFmtId="200" fontId="5" fillId="0" borderId="18" xfId="0" applyNumberFormat="1" applyFont="1" applyFill="1" applyBorder="1"/>
    <xf numFmtId="165" fontId="18" fillId="0" borderId="2" xfId="0" applyNumberFormat="1" applyFont="1" applyFill="1" applyBorder="1"/>
    <xf numFmtId="182" fontId="5" fillId="0" borderId="18" xfId="0" applyNumberFormat="1" applyFont="1" applyFill="1" applyBorder="1"/>
    <xf numFmtId="180" fontId="9" fillId="0" borderId="0" xfId="27" applyNumberFormat="1" applyFont="1" applyAlignment="1" applyProtection="1">
      <alignment horizontal="right"/>
    </xf>
    <xf numFmtId="193" fontId="9" fillId="0" borderId="0" xfId="27" applyNumberFormat="1" applyFont="1" applyFill="1" applyBorder="1" applyProtection="1"/>
    <xf numFmtId="205" fontId="13" fillId="0" borderId="0" xfId="28" quotePrefix="1" applyNumberFormat="1" applyFont="1" applyAlignment="1" applyProtection="1">
      <alignment horizontal="right"/>
    </xf>
    <xf numFmtId="0" fontId="12" fillId="0" borderId="5" xfId="0" applyFont="1" applyBorder="1"/>
    <xf numFmtId="190" fontId="9" fillId="0" borderId="0" xfId="28" applyNumberFormat="1" applyFont="1" applyAlignment="1" applyProtection="1">
      <alignment horizontal="right"/>
    </xf>
    <xf numFmtId="182" fontId="5" fillId="0" borderId="0" xfId="0" applyNumberFormat="1" applyFont="1" applyFill="1"/>
    <xf numFmtId="198" fontId="5" fillId="0" borderId="0" xfId="0" applyNumberFormat="1" applyFont="1" applyFill="1"/>
    <xf numFmtId="198" fontId="5" fillId="0" borderId="2" xfId="0" applyNumberFormat="1" applyFont="1" applyFill="1" applyBorder="1"/>
    <xf numFmtId="198" fontId="22" fillId="0" borderId="0" xfId="0" applyNumberFormat="1" applyFont="1" applyFill="1"/>
    <xf numFmtId="200" fontId="5" fillId="0" borderId="0" xfId="0" applyNumberFormat="1" applyFont="1" applyFill="1"/>
    <xf numFmtId="0" fontId="5" fillId="0" borderId="18" xfId="0" applyFont="1" applyFill="1" applyBorder="1"/>
    <xf numFmtId="0" fontId="5" fillId="0" borderId="19" xfId="0" applyFont="1" applyFill="1" applyBorder="1"/>
    <xf numFmtId="0" fontId="18" fillId="0" borderId="18" xfId="0" applyFont="1" applyFill="1" applyBorder="1"/>
    <xf numFmtId="192" fontId="5" fillId="0" borderId="0" xfId="30" applyNumberFormat="1" applyFont="1" applyFill="1"/>
    <xf numFmtId="164" fontId="5" fillId="0" borderId="0" xfId="0" applyNumberFormat="1" applyFont="1" applyFill="1"/>
    <xf numFmtId="164" fontId="5" fillId="0" borderId="2" xfId="0" applyNumberFormat="1" applyFont="1" applyFill="1" applyBorder="1"/>
    <xf numFmtId="175" fontId="5" fillId="0" borderId="0" xfId="8" applyNumberFormat="1" applyFont="1"/>
    <xf numFmtId="183" fontId="5" fillId="0" borderId="0" xfId="0" applyNumberFormat="1" applyFont="1" applyFill="1"/>
    <xf numFmtId="0" fontId="5" fillId="0" borderId="0" xfId="0" applyFont="1" applyFill="1" applyBorder="1"/>
    <xf numFmtId="0" fontId="5" fillId="0" borderId="0" xfId="0" applyFont="1" applyFill="1" applyAlignment="1">
      <alignment horizontal="center"/>
    </xf>
    <xf numFmtId="178" fontId="5" fillId="0" borderId="0" xfId="0" applyNumberFormat="1" applyFont="1" applyFill="1"/>
    <xf numFmtId="1" fontId="5" fillId="0" borderId="0" xfId="0" applyNumberFormat="1" applyFont="1" applyFill="1"/>
    <xf numFmtId="4" fontId="5" fillId="0" borderId="0" xfId="0" applyNumberFormat="1" applyFont="1" applyFill="1"/>
    <xf numFmtId="4" fontId="5" fillId="0" borderId="2" xfId="0" applyNumberFormat="1" applyFont="1" applyFill="1" applyBorder="1"/>
    <xf numFmtId="166" fontId="13" fillId="0" borderId="0" xfId="27" applyNumberFormat="1" applyFont="1" applyProtection="1"/>
    <xf numFmtId="180" fontId="13" fillId="0" borderId="0" xfId="27" applyNumberFormat="1" applyFont="1" applyProtection="1"/>
    <xf numFmtId="0" fontId="11" fillId="0" borderId="0" xfId="0" quotePrefix="1" applyFont="1" applyFill="1" applyAlignment="1">
      <alignment horizontal="center"/>
    </xf>
    <xf numFmtId="177" fontId="5" fillId="0" borderId="0" xfId="0" applyNumberFormat="1" applyFont="1" applyFill="1"/>
    <xf numFmtId="175" fontId="5" fillId="0" borderId="18" xfId="0" applyNumberFormat="1" applyFont="1" applyFill="1" applyBorder="1"/>
    <xf numFmtId="0" fontId="11" fillId="0" borderId="0" xfId="0" applyFont="1" applyAlignment="1">
      <alignment horizontal="centerContinuous"/>
    </xf>
    <xf numFmtId="37" fontId="5" fillId="0" borderId="0" xfId="8" applyNumberFormat="1" applyFont="1"/>
    <xf numFmtId="37" fontId="5" fillId="0" borderId="0" xfId="0" applyNumberFormat="1" applyFont="1"/>
    <xf numFmtId="180" fontId="18" fillId="0" borderId="0" xfId="26" quotePrefix="1" applyFont="1" applyFill="1" applyAlignment="1">
      <alignment horizontal="right"/>
    </xf>
    <xf numFmtId="180" fontId="18" fillId="0" borderId="0" xfId="26" quotePrefix="1" applyFont="1" applyFill="1" applyBorder="1" applyAlignment="1">
      <alignment horizontal="right"/>
    </xf>
    <xf numFmtId="0" fontId="5" fillId="0" borderId="18" xfId="0" applyFont="1" applyFill="1" applyBorder="1" applyAlignment="1">
      <alignment horizontal="right"/>
    </xf>
    <xf numFmtId="0" fontId="5" fillId="0" borderId="19" xfId="0" applyFont="1" applyFill="1" applyBorder="1" applyAlignment="1">
      <alignment horizontal="right"/>
    </xf>
    <xf numFmtId="0" fontId="11" fillId="0" borderId="2" xfId="0" applyFont="1" applyFill="1" applyBorder="1" applyAlignment="1">
      <alignment horizontal="centerContinuous"/>
    </xf>
    <xf numFmtId="0" fontId="11" fillId="0" borderId="0" xfId="0" applyFont="1" applyFill="1" applyBorder="1" applyAlignment="1">
      <alignment horizontal="centerContinuous"/>
    </xf>
    <xf numFmtId="0" fontId="30" fillId="0" borderId="0" xfId="0" applyFont="1" applyFill="1" applyBorder="1" applyAlignment="1">
      <alignment horizontal="center"/>
    </xf>
    <xf numFmtId="0" fontId="18" fillId="0" borderId="0" xfId="0" applyFont="1" applyFill="1" applyAlignment="1">
      <alignment horizontal="right"/>
    </xf>
    <xf numFmtId="16" fontId="18" fillId="0" borderId="0" xfId="0" quotePrefix="1" applyNumberFormat="1" applyFont="1" applyFill="1" applyBorder="1" applyAlignment="1">
      <alignment horizontal="right"/>
    </xf>
    <xf numFmtId="0" fontId="18" fillId="0" borderId="0" xfId="0" quotePrefix="1" applyFont="1" applyFill="1" applyAlignment="1">
      <alignment horizontal="right"/>
    </xf>
    <xf numFmtId="16" fontId="18" fillId="0" borderId="19" xfId="0" quotePrefix="1" applyNumberFormat="1" applyFont="1" applyFill="1" applyBorder="1" applyAlignment="1">
      <alignment horizontal="right"/>
    </xf>
    <xf numFmtId="0" fontId="5" fillId="0" borderId="0" xfId="0" applyFont="1" applyFill="1" applyBorder="1" applyAlignment="1">
      <alignment horizontal="right"/>
    </xf>
    <xf numFmtId="180" fontId="18" fillId="0" borderId="0" xfId="26" quotePrefix="1" applyFont="1" applyBorder="1" applyAlignment="1">
      <alignment horizontal="right"/>
    </xf>
    <xf numFmtId="16" fontId="18" fillId="0" borderId="0" xfId="0" quotePrefix="1" applyNumberFormat="1" applyFont="1" applyBorder="1" applyAlignment="1">
      <alignment horizontal="right"/>
    </xf>
    <xf numFmtId="0" fontId="18" fillId="0" borderId="0" xfId="0" quotePrefix="1" applyFont="1" applyAlignment="1">
      <alignment horizontal="right"/>
    </xf>
    <xf numFmtId="16" fontId="18" fillId="0" borderId="19" xfId="0" quotePrefix="1" applyNumberFormat="1" applyFont="1" applyBorder="1" applyAlignment="1">
      <alignment horizontal="right"/>
    </xf>
    <xf numFmtId="180" fontId="5" fillId="0" borderId="0" xfId="26" quotePrefix="1" applyFont="1" applyFill="1" applyAlignment="1">
      <alignment horizontal="right"/>
    </xf>
    <xf numFmtId="183" fontId="18" fillId="0" borderId="2" xfId="0" applyNumberFormat="1" applyFont="1" applyFill="1" applyBorder="1" applyAlignment="1">
      <alignment horizontal="right"/>
    </xf>
    <xf numFmtId="0" fontId="11" fillId="0" borderId="0" xfId="0" applyFont="1" applyFill="1" applyBorder="1" applyAlignment="1">
      <alignment horizontal="right"/>
    </xf>
    <xf numFmtId="16" fontId="5" fillId="0" borderId="0" xfId="0" quotePrefix="1" applyNumberFormat="1" applyFont="1" applyFill="1" applyBorder="1" applyAlignment="1">
      <alignment horizontal="right"/>
    </xf>
    <xf numFmtId="16" fontId="5" fillId="0" borderId="19" xfId="0" quotePrefix="1" applyNumberFormat="1" applyFont="1" applyFill="1" applyBorder="1" applyAlignment="1">
      <alignment horizontal="right"/>
    </xf>
    <xf numFmtId="16" fontId="5" fillId="0" borderId="0" xfId="0" quotePrefix="1" applyNumberFormat="1" applyFont="1" applyFill="1" applyAlignment="1">
      <alignment horizontal="right"/>
    </xf>
    <xf numFmtId="193" fontId="13" fillId="0" borderId="0" xfId="27" applyNumberFormat="1" applyFont="1" applyFill="1" applyProtection="1"/>
    <xf numFmtId="0" fontId="18" fillId="0" borderId="18" xfId="0" applyFont="1" applyFill="1" applyBorder="1" applyAlignment="1">
      <alignment horizontal="right"/>
    </xf>
    <xf numFmtId="200" fontId="18" fillId="0" borderId="18" xfId="0" applyNumberFormat="1" applyFont="1" applyFill="1" applyBorder="1" applyAlignment="1">
      <alignment horizontal="right"/>
    </xf>
    <xf numFmtId="166" fontId="5" fillId="0" borderId="0" xfId="30" applyNumberFormat="1" applyFont="1" applyFill="1"/>
    <xf numFmtId="166" fontId="27" fillId="0" borderId="0" xfId="30" applyNumberFormat="1" applyFont="1" applyFill="1"/>
    <xf numFmtId="164" fontId="18" fillId="0" borderId="0" xfId="0" applyNumberFormat="1" applyFont="1" applyBorder="1"/>
    <xf numFmtId="200" fontId="5" fillId="0" borderId="2" xfId="0" applyNumberFormat="1" applyFont="1" applyFill="1" applyBorder="1"/>
    <xf numFmtId="200" fontId="5" fillId="0" borderId="0" xfId="0" applyNumberFormat="1" applyFont="1" applyFill="1" applyAlignment="1">
      <alignment horizontal="center"/>
    </xf>
    <xf numFmtId="201" fontId="5" fillId="0" borderId="0" xfId="0" applyNumberFormat="1" applyFont="1" applyFill="1"/>
    <xf numFmtId="201" fontId="5" fillId="0" borderId="2" xfId="0" applyNumberFormat="1" applyFont="1" applyFill="1" applyBorder="1"/>
    <xf numFmtId="201" fontId="18" fillId="0" borderId="2" xfId="0" applyNumberFormat="1" applyFont="1" applyFill="1" applyBorder="1"/>
    <xf numFmtId="185" fontId="13" fillId="0" borderId="0" xfId="27" applyNumberFormat="1" applyFont="1" applyProtection="1"/>
    <xf numFmtId="0" fontId="11" fillId="0" borderId="0" xfId="0" applyFont="1" applyBorder="1"/>
    <xf numFmtId="185" fontId="18" fillId="0" borderId="2" xfId="0" applyNumberFormat="1" applyFont="1" applyBorder="1"/>
    <xf numFmtId="0" fontId="11" fillId="0" borderId="0" xfId="0" applyFont="1" applyAlignment="1">
      <alignment horizontal="left"/>
    </xf>
    <xf numFmtId="0" fontId="33" fillId="0" borderId="0" xfId="0" applyFont="1" applyAlignment="1">
      <alignment horizontal="center"/>
    </xf>
    <xf numFmtId="202" fontId="5" fillId="0" borderId="0" xfId="0" applyNumberFormat="1" applyFont="1"/>
    <xf numFmtId="37" fontId="18" fillId="0" borderId="2" xfId="0" applyNumberFormat="1" applyFont="1" applyBorder="1"/>
    <xf numFmtId="185" fontId="18" fillId="0" borderId="0" xfId="0" applyNumberFormat="1" applyFont="1" applyBorder="1"/>
    <xf numFmtId="192" fontId="34" fillId="0" borderId="0" xfId="30" applyNumberFormat="1" applyFont="1" applyBorder="1" applyAlignment="1">
      <alignment horizontal="left"/>
    </xf>
    <xf numFmtId="185" fontId="5" fillId="0" borderId="0" xfId="0" applyNumberFormat="1" applyFont="1" applyBorder="1"/>
    <xf numFmtId="0" fontId="5" fillId="0" borderId="0" xfId="0" applyFont="1" applyBorder="1" applyAlignment="1">
      <alignment horizontal="left"/>
    </xf>
    <xf numFmtId="0" fontId="5" fillId="0" borderId="5" xfId="0" applyFont="1" applyBorder="1" applyAlignment="1">
      <alignment horizontal="centerContinuous"/>
    </xf>
    <xf numFmtId="0" fontId="15" fillId="0" borderId="0" xfId="0" applyFont="1" applyBorder="1" applyAlignment="1">
      <alignment horizontal="left"/>
    </xf>
    <xf numFmtId="0" fontId="11" fillId="0" borderId="0" xfId="0" applyFont="1" applyBorder="1" applyAlignment="1">
      <alignment horizontal="left"/>
    </xf>
    <xf numFmtId="39" fontId="5" fillId="0" borderId="0" xfId="0" applyNumberFormat="1" applyFont="1" applyBorder="1"/>
    <xf numFmtId="185" fontId="18" fillId="0" borderId="0" xfId="0" applyNumberFormat="1" applyFont="1" applyBorder="1" applyAlignment="1">
      <alignment horizontal="left"/>
    </xf>
    <xf numFmtId="206" fontId="5" fillId="0" borderId="0" xfId="0" applyNumberFormat="1" applyFont="1" applyBorder="1"/>
    <xf numFmtId="202" fontId="34" fillId="0" borderId="0" xfId="30" applyNumberFormat="1" applyFont="1" applyBorder="1" applyAlignment="1">
      <alignment horizontal="left"/>
    </xf>
    <xf numFmtId="202" fontId="5" fillId="0" borderId="0" xfId="0" applyNumberFormat="1" applyFont="1" applyBorder="1" applyAlignment="1">
      <alignment horizontal="left"/>
    </xf>
    <xf numFmtId="192" fontId="5" fillId="0" borderId="0" xfId="0" applyNumberFormat="1" applyFont="1" applyBorder="1" applyAlignment="1">
      <alignment horizontal="left"/>
    </xf>
    <xf numFmtId="202" fontId="5" fillId="0" borderId="0" xfId="0" applyNumberFormat="1" applyFont="1" applyBorder="1"/>
    <xf numFmtId="37" fontId="18" fillId="0" borderId="0" xfId="0" applyNumberFormat="1" applyFont="1" applyBorder="1"/>
    <xf numFmtId="39" fontId="18" fillId="0" borderId="0" xfId="0" applyNumberFormat="1" applyFont="1" applyBorder="1"/>
    <xf numFmtId="192" fontId="34" fillId="0" borderId="0" xfId="30" applyNumberFormat="1" applyFont="1" applyBorder="1"/>
    <xf numFmtId="0" fontId="15" fillId="0" borderId="0" xfId="0" applyFont="1" applyBorder="1"/>
    <xf numFmtId="37" fontId="5" fillId="0" borderId="0" xfId="0" applyNumberFormat="1" applyFont="1" applyBorder="1"/>
    <xf numFmtId="206" fontId="18" fillId="0" borderId="0" xfId="0" applyNumberFormat="1" applyFont="1" applyBorder="1"/>
    <xf numFmtId="207" fontId="18" fillId="0" borderId="0" xfId="0" applyNumberFormat="1" applyFont="1" applyBorder="1"/>
    <xf numFmtId="201" fontId="5" fillId="0" borderId="0" xfId="0" applyNumberFormat="1" applyFont="1" applyBorder="1"/>
    <xf numFmtId="0" fontId="33" fillId="0" borderId="0" xfId="0" applyFont="1" applyBorder="1" applyAlignment="1">
      <alignment horizontal="center"/>
    </xf>
    <xf numFmtId="39" fontId="32" fillId="0" borderId="0" xfId="0" applyNumberFormat="1" applyFont="1" applyBorder="1"/>
    <xf numFmtId="0" fontId="35" fillId="0" borderId="14" xfId="0" applyFont="1" applyBorder="1" applyAlignment="1">
      <alignment horizontal="centerContinuous"/>
    </xf>
    <xf numFmtId="0" fontId="36" fillId="0" borderId="0" xfId="0" applyFont="1" applyBorder="1"/>
    <xf numFmtId="0" fontId="35" fillId="0" borderId="0" xfId="0" applyFont="1" applyBorder="1" applyAlignment="1">
      <alignment horizontal="centerContinuous"/>
    </xf>
    <xf numFmtId="192" fontId="12" fillId="0" borderId="2" xfId="0" applyNumberFormat="1" applyFont="1" applyBorder="1"/>
    <xf numFmtId="192" fontId="12" fillId="0" borderId="0" xfId="0" applyNumberFormat="1" applyFont="1"/>
    <xf numFmtId="0" fontId="33" fillId="0" borderId="5" xfId="0" applyFont="1" applyBorder="1" applyAlignment="1">
      <alignment horizontal="centerContinuous"/>
    </xf>
    <xf numFmtId="0" fontId="33" fillId="0" borderId="2" xfId="0" applyFont="1" applyBorder="1" applyAlignment="1">
      <alignment horizontal="centerContinuous"/>
    </xf>
    <xf numFmtId="201" fontId="5" fillId="0" borderId="2" xfId="0" applyNumberFormat="1" applyFont="1" applyBorder="1"/>
    <xf numFmtId="0" fontId="18" fillId="0" borderId="0" xfId="0" applyFont="1" applyBorder="1" applyAlignment="1">
      <alignment horizontal="center"/>
    </xf>
    <xf numFmtId="206" fontId="37" fillId="0" borderId="0" xfId="0" applyNumberFormat="1" applyFont="1" applyBorder="1"/>
    <xf numFmtId="183" fontId="37" fillId="0" borderId="0" xfId="0" applyNumberFormat="1" applyFont="1" applyBorder="1"/>
    <xf numFmtId="208" fontId="5" fillId="0" borderId="2" xfId="0" applyNumberFormat="1" applyFont="1" applyBorder="1"/>
    <xf numFmtId="38" fontId="9" fillId="0" borderId="0" xfId="27" applyNumberFormat="1" applyFont="1" applyProtection="1"/>
    <xf numFmtId="38" fontId="9" fillId="0" borderId="0" xfId="27" applyNumberFormat="1" applyFont="1" applyFill="1" applyProtection="1"/>
    <xf numFmtId="5" fontId="13" fillId="0" borderId="0" xfId="27" applyNumberFormat="1" applyFont="1" applyFill="1" applyProtection="1"/>
    <xf numFmtId="38" fontId="13" fillId="0" borderId="0" xfId="27" applyNumberFormat="1" applyFont="1" applyProtection="1"/>
    <xf numFmtId="180" fontId="9" fillId="0" borderId="0" xfId="27" applyNumberFormat="1" applyFont="1" applyAlignment="1" applyProtection="1">
      <alignment horizontal="left" indent="2"/>
    </xf>
    <xf numFmtId="207" fontId="13" fillId="0" borderId="0" xfId="27" applyNumberFormat="1" applyFont="1" applyProtection="1"/>
    <xf numFmtId="207" fontId="9" fillId="0" borderId="0" xfId="27" applyNumberFormat="1" applyFont="1" applyProtection="1"/>
    <xf numFmtId="209" fontId="9" fillId="0" borderId="0" xfId="27" applyNumberFormat="1" applyFont="1" applyProtection="1"/>
    <xf numFmtId="201" fontId="13" fillId="0" borderId="0" xfId="27" applyNumberFormat="1" applyFont="1" applyProtection="1"/>
    <xf numFmtId="200" fontId="18" fillId="0" borderId="18" xfId="0" applyNumberFormat="1" applyFont="1" applyBorder="1" applyAlignment="1">
      <alignment horizontal="right"/>
    </xf>
    <xf numFmtId="183" fontId="18" fillId="0" borderId="18" xfId="0" applyNumberFormat="1" applyFont="1" applyBorder="1" applyAlignment="1">
      <alignment horizontal="right"/>
    </xf>
    <xf numFmtId="200" fontId="18" fillId="0" borderId="18" xfId="0" applyNumberFormat="1" applyFont="1" applyFill="1" applyBorder="1"/>
    <xf numFmtId="0" fontId="28" fillId="0" borderId="0" xfId="0" applyFont="1" applyFill="1"/>
    <xf numFmtId="9" fontId="5" fillId="0" borderId="0" xfId="0" applyNumberFormat="1" applyFont="1"/>
    <xf numFmtId="164" fontId="18" fillId="0" borderId="0" xfId="0" applyNumberFormat="1" applyFont="1" applyFill="1" applyBorder="1"/>
    <xf numFmtId="192" fontId="18" fillId="0" borderId="0" xfId="30" applyNumberFormat="1" applyFont="1" applyAlignment="1">
      <alignment horizontal="right"/>
    </xf>
    <xf numFmtId="169" fontId="18" fillId="0" borderId="0" xfId="0" applyNumberFormat="1" applyFont="1" applyFill="1"/>
    <xf numFmtId="0" fontId="16" fillId="0" borderId="2" xfId="0" applyFont="1" applyBorder="1" applyAlignment="1">
      <alignment horizontal="center"/>
    </xf>
    <xf numFmtId="38" fontId="5" fillId="0" borderId="0" xfId="0" applyNumberFormat="1" applyFont="1" applyFill="1"/>
    <xf numFmtId="3" fontId="5" fillId="0" borderId="0" xfId="0" applyNumberFormat="1" applyFont="1" applyFill="1"/>
    <xf numFmtId="3" fontId="5" fillId="0" borderId="2" xfId="0" applyNumberFormat="1" applyFont="1" applyFill="1" applyBorder="1"/>
    <xf numFmtId="0" fontId="16" fillId="0" borderId="0" xfId="0" applyFont="1" applyBorder="1" applyAlignment="1">
      <alignment horizontal="center"/>
    </xf>
    <xf numFmtId="171" fontId="18" fillId="0" borderId="0" xfId="0" applyNumberFormat="1" applyFont="1" applyFill="1"/>
    <xf numFmtId="185" fontId="18" fillId="0" borderId="0" xfId="0" applyNumberFormat="1" applyFont="1" applyFill="1" applyBorder="1"/>
    <xf numFmtId="192" fontId="37" fillId="0" borderId="0" xfId="30" applyNumberFormat="1" applyFont="1" applyBorder="1" applyAlignment="1">
      <alignment horizontal="left"/>
    </xf>
    <xf numFmtId="0" fontId="34" fillId="0" borderId="0" xfId="0" applyFont="1"/>
    <xf numFmtId="2" fontId="36" fillId="0" borderId="0" xfId="0" applyNumberFormat="1" applyFont="1" applyBorder="1"/>
    <xf numFmtId="166" fontId="38" fillId="0" borderId="0" xfId="27" applyNumberFormat="1" applyFont="1" applyFill="1" applyProtection="1"/>
    <xf numFmtId="2" fontId="5" fillId="0" borderId="0" xfId="0" applyNumberFormat="1" applyFont="1"/>
    <xf numFmtId="2" fontId="26" fillId="0" borderId="0" xfId="0" applyNumberFormat="1" applyFont="1"/>
    <xf numFmtId="2" fontId="26" fillId="0" borderId="2" xfId="0" applyNumberFormat="1" applyFont="1" applyBorder="1"/>
    <xf numFmtId="203" fontId="18" fillId="0" borderId="0" xfId="0" applyNumberFormat="1" applyFont="1" applyBorder="1"/>
    <xf numFmtId="203" fontId="5" fillId="0" borderId="0" xfId="0" applyNumberFormat="1" applyFont="1" applyBorder="1"/>
    <xf numFmtId="203" fontId="11" fillId="0" borderId="0" xfId="0" applyNumberFormat="1" applyFont="1" applyBorder="1"/>
    <xf numFmtId="185" fontId="11" fillId="0" borderId="0" xfId="0" applyNumberFormat="1" applyFont="1"/>
    <xf numFmtId="192" fontId="5" fillId="0" borderId="0" xfId="0" applyNumberFormat="1" applyFont="1" applyBorder="1"/>
    <xf numFmtId="37" fontId="13" fillId="0" borderId="0" xfId="27" applyNumberFormat="1" applyFont="1" applyFill="1" applyProtection="1"/>
    <xf numFmtId="0" fontId="34" fillId="0" borderId="0" xfId="0" applyFont="1" applyAlignment="1">
      <alignment horizontal="center"/>
    </xf>
    <xf numFmtId="6" fontId="5" fillId="0" borderId="0" xfId="0" applyNumberFormat="1" applyFont="1"/>
    <xf numFmtId="0" fontId="27" fillId="0" borderId="0" xfId="0" applyFont="1" applyAlignment="1">
      <alignment horizontal="center"/>
    </xf>
    <xf numFmtId="0" fontId="5" fillId="0" borderId="5" xfId="0" applyFont="1" applyBorder="1"/>
    <xf numFmtId="0" fontId="11" fillId="0" borderId="1" xfId="0" applyFont="1" applyBorder="1" applyAlignment="1">
      <alignment horizontal="center"/>
    </xf>
    <xf numFmtId="0" fontId="11" fillId="0" borderId="15" xfId="0" applyFont="1" applyBorder="1" applyAlignment="1">
      <alignment horizontal="center"/>
    </xf>
    <xf numFmtId="0" fontId="11" fillId="0" borderId="17" xfId="0" applyFont="1" applyBorder="1" applyAlignment="1">
      <alignment horizontal="center"/>
    </xf>
    <xf numFmtId="185" fontId="5" fillId="0" borderId="0" xfId="0" applyNumberFormat="1" applyFont="1"/>
    <xf numFmtId="185" fontId="18" fillId="0" borderId="0" xfId="0" applyNumberFormat="1" applyFont="1"/>
    <xf numFmtId="37" fontId="18" fillId="0" borderId="0" xfId="0" applyNumberFormat="1" applyFont="1"/>
    <xf numFmtId="5" fontId="18" fillId="0" borderId="0" xfId="0" applyNumberFormat="1" applyFont="1"/>
    <xf numFmtId="185" fontId="18" fillId="0" borderId="0" xfId="0" applyNumberFormat="1" applyFont="1" applyBorder="1" applyAlignment="1">
      <alignment horizontal="right"/>
    </xf>
    <xf numFmtId="185" fontId="18" fillId="0" borderId="2" xfId="0" applyNumberFormat="1" applyFont="1" applyBorder="1" applyAlignment="1">
      <alignment horizontal="right"/>
    </xf>
    <xf numFmtId="185" fontId="5" fillId="0" borderId="2" xfId="0" applyNumberFormat="1" applyFont="1" applyBorder="1"/>
    <xf numFmtId="0" fontId="5" fillId="0" borderId="4" xfId="0" applyFont="1" applyBorder="1"/>
    <xf numFmtId="185" fontId="18" fillId="6" borderId="0" xfId="0" applyNumberFormat="1" applyFont="1" applyFill="1" applyBorder="1"/>
    <xf numFmtId="193" fontId="40" fillId="0" borderId="0" xfId="27" applyNumberFormat="1" applyFont="1" applyFill="1" applyProtection="1"/>
    <xf numFmtId="0" fontId="11" fillId="0" borderId="1" xfId="0" applyFont="1" applyBorder="1"/>
    <xf numFmtId="0" fontId="11" fillId="0" borderId="16" xfId="0" applyFont="1" applyBorder="1" applyAlignment="1">
      <alignment horizontal="center"/>
    </xf>
    <xf numFmtId="0" fontId="27" fillId="0" borderId="0" xfId="0" applyFont="1"/>
    <xf numFmtId="210" fontId="9" fillId="0" borderId="0" xfId="28" applyNumberFormat="1" applyFont="1" applyAlignment="1" applyProtection="1">
      <alignment horizontal="right"/>
    </xf>
    <xf numFmtId="166" fontId="38" fillId="0" borderId="0" xfId="27" applyNumberFormat="1" applyFont="1" applyProtection="1"/>
    <xf numFmtId="193" fontId="38" fillId="0" borderId="0" xfId="27" applyNumberFormat="1" applyFont="1" applyProtection="1"/>
    <xf numFmtId="38" fontId="43" fillId="0" borderId="0" xfId="27" applyNumberFormat="1" applyFont="1" applyProtection="1"/>
    <xf numFmtId="185" fontId="13" fillId="0" borderId="0" xfId="27" applyNumberFormat="1" applyFont="1" applyAlignment="1" applyProtection="1">
      <alignment horizontal="right"/>
    </xf>
    <xf numFmtId="183" fontId="5" fillId="0" borderId="0" xfId="0" applyNumberFormat="1" applyFont="1"/>
    <xf numFmtId="180" fontId="9" fillId="0" borderId="0" xfId="27" applyFont="1" applyBorder="1" applyAlignment="1" applyProtection="1">
      <alignment horizontal="center"/>
    </xf>
    <xf numFmtId="211" fontId="18" fillId="0" borderId="0" xfId="26" quotePrefix="1" applyNumberFormat="1" applyFont="1" applyAlignment="1">
      <alignment horizontal="right"/>
    </xf>
    <xf numFmtId="212" fontId="5" fillId="0" borderId="0" xfId="26" quotePrefix="1" applyNumberFormat="1" applyFont="1" applyFill="1" applyAlignment="1">
      <alignment horizontal="right"/>
    </xf>
    <xf numFmtId="212" fontId="5" fillId="0" borderId="18" xfId="0" applyNumberFormat="1" applyFont="1" applyFill="1" applyBorder="1" applyAlignment="1">
      <alignment horizontal="right"/>
    </xf>
    <xf numFmtId="212" fontId="5" fillId="0" borderId="19" xfId="0" applyNumberFormat="1" applyFont="1" applyFill="1" applyBorder="1" applyAlignment="1">
      <alignment horizontal="right"/>
    </xf>
    <xf numFmtId="212" fontId="5" fillId="0" borderId="0" xfId="0" applyNumberFormat="1" applyFont="1" applyFill="1" applyAlignment="1">
      <alignment horizontal="right"/>
    </xf>
    <xf numFmtId="0" fontId="0" fillId="0" borderId="15" xfId="0" applyBorder="1"/>
    <xf numFmtId="0" fontId="0" fillId="0" borderId="17" xfId="0" applyBorder="1"/>
    <xf numFmtId="0" fontId="11" fillId="0" borderId="21" xfId="0" applyFont="1" applyBorder="1" applyAlignment="1">
      <alignment horizontal="center"/>
    </xf>
    <xf numFmtId="185" fontId="5" fillId="0" borderId="0" xfId="0" applyNumberFormat="1" applyFont="1" applyBorder="1" applyAlignment="1">
      <alignment horizontal="right"/>
    </xf>
    <xf numFmtId="197" fontId="16" fillId="0" borderId="2" xfId="0" applyNumberFormat="1" applyFont="1" applyFill="1" applyBorder="1" applyAlignment="1">
      <alignment horizontal="centerContinuous"/>
    </xf>
    <xf numFmtId="9" fontId="18" fillId="0" borderId="0" xfId="0" applyNumberFormat="1" applyFont="1"/>
    <xf numFmtId="185" fontId="18" fillId="0" borderId="2" xfId="0" applyNumberFormat="1" applyFont="1" applyFill="1" applyBorder="1"/>
    <xf numFmtId="170" fontId="5" fillId="0" borderId="0" xfId="0" applyNumberFormat="1" applyFont="1" applyBorder="1"/>
    <xf numFmtId="0" fontId="14" fillId="0" borderId="0" xfId="0" applyFont="1" applyBorder="1" applyAlignment="1">
      <alignment horizontal="center"/>
    </xf>
    <xf numFmtId="202" fontId="14" fillId="0" borderId="0" xfId="0" applyNumberFormat="1" applyFont="1" applyBorder="1" applyAlignment="1">
      <alignment horizontal="center"/>
    </xf>
    <xf numFmtId="185" fontId="44" fillId="0" borderId="0" xfId="0" applyNumberFormat="1" applyFont="1" applyBorder="1"/>
    <xf numFmtId="9" fontId="5" fillId="0" borderId="0" xfId="30" applyNumberFormat="1" applyFont="1"/>
    <xf numFmtId="0" fontId="11" fillId="0" borderId="0" xfId="0" applyFont="1" applyFill="1"/>
    <xf numFmtId="9" fontId="18" fillId="0" borderId="0" xfId="30" applyFont="1"/>
    <xf numFmtId="9" fontId="27" fillId="0" borderId="0" xfId="30" applyFont="1"/>
    <xf numFmtId="9" fontId="27" fillId="0" borderId="0" xfId="0" applyNumberFormat="1" applyFont="1"/>
    <xf numFmtId="9" fontId="5" fillId="0" borderId="0" xfId="30" applyFont="1"/>
    <xf numFmtId="9" fontId="5" fillId="0" borderId="0" xfId="30" applyFont="1" applyBorder="1"/>
    <xf numFmtId="213" fontId="5" fillId="0" borderId="0" xfId="0" applyNumberFormat="1" applyFont="1"/>
    <xf numFmtId="213" fontId="5" fillId="0" borderId="2" xfId="0" applyNumberFormat="1" applyFont="1" applyBorder="1"/>
    <xf numFmtId="213" fontId="5" fillId="0" borderId="0" xfId="0" applyNumberFormat="1" applyFont="1" applyFill="1"/>
    <xf numFmtId="213" fontId="5" fillId="0" borderId="2" xfId="0" applyNumberFormat="1" applyFont="1" applyFill="1" applyBorder="1"/>
    <xf numFmtId="213" fontId="5" fillId="0" borderId="0" xfId="0" applyNumberFormat="1" applyFont="1" applyFill="1" applyBorder="1"/>
    <xf numFmtId="201" fontId="5" fillId="3" borderId="0" xfId="0" applyNumberFormat="1" applyFont="1" applyFill="1"/>
    <xf numFmtId="0" fontId="5" fillId="3" borderId="0" xfId="0" applyFont="1" applyFill="1" applyBorder="1"/>
    <xf numFmtId="0" fontId="5" fillId="3" borderId="0" xfId="0" applyFont="1" applyFill="1"/>
    <xf numFmtId="182" fontId="5" fillId="3" borderId="0" xfId="0" applyNumberFormat="1" applyFont="1" applyFill="1"/>
    <xf numFmtId="164" fontId="5" fillId="3" borderId="0" xfId="0" applyNumberFormat="1" applyFont="1" applyFill="1"/>
    <xf numFmtId="201" fontId="5" fillId="3" borderId="2" xfId="0" applyNumberFormat="1" applyFont="1" applyFill="1" applyBorder="1"/>
    <xf numFmtId="164" fontId="5" fillId="3" borderId="2" xfId="0" applyNumberFormat="1" applyFont="1" applyFill="1" applyBorder="1"/>
    <xf numFmtId="37" fontId="0" fillId="0" borderId="0" xfId="0" applyNumberFormat="1"/>
    <xf numFmtId="205" fontId="9" fillId="0" borderId="0" xfId="28" applyNumberFormat="1" applyFont="1" applyProtection="1"/>
    <xf numFmtId="205" fontId="9" fillId="0" borderId="0" xfId="28" applyNumberFormat="1" applyFont="1" applyAlignment="1" applyProtection="1">
      <alignment horizontal="right"/>
    </xf>
    <xf numFmtId="205" fontId="13" fillId="0" borderId="0" xfId="28" applyNumberFormat="1" applyFont="1" applyProtection="1"/>
    <xf numFmtId="180" fontId="13" fillId="0" borderId="0" xfId="27" applyFont="1"/>
    <xf numFmtId="180" fontId="9" fillId="0" borderId="0" xfId="27" applyNumberFormat="1" applyFont="1" applyAlignment="1" applyProtection="1">
      <alignment horizontal="left" indent="1"/>
    </xf>
    <xf numFmtId="0" fontId="11" fillId="0" borderId="22" xfId="0" applyFont="1" applyBorder="1"/>
    <xf numFmtId="0" fontId="5" fillId="0" borderId="7" xfId="0" applyFont="1" applyBorder="1" applyAlignment="1">
      <alignment horizontal="centerContinuous"/>
    </xf>
    <xf numFmtId="38" fontId="11" fillId="0" borderId="4" xfId="0" applyNumberFormat="1" applyFont="1" applyBorder="1"/>
    <xf numFmtId="38" fontId="5" fillId="0" borderId="4" xfId="0" applyNumberFormat="1" applyFont="1" applyBorder="1"/>
    <xf numFmtId="0" fontId="11" fillId="0" borderId="4" xfId="0" applyFont="1" applyBorder="1"/>
    <xf numFmtId="40" fontId="5" fillId="0" borderId="4" xfId="0" applyNumberFormat="1" applyFont="1" applyBorder="1"/>
    <xf numFmtId="40" fontId="11" fillId="0" borderId="4" xfId="0" applyNumberFormat="1" applyFont="1" applyBorder="1"/>
    <xf numFmtId="40" fontId="18" fillId="0" borderId="4" xfId="0" applyNumberFormat="1" applyFont="1" applyBorder="1"/>
    <xf numFmtId="0" fontId="14" fillId="0" borderId="7" xfId="0" applyFont="1" applyBorder="1" applyAlignment="1">
      <alignment horizontal="centerContinuous"/>
    </xf>
    <xf numFmtId="0" fontId="14" fillId="0" borderId="4" xfId="0" applyFont="1" applyBorder="1"/>
    <xf numFmtId="40" fontId="39" fillId="0" borderId="4" xfId="0" applyNumberFormat="1" applyFont="1" applyBorder="1"/>
    <xf numFmtId="180" fontId="28" fillId="0" borderId="0" xfId="27" applyNumberFormat="1" applyFont="1" applyAlignment="1" applyProtection="1">
      <alignment horizontal="left" indent="2"/>
    </xf>
    <xf numFmtId="180" fontId="28" fillId="0" borderId="0" xfId="27" quotePrefix="1" applyNumberFormat="1" applyFont="1" applyAlignment="1" applyProtection="1">
      <alignment horizontal="left" indent="2"/>
    </xf>
    <xf numFmtId="37" fontId="9" fillId="0" borderId="0" xfId="27" applyNumberFormat="1" applyFont="1" applyFill="1" applyProtection="1"/>
    <xf numFmtId="205" fontId="9" fillId="0" borderId="0" xfId="28" applyNumberFormat="1" applyFont="1" applyFill="1" applyProtection="1"/>
    <xf numFmtId="0" fontId="46" fillId="0" borderId="0" xfId="0" applyFont="1" applyAlignment="1">
      <alignment horizontal="center"/>
    </xf>
    <xf numFmtId="180" fontId="9" fillId="0" borderId="0" xfId="27" applyNumberFormat="1" applyFont="1" applyFill="1" applyProtection="1"/>
    <xf numFmtId="166" fontId="9" fillId="0" borderId="0" xfId="30" applyNumberFormat="1" applyFont="1" applyProtection="1"/>
    <xf numFmtId="206" fontId="13" fillId="0" borderId="0" xfId="27" applyNumberFormat="1" applyFont="1"/>
    <xf numFmtId="209" fontId="9" fillId="0" borderId="0" xfId="27" applyNumberFormat="1" applyFont="1" applyAlignment="1">
      <alignment horizontal="center"/>
    </xf>
    <xf numFmtId="37" fontId="9" fillId="0" borderId="0" xfId="0" applyNumberFormat="1" applyFont="1"/>
    <xf numFmtId="37" fontId="9" fillId="0" borderId="2" xfId="0" applyNumberFormat="1" applyFont="1" applyBorder="1"/>
    <xf numFmtId="37" fontId="9" fillId="0" borderId="0" xfId="0" applyNumberFormat="1" applyFont="1" applyBorder="1"/>
    <xf numFmtId="205" fontId="13" fillId="0" borderId="0" xfId="28" applyNumberFormat="1" applyFont="1" applyFill="1" applyProtection="1"/>
    <xf numFmtId="180" fontId="9" fillId="0" borderId="0" xfId="27" applyFont="1" applyAlignment="1">
      <alignment horizontal="left" indent="1"/>
    </xf>
    <xf numFmtId="0" fontId="0" fillId="0" borderId="0" xfId="0" applyAlignment="1">
      <alignment horizontal="center"/>
    </xf>
    <xf numFmtId="185" fontId="50" fillId="0" borderId="0" xfId="0" applyNumberFormat="1" applyFont="1" applyBorder="1"/>
    <xf numFmtId="209" fontId="9" fillId="0" borderId="0" xfId="27" applyNumberFormat="1" applyFont="1"/>
    <xf numFmtId="0" fontId="0" fillId="0" borderId="1" xfId="0" applyBorder="1"/>
    <xf numFmtId="38" fontId="9" fillId="0" borderId="0" xfId="27" applyNumberFormat="1" applyFont="1"/>
    <xf numFmtId="37" fontId="32" fillId="0" borderId="0" xfId="0" applyNumberFormat="1" applyFont="1"/>
    <xf numFmtId="166" fontId="38" fillId="0" borderId="0" xfId="30" applyNumberFormat="1" applyFont="1" applyFill="1" applyProtection="1"/>
    <xf numFmtId="166" fontId="9" fillId="0" borderId="0" xfId="30" applyNumberFormat="1" applyFont="1" applyFill="1" applyProtection="1"/>
    <xf numFmtId="166" fontId="0" fillId="0" borderId="0" xfId="30" applyNumberFormat="1" applyFont="1"/>
    <xf numFmtId="0" fontId="12" fillId="0" borderId="0" xfId="0" applyFont="1" applyAlignment="1">
      <alignment horizontal="left" indent="1"/>
    </xf>
    <xf numFmtId="5" fontId="9" fillId="0" borderId="0" xfId="27" applyNumberFormat="1" applyFont="1" applyFill="1" applyBorder="1" applyProtection="1"/>
    <xf numFmtId="0" fontId="9" fillId="0" borderId="0" xfId="0" applyFont="1" applyAlignment="1">
      <alignment horizontal="left"/>
    </xf>
    <xf numFmtId="190" fontId="9" fillId="0" borderId="2" xfId="28" applyNumberFormat="1" applyFont="1" applyBorder="1" applyProtection="1"/>
    <xf numFmtId="180" fontId="12" fillId="0" borderId="2" xfId="0" applyNumberFormat="1" applyFont="1" applyBorder="1"/>
    <xf numFmtId="166" fontId="18" fillId="0" borderId="0" xfId="30" applyNumberFormat="1" applyFont="1" applyBorder="1"/>
    <xf numFmtId="39" fontId="9" fillId="0" borderId="0" xfId="27" applyNumberFormat="1" applyFont="1" applyProtection="1"/>
    <xf numFmtId="216" fontId="9" fillId="0" borderId="0" xfId="27" applyNumberFormat="1" applyFont="1" applyProtection="1"/>
    <xf numFmtId="217" fontId="9" fillId="0" borderId="0" xfId="27" applyNumberFormat="1" applyFont="1" applyProtection="1"/>
    <xf numFmtId="185" fontId="13" fillId="0" borderId="0" xfId="27" applyNumberFormat="1" applyFont="1" applyFill="1" applyProtection="1"/>
    <xf numFmtId="9" fontId="9" fillId="0" borderId="0" xfId="30" applyFont="1"/>
    <xf numFmtId="180" fontId="12" fillId="0" borderId="2" xfId="27" applyFont="1" applyBorder="1"/>
    <xf numFmtId="180" fontId="9" fillId="0" borderId="0" xfId="27" applyFont="1" applyAlignment="1">
      <alignment horizontal="right"/>
    </xf>
    <xf numFmtId="186" fontId="13" fillId="0" borderId="0" xfId="27" applyNumberFormat="1" applyFont="1" applyProtection="1"/>
    <xf numFmtId="183" fontId="9" fillId="0" borderId="0" xfId="27" applyNumberFormat="1" applyFont="1"/>
    <xf numFmtId="172" fontId="9" fillId="0" borderId="0" xfId="27" applyNumberFormat="1" applyFont="1"/>
    <xf numFmtId="9" fontId="13" fillId="0" borderId="0" xfId="30" applyFont="1"/>
    <xf numFmtId="37" fontId="13" fillId="0" borderId="0" xfId="27" applyNumberFormat="1" applyFont="1"/>
    <xf numFmtId="180" fontId="10" fillId="0" borderId="0" xfId="27" applyFont="1"/>
    <xf numFmtId="183" fontId="9" fillId="0" borderId="2" xfId="27" applyNumberFormat="1" applyFont="1" applyBorder="1"/>
    <xf numFmtId="167" fontId="9" fillId="0" borderId="0" xfId="27" applyNumberFormat="1" applyFont="1"/>
    <xf numFmtId="37" fontId="9" fillId="0" borderId="0" xfId="27" applyNumberFormat="1" applyFont="1"/>
    <xf numFmtId="180" fontId="13" fillId="0" borderId="0" xfId="27" applyFont="1" applyFill="1"/>
    <xf numFmtId="5" fontId="9" fillId="0" borderId="0" xfId="27" applyNumberFormat="1" applyFont="1"/>
    <xf numFmtId="186" fontId="38" fillId="0" borderId="0" xfId="27" applyNumberFormat="1" applyFont="1" applyProtection="1"/>
    <xf numFmtId="203" fontId="9" fillId="0" borderId="0" xfId="27" applyNumberFormat="1" applyFont="1" applyProtection="1"/>
    <xf numFmtId="180" fontId="25" fillId="0" borderId="0" xfId="27" applyFont="1"/>
    <xf numFmtId="166" fontId="9" fillId="0" borderId="2" xfId="30" applyNumberFormat="1" applyFont="1" applyBorder="1"/>
    <xf numFmtId="190" fontId="9" fillId="0" borderId="2" xfId="28" applyNumberFormat="1" applyFont="1" applyBorder="1" applyAlignment="1" applyProtection="1">
      <alignment horizontal="right"/>
    </xf>
    <xf numFmtId="190" fontId="9" fillId="0" borderId="0" xfId="28" applyNumberFormat="1" applyFont="1" applyBorder="1" applyAlignment="1" applyProtection="1">
      <alignment horizontal="right"/>
    </xf>
    <xf numFmtId="166" fontId="9" fillId="0" borderId="0" xfId="30" applyNumberFormat="1" applyFont="1" applyBorder="1"/>
    <xf numFmtId="5" fontId="13" fillId="0" borderId="0" xfId="27" applyNumberFormat="1" applyFont="1"/>
    <xf numFmtId="195" fontId="12" fillId="0" borderId="0" xfId="0" applyNumberFormat="1" applyFont="1" applyBorder="1"/>
    <xf numFmtId="180" fontId="12" fillId="0" borderId="0" xfId="0" applyNumberFormat="1" applyFont="1" applyBorder="1" applyAlignment="1">
      <alignment horizontal="center"/>
    </xf>
    <xf numFmtId="195" fontId="12" fillId="0" borderId="0" xfId="0" applyNumberFormat="1" applyFont="1" applyBorder="1" applyAlignment="1">
      <alignment horizontal="center"/>
    </xf>
    <xf numFmtId="195" fontId="12" fillId="0" borderId="2" xfId="0" applyNumberFormat="1" applyFont="1" applyBorder="1"/>
    <xf numFmtId="180" fontId="28" fillId="0" borderId="0" xfId="27" applyFont="1"/>
    <xf numFmtId="0" fontId="5" fillId="0" borderId="5" xfId="0" applyFont="1" applyBorder="1" applyAlignment="1">
      <alignment horizontal="center"/>
    </xf>
    <xf numFmtId="9" fontId="18" fillId="0" borderId="0" xfId="30" applyNumberFormat="1" applyFont="1"/>
    <xf numFmtId="5" fontId="5" fillId="0" borderId="0" xfId="30" applyNumberFormat="1" applyFont="1"/>
    <xf numFmtId="205" fontId="18" fillId="0" borderId="0" xfId="30" applyNumberFormat="1" applyFont="1"/>
    <xf numFmtId="183" fontId="5" fillId="0" borderId="0" xfId="0" applyNumberFormat="1" applyFont="1" applyFill="1" applyAlignment="1">
      <alignment horizontal="right"/>
    </xf>
    <xf numFmtId="169" fontId="18" fillId="0" borderId="0" xfId="0" applyNumberFormat="1" applyFont="1" applyBorder="1"/>
    <xf numFmtId="0" fontId="18" fillId="0" borderId="0" xfId="0" applyFont="1" applyAlignment="1">
      <alignment horizontal="center"/>
    </xf>
    <xf numFmtId="221" fontId="34" fillId="0" borderId="0" xfId="30" applyNumberFormat="1" applyFont="1" applyBorder="1" applyAlignment="1">
      <alignment horizontal="left"/>
    </xf>
    <xf numFmtId="196" fontId="5" fillId="0" borderId="0" xfId="0" applyNumberFormat="1" applyFont="1" applyFill="1" applyAlignment="1">
      <alignment horizontal="left"/>
    </xf>
    <xf numFmtId="200" fontId="9" fillId="0" borderId="0" xfId="27" applyNumberFormat="1" applyFont="1" applyFill="1"/>
    <xf numFmtId="206" fontId="9" fillId="0" borderId="0" xfId="27" applyNumberFormat="1" applyFont="1"/>
    <xf numFmtId="38" fontId="5" fillId="0" borderId="0" xfId="0" applyNumberFormat="1" applyFont="1" applyBorder="1"/>
    <xf numFmtId="180" fontId="5" fillId="0" borderId="0" xfId="19" applyFont="1" applyAlignment="1"/>
    <xf numFmtId="197" fontId="21" fillId="0" borderId="2" xfId="15" applyNumberFormat="1" applyFont="1" applyFill="1" applyBorder="1" applyAlignment="1">
      <alignment horizontal="center"/>
    </xf>
    <xf numFmtId="0" fontId="9" fillId="0" borderId="0" xfId="0" applyFont="1" applyBorder="1" applyAlignment="1">
      <alignment horizontal="center"/>
    </xf>
    <xf numFmtId="0" fontId="9" fillId="0" borderId="0" xfId="0" applyFont="1" applyFill="1" applyAlignment="1">
      <alignment horizontal="center"/>
    </xf>
    <xf numFmtId="0" fontId="9" fillId="0" borderId="11" xfId="0" applyFont="1" applyBorder="1"/>
    <xf numFmtId="0" fontId="9" fillId="0" borderId="20" xfId="0" applyFont="1" applyBorder="1"/>
    <xf numFmtId="0" fontId="9" fillId="0" borderId="15" xfId="0" applyFont="1" applyBorder="1"/>
    <xf numFmtId="0" fontId="9" fillId="0" borderId="1" xfId="0" applyFont="1" applyBorder="1"/>
    <xf numFmtId="0" fontId="9" fillId="0" borderId="16" xfId="0" applyFont="1" applyBorder="1"/>
    <xf numFmtId="0" fontId="9" fillId="0" borderId="17" xfId="0" applyFont="1" applyBorder="1"/>
    <xf numFmtId="0" fontId="34" fillId="0" borderId="0" xfId="0" applyFont="1" applyAlignment="1">
      <alignment horizontal="left"/>
    </xf>
    <xf numFmtId="0" fontId="52" fillId="0" borderId="0" xfId="0" applyFont="1" applyBorder="1" applyAlignment="1">
      <alignment horizontal="center"/>
    </xf>
    <xf numFmtId="0" fontId="52" fillId="0" borderId="0" xfId="0" applyFont="1" applyAlignment="1">
      <alignment horizontal="center"/>
    </xf>
    <xf numFmtId="165" fontId="5" fillId="0" borderId="2" xfId="0" applyNumberFormat="1" applyFont="1" applyBorder="1" applyAlignment="1">
      <alignment horizontal="center"/>
    </xf>
    <xf numFmtId="43" fontId="5" fillId="0" borderId="0" xfId="8" applyFont="1"/>
    <xf numFmtId="43" fontId="34" fillId="0" borderId="0" xfId="8" applyFont="1"/>
    <xf numFmtId="177" fontId="9" fillId="0" borderId="0" xfId="8" applyNumberFormat="1" applyFont="1"/>
    <xf numFmtId="0" fontId="9" fillId="0" borderId="2" xfId="0" applyFont="1" applyBorder="1" applyAlignment="1">
      <alignment horizontal="center"/>
    </xf>
    <xf numFmtId="182" fontId="18" fillId="0" borderId="2" xfId="0" applyNumberFormat="1" applyFont="1" applyFill="1" applyBorder="1"/>
    <xf numFmtId="192" fontId="13" fillId="0" borderId="0" xfId="0" applyNumberFormat="1" applyFont="1"/>
    <xf numFmtId="201" fontId="5" fillId="0" borderId="5" xfId="0" applyNumberFormat="1" applyFont="1" applyBorder="1"/>
    <xf numFmtId="0" fontId="16" fillId="0" borderId="18" xfId="0" applyFont="1" applyBorder="1"/>
    <xf numFmtId="0" fontId="11" fillId="0" borderId="18" xfId="0" applyFont="1" applyBorder="1"/>
    <xf numFmtId="0" fontId="11" fillId="0" borderId="18" xfId="0" applyFont="1" applyFill="1" applyBorder="1"/>
    <xf numFmtId="200" fontId="11" fillId="0" borderId="18" xfId="0" applyNumberFormat="1" applyFont="1" applyFill="1" applyBorder="1"/>
    <xf numFmtId="200" fontId="16" fillId="0" borderId="18" xfId="0" applyNumberFormat="1" applyFont="1" applyBorder="1" applyAlignment="1">
      <alignment horizontal="right"/>
    </xf>
    <xf numFmtId="183" fontId="16" fillId="0" borderId="18" xfId="0" applyNumberFormat="1" applyFont="1" applyBorder="1" applyAlignment="1">
      <alignment horizontal="right"/>
    </xf>
    <xf numFmtId="183" fontId="16" fillId="0" borderId="18" xfId="0" applyNumberFormat="1" applyFont="1" applyFill="1" applyBorder="1" applyAlignment="1">
      <alignment horizontal="right"/>
    </xf>
    <xf numFmtId="183" fontId="11" fillId="0" borderId="18" xfId="0" applyNumberFormat="1" applyFont="1" applyFill="1" applyBorder="1" applyAlignment="1">
      <alignment horizontal="right"/>
    </xf>
    <xf numFmtId="183" fontId="11" fillId="0" borderId="0" xfId="0" applyNumberFormat="1" applyFont="1"/>
    <xf numFmtId="200" fontId="16" fillId="0" borderId="18" xfId="0" applyNumberFormat="1" applyFont="1" applyFill="1" applyBorder="1"/>
    <xf numFmtId="183" fontId="16" fillId="0" borderId="18" xfId="0" applyNumberFormat="1" applyFont="1" applyFill="1" applyBorder="1"/>
    <xf numFmtId="183" fontId="11" fillId="0" borderId="18" xfId="0" applyNumberFormat="1" applyFont="1" applyFill="1" applyBorder="1"/>
    <xf numFmtId="205" fontId="9" fillId="0" borderId="0" xfId="28" applyNumberFormat="1" applyFont="1" applyFill="1" applyAlignment="1" applyProtection="1">
      <alignment horizontal="right"/>
    </xf>
    <xf numFmtId="205" fontId="9" fillId="0" borderId="0" xfId="28" applyNumberFormat="1" applyFont="1" applyAlignment="1" applyProtection="1"/>
    <xf numFmtId="0" fontId="53" fillId="0" borderId="0" xfId="0" applyFont="1" applyBorder="1" applyAlignment="1">
      <alignment horizontal="right"/>
    </xf>
    <xf numFmtId="0" fontId="53" fillId="0" borderId="2" xfId="0" applyFont="1" applyBorder="1" applyAlignment="1">
      <alignment horizontal="right"/>
    </xf>
    <xf numFmtId="0" fontId="53" fillId="0" borderId="0" xfId="0" applyFont="1" applyAlignment="1">
      <alignment horizontal="right"/>
    </xf>
    <xf numFmtId="4" fontId="54" fillId="0" borderId="0" xfId="0" applyNumberFormat="1" applyFont="1" applyBorder="1" applyAlignment="1">
      <alignment horizontal="right"/>
    </xf>
    <xf numFmtId="0" fontId="54" fillId="0" borderId="0" xfId="0" applyFont="1" applyAlignment="1">
      <alignment horizontal="right"/>
    </xf>
    <xf numFmtId="4" fontId="54" fillId="0" borderId="13" xfId="0" applyNumberFormat="1" applyFont="1" applyBorder="1" applyAlignment="1">
      <alignment horizontal="right"/>
    </xf>
    <xf numFmtId="0" fontId="54" fillId="0" borderId="14" xfId="0" applyFont="1" applyBorder="1" applyAlignment="1">
      <alignment horizontal="right"/>
    </xf>
    <xf numFmtId="0" fontId="54" fillId="0" borderId="0" xfId="0" applyFont="1" applyBorder="1" applyAlignment="1">
      <alignment horizontal="right"/>
    </xf>
    <xf numFmtId="204" fontId="5" fillId="0" borderId="4" xfId="0" applyNumberFormat="1" applyFont="1" applyBorder="1"/>
    <xf numFmtId="7" fontId="5" fillId="0" borderId="0" xfId="0" applyNumberFormat="1" applyFont="1"/>
    <xf numFmtId="226" fontId="5" fillId="0" borderId="0" xfId="0" applyNumberFormat="1" applyFont="1" applyBorder="1"/>
    <xf numFmtId="166" fontId="15" fillId="0" borderId="0" xfId="0" applyNumberFormat="1" applyFont="1" applyAlignment="1">
      <alignment horizontal="center"/>
    </xf>
    <xf numFmtId="166" fontId="17" fillId="0" borderId="0" xfId="0" applyNumberFormat="1" applyFont="1" applyAlignment="1">
      <alignment horizontal="center"/>
    </xf>
    <xf numFmtId="164" fontId="5" fillId="0" borderId="0" xfId="0" applyNumberFormat="1" applyFont="1" applyFill="1" applyBorder="1"/>
    <xf numFmtId="206" fontId="37" fillId="0" borderId="0" xfId="0" applyNumberFormat="1" applyFont="1" applyFill="1" applyBorder="1"/>
    <xf numFmtId="0" fontId="34" fillId="0" borderId="0" xfId="0" applyFont="1" applyFill="1"/>
    <xf numFmtId="0" fontId="24" fillId="0" borderId="0" xfId="0" applyFont="1"/>
    <xf numFmtId="185" fontId="9" fillId="0" borderId="0" xfId="27" applyNumberFormat="1" applyFont="1" applyFill="1" applyProtection="1"/>
    <xf numFmtId="227" fontId="15" fillId="0" borderId="0" xfId="0" applyNumberFormat="1" applyFont="1" applyAlignment="1">
      <alignment horizontal="left"/>
    </xf>
    <xf numFmtId="227" fontId="11" fillId="0" borderId="2" xfId="0" applyNumberFormat="1" applyFont="1" applyFill="1" applyBorder="1" applyAlignment="1">
      <alignment horizontal="centerContinuous"/>
    </xf>
    <xf numFmtId="227" fontId="12" fillId="0" borderId="2" xfId="15" applyNumberFormat="1" applyFont="1" applyFill="1" applyBorder="1" applyAlignment="1">
      <alignment horizontal="center"/>
    </xf>
    <xf numFmtId="182" fontId="57" fillId="0" borderId="0" xfId="0" applyNumberFormat="1" applyFont="1" applyFill="1" applyBorder="1"/>
    <xf numFmtId="164" fontId="57" fillId="0" borderId="0" xfId="0" applyNumberFormat="1" applyFont="1" applyFill="1" applyBorder="1"/>
    <xf numFmtId="192" fontId="34" fillId="0" borderId="0" xfId="30" applyNumberFormat="1" applyFont="1" applyFill="1" applyBorder="1" applyAlignment="1">
      <alignment horizontal="left"/>
    </xf>
    <xf numFmtId="38" fontId="9" fillId="6" borderId="0" xfId="27" applyNumberFormat="1" applyFont="1" applyFill="1" applyProtection="1"/>
    <xf numFmtId="201" fontId="5" fillId="0" borderId="11" xfId="0" applyNumberFormat="1" applyFont="1" applyBorder="1"/>
    <xf numFmtId="164" fontId="18" fillId="0" borderId="2" xfId="0" applyNumberFormat="1" applyFont="1" applyFill="1" applyBorder="1"/>
    <xf numFmtId="166" fontId="5" fillId="0" borderId="4" xfId="30" applyNumberFormat="1" applyFont="1" applyBorder="1"/>
    <xf numFmtId="2" fontId="13" fillId="0" borderId="0" xfId="27" applyNumberFormat="1" applyFont="1"/>
    <xf numFmtId="0" fontId="31" fillId="0" borderId="2" xfId="0" applyFont="1" applyBorder="1"/>
    <xf numFmtId="0" fontId="11" fillId="0" borderId="2" xfId="0" applyFont="1" applyFill="1" applyBorder="1"/>
    <xf numFmtId="0" fontId="11" fillId="2" borderId="2" xfId="0" applyFont="1" applyFill="1" applyBorder="1" applyAlignment="1">
      <alignment horizontal="center"/>
    </xf>
    <xf numFmtId="0" fontId="59" fillId="0" borderId="0" xfId="0" applyFont="1" applyBorder="1" applyAlignment="1">
      <alignment horizontal="left"/>
    </xf>
    <xf numFmtId="0" fontId="11" fillId="2" borderId="0" xfId="0" applyFont="1" applyFill="1" applyBorder="1"/>
    <xf numFmtId="0" fontId="11" fillId="0" borderId="0" xfId="0" applyFont="1" applyBorder="1" applyAlignment="1">
      <alignment horizontal="right"/>
    </xf>
    <xf numFmtId="49" fontId="18" fillId="0" borderId="0" xfId="30" applyNumberFormat="1" applyFont="1" applyBorder="1" applyAlignment="1">
      <alignment horizontal="center"/>
    </xf>
    <xf numFmtId="49" fontId="16" fillId="2" borderId="0" xfId="30" applyNumberFormat="1" applyFont="1" applyFill="1" applyBorder="1" applyAlignment="1">
      <alignment horizontal="center"/>
    </xf>
    <xf numFmtId="49" fontId="18" fillId="0" borderId="0" xfId="30" applyNumberFormat="1" applyFont="1" applyFill="1" applyBorder="1" applyAlignment="1">
      <alignment horizontal="center"/>
    </xf>
    <xf numFmtId="49" fontId="18" fillId="0" borderId="0" xfId="30" quotePrefix="1" applyNumberFormat="1" applyFont="1" applyBorder="1" applyAlignment="1">
      <alignment horizontal="center"/>
    </xf>
    <xf numFmtId="49" fontId="18" fillId="0" borderId="0" xfId="0" applyNumberFormat="1" applyFont="1" applyBorder="1" applyAlignment="1">
      <alignment horizontal="center"/>
    </xf>
    <xf numFmtId="49" fontId="18" fillId="0" borderId="0" xfId="0" applyNumberFormat="1" applyFont="1" applyFill="1" applyBorder="1" applyAlignment="1">
      <alignment horizontal="center"/>
    </xf>
    <xf numFmtId="49" fontId="16" fillId="2" borderId="0" xfId="0" applyNumberFormat="1" applyFont="1" applyFill="1" applyBorder="1" applyAlignment="1">
      <alignment horizontal="center"/>
    </xf>
    <xf numFmtId="0" fontId="11" fillId="0" borderId="2" xfId="0" applyFont="1" applyBorder="1" applyAlignment="1">
      <alignment horizontal="right"/>
    </xf>
    <xf numFmtId="49" fontId="18" fillId="0" borderId="2" xfId="0" applyNumberFormat="1" applyFont="1" applyBorder="1" applyAlignment="1">
      <alignment horizontal="center"/>
    </xf>
    <xf numFmtId="49" fontId="16" fillId="2" borderId="2" xfId="0" applyNumberFormat="1" applyFont="1" applyFill="1" applyBorder="1" applyAlignment="1">
      <alignment horizontal="center"/>
    </xf>
    <xf numFmtId="49" fontId="18" fillId="0" borderId="2" xfId="0" applyNumberFormat="1" applyFont="1" applyFill="1" applyBorder="1" applyAlignment="1">
      <alignment horizontal="center"/>
    </xf>
    <xf numFmtId="49" fontId="16" fillId="0" borderId="0" xfId="30" applyNumberFormat="1" applyFont="1" applyFill="1" applyBorder="1" applyAlignment="1">
      <alignment horizontal="center"/>
    </xf>
    <xf numFmtId="49" fontId="18" fillId="0" borderId="0" xfId="30" quotePrefix="1" applyNumberFormat="1" applyFont="1" applyFill="1" applyBorder="1" applyAlignment="1">
      <alignment horizontal="center"/>
    </xf>
    <xf numFmtId="0" fontId="11" fillId="0" borderId="0" xfId="0" applyFont="1" applyFill="1" applyBorder="1"/>
    <xf numFmtId="9" fontId="18" fillId="0" borderId="0" xfId="30" applyNumberFormat="1" applyFont="1" applyFill="1" applyBorder="1" applyAlignment="1">
      <alignment horizontal="center"/>
    </xf>
    <xf numFmtId="0" fontId="58" fillId="0" borderId="2" xfId="0" applyFont="1" applyBorder="1"/>
    <xf numFmtId="49" fontId="18" fillId="0" borderId="2" xfId="30" applyNumberFormat="1" applyFont="1" applyBorder="1" applyAlignment="1">
      <alignment horizontal="center"/>
    </xf>
    <xf numFmtId="49" fontId="16" fillId="2" borderId="2" xfId="30" applyNumberFormat="1" applyFont="1" applyFill="1" applyBorder="1" applyAlignment="1">
      <alignment horizontal="center"/>
    </xf>
    <xf numFmtId="0" fontId="60" fillId="0" borderId="0" xfId="0" applyFont="1" applyFill="1"/>
    <xf numFmtId="49" fontId="61" fillId="0" borderId="0" xfId="30" applyNumberFormat="1" applyFont="1" applyBorder="1" applyAlignment="1">
      <alignment horizontal="center"/>
    </xf>
    <xf numFmtId="49" fontId="61" fillId="0" borderId="0" xfId="30" applyNumberFormat="1" applyFont="1" applyFill="1" applyBorder="1" applyAlignment="1">
      <alignment horizontal="center"/>
    </xf>
    <xf numFmtId="37" fontId="60" fillId="0" borderId="0" xfId="17" applyFont="1"/>
    <xf numFmtId="0" fontId="9" fillId="6" borderId="0" xfId="0" applyFont="1" applyFill="1" applyBorder="1"/>
    <xf numFmtId="0" fontId="9" fillId="6" borderId="0" xfId="0" applyFont="1" applyFill="1"/>
    <xf numFmtId="0" fontId="9" fillId="0" borderId="0" xfId="0" applyFont="1" applyFill="1" applyBorder="1"/>
    <xf numFmtId="0" fontId="24" fillId="0" borderId="11" xfId="0" applyFont="1" applyBorder="1"/>
    <xf numFmtId="246" fontId="9" fillId="0" borderId="0" xfId="0" applyNumberFormat="1" applyFont="1"/>
    <xf numFmtId="9" fontId="9" fillId="0" borderId="0" xfId="0" applyNumberFormat="1" applyFont="1"/>
    <xf numFmtId="177" fontId="5" fillId="0" borderId="0" xfId="8" applyNumberFormat="1" applyFont="1"/>
    <xf numFmtId="208" fontId="5" fillId="0" borderId="0" xfId="0" applyNumberFormat="1" applyFont="1" applyBorder="1"/>
    <xf numFmtId="183" fontId="37" fillId="0" borderId="0" xfId="0" applyNumberFormat="1" applyFont="1" applyFill="1" applyBorder="1"/>
    <xf numFmtId="37" fontId="9" fillId="6" borderId="0" xfId="27" applyNumberFormat="1" applyFont="1" applyFill="1"/>
    <xf numFmtId="180" fontId="9" fillId="6" borderId="0" xfId="27" applyFont="1" applyFill="1"/>
    <xf numFmtId="9" fontId="9" fillId="6" borderId="0" xfId="30" applyFont="1" applyFill="1"/>
    <xf numFmtId="167" fontId="9" fillId="0" borderId="0" xfId="27" applyNumberFormat="1" applyFont="1" applyBorder="1" applyAlignment="1" applyProtection="1">
      <alignment horizontal="right"/>
    </xf>
    <xf numFmtId="0" fontId="12" fillId="0" borderId="6" xfId="0" applyFont="1" applyBorder="1"/>
    <xf numFmtId="180" fontId="12" fillId="0" borderId="5" xfId="0" applyNumberFormat="1" applyFont="1" applyBorder="1" applyAlignment="1">
      <alignment horizontal="center"/>
    </xf>
    <xf numFmtId="0" fontId="12" fillId="0" borderId="20" xfId="0" applyFont="1" applyBorder="1"/>
    <xf numFmtId="195" fontId="12" fillId="0" borderId="16" xfId="0" applyNumberFormat="1" applyFont="1" applyBorder="1"/>
    <xf numFmtId="195" fontId="12" fillId="0" borderId="15" xfId="0" applyNumberFormat="1" applyFont="1" applyBorder="1"/>
    <xf numFmtId="195" fontId="12" fillId="0" borderId="1" xfId="0" applyNumberFormat="1" applyFont="1" applyBorder="1"/>
    <xf numFmtId="180" fontId="12" fillId="0" borderId="20" xfId="27" applyFont="1" applyBorder="1"/>
    <xf numFmtId="0" fontId="67" fillId="0" borderId="0" xfId="0" applyFont="1"/>
    <xf numFmtId="221" fontId="5" fillId="0" borderId="0" xfId="0" applyNumberFormat="1" applyFont="1" applyBorder="1" applyAlignment="1">
      <alignment horizontal="left"/>
    </xf>
    <xf numFmtId="190" fontId="13" fillId="0" borderId="0" xfId="28" applyNumberFormat="1" applyFont="1" applyFill="1" applyProtection="1"/>
    <xf numFmtId="253" fontId="34" fillId="0" borderId="0" xfId="30" applyNumberFormat="1" applyFont="1" applyBorder="1" applyAlignment="1">
      <alignment horizontal="left"/>
    </xf>
    <xf numFmtId="37" fontId="13" fillId="6" borderId="0" xfId="27" applyNumberFormat="1" applyFont="1" applyFill="1" applyProtection="1"/>
    <xf numFmtId="0" fontId="11" fillId="0" borderId="16" xfId="0" applyFont="1" applyFill="1" applyBorder="1"/>
    <xf numFmtId="0" fontId="11" fillId="0" borderId="1" xfId="0" applyFont="1" applyFill="1" applyBorder="1"/>
    <xf numFmtId="9" fontId="5" fillId="0" borderId="0" xfId="30" applyFont="1" applyFill="1"/>
    <xf numFmtId="165" fontId="5" fillId="0" borderId="15" xfId="0" applyNumberFormat="1" applyFont="1" applyFill="1" applyBorder="1" applyAlignment="1">
      <alignment horizontal="center"/>
    </xf>
    <xf numFmtId="0" fontId="5" fillId="0" borderId="0" xfId="0" applyFont="1" applyFill="1" applyBorder="1" applyAlignment="1">
      <alignment horizontal="center"/>
    </xf>
    <xf numFmtId="202" fontId="37" fillId="0" borderId="0" xfId="30" applyNumberFormat="1" applyFont="1" applyBorder="1" applyAlignment="1">
      <alignment horizontal="right"/>
    </xf>
    <xf numFmtId="2" fontId="9" fillId="0" borderId="0" xfId="27" applyNumberFormat="1" applyFont="1"/>
    <xf numFmtId="165" fontId="9" fillId="0" borderId="0" xfId="27" applyNumberFormat="1" applyFont="1"/>
    <xf numFmtId="9" fontId="34" fillId="0" borderId="0" xfId="30" applyFont="1" applyBorder="1" applyAlignment="1">
      <alignment horizontal="left"/>
    </xf>
    <xf numFmtId="254" fontId="9" fillId="0" borderId="0" xfId="27" applyNumberFormat="1" applyFont="1" applyBorder="1" applyProtection="1"/>
    <xf numFmtId="221" fontId="5" fillId="0" borderId="0" xfId="0" applyNumberFormat="1" applyFont="1" applyBorder="1"/>
    <xf numFmtId="39" fontId="9" fillId="0" borderId="0" xfId="27" applyNumberFormat="1" applyFont="1" applyBorder="1" applyProtection="1"/>
    <xf numFmtId="203" fontId="9" fillId="0" borderId="0" xfId="27" applyNumberFormat="1" applyFont="1" applyBorder="1" applyProtection="1"/>
    <xf numFmtId="39" fontId="5" fillId="0" borderId="0" xfId="0" applyNumberFormat="1" applyFont="1" applyFill="1" applyBorder="1"/>
    <xf numFmtId="202" fontId="5" fillId="0" borderId="0" xfId="0" applyNumberFormat="1" applyFont="1" applyFill="1"/>
    <xf numFmtId="39" fontId="39" fillId="0" borderId="0" xfId="0" applyNumberFormat="1" applyFont="1" applyFill="1" applyBorder="1"/>
    <xf numFmtId="206" fontId="39" fillId="0" borderId="0" xfId="0" applyNumberFormat="1" applyFont="1" applyFill="1" applyBorder="1"/>
    <xf numFmtId="0" fontId="70" fillId="0" borderId="0" xfId="0" applyFont="1"/>
    <xf numFmtId="0" fontId="72" fillId="0" borderId="0" xfId="0" applyFont="1"/>
    <xf numFmtId="0" fontId="72" fillId="0" borderId="0" xfId="0" applyFont="1" applyFill="1"/>
    <xf numFmtId="0" fontId="72" fillId="0" borderId="0" xfId="0" applyFont="1" applyBorder="1"/>
    <xf numFmtId="0" fontId="72" fillId="0" borderId="2" xfId="0" applyFont="1" applyBorder="1"/>
    <xf numFmtId="0" fontId="69" fillId="0" borderId="2" xfId="0" applyFont="1" applyBorder="1"/>
    <xf numFmtId="0" fontId="78" fillId="0" borderId="0" xfId="0" applyFont="1"/>
    <xf numFmtId="175" fontId="72" fillId="0" borderId="0" xfId="8" applyNumberFormat="1" applyFont="1" applyFill="1"/>
    <xf numFmtId="182" fontId="72" fillId="0" borderId="0" xfId="0" applyNumberFormat="1" applyFont="1"/>
    <xf numFmtId="43" fontId="72" fillId="0" borderId="0" xfId="8" applyFont="1" applyFill="1"/>
    <xf numFmtId="164" fontId="72" fillId="0" borderId="0" xfId="0" applyNumberFormat="1" applyFont="1"/>
    <xf numFmtId="40" fontId="72" fillId="0" borderId="0" xfId="0" applyNumberFormat="1" applyFont="1"/>
    <xf numFmtId="165" fontId="72" fillId="0" borderId="0" xfId="0" applyNumberFormat="1" applyFont="1"/>
    <xf numFmtId="204" fontId="72" fillId="0" borderId="0" xfId="0" applyNumberFormat="1" applyFont="1"/>
    <xf numFmtId="2" fontId="72" fillId="0" borderId="0" xfId="0" applyNumberFormat="1" applyFont="1"/>
    <xf numFmtId="192" fontId="70" fillId="0" borderId="2" xfId="0" applyNumberFormat="1" applyFont="1" applyBorder="1"/>
    <xf numFmtId="0" fontId="69" fillId="0" borderId="0" xfId="0" applyFont="1" applyBorder="1"/>
    <xf numFmtId="0" fontId="69" fillId="0" borderId="2" xfId="0" applyFont="1" applyBorder="1" applyAlignment="1">
      <alignment horizontal="center"/>
    </xf>
    <xf numFmtId="0" fontId="69" fillId="0" borderId="2" xfId="0" applyFont="1" applyBorder="1" applyAlignment="1">
      <alignment horizontal="left"/>
    </xf>
    <xf numFmtId="0" fontId="72" fillId="0" borderId="0" xfId="0" applyFont="1" applyAlignment="1">
      <alignment horizontal="left"/>
    </xf>
    <xf numFmtId="0" fontId="72" fillId="0" borderId="0" xfId="0" applyFont="1" applyAlignment="1">
      <alignment horizontal="center"/>
    </xf>
    <xf numFmtId="0" fontId="74" fillId="0" borderId="13" xfId="0" applyFont="1" applyBorder="1" applyAlignment="1">
      <alignment horizontal="centerContinuous"/>
    </xf>
    <xf numFmtId="0" fontId="74" fillId="0" borderId="5" xfId="0" applyFont="1" applyBorder="1" applyAlignment="1">
      <alignment horizontal="centerContinuous"/>
    </xf>
    <xf numFmtId="0" fontId="74" fillId="0" borderId="14" xfId="0" applyFont="1" applyBorder="1" applyAlignment="1">
      <alignment horizontal="centerContinuous"/>
    </xf>
    <xf numFmtId="0" fontId="74" fillId="0" borderId="2" xfId="0" applyFont="1" applyBorder="1"/>
    <xf numFmtId="0" fontId="74" fillId="0" borderId="2" xfId="0" applyFont="1" applyBorder="1" applyAlignment="1">
      <alignment horizontal="center"/>
    </xf>
    <xf numFmtId="0" fontId="74" fillId="0" borderId="0" xfId="0" applyFont="1" applyAlignment="1">
      <alignment horizontal="center"/>
    </xf>
    <xf numFmtId="0" fontId="74" fillId="0" borderId="0" xfId="0" applyFont="1" applyBorder="1" applyAlignment="1">
      <alignment horizontal="centerContinuous"/>
    </xf>
    <xf numFmtId="0" fontId="74" fillId="0" borderId="2" xfId="0" applyFont="1" applyBorder="1" applyAlignment="1">
      <alignment horizontal="centerContinuous"/>
    </xf>
    <xf numFmtId="0" fontId="74" fillId="0" borderId="0" xfId="0" quotePrefix="1" applyFont="1" applyAlignment="1">
      <alignment horizontal="center"/>
    </xf>
    <xf numFmtId="0" fontId="74" fillId="0" borderId="0" xfId="0" quotePrefix="1" applyFont="1" applyBorder="1" applyAlignment="1">
      <alignment horizontal="centerContinuous"/>
    </xf>
    <xf numFmtId="0" fontId="80" fillId="0" borderId="0" xfId="0" applyFont="1" applyAlignment="1">
      <alignment horizontal="left"/>
    </xf>
    <xf numFmtId="0" fontId="80" fillId="0" borderId="0" xfId="0" quotePrefix="1" applyFont="1" applyAlignment="1">
      <alignment horizontal="left"/>
    </xf>
    <xf numFmtId="0" fontId="76" fillId="0" borderId="0" xfId="0" quotePrefix="1" applyFont="1" applyAlignment="1">
      <alignment horizontal="left"/>
    </xf>
    <xf numFmtId="195" fontId="75" fillId="0" borderId="0" xfId="0" applyNumberFormat="1" applyFont="1" applyAlignment="1">
      <alignment horizontal="left"/>
    </xf>
    <xf numFmtId="200" fontId="72" fillId="0" borderId="0" xfId="0" applyNumberFormat="1" applyFont="1" applyFill="1"/>
    <xf numFmtId="200" fontId="72" fillId="0" borderId="0" xfId="0" applyNumberFormat="1" applyFont="1" applyFill="1" applyAlignment="1">
      <alignment horizontal="center"/>
    </xf>
    <xf numFmtId="0" fontId="72" fillId="0" borderId="0" xfId="0" applyFont="1" applyFill="1" applyBorder="1"/>
    <xf numFmtId="201" fontId="72" fillId="0" borderId="0" xfId="0" applyNumberFormat="1" applyFont="1" applyFill="1"/>
    <xf numFmtId="0" fontId="72" fillId="0" borderId="0" xfId="0" applyFont="1" applyFill="1" applyAlignment="1">
      <alignment horizontal="center"/>
    </xf>
    <xf numFmtId="38" fontId="72" fillId="0" borderId="0" xfId="0" applyNumberFormat="1" applyFont="1" applyFill="1"/>
    <xf numFmtId="3" fontId="72" fillId="0" borderId="0" xfId="0" applyNumberFormat="1" applyFont="1" applyFill="1"/>
    <xf numFmtId="178" fontId="72" fillId="0" borderId="0" xfId="0" applyNumberFormat="1" applyFont="1" applyFill="1"/>
    <xf numFmtId="198" fontId="72" fillId="0" borderId="0" xfId="0" applyNumberFormat="1" applyFont="1"/>
    <xf numFmtId="169" fontId="78" fillId="0" borderId="0" xfId="0" applyNumberFormat="1" applyFont="1" applyAlignment="1">
      <alignment horizontal="right"/>
    </xf>
    <xf numFmtId="2" fontId="71" fillId="0" borderId="0" xfId="0" applyNumberFormat="1" applyFont="1"/>
    <xf numFmtId="179" fontId="72" fillId="0" borderId="0" xfId="0" applyNumberFormat="1" applyFont="1"/>
    <xf numFmtId="164" fontId="72" fillId="0" borderId="0" xfId="0" applyNumberFormat="1" applyFont="1" applyFill="1"/>
    <xf numFmtId="4" fontId="72" fillId="0" borderId="0" xfId="0" applyNumberFormat="1" applyFont="1" applyFill="1"/>
    <xf numFmtId="3" fontId="72" fillId="0" borderId="0" xfId="0" applyNumberFormat="1" applyFont="1"/>
    <xf numFmtId="200" fontId="72" fillId="0" borderId="2" xfId="0" applyNumberFormat="1" applyFont="1" applyFill="1" applyBorder="1"/>
    <xf numFmtId="3" fontId="72" fillId="0" borderId="2" xfId="0" applyNumberFormat="1" applyFont="1" applyFill="1" applyBorder="1"/>
    <xf numFmtId="201" fontId="72" fillId="0" borderId="2" xfId="0" applyNumberFormat="1" applyFont="1" applyFill="1" applyBorder="1"/>
    <xf numFmtId="164" fontId="72" fillId="0" borderId="2" xfId="0" applyNumberFormat="1" applyFont="1" applyFill="1" applyBorder="1"/>
    <xf numFmtId="4" fontId="72" fillId="0" borderId="2" xfId="0" applyNumberFormat="1" applyFont="1" applyFill="1" applyBorder="1"/>
    <xf numFmtId="198" fontId="72" fillId="0" borderId="2" xfId="0" applyNumberFormat="1" applyFont="1" applyBorder="1"/>
    <xf numFmtId="2" fontId="71" fillId="0" borderId="2" xfId="0" applyNumberFormat="1" applyFont="1" applyBorder="1"/>
    <xf numFmtId="164" fontId="72" fillId="0" borderId="2" xfId="0" applyNumberFormat="1" applyFont="1" applyBorder="1"/>
    <xf numFmtId="3" fontId="72" fillId="0" borderId="2" xfId="0" applyNumberFormat="1" applyFont="1" applyBorder="1"/>
    <xf numFmtId="0" fontId="78" fillId="0" borderId="0" xfId="0" applyFont="1" applyFill="1"/>
    <xf numFmtId="1" fontId="72" fillId="0" borderId="0" xfId="0" applyNumberFormat="1" applyFont="1" applyFill="1"/>
    <xf numFmtId="182" fontId="72" fillId="0" borderId="0" xfId="0" applyNumberFormat="1" applyFont="1" applyFill="1"/>
    <xf numFmtId="40" fontId="78" fillId="0" borderId="0" xfId="0" applyNumberFormat="1" applyFont="1"/>
    <xf numFmtId="195" fontId="76" fillId="0" borderId="0" xfId="0" applyNumberFormat="1" applyFont="1" applyAlignment="1">
      <alignment horizontal="left"/>
    </xf>
    <xf numFmtId="195" fontId="76" fillId="0" borderId="0" xfId="0" quotePrefix="1" applyNumberFormat="1" applyFont="1"/>
    <xf numFmtId="198" fontId="72" fillId="0" borderId="0" xfId="0" applyNumberFormat="1" applyFont="1" applyBorder="1"/>
    <xf numFmtId="165" fontId="72" fillId="0" borderId="2" xfId="0" applyNumberFormat="1" applyFont="1" applyBorder="1"/>
    <xf numFmtId="198" fontId="72" fillId="0" borderId="2" xfId="0" applyNumberFormat="1" applyFont="1" applyFill="1" applyBorder="1"/>
    <xf numFmtId="198" fontId="72" fillId="0" borderId="0" xfId="0" applyNumberFormat="1" applyFont="1" applyFill="1"/>
    <xf numFmtId="201" fontId="78" fillId="0" borderId="0" xfId="0" applyNumberFormat="1" applyFont="1" applyFill="1" applyAlignment="1">
      <alignment horizontal="right"/>
    </xf>
    <xf numFmtId="185" fontId="78" fillId="0" borderId="0" xfId="0" applyNumberFormat="1" applyFont="1" applyFill="1" applyBorder="1"/>
    <xf numFmtId="201" fontId="81" fillId="0" borderId="0" xfId="0" applyNumberFormat="1" applyFont="1" applyFill="1"/>
    <xf numFmtId="201" fontId="81" fillId="0" borderId="2" xfId="0" applyNumberFormat="1" applyFont="1" applyFill="1" applyBorder="1"/>
    <xf numFmtId="227" fontId="76" fillId="0" borderId="0" xfId="0" applyNumberFormat="1" applyFont="1" applyAlignment="1">
      <alignment horizontal="left"/>
    </xf>
    <xf numFmtId="204" fontId="72" fillId="5" borderId="0" xfId="0" applyNumberFormat="1" applyFont="1" applyFill="1"/>
    <xf numFmtId="201" fontId="72" fillId="0" borderId="0" xfId="0" applyNumberFormat="1" applyFont="1" applyFill="1" applyAlignment="1">
      <alignment horizontal="right"/>
    </xf>
    <xf numFmtId="185" fontId="72" fillId="0" borderId="2" xfId="0" applyNumberFormat="1" applyFont="1" applyFill="1" applyBorder="1"/>
    <xf numFmtId="197" fontId="75" fillId="0" borderId="0" xfId="0" applyNumberFormat="1" applyFont="1" applyAlignment="1">
      <alignment horizontal="left"/>
    </xf>
    <xf numFmtId="3" fontId="81" fillId="0" borderId="0" xfId="0" applyNumberFormat="1" applyFont="1" applyFill="1"/>
    <xf numFmtId="2" fontId="81" fillId="0" borderId="0" xfId="0" applyNumberFormat="1" applyFont="1"/>
    <xf numFmtId="185" fontId="72" fillId="0" borderId="0" xfId="0" applyNumberFormat="1" applyFont="1" applyFill="1"/>
    <xf numFmtId="198" fontId="78" fillId="0" borderId="2" xfId="0" applyNumberFormat="1" applyFont="1" applyFill="1" applyBorder="1"/>
    <xf numFmtId="201" fontId="72" fillId="0" borderId="0" xfId="0" applyNumberFormat="1" applyFont="1" applyFill="1" applyBorder="1"/>
    <xf numFmtId="0" fontId="74" fillId="0" borderId="0" xfId="0" applyFont="1" applyBorder="1" applyAlignment="1">
      <alignment horizontal="center"/>
    </xf>
    <xf numFmtId="43" fontId="9" fillId="0" borderId="0" xfId="8" applyFont="1"/>
    <xf numFmtId="9" fontId="5" fillId="0" borderId="0" xfId="30" applyNumberFormat="1" applyFont="1" applyFill="1"/>
    <xf numFmtId="185" fontId="86" fillId="0" borderId="0" xfId="0" applyNumberFormat="1" applyFont="1" applyBorder="1"/>
    <xf numFmtId="192" fontId="87" fillId="0" borderId="0" xfId="30" applyNumberFormat="1" applyFont="1" applyBorder="1" applyAlignment="1">
      <alignment horizontal="left"/>
    </xf>
    <xf numFmtId="0" fontId="72" fillId="2" borderId="0" xfId="0" applyFont="1" applyFill="1"/>
    <xf numFmtId="39" fontId="88" fillId="0" borderId="0" xfId="0" applyNumberFormat="1" applyFont="1" applyBorder="1"/>
    <xf numFmtId="192" fontId="89" fillId="0" borderId="0" xfId="30" applyNumberFormat="1" applyFont="1" applyBorder="1" applyAlignment="1">
      <alignment horizontal="left"/>
    </xf>
    <xf numFmtId="206" fontId="88" fillId="0" borderId="0" xfId="0" applyNumberFormat="1" applyFont="1" applyBorder="1"/>
    <xf numFmtId="39" fontId="88" fillId="0" borderId="0" xfId="0" applyNumberFormat="1" applyFont="1" applyFill="1" applyBorder="1"/>
    <xf numFmtId="192" fontId="89" fillId="0" borderId="0" xfId="30" applyNumberFormat="1" applyFont="1" applyFill="1" applyBorder="1" applyAlignment="1">
      <alignment horizontal="left"/>
    </xf>
    <xf numFmtId="206" fontId="88" fillId="0" borderId="0" xfId="0" applyNumberFormat="1" applyFont="1" applyFill="1" applyBorder="1"/>
    <xf numFmtId="0" fontId="72" fillId="2" borderId="0" xfId="0" applyFont="1" applyFill="1" applyAlignment="1">
      <alignment horizontal="left"/>
    </xf>
    <xf numFmtId="0" fontId="72" fillId="2" borderId="0" xfId="0" applyFont="1" applyFill="1" applyAlignment="1">
      <alignment horizontal="center"/>
    </xf>
    <xf numFmtId="0" fontId="80" fillId="2" borderId="0" xfId="0" applyFont="1" applyFill="1" applyAlignment="1">
      <alignment horizontal="left"/>
    </xf>
    <xf numFmtId="0" fontId="74" fillId="2" borderId="0" xfId="0" applyFont="1" applyFill="1" applyAlignment="1">
      <alignment horizontal="center"/>
    </xf>
    <xf numFmtId="0" fontId="74" fillId="2" borderId="0" xfId="0" quotePrefix="1" applyFont="1" applyFill="1" applyAlignment="1">
      <alignment horizontal="center"/>
    </xf>
    <xf numFmtId="0" fontId="74" fillId="2" borderId="0" xfId="0" quotePrefix="1" applyFont="1" applyFill="1" applyBorder="1" applyAlignment="1">
      <alignment horizontal="centerContinuous"/>
    </xf>
    <xf numFmtId="0" fontId="76" fillId="2" borderId="0" xfId="0" quotePrefix="1" applyFont="1" applyFill="1" applyAlignment="1">
      <alignment horizontal="left"/>
    </xf>
    <xf numFmtId="195" fontId="75" fillId="2" borderId="0" xfId="0" applyNumberFormat="1" applyFont="1" applyFill="1" applyAlignment="1">
      <alignment horizontal="left"/>
    </xf>
    <xf numFmtId="200" fontId="72" fillId="2" borderId="0" xfId="0" applyNumberFormat="1" applyFont="1" applyFill="1"/>
    <xf numFmtId="0" fontId="72" fillId="2" borderId="0" xfId="0" applyFont="1" applyFill="1" applyBorder="1"/>
    <xf numFmtId="40" fontId="72" fillId="2" borderId="0" xfId="0" applyNumberFormat="1" applyFont="1" applyFill="1"/>
    <xf numFmtId="2" fontId="72" fillId="2" borderId="0" xfId="0" applyNumberFormat="1" applyFont="1" applyFill="1"/>
    <xf numFmtId="201" fontId="72" fillId="2" borderId="0" xfId="0" applyNumberFormat="1" applyFont="1" applyFill="1"/>
    <xf numFmtId="200" fontId="72" fillId="2" borderId="0" xfId="0" applyNumberFormat="1" applyFont="1" applyFill="1" applyAlignment="1">
      <alignment horizontal="center"/>
    </xf>
    <xf numFmtId="201" fontId="72" fillId="2" borderId="0" xfId="0" applyNumberFormat="1" applyFont="1" applyFill="1" applyBorder="1"/>
    <xf numFmtId="38" fontId="72" fillId="2" borderId="0" xfId="0" applyNumberFormat="1" applyFont="1" applyFill="1"/>
    <xf numFmtId="3" fontId="72" fillId="2" borderId="0" xfId="0" applyNumberFormat="1" applyFont="1" applyFill="1"/>
    <xf numFmtId="182" fontId="72" fillId="2" borderId="0" xfId="0" applyNumberFormat="1" applyFont="1" applyFill="1"/>
    <xf numFmtId="178" fontId="72" fillId="2" borderId="0" xfId="0" applyNumberFormat="1" applyFont="1" applyFill="1" applyAlignment="1">
      <alignment horizontal="right"/>
    </xf>
    <xf numFmtId="198" fontId="72" fillId="2" borderId="0" xfId="0" applyNumberFormat="1" applyFont="1" applyFill="1" applyBorder="1"/>
    <xf numFmtId="204" fontId="72" fillId="2" borderId="0" xfId="0" applyNumberFormat="1" applyFont="1" applyFill="1"/>
    <xf numFmtId="2" fontId="71" fillId="2" borderId="0" xfId="0" applyNumberFormat="1" applyFont="1" applyFill="1"/>
    <xf numFmtId="179" fontId="72" fillId="2" borderId="0" xfId="0" applyNumberFormat="1" applyFont="1" applyFill="1" applyAlignment="1">
      <alignment horizontal="right"/>
    </xf>
    <xf numFmtId="165" fontId="72" fillId="2" borderId="0" xfId="0" applyNumberFormat="1" applyFont="1" applyFill="1"/>
    <xf numFmtId="164" fontId="72" fillId="2" borderId="0" xfId="0" applyNumberFormat="1" applyFont="1" applyFill="1"/>
    <xf numFmtId="4" fontId="72" fillId="2" borderId="0" xfId="0" applyNumberFormat="1" applyFont="1" applyFill="1"/>
    <xf numFmtId="200" fontId="72" fillId="2" borderId="2" xfId="0" applyNumberFormat="1" applyFont="1" applyFill="1" applyBorder="1"/>
    <xf numFmtId="201" fontId="72" fillId="2" borderId="2" xfId="0" applyNumberFormat="1" applyFont="1" applyFill="1" applyBorder="1"/>
    <xf numFmtId="3" fontId="72" fillId="2" borderId="2" xfId="0" applyNumberFormat="1" applyFont="1" applyFill="1" applyBorder="1"/>
    <xf numFmtId="164" fontId="72" fillId="2" borderId="2" xfId="0" applyNumberFormat="1" applyFont="1" applyFill="1" applyBorder="1"/>
    <xf numFmtId="4" fontId="72" fillId="2" borderId="2" xfId="0" applyNumberFormat="1" applyFont="1" applyFill="1" applyBorder="1"/>
    <xf numFmtId="198" fontId="72" fillId="2" borderId="2" xfId="0" applyNumberFormat="1" applyFont="1" applyFill="1" applyBorder="1"/>
    <xf numFmtId="2" fontId="71" fillId="2" borderId="2" xfId="0" applyNumberFormat="1" applyFont="1" applyFill="1" applyBorder="1"/>
    <xf numFmtId="1" fontId="72" fillId="2" borderId="0" xfId="0" applyNumberFormat="1" applyFont="1" applyFill="1"/>
    <xf numFmtId="178" fontId="72" fillId="2" borderId="0" xfId="0" applyNumberFormat="1" applyFont="1" applyFill="1"/>
    <xf numFmtId="179" fontId="72" fillId="2" borderId="0" xfId="0" applyNumberFormat="1" applyFont="1" applyFill="1"/>
    <xf numFmtId="195" fontId="76" fillId="2" borderId="0" xfId="0" applyNumberFormat="1" applyFont="1" applyFill="1" applyAlignment="1">
      <alignment horizontal="left"/>
    </xf>
    <xf numFmtId="38" fontId="72" fillId="2" borderId="2" xfId="0" applyNumberFormat="1" applyFont="1" applyFill="1" applyBorder="1"/>
    <xf numFmtId="38" fontId="72" fillId="2" borderId="0" xfId="0" applyNumberFormat="1" applyFont="1" applyFill="1" applyBorder="1"/>
    <xf numFmtId="0" fontId="78" fillId="2" borderId="0" xfId="0" applyFont="1" applyFill="1"/>
    <xf numFmtId="185" fontId="72" fillId="2" borderId="0" xfId="0" applyNumberFormat="1" applyFont="1" applyFill="1"/>
    <xf numFmtId="201" fontId="81" fillId="2" borderId="0" xfId="0" applyNumberFormat="1" applyFont="1" applyFill="1"/>
    <xf numFmtId="198" fontId="72" fillId="2" borderId="0" xfId="0" applyNumberFormat="1" applyFont="1" applyFill="1"/>
    <xf numFmtId="201" fontId="81" fillId="2" borderId="2" xfId="0" applyNumberFormat="1" applyFont="1" applyFill="1" applyBorder="1"/>
    <xf numFmtId="227" fontId="76" fillId="2" borderId="0" xfId="0" applyNumberFormat="1" applyFont="1" applyFill="1" applyAlignment="1">
      <alignment horizontal="left"/>
    </xf>
    <xf numFmtId="185" fontId="72" fillId="2" borderId="2" xfId="0" applyNumberFormat="1" applyFont="1" applyFill="1" applyBorder="1"/>
    <xf numFmtId="204" fontId="72" fillId="2" borderId="0" xfId="0" applyNumberFormat="1" applyFont="1" applyFill="1" applyBorder="1"/>
    <xf numFmtId="197" fontId="75" fillId="2" borderId="0" xfId="0" applyNumberFormat="1" applyFont="1" applyFill="1" applyAlignment="1">
      <alignment horizontal="left"/>
    </xf>
    <xf numFmtId="185" fontId="78" fillId="2" borderId="0" xfId="0" applyNumberFormat="1" applyFont="1" applyFill="1"/>
    <xf numFmtId="185" fontId="78" fillId="2" borderId="2" xfId="0" applyNumberFormat="1" applyFont="1" applyFill="1" applyBorder="1"/>
    <xf numFmtId="185" fontId="79" fillId="2" borderId="0" xfId="0" applyNumberFormat="1" applyFont="1" applyFill="1"/>
    <xf numFmtId="201" fontId="81" fillId="2" borderId="0" xfId="0" applyNumberFormat="1" applyFont="1" applyFill="1" applyBorder="1"/>
    <xf numFmtId="185" fontId="81" fillId="2" borderId="0" xfId="0" applyNumberFormat="1" applyFont="1" applyFill="1"/>
    <xf numFmtId="185" fontId="81" fillId="2" borderId="2" xfId="0" applyNumberFormat="1" applyFont="1" applyFill="1" applyBorder="1"/>
    <xf numFmtId="178" fontId="90" fillId="0" borderId="0" xfId="15" applyNumberFormat="1" applyFont="1" applyFill="1" applyBorder="1" applyAlignment="1">
      <alignment horizontal="right"/>
    </xf>
    <xf numFmtId="0" fontId="28" fillId="0" borderId="0" xfId="15" applyFont="1" applyFill="1" applyBorder="1"/>
    <xf numFmtId="167" fontId="9" fillId="0" borderId="0" xfId="15" applyNumberFormat="1" applyFont="1" applyFill="1" applyBorder="1"/>
    <xf numFmtId="0" fontId="9" fillId="0" borderId="0" xfId="15" applyFont="1" applyFill="1" applyBorder="1"/>
    <xf numFmtId="0" fontId="90" fillId="0" borderId="0" xfId="15" applyFont="1" applyFill="1" applyBorder="1" applyAlignment="1">
      <alignment horizontal="right"/>
    </xf>
    <xf numFmtId="178" fontId="90" fillId="0" borderId="0" xfId="15" applyNumberFormat="1" applyFont="1" applyFill="1" applyBorder="1"/>
    <xf numFmtId="204" fontId="72" fillId="0" borderId="0" xfId="0" applyNumberFormat="1" applyFont="1" applyFill="1"/>
    <xf numFmtId="0" fontId="16" fillId="0" borderId="0" xfId="0" applyFont="1" applyBorder="1"/>
    <xf numFmtId="200" fontId="11" fillId="0" borderId="0" xfId="0" applyNumberFormat="1" applyFont="1" applyFill="1" applyBorder="1"/>
    <xf numFmtId="200" fontId="16" fillId="0" borderId="0" xfId="0" applyNumberFormat="1" applyFont="1" applyFill="1" applyBorder="1"/>
    <xf numFmtId="200" fontId="16" fillId="0" borderId="0" xfId="0" applyNumberFormat="1" applyFont="1" applyBorder="1" applyAlignment="1">
      <alignment horizontal="right"/>
    </xf>
    <xf numFmtId="183" fontId="16" fillId="0" borderId="0" xfId="0" applyNumberFormat="1" applyFont="1" applyBorder="1" applyAlignment="1">
      <alignment horizontal="right"/>
    </xf>
    <xf numFmtId="201" fontId="77" fillId="0" borderId="0" xfId="0" applyNumberFormat="1" applyFont="1" applyFill="1"/>
    <xf numFmtId="201" fontId="77" fillId="0" borderId="2" xfId="0" applyNumberFormat="1" applyFont="1" applyFill="1" applyBorder="1"/>
    <xf numFmtId="185" fontId="88" fillId="0" borderId="0" xfId="0" applyNumberFormat="1" applyFont="1" applyBorder="1"/>
    <xf numFmtId="175" fontId="88" fillId="0" borderId="0" xfId="8" applyNumberFormat="1" applyFont="1"/>
    <xf numFmtId="0" fontId="88" fillId="0" borderId="0" xfId="0" applyFont="1" applyBorder="1"/>
    <xf numFmtId="39" fontId="86" fillId="0" borderId="0" xfId="0" applyNumberFormat="1" applyFont="1" applyBorder="1"/>
    <xf numFmtId="206" fontId="86" fillId="0" borderId="0" xfId="0" applyNumberFormat="1" applyFont="1" applyBorder="1"/>
    <xf numFmtId="39" fontId="86" fillId="0" borderId="0" xfId="0" applyNumberFormat="1" applyFont="1" applyFill="1" applyBorder="1"/>
    <xf numFmtId="192" fontId="87" fillId="0" borderId="0" xfId="30" applyNumberFormat="1" applyFont="1" applyFill="1" applyBorder="1" applyAlignment="1">
      <alignment horizontal="left"/>
    </xf>
    <xf numFmtId="206" fontId="86" fillId="0" borderId="0" xfId="0" applyNumberFormat="1" applyFont="1" applyFill="1" applyBorder="1"/>
    <xf numFmtId="221" fontId="87" fillId="0" borderId="0" xfId="30" applyNumberFormat="1" applyFont="1" applyBorder="1" applyAlignment="1">
      <alignment horizontal="left"/>
    </xf>
    <xf numFmtId="256" fontId="9" fillId="0" borderId="0" xfId="27" applyNumberFormat="1" applyFont="1" applyFill="1" applyBorder="1" applyProtection="1"/>
    <xf numFmtId="0" fontId="11" fillId="2" borderId="0" xfId="0" applyFont="1" applyFill="1" applyBorder="1" applyAlignment="1">
      <alignment horizontal="right"/>
    </xf>
    <xf numFmtId="0" fontId="5" fillId="2" borderId="0" xfId="0" applyFont="1" applyFill="1"/>
    <xf numFmtId="0" fontId="18" fillId="2" borderId="0" xfId="0" applyFont="1" applyFill="1"/>
    <xf numFmtId="0" fontId="18" fillId="2" borderId="0" xfId="0" applyFont="1" applyFill="1" applyAlignment="1">
      <alignment horizontal="right"/>
    </xf>
    <xf numFmtId="16" fontId="18" fillId="2" borderId="0" xfId="0" quotePrefix="1" applyNumberFormat="1" applyFont="1" applyFill="1" applyBorder="1" applyAlignment="1">
      <alignment horizontal="right"/>
    </xf>
    <xf numFmtId="0" fontId="12" fillId="2" borderId="0" xfId="0" applyFont="1" applyFill="1"/>
    <xf numFmtId="0" fontId="12" fillId="2" borderId="0" xfId="0" applyFont="1" applyFill="1" applyAlignment="1">
      <alignment horizontal="left"/>
    </xf>
    <xf numFmtId="192" fontId="9" fillId="2" borderId="0" xfId="0" applyNumberFormat="1" applyFont="1" applyFill="1"/>
    <xf numFmtId="0" fontId="12" fillId="2" borderId="0" xfId="0" applyFont="1" applyFill="1" applyBorder="1"/>
    <xf numFmtId="192" fontId="9" fillId="2" borderId="0" xfId="0" applyNumberFormat="1" applyFont="1" applyFill="1" applyBorder="1"/>
    <xf numFmtId="0" fontId="11" fillId="2" borderId="0" xfId="0" applyFont="1" applyFill="1" applyBorder="1" applyAlignment="1">
      <alignment horizontal="centerContinuous"/>
    </xf>
    <xf numFmtId="0" fontId="11" fillId="2" borderId="0" xfId="0" applyFont="1" applyFill="1" applyAlignment="1">
      <alignment horizontal="center"/>
    </xf>
    <xf numFmtId="0" fontId="11" fillId="2" borderId="0" xfId="0" applyFont="1" applyFill="1" applyBorder="1" applyAlignment="1">
      <alignment horizontal="center"/>
    </xf>
    <xf numFmtId="183" fontId="18" fillId="2" borderId="0" xfId="0" applyNumberFormat="1" applyFont="1" applyFill="1" applyBorder="1"/>
    <xf numFmtId="16" fontId="5" fillId="2" borderId="0" xfId="0" quotePrefix="1" applyNumberFormat="1" applyFont="1" applyFill="1" applyBorder="1" applyAlignment="1">
      <alignment horizontal="right"/>
    </xf>
    <xf numFmtId="183" fontId="18" fillId="2" borderId="0" xfId="0" applyNumberFormat="1" applyFont="1" applyFill="1" applyBorder="1" applyAlignment="1">
      <alignment horizontal="right"/>
    </xf>
    <xf numFmtId="212" fontId="5" fillId="2" borderId="0" xfId="26" quotePrefix="1" applyNumberFormat="1" applyFont="1" applyFill="1" applyAlignment="1">
      <alignment horizontal="right"/>
    </xf>
    <xf numFmtId="183" fontId="5" fillId="2" borderId="0" xfId="0" applyNumberFormat="1" applyFont="1" applyFill="1"/>
    <xf numFmtId="0" fontId="18" fillId="2" borderId="0" xfId="0" quotePrefix="1" applyFont="1" applyFill="1" applyAlignment="1">
      <alignment horizontal="right"/>
    </xf>
    <xf numFmtId="183" fontId="18" fillId="2" borderId="2" xfId="0" applyNumberFormat="1" applyFont="1" applyFill="1" applyBorder="1"/>
    <xf numFmtId="183" fontId="18" fillId="2" borderId="2" xfId="0" applyNumberFormat="1" applyFont="1" applyFill="1" applyBorder="1" applyAlignment="1">
      <alignment horizontal="right"/>
    </xf>
    <xf numFmtId="183" fontId="5" fillId="2" borderId="2" xfId="0" applyNumberFormat="1" applyFont="1" applyFill="1" applyBorder="1"/>
    <xf numFmtId="0" fontId="5" fillId="2" borderId="2" xfId="0" applyFont="1" applyFill="1" applyBorder="1"/>
    <xf numFmtId="0" fontId="5" fillId="2" borderId="18" xfId="0" applyFont="1" applyFill="1" applyBorder="1"/>
    <xf numFmtId="0" fontId="18" fillId="2" borderId="18" xfId="0" applyFont="1" applyFill="1" applyBorder="1"/>
    <xf numFmtId="0" fontId="5" fillId="2" borderId="18" xfId="0" applyFont="1" applyFill="1" applyBorder="1" applyAlignment="1">
      <alignment horizontal="right"/>
    </xf>
    <xf numFmtId="200" fontId="5" fillId="2" borderId="18" xfId="0" applyNumberFormat="1" applyFont="1" applyFill="1" applyBorder="1"/>
    <xf numFmtId="0" fontId="22" fillId="2" borderId="18" xfId="0" applyFont="1" applyFill="1" applyBorder="1" applyAlignment="1">
      <alignment horizontal="right"/>
    </xf>
    <xf numFmtId="183" fontId="18" fillId="2" borderId="18" xfId="0" applyNumberFormat="1" applyFont="1" applyFill="1" applyBorder="1" applyAlignment="1">
      <alignment horizontal="right"/>
    </xf>
    <xf numFmtId="212" fontId="5" fillId="2" borderId="18" xfId="0" applyNumberFormat="1" applyFont="1" applyFill="1" applyBorder="1" applyAlignment="1">
      <alignment horizontal="right"/>
    </xf>
    <xf numFmtId="0" fontId="18" fillId="2" borderId="0" xfId="0" applyFont="1" applyFill="1" applyBorder="1"/>
    <xf numFmtId="9" fontId="5" fillId="2" borderId="0" xfId="30" applyFont="1" applyFill="1"/>
    <xf numFmtId="9" fontId="5" fillId="2" borderId="0" xfId="0" applyNumberFormat="1" applyFont="1" applyFill="1"/>
    <xf numFmtId="0" fontId="5" fillId="2" borderId="19" xfId="0" applyFont="1" applyFill="1" applyBorder="1"/>
    <xf numFmtId="0" fontId="5" fillId="2" borderId="19" xfId="0" applyFont="1" applyFill="1" applyBorder="1" applyAlignment="1">
      <alignment horizontal="right"/>
    </xf>
    <xf numFmtId="16" fontId="18" fillId="2" borderId="19" xfId="0" quotePrefix="1" applyNumberFormat="1" applyFont="1" applyFill="1" applyBorder="1" applyAlignment="1">
      <alignment horizontal="right"/>
    </xf>
    <xf numFmtId="16" fontId="22" fillId="2" borderId="19" xfId="0" quotePrefix="1" applyNumberFormat="1" applyFont="1" applyFill="1" applyBorder="1" applyAlignment="1">
      <alignment horizontal="right"/>
    </xf>
    <xf numFmtId="212" fontId="5" fillId="2" borderId="19" xfId="0" applyNumberFormat="1" applyFont="1" applyFill="1" applyBorder="1" applyAlignment="1">
      <alignment horizontal="right"/>
    </xf>
    <xf numFmtId="0" fontId="5" fillId="2" borderId="0" xfId="0" applyFont="1" applyFill="1" applyBorder="1"/>
    <xf numFmtId="0" fontId="5" fillId="2" borderId="0" xfId="0" applyFont="1" applyFill="1" applyAlignment="1">
      <alignment horizontal="right"/>
    </xf>
    <xf numFmtId="9" fontId="0" fillId="0" borderId="0" xfId="30" applyFont="1"/>
    <xf numFmtId="212" fontId="5" fillId="2" borderId="0" xfId="0" applyNumberFormat="1" applyFont="1" applyFill="1" applyAlignment="1">
      <alignment horizontal="right"/>
    </xf>
    <xf numFmtId="183" fontId="39" fillId="2" borderId="0" xfId="0" applyNumberFormat="1" applyFont="1" applyFill="1" applyBorder="1" applyAlignment="1">
      <alignment horizontal="right"/>
    </xf>
    <xf numFmtId="183" fontId="39" fillId="2" borderId="2" xfId="0" applyNumberFormat="1" applyFont="1" applyFill="1" applyBorder="1" applyAlignment="1">
      <alignment horizontal="right"/>
    </xf>
    <xf numFmtId="183" fontId="39" fillId="2" borderId="18" xfId="0" applyNumberFormat="1" applyFont="1" applyFill="1" applyBorder="1" applyAlignment="1">
      <alignment horizontal="right"/>
    </xf>
    <xf numFmtId="9" fontId="5" fillId="2" borderId="0" xfId="30" applyFont="1" applyFill="1" applyBorder="1"/>
    <xf numFmtId="0" fontId="22" fillId="2" borderId="0" xfId="0" applyFont="1" applyFill="1" applyAlignment="1">
      <alignment horizontal="right"/>
    </xf>
    <xf numFmtId="0" fontId="16" fillId="2" borderId="18" xfId="0" applyFont="1" applyFill="1" applyBorder="1"/>
    <xf numFmtId="0" fontId="11" fillId="2" borderId="18" xfId="0" applyFont="1" applyFill="1" applyBorder="1"/>
    <xf numFmtId="200" fontId="11" fillId="2" borderId="18" xfId="0" applyNumberFormat="1" applyFont="1" applyFill="1" applyBorder="1"/>
    <xf numFmtId="183" fontId="16" fillId="2" borderId="18" xfId="0" applyNumberFormat="1" applyFont="1" applyFill="1" applyBorder="1" applyAlignment="1">
      <alignment horizontal="right"/>
    </xf>
    <xf numFmtId="183" fontId="11" fillId="2" borderId="18" xfId="0" applyNumberFormat="1" applyFont="1" applyFill="1" applyBorder="1" applyAlignment="1">
      <alignment horizontal="right"/>
    </xf>
    <xf numFmtId="0" fontId="11" fillId="2" borderId="0" xfId="0" applyFont="1" applyFill="1"/>
    <xf numFmtId="0" fontId="28" fillId="2" borderId="0" xfId="0" applyFont="1" applyFill="1"/>
    <xf numFmtId="9" fontId="18" fillId="2" borderId="0" xfId="0" applyNumberFormat="1" applyFont="1" applyFill="1"/>
    <xf numFmtId="9" fontId="27" fillId="2" borderId="0" xfId="0" applyNumberFormat="1" applyFont="1" applyFill="1"/>
    <xf numFmtId="200" fontId="5" fillId="2" borderId="18" xfId="0" applyNumberFormat="1" applyFont="1" applyFill="1" applyBorder="1" applyAlignment="1">
      <alignment horizontal="right"/>
    </xf>
    <xf numFmtId="16" fontId="5" fillId="2" borderId="19" xfId="0" quotePrefix="1" applyNumberFormat="1" applyFont="1" applyFill="1" applyBorder="1" applyAlignment="1">
      <alignment horizontal="right"/>
    </xf>
    <xf numFmtId="182" fontId="18" fillId="2" borderId="0" xfId="0" applyNumberFormat="1" applyFont="1" applyFill="1" applyBorder="1" applyAlignment="1">
      <alignment horizontal="right"/>
    </xf>
    <xf numFmtId="165" fontId="18" fillId="2" borderId="0" xfId="0" applyNumberFormat="1" applyFont="1" applyFill="1" applyBorder="1" applyAlignment="1">
      <alignment horizontal="right"/>
    </xf>
    <xf numFmtId="165" fontId="18" fillId="2" borderId="2" xfId="0" applyNumberFormat="1" applyFont="1" applyFill="1" applyBorder="1" applyAlignment="1">
      <alignment horizontal="right"/>
    </xf>
    <xf numFmtId="183" fontId="54" fillId="2" borderId="2" xfId="0" applyNumberFormat="1" applyFont="1" applyFill="1" applyBorder="1" applyAlignment="1">
      <alignment horizontal="right"/>
    </xf>
    <xf numFmtId="183" fontId="5" fillId="2" borderId="18" xfId="0" applyNumberFormat="1" applyFont="1" applyFill="1" applyBorder="1" applyAlignment="1">
      <alignment horizontal="right"/>
    </xf>
    <xf numFmtId="200" fontId="16" fillId="2" borderId="18" xfId="0" applyNumberFormat="1" applyFont="1" applyFill="1" applyBorder="1" applyAlignment="1">
      <alignment horizontal="right"/>
    </xf>
    <xf numFmtId="200" fontId="16" fillId="2" borderId="18" xfId="0" applyNumberFormat="1" applyFont="1" applyFill="1" applyBorder="1"/>
    <xf numFmtId="183" fontId="16" fillId="2" borderId="18" xfId="0" applyNumberFormat="1" applyFont="1" applyFill="1" applyBorder="1"/>
    <xf numFmtId="182" fontId="18" fillId="2" borderId="0" xfId="0" applyNumberFormat="1" applyFont="1" applyFill="1" applyBorder="1"/>
    <xf numFmtId="165" fontId="18" fillId="2" borderId="0" xfId="0" applyNumberFormat="1" applyFont="1" applyFill="1" applyBorder="1"/>
    <xf numFmtId="165" fontId="18" fillId="2" borderId="2" xfId="0" applyNumberFormat="1" applyFont="1" applyFill="1" applyBorder="1"/>
    <xf numFmtId="200" fontId="18" fillId="2" borderId="18" xfId="0" applyNumberFormat="1" applyFont="1" applyFill="1" applyBorder="1"/>
    <xf numFmtId="200" fontId="18" fillId="2" borderId="18" xfId="0" applyNumberFormat="1" applyFont="1" applyFill="1" applyBorder="1" applyAlignment="1">
      <alignment horizontal="right"/>
    </xf>
    <xf numFmtId="200" fontId="5" fillId="2" borderId="0" xfId="0" applyNumberFormat="1" applyFont="1" applyFill="1" applyBorder="1"/>
    <xf numFmtId="200" fontId="18" fillId="2" borderId="0" xfId="0" applyNumberFormat="1" applyFont="1" applyFill="1" applyBorder="1" applyAlignment="1">
      <alignment horizontal="right"/>
    </xf>
    <xf numFmtId="0" fontId="18" fillId="2" borderId="19" xfId="0" applyFont="1" applyFill="1" applyBorder="1"/>
    <xf numFmtId="0" fontId="16" fillId="2" borderId="31" xfId="0" applyFont="1" applyFill="1" applyBorder="1"/>
    <xf numFmtId="0" fontId="11" fillId="2" borderId="31" xfId="0" applyFont="1" applyFill="1" applyBorder="1"/>
    <xf numFmtId="200" fontId="11" fillId="2" borderId="31" xfId="0" applyNumberFormat="1" applyFont="1" applyFill="1" applyBorder="1"/>
    <xf numFmtId="183" fontId="16" fillId="2" borderId="31" xfId="0" applyNumberFormat="1" applyFont="1" applyFill="1" applyBorder="1" applyAlignment="1">
      <alignment horizontal="right"/>
    </xf>
    <xf numFmtId="183" fontId="11" fillId="2" borderId="31" xfId="0" applyNumberFormat="1" applyFont="1" applyFill="1" applyBorder="1" applyAlignment="1">
      <alignment horizontal="right"/>
    </xf>
    <xf numFmtId="175" fontId="26" fillId="0" borderId="0" xfId="8" applyNumberFormat="1" applyFont="1" applyBorder="1"/>
    <xf numFmtId="166" fontId="5" fillId="0" borderId="0" xfId="30" applyNumberFormat="1" applyFont="1" applyBorder="1"/>
    <xf numFmtId="39" fontId="18" fillId="0" borderId="0" xfId="0" applyNumberFormat="1" applyFont="1" applyFill="1" applyBorder="1"/>
    <xf numFmtId="0" fontId="11" fillId="0" borderId="0" xfId="0" applyFont="1" applyFill="1" applyBorder="1" applyAlignment="1">
      <alignment horizontal="left"/>
    </xf>
    <xf numFmtId="9" fontId="9" fillId="0" borderId="0" xfId="27" applyNumberFormat="1" applyFont="1" applyAlignment="1" applyProtection="1">
      <alignment horizontal="left"/>
    </xf>
    <xf numFmtId="203" fontId="5" fillId="0" borderId="0" xfId="0" applyNumberFormat="1" applyFont="1" applyFill="1" applyBorder="1"/>
    <xf numFmtId="221" fontId="5" fillId="0" borderId="0" xfId="0" applyNumberFormat="1" applyFont="1"/>
    <xf numFmtId="10" fontId="9" fillId="0" borderId="0" xfId="30" applyNumberFormat="1" applyFont="1"/>
    <xf numFmtId="37" fontId="9" fillId="0" borderId="0" xfId="27" applyNumberFormat="1" applyFont="1" applyFill="1"/>
    <xf numFmtId="186" fontId="9" fillId="0" borderId="0" xfId="27" applyNumberFormat="1" applyFont="1" applyFill="1" applyProtection="1"/>
    <xf numFmtId="186" fontId="13" fillId="0" borderId="0" xfId="27" applyNumberFormat="1" applyFont="1" applyFill="1" applyProtection="1"/>
    <xf numFmtId="4" fontId="5" fillId="0" borderId="0" xfId="0" applyNumberFormat="1" applyFont="1" applyBorder="1"/>
    <xf numFmtId="203" fontId="39" fillId="0" borderId="0" xfId="0" applyNumberFormat="1" applyFont="1" applyFill="1" applyBorder="1"/>
    <xf numFmtId="177" fontId="13" fillId="0" borderId="0" xfId="8" applyNumberFormat="1" applyFont="1"/>
    <xf numFmtId="9" fontId="5" fillId="0" borderId="0" xfId="30" applyFont="1" applyBorder="1" applyAlignment="1">
      <alignment horizontal="left"/>
    </xf>
    <xf numFmtId="166" fontId="12" fillId="0" borderId="0" xfId="30" applyNumberFormat="1" applyFont="1" applyBorder="1"/>
    <xf numFmtId="183" fontId="32" fillId="0" borderId="0" xfId="0" applyNumberFormat="1" applyFont="1" applyFill="1" applyBorder="1" applyAlignment="1">
      <alignment horizontal="right"/>
    </xf>
    <xf numFmtId="183" fontId="32" fillId="0" borderId="2" xfId="0" applyNumberFormat="1" applyFont="1" applyFill="1" applyBorder="1" applyAlignment="1">
      <alignment horizontal="right"/>
    </xf>
    <xf numFmtId="9" fontId="18" fillId="0" borderId="0" xfId="30" quotePrefix="1" applyNumberFormat="1" applyFont="1" applyFill="1" applyBorder="1" applyAlignment="1">
      <alignment horizontal="center"/>
    </xf>
    <xf numFmtId="43" fontId="5" fillId="0" borderId="0" xfId="8" applyFont="1" applyBorder="1"/>
    <xf numFmtId="167" fontId="18" fillId="0" borderId="0" xfId="0" applyNumberFormat="1" applyFont="1" applyBorder="1"/>
    <xf numFmtId="167" fontId="5" fillId="0" borderId="0" xfId="0" applyNumberFormat="1" applyFont="1" applyBorder="1"/>
    <xf numFmtId="183" fontId="32" fillId="0" borderId="0" xfId="0" applyNumberFormat="1" applyFont="1" applyBorder="1" applyAlignment="1">
      <alignment horizontal="right"/>
    </xf>
    <xf numFmtId="200" fontId="72" fillId="0" borderId="0" xfId="0" applyNumberFormat="1" applyFont="1" applyFill="1" applyAlignment="1">
      <alignment horizontal="right"/>
    </xf>
    <xf numFmtId="198" fontId="72" fillId="0" borderId="2" xfId="0" applyNumberFormat="1" applyFont="1" applyFill="1" applyBorder="1" applyAlignment="1">
      <alignment horizontal="right"/>
    </xf>
    <xf numFmtId="198" fontId="72" fillId="0" borderId="0" xfId="0" applyNumberFormat="1" applyFont="1" applyFill="1" applyAlignment="1">
      <alignment horizontal="right"/>
    </xf>
    <xf numFmtId="9" fontId="12" fillId="0" borderId="2" xfId="30" applyFont="1" applyFill="1" applyBorder="1"/>
    <xf numFmtId="49" fontId="18" fillId="0" borderId="0" xfId="0" quotePrefix="1" applyNumberFormat="1" applyFont="1" applyBorder="1" applyAlignment="1">
      <alignment horizontal="center"/>
    </xf>
    <xf numFmtId="10" fontId="9" fillId="0" borderId="0" xfId="27" applyNumberFormat="1" applyFont="1"/>
    <xf numFmtId="9" fontId="14" fillId="0" borderId="0" xfId="17" applyNumberFormat="1" applyFont="1"/>
    <xf numFmtId="201" fontId="78" fillId="0" borderId="2" xfId="0" applyNumberFormat="1" applyFont="1" applyFill="1" applyBorder="1"/>
    <xf numFmtId="0" fontId="5" fillId="0" borderId="0" xfId="0" applyFont="1" applyBorder="1" applyAlignment="1">
      <alignment horizontal="right"/>
    </xf>
    <xf numFmtId="201" fontId="71" fillId="0" borderId="0" xfId="0" applyNumberFormat="1" applyFont="1" applyFill="1"/>
    <xf numFmtId="166" fontId="9" fillId="0" borderId="0" xfId="0" applyNumberFormat="1" applyFont="1"/>
    <xf numFmtId="166" fontId="13" fillId="0" borderId="0" xfId="30" applyNumberFormat="1" applyFont="1" applyFill="1" applyBorder="1" applyAlignment="1">
      <alignment horizontal="right"/>
    </xf>
    <xf numFmtId="49" fontId="0" fillId="0" borderId="0" xfId="0" applyNumberFormat="1"/>
    <xf numFmtId="0" fontId="12" fillId="0" borderId="0" xfId="0" applyFont="1" applyFill="1" applyBorder="1" applyAlignment="1">
      <alignment horizontal="center"/>
    </xf>
    <xf numFmtId="0" fontId="0" fillId="0" borderId="0" xfId="0" applyFill="1" applyBorder="1"/>
    <xf numFmtId="0" fontId="11" fillId="0" borderId="13" xfId="0" applyFont="1" applyFill="1" applyBorder="1" applyAlignment="1">
      <alignment horizontal="centerContinuous"/>
    </xf>
    <xf numFmtId="169" fontId="5" fillId="0" borderId="0" xfId="0" applyNumberFormat="1" applyFont="1" applyFill="1"/>
    <xf numFmtId="2" fontId="18" fillId="0" borderId="0" xfId="0" applyNumberFormat="1" applyFont="1" applyFill="1"/>
    <xf numFmtId="40" fontId="5" fillId="0" borderId="0" xfId="0" applyNumberFormat="1" applyFont="1" applyFill="1"/>
    <xf numFmtId="40" fontId="18" fillId="0" borderId="0" xfId="0" applyNumberFormat="1" applyFont="1" applyFill="1"/>
    <xf numFmtId="10" fontId="5" fillId="0" borderId="0" xfId="30" applyNumberFormat="1" applyFont="1" applyFill="1"/>
    <xf numFmtId="9" fontId="90" fillId="0" borderId="0" xfId="15" applyNumberFormat="1" applyFont="1" applyFill="1" applyBorder="1" applyAlignment="1">
      <alignment horizontal="right"/>
    </xf>
    <xf numFmtId="166" fontId="9" fillId="0" borderId="0" xfId="30" applyNumberFormat="1" applyFont="1" applyBorder="1" applyProtection="1"/>
    <xf numFmtId="39" fontId="5" fillId="0" borderId="0" xfId="0" applyNumberFormat="1" applyFont="1" applyFill="1"/>
    <xf numFmtId="9" fontId="16" fillId="2" borderId="0" xfId="30" applyNumberFormat="1" applyFont="1" applyFill="1" applyBorder="1" applyAlignment="1">
      <alignment horizontal="center"/>
    </xf>
    <xf numFmtId="9" fontId="16" fillId="2" borderId="0" xfId="30" quotePrefix="1" applyNumberFormat="1" applyFont="1" applyFill="1" applyBorder="1" applyAlignment="1">
      <alignment horizontal="center"/>
    </xf>
    <xf numFmtId="0" fontId="0" fillId="0" borderId="0" xfId="0" applyFill="1"/>
    <xf numFmtId="166" fontId="5" fillId="0" borderId="0" xfId="0" applyNumberFormat="1" applyFont="1" applyFill="1"/>
    <xf numFmtId="0" fontId="110" fillId="0" borderId="0" xfId="0" applyFont="1"/>
    <xf numFmtId="0" fontId="17" fillId="0" borderId="0" xfId="0" applyFont="1" applyAlignment="1">
      <alignment horizontal="centerContinuous"/>
    </xf>
    <xf numFmtId="0" fontId="5" fillId="0" borderId="0" xfId="0" applyFont="1" applyAlignment="1">
      <alignment horizontal="centerContinuous"/>
    </xf>
    <xf numFmtId="5" fontId="5" fillId="0" borderId="0" xfId="0" applyNumberFormat="1" applyFont="1" applyAlignment="1">
      <alignment horizontal="centerContinuous"/>
    </xf>
    <xf numFmtId="0" fontId="15" fillId="0" borderId="0" xfId="0" applyFont="1" applyAlignment="1">
      <alignment horizontal="centerContinuous"/>
    </xf>
    <xf numFmtId="0" fontId="12" fillId="0" borderId="0" xfId="0" applyFont="1" applyFill="1" applyBorder="1" applyAlignment="1">
      <alignment horizontal="left"/>
    </xf>
    <xf numFmtId="0" fontId="0" fillId="0" borderId="0" xfId="0" quotePrefix="1"/>
    <xf numFmtId="0" fontId="0" fillId="0" borderId="2" xfId="0" quotePrefix="1" applyBorder="1"/>
    <xf numFmtId="175" fontId="0" fillId="0" borderId="0" xfId="8" applyNumberFormat="1" applyFont="1"/>
    <xf numFmtId="175" fontId="0" fillId="0" borderId="2" xfId="8" applyNumberFormat="1" applyFont="1" applyBorder="1"/>
    <xf numFmtId="177" fontId="0" fillId="0" borderId="0" xfId="8" applyNumberFormat="1" applyFont="1"/>
    <xf numFmtId="177" fontId="0" fillId="0" borderId="2" xfId="8" applyNumberFormat="1" applyFont="1" applyBorder="1"/>
    <xf numFmtId="0" fontId="12" fillId="0" borderId="2" xfId="0" applyFont="1" applyBorder="1" applyAlignment="1">
      <alignment horizontal="right"/>
    </xf>
    <xf numFmtId="0" fontId="12" fillId="0" borderId="2" xfId="0" applyFont="1" applyFill="1" applyBorder="1" applyAlignment="1">
      <alignment horizontal="right"/>
    </xf>
    <xf numFmtId="192" fontId="12" fillId="0" borderId="2" xfId="0" applyNumberFormat="1" applyFont="1" applyFill="1" applyBorder="1" applyAlignment="1">
      <alignment horizontal="centerContinuous"/>
    </xf>
    <xf numFmtId="0" fontId="12" fillId="0" borderId="2" xfId="0" applyFont="1" applyFill="1" applyBorder="1" applyAlignment="1">
      <alignment horizontal="centerContinuous"/>
    </xf>
    <xf numFmtId="175" fontId="12" fillId="0" borderId="0" xfId="0" applyNumberFormat="1" applyFont="1"/>
    <xf numFmtId="228" fontId="0" fillId="0" borderId="0" xfId="0" applyNumberFormat="1"/>
    <xf numFmtId="177" fontId="0" fillId="0" borderId="0" xfId="0" applyNumberFormat="1"/>
    <xf numFmtId="0" fontId="33" fillId="0" borderId="0" xfId="0" applyFont="1" applyBorder="1" applyAlignment="1">
      <alignment horizontal="left"/>
    </xf>
    <xf numFmtId="0" fontId="2" fillId="0" borderId="0" xfId="0" applyFont="1"/>
    <xf numFmtId="37" fontId="47" fillId="0" borderId="0" xfId="0" applyNumberFormat="1" applyFont="1" applyBorder="1"/>
    <xf numFmtId="0" fontId="11" fillId="4" borderId="0" xfId="0" applyFont="1" applyFill="1"/>
    <xf numFmtId="7" fontId="5" fillId="4" borderId="0" xfId="0" applyNumberFormat="1" applyFont="1" applyFill="1"/>
    <xf numFmtId="0" fontId="47" fillId="4" borderId="0" xfId="0" applyFont="1" applyFill="1" applyBorder="1" applyAlignment="1">
      <alignment horizontal="left"/>
    </xf>
    <xf numFmtId="0" fontId="11" fillId="4" borderId="0" xfId="0" applyFont="1" applyFill="1" applyAlignment="1">
      <alignment horizontal="left"/>
    </xf>
    <xf numFmtId="0" fontId="5" fillId="4" borderId="0" xfId="0" applyFont="1" applyFill="1" applyAlignment="1">
      <alignment horizontal="center"/>
    </xf>
    <xf numFmtId="0" fontId="5" fillId="4" borderId="0" xfId="0" applyFont="1" applyFill="1"/>
    <xf numFmtId="0" fontId="109" fillId="4" borderId="0" xfId="0" applyFont="1" applyFill="1" applyBorder="1" applyAlignment="1">
      <alignment horizontal="left" indent="1"/>
    </xf>
    <xf numFmtId="0" fontId="11" fillId="9" borderId="0" xfId="0" applyFont="1" applyFill="1"/>
    <xf numFmtId="0" fontId="91" fillId="9" borderId="0" xfId="0" applyFont="1" applyFill="1" applyAlignment="1">
      <alignment horizontal="center"/>
    </xf>
    <xf numFmtId="5" fontId="5" fillId="4" borderId="0" xfId="0" applyNumberFormat="1" applyFont="1" applyFill="1" applyAlignment="1">
      <alignment horizontal="left"/>
    </xf>
    <xf numFmtId="5" fontId="11" fillId="4" borderId="0" xfId="0" applyNumberFormat="1" applyFont="1" applyFill="1" applyAlignment="1" applyProtection="1">
      <alignment horizontal="center"/>
    </xf>
    <xf numFmtId="6" fontId="11" fillId="4" borderId="0" xfId="0" applyNumberFormat="1" applyFont="1" applyFill="1" applyAlignment="1">
      <alignment horizontal="center"/>
    </xf>
    <xf numFmtId="190" fontId="5" fillId="4" borderId="0" xfId="0" applyNumberFormat="1" applyFont="1" applyFill="1" applyAlignment="1" applyProtection="1">
      <alignment horizontal="center"/>
    </xf>
    <xf numFmtId="244" fontId="5" fillId="4" borderId="0" xfId="0" applyNumberFormat="1" applyFont="1" applyFill="1" applyAlignment="1">
      <alignment horizontal="center"/>
    </xf>
    <xf numFmtId="37" fontId="5" fillId="4" borderId="0" xfId="0" applyNumberFormat="1" applyFont="1" applyFill="1" applyAlignment="1" applyProtection="1">
      <alignment horizontal="center"/>
    </xf>
    <xf numFmtId="39" fontId="5" fillId="4" borderId="0" xfId="0" applyNumberFormat="1" applyFont="1" applyFill="1" applyAlignment="1" applyProtection="1">
      <alignment horizontal="center"/>
    </xf>
    <xf numFmtId="7" fontId="11" fillId="4" borderId="0" xfId="0" applyNumberFormat="1" applyFont="1" applyFill="1" applyAlignment="1" applyProtection="1">
      <alignment horizontal="center"/>
    </xf>
    <xf numFmtId="8" fontId="11" fillId="4" borderId="0" xfId="0" applyNumberFormat="1" applyFont="1" applyFill="1" applyAlignment="1">
      <alignment horizontal="center"/>
    </xf>
    <xf numFmtId="5" fontId="11" fillId="4" borderId="0" xfId="0" applyNumberFormat="1" applyFont="1" applyFill="1" applyAlignment="1">
      <alignment horizontal="left"/>
    </xf>
    <xf numFmtId="167" fontId="5" fillId="4" borderId="0" xfId="0" applyNumberFormat="1" applyFont="1" applyFill="1" applyAlignment="1" applyProtection="1">
      <alignment horizontal="center"/>
    </xf>
    <xf numFmtId="0" fontId="5" fillId="4" borderId="0" xfId="0" applyFont="1" applyFill="1" applyBorder="1"/>
    <xf numFmtId="0" fontId="15" fillId="4" borderId="0" xfId="0" applyFont="1" applyFill="1"/>
    <xf numFmtId="5" fontId="5" fillId="4" borderId="0" xfId="0" applyNumberFormat="1" applyFont="1" applyFill="1" applyAlignment="1">
      <alignment horizontal="left" indent="1"/>
    </xf>
    <xf numFmtId="8" fontId="5" fillId="4" borderId="0" xfId="0" applyNumberFormat="1" applyFont="1" applyFill="1" applyAlignment="1">
      <alignment horizontal="center"/>
    </xf>
    <xf numFmtId="0" fontId="5" fillId="4" borderId="0" xfId="0" applyFont="1" applyFill="1" applyBorder="1" applyAlignment="1">
      <alignment horizontal="left"/>
    </xf>
    <xf numFmtId="7" fontId="5" fillId="4" borderId="0" xfId="0" applyNumberFormat="1" applyFont="1" applyFill="1" applyAlignment="1">
      <alignment horizontal="left" indent="1"/>
    </xf>
    <xf numFmtId="9" fontId="5" fillId="4" borderId="0" xfId="30" applyFont="1" applyFill="1" applyAlignment="1">
      <alignment horizontal="left" indent="1"/>
    </xf>
    <xf numFmtId="5" fontId="11" fillId="4" borderId="0" xfId="0" applyNumberFormat="1" applyFont="1" applyFill="1" applyAlignment="1">
      <alignment horizontal="left" indent="1"/>
    </xf>
    <xf numFmtId="37" fontId="11" fillId="4" borderId="0" xfId="0" applyNumberFormat="1" applyFont="1" applyFill="1" applyAlignment="1" applyProtection="1">
      <alignment horizontal="center"/>
    </xf>
    <xf numFmtId="190" fontId="11" fillId="4" borderId="0" xfId="0" applyNumberFormat="1" applyFont="1" applyFill="1" applyAlignment="1" applyProtection="1">
      <alignment horizontal="center"/>
    </xf>
    <xf numFmtId="0" fontId="91" fillId="9" borderId="37" xfId="0" applyFont="1" applyFill="1" applyBorder="1" applyAlignment="1">
      <alignment horizontal="centerContinuous"/>
    </xf>
    <xf numFmtId="37" fontId="5" fillId="0" borderId="0" xfId="0" applyNumberFormat="1" applyFont="1" applyFill="1" applyBorder="1"/>
    <xf numFmtId="37" fontId="5" fillId="0" borderId="2" xfId="0" applyNumberFormat="1" applyFont="1" applyBorder="1"/>
    <xf numFmtId="254" fontId="5" fillId="0" borderId="0" xfId="0" applyNumberFormat="1" applyFont="1" applyBorder="1"/>
    <xf numFmtId="0" fontId="106" fillId="9" borderId="38" xfId="0" applyFont="1" applyFill="1" applyBorder="1" applyAlignment="1">
      <alignment horizontal="centerContinuous"/>
    </xf>
    <xf numFmtId="0" fontId="91" fillId="9" borderId="27" xfId="0" applyFont="1" applyFill="1" applyBorder="1" applyAlignment="1">
      <alignment horizontal="center"/>
    </xf>
    <xf numFmtId="0" fontId="91" fillId="9" borderId="0" xfId="0" applyFont="1" applyFill="1" applyBorder="1" applyAlignment="1">
      <alignment horizontal="center"/>
    </xf>
    <xf numFmtId="0" fontId="91" fillId="9" borderId="28" xfId="0" applyFont="1" applyFill="1" applyBorder="1" applyAlignment="1">
      <alignment horizontal="center"/>
    </xf>
    <xf numFmtId="6" fontId="11" fillId="4" borderId="27" xfId="0" applyNumberFormat="1" applyFont="1" applyFill="1" applyBorder="1" applyAlignment="1">
      <alignment horizontal="center"/>
    </xf>
    <xf numFmtId="6" fontId="11" fillId="4" borderId="28" xfId="0" applyNumberFormat="1" applyFont="1" applyFill="1" applyBorder="1" applyAlignment="1">
      <alignment horizontal="center"/>
    </xf>
    <xf numFmtId="244" fontId="5" fillId="4" borderId="27" xfId="0" applyNumberFormat="1" applyFont="1" applyFill="1" applyBorder="1" applyAlignment="1">
      <alignment horizontal="center"/>
    </xf>
    <xf numFmtId="244" fontId="5" fillId="4" borderId="28" xfId="0" applyNumberFormat="1" applyFont="1" applyFill="1" applyBorder="1" applyAlignment="1">
      <alignment horizontal="center"/>
    </xf>
    <xf numFmtId="6" fontId="5" fillId="4" borderId="27" xfId="0" applyNumberFormat="1" applyFont="1" applyFill="1" applyBorder="1" applyAlignment="1">
      <alignment horizontal="center"/>
    </xf>
    <xf numFmtId="6" fontId="5" fillId="4" borderId="28" xfId="0" applyNumberFormat="1" applyFont="1" applyFill="1" applyBorder="1" applyAlignment="1">
      <alignment horizontal="center"/>
    </xf>
    <xf numFmtId="8" fontId="11" fillId="4" borderId="27" xfId="0" applyNumberFormat="1" applyFont="1" applyFill="1" applyBorder="1" applyAlignment="1">
      <alignment horizontal="center"/>
    </xf>
    <xf numFmtId="8" fontId="11" fillId="4" borderId="28" xfId="0" applyNumberFormat="1" applyFont="1" applyFill="1" applyBorder="1" applyAlignment="1">
      <alignment horizontal="center"/>
    </xf>
    <xf numFmtId="37" fontId="5" fillId="4" borderId="28" xfId="0" applyNumberFormat="1" applyFont="1" applyFill="1" applyBorder="1" applyAlignment="1">
      <alignment horizontal="center"/>
    </xf>
    <xf numFmtId="167" fontId="5" fillId="4" borderId="27" xfId="0" applyNumberFormat="1" applyFont="1" applyFill="1" applyBorder="1" applyAlignment="1" applyProtection="1">
      <alignment horizontal="center"/>
    </xf>
    <xf numFmtId="167" fontId="5" fillId="4" borderId="0" xfId="0" applyNumberFormat="1" applyFont="1" applyFill="1" applyBorder="1" applyAlignment="1" applyProtection="1">
      <alignment horizontal="center"/>
    </xf>
    <xf numFmtId="167" fontId="5" fillId="4" borderId="28" xfId="0" applyNumberFormat="1" applyFont="1" applyFill="1" applyBorder="1" applyAlignment="1" applyProtection="1">
      <alignment horizontal="center"/>
    </xf>
    <xf numFmtId="0" fontId="5" fillId="4" borderId="29" xfId="0" applyFont="1" applyFill="1" applyBorder="1"/>
    <xf numFmtId="0" fontId="5" fillId="4" borderId="30" xfId="0" applyFont="1" applyFill="1" applyBorder="1"/>
    <xf numFmtId="0" fontId="91" fillId="9" borderId="33" xfId="0" applyFont="1" applyFill="1" applyBorder="1" applyAlignment="1">
      <alignment horizontal="center"/>
    </xf>
    <xf numFmtId="0" fontId="5" fillId="4" borderId="33" xfId="0" applyFont="1" applyFill="1" applyBorder="1"/>
    <xf numFmtId="0" fontId="5" fillId="4" borderId="36" xfId="0" applyFont="1" applyFill="1" applyBorder="1"/>
    <xf numFmtId="0" fontId="5" fillId="4" borderId="33" xfId="0" applyFont="1" applyFill="1" applyBorder="1" applyAlignment="1">
      <alignment horizontal="center"/>
    </xf>
    <xf numFmtId="0" fontId="16" fillId="4" borderId="33" xfId="0" applyFont="1" applyFill="1" applyBorder="1" applyAlignment="1">
      <alignment horizontal="center"/>
    </xf>
    <xf numFmtId="14" fontId="5" fillId="4" borderId="33" xfId="0" applyNumberFormat="1" applyFont="1" applyFill="1" applyBorder="1" applyAlignment="1">
      <alignment horizontal="center"/>
    </xf>
    <xf numFmtId="2" fontId="16" fillId="4" borderId="33" xfId="0" applyNumberFormat="1" applyFont="1" applyFill="1" applyBorder="1" applyAlignment="1">
      <alignment horizontal="center"/>
    </xf>
    <xf numFmtId="8" fontId="16" fillId="4" borderId="33" xfId="0" applyNumberFormat="1" applyFont="1" applyFill="1" applyBorder="1" applyAlignment="1">
      <alignment horizontal="center"/>
    </xf>
    <xf numFmtId="0" fontId="91" fillId="9" borderId="32" xfId="0" applyFont="1" applyFill="1" applyBorder="1" applyAlignment="1">
      <alignment horizontal="centerContinuous"/>
    </xf>
    <xf numFmtId="0" fontId="91" fillId="9" borderId="32" xfId="0" applyFont="1" applyFill="1" applyBorder="1" applyAlignment="1">
      <alignment horizontal="center"/>
    </xf>
    <xf numFmtId="0" fontId="11" fillId="9" borderId="24" xfId="0" applyFont="1" applyFill="1" applyBorder="1"/>
    <xf numFmtId="0" fontId="91" fillId="9" borderId="9" xfId="0" applyFont="1" applyFill="1" applyBorder="1" applyAlignment="1">
      <alignment horizontal="center"/>
    </xf>
    <xf numFmtId="0" fontId="91" fillId="9" borderId="25" xfId="0" applyFont="1" applyFill="1" applyBorder="1" applyAlignment="1">
      <alignment horizontal="center"/>
    </xf>
    <xf numFmtId="5" fontId="5" fillId="4" borderId="27" xfId="0" applyNumberFormat="1" applyFont="1" applyFill="1" applyBorder="1" applyAlignment="1">
      <alignment horizontal="left"/>
    </xf>
    <xf numFmtId="190" fontId="5" fillId="4" borderId="0" xfId="0" applyNumberFormat="1" applyFont="1" applyFill="1" applyBorder="1" applyAlignment="1" applyProtection="1">
      <alignment horizontal="center"/>
    </xf>
    <xf numFmtId="37" fontId="5" fillId="4" borderId="0" xfId="0" applyNumberFormat="1" applyFont="1" applyFill="1" applyBorder="1" applyAlignment="1" applyProtection="1">
      <alignment horizontal="center"/>
    </xf>
    <xf numFmtId="7" fontId="11" fillId="4" borderId="0" xfId="0" applyNumberFormat="1" applyFont="1" applyFill="1" applyBorder="1" applyAlignment="1" applyProtection="1">
      <alignment horizontal="center"/>
    </xf>
    <xf numFmtId="5" fontId="11" fillId="4" borderId="27" xfId="0" applyNumberFormat="1" applyFont="1" applyFill="1" applyBorder="1" applyAlignment="1">
      <alignment horizontal="left"/>
    </xf>
    <xf numFmtId="0" fontId="5" fillId="4" borderId="3" xfId="0" applyFont="1" applyFill="1" applyBorder="1" applyAlignment="1">
      <alignment horizontal="center"/>
    </xf>
    <xf numFmtId="0" fontId="5" fillId="4" borderId="30" xfId="0" applyFont="1" applyFill="1" applyBorder="1" applyAlignment="1">
      <alignment horizontal="center"/>
    </xf>
    <xf numFmtId="201" fontId="18" fillId="0" borderId="2" xfId="0" applyNumberFormat="1" applyFont="1" applyBorder="1"/>
    <xf numFmtId="186" fontId="5" fillId="0" borderId="0" xfId="0" applyNumberFormat="1" applyFont="1"/>
    <xf numFmtId="0" fontId="17" fillId="0" borderId="0" xfId="0" applyFont="1" applyBorder="1" applyAlignment="1">
      <alignment horizontal="left"/>
    </xf>
    <xf numFmtId="5" fontId="16" fillId="4" borderId="0" xfId="0" applyNumberFormat="1" applyFont="1" applyFill="1" applyAlignment="1" applyProtection="1">
      <alignment horizontal="center"/>
    </xf>
    <xf numFmtId="190" fontId="18" fillId="4" borderId="0" xfId="0" applyNumberFormat="1" applyFont="1" applyFill="1" applyAlignment="1" applyProtection="1">
      <alignment horizontal="center"/>
    </xf>
    <xf numFmtId="37" fontId="18" fillId="4" borderId="0" xfId="0" applyNumberFormat="1" applyFont="1" applyFill="1" applyAlignment="1" applyProtection="1">
      <alignment horizontal="center"/>
    </xf>
    <xf numFmtId="0" fontId="18" fillId="4" borderId="0" xfId="0" applyFont="1" applyFill="1" applyAlignment="1">
      <alignment horizontal="center"/>
    </xf>
    <xf numFmtId="39" fontId="18" fillId="4" borderId="0" xfId="0" applyNumberFormat="1" applyFont="1" applyFill="1" applyAlignment="1" applyProtection="1">
      <alignment horizontal="center"/>
    </xf>
    <xf numFmtId="7" fontId="16" fillId="4" borderId="0" xfId="0" applyNumberFormat="1" applyFont="1" applyFill="1" applyAlignment="1" applyProtection="1">
      <alignment horizontal="center"/>
    </xf>
    <xf numFmtId="167" fontId="18" fillId="4" borderId="0" xfId="0" applyNumberFormat="1" applyFont="1" applyFill="1" applyAlignment="1" applyProtection="1">
      <alignment horizontal="center"/>
    </xf>
    <xf numFmtId="0" fontId="0" fillId="0" borderId="2" xfId="0" applyBorder="1" applyAlignment="1">
      <alignment horizontal="centerContinuous"/>
    </xf>
    <xf numFmtId="37" fontId="47" fillId="0" borderId="2" xfId="0" applyNumberFormat="1" applyFont="1" applyBorder="1"/>
    <xf numFmtId="182" fontId="26" fillId="0" borderId="18" xfId="0" applyNumberFormat="1" applyFont="1" applyFill="1" applyBorder="1"/>
    <xf numFmtId="0" fontId="5" fillId="0" borderId="14" xfId="0" applyFont="1" applyBorder="1" applyAlignment="1">
      <alignment horizontal="centerContinuous"/>
    </xf>
    <xf numFmtId="0" fontId="11" fillId="4" borderId="33" xfId="0" applyFont="1" applyFill="1" applyBorder="1" applyAlignment="1">
      <alignment horizontal="center"/>
    </xf>
    <xf numFmtId="8" fontId="59" fillId="4" borderId="33" xfId="0" applyNumberFormat="1" applyFont="1" applyFill="1" applyBorder="1" applyAlignment="1">
      <alignment horizontal="center"/>
    </xf>
    <xf numFmtId="183" fontId="18" fillId="0" borderId="39" xfId="0" applyNumberFormat="1" applyFont="1" applyBorder="1" applyAlignment="1">
      <alignment horizontal="right"/>
    </xf>
    <xf numFmtId="183" fontId="5" fillId="0" borderId="39" xfId="0" applyNumberFormat="1" applyFont="1" applyBorder="1" applyAlignment="1">
      <alignment horizontal="right"/>
    </xf>
    <xf numFmtId="212" fontId="5" fillId="0" borderId="18" xfId="26" quotePrefix="1" applyNumberFormat="1" applyFont="1" applyFill="1" applyBorder="1" applyAlignment="1">
      <alignment horizontal="right"/>
    </xf>
    <xf numFmtId="183" fontId="5" fillId="0" borderId="18" xfId="0" applyNumberFormat="1" applyFont="1" applyBorder="1" applyAlignment="1">
      <alignment horizontal="right"/>
    </xf>
    <xf numFmtId="40" fontId="18" fillId="0" borderId="0" xfId="0" applyNumberFormat="1" applyFont="1" applyBorder="1"/>
    <xf numFmtId="8" fontId="5" fillId="7" borderId="33" xfId="0" applyNumberFormat="1" applyFont="1" applyFill="1" applyBorder="1" applyAlignment="1">
      <alignment horizontal="center"/>
    </xf>
    <xf numFmtId="0" fontId="5" fillId="7" borderId="33" xfId="0" applyFont="1" applyFill="1" applyBorder="1"/>
    <xf numFmtId="8" fontId="5" fillId="7" borderId="40" xfId="0" applyNumberFormat="1" applyFont="1" applyFill="1" applyBorder="1" applyAlignment="1">
      <alignment horizontal="center"/>
    </xf>
    <xf numFmtId="8" fontId="11" fillId="7" borderId="33" xfId="0" applyNumberFormat="1" applyFont="1" applyFill="1" applyBorder="1" applyAlignment="1">
      <alignment horizontal="center"/>
    </xf>
    <xf numFmtId="270" fontId="5" fillId="7" borderId="33" xfId="0" applyNumberFormat="1" applyFont="1" applyFill="1" applyBorder="1"/>
    <xf numFmtId="190" fontId="5" fillId="7" borderId="33" xfId="0" applyNumberFormat="1" applyFont="1" applyFill="1" applyBorder="1" applyAlignment="1" applyProtection="1">
      <alignment horizontal="center"/>
    </xf>
    <xf numFmtId="0" fontId="5" fillId="7" borderId="36" xfId="0" applyFont="1" applyFill="1" applyBorder="1"/>
    <xf numFmtId="172" fontId="11" fillId="4" borderId="0" xfId="0" applyNumberFormat="1" applyFont="1" applyFill="1" applyBorder="1" applyAlignment="1" applyProtection="1">
      <alignment horizontal="center"/>
    </xf>
    <xf numFmtId="167" fontId="5" fillId="4" borderId="0" xfId="0" applyNumberFormat="1" applyFont="1" applyFill="1" applyBorder="1" applyAlignment="1">
      <alignment horizontal="center"/>
    </xf>
    <xf numFmtId="9" fontId="5" fillId="0" borderId="0" xfId="0" applyNumberFormat="1" applyFont="1" applyFill="1"/>
    <xf numFmtId="183" fontId="5" fillId="0" borderId="18" xfId="0" applyNumberFormat="1" applyFont="1" applyFill="1" applyBorder="1" applyAlignment="1">
      <alignment horizontal="right"/>
    </xf>
    <xf numFmtId="185" fontId="72" fillId="0" borderId="0" xfId="0" applyNumberFormat="1" applyFont="1" applyFill="1" applyBorder="1"/>
    <xf numFmtId="204" fontId="18" fillId="0" borderId="4" xfId="0" applyNumberFormat="1" applyFont="1" applyBorder="1"/>
    <xf numFmtId="185" fontId="5" fillId="0" borderId="0" xfId="0" applyNumberFormat="1" applyFont="1" applyFill="1" applyBorder="1"/>
    <xf numFmtId="166" fontId="13" fillId="0" borderId="0" xfId="27" applyNumberFormat="1" applyFont="1" applyFill="1" applyAlignment="1" applyProtection="1">
      <alignment horizontal="right"/>
    </xf>
    <xf numFmtId="197" fontId="12" fillId="0" borderId="0" xfId="15" applyNumberFormat="1" applyFont="1" applyFill="1" applyBorder="1" applyAlignment="1">
      <alignment horizontal="center"/>
    </xf>
    <xf numFmtId="190" fontId="9" fillId="0" borderId="0" xfId="28" applyNumberFormat="1" applyFont="1" applyBorder="1" applyProtection="1"/>
    <xf numFmtId="0" fontId="16" fillId="0" borderId="0" xfId="0" applyFont="1"/>
    <xf numFmtId="0" fontId="47" fillId="0" borderId="0" xfId="0" applyFont="1"/>
    <xf numFmtId="0" fontId="11" fillId="0" borderId="11" xfId="0" applyFont="1" applyBorder="1" applyAlignment="1">
      <alignment horizontal="center"/>
    </xf>
    <xf numFmtId="0" fontId="116" fillId="0" borderId="0" xfId="0" applyFont="1"/>
    <xf numFmtId="272" fontId="86" fillId="0" borderId="0" xfId="0" applyNumberFormat="1" applyFont="1"/>
    <xf numFmtId="167" fontId="86" fillId="0" borderId="0" xfId="0" applyNumberFormat="1" applyFont="1"/>
    <xf numFmtId="0" fontId="116" fillId="0" borderId="0" xfId="0" applyFont="1" applyAlignment="1">
      <alignment horizontal="left" indent="1"/>
    </xf>
    <xf numFmtId="0" fontId="47" fillId="0" borderId="5" xfId="0" applyFont="1" applyBorder="1"/>
    <xf numFmtId="44" fontId="5" fillId="0" borderId="5" xfId="0" applyNumberFormat="1" applyFont="1" applyBorder="1"/>
    <xf numFmtId="0" fontId="117" fillId="0" borderId="0" xfId="0" applyFont="1"/>
    <xf numFmtId="166" fontId="86" fillId="0" borderId="0" xfId="30" applyNumberFormat="1" applyFont="1"/>
    <xf numFmtId="166" fontId="86" fillId="0" borderId="0" xfId="30" applyNumberFormat="1" applyFont="1" applyAlignment="1">
      <alignment horizontal="right"/>
    </xf>
    <xf numFmtId="167" fontId="86" fillId="0" borderId="0" xfId="0" applyNumberFormat="1" applyFont="1" applyAlignment="1">
      <alignment horizontal="right"/>
    </xf>
    <xf numFmtId="0" fontId="0" fillId="2" borderId="0" xfId="0" applyFill="1"/>
    <xf numFmtId="272" fontId="5" fillId="0" borderId="0" xfId="0" applyNumberFormat="1" applyFont="1"/>
    <xf numFmtId="0" fontId="47" fillId="0" borderId="0" xfId="0" applyFont="1" applyAlignment="1">
      <alignment horizontal="left" indent="1"/>
    </xf>
    <xf numFmtId="166" fontId="18" fillId="0" borderId="0" xfId="30" applyNumberFormat="1" applyFont="1"/>
    <xf numFmtId="166" fontId="5" fillId="0" borderId="0" xfId="30" applyNumberFormat="1" applyFont="1" applyAlignment="1">
      <alignment horizontal="right"/>
    </xf>
    <xf numFmtId="166" fontId="47" fillId="0" borderId="0" xfId="30" applyNumberFormat="1" applyFont="1" applyBorder="1"/>
    <xf numFmtId="8" fontId="5" fillId="7" borderId="33" xfId="0" applyNumberFormat="1" applyFont="1" applyFill="1" applyBorder="1"/>
    <xf numFmtId="8" fontId="11" fillId="7" borderId="41" xfId="0" applyNumberFormat="1" applyFont="1" applyFill="1" applyBorder="1" applyAlignment="1">
      <alignment horizontal="center"/>
    </xf>
    <xf numFmtId="180" fontId="10" fillId="0" borderId="15" xfId="27" applyFont="1" applyBorder="1"/>
    <xf numFmtId="190" fontId="9" fillId="0" borderId="15" xfId="28" applyNumberFormat="1" applyFont="1" applyBorder="1" applyProtection="1"/>
    <xf numFmtId="169" fontId="9" fillId="0" borderId="15" xfId="8" applyNumberFormat="1" applyFont="1" applyBorder="1"/>
    <xf numFmtId="180" fontId="9" fillId="0" borderId="15" xfId="27" applyFont="1" applyFill="1" applyBorder="1"/>
    <xf numFmtId="182" fontId="72" fillId="0" borderId="2" xfId="0" applyNumberFormat="1" applyFont="1" applyFill="1" applyBorder="1"/>
    <xf numFmtId="40" fontId="18" fillId="0" borderId="4" xfId="0" applyNumberFormat="1" applyFont="1" applyFill="1" applyBorder="1"/>
    <xf numFmtId="40" fontId="5" fillId="0" borderId="4" xfId="0" applyNumberFormat="1" applyFont="1" applyFill="1" applyBorder="1"/>
    <xf numFmtId="167" fontId="5" fillId="0" borderId="0" xfId="0" applyNumberFormat="1" applyFont="1" applyAlignment="1">
      <alignment horizontal="center"/>
    </xf>
    <xf numFmtId="273" fontId="5" fillId="0" borderId="0" xfId="0" applyNumberFormat="1" applyFont="1"/>
    <xf numFmtId="274" fontId="5" fillId="0" borderId="0" xfId="30" applyNumberFormat="1" applyFont="1"/>
    <xf numFmtId="182" fontId="5" fillId="0" borderId="0" xfId="0" applyNumberFormat="1" applyFont="1" applyBorder="1"/>
    <xf numFmtId="182" fontId="5" fillId="0" borderId="19" xfId="0" applyNumberFormat="1" applyFont="1" applyFill="1" applyBorder="1"/>
    <xf numFmtId="0" fontId="9" fillId="10" borderId="0" xfId="0" applyFont="1" applyFill="1"/>
    <xf numFmtId="0" fontId="118" fillId="0" borderId="0" xfId="0" applyFont="1"/>
    <xf numFmtId="0" fontId="5" fillId="0" borderId="0" xfId="0" applyFont="1" applyAlignment="1">
      <alignment horizontal="left" indent="1"/>
    </xf>
    <xf numFmtId="0" fontId="11" fillId="0" borderId="0" xfId="16" applyFont="1" applyFill="1" applyAlignment="1">
      <alignment horizontal="right"/>
    </xf>
    <xf numFmtId="0" fontId="11" fillId="8" borderId="23" xfId="16" applyFont="1" applyFill="1" applyBorder="1" applyAlignment="1">
      <alignment horizontal="left" indent="1"/>
    </xf>
    <xf numFmtId="0" fontId="47" fillId="0" borderId="0" xfId="16" applyFont="1" applyBorder="1" applyAlignment="1">
      <alignment horizontal="center"/>
    </xf>
    <xf numFmtId="0" fontId="5" fillId="0" borderId="0" xfId="16" applyFont="1" applyBorder="1" applyAlignment="1">
      <alignment horizontal="center"/>
    </xf>
    <xf numFmtId="166" fontId="47" fillId="0" borderId="0" xfId="30" applyNumberFormat="1" applyFont="1" applyBorder="1" applyAlignment="1">
      <alignment horizontal="right"/>
    </xf>
    <xf numFmtId="175" fontId="5" fillId="0" borderId="0" xfId="8" applyNumberFormat="1" applyFont="1" applyFill="1"/>
    <xf numFmtId="167" fontId="5" fillId="0" borderId="0" xfId="0" applyNumberFormat="1" applyFont="1" applyFill="1"/>
    <xf numFmtId="272" fontId="5" fillId="0" borderId="0" xfId="0" applyNumberFormat="1" applyFont="1" applyFill="1"/>
    <xf numFmtId="166" fontId="47" fillId="0" borderId="0" xfId="30" applyNumberFormat="1" applyFont="1" applyFill="1" applyBorder="1"/>
    <xf numFmtId="166" fontId="0" fillId="0" borderId="0" xfId="0" applyNumberFormat="1"/>
    <xf numFmtId="9" fontId="15" fillId="0" borderId="0" xfId="0" applyNumberFormat="1" applyFont="1" applyAlignment="1">
      <alignment horizontal="center"/>
    </xf>
    <xf numFmtId="197" fontId="17" fillId="0" borderId="0" xfId="0" applyNumberFormat="1" applyFont="1" applyAlignment="1">
      <alignment horizontal="left"/>
    </xf>
    <xf numFmtId="185" fontId="72" fillId="0" borderId="0" xfId="0" applyNumberFormat="1" applyFont="1" applyFill="1" applyAlignment="1">
      <alignment horizontal="right"/>
    </xf>
    <xf numFmtId="185" fontId="72" fillId="0" borderId="2" xfId="0" applyNumberFormat="1" applyFont="1" applyFill="1" applyBorder="1" applyAlignment="1">
      <alignment horizontal="right"/>
    </xf>
    <xf numFmtId="201" fontId="72" fillId="0" borderId="2" xfId="0" applyNumberFormat="1" applyFont="1" applyFill="1" applyBorder="1" applyAlignment="1">
      <alignment horizontal="right"/>
    </xf>
    <xf numFmtId="0" fontId="18" fillId="0" borderId="0" xfId="0" applyFont="1" applyFill="1" applyBorder="1"/>
    <xf numFmtId="9" fontId="18" fillId="0" borderId="0" xfId="30" applyFont="1" applyFill="1"/>
    <xf numFmtId="9" fontId="27" fillId="0" borderId="0" xfId="0" applyNumberFormat="1" applyFont="1" applyFill="1"/>
    <xf numFmtId="9" fontId="18" fillId="0" borderId="0" xfId="0" applyNumberFormat="1" applyFont="1" applyFill="1"/>
    <xf numFmtId="9" fontId="27" fillId="0" borderId="0" xfId="30" applyFont="1" applyFill="1"/>
    <xf numFmtId="212" fontId="5" fillId="0" borderId="0" xfId="26" quotePrefix="1" applyNumberFormat="1" applyFont="1" applyFill="1" applyBorder="1" applyAlignment="1">
      <alignment horizontal="right"/>
    </xf>
    <xf numFmtId="212" fontId="5" fillId="0" borderId="0" xfId="26" applyNumberFormat="1" applyFont="1" applyFill="1" applyAlignment="1">
      <alignment horizontal="right"/>
    </xf>
    <xf numFmtId="212" fontId="18" fillId="0" borderId="0" xfId="26" quotePrefix="1" applyNumberFormat="1" applyFont="1" applyFill="1" applyAlignment="1">
      <alignment horizontal="right"/>
    </xf>
    <xf numFmtId="212" fontId="18" fillId="0" borderId="0" xfId="26" quotePrefix="1" applyNumberFormat="1" applyFont="1" applyFill="1" applyBorder="1" applyAlignment="1">
      <alignment horizontal="right"/>
    </xf>
    <xf numFmtId="212" fontId="18" fillId="0" borderId="18" xfId="26" quotePrefix="1" applyNumberFormat="1" applyFont="1" applyFill="1" applyBorder="1" applyAlignment="1">
      <alignment horizontal="right"/>
    </xf>
    <xf numFmtId="212" fontId="18" fillId="0" borderId="0" xfId="26" applyNumberFormat="1" applyFont="1" applyFill="1" applyAlignment="1">
      <alignment horizontal="right"/>
    </xf>
    <xf numFmtId="209" fontId="9" fillId="0" borderId="0" xfId="27" applyNumberFormat="1" applyFont="1" applyFill="1"/>
    <xf numFmtId="16" fontId="5" fillId="0" borderId="18" xfId="0" applyNumberFormat="1" applyFont="1" applyFill="1" applyBorder="1" applyAlignment="1">
      <alignment horizontal="right"/>
    </xf>
    <xf numFmtId="16" fontId="5" fillId="0" borderId="0" xfId="0" applyNumberFormat="1" applyFont="1" applyFill="1" applyAlignment="1">
      <alignment horizontal="right"/>
    </xf>
    <xf numFmtId="211" fontId="5" fillId="0" borderId="0" xfId="26" quotePrefix="1" applyNumberFormat="1" applyFont="1" applyAlignment="1">
      <alignment horizontal="right"/>
    </xf>
    <xf numFmtId="180" fontId="9" fillId="0" borderId="2" xfId="27" applyFont="1" applyFill="1" applyBorder="1"/>
    <xf numFmtId="180" fontId="9" fillId="0" borderId="0" xfId="27" applyFont="1" applyFill="1" applyBorder="1"/>
    <xf numFmtId="190" fontId="9" fillId="0" borderId="0" xfId="28" applyNumberFormat="1" applyFont="1" applyFill="1" applyAlignment="1" applyProtection="1">
      <alignment horizontal="right"/>
    </xf>
    <xf numFmtId="180" fontId="13" fillId="0" borderId="0" xfId="27" applyNumberFormat="1" applyFont="1" applyFill="1" applyProtection="1"/>
    <xf numFmtId="201" fontId="9" fillId="0" borderId="0" xfId="27" applyNumberFormat="1" applyFont="1" applyFill="1" applyProtection="1"/>
    <xf numFmtId="209" fontId="9" fillId="0" borderId="0" xfId="27" applyNumberFormat="1" applyFont="1" applyFill="1" applyProtection="1"/>
    <xf numFmtId="207" fontId="9" fillId="0" borderId="0" xfId="27" applyNumberFormat="1" applyFont="1" applyFill="1" applyProtection="1"/>
    <xf numFmtId="2" fontId="13" fillId="0" borderId="0" xfId="27" applyNumberFormat="1" applyFont="1" applyFill="1"/>
    <xf numFmtId="206" fontId="13" fillId="0" borderId="0" xfId="27" applyNumberFormat="1" applyFont="1" applyFill="1"/>
    <xf numFmtId="166" fontId="9" fillId="0" borderId="0" xfId="30" applyNumberFormat="1" applyFont="1" applyFill="1"/>
    <xf numFmtId="0" fontId="0" fillId="0" borderId="11" xfId="0" applyBorder="1"/>
    <xf numFmtId="0" fontId="5" fillId="0" borderId="0" xfId="0" applyFont="1" applyFill="1" applyBorder="1" applyAlignment="1">
      <alignment horizontal="left"/>
    </xf>
    <xf numFmtId="172" fontId="18" fillId="0" borderId="0" xfId="0" applyNumberFormat="1" applyFont="1" applyFill="1"/>
    <xf numFmtId="167" fontId="18" fillId="0" borderId="0" xfId="0" applyNumberFormat="1" applyFont="1" applyFill="1"/>
    <xf numFmtId="166" fontId="5" fillId="0" borderId="0" xfId="8" applyNumberFormat="1" applyFont="1"/>
    <xf numFmtId="195" fontId="15" fillId="0" borderId="0" xfId="0" applyNumberFormat="1" applyFont="1" applyBorder="1" applyAlignment="1">
      <alignment horizontal="left"/>
    </xf>
    <xf numFmtId="195" fontId="16" fillId="0" borderId="0" xfId="0" applyNumberFormat="1" applyFont="1" applyFill="1" applyBorder="1" applyAlignment="1">
      <alignment horizontal="centerContinuous"/>
    </xf>
    <xf numFmtId="183" fontId="32" fillId="0" borderId="0" xfId="0" applyNumberFormat="1" applyFont="1" applyFill="1" applyBorder="1"/>
    <xf numFmtId="180" fontId="12" fillId="11" borderId="0" xfId="27" applyFont="1" applyFill="1" applyBorder="1"/>
    <xf numFmtId="183" fontId="119" fillId="0" borderId="0" xfId="0" applyNumberFormat="1" applyFont="1" applyFill="1" applyBorder="1"/>
    <xf numFmtId="164" fontId="119" fillId="0" borderId="0" xfId="0" applyNumberFormat="1" applyFont="1" applyFill="1" applyBorder="1"/>
    <xf numFmtId="166" fontId="15" fillId="0" borderId="0" xfId="0" applyNumberFormat="1" applyFont="1" applyFill="1" applyAlignment="1">
      <alignment horizontal="center"/>
    </xf>
    <xf numFmtId="38" fontId="72" fillId="4" borderId="0" xfId="0" applyNumberFormat="1" applyFont="1" applyFill="1"/>
    <xf numFmtId="0" fontId="120" fillId="0" borderId="0" xfId="0" applyFont="1" applyAlignment="1">
      <alignment horizontal="left"/>
    </xf>
    <xf numFmtId="200" fontId="72" fillId="0" borderId="2" xfId="0" applyNumberFormat="1" applyFont="1" applyFill="1" applyBorder="1" applyAlignment="1">
      <alignment horizontal="center"/>
    </xf>
    <xf numFmtId="198" fontId="72" fillId="0" borderId="0" xfId="0" applyNumberFormat="1" applyFont="1" applyFill="1" applyAlignment="1">
      <alignment horizontal="center"/>
    </xf>
    <xf numFmtId="201" fontId="72" fillId="0" borderId="0" xfId="0" applyNumberFormat="1" applyFont="1" applyFill="1" applyAlignment="1">
      <alignment horizontal="center"/>
    </xf>
    <xf numFmtId="3" fontId="72" fillId="0" borderId="0" xfId="0" applyNumberFormat="1" applyFont="1" applyFill="1" applyAlignment="1">
      <alignment horizontal="right"/>
    </xf>
    <xf numFmtId="2" fontId="71" fillId="0" borderId="0" xfId="0" applyNumberFormat="1" applyFont="1" applyAlignment="1">
      <alignment horizontal="right"/>
    </xf>
    <xf numFmtId="0" fontId="33" fillId="0" borderId="2" xfId="0" applyFont="1" applyBorder="1" applyAlignment="1">
      <alignment horizontal="left"/>
    </xf>
    <xf numFmtId="0" fontId="33" fillId="0" borderId="2" xfId="0" applyFont="1" applyBorder="1" applyAlignment="1">
      <alignment horizontal="center"/>
    </xf>
    <xf numFmtId="204" fontId="72" fillId="4" borderId="0" xfId="0" applyNumberFormat="1" applyFont="1" applyFill="1"/>
    <xf numFmtId="200" fontId="121" fillId="0" borderId="2" xfId="0" applyNumberFormat="1" applyFont="1" applyFill="1" applyBorder="1"/>
    <xf numFmtId="44" fontId="9" fillId="0" borderId="0" xfId="11" applyFont="1"/>
    <xf numFmtId="183" fontId="122" fillId="0" borderId="0" xfId="0" applyNumberFormat="1" applyFont="1" applyFill="1" applyBorder="1"/>
    <xf numFmtId="164" fontId="122" fillId="0" borderId="2" xfId="0" applyNumberFormat="1" applyFont="1" applyFill="1" applyBorder="1"/>
    <xf numFmtId="0" fontId="47" fillId="0" borderId="0" xfId="0" applyNumberFormat="1" applyFont="1" applyBorder="1"/>
    <xf numFmtId="0" fontId="76" fillId="11" borderId="0" xfId="0" quotePrefix="1" applyFont="1" applyFill="1" applyAlignment="1">
      <alignment horizontal="left"/>
    </xf>
    <xf numFmtId="197" fontId="75" fillId="11" borderId="0" xfId="0" applyNumberFormat="1" applyFont="1" applyFill="1" applyAlignment="1">
      <alignment horizontal="left"/>
    </xf>
    <xf numFmtId="0" fontId="72" fillId="11" borderId="0" xfId="0" applyFont="1" applyFill="1"/>
    <xf numFmtId="198" fontId="72" fillId="11" borderId="0" xfId="0" applyNumberFormat="1" applyFont="1" applyFill="1"/>
    <xf numFmtId="201" fontId="72" fillId="11" borderId="0" xfId="0" applyNumberFormat="1" applyFont="1" applyFill="1"/>
    <xf numFmtId="3" fontId="72" fillId="11" borderId="0" xfId="0" applyNumberFormat="1" applyFont="1" applyFill="1"/>
    <xf numFmtId="200" fontId="72" fillId="11" borderId="0" xfId="0" applyNumberFormat="1" applyFont="1" applyFill="1"/>
    <xf numFmtId="0" fontId="72" fillId="11" borderId="0" xfId="0" applyFont="1" applyFill="1" applyAlignment="1">
      <alignment horizontal="center"/>
    </xf>
    <xf numFmtId="0" fontId="72" fillId="11" borderId="0" xfId="0" applyFont="1" applyFill="1" applyBorder="1"/>
    <xf numFmtId="182" fontId="72" fillId="11" borderId="0" xfId="0" applyNumberFormat="1" applyFont="1" applyFill="1"/>
    <xf numFmtId="178" fontId="72" fillId="11" borderId="0" xfId="0" applyNumberFormat="1" applyFont="1" applyFill="1"/>
    <xf numFmtId="198" fontId="72" fillId="11" borderId="0" xfId="0" applyNumberFormat="1" applyFont="1" applyFill="1" applyBorder="1"/>
    <xf numFmtId="40" fontId="72" fillId="11" borderId="0" xfId="0" applyNumberFormat="1" applyFont="1" applyFill="1"/>
    <xf numFmtId="2" fontId="71" fillId="11" borderId="0" xfId="0" applyNumberFormat="1" applyFont="1" applyFill="1"/>
    <xf numFmtId="179" fontId="72" fillId="11" borderId="0" xfId="0" applyNumberFormat="1" applyFont="1" applyFill="1"/>
    <xf numFmtId="0" fontId="0" fillId="11" borderId="0" xfId="0" applyFill="1"/>
    <xf numFmtId="0" fontId="72" fillId="11" borderId="0" xfId="0" applyFont="1" applyFill="1" applyAlignment="1">
      <alignment horizontal="left"/>
    </xf>
    <xf numFmtId="38" fontId="72" fillId="11" borderId="0" xfId="0" applyNumberFormat="1" applyFont="1" applyFill="1"/>
    <xf numFmtId="201" fontId="78" fillId="11" borderId="0" xfId="0" applyNumberFormat="1" applyFont="1" applyFill="1"/>
    <xf numFmtId="164" fontId="72" fillId="11" borderId="0" xfId="0" applyNumberFormat="1" applyFont="1" applyFill="1"/>
    <xf numFmtId="204" fontId="72" fillId="11" borderId="0" xfId="0" applyNumberFormat="1" applyFont="1" applyFill="1"/>
    <xf numFmtId="4" fontId="72" fillId="11" borderId="0" xfId="0" applyNumberFormat="1" applyFont="1" applyFill="1"/>
    <xf numFmtId="185" fontId="78" fillId="11" borderId="0" xfId="0" applyNumberFormat="1" applyFont="1" applyFill="1" applyBorder="1"/>
    <xf numFmtId="198" fontId="72" fillId="11" borderId="2" xfId="0" applyNumberFormat="1" applyFont="1" applyFill="1" applyBorder="1"/>
    <xf numFmtId="201" fontId="72" fillId="11" borderId="2" xfId="0" applyNumberFormat="1" applyFont="1" applyFill="1" applyBorder="1"/>
    <xf numFmtId="200" fontId="72" fillId="11" borderId="2" xfId="0" applyNumberFormat="1" applyFont="1" applyFill="1" applyBorder="1"/>
    <xf numFmtId="3" fontId="72" fillId="11" borderId="2" xfId="0" applyNumberFormat="1" applyFont="1" applyFill="1" applyBorder="1"/>
    <xf numFmtId="185" fontId="78" fillId="11" borderId="2" xfId="0" applyNumberFormat="1" applyFont="1" applyFill="1" applyBorder="1"/>
    <xf numFmtId="164" fontId="72" fillId="11" borderId="2" xfId="0" applyNumberFormat="1" applyFont="1" applyFill="1" applyBorder="1"/>
    <xf numFmtId="4" fontId="72" fillId="11" borderId="2" xfId="0" applyNumberFormat="1" applyFont="1" applyFill="1" applyBorder="1"/>
    <xf numFmtId="2" fontId="71" fillId="11" borderId="2" xfId="0" applyNumberFormat="1" applyFont="1" applyFill="1" applyBorder="1"/>
    <xf numFmtId="183" fontId="32" fillId="11" borderId="0" xfId="0" applyNumberFormat="1" applyFont="1" applyFill="1" applyBorder="1" applyAlignment="1">
      <alignment horizontal="right"/>
    </xf>
    <xf numFmtId="183" fontId="32" fillId="11" borderId="2" xfId="0" applyNumberFormat="1" applyFont="1" applyFill="1" applyBorder="1" applyAlignment="1">
      <alignment horizontal="right"/>
    </xf>
    <xf numFmtId="183" fontId="5" fillId="11" borderId="39" xfId="0" applyNumberFormat="1" applyFont="1" applyFill="1" applyBorder="1" applyAlignment="1">
      <alignment horizontal="right"/>
    </xf>
    <xf numFmtId="9" fontId="0" fillId="0" borderId="0" xfId="0" applyNumberFormat="1"/>
    <xf numFmtId="190" fontId="5" fillId="5" borderId="28" xfId="0" applyNumberFormat="1" applyFont="1" applyFill="1" applyBorder="1" applyAlignment="1" applyProtection="1">
      <alignment horizontal="center"/>
    </xf>
    <xf numFmtId="167" fontId="5" fillId="5" borderId="28" xfId="0" applyNumberFormat="1" applyFont="1" applyFill="1" applyBorder="1" applyAlignment="1" applyProtection="1">
      <alignment horizontal="center"/>
    </xf>
    <xf numFmtId="167" fontId="5" fillId="5" borderId="28" xfId="0" applyNumberFormat="1" applyFont="1" applyFill="1" applyBorder="1" applyAlignment="1">
      <alignment horizontal="center"/>
    </xf>
    <xf numFmtId="37" fontId="5" fillId="5" borderId="28" xfId="0" applyNumberFormat="1" applyFont="1" applyFill="1" applyBorder="1" applyAlignment="1" applyProtection="1">
      <alignment horizontal="center"/>
    </xf>
    <xf numFmtId="0" fontId="101" fillId="0" borderId="0" xfId="0" applyFont="1" applyFill="1"/>
    <xf numFmtId="183" fontId="124" fillId="0" borderId="0" xfId="0" applyNumberFormat="1" applyFont="1" applyFill="1" applyBorder="1"/>
    <xf numFmtId="182" fontId="124" fillId="0" borderId="0" xfId="0" applyNumberFormat="1" applyFont="1" applyFill="1" applyBorder="1"/>
    <xf numFmtId="276" fontId="17" fillId="0" borderId="0" xfId="0" applyNumberFormat="1" applyFont="1" applyAlignment="1">
      <alignment horizontal="center"/>
    </xf>
    <xf numFmtId="49" fontId="16" fillId="2" borderId="2" xfId="0" quotePrefix="1" applyNumberFormat="1" applyFont="1" applyFill="1" applyBorder="1" applyAlignment="1">
      <alignment horizontal="center"/>
    </xf>
    <xf numFmtId="164" fontId="124" fillId="0" borderId="0" xfId="0" applyNumberFormat="1" applyFont="1" applyFill="1" applyBorder="1"/>
    <xf numFmtId="182" fontId="5" fillId="0" borderId="0" xfId="11" applyNumberFormat="1" applyFont="1"/>
    <xf numFmtId="185" fontId="24" fillId="0" borderId="0" xfId="0" applyNumberFormat="1" applyFont="1" applyBorder="1" applyAlignment="1">
      <alignment horizontal="center"/>
    </xf>
    <xf numFmtId="0" fontId="31" fillId="0" borderId="0" xfId="0" applyFont="1" applyBorder="1" applyAlignment="1">
      <alignment horizontal="center"/>
    </xf>
    <xf numFmtId="0" fontId="24" fillId="0" borderId="1" xfId="0" applyFont="1" applyBorder="1"/>
    <xf numFmtId="0" fontId="24" fillId="0" borderId="0" xfId="0" applyFont="1" applyBorder="1" applyAlignment="1">
      <alignment horizontal="center"/>
    </xf>
    <xf numFmtId="0" fontId="24" fillId="0" borderId="0" xfId="0" applyFont="1" applyBorder="1"/>
    <xf numFmtId="0" fontId="24" fillId="0" borderId="15" xfId="0" applyFont="1" applyBorder="1"/>
    <xf numFmtId="9" fontId="5" fillId="0" borderId="0" xfId="0" applyNumberFormat="1" applyFont="1" applyBorder="1" applyAlignment="1">
      <alignment horizontal="center"/>
    </xf>
    <xf numFmtId="165" fontId="5" fillId="0" borderId="0" xfId="0" applyNumberFormat="1" applyFont="1" applyBorder="1" applyAlignment="1">
      <alignment horizontal="center"/>
    </xf>
    <xf numFmtId="0" fontId="31" fillId="0" borderId="1" xfId="0" applyFont="1" applyBorder="1" applyAlignment="1">
      <alignment horizontal="center"/>
    </xf>
    <xf numFmtId="0" fontId="12" fillId="0" borderId="1" xfId="0" applyFont="1" applyFill="1" applyBorder="1" applyAlignment="1">
      <alignment horizontal="center"/>
    </xf>
    <xf numFmtId="0" fontId="12" fillId="0" borderId="15" xfId="0" applyFont="1" applyFill="1" applyBorder="1" applyAlignment="1">
      <alignment horizontal="center"/>
    </xf>
    <xf numFmtId="0" fontId="84" fillId="0" borderId="11" xfId="0" applyFont="1" applyBorder="1" applyAlignment="1">
      <alignment horizontal="center"/>
    </xf>
    <xf numFmtId="192" fontId="84" fillId="0" borderId="2" xfId="30" applyNumberFormat="1" applyFont="1" applyBorder="1" applyAlignment="1">
      <alignment horizontal="center"/>
    </xf>
    <xf numFmtId="192" fontId="84" fillId="0" borderId="0" xfId="30" applyNumberFormat="1" applyFont="1" applyFill="1" applyBorder="1" applyAlignment="1">
      <alignment horizontal="center"/>
    </xf>
    <xf numFmtId="0" fontId="74" fillId="0" borderId="21" xfId="0" applyFont="1" applyFill="1" applyBorder="1" applyAlignment="1">
      <alignment horizontal="center"/>
    </xf>
    <xf numFmtId="166" fontId="34" fillId="0" borderId="2" xfId="30" applyNumberFormat="1" applyFont="1" applyBorder="1" applyAlignment="1">
      <alignment horizontal="center"/>
    </xf>
    <xf numFmtId="2" fontId="5" fillId="0" borderId="0" xfId="0" applyNumberFormat="1" applyFont="1" applyBorder="1" applyAlignment="1">
      <alignment horizontal="center"/>
    </xf>
    <xf numFmtId="2" fontId="5" fillId="0" borderId="2" xfId="0" applyNumberFormat="1" applyFont="1" applyBorder="1" applyAlignment="1">
      <alignment horizontal="center"/>
    </xf>
    <xf numFmtId="165" fontId="5" fillId="0" borderId="17" xfId="0" applyNumberFormat="1" applyFont="1" applyBorder="1" applyAlignment="1">
      <alignment horizontal="center"/>
    </xf>
    <xf numFmtId="166" fontId="34" fillId="0" borderId="0" xfId="30" applyNumberFormat="1" applyFont="1" applyBorder="1" applyAlignment="1">
      <alignment horizontal="center"/>
    </xf>
    <xf numFmtId="0" fontId="74" fillId="0" borderId="22" xfId="0" applyFont="1" applyBorder="1" applyAlignment="1">
      <alignment horizontal="center"/>
    </xf>
    <xf numFmtId="0" fontId="74" fillId="0" borderId="21" xfId="0" applyFont="1" applyBorder="1" applyAlignment="1">
      <alignment horizontal="center"/>
    </xf>
    <xf numFmtId="0" fontId="74" fillId="0" borderId="22" xfId="0" applyFont="1" applyFill="1" applyBorder="1" applyAlignment="1">
      <alignment horizontal="center"/>
    </xf>
    <xf numFmtId="166" fontId="34" fillId="0" borderId="11" xfId="30" applyNumberFormat="1" applyFont="1" applyBorder="1" applyAlignment="1">
      <alignment horizontal="center"/>
    </xf>
    <xf numFmtId="2" fontId="5" fillId="0" borderId="15" xfId="0" applyNumberFormat="1" applyFont="1" applyBorder="1" applyAlignment="1">
      <alignment horizontal="center"/>
    </xf>
    <xf numFmtId="0" fontId="5" fillId="0" borderId="15" xfId="0" applyFont="1" applyBorder="1" applyAlignment="1">
      <alignment horizontal="center"/>
    </xf>
    <xf numFmtId="0" fontId="11" fillId="4" borderId="11" xfId="0" applyFont="1" applyFill="1" applyBorder="1" applyAlignment="1">
      <alignment horizontal="center"/>
    </xf>
    <xf numFmtId="0" fontId="11" fillId="4" borderId="2" xfId="0" applyFont="1" applyFill="1" applyBorder="1" applyAlignment="1">
      <alignment horizontal="center"/>
    </xf>
    <xf numFmtId="0" fontId="74" fillId="4" borderId="11" xfId="0" applyFont="1" applyFill="1" applyBorder="1" applyAlignment="1">
      <alignment horizontal="center"/>
    </xf>
    <xf numFmtId="0" fontId="74" fillId="4" borderId="16" xfId="0" applyFont="1" applyFill="1" applyBorder="1" applyAlignment="1">
      <alignment horizontal="center"/>
    </xf>
    <xf numFmtId="0" fontId="74" fillId="4" borderId="2" xfId="0" applyFont="1" applyFill="1" applyBorder="1" applyAlignment="1">
      <alignment horizontal="center"/>
    </xf>
    <xf numFmtId="0" fontId="83" fillId="0" borderId="0" xfId="0" applyFont="1" applyBorder="1" applyAlignment="1">
      <alignment horizontal="centerContinuous"/>
    </xf>
    <xf numFmtId="171" fontId="73" fillId="0" borderId="0" xfId="0" applyNumberFormat="1" applyFont="1" applyBorder="1"/>
    <xf numFmtId="171" fontId="74" fillId="0" borderId="0" xfId="0" applyNumberFormat="1" applyFont="1" applyBorder="1"/>
    <xf numFmtId="0" fontId="0" fillId="0" borderId="24" xfId="0" applyBorder="1"/>
    <xf numFmtId="0" fontId="0" fillId="0" borderId="9" xfId="0" applyBorder="1"/>
    <xf numFmtId="0" fontId="0" fillId="2" borderId="9" xfId="0" applyFill="1" applyBorder="1"/>
    <xf numFmtId="0" fontId="0" fillId="0" borderId="27" xfId="0" applyBorder="1"/>
    <xf numFmtId="0" fontId="0" fillId="0" borderId="28" xfId="0" applyBorder="1"/>
    <xf numFmtId="0" fontId="84" fillId="0" borderId="0" xfId="0" applyFont="1" applyBorder="1" applyAlignment="1">
      <alignment horizontal="center"/>
    </xf>
    <xf numFmtId="192" fontId="84" fillId="0" borderId="0" xfId="30" applyNumberFormat="1" applyFont="1" applyBorder="1" applyAlignment="1">
      <alignment horizontal="center"/>
    </xf>
    <xf numFmtId="192" fontId="84" fillId="0" borderId="28" xfId="30" applyNumberFormat="1" applyFont="1" applyFill="1" applyBorder="1" applyAlignment="1">
      <alignment horizontal="center"/>
    </xf>
    <xf numFmtId="0" fontId="72" fillId="0" borderId="27" xfId="0" applyFont="1" applyFill="1" applyBorder="1" applyAlignment="1">
      <alignment horizontal="right"/>
    </xf>
    <xf numFmtId="0" fontId="74" fillId="0" borderId="0" xfId="0" applyFont="1" applyFill="1" applyBorder="1"/>
    <xf numFmtId="0" fontId="72" fillId="0" borderId="27" xfId="0" applyFont="1" applyBorder="1" applyAlignment="1">
      <alignment horizontal="right"/>
    </xf>
    <xf numFmtId="0" fontId="76" fillId="0" borderId="0" xfId="0" applyFont="1" applyBorder="1" applyAlignment="1">
      <alignment horizontal="left"/>
    </xf>
    <xf numFmtId="0" fontId="72" fillId="0" borderId="29" xfId="0" applyFont="1" applyBorder="1" applyAlignment="1">
      <alignment horizontal="right"/>
    </xf>
    <xf numFmtId="0" fontId="72" fillId="0" borderId="3" xfId="0" applyFont="1" applyBorder="1"/>
    <xf numFmtId="166" fontId="34" fillId="0" borderId="12" xfId="30" applyNumberFormat="1" applyFont="1" applyBorder="1" applyAlignment="1">
      <alignment horizontal="center"/>
    </xf>
    <xf numFmtId="166" fontId="34" fillId="0" borderId="3" xfId="30" applyNumberFormat="1" applyFont="1" applyBorder="1" applyAlignment="1">
      <alignment horizontal="center"/>
    </xf>
    <xf numFmtId="0" fontId="0" fillId="2" borderId="25" xfId="0" applyFill="1" applyBorder="1"/>
    <xf numFmtId="0" fontId="11" fillId="4" borderId="42" xfId="0" applyFont="1" applyFill="1" applyBorder="1" applyAlignment="1">
      <alignment horizontal="center"/>
    </xf>
    <xf numFmtId="0" fontId="11" fillId="4" borderId="43" xfId="0" applyFont="1" applyFill="1" applyBorder="1" applyAlignment="1">
      <alignment horizontal="center"/>
    </xf>
    <xf numFmtId="171" fontId="73" fillId="0" borderId="0" xfId="0" applyNumberFormat="1" applyFont="1" applyFill="1" applyBorder="1"/>
    <xf numFmtId="0" fontId="0" fillId="0" borderId="27" xfId="0" applyBorder="1" applyAlignment="1">
      <alignment horizontal="center"/>
    </xf>
    <xf numFmtId="0" fontId="0" fillId="0" borderId="0" xfId="0" applyBorder="1" applyAlignment="1">
      <alignment horizontal="center"/>
    </xf>
    <xf numFmtId="171" fontId="72" fillId="0" borderId="0" xfId="0" applyNumberFormat="1" applyFont="1" applyBorder="1" applyAlignment="1">
      <alignment horizontal="center"/>
    </xf>
    <xf numFmtId="171" fontId="73" fillId="0" borderId="0" xfId="0" applyNumberFormat="1" applyFont="1" applyFill="1" applyBorder="1" applyAlignment="1">
      <alignment horizontal="center"/>
    </xf>
    <xf numFmtId="183" fontId="72" fillId="0" borderId="0" xfId="0" applyNumberFormat="1" applyFont="1" applyBorder="1" applyAlignment="1">
      <alignment horizontal="center"/>
    </xf>
    <xf numFmtId="171" fontId="72" fillId="0" borderId="2" xfId="0" applyNumberFormat="1" applyFont="1" applyBorder="1" applyAlignment="1">
      <alignment horizontal="center"/>
    </xf>
    <xf numFmtId="171" fontId="74" fillId="0" borderId="0" xfId="0" applyNumberFormat="1" applyFont="1" applyBorder="1" applyAlignment="1">
      <alignment horizontal="center"/>
    </xf>
    <xf numFmtId="171" fontId="73" fillId="0" borderId="0" xfId="0" applyNumberFormat="1" applyFont="1" applyBorder="1" applyAlignment="1">
      <alignment horizontal="center"/>
    </xf>
    <xf numFmtId="183" fontId="72" fillId="0" borderId="2" xfId="0" applyNumberFormat="1" applyFont="1" applyBorder="1" applyAlignment="1">
      <alignment horizontal="center"/>
    </xf>
    <xf numFmtId="171" fontId="74" fillId="0" borderId="3" xfId="0" applyNumberFormat="1" applyFont="1" applyBorder="1" applyAlignment="1">
      <alignment horizontal="center"/>
    </xf>
    <xf numFmtId="0" fontId="74" fillId="4" borderId="6" xfId="0" applyFont="1" applyFill="1" applyBorder="1" applyAlignment="1">
      <alignment horizontal="center"/>
    </xf>
    <xf numFmtId="6" fontId="72" fillId="0" borderId="0" xfId="0" quotePrefix="1" applyNumberFormat="1" applyFont="1" applyFill="1" applyBorder="1" applyAlignment="1">
      <alignment horizontal="center"/>
    </xf>
    <xf numFmtId="185" fontId="72" fillId="0" borderId="0" xfId="0" applyNumberFormat="1" applyFont="1" applyFill="1" applyBorder="1" applyAlignment="1">
      <alignment horizontal="center"/>
    </xf>
    <xf numFmtId="185" fontId="72" fillId="0" borderId="2" xfId="0" applyNumberFormat="1" applyFont="1" applyFill="1" applyBorder="1" applyAlignment="1">
      <alignment horizontal="center"/>
    </xf>
    <xf numFmtId="6" fontId="0" fillId="0" borderId="0" xfId="0" applyNumberFormat="1" applyBorder="1" applyAlignment="1">
      <alignment horizontal="center"/>
    </xf>
    <xf numFmtId="0" fontId="74" fillId="4" borderId="20" xfId="0" applyFont="1" applyFill="1" applyBorder="1" applyAlignment="1">
      <alignment horizontal="center"/>
    </xf>
    <xf numFmtId="6" fontId="125" fillId="0" borderId="0" xfId="0" quotePrefix="1" applyNumberFormat="1" applyFont="1" applyFill="1" applyBorder="1" applyAlignment="1">
      <alignment horizontal="center"/>
    </xf>
    <xf numFmtId="6" fontId="125" fillId="0" borderId="0" xfId="0" applyNumberFormat="1" applyFont="1" applyFill="1" applyBorder="1" applyAlignment="1">
      <alignment horizontal="center"/>
    </xf>
    <xf numFmtId="185" fontId="125" fillId="0" borderId="0" xfId="0" applyNumberFormat="1" applyFont="1" applyFill="1" applyBorder="1" applyAlignment="1">
      <alignment horizontal="center"/>
    </xf>
    <xf numFmtId="185" fontId="126" fillId="0" borderId="0" xfId="0" applyNumberFormat="1" applyFont="1" applyFill="1" applyBorder="1" applyAlignment="1">
      <alignment horizontal="center"/>
    </xf>
    <xf numFmtId="185" fontId="125" fillId="0" borderId="2" xfId="0" applyNumberFormat="1" applyFont="1" applyFill="1" applyBorder="1" applyAlignment="1">
      <alignment horizontal="center"/>
    </xf>
    <xf numFmtId="185" fontId="126" fillId="0" borderId="2" xfId="0" applyNumberFormat="1" applyFont="1" applyBorder="1" applyAlignment="1">
      <alignment horizontal="center"/>
    </xf>
    <xf numFmtId="171" fontId="125" fillId="0" borderId="0" xfId="0" applyNumberFormat="1" applyFont="1" applyBorder="1" applyAlignment="1">
      <alignment horizontal="center"/>
    </xf>
    <xf numFmtId="171" fontId="126" fillId="0" borderId="0" xfId="0" applyNumberFormat="1" applyFont="1" applyBorder="1" applyAlignment="1">
      <alignment horizontal="center"/>
    </xf>
    <xf numFmtId="6" fontId="127" fillId="0" borderId="0" xfId="0" applyNumberFormat="1" applyFont="1" applyBorder="1" applyAlignment="1">
      <alignment horizontal="center"/>
    </xf>
    <xf numFmtId="37" fontId="126" fillId="0" borderId="0" xfId="0" applyNumberFormat="1" applyFont="1" applyBorder="1" applyAlignment="1">
      <alignment horizontal="center"/>
    </xf>
    <xf numFmtId="0" fontId="127" fillId="0" borderId="0" xfId="0" applyFont="1" applyBorder="1" applyAlignment="1">
      <alignment horizontal="center"/>
    </xf>
    <xf numFmtId="6" fontId="125" fillId="0" borderId="0" xfId="0" applyNumberFormat="1" applyFont="1" applyBorder="1" applyAlignment="1">
      <alignment horizontal="center"/>
    </xf>
    <xf numFmtId="0" fontId="0" fillId="0" borderId="3" xfId="0" applyBorder="1" applyAlignment="1">
      <alignment horizontal="center"/>
    </xf>
    <xf numFmtId="6" fontId="74" fillId="0" borderId="0" xfId="0" applyNumberFormat="1" applyFont="1" applyFill="1" applyBorder="1" applyAlignment="1">
      <alignment horizontal="center"/>
    </xf>
    <xf numFmtId="6" fontId="9" fillId="0" borderId="0" xfId="0" applyNumberFormat="1" applyFont="1" applyBorder="1" applyAlignment="1">
      <alignment horizontal="center"/>
    </xf>
    <xf numFmtId="37" fontId="74" fillId="0" borderId="0" xfId="0" applyNumberFormat="1" applyFont="1" applyBorder="1" applyAlignment="1">
      <alignment horizontal="center"/>
    </xf>
    <xf numFmtId="183" fontId="74" fillId="0" borderId="0" xfId="0" applyNumberFormat="1" applyFont="1" applyBorder="1" applyAlignment="1">
      <alignment horizontal="center"/>
    </xf>
    <xf numFmtId="183" fontId="74" fillId="0" borderId="2" xfId="0" applyNumberFormat="1" applyFont="1" applyBorder="1" applyAlignment="1">
      <alignment horizontal="center"/>
    </xf>
    <xf numFmtId="171" fontId="73" fillId="0" borderId="28" xfId="0" applyNumberFormat="1" applyFont="1" applyBorder="1" applyAlignment="1">
      <alignment horizontal="center"/>
    </xf>
    <xf numFmtId="171" fontId="74" fillId="0" borderId="28" xfId="0" applyNumberFormat="1" applyFont="1" applyBorder="1" applyAlignment="1">
      <alignment horizontal="center"/>
    </xf>
    <xf numFmtId="6" fontId="125" fillId="0" borderId="2" xfId="0" applyNumberFormat="1" applyFont="1" applyFill="1" applyBorder="1" applyAlignment="1">
      <alignment horizontal="center"/>
    </xf>
    <xf numFmtId="9" fontId="5" fillId="0" borderId="15" xfId="0" applyNumberFormat="1" applyFont="1" applyFill="1" applyBorder="1" applyAlignment="1">
      <alignment horizontal="center"/>
    </xf>
    <xf numFmtId="9" fontId="5" fillId="0" borderId="15" xfId="30" applyFont="1" applyFill="1" applyBorder="1" applyAlignment="1">
      <alignment horizontal="center"/>
    </xf>
    <xf numFmtId="200" fontId="72" fillId="11" borderId="0" xfId="0" applyNumberFormat="1" applyFont="1" applyFill="1" applyAlignment="1">
      <alignment horizontal="center"/>
    </xf>
    <xf numFmtId="0" fontId="11" fillId="0" borderId="1" xfId="0" applyFont="1" applyBorder="1" applyAlignment="1">
      <alignment horizontal="left"/>
    </xf>
    <xf numFmtId="0" fontId="74" fillId="0" borderId="0" xfId="0" applyFont="1" applyBorder="1" applyAlignment="1"/>
    <xf numFmtId="2" fontId="0" fillId="0" borderId="0" xfId="0" applyNumberFormat="1"/>
    <xf numFmtId="8" fontId="72" fillId="0" borderId="0" xfId="0" applyNumberFormat="1" applyFont="1" applyBorder="1" applyAlignment="1">
      <alignment horizontal="center"/>
    </xf>
    <xf numFmtId="0" fontId="11" fillId="0" borderId="6" xfId="0" applyFont="1" applyBorder="1"/>
    <xf numFmtId="9" fontId="11" fillId="0" borderId="20" xfId="0" applyNumberFormat="1" applyFont="1" applyBorder="1"/>
    <xf numFmtId="9" fontId="11" fillId="0" borderId="15" xfId="0" applyNumberFormat="1" applyFont="1" applyBorder="1"/>
    <xf numFmtId="9" fontId="11" fillId="0" borderId="17" xfId="0" applyNumberFormat="1" applyFont="1" applyBorder="1"/>
    <xf numFmtId="183" fontId="73" fillId="0" borderId="0" xfId="0" applyNumberFormat="1" applyFont="1" applyBorder="1" applyAlignment="1">
      <alignment horizontal="center"/>
    </xf>
    <xf numFmtId="183" fontId="73" fillId="0" borderId="2" xfId="0" applyNumberFormat="1" applyFont="1" applyBorder="1" applyAlignment="1">
      <alignment horizontal="center"/>
    </xf>
    <xf numFmtId="196" fontId="85" fillId="0" borderId="0" xfId="0" applyNumberFormat="1" applyFont="1" applyFill="1" applyBorder="1" applyAlignment="1">
      <alignment horizontal="center"/>
    </xf>
    <xf numFmtId="171" fontId="72" fillId="0" borderId="12" xfId="0" applyNumberFormat="1" applyFont="1" applyBorder="1" applyAlignment="1">
      <alignment horizontal="center"/>
    </xf>
    <xf numFmtId="0" fontId="0" fillId="0" borderId="28" xfId="0" applyBorder="1" applyAlignment="1">
      <alignment horizontal="center"/>
    </xf>
    <xf numFmtId="6" fontId="73" fillId="0" borderId="28" xfId="0" applyNumberFormat="1" applyFont="1" applyFill="1" applyBorder="1" applyAlignment="1">
      <alignment horizontal="center"/>
    </xf>
    <xf numFmtId="185" fontId="73" fillId="0" borderId="28" xfId="0" applyNumberFormat="1" applyFont="1" applyFill="1" applyBorder="1" applyAlignment="1">
      <alignment horizontal="center"/>
    </xf>
    <xf numFmtId="185" fontId="73" fillId="0" borderId="44" xfId="0" applyNumberFormat="1" applyFont="1" applyBorder="1" applyAlignment="1">
      <alignment horizontal="center"/>
    </xf>
    <xf numFmtId="37" fontId="72" fillId="0" borderId="0" xfId="0" applyNumberFormat="1" applyFont="1" applyFill="1" applyBorder="1" applyAlignment="1">
      <alignment horizontal="center"/>
    </xf>
    <xf numFmtId="37" fontId="74" fillId="0" borderId="28" xfId="0" applyNumberFormat="1" applyFont="1" applyBorder="1" applyAlignment="1">
      <alignment horizontal="center"/>
    </xf>
    <xf numFmtId="6" fontId="72" fillId="0" borderId="0" xfId="0" applyNumberFormat="1" applyFont="1" applyBorder="1" applyAlignment="1">
      <alignment horizontal="center"/>
    </xf>
    <xf numFmtId="6" fontId="73" fillId="0" borderId="28" xfId="0" applyNumberFormat="1" applyFont="1" applyBorder="1" applyAlignment="1">
      <alignment horizontal="center"/>
    </xf>
    <xf numFmtId="185" fontId="78" fillId="0" borderId="0" xfId="0" applyNumberFormat="1" applyFont="1" applyBorder="1" applyAlignment="1">
      <alignment horizontal="center"/>
    </xf>
    <xf numFmtId="9" fontId="5" fillId="0" borderId="0" xfId="30" applyFont="1" applyBorder="1" applyAlignment="1">
      <alignment horizontal="center"/>
    </xf>
    <xf numFmtId="171" fontId="9" fillId="0" borderId="0" xfId="0" applyNumberFormat="1" applyFont="1" applyBorder="1" applyAlignment="1">
      <alignment horizontal="center"/>
    </xf>
    <xf numFmtId="164" fontId="128" fillId="0" borderId="2" xfId="0" applyNumberFormat="1" applyFont="1" applyFill="1" applyBorder="1"/>
    <xf numFmtId="183" fontId="128" fillId="0" borderId="0" xfId="0" applyNumberFormat="1" applyFont="1" applyFill="1" applyBorder="1"/>
    <xf numFmtId="183" fontId="129" fillId="0" borderId="0" xfId="0" applyNumberFormat="1" applyFont="1" applyBorder="1" applyAlignment="1">
      <alignment horizontal="center"/>
    </xf>
    <xf numFmtId="183" fontId="129" fillId="0" borderId="28" xfId="0" applyNumberFormat="1" applyFont="1" applyBorder="1" applyAlignment="1">
      <alignment horizontal="center"/>
    </xf>
    <xf numFmtId="183" fontId="72" fillId="0" borderId="0" xfId="0" applyNumberFormat="1" applyFont="1" applyFill="1" applyBorder="1" applyAlignment="1">
      <alignment horizontal="center"/>
    </xf>
    <xf numFmtId="190" fontId="130" fillId="5" borderId="28" xfId="0" applyNumberFormat="1" applyFont="1" applyFill="1" applyBorder="1" applyAlignment="1" applyProtection="1">
      <alignment horizontal="center"/>
    </xf>
    <xf numFmtId="39" fontId="128" fillId="0" borderId="0" xfId="0" applyNumberFormat="1" applyFont="1" applyBorder="1"/>
    <xf numFmtId="40" fontId="128" fillId="0" borderId="4" xfId="0" applyNumberFormat="1" applyFont="1" applyFill="1" applyBorder="1"/>
    <xf numFmtId="166" fontId="34" fillId="0" borderId="0" xfId="30" applyNumberFormat="1" applyFont="1" applyFill="1" applyBorder="1" applyAlignment="1">
      <alignment horizontal="center"/>
    </xf>
    <xf numFmtId="165" fontId="0" fillId="0" borderId="0" xfId="0" applyNumberFormat="1"/>
    <xf numFmtId="182" fontId="128" fillId="0" borderId="0" xfId="0" applyNumberFormat="1" applyFont="1" applyFill="1" applyBorder="1"/>
    <xf numFmtId="49" fontId="18" fillId="0" borderId="2" xfId="0" quotePrefix="1" applyNumberFormat="1" applyFont="1" applyFill="1" applyBorder="1" applyAlignment="1">
      <alignment horizontal="center"/>
    </xf>
    <xf numFmtId="183" fontId="131" fillId="0" borderId="0" xfId="0" applyNumberFormat="1" applyFont="1" applyFill="1" applyBorder="1"/>
    <xf numFmtId="164" fontId="131" fillId="0" borderId="0" xfId="0" applyNumberFormat="1" applyFont="1" applyFill="1" applyBorder="1"/>
    <xf numFmtId="0" fontId="11" fillId="0" borderId="11" xfId="0" applyFont="1" applyFill="1" applyBorder="1" applyAlignment="1">
      <alignment horizontal="center"/>
    </xf>
    <xf numFmtId="0" fontId="9" fillId="0" borderId="17" xfId="0" applyFont="1" applyFill="1" applyBorder="1" applyAlignment="1">
      <alignment horizontal="center"/>
    </xf>
    <xf numFmtId="0" fontId="11" fillId="0" borderId="6" xfId="0" applyFont="1" applyFill="1" applyBorder="1" applyAlignment="1">
      <alignment horizontal="center"/>
    </xf>
    <xf numFmtId="0" fontId="84" fillId="0" borderId="11" xfId="0" applyFont="1" applyFill="1" applyBorder="1" applyAlignment="1">
      <alignment horizontal="center"/>
    </xf>
    <xf numFmtId="0" fontId="11" fillId="0" borderId="16" xfId="0" applyFont="1" applyFill="1" applyBorder="1" applyAlignment="1">
      <alignment horizontal="center"/>
    </xf>
    <xf numFmtId="192" fontId="84" fillId="0" borderId="2" xfId="30" applyNumberFormat="1" applyFont="1" applyFill="1" applyBorder="1" applyAlignment="1">
      <alignment horizontal="center"/>
    </xf>
    <xf numFmtId="8" fontId="0" fillId="0" borderId="0" xfId="0" applyNumberFormat="1" applyAlignment="1">
      <alignment horizontal="center"/>
    </xf>
    <xf numFmtId="171" fontId="0" fillId="0" borderId="0" xfId="0" applyNumberFormat="1" applyAlignment="1">
      <alignment horizontal="center"/>
    </xf>
    <xf numFmtId="0" fontId="0" fillId="0" borderId="15" xfId="0" applyBorder="1" applyAlignment="1">
      <alignment horizontal="center"/>
    </xf>
    <xf numFmtId="9" fontId="11" fillId="0" borderId="0" xfId="0" applyNumberFormat="1" applyFont="1" applyBorder="1"/>
    <xf numFmtId="171" fontId="72" fillId="0" borderId="27" xfId="0" applyNumberFormat="1" applyFont="1" applyBorder="1" applyAlignment="1">
      <alignment horizontal="center"/>
    </xf>
    <xf numFmtId="0" fontId="5" fillId="0" borderId="27" xfId="0" applyFont="1" applyBorder="1" applyAlignment="1">
      <alignment horizontal="center"/>
    </xf>
    <xf numFmtId="166" fontId="34" fillId="0" borderId="27" xfId="30" applyNumberFormat="1" applyFont="1" applyBorder="1" applyAlignment="1">
      <alignment horizontal="center"/>
    </xf>
    <xf numFmtId="0" fontId="74" fillId="0" borderId="6" xfId="0" applyFont="1" applyFill="1" applyBorder="1" applyAlignment="1">
      <alignment horizontal="center"/>
    </xf>
    <xf numFmtId="0" fontId="74" fillId="0" borderId="16" xfId="0" applyFont="1" applyFill="1" applyBorder="1" applyAlignment="1">
      <alignment horizontal="center"/>
    </xf>
    <xf numFmtId="6" fontId="0" fillId="0" borderId="27" xfId="0" applyNumberFormat="1" applyBorder="1"/>
    <xf numFmtId="183" fontId="132" fillId="0" borderId="27" xfId="0" applyNumberFormat="1" applyFont="1" applyBorder="1" applyAlignment="1">
      <alignment horizontal="center"/>
    </xf>
    <xf numFmtId="183" fontId="132" fillId="0" borderId="43" xfId="0" applyNumberFormat="1" applyFont="1" applyBorder="1" applyAlignment="1">
      <alignment horizontal="center"/>
    </xf>
    <xf numFmtId="165" fontId="73" fillId="0" borderId="0" xfId="0" applyNumberFormat="1" applyFont="1" applyFill="1" applyBorder="1" applyAlignment="1">
      <alignment horizontal="center"/>
    </xf>
    <xf numFmtId="165" fontId="73" fillId="0" borderId="2" xfId="0" applyNumberFormat="1" applyFont="1" applyBorder="1" applyAlignment="1">
      <alignment horizontal="center"/>
    </xf>
    <xf numFmtId="165" fontId="74" fillId="0" borderId="0" xfId="0" applyNumberFormat="1" applyFont="1" applyFill="1" applyBorder="1" applyAlignment="1">
      <alignment horizontal="center"/>
    </xf>
    <xf numFmtId="0" fontId="72" fillId="0" borderId="0" xfId="0" applyFont="1" applyBorder="1" applyAlignment="1">
      <alignment horizontal="right"/>
    </xf>
    <xf numFmtId="165" fontId="74" fillId="0" borderId="2" xfId="0" applyNumberFormat="1" applyFont="1" applyFill="1" applyBorder="1" applyAlignment="1">
      <alignment horizontal="center"/>
    </xf>
    <xf numFmtId="0" fontId="24" fillId="0" borderId="0" xfId="0" applyFont="1" applyAlignment="1">
      <alignment horizontal="center"/>
    </xf>
    <xf numFmtId="0" fontId="5" fillId="6" borderId="0" xfId="0" applyFont="1" applyFill="1" applyBorder="1"/>
    <xf numFmtId="192" fontId="34" fillId="6" borderId="0" xfId="30" applyNumberFormat="1" applyFont="1" applyFill="1" applyBorder="1" applyAlignment="1">
      <alignment horizontal="left"/>
    </xf>
    <xf numFmtId="202" fontId="34" fillId="6" borderId="0" xfId="30" applyNumberFormat="1" applyFont="1" applyFill="1" applyBorder="1" applyAlignment="1">
      <alignment horizontal="left"/>
    </xf>
    <xf numFmtId="37" fontId="18" fillId="6" borderId="0" xfId="0" applyNumberFormat="1" applyFont="1" applyFill="1" applyBorder="1"/>
    <xf numFmtId="185" fontId="18" fillId="6" borderId="2" xfId="0" applyNumberFormat="1" applyFont="1" applyFill="1" applyBorder="1"/>
    <xf numFmtId="0" fontId="5" fillId="6" borderId="0" xfId="0" applyFont="1" applyFill="1"/>
    <xf numFmtId="202" fontId="5" fillId="6" borderId="0" xfId="0" applyNumberFormat="1" applyFont="1" applyFill="1" applyBorder="1"/>
    <xf numFmtId="185" fontId="5" fillId="6" borderId="0" xfId="0" applyNumberFormat="1" applyFont="1" applyFill="1" applyBorder="1"/>
    <xf numFmtId="0" fontId="11" fillId="6" borderId="0" xfId="0" applyFont="1" applyFill="1" applyBorder="1" applyAlignment="1">
      <alignment horizontal="centerContinuous"/>
    </xf>
    <xf numFmtId="37" fontId="18" fillId="0" borderId="0" xfId="0" applyNumberFormat="1" applyFont="1" applyFill="1" applyBorder="1"/>
    <xf numFmtId="0" fontId="47" fillId="0" borderId="0" xfId="0" applyNumberFormat="1" applyFont="1" applyFill="1" applyBorder="1"/>
    <xf numFmtId="37" fontId="47" fillId="0" borderId="0" xfId="0" applyNumberFormat="1" applyFont="1" applyFill="1" applyBorder="1"/>
    <xf numFmtId="165" fontId="133" fillId="0" borderId="0" xfId="0" applyNumberFormat="1" applyFont="1" applyFill="1" applyBorder="1" applyAlignment="1">
      <alignment horizontal="center"/>
    </xf>
    <xf numFmtId="38" fontId="5" fillId="0" borderId="0" xfId="0" applyNumberFormat="1" applyFont="1" applyFill="1" applyBorder="1"/>
    <xf numFmtId="38" fontId="9" fillId="0" borderId="0" xfId="0" applyNumberFormat="1" applyFont="1"/>
    <xf numFmtId="38" fontId="5" fillId="0" borderId="2" xfId="0" applyNumberFormat="1" applyFont="1" applyFill="1" applyBorder="1"/>
    <xf numFmtId="0" fontId="9" fillId="0" borderId="2" xfId="0" applyFont="1" applyFill="1" applyBorder="1"/>
    <xf numFmtId="38" fontId="9" fillId="0" borderId="0" xfId="0" applyNumberFormat="1" applyFont="1" applyBorder="1"/>
    <xf numFmtId="0" fontId="24" fillId="0" borderId="6" xfId="0" applyFont="1" applyBorder="1"/>
    <xf numFmtId="0" fontId="135" fillId="0" borderId="0" xfId="0" applyFont="1"/>
    <xf numFmtId="0" fontId="134" fillId="0" borderId="0" xfId="18" applyFont="1" applyAlignment="1">
      <alignment horizontal="left"/>
    </xf>
    <xf numFmtId="0" fontId="134" fillId="0" borderId="0" xfId="18" applyFont="1"/>
    <xf numFmtId="0" fontId="134" fillId="0" borderId="0" xfId="18" applyFont="1" applyFill="1" applyAlignment="1">
      <alignment horizontal="left"/>
    </xf>
    <xf numFmtId="0" fontId="58" fillId="0" borderId="2" xfId="18" applyFont="1" applyBorder="1"/>
    <xf numFmtId="0" fontId="134" fillId="0" borderId="2" xfId="18" applyFont="1" applyBorder="1" applyAlignment="1">
      <alignment horizontal="left"/>
    </xf>
    <xf numFmtId="0" fontId="134" fillId="0" borderId="2" xfId="18" applyFont="1" applyBorder="1"/>
    <xf numFmtId="0" fontId="134" fillId="0" borderId="2" xfId="18" applyFont="1" applyFill="1" applyBorder="1" applyAlignment="1">
      <alignment horizontal="left"/>
    </xf>
    <xf numFmtId="0" fontId="24" fillId="0" borderId="2" xfId="0" applyFont="1" applyBorder="1"/>
    <xf numFmtId="15" fontId="134" fillId="0" borderId="0" xfId="18" applyNumberFormat="1" applyFont="1"/>
    <xf numFmtId="0" fontId="135" fillId="0" borderId="0" xfId="18" applyFont="1" applyBorder="1" applyAlignment="1">
      <alignment horizontal="centerContinuous"/>
    </xf>
    <xf numFmtId="0" fontId="135" fillId="0" borderId="2" xfId="18" applyFont="1" applyBorder="1" applyAlignment="1">
      <alignment horizontal="centerContinuous"/>
    </xf>
    <xf numFmtId="0" fontId="135" fillId="0" borderId="2" xfId="18" applyFont="1" applyBorder="1" applyAlignment="1">
      <alignment horizontal="center"/>
    </xf>
    <xf numFmtId="0" fontId="135" fillId="0" borderId="0" xfId="18" applyFont="1" applyBorder="1" applyAlignment="1">
      <alignment horizontal="center"/>
    </xf>
    <xf numFmtId="0" fontId="135" fillId="0" borderId="0" xfId="18" applyFont="1" applyFill="1" applyBorder="1" applyAlignment="1">
      <alignment horizontal="centerContinuous"/>
    </xf>
    <xf numFmtId="0" fontId="24" fillId="0" borderId="0" xfId="0" applyFont="1" applyAlignment="1">
      <alignment horizontal="centerContinuous"/>
    </xf>
    <xf numFmtId="0" fontId="134" fillId="0" borderId="0" xfId="18" applyNumberFormat="1" applyFont="1"/>
    <xf numFmtId="0" fontId="134" fillId="0" borderId="0" xfId="30" quotePrefix="1" applyNumberFormat="1" applyFont="1" applyBorder="1" applyAlignment="1">
      <alignment horizontal="centerContinuous"/>
    </xf>
    <xf numFmtId="0" fontId="58" fillId="0" borderId="2" xfId="30" applyNumberFormat="1" applyFont="1" applyBorder="1" applyAlignment="1">
      <alignment horizontal="centerContinuous"/>
    </xf>
    <xf numFmtId="0" fontId="134" fillId="0" borderId="2" xfId="30" applyNumberFormat="1" applyFont="1" applyBorder="1" applyAlignment="1">
      <alignment horizontal="centerContinuous"/>
    </xf>
    <xf numFmtId="0" fontId="134" fillId="0" borderId="0" xfId="30" applyNumberFormat="1" applyFont="1" applyBorder="1" applyAlignment="1">
      <alignment horizontal="centerContinuous"/>
    </xf>
    <xf numFmtId="0" fontId="31" fillId="0" borderId="2" xfId="30" applyNumberFormat="1" applyFont="1" applyBorder="1" applyAlignment="1">
      <alignment horizontal="centerContinuous"/>
    </xf>
    <xf numFmtId="0" fontId="24" fillId="0" borderId="2" xfId="30" applyNumberFormat="1" applyFont="1" applyBorder="1" applyAlignment="1">
      <alignment horizontal="centerContinuous"/>
    </xf>
    <xf numFmtId="0" fontId="134" fillId="0" borderId="0" xfId="18" applyNumberFormat="1" applyFont="1" applyBorder="1"/>
    <xf numFmtId="227" fontId="31" fillId="0" borderId="2" xfId="30" applyNumberFormat="1" applyFont="1" applyBorder="1" applyAlignment="1">
      <alignment horizontal="centerContinuous"/>
    </xf>
    <xf numFmtId="0" fontId="134" fillId="0" borderId="0" xfId="18" applyNumberFormat="1" applyFont="1" applyAlignment="1">
      <alignment horizontal="left"/>
    </xf>
    <xf numFmtId="0" fontId="24" fillId="0" borderId="5" xfId="30" applyNumberFormat="1" applyFont="1" applyBorder="1" applyAlignment="1">
      <alignment horizontal="centerContinuous"/>
    </xf>
    <xf numFmtId="0" fontId="31" fillId="0" borderId="5" xfId="30" applyNumberFormat="1" applyFont="1" applyBorder="1" applyAlignment="1">
      <alignment horizontal="centerContinuous"/>
    </xf>
    <xf numFmtId="0" fontId="24" fillId="0" borderId="5" xfId="30" applyNumberFormat="1" applyFont="1" applyFill="1" applyBorder="1" applyAlignment="1">
      <alignment horizontal="centerContinuous"/>
    </xf>
    <xf numFmtId="0" fontId="24" fillId="0" borderId="0" xfId="30" applyNumberFormat="1" applyFont="1" applyFill="1" applyBorder="1" applyAlignment="1">
      <alignment horizontal="centerContinuous"/>
    </xf>
    <xf numFmtId="0" fontId="31" fillId="0" borderId="5" xfId="30" applyNumberFormat="1" applyFont="1" applyFill="1" applyBorder="1" applyAlignment="1">
      <alignment horizontal="left"/>
    </xf>
    <xf numFmtId="0" fontId="58" fillId="0" borderId="5" xfId="30" applyNumberFormat="1" applyFont="1" applyFill="1" applyBorder="1" applyAlignment="1">
      <alignment horizontal="left"/>
    </xf>
    <xf numFmtId="0" fontId="24" fillId="0" borderId="15" xfId="30" applyNumberFormat="1" applyFont="1" applyFill="1" applyBorder="1" applyAlignment="1">
      <alignment horizontal="centerContinuous"/>
    </xf>
    <xf numFmtId="0" fontId="58" fillId="0" borderId="11" xfId="37" applyNumberFormat="1" applyFont="1" applyBorder="1" applyAlignment="1">
      <alignment horizontal="center"/>
    </xf>
    <xf numFmtId="0" fontId="31" fillId="0" borderId="11" xfId="37" applyNumberFormat="1" applyFont="1" applyBorder="1" applyAlignment="1">
      <alignment horizontal="center"/>
    </xf>
    <xf numFmtId="0" fontId="31" fillId="0" borderId="6" xfId="37" applyNumberFormat="1" applyFont="1" applyBorder="1" applyAlignment="1">
      <alignment horizontal="center"/>
    </xf>
    <xf numFmtId="0" fontId="31" fillId="0" borderId="20" xfId="37" applyNumberFormat="1" applyFont="1" applyBorder="1" applyAlignment="1">
      <alignment horizontal="center"/>
    </xf>
    <xf numFmtId="0" fontId="58" fillId="0" borderId="20" xfId="37" applyNumberFormat="1" applyFont="1" applyBorder="1" applyAlignment="1">
      <alignment horizontal="center"/>
    </xf>
    <xf numFmtId="0" fontId="136" fillId="0" borderId="0" xfId="18" applyFont="1"/>
    <xf numFmtId="169" fontId="136" fillId="0" borderId="0" xfId="37" applyFont="1" applyAlignment="1">
      <alignment horizontal="center"/>
    </xf>
    <xf numFmtId="169" fontId="137" fillId="0" borderId="0" xfId="37" applyFont="1" applyAlignment="1">
      <alignment horizontal="center"/>
    </xf>
    <xf numFmtId="169" fontId="68" fillId="0" borderId="0" xfId="37" applyFont="1" applyAlignment="1">
      <alignment horizontal="center"/>
    </xf>
    <xf numFmtId="0" fontId="136" fillId="0" borderId="0" xfId="18" applyFont="1" applyAlignment="1">
      <alignment horizontal="center"/>
    </xf>
    <xf numFmtId="0" fontId="68" fillId="0" borderId="0" xfId="18" applyFont="1" applyAlignment="1">
      <alignment horizontal="center"/>
    </xf>
    <xf numFmtId="169" fontId="68" fillId="0" borderId="0" xfId="37" applyFont="1" applyFill="1" applyAlignment="1">
      <alignment horizontal="center"/>
    </xf>
    <xf numFmtId="169" fontId="137" fillId="0" borderId="0" xfId="37" applyFont="1" applyFill="1" applyAlignment="1">
      <alignment horizontal="center"/>
    </xf>
    <xf numFmtId="169" fontId="137" fillId="0" borderId="15" xfId="37" applyFont="1" applyFill="1" applyBorder="1" applyAlignment="1">
      <alignment horizontal="center"/>
    </xf>
    <xf numFmtId="169" fontId="137" fillId="0" borderId="0" xfId="37" applyFont="1" applyBorder="1" applyAlignment="1">
      <alignment horizontal="center"/>
    </xf>
    <xf numFmtId="169" fontId="68" fillId="0" borderId="0" xfId="37" applyFont="1" applyBorder="1" applyAlignment="1">
      <alignment horizontal="center"/>
    </xf>
    <xf numFmtId="169" fontId="68" fillId="0" borderId="1" xfId="37" applyFont="1" applyBorder="1" applyAlignment="1">
      <alignment horizontal="center"/>
    </xf>
    <xf numFmtId="169" fontId="68" fillId="0" borderId="15" xfId="37" applyFont="1" applyBorder="1" applyAlignment="1">
      <alignment horizontal="center"/>
    </xf>
    <xf numFmtId="169" fontId="137" fillId="0" borderId="15" xfId="37" applyFont="1" applyBorder="1" applyAlignment="1">
      <alignment horizontal="center"/>
    </xf>
    <xf numFmtId="169" fontId="138" fillId="0" borderId="0" xfId="37" applyFont="1" applyAlignment="1">
      <alignment horizontal="center"/>
    </xf>
    <xf numFmtId="0" fontId="138" fillId="0" borderId="0" xfId="18" applyFont="1" applyAlignment="1">
      <alignment horizontal="center"/>
    </xf>
    <xf numFmtId="169" fontId="138" fillId="0" borderId="0" xfId="37" applyFont="1" applyFill="1" applyAlignment="1">
      <alignment horizontal="center"/>
    </xf>
    <xf numFmtId="169" fontId="138" fillId="0" borderId="15" xfId="37" applyFont="1" applyFill="1" applyBorder="1" applyAlignment="1">
      <alignment horizontal="center"/>
    </xf>
    <xf numFmtId="0" fontId="134" fillId="0" borderId="0" xfId="18" applyFont="1" applyBorder="1"/>
    <xf numFmtId="0" fontId="134" fillId="0" borderId="1" xfId="18" applyFont="1" applyBorder="1"/>
    <xf numFmtId="0" fontId="134" fillId="0" borderId="15" xfId="18" applyFont="1" applyBorder="1"/>
    <xf numFmtId="5" fontId="134" fillId="0" borderId="0" xfId="18" applyNumberFormat="1" applyFont="1"/>
    <xf numFmtId="5" fontId="134" fillId="0" borderId="0" xfId="18" applyNumberFormat="1" applyFont="1" applyAlignment="1">
      <alignment horizontal="right"/>
    </xf>
    <xf numFmtId="5" fontId="134" fillId="0" borderId="0" xfId="18" applyNumberFormat="1" applyFont="1" applyFill="1" applyAlignment="1">
      <alignment horizontal="right"/>
    </xf>
    <xf numFmtId="5" fontId="134" fillId="0" borderId="15" xfId="18" applyNumberFormat="1" applyFont="1" applyFill="1" applyBorder="1" applyAlignment="1">
      <alignment horizontal="right"/>
    </xf>
    <xf numFmtId="5" fontId="134" fillId="0" borderId="0" xfId="18" applyNumberFormat="1" applyFont="1" applyBorder="1" applyAlignment="1">
      <alignment horizontal="right"/>
    </xf>
    <xf numFmtId="5" fontId="134" fillId="0" borderId="1" xfId="18" applyNumberFormat="1" applyFont="1" applyBorder="1" applyAlignment="1">
      <alignment horizontal="right"/>
    </xf>
    <xf numFmtId="5" fontId="134" fillId="0" borderId="15" xfId="18" applyNumberFormat="1" applyFont="1" applyBorder="1" applyAlignment="1">
      <alignment horizontal="right"/>
    </xf>
    <xf numFmtId="189" fontId="134" fillId="0" borderId="0" xfId="18" applyNumberFormat="1" applyFont="1" applyAlignment="1">
      <alignment horizontal="right"/>
    </xf>
    <xf numFmtId="37" fontId="134" fillId="0" borderId="0" xfId="18" applyNumberFormat="1" applyFont="1" applyFill="1"/>
    <xf numFmtId="37" fontId="134" fillId="0" borderId="15" xfId="18" applyNumberFormat="1" applyFont="1" applyFill="1" applyBorder="1"/>
    <xf numFmtId="37" fontId="134" fillId="0" borderId="0" xfId="18" applyNumberFormat="1" applyFont="1" applyFill="1" applyBorder="1"/>
    <xf numFmtId="37" fontId="134" fillId="0" borderId="1" xfId="18" applyNumberFormat="1" applyFont="1" applyFill="1" applyBorder="1"/>
    <xf numFmtId="0" fontId="24" fillId="0" borderId="0" xfId="0" applyFont="1" applyFill="1"/>
    <xf numFmtId="37" fontId="134" fillId="0" borderId="0" xfId="18" applyNumberFormat="1" applyFont="1"/>
    <xf numFmtId="37" fontId="134" fillId="0" borderId="0" xfId="18" applyNumberFormat="1" applyFont="1" applyAlignment="1">
      <alignment horizontal="center"/>
    </xf>
    <xf numFmtId="37" fontId="134" fillId="0" borderId="0" xfId="18" applyNumberFormat="1" applyFont="1" applyBorder="1"/>
    <xf numFmtId="37" fontId="134" fillId="0" borderId="1" xfId="18" applyNumberFormat="1" applyFont="1" applyBorder="1"/>
    <xf numFmtId="37" fontId="134" fillId="0" borderId="15" xfId="18" applyNumberFormat="1" applyFont="1" applyBorder="1"/>
    <xf numFmtId="37" fontId="139" fillId="0" borderId="0" xfId="18" applyNumberFormat="1" applyFont="1"/>
    <xf numFmtId="37" fontId="139" fillId="0" borderId="0" xfId="18" applyNumberFormat="1" applyFont="1" applyFill="1"/>
    <xf numFmtId="37" fontId="139" fillId="0" borderId="15" xfId="18" applyNumberFormat="1" applyFont="1" applyFill="1" applyBorder="1"/>
    <xf numFmtId="37" fontId="139" fillId="0" borderId="1" xfId="18" applyNumberFormat="1" applyFont="1" applyBorder="1"/>
    <xf numFmtId="37" fontId="139" fillId="0" borderId="15" xfId="18" applyNumberFormat="1" applyFont="1" applyBorder="1"/>
    <xf numFmtId="37" fontId="139" fillId="0" borderId="0" xfId="18" applyNumberFormat="1" applyFont="1" applyBorder="1"/>
    <xf numFmtId="37" fontId="140" fillId="0" borderId="0" xfId="18" applyNumberFormat="1" applyFont="1" applyBorder="1"/>
    <xf numFmtId="37" fontId="140" fillId="0" borderId="15" xfId="18" applyNumberFormat="1" applyFont="1" applyBorder="1"/>
    <xf numFmtId="2" fontId="134" fillId="0" borderId="0" xfId="18" applyNumberFormat="1" applyFont="1"/>
    <xf numFmtId="2" fontId="134" fillId="0" borderId="0" xfId="18" applyNumberFormat="1" applyFont="1" applyFill="1"/>
    <xf numFmtId="2" fontId="134" fillId="0" borderId="15" xfId="18" applyNumberFormat="1" applyFont="1" applyFill="1" applyBorder="1"/>
    <xf numFmtId="2" fontId="134" fillId="0" borderId="0" xfId="18" applyNumberFormat="1" applyFont="1" applyBorder="1"/>
    <xf numFmtId="2" fontId="134" fillId="0" borderId="1" xfId="18" applyNumberFormat="1" applyFont="1" applyBorder="1"/>
    <xf numFmtId="2" fontId="134" fillId="0" borderId="15" xfId="18" applyNumberFormat="1" applyFont="1" applyBorder="1"/>
    <xf numFmtId="189" fontId="134" fillId="0" borderId="0" xfId="18" applyNumberFormat="1" applyFont="1"/>
    <xf numFmtId="189" fontId="134" fillId="0" borderId="0" xfId="18" applyNumberFormat="1" applyFont="1" applyFill="1"/>
    <xf numFmtId="189" fontId="134" fillId="0" borderId="15" xfId="18" applyNumberFormat="1" applyFont="1" applyFill="1" applyBorder="1"/>
    <xf numFmtId="189" fontId="134" fillId="0" borderId="0" xfId="18" applyNumberFormat="1" applyFont="1" applyBorder="1"/>
    <xf numFmtId="189" fontId="134" fillId="0" borderId="1" xfId="18" applyNumberFormat="1" applyFont="1" applyBorder="1"/>
    <xf numFmtId="189" fontId="134" fillId="0" borderId="15" xfId="18" applyNumberFormat="1" applyFont="1" applyBorder="1"/>
    <xf numFmtId="5" fontId="134" fillId="0" borderId="13" xfId="18" applyNumberFormat="1" applyFont="1" applyBorder="1"/>
    <xf numFmtId="5" fontId="134" fillId="0" borderId="5" xfId="18" applyNumberFormat="1" applyFont="1" applyBorder="1" applyAlignment="1">
      <alignment horizontal="right"/>
    </xf>
    <xf numFmtId="7" fontId="134" fillId="0" borderId="5" xfId="18" applyNumberFormat="1" applyFont="1" applyBorder="1" applyAlignment="1">
      <alignment horizontal="right"/>
    </xf>
    <xf numFmtId="7" fontId="24" fillId="0" borderId="5" xfId="18" applyNumberFormat="1" applyFont="1" applyFill="1" applyBorder="1" applyAlignment="1">
      <alignment horizontal="right"/>
    </xf>
    <xf numFmtId="7" fontId="134" fillId="0" borderId="5" xfId="18" applyNumberFormat="1" applyFont="1" applyFill="1" applyBorder="1" applyAlignment="1">
      <alignment horizontal="right"/>
    </xf>
    <xf numFmtId="7" fontId="134" fillId="0" borderId="14" xfId="18" applyNumberFormat="1" applyFont="1" applyFill="1" applyBorder="1" applyAlignment="1">
      <alignment horizontal="right"/>
    </xf>
    <xf numFmtId="7" fontId="134" fillId="0" borderId="13" xfId="18" applyNumberFormat="1" applyFont="1" applyBorder="1" applyAlignment="1">
      <alignment horizontal="right"/>
    </xf>
    <xf numFmtId="7" fontId="134" fillId="0" borderId="14" xfId="18" applyNumberFormat="1" applyFont="1" applyBorder="1" applyAlignment="1">
      <alignment horizontal="right"/>
    </xf>
    <xf numFmtId="167" fontId="134" fillId="0" borderId="0" xfId="18" applyNumberFormat="1" applyFont="1"/>
    <xf numFmtId="167" fontId="134" fillId="0" borderId="0" xfId="18" applyNumberFormat="1" applyFont="1" applyAlignment="1">
      <alignment horizontal="right"/>
    </xf>
    <xf numFmtId="167" fontId="134" fillId="0" borderId="0" xfId="18" applyNumberFormat="1" applyFont="1" applyFill="1" applyAlignment="1">
      <alignment horizontal="right"/>
    </xf>
    <xf numFmtId="167" fontId="134" fillId="0" borderId="15" xfId="18" applyNumberFormat="1" applyFont="1" applyFill="1" applyBorder="1" applyAlignment="1">
      <alignment horizontal="right"/>
    </xf>
    <xf numFmtId="167" fontId="134" fillId="0" borderId="0" xfId="18" applyNumberFormat="1" applyFont="1" applyBorder="1" applyAlignment="1">
      <alignment horizontal="right"/>
    </xf>
    <xf numFmtId="167" fontId="134" fillId="0" borderId="1" xfId="18" applyNumberFormat="1" applyFont="1" applyBorder="1" applyAlignment="1">
      <alignment horizontal="right"/>
    </xf>
    <xf numFmtId="167" fontId="134" fillId="0" borderId="15" xfId="18" applyNumberFormat="1" applyFont="1" applyBorder="1" applyAlignment="1">
      <alignment horizontal="right"/>
    </xf>
    <xf numFmtId="7" fontId="134" fillId="0" borderId="0" xfId="18" applyNumberFormat="1" applyFont="1"/>
    <xf numFmtId="7" fontId="134" fillId="0" borderId="0" xfId="18" applyNumberFormat="1" applyFont="1" applyFill="1"/>
    <xf numFmtId="7" fontId="134" fillId="0" borderId="15" xfId="18" applyNumberFormat="1" applyFont="1" applyFill="1" applyBorder="1"/>
    <xf numFmtId="172" fontId="134" fillId="0" borderId="0" xfId="18" applyNumberFormat="1" applyFont="1" applyAlignment="1">
      <alignment horizontal="right"/>
    </xf>
    <xf numFmtId="0" fontId="134" fillId="0" borderId="0" xfId="18" applyFont="1" applyFill="1"/>
    <xf numFmtId="0" fontId="134" fillId="0" borderId="15" xfId="18" applyFont="1" applyFill="1" applyBorder="1"/>
    <xf numFmtId="166" fontId="134" fillId="0" borderId="0" xfId="18" applyNumberFormat="1" applyFont="1" applyAlignment="1">
      <alignment horizontal="right"/>
    </xf>
    <xf numFmtId="190" fontId="134" fillId="0" borderId="0" xfId="30" applyNumberFormat="1" applyFont="1" applyAlignment="1">
      <alignment horizontal="right"/>
    </xf>
    <xf numFmtId="190" fontId="134" fillId="0" borderId="0" xfId="30" applyNumberFormat="1" applyFont="1" applyFill="1" applyAlignment="1">
      <alignment horizontal="right"/>
    </xf>
    <xf numFmtId="190" fontId="134" fillId="0" borderId="15" xfId="30" applyNumberFormat="1" applyFont="1" applyFill="1" applyBorder="1" applyAlignment="1">
      <alignment horizontal="right"/>
    </xf>
    <xf numFmtId="166" fontId="134" fillId="0" borderId="0" xfId="30" applyNumberFormat="1" applyFont="1" applyBorder="1" applyAlignment="1">
      <alignment horizontal="right"/>
    </xf>
    <xf numFmtId="166" fontId="134" fillId="0" borderId="1" xfId="30" applyNumberFormat="1" applyFont="1" applyBorder="1" applyAlignment="1">
      <alignment horizontal="right"/>
    </xf>
    <xf numFmtId="166" fontId="134" fillId="0" borderId="15" xfId="30" applyNumberFormat="1" applyFont="1" applyBorder="1" applyAlignment="1">
      <alignment horizontal="right"/>
    </xf>
    <xf numFmtId="166" fontId="134" fillId="0" borderId="0" xfId="30" applyNumberFormat="1" applyFont="1" applyAlignment="1">
      <alignment horizontal="right"/>
    </xf>
    <xf numFmtId="166" fontId="134" fillId="0" borderId="0" xfId="18" applyNumberFormat="1" applyFont="1"/>
    <xf numFmtId="166" fontId="134" fillId="0" borderId="0" xfId="18" applyNumberFormat="1" applyFont="1" applyFill="1"/>
    <xf numFmtId="166" fontId="134" fillId="0" borderId="15" xfId="18" applyNumberFormat="1" applyFont="1" applyFill="1" applyBorder="1"/>
    <xf numFmtId="166" fontId="134" fillId="0" borderId="0" xfId="18" applyNumberFormat="1" applyFont="1" applyBorder="1"/>
    <xf numFmtId="166" fontId="134" fillId="0" borderId="1" xfId="18" applyNumberFormat="1" applyFont="1" applyBorder="1"/>
    <xf numFmtId="166" fontId="134" fillId="0" borderId="15" xfId="18" applyNumberFormat="1" applyFont="1" applyBorder="1"/>
    <xf numFmtId="166" fontId="134" fillId="0" borderId="2" xfId="18" applyNumberFormat="1" applyFont="1" applyBorder="1"/>
    <xf numFmtId="166" fontId="134" fillId="0" borderId="16" xfId="18" applyNumberFormat="1" applyFont="1" applyBorder="1"/>
    <xf numFmtId="166" fontId="134" fillId="0" borderId="17" xfId="18" applyNumberFormat="1" applyFont="1" applyBorder="1"/>
    <xf numFmtId="190" fontId="134" fillId="0" borderId="0" xfId="23" applyNumberFormat="1" applyFont="1" applyAlignment="1">
      <alignment horizontal="right"/>
    </xf>
    <xf numFmtId="166" fontId="134" fillId="0" borderId="0" xfId="23" applyNumberFormat="1" applyFont="1" applyAlignment="1">
      <alignment horizontal="right"/>
    </xf>
    <xf numFmtId="190" fontId="134" fillId="0" borderId="0" xfId="30" applyNumberFormat="1" applyFont="1" applyFill="1" applyBorder="1" applyAlignment="1">
      <alignment horizontal="right"/>
    </xf>
    <xf numFmtId="166" fontId="134" fillId="0" borderId="0" xfId="23" applyNumberFormat="1" applyFont="1" applyBorder="1" applyAlignment="1">
      <alignment horizontal="right"/>
    </xf>
    <xf numFmtId="190" fontId="134" fillId="0" borderId="1" xfId="30" applyNumberFormat="1" applyFont="1" applyBorder="1" applyAlignment="1">
      <alignment horizontal="right"/>
    </xf>
    <xf numFmtId="190" fontId="134" fillId="0" borderId="0" xfId="30" applyNumberFormat="1" applyFont="1" applyBorder="1" applyAlignment="1">
      <alignment horizontal="right"/>
    </xf>
    <xf numFmtId="190" fontId="134" fillId="0" borderId="15" xfId="30" applyNumberFormat="1" applyFont="1" applyBorder="1" applyAlignment="1">
      <alignment horizontal="right"/>
    </xf>
    <xf numFmtId="169" fontId="134" fillId="0" borderId="0" xfId="8" applyNumberFormat="1" applyFont="1" applyAlignment="1">
      <alignment horizontal="right"/>
    </xf>
    <xf numFmtId="166" fontId="134" fillId="0" borderId="0" xfId="8" applyNumberFormat="1" applyFont="1" applyAlignment="1">
      <alignment horizontal="right"/>
    </xf>
    <xf numFmtId="190" fontId="141" fillId="0" borderId="0" xfId="30" applyNumberFormat="1" applyFont="1" applyAlignment="1">
      <alignment horizontal="right"/>
    </xf>
    <xf numFmtId="205" fontId="141" fillId="0" borderId="0" xfId="30" applyNumberFormat="1" applyFont="1" applyAlignment="1">
      <alignment horizontal="right"/>
    </xf>
    <xf numFmtId="205" fontId="141" fillId="0" borderId="0" xfId="8" applyNumberFormat="1" applyFont="1" applyAlignment="1">
      <alignment horizontal="right"/>
    </xf>
    <xf numFmtId="205" fontId="141" fillId="0" borderId="0" xfId="30" applyNumberFormat="1" applyFont="1" applyFill="1" applyAlignment="1">
      <alignment horizontal="right"/>
    </xf>
    <xf numFmtId="205" fontId="141" fillId="0" borderId="0" xfId="30" applyNumberFormat="1" applyFont="1" applyFill="1" applyBorder="1" applyAlignment="1">
      <alignment horizontal="right"/>
    </xf>
    <xf numFmtId="205" fontId="141" fillId="0" borderId="15" xfId="30" applyNumberFormat="1" applyFont="1" applyFill="1" applyBorder="1" applyAlignment="1">
      <alignment horizontal="right"/>
    </xf>
    <xf numFmtId="205" fontId="141" fillId="0" borderId="0" xfId="30" applyNumberFormat="1" applyFont="1" applyBorder="1" applyAlignment="1">
      <alignment horizontal="right"/>
    </xf>
    <xf numFmtId="205" fontId="141" fillId="0" borderId="1" xfId="30" applyNumberFormat="1" applyFont="1" applyBorder="1" applyAlignment="1">
      <alignment horizontal="right"/>
    </xf>
    <xf numFmtId="190" fontId="141" fillId="0" borderId="1" xfId="30" applyNumberFormat="1" applyFont="1" applyBorder="1" applyAlignment="1">
      <alignment horizontal="right"/>
    </xf>
    <xf numFmtId="190" fontId="141" fillId="0" borderId="0" xfId="30" applyNumberFormat="1" applyFont="1" applyBorder="1" applyAlignment="1">
      <alignment horizontal="right"/>
    </xf>
    <xf numFmtId="166" fontId="142" fillId="0" borderId="0" xfId="30" applyNumberFormat="1" applyFont="1" applyBorder="1" applyAlignment="1">
      <alignment horizontal="right"/>
    </xf>
    <xf numFmtId="166" fontId="24" fillId="0" borderId="0" xfId="30" applyNumberFormat="1" applyFont="1" applyAlignment="1">
      <alignment horizontal="right"/>
    </xf>
    <xf numFmtId="166" fontId="142" fillId="0" borderId="0" xfId="30" applyNumberFormat="1" applyFont="1" applyFill="1" applyAlignment="1">
      <alignment horizontal="right"/>
    </xf>
    <xf numFmtId="190" fontId="134" fillId="0" borderId="2" xfId="30" applyNumberFormat="1" applyFont="1" applyFill="1" applyBorder="1" applyAlignment="1">
      <alignment horizontal="right"/>
    </xf>
    <xf numFmtId="166" fontId="142" fillId="0" borderId="2" xfId="30" applyNumberFormat="1" applyFont="1" applyBorder="1" applyAlignment="1">
      <alignment horizontal="right"/>
    </xf>
    <xf numFmtId="166" fontId="134" fillId="0" borderId="2" xfId="30" applyNumberFormat="1" applyFont="1" applyBorder="1" applyAlignment="1">
      <alignment horizontal="right"/>
    </xf>
    <xf numFmtId="190" fontId="134" fillId="0" borderId="2" xfId="30" applyNumberFormat="1" applyFont="1" applyBorder="1" applyAlignment="1">
      <alignment horizontal="right"/>
    </xf>
    <xf numFmtId="190" fontId="134" fillId="0" borderId="16" xfId="30" applyNumberFormat="1" applyFont="1" applyBorder="1" applyAlignment="1">
      <alignment horizontal="right"/>
    </xf>
    <xf numFmtId="190" fontId="134" fillId="0" borderId="17" xfId="30" applyNumberFormat="1" applyFont="1" applyBorder="1" applyAlignment="1">
      <alignment horizontal="right"/>
    </xf>
    <xf numFmtId="167" fontId="134" fillId="0" borderId="0" xfId="18" applyNumberFormat="1" applyFont="1" applyAlignment="1">
      <alignment horizontal="centerContinuous"/>
    </xf>
    <xf numFmtId="167" fontId="134" fillId="0" borderId="0" xfId="18" applyNumberFormat="1" applyFont="1" applyBorder="1" applyAlignment="1">
      <alignment horizontal="centerContinuous"/>
    </xf>
    <xf numFmtId="167" fontId="134" fillId="0" borderId="0" xfId="18" quotePrefix="1" applyNumberFormat="1" applyFont="1" applyBorder="1" applyAlignment="1">
      <alignment horizontal="centerContinuous"/>
    </xf>
    <xf numFmtId="167" fontId="134" fillId="0" borderId="11" xfId="18" applyNumberFormat="1" applyFont="1" applyBorder="1" applyAlignment="1">
      <alignment horizontal="centerContinuous"/>
    </xf>
    <xf numFmtId="0" fontId="68" fillId="0" borderId="6" xfId="0" applyFont="1" applyBorder="1"/>
    <xf numFmtId="0" fontId="136" fillId="0" borderId="11" xfId="18" applyFont="1" applyBorder="1"/>
    <xf numFmtId="0" fontId="136" fillId="0" borderId="11" xfId="18" applyFont="1" applyBorder="1" applyAlignment="1">
      <alignment horizontal="right"/>
    </xf>
    <xf numFmtId="0" fontId="68" fillId="0" borderId="11" xfId="37" applyNumberFormat="1" applyFont="1" applyBorder="1" applyAlignment="1">
      <alignment horizontal="right"/>
    </xf>
    <xf numFmtId="0" fontId="68" fillId="0" borderId="20" xfId="37" applyNumberFormat="1" applyFont="1" applyBorder="1" applyAlignment="1">
      <alignment horizontal="right"/>
    </xf>
    <xf numFmtId="0" fontId="68" fillId="0" borderId="6" xfId="0" applyFont="1" applyFill="1" applyBorder="1"/>
    <xf numFmtId="0" fontId="24" fillId="0" borderId="11" xfId="0" applyFont="1" applyFill="1" applyBorder="1"/>
    <xf numFmtId="0" fontId="136" fillId="0" borderId="20" xfId="18" applyFont="1" applyBorder="1" applyAlignment="1">
      <alignment horizontal="right"/>
    </xf>
    <xf numFmtId="172" fontId="134" fillId="0" borderId="0" xfId="18" applyNumberFormat="1" applyFont="1" applyBorder="1" applyAlignment="1">
      <alignment horizontal="left"/>
    </xf>
    <xf numFmtId="37" fontId="134" fillId="0" borderId="0" xfId="18" applyNumberFormat="1" applyFont="1" applyBorder="1" applyAlignment="1">
      <alignment horizontal="right"/>
    </xf>
    <xf numFmtId="172" fontId="134" fillId="0" borderId="0" xfId="18" applyNumberFormat="1" applyFont="1" applyBorder="1" applyAlignment="1">
      <alignment horizontal="right"/>
    </xf>
    <xf numFmtId="39" fontId="134" fillId="0" borderId="0" xfId="18" applyNumberFormat="1" applyFont="1" applyFill="1" applyBorder="1" applyAlignment="1">
      <alignment horizontal="right"/>
    </xf>
    <xf numFmtId="0" fontId="24" fillId="0" borderId="0" xfId="0" applyFont="1" applyFill="1" applyBorder="1"/>
    <xf numFmtId="39" fontId="134" fillId="0" borderId="15" xfId="18" applyNumberFormat="1" applyFont="1" applyFill="1" applyBorder="1" applyAlignment="1">
      <alignment horizontal="right"/>
    </xf>
    <xf numFmtId="0" fontId="24" fillId="0" borderId="1" xfId="0" applyFont="1" applyFill="1" applyBorder="1"/>
    <xf numFmtId="37" fontId="134" fillId="0" borderId="0" xfId="18" applyNumberFormat="1" applyFont="1" applyFill="1" applyBorder="1" applyAlignment="1">
      <alignment horizontal="right"/>
    </xf>
    <xf numFmtId="37" fontId="134" fillId="0" borderId="15" xfId="18" applyNumberFormat="1" applyFont="1" applyBorder="1" applyAlignment="1">
      <alignment horizontal="right"/>
    </xf>
    <xf numFmtId="38" fontId="24" fillId="0" borderId="0" xfId="0" applyNumberFormat="1" applyFont="1" applyBorder="1"/>
    <xf numFmtId="9" fontId="134" fillId="0" borderId="0" xfId="30" applyFont="1" applyFill="1" applyBorder="1" applyAlignment="1">
      <alignment horizontal="right"/>
    </xf>
    <xf numFmtId="9" fontId="134" fillId="0" borderId="15" xfId="30" applyFont="1" applyFill="1" applyBorder="1" applyAlignment="1">
      <alignment horizontal="right"/>
    </xf>
    <xf numFmtId="38" fontId="24" fillId="0" borderId="0" xfId="0" applyNumberFormat="1" applyFont="1" applyFill="1" applyBorder="1"/>
    <xf numFmtId="38" fontId="24" fillId="0" borderId="15" xfId="0" applyNumberFormat="1" applyFont="1" applyBorder="1"/>
    <xf numFmtId="166" fontId="134" fillId="0" borderId="0" xfId="30" applyNumberFormat="1" applyFont="1" applyFill="1" applyBorder="1" applyAlignment="1">
      <alignment horizontal="right"/>
    </xf>
    <xf numFmtId="9" fontId="24" fillId="0" borderId="0" xfId="30" applyFont="1" applyFill="1" applyBorder="1"/>
    <xf numFmtId="9" fontId="24" fillId="0" borderId="15" xfId="30" applyFont="1" applyFill="1" applyBorder="1"/>
    <xf numFmtId="38" fontId="24" fillId="0" borderId="15" xfId="0" applyNumberFormat="1" applyFont="1" applyFill="1" applyBorder="1"/>
    <xf numFmtId="38" fontId="24" fillId="0" borderId="0" xfId="0" applyNumberFormat="1" applyFont="1"/>
    <xf numFmtId="0" fontId="24" fillId="0" borderId="16" xfId="0" applyFont="1" applyBorder="1"/>
    <xf numFmtId="0" fontId="134" fillId="0" borderId="2" xfId="18" applyNumberFormat="1" applyFont="1" applyBorder="1"/>
    <xf numFmtId="38" fontId="24" fillId="0" borderId="2" xfId="0" applyNumberFormat="1" applyFont="1" applyFill="1" applyBorder="1"/>
    <xf numFmtId="38" fontId="24" fillId="0" borderId="17" xfId="0" applyNumberFormat="1" applyFont="1" applyFill="1" applyBorder="1"/>
    <xf numFmtId="38" fontId="24" fillId="0" borderId="11" xfId="0" applyNumberFormat="1" applyFont="1" applyBorder="1"/>
    <xf numFmtId="0" fontId="134" fillId="0" borderId="11" xfId="18" applyFont="1" applyBorder="1"/>
    <xf numFmtId="0" fontId="134" fillId="0" borderId="11" xfId="18" applyNumberFormat="1" applyFont="1" applyBorder="1"/>
    <xf numFmtId="0" fontId="136" fillId="0" borderId="11" xfId="18" applyNumberFormat="1" applyFont="1" applyFill="1" applyBorder="1" applyAlignment="1">
      <alignment horizontal="center"/>
    </xf>
    <xf numFmtId="0" fontId="136" fillId="0" borderId="20" xfId="18" applyNumberFormat="1" applyFont="1" applyFill="1" applyBorder="1" applyAlignment="1">
      <alignment horizontal="center"/>
    </xf>
    <xf numFmtId="167" fontId="134" fillId="0" borderId="1" xfId="18" applyNumberFormat="1" applyFont="1" applyBorder="1"/>
    <xf numFmtId="0" fontId="134" fillId="0" borderId="0" xfId="18" applyFont="1" applyFill="1" applyBorder="1"/>
    <xf numFmtId="244" fontId="24" fillId="0" borderId="0" xfId="0" applyNumberFormat="1" applyFont="1" applyFill="1" applyBorder="1"/>
    <xf numFmtId="244" fontId="24" fillId="0" borderId="15" xfId="0" applyNumberFormat="1" applyFont="1" applyFill="1" applyBorder="1"/>
    <xf numFmtId="37" fontId="134" fillId="0" borderId="0" xfId="18" applyNumberFormat="1" applyFont="1" applyBorder="1" applyAlignment="1">
      <alignment horizontal="left"/>
    </xf>
    <xf numFmtId="39" fontId="134" fillId="0" borderId="0" xfId="18" applyNumberFormat="1" applyFont="1" applyBorder="1" applyAlignment="1">
      <alignment horizontal="right"/>
    </xf>
    <xf numFmtId="167" fontId="134" fillId="0" borderId="0" xfId="18" applyNumberFormat="1" applyFont="1" applyBorder="1"/>
    <xf numFmtId="0" fontId="134" fillId="0" borderId="0" xfId="18" applyNumberFormat="1" applyFont="1" applyFill="1" applyBorder="1"/>
    <xf numFmtId="1" fontId="24" fillId="0" borderId="0" xfId="0" applyNumberFormat="1" applyFont="1" applyFill="1" applyBorder="1"/>
    <xf numFmtId="1" fontId="24" fillId="0" borderId="15" xfId="0" applyNumberFormat="1" applyFont="1" applyFill="1" applyBorder="1"/>
    <xf numFmtId="167" fontId="134" fillId="0" borderId="16" xfId="18" applyNumberFormat="1" applyFont="1" applyBorder="1"/>
    <xf numFmtId="37" fontId="134" fillId="0" borderId="2" xfId="18" applyNumberFormat="1" applyFont="1" applyBorder="1" applyAlignment="1">
      <alignment horizontal="right"/>
    </xf>
    <xf numFmtId="0" fontId="24" fillId="0" borderId="2" xfId="0" applyFont="1" applyFill="1" applyBorder="1"/>
    <xf numFmtId="1" fontId="24" fillId="0" borderId="2" xfId="0" applyNumberFormat="1" applyFont="1" applyFill="1" applyBorder="1"/>
    <xf numFmtId="1" fontId="24" fillId="0" borderId="17" xfId="0" applyNumberFormat="1" applyFont="1" applyFill="1" applyBorder="1"/>
    <xf numFmtId="0" fontId="134" fillId="0" borderId="1" xfId="18" applyNumberFormat="1" applyFont="1" applyFill="1" applyBorder="1"/>
    <xf numFmtId="6" fontId="134" fillId="0" borderId="0" xfId="11" applyNumberFormat="1" applyFont="1" applyFill="1" applyBorder="1" applyAlignment="1">
      <alignment horizontal="right"/>
    </xf>
    <xf numFmtId="38" fontId="24" fillId="0" borderId="0" xfId="0" applyNumberFormat="1" applyFont="1" applyBorder="1" applyAlignment="1">
      <alignment horizontal="right"/>
    </xf>
    <xf numFmtId="38" fontId="24" fillId="0" borderId="15" xfId="0" applyNumberFormat="1" applyFont="1" applyBorder="1" applyAlignment="1">
      <alignment horizontal="right"/>
    </xf>
    <xf numFmtId="0" fontId="134" fillId="0" borderId="1" xfId="18" applyFont="1" applyFill="1" applyBorder="1"/>
    <xf numFmtId="0" fontId="134" fillId="0" borderId="0" xfId="18" applyFont="1" applyBorder="1" applyAlignment="1">
      <alignment horizontal="left"/>
    </xf>
    <xf numFmtId="39" fontId="134" fillId="0" borderId="15" xfId="18" applyNumberFormat="1" applyFont="1" applyBorder="1" applyAlignment="1">
      <alignment horizontal="right"/>
    </xf>
    <xf numFmtId="6" fontId="134" fillId="0" borderId="0" xfId="11" applyNumberFormat="1" applyFont="1" applyBorder="1" applyAlignment="1">
      <alignment horizontal="right"/>
    </xf>
    <xf numFmtId="166" fontId="134" fillId="0" borderId="0" xfId="18" applyNumberFormat="1" applyFont="1" applyBorder="1" applyAlignment="1">
      <alignment horizontal="left"/>
    </xf>
    <xf numFmtId="275" fontId="134" fillId="0" borderId="0" xfId="11" applyNumberFormat="1" applyFont="1" applyBorder="1" applyAlignment="1">
      <alignment horizontal="right"/>
    </xf>
    <xf numFmtId="167" fontId="24" fillId="0" borderId="0" xfId="0" applyNumberFormat="1" applyFont="1"/>
    <xf numFmtId="40" fontId="24" fillId="0" borderId="0" xfId="0" applyNumberFormat="1" applyFont="1" applyFill="1" applyBorder="1"/>
    <xf numFmtId="0" fontId="24" fillId="0" borderId="15" xfId="0" applyFont="1" applyFill="1" applyBorder="1"/>
    <xf numFmtId="0" fontId="24" fillId="0" borderId="16" xfId="0" applyFont="1" applyFill="1" applyBorder="1"/>
    <xf numFmtId="180" fontId="24" fillId="0" borderId="0" xfId="19" applyFont="1" applyAlignment="1"/>
    <xf numFmtId="40" fontId="24" fillId="0" borderId="0" xfId="0" applyNumberFormat="1" applyFont="1" applyBorder="1"/>
    <xf numFmtId="166" fontId="24" fillId="0" borderId="0" xfId="30" applyNumberFormat="1" applyFont="1" applyFill="1"/>
    <xf numFmtId="166" fontId="24" fillId="0" borderId="0" xfId="30" applyNumberFormat="1" applyFont="1" applyFill="1" applyBorder="1"/>
    <xf numFmtId="166" fontId="24" fillId="0" borderId="0" xfId="30" applyNumberFormat="1" applyFont="1"/>
    <xf numFmtId="166" fontId="24" fillId="0" borderId="0" xfId="30" applyNumberFormat="1" applyFont="1" applyFill="1" applyAlignment="1">
      <alignment horizontal="left" indent="1"/>
    </xf>
    <xf numFmtId="166" fontId="134" fillId="0" borderId="0" xfId="30" applyNumberFormat="1" applyFont="1" applyBorder="1"/>
    <xf numFmtId="166" fontId="24" fillId="0" borderId="0" xfId="30" applyNumberFormat="1" applyFont="1" applyBorder="1"/>
    <xf numFmtId="166" fontId="134" fillId="0" borderId="0" xfId="30" applyNumberFormat="1" applyFont="1" applyBorder="1" applyAlignment="1">
      <alignment horizontal="left"/>
    </xf>
    <xf numFmtId="0" fontId="24" fillId="0" borderId="5" xfId="0" applyFont="1" applyBorder="1"/>
    <xf numFmtId="6" fontId="134" fillId="0" borderId="5" xfId="11" applyNumberFormat="1" applyFont="1" applyBorder="1" applyAlignment="1">
      <alignment horizontal="right"/>
    </xf>
    <xf numFmtId="6" fontId="134" fillId="0" borderId="14" xfId="11" applyNumberFormat="1" applyFont="1" applyBorder="1" applyAlignment="1">
      <alignment horizontal="right"/>
    </xf>
    <xf numFmtId="1" fontId="24" fillId="0" borderId="0" xfId="0" applyNumberFormat="1" applyFont="1" applyBorder="1"/>
    <xf numFmtId="242" fontId="24" fillId="0" borderId="0" xfId="0" applyNumberFormat="1" applyFont="1" applyFill="1" applyBorder="1"/>
    <xf numFmtId="242" fontId="24" fillId="0" borderId="0" xfId="0" applyNumberFormat="1" applyFont="1"/>
    <xf numFmtId="242" fontId="24" fillId="0" borderId="0" xfId="0" applyNumberFormat="1" applyFont="1" applyBorder="1"/>
    <xf numFmtId="0" fontId="24" fillId="0" borderId="20" xfId="0" applyFont="1" applyBorder="1"/>
    <xf numFmtId="242" fontId="24" fillId="0" borderId="6" xfId="0" applyNumberFormat="1" applyFont="1" applyBorder="1"/>
    <xf numFmtId="242" fontId="24" fillId="0" borderId="11" xfId="0" applyNumberFormat="1" applyFont="1" applyBorder="1"/>
    <xf numFmtId="242" fontId="24" fillId="0" borderId="20" xfId="0" applyNumberFormat="1" applyFont="1" applyBorder="1"/>
    <xf numFmtId="242" fontId="24" fillId="0" borderId="6" xfId="0" applyNumberFormat="1" applyFont="1" applyFill="1" applyBorder="1"/>
    <xf numFmtId="242" fontId="24" fillId="0" borderId="11" xfId="0" applyNumberFormat="1" applyFont="1" applyFill="1" applyBorder="1"/>
    <xf numFmtId="242" fontId="24" fillId="0" borderId="20" xfId="0" applyNumberFormat="1" applyFont="1" applyFill="1" applyBorder="1"/>
    <xf numFmtId="0" fontId="24" fillId="0" borderId="17" xfId="0" applyFont="1" applyBorder="1"/>
    <xf numFmtId="242" fontId="24" fillId="0" borderId="16" xfId="0" applyNumberFormat="1" applyFont="1" applyBorder="1"/>
    <xf numFmtId="242" fontId="24" fillId="0" borderId="2" xfId="0" applyNumberFormat="1" applyFont="1" applyBorder="1"/>
    <xf numFmtId="242" fontId="24" fillId="0" borderId="17" xfId="0" applyNumberFormat="1" applyFont="1" applyBorder="1"/>
    <xf numFmtId="242" fontId="24" fillId="0" borderId="16" xfId="0" applyNumberFormat="1" applyFont="1" applyFill="1" applyBorder="1"/>
    <xf numFmtId="242" fontId="24" fillId="0" borderId="2" xfId="0" applyNumberFormat="1" applyFont="1" applyFill="1" applyBorder="1"/>
    <xf numFmtId="242" fontId="24" fillId="0" borderId="17" xfId="0" applyNumberFormat="1" applyFont="1" applyFill="1" applyBorder="1"/>
    <xf numFmtId="0" fontId="24" fillId="0" borderId="0" xfId="0" applyFont="1" applyFill="1" applyBorder="1" applyAlignment="1">
      <alignment horizontal="right"/>
    </xf>
    <xf numFmtId="0" fontId="24" fillId="0" borderId="0" xfId="0" applyFont="1" applyFill="1" applyBorder="1" applyAlignment="1">
      <alignment horizontal="left"/>
    </xf>
    <xf numFmtId="205" fontId="24" fillId="0" borderId="0" xfId="30" applyNumberFormat="1" applyFont="1" applyFill="1" applyAlignment="1">
      <alignment horizontal="right"/>
    </xf>
    <xf numFmtId="205" fontId="24" fillId="0" borderId="0" xfId="30" applyNumberFormat="1" applyFont="1" applyFill="1" applyBorder="1" applyAlignment="1">
      <alignment horizontal="right"/>
    </xf>
    <xf numFmtId="0" fontId="14" fillId="0" borderId="0" xfId="0" applyFont="1" applyAlignment="1" applyProtection="1">
      <alignment horizontal="left"/>
    </xf>
    <xf numFmtId="250" fontId="5" fillId="0" borderId="0" xfId="0" applyNumberFormat="1" applyFont="1"/>
    <xf numFmtId="6" fontId="5" fillId="0" borderId="0" xfId="0" applyNumberFormat="1" applyFont="1" applyFill="1"/>
    <xf numFmtId="8" fontId="5" fillId="0" borderId="0" xfId="0" applyNumberFormat="1" applyFont="1"/>
    <xf numFmtId="0" fontId="101" fillId="0" borderId="0" xfId="0" applyFont="1"/>
    <xf numFmtId="204" fontId="5" fillId="0" borderId="0" xfId="0" applyNumberFormat="1" applyFont="1"/>
    <xf numFmtId="39" fontId="5" fillId="0" borderId="0" xfId="0" applyNumberFormat="1" applyFont="1"/>
    <xf numFmtId="0" fontId="5" fillId="0" borderId="0" xfId="0" applyFont="1" applyBorder="1" applyAlignment="1">
      <alignment horizontal="centerContinuous"/>
    </xf>
    <xf numFmtId="167" fontId="18" fillId="0" borderId="0" xfId="0" applyNumberFormat="1" applyFont="1" applyFill="1" applyBorder="1"/>
    <xf numFmtId="169" fontId="18" fillId="0" borderId="2" xfId="0" applyNumberFormat="1" applyFont="1" applyFill="1" applyBorder="1"/>
    <xf numFmtId="0" fontId="67" fillId="0" borderId="0" xfId="0" applyFont="1" applyFill="1"/>
    <xf numFmtId="0" fontId="67" fillId="0" borderId="0" xfId="0" applyFont="1" applyFill="1" applyAlignment="1">
      <alignment horizontal="left"/>
    </xf>
    <xf numFmtId="166" fontId="9" fillId="0" borderId="0" xfId="30" applyNumberFormat="1" applyFont="1" applyFill="1" applyBorder="1"/>
    <xf numFmtId="172" fontId="12" fillId="0" borderId="2" xfId="15" applyNumberFormat="1" applyFont="1" applyBorder="1" applyAlignment="1" applyProtection="1">
      <alignment horizontal="left"/>
    </xf>
    <xf numFmtId="167" fontId="9" fillId="0" borderId="2" xfId="15" applyNumberFormat="1" applyFont="1" applyFill="1" applyBorder="1"/>
    <xf numFmtId="0" fontId="9" fillId="0" borderId="2" xfId="15" applyFont="1" applyFill="1" applyBorder="1"/>
    <xf numFmtId="166" fontId="9" fillId="0" borderId="2" xfId="30" applyNumberFormat="1" applyFont="1" applyFill="1" applyBorder="1"/>
    <xf numFmtId="187" fontId="10" fillId="0" borderId="0" xfId="15" applyNumberFormat="1" applyFont="1" applyFill="1" applyBorder="1" applyAlignment="1">
      <alignment horizontal="right"/>
    </xf>
    <xf numFmtId="187" fontId="10" fillId="0" borderId="6" xfId="15" applyNumberFormat="1" applyFont="1" applyFill="1" applyBorder="1" applyAlignment="1">
      <alignment horizontal="right"/>
    </xf>
    <xf numFmtId="180" fontId="9" fillId="0" borderId="5" xfId="27" quotePrefix="1" applyFont="1" applyFill="1" applyBorder="1" applyAlignment="1" applyProtection="1">
      <alignment horizontal="center"/>
    </xf>
    <xf numFmtId="180" fontId="12" fillId="0" borderId="5" xfId="27" applyFont="1" applyFill="1" applyBorder="1" applyAlignment="1">
      <alignment horizontal="center"/>
    </xf>
    <xf numFmtId="0" fontId="9" fillId="0" borderId="20" xfId="15" applyFont="1" applyFill="1" applyBorder="1"/>
    <xf numFmtId="187" fontId="12" fillId="0" borderId="1" xfId="15" applyNumberFormat="1" applyFont="1" applyFill="1" applyBorder="1" applyAlignment="1">
      <alignment horizontal="right"/>
    </xf>
    <xf numFmtId="180" fontId="21" fillId="0" borderId="5" xfId="27" quotePrefix="1" applyFont="1" applyFill="1" applyBorder="1" applyAlignment="1" applyProtection="1">
      <alignment horizontal="center"/>
    </xf>
    <xf numFmtId="180" fontId="21" fillId="0" borderId="0" xfId="27" applyFont="1" applyFill="1" applyBorder="1"/>
    <xf numFmtId="0" fontId="12" fillId="0" borderId="15" xfId="15" applyFont="1" applyFill="1" applyBorder="1"/>
    <xf numFmtId="172" fontId="9" fillId="0" borderId="0" xfId="15" applyNumberFormat="1" applyFont="1" applyFill="1" applyBorder="1"/>
    <xf numFmtId="187" fontId="10" fillId="0" borderId="1" xfId="15" applyNumberFormat="1" applyFont="1" applyFill="1" applyBorder="1" applyAlignment="1">
      <alignment horizontal="right"/>
    </xf>
    <xf numFmtId="0" fontId="9" fillId="0" borderId="15" xfId="15" applyFont="1" applyFill="1" applyBorder="1"/>
    <xf numFmtId="5" fontId="9" fillId="0" borderId="0" xfId="15" applyNumberFormat="1" applyFont="1" applyFill="1" applyBorder="1"/>
    <xf numFmtId="172" fontId="9" fillId="0" borderId="1" xfId="15" applyNumberFormat="1" applyFont="1" applyFill="1" applyBorder="1"/>
    <xf numFmtId="180" fontId="9" fillId="0" borderId="15" xfId="27" applyFont="1" applyBorder="1" applyAlignment="1" applyProtection="1">
      <alignment horizontal="center"/>
    </xf>
    <xf numFmtId="0" fontId="9" fillId="0" borderId="0" xfId="15" applyFont="1" applyFill="1" applyBorder="1" applyAlignment="1">
      <alignment horizontal="left" indent="2"/>
    </xf>
    <xf numFmtId="190" fontId="9" fillId="0" borderId="0" xfId="30" applyNumberFormat="1" applyFont="1" applyFill="1" applyBorder="1"/>
    <xf numFmtId="190" fontId="13" fillId="0" borderId="0" xfId="30" applyNumberFormat="1" applyFont="1" applyFill="1" applyBorder="1" applyAlignment="1">
      <alignment horizontal="right"/>
    </xf>
    <xf numFmtId="167" fontId="9" fillId="0" borderId="1" xfId="15" applyNumberFormat="1" applyFont="1" applyFill="1" applyBorder="1"/>
    <xf numFmtId="180" fontId="9" fillId="0" borderId="15" xfId="27" applyFont="1" applyBorder="1" applyAlignment="1">
      <alignment horizontal="center"/>
    </xf>
    <xf numFmtId="205" fontId="9" fillId="0" borderId="0" xfId="30" applyNumberFormat="1" applyFont="1" applyFill="1" applyBorder="1"/>
    <xf numFmtId="166" fontId="13" fillId="0" borderId="0" xfId="30" applyNumberFormat="1" applyFont="1" applyFill="1" applyBorder="1"/>
    <xf numFmtId="167" fontId="13" fillId="0" borderId="0" xfId="15" applyNumberFormat="1" applyFont="1" applyFill="1" applyBorder="1"/>
    <xf numFmtId="0" fontId="28" fillId="0" borderId="0" xfId="15" applyFont="1" applyFill="1" applyBorder="1" applyAlignment="1">
      <alignment horizontal="left" indent="2"/>
    </xf>
    <xf numFmtId="166" fontId="65" fillId="0" borderId="0" xfId="30" applyNumberFormat="1" applyFont="1" applyFill="1" applyBorder="1"/>
    <xf numFmtId="10" fontId="9" fillId="0" borderId="0" xfId="30" applyNumberFormat="1" applyFont="1" applyFill="1" applyBorder="1"/>
    <xf numFmtId="203" fontId="9" fillId="0" borderId="0" xfId="15" applyNumberFormat="1" applyFont="1" applyFill="1" applyBorder="1"/>
    <xf numFmtId="37" fontId="9" fillId="0" borderId="15" xfId="27" applyNumberFormat="1" applyFont="1" applyBorder="1" applyAlignment="1" applyProtection="1">
      <alignment horizontal="center"/>
    </xf>
    <xf numFmtId="167" fontId="13" fillId="0" borderId="0" xfId="15" applyNumberFormat="1" applyFont="1" applyFill="1" applyBorder="1" applyAlignment="1">
      <alignment horizontal="right"/>
    </xf>
    <xf numFmtId="39" fontId="9" fillId="0" borderId="0" xfId="15" applyNumberFormat="1" applyFont="1" applyFill="1" applyBorder="1"/>
    <xf numFmtId="167" fontId="112" fillId="0" borderId="0" xfId="15" applyNumberFormat="1" applyFont="1" applyFill="1" applyBorder="1"/>
    <xf numFmtId="167" fontId="105" fillId="0" borderId="0" xfId="15" applyNumberFormat="1" applyFont="1" applyFill="1" applyBorder="1"/>
    <xf numFmtId="166" fontId="112" fillId="0" borderId="0" xfId="30" applyNumberFormat="1" applyFont="1" applyFill="1" applyBorder="1"/>
    <xf numFmtId="166" fontId="105" fillId="0" borderId="0" xfId="30" applyNumberFormat="1" applyFont="1" applyFill="1" applyBorder="1"/>
    <xf numFmtId="9" fontId="9" fillId="0" borderId="0" xfId="30" applyFont="1" applyFill="1" applyBorder="1"/>
    <xf numFmtId="43" fontId="9" fillId="0" borderId="0" xfId="8" applyFont="1" applyFill="1" applyBorder="1"/>
    <xf numFmtId="44" fontId="9" fillId="0" borderId="0" xfId="11" applyFont="1" applyFill="1" applyBorder="1"/>
    <xf numFmtId="169" fontId="9" fillId="0" borderId="0" xfId="15" applyNumberFormat="1" applyFont="1" applyFill="1" applyBorder="1"/>
    <xf numFmtId="169" fontId="13" fillId="0" borderId="0" xfId="15" applyNumberFormat="1" applyFont="1" applyFill="1" applyBorder="1"/>
    <xf numFmtId="180" fontId="9" fillId="0" borderId="0" xfId="27" applyFont="1" applyBorder="1" applyAlignment="1">
      <alignment horizontal="center"/>
    </xf>
    <xf numFmtId="166" fontId="25" fillId="0" borderId="0" xfId="30" applyNumberFormat="1" applyFont="1" applyFill="1" applyBorder="1"/>
    <xf numFmtId="167" fontId="25" fillId="0" borderId="0" xfId="15" applyNumberFormat="1" applyFont="1" applyFill="1" applyBorder="1"/>
    <xf numFmtId="0" fontId="10" fillId="0" borderId="0" xfId="0" applyFont="1"/>
    <xf numFmtId="171" fontId="9" fillId="0" borderId="0" xfId="15" applyNumberFormat="1" applyFont="1" applyFill="1" applyBorder="1"/>
    <xf numFmtId="172" fontId="13" fillId="0" borderId="0" xfId="15" applyNumberFormat="1" applyFont="1" applyFill="1" applyBorder="1"/>
    <xf numFmtId="0" fontId="9" fillId="0" borderId="0" xfId="15" quotePrefix="1" applyFont="1" applyFill="1" applyBorder="1"/>
    <xf numFmtId="0" fontId="9" fillId="0" borderId="0" xfId="0" quotePrefix="1" applyFont="1"/>
    <xf numFmtId="0" fontId="10" fillId="0" borderId="0" xfId="15" quotePrefix="1" applyFont="1" applyFill="1" applyBorder="1"/>
    <xf numFmtId="171" fontId="13" fillId="0" borderId="0" xfId="15" applyNumberFormat="1" applyFont="1" applyFill="1" applyBorder="1"/>
    <xf numFmtId="37" fontId="9" fillId="0" borderId="0" xfId="27" applyNumberFormat="1" applyFont="1" applyBorder="1" applyAlignment="1" applyProtection="1">
      <alignment horizontal="center"/>
    </xf>
    <xf numFmtId="166" fontId="9" fillId="0" borderId="0" xfId="30" applyNumberFormat="1" applyFont="1" applyFill="1" applyBorder="1" applyAlignment="1"/>
    <xf numFmtId="166" fontId="13" fillId="0" borderId="0" xfId="30" applyNumberFormat="1" applyFont="1" applyFill="1" applyBorder="1" applyAlignment="1"/>
    <xf numFmtId="10" fontId="9" fillId="0" borderId="0" xfId="15" applyNumberFormat="1" applyFont="1"/>
    <xf numFmtId="197" fontId="9" fillId="0" borderId="0" xfId="15" applyNumberFormat="1" applyFont="1" applyFill="1" applyBorder="1" applyAlignment="1">
      <alignment horizontal="center"/>
    </xf>
    <xf numFmtId="7" fontId="9" fillId="0" borderId="0" xfId="15" applyNumberFormat="1" applyFont="1" applyFill="1" applyBorder="1"/>
    <xf numFmtId="7" fontId="9" fillId="0" borderId="1" xfId="15" applyNumberFormat="1" applyFont="1" applyFill="1" applyBorder="1"/>
    <xf numFmtId="0" fontId="9" fillId="0" borderId="0" xfId="15" applyFont="1" applyFill="1" applyBorder="1" applyAlignment="1">
      <alignment horizontal="right"/>
    </xf>
    <xf numFmtId="2" fontId="9" fillId="0" borderId="0" xfId="15" applyNumberFormat="1" applyFont="1" applyFill="1" applyBorder="1"/>
    <xf numFmtId="199" fontId="9" fillId="0" borderId="0" xfId="30" applyNumberFormat="1" applyFont="1" applyFill="1" applyBorder="1"/>
    <xf numFmtId="9" fontId="9" fillId="0" borderId="0" xfId="15" applyNumberFormat="1" applyFont="1" applyFill="1" applyBorder="1"/>
    <xf numFmtId="0" fontId="112" fillId="0" borderId="0" xfId="15" applyFont="1" applyFill="1" applyBorder="1"/>
    <xf numFmtId="7" fontId="112" fillId="0" borderId="0" xfId="15" applyNumberFormat="1" applyFont="1" applyFill="1" applyBorder="1"/>
    <xf numFmtId="190" fontId="112" fillId="0" borderId="0" xfId="30" applyNumberFormat="1" applyFont="1" applyFill="1" applyBorder="1"/>
    <xf numFmtId="199" fontId="112" fillId="0" borderId="0" xfId="30" applyNumberFormat="1" applyFont="1" applyFill="1" applyBorder="1"/>
    <xf numFmtId="175" fontId="9" fillId="0" borderId="0" xfId="8" applyNumberFormat="1" applyFont="1" applyFill="1" applyBorder="1"/>
    <xf numFmtId="0" fontId="9" fillId="0" borderId="1" xfId="15" applyFont="1" applyFill="1" applyBorder="1"/>
    <xf numFmtId="0" fontId="9" fillId="0" borderId="15" xfId="15" applyFont="1" applyFill="1" applyBorder="1" applyAlignment="1">
      <alignment horizontal="center"/>
    </xf>
    <xf numFmtId="167" fontId="9" fillId="0" borderId="16" xfId="15" applyNumberFormat="1" applyFont="1" applyFill="1" applyBorder="1"/>
    <xf numFmtId="13" fontId="9" fillId="0" borderId="0" xfId="15" applyNumberFormat="1" applyFont="1" applyFill="1" applyBorder="1"/>
    <xf numFmtId="10" fontId="9" fillId="8" borderId="0" xfId="15" applyNumberFormat="1" applyFont="1" applyFill="1"/>
    <xf numFmtId="7" fontId="9" fillId="8" borderId="0" xfId="15" applyNumberFormat="1" applyFont="1" applyFill="1" applyBorder="1"/>
    <xf numFmtId="175" fontId="9" fillId="8" borderId="0" xfId="8" applyNumberFormat="1" applyFont="1" applyFill="1" applyBorder="1"/>
    <xf numFmtId="175" fontId="38" fillId="8" borderId="0" xfId="8" applyNumberFormat="1" applyFont="1" applyFill="1" applyBorder="1"/>
    <xf numFmtId="10" fontId="28" fillId="0" borderId="0" xfId="15" applyNumberFormat="1" applyFont="1"/>
    <xf numFmtId="167" fontId="9" fillId="0" borderId="6" xfId="15" applyNumberFormat="1" applyFont="1" applyFill="1" applyBorder="1"/>
    <xf numFmtId="0" fontId="9" fillId="0" borderId="15" xfId="0" applyFont="1" applyBorder="1" applyAlignment="1">
      <alignment horizontal="center"/>
    </xf>
    <xf numFmtId="167" fontId="67" fillId="0" borderId="0" xfId="15" applyNumberFormat="1" applyFont="1" applyFill="1" applyBorder="1"/>
    <xf numFmtId="180" fontId="67" fillId="0" borderId="0" xfId="27" applyFont="1"/>
    <xf numFmtId="167" fontId="67" fillId="0" borderId="0" xfId="27" applyNumberFormat="1" applyFont="1" applyProtection="1"/>
    <xf numFmtId="0" fontId="67" fillId="0" borderId="0" xfId="15" applyFont="1" applyFill="1" applyBorder="1"/>
    <xf numFmtId="0" fontId="56" fillId="0" borderId="0" xfId="0" applyFont="1" applyFill="1"/>
    <xf numFmtId="40" fontId="67" fillId="0" borderId="0" xfId="15" applyNumberFormat="1" applyFont="1" applyFill="1" applyBorder="1"/>
    <xf numFmtId="166" fontId="67" fillId="0" borderId="0" xfId="30" applyNumberFormat="1" applyFont="1" applyFill="1" applyBorder="1"/>
    <xf numFmtId="37" fontId="38" fillId="0" borderId="0" xfId="0" applyNumberFormat="1" applyFont="1"/>
    <xf numFmtId="37" fontId="10" fillId="0" borderId="0" xfId="0" applyNumberFormat="1" applyFont="1" applyBorder="1"/>
    <xf numFmtId="37" fontId="10" fillId="0" borderId="0" xfId="0" applyNumberFormat="1" applyFont="1"/>
    <xf numFmtId="37" fontId="145" fillId="6" borderId="0" xfId="0" applyNumberFormat="1" applyFont="1" applyFill="1"/>
    <xf numFmtId="166" fontId="13" fillId="0" borderId="0" xfId="30" applyNumberFormat="1" applyFont="1"/>
    <xf numFmtId="190" fontId="10" fillId="0" borderId="0" xfId="30" applyNumberFormat="1" applyFont="1" applyBorder="1"/>
    <xf numFmtId="190" fontId="145" fillId="0" borderId="0" xfId="30" applyNumberFormat="1" applyFont="1" applyBorder="1"/>
    <xf numFmtId="203" fontId="9" fillId="0" borderId="2" xfId="15" applyNumberFormat="1" applyFont="1" applyFill="1" applyBorder="1"/>
    <xf numFmtId="204" fontId="9" fillId="0" borderId="2" xfId="15" applyNumberFormat="1" applyFont="1" applyFill="1" applyBorder="1"/>
    <xf numFmtId="195" fontId="9" fillId="0" borderId="0" xfId="0" applyNumberFormat="1" applyFont="1"/>
    <xf numFmtId="269" fontId="9" fillId="0" borderId="0" xfId="0" applyNumberFormat="1" applyFont="1"/>
    <xf numFmtId="38" fontId="9" fillId="0" borderId="2" xfId="0" applyNumberFormat="1" applyFont="1" applyBorder="1"/>
    <xf numFmtId="7" fontId="9" fillId="0" borderId="0" xfId="0" applyNumberFormat="1" applyFont="1"/>
    <xf numFmtId="5" fontId="9" fillId="0" borderId="0" xfId="0" applyNumberFormat="1" applyFont="1" applyBorder="1"/>
    <xf numFmtId="190" fontId="9" fillId="0" borderId="0" xfId="30" applyNumberFormat="1" applyFont="1"/>
    <xf numFmtId="190" fontId="9" fillId="0" borderId="2" xfId="30" applyNumberFormat="1" applyFont="1" applyBorder="1"/>
    <xf numFmtId="190" fontId="9" fillId="0" borderId="0" xfId="30" applyNumberFormat="1" applyFont="1" applyBorder="1"/>
    <xf numFmtId="5" fontId="25" fillId="0" borderId="0" xfId="0" applyNumberFormat="1" applyFont="1"/>
    <xf numFmtId="205" fontId="9" fillId="0" borderId="0" xfId="0" applyNumberFormat="1" applyFont="1"/>
    <xf numFmtId="205" fontId="9" fillId="0" borderId="0" xfId="0" applyNumberFormat="1" applyFont="1" applyBorder="1"/>
    <xf numFmtId="205" fontId="9" fillId="0" borderId="2" xfId="0" applyNumberFormat="1" applyFont="1" applyBorder="1"/>
    <xf numFmtId="190" fontId="9" fillId="0" borderId="0" xfId="0" applyNumberFormat="1" applyFont="1"/>
    <xf numFmtId="190" fontId="9" fillId="0" borderId="0" xfId="0" applyNumberFormat="1" applyFont="1" applyBorder="1"/>
    <xf numFmtId="190" fontId="9" fillId="0" borderId="2" xfId="0" applyNumberFormat="1" applyFont="1" applyBorder="1"/>
    <xf numFmtId="180" fontId="9" fillId="0" borderId="0" xfId="0" applyNumberFormat="1" applyFont="1"/>
    <xf numFmtId="180" fontId="9" fillId="0" borderId="0" xfId="0" applyNumberFormat="1" applyFont="1" applyBorder="1"/>
    <xf numFmtId="201" fontId="9" fillId="0" borderId="0" xfId="0" applyNumberFormat="1" applyFont="1" applyBorder="1"/>
    <xf numFmtId="201" fontId="13" fillId="0" borderId="0" xfId="0" applyNumberFormat="1" applyFont="1" applyBorder="1"/>
    <xf numFmtId="180" fontId="9" fillId="0" borderId="2" xfId="0" applyNumberFormat="1" applyFont="1" applyBorder="1"/>
    <xf numFmtId="38" fontId="9" fillId="6" borderId="0" xfId="0" applyNumberFormat="1" applyFont="1" applyFill="1"/>
    <xf numFmtId="38" fontId="9" fillId="0" borderId="0" xfId="0" applyNumberFormat="1" applyFont="1" applyFill="1"/>
    <xf numFmtId="201" fontId="13" fillId="0" borderId="0" xfId="0" applyNumberFormat="1" applyFont="1" applyFill="1" applyBorder="1"/>
    <xf numFmtId="170" fontId="12" fillId="0" borderId="0" xfId="0" applyNumberFormat="1" applyFont="1" applyBorder="1"/>
    <xf numFmtId="0" fontId="28" fillId="0" borderId="0" xfId="0" applyFont="1" applyAlignment="1" applyProtection="1">
      <alignment horizontal="left"/>
    </xf>
    <xf numFmtId="215" fontId="9" fillId="0" borderId="0" xfId="0" applyNumberFormat="1" applyFont="1"/>
    <xf numFmtId="0" fontId="23" fillId="0" borderId="2" xfId="0" applyFont="1" applyFill="1" applyBorder="1" applyAlignment="1">
      <alignment horizontal="center"/>
    </xf>
    <xf numFmtId="0" fontId="12" fillId="0" borderId="2" xfId="0" applyFont="1" applyFill="1" applyBorder="1" applyAlignment="1">
      <alignment horizontal="center"/>
    </xf>
    <xf numFmtId="0" fontId="12" fillId="0" borderId="2" xfId="0" applyFont="1" applyBorder="1" applyAlignment="1">
      <alignment horizontal="centerContinuous"/>
    </xf>
    <xf numFmtId="0" fontId="9" fillId="0" borderId="2" xfId="0" applyFont="1" applyBorder="1" applyAlignment="1">
      <alignment horizontal="centerContinuous"/>
    </xf>
    <xf numFmtId="0" fontId="9" fillId="0" borderId="2" xfId="0" applyFont="1" applyFill="1" applyBorder="1" applyAlignment="1">
      <alignment horizontal="centerContinuous"/>
    </xf>
    <xf numFmtId="0" fontId="9" fillId="0" borderId="0" xfId="0" applyFont="1" applyBorder="1" applyAlignment="1">
      <alignment horizontal="centerContinuous"/>
    </xf>
    <xf numFmtId="195" fontId="12" fillId="0" borderId="2" xfId="0" applyNumberFormat="1" applyFont="1" applyFill="1" applyBorder="1" applyAlignment="1">
      <alignment horizontal="center"/>
    </xf>
    <xf numFmtId="227" fontId="12" fillId="0" borderId="2" xfId="0" applyNumberFormat="1" applyFont="1" applyFill="1" applyBorder="1" applyAlignment="1">
      <alignment horizontal="center"/>
    </xf>
    <xf numFmtId="197" fontId="21" fillId="0" borderId="2" xfId="0" applyNumberFormat="1" applyFont="1" applyBorder="1" applyAlignment="1">
      <alignment horizontal="center"/>
    </xf>
    <xf numFmtId="197" fontId="21" fillId="0" borderId="0" xfId="0" applyNumberFormat="1" applyFont="1" applyBorder="1" applyAlignment="1">
      <alignment horizontal="center"/>
    </xf>
    <xf numFmtId="6" fontId="9" fillId="0" borderId="0" xfId="0" applyNumberFormat="1" applyFont="1"/>
    <xf numFmtId="225" fontId="9" fillId="0" borderId="0" xfId="8" applyNumberFormat="1" applyFont="1"/>
    <xf numFmtId="6" fontId="13" fillId="0" borderId="0" xfId="0" applyNumberFormat="1" applyFont="1"/>
    <xf numFmtId="6" fontId="13" fillId="0" borderId="0" xfId="0" applyNumberFormat="1" applyFont="1" applyFill="1"/>
    <xf numFmtId="6" fontId="9" fillId="0" borderId="0" xfId="0" applyNumberFormat="1" applyFont="1" applyFill="1"/>
    <xf numFmtId="201" fontId="9" fillId="0" borderId="0" xfId="0" applyNumberFormat="1" applyFont="1"/>
    <xf numFmtId="201" fontId="13" fillId="0" borderId="0" xfId="0" applyNumberFormat="1" applyFont="1"/>
    <xf numFmtId="201" fontId="13" fillId="0" borderId="0" xfId="0" applyNumberFormat="1" applyFont="1" applyFill="1"/>
    <xf numFmtId="200" fontId="9" fillId="0" borderId="0" xfId="0" applyNumberFormat="1" applyFont="1"/>
    <xf numFmtId="38" fontId="13" fillId="0" borderId="0" xfId="0" applyNumberFormat="1" applyFont="1"/>
    <xf numFmtId="37" fontId="13" fillId="0" borderId="0" xfId="0" applyNumberFormat="1" applyFont="1"/>
    <xf numFmtId="38" fontId="13" fillId="0" borderId="2" xfId="0" applyNumberFormat="1" applyFont="1" applyBorder="1"/>
    <xf numFmtId="37" fontId="13" fillId="0" borderId="2" xfId="0" applyNumberFormat="1" applyFont="1" applyBorder="1"/>
    <xf numFmtId="37" fontId="13" fillId="6" borderId="2" xfId="0" applyNumberFormat="1" applyFont="1" applyFill="1" applyBorder="1"/>
    <xf numFmtId="201" fontId="13" fillId="0" borderId="2" xfId="0" applyNumberFormat="1" applyFont="1" applyBorder="1"/>
    <xf numFmtId="201" fontId="13" fillId="0" borderId="2" xfId="0" applyNumberFormat="1" applyFont="1" applyFill="1" applyBorder="1"/>
    <xf numFmtId="169" fontId="13" fillId="0" borderId="0" xfId="0" applyNumberFormat="1" applyFont="1" applyBorder="1"/>
    <xf numFmtId="169" fontId="13" fillId="0" borderId="0" xfId="0" applyNumberFormat="1" applyFont="1" applyFill="1" applyBorder="1"/>
    <xf numFmtId="6" fontId="12" fillId="0" borderId="0" xfId="0" applyNumberFormat="1" applyFont="1"/>
    <xf numFmtId="6" fontId="12" fillId="0" borderId="0" xfId="0" applyNumberFormat="1" applyFont="1" applyFill="1"/>
    <xf numFmtId="171" fontId="9" fillId="0" borderId="0" xfId="0" applyNumberFormat="1" applyFont="1"/>
    <xf numFmtId="171" fontId="9" fillId="0" borderId="0" xfId="0" applyNumberFormat="1" applyFont="1" applyFill="1"/>
    <xf numFmtId="215" fontId="9" fillId="0" borderId="0" xfId="0" applyNumberFormat="1" applyFont="1" applyFill="1"/>
    <xf numFmtId="8" fontId="9" fillId="0" borderId="0" xfId="0" applyNumberFormat="1" applyFont="1"/>
    <xf numFmtId="38" fontId="13" fillId="0" borderId="0" xfId="0" applyNumberFormat="1" applyFont="1" applyFill="1"/>
    <xf numFmtId="204" fontId="9" fillId="0" borderId="0" xfId="0" applyNumberFormat="1" applyFont="1"/>
    <xf numFmtId="201" fontId="9" fillId="0" borderId="0" xfId="0" applyNumberFormat="1" applyFont="1" applyFill="1"/>
    <xf numFmtId="204" fontId="9" fillId="0" borderId="0" xfId="0" applyNumberFormat="1" applyFont="1" applyFill="1"/>
    <xf numFmtId="173" fontId="9" fillId="0" borderId="0" xfId="0" applyNumberFormat="1" applyFont="1"/>
    <xf numFmtId="173" fontId="9" fillId="0" borderId="0" xfId="0" applyNumberFormat="1" applyFont="1" applyFill="1"/>
    <xf numFmtId="164" fontId="9" fillId="0" borderId="0" xfId="0" applyNumberFormat="1" applyFont="1" applyFill="1"/>
    <xf numFmtId="203" fontId="9" fillId="0" borderId="0" xfId="0" applyNumberFormat="1" applyFont="1"/>
    <xf numFmtId="201" fontId="9" fillId="0" borderId="2" xfId="0" applyNumberFormat="1" applyFont="1" applyFill="1" applyBorder="1"/>
    <xf numFmtId="201" fontId="9" fillId="0" borderId="2" xfId="0" applyNumberFormat="1" applyFont="1" applyBorder="1"/>
    <xf numFmtId="0" fontId="12" fillId="0" borderId="13" xfId="0" applyFont="1" applyBorder="1"/>
    <xf numFmtId="6" fontId="12" fillId="0" borderId="5" xfId="0" applyNumberFormat="1" applyFont="1" applyBorder="1"/>
    <xf numFmtId="6" fontId="12" fillId="0" borderId="5" xfId="0" applyNumberFormat="1" applyFont="1" applyFill="1" applyBorder="1"/>
    <xf numFmtId="6" fontId="12" fillId="0" borderId="0" xfId="0" applyNumberFormat="1" applyFont="1" applyBorder="1"/>
    <xf numFmtId="171" fontId="9" fillId="0" borderId="0" xfId="0" applyNumberFormat="1" applyFont="1" applyBorder="1"/>
    <xf numFmtId="171" fontId="9" fillId="0" borderId="0" xfId="0" applyNumberFormat="1" applyFont="1" applyFill="1" applyBorder="1"/>
    <xf numFmtId="203" fontId="9" fillId="0" borderId="0" xfId="0" applyNumberFormat="1" applyFont="1" applyFill="1"/>
    <xf numFmtId="0" fontId="23" fillId="0" borderId="2" xfId="0" applyFont="1" applyBorder="1" applyAlignment="1">
      <alignment horizontal="center"/>
    </xf>
    <xf numFmtId="0" fontId="10" fillId="0" borderId="2" xfId="0" applyFont="1" applyBorder="1"/>
    <xf numFmtId="0" fontId="10" fillId="0" borderId="2" xfId="0" applyFont="1" applyBorder="1" applyAlignment="1">
      <alignment horizontal="centerContinuous"/>
    </xf>
    <xf numFmtId="0" fontId="10" fillId="0" borderId="2" xfId="0" applyFont="1" applyFill="1" applyBorder="1" applyAlignment="1">
      <alignment horizontal="centerContinuous"/>
    </xf>
    <xf numFmtId="8" fontId="10" fillId="0" borderId="2" xfId="0" applyNumberFormat="1" applyFont="1" applyBorder="1" applyAlignment="1">
      <alignment horizontal="centerContinuous"/>
    </xf>
    <xf numFmtId="0" fontId="10" fillId="0" borderId="0" xfId="0" applyFont="1" applyBorder="1" applyAlignment="1">
      <alignment horizontal="centerContinuous"/>
    </xf>
    <xf numFmtId="0" fontId="13" fillId="0" borderId="0" xfId="0" applyFont="1"/>
    <xf numFmtId="6" fontId="9" fillId="0" borderId="0" xfId="0" applyNumberFormat="1" applyFont="1" applyBorder="1"/>
    <xf numFmtId="6" fontId="9" fillId="0" borderId="0" xfId="0" applyNumberFormat="1" applyFont="1" applyFill="1" applyBorder="1"/>
    <xf numFmtId="201" fontId="9" fillId="0" borderId="0" xfId="0" applyNumberFormat="1" applyFont="1" applyAlignment="1">
      <alignment horizontal="center"/>
    </xf>
    <xf numFmtId="201" fontId="9" fillId="0" borderId="0" xfId="8" applyNumberFormat="1" applyFont="1"/>
    <xf numFmtId="201" fontId="9" fillId="0" borderId="0" xfId="8" applyNumberFormat="1" applyFont="1" applyFill="1"/>
    <xf numFmtId="0" fontId="105" fillId="0" borderId="0" xfId="0" applyFont="1"/>
    <xf numFmtId="176" fontId="9" fillId="0" borderId="0" xfId="0" applyNumberFormat="1" applyFont="1"/>
    <xf numFmtId="43" fontId="105" fillId="0" borderId="0" xfId="8" applyFont="1" applyFill="1"/>
    <xf numFmtId="0" fontId="105" fillId="0" borderId="0" xfId="0" applyFont="1" applyFill="1"/>
    <xf numFmtId="225" fontId="105" fillId="0" borderId="0" xfId="8" applyNumberFormat="1" applyFont="1" applyFill="1"/>
    <xf numFmtId="225" fontId="9" fillId="0" borderId="0" xfId="8" applyNumberFormat="1" applyFont="1" applyFill="1"/>
    <xf numFmtId="174" fontId="9" fillId="0" borderId="0" xfId="0" applyNumberFormat="1" applyFont="1"/>
    <xf numFmtId="184" fontId="9" fillId="5" borderId="0" xfId="8" applyNumberFormat="1" applyFont="1" applyFill="1"/>
    <xf numFmtId="0" fontId="9" fillId="5" borderId="0" xfId="0" applyFont="1" applyFill="1"/>
    <xf numFmtId="184" fontId="9" fillId="0" borderId="0" xfId="8" applyNumberFormat="1" applyFont="1"/>
    <xf numFmtId="43" fontId="9" fillId="0" borderId="0" xfId="0" applyNumberFormat="1" applyFont="1" applyFill="1"/>
    <xf numFmtId="40" fontId="9" fillId="0" borderId="0" xfId="0" applyNumberFormat="1" applyFont="1"/>
    <xf numFmtId="169" fontId="9" fillId="0" borderId="0" xfId="0" applyNumberFormat="1" applyFont="1"/>
    <xf numFmtId="40" fontId="9" fillId="0" borderId="0" xfId="0" applyNumberFormat="1" applyFont="1" applyBorder="1"/>
    <xf numFmtId="0" fontId="146" fillId="0" borderId="45" xfId="0" applyFont="1" applyFill="1" applyBorder="1"/>
    <xf numFmtId="0" fontId="146" fillId="0" borderId="45" xfId="0" applyFont="1" applyBorder="1"/>
    <xf numFmtId="0" fontId="146" fillId="0" borderId="0" xfId="0" applyFont="1" applyBorder="1"/>
    <xf numFmtId="0" fontId="146" fillId="0" borderId="0" xfId="0" applyFont="1" applyFill="1"/>
    <xf numFmtId="0" fontId="146" fillId="0" borderId="0" xfId="0" applyFont="1" applyFill="1" applyBorder="1"/>
    <xf numFmtId="175" fontId="146" fillId="0" borderId="0" xfId="8" applyNumberFormat="1" applyFont="1" applyFill="1" applyBorder="1"/>
    <xf numFmtId="175" fontId="147" fillId="0" borderId="0" xfId="8" applyNumberFormat="1" applyFont="1" applyFill="1" applyBorder="1"/>
    <xf numFmtId="38" fontId="146" fillId="0" borderId="0" xfId="0" applyNumberFormat="1" applyFont="1" applyFill="1" applyBorder="1"/>
    <xf numFmtId="0" fontId="146" fillId="0" borderId="0" xfId="0" applyFont="1"/>
    <xf numFmtId="9" fontId="9" fillId="0" borderId="0" xfId="30" applyFont="1" applyBorder="1"/>
    <xf numFmtId="1" fontId="146" fillId="0" borderId="0" xfId="0" applyNumberFormat="1" applyFont="1" applyBorder="1"/>
    <xf numFmtId="38" fontId="147" fillId="0" borderId="0" xfId="0" applyNumberFormat="1" applyFont="1" applyBorder="1"/>
    <xf numFmtId="38" fontId="146" fillId="0" borderId="0" xfId="0" applyNumberFormat="1" applyFont="1" applyBorder="1"/>
    <xf numFmtId="0" fontId="45" fillId="0" borderId="0" xfId="0" applyFont="1" applyAlignment="1" applyProtection="1">
      <alignment horizontal="left"/>
    </xf>
    <xf numFmtId="195" fontId="21" fillId="0" borderId="2" xfId="0" applyNumberFormat="1" applyFont="1" applyBorder="1" applyAlignment="1">
      <alignment horizontal="center"/>
    </xf>
    <xf numFmtId="197" fontId="21" fillId="0" borderId="0" xfId="0" applyNumberFormat="1" applyFont="1" applyAlignment="1">
      <alignment horizontal="center"/>
    </xf>
    <xf numFmtId="37" fontId="23" fillId="0" borderId="0" xfId="24" applyFont="1" applyAlignment="1" applyProtection="1">
      <alignment horizontal="left"/>
    </xf>
    <xf numFmtId="37" fontId="9" fillId="0" borderId="0" xfId="24" applyFont="1" applyAlignment="1" applyProtection="1">
      <alignment horizontal="left"/>
    </xf>
    <xf numFmtId="5" fontId="9" fillId="0" borderId="0" xfId="0" applyNumberFormat="1" applyFont="1" applyFill="1"/>
    <xf numFmtId="5" fontId="13" fillId="0" borderId="0" xfId="0" applyNumberFormat="1" applyFont="1" applyFill="1"/>
    <xf numFmtId="172" fontId="9" fillId="0" borderId="0" xfId="0" applyNumberFormat="1" applyFont="1" applyFill="1"/>
    <xf numFmtId="37" fontId="13" fillId="0" borderId="0" xfId="0" applyNumberFormat="1" applyFont="1" applyFill="1"/>
    <xf numFmtId="37" fontId="9" fillId="0" borderId="0" xfId="0" applyNumberFormat="1" applyFont="1" applyFill="1"/>
    <xf numFmtId="37" fontId="13" fillId="0" borderId="2" xfId="0" applyNumberFormat="1" applyFont="1" applyFill="1" applyBorder="1"/>
    <xf numFmtId="37" fontId="9" fillId="0" borderId="0" xfId="24" applyFont="1"/>
    <xf numFmtId="5" fontId="13" fillId="0" borderId="0" xfId="0" applyNumberFormat="1" applyFont="1" applyFill="1" applyBorder="1"/>
    <xf numFmtId="37" fontId="13" fillId="0" borderId="0" xfId="0" applyNumberFormat="1" applyFont="1" applyFill="1" applyBorder="1"/>
    <xf numFmtId="5" fontId="9" fillId="0" borderId="0" xfId="24" applyNumberFormat="1" applyFont="1" applyAlignment="1" applyProtection="1">
      <alignment horizontal="left"/>
    </xf>
    <xf numFmtId="167" fontId="13" fillId="0" borderId="2" xfId="0" applyNumberFormat="1" applyFont="1" applyBorder="1"/>
    <xf numFmtId="164" fontId="13" fillId="0" borderId="0" xfId="0" applyNumberFormat="1" applyFont="1"/>
    <xf numFmtId="167" fontId="13" fillId="0" borderId="2" xfId="0" applyNumberFormat="1" applyFont="1" applyFill="1" applyBorder="1"/>
    <xf numFmtId="167" fontId="13" fillId="0" borderId="0" xfId="0" applyNumberFormat="1" applyFont="1"/>
    <xf numFmtId="167" fontId="13" fillId="0" borderId="0" xfId="0" applyNumberFormat="1" applyFont="1" applyFill="1"/>
    <xf numFmtId="6" fontId="9" fillId="0" borderId="5" xfId="0" applyNumberFormat="1" applyFont="1" applyBorder="1"/>
    <xf numFmtId="6" fontId="9" fillId="0" borderId="5" xfId="0" applyNumberFormat="1" applyFont="1" applyFill="1" applyBorder="1"/>
    <xf numFmtId="0" fontId="23" fillId="0" borderId="0" xfId="0" applyFont="1"/>
    <xf numFmtId="167" fontId="9" fillId="0" borderId="0" xfId="0" applyNumberFormat="1" applyFont="1"/>
    <xf numFmtId="37" fontId="13" fillId="0" borderId="0" xfId="0" applyNumberFormat="1" applyFont="1" applyBorder="1"/>
    <xf numFmtId="37" fontId="9" fillId="0" borderId="0" xfId="0" applyNumberFormat="1" applyFont="1" applyFill="1" applyBorder="1"/>
    <xf numFmtId="37" fontId="9" fillId="0" borderId="2" xfId="0" applyNumberFormat="1" applyFont="1" applyFill="1" applyBorder="1"/>
    <xf numFmtId="5" fontId="9" fillId="0" borderId="2" xfId="0" applyNumberFormat="1" applyFont="1" applyFill="1" applyBorder="1"/>
    <xf numFmtId="38" fontId="13" fillId="0" borderId="0" xfId="0" applyNumberFormat="1" applyFont="1" applyFill="1" applyBorder="1"/>
    <xf numFmtId="38" fontId="13" fillId="0" borderId="0" xfId="0" applyNumberFormat="1" applyFont="1" applyBorder="1"/>
    <xf numFmtId="38" fontId="9" fillId="0" borderId="0" xfId="0" applyNumberFormat="1" applyFont="1" applyFill="1" applyBorder="1"/>
    <xf numFmtId="38" fontId="13" fillId="0" borderId="2" xfId="0" applyNumberFormat="1" applyFont="1" applyFill="1" applyBorder="1"/>
    <xf numFmtId="224" fontId="9" fillId="0" borderId="0" xfId="0" applyNumberFormat="1" applyFont="1" applyFill="1"/>
    <xf numFmtId="270" fontId="9" fillId="0" borderId="0" xfId="0" applyNumberFormat="1" applyFont="1"/>
    <xf numFmtId="0" fontId="9" fillId="0" borderId="0" xfId="0" applyFont="1" applyAlignment="1">
      <alignment horizontal="right"/>
    </xf>
    <xf numFmtId="0" fontId="9" fillId="0" borderId="0" xfId="0" applyFont="1" applyFill="1" applyAlignment="1">
      <alignment horizontal="right"/>
    </xf>
    <xf numFmtId="242" fontId="9" fillId="0" borderId="0" xfId="0" applyNumberFormat="1" applyFont="1"/>
    <xf numFmtId="182" fontId="9" fillId="0" borderId="0" xfId="0" applyNumberFormat="1" applyFont="1"/>
    <xf numFmtId="182" fontId="9" fillId="0" borderId="0" xfId="0" applyNumberFormat="1" applyFont="1" applyFill="1"/>
    <xf numFmtId="164" fontId="9" fillId="0" borderId="0" xfId="0" applyNumberFormat="1" applyFont="1"/>
    <xf numFmtId="165" fontId="9" fillId="0" borderId="0" xfId="0" applyNumberFormat="1" applyFont="1"/>
    <xf numFmtId="0" fontId="25" fillId="0" borderId="0" xfId="0" applyFont="1" applyFill="1"/>
    <xf numFmtId="170" fontId="25" fillId="0" borderId="0" xfId="0" applyNumberFormat="1" applyFont="1" applyFill="1"/>
    <xf numFmtId="7" fontId="9" fillId="0" borderId="0" xfId="0" applyNumberFormat="1" applyFont="1" applyFill="1"/>
    <xf numFmtId="2" fontId="146" fillId="0" borderId="0" xfId="0" applyNumberFormat="1" applyFont="1" applyFill="1" applyAlignment="1">
      <alignment horizontal="center"/>
    </xf>
    <xf numFmtId="2" fontId="146" fillId="0" borderId="0" xfId="0" applyNumberFormat="1" applyFont="1" applyAlignment="1">
      <alignment horizontal="center"/>
    </xf>
    <xf numFmtId="175" fontId="146" fillId="0" borderId="0" xfId="8" applyNumberFormat="1" applyFont="1" applyBorder="1"/>
    <xf numFmtId="177" fontId="146" fillId="0" borderId="0" xfId="8" applyNumberFormat="1" applyFont="1" applyBorder="1"/>
    <xf numFmtId="175" fontId="9" fillId="0" borderId="0" xfId="0" applyNumberFormat="1" applyFont="1" applyBorder="1"/>
    <xf numFmtId="43" fontId="146" fillId="0" borderId="0" xfId="8" applyFont="1" applyFill="1" applyBorder="1"/>
    <xf numFmtId="43" fontId="9" fillId="0" borderId="0" xfId="8" applyFont="1" applyBorder="1"/>
    <xf numFmtId="43" fontId="146" fillId="0" borderId="0" xfId="8" applyFont="1" applyBorder="1"/>
    <xf numFmtId="43" fontId="147" fillId="0" borderId="0" xfId="8" applyFont="1" applyFill="1" applyBorder="1"/>
    <xf numFmtId="43" fontId="147" fillId="0" borderId="0" xfId="8" applyFont="1" applyBorder="1"/>
    <xf numFmtId="0" fontId="35" fillId="0" borderId="0" xfId="0" applyFont="1" applyBorder="1" applyAlignment="1">
      <alignment horizontal="center"/>
    </xf>
    <xf numFmtId="0" fontId="35" fillId="0" borderId="13" xfId="0" applyFont="1" applyBorder="1" applyAlignment="1">
      <alignment horizontal="centerContinuous"/>
    </xf>
    <xf numFmtId="0" fontId="35" fillId="0" borderId="5" xfId="0" applyFont="1" applyBorder="1" applyAlignment="1">
      <alignment horizontal="centerContinuous"/>
    </xf>
    <xf numFmtId="0" fontId="148" fillId="0" borderId="0" xfId="0" applyFont="1" applyBorder="1" applyAlignment="1">
      <alignment horizontal="centerContinuous"/>
    </xf>
    <xf numFmtId="0" fontId="35" fillId="0" borderId="2" xfId="0" applyFont="1" applyBorder="1" applyAlignment="1">
      <alignment horizontal="center"/>
    </xf>
    <xf numFmtId="0" fontId="149" fillId="0" borderId="0" xfId="0" applyFont="1" applyBorder="1" applyAlignment="1">
      <alignment horizontal="center"/>
    </xf>
    <xf numFmtId="0" fontId="11" fillId="0" borderId="0" xfId="0" applyFont="1" applyAlignment="1"/>
    <xf numFmtId="192" fontId="34" fillId="0" borderId="0" xfId="30" applyNumberFormat="1" applyFont="1" applyAlignment="1">
      <alignment horizontal="center"/>
    </xf>
    <xf numFmtId="196" fontId="34" fillId="0" borderId="0" xfId="0" applyNumberFormat="1" applyFont="1" applyFill="1" applyAlignment="1">
      <alignment horizontal="center"/>
    </xf>
    <xf numFmtId="196" fontId="52" fillId="0" borderId="0" xfId="0" applyNumberFormat="1" applyFont="1" applyFill="1" applyAlignment="1">
      <alignment horizontal="center"/>
    </xf>
    <xf numFmtId="196" fontId="52" fillId="7" borderId="0" xfId="0" applyNumberFormat="1" applyFont="1" applyFill="1" applyAlignment="1">
      <alignment horizontal="centerContinuous"/>
    </xf>
    <xf numFmtId="0" fontId="11" fillId="7" borderId="0" xfId="0" applyFont="1" applyFill="1" applyAlignment="1">
      <alignment horizontal="centerContinuous"/>
    </xf>
    <xf numFmtId="192" fontId="34" fillId="0" borderId="0" xfId="30" applyNumberFormat="1" applyFont="1"/>
    <xf numFmtId="196" fontId="34" fillId="0" borderId="0" xfId="0" applyNumberFormat="1" applyFont="1" applyFill="1" applyAlignment="1">
      <alignment horizontal="left"/>
    </xf>
    <xf numFmtId="6" fontId="18" fillId="0" borderId="0" xfId="0" applyNumberFormat="1" applyFont="1"/>
    <xf numFmtId="5" fontId="18" fillId="0" borderId="0" xfId="0" applyNumberFormat="1" applyFont="1" applyAlignment="1">
      <alignment horizontal="right"/>
    </xf>
    <xf numFmtId="185" fontId="27" fillId="0" borderId="0" xfId="0" applyNumberFormat="1" applyFont="1" applyBorder="1"/>
    <xf numFmtId="37" fontId="27" fillId="0" borderId="0" xfId="0" applyNumberFormat="1" applyFont="1"/>
    <xf numFmtId="185" fontId="27" fillId="0" borderId="0" xfId="0" applyNumberFormat="1" applyFont="1" applyFill="1" applyBorder="1"/>
    <xf numFmtId="37" fontId="18" fillId="0" borderId="2" xfId="0" applyNumberFormat="1" applyFont="1" applyBorder="1" applyAlignment="1">
      <alignment horizontal="right"/>
    </xf>
    <xf numFmtId="37" fontId="37" fillId="0" borderId="0" xfId="30" applyNumberFormat="1" applyFont="1"/>
    <xf numFmtId="37" fontId="37" fillId="0" borderId="0" xfId="0" applyNumberFormat="1" applyFont="1" applyFill="1" applyAlignment="1">
      <alignment horizontal="left"/>
    </xf>
    <xf numFmtId="192" fontId="37" fillId="0" borderId="0" xfId="30" applyNumberFormat="1" applyFont="1" applyAlignment="1">
      <alignment horizontal="right"/>
    </xf>
    <xf numFmtId="37" fontId="18" fillId="0" borderId="0" xfId="0" applyNumberFormat="1" applyFont="1" applyFill="1"/>
    <xf numFmtId="185" fontId="27" fillId="0" borderId="0" xfId="0" applyNumberFormat="1" applyFont="1"/>
    <xf numFmtId="37" fontId="32" fillId="0" borderId="0" xfId="0" applyNumberFormat="1" applyFont="1" applyAlignment="1">
      <alignment horizontal="right"/>
    </xf>
    <xf numFmtId="192" fontId="150" fillId="0" borderId="0" xfId="30" applyNumberFormat="1" applyFont="1"/>
    <xf numFmtId="196" fontId="150" fillId="0" borderId="0" xfId="0" applyNumberFormat="1" applyFont="1" applyFill="1" applyAlignment="1">
      <alignment horizontal="left"/>
    </xf>
    <xf numFmtId="192" fontId="150" fillId="0" borderId="0" xfId="30" applyNumberFormat="1" applyFont="1" applyAlignment="1">
      <alignment horizontal="right"/>
    </xf>
    <xf numFmtId="0" fontId="32" fillId="0" borderId="0" xfId="0" applyFont="1"/>
    <xf numFmtId="196" fontId="37" fillId="0" borderId="0" xfId="0" applyNumberFormat="1" applyFont="1" applyFill="1" applyAlignment="1">
      <alignment horizontal="left"/>
    </xf>
    <xf numFmtId="0" fontId="44" fillId="0" borderId="0" xfId="0" applyFont="1"/>
    <xf numFmtId="37" fontId="44" fillId="0" borderId="0" xfId="0" applyNumberFormat="1" applyFont="1"/>
    <xf numFmtId="192" fontId="37" fillId="0" borderId="0" xfId="30" applyNumberFormat="1" applyFont="1"/>
    <xf numFmtId="5" fontId="18" fillId="0" borderId="0" xfId="0" applyNumberFormat="1" applyFont="1" applyBorder="1"/>
    <xf numFmtId="196" fontId="34" fillId="0" borderId="0" xfId="0" applyNumberFormat="1" applyFont="1" applyFill="1" applyBorder="1" applyAlignment="1">
      <alignment horizontal="left"/>
    </xf>
    <xf numFmtId="5" fontId="5" fillId="0" borderId="0" xfId="0" applyNumberFormat="1" applyFont="1" applyBorder="1"/>
    <xf numFmtId="196" fontId="151" fillId="0" borderId="0" xfId="0" applyNumberFormat="1" applyFont="1" applyFill="1" applyAlignment="1">
      <alignment horizontal="center"/>
    </xf>
    <xf numFmtId="185" fontId="143" fillId="0" borderId="0" xfId="0" applyNumberFormat="1" applyFont="1" applyBorder="1"/>
    <xf numFmtId="0" fontId="22" fillId="0" borderId="0" xfId="0" applyFont="1" applyAlignment="1">
      <alignment horizontal="center"/>
    </xf>
    <xf numFmtId="38" fontId="18" fillId="0" borderId="0" xfId="0" applyNumberFormat="1" applyFont="1" applyBorder="1"/>
    <xf numFmtId="185" fontId="143" fillId="0" borderId="0" xfId="0" applyNumberFormat="1" applyFont="1"/>
    <xf numFmtId="38" fontId="18" fillId="0" borderId="2" xfId="0" applyNumberFormat="1" applyFont="1" applyBorder="1"/>
    <xf numFmtId="8" fontId="18" fillId="0" borderId="0" xfId="0" applyNumberFormat="1" applyFont="1"/>
    <xf numFmtId="10" fontId="5" fillId="0" borderId="0" xfId="30" applyNumberFormat="1" applyFont="1"/>
    <xf numFmtId="6" fontId="36" fillId="0" borderId="0" xfId="0" applyNumberFormat="1" applyFont="1"/>
    <xf numFmtId="6" fontId="36" fillId="0" borderId="0" xfId="0" applyNumberFormat="1" applyFont="1" applyFill="1"/>
    <xf numFmtId="192" fontId="152" fillId="0" borderId="0" xfId="30" applyNumberFormat="1" applyFont="1" applyAlignment="1">
      <alignment horizontal="right"/>
    </xf>
    <xf numFmtId="248" fontId="5" fillId="0" borderId="0" xfId="8" applyNumberFormat="1" applyFont="1"/>
    <xf numFmtId="0" fontId="153" fillId="6" borderId="0" xfId="0" applyFont="1" applyFill="1" applyAlignment="1">
      <alignment horizontal="center"/>
    </xf>
    <xf numFmtId="223" fontId="5" fillId="0" borderId="0" xfId="0" applyNumberFormat="1" applyFont="1"/>
    <xf numFmtId="43" fontId="154" fillId="0" borderId="0" xfId="8" applyNumberFormat="1" applyFont="1"/>
    <xf numFmtId="184" fontId="5" fillId="0" borderId="0" xfId="8" applyNumberFormat="1" applyFont="1"/>
    <xf numFmtId="37" fontId="5" fillId="6" borderId="0" xfId="0" applyNumberFormat="1" applyFont="1" applyFill="1" applyAlignment="1">
      <alignment horizontal="right"/>
    </xf>
    <xf numFmtId="192" fontId="34" fillId="0" borderId="0" xfId="30" applyNumberFormat="1" applyFont="1" applyAlignment="1">
      <alignment horizontal="right"/>
    </xf>
    <xf numFmtId="6" fontId="18" fillId="0" borderId="0" xfId="0" applyNumberFormat="1" applyFont="1" applyFill="1"/>
    <xf numFmtId="177" fontId="18" fillId="0" borderId="0" xfId="8" applyNumberFormat="1" applyFont="1" applyFill="1"/>
    <xf numFmtId="185" fontId="18" fillId="0" borderId="0" xfId="0" applyNumberFormat="1" applyFont="1" applyFill="1"/>
    <xf numFmtId="177" fontId="18" fillId="0" borderId="2" xfId="8" applyNumberFormat="1" applyFont="1" applyFill="1" applyBorder="1"/>
    <xf numFmtId="37" fontId="5" fillId="0" borderId="0" xfId="0" applyNumberFormat="1" applyFont="1" applyFill="1"/>
    <xf numFmtId="192" fontId="34" fillId="0" borderId="0" xfId="30" applyNumberFormat="1" applyFont="1" applyFill="1"/>
    <xf numFmtId="9" fontId="18" fillId="0" borderId="2" xfId="30" applyFont="1" applyBorder="1"/>
    <xf numFmtId="37" fontId="5" fillId="6" borderId="0" xfId="0" applyNumberFormat="1" applyFont="1" applyFill="1"/>
    <xf numFmtId="192" fontId="34" fillId="6" borderId="0" xfId="30" applyNumberFormat="1" applyFont="1" applyFill="1"/>
    <xf numFmtId="196" fontId="34" fillId="6" borderId="0" xfId="0" applyNumberFormat="1" applyFont="1" applyFill="1" applyAlignment="1">
      <alignment horizontal="left"/>
    </xf>
    <xf numFmtId="37" fontId="18" fillId="6" borderId="0" xfId="0" applyNumberFormat="1" applyFont="1" applyFill="1"/>
    <xf numFmtId="196" fontId="5" fillId="6" borderId="0" xfId="0" applyNumberFormat="1" applyFont="1" applyFill="1"/>
    <xf numFmtId="9" fontId="18" fillId="0" borderId="0" xfId="30" applyFont="1" applyBorder="1"/>
    <xf numFmtId="6" fontId="18" fillId="0" borderId="0" xfId="0" applyNumberFormat="1" applyFont="1" applyBorder="1"/>
    <xf numFmtId="9" fontId="34" fillId="0" borderId="0" xfId="30" applyFont="1" applyFill="1"/>
    <xf numFmtId="9" fontId="11" fillId="0" borderId="0" xfId="30" applyFont="1"/>
    <xf numFmtId="223" fontId="34" fillId="0" borderId="0" xfId="0" applyNumberFormat="1" applyFont="1" applyFill="1" applyAlignment="1">
      <alignment horizontal="left"/>
    </xf>
    <xf numFmtId="196" fontId="5" fillId="0" borderId="0" xfId="0" applyNumberFormat="1" applyFont="1" applyFill="1"/>
    <xf numFmtId="6" fontId="18" fillId="0" borderId="0" xfId="0" quotePrefix="1" applyNumberFormat="1" applyFont="1" applyFill="1"/>
    <xf numFmtId="192" fontId="87" fillId="0" borderId="0" xfId="30" applyNumberFormat="1" applyFont="1"/>
    <xf numFmtId="196" fontId="87" fillId="0" borderId="0" xfId="0" applyNumberFormat="1" applyFont="1" applyFill="1" applyAlignment="1">
      <alignment horizontal="left"/>
    </xf>
    <xf numFmtId="38" fontId="18" fillId="0" borderId="0" xfId="0" applyNumberFormat="1" applyFont="1" applyFill="1" applyBorder="1"/>
    <xf numFmtId="196" fontId="34" fillId="0" borderId="0" xfId="0" applyNumberFormat="1" applyFont="1" applyFill="1" applyAlignment="1">
      <alignment horizontal="right"/>
    </xf>
    <xf numFmtId="185" fontId="101" fillId="0" borderId="0" xfId="0" applyNumberFormat="1" applyFont="1"/>
    <xf numFmtId="192" fontId="155" fillId="0" borderId="0" xfId="30" applyNumberFormat="1" applyFont="1"/>
    <xf numFmtId="196" fontId="155" fillId="0" borderId="0" xfId="0" applyNumberFormat="1" applyFont="1" applyFill="1" applyAlignment="1">
      <alignment horizontal="left"/>
    </xf>
    <xf numFmtId="202" fontId="34" fillId="0" borderId="0" xfId="30" applyNumberFormat="1" applyFont="1"/>
    <xf numFmtId="37" fontId="101" fillId="0" borderId="0" xfId="0" applyNumberFormat="1" applyFont="1"/>
    <xf numFmtId="255" fontId="5" fillId="0" borderId="0" xfId="0" applyNumberFormat="1" applyFont="1"/>
    <xf numFmtId="185" fontId="156" fillId="0" borderId="0" xfId="0" applyNumberFormat="1" applyFont="1" applyBorder="1"/>
    <xf numFmtId="185" fontId="101" fillId="0" borderId="2" xfId="0" applyNumberFormat="1" applyFont="1" applyBorder="1"/>
    <xf numFmtId="37" fontId="101" fillId="0" borderId="2" xfId="0" applyNumberFormat="1" applyFont="1" applyBorder="1"/>
    <xf numFmtId="0" fontId="5" fillId="5" borderId="0" xfId="0" applyFont="1" applyFill="1" applyAlignment="1">
      <alignment horizontal="left"/>
    </xf>
    <xf numFmtId="0" fontId="5" fillId="5" borderId="0" xfId="0" applyFont="1" applyFill="1"/>
    <xf numFmtId="9" fontId="5" fillId="5" borderId="0" xfId="30" applyFont="1" applyFill="1"/>
    <xf numFmtId="192" fontId="34" fillId="5" borderId="0" xfId="30" applyNumberFormat="1" applyFont="1" applyFill="1"/>
    <xf numFmtId="196" fontId="34" fillId="5" borderId="0" xfId="0" applyNumberFormat="1" applyFont="1" applyFill="1" applyAlignment="1">
      <alignment horizontal="left"/>
    </xf>
    <xf numFmtId="37" fontId="5" fillId="5" borderId="0" xfId="0" applyNumberFormat="1" applyFont="1" applyFill="1"/>
    <xf numFmtId="9" fontId="34" fillId="5" borderId="0" xfId="30" applyFont="1" applyFill="1" applyAlignment="1">
      <alignment horizontal="left"/>
    </xf>
    <xf numFmtId="192" fontId="34" fillId="5" borderId="0" xfId="30" applyNumberFormat="1" applyFont="1" applyFill="1" applyAlignment="1">
      <alignment horizontal="right"/>
    </xf>
    <xf numFmtId="185" fontId="18" fillId="5" borderId="0" xfId="0" applyNumberFormat="1" applyFont="1" applyFill="1"/>
    <xf numFmtId="9" fontId="101" fillId="5" borderId="0" xfId="30" applyFont="1" applyFill="1"/>
    <xf numFmtId="185" fontId="101" fillId="5" borderId="0" xfId="0" applyNumberFormat="1" applyFont="1" applyFill="1"/>
    <xf numFmtId="37" fontId="101" fillId="5" borderId="0" xfId="0" applyNumberFormat="1" applyFont="1" applyFill="1"/>
    <xf numFmtId="192" fontId="155" fillId="5" borderId="0" xfId="30" applyNumberFormat="1" applyFont="1" applyFill="1"/>
    <xf numFmtId="196" fontId="155" fillId="5" borderId="0" xfId="0" applyNumberFormat="1" applyFont="1" applyFill="1" applyAlignment="1">
      <alignment horizontal="left"/>
    </xf>
    <xf numFmtId="37" fontId="18" fillId="5" borderId="0" xfId="0" applyNumberFormat="1" applyFont="1" applyFill="1"/>
    <xf numFmtId="9" fontId="34" fillId="0" borderId="0" xfId="30" applyFont="1"/>
    <xf numFmtId="196" fontId="5" fillId="0" borderId="0" xfId="0" applyNumberFormat="1" applyFont="1"/>
    <xf numFmtId="172" fontId="101" fillId="0" borderId="0" xfId="0" applyNumberFormat="1" applyFont="1"/>
    <xf numFmtId="43" fontId="157" fillId="0" borderId="0" xfId="8" applyNumberFormat="1" applyFont="1"/>
    <xf numFmtId="185" fontId="107" fillId="0" borderId="0" xfId="0" applyNumberFormat="1" applyFont="1"/>
    <xf numFmtId="192" fontId="158" fillId="0" borderId="0" xfId="30" applyNumberFormat="1" applyFont="1"/>
    <xf numFmtId="196" fontId="158" fillId="0" borderId="0" xfId="0" applyNumberFormat="1" applyFont="1" applyFill="1" applyAlignment="1">
      <alignment horizontal="left"/>
    </xf>
    <xf numFmtId="6" fontId="107" fillId="0" borderId="0" xfId="0" applyNumberFormat="1" applyFont="1" applyFill="1"/>
    <xf numFmtId="192" fontId="158" fillId="0" borderId="0" xfId="30" applyNumberFormat="1" applyFont="1" applyFill="1"/>
    <xf numFmtId="38" fontId="107" fillId="0" borderId="0" xfId="0" applyNumberFormat="1" applyFont="1" applyFill="1" applyBorder="1"/>
    <xf numFmtId="196" fontId="151" fillId="6" borderId="0" xfId="0" applyNumberFormat="1" applyFont="1" applyFill="1" applyAlignment="1">
      <alignment horizontal="center"/>
    </xf>
    <xf numFmtId="38" fontId="5" fillId="6" borderId="0" xfId="0" applyNumberFormat="1" applyFont="1" applyFill="1"/>
    <xf numFmtId="185" fontId="107" fillId="0" borderId="2" xfId="0" applyNumberFormat="1" applyFont="1" applyBorder="1"/>
    <xf numFmtId="38" fontId="107" fillId="0" borderId="2" xfId="0" applyNumberFormat="1" applyFont="1" applyFill="1" applyBorder="1"/>
    <xf numFmtId="38" fontId="5" fillId="0" borderId="2" xfId="0" applyNumberFormat="1" applyFont="1" applyBorder="1"/>
    <xf numFmtId="37" fontId="107" fillId="0" borderId="0" xfId="0" applyNumberFormat="1" applyFont="1"/>
    <xf numFmtId="37" fontId="107" fillId="0" borderId="0" xfId="0" applyNumberFormat="1" applyFont="1" applyFill="1"/>
    <xf numFmtId="166" fontId="34" fillId="0" borderId="0" xfId="30" applyNumberFormat="1" applyFont="1"/>
    <xf numFmtId="192" fontId="159" fillId="0" borderId="0" xfId="30" applyNumberFormat="1" applyFont="1"/>
    <xf numFmtId="0" fontId="160" fillId="0" borderId="0" xfId="0" applyFont="1"/>
    <xf numFmtId="0" fontId="107" fillId="0" borderId="0" xfId="0" applyFont="1"/>
    <xf numFmtId="172" fontId="107" fillId="0" borderId="0" xfId="0" applyNumberFormat="1" applyFont="1" applyFill="1"/>
    <xf numFmtId="0" fontId="107" fillId="0" borderId="0" xfId="0" applyFont="1" applyFill="1"/>
    <xf numFmtId="43" fontId="161" fillId="0" borderId="0" xfId="8" applyNumberFormat="1" applyFont="1" applyFill="1"/>
    <xf numFmtId="185" fontId="160" fillId="0" borderId="0" xfId="0" applyNumberFormat="1" applyFont="1"/>
    <xf numFmtId="185" fontId="162" fillId="0" borderId="0" xfId="0" applyNumberFormat="1" applyFont="1" applyBorder="1"/>
    <xf numFmtId="37" fontId="18" fillId="0" borderId="2" xfId="0" applyNumberFormat="1" applyFont="1" applyFill="1" applyBorder="1"/>
    <xf numFmtId="38" fontId="18" fillId="0" borderId="2" xfId="0" applyNumberFormat="1" applyFont="1" applyFill="1" applyBorder="1"/>
    <xf numFmtId="37" fontId="160" fillId="0" borderId="0" xfId="0" applyNumberFormat="1" applyFont="1"/>
    <xf numFmtId="6" fontId="107" fillId="0" borderId="0" xfId="0" applyNumberFormat="1" applyFont="1"/>
    <xf numFmtId="185" fontId="160" fillId="0" borderId="2" xfId="0" applyNumberFormat="1" applyFont="1" applyBorder="1"/>
    <xf numFmtId="9" fontId="101" fillId="0" borderId="0" xfId="30" applyFont="1"/>
    <xf numFmtId="6" fontId="101" fillId="0" borderId="0" xfId="0" applyNumberFormat="1" applyFont="1" applyFill="1"/>
    <xf numFmtId="192" fontId="155" fillId="0" borderId="0" xfId="30" applyNumberFormat="1" applyFont="1" applyFill="1"/>
    <xf numFmtId="38" fontId="101" fillId="0" borderId="0" xfId="0" applyNumberFormat="1" applyFont="1" applyFill="1" applyBorder="1"/>
    <xf numFmtId="38" fontId="101" fillId="0" borderId="2" xfId="0" applyNumberFormat="1" applyFont="1" applyFill="1" applyBorder="1"/>
    <xf numFmtId="37" fontId="101" fillId="0" borderId="0" xfId="0" applyNumberFormat="1" applyFont="1" applyFill="1"/>
    <xf numFmtId="196" fontId="159" fillId="0" borderId="0" xfId="0" applyNumberFormat="1" applyFont="1" applyFill="1" applyAlignment="1">
      <alignment horizontal="left"/>
    </xf>
    <xf numFmtId="172" fontId="101" fillId="0" borderId="0" xfId="0" applyNumberFormat="1" applyFont="1" applyFill="1"/>
    <xf numFmtId="43" fontId="157" fillId="0" borderId="0" xfId="8" applyNumberFormat="1" applyFont="1" applyFill="1"/>
    <xf numFmtId="37" fontId="22" fillId="0" borderId="0" xfId="0" applyNumberFormat="1" applyFont="1"/>
    <xf numFmtId="37" fontId="11" fillId="0" borderId="0" xfId="0" applyNumberFormat="1" applyFont="1" applyFill="1"/>
    <xf numFmtId="192" fontId="52" fillId="0" borderId="0" xfId="30" applyNumberFormat="1" applyFont="1" applyFill="1"/>
    <xf numFmtId="196" fontId="52" fillId="0" borderId="0" xfId="0" applyNumberFormat="1" applyFont="1" applyFill="1" applyAlignment="1">
      <alignment horizontal="left"/>
    </xf>
    <xf numFmtId="37" fontId="160" fillId="0" borderId="0" xfId="0" applyNumberFormat="1" applyFont="1" applyFill="1"/>
    <xf numFmtId="185" fontId="160" fillId="0" borderId="0" xfId="0" applyNumberFormat="1" applyFont="1" applyFill="1"/>
    <xf numFmtId="192" fontId="159" fillId="0" borderId="0" xfId="30" applyNumberFormat="1" applyFont="1" applyFill="1"/>
    <xf numFmtId="192" fontId="34" fillId="0" borderId="0" xfId="30" applyNumberFormat="1" applyFont="1" applyFill="1" applyAlignment="1">
      <alignment horizontal="right"/>
    </xf>
    <xf numFmtId="0" fontId="5" fillId="6" borderId="0" xfId="0" applyFont="1" applyFill="1" applyAlignment="1">
      <alignment horizontal="right"/>
    </xf>
    <xf numFmtId="0" fontId="11" fillId="6" borderId="0" xfId="0" applyFont="1" applyFill="1"/>
    <xf numFmtId="37" fontId="11" fillId="6" borderId="0" xfId="0" applyNumberFormat="1" applyFont="1" applyFill="1"/>
    <xf numFmtId="192" fontId="52" fillId="6" borderId="0" xfId="30" applyNumberFormat="1" applyFont="1" applyFill="1"/>
    <xf numFmtId="196" fontId="52" fillId="6" borderId="0" xfId="0" applyNumberFormat="1" applyFont="1" applyFill="1" applyAlignment="1">
      <alignment horizontal="left"/>
    </xf>
    <xf numFmtId="185" fontId="18" fillId="6" borderId="0" xfId="0" applyNumberFormat="1" applyFont="1" applyFill="1"/>
    <xf numFmtId="37" fontId="160" fillId="6" borderId="0" xfId="0" applyNumberFormat="1" applyFont="1" applyFill="1"/>
    <xf numFmtId="185" fontId="160" fillId="6" borderId="0" xfId="0" applyNumberFormat="1" applyFont="1" applyFill="1"/>
    <xf numFmtId="192" fontId="159" fillId="6" borderId="0" xfId="30" applyNumberFormat="1" applyFont="1" applyFill="1"/>
    <xf numFmtId="6" fontId="5" fillId="6" borderId="0" xfId="0" applyNumberFormat="1" applyFont="1" applyFill="1"/>
    <xf numFmtId="192" fontId="34" fillId="6" borderId="0" xfId="30" applyNumberFormat="1" applyFont="1" applyFill="1" applyAlignment="1">
      <alignment horizontal="right"/>
    </xf>
    <xf numFmtId="37" fontId="101" fillId="6" borderId="0" xfId="0" applyNumberFormat="1" applyFont="1" applyFill="1"/>
    <xf numFmtId="192" fontId="155" fillId="6" borderId="0" xfId="30" applyNumberFormat="1" applyFont="1" applyFill="1"/>
    <xf numFmtId="196" fontId="155" fillId="6" borderId="0" xfId="0" applyNumberFormat="1" applyFont="1" applyFill="1" applyAlignment="1">
      <alignment horizontal="left"/>
    </xf>
    <xf numFmtId="177" fontId="18" fillId="0" borderId="0" xfId="8" applyNumberFormat="1" applyFont="1"/>
    <xf numFmtId="177" fontId="18" fillId="0" borderId="2" xfId="8" applyNumberFormat="1" applyFont="1" applyBorder="1"/>
    <xf numFmtId="37" fontId="88" fillId="0" borderId="0" xfId="0" applyNumberFormat="1" applyFont="1"/>
    <xf numFmtId="192" fontId="89" fillId="0" borderId="0" xfId="30" applyNumberFormat="1" applyFont="1"/>
    <xf numFmtId="196" fontId="89" fillId="0" borderId="0" xfId="0" applyNumberFormat="1" applyFont="1" applyFill="1" applyAlignment="1">
      <alignment horizontal="left"/>
    </xf>
    <xf numFmtId="171" fontId="18" fillId="0" borderId="0" xfId="0" applyNumberFormat="1" applyFont="1" applyAlignment="1">
      <alignment horizontal="center"/>
    </xf>
    <xf numFmtId="192" fontId="34" fillId="0" borderId="0" xfId="30" applyNumberFormat="1" applyFont="1" applyFill="1" applyBorder="1"/>
    <xf numFmtId="192" fontId="34" fillId="0" borderId="0" xfId="30" applyNumberFormat="1" applyFont="1" applyFill="1" applyAlignment="1">
      <alignment horizontal="center"/>
    </xf>
    <xf numFmtId="183" fontId="18" fillId="0" borderId="0" xfId="0" applyNumberFormat="1" applyFont="1" applyFill="1" applyBorder="1" applyAlignment="1">
      <alignment horizontal="center"/>
    </xf>
    <xf numFmtId="169" fontId="18" fillId="0" borderId="0" xfId="0" applyNumberFormat="1" applyFont="1" applyFill="1" applyBorder="1"/>
    <xf numFmtId="183" fontId="18" fillId="0" borderId="2" xfId="0" applyNumberFormat="1" applyFont="1" applyFill="1" applyBorder="1" applyAlignment="1">
      <alignment horizontal="center"/>
    </xf>
    <xf numFmtId="183" fontId="5" fillId="0" borderId="2" xfId="0" applyNumberFormat="1" applyFont="1" applyBorder="1"/>
    <xf numFmtId="183" fontId="5" fillId="0" borderId="0" xfId="0" applyNumberFormat="1" applyFont="1" applyFill="1" applyAlignment="1">
      <alignment horizontal="center"/>
    </xf>
    <xf numFmtId="0" fontId="5" fillId="5" borderId="0" xfId="0" applyFont="1" applyFill="1" applyBorder="1"/>
    <xf numFmtId="185" fontId="18" fillId="5" borderId="0" xfId="0" applyNumberFormat="1" applyFont="1" applyFill="1" applyBorder="1"/>
    <xf numFmtId="37" fontId="160" fillId="5" borderId="0" xfId="0" applyNumberFormat="1" applyFont="1" applyFill="1" applyBorder="1"/>
    <xf numFmtId="185" fontId="160" fillId="5" borderId="0" xfId="0" applyNumberFormat="1" applyFont="1" applyFill="1" applyBorder="1"/>
    <xf numFmtId="192" fontId="159" fillId="5" borderId="0" xfId="30" applyNumberFormat="1" applyFont="1" applyFill="1" applyBorder="1"/>
    <xf numFmtId="6" fontId="5" fillId="5" borderId="0" xfId="0" applyNumberFormat="1" applyFont="1" applyFill="1" applyBorder="1"/>
    <xf numFmtId="9" fontId="37" fillId="0" borderId="0" xfId="30" applyFont="1" applyFill="1" applyBorder="1"/>
    <xf numFmtId="37" fontId="5" fillId="0" borderId="2" xfId="0" applyNumberFormat="1" applyFont="1" applyFill="1" applyBorder="1"/>
    <xf numFmtId="37" fontId="88" fillId="5" borderId="0" xfId="0" applyNumberFormat="1" applyFont="1" applyFill="1" applyBorder="1"/>
    <xf numFmtId="192" fontId="34" fillId="5" borderId="0" xfId="30" applyNumberFormat="1" applyFont="1" applyFill="1" applyBorder="1"/>
    <xf numFmtId="196" fontId="34" fillId="5" borderId="0" xfId="0" applyNumberFormat="1" applyFont="1" applyFill="1" applyBorder="1" applyAlignment="1">
      <alignment horizontal="left"/>
    </xf>
    <xf numFmtId="9" fontId="34" fillId="0" borderId="0" xfId="30" applyFont="1" applyFill="1" applyBorder="1"/>
    <xf numFmtId="44" fontId="5" fillId="0" borderId="0" xfId="11" applyFont="1"/>
    <xf numFmtId="185" fontId="5" fillId="5" borderId="0" xfId="0" applyNumberFormat="1" applyFont="1" applyFill="1" applyBorder="1"/>
    <xf numFmtId="185" fontId="5" fillId="0" borderId="0" xfId="0" applyNumberFormat="1" applyFont="1" applyFill="1"/>
    <xf numFmtId="185" fontId="5" fillId="0" borderId="2" xfId="0" applyNumberFormat="1" applyFont="1" applyFill="1" applyBorder="1"/>
    <xf numFmtId="207" fontId="5" fillId="0" borderId="0" xfId="0" applyNumberFormat="1" applyFont="1"/>
    <xf numFmtId="247" fontId="5" fillId="0" borderId="0" xfId="0" applyNumberFormat="1" applyFont="1"/>
    <xf numFmtId="251" fontId="5" fillId="0" borderId="0" xfId="0" applyNumberFormat="1" applyFont="1"/>
    <xf numFmtId="252" fontId="5" fillId="0" borderId="0" xfId="0" applyNumberFormat="1" applyFont="1"/>
    <xf numFmtId="183" fontId="167" fillId="0" borderId="0" xfId="0" applyNumberFormat="1" applyFont="1" applyFill="1" applyBorder="1"/>
    <xf numFmtId="164" fontId="167" fillId="0" borderId="0" xfId="0" applyNumberFormat="1" applyFont="1" applyFill="1" applyBorder="1"/>
    <xf numFmtId="183" fontId="167" fillId="0" borderId="0" xfId="0" applyNumberFormat="1" applyFont="1" applyBorder="1" applyAlignment="1">
      <alignment horizontal="right"/>
    </xf>
    <xf numFmtId="214" fontId="9" fillId="0" borderId="0" xfId="0" applyNumberFormat="1" applyFont="1" applyFill="1"/>
    <xf numFmtId="195" fontId="21" fillId="0" borderId="2" xfId="0" applyNumberFormat="1" applyFont="1" applyBorder="1" applyAlignment="1">
      <alignment horizontal="centerContinuous"/>
    </xf>
    <xf numFmtId="195" fontId="12" fillId="0" borderId="2" xfId="0" applyNumberFormat="1" applyFont="1" applyBorder="1" applyAlignment="1">
      <alignment horizontal="centerContinuous"/>
    </xf>
    <xf numFmtId="227" fontId="12" fillId="0" borderId="2" xfId="0" applyNumberFormat="1" applyFont="1" applyFill="1" applyBorder="1" applyAlignment="1">
      <alignment horizontal="centerContinuous"/>
    </xf>
    <xf numFmtId="195" fontId="12" fillId="0" borderId="2" xfId="0" applyNumberFormat="1" applyFont="1" applyFill="1" applyBorder="1" applyAlignment="1">
      <alignment horizontal="centerContinuous"/>
    </xf>
    <xf numFmtId="197" fontId="21" fillId="0" borderId="2" xfId="0" applyNumberFormat="1" applyFont="1" applyFill="1" applyBorder="1" applyAlignment="1">
      <alignment horizontal="centerContinuous"/>
    </xf>
    <xf numFmtId="0" fontId="10" fillId="0" borderId="0" xfId="0" applyFont="1" applyAlignment="1">
      <alignment horizontal="centerContinuous"/>
    </xf>
    <xf numFmtId="0" fontId="163" fillId="0" borderId="0" xfId="0" applyFont="1"/>
    <xf numFmtId="0" fontId="163" fillId="0" borderId="0" xfId="0" applyFont="1" applyAlignment="1">
      <alignment horizontal="centerContinuous"/>
    </xf>
    <xf numFmtId="0" fontId="9" fillId="0" borderId="0" xfId="0" applyFont="1" applyAlignment="1">
      <alignment horizontal="centerContinuous"/>
    </xf>
    <xf numFmtId="0" fontId="163" fillId="0" borderId="0" xfId="0" applyFont="1" applyFill="1" applyAlignment="1">
      <alignment horizontal="centerContinuous"/>
    </xf>
    <xf numFmtId="0" fontId="9" fillId="0" borderId="0" xfId="0" applyFont="1" applyFill="1" applyAlignment="1">
      <alignment horizontal="centerContinuous"/>
    </xf>
    <xf numFmtId="0" fontId="163" fillId="0" borderId="0" xfId="0" applyFont="1" applyFill="1" applyAlignment="1">
      <alignment horizontal="left"/>
    </xf>
    <xf numFmtId="172" fontId="9" fillId="0" borderId="0" xfId="0" applyNumberFormat="1" applyFont="1" applyFill="1" applyAlignment="1">
      <alignment horizontal="centerContinuous"/>
    </xf>
    <xf numFmtId="175" fontId="9" fillId="0" borderId="0" xfId="0" applyNumberFormat="1" applyFont="1" applyFill="1"/>
    <xf numFmtId="172" fontId="13" fillId="0" borderId="0" xfId="0" applyNumberFormat="1" applyFont="1"/>
    <xf numFmtId="214" fontId="13" fillId="0" borderId="0" xfId="0" applyNumberFormat="1" applyFont="1" applyAlignment="1">
      <alignment horizontal="left"/>
    </xf>
    <xf numFmtId="192" fontId="9" fillId="0" borderId="0" xfId="30" applyNumberFormat="1" applyFont="1"/>
    <xf numFmtId="172" fontId="13" fillId="0" borderId="0" xfId="0" applyNumberFormat="1" applyFont="1" applyFill="1"/>
    <xf numFmtId="192" fontId="9" fillId="0" borderId="0" xfId="30" applyNumberFormat="1" applyFont="1" applyFill="1"/>
    <xf numFmtId="192" fontId="13" fillId="0" borderId="0" xfId="30" applyNumberFormat="1" applyFont="1" applyAlignment="1">
      <alignment horizontal="right"/>
    </xf>
    <xf numFmtId="214" fontId="13" fillId="0" borderId="0" xfId="0" applyNumberFormat="1" applyFont="1" applyFill="1" applyAlignment="1">
      <alignment horizontal="left"/>
    </xf>
    <xf numFmtId="9" fontId="51" fillId="0" borderId="0" xfId="30" applyFont="1" applyFill="1" applyAlignment="1">
      <alignment horizontal="right"/>
    </xf>
    <xf numFmtId="214" fontId="51" fillId="0" borderId="0" xfId="0" applyNumberFormat="1" applyFont="1" applyFill="1" applyAlignment="1">
      <alignment horizontal="center"/>
    </xf>
    <xf numFmtId="242" fontId="9" fillId="0" borderId="0" xfId="0" applyNumberFormat="1" applyFont="1" applyBorder="1" applyAlignment="1">
      <alignment horizontal="center"/>
    </xf>
    <xf numFmtId="170" fontId="9" fillId="0" borderId="0" xfId="0" applyNumberFormat="1" applyFont="1"/>
    <xf numFmtId="175" fontId="13" fillId="0" borderId="0" xfId="8" applyNumberFormat="1" applyFont="1"/>
    <xf numFmtId="175" fontId="13" fillId="0" borderId="0" xfId="8" applyNumberFormat="1" applyFont="1" applyFill="1"/>
    <xf numFmtId="175" fontId="9" fillId="0" borderId="0" xfId="8" applyNumberFormat="1" applyFont="1" applyFill="1"/>
    <xf numFmtId="175" fontId="13" fillId="0" borderId="2" xfId="8" applyNumberFormat="1" applyFont="1" applyBorder="1"/>
    <xf numFmtId="175" fontId="13" fillId="0" borderId="2" xfId="8" applyNumberFormat="1" applyFont="1" applyFill="1" applyBorder="1"/>
    <xf numFmtId="175" fontId="9" fillId="0" borderId="2" xfId="8" applyNumberFormat="1" applyFont="1" applyFill="1" applyBorder="1"/>
    <xf numFmtId="214" fontId="9" fillId="0" borderId="0" xfId="0" applyNumberFormat="1" applyFont="1" applyFill="1" applyAlignment="1">
      <alignment horizontal="left"/>
    </xf>
    <xf numFmtId="214" fontId="9" fillId="0" borderId="0" xfId="0" applyNumberFormat="1" applyFont="1" applyAlignment="1">
      <alignment horizontal="left"/>
    </xf>
    <xf numFmtId="169" fontId="9" fillId="0" borderId="0" xfId="0" applyNumberFormat="1" applyFont="1" applyFill="1"/>
    <xf numFmtId="9" fontId="9" fillId="0" borderId="0" xfId="30" applyFont="1" applyFill="1"/>
    <xf numFmtId="172" fontId="9" fillId="0" borderId="0" xfId="30" applyNumberFormat="1" applyFont="1" applyFill="1"/>
    <xf numFmtId="172" fontId="163" fillId="0" borderId="0" xfId="0" applyNumberFormat="1" applyFont="1" applyAlignment="1">
      <alignment horizontal="centerContinuous"/>
    </xf>
    <xf numFmtId="225" fontId="163" fillId="0" borderId="0" xfId="0" applyNumberFormat="1" applyFont="1" applyFill="1" applyAlignment="1">
      <alignment horizontal="centerContinuous"/>
    </xf>
    <xf numFmtId="249" fontId="163" fillId="0" borderId="0" xfId="0" applyNumberFormat="1" applyFont="1" applyFill="1" applyAlignment="1">
      <alignment horizontal="centerContinuous"/>
    </xf>
    <xf numFmtId="225" fontId="9" fillId="0" borderId="0" xfId="0" applyNumberFormat="1" applyFont="1" applyFill="1"/>
    <xf numFmtId="186" fontId="163" fillId="0" borderId="0" xfId="0" applyNumberFormat="1" applyFont="1" applyFill="1" applyAlignment="1">
      <alignment horizontal="centerContinuous"/>
    </xf>
    <xf numFmtId="0" fontId="163" fillId="0" borderId="0" xfId="0" applyFont="1" applyAlignment="1">
      <alignment horizontal="left"/>
    </xf>
    <xf numFmtId="184" fontId="9" fillId="0" borderId="0" xfId="0" applyNumberFormat="1" applyFont="1" applyFill="1" applyAlignment="1">
      <alignment horizontal="centerContinuous"/>
    </xf>
    <xf numFmtId="172" fontId="9" fillId="0" borderId="0" xfId="0" applyNumberFormat="1" applyFont="1"/>
    <xf numFmtId="191" fontId="9" fillId="0" borderId="0" xfId="0" applyNumberFormat="1" applyFont="1"/>
    <xf numFmtId="219" fontId="9" fillId="0" borderId="0" xfId="0" applyNumberFormat="1" applyFont="1"/>
    <xf numFmtId="191" fontId="9" fillId="0" borderId="0" xfId="0" applyNumberFormat="1" applyFont="1" applyFill="1"/>
    <xf numFmtId="219" fontId="9" fillId="0" borderId="0" xfId="0" applyNumberFormat="1" applyFont="1" applyFill="1"/>
    <xf numFmtId="191" fontId="13" fillId="0" borderId="0" xfId="0" applyNumberFormat="1" applyFont="1" applyFill="1"/>
    <xf numFmtId="183" fontId="13" fillId="0" borderId="0" xfId="0" applyNumberFormat="1" applyFont="1"/>
    <xf numFmtId="175" fontId="9" fillId="0" borderId="0" xfId="0" applyNumberFormat="1" applyFont="1"/>
    <xf numFmtId="183" fontId="13" fillId="0" borderId="2" xfId="0" applyNumberFormat="1" applyFont="1" applyBorder="1"/>
    <xf numFmtId="43" fontId="9" fillId="0" borderId="0" xfId="0" applyNumberFormat="1" applyFont="1"/>
    <xf numFmtId="194" fontId="9" fillId="0" borderId="0" xfId="0" applyNumberFormat="1" applyFont="1"/>
    <xf numFmtId="43" fontId="9" fillId="0" borderId="0" xfId="8" applyNumberFormat="1" applyFont="1" applyFill="1"/>
    <xf numFmtId="191" fontId="40" fillId="0" borderId="0" xfId="0" applyNumberFormat="1" applyFont="1"/>
    <xf numFmtId="183" fontId="13" fillId="0" borderId="0" xfId="0" applyNumberFormat="1" applyFont="1" applyFill="1"/>
    <xf numFmtId="271" fontId="9" fillId="0" borderId="0" xfId="0" applyNumberFormat="1" applyFont="1"/>
    <xf numFmtId="183" fontId="13" fillId="0" borderId="2" xfId="0" applyNumberFormat="1" applyFont="1" applyFill="1" applyBorder="1"/>
    <xf numFmtId="259" fontId="9" fillId="0" borderId="0" xfId="0" applyNumberFormat="1" applyFont="1"/>
    <xf numFmtId="183" fontId="9" fillId="0" borderId="0" xfId="0" applyNumberFormat="1" applyFont="1" applyFill="1"/>
    <xf numFmtId="43" fontId="9" fillId="0" borderId="0" xfId="8" applyFont="1" applyFill="1"/>
    <xf numFmtId="8" fontId="9" fillId="0" borderId="0" xfId="0" applyNumberFormat="1" applyFont="1" applyFill="1"/>
    <xf numFmtId="172" fontId="13" fillId="0" borderId="0" xfId="0" applyNumberFormat="1" applyFont="1" applyBorder="1"/>
    <xf numFmtId="191" fontId="9" fillId="0" borderId="0" xfId="0" applyNumberFormat="1" applyFont="1" applyBorder="1"/>
    <xf numFmtId="192" fontId="13" fillId="0" borderId="0" xfId="30" applyNumberFormat="1" applyFont="1" applyBorder="1" applyAlignment="1">
      <alignment horizontal="right"/>
    </xf>
    <xf numFmtId="0" fontId="13" fillId="0" borderId="0" xfId="0" applyFont="1" applyBorder="1"/>
    <xf numFmtId="172" fontId="51" fillId="0" borderId="0" xfId="0" applyNumberFormat="1" applyFont="1" applyFill="1"/>
    <xf numFmtId="192" fontId="51" fillId="0" borderId="0" xfId="0" applyNumberFormat="1" applyFont="1"/>
    <xf numFmtId="183" fontId="13" fillId="0" borderId="0" xfId="0" applyNumberFormat="1" applyFont="1" applyBorder="1"/>
    <xf numFmtId="167" fontId="51" fillId="0" borderId="0" xfId="0" applyNumberFormat="1" applyFont="1" applyFill="1"/>
    <xf numFmtId="167" fontId="51" fillId="0" borderId="2" xfId="0" applyNumberFormat="1" applyFont="1" applyFill="1" applyBorder="1"/>
    <xf numFmtId="169" fontId="9" fillId="0" borderId="0" xfId="0" applyNumberFormat="1" applyFont="1" applyBorder="1"/>
    <xf numFmtId="169" fontId="13" fillId="0" borderId="0" xfId="0" applyNumberFormat="1" applyFont="1" applyFill="1"/>
    <xf numFmtId="169" fontId="13" fillId="0" borderId="0" xfId="0" applyNumberFormat="1" applyFont="1"/>
    <xf numFmtId="0" fontId="23" fillId="0" borderId="0" xfId="0" applyFont="1" applyAlignment="1">
      <alignment horizontal="centerContinuous"/>
    </xf>
    <xf numFmtId="0" fontId="23" fillId="0" borderId="0" xfId="0" applyFont="1" applyFill="1" applyAlignment="1">
      <alignment horizontal="centerContinuous"/>
    </xf>
    <xf numFmtId="0" fontId="23" fillId="0" borderId="0" xfId="0" applyFont="1" applyAlignment="1">
      <alignment horizontal="left"/>
    </xf>
    <xf numFmtId="192" fontId="13" fillId="0" borderId="0" xfId="0" applyNumberFormat="1" applyFont="1" applyAlignment="1">
      <alignment horizontal="right"/>
    </xf>
    <xf numFmtId="191" fontId="9" fillId="0" borderId="0" xfId="0" applyNumberFormat="1" applyFont="1" applyFill="1" applyBorder="1"/>
    <xf numFmtId="169" fontId="9" fillId="0" borderId="2" xfId="0" applyNumberFormat="1" applyFont="1" applyBorder="1"/>
    <xf numFmtId="169" fontId="9" fillId="0" borderId="2" xfId="0" applyNumberFormat="1" applyFont="1" applyFill="1" applyBorder="1"/>
    <xf numFmtId="250" fontId="9" fillId="0" borderId="0" xfId="0" applyNumberFormat="1" applyFont="1" applyFill="1"/>
    <xf numFmtId="228" fontId="9" fillId="0" borderId="0" xfId="30" applyNumberFormat="1" applyFont="1" applyFill="1"/>
    <xf numFmtId="228" fontId="9" fillId="0" borderId="0" xfId="0" applyNumberFormat="1" applyFont="1"/>
    <xf numFmtId="183" fontId="13" fillId="0" borderId="0" xfId="0" applyNumberFormat="1" applyFont="1" applyFill="1" applyBorder="1"/>
    <xf numFmtId="183" fontId="38" fillId="0" borderId="0" xfId="0" applyNumberFormat="1" applyFont="1" applyFill="1" applyBorder="1"/>
    <xf numFmtId="183" fontId="66" fillId="0" borderId="2" xfId="0" applyNumberFormat="1" applyFont="1" applyFill="1" applyBorder="1"/>
    <xf numFmtId="183" fontId="66" fillId="0" borderId="0" xfId="0" applyNumberFormat="1" applyFont="1" applyFill="1"/>
    <xf numFmtId="171" fontId="13" fillId="0" borderId="0" xfId="0" applyNumberFormat="1" applyFont="1" applyFill="1"/>
    <xf numFmtId="220" fontId="9" fillId="0" borderId="0" xfId="0" applyNumberFormat="1" applyFont="1"/>
    <xf numFmtId="2" fontId="9" fillId="0" borderId="0" xfId="0" applyNumberFormat="1" applyFont="1" applyFill="1"/>
    <xf numFmtId="183" fontId="43" fillId="0" borderId="2" xfId="0" applyNumberFormat="1" applyFont="1" applyFill="1" applyBorder="1"/>
    <xf numFmtId="207" fontId="9" fillId="0" borderId="0" xfId="0" applyNumberFormat="1" applyFont="1" applyFill="1"/>
    <xf numFmtId="192" fontId="9" fillId="0" borderId="0" xfId="0" applyNumberFormat="1" applyFont="1" applyFill="1" applyAlignment="1">
      <alignment horizontal="right"/>
    </xf>
    <xf numFmtId="0" fontId="147" fillId="0" borderId="0" xfId="0" applyFont="1" applyBorder="1" applyAlignment="1">
      <alignment horizontal="center"/>
    </xf>
    <xf numFmtId="0" fontId="164" fillId="0" borderId="0" xfId="0" applyFont="1"/>
    <xf numFmtId="2" fontId="165" fillId="0" borderId="0" xfId="0" applyNumberFormat="1" applyFont="1" applyFill="1"/>
    <xf numFmtId="1" fontId="165" fillId="0" borderId="0" xfId="0" applyNumberFormat="1" applyFont="1" applyFill="1"/>
    <xf numFmtId="8" fontId="165" fillId="0" borderId="0" xfId="11" applyNumberFormat="1" applyFont="1" applyFill="1"/>
    <xf numFmtId="40" fontId="9" fillId="0" borderId="0" xfId="0" applyNumberFormat="1" applyFont="1" applyFill="1"/>
    <xf numFmtId="44" fontId="165" fillId="0" borderId="0" xfId="11" applyNumberFormat="1" applyFont="1" applyFill="1"/>
    <xf numFmtId="8" fontId="146" fillId="0" borderId="0" xfId="0" applyNumberFormat="1" applyFont="1" applyBorder="1" applyAlignment="1">
      <alignment horizontal="right"/>
    </xf>
    <xf numFmtId="8" fontId="146" fillId="0" borderId="0" xfId="0" applyNumberFormat="1" applyFont="1" applyBorder="1" applyAlignment="1">
      <alignment horizontal="center"/>
    </xf>
    <xf numFmtId="0" fontId="165" fillId="0" borderId="0" xfId="0" applyFont="1" applyFill="1" applyAlignment="1">
      <alignment horizontal="right"/>
    </xf>
    <xf numFmtId="170" fontId="165" fillId="0" borderId="0" xfId="0" applyNumberFormat="1" applyFont="1" applyFill="1"/>
    <xf numFmtId="40" fontId="165" fillId="0" borderId="0" xfId="11" applyNumberFormat="1" applyFont="1" applyFill="1"/>
    <xf numFmtId="39" fontId="9" fillId="0" borderId="0" xfId="0" applyNumberFormat="1" applyFont="1" applyFill="1"/>
    <xf numFmtId="0" fontId="165" fillId="0" borderId="0" xfId="0" applyFont="1" applyFill="1"/>
    <xf numFmtId="43" fontId="9" fillId="0" borderId="0" xfId="8" applyNumberFormat="1" applyFont="1"/>
    <xf numFmtId="40" fontId="9" fillId="0" borderId="2" xfId="0" applyNumberFormat="1" applyFont="1" applyBorder="1"/>
    <xf numFmtId="40" fontId="25" fillId="0" borderId="2" xfId="0" applyNumberFormat="1" applyFont="1" applyFill="1" applyBorder="1"/>
    <xf numFmtId="0" fontId="145" fillId="0" borderId="0" xfId="0" applyFont="1"/>
    <xf numFmtId="2" fontId="166" fillId="0" borderId="0" xfId="0" applyNumberFormat="1" applyFont="1" applyFill="1"/>
    <xf numFmtId="40" fontId="9" fillId="0" borderId="2" xfId="0" applyNumberFormat="1" applyFont="1" applyFill="1" applyBorder="1"/>
    <xf numFmtId="1" fontId="166" fillId="0" borderId="0" xfId="0" applyNumberFormat="1" applyFont="1" applyFill="1"/>
    <xf numFmtId="40" fontId="166" fillId="0" borderId="0" xfId="11" applyNumberFormat="1" applyFont="1" applyFill="1"/>
    <xf numFmtId="201" fontId="146" fillId="0" borderId="0" xfId="8" applyNumberFormat="1" applyFont="1" applyBorder="1" applyAlignment="1">
      <alignment horizontal="left"/>
    </xf>
    <xf numFmtId="170" fontId="9" fillId="0" borderId="0" xfId="0" applyNumberFormat="1" applyFont="1" applyFill="1"/>
    <xf numFmtId="0" fontId="9" fillId="0" borderId="0" xfId="0" quotePrefix="1" applyFont="1" applyFill="1"/>
    <xf numFmtId="8" fontId="9" fillId="0" borderId="0" xfId="30" applyNumberFormat="1" applyFont="1" applyFill="1"/>
    <xf numFmtId="44" fontId="9" fillId="0" borderId="0" xfId="0" applyNumberFormat="1" applyFont="1" applyFill="1"/>
    <xf numFmtId="8" fontId="9" fillId="0" borderId="0" xfId="0" applyNumberFormat="1" applyFont="1" applyBorder="1"/>
    <xf numFmtId="192" fontId="13" fillId="0" borderId="0" xfId="0" applyNumberFormat="1" applyFont="1" applyBorder="1" applyAlignment="1">
      <alignment horizontal="right"/>
    </xf>
    <xf numFmtId="192" fontId="9" fillId="0" borderId="0" xfId="14" applyNumberFormat="1" applyFont="1" applyFill="1" applyAlignment="1">
      <alignment horizontal="right"/>
    </xf>
    <xf numFmtId="183" fontId="9" fillId="0" borderId="0" xfId="0" applyNumberFormat="1" applyFont="1"/>
    <xf numFmtId="0" fontId="65" fillId="0" borderId="0" xfId="0" applyFont="1"/>
    <xf numFmtId="167" fontId="9" fillId="0" borderId="0" xfId="0" applyNumberFormat="1" applyFont="1" applyFill="1"/>
    <xf numFmtId="206" fontId="13" fillId="0" borderId="0" xfId="0" applyNumberFormat="1" applyFont="1"/>
    <xf numFmtId="206" fontId="13" fillId="0" borderId="0" xfId="0" applyNumberFormat="1" applyFont="1" applyFill="1"/>
    <xf numFmtId="206" fontId="13" fillId="0" borderId="2" xfId="0" applyNumberFormat="1" applyFont="1" applyBorder="1"/>
    <xf numFmtId="206" fontId="9" fillId="0" borderId="2" xfId="0" applyNumberFormat="1" applyFont="1" applyBorder="1"/>
    <xf numFmtId="206" fontId="13" fillId="0" borderId="2" xfId="0" applyNumberFormat="1" applyFont="1" applyFill="1" applyBorder="1"/>
    <xf numFmtId="39" fontId="9" fillId="0" borderId="0" xfId="0" applyNumberFormat="1" applyFont="1"/>
    <xf numFmtId="39" fontId="13" fillId="0" borderId="0" xfId="0" applyNumberFormat="1" applyFont="1"/>
    <xf numFmtId="0" fontId="23" fillId="6" borderId="0" xfId="0" applyFont="1" applyFill="1"/>
    <xf numFmtId="0" fontId="163" fillId="6" borderId="0" xfId="0" applyFont="1" applyFill="1"/>
    <xf numFmtId="0" fontId="163" fillId="6" borderId="0" xfId="0" applyFont="1" applyFill="1" applyAlignment="1">
      <alignment horizontal="centerContinuous"/>
    </xf>
    <xf numFmtId="0" fontId="9" fillId="6" borderId="0" xfId="0" applyFont="1" applyFill="1" applyAlignment="1">
      <alignment horizontal="centerContinuous"/>
    </xf>
    <xf numFmtId="183" fontId="13" fillId="6" borderId="0" xfId="0" applyNumberFormat="1" applyFont="1" applyFill="1"/>
    <xf numFmtId="165" fontId="9" fillId="6" borderId="0" xfId="0" applyNumberFormat="1" applyFont="1" applyFill="1"/>
    <xf numFmtId="192" fontId="9" fillId="6" borderId="0" xfId="14" applyNumberFormat="1" applyFont="1" applyFill="1" applyAlignment="1">
      <alignment horizontal="right"/>
    </xf>
    <xf numFmtId="192" fontId="13" fillId="6" borderId="0" xfId="0" applyNumberFormat="1" applyFont="1" applyFill="1" applyAlignment="1">
      <alignment horizontal="right"/>
    </xf>
    <xf numFmtId="183" fontId="9" fillId="6" borderId="0" xfId="0" applyNumberFormat="1" applyFont="1" applyFill="1"/>
    <xf numFmtId="183" fontId="13" fillId="6" borderId="0" xfId="0" applyNumberFormat="1" applyFont="1" applyFill="1" applyBorder="1"/>
    <xf numFmtId="165" fontId="9" fillId="6" borderId="0" xfId="0" applyNumberFormat="1" applyFont="1" applyFill="1" applyBorder="1"/>
    <xf numFmtId="192" fontId="9" fillId="6" borderId="0" xfId="14" applyNumberFormat="1" applyFont="1" applyFill="1" applyBorder="1" applyAlignment="1">
      <alignment horizontal="right"/>
    </xf>
    <xf numFmtId="167" fontId="9" fillId="6" borderId="0" xfId="0" applyNumberFormat="1" applyFont="1" applyFill="1"/>
    <xf numFmtId="183" fontId="13" fillId="6" borderId="2" xfId="0" applyNumberFormat="1" applyFont="1" applyFill="1" applyBorder="1"/>
    <xf numFmtId="0" fontId="28" fillId="6" borderId="0" xfId="0" applyFont="1" applyFill="1"/>
    <xf numFmtId="167" fontId="9" fillId="6" borderId="2" xfId="0" applyNumberFormat="1" applyFont="1" applyFill="1" applyBorder="1"/>
    <xf numFmtId="167" fontId="13" fillId="6" borderId="0" xfId="0" applyNumberFormat="1" applyFont="1" applyFill="1" applyBorder="1"/>
    <xf numFmtId="203" fontId="9" fillId="6" borderId="0" xfId="0" applyNumberFormat="1" applyFont="1" applyFill="1" applyBorder="1"/>
    <xf numFmtId="203" fontId="9" fillId="6" borderId="0" xfId="0" applyNumberFormat="1" applyFont="1" applyFill="1"/>
    <xf numFmtId="167" fontId="13" fillId="6" borderId="0" xfId="0" applyNumberFormat="1" applyFont="1" applyFill="1"/>
    <xf numFmtId="164" fontId="9" fillId="6" borderId="0" xfId="0" applyNumberFormat="1" applyFont="1" applyFill="1"/>
    <xf numFmtId="0" fontId="163" fillId="0" borderId="0" xfId="0" applyFont="1" applyBorder="1"/>
    <xf numFmtId="0" fontId="23" fillId="0" borderId="0" xfId="0" applyFont="1" applyBorder="1"/>
    <xf numFmtId="0" fontId="163" fillId="0" borderId="0" xfId="0" applyFont="1" applyBorder="1" applyAlignment="1">
      <alignment horizontal="centerContinuous"/>
    </xf>
    <xf numFmtId="165" fontId="9" fillId="0" borderId="0" xfId="0" applyNumberFormat="1" applyFont="1" applyFill="1" applyBorder="1"/>
    <xf numFmtId="192" fontId="9" fillId="0" borderId="0" xfId="14" applyNumberFormat="1" applyFont="1" applyFill="1" applyBorder="1" applyAlignment="1">
      <alignment horizontal="right"/>
    </xf>
    <xf numFmtId="165" fontId="9" fillId="0" borderId="0" xfId="0" applyNumberFormat="1" applyFont="1" applyFill="1"/>
    <xf numFmtId="192" fontId="13" fillId="0" borderId="0" xfId="0" applyNumberFormat="1" applyFont="1" applyFill="1" applyAlignment="1">
      <alignment horizontal="right"/>
    </xf>
    <xf numFmtId="167" fontId="9" fillId="0" borderId="2" xfId="0" applyNumberFormat="1" applyFont="1" applyFill="1" applyBorder="1"/>
    <xf numFmtId="167" fontId="13" fillId="0" borderId="0" xfId="0" applyNumberFormat="1" applyFont="1" applyFill="1" applyBorder="1"/>
    <xf numFmtId="203" fontId="9" fillId="0" borderId="0" xfId="0" applyNumberFormat="1" applyFont="1" applyFill="1" applyBorder="1"/>
    <xf numFmtId="167" fontId="9" fillId="0" borderId="0" xfId="0" applyNumberFormat="1" applyFont="1" applyFill="1" applyBorder="1"/>
    <xf numFmtId="171" fontId="13" fillId="0" borderId="0" xfId="0" applyNumberFormat="1" applyFont="1"/>
    <xf numFmtId="169" fontId="66" fillId="0" borderId="0" xfId="0" applyNumberFormat="1" applyFont="1" applyFill="1"/>
    <xf numFmtId="169" fontId="13" fillId="0" borderId="2" xfId="0" applyNumberFormat="1" applyFont="1" applyBorder="1"/>
    <xf numFmtId="169" fontId="13" fillId="0" borderId="2" xfId="0" applyNumberFormat="1" applyFont="1" applyFill="1" applyBorder="1"/>
    <xf numFmtId="169" fontId="38" fillId="0" borderId="2" xfId="0" applyNumberFormat="1" applyFont="1" applyFill="1" applyBorder="1"/>
    <xf numFmtId="2" fontId="9" fillId="0" borderId="0" xfId="0" applyNumberFormat="1" applyFont="1"/>
    <xf numFmtId="171" fontId="66" fillId="0" borderId="0" xfId="0" applyNumberFormat="1" applyFont="1"/>
    <xf numFmtId="169" fontId="66" fillId="0" borderId="0" xfId="0" applyNumberFormat="1" applyFont="1"/>
    <xf numFmtId="0" fontId="28" fillId="0" borderId="0" xfId="0" applyFont="1" applyFill="1" applyAlignment="1">
      <alignment horizontal="right"/>
    </xf>
    <xf numFmtId="0" fontId="28" fillId="0" borderId="0" xfId="0" applyFont="1" applyFill="1" applyAlignment="1">
      <alignment horizontal="left"/>
    </xf>
    <xf numFmtId="6" fontId="28" fillId="0" borderId="0" xfId="0" applyNumberFormat="1" applyFont="1"/>
    <xf numFmtId="8" fontId="28" fillId="0" borderId="0" xfId="0" applyNumberFormat="1" applyFont="1"/>
    <xf numFmtId="0" fontId="28" fillId="0" borderId="0" xfId="0" applyFont="1" applyAlignment="1">
      <alignment horizontal="right"/>
    </xf>
    <xf numFmtId="0" fontId="28" fillId="0" borderId="0" xfId="0" applyNumberFormat="1" applyFont="1"/>
    <xf numFmtId="207" fontId="13" fillId="0" borderId="0" xfId="0" applyNumberFormat="1" applyFont="1" applyBorder="1"/>
    <xf numFmtId="44" fontId="51" fillId="0" borderId="0" xfId="11" applyFont="1" applyFill="1" applyAlignment="1">
      <alignment horizontal="right"/>
    </xf>
    <xf numFmtId="183" fontId="167" fillId="0" borderId="2" xfId="0" applyNumberFormat="1" applyFont="1" applyFill="1" applyBorder="1"/>
    <xf numFmtId="164" fontId="167" fillId="0" borderId="2" xfId="0" applyNumberFormat="1" applyFont="1" applyFill="1" applyBorder="1"/>
    <xf numFmtId="175" fontId="168" fillId="0" borderId="2" xfId="8" applyNumberFormat="1" applyFont="1" applyFill="1" applyBorder="1"/>
    <xf numFmtId="183" fontId="167" fillId="0" borderId="18" xfId="0" applyNumberFormat="1" applyFont="1" applyFill="1" applyBorder="1" applyAlignment="1">
      <alignment horizontal="right"/>
    </xf>
    <xf numFmtId="183" fontId="169" fillId="0" borderId="18" xfId="0" applyNumberFormat="1" applyFont="1" applyFill="1" applyBorder="1" applyAlignment="1">
      <alignment horizontal="right"/>
    </xf>
    <xf numFmtId="185" fontId="167" fillId="0" borderId="2" xfId="0" applyNumberFormat="1" applyFont="1" applyBorder="1"/>
    <xf numFmtId="177" fontId="167" fillId="0" borderId="2" xfId="8" applyNumberFormat="1" applyFont="1" applyBorder="1"/>
    <xf numFmtId="183" fontId="167" fillId="0" borderId="2" xfId="0" applyNumberFormat="1" applyFont="1" applyBorder="1"/>
    <xf numFmtId="183" fontId="170" fillId="0" borderId="2" xfId="0" applyNumberFormat="1" applyFont="1" applyBorder="1" applyAlignment="1">
      <alignment horizontal="center"/>
    </xf>
    <xf numFmtId="183" fontId="170" fillId="0" borderId="44" xfId="0" applyNumberFormat="1" applyFont="1" applyBorder="1" applyAlignment="1">
      <alignment horizontal="center"/>
    </xf>
    <xf numFmtId="171" fontId="126" fillId="0" borderId="46" xfId="0" applyNumberFormat="1" applyFont="1" applyBorder="1" applyAlignment="1">
      <alignment horizontal="center"/>
    </xf>
    <xf numFmtId="7" fontId="9" fillId="0" borderId="0" xfId="27" applyNumberFormat="1" applyFont="1" applyFill="1" applyProtection="1"/>
    <xf numFmtId="7" fontId="9" fillId="0" borderId="0" xfId="27" applyNumberFormat="1" applyFont="1" applyProtection="1"/>
    <xf numFmtId="275" fontId="5" fillId="0" borderId="0" xfId="11" applyNumberFormat="1" applyFont="1"/>
    <xf numFmtId="167" fontId="88" fillId="0" borderId="0" xfId="0" applyNumberFormat="1" applyFont="1"/>
    <xf numFmtId="165" fontId="170" fillId="0" borderId="2" xfId="0" applyNumberFormat="1" applyFont="1" applyFill="1" applyBorder="1" applyAlignment="1">
      <alignment horizontal="center"/>
    </xf>
    <xf numFmtId="183" fontId="72" fillId="0" borderId="27" xfId="0" applyNumberFormat="1" applyFont="1" applyBorder="1" applyAlignment="1">
      <alignment horizontal="center"/>
    </xf>
    <xf numFmtId="183" fontId="72" fillId="0" borderId="43" xfId="0" applyNumberFormat="1" applyFont="1" applyBorder="1" applyAlignment="1">
      <alignment horizontal="center"/>
    </xf>
    <xf numFmtId="253" fontId="34" fillId="0" borderId="0" xfId="30" applyNumberFormat="1" applyFont="1" applyFill="1"/>
    <xf numFmtId="44" fontId="88" fillId="0" borderId="0" xfId="11" applyFont="1"/>
    <xf numFmtId="171" fontId="0" fillId="0" borderId="0" xfId="0" applyNumberFormat="1"/>
    <xf numFmtId="49" fontId="18" fillId="0" borderId="0" xfId="0" quotePrefix="1" applyNumberFormat="1" applyFont="1" applyFill="1" applyBorder="1" applyAlignment="1">
      <alignment horizontal="center"/>
    </xf>
    <xf numFmtId="49" fontId="18" fillId="0" borderId="2" xfId="0" quotePrefix="1" applyNumberFormat="1" applyFont="1" applyBorder="1" applyAlignment="1">
      <alignment horizontal="center"/>
    </xf>
    <xf numFmtId="185" fontId="0" fillId="0" borderId="0" xfId="0" applyNumberFormat="1"/>
    <xf numFmtId="6" fontId="167" fillId="0" borderId="0" xfId="0" applyNumberFormat="1" applyFont="1"/>
    <xf numFmtId="171" fontId="167" fillId="0" borderId="0" xfId="0" applyNumberFormat="1" applyFont="1"/>
    <xf numFmtId="172" fontId="168" fillId="0" borderId="0" xfId="0" applyNumberFormat="1" applyFont="1" applyFill="1"/>
    <xf numFmtId="171" fontId="170" fillId="0" borderId="0" xfId="0" applyNumberFormat="1" applyFont="1" applyBorder="1" applyAlignment="1">
      <alignment horizontal="center"/>
    </xf>
    <xf numFmtId="171" fontId="170" fillId="0" borderId="28" xfId="0" applyNumberFormat="1" applyFont="1" applyBorder="1" applyAlignment="1">
      <alignment horizontal="center"/>
    </xf>
    <xf numFmtId="167" fontId="172" fillId="0" borderId="0" xfId="15" applyNumberFormat="1" applyFont="1" applyFill="1" applyBorder="1"/>
    <xf numFmtId="183" fontId="173" fillId="0" borderId="0" xfId="0" applyNumberFormat="1" applyFont="1" applyFill="1" applyBorder="1"/>
    <xf numFmtId="164" fontId="173" fillId="0" borderId="0" xfId="0" applyNumberFormat="1" applyFont="1" applyFill="1" applyBorder="1"/>
    <xf numFmtId="183" fontId="173" fillId="0" borderId="0" xfId="0" applyNumberFormat="1" applyFont="1" applyBorder="1" applyAlignment="1">
      <alignment horizontal="right"/>
    </xf>
    <xf numFmtId="214" fontId="34" fillId="0" borderId="0" xfId="0" applyNumberFormat="1" applyFont="1" applyFill="1" applyAlignment="1">
      <alignment horizontal="center"/>
    </xf>
    <xf numFmtId="214" fontId="168" fillId="0" borderId="0" xfId="0" applyNumberFormat="1" applyFont="1" applyFill="1" applyAlignment="1">
      <alignment horizontal="left"/>
    </xf>
    <xf numFmtId="164" fontId="174" fillId="0" borderId="2" xfId="0" applyNumberFormat="1" applyFont="1" applyFill="1" applyBorder="1"/>
    <xf numFmtId="185" fontId="174" fillId="0" borderId="0" xfId="0" applyNumberFormat="1" applyFont="1" applyFill="1" applyBorder="1"/>
    <xf numFmtId="185" fontId="174" fillId="0" borderId="0" xfId="0" applyNumberFormat="1" applyFont="1" applyFill="1"/>
    <xf numFmtId="183" fontId="174" fillId="0" borderId="0" xfId="0" applyNumberFormat="1" applyFont="1" applyFill="1"/>
    <xf numFmtId="166" fontId="5" fillId="0" borderId="2" xfId="30" applyNumberFormat="1" applyFont="1" applyFill="1" applyBorder="1"/>
    <xf numFmtId="183" fontId="174" fillId="0" borderId="0" xfId="0" applyNumberFormat="1" applyFont="1" applyFill="1" applyBorder="1"/>
    <xf numFmtId="183" fontId="174" fillId="0" borderId="18" xfId="0" applyNumberFormat="1" applyFont="1" applyFill="1" applyBorder="1" applyAlignment="1">
      <alignment horizontal="right"/>
    </xf>
    <xf numFmtId="0" fontId="91" fillId="9" borderId="47" xfId="0" applyFont="1" applyFill="1" applyBorder="1" applyAlignment="1">
      <alignment horizontal="center"/>
    </xf>
    <xf numFmtId="0" fontId="91" fillId="9" borderId="15" xfId="0" applyFont="1" applyFill="1" applyBorder="1" applyAlignment="1">
      <alignment horizontal="center"/>
    </xf>
    <xf numFmtId="172" fontId="16" fillId="4" borderId="15" xfId="0" applyNumberFormat="1" applyFont="1" applyFill="1" applyBorder="1" applyAlignment="1" applyProtection="1">
      <alignment horizontal="center"/>
    </xf>
    <xf numFmtId="190" fontId="18" fillId="4" borderId="15" xfId="0" applyNumberFormat="1" applyFont="1" applyFill="1" applyBorder="1" applyAlignment="1" applyProtection="1">
      <alignment horizontal="center"/>
    </xf>
    <xf numFmtId="167" fontId="18" fillId="4" borderId="15" xfId="0" applyNumberFormat="1" applyFont="1" applyFill="1" applyBorder="1" applyAlignment="1" applyProtection="1">
      <alignment horizontal="center"/>
    </xf>
    <xf numFmtId="167" fontId="18" fillId="4" borderId="15" xfId="0" applyNumberFormat="1" applyFont="1" applyFill="1" applyBorder="1" applyAlignment="1">
      <alignment horizontal="center"/>
    </xf>
    <xf numFmtId="37" fontId="18" fillId="4" borderId="15" xfId="0" applyNumberFormat="1" applyFont="1" applyFill="1" applyBorder="1" applyAlignment="1" applyProtection="1">
      <alignment horizontal="center"/>
    </xf>
    <xf numFmtId="7" fontId="16" fillId="4" borderId="15" xfId="0" applyNumberFormat="1" applyFont="1" applyFill="1" applyBorder="1" applyAlignment="1" applyProtection="1">
      <alignment horizontal="center"/>
    </xf>
    <xf numFmtId="0" fontId="5" fillId="4" borderId="48" xfId="0" applyFont="1" applyFill="1" applyBorder="1" applyAlignment="1">
      <alignment horizontal="center"/>
    </xf>
    <xf numFmtId="0" fontId="106" fillId="9" borderId="49" xfId="0" applyFont="1" applyFill="1" applyBorder="1" applyAlignment="1">
      <alignment horizontal="centerContinuous"/>
    </xf>
    <xf numFmtId="6" fontId="11" fillId="7" borderId="15" xfId="0" applyNumberFormat="1" applyFont="1" applyFill="1" applyBorder="1" applyAlignment="1">
      <alignment horizontal="center"/>
    </xf>
    <xf numFmtId="244" fontId="5" fillId="7" borderId="15" xfId="0" applyNumberFormat="1" applyFont="1" applyFill="1" applyBorder="1" applyAlignment="1">
      <alignment horizontal="center"/>
    </xf>
    <xf numFmtId="6" fontId="5" fillId="7" borderId="15" xfId="0" applyNumberFormat="1" applyFont="1" applyFill="1" applyBorder="1" applyAlignment="1">
      <alignment horizontal="center"/>
    </xf>
    <xf numFmtId="8" fontId="11" fillId="7" borderId="15" xfId="0" applyNumberFormat="1" applyFont="1" applyFill="1" applyBorder="1" applyAlignment="1">
      <alignment horizontal="center"/>
    </xf>
    <xf numFmtId="206" fontId="175" fillId="0" borderId="0" xfId="0" applyNumberFormat="1" applyFont="1" applyFill="1"/>
    <xf numFmtId="183" fontId="175" fillId="0" borderId="0" xfId="0" applyNumberFormat="1" applyFont="1" applyFill="1"/>
    <xf numFmtId="175" fontId="175" fillId="0" borderId="0" xfId="8" applyNumberFormat="1" applyFont="1" applyFill="1"/>
    <xf numFmtId="183" fontId="175" fillId="0" borderId="0" xfId="0" applyNumberFormat="1" applyFont="1" applyFill="1" applyBorder="1"/>
    <xf numFmtId="37" fontId="176" fillId="0" borderId="0" xfId="0" applyNumberFormat="1" applyFont="1" applyFill="1"/>
    <xf numFmtId="38" fontId="176" fillId="0" borderId="0" xfId="0" applyNumberFormat="1" applyFont="1" applyFill="1" applyBorder="1"/>
    <xf numFmtId="167" fontId="176" fillId="0" borderId="0" xfId="0" applyNumberFormat="1" applyFont="1" applyFill="1" applyBorder="1"/>
    <xf numFmtId="169" fontId="175" fillId="0" borderId="0" xfId="0" applyNumberFormat="1" applyFont="1" applyFill="1"/>
    <xf numFmtId="39" fontId="176" fillId="0" borderId="0" xfId="0" applyNumberFormat="1" applyFont="1" applyBorder="1"/>
    <xf numFmtId="40" fontId="176" fillId="0" borderId="4" xfId="0" applyNumberFormat="1" applyFont="1" applyFill="1" applyBorder="1"/>
    <xf numFmtId="183" fontId="0" fillId="0" borderId="27" xfId="0" applyNumberFormat="1" applyBorder="1"/>
    <xf numFmtId="0" fontId="5" fillId="0" borderId="34" xfId="25" applyFont="1" applyBorder="1" applyAlignment="1">
      <alignment wrapText="1"/>
    </xf>
    <xf numFmtId="0" fontId="101" fillId="0" borderId="8" xfId="25" applyFont="1" applyBorder="1"/>
    <xf numFmtId="0" fontId="102" fillId="4" borderId="8" xfId="22" applyFont="1" applyFill="1" applyBorder="1" applyAlignment="1">
      <alignment vertical="center"/>
    </xf>
    <xf numFmtId="0" fontId="5" fillId="0" borderId="8" xfId="25" applyFont="1" applyBorder="1"/>
    <xf numFmtId="0" fontId="5" fillId="0" borderId="8" xfId="25" applyFont="1" applyBorder="1" applyAlignment="1">
      <alignment horizontal="right"/>
    </xf>
    <xf numFmtId="0" fontId="101" fillId="0" borderId="8" xfId="25" applyFont="1" applyBorder="1" applyAlignment="1">
      <alignment horizontal="right"/>
    </xf>
    <xf numFmtId="0" fontId="5" fillId="0" borderId="35" xfId="25" applyFont="1" applyBorder="1"/>
    <xf numFmtId="0" fontId="5" fillId="0" borderId="0" xfId="25" applyFont="1"/>
    <xf numFmtId="0" fontId="107" fillId="0" borderId="4" xfId="25" applyFont="1" applyBorder="1"/>
    <xf numFmtId="0" fontId="9" fillId="5" borderId="0" xfId="25" applyFont="1" applyFill="1" applyAlignment="1">
      <alignment wrapText="1"/>
    </xf>
    <xf numFmtId="0" fontId="65" fillId="5" borderId="0" xfId="25" applyFont="1" applyFill="1"/>
    <xf numFmtId="0" fontId="9" fillId="5" borderId="0" xfId="25" applyFont="1" applyFill="1" applyBorder="1"/>
    <xf numFmtId="0" fontId="9" fillId="5" borderId="0" xfId="25" applyFont="1" applyFill="1" applyAlignment="1">
      <alignment horizontal="right"/>
    </xf>
    <xf numFmtId="0" fontId="111" fillId="5" borderId="0" xfId="25" applyFont="1" applyFill="1" applyAlignment="1">
      <alignment horizontal="right"/>
    </xf>
    <xf numFmtId="0" fontId="9" fillId="5" borderId="0" xfId="25" applyFont="1" applyFill="1"/>
    <xf numFmtId="0" fontId="9" fillId="0" borderId="0" xfId="25" applyFont="1"/>
    <xf numFmtId="0" fontId="108" fillId="0" borderId="4" xfId="25" applyFont="1" applyBorder="1"/>
    <xf numFmtId="0" fontId="9" fillId="0" borderId="0" xfId="25" applyFont="1" applyFill="1" applyAlignment="1">
      <alignment wrapText="1"/>
    </xf>
    <xf numFmtId="0" fontId="65" fillId="0" borderId="0" xfId="25" applyFont="1" applyFill="1"/>
    <xf numFmtId="0" fontId="9" fillId="0" borderId="0" xfId="25" applyFont="1" applyFill="1" applyBorder="1"/>
    <xf numFmtId="0" fontId="9" fillId="0" borderId="0" xfId="25" applyFont="1" applyFill="1" applyAlignment="1">
      <alignment horizontal="right"/>
    </xf>
    <xf numFmtId="0" fontId="177" fillId="8" borderId="23" xfId="25" applyFont="1" applyFill="1" applyBorder="1" applyAlignment="1">
      <alignment horizontal="center"/>
    </xf>
    <xf numFmtId="0" fontId="13" fillId="2" borderId="23" xfId="20" applyFont="1" applyFill="1" applyBorder="1" applyAlignment="1">
      <alignment horizontal="center"/>
    </xf>
    <xf numFmtId="0" fontId="9" fillId="0" borderId="0" xfId="25" applyFont="1" applyFill="1"/>
    <xf numFmtId="0" fontId="9" fillId="4" borderId="0" xfId="25" applyFont="1" applyFill="1" applyBorder="1" applyAlignment="1">
      <alignment horizontal="left"/>
    </xf>
    <xf numFmtId="0" fontId="9" fillId="4" borderId="0" xfId="25" applyFont="1" applyFill="1" applyBorder="1" applyAlignment="1">
      <alignment horizontal="right"/>
    </xf>
    <xf numFmtId="0" fontId="112" fillId="4" borderId="0" xfId="25" applyFont="1" applyFill="1" applyBorder="1" applyAlignment="1">
      <alignment horizontal="right"/>
    </xf>
    <xf numFmtId="0" fontId="112" fillId="0" borderId="0" xfId="25" applyFont="1" applyFill="1" applyAlignment="1">
      <alignment horizontal="right"/>
    </xf>
    <xf numFmtId="0" fontId="108" fillId="0" borderId="0" xfId="25" applyFont="1" applyFill="1" applyAlignment="1">
      <alignment horizontal="right"/>
    </xf>
    <xf numFmtId="0" fontId="108" fillId="0" borderId="4" xfId="25" applyFont="1" applyFill="1" applyBorder="1"/>
    <xf numFmtId="0" fontId="9" fillId="0" borderId="0" xfId="25" applyFont="1" applyAlignment="1">
      <alignment wrapText="1"/>
    </xf>
    <xf numFmtId="0" fontId="65" fillId="0" borderId="0" xfId="25" applyFont="1"/>
    <xf numFmtId="0" fontId="29" fillId="0" borderId="0" xfId="22" applyFont="1" applyFill="1" applyBorder="1"/>
    <xf numFmtId="0" fontId="21" fillId="0" borderId="0" xfId="20" applyFont="1" applyFill="1" applyBorder="1"/>
    <xf numFmtId="0" fontId="12" fillId="0" borderId="0" xfId="36" applyNumberFormat="1" applyFont="1" applyFill="1" applyBorder="1" applyAlignment="1">
      <alignment horizontal="center" wrapText="1"/>
    </xf>
    <xf numFmtId="0" fontId="65" fillId="0" borderId="0" xfId="25" applyFont="1" applyFill="1" applyBorder="1"/>
    <xf numFmtId="14" fontId="101" fillId="0" borderId="0" xfId="20" applyNumberFormat="1" applyFont="1" applyFill="1" applyAlignment="1">
      <alignment horizontal="right"/>
    </xf>
    <xf numFmtId="0" fontId="9" fillId="0" borderId="0" xfId="25" applyFont="1" applyAlignment="1">
      <alignment horizontal="right"/>
    </xf>
    <xf numFmtId="0" fontId="29" fillId="0" borderId="0" xfId="22" applyFont="1" applyBorder="1"/>
    <xf numFmtId="0" fontId="21" fillId="0" borderId="0" xfId="20" applyFont="1" applyBorder="1"/>
    <xf numFmtId="0" fontId="9" fillId="0" borderId="0" xfId="25" applyFont="1" applyBorder="1"/>
    <xf numFmtId="1" fontId="103" fillId="0" borderId="0" xfId="36" applyNumberFormat="1" applyFont="1" applyFill="1" applyBorder="1" applyAlignment="1">
      <alignment horizontal="center" wrapText="1"/>
    </xf>
    <xf numFmtId="0" fontId="65" fillId="0" borderId="0" xfId="25" applyFont="1" applyAlignment="1">
      <alignment horizontal="right"/>
    </xf>
    <xf numFmtId="0" fontId="107" fillId="4" borderId="4" xfId="22" applyFont="1" applyFill="1" applyBorder="1"/>
    <xf numFmtId="0" fontId="63" fillId="0" borderId="0" xfId="20" applyFont="1" applyBorder="1"/>
    <xf numFmtId="0" fontId="9" fillId="0" borderId="0" xfId="25" applyNumberFormat="1" applyFont="1" applyBorder="1"/>
    <xf numFmtId="0" fontId="65" fillId="4" borderId="0" xfId="25" applyFont="1" applyFill="1" applyAlignment="1">
      <alignment horizontal="right"/>
    </xf>
    <xf numFmtId="0" fontId="65" fillId="0" borderId="0" xfId="25" applyFont="1" applyAlignment="1">
      <alignment wrapText="1"/>
    </xf>
    <xf numFmtId="1" fontId="9" fillId="0" borderId="0" xfId="20" applyNumberFormat="1" applyFont="1" applyBorder="1" applyAlignment="1">
      <alignment horizontal="right"/>
    </xf>
    <xf numFmtId="37" fontId="29" fillId="0" borderId="0" xfId="22" applyNumberFormat="1" applyFont="1" applyFill="1" applyBorder="1"/>
    <xf numFmtId="185" fontId="12" fillId="0" borderId="0" xfId="21" applyNumberFormat="1" applyFont="1" applyFill="1" applyBorder="1"/>
    <xf numFmtId="277" fontId="12" fillId="0" borderId="5" xfId="20" applyNumberFormat="1" applyFont="1" applyBorder="1" applyAlignment="1">
      <alignment horizontal="right"/>
    </xf>
    <xf numFmtId="37" fontId="12" fillId="0" borderId="0" xfId="22" applyNumberFormat="1" applyFont="1" applyFill="1" applyBorder="1"/>
    <xf numFmtId="185" fontId="9" fillId="0" borderId="0" xfId="21" applyNumberFormat="1" applyFont="1" applyFill="1" applyBorder="1"/>
    <xf numFmtId="179" fontId="9" fillId="0" borderId="0" xfId="25" applyNumberFormat="1" applyFont="1" applyAlignment="1">
      <alignment horizontal="right"/>
    </xf>
    <xf numFmtId="0" fontId="9" fillId="0" borderId="0" xfId="21" applyFont="1" applyFill="1" applyBorder="1"/>
    <xf numFmtId="257" fontId="9" fillId="0" borderId="0" xfId="10" applyNumberFormat="1" applyFont="1" applyFill="1" applyBorder="1" applyAlignment="1">
      <alignment horizontal="right"/>
    </xf>
    <xf numFmtId="257" fontId="9" fillId="0" borderId="0" xfId="10" applyNumberFormat="1" applyFont="1" applyFill="1" applyAlignment="1">
      <alignment horizontal="right"/>
    </xf>
    <xf numFmtId="185" fontId="9" fillId="0" borderId="0" xfId="21" applyNumberFormat="1" applyFont="1" applyFill="1" applyBorder="1" applyAlignment="1" applyProtection="1">
      <alignment horizontal="left"/>
    </xf>
    <xf numFmtId="257" fontId="9" fillId="0" borderId="2" xfId="10" applyNumberFormat="1" applyFont="1" applyFill="1" applyBorder="1" applyAlignment="1">
      <alignment horizontal="right"/>
    </xf>
    <xf numFmtId="0" fontId="12" fillId="0" borderId="0" xfId="21" applyFont="1" applyFill="1" applyBorder="1"/>
    <xf numFmtId="257" fontId="12" fillId="0" borderId="0" xfId="10" applyNumberFormat="1" applyFont="1" applyFill="1" applyAlignment="1">
      <alignment horizontal="right"/>
    </xf>
    <xf numFmtId="179" fontId="9" fillId="0" borderId="0" xfId="25" applyNumberFormat="1" applyFont="1" applyFill="1" applyBorder="1" applyAlignment="1">
      <alignment horizontal="right"/>
    </xf>
    <xf numFmtId="179" fontId="9" fillId="0" borderId="0" xfId="25" applyNumberFormat="1" applyFont="1" applyFill="1" applyAlignment="1">
      <alignment horizontal="right"/>
    </xf>
    <xf numFmtId="0" fontId="9" fillId="0" borderId="0" xfId="25" applyFont="1" applyBorder="1" applyAlignment="1">
      <alignment wrapText="1"/>
    </xf>
    <xf numFmtId="0" fontId="12" fillId="0" borderId="0" xfId="25" applyFont="1" applyFill="1" applyBorder="1"/>
    <xf numFmtId="263" fontId="12" fillId="0" borderId="0" xfId="0" applyNumberFormat="1" applyFont="1" applyFill="1" applyBorder="1" applyAlignment="1">
      <alignment horizontal="right"/>
    </xf>
    <xf numFmtId="262" fontId="21" fillId="0" borderId="0" xfId="20" applyNumberFormat="1" applyFont="1" applyFill="1" applyBorder="1" applyAlignment="1">
      <alignment horizontal="right"/>
    </xf>
    <xf numFmtId="0" fontId="65" fillId="0" borderId="0" xfId="25" applyFont="1" applyBorder="1"/>
    <xf numFmtId="0" fontId="9" fillId="0" borderId="0" xfId="21" applyFont="1" applyFill="1" applyBorder="1" applyAlignment="1">
      <alignment horizontal="left"/>
    </xf>
    <xf numFmtId="257" fontId="9" fillId="0" borderId="0" xfId="25" applyNumberFormat="1" applyFont="1" applyFill="1" applyAlignment="1">
      <alignment horizontal="right"/>
    </xf>
    <xf numFmtId="257" fontId="65" fillId="0" borderId="0" xfId="25" applyNumberFormat="1" applyFont="1"/>
    <xf numFmtId="0" fontId="9" fillId="0" borderId="0" xfId="25" applyFont="1" applyFill="1" applyBorder="1" applyAlignment="1">
      <alignment horizontal="left" indent="1"/>
    </xf>
    <xf numFmtId="257" fontId="9" fillId="0" borderId="2" xfId="25" applyNumberFormat="1" applyFont="1" applyFill="1" applyBorder="1" applyAlignment="1">
      <alignment horizontal="right"/>
    </xf>
    <xf numFmtId="257" fontId="12" fillId="0" borderId="0" xfId="25" applyNumberFormat="1" applyFont="1" applyFill="1" applyAlignment="1">
      <alignment horizontal="right"/>
    </xf>
    <xf numFmtId="263" fontId="12" fillId="0" borderId="0" xfId="0" applyNumberFormat="1" applyFont="1" applyBorder="1" applyAlignment="1">
      <alignment horizontal="right"/>
    </xf>
    <xf numFmtId="262" fontId="21" fillId="0" borderId="0" xfId="20" applyNumberFormat="1" applyFont="1" applyBorder="1" applyAlignment="1">
      <alignment horizontal="right"/>
    </xf>
    <xf numFmtId="0" fontId="9" fillId="0" borderId="0" xfId="21" applyFont="1" applyFill="1" applyBorder="1" applyAlignment="1">
      <alignment horizontal="left" indent="1"/>
    </xf>
    <xf numFmtId="0" fontId="9" fillId="0" borderId="0" xfId="21" applyFont="1" applyFill="1" applyBorder="1" applyAlignment="1">
      <alignment horizontal="left" indent="2"/>
    </xf>
    <xf numFmtId="0" fontId="12" fillId="0" borderId="0" xfId="25" applyFont="1" applyAlignment="1">
      <alignment wrapText="1"/>
    </xf>
    <xf numFmtId="0" fontId="63" fillId="0" borderId="0" xfId="25" applyFont="1"/>
    <xf numFmtId="0" fontId="12" fillId="0" borderId="0" xfId="21" applyFont="1" applyFill="1" applyBorder="1" applyAlignment="1">
      <alignment horizontal="left" indent="1"/>
    </xf>
    <xf numFmtId="0" fontId="12" fillId="0" borderId="0" xfId="25" applyFont="1"/>
    <xf numFmtId="0" fontId="113" fillId="0" borderId="4" xfId="25" applyFont="1" applyBorder="1"/>
    <xf numFmtId="257" fontId="104" fillId="0" borderId="0" xfId="25" applyNumberFormat="1" applyFont="1" applyAlignment="1">
      <alignment horizontal="right"/>
    </xf>
    <xf numFmtId="0" fontId="9" fillId="4" borderId="0" xfId="25" applyFont="1" applyFill="1" applyAlignment="1">
      <alignment wrapText="1"/>
    </xf>
    <xf numFmtId="9" fontId="9" fillId="0" borderId="0" xfId="31" applyFont="1" applyFill="1" applyBorder="1" applyAlignment="1">
      <alignment horizontal="right"/>
    </xf>
    <xf numFmtId="185" fontId="178" fillId="0" borderId="0" xfId="0" applyNumberFormat="1" applyFont="1" applyBorder="1"/>
    <xf numFmtId="201" fontId="178" fillId="0" borderId="0" xfId="0" applyNumberFormat="1" applyFont="1" applyBorder="1"/>
    <xf numFmtId="164" fontId="179" fillId="0" borderId="0" xfId="0" applyNumberFormat="1" applyFont="1" applyFill="1" applyBorder="1"/>
    <xf numFmtId="183" fontId="179" fillId="0" borderId="0" xfId="0" applyNumberFormat="1" applyFont="1" applyFill="1" applyBorder="1"/>
    <xf numFmtId="183" fontId="179" fillId="0" borderId="0" xfId="0" applyNumberFormat="1" applyFont="1" applyBorder="1" applyAlignment="1">
      <alignment horizontal="right"/>
    </xf>
    <xf numFmtId="171" fontId="72" fillId="0" borderId="11" xfId="0" applyNumberFormat="1" applyFont="1" applyBorder="1" applyAlignment="1">
      <alignment horizontal="center"/>
    </xf>
    <xf numFmtId="171" fontId="74" fillId="0" borderId="46" xfId="0" applyNumberFormat="1" applyFont="1" applyBorder="1" applyAlignment="1">
      <alignment horizontal="center"/>
    </xf>
    <xf numFmtId="6" fontId="125" fillId="0" borderId="11" xfId="0" applyNumberFormat="1" applyFont="1" applyBorder="1" applyAlignment="1">
      <alignment horizontal="center"/>
    </xf>
    <xf numFmtId="171" fontId="125" fillId="0" borderId="11" xfId="0" applyNumberFormat="1" applyFont="1" applyBorder="1" applyAlignment="1">
      <alignment horizontal="center"/>
    </xf>
    <xf numFmtId="183" fontId="180" fillId="0" borderId="18" xfId="0" applyNumberFormat="1" applyFont="1" applyFill="1" applyBorder="1" applyAlignment="1">
      <alignment horizontal="right"/>
    </xf>
    <xf numFmtId="183" fontId="180" fillId="0" borderId="0" xfId="0" applyNumberFormat="1" applyFont="1" applyFill="1" applyBorder="1"/>
    <xf numFmtId="214" fontId="181" fillId="0" borderId="0" xfId="0" applyNumberFormat="1" applyFont="1" applyFill="1" applyAlignment="1">
      <alignment horizontal="left"/>
    </xf>
    <xf numFmtId="164" fontId="180" fillId="0" borderId="2" xfId="0" applyNumberFormat="1" applyFont="1" applyFill="1" applyBorder="1"/>
    <xf numFmtId="183" fontId="182" fillId="0" borderId="0" xfId="0" applyNumberFormat="1" applyFont="1" applyFill="1" applyBorder="1" applyAlignment="1">
      <alignment horizontal="right"/>
    </xf>
    <xf numFmtId="183" fontId="182" fillId="0" borderId="2" xfId="0" applyNumberFormat="1" applyFont="1" applyFill="1" applyBorder="1" applyAlignment="1">
      <alignment horizontal="right"/>
    </xf>
    <xf numFmtId="183" fontId="182" fillId="0" borderId="2" xfId="0" applyNumberFormat="1" applyFont="1" applyBorder="1" applyAlignment="1">
      <alignment horizontal="right"/>
    </xf>
    <xf numFmtId="183" fontId="182" fillId="0" borderId="0" xfId="0" applyNumberFormat="1" applyFont="1" applyBorder="1" applyAlignment="1">
      <alignment horizontal="right"/>
    </xf>
    <xf numFmtId="183" fontId="182" fillId="0" borderId="39" xfId="0" applyNumberFormat="1" applyFont="1" applyBorder="1" applyAlignment="1">
      <alignment horizontal="right"/>
    </xf>
    <xf numFmtId="0" fontId="183" fillId="0" borderId="0" xfId="0" applyFont="1"/>
    <xf numFmtId="183" fontId="184" fillId="0" borderId="18" xfId="0" applyNumberFormat="1" applyFont="1" applyFill="1" applyBorder="1"/>
    <xf numFmtId="171" fontId="72" fillId="0" borderId="3" xfId="0" applyNumberFormat="1" applyFont="1" applyBorder="1" applyAlignment="1">
      <alignment horizontal="center"/>
    </xf>
    <xf numFmtId="171" fontId="74" fillId="0" borderId="12" xfId="0" applyNumberFormat="1" applyFont="1" applyBorder="1" applyAlignment="1">
      <alignment horizontal="center"/>
    </xf>
    <xf numFmtId="171" fontId="74" fillId="0" borderId="26" xfId="0" applyNumberFormat="1" applyFont="1" applyBorder="1" applyAlignment="1">
      <alignment horizontal="center"/>
    </xf>
    <xf numFmtId="171" fontId="72" fillId="0" borderId="29" xfId="0" applyNumberFormat="1" applyFont="1" applyBorder="1" applyAlignment="1">
      <alignment horizontal="center"/>
    </xf>
    <xf numFmtId="171" fontId="74" fillId="0" borderId="3" xfId="0" applyNumberFormat="1" applyFont="1" applyBorder="1"/>
    <xf numFmtId="6" fontId="125" fillId="0" borderId="12" xfId="0" applyNumberFormat="1" applyFont="1" applyBorder="1" applyAlignment="1">
      <alignment horizontal="center"/>
    </xf>
    <xf numFmtId="0" fontId="9" fillId="0" borderId="3" xfId="0" applyFont="1" applyBorder="1" applyAlignment="1">
      <alignment horizontal="center"/>
    </xf>
    <xf numFmtId="171" fontId="125" fillId="0" borderId="12" xfId="0" applyNumberFormat="1" applyFont="1" applyBorder="1" applyAlignment="1">
      <alignment horizontal="center"/>
    </xf>
    <xf numFmtId="175" fontId="185" fillId="0" borderId="0" xfId="8" applyNumberFormat="1" applyFont="1" applyFill="1"/>
    <xf numFmtId="183" fontId="185" fillId="0" borderId="0" xfId="0" applyNumberFormat="1" applyFont="1" applyFill="1"/>
    <xf numFmtId="175" fontId="186" fillId="0" borderId="2" xfId="8" applyNumberFormat="1" applyFont="1" applyFill="1" applyBorder="1"/>
    <xf numFmtId="183" fontId="187" fillId="0" borderId="2" xfId="0" applyNumberFormat="1" applyFont="1" applyFill="1" applyBorder="1"/>
    <xf numFmtId="175" fontId="188" fillId="0" borderId="2" xfId="8" applyNumberFormat="1" applyFont="1" applyFill="1" applyBorder="1"/>
    <xf numFmtId="183" fontId="32" fillId="8" borderId="0" xfId="0" applyNumberFormat="1" applyFont="1" applyFill="1" applyBorder="1"/>
    <xf numFmtId="183" fontId="5" fillId="8" borderId="0" xfId="0" applyNumberFormat="1" applyFont="1" applyFill="1" applyBorder="1"/>
    <xf numFmtId="0" fontId="65" fillId="4" borderId="0" xfId="25" applyFont="1" applyFill="1"/>
    <xf numFmtId="2" fontId="0" fillId="0" borderId="2" xfId="0" applyNumberFormat="1" applyBorder="1"/>
    <xf numFmtId="0" fontId="0" fillId="0" borderId="0" xfId="0" applyNumberFormat="1"/>
    <xf numFmtId="167" fontId="5" fillId="0" borderId="2" xfId="0" applyNumberFormat="1" applyFont="1" applyFill="1" applyBorder="1"/>
    <xf numFmtId="183" fontId="32" fillId="8" borderId="2" xfId="0" applyNumberFormat="1" applyFont="1" applyFill="1" applyBorder="1"/>
    <xf numFmtId="194" fontId="11" fillId="0" borderId="0" xfId="0" applyNumberFormat="1" applyFont="1" applyAlignment="1">
      <alignment horizontal="center"/>
    </xf>
    <xf numFmtId="278" fontId="5" fillId="0" borderId="0" xfId="0" applyNumberFormat="1" applyFont="1" applyFill="1"/>
    <xf numFmtId="166" fontId="18" fillId="0" borderId="0" xfId="31" applyNumberFormat="1" applyFont="1"/>
    <xf numFmtId="275" fontId="134" fillId="0" borderId="0" xfId="11" applyNumberFormat="1" applyFont="1" applyFill="1" applyBorder="1" applyAlignment="1">
      <alignment horizontal="right"/>
    </xf>
    <xf numFmtId="164" fontId="191" fillId="0" borderId="2" xfId="0" applyNumberFormat="1" applyFont="1" applyFill="1" applyBorder="1"/>
    <xf numFmtId="214" fontId="192" fillId="0" borderId="0" xfId="0" applyNumberFormat="1" applyFont="1" applyFill="1" applyAlignment="1">
      <alignment horizontal="left"/>
    </xf>
    <xf numFmtId="185" fontId="191" fillId="0" borderId="0" xfId="0" applyNumberFormat="1" applyFont="1" applyFill="1" applyBorder="1"/>
    <xf numFmtId="183" fontId="193" fillId="0" borderId="0" xfId="0" applyNumberFormat="1" applyFont="1" applyFill="1" applyBorder="1"/>
    <xf numFmtId="39" fontId="194" fillId="0" borderId="0" xfId="0" applyNumberFormat="1" applyFont="1" applyBorder="1"/>
    <xf numFmtId="40" fontId="194" fillId="0" borderId="4" xfId="0" applyNumberFormat="1" applyFont="1" applyFill="1" applyBorder="1"/>
    <xf numFmtId="171" fontId="74" fillId="0" borderId="11" xfId="0" applyNumberFormat="1" applyFont="1" applyBorder="1" applyAlignment="1">
      <alignment horizontal="center"/>
    </xf>
    <xf numFmtId="169" fontId="195" fillId="0" borderId="0" xfId="37" applyFont="1" applyFill="1" applyAlignment="1">
      <alignment horizontal="center"/>
    </xf>
    <xf numFmtId="0" fontId="68" fillId="0" borderId="0" xfId="0" applyFont="1" applyFill="1" applyBorder="1"/>
    <xf numFmtId="275" fontId="134" fillId="0" borderId="15" xfId="11" applyNumberFormat="1" applyFont="1" applyFill="1" applyBorder="1" applyAlignment="1">
      <alignment horizontal="right"/>
    </xf>
    <xf numFmtId="37" fontId="134" fillId="0" borderId="15" xfId="18" applyNumberFormat="1" applyFont="1" applyFill="1" applyBorder="1" applyAlignment="1">
      <alignment horizontal="right"/>
    </xf>
    <xf numFmtId="37" fontId="134" fillId="0" borderId="2" xfId="18" applyNumberFormat="1" applyFont="1" applyFill="1" applyBorder="1" applyAlignment="1">
      <alignment horizontal="right"/>
    </xf>
    <xf numFmtId="37" fontId="134" fillId="0" borderId="17" xfId="18" applyNumberFormat="1" applyFont="1" applyFill="1" applyBorder="1" applyAlignment="1">
      <alignment horizontal="right"/>
    </xf>
    <xf numFmtId="185" fontId="191" fillId="0" borderId="2" xfId="0" applyNumberFormat="1" applyFont="1" applyFill="1" applyBorder="1"/>
    <xf numFmtId="37" fontId="176" fillId="0" borderId="2" xfId="0" applyNumberFormat="1" applyFont="1" applyFill="1" applyBorder="1"/>
    <xf numFmtId="38" fontId="176" fillId="0" borderId="2" xfId="0" applyNumberFormat="1" applyFont="1" applyFill="1" applyBorder="1"/>
    <xf numFmtId="167" fontId="176" fillId="0" borderId="2" xfId="0" applyNumberFormat="1" applyFont="1" applyFill="1" applyBorder="1"/>
    <xf numFmtId="8" fontId="0" fillId="0" borderId="0" xfId="0" applyNumberFormat="1"/>
    <xf numFmtId="6" fontId="74" fillId="0" borderId="15" xfId="0" applyNumberFormat="1" applyFont="1" applyFill="1" applyBorder="1" applyAlignment="1">
      <alignment horizontal="center"/>
    </xf>
    <xf numFmtId="0" fontId="24" fillId="0" borderId="2" xfId="0" applyFont="1" applyBorder="1" applyAlignment="1">
      <alignment horizontal="center"/>
    </xf>
    <xf numFmtId="164" fontId="179" fillId="0" borderId="2" xfId="0" applyNumberFormat="1" applyFont="1" applyFill="1" applyBorder="1"/>
    <xf numFmtId="43" fontId="0" fillId="0" borderId="0" xfId="0" applyNumberFormat="1"/>
    <xf numFmtId="200" fontId="121" fillId="0" borderId="0" xfId="0" applyNumberFormat="1" applyFont="1" applyFill="1" applyBorder="1"/>
    <xf numFmtId="0" fontId="5" fillId="4" borderId="0" xfId="38" applyNumberFormat="1" applyFont="1" applyFill="1" applyAlignment="1">
      <alignment horizontal="right"/>
    </xf>
    <xf numFmtId="7" fontId="5" fillId="5" borderId="28" xfId="0" applyNumberFormat="1" applyFont="1" applyFill="1" applyBorder="1" applyAlignment="1" applyProtection="1">
      <alignment horizontal="center"/>
    </xf>
    <xf numFmtId="183" fontId="175" fillId="0" borderId="2" xfId="0" applyNumberFormat="1" applyFont="1" applyFill="1" applyBorder="1"/>
    <xf numFmtId="39" fontId="197" fillId="0" borderId="0" xfId="0" applyNumberFormat="1" applyFont="1" applyBorder="1"/>
    <xf numFmtId="40" fontId="197" fillId="0" borderId="4" xfId="0" applyNumberFormat="1" applyFont="1" applyFill="1" applyBorder="1"/>
    <xf numFmtId="205" fontId="141" fillId="0" borderId="15" xfId="30" applyNumberFormat="1" applyFont="1" applyBorder="1" applyAlignment="1">
      <alignment horizontal="right"/>
    </xf>
    <xf numFmtId="0" fontId="0" fillId="0" borderId="0" xfId="0"/>
    <xf numFmtId="49" fontId="16" fillId="2" borderId="0" xfId="0" quotePrefix="1" applyNumberFormat="1" applyFont="1" applyFill="1" applyBorder="1" applyAlignment="1">
      <alignment horizontal="center"/>
    </xf>
    <xf numFmtId="167" fontId="198" fillId="0" borderId="0" xfId="15" applyNumberFormat="1" applyFont="1" applyFill="1" applyBorder="1"/>
    <xf numFmtId="37" fontId="198" fillId="0" borderId="0" xfId="0" applyNumberFormat="1" applyFont="1"/>
    <xf numFmtId="37" fontId="198" fillId="0" borderId="2" xfId="0" applyNumberFormat="1" applyFont="1" applyBorder="1"/>
    <xf numFmtId="5" fontId="198" fillId="0" borderId="0" xfId="0" applyNumberFormat="1" applyFont="1"/>
    <xf numFmtId="37" fontId="198" fillId="0" borderId="0" xfId="0" applyNumberFormat="1" applyFont="1" applyFill="1"/>
    <xf numFmtId="37" fontId="198" fillId="0" borderId="0" xfId="0" applyNumberFormat="1" applyFont="1" applyBorder="1"/>
    <xf numFmtId="37" fontId="198" fillId="0" borderId="0" xfId="0" applyNumberFormat="1" applyFont="1" applyFill="1" applyBorder="1"/>
    <xf numFmtId="37" fontId="198" fillId="0" borderId="2" xfId="0" applyNumberFormat="1" applyFont="1" applyFill="1" applyBorder="1"/>
    <xf numFmtId="0" fontId="198" fillId="0" borderId="0" xfId="0" applyFont="1"/>
    <xf numFmtId="6" fontId="198" fillId="0" borderId="0" xfId="0" applyNumberFormat="1" applyFont="1"/>
    <xf numFmtId="201" fontId="198" fillId="0" borderId="0" xfId="0" applyNumberFormat="1" applyFont="1" applyFill="1"/>
    <xf numFmtId="201" fontId="198" fillId="0" borderId="0" xfId="0" applyNumberFormat="1" applyFont="1"/>
    <xf numFmtId="164" fontId="197" fillId="0" borderId="0" xfId="0" applyNumberFormat="1" applyFont="1" applyFill="1" applyBorder="1"/>
    <xf numFmtId="279" fontId="5" fillId="0" borderId="0" xfId="11" applyNumberFormat="1" applyFont="1" applyFill="1" applyBorder="1"/>
    <xf numFmtId="0" fontId="0" fillId="0" borderId="0" xfId="0"/>
    <xf numFmtId="164" fontId="197" fillId="0" borderId="2" xfId="0" applyNumberFormat="1" applyFont="1" applyFill="1" applyBorder="1"/>
    <xf numFmtId="183" fontId="197" fillId="0" borderId="0" xfId="0" applyNumberFormat="1" applyFont="1" applyFill="1" applyBorder="1"/>
    <xf numFmtId="6" fontId="197" fillId="0" borderId="0" xfId="0" applyNumberFormat="1" applyFont="1"/>
    <xf numFmtId="171" fontId="199" fillId="0" borderId="0" xfId="0" applyNumberFormat="1" applyFont="1" applyBorder="1" applyAlignment="1">
      <alignment horizontal="center"/>
    </xf>
    <xf numFmtId="171" fontId="199" fillId="0" borderId="28" xfId="0" applyNumberFormat="1" applyFont="1" applyBorder="1" applyAlignment="1">
      <alignment horizontal="center"/>
    </xf>
    <xf numFmtId="214" fontId="198" fillId="0" borderId="0" xfId="0" applyNumberFormat="1" applyFont="1" applyFill="1" applyAlignment="1">
      <alignment horizontal="left"/>
    </xf>
    <xf numFmtId="172" fontId="198" fillId="0" borderId="0" xfId="0" applyNumberFormat="1" applyFont="1" applyFill="1"/>
    <xf numFmtId="200" fontId="72" fillId="0" borderId="0" xfId="0" applyNumberFormat="1" applyFont="1" applyFill="1" applyBorder="1"/>
    <xf numFmtId="6" fontId="74" fillId="0" borderId="0" xfId="0" applyNumberFormat="1" applyFont="1" applyBorder="1" applyAlignment="1">
      <alignment horizontal="center"/>
    </xf>
    <xf numFmtId="0" fontId="0" fillId="0" borderId="0" xfId="0"/>
    <xf numFmtId="166" fontId="34" fillId="0" borderId="0" xfId="30" applyNumberFormat="1" applyFont="1" applyFill="1"/>
    <xf numFmtId="44" fontId="5" fillId="0" borderId="0" xfId="11" applyFont="1" applyFill="1"/>
    <xf numFmtId="191" fontId="2" fillId="0" borderId="0" xfId="0" applyNumberFormat="1" applyFont="1" applyFill="1"/>
    <xf numFmtId="169" fontId="198" fillId="0" borderId="0" xfId="0" applyNumberFormat="1" applyFont="1" applyFill="1"/>
    <xf numFmtId="2" fontId="198" fillId="0" borderId="0" xfId="0" applyNumberFormat="1" applyFont="1"/>
    <xf numFmtId="39" fontId="197" fillId="0" borderId="0" xfId="0" applyNumberFormat="1" applyFont="1" applyFill="1" applyBorder="1"/>
    <xf numFmtId="0" fontId="2" fillId="0" borderId="0" xfId="0" applyFont="1" applyBorder="1"/>
    <xf numFmtId="0" fontId="0" fillId="0" borderId="0" xfId="0" quotePrefix="1" applyAlignment="1">
      <alignment horizontal="right"/>
    </xf>
    <xf numFmtId="0" fontId="0" fillId="0" borderId="0" xfId="0" applyAlignment="1">
      <alignment horizontal="right"/>
    </xf>
    <xf numFmtId="17" fontId="0" fillId="0" borderId="0" xfId="0" quotePrefix="1" applyNumberFormat="1" applyAlignment="1">
      <alignment horizontal="right"/>
    </xf>
    <xf numFmtId="0" fontId="0" fillId="0" borderId="2" xfId="0" quotePrefix="1" applyBorder="1" applyAlignment="1">
      <alignment horizontal="right"/>
    </xf>
    <xf numFmtId="0" fontId="2" fillId="13" borderId="0" xfId="39" applyFont="1" applyFill="1"/>
    <xf numFmtId="0" fontId="40" fillId="13" borderId="0" xfId="39" applyFont="1" applyFill="1"/>
    <xf numFmtId="0" fontId="2" fillId="0" borderId="0" xfId="39" applyFont="1"/>
    <xf numFmtId="0" fontId="12" fillId="13" borderId="0" xfId="39" applyFont="1" applyFill="1"/>
    <xf numFmtId="0" fontId="200" fillId="13" borderId="2" xfId="39" applyFont="1" applyFill="1" applyBorder="1"/>
    <xf numFmtId="197" fontId="21" fillId="13" borderId="2" xfId="15" applyNumberFormat="1" applyFont="1" applyFill="1" applyBorder="1" applyAlignment="1">
      <alignment horizontal="center"/>
    </xf>
    <xf numFmtId="197" fontId="21" fillId="12" borderId="2" xfId="15" applyNumberFormat="1" applyFont="1" applyFill="1" applyBorder="1" applyAlignment="1">
      <alignment horizontal="center"/>
    </xf>
    <xf numFmtId="17" fontId="12" fillId="13" borderId="0" xfId="39" applyNumberFormat="1" applyFont="1" applyFill="1"/>
    <xf numFmtId="0" fontId="12" fillId="0" borderId="0" xfId="39" applyFont="1"/>
    <xf numFmtId="0" fontId="200" fillId="13" borderId="0" xfId="39" applyFont="1" applyFill="1"/>
    <xf numFmtId="17" fontId="12" fillId="12" borderId="0" xfId="39" applyNumberFormat="1" applyFont="1" applyFill="1"/>
    <xf numFmtId="177" fontId="2" fillId="13" borderId="0" xfId="9" applyNumberFormat="1" applyFont="1" applyFill="1"/>
    <xf numFmtId="177" fontId="2" fillId="12" borderId="0" xfId="9" applyNumberFormat="1" applyFont="1" applyFill="1"/>
    <xf numFmtId="166" fontId="2" fillId="13" borderId="0" xfId="40" applyNumberFormat="1" applyFont="1" applyFill="1"/>
    <xf numFmtId="166" fontId="201" fillId="12" borderId="0" xfId="40" applyNumberFormat="1" applyFont="1" applyFill="1"/>
    <xf numFmtId="0" fontId="28" fillId="13" borderId="0" xfId="39" applyFont="1" applyFill="1"/>
    <xf numFmtId="0" fontId="202" fillId="13" borderId="0" xfId="39" applyFont="1" applyFill="1"/>
    <xf numFmtId="9" fontId="203" fillId="13" borderId="0" xfId="39" applyNumberFormat="1" applyFont="1" applyFill="1"/>
    <xf numFmtId="9" fontId="201" fillId="12" borderId="0" xfId="40" applyNumberFormat="1" applyFont="1" applyFill="1"/>
    <xf numFmtId="0" fontId="28" fillId="0" borderId="0" xfId="39" applyFont="1"/>
    <xf numFmtId="177" fontId="2" fillId="13" borderId="2" xfId="9" applyNumberFormat="1" applyFont="1" applyFill="1" applyBorder="1"/>
    <xf numFmtId="177" fontId="2" fillId="12" borderId="2" xfId="9" applyNumberFormat="1" applyFont="1" applyFill="1" applyBorder="1"/>
    <xf numFmtId="177" fontId="2" fillId="13" borderId="0" xfId="39" applyNumberFormat="1" applyFont="1" applyFill="1"/>
    <xf numFmtId="177" fontId="2" fillId="12" borderId="0" xfId="39" applyNumberFormat="1" applyFont="1" applyFill="1"/>
    <xf numFmtId="0" fontId="204" fillId="13" borderId="0" xfId="39" applyFont="1" applyFill="1"/>
    <xf numFmtId="9" fontId="204" fillId="13" borderId="0" xfId="40" applyFont="1" applyFill="1"/>
    <xf numFmtId="166" fontId="204" fillId="13" borderId="0" xfId="40" applyNumberFormat="1" applyFont="1" applyFill="1"/>
    <xf numFmtId="166" fontId="205" fillId="12" borderId="0" xfId="40" applyNumberFormat="1" applyFont="1" applyFill="1"/>
    <xf numFmtId="0" fontId="204" fillId="0" borderId="0" xfId="39" applyFont="1"/>
    <xf numFmtId="0" fontId="2" fillId="12" borderId="0" xfId="39" applyFont="1" applyFill="1"/>
    <xf numFmtId="177" fontId="40" fillId="13" borderId="0" xfId="9" quotePrefix="1" applyNumberFormat="1" applyFont="1" applyFill="1"/>
    <xf numFmtId="166" fontId="198" fillId="12" borderId="0" xfId="40" applyNumberFormat="1" applyFont="1" applyFill="1"/>
    <xf numFmtId="166" fontId="2" fillId="12" borderId="0" xfId="40" applyNumberFormat="1" applyFont="1" applyFill="1"/>
    <xf numFmtId="9" fontId="64" fillId="13" borderId="0" xfId="40" applyFont="1" applyFill="1"/>
    <xf numFmtId="9" fontId="205" fillId="12" borderId="0" xfId="40" applyFont="1" applyFill="1"/>
    <xf numFmtId="0" fontId="2" fillId="13" borderId="2" xfId="39" applyFont="1" applyFill="1" applyBorder="1"/>
    <xf numFmtId="0" fontId="2" fillId="12" borderId="2" xfId="39" applyFont="1" applyFill="1" applyBorder="1"/>
    <xf numFmtId="177" fontId="12" fillId="13" borderId="0" xfId="39" applyNumberFormat="1" applyFont="1" applyFill="1"/>
    <xf numFmtId="177" fontId="12" fillId="12" borderId="0" xfId="39" applyNumberFormat="1" applyFont="1" applyFill="1"/>
    <xf numFmtId="0" fontId="64" fillId="13" borderId="0" xfId="39" applyFont="1" applyFill="1"/>
    <xf numFmtId="0" fontId="64" fillId="0" borderId="0" xfId="39" applyFont="1"/>
    <xf numFmtId="0" fontId="206" fillId="13" borderId="0" xfId="39" applyFont="1" applyFill="1" applyAlignment="1">
      <alignment horizontal="center"/>
    </xf>
    <xf numFmtId="177" fontId="206" fillId="13" borderId="0" xfId="9" applyNumberFormat="1" applyFont="1" applyFill="1" applyAlignment="1">
      <alignment horizontal="center"/>
    </xf>
    <xf numFmtId="0" fontId="148" fillId="13" borderId="0" xfId="39" applyFont="1" applyFill="1" applyAlignment="1">
      <alignment horizontal="center"/>
    </xf>
    <xf numFmtId="0" fontId="206" fillId="0" borderId="0" xfId="39" applyFont="1" applyAlignment="1">
      <alignment horizontal="center"/>
    </xf>
    <xf numFmtId="177" fontId="40" fillId="13" borderId="0" xfId="9" applyNumberFormat="1" applyFont="1" applyFill="1"/>
    <xf numFmtId="43" fontId="26" fillId="13" borderId="0" xfId="9" applyNumberFormat="1" applyFont="1" applyFill="1"/>
    <xf numFmtId="177" fontId="200" fillId="7" borderId="13" xfId="9" applyNumberFormat="1" applyFont="1" applyFill="1" applyBorder="1"/>
    <xf numFmtId="177" fontId="2" fillId="7" borderId="5" xfId="9" applyNumberFormat="1" applyFont="1" applyFill="1" applyBorder="1"/>
    <xf numFmtId="177" fontId="2" fillId="7" borderId="14" xfId="9" applyNumberFormat="1" applyFont="1" applyFill="1" applyBorder="1"/>
    <xf numFmtId="177" fontId="40" fillId="7" borderId="13" xfId="9" applyNumberFormat="1" applyFont="1" applyFill="1" applyBorder="1"/>
    <xf numFmtId="0" fontId="2" fillId="7" borderId="5" xfId="39" applyFont="1" applyFill="1" applyBorder="1"/>
    <xf numFmtId="166" fontId="198" fillId="13" borderId="0" xfId="39" applyNumberFormat="1" applyFont="1" applyFill="1"/>
    <xf numFmtId="166" fontId="198" fillId="13" borderId="0" xfId="40" applyNumberFormat="1" applyFont="1" applyFill="1" applyAlignment="1">
      <alignment horizontal="right"/>
    </xf>
    <xf numFmtId="177" fontId="40" fillId="13" borderId="2" xfId="9" applyNumberFormat="1" applyFont="1" applyFill="1" applyBorder="1"/>
    <xf numFmtId="177" fontId="200" fillId="13" borderId="0" xfId="9" applyNumberFormat="1" applyFont="1" applyFill="1"/>
    <xf numFmtId="177" fontId="202" fillId="13" borderId="0" xfId="9" applyNumberFormat="1" applyFont="1" applyFill="1"/>
    <xf numFmtId="166" fontId="203" fillId="13" borderId="0" xfId="40" applyNumberFormat="1" applyFont="1" applyFill="1"/>
    <xf numFmtId="166" fontId="2" fillId="13" borderId="0" xfId="40" applyNumberFormat="1" applyFont="1" applyFill="1" applyAlignment="1">
      <alignment horizontal="right"/>
    </xf>
    <xf numFmtId="166" fontId="202" fillId="13" borderId="0" xfId="40" applyNumberFormat="1" applyFont="1" applyFill="1"/>
    <xf numFmtId="177" fontId="202" fillId="13" borderId="0" xfId="9" applyNumberFormat="1" applyFont="1" applyFill="1" applyAlignment="1">
      <alignment horizontal="center"/>
    </xf>
    <xf numFmtId="166" fontId="40" fillId="13" borderId="0" xfId="40" applyNumberFormat="1" applyFont="1" applyFill="1"/>
    <xf numFmtId="44" fontId="198" fillId="13" borderId="0" xfId="12" applyFont="1" applyFill="1"/>
    <xf numFmtId="9" fontId="40" fillId="13" borderId="0" xfId="40" applyFont="1" applyFill="1"/>
    <xf numFmtId="9" fontId="202" fillId="13" borderId="0" xfId="40" applyFont="1" applyFill="1" applyAlignment="1">
      <alignment horizontal="center"/>
    </xf>
    <xf numFmtId="177" fontId="200" fillId="7" borderId="5" xfId="9" applyNumberFormat="1" applyFont="1" applyFill="1" applyBorder="1" applyAlignment="1">
      <alignment horizontal="center"/>
    </xf>
    <xf numFmtId="166" fontId="200" fillId="7" borderId="14" xfId="40" applyNumberFormat="1" applyFont="1" applyFill="1" applyBorder="1"/>
    <xf numFmtId="177" fontId="40" fillId="13" borderId="0" xfId="9" applyNumberFormat="1" applyFont="1" applyFill="1" applyBorder="1"/>
    <xf numFmtId="177" fontId="40" fillId="13" borderId="2" xfId="9" applyNumberFormat="1" applyFont="1" applyFill="1" applyBorder="1" applyAlignment="1">
      <alignment horizontal="center"/>
    </xf>
    <xf numFmtId="177" fontId="200" fillId="14" borderId="13" xfId="9" applyNumberFormat="1" applyFont="1" applyFill="1" applyBorder="1"/>
    <xf numFmtId="44" fontId="200" fillId="14" borderId="14" xfId="12" applyFont="1" applyFill="1" applyBorder="1"/>
    <xf numFmtId="177" fontId="40" fillId="0" borderId="0" xfId="9" applyNumberFormat="1" applyFont="1"/>
    <xf numFmtId="9" fontId="2" fillId="13" borderId="0" xfId="40" applyFont="1" applyFill="1"/>
    <xf numFmtId="0" fontId="40" fillId="0" borderId="0" xfId="39" applyFont="1"/>
    <xf numFmtId="170" fontId="198" fillId="0" borderId="0" xfId="39" applyNumberFormat="1" applyFont="1" applyFill="1" applyAlignment="1">
      <alignment horizontal="right"/>
    </xf>
    <xf numFmtId="175" fontId="198" fillId="0" borderId="0" xfId="8" applyNumberFormat="1" applyFont="1" applyFill="1"/>
    <xf numFmtId="185" fontId="197" fillId="0" borderId="0" xfId="0" applyNumberFormat="1" applyFont="1" applyFill="1" applyBorder="1"/>
    <xf numFmtId="183" fontId="199" fillId="0" borderId="0" xfId="0" applyNumberFormat="1" applyFont="1" applyBorder="1" applyAlignment="1">
      <alignment horizontal="center"/>
    </xf>
    <xf numFmtId="183" fontId="207" fillId="0" borderId="18" xfId="0" applyNumberFormat="1" applyFont="1" applyFill="1" applyBorder="1"/>
    <xf numFmtId="0" fontId="0" fillId="0" borderId="0" xfId="0"/>
    <xf numFmtId="166" fontId="2" fillId="0" borderId="0" xfId="30" applyNumberFormat="1" applyFont="1"/>
    <xf numFmtId="183" fontId="198" fillId="0" borderId="0" xfId="0" applyNumberFormat="1" applyFont="1" applyFill="1"/>
    <xf numFmtId="37" fontId="197" fillId="0" borderId="0" xfId="0" applyNumberFormat="1" applyFont="1" applyFill="1"/>
    <xf numFmtId="167" fontId="197" fillId="0" borderId="0" xfId="0" applyNumberFormat="1" applyFont="1" applyFill="1"/>
    <xf numFmtId="171" fontId="9" fillId="0" borderId="0" xfId="0" applyNumberFormat="1" applyFont="1" applyFill="1" applyAlignment="1">
      <alignment horizontal="centerContinuous"/>
    </xf>
    <xf numFmtId="0" fontId="0" fillId="0" borderId="0" xfId="0"/>
    <xf numFmtId="185" fontId="18" fillId="0" borderId="39" xfId="0" applyNumberFormat="1" applyFont="1" applyBorder="1" applyAlignment="1">
      <alignment horizontal="right"/>
    </xf>
    <xf numFmtId="185" fontId="18" fillId="0" borderId="18" xfId="0" applyNumberFormat="1" applyFont="1" applyBorder="1" applyAlignment="1">
      <alignment horizontal="right"/>
    </xf>
    <xf numFmtId="185" fontId="5" fillId="0" borderId="0" xfId="0" applyNumberFormat="1" applyFont="1" applyAlignment="1">
      <alignment horizontal="right"/>
    </xf>
    <xf numFmtId="185" fontId="16" fillId="0" borderId="18" xfId="0" applyNumberFormat="1" applyFont="1" applyFill="1" applyBorder="1" applyAlignment="1">
      <alignment horizontal="right"/>
    </xf>
    <xf numFmtId="185" fontId="131" fillId="0" borderId="0" xfId="0" applyNumberFormat="1" applyFont="1" applyFill="1" applyBorder="1" applyAlignment="1">
      <alignment horizontal="right"/>
    </xf>
    <xf numFmtId="185" fontId="18" fillId="0" borderId="0" xfId="0" applyNumberFormat="1" applyFont="1" applyFill="1" applyBorder="1" applyAlignment="1">
      <alignment horizontal="right"/>
    </xf>
    <xf numFmtId="185" fontId="119" fillId="0" borderId="0" xfId="0" applyNumberFormat="1" applyFont="1" applyFill="1" applyBorder="1" applyAlignment="1">
      <alignment horizontal="right"/>
    </xf>
    <xf numFmtId="185" fontId="122" fillId="0" borderId="2" xfId="0" applyNumberFormat="1" applyFont="1" applyFill="1" applyBorder="1" applyAlignment="1">
      <alignment horizontal="right"/>
    </xf>
    <xf numFmtId="185" fontId="122" fillId="0" borderId="18" xfId="0" applyNumberFormat="1" applyFont="1" applyFill="1" applyBorder="1" applyAlignment="1">
      <alignment horizontal="right"/>
    </xf>
    <xf numFmtId="185" fontId="0" fillId="0" borderId="0" xfId="0" applyNumberFormat="1" applyFill="1"/>
    <xf numFmtId="185" fontId="124" fillId="0" borderId="0" xfId="0" applyNumberFormat="1" applyFont="1" applyFill="1" applyBorder="1" applyAlignment="1">
      <alignment horizontal="right"/>
    </xf>
    <xf numFmtId="185" fontId="128" fillId="0" borderId="2" xfId="0" applyNumberFormat="1" applyFont="1" applyFill="1" applyBorder="1" applyAlignment="1">
      <alignment horizontal="right"/>
    </xf>
    <xf numFmtId="185" fontId="128" fillId="0" borderId="18" xfId="0" applyNumberFormat="1" applyFont="1" applyFill="1" applyBorder="1" applyAlignment="1">
      <alignment horizontal="right"/>
    </xf>
    <xf numFmtId="185" fontId="128" fillId="0" borderId="0" xfId="0" applyNumberFormat="1" applyFont="1" applyFill="1" applyBorder="1" applyAlignment="1">
      <alignment horizontal="right"/>
    </xf>
    <xf numFmtId="185" fontId="167" fillId="0" borderId="0" xfId="0" applyNumberFormat="1" applyFont="1" applyFill="1" applyBorder="1" applyAlignment="1">
      <alignment horizontal="right"/>
    </xf>
    <xf numFmtId="185" fontId="167" fillId="0" borderId="2" xfId="0" applyNumberFormat="1" applyFont="1" applyFill="1" applyBorder="1" applyAlignment="1">
      <alignment horizontal="right"/>
    </xf>
    <xf numFmtId="185" fontId="167" fillId="0" borderId="18" xfId="0" applyNumberFormat="1" applyFont="1" applyFill="1" applyBorder="1" applyAlignment="1">
      <alignment horizontal="right"/>
    </xf>
    <xf numFmtId="185" fontId="169" fillId="0" borderId="18" xfId="0" applyNumberFormat="1" applyFont="1" applyFill="1" applyBorder="1" applyAlignment="1">
      <alignment horizontal="right"/>
    </xf>
    <xf numFmtId="185" fontId="173" fillId="0" borderId="0" xfId="0" applyNumberFormat="1" applyFont="1" applyFill="1" applyBorder="1" applyAlignment="1">
      <alignment horizontal="right"/>
    </xf>
    <xf numFmtId="185" fontId="174" fillId="0" borderId="2" xfId="0" applyNumberFormat="1" applyFont="1" applyFill="1" applyBorder="1" applyAlignment="1">
      <alignment horizontal="right"/>
    </xf>
    <xf numFmtId="185" fontId="174" fillId="0" borderId="18" xfId="0" applyNumberFormat="1" applyFont="1" applyFill="1" applyBorder="1" applyAlignment="1">
      <alignment horizontal="right"/>
    </xf>
    <xf numFmtId="185" fontId="179" fillId="0" borderId="0" xfId="0" applyNumberFormat="1" applyFont="1" applyFill="1" applyBorder="1" applyAlignment="1">
      <alignment horizontal="right"/>
    </xf>
    <xf numFmtId="185" fontId="179" fillId="0" borderId="2" xfId="0" applyNumberFormat="1" applyFont="1" applyBorder="1" applyAlignment="1">
      <alignment horizontal="right"/>
    </xf>
    <xf numFmtId="185" fontId="180" fillId="0" borderId="18" xfId="0" applyNumberFormat="1" applyFont="1" applyFill="1" applyBorder="1" applyAlignment="1">
      <alignment horizontal="right"/>
    </xf>
    <xf numFmtId="185" fontId="187" fillId="0" borderId="2" xfId="0" applyNumberFormat="1" applyFont="1" applyFill="1" applyBorder="1" applyAlignment="1">
      <alignment horizontal="right"/>
    </xf>
    <xf numFmtId="185" fontId="119" fillId="0" borderId="0" xfId="0" applyNumberFormat="1" applyFont="1" applyFill="1" applyBorder="1"/>
    <xf numFmtId="185" fontId="32" fillId="0" borderId="0" xfId="0" applyNumberFormat="1" applyFont="1" applyFill="1" applyBorder="1"/>
    <xf numFmtId="185" fontId="183" fillId="0" borderId="0" xfId="0" applyNumberFormat="1" applyFont="1" applyFill="1"/>
    <xf numFmtId="185" fontId="190" fillId="0" borderId="2" xfId="0" applyNumberFormat="1" applyFont="1" applyBorder="1" applyAlignment="1">
      <alignment horizontal="right"/>
    </xf>
    <xf numFmtId="185" fontId="193" fillId="0" borderId="0" xfId="0" applyNumberFormat="1" applyFont="1" applyFill="1" applyBorder="1"/>
    <xf numFmtId="185" fontId="197" fillId="0" borderId="2" xfId="0" applyNumberFormat="1" applyFont="1" applyFill="1" applyBorder="1"/>
    <xf numFmtId="185" fontId="197" fillId="0" borderId="2" xfId="0" applyNumberFormat="1" applyFont="1" applyFill="1" applyBorder="1" applyAlignment="1">
      <alignment horizontal="right"/>
    </xf>
    <xf numFmtId="185" fontId="197" fillId="0" borderId="18" xfId="0" applyNumberFormat="1" applyFont="1" applyFill="1" applyBorder="1" applyAlignment="1">
      <alignment horizontal="right"/>
    </xf>
    <xf numFmtId="185" fontId="197" fillId="0" borderId="39" xfId="0" applyNumberFormat="1" applyFont="1" applyFill="1" applyBorder="1"/>
    <xf numFmtId="185" fontId="5" fillId="0" borderId="0" xfId="0" applyNumberFormat="1" applyFont="1" applyFill="1" applyBorder="1" applyAlignment="1">
      <alignment horizontal="right"/>
    </xf>
    <xf numFmtId="185" fontId="5" fillId="0" borderId="0" xfId="0" applyNumberFormat="1" applyFont="1" applyFill="1" applyAlignment="1">
      <alignment horizontal="right"/>
    </xf>
    <xf numFmtId="185" fontId="18" fillId="0" borderId="2" xfId="0" applyNumberFormat="1" applyFont="1" applyFill="1" applyBorder="1" applyAlignment="1">
      <alignment horizontal="right"/>
    </xf>
    <xf numFmtId="185" fontId="16" fillId="0" borderId="18" xfId="0" applyNumberFormat="1" applyFont="1" applyFill="1" applyBorder="1"/>
    <xf numFmtId="185" fontId="12" fillId="0" borderId="0" xfId="0" applyNumberFormat="1" applyFont="1" applyFill="1" applyBorder="1"/>
    <xf numFmtId="185" fontId="119" fillId="0" borderId="0" xfId="0" applyNumberFormat="1" applyFont="1" applyBorder="1" applyAlignment="1">
      <alignment horizontal="right"/>
    </xf>
    <xf numFmtId="185" fontId="122" fillId="0" borderId="2" xfId="0" applyNumberFormat="1" applyFont="1" applyBorder="1" applyAlignment="1">
      <alignment horizontal="right"/>
    </xf>
    <xf numFmtId="185" fontId="122" fillId="0" borderId="39" xfId="0" applyNumberFormat="1" applyFont="1" applyBorder="1" applyAlignment="1">
      <alignment horizontal="right"/>
    </xf>
    <xf numFmtId="185" fontId="124" fillId="0" borderId="0" xfId="0" applyNumberFormat="1" applyFont="1" applyBorder="1" applyAlignment="1">
      <alignment horizontal="right"/>
    </xf>
    <xf numFmtId="185" fontId="128" fillId="0" borderId="2" xfId="0" applyNumberFormat="1" applyFont="1" applyBorder="1" applyAlignment="1">
      <alignment horizontal="right"/>
    </xf>
    <xf numFmtId="185" fontId="128" fillId="0" borderId="39" xfId="0" applyNumberFormat="1" applyFont="1" applyBorder="1" applyAlignment="1">
      <alignment horizontal="right"/>
    </xf>
    <xf numFmtId="185" fontId="128" fillId="0" borderId="0" xfId="0" applyNumberFormat="1" applyFont="1" applyBorder="1" applyAlignment="1">
      <alignment horizontal="right"/>
    </xf>
    <xf numFmtId="185" fontId="131" fillId="0" borderId="0" xfId="0" applyNumberFormat="1" applyFont="1" applyBorder="1" applyAlignment="1">
      <alignment horizontal="right"/>
    </xf>
    <xf numFmtId="185" fontId="167" fillId="0" borderId="0" xfId="0" applyNumberFormat="1" applyFont="1" applyBorder="1" applyAlignment="1">
      <alignment horizontal="right"/>
    </xf>
    <xf numFmtId="185" fontId="167" fillId="0" borderId="2" xfId="0" applyNumberFormat="1" applyFont="1" applyBorder="1" applyAlignment="1">
      <alignment horizontal="right"/>
    </xf>
    <xf numFmtId="185" fontId="167" fillId="0" borderId="39" xfId="0" applyNumberFormat="1" applyFont="1" applyBorder="1" applyAlignment="1">
      <alignment horizontal="right"/>
    </xf>
    <xf numFmtId="185" fontId="169" fillId="0" borderId="18" xfId="0" applyNumberFormat="1" applyFont="1" applyFill="1" applyBorder="1"/>
    <xf numFmtId="185" fontId="173" fillId="0" borderId="0" xfId="0" applyNumberFormat="1" applyFont="1" applyBorder="1" applyAlignment="1">
      <alignment horizontal="right"/>
    </xf>
    <xf numFmtId="185" fontId="174" fillId="0" borderId="2" xfId="0" applyNumberFormat="1" applyFont="1" applyBorder="1" applyAlignment="1">
      <alignment horizontal="right"/>
    </xf>
    <xf numFmtId="185" fontId="179" fillId="0" borderId="0" xfId="0" applyNumberFormat="1" applyFont="1" applyBorder="1" applyAlignment="1">
      <alignment horizontal="right"/>
    </xf>
    <xf numFmtId="185" fontId="180" fillId="0" borderId="39" xfId="0" applyNumberFormat="1" applyFont="1" applyBorder="1" applyAlignment="1">
      <alignment horizontal="right"/>
    </xf>
    <xf numFmtId="185" fontId="187" fillId="0" borderId="2" xfId="0" applyNumberFormat="1" applyFont="1" applyBorder="1" applyAlignment="1">
      <alignment horizontal="right"/>
    </xf>
    <xf numFmtId="185" fontId="183" fillId="0" borderId="0" xfId="0" applyNumberFormat="1" applyFont="1"/>
    <xf numFmtId="185" fontId="5" fillId="0" borderId="39" xfId="0" applyNumberFormat="1" applyFont="1" applyBorder="1" applyAlignment="1">
      <alignment horizontal="right"/>
    </xf>
    <xf numFmtId="185" fontId="5" fillId="0" borderId="18" xfId="0" applyNumberFormat="1" applyFont="1" applyFill="1" applyBorder="1" applyAlignment="1">
      <alignment horizontal="right"/>
    </xf>
    <xf numFmtId="185" fontId="18" fillId="0" borderId="18" xfId="0" applyNumberFormat="1" applyFont="1" applyFill="1" applyBorder="1" applyAlignment="1">
      <alignment horizontal="right"/>
    </xf>
    <xf numFmtId="185" fontId="32" fillId="8" borderId="0" xfId="0" applyNumberFormat="1" applyFont="1" applyFill="1" applyBorder="1"/>
    <xf numFmtId="185" fontId="32" fillId="8" borderId="2" xfId="0" applyNumberFormat="1" applyFont="1" applyFill="1" applyBorder="1"/>
    <xf numFmtId="185" fontId="5" fillId="8" borderId="0" xfId="0" applyNumberFormat="1" applyFont="1" applyFill="1" applyBorder="1"/>
    <xf numFmtId="200" fontId="208" fillId="0" borderId="0" xfId="0" applyNumberFormat="1" applyFont="1" applyFill="1" applyBorder="1"/>
    <xf numFmtId="175" fontId="9" fillId="15" borderId="0" xfId="8" applyNumberFormat="1" applyFont="1" applyFill="1"/>
    <xf numFmtId="170" fontId="5" fillId="0" borderId="0" xfId="0" applyNumberFormat="1" applyFont="1" applyFill="1"/>
    <xf numFmtId="185" fontId="5" fillId="0" borderId="11" xfId="0" applyNumberFormat="1" applyFont="1" applyFill="1" applyBorder="1"/>
    <xf numFmtId="182" fontId="5" fillId="0" borderId="0" xfId="0" applyNumberFormat="1" applyFont="1" applyFill="1" applyBorder="1"/>
    <xf numFmtId="178" fontId="5" fillId="0" borderId="0" xfId="0" applyNumberFormat="1" applyFont="1" applyFill="1" applyBorder="1"/>
    <xf numFmtId="185" fontId="207" fillId="0" borderId="0" xfId="0" applyNumberFormat="1" applyFont="1" applyFill="1" applyBorder="1"/>
    <xf numFmtId="214" fontId="2" fillId="0" borderId="0" xfId="0" applyNumberFormat="1" applyFont="1" applyFill="1" applyAlignment="1">
      <alignment horizontal="left"/>
    </xf>
    <xf numFmtId="172" fontId="2" fillId="0" borderId="0" xfId="0" applyNumberFormat="1" applyFont="1" applyFill="1"/>
    <xf numFmtId="175" fontId="2" fillId="0" borderId="0" xfId="8" applyNumberFormat="1" applyFont="1" applyFill="1"/>
    <xf numFmtId="175" fontId="2" fillId="0" borderId="2" xfId="8" applyNumberFormat="1" applyFont="1" applyFill="1" applyBorder="1"/>
    <xf numFmtId="175" fontId="2" fillId="0" borderId="0" xfId="8" applyNumberFormat="1" applyFont="1" applyFill="1" applyBorder="1"/>
    <xf numFmtId="171" fontId="2" fillId="0" borderId="0" xfId="0" applyNumberFormat="1" applyFont="1" applyFill="1"/>
    <xf numFmtId="183" fontId="2" fillId="0" borderId="0" xfId="0" applyNumberFormat="1" applyFont="1" applyFill="1"/>
    <xf numFmtId="183" fontId="2" fillId="0" borderId="2" xfId="0" applyNumberFormat="1" applyFont="1" applyFill="1" applyBorder="1"/>
    <xf numFmtId="17" fontId="2" fillId="0" borderId="0" xfId="0" quotePrefix="1" applyNumberFormat="1" applyFont="1" applyAlignment="1">
      <alignment horizontal="right"/>
    </xf>
    <xf numFmtId="0" fontId="2" fillId="0" borderId="0" xfId="0" quotePrefix="1" applyFont="1" applyAlignment="1">
      <alignment horizontal="right"/>
    </xf>
    <xf numFmtId="228" fontId="0" fillId="0" borderId="0" xfId="0" applyNumberFormat="1" applyFill="1"/>
    <xf numFmtId="228" fontId="0" fillId="0" borderId="2" xfId="0" applyNumberFormat="1" applyFill="1" applyBorder="1"/>
    <xf numFmtId="172" fontId="209" fillId="0" borderId="0" xfId="0" applyNumberFormat="1" applyFont="1" applyFill="1"/>
    <xf numFmtId="183" fontId="209" fillId="0" borderId="0" xfId="0" applyNumberFormat="1" applyFont="1" applyFill="1"/>
    <xf numFmtId="2" fontId="2" fillId="0" borderId="0" xfId="0" applyNumberFormat="1" applyFont="1"/>
    <xf numFmtId="169" fontId="209" fillId="0" borderId="0" xfId="0" applyNumberFormat="1" applyFont="1" applyFill="1"/>
    <xf numFmtId="167" fontId="2" fillId="0" borderId="0" xfId="15" applyNumberFormat="1" applyFont="1" applyFill="1" applyBorder="1"/>
    <xf numFmtId="5" fontId="2" fillId="0" borderId="0" xfId="27" applyNumberFormat="1" applyFont="1" applyFill="1" applyProtection="1"/>
    <xf numFmtId="177" fontId="2" fillId="0" borderId="0" xfId="8" applyNumberFormat="1" applyFont="1"/>
    <xf numFmtId="205" fontId="2" fillId="0" borderId="0" xfId="28" applyNumberFormat="1" applyFont="1" applyFill="1" applyProtection="1"/>
    <xf numFmtId="166" fontId="197" fillId="0" borderId="0" xfId="30" applyNumberFormat="1" applyFont="1" applyFill="1"/>
    <xf numFmtId="0" fontId="9" fillId="0" borderId="0" xfId="0" applyNumberFormat="1" applyFont="1"/>
    <xf numFmtId="169" fontId="210" fillId="0" borderId="0" xfId="37" applyFont="1" applyFill="1" applyAlignment="1">
      <alignment horizontal="center"/>
    </xf>
    <xf numFmtId="205" fontId="134" fillId="0" borderId="0" xfId="30" applyNumberFormat="1" applyFont="1" applyBorder="1" applyAlignment="1">
      <alignment horizontal="right"/>
    </xf>
    <xf numFmtId="205" fontId="24" fillId="0" borderId="0" xfId="30" applyNumberFormat="1" applyFont="1" applyBorder="1" applyAlignment="1">
      <alignment horizontal="right"/>
    </xf>
    <xf numFmtId="185" fontId="197" fillId="0" borderId="0" xfId="0" applyNumberFormat="1" applyFont="1" applyFill="1" applyBorder="1" applyAlignment="1">
      <alignment horizontal="right"/>
    </xf>
    <xf numFmtId="0" fontId="0" fillId="0" borderId="0" xfId="0"/>
    <xf numFmtId="185" fontId="197" fillId="0" borderId="2" xfId="0" applyNumberFormat="1" applyFont="1" applyBorder="1" applyAlignment="1">
      <alignment horizontal="right"/>
    </xf>
    <xf numFmtId="0" fontId="183" fillId="0" borderId="0" xfId="0" applyFont="1" applyFill="1"/>
    <xf numFmtId="185" fontId="197" fillId="0" borderId="39" xfId="0" applyNumberFormat="1" applyFont="1" applyBorder="1" applyAlignment="1">
      <alignment horizontal="right"/>
    </xf>
    <xf numFmtId="185" fontId="167" fillId="0" borderId="2" xfId="0" applyNumberFormat="1" applyFont="1" applyFill="1" applyBorder="1"/>
    <xf numFmtId="185" fontId="167" fillId="0" borderId="0" xfId="0" applyNumberFormat="1" applyFont="1" applyFill="1" applyBorder="1"/>
    <xf numFmtId="185" fontId="189" fillId="0" borderId="0" xfId="0" applyNumberFormat="1" applyFont="1" applyFill="1" applyBorder="1"/>
    <xf numFmtId="185" fontId="173" fillId="0" borderId="0" xfId="0" applyNumberFormat="1" applyFont="1" applyFill="1" applyBorder="1"/>
    <xf numFmtId="185" fontId="193" fillId="0" borderId="2" xfId="0" applyNumberFormat="1" applyFont="1" applyFill="1" applyBorder="1"/>
    <xf numFmtId="185" fontId="174" fillId="0" borderId="2" xfId="0" applyNumberFormat="1" applyFont="1" applyFill="1" applyBorder="1"/>
    <xf numFmtId="185" fontId="179" fillId="0" borderId="0" xfId="0" applyNumberFormat="1" applyFont="1" applyFill="1" applyBorder="1"/>
    <xf numFmtId="185" fontId="179" fillId="0" borderId="2" xfId="0" applyNumberFormat="1" applyFont="1" applyFill="1" applyBorder="1"/>
    <xf numFmtId="185" fontId="197" fillId="0" borderId="50" xfId="0" applyNumberFormat="1" applyFont="1" applyFill="1" applyBorder="1"/>
    <xf numFmtId="165" fontId="199" fillId="0" borderId="2" xfId="0" applyNumberFormat="1" applyFont="1" applyFill="1" applyBorder="1" applyAlignment="1">
      <alignment horizontal="center"/>
    </xf>
    <xf numFmtId="225" fontId="0" fillId="0" borderId="0" xfId="0" applyNumberFormat="1"/>
    <xf numFmtId="166" fontId="9" fillId="0" borderId="0" xfId="30" applyNumberFormat="1" applyFont="1" applyFill="1" applyAlignment="1">
      <alignment horizontal="centerContinuous"/>
    </xf>
    <xf numFmtId="43" fontId="5" fillId="0" borderId="4" xfId="8" applyFont="1" applyBorder="1"/>
    <xf numFmtId="182" fontId="197" fillId="0" borderId="0" xfId="0" applyNumberFormat="1" applyFont="1" applyFill="1" applyBorder="1"/>
    <xf numFmtId="0" fontId="0" fillId="0" borderId="0" xfId="0"/>
    <xf numFmtId="175" fontId="9" fillId="0" borderId="0" xfId="0" applyNumberFormat="1" applyFont="1" applyFill="1" applyAlignment="1">
      <alignment horizontal="centerContinuous"/>
    </xf>
    <xf numFmtId="9" fontId="9" fillId="0" borderId="0" xfId="30" applyFont="1" applyFill="1" applyAlignment="1">
      <alignment horizontal="centerContinuous"/>
    </xf>
    <xf numFmtId="9" fontId="2" fillId="0" borderId="0" xfId="30" applyFont="1" applyFill="1"/>
    <xf numFmtId="166" fontId="5" fillId="0" borderId="0" xfId="30" applyNumberFormat="1" applyFont="1" applyAlignment="1">
      <alignment horizontal="center"/>
    </xf>
    <xf numFmtId="0" fontId="11" fillId="8" borderId="0" xfId="16" applyFont="1" applyFill="1" applyBorder="1" applyAlignment="1">
      <alignment horizontal="left" indent="1"/>
    </xf>
    <xf numFmtId="9" fontId="5" fillId="0" borderId="0" xfId="30" applyNumberFormat="1" applyFont="1" applyAlignment="1">
      <alignment horizontal="center"/>
    </xf>
    <xf numFmtId="166" fontId="5" fillId="0" borderId="0" xfId="0" applyNumberFormat="1" applyFont="1" applyAlignment="1">
      <alignment horizontal="center"/>
    </xf>
    <xf numFmtId="8" fontId="11" fillId="0" borderId="0" xfId="0" applyNumberFormat="1" applyFont="1" applyFill="1" applyAlignment="1">
      <alignment horizontal="center"/>
    </xf>
    <xf numFmtId="171" fontId="5" fillId="0" borderId="0" xfId="0" applyNumberFormat="1" applyFont="1" applyFill="1" applyAlignment="1">
      <alignment horizontal="center"/>
    </xf>
    <xf numFmtId="0" fontId="211" fillId="16" borderId="0" xfId="0" applyFont="1" applyFill="1" applyAlignment="1">
      <alignment horizontal="center"/>
    </xf>
    <xf numFmtId="9" fontId="5" fillId="0" borderId="0" xfId="30" applyFont="1" applyAlignment="1">
      <alignment horizontal="center"/>
    </xf>
    <xf numFmtId="9" fontId="5" fillId="0" borderId="0" xfId="0" applyNumberFormat="1" applyFont="1" applyAlignment="1">
      <alignment horizontal="center"/>
    </xf>
    <xf numFmtId="166" fontId="14" fillId="0" borderId="0" xfId="30" quotePrefix="1" applyNumberFormat="1" applyFont="1" applyAlignment="1">
      <alignment horizontal="center"/>
    </xf>
    <xf numFmtId="166" fontId="14" fillId="0" borderId="0" xfId="30" applyNumberFormat="1" applyFont="1" applyAlignment="1">
      <alignment horizontal="center"/>
    </xf>
    <xf numFmtId="0" fontId="14" fillId="0" borderId="0" xfId="0" applyFont="1" applyFill="1"/>
    <xf numFmtId="166" fontId="5" fillId="0" borderId="0" xfId="30" applyNumberFormat="1" applyFont="1" applyFill="1" applyAlignment="1">
      <alignment horizontal="center"/>
    </xf>
    <xf numFmtId="166" fontId="14" fillId="0" borderId="0" xfId="30" quotePrefix="1" applyNumberFormat="1" applyFont="1" applyFill="1" applyAlignment="1">
      <alignment horizontal="center"/>
    </xf>
    <xf numFmtId="166" fontId="14" fillId="0" borderId="0" xfId="30" applyNumberFormat="1" applyFont="1" applyFill="1" applyAlignment="1">
      <alignment horizontal="center"/>
    </xf>
    <xf numFmtId="171" fontId="14" fillId="0" borderId="0" xfId="0" applyNumberFormat="1" applyFont="1" applyFill="1" applyAlignment="1">
      <alignment horizontal="center"/>
    </xf>
    <xf numFmtId="0" fontId="11" fillId="17" borderId="0" xfId="0" applyFont="1" applyFill="1"/>
    <xf numFmtId="166" fontId="5" fillId="17" borderId="0" xfId="30" applyNumberFormat="1" applyFont="1" applyFill="1" applyAlignment="1">
      <alignment horizontal="center"/>
    </xf>
    <xf numFmtId="166" fontId="5" fillId="17" borderId="0" xfId="0" applyNumberFormat="1" applyFont="1" applyFill="1" applyAlignment="1">
      <alignment horizontal="center"/>
    </xf>
    <xf numFmtId="8" fontId="11" fillId="17" borderId="0" xfId="0" applyNumberFormat="1" applyFont="1" applyFill="1" applyAlignment="1">
      <alignment horizontal="center"/>
    </xf>
    <xf numFmtId="166" fontId="11" fillId="17" borderId="0" xfId="30" applyNumberFormat="1" applyFont="1" applyFill="1" applyAlignment="1">
      <alignment horizontal="center"/>
    </xf>
    <xf numFmtId="171" fontId="11" fillId="17" borderId="0" xfId="0" applyNumberFormat="1" applyFont="1" applyFill="1" applyAlignment="1">
      <alignment horizontal="center"/>
    </xf>
    <xf numFmtId="44" fontId="11" fillId="17" borderId="0" xfId="11" applyFont="1" applyFill="1" applyAlignment="1">
      <alignment horizontal="center"/>
    </xf>
    <xf numFmtId="0" fontId="14" fillId="0" borderId="0" xfId="0" quotePrefix="1" applyFont="1" applyAlignment="1">
      <alignment horizontal="center"/>
    </xf>
    <xf numFmtId="0" fontId="0" fillId="0" borderId="0" xfId="0"/>
    <xf numFmtId="0" fontId="0" fillId="0" borderId="0" xfId="0"/>
    <xf numFmtId="228" fontId="0" fillId="0" borderId="0" xfId="0" applyNumberFormat="1" applyFill="1" applyBorder="1"/>
    <xf numFmtId="177" fontId="0" fillId="0" borderId="0" xfId="8" applyNumberFormat="1" applyFont="1" applyBorder="1"/>
    <xf numFmtId="0" fontId="2" fillId="0" borderId="0" xfId="0" quotePrefix="1" applyFont="1" applyBorder="1" applyAlignment="1">
      <alignment horizontal="right"/>
    </xf>
    <xf numFmtId="0" fontId="0" fillId="0" borderId="0" xfId="0" quotePrefix="1" applyBorder="1"/>
    <xf numFmtId="175" fontId="0" fillId="0" borderId="0" xfId="8" applyNumberFormat="1" applyFont="1" applyBorder="1"/>
    <xf numFmtId="0" fontId="0" fillId="0" borderId="2" xfId="0" applyFont="1" applyFill="1" applyBorder="1"/>
    <xf numFmtId="17" fontId="2" fillId="0" borderId="2" xfId="0" quotePrefix="1" applyNumberFormat="1" applyFont="1" applyBorder="1" applyAlignment="1">
      <alignment horizontal="right"/>
    </xf>
    <xf numFmtId="0" fontId="116" fillId="0" borderId="0" xfId="0" applyFont="1" applyFill="1"/>
    <xf numFmtId="272" fontId="86" fillId="0" borderId="0" xfId="0" applyNumberFormat="1" applyFont="1" applyFill="1"/>
    <xf numFmtId="167" fontId="134" fillId="0" borderId="0" xfId="18" applyNumberFormat="1" applyFont="1" applyFill="1"/>
    <xf numFmtId="166" fontId="134" fillId="0" borderId="0" xfId="18" applyNumberFormat="1" applyFont="1" applyFill="1" applyAlignment="1">
      <alignment horizontal="right"/>
    </xf>
    <xf numFmtId="166" fontId="134" fillId="0" borderId="1" xfId="30" applyNumberFormat="1" applyFont="1" applyFill="1" applyBorder="1" applyAlignment="1">
      <alignment horizontal="right"/>
    </xf>
    <xf numFmtId="166" fontId="134" fillId="0" borderId="15" xfId="30" applyNumberFormat="1" applyFont="1" applyFill="1" applyBorder="1" applyAlignment="1">
      <alignment horizontal="right"/>
    </xf>
    <xf numFmtId="166" fontId="134" fillId="0" borderId="0" xfId="18" applyNumberFormat="1" applyFont="1" applyFill="1" applyBorder="1" applyAlignment="1">
      <alignment horizontal="right"/>
    </xf>
    <xf numFmtId="37" fontId="9" fillId="0" borderId="0" xfId="24" applyFont="1" applyFill="1" applyAlignment="1" applyProtection="1">
      <alignment horizontal="left"/>
    </xf>
    <xf numFmtId="5" fontId="9" fillId="0" borderId="0" xfId="0" applyNumberFormat="1" applyFont="1" applyFill="1" applyBorder="1"/>
    <xf numFmtId="5" fontId="198" fillId="0" borderId="0" xfId="0" applyNumberFormat="1" applyFont="1" applyFill="1"/>
    <xf numFmtId="0" fontId="0" fillId="0" borderId="0" xfId="0"/>
    <xf numFmtId="175" fontId="198" fillId="0" borderId="2" xfId="8" applyNumberFormat="1" applyFont="1" applyFill="1" applyBorder="1"/>
    <xf numFmtId="49" fontId="16" fillId="0" borderId="0" xfId="0" quotePrefix="1" applyNumberFormat="1" applyFont="1" applyFill="1" applyBorder="1" applyAlignment="1">
      <alignment horizontal="center"/>
    </xf>
    <xf numFmtId="49" fontId="16" fillId="0" borderId="0" xfId="0" applyNumberFormat="1" applyFont="1" applyFill="1" applyBorder="1" applyAlignment="1">
      <alignment horizontal="center"/>
    </xf>
    <xf numFmtId="0" fontId="0" fillId="0" borderId="0" xfId="0"/>
    <xf numFmtId="183" fontId="198" fillId="0" borderId="2" xfId="0" applyNumberFormat="1" applyFont="1" applyFill="1" applyBorder="1"/>
    <xf numFmtId="167" fontId="198" fillId="0" borderId="0" xfId="0" applyNumberFormat="1" applyFont="1" applyFill="1"/>
    <xf numFmtId="37" fontId="197" fillId="0" borderId="2" xfId="0" applyNumberFormat="1" applyFont="1" applyFill="1" applyBorder="1"/>
    <xf numFmtId="167" fontId="197" fillId="0" borderId="2" xfId="0" applyNumberFormat="1" applyFont="1" applyFill="1" applyBorder="1"/>
    <xf numFmtId="2" fontId="198" fillId="0" borderId="2" xfId="0" applyNumberFormat="1" applyFont="1" applyBorder="1"/>
    <xf numFmtId="0" fontId="198" fillId="0" borderId="0" xfId="0" applyFont="1" applyFill="1"/>
    <xf numFmtId="169" fontId="198" fillId="0" borderId="2" xfId="0" applyNumberFormat="1" applyFont="1" applyFill="1" applyBorder="1"/>
    <xf numFmtId="279" fontId="9" fillId="0" borderId="0" xfId="11" applyNumberFormat="1" applyFont="1" applyFill="1"/>
    <xf numFmtId="0" fontId="0" fillId="15" borderId="0" xfId="0" applyFill="1"/>
    <xf numFmtId="166" fontId="13" fillId="0" borderId="0" xfId="30" applyNumberFormat="1" applyFont="1" applyFill="1"/>
    <xf numFmtId="0" fontId="12" fillId="0" borderId="1" xfId="0" applyFont="1" applyBorder="1"/>
    <xf numFmtId="0" fontId="12" fillId="0" borderId="16" xfId="0" applyFont="1" applyBorder="1"/>
    <xf numFmtId="0" fontId="2" fillId="15" borderId="0" xfId="0" applyFont="1" applyFill="1"/>
    <xf numFmtId="214" fontId="0" fillId="0" borderId="0" xfId="0" applyNumberFormat="1"/>
    <xf numFmtId="171" fontId="199" fillId="0" borderId="44" xfId="0" applyNumberFormat="1" applyFont="1" applyBorder="1" applyAlignment="1">
      <alignment horizontal="center"/>
    </xf>
    <xf numFmtId="0" fontId="2" fillId="0" borderId="2" xfId="0" applyFont="1" applyFill="1" applyBorder="1" applyAlignment="1">
      <alignment horizontal="centerContinuous"/>
    </xf>
    <xf numFmtId="206" fontId="5" fillId="0" borderId="0" xfId="0" applyNumberFormat="1" applyFont="1"/>
    <xf numFmtId="0" fontId="5" fillId="0" borderId="1" xfId="0" applyFont="1" applyBorder="1" applyAlignment="1">
      <alignment horizontal="right"/>
    </xf>
    <xf numFmtId="0" fontId="5" fillId="0" borderId="1" xfId="0" applyFont="1" applyFill="1" applyBorder="1" applyAlignment="1">
      <alignment horizontal="right"/>
    </xf>
    <xf numFmtId="0" fontId="35" fillId="0" borderId="14" xfId="0" applyFont="1" applyBorder="1" applyAlignment="1">
      <alignment horizontal="left"/>
    </xf>
    <xf numFmtId="192" fontId="34" fillId="0" borderId="0" xfId="30" applyNumberFormat="1" applyFont="1" applyAlignment="1">
      <alignment horizontal="left"/>
    </xf>
    <xf numFmtId="192" fontId="37" fillId="0" borderId="0" xfId="30" applyNumberFormat="1" applyFont="1" applyAlignment="1">
      <alignment horizontal="left"/>
    </xf>
    <xf numFmtId="192" fontId="34" fillId="5" borderId="0" xfId="30" applyNumberFormat="1" applyFont="1" applyFill="1" applyAlignment="1">
      <alignment horizontal="left"/>
    </xf>
    <xf numFmtId="192" fontId="34" fillId="0" borderId="0" xfId="30" applyNumberFormat="1" applyFont="1" applyFill="1" applyAlignment="1">
      <alignment horizontal="left"/>
    </xf>
    <xf numFmtId="192" fontId="34" fillId="6" borderId="0" xfId="30" applyNumberFormat="1" applyFont="1" applyFill="1" applyAlignment="1">
      <alignment horizontal="left"/>
    </xf>
    <xf numFmtId="37" fontId="18" fillId="0" borderId="0" xfId="0" applyNumberFormat="1" applyFont="1" applyAlignment="1">
      <alignment horizontal="left"/>
    </xf>
    <xf numFmtId="44" fontId="5" fillId="0" borderId="0" xfId="11" applyNumberFormat="1" applyFont="1"/>
    <xf numFmtId="0" fontId="98" fillId="0" borderId="0" xfId="39" applyFont="1"/>
    <xf numFmtId="0" fontId="196" fillId="0" borderId="0" xfId="39" applyFont="1"/>
    <xf numFmtId="0" fontId="212" fillId="0" borderId="0" xfId="39" applyFont="1" applyAlignment="1">
      <alignment horizontal="center"/>
    </xf>
    <xf numFmtId="0" fontId="2" fillId="0" borderId="0" xfId="39" applyFont="1" applyAlignment="1">
      <alignment horizontal="left" indent="2"/>
    </xf>
    <xf numFmtId="164" fontId="2" fillId="0" borderId="0" xfId="39" applyNumberFormat="1"/>
    <xf numFmtId="0" fontId="196" fillId="0" borderId="0" xfId="39" applyFont="1" applyAlignment="1">
      <alignment horizontal="left" indent="2"/>
    </xf>
    <xf numFmtId="166" fontId="2" fillId="0" borderId="0" xfId="39" applyNumberFormat="1"/>
    <xf numFmtId="0" fontId="12" fillId="0" borderId="11" xfId="39" applyFont="1" applyBorder="1" applyAlignment="1">
      <alignment horizontal="left" indent="1"/>
    </xf>
    <xf numFmtId="0" fontId="2" fillId="0" borderId="11" xfId="39" applyBorder="1"/>
    <xf numFmtId="0" fontId="2" fillId="0" borderId="0" xfId="39" applyFont="1" applyAlignment="1">
      <alignment horizontal="left" indent="1"/>
    </xf>
    <xf numFmtId="164" fontId="2" fillId="0" borderId="0" xfId="39" applyNumberFormat="1" applyFill="1"/>
    <xf numFmtId="0" fontId="12" fillId="0" borderId="0" xfId="39" applyFont="1" applyAlignment="1">
      <alignment horizontal="left"/>
    </xf>
    <xf numFmtId="166" fontId="12" fillId="0" borderId="0" xfId="39" applyNumberFormat="1" applyFont="1"/>
    <xf numFmtId="164" fontId="2" fillId="0" borderId="2" xfId="39" applyNumberFormat="1" applyBorder="1"/>
    <xf numFmtId="6" fontId="12" fillId="0" borderId="11" xfId="41" applyNumberFormat="1" applyFont="1" applyBorder="1"/>
    <xf numFmtId="177" fontId="5" fillId="0" borderId="0" xfId="8" applyNumberFormat="1" applyFont="1" applyFill="1"/>
    <xf numFmtId="195" fontId="11" fillId="0" borderId="2" xfId="0" applyNumberFormat="1" applyFont="1" applyFill="1" applyBorder="1" applyAlignment="1">
      <alignment horizontal="center"/>
    </xf>
    <xf numFmtId="0" fontId="0" fillId="0" borderId="0" xfId="0"/>
    <xf numFmtId="0" fontId="12" fillId="8" borderId="6" xfId="0" applyFont="1" applyFill="1" applyBorder="1" applyAlignment="1">
      <alignment horizontal="center"/>
    </xf>
    <xf numFmtId="0" fontId="12" fillId="8" borderId="11" xfId="0" applyFont="1" applyFill="1" applyBorder="1" applyAlignment="1">
      <alignment horizontal="center"/>
    </xf>
    <xf numFmtId="0" fontId="12" fillId="8" borderId="20" xfId="0" applyFont="1" applyFill="1" applyBorder="1" applyAlignment="1">
      <alignment horizontal="center"/>
    </xf>
    <xf numFmtId="0" fontId="11" fillId="2" borderId="6" xfId="0" applyFont="1" applyFill="1" applyBorder="1" applyAlignment="1">
      <alignment horizontal="center"/>
    </xf>
    <xf numFmtId="0" fontId="11" fillId="2" borderId="11" xfId="0" applyFont="1" applyFill="1" applyBorder="1" applyAlignment="1">
      <alignment horizontal="center"/>
    </xf>
    <xf numFmtId="0" fontId="11" fillId="2" borderId="20" xfId="0" applyFont="1" applyFill="1" applyBorder="1" applyAlignment="1">
      <alignment horizontal="center"/>
    </xf>
    <xf numFmtId="0" fontId="11" fillId="2" borderId="13" xfId="0" applyFont="1" applyFill="1" applyBorder="1" applyAlignment="1">
      <alignment horizontal="center"/>
    </xf>
    <xf numFmtId="0" fontId="11" fillId="2" borderId="5" xfId="0" applyFont="1" applyFill="1" applyBorder="1" applyAlignment="1">
      <alignment horizontal="center"/>
    </xf>
    <xf numFmtId="0" fontId="11" fillId="2" borderId="14" xfId="0" applyFont="1" applyFill="1" applyBorder="1" applyAlignment="1">
      <alignment horizontal="center"/>
    </xf>
    <xf numFmtId="0" fontId="12" fillId="2" borderId="24" xfId="0" applyFont="1" applyFill="1" applyBorder="1" applyAlignment="1">
      <alignment horizontal="center"/>
    </xf>
    <xf numFmtId="0" fontId="12" fillId="2" borderId="9" xfId="0" applyFont="1" applyFill="1" applyBorder="1" applyAlignment="1">
      <alignment horizontal="center"/>
    </xf>
    <xf numFmtId="0" fontId="74" fillId="0" borderId="27" xfId="0" applyFont="1" applyBorder="1" applyAlignment="1">
      <alignment horizontal="center"/>
    </xf>
    <xf numFmtId="0" fontId="74" fillId="0" borderId="0" xfId="0" applyFont="1" applyBorder="1" applyAlignment="1">
      <alignment horizontal="center"/>
    </xf>
    <xf numFmtId="0" fontId="74" fillId="0" borderId="2" xfId="0" applyFont="1" applyBorder="1" applyAlignment="1">
      <alignment horizontal="center"/>
    </xf>
    <xf numFmtId="0" fontId="12" fillId="2" borderId="6" xfId="0" applyFont="1" applyFill="1" applyBorder="1" applyAlignment="1">
      <alignment horizontal="center"/>
    </xf>
    <xf numFmtId="0" fontId="12" fillId="2" borderId="11" xfId="0" applyFont="1" applyFill="1" applyBorder="1" applyAlignment="1">
      <alignment horizontal="center"/>
    </xf>
    <xf numFmtId="0" fontId="12" fillId="2" borderId="20" xfId="0" applyFont="1" applyFill="1" applyBorder="1" applyAlignment="1">
      <alignment horizontal="center"/>
    </xf>
    <xf numFmtId="0" fontId="12" fillId="12" borderId="11" xfId="0" applyFont="1" applyFill="1" applyBorder="1" applyAlignment="1">
      <alignment horizontal="center"/>
    </xf>
    <xf numFmtId="0" fontId="12" fillId="13" borderId="0" xfId="39" applyFont="1" applyFill="1" applyAlignment="1">
      <alignment horizontal="center"/>
    </xf>
    <xf numFmtId="0" fontId="12" fillId="12" borderId="0" xfId="39" applyFont="1" applyFill="1" applyAlignment="1">
      <alignment horizontal="center"/>
    </xf>
    <xf numFmtId="0" fontId="2" fillId="18" borderId="0" xfId="51" applyFont="1" applyFill="1" applyAlignment="1">
      <alignment vertical="top"/>
    </xf>
    <xf numFmtId="0" fontId="0" fillId="18" borderId="0" xfId="0" applyFill="1" applyAlignment="1">
      <alignment vertical="top"/>
    </xf>
    <xf numFmtId="0" fontId="0" fillId="18" borderId="0" xfId="0" applyFill="1"/>
    <xf numFmtId="0" fontId="99" fillId="18" borderId="0" xfId="51" applyFont="1" applyFill="1" applyAlignment="1">
      <alignment horizontal="left" vertical="top"/>
    </xf>
    <xf numFmtId="0" fontId="2" fillId="18" borderId="0" xfId="0" applyFont="1" applyFill="1" applyAlignment="1">
      <alignment vertical="top"/>
    </xf>
    <xf numFmtId="0" fontId="28" fillId="18" borderId="0" xfId="51" applyFont="1" applyFill="1" applyAlignment="1">
      <alignment vertical="top"/>
    </xf>
    <xf numFmtId="0" fontId="196" fillId="18" borderId="0" xfId="0" applyFont="1" applyFill="1" applyAlignment="1">
      <alignment vertical="top"/>
    </xf>
    <xf numFmtId="0" fontId="213" fillId="18" borderId="0" xfId="0" applyFont="1" applyFill="1" applyAlignment="1">
      <alignment vertical="top"/>
    </xf>
    <xf numFmtId="0" fontId="213" fillId="18" borderId="0" xfId="0" applyFont="1" applyFill="1" applyAlignment="1">
      <alignment vertical="top"/>
    </xf>
    <xf numFmtId="0" fontId="196" fillId="18" borderId="0" xfId="0" applyFont="1" applyFill="1" applyAlignment="1">
      <alignment vertical="top"/>
    </xf>
    <xf numFmtId="0" fontId="0" fillId="18" borderId="0" xfId="0" applyFill="1" applyAlignment="1">
      <alignment vertical="top"/>
    </xf>
    <xf numFmtId="0" fontId="0" fillId="18" borderId="55" xfId="0" applyFill="1" applyBorder="1" applyAlignment="1">
      <alignment vertical="top"/>
    </xf>
    <xf numFmtId="0" fontId="196" fillId="18" borderId="51" xfId="0" applyFont="1" applyFill="1" applyBorder="1" applyAlignment="1">
      <alignment vertical="top"/>
    </xf>
    <xf numFmtId="0" fontId="196" fillId="18" borderId="52" xfId="0" applyFont="1" applyFill="1" applyBorder="1" applyAlignment="1">
      <alignment vertical="top"/>
    </xf>
    <xf numFmtId="0" fontId="196" fillId="18" borderId="53" xfId="0" applyFont="1" applyFill="1" applyBorder="1" applyAlignment="1">
      <alignment vertical="top"/>
    </xf>
    <xf numFmtId="0" fontId="196" fillId="18" borderId="54" xfId="0" applyFont="1" applyFill="1" applyBorder="1" applyAlignment="1">
      <alignment vertical="top"/>
    </xf>
    <xf numFmtId="9" fontId="196" fillId="18" borderId="51" xfId="0" applyNumberFormat="1" applyFont="1" applyFill="1" applyBorder="1" applyAlignment="1">
      <alignment vertical="top"/>
    </xf>
    <xf numFmtId="3" fontId="196" fillId="18" borderId="51" xfId="0" applyNumberFormat="1" applyFont="1" applyFill="1" applyBorder="1" applyAlignment="1">
      <alignment vertical="top"/>
    </xf>
    <xf numFmtId="0" fontId="0" fillId="18" borderId="56" xfId="0" applyFill="1" applyBorder="1" applyAlignment="1">
      <alignment vertical="top"/>
    </xf>
    <xf numFmtId="2" fontId="2" fillId="0" borderId="0" xfId="39" applyNumberFormat="1" applyAlignment="1">
      <alignment horizontal="left"/>
    </xf>
    <xf numFmtId="0" fontId="2" fillId="0" borderId="0" xfId="39" applyNumberFormat="1" applyAlignment="1">
      <alignment horizontal="left"/>
    </xf>
    <xf numFmtId="1" fontId="2" fillId="0" borderId="0" xfId="39" applyNumberFormat="1" applyAlignment="1">
      <alignment horizontal="left"/>
    </xf>
    <xf numFmtId="285" fontId="2" fillId="0" borderId="0" xfId="39" applyNumberFormat="1" applyAlignment="1">
      <alignment horizontal="left"/>
    </xf>
    <xf numFmtId="49" fontId="2" fillId="0" borderId="0" xfId="39" applyNumberFormat="1"/>
  </cellXfs>
  <cellStyles count="52">
    <cellStyle name=" 1" xfId="1"/>
    <cellStyle name="******************************************" xfId="42"/>
    <cellStyle name="****************************************** 2" xfId="2"/>
    <cellStyle name="_FY Guidancev2 " xfId="43"/>
    <cellStyle name="_SUMMARY " xfId="3"/>
    <cellStyle name="0_Capex &amp; Depreciation " xfId="5"/>
    <cellStyle name="0_Valuing BP " xfId="6"/>
    <cellStyle name="c_HardInc " xfId="7"/>
    <cellStyle name="Comma" xfId="8" builtinId="3"/>
    <cellStyle name="Comma 2" xfId="44"/>
    <cellStyle name="Comma 3" xfId="9"/>
    <cellStyle name="Comma_Lease Module TPG example 30062004 capex 2" xfId="10"/>
    <cellStyle name="Currency" xfId="11" builtinId="4"/>
    <cellStyle name="Currency 2" xfId="12"/>
    <cellStyle name="Currency 6" xfId="45"/>
    <cellStyle name="Hyperlink 2" xfId="46"/>
    <cellStyle name="Normal" xfId="0" builtinId="0"/>
    <cellStyle name="Normal 2" xfId="13"/>
    <cellStyle name="Normal 2 2" xfId="39"/>
    <cellStyle name="Normal 5" xfId="47"/>
    <cellStyle name="Normal 6" xfId="41"/>
    <cellStyle name="Normal 7" xfId="48"/>
    <cellStyle name="Normal_A&amp;F" xfId="14"/>
    <cellStyle name="Normal_ABSANUAL" xfId="15"/>
    <cellStyle name="Normal_AXP_interactive_final" xfId="16"/>
    <cellStyle name="Normal_dabr" xfId="17"/>
    <cellStyle name="Normal_DHQTR" xfId="18"/>
    <cellStyle name="Normal_DisclaimerSheet Samples" xfId="51"/>
    <cellStyle name="Normal_GAPQOR1" xfId="19"/>
    <cellStyle name="Normal_GM Demo 2" xfId="20"/>
    <cellStyle name="Normal_hd roic 2" xfId="21"/>
    <cellStyle name="Normal_LeaseT_Testing_Original (version 1) 2" xfId="22"/>
    <cellStyle name="Normal_QtrlyDIV" xfId="23"/>
    <cellStyle name="Normal_ROSTBS" xfId="24"/>
    <cellStyle name="Normal_RSH 2" xfId="25"/>
    <cellStyle name="Normal_SALES_ROSTMONTH" xfId="26"/>
    <cellStyle name="Normal_STORESUM" xfId="27"/>
    <cellStyle name="Normal_Total" xfId="28"/>
    <cellStyle name="Normal_UA Model" xfId="38"/>
    <cellStyle name="p " xfId="29"/>
    <cellStyle name="Percent" xfId="30" builtinId="5"/>
    <cellStyle name="Percent 2" xfId="49"/>
    <cellStyle name="Percent 3" xfId="31"/>
    <cellStyle name="Percent 3 2" xfId="40"/>
    <cellStyle name="Percent 6" xfId="50"/>
    <cellStyle name="RRSInstruction" xfId="32"/>
    <cellStyle name="RRSInstruction 2" xfId="4"/>
    <cellStyle name="s_HardInc " xfId="33"/>
    <cellStyle name="s_Valuation " xfId="34"/>
    <cellStyle name="ssp " xfId="35"/>
    <cellStyle name="Style 32 2" xfId="36"/>
    <cellStyle name="Underline" xfId="37"/>
  </cellStyles>
  <dxfs count="2">
    <dxf>
      <font>
        <condense val="0"/>
        <extend val="0"/>
        <color indexed="10"/>
      </font>
      <fill>
        <patternFill patternType="solid">
          <bgColor indexed="22"/>
        </patternFill>
      </fill>
    </dxf>
    <dxf>
      <fill>
        <patternFill>
          <bgColor indexed="22"/>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CCCCFF"/>
      <rgbColor rgb="00FFFFCC"/>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color rgb="FF008000"/>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thomsononeaddinshim.rtdformula">
      <tp t="s">
        <v>#NAME?</v>
        <stp/>
        <stp>e8ee23c1-0b63-4125-b0ad-5ebf8fcceda9</stp>
        <tr r="F22" s="82"/>
      </tp>
      <tp t="s">
        <v>#NAME?</v>
        <stp/>
        <stp>f813f2d5-50ee-4db8-8c6e-a245321389a8</stp>
        <tr r="F20" s="82"/>
      </tp>
      <tp>
        <v>6.4727000000000007E-2</v>
        <stp/>
        <stp>cd147aba-7481-4bc8-8ccb-16bfdecac130</stp>
        <tr r="J190" s="98"/>
      </tp>
      <tp>
        <v>6.6055046000000006E-2</v>
        <stp/>
        <stp>76ad141c-3a2d-46dc-9701-7ccde5282855</stp>
        <tr r="I191" s="98"/>
      </tp>
      <tp>
        <v>7.0322999999999997E-2</v>
        <stp/>
        <stp>0fcdadb4-5dc9-490c-9692-356f1dc59105</stp>
        <tr r="L190" s="98"/>
      </tp>
      <tp>
        <v>6.5750000000000003E-2</v>
        <stp/>
        <stp>14ef4a16-8aea-4ddd-b917-2776e20112ed</stp>
        <tr r="P190" s="98"/>
      </tp>
      <tp t="s">
        <v>#NAME?</v>
        <stp/>
        <stp>3023e41d-b40d-4182-a2f2-46d4795cd206</stp>
        <tr r="F11" s="82"/>
      </tp>
      <tp>
        <v>181</v>
        <stp/>
        <stp>678e20a0-8c55-4139-9dca-a8b50e57b7ed</stp>
        <tr r="H194" s="98"/>
      </tp>
      <tp t="s">
        <v>Manual Calculation</v>
        <stp/>
        <stp>cedbae40-a513-40bf-ace5-2efd6f65aa41</stp>
        <tr r="H195" s="98"/>
      </tp>
      <tp>
        <v>5.2628000000000001E-2</v>
        <stp/>
        <stp>a30a8d3f-488f-4490-af33-a37aeb226118</stp>
        <tr r="H190" s="98"/>
      </tp>
      <tp t="s">
        <v>L Brands Inc</v>
        <stp/>
        <stp>7da5969d-dd20-49ad-a2ff-86c276f4059e</stp>
        <tr r="C4" s="98"/>
      </tp>
      <tp>
        <v>6.5919000000000005E-2</v>
        <stp/>
        <stp>a62d220a-14f0-44fd-bd1e-df1b1591e2d4</stp>
        <tr r="O190" s="98"/>
      </tp>
      <tp t="s">
        <v>#NAME?</v>
        <stp/>
        <stp>f8391231-ad66-487a-86ab-d2e2dbff294b</stp>
        <tr r="F8" s="82"/>
      </tp>
      <tp>
        <v>416</v>
        <stp/>
        <stp>274a6beb-a360-47af-a3f3-4e680cdb2199</stp>
        <tr r="H79" s="98"/>
      </tp>
      <tp>
        <v>478</v>
        <stp/>
        <stp>3462eeb2-6f04-451b-8dfb-97c205501ed5</stp>
        <tr r="H77" s="98"/>
      </tp>
      <tp>
        <v>455</v>
        <stp/>
        <stp>1f3b982c-c34e-4c18-881d-16aa169c5116</stp>
        <tr r="H78" s="98"/>
      </tp>
      <tp>
        <v>492</v>
        <stp/>
        <stp>ae8d8157-32ea-4eec-83a9-70e9f0d7ec88</stp>
        <tr r="H76" s="98"/>
      </tp>
      <tp>
        <v>7.0835999999999996E-2</v>
        <stp/>
        <stp>d7b1d725-269a-4c6f-9a72-bd3879272902</stp>
        <tr r="N190" s="98"/>
      </tp>
      <tp t="s">
        <v>#NAME?</v>
        <stp/>
        <stp>6031cf58-2a4d-4bcc-a6d9-c411cadf71ad</stp>
        <tr r="F4" s="82"/>
      </tp>
      <tp>
        <v>1334</v>
        <stp/>
        <stp>498e5918-fb32-4c86-ba95-d27a2f32afb8</stp>
        <tr r="H68" s="98"/>
      </tp>
      <tp>
        <v>42763</v>
        <stp/>
        <stp>4684cbd1-5da0-49b3-bd34-f621d3108995</stp>
        <tr r="I4" s="98"/>
      </tp>
      <tp>
        <v>3.1999999999999998E-123</v>
        <stp/>
        <stp>859a1f4f-690b-47bc-9341-cc03597f661f</stp>
        <tr r="G56" s="98"/>
      </tp>
      <tp>
        <v>7.0447999999999997E-2</v>
        <stp/>
        <stp>751626de-abe6-43da-9106-c5402e78a1f0</stp>
        <tr r="M190" s="98"/>
      </tp>
      <tp>
        <v>6.6439999999999999E-2</v>
        <stp/>
        <stp>8e4e27c9-21a4-4fa3-9b18-6b9a3002fbaa</stp>
        <tr r="K190" s="98"/>
      </tp>
      <tp>
        <v>2897</v>
        <stp/>
        <stp>56513099-a89e-41ea-88d1-9bd26c5bd782</stp>
        <tr r="H196" s="98"/>
      </tp>
      <tp>
        <v>5.9351058999999998E-2</v>
        <stp/>
        <stp>0230f146-845c-4c26-9b37-0f6bb875c67a</stp>
        <tr r="I190" s="98"/>
      </tp>
      <tp t="s">
        <v>#NAME?</v>
        <stp/>
        <stp>e1f5ddba-b78e-4b52-8dab-0fd9a0dc9dfb</stp>
        <tr r="F16" s="82"/>
      </tp>
      <tp>
        <v>373</v>
        <stp/>
        <stp>291b2805-f56b-4505-b223-0ad99f0eb044</stp>
        <tr r="H80" s="98"/>
      </tp>
      <tp>
        <v>341</v>
        <stp/>
        <stp>6434d368-ea1f-4a6c-822d-3a050c75df2b</stp>
        <tr r="H81" s="98"/>
      </tp>
    </main>
  </volType>
</volTypes>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externalLinks/externalLink1.xml" Type="http://schemas.openxmlformats.org/officeDocument/2006/relationships/externalLink"/>
<Relationship Id="rId32" Target="externalLinks/externalLink2.xml" Type="http://schemas.openxmlformats.org/officeDocument/2006/relationships/externalLink"/>
<Relationship Id="rId33" Target="externalLinks/externalLink3.xml" Type="http://schemas.openxmlformats.org/officeDocument/2006/relationships/externalLink"/>
<Relationship Id="rId34" Target="externalLinks/externalLink4.xml" Type="http://schemas.openxmlformats.org/officeDocument/2006/relationships/externalLink"/>
<Relationship Id="rId35" Target="externalLinks/externalLink5.xml" Type="http://schemas.openxmlformats.org/officeDocument/2006/relationships/externalLink"/>
<Relationship Id="rId36" Target="externalLinks/externalLink6.xml" Type="http://schemas.openxmlformats.org/officeDocument/2006/relationships/externalLink"/>
<Relationship Id="rId37" Target="externalLinks/externalLink7.xml" Type="http://schemas.openxmlformats.org/officeDocument/2006/relationships/externalLink"/>
<Relationship Id="rId38" Target="externalLinks/externalLink8.xml" Type="http://schemas.openxmlformats.org/officeDocument/2006/relationships/externalLink"/>
<Relationship Id="rId39" Target="externalLinks/externalLink9.xml" Type="http://schemas.openxmlformats.org/officeDocument/2006/relationships/externalLink"/>
<Relationship Id="rId4" Target="worksheets/sheet4.xml" Type="http://schemas.openxmlformats.org/officeDocument/2006/relationships/worksheet"/>
<Relationship Id="rId40" Target="externalLinks/externalLink10.xml" Type="http://schemas.openxmlformats.org/officeDocument/2006/relationships/externalLink"/>
<Relationship Id="rId41" Target="externalLinks/externalLink11.xml" Type="http://schemas.openxmlformats.org/officeDocument/2006/relationships/externalLink"/>
<Relationship Id="rId42" Target="externalLinks/externalLink12.xml" Type="http://schemas.openxmlformats.org/officeDocument/2006/relationships/externalLink"/>
<Relationship Id="rId43" Target="externalLinks/externalLink13.xml" Type="http://schemas.openxmlformats.org/officeDocument/2006/relationships/externalLink"/>
<Relationship Id="rId44" Target="externalLinks/externalLink14.xml" Type="http://schemas.openxmlformats.org/officeDocument/2006/relationships/externalLink"/>
<Relationship Id="rId45" Target="externalLinks/externalLink15.xml" Type="http://schemas.openxmlformats.org/officeDocument/2006/relationships/externalLink"/>
<Relationship Id="rId46" Target="externalLinks/externalLink16.xml" Type="http://schemas.openxmlformats.org/officeDocument/2006/relationships/externalLink"/>
<Relationship Id="rId47" Target="theme/theme1.xml" Type="http://schemas.openxmlformats.org/officeDocument/2006/relationships/theme"/>
<Relationship Id="rId48" Target="styles.xml" Type="http://schemas.openxmlformats.org/officeDocument/2006/relationships/styles"/>
<Relationship Id="rId49" Target="sharedStrings.xml" Type="http://schemas.openxmlformats.org/officeDocument/2006/relationships/sharedStrings"/>
<Relationship Id="rId5" Target="worksheets/sheet5.xml" Type="http://schemas.openxmlformats.org/officeDocument/2006/relationships/worksheet"/>
<Relationship Id="rId50" Target="calcChain.xml" Type="http://schemas.openxmlformats.org/officeDocument/2006/relationships/calcChain"/>
<Relationship Id="rId51" Target="../customXml/item1.xml" Type="http://schemas.openxmlformats.org/officeDocument/2006/relationships/customXml"/>
<Relationship Id="rId52" Target="../customXml/item2.xml" Type="http://schemas.openxmlformats.org/officeDocument/2006/relationships/customXml"/>
<Relationship Id="rId53" Target="volatileDependencies.xml" Type="http://schemas.openxmlformats.org/officeDocument/2006/relationships/volatileDependencies"/>
<Relationship Id="rId54" Target="vbaProject.bin" Type="http://schemas.microsoft.com/office/2006/relationships/vbaProjec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activeX/_rels/activeX1.xml.rels><?xml version="1.0" encoding="UTF-8" standalone="yes"?>
<Relationships xmlns="http://schemas.openxmlformats.org/package/2006/relationships">
<Relationship Id="rId1" Target="activeX1.bin" Type="http://schemas.microsoft.com/office/2006/relationships/activeXControlBinary"/>
</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lgn="l">
              <a:defRPr sz="1400" b="0" i="0">
                <a:solidFill>
                  <a:srgbClr val="333333"/>
                </a:solidFill>
                <a:latin typeface="Arial"/>
                <a:ea typeface="Arial"/>
                <a:cs typeface="Arial"/>
              </a:defRPr>
            </a:pPr>
            <a:r>
              <a:rPr lang="en-US"/>
              <a:t>Inventory vs. Forward Sales</a:t>
            </a:r>
          </a:p>
        </c:rich>
      </c:tx>
      <c:layout>
        <c:manualLayout>
          <c:xMode val="edge"/>
          <c:yMode val="edge"/>
          <c:x val="0"/>
          <c:y val="0"/>
        </c:manualLayout>
      </c:layout>
      <c:overlay val="0"/>
      <c:spPr>
        <a:noFill/>
        <a:ln w="25400">
          <a:noFill/>
        </a:ln>
        <a:extLst>
          <a:ext uri="{909E8E84-426E-40DD-AFC4-6F175D3DCCD1}">
            <a14:hiddenFill xmlns:a14="http://schemas.microsoft.com/office/drawing/2010/main">
              <a:noFill/>
            </a14:hiddenFill>
          </a:ext>
        </a:extLst>
      </c:spPr>
    </c:title>
    <c:autoTitleDeleted val="0"/>
    <c:plotArea>
      <c:layout>
        <c:manualLayout>
          <c:layoutTarget val="inner"/>
          <c:xMode val="edge"/>
          <c:yMode val="edge"/>
          <c:x val="0.13314035766224586"/>
          <c:y val="0.11497423189065317"/>
          <c:w val="0.85161731646127015"/>
          <c:h val="0.7048994714806569"/>
        </c:manualLayout>
      </c:layout>
      <c:barChart>
        <c:barDir val="col"/>
        <c:grouping val="clustered"/>
        <c:varyColors val="0"/>
        <c:ser>
          <c:idx val="0"/>
          <c:order val="0"/>
          <c:tx>
            <c:strRef>
              <c:f>InvtoSales!$A$4</c:f>
              <c:strCache>
                <c:ptCount val="1"/>
                <c:pt idx="0">
                  <c:v>Inventory Growth</c:v>
                </c:pt>
              </c:strCache>
            </c:strRef>
          </c:tx>
          <c:spPr>
            <a:solidFill>
              <a:srgbClr val="137CB1"/>
            </a:solidFill>
            <a:ln w="25400">
              <a:noFill/>
            </a:ln>
            <a:effectLst/>
          </c:spPr>
          <c:invertIfNegative val="0"/>
          <c:cat>
            <c:strRef>
              <c:f>InvtoSales!$B$3:$M$3</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InvtoSales!$B$4:$M$4</c:f>
              <c:numCache>
                <c:formatCode>0.0%</c:formatCode>
                <c:ptCount val="12"/>
                <c:pt idx="0">
                  <c:v>-6.6347838850907892E-2</c:v>
                </c:pt>
                <c:pt idx="1">
                  <c:v>2.8663546116179703E-2</c:v>
                </c:pt>
                <c:pt idx="2">
                  <c:v>9.1488729624841697E-2</c:v>
                </c:pt>
                <c:pt idx="3">
                  <c:v>8.3242092985982688E-2</c:v>
                </c:pt>
                <c:pt idx="4">
                  <c:v>0.111752760948498</c:v>
                </c:pt>
                <c:pt idx="5">
                  <c:v>8.9030219616254888E-2</c:v>
                </c:pt>
                <c:pt idx="6">
                  <c:v>1.8917112423230801E-2</c:v>
                </c:pt>
                <c:pt idx="7">
                  <c:v>-2.29566234261664E-2</c:v>
                </c:pt>
                <c:pt idx="8">
                  <c:v>-9.3821669385643111E-2</c:v>
                </c:pt>
                <c:pt idx="9">
                  <c:v>-7.1474419388669386E-2</c:v>
                </c:pt>
                <c:pt idx="10">
                  <c:v>3.9035573888656749E-2</c:v>
                </c:pt>
                <c:pt idx="11">
                  <c:v>0.13095496567188425</c:v>
                </c:pt>
              </c:numCache>
            </c:numRef>
          </c:val>
        </c:ser>
        <c:ser>
          <c:idx val="1"/>
          <c:order val="1"/>
          <c:tx>
            <c:strRef>
              <c:f>InvtoSales!$A$5</c:f>
              <c:strCache>
                <c:ptCount val="1"/>
                <c:pt idx="0">
                  <c:v>Forward Sales Growth</c:v>
                </c:pt>
              </c:strCache>
            </c:strRef>
          </c:tx>
          <c:spPr>
            <a:solidFill>
              <a:srgbClr val="EACC80"/>
            </a:solidFill>
            <a:ln w="25400">
              <a:noFill/>
            </a:ln>
            <a:effectLst/>
          </c:spPr>
          <c:invertIfNegative val="0"/>
          <c:cat>
            <c:strRef>
              <c:f>InvtoSales!$B$3:$M$3</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InvtoSales!$B$5:$M$5</c:f>
              <c:numCache>
                <c:formatCode>0.0%</c:formatCode>
                <c:ptCount val="12"/>
                <c:pt idx="0">
                  <c:v>3.36132883242359E-2</c:v>
                </c:pt>
                <c:pt idx="1">
                  <c:v>7.0174409653746397E-2</c:v>
                </c:pt>
                <c:pt idx="2">
                  <c:v>8.0211173880504208E-2</c:v>
                </c:pt>
                <c:pt idx="3">
                  <c:v>4.0556717340668007E-2</c:v>
                </c:pt>
                <c:pt idx="4">
                  <c:v>4.5025797065495698E-2</c:v>
                </c:pt>
                <c:pt idx="5">
                  <c:v>4.0056818754218494E-2</c:v>
                </c:pt>
                <c:pt idx="6">
                  <c:v>2.1488774047283797E-2</c:v>
                </c:pt>
                <c:pt idx="7">
                  <c:v>-6.7828824916836089E-2</c:v>
                </c:pt>
                <c:pt idx="8">
                  <c:v>-4.6628351854005198E-2</c:v>
                </c:pt>
                <c:pt idx="9">
                  <c:v>1.4260092778747957E-2</c:v>
                </c:pt>
                <c:pt idx="10">
                  <c:v>7.4310783669299996E-2</c:v>
                </c:pt>
                <c:pt idx="11">
                  <c:v>6.8827999079489777E-2</c:v>
                </c:pt>
              </c:numCache>
            </c:numRef>
          </c:val>
        </c:ser>
        <c:dLbls>
          <c:showLegendKey val="0"/>
          <c:showVal val="0"/>
          <c:showCatName val="0"/>
          <c:showSerName val="0"/>
          <c:showPercent val="0"/>
          <c:showBubbleSize val="0"/>
        </c:dLbls>
        <c:gapWidth val="60"/>
        <c:axId val="73307264"/>
        <c:axId val="73308800"/>
      </c:barChart>
      <c:lineChart>
        <c:grouping val="standard"/>
        <c:varyColors val="0"/>
        <c:ser>
          <c:idx val="2"/>
          <c:order val="2"/>
          <c:tx>
            <c:strRef>
              <c:f>InvtoSales!$A$6</c:f>
              <c:strCache>
                <c:ptCount val="1"/>
                <c:pt idx="0">
                  <c:v>Spread</c:v>
                </c:pt>
              </c:strCache>
            </c:strRef>
          </c:tx>
          <c:spPr>
            <a:effectLst/>
          </c:spPr>
          <c:marker>
            <c:symbol val="none"/>
          </c:marker>
          <c:cat>
            <c:strRef>
              <c:f>InvtoSales!$B$3:$M$3</c:f>
              <c:strCache>
                <c:ptCount val="12"/>
                <c:pt idx="0">
                  <c:v>1Q15</c:v>
                </c:pt>
                <c:pt idx="1">
                  <c:v>2Q15</c:v>
                </c:pt>
                <c:pt idx="2">
                  <c:v>3Q15</c:v>
                </c:pt>
                <c:pt idx="3">
                  <c:v>4Q15</c:v>
                </c:pt>
                <c:pt idx="4">
                  <c:v>1Q16</c:v>
                </c:pt>
                <c:pt idx="5">
                  <c:v>2Q16</c:v>
                </c:pt>
                <c:pt idx="6">
                  <c:v>3Q16</c:v>
                </c:pt>
                <c:pt idx="7">
                  <c:v>4Q16</c:v>
                </c:pt>
                <c:pt idx="8">
                  <c:v>1Q17</c:v>
                </c:pt>
                <c:pt idx="9">
                  <c:v>2Q17</c:v>
                </c:pt>
                <c:pt idx="10">
                  <c:v>3Q17</c:v>
                </c:pt>
                <c:pt idx="11">
                  <c:v>4Q17</c:v>
                </c:pt>
              </c:strCache>
            </c:strRef>
          </c:cat>
          <c:val>
            <c:numRef>
              <c:f>InvtoSales!$B$6:$M$6</c:f>
              <c:numCache>
                <c:formatCode>0.0%</c:formatCode>
                <c:ptCount val="12"/>
                <c:pt idx="0">
                  <c:v>9.9961127175143799E-2</c:v>
                </c:pt>
                <c:pt idx="1">
                  <c:v>4.1510863537566695E-2</c:v>
                </c:pt>
                <c:pt idx="2">
                  <c:v>-1.1277555744337489E-2</c:v>
                </c:pt>
                <c:pt idx="3">
                  <c:v>-4.2685375645314681E-2</c:v>
                </c:pt>
                <c:pt idx="4">
                  <c:v>-6.6726963883002297E-2</c:v>
                </c:pt>
                <c:pt idx="5">
                  <c:v>-4.8973400862036394E-2</c:v>
                </c:pt>
                <c:pt idx="6">
                  <c:v>2.5716616240529962E-3</c:v>
                </c:pt>
                <c:pt idx="7">
                  <c:v>-4.4872201490669686E-2</c:v>
                </c:pt>
                <c:pt idx="8">
                  <c:v>4.7193317531637913E-2</c:v>
                </c:pt>
                <c:pt idx="9">
                  <c:v>8.5734512167417343E-2</c:v>
                </c:pt>
                <c:pt idx="10">
                  <c:v>3.5275209780643246E-2</c:v>
                </c:pt>
                <c:pt idx="11">
                  <c:v>-6.2126966592394472E-2</c:v>
                </c:pt>
              </c:numCache>
            </c:numRef>
          </c:val>
          <c:smooth val="0"/>
        </c:ser>
        <c:dLbls>
          <c:showLegendKey val="0"/>
          <c:showVal val="0"/>
          <c:showCatName val="0"/>
          <c:showSerName val="0"/>
          <c:showPercent val="0"/>
          <c:showBubbleSize val="0"/>
        </c:dLbls>
        <c:marker val="1"/>
        <c:smooth val="0"/>
        <c:axId val="73307264"/>
        <c:axId val="73308800"/>
      </c:lineChart>
      <c:catAx>
        <c:axId val="73307264"/>
        <c:scaling>
          <c:orientation val="minMax"/>
        </c:scaling>
        <c:delete val="0"/>
        <c:axPos val="b"/>
        <c:majorTickMark val="none"/>
        <c:minorTickMark val="none"/>
        <c:tickLblPos val="low"/>
        <c:spPr>
          <a:ln w="12700">
            <a:solidFill>
              <a:srgbClr val="808080"/>
            </a:solidFill>
            <a:prstDash val="solid"/>
          </a:ln>
        </c:spPr>
        <c:txPr>
          <a:bodyPr rot="0" vert="horz"/>
          <a:lstStyle/>
          <a:p>
            <a:pPr>
              <a:defRPr sz="1200" b="0" i="0">
                <a:solidFill>
                  <a:srgbClr val="808080"/>
                </a:solidFill>
                <a:latin typeface="Arial"/>
                <a:ea typeface="Arial"/>
                <a:cs typeface="Arial"/>
              </a:defRPr>
            </a:pPr>
            <a:endParaRPr lang="en-US"/>
          </a:p>
        </c:txPr>
        <c:crossAx val="73308800"/>
        <c:crosses val="autoZero"/>
        <c:auto val="1"/>
        <c:lblAlgn val="ctr"/>
        <c:lblOffset val="100"/>
        <c:tickLblSkip val="1"/>
        <c:tickMarkSkip val="1"/>
        <c:noMultiLvlLbl val="0"/>
      </c:catAx>
      <c:valAx>
        <c:axId val="73308800"/>
        <c:scaling>
          <c:orientation val="minMax"/>
        </c:scaling>
        <c:delete val="0"/>
        <c:axPos val="l"/>
        <c:majorGridlines>
          <c:spPr>
            <a:ln w="12700">
              <a:solidFill>
                <a:srgbClr val="C0C0C0"/>
              </a:solidFill>
              <a:prstDash val="solid"/>
            </a:ln>
          </c:spPr>
        </c:majorGridlines>
        <c:numFmt formatCode="0%" sourceLinked="0"/>
        <c:majorTickMark val="none"/>
        <c:minorTickMark val="none"/>
        <c:tickLblPos val="nextTo"/>
        <c:spPr>
          <a:ln w="9525">
            <a:noFill/>
          </a:ln>
        </c:spPr>
        <c:txPr>
          <a:bodyPr rot="0" vert="horz"/>
          <a:lstStyle/>
          <a:p>
            <a:pPr>
              <a:defRPr sz="1400" b="0" i="0">
                <a:solidFill>
                  <a:srgbClr val="808080"/>
                </a:solidFill>
                <a:latin typeface="Arial"/>
                <a:ea typeface="Arial"/>
                <a:cs typeface="Arial"/>
              </a:defRPr>
            </a:pPr>
            <a:endParaRPr lang="en-US"/>
          </a:p>
        </c:txPr>
        <c:crossAx val="73307264"/>
        <c:crosses val="autoZero"/>
        <c:crossBetween val="between"/>
      </c:valAx>
      <c:spPr>
        <a:noFill/>
        <a:ln w="25400">
          <a:noFill/>
        </a:ln>
        <a:extLst>
          <a:ext uri="{909E8E84-426E-40DD-AFC4-6F175D3DCCD1}">
            <a14:hiddenFill xmlns:a14="http://schemas.microsoft.com/office/drawing/2010/main">
              <a:solidFill>
                <a:sysClr val="window" lastClr="FFFFFF"/>
              </a:solidFill>
            </a14:hiddenFill>
          </a:ext>
        </a:extLst>
      </c:spPr>
    </c:plotArea>
    <c:legend>
      <c:legendPos val="b"/>
      <c:layout>
        <c:manualLayout>
          <c:xMode val="edge"/>
          <c:yMode val="edge"/>
          <c:x val="8.6791794858424171E-2"/>
          <c:y val="0.89850219658119146"/>
          <c:w val="0.89999992757527825"/>
          <c:h val="8.2335431437033049E-2"/>
        </c:manualLayout>
      </c:layout>
      <c:overlay val="0"/>
    </c:legend>
    <c:plotVisOnly val="1"/>
    <c:dispBlanksAs val="gap"/>
    <c:showDLblsOverMax val="0"/>
  </c:chart>
  <c:spPr>
    <a:solidFill>
      <a:srgbClr val="FFFFFF"/>
    </a:solidFill>
    <a:ln w="9525">
      <a:noFill/>
    </a:ln>
  </c:spPr>
  <c:txPr>
    <a:bodyPr/>
    <a:lstStyle/>
    <a:p>
      <a:pPr>
        <a:defRPr sz="1400" b="0" i="0">
          <a:solidFill>
            <a:srgbClr val="808080"/>
          </a:solidFill>
          <a:latin typeface="Arial"/>
          <a:ea typeface="Arial"/>
          <a:cs typeface="Arial"/>
        </a:defRPr>
      </a:pPr>
      <a:endParaRPr lang="en-US"/>
    </a:p>
  </c:tx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3.xml.rels><?xml version="1.0" encoding="UTF-8" standalone="yes"?>
<Relationships xmlns="http://schemas.openxmlformats.org/package/2006/relationships">
<Relationship Id="rId1" Target="../media/image5.png" Type="http://schemas.openxmlformats.org/officeDocument/2006/relationships/image"/>
</Relationships>

</file>

<file path=xl/drawings/_rels/drawing4.xml.rels><?xml version="1.0" encoding="UTF-8" standalone="yes"?>
<Relationships xmlns="http://schemas.openxmlformats.org/package/2006/relationships">
<Relationship Id="rId1" Target="../charts/chart1.xml" Type="http://schemas.openxmlformats.org/officeDocument/2006/relationships/chart"/>
</Relationships>

</file>

<file path=xl/drawings/_rels/vmlDrawing19.vml.rels><?xml version="1.0" encoding="UTF-8" standalone="yes"?>
<Relationships xmlns="http://schemas.openxmlformats.org/package/2006/relationships">
<Relationship Id="rId1" Target="../media/image4.em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164</xdr:row>
      <xdr:rowOff>0</xdr:rowOff>
    </xdr:from>
    <xdr:to>
      <xdr:col>7</xdr:col>
      <xdr:colOff>390525</xdr:colOff>
      <xdr:row>187</xdr:row>
      <xdr:rowOff>104775</xdr:rowOff>
    </xdr:to>
    <xdr:pic>
      <xdr:nvPicPr>
        <xdr:cNvPr id="11644929" name="Picture 1" descr="C:\Users\casselau\AppData\Local\Temp\MercuryPriceRatingHistoryChart\LB.N_2018_04_11_18_35_50.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184100"/>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125</xdr:col>
          <xdr:colOff>28575</xdr:colOff>
          <xdr:row>1</xdr:row>
          <xdr:rowOff>9525</xdr:rowOff>
        </xdr:from>
        <xdr:to>
          <xdr:col>126</xdr:col>
          <xdr:colOff>123825</xdr:colOff>
          <xdr:row>2</xdr:row>
          <xdr:rowOff>123825</xdr:rowOff>
        </xdr:to>
        <xdr:sp macro="" textlink="">
          <xdr:nvSpPr>
            <xdr:cNvPr id="3507" name="Button 435" hidden="1">
              <a:extLst>
                <a:ext uri="{63B3BB69-23CF-44E3-9099-C40C66FF867C}">
                  <a14:compatExt spid="_x0000_s35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QTR PRINT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19050</xdr:colOff>
      <xdr:row>1</xdr:row>
      <xdr:rowOff>38100</xdr:rowOff>
    </xdr:from>
    <xdr:to>
      <xdr:col>11</xdr:col>
      <xdr:colOff>285750</xdr:colOff>
      <xdr:row>2</xdr:row>
      <xdr:rowOff>0</xdr:rowOff>
    </xdr:to>
    <xdr:sp macro="" textlink="">
      <xdr:nvSpPr>
        <xdr:cNvPr id="2" name="Text Box 7"/>
        <xdr:cNvSpPr txBox="1">
          <a:spLocks noChangeArrowheads="1"/>
        </xdr:cNvSpPr>
      </xdr:nvSpPr>
      <xdr:spPr bwMode="auto">
        <a:xfrm>
          <a:off x="19050" y="609600"/>
          <a:ext cx="7258050" cy="3714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1. Enter Ticker in I3 and press refresh button.</a:t>
          </a:r>
        </a:p>
        <a:p>
          <a:pPr algn="l" rtl="0">
            <a:defRPr sz="1000"/>
          </a:pPr>
          <a:r>
            <a:rPr lang="en-GB" sz="1000" b="0" i="0" u="none" strike="noStrike" baseline="0">
              <a:solidFill>
                <a:srgbClr val="000000"/>
              </a:solidFill>
              <a:latin typeface="Arial"/>
              <a:cs typeface="Arial"/>
            </a:rPr>
            <a:t>2. Check all data in </a:t>
          </a:r>
          <a:r>
            <a:rPr lang="en-GB" sz="1000" b="1" i="0" u="none" strike="noStrike" baseline="0">
              <a:solidFill>
                <a:srgbClr val="0000FF"/>
              </a:solidFill>
              <a:latin typeface="Arial"/>
              <a:cs typeface="Arial"/>
            </a:rPr>
            <a:t>blue</a:t>
          </a:r>
          <a:r>
            <a:rPr lang="en-GB" sz="1000" b="0" i="0" u="none" strike="noStrike" baseline="0">
              <a:solidFill>
                <a:srgbClr val="000000"/>
              </a:solidFill>
              <a:latin typeface="Arial"/>
              <a:cs typeface="Arial"/>
            </a:rPr>
            <a:t> for accuracy.</a:t>
          </a:r>
          <a:endParaRPr lang="en-GB" sz="1000" b="1" i="0" u="none" strike="noStrike" baseline="0">
            <a:solidFill>
              <a:srgbClr val="000000"/>
            </a:solidFill>
            <a:latin typeface="Arial"/>
            <a:cs typeface="Arial"/>
          </a:endParaRPr>
        </a:p>
        <a:p>
          <a:pPr algn="l" rtl="0">
            <a:defRPr sz="1000"/>
          </a:pPr>
          <a:endParaRPr lang="en-GB" sz="1000" b="1" i="0" u="none" strike="noStrike" baseline="0">
            <a:solidFill>
              <a:srgbClr val="000000"/>
            </a:solidFill>
            <a:latin typeface="Arial"/>
            <a:cs typeface="Arial"/>
          </a:endParaRPr>
        </a:p>
      </xdr:txBody>
    </xdr:sp>
    <xdr:clientData/>
  </xdr:twoCellAnchor>
  <xdr:twoCellAnchor>
    <xdr:from>
      <xdr:col>2</xdr:col>
      <xdr:colOff>66675</xdr:colOff>
      <xdr:row>0</xdr:row>
      <xdr:rowOff>19050</xdr:rowOff>
    </xdr:from>
    <xdr:to>
      <xdr:col>4</xdr:col>
      <xdr:colOff>57150</xdr:colOff>
      <xdr:row>0</xdr:row>
      <xdr:rowOff>447675</xdr:rowOff>
    </xdr:to>
    <xdr:pic>
      <xdr:nvPicPr>
        <xdr:cNvPr id="48019109" name="Picture 8" descr="MS ModelWar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19050"/>
          <a:ext cx="1781175"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485775</xdr:colOff>
          <xdr:row>1</xdr:row>
          <xdr:rowOff>57150</xdr:rowOff>
        </xdr:from>
        <xdr:to>
          <xdr:col>17</xdr:col>
          <xdr:colOff>609600</xdr:colOff>
          <xdr:row>3</xdr:row>
          <xdr:rowOff>19050</xdr:rowOff>
        </xdr:to>
        <xdr:sp macro="" textlink="">
          <xdr:nvSpPr>
            <xdr:cNvPr id="11585537" name="CommandButton2" hidden="1">
              <a:extLst>
                <a:ext uri="{63B3BB69-23CF-44E3-9099-C40C66FF867C}">
                  <a14:compatExt spid="_x0000_s11585537"/>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0</xdr:colOff>
      <xdr:row>11</xdr:row>
      <xdr:rowOff>9525</xdr:rowOff>
    </xdr:from>
    <xdr:to>
      <xdr:col>10</xdr:col>
      <xdr:colOff>646176</xdr:colOff>
      <xdr:row>31</xdr:row>
      <xdr:rowOff>84811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
<Relationship Id="rId1" Target="TEMP/data/excel/P.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file://///Sony/c/business/&#38750;&#37444;/&#38750;&#37444;&#20250;~1/&#21516;&#21644;&#37489;&#26989;/5714work.wk4" TargetMode="External" Type="http://schemas.openxmlformats.org/officeDocument/2006/relationships/externalLinkPath"/>
</Relationships>

</file>

<file path=xl/externalLinks/_rels/externalLink3.xml.rels><?xml version="1.0" encoding="UTF-8" standalone="yes"?>
<Relationships xmlns="http://schemas.openxmlformats.org/package/2006/relationships">
<Relationship Id="rId1" Target="file://///msad/root/na/ny/users/johndasc/Docs/ID/Charts/Chart_Gallery/From%20Vlad/B11_BarSingle_AverageLine.xls" TargetMode="External" Type="http://schemas.openxmlformats.org/officeDocument/2006/relationships/externalLinkPath"/>
</Relationships>

</file>

<file path=xl/externalLinks/_rels/externalLink4.xml.rels><?xml version="1.0" encoding="UTF-8" standalone="yes"?>
<Relationships xmlns="http://schemas.openxmlformats.org/package/2006/relationships">
<Relationship Id="rId1" Target="file://///MSAD/ROOT/NA/NY/LIB/ER/RETAIL/Greenberger/Sector%20Notes/Rent%20Expense/2013/RentExp2013_Softlines.xls" TargetMode="External" Type="http://schemas.openxmlformats.org/officeDocument/2006/relationships/externalLinkPath"/>
</Relationships>

</file>

<file path=xl/externalLinks/_rels/externalLink5.xml.rels><?xml version="1.0" encoding="UTF-8" standalone="yes"?>
<Relationships xmlns="http://schemas.openxmlformats.org/package/2006/relationships">
<Relationship Id="rId1" Target="RETAIL/Softlines/Apparel/Earnings/At%20a%20Glance.xls" TargetMode="External" Type="http://schemas.microsoft.com/office/2006/relationships/xlExternalLinkPath/xlAlternateStartup"/>
</Relationships>

</file>

<file path=xl/externalLinks/_rels/externalLink6.xml.rels><?xml version="1.0" encoding="UTF-8" standalone="yes"?>
<Relationships xmlns="http://schemas.openxmlformats.org/package/2006/relationships">
<Relationship Id="rId1" Target="RETAIL/Apparel/Earnings/Bull%20Bear%20Base%20Charts_2.xls" TargetMode="External" Type="http://schemas.microsoft.com/office/2006/relationships/xlExternalLinkPath/xlAlternateStartup"/>
</Relationships>

</file>

<file path=xl/externalLinks/_rels/externalLink7.xml.rels><?xml version="1.0" encoding="UTF-8" standalone="yes"?>
<Relationships xmlns="http://schemas.openxmlformats.org/package/2006/relationships">
<Relationship Id="rId1" Target="RETAIL/Softlines/Apparel/Analyses/GPS/2009_10%20Note/GPS_analyst%20meeting%20charts_SMU_2009_10_15.xls" TargetMode="External" Type="http://schemas.microsoft.com/office/2006/relationships/xlExternalLinkPath/xlAlternateStartup"/>
</Relationships>

</file>

<file path=xl/externalLinks/_rels/externalLink8.xml.rels><?xml version="1.0" encoding="UTF-8" standalone="yes"?>
<Relationships xmlns="http://schemas.openxmlformats.org/package/2006/relationships">
<Relationship Id="rId1" Target="RETAIL/Softlines/Apparel/Valuation/Softlines%20Playbook.xls" TargetMode="External" Type="http://schemas.microsoft.com/office/2006/relationships/xlExternalLinkPath/xlAlternateStartup"/>
</Relationships>

</file>

<file path=xl/externalLinks/_rels/externalLink9.xml.rels><?xml version="1.0" encoding="UTF-8" standalone="yes"?>
<Relationships xmlns="http://schemas.openxmlformats.org/package/2006/relationships">
<Relationship Id="rId1" Target="file://///msad/root/na/ny/users/johndasc/Docs/ID/Charts/Sandbox/BtoB.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RETAIL/Softlines/Apparel/ANALYSES/Industry/INDUSTRY%20STATS/Summary_Industry_2011.xls" TargetMode="External" Type="http://schemas.microsoft.com/office/2006/relationships/xlExternalLinkPath/xlAlternateStartup"/>
</Relationships>

</file>

<file path=xl/externalLinks/_rels/externalLink11.xml.rels><?xml version="1.0" encoding="UTF-8" standalone="yes"?>
<Relationships xmlns="http://schemas.openxmlformats.org/package/2006/relationships">
<Relationship Id="rId1" Target="RETAIL/Softlines/Apparel/Analyses/GPS/2010_01%20Note/GPS_Rosk%20Reward%20View%20Analyses_021010.xls" TargetMode="External" Type="http://schemas.microsoft.com/office/2006/relationships/xlExternalLinkPath/xlAlternateStartup"/>
</Relationships>

</file>

<file path=xl/externalLinks/_rels/externalLink12.xml.rels><?xml version="1.0" encoding="UTF-8" standalone="yes"?>
<Relationships xmlns="http://schemas.openxmlformats.org/package/2006/relationships">
<Relationship Id="rId1" Target="RETAIL/Softlines/Apparel/MODELS/WORKING%20MODELS/M_working2.xls" TargetMode="External" Type="http://schemas.microsoft.com/office/2006/relationships/xlExternalLinkPath/xlAlternateStartup"/>
</Relationships>

</file>

<file path=xl/externalLinks/_rels/externalLink13.xml.rels><?xml version="1.0" encoding="UTF-8" standalone="yes"?>
<Relationships xmlns="http://schemas.openxmlformats.org/package/2006/relationships">
<Relationship Id="rId1" Target="RETAIL/Greenberger/Companies/JWN/Model/JWN_Model2.xls" TargetMode="External" Type="http://schemas.microsoft.com/office/2006/relationships/xlExternalLinkPath/xlAlternateStartup"/>
</Relationships>

</file>

<file path=xl/externalLinks/_rels/externalLink14.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5.xml.rels><?xml version="1.0" encoding="UTF-8" standalone="yes"?>
<Relationships xmlns="http://schemas.openxmlformats.org/package/2006/relationships">
<Relationship Id="rId1" Target="TEMPLATE/Excel/LINKTAB.XLS" TargetMode="External" Type="http://schemas.microsoft.com/office/2006/relationships/xlExternalLinkPath/xlStartup"/>
</Relationships>

</file>

<file path=xl/externalLinks/_rels/externalLink16.xml.rels><?xml version="1.0" encoding="UTF-8" standalone="yes"?>
<Relationships xmlns="http://schemas.openxmlformats.org/package/2006/relationships">
<Relationship Id="rId1" Target="I" TargetMode="External" Type="http://schemas.microsoft.com/office/2006/relationships/xlExternalLinkPath/xlPathMissing"/>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P"/>
      <sheetName val="BS"/>
      <sheetName val="TOSCO"/>
      <sheetName val="Segment ROCE"/>
      <sheetName val="ROGIC"/>
      <sheetName val="E&amp;P"/>
      <sheetName val="NEPS"/>
      <sheetName val="RefineryMaint"/>
      <sheetName val="Hamaca"/>
      <sheetName val="Bohai"/>
      <sheetName val="Bayu Undan"/>
      <sheetName val="R&amp;M"/>
      <sheetName val="GPM"/>
      <sheetName val="Variance"/>
      <sheetName val="ARCO - Alaska"/>
      <sheetName val="Capex"/>
      <sheetName val="Reserves"/>
      <sheetName val="WACC"/>
      <sheetName val="Valuation"/>
      <sheetName val="NAV"/>
      <sheetName val="Chemical JV"/>
      <sheetName val="Chems"/>
      <sheetName val="EKOFISK"/>
      <sheetName val="PUDS"/>
      <sheetName val="GE Data"/>
      <sheetName val="IndexInformation"/>
      <sheetName val="MainCode"/>
      <sheetName val="NY UPLOAD"/>
      <sheetName val="NY UPLOAD Shadow"/>
      <sheetName val="Distribution"/>
      <sheetName val="A-Link Source"/>
      <sheetName val="Q-Link Source"/>
      <sheetName val="Income Statement"/>
      <sheetName val="Revenue&amp;EBIT"/>
      <sheetName val="Fin. Summary"/>
      <sheetName val="COP"/>
      <sheetName val="XOM"/>
      <sheetName val="New Source Charts"/>
      <sheetName val="Modelware"/>
      <sheetName val="R&amp;MIS"/>
      <sheetName val="E&amp;P Growth &amp; Returns"/>
      <sheetName val="Global Product Sum"/>
      <sheetName val="Scenario"/>
      <sheetName val="Quarter"/>
      <sheetName val="Annual"/>
      <sheetName val="AN"/>
      <sheetName val="COC"/>
      <sheetName val="Inputs"/>
      <sheetName val="ｾｸﾞﾒﾝﾄ"/>
      <sheetName val="単独"/>
      <sheetName val="Factset Profile"/>
      <sheetName val="cash"/>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単独"/>
      <sheetName val="連結"/>
      <sheetName val="期中"/>
      <sheetName val="valu"/>
      <sheetName val="増減分析"/>
      <sheetName val="新素材"/>
      <sheetName val="子会社"/>
      <sheetName val="環境"/>
      <sheetName val="製錬拠点"/>
      <sheetName val="ﾃｨｻﾊﾟ"/>
      <sheetName val="ﾚｲﾃﾞﾌﾟﾗﾀ"/>
      <sheetName val="小坂"/>
      <sheetName val="中計"/>
      <sheetName val="cash"/>
      <sheetName val="ｾｸﾞﾒﾝﾄ"/>
      <sheetName val="含み益"/>
      <sheetName val="capx"/>
      <sheetName val="dep"/>
      <sheetName val="人"/>
      <sheetName val="exp"/>
      <sheetName val="Valuation Matrix"/>
      <sheetName val="HANDOUT"/>
      <sheetName val="Interm-Euro"/>
      <sheetName val="SCATTER DATA"/>
      <sheetName val="10 Yr DCF"/>
      <sheetName val="Annual-Euro"/>
      <sheetName val="Residual Income Model"/>
      <sheetName val="P"/>
      <sheetName val="Risk-Reward_View_Chart"/>
      <sheetName val="Sheet1"/>
      <sheetName val="variables"/>
      <sheetName val="Operating Leases tagged"/>
      <sheetName val="EARNMOD"/>
      <sheetName val="WACC"/>
      <sheetName val="Fixed Line Mkt"/>
      <sheetName val="Cash Flow"/>
      <sheetName val="upside_downside"/>
      <sheetName val="Income Statement"/>
      <sheetName val="Balance Sheet"/>
      <sheetName val="Valsum"/>
      <sheetName val="Model"/>
      <sheetName val="Intrinsic Value"/>
      <sheetName val="Rev by Geo"/>
      <sheetName val="exh 11"/>
      <sheetName val="exh 14"/>
      <sheetName val="exh 12"/>
      <sheetName val="exh 10"/>
      <sheetName val="exh 1 and 5"/>
      <sheetName val="exh 15"/>
      <sheetName val="exh 3"/>
      <sheetName val="exh 9"/>
      <sheetName val="Good 12-00 (2)"/>
      <sheetName val="Good 11-36"/>
      <sheetName val="Good 11-50"/>
      <sheetName val="Sheet3 (5)"/>
      <sheetName val="DCF"/>
      <sheetName val="OP"/>
      <sheetName val="Inputs"/>
      <sheetName val="MWA RR"/>
      <sheetName val="Summary"/>
      <sheetName val="IS"/>
      <sheetName val="IS Quarterly"/>
      <sheetName val="Sheet1 (2)"/>
      <sheetName val="1Q11 Preview"/>
      <sheetName val="2Q11 Preview"/>
      <sheetName val="Total_Production"/>
      <sheetName val="RFS"/>
      <sheetName val="Corn_Uses"/>
      <sheetName val="US_Production"/>
      <sheetName val="Report template"/>
      <sheetName val="Model (WIP)"/>
      <sheetName val="Exclusion List"/>
      <sheetName val="fin"/>
      <sheetName val="sales bkd"/>
      <sheetName val="Presentation"/>
      <sheetName val="Valuation"/>
    </sheetNames>
    <sheetDataSet>
      <sheetData sheetId="0" refreshError="1">
        <row r="14">
          <cell r="AR14">
            <v>28</v>
          </cell>
        </row>
        <row r="15">
          <cell r="AR15">
            <v>5</v>
          </cell>
        </row>
        <row r="16">
          <cell r="AR16">
            <v>14</v>
          </cell>
        </row>
        <row r="17">
          <cell r="AR17">
            <v>6</v>
          </cell>
        </row>
        <row r="18">
          <cell r="AR18">
            <v>-5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row r="164">
          <cell r="E164">
            <v>1247</v>
          </cell>
          <cell r="F164">
            <v>1807</v>
          </cell>
          <cell r="G164">
            <v>2812</v>
          </cell>
          <cell r="H164">
            <v>2828</v>
          </cell>
          <cell r="I164">
            <v>6670</v>
          </cell>
        </row>
        <row r="165">
          <cell r="E165" t="e">
            <v>#VALUE!</v>
          </cell>
          <cell r="F165" t="e">
            <v>#VALUE!</v>
          </cell>
          <cell r="G165" t="e">
            <v>#VALUE!</v>
          </cell>
          <cell r="H165" t="e">
            <v>#VALUE!</v>
          </cell>
          <cell r="I165" t="e">
            <v>#VALUE!</v>
          </cell>
        </row>
        <row r="167">
          <cell r="E167">
            <v>2721</v>
          </cell>
          <cell r="F167">
            <v>1584</v>
          </cell>
          <cell r="G167">
            <v>1802</v>
          </cell>
          <cell r="H167">
            <v>1616</v>
          </cell>
          <cell r="I167">
            <v>795</v>
          </cell>
        </row>
      </sheetData>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REVENUE BY GEOGRAPHY"/>
      <sheetName val="NonQtr"/>
      <sheetName val="Data 20d"/>
      <sheetName val="Data"/>
      <sheetName val="Risk-Reward_View_Chart"/>
      <sheetName val="Valsum"/>
      <sheetName val="Good 12-00 (2)"/>
      <sheetName val="Good 11-36"/>
      <sheetName val="Good 11-50"/>
      <sheetName val="Sheet3 (5)"/>
      <sheetName val="Inputs"/>
      <sheetName val="Interims"/>
      <sheetName val="Financial Statements"/>
      <sheetName val="FX"/>
      <sheetName val="CPB"/>
      <sheetName val="Total_Food_Promo"/>
      <sheetName val="CPB_2yr"/>
      <sheetName val="Summary"/>
      <sheetName val="Floater Demand"/>
      <sheetName val="B11_BarSingle_AverageLine"/>
      <sheetName val="Quero_Sales"/>
      <sheetName val="L2005"/>
      <sheetName val="C2000"/>
      <sheetName val="Cell Reference"/>
      <sheetName val="Shading Period-Level"/>
      <sheetName val="Sources of Change"/>
      <sheetName val="Basic (gridlines)"/>
      <sheetName val="Average (reference) Line"/>
      <sheetName val="Double (overlapping)"/>
      <sheetName val="Reference Step Line"/>
      <sheetName val="Double (gridlines)"/>
      <sheetName val="Growth Line"/>
      <sheetName val="Reference Marks"/>
      <sheetName val="Single-point highlighting"/>
      <sheetName val="CPNO"/>
      <sheetName val="MMP"/>
      <sheetName val="PAA"/>
      <sheetName val="EEP"/>
      <sheetName val="KMP"/>
      <sheetName val="ETP"/>
      <sheetName val="BPL"/>
      <sheetName val="NS"/>
      <sheetName val="BWP"/>
      <sheetName val="EPD"/>
      <sheetName val="RGNC"/>
      <sheetName val="WP Detail "/>
      <sheetName val="画像1"/>
      <sheetName val="業績推移"/>
      <sheetName val="バリュエーション比較"/>
      <sheetName val="自動車設備投資"/>
      <sheetName val="ロボット機械統計年"/>
      <sheetName val="ロボット機械統計"/>
      <sheetName val="株価と関連指標"/>
      <sheetName val="画像3"/>
      <sheetName val="利益率比較"/>
      <sheetName val="ロボット試算"/>
      <sheetName val="画像2"/>
      <sheetName val="内訳"/>
      <sheetName val="株価(過去1年) "/>
      <sheetName val="WWロボット出荷台数"/>
      <sheetName val="長期営業利益"/>
      <sheetName val="中国NC化率"/>
      <sheetName val="画像4"/>
      <sheetName val="成長率比較"/>
      <sheetName val="バリュエーション"/>
      <sheetName val="四半期"/>
      <sheetName val="画像5"/>
      <sheetName val="RRBox"/>
      <sheetName val="シェアと競合"/>
      <sheetName val="Sheet4"/>
      <sheetName val="ForeignStake"/>
      <sheetName val="Model"/>
      <sheetName val="rev change analysis"/>
      <sheetName val="rev contribution analysis"/>
      <sheetName val="WPZ"/>
      <sheetName val="TPP"/>
      <sheetName val="EPE"/>
      <sheetName val="WMZ"/>
      <sheetName val="HEP"/>
      <sheetName val="MGG"/>
      <sheetName val="ETE"/>
      <sheetName val="BGH"/>
      <sheetName val="SEP"/>
      <sheetName val="TCLP"/>
      <sheetName val="SXL"/>
      <sheetName val="WES"/>
      <sheetName val="HTC"/>
      <sheetName val="MS Tele Rep"/>
      <sheetName val="China Handset"/>
      <sheetName val="Smartphone"/>
      <sheetName val="IDC"/>
      <sheetName val="CW"/>
      <sheetName val="R2000"/>
      <sheetName val="__FDS_DOWNL_SCRATCH_SHEET__"/>
      <sheetName val="FIH"/>
      <sheetName val="MIC"/>
      <sheetName val="Valuation"/>
      <sheetName val="Sales by App"/>
      <sheetName val="Net Income &amp; EPS"/>
      <sheetName val="IDC_2"/>
      <sheetName val="Sales by Region Comp"/>
      <sheetName val="What's Changed"/>
      <sheetName val="Outsourcing"/>
      <sheetName val="Nokia vs HTC"/>
      <sheetName val="2012 Outlook"/>
      <sheetName val="Basket_June09_2010"/>
      <sheetName val="C1070"/>
      <sheetName val="Basket_Jan09"/>
      <sheetName val="Basket_2010"/>
      <sheetName val="Inflation v Price 6mth lag"/>
      <sheetName val="Basket_2011"/>
      <sheetName val="Basket_June09"/>
      <sheetName val="Basket_June09_Futures"/>
      <sheetName val="Commodities Exposure"/>
      <sheetName val=" Capital"/>
      <sheetName val="New Business"/>
      <sheetName val="Charts"/>
      <sheetName val="Pension"/>
      <sheetName val="Walk"/>
      <sheetName val="Commodity Index"/>
      <sheetName val="Prices_Quarterly"/>
      <sheetName val="Inflation_Monthly"/>
      <sheetName val="Inflation_Quarterly"/>
      <sheetName val="Prices_Monthly"/>
      <sheetName val="Exposure"/>
      <sheetName val="Chart 6"/>
      <sheetName val="Front page benchmarks_9x3"/>
      <sheetName val="Front page benchmarks_6x5"/>
      <sheetName val="Benchmarks_All_gray2"/>
      <sheetName val="Sector yardstick_OLD"/>
      <sheetName val="Front page benchmarks_6x3"/>
      <sheetName val="Benchmarks_All_gray1"/>
      <sheetName val="P&amp;L"/>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Graphic"/>
      <sheetName val="RentExp Lvg"/>
      <sheetName val="Exec Summary"/>
      <sheetName val="Fig2-5.MasterTable"/>
      <sheetName val="Fig6.EBIT Rank"/>
      <sheetName val="Fig7. 53rd week"/>
      <sheetName val="Fig8-10 bps EPS Sensitivity"/>
      <sheetName val="Fig11.RankingTable"/>
      <sheetName val="Fig12.Opportunities"/>
      <sheetName val="Fig13.Leverage Rank"/>
      <sheetName val="Fig14.Bps Lvg. Dlvg."/>
      <sheetName val="Fig15&amp;18.StoreOpeningHist-NEW"/>
      <sheetName val="Fig16&amp;17.Store Closings"/>
      <sheetName val="Fig19&amp;20.ScatterPlot"/>
      <sheetName val="Escalating Rent"/>
      <sheetName val="Est Act compare"/>
      <sheetName val="Company specific"/>
      <sheetName val="CapEx"/>
      <sheetName val="Productivity"/>
      <sheetName val="Saturation"/>
      <sheetName val="MasterProductivity"/>
      <sheetName val="Sheet2"/>
      <sheetName val="Peak OpMargin-2006A"/>
      <sheetName val="Leaders-2005A"/>
      <sheetName val="Table-2005A"/>
      <sheetName val="Charts"/>
      <sheetName val="OpMargin-2005A"/>
      <sheetName val="OpMargin Formatted-2005"/>
      <sheetName val="MerchMargin"/>
      <sheetName val="GrossMargin"/>
      <sheetName val="To put in next yr's report"/>
      <sheetName val="Rent Exp breakout"/>
      <sheetName val="#REF"/>
    </sheetNames>
    <sheetDataSet>
      <sheetData sheetId="0">
        <row r="2">
          <cell r="A2">
            <v>0.5</v>
          </cell>
          <cell r="B2">
            <v>0.24</v>
          </cell>
        </row>
        <row r="3">
          <cell r="A3">
            <v>1</v>
          </cell>
          <cell r="B3">
            <v>0.12</v>
          </cell>
        </row>
        <row r="4">
          <cell r="A4">
            <v>1.5</v>
          </cell>
          <cell r="B4">
            <v>0.08</v>
          </cell>
        </row>
        <row r="5">
          <cell r="A5">
            <v>2</v>
          </cell>
          <cell r="B5">
            <v>0.06</v>
          </cell>
        </row>
        <row r="38">
          <cell r="D38" t="str">
            <v>Adjusted Rent Expense included in this report:</v>
          </cell>
        </row>
        <row r="39">
          <cell r="E39" t="str">
            <v>Minimum Rent</v>
          </cell>
        </row>
        <row r="40">
          <cell r="E40" t="str">
            <v>Common Area Mainternance</v>
          </cell>
        </row>
        <row r="41">
          <cell r="E41" t="str">
            <v>Real Estate Taxes</v>
          </cell>
        </row>
        <row r="42">
          <cell r="E42" t="str">
            <v>Real Estate Insurance Expenses</v>
          </cell>
        </row>
        <row r="44">
          <cell r="D44" t="str">
            <v>Additional Rent expenses which retailers may include:</v>
          </cell>
        </row>
        <row r="46">
          <cell r="E46" t="str">
            <v>Telephone, Utility, Store maintenance, repoairs</v>
          </cell>
        </row>
        <row r="47">
          <cell r="E47" t="str">
            <v>Store level depreciation</v>
          </cell>
        </row>
        <row r="49">
          <cell r="D49" t="str">
            <v>specify math, this implies a total rent expense number of XXX</v>
          </cell>
        </row>
        <row r="50">
          <cell r="D50" t="str">
            <v>we want to make sure we're publishing as accurate as possible a number</v>
          </cell>
        </row>
        <row r="51">
          <cell r="D51" t="str">
            <v>sign off on adjustment and total number</v>
          </cell>
        </row>
        <row r="56">
          <cell r="Q56" t="str">
            <v>How to Use this Report</v>
          </cell>
        </row>
        <row r="57">
          <cell r="Q57" t="str">
            <v>Our Rent Expense Deep Dive is a tool to help investors better analyze margins across the sector.  Rent can absorb as much as 14% of a retailer's total sales or as little as 1%.  This report explains why and discusses the rent margin outlook based on lease cost trend, industry dynamics and company specific trends.</v>
          </cell>
        </row>
        <row r="60">
          <cell r="T60" t="str">
            <v>Metric</v>
          </cell>
          <cell r="U60" t="str">
            <v>Year</v>
          </cell>
          <cell r="V60" t="str">
            <v>Specialty Retail</v>
          </cell>
          <cell r="W60" t="str">
            <v>Hardlines</v>
          </cell>
          <cell r="X60" t="str">
            <v>Department Stores</v>
          </cell>
        </row>
        <row r="61">
          <cell r="T61" t="str">
            <v>Rent as a % of total sales</v>
          </cell>
          <cell r="U61">
            <v>2012</v>
          </cell>
          <cell r="V61">
            <v>8.3333926213616141E-2</v>
          </cell>
          <cell r="W61" t="e">
            <v>#DIV/0!</v>
          </cell>
          <cell r="X61">
            <v>2.3230793383249557E-2</v>
          </cell>
        </row>
        <row r="62">
          <cell r="U62" t="str">
            <v>2013e</v>
          </cell>
          <cell r="V62">
            <v>9.1957846004409524E-2</v>
          </cell>
          <cell r="W62" t="e">
            <v>#DIV/0!</v>
          </cell>
          <cell r="X62">
            <v>2.3930164527756571E-2</v>
          </cell>
        </row>
        <row r="63">
          <cell r="T63" t="str">
            <v>Rent cost per square foot</v>
          </cell>
          <cell r="U63">
            <v>2012</v>
          </cell>
          <cell r="V63">
            <v>50123.147309263957</v>
          </cell>
          <cell r="W63" t="e">
            <v>#DIV/0!</v>
          </cell>
          <cell r="X63">
            <v>10.155037298108724</v>
          </cell>
        </row>
        <row r="64">
          <cell r="U64" t="str">
            <v>2013e</v>
          </cell>
          <cell r="V64">
            <v>68432.50208464812</v>
          </cell>
          <cell r="W64" t="e">
            <v>#DIV/0!</v>
          </cell>
          <cell r="X64">
            <v>10.773881404789575</v>
          </cell>
          <cell r="AC64">
            <v>1</v>
          </cell>
          <cell r="AD64">
            <v>1</v>
          </cell>
        </row>
        <row r="67">
          <cell r="Z67" t="str">
            <v>Sector</v>
          </cell>
          <cell r="AA67" t="str">
            <v>Rent Margin Rank</v>
          </cell>
          <cell r="AB67" t="str">
            <v>Company</v>
          </cell>
          <cell r="AC67" t="str">
            <v>2012
Rent Margin</v>
          </cell>
          <cell r="AD67" t="str">
            <v>2012
Op Margin</v>
          </cell>
        </row>
        <row r="68">
          <cell r="AA68" t="str">
            <v>Highest</v>
          </cell>
          <cell r="AB68" t="str">
            <v>PLCE</v>
          </cell>
          <cell r="AC68">
            <v>0.14313360258106445</v>
          </cell>
          <cell r="AD68">
            <v>6.3735779110753052E-2</v>
          </cell>
        </row>
        <row r="69">
          <cell r="Z69" t="str">
            <v>Softlines</v>
          </cell>
          <cell r="AB69" t="str">
            <v>EXPR</v>
          </cell>
          <cell r="AC69">
            <v>0.13382112027127621</v>
          </cell>
          <cell r="AD69">
            <v>0.11711122873613471</v>
          </cell>
        </row>
        <row r="70">
          <cell r="AA70" t="str">
            <v>Lowest</v>
          </cell>
          <cell r="AB70" t="str">
            <v>COH</v>
          </cell>
          <cell r="AC70">
            <v>3.4982012079537157E-5</v>
          </cell>
          <cell r="AD70">
            <v>0.3256643670824953</v>
          </cell>
        </row>
        <row r="71">
          <cell r="AB71" t="str">
            <v>LULU</v>
          </cell>
          <cell r="AC71">
            <v>6.0150705144203197E-2</v>
          </cell>
          <cell r="AD71" t="e">
            <v>#N/A</v>
          </cell>
        </row>
        <row r="72">
          <cell r="AA72" t="str">
            <v>Highest</v>
          </cell>
          <cell r="AB72" t="str">
            <v>DKS</v>
          </cell>
          <cell r="AC72" t="e">
            <v>#VALUE!</v>
          </cell>
          <cell r="AD72" t="e">
            <v>#VALUE!</v>
          </cell>
        </row>
        <row r="73">
          <cell r="Z73" t="str">
            <v>Hardlines</v>
          </cell>
          <cell r="AB73" t="str">
            <v>WSM</v>
          </cell>
          <cell r="AC73" t="e">
            <v>#VALUE!</v>
          </cell>
          <cell r="AD73" t="e">
            <v>#VALUE!</v>
          </cell>
        </row>
        <row r="74">
          <cell r="AA74" t="str">
            <v>Lowest</v>
          </cell>
          <cell r="AB74" t="str">
            <v>AZO</v>
          </cell>
          <cell r="AC74" t="e">
            <v>#VALUE!</v>
          </cell>
          <cell r="AD74" t="e">
            <v>#VALUE!</v>
          </cell>
        </row>
        <row r="75">
          <cell r="AB75" t="str">
            <v>LOW</v>
          </cell>
          <cell r="AC75" t="e">
            <v>#VALUE!</v>
          </cell>
          <cell r="AD75" t="e">
            <v>#VALUE!</v>
          </cell>
        </row>
        <row r="76">
          <cell r="AA76" t="str">
            <v>Highest</v>
          </cell>
          <cell r="AB76" t="str">
            <v>SKS</v>
          </cell>
          <cell r="AC76" t="e">
            <v>#VALUE!</v>
          </cell>
          <cell r="AD76" t="e">
            <v>#VALUE!</v>
          </cell>
        </row>
        <row r="77">
          <cell r="Z77" t="str">
            <v>Department</v>
          </cell>
          <cell r="AB77" t="str">
            <v>JCP</v>
          </cell>
          <cell r="AC77" t="e">
            <v>#VALUE!</v>
          </cell>
          <cell r="AD77" t="e">
            <v>#VALUE!</v>
          </cell>
        </row>
        <row r="78">
          <cell r="Z78" t="str">
            <v>Stores</v>
          </cell>
          <cell r="AA78" t="str">
            <v>Lowest</v>
          </cell>
          <cell r="AB78" t="str">
            <v>JWN</v>
          </cell>
          <cell r="AC78" t="e">
            <v>#VALUE!</v>
          </cell>
          <cell r="AD78" t="e">
            <v>#VALUE!</v>
          </cell>
        </row>
        <row r="79">
          <cell r="AB79" t="str">
            <v>M</v>
          </cell>
          <cell r="AC79" t="e">
            <v>#VALUE!</v>
          </cell>
          <cell r="AD79" t="e">
            <v>#VALUE!</v>
          </cell>
        </row>
      </sheetData>
      <sheetData sheetId="1">
        <row r="2">
          <cell r="A2">
            <v>0.5</v>
          </cell>
          <cell r="B2">
            <v>0.24</v>
          </cell>
        </row>
        <row r="3">
          <cell r="A3">
            <v>1</v>
          </cell>
          <cell r="B3">
            <v>0.12</v>
          </cell>
        </row>
        <row r="4">
          <cell r="A4">
            <v>1.5</v>
          </cell>
          <cell r="B4">
            <v>0.08</v>
          </cell>
        </row>
        <row r="5">
          <cell r="A5">
            <v>2</v>
          </cell>
          <cell r="B5">
            <v>0.06</v>
          </cell>
        </row>
        <row r="38">
          <cell r="D38" t="str">
            <v>Adjusted Rent Expense included in this report:</v>
          </cell>
        </row>
        <row r="39">
          <cell r="E39" t="str">
            <v>Minimum Rent</v>
          </cell>
        </row>
        <row r="40">
          <cell r="E40" t="str">
            <v>Common Area Mainternance</v>
          </cell>
        </row>
        <row r="41">
          <cell r="E41" t="str">
            <v>Real Estate Taxes</v>
          </cell>
        </row>
        <row r="42">
          <cell r="E42" t="str">
            <v>Real Estate Insurance Expenses</v>
          </cell>
        </row>
        <row r="43">
          <cell r="E43" t="str">
            <v>Contingent Rent</v>
          </cell>
        </row>
        <row r="44">
          <cell r="D44" t="str">
            <v>Additional Rent expenses which retailers may include:</v>
          </cell>
        </row>
        <row r="46">
          <cell r="E46" t="str">
            <v>Telephone, Utility, Store maintenance, repoairs</v>
          </cell>
        </row>
        <row r="47">
          <cell r="E47" t="str">
            <v>Store level depreciation</v>
          </cell>
        </row>
      </sheetData>
      <sheetData sheetId="2"/>
      <sheetData sheetId="3">
        <row r="1">
          <cell r="A1">
            <v>1</v>
          </cell>
          <cell r="B1">
            <v>2</v>
          </cell>
          <cell r="C1">
            <v>3</v>
          </cell>
          <cell r="D1">
            <v>4</v>
          </cell>
          <cell r="E1">
            <v>5</v>
          </cell>
          <cell r="F1">
            <v>6</v>
          </cell>
          <cell r="G1">
            <v>7</v>
          </cell>
          <cell r="H1">
            <v>8</v>
          </cell>
          <cell r="I1">
            <v>9</v>
          </cell>
          <cell r="J1">
            <v>10</v>
          </cell>
          <cell r="K1">
            <v>11</v>
          </cell>
          <cell r="L1">
            <v>12</v>
          </cell>
          <cell r="M1">
            <v>13</v>
          </cell>
          <cell r="N1">
            <v>14</v>
          </cell>
          <cell r="O1">
            <v>15</v>
          </cell>
          <cell r="P1">
            <v>16</v>
          </cell>
          <cell r="Q1">
            <v>17</v>
          </cell>
          <cell r="R1">
            <v>18</v>
          </cell>
          <cell r="S1">
            <v>19</v>
          </cell>
          <cell r="T1">
            <v>20</v>
          </cell>
          <cell r="U1">
            <v>21</v>
          </cell>
          <cell r="V1">
            <v>22</v>
          </cell>
          <cell r="W1">
            <v>23</v>
          </cell>
          <cell r="X1">
            <v>24</v>
          </cell>
          <cell r="Y1">
            <v>25</v>
          </cell>
          <cell r="Z1">
            <v>26</v>
          </cell>
          <cell r="AA1">
            <v>27</v>
          </cell>
          <cell r="AB1">
            <v>28</v>
          </cell>
          <cell r="AC1">
            <v>29</v>
          </cell>
          <cell r="AD1">
            <v>30</v>
          </cell>
          <cell r="AE1">
            <v>31</v>
          </cell>
          <cell r="AF1">
            <v>32</v>
          </cell>
          <cell r="AG1">
            <v>33</v>
          </cell>
          <cell r="AH1">
            <v>34</v>
          </cell>
          <cell r="AI1">
            <v>35</v>
          </cell>
          <cell r="AJ1">
            <v>36</v>
          </cell>
          <cell r="AK1">
            <v>37</v>
          </cell>
          <cell r="AL1">
            <v>38</v>
          </cell>
          <cell r="AM1">
            <v>39</v>
          </cell>
          <cell r="AN1">
            <v>40</v>
          </cell>
          <cell r="AO1">
            <v>41</v>
          </cell>
          <cell r="AP1">
            <v>42</v>
          </cell>
          <cell r="AQ1">
            <v>43</v>
          </cell>
          <cell r="AR1">
            <v>44</v>
          </cell>
          <cell r="AS1">
            <v>45</v>
          </cell>
          <cell r="AT1">
            <v>46</v>
          </cell>
          <cell r="AU1">
            <v>47</v>
          </cell>
          <cell r="AV1">
            <v>48</v>
          </cell>
          <cell r="AW1">
            <v>49</v>
          </cell>
          <cell r="AX1">
            <v>50</v>
          </cell>
          <cell r="AY1">
            <v>51</v>
          </cell>
          <cell r="AZ1">
            <v>52</v>
          </cell>
          <cell r="BA1">
            <v>53</v>
          </cell>
          <cell r="BB1">
            <v>54</v>
          </cell>
        </row>
        <row r="2">
          <cell r="A2" t="str">
            <v>Rent Expense Analysis</v>
          </cell>
        </row>
        <row r="3">
          <cell r="C3" t="str">
            <v>VLOOKUP LABELS:</v>
          </cell>
          <cell r="F3" t="str">
            <v>1.  Sales</v>
          </cell>
          <cell r="H3" t="str">
            <v>Comparable-Store Sales</v>
          </cell>
          <cell r="J3" t="str">
            <v xml:space="preserve">     % Operating Margin</v>
          </cell>
          <cell r="L3" t="str">
            <v>Rent Expense</v>
          </cell>
          <cell r="AC3" t="str">
            <v>Avg. # Open</v>
          </cell>
          <cell r="AE3" t="str">
            <v>Avg. Gross Sq. Ft. (MM)</v>
          </cell>
          <cell r="AG3" t="str">
            <v>Avg. Store Size (Gross Sq. Ft.)</v>
          </cell>
          <cell r="AH3" t="str">
            <v>New Space Productivity</v>
          </cell>
          <cell r="AO3" t="str">
            <v>Sales Per Avg. Gross Sq. Ft.</v>
          </cell>
          <cell r="AW3">
            <v>0</v>
          </cell>
          <cell r="BB3" t="str">
            <v xml:space="preserve">   % Chg. from LY (Avg. Sq. Ft.)</v>
          </cell>
        </row>
        <row r="4">
          <cell r="H4" t="str">
            <v>Comparable-Store Sales ex eComm</v>
          </cell>
          <cell r="L4" t="str">
            <v xml:space="preserve">     Rent Expense</v>
          </cell>
          <cell r="AC4" t="str">
            <v>Children's Place Avg #</v>
          </cell>
          <cell r="AO4" t="str">
            <v>Net Sales Per Avg Gross Sq Ft</v>
          </cell>
          <cell r="BB4" t="str">
            <v xml:space="preserve">   % Chg. from LY (Avg. Sq. Ft.)</v>
          </cell>
        </row>
        <row r="5">
          <cell r="H5" t="str">
            <v>N.A. Comparable-Store Sales</v>
          </cell>
          <cell r="AS5" t="str">
            <v>occupancy's role in determining potential operating margin</v>
          </cell>
        </row>
        <row r="6">
          <cell r="L6" t="str">
            <v>Rent Expense</v>
          </cell>
          <cell r="Y6" t="str">
            <v>Rent</v>
          </cell>
          <cell r="AA6" t="str">
            <v>Rent</v>
          </cell>
          <cell r="AC6" t="str">
            <v>Average</v>
          </cell>
          <cell r="AL6" t="str">
            <v>Adjusted Rent</v>
          </cell>
          <cell r="AO6" t="str">
            <v>Sales</v>
          </cell>
          <cell r="AP6" t="str">
            <v>Total Sales</v>
          </cell>
          <cell r="AQ6" t="str">
            <v>Key CAM adj.</v>
          </cell>
          <cell r="AR6" t="str">
            <v>Bps</v>
          </cell>
          <cell r="AS6" t="str">
            <v xml:space="preserve">% Change in </v>
          </cell>
        </row>
        <row r="7">
          <cell r="F7" t="str">
            <v>Store Sales</v>
          </cell>
          <cell r="G7" t="str">
            <v>Total Sales</v>
          </cell>
          <cell r="H7" t="str">
            <v>Comp.</v>
          </cell>
          <cell r="J7" t="str">
            <v>Operating</v>
          </cell>
          <cell r="L7" t="str">
            <v>per 10-K</v>
          </cell>
          <cell r="U7" t="str">
            <v>% Store</v>
          </cell>
          <cell r="W7" t="str">
            <v>% Total</v>
          </cell>
          <cell r="Y7" t="str">
            <v>Levg. or</v>
          </cell>
          <cell r="AA7" t="str">
            <v>Levg. or</v>
          </cell>
          <cell r="AC7" t="str">
            <v>Store</v>
          </cell>
          <cell r="AE7" t="str">
            <v>Sq.Ft.</v>
          </cell>
          <cell r="AG7" t="str">
            <v>Sq. Ft. /</v>
          </cell>
          <cell r="AH7" t="str">
            <v>New Sq. Ft.</v>
          </cell>
          <cell r="AI7" t="str">
            <v>Adj. New SF</v>
          </cell>
          <cell r="AK7" t="str">
            <v>per Avg</v>
          </cell>
          <cell r="AM7" t="str">
            <v>per Avg</v>
          </cell>
          <cell r="AO7" t="str">
            <v>per Avg</v>
          </cell>
          <cell r="AP7" t="str">
            <v>per Avg</v>
          </cell>
          <cell r="AQ7" t="str">
            <v>Assumptions &amp;</v>
          </cell>
          <cell r="AR7" t="str">
            <v>Lvg</v>
          </cell>
          <cell r="AS7" t="str">
            <v>avg store</v>
          </cell>
          <cell r="AY7" t="str">
            <v>Non-Square Footage Related</v>
          </cell>
          <cell r="BB7" t="str">
            <v>Avg</v>
          </cell>
        </row>
        <row r="8">
          <cell r="F8" t="str">
            <v>($ MM)</v>
          </cell>
          <cell r="G8" t="str">
            <v>($ MM)</v>
          </cell>
          <cell r="H8" t="str">
            <v>Sales %</v>
          </cell>
          <cell r="J8" t="str">
            <v>Margin</v>
          </cell>
          <cell r="L8" t="str">
            <v>$ MM</v>
          </cell>
          <cell r="N8" t="str">
            <v>% Sales</v>
          </cell>
          <cell r="P8" t="str">
            <v>% Sales</v>
          </cell>
          <cell r="R8" t="str">
            <v>Adj.</v>
          </cell>
          <cell r="S8" t="str">
            <v>$ MM</v>
          </cell>
          <cell r="U8" t="str">
            <v>Sales</v>
          </cell>
          <cell r="W8" t="str">
            <v>Sales</v>
          </cell>
          <cell r="Y8" t="str">
            <v>(Delevg)</v>
          </cell>
          <cell r="AA8" t="str">
            <v>(De-levg)</v>
          </cell>
          <cell r="AC8" t="str">
            <v>Count</v>
          </cell>
          <cell r="AE8" t="str">
            <v>(MM)</v>
          </cell>
          <cell r="AG8" t="str">
            <v>Store</v>
          </cell>
          <cell r="AH8" t="str">
            <v>Productivity</v>
          </cell>
          <cell r="AI8" t="str">
            <v>Productivity</v>
          </cell>
          <cell r="AK8" t="str">
            <v>Store</v>
          </cell>
          <cell r="AM8" t="str">
            <v>Sq. Ft.</v>
          </cell>
          <cell r="AO8" t="str">
            <v>Sq. Ft.</v>
          </cell>
          <cell r="AP8" t="str">
            <v>Sq. Ft.</v>
          </cell>
          <cell r="AQ8" t="str">
            <v>Other</v>
          </cell>
          <cell r="AR8" t="str">
            <v>(De-Lvg)</v>
          </cell>
          <cell r="AS8" t="str">
            <v>count</v>
          </cell>
          <cell r="AY8" t="str">
            <v>Revenue</v>
          </cell>
          <cell r="BB8" t="str">
            <v>Sq. Ft. Growth</v>
          </cell>
        </row>
        <row r="10">
          <cell r="C10">
            <v>1998</v>
          </cell>
          <cell r="D10">
            <v>6</v>
          </cell>
          <cell r="E10">
            <v>6</v>
          </cell>
          <cell r="F10">
            <v>789.07640000000004</v>
          </cell>
          <cell r="H10" t="e">
            <v>#N/A</v>
          </cell>
          <cell r="J10">
            <v>0.20735487717032219</v>
          </cell>
          <cell r="L10">
            <v>50.97</v>
          </cell>
          <cell r="N10">
            <v>6.4594505677777206E-2</v>
          </cell>
          <cell r="P10" t="str">
            <v>-</v>
          </cell>
          <cell r="R10">
            <v>0.53310517309464267</v>
          </cell>
          <cell r="S10">
            <v>78.14237067263393</v>
          </cell>
          <cell r="U10">
            <v>9.9030170808091497E-2</v>
          </cell>
          <cell r="AC10">
            <v>176</v>
          </cell>
          <cell r="AE10">
            <v>1.6562140000000003</v>
          </cell>
          <cell r="AG10">
            <v>9136.0408163265311</v>
          </cell>
          <cell r="AH10">
            <v>0.84822648084814234</v>
          </cell>
          <cell r="AK10">
            <v>0.44399074245814735</v>
          </cell>
          <cell r="AM10">
            <v>47.181324800197267</v>
          </cell>
          <cell r="AO10">
            <v>486.15698212912093</v>
          </cell>
          <cell r="AS10" t="str">
            <v>Total rent expense as reported in footnote 5 includes Buildings, equipment and</v>
          </cell>
          <cell r="AY10">
            <v>16.1036</v>
          </cell>
        </row>
        <row r="11">
          <cell r="A11" t="str">
            <v>ANF1999</v>
          </cell>
          <cell r="C11">
            <v>1999</v>
          </cell>
          <cell r="D11">
            <v>7</v>
          </cell>
          <cell r="E11">
            <v>7</v>
          </cell>
          <cell r="F11">
            <v>1000.9631179999999</v>
          </cell>
          <cell r="H11" t="e">
            <v>#N/A</v>
          </cell>
          <cell r="I11">
            <v>1030.8579999999999</v>
          </cell>
          <cell r="J11">
            <v>0.2348179865704102</v>
          </cell>
          <cell r="L11">
            <v>61.905999999999999</v>
          </cell>
          <cell r="N11">
            <v>6.1846434585614778E-2</v>
          </cell>
          <cell r="P11" t="str">
            <v>-</v>
          </cell>
          <cell r="R11">
            <v>0.53310517309464267</v>
          </cell>
          <cell r="S11">
            <v>94.908408845596938</v>
          </cell>
          <cell r="U11">
            <v>9.4817088800665431E-2</v>
          </cell>
          <cell r="AC11">
            <v>223</v>
          </cell>
          <cell r="AE11">
            <v>1.982332</v>
          </cell>
          <cell r="AG11">
            <v>8696</v>
          </cell>
          <cell r="AH11">
            <v>0.85586633526187383</v>
          </cell>
          <cell r="AK11">
            <v>0.42559824594438089</v>
          </cell>
          <cell r="AM11">
            <v>47.877151176289814</v>
          </cell>
          <cell r="AO11">
            <v>520.02288214083205</v>
          </cell>
          <cell r="AS11" t="str">
            <v>other rent expense of $1.1mm in 2002 and $1.6mm in 2001. Amounts reported</v>
          </cell>
          <cell r="AY11">
            <v>29.894881999999999</v>
          </cell>
          <cell r="BA11">
            <v>0.19690571387513911</v>
          </cell>
        </row>
        <row r="12">
          <cell r="C12">
            <v>2000</v>
          </cell>
          <cell r="D12">
            <v>8</v>
          </cell>
          <cell r="E12">
            <v>8</v>
          </cell>
          <cell r="F12">
            <v>1190.5750480000002</v>
          </cell>
          <cell r="H12" t="e">
            <v>#N/A</v>
          </cell>
          <cell r="J12">
            <v>0.20495408870688844</v>
          </cell>
          <cell r="L12">
            <v>75.572000000000003</v>
          </cell>
          <cell r="N12">
            <v>6.3475208998332699E-2</v>
          </cell>
          <cell r="P12" t="str">
            <v>-</v>
          </cell>
          <cell r="R12">
            <v>0.53310517309464267</v>
          </cell>
          <cell r="S12">
            <v>115.85982414110833</v>
          </cell>
          <cell r="U12">
            <v>9.7314171278607475E-2</v>
          </cell>
          <cell r="AC12">
            <v>302</v>
          </cell>
          <cell r="AE12">
            <v>2.5114999999999998</v>
          </cell>
          <cell r="AG12">
            <v>8048.0225988700568</v>
          </cell>
          <cell r="AH12">
            <v>0.97185652557478674</v>
          </cell>
          <cell r="AK12">
            <v>0.38364180179174945</v>
          </cell>
          <cell r="AM12">
            <v>46.131723727297768</v>
          </cell>
          <cell r="AO12">
            <v>492.77483575552463</v>
          </cell>
          <cell r="AS12" t="str">
            <v>in footnote 5 exclude CAM, RE Taxes, and Insurance passed thru from landlords.</v>
          </cell>
          <cell r="AY12">
            <v>47.028952000000004</v>
          </cell>
          <cell r="BA12">
            <v>0.26694216710419849</v>
          </cell>
        </row>
        <row r="13">
          <cell r="C13">
            <v>2001</v>
          </cell>
          <cell r="D13">
            <v>9</v>
          </cell>
          <cell r="E13">
            <v>9</v>
          </cell>
          <cell r="F13">
            <v>1307.679678</v>
          </cell>
          <cell r="H13" t="e">
            <v>#N/A</v>
          </cell>
          <cell r="J13">
            <v>0.1988917487817369</v>
          </cell>
          <cell r="L13">
            <v>90.070999999999998</v>
          </cell>
          <cell r="N13">
            <v>6.8878488757856182E-2</v>
          </cell>
          <cell r="P13" t="str">
            <v>-</v>
          </cell>
          <cell r="R13">
            <v>0.53310517309464267</v>
          </cell>
          <cell r="S13">
            <v>138.08831604580755</v>
          </cell>
          <cell r="U13">
            <v>0.1055979674296105</v>
          </cell>
          <cell r="AC13">
            <v>422.5</v>
          </cell>
          <cell r="AE13">
            <v>3.2610000000000001</v>
          </cell>
          <cell r="AG13">
            <v>7480.6517311608959</v>
          </cell>
          <cell r="AH13">
            <v>0.63117470345429261</v>
          </cell>
          <cell r="AK13">
            <v>0.32683625099599417</v>
          </cell>
          <cell r="AM13">
            <v>42.34538977179011</v>
          </cell>
          <cell r="AO13">
            <v>418.53817847286109</v>
          </cell>
          <cell r="AY13">
            <v>57.173321999999999</v>
          </cell>
          <cell r="BA13">
            <v>0.29842723472028676</v>
          </cell>
        </row>
        <row r="14">
          <cell r="C14">
            <v>2002</v>
          </cell>
          <cell r="D14">
            <v>10</v>
          </cell>
          <cell r="E14">
            <v>10</v>
          </cell>
          <cell r="F14">
            <v>1521.3477919999998</v>
          </cell>
          <cell r="H14" t="e">
            <v>#N/A</v>
          </cell>
          <cell r="J14">
            <v>0.19536558511101615</v>
          </cell>
          <cell r="L14">
            <v>112.072</v>
          </cell>
          <cell r="N14">
            <v>7.3666258688072569E-2</v>
          </cell>
          <cell r="P14" t="str">
            <v>-</v>
          </cell>
          <cell r="R14">
            <v>0.53310517309464267</v>
          </cell>
          <cell r="S14">
            <v>171.81816295906279</v>
          </cell>
          <cell r="U14">
            <v>0.11293812227721221</v>
          </cell>
          <cell r="AC14">
            <v>544</v>
          </cell>
          <cell r="AE14">
            <v>4.0152570000000001</v>
          </cell>
          <cell r="AG14">
            <v>7299.0184254606365</v>
          </cell>
          <cell r="AH14">
            <v>0.92260407106700881</v>
          </cell>
          <cell r="AK14">
            <v>0.31584221132180662</v>
          </cell>
          <cell r="AM14">
            <v>42.791323932456322</v>
          </cell>
          <cell r="AO14">
            <v>397.42337788091766</v>
          </cell>
          <cell r="AY14">
            <v>74.409208000000007</v>
          </cell>
          <cell r="BA14">
            <v>0.23129622815087392</v>
          </cell>
        </row>
        <row r="15">
          <cell r="C15">
            <v>2003</v>
          </cell>
          <cell r="D15">
            <v>11</v>
          </cell>
          <cell r="E15">
            <v>11</v>
          </cell>
          <cell r="F15">
            <v>1707.8090000000002</v>
          </cell>
          <cell r="G15">
            <v>1707.8090000000002</v>
          </cell>
          <cell r="H15" t="e">
            <v>#N/A</v>
          </cell>
          <cell r="J15">
            <v>0.19334773385079967</v>
          </cell>
          <cell r="L15">
            <v>128.41399999999999</v>
          </cell>
          <cell r="N15">
            <v>7.5192249250355267E-2</v>
          </cell>
          <cell r="P15">
            <v>7.5192249250355267E-2</v>
          </cell>
          <cell r="R15">
            <v>0.53310517309464267</v>
          </cell>
          <cell r="S15">
            <v>196.87216769777541</v>
          </cell>
          <cell r="U15">
            <v>0.11527762630234141</v>
          </cell>
          <cell r="Y15">
            <v>-23.395040251291967</v>
          </cell>
          <cell r="AA15">
            <v>0</v>
          </cell>
          <cell r="AC15">
            <v>648.5</v>
          </cell>
          <cell r="AE15">
            <v>4.6866640000000004</v>
          </cell>
          <cell r="AG15">
            <v>7165.4485714285729</v>
          </cell>
          <cell r="AH15">
            <v>1.2712047329358787</v>
          </cell>
          <cell r="AK15">
            <v>0.30358082914074852</v>
          </cell>
          <cell r="AM15">
            <v>42.006887563899483</v>
          </cell>
          <cell r="AO15">
            <v>364.39757575964484</v>
          </cell>
          <cell r="AP15">
            <v>364.39757575964484</v>
          </cell>
          <cell r="AY15">
            <v>0</v>
          </cell>
          <cell r="BA15">
            <v>0.16721395417528706</v>
          </cell>
        </row>
        <row r="16">
          <cell r="C16">
            <v>2004</v>
          </cell>
          <cell r="D16">
            <v>12</v>
          </cell>
          <cell r="E16">
            <v>12</v>
          </cell>
          <cell r="F16">
            <v>1894.954</v>
          </cell>
          <cell r="G16">
            <v>2021.2539999999999</v>
          </cell>
          <cell r="H16" t="e">
            <v>#N/A</v>
          </cell>
          <cell r="J16">
            <v>0.18604539558115901</v>
          </cell>
          <cell r="L16">
            <v>150.04499999999999</v>
          </cell>
          <cell r="N16">
            <v>7.9181341605126035E-2</v>
          </cell>
          <cell r="P16">
            <v>7.4233619327407629E-2</v>
          </cell>
          <cell r="R16">
            <v>0.53310517309464267</v>
          </cell>
          <cell r="S16">
            <v>230.03476569698563</v>
          </cell>
          <cell r="U16">
            <v>0.12139332442739277</v>
          </cell>
          <cell r="Y16">
            <v>-61.15698125051361</v>
          </cell>
          <cell r="AA16">
            <v>0</v>
          </cell>
          <cell r="AC16">
            <v>744</v>
          </cell>
          <cell r="AE16">
            <v>5.3030889999999999</v>
          </cell>
          <cell r="AG16">
            <v>7094.3705583756337</v>
          </cell>
          <cell r="AH16">
            <v>0.68108916594296776</v>
          </cell>
          <cell r="AK16">
            <v>0.30918651303358285</v>
          </cell>
          <cell r="AM16">
            <v>43.377504261570124</v>
          </cell>
          <cell r="AO16">
            <v>381.1465355380609</v>
          </cell>
          <cell r="AP16">
            <v>381.1465355380609</v>
          </cell>
          <cell r="AT16" t="str">
            <v>Adjusted Rent Expense Increase Assumption</v>
          </cell>
          <cell r="AY16">
            <v>126.29999999999998</v>
          </cell>
          <cell r="BA16">
            <v>0.13152745748361716</v>
          </cell>
        </row>
        <row r="17">
          <cell r="A17" t="str">
            <v>ANF</v>
          </cell>
          <cell r="B17" t="str">
            <v>ANF</v>
          </cell>
          <cell r="C17" t="str">
            <v>2005 (ex. direct)</v>
          </cell>
          <cell r="D17">
            <v>13</v>
          </cell>
          <cell r="E17">
            <v>13</v>
          </cell>
          <cell r="F17">
            <v>2644.6110000000003</v>
          </cell>
          <cell r="G17">
            <v>2784.7110000000002</v>
          </cell>
          <cell r="H17" t="e">
            <v>#N/A</v>
          </cell>
          <cell r="J17">
            <v>0.19775983935137259</v>
          </cell>
          <cell r="L17">
            <v>189.428</v>
          </cell>
          <cell r="N17">
            <v>7.1627925619306573E-2</v>
          </cell>
          <cell r="P17">
            <v>6.8024294082940737E-2</v>
          </cell>
          <cell r="R17">
            <v>0.53310517309464267</v>
          </cell>
          <cell r="S17">
            <v>290.41304672897195</v>
          </cell>
          <cell r="U17">
            <v>0.10981314330499718</v>
          </cell>
          <cell r="Y17">
            <v>115.80181122395588</v>
          </cell>
          <cell r="AA17">
            <v>0</v>
          </cell>
          <cell r="AC17">
            <v>819.5</v>
          </cell>
          <cell r="AE17">
            <v>5.8078639999999995</v>
          </cell>
          <cell r="AG17">
            <v>7080.3337250293771</v>
          </cell>
          <cell r="AH17">
            <v>1.4246660438870515</v>
          </cell>
          <cell r="AI17">
            <v>1.4246660438870515</v>
          </cell>
          <cell r="AK17">
            <v>0.35437833646000239</v>
          </cell>
          <cell r="AM17">
            <v>50.003417216548456</v>
          </cell>
          <cell r="AO17">
            <v>479.47248764778249</v>
          </cell>
          <cell r="AP17">
            <v>479.47248764778249</v>
          </cell>
          <cell r="AT17" t="str">
            <v>10-K #: Excludes CAM, RE Taxes, Insurance</v>
          </cell>
          <cell r="AY17">
            <v>140.1</v>
          </cell>
          <cell r="BA17">
            <v>9.5185089294183012E-2</v>
          </cell>
          <cell r="BB17">
            <v>9.5185089294183012E-2</v>
          </cell>
        </row>
        <row r="18">
          <cell r="A18" t="str">
            <v>ANF2006</v>
          </cell>
          <cell r="B18" t="str">
            <v>ANF</v>
          </cell>
          <cell r="C18" t="str">
            <v>2006 (ex. direct)</v>
          </cell>
          <cell r="D18">
            <v>15</v>
          </cell>
          <cell r="E18">
            <v>14</v>
          </cell>
          <cell r="F18">
            <v>3119.2579999999998</v>
          </cell>
          <cell r="G18">
            <v>3318.1579999999999</v>
          </cell>
          <cell r="H18" t="e">
            <v>#N/A</v>
          </cell>
          <cell r="J18">
            <v>0.19532071709665416</v>
          </cell>
          <cell r="L18">
            <v>222.52799999999999</v>
          </cell>
          <cell r="N18">
            <v>7.1340043048699397E-2</v>
          </cell>
          <cell r="P18">
            <v>6.7063714265565413E-2</v>
          </cell>
          <cell r="R18">
            <v>0.51063609055222092</v>
          </cell>
          <cell r="S18">
            <v>336.15882795840463</v>
          </cell>
          <cell r="U18">
            <v>0.10776884373091442</v>
          </cell>
          <cell r="W18">
            <v>0.10130886713604495</v>
          </cell>
          <cell r="Y18">
            <v>20.442995740827669</v>
          </cell>
          <cell r="AA18">
            <v>-1013.0886713604496</v>
          </cell>
          <cell r="AC18">
            <v>897.5</v>
          </cell>
          <cell r="AE18">
            <v>6.3593639999999994</v>
          </cell>
          <cell r="AG18">
            <v>7090.4279661016953</v>
          </cell>
          <cell r="AH18">
            <v>1.6794579509618821</v>
          </cell>
          <cell r="AI18" t="e">
            <v>#N/A</v>
          </cell>
          <cell r="AK18">
            <v>0.37455022613749822</v>
          </cell>
          <cell r="AM18">
            <v>52.860447673447325</v>
          </cell>
          <cell r="AO18">
            <v>521.77513348819161</v>
          </cell>
          <cell r="AP18">
            <v>521.77513348819161</v>
          </cell>
          <cell r="AR18" t="str">
            <v>DE-LVG</v>
          </cell>
          <cell r="AY18">
            <v>198.89999999999998</v>
          </cell>
          <cell r="BA18">
            <v>9.4957457681515978E-2</v>
          </cell>
          <cell r="BB18">
            <v>9.4957457681515978E-2</v>
          </cell>
        </row>
        <row r="19">
          <cell r="A19" t="str">
            <v>ANF2007</v>
          </cell>
          <cell r="B19" t="str">
            <v>ANF</v>
          </cell>
          <cell r="C19" t="str">
            <v>2007 (ex. direct)</v>
          </cell>
          <cell r="D19">
            <v>17</v>
          </cell>
          <cell r="E19">
            <v>15</v>
          </cell>
          <cell r="F19">
            <v>3451.7469999999998</v>
          </cell>
          <cell r="G19">
            <v>3749.8469999999998</v>
          </cell>
          <cell r="H19" t="e">
            <v>#N/A</v>
          </cell>
          <cell r="J19">
            <v>0.19434472926495394</v>
          </cell>
          <cell r="L19">
            <v>243.10399999999998</v>
          </cell>
          <cell r="N19">
            <v>7.0429263790190877E-2</v>
          </cell>
          <cell r="P19">
            <v>6.4830378412772574E-2</v>
          </cell>
          <cell r="R19">
            <v>0.53310517309464256</v>
          </cell>
          <cell r="S19">
            <v>372.70399999999995</v>
          </cell>
          <cell r="U19">
            <v>0.10797546865398883</v>
          </cell>
          <cell r="W19">
            <v>9.939178851830488E-2</v>
          </cell>
          <cell r="Y19">
            <v>-2.0662492307441105</v>
          </cell>
          <cell r="AA19">
            <v>19.1707861774007</v>
          </cell>
          <cell r="AC19">
            <v>989.5</v>
          </cell>
          <cell r="AE19">
            <v>7.0153639999999999</v>
          </cell>
          <cell r="AG19">
            <v>7089.2405797101446</v>
          </cell>
          <cell r="AH19">
            <v>1.1302638883302507</v>
          </cell>
          <cell r="AI19" t="e">
            <v>#N/A</v>
          </cell>
          <cell r="AK19">
            <v>0.37665891864578066</v>
          </cell>
          <cell r="AM19">
            <v>53.126822784961689</v>
          </cell>
          <cell r="AO19">
            <v>534.51923521003323</v>
          </cell>
          <cell r="AP19">
            <v>534.51923521003323</v>
          </cell>
          <cell r="AR19">
            <v>-253.44001459675886</v>
          </cell>
          <cell r="AY19">
            <v>298.10000000000002</v>
          </cell>
          <cell r="BA19">
            <v>0.10315496958500892</v>
          </cell>
          <cell r="BB19">
            <v>0.10315496958500892</v>
          </cell>
        </row>
        <row r="20">
          <cell r="A20" t="str">
            <v>ANF2008</v>
          </cell>
          <cell r="B20" t="str">
            <v>ANF</v>
          </cell>
          <cell r="C20">
            <v>2008</v>
          </cell>
          <cell r="D20">
            <v>19</v>
          </cell>
          <cell r="E20">
            <v>16</v>
          </cell>
          <cell r="F20">
            <v>3169.0569999999998</v>
          </cell>
          <cell r="G20">
            <v>3484.0569999999998</v>
          </cell>
          <cell r="H20" t="e">
            <v>#N/A</v>
          </cell>
          <cell r="J20">
            <v>0.14164033481656585</v>
          </cell>
          <cell r="L20">
            <v>281.39699999999999</v>
          </cell>
          <cell r="N20">
            <v>8.879518418255021E-2</v>
          </cell>
          <cell r="P20">
            <v>8.0767048300300487E-2</v>
          </cell>
          <cell r="R20">
            <v>0.50142680980962839</v>
          </cell>
          <cell r="S20">
            <v>422.49699999999996</v>
          </cell>
          <cell r="U20">
            <v>0.13331947011366471</v>
          </cell>
          <cell r="W20">
            <v>0.12126581166726032</v>
          </cell>
          <cell r="Y20">
            <v>-253.44001459675886</v>
          </cell>
          <cell r="AA20">
            <v>-218.74023148955439</v>
          </cell>
          <cell r="AC20">
            <v>1080</v>
          </cell>
          <cell r="AE20">
            <v>7.6798640000000002</v>
          </cell>
          <cell r="AG20">
            <v>7130.9902222222227</v>
          </cell>
          <cell r="AH20">
            <v>0.67967544627973664</v>
          </cell>
          <cell r="AI20" t="e">
            <v>#N/A</v>
          </cell>
          <cell r="AK20">
            <v>0.39120092592592587</v>
          </cell>
          <cell r="AM20">
            <v>55.013604407578043</v>
          </cell>
          <cell r="AO20">
            <v>460.97704334347594</v>
          </cell>
          <cell r="AP20">
            <v>453.66128879365567</v>
          </cell>
          <cell r="AQ20" t="str">
            <v>2012 10-K: We estimate total CAM, insurance, and taxes expenses were $168.6M in 2012.  Store sales exclude direct/internet sales ($701M in '12, $553M in '11) and rent expense excludes equipment and other rent.</v>
          </cell>
          <cell r="AR20">
            <v>-405.93606321085775</v>
          </cell>
          <cell r="AS20">
            <v>9.146033350176852E-2</v>
          </cell>
          <cell r="AU20">
            <v>-659.37607780761664</v>
          </cell>
          <cell r="AY20">
            <v>315</v>
          </cell>
          <cell r="BA20">
            <v>9.4720673082679729E-2</v>
          </cell>
          <cell r="BB20">
            <v>9.4720673082679729E-2</v>
          </cell>
        </row>
        <row r="21">
          <cell r="A21" t="str">
            <v>ANF2009</v>
          </cell>
          <cell r="B21" t="str">
            <v>ANF</v>
          </cell>
          <cell r="C21">
            <v>2009</v>
          </cell>
          <cell r="D21">
            <v>20</v>
          </cell>
          <cell r="E21">
            <v>17</v>
          </cell>
          <cell r="F21">
            <v>2638.5250000000001</v>
          </cell>
          <cell r="G21">
            <v>2928.625</v>
          </cell>
          <cell r="H21" t="e">
            <v>#N/A</v>
          </cell>
          <cell r="J21">
            <v>4.6976652866106104E-2</v>
          </cell>
          <cell r="L21">
            <v>307.274</v>
          </cell>
          <cell r="N21">
            <v>0.11645673245468585</v>
          </cell>
          <cell r="P21">
            <v>0.10492090998335396</v>
          </cell>
          <cell r="R21">
            <v>0.49337073751765526</v>
          </cell>
          <cell r="S21">
            <v>458.87400000000002</v>
          </cell>
          <cell r="U21">
            <v>0.17391307643475049</v>
          </cell>
          <cell r="W21">
            <v>0.15668581672286483</v>
          </cell>
          <cell r="Y21">
            <v>-405.93606321085775</v>
          </cell>
          <cell r="AA21">
            <v>-354.20005055604514</v>
          </cell>
          <cell r="AC21">
            <v>1111</v>
          </cell>
          <cell r="AE21">
            <v>7.9347739999999991</v>
          </cell>
          <cell r="AG21">
            <v>7153.3126709206917</v>
          </cell>
          <cell r="AH21">
            <v>1.8675758596353069</v>
          </cell>
          <cell r="AI21">
            <v>0</v>
          </cell>
          <cell r="AK21">
            <v>0.41302790279027907</v>
          </cell>
          <cell r="AM21">
            <v>57.830758632823077</v>
          </cell>
          <cell r="AO21">
            <v>374.73828959601241</v>
          </cell>
          <cell r="AP21">
            <v>369.08738673590454</v>
          </cell>
          <cell r="AR21">
            <v>94.346680915818055</v>
          </cell>
          <cell r="AS21">
            <v>2.8703703703703676E-2</v>
          </cell>
          <cell r="AU21">
            <v>-311.58938229503968</v>
          </cell>
          <cell r="AY21">
            <v>290.10000000000002</v>
          </cell>
          <cell r="BA21">
            <v>3.3191994024894145E-2</v>
          </cell>
          <cell r="BB21">
            <v>3.3191994024894145E-2</v>
          </cell>
          <cell r="BC21">
            <v>0</v>
          </cell>
        </row>
        <row r="22">
          <cell r="A22" t="str">
            <v>ANF2010</v>
          </cell>
          <cell r="B22" t="str">
            <v>ANF</v>
          </cell>
          <cell r="C22">
            <v>2010</v>
          </cell>
          <cell r="D22">
            <v>21</v>
          </cell>
          <cell r="E22">
            <v>18</v>
          </cell>
          <cell r="F22">
            <v>3063.7759999999998</v>
          </cell>
          <cell r="G22">
            <v>3468.7759999999998</v>
          </cell>
          <cell r="H22" t="e">
            <v>#N/A</v>
          </cell>
          <cell r="J22">
            <v>6.9685099297273664E-2</v>
          </cell>
          <cell r="L22">
            <v>342.72499999999997</v>
          </cell>
          <cell r="N22">
            <v>0.11186359577201466</v>
          </cell>
          <cell r="P22">
            <v>9.8802863027188839E-2</v>
          </cell>
          <cell r="R22">
            <v>0.47034794660442047</v>
          </cell>
          <cell r="S22">
            <v>503.92499999999995</v>
          </cell>
          <cell r="U22">
            <v>0.16447840834316868</v>
          </cell>
          <cell r="W22">
            <v>0.14527458677066493</v>
          </cell>
          <cell r="Y22">
            <v>94.346680915818055</v>
          </cell>
          <cell r="AA22">
            <v>114.11229952199898</v>
          </cell>
          <cell r="AC22">
            <v>1083</v>
          </cell>
          <cell r="AE22">
            <v>7.802009</v>
          </cell>
          <cell r="AG22">
            <v>7256.1590271281575</v>
          </cell>
          <cell r="AH22">
            <v>-4.2915766957321955</v>
          </cell>
          <cell r="AI22">
            <v>0</v>
          </cell>
          <cell r="AK22">
            <v>0.4653047091412742</v>
          </cell>
          <cell r="AM22">
            <v>64.5891333885926</v>
          </cell>
          <cell r="AO22">
            <v>444.61407311885955</v>
          </cell>
          <cell r="AP22">
            <v>444.60035870248288</v>
          </cell>
          <cell r="AR22">
            <v>95.104394462600382</v>
          </cell>
          <cell r="AS22">
            <v>-2.5202520252025185E-2</v>
          </cell>
          <cell r="AY22">
            <v>405</v>
          </cell>
          <cell r="BA22">
            <v>-1.6732045550383545E-2</v>
          </cell>
          <cell r="BB22">
            <v>-1.6732045550383545E-2</v>
          </cell>
        </row>
        <row r="23">
          <cell r="A23" t="str">
            <v>ANF2011</v>
          </cell>
          <cell r="B23" t="str">
            <v>ANF</v>
          </cell>
          <cell r="C23">
            <v>2011</v>
          </cell>
          <cell r="D23">
            <v>22</v>
          </cell>
          <cell r="E23">
            <v>19</v>
          </cell>
          <cell r="F23">
            <v>3605.558</v>
          </cell>
          <cell r="G23">
            <v>4158.058</v>
          </cell>
          <cell r="H23" t="e">
            <v>#N/A</v>
          </cell>
          <cell r="J23">
            <v>8.0926682154658577E-2</v>
          </cell>
          <cell r="L23">
            <v>404.94600000000003</v>
          </cell>
          <cell r="N23">
            <v>0.11231160336347384</v>
          </cell>
          <cell r="P23">
            <v>9.7388251919525895E-2</v>
          </cell>
          <cell r="R23">
            <v>0.37980372691667541</v>
          </cell>
          <cell r="S23">
            <v>558.74600000000009</v>
          </cell>
          <cell r="U23">
            <v>0.15496796889690864</v>
          </cell>
          <cell r="W23">
            <v>0.13437667295646191</v>
          </cell>
          <cell r="Y23">
            <v>95.104394462600382</v>
          </cell>
          <cell r="AA23">
            <v>108.97913814203019</v>
          </cell>
          <cell r="AC23">
            <v>1055</v>
          </cell>
          <cell r="AE23">
            <v>7.7496840000000002</v>
          </cell>
          <cell r="AG23">
            <v>7437.5926993275698</v>
          </cell>
          <cell r="AH23">
            <v>-27.465011119416488</v>
          </cell>
          <cell r="AI23">
            <v>0</v>
          </cell>
          <cell r="AK23">
            <v>0.52961706161137445</v>
          </cell>
          <cell r="AM23">
            <v>72.099197851164007</v>
          </cell>
          <cell r="AO23">
            <v>536.54549011288714</v>
          </cell>
          <cell r="AP23">
            <v>536.54549011288714</v>
          </cell>
          <cell r="AR23">
            <v>-10.586818404850762</v>
          </cell>
          <cell r="AS23">
            <v>-2.5854108956602007E-2</v>
          </cell>
          <cell r="AY23">
            <v>552.5</v>
          </cell>
          <cell r="BA23">
            <v>-6.7066059523899213E-3</v>
          </cell>
          <cell r="BB23">
            <v>-6.7066059523899213E-3</v>
          </cell>
        </row>
        <row r="24">
          <cell r="A24" t="str">
            <v>ANF2012</v>
          </cell>
          <cell r="B24" t="str">
            <v>ANF</v>
          </cell>
          <cell r="C24">
            <v>2012</v>
          </cell>
          <cell r="D24">
            <v>23</v>
          </cell>
          <cell r="E24">
            <v>20</v>
          </cell>
          <cell r="F24">
            <v>3810.1760000000004</v>
          </cell>
          <cell r="G24">
            <v>4510.8050000000003</v>
          </cell>
          <cell r="H24" t="e">
            <v>#N/A</v>
          </cell>
          <cell r="J24">
            <v>8.334698573757908E-2</v>
          </cell>
          <cell r="L24">
            <v>430.88899999999995</v>
          </cell>
          <cell r="N24">
            <v>0.11308900166291529</v>
          </cell>
          <cell r="P24">
            <v>9.5523747978465023E-2</v>
          </cell>
          <cell r="R24">
            <v>0.37968014964410779</v>
          </cell>
          <cell r="S24">
            <v>594.48899999999992</v>
          </cell>
          <cell r="U24">
            <v>0.15602665073739372</v>
          </cell>
          <cell r="W24">
            <v>0.13179221890549467</v>
          </cell>
          <cell r="Y24">
            <v>-10.586818404850762</v>
          </cell>
          <cell r="AA24">
            <v>25.844540509672441</v>
          </cell>
          <cell r="AC24">
            <v>1041</v>
          </cell>
          <cell r="AE24">
            <v>7.8502670000000006</v>
          </cell>
          <cell r="AG24">
            <v>7644.5725264169068</v>
          </cell>
          <cell r="AH24" t="e">
            <v>#REF!</v>
          </cell>
          <cell r="AI24">
            <v>0</v>
          </cell>
          <cell r="AK24">
            <v>0.57107492795389037</v>
          </cell>
          <cell r="AM24">
            <v>75.728507068613069</v>
          </cell>
          <cell r="AO24">
            <v>574.6052968644251</v>
          </cell>
          <cell r="AP24">
            <v>574.6052968644251</v>
          </cell>
          <cell r="AR24">
            <v>-347.41200936014042</v>
          </cell>
          <cell r="AS24">
            <v>-1.3270142180094813E-2</v>
          </cell>
          <cell r="AY24">
            <v>700.62900000000002</v>
          </cell>
          <cell r="BA24">
            <v>1.2978980820379293E-2</v>
          </cell>
          <cell r="BB24">
            <v>1.2978980820379293E-2</v>
          </cell>
        </row>
        <row r="25">
          <cell r="A25" t="str">
            <v>ANF2013</v>
          </cell>
          <cell r="B25" t="str">
            <v>ANF</v>
          </cell>
          <cell r="C25" t="str">
            <v>2013e</v>
          </cell>
          <cell r="D25">
            <v>24</v>
          </cell>
          <cell r="E25">
            <v>21</v>
          </cell>
          <cell r="F25">
            <v>3339.9809999999998</v>
          </cell>
          <cell r="G25">
            <v>4116.8969999999999</v>
          </cell>
          <cell r="H25" t="e">
            <v>#N/A</v>
          </cell>
          <cell r="J25">
            <v>9.2901826788002642E-2</v>
          </cell>
          <cell r="L25">
            <v>473.56100000000004</v>
          </cell>
          <cell r="N25">
            <v>0.14178553710335479</v>
          </cell>
          <cell r="P25">
            <v>0.11502862471419617</v>
          </cell>
          <cell r="R25">
            <v>0.34546763774888567</v>
          </cell>
          <cell r="S25">
            <v>637.16100000000006</v>
          </cell>
          <cell r="U25">
            <v>0.19076785167340776</v>
          </cell>
          <cell r="W25">
            <v>0.15476729196771261</v>
          </cell>
          <cell r="Y25">
            <v>-347.41200936014042</v>
          </cell>
          <cell r="AA25">
            <v>-229.75073062217939</v>
          </cell>
          <cell r="AC25">
            <v>1023.5</v>
          </cell>
          <cell r="AE25">
            <v>7.8469999999999995</v>
          </cell>
          <cell r="AG25">
            <v>7689.8608349900596</v>
          </cell>
          <cell r="AH25" t="e">
            <v>#REF!</v>
          </cell>
          <cell r="AI25">
            <v>0</v>
          </cell>
          <cell r="AK25">
            <v>0.6225315095261359</v>
          </cell>
          <cell r="AM25">
            <v>81.198037466547731</v>
          </cell>
          <cell r="AO25">
            <v>524.64597935516758</v>
          </cell>
          <cell r="AP25">
            <v>524.64597935516758</v>
          </cell>
          <cell r="AY25">
            <v>776.91600000000005</v>
          </cell>
          <cell r="BA25">
            <v>-4.161641890653156E-4</v>
          </cell>
          <cell r="BB25">
            <v>-4.161641890653156E-4</v>
          </cell>
        </row>
        <row r="26">
          <cell r="A26" t="str">
            <v>CHECK</v>
          </cell>
          <cell r="C26" t="str">
            <v>2007 = Trough rent</v>
          </cell>
          <cell r="F26">
            <v>3451.7469999999998</v>
          </cell>
          <cell r="G26">
            <v>3749.8469999999998</v>
          </cell>
          <cell r="H26" t="e">
            <v>#N/A</v>
          </cell>
          <cell r="J26">
            <v>0.19434472926495394</v>
          </cell>
          <cell r="L26">
            <v>243.10399999999998</v>
          </cell>
          <cell r="N26">
            <v>7.0429263790190877E-2</v>
          </cell>
          <cell r="P26">
            <v>6.4830378412772574E-2</v>
          </cell>
          <cell r="Q26">
            <v>0</v>
          </cell>
          <cell r="S26">
            <v>372.70399999999995</v>
          </cell>
          <cell r="U26">
            <v>0.10797546865398883</v>
          </cell>
          <cell r="W26">
            <v>9.939178851830488E-2</v>
          </cell>
          <cell r="Z26">
            <v>0</v>
          </cell>
          <cell r="AB26">
            <v>0</v>
          </cell>
          <cell r="AC26">
            <v>989.5</v>
          </cell>
          <cell r="AD26">
            <v>0</v>
          </cell>
          <cell r="AE26">
            <v>7.0153639999999999</v>
          </cell>
          <cell r="AF26">
            <v>0</v>
          </cell>
          <cell r="AG26">
            <v>7089.2405797101446</v>
          </cell>
          <cell r="AH26">
            <v>0.85586633526187383</v>
          </cell>
          <cell r="AI26">
            <v>0.85586633526187383</v>
          </cell>
          <cell r="AJ26">
            <v>0</v>
          </cell>
          <cell r="AK26">
            <v>0.37665891864578066</v>
          </cell>
          <cell r="AL26">
            <v>0</v>
          </cell>
          <cell r="AM26">
            <v>53.126822784961689</v>
          </cell>
          <cell r="AN26">
            <v>0</v>
          </cell>
          <cell r="AO26">
            <v>534.51923521003323</v>
          </cell>
          <cell r="AP26">
            <v>534.51923521003323</v>
          </cell>
          <cell r="AR26">
            <v>-0.14736807639884783</v>
          </cell>
        </row>
        <row r="28">
          <cell r="AI28">
            <v>0</v>
          </cell>
        </row>
        <row r="29">
          <cell r="C29">
            <v>1998</v>
          </cell>
          <cell r="D29">
            <v>5</v>
          </cell>
          <cell r="E29">
            <v>6</v>
          </cell>
          <cell r="F29">
            <v>587.6</v>
          </cell>
          <cell r="H29">
            <v>0.32100000000000001</v>
          </cell>
          <cell r="J29">
            <v>0.14815010211027912</v>
          </cell>
          <cell r="L29">
            <v>59.658999999999999</v>
          </cell>
          <cell r="N29">
            <v>0.10152995234853641</v>
          </cell>
          <cell r="P29" t="str">
            <v>-</v>
          </cell>
          <cell r="S29">
            <v>59.658999999999999</v>
          </cell>
          <cell r="U29">
            <v>0.10152995234853641</v>
          </cell>
          <cell r="AC29">
            <v>0.13070866141732274</v>
          </cell>
          <cell r="AE29">
            <v>1.509147</v>
          </cell>
          <cell r="AG29">
            <v>4209.6709844559582</v>
          </cell>
          <cell r="AH29" t="e">
            <v>#N/A</v>
          </cell>
          <cell r="AI29">
            <v>0</v>
          </cell>
          <cell r="AK29">
            <v>456.42728915662684</v>
          </cell>
          <cell r="AM29">
            <v>39.531602951866184</v>
          </cell>
          <cell r="AO29">
            <v>388</v>
          </cell>
          <cell r="AS29" t="str">
            <v>Annual store rent expense as reported in footnote 11 of the financial statements</v>
          </cell>
        </row>
        <row r="30">
          <cell r="A30" t="str">
            <v>AEO1999</v>
          </cell>
          <cell r="C30">
            <v>1999</v>
          </cell>
          <cell r="D30">
            <v>6</v>
          </cell>
          <cell r="E30">
            <v>7</v>
          </cell>
          <cell r="F30">
            <v>832.10400000000004</v>
          </cell>
          <cell r="H30">
            <v>0.20899565631219172</v>
          </cell>
          <cell r="J30">
            <v>0.17968186668974073</v>
          </cell>
          <cell r="L30">
            <v>77.173000000000002</v>
          </cell>
          <cell r="N30">
            <v>9.2744416563314197E-2</v>
          </cell>
          <cell r="P30" t="str">
            <v>-</v>
          </cell>
          <cell r="S30">
            <v>77.173000000000002</v>
          </cell>
          <cell r="U30">
            <v>9.2744416563314197E-2</v>
          </cell>
          <cell r="AC30">
            <v>0.18662952646239561</v>
          </cell>
          <cell r="AE30">
            <v>1.8321565</v>
          </cell>
          <cell r="AG30">
            <v>4376.3519313304714</v>
          </cell>
          <cell r="AH30" t="e">
            <v>#N/A</v>
          </cell>
          <cell r="AI30">
            <v>0</v>
          </cell>
          <cell r="AK30">
            <v>413.50905970149239</v>
          </cell>
          <cell r="AM30">
            <v>42.121401747066912</v>
          </cell>
          <cell r="AO30">
            <v>454.16644265923793</v>
          </cell>
          <cell r="AS30" t="str">
            <v>includes CAM, RE taxes, and other expenses in addition to minimum rent and</v>
          </cell>
          <cell r="BA30">
            <v>0.21403448438091188</v>
          </cell>
        </row>
        <row r="31">
          <cell r="C31">
            <v>2000</v>
          </cell>
          <cell r="D31">
            <v>7</v>
          </cell>
          <cell r="E31">
            <v>8</v>
          </cell>
          <cell r="F31">
            <v>1093.4769999999999</v>
          </cell>
          <cell r="H31">
            <v>5.7999999999999996E-2</v>
          </cell>
          <cell r="J31">
            <v>0.13402293783957037</v>
          </cell>
          <cell r="L31">
            <v>103.58</v>
          </cell>
          <cell r="N31">
            <v>9.4725357735004956E-2</v>
          </cell>
          <cell r="P31" t="str">
            <v>-</v>
          </cell>
          <cell r="S31">
            <v>103.58</v>
          </cell>
          <cell r="U31">
            <v>9.4725357735004956E-2</v>
          </cell>
          <cell r="AC31">
            <v>0.19718309859154926</v>
          </cell>
          <cell r="AE31">
            <v>2.3181215000000002</v>
          </cell>
          <cell r="AG31">
            <v>4687.4783393501802</v>
          </cell>
          <cell r="AH31" t="e">
            <v>#N/A</v>
          </cell>
          <cell r="AI31">
            <v>0</v>
          </cell>
          <cell r="AK31">
            <v>525.29857142857156</v>
          </cell>
          <cell r="AM31">
            <v>44.682731254595581</v>
          </cell>
          <cell r="AO31">
            <v>448</v>
          </cell>
          <cell r="AS31" t="str">
            <v>percentage rent.  This could be the reason for a slightly elevated rent % vs. sector.</v>
          </cell>
          <cell r="BA31">
            <v>0.26524207948393075</v>
          </cell>
        </row>
        <row r="32">
          <cell r="C32">
            <v>2001</v>
          </cell>
          <cell r="D32">
            <v>8</v>
          </cell>
          <cell r="E32">
            <v>9</v>
          </cell>
          <cell r="F32">
            <v>1371.8990000000001</v>
          </cell>
          <cell r="H32">
            <v>2.3E-2</v>
          </cell>
          <cell r="J32">
            <v>0.12134493865802087</v>
          </cell>
          <cell r="L32">
            <v>138.46700000000001</v>
          </cell>
          <cell r="N32">
            <v>0.10093089943210105</v>
          </cell>
          <cell r="P32" t="str">
            <v>-</v>
          </cell>
          <cell r="S32">
            <v>138.46700000000001</v>
          </cell>
          <cell r="U32">
            <v>0.10093089943210105</v>
          </cell>
          <cell r="AC32">
            <v>0.20784313725490189</v>
          </cell>
          <cell r="AE32">
            <v>2.9657784999999999</v>
          </cell>
          <cell r="AG32">
            <v>4918.4277286135693</v>
          </cell>
          <cell r="AH32" t="e">
            <v>#N/A</v>
          </cell>
          <cell r="AI32">
            <v>0</v>
          </cell>
          <cell r="AK32">
            <v>666.20915094339648</v>
          </cell>
          <cell r="AM32">
            <v>46.688247284819155</v>
          </cell>
          <cell r="AO32">
            <v>417</v>
          </cell>
          <cell r="AS32" t="str">
            <v>DL: In 2003 10-K: looks like they changed their reporting method to show rent expense</v>
          </cell>
          <cell r="BA32">
            <v>0.27938872056533692</v>
          </cell>
        </row>
        <row r="33">
          <cell r="C33">
            <v>2002</v>
          </cell>
          <cell r="D33">
            <v>9</v>
          </cell>
          <cell r="E33">
            <v>10</v>
          </cell>
          <cell r="F33">
            <v>1463.1410000000001</v>
          </cell>
          <cell r="G33">
            <v>1463.1410000000001</v>
          </cell>
          <cell r="H33">
            <v>-4.3418294478692096E-2</v>
          </cell>
          <cell r="J33">
            <v>9.6426113409439032E-2</v>
          </cell>
          <cell r="L33">
            <v>108.114</v>
          </cell>
          <cell r="N33">
            <v>7.3891716519460526E-2</v>
          </cell>
          <cell r="P33">
            <v>7.3891716519460526E-2</v>
          </cell>
          <cell r="S33">
            <v>140.54820000000001</v>
          </cell>
          <cell r="U33">
            <v>9.6059231475298684E-2</v>
          </cell>
          <cell r="AC33">
            <v>0.16152597402597402</v>
          </cell>
          <cell r="AE33">
            <v>3.5760679999999998</v>
          </cell>
          <cell r="AG33">
            <v>5069.6440903054445</v>
          </cell>
          <cell r="AH33" t="e">
            <v>#N/A</v>
          </cell>
          <cell r="AI33">
            <v>0</v>
          </cell>
          <cell r="AK33">
            <v>870.12754974874383</v>
          </cell>
          <cell r="AM33">
            <v>39.302440557618034</v>
          </cell>
          <cell r="AO33">
            <v>396.32663584696934</v>
          </cell>
          <cell r="AS33" t="str">
            <v>excluding CAM, RE taxes and other expenses. From 2003 onwards, I have</v>
          </cell>
          <cell r="BA33">
            <v>0.20577716778242205</v>
          </cell>
        </row>
        <row r="34">
          <cell r="C34">
            <v>2003</v>
          </cell>
          <cell r="D34">
            <v>10</v>
          </cell>
          <cell r="E34">
            <v>11</v>
          </cell>
          <cell r="F34">
            <v>1435.4359999999999</v>
          </cell>
          <cell r="G34">
            <v>1435.4359999999999</v>
          </cell>
          <cell r="H34">
            <v>-6.6115349058494643E-2</v>
          </cell>
          <cell r="J34">
            <v>9.2843568086630079E-2</v>
          </cell>
          <cell r="L34">
            <v>122.119</v>
          </cell>
          <cell r="N34">
            <v>8.5074500012539744E-2</v>
          </cell>
          <cell r="P34">
            <v>8.5074500012539744E-2</v>
          </cell>
          <cell r="S34">
            <v>158.75470000000001</v>
          </cell>
          <cell r="U34">
            <v>0.11059685001630168</v>
          </cell>
          <cell r="W34">
            <v>0.11059685001630168</v>
          </cell>
          <cell r="Y34">
            <v>-145.37618541002993</v>
          </cell>
          <cell r="AA34">
            <v>-1105.9685001630169</v>
          </cell>
          <cell r="AC34">
            <v>8.8749126484975571E-2</v>
          </cell>
          <cell r="AE34">
            <v>4.0284694999999999</v>
          </cell>
          <cell r="AG34">
            <v>5266.4559006211184</v>
          </cell>
          <cell r="AH34" t="e">
            <v>#N/A</v>
          </cell>
          <cell r="AI34">
            <v>0</v>
          </cell>
          <cell r="AK34">
            <v>1788.8029582677161</v>
          </cell>
          <cell r="AM34">
            <v>39.408192118619745</v>
          </cell>
          <cell r="AO34">
            <v>343</v>
          </cell>
          <cell r="AP34">
            <v>356.3229161844219</v>
          </cell>
          <cell r="AS34" t="str">
            <v>multiplied the reported rent expense by 1.3 to a/c for the CAM chgs etc.</v>
          </cell>
          <cell r="BA34">
            <v>0.12650808094253252</v>
          </cell>
        </row>
        <row r="35">
          <cell r="C35">
            <v>2004</v>
          </cell>
          <cell r="D35">
            <v>11</v>
          </cell>
          <cell r="E35">
            <v>12</v>
          </cell>
          <cell r="F35">
            <v>1825.6469999999999</v>
          </cell>
          <cell r="G35">
            <v>1889.6469999999999</v>
          </cell>
          <cell r="H35">
            <v>0.214</v>
          </cell>
          <cell r="J35">
            <v>0.19102403782293731</v>
          </cell>
          <cell r="L35">
            <v>142.56</v>
          </cell>
          <cell r="N35">
            <v>7.8087384910664553E-2</v>
          </cell>
          <cell r="P35">
            <v>7.5442662042169789E-2</v>
          </cell>
          <cell r="S35">
            <v>185.328</v>
          </cell>
          <cell r="U35">
            <v>0.10151360038386392</v>
          </cell>
          <cell r="W35">
            <v>9.8075460654820715E-2</v>
          </cell>
          <cell r="Y35">
            <v>90.832496324377558</v>
          </cell>
          <cell r="AA35">
            <v>125.21389361480963</v>
          </cell>
          <cell r="AC35">
            <v>5.9691912708600858E-2</v>
          </cell>
          <cell r="AE35">
            <v>4.3897960000000005</v>
          </cell>
          <cell r="AG35">
            <v>5366.5425531914889</v>
          </cell>
          <cell r="AH35" t="e">
            <v>#N/A</v>
          </cell>
          <cell r="AI35">
            <v>0</v>
          </cell>
          <cell r="AK35">
            <v>3104.7421935483826</v>
          </cell>
          <cell r="AM35">
            <v>42.21790716470651</v>
          </cell>
          <cell r="AO35">
            <v>412</v>
          </cell>
          <cell r="AP35">
            <v>430.46351128845163</v>
          </cell>
          <cell r="AT35" t="str">
            <v>Adjusted Rent Expense Increase Assumption</v>
          </cell>
          <cell r="AY35">
            <v>64</v>
          </cell>
          <cell r="BA35">
            <v>8.969324454361649E-2</v>
          </cell>
        </row>
        <row r="36">
          <cell r="A36" t="str">
            <v>AEO</v>
          </cell>
          <cell r="B36" t="str">
            <v>AEO</v>
          </cell>
          <cell r="C36" t="str">
            <v>2005 (ex. Internet/cat.)</v>
          </cell>
          <cell r="D36">
            <v>12</v>
          </cell>
          <cell r="E36">
            <v>13</v>
          </cell>
          <cell r="F36">
            <v>2216.962</v>
          </cell>
          <cell r="G36">
            <v>2321.962</v>
          </cell>
          <cell r="H36">
            <v>0.155</v>
          </cell>
          <cell r="J36">
            <v>0.19754371518569211</v>
          </cell>
          <cell r="L36">
            <v>160.876</v>
          </cell>
          <cell r="N36">
            <v>7.2565970909740443E-2</v>
          </cell>
          <cell r="P36">
            <v>6.9284510254689791E-2</v>
          </cell>
          <cell r="R36">
            <v>0.3</v>
          </cell>
          <cell r="S36">
            <v>209.1388</v>
          </cell>
          <cell r="U36">
            <v>9.4335762182662583E-2</v>
          </cell>
          <cell r="W36">
            <v>9.0069863331096719E-2</v>
          </cell>
          <cell r="Y36">
            <v>71.778382012013395</v>
          </cell>
          <cell r="AA36">
            <v>80.055973237239954</v>
          </cell>
          <cell r="AC36">
            <v>3.8764385221078168E-2</v>
          </cell>
          <cell r="AE36">
            <v>4.6562909999999995</v>
          </cell>
          <cell r="AG36">
            <v>5491.9298043728422</v>
          </cell>
          <cell r="AH36" t="e">
            <v>#N/A</v>
          </cell>
          <cell r="AI36" t="e">
            <v>#N/A</v>
          </cell>
          <cell r="AK36">
            <v>5395.1274812499951</v>
          </cell>
          <cell r="AM36">
            <v>44.915319940270059</v>
          </cell>
          <cell r="AO36">
            <v>470.75955406374999</v>
          </cell>
          <cell r="AP36">
            <v>498.67201169342729</v>
          </cell>
          <cell r="AT36" t="str">
            <v>10-K #: Excludes CAM, RE Taxes, Other expenses</v>
          </cell>
          <cell r="AY36">
            <v>105</v>
          </cell>
          <cell r="BA36">
            <v>6.0707832436860176E-2</v>
          </cell>
          <cell r="BB36">
            <v>1.8855495550527568E-2</v>
          </cell>
        </row>
        <row r="37">
          <cell r="A37" t="str">
            <v>AEO2006</v>
          </cell>
          <cell r="B37" t="str">
            <v>AEO</v>
          </cell>
          <cell r="C37" t="str">
            <v>2006 (ex. Internet/cat.)</v>
          </cell>
          <cell r="D37">
            <v>13</v>
          </cell>
          <cell r="E37">
            <v>14</v>
          </cell>
          <cell r="F37">
            <v>2639.0089999999996</v>
          </cell>
          <cell r="G37">
            <v>2794.4089999999997</v>
          </cell>
          <cell r="H37">
            <v>0.12</v>
          </cell>
          <cell r="J37">
            <v>0.20998679863971223</v>
          </cell>
          <cell r="L37">
            <v>177.197</v>
          </cell>
          <cell r="N37">
            <v>6.7145280671646074E-2</v>
          </cell>
          <cell r="P37">
            <v>6.3411261558347407E-2</v>
          </cell>
          <cell r="R37">
            <v>0.29799037229749947</v>
          </cell>
          <cell r="S37">
            <v>230</v>
          </cell>
          <cell r="U37">
            <v>8.7153927857009969E-2</v>
          </cell>
          <cell r="W37">
            <v>8.2307206997973462E-2</v>
          </cell>
          <cell r="Y37">
            <v>71.818343256526134</v>
          </cell>
          <cell r="AA37">
            <v>77.626563331232575</v>
          </cell>
          <cell r="AC37">
            <v>3.790087463556846E-2</v>
          </cell>
          <cell r="AE37">
            <v>4.9727759999999996</v>
          </cell>
          <cell r="AG37">
            <v>5678.4467618002191</v>
          </cell>
          <cell r="AH37" t="e">
            <v>#N/A</v>
          </cell>
          <cell r="AI37">
            <v>2.3856277569008619</v>
          </cell>
          <cell r="AK37">
            <v>6068.4615384615472</v>
          </cell>
          <cell r="AM37">
            <v>46.251831974736049</v>
          </cell>
          <cell r="AO37">
            <v>522.181289368178</v>
          </cell>
          <cell r="AP37">
            <v>561.94145885517457</v>
          </cell>
          <cell r="AR37" t="str">
            <v>DE-LVG</v>
          </cell>
          <cell r="AY37">
            <v>155.4</v>
          </cell>
          <cell r="BA37">
            <v>6.7969334390827418E-2</v>
          </cell>
          <cell r="BB37">
            <v>2.9498222777882166E-2</v>
          </cell>
        </row>
        <row r="38">
          <cell r="A38" t="str">
            <v>AEO2007</v>
          </cell>
          <cell r="B38" t="str">
            <v>AEO</v>
          </cell>
          <cell r="C38" t="str">
            <v>2007 (ex. Internet/cat.)</v>
          </cell>
          <cell r="D38">
            <v>14</v>
          </cell>
          <cell r="E38">
            <v>15</v>
          </cell>
          <cell r="F38">
            <v>2811.9189999999999</v>
          </cell>
          <cell r="G38">
            <v>3055.4189999999999</v>
          </cell>
          <cell r="H38">
            <v>1.5272651879374904E-2</v>
          </cell>
          <cell r="J38">
            <v>0.1959649396694855</v>
          </cell>
          <cell r="L38">
            <v>184.67699999999999</v>
          </cell>
          <cell r="N38">
            <v>6.5676500638887539E-2</v>
          </cell>
          <cell r="P38">
            <v>6.0442446682435369E-2</v>
          </cell>
          <cell r="R38">
            <v>0.39582622633029563</v>
          </cell>
          <cell r="S38">
            <v>257.77699999999999</v>
          </cell>
          <cell r="U38">
            <v>9.1672982045357634E-2</v>
          </cell>
          <cell r="W38">
            <v>8.4367152262913858E-2</v>
          </cell>
          <cell r="Y38">
            <v>-45.190541883476655</v>
          </cell>
          <cell r="AA38">
            <v>-20.599452649403965</v>
          </cell>
          <cell r="AC38">
            <v>6.6292134831460681E-2</v>
          </cell>
          <cell r="AE38">
            <v>5.4414984999999998</v>
          </cell>
          <cell r="AG38">
            <v>5785.1388044579535</v>
          </cell>
          <cell r="AH38" t="e">
            <v>#N/A</v>
          </cell>
          <cell r="AI38">
            <v>0.53309329301153885</v>
          </cell>
          <cell r="AK38">
            <v>3888.5005084745758</v>
          </cell>
          <cell r="AM38">
            <v>47.37242875285181</v>
          </cell>
          <cell r="AO38">
            <v>512.18022935278179</v>
          </cell>
          <cell r="AP38">
            <v>561.50323297893033</v>
          </cell>
          <cell r="AR38">
            <v>-174.10406646652956</v>
          </cell>
          <cell r="AY38">
            <v>243.5</v>
          </cell>
          <cell r="BA38">
            <v>9.4257714403383597E-2</v>
          </cell>
          <cell r="BB38">
            <v>9.4257714403383597E-2</v>
          </cell>
        </row>
        <row r="39">
          <cell r="A39" t="str">
            <v>AEO2008</v>
          </cell>
          <cell r="B39" t="str">
            <v>AEO</v>
          </cell>
          <cell r="C39">
            <v>2008</v>
          </cell>
          <cell r="D39">
            <v>15</v>
          </cell>
          <cell r="E39">
            <v>16</v>
          </cell>
          <cell r="F39">
            <v>2681.866</v>
          </cell>
          <cell r="G39">
            <v>2988.866</v>
          </cell>
          <cell r="H39">
            <v>-0.1</v>
          </cell>
          <cell r="J39">
            <v>0.10333015933133168</v>
          </cell>
          <cell r="L39">
            <v>209.58699999999999</v>
          </cell>
          <cell r="N39">
            <v>7.8149691297029755E-2</v>
          </cell>
          <cell r="P39">
            <v>7.0122581607874018E-2</v>
          </cell>
          <cell r="R39">
            <v>0.39582622633029563</v>
          </cell>
          <cell r="S39">
            <v>292.54703129788766</v>
          </cell>
          <cell r="U39">
            <v>0.10908338869201059</v>
          </cell>
          <cell r="W39">
            <v>9.787893846625699E-2</v>
          </cell>
          <cell r="Y39">
            <v>-174.10406646652956</v>
          </cell>
          <cell r="AA39">
            <v>-135.11786203343132</v>
          </cell>
          <cell r="AC39">
            <v>9.852476290832457E-2</v>
          </cell>
          <cell r="AE39">
            <v>6.0190494999999995</v>
          </cell>
          <cell r="AG39">
            <v>5763.3579234972676</v>
          </cell>
          <cell r="AH39" t="e">
            <v>#N/A</v>
          </cell>
          <cell r="AI39">
            <v>0.50640924370481832</v>
          </cell>
          <cell r="AK39">
            <v>2969.2741465421959</v>
          </cell>
          <cell r="AM39">
            <v>48.603526403610353</v>
          </cell>
          <cell r="AO39">
            <v>446.36015452815957</v>
          </cell>
          <cell r="AP39">
            <v>496.56777203776113</v>
          </cell>
          <cell r="AQ39" t="str">
            <v>Stores Sales exclude AEO's Internet sales ($467M in '12, $385M in '11) and rent for offices, distribution facilities, equipment and other.</v>
          </cell>
          <cell r="AR39">
            <v>-187.57313860181841</v>
          </cell>
          <cell r="AS39">
            <v>0.48622099980354005</v>
          </cell>
          <cell r="AU39">
            <v>-361.67720506834797</v>
          </cell>
          <cell r="AY39">
            <v>307</v>
          </cell>
          <cell r="BA39">
            <v>0.10613822644626292</v>
          </cell>
          <cell r="BB39">
            <v>0.10613822644626292</v>
          </cell>
        </row>
        <row r="40">
          <cell r="A40" t="str">
            <v>AEO2009</v>
          </cell>
          <cell r="B40" t="str">
            <v>AEO</v>
          </cell>
          <cell r="C40">
            <v>2009</v>
          </cell>
          <cell r="D40">
            <v>16</v>
          </cell>
          <cell r="E40">
            <v>17</v>
          </cell>
          <cell r="F40">
            <v>2606.2689999999998</v>
          </cell>
          <cell r="G40">
            <v>2940.2689999999998</v>
          </cell>
          <cell r="H40">
            <v>-0.04</v>
          </cell>
          <cell r="J40">
            <v>0.10556585128775628</v>
          </cell>
          <cell r="L40">
            <v>226.65799999999999</v>
          </cell>
          <cell r="N40">
            <v>8.6966464321219336E-2</v>
          </cell>
          <cell r="P40">
            <v>7.7087504578662702E-2</v>
          </cell>
          <cell r="R40">
            <v>0.47</v>
          </cell>
          <cell r="S40">
            <v>333.18725999999998</v>
          </cell>
          <cell r="U40">
            <v>0.12784070255219243</v>
          </cell>
          <cell r="W40">
            <v>0.11331863173063417</v>
          </cell>
          <cell r="Y40">
            <v>-187.57313860181841</v>
          </cell>
          <cell r="AA40">
            <v>-154.39693264377178</v>
          </cell>
          <cell r="AC40">
            <v>5.5635491606714549E-2</v>
          </cell>
          <cell r="AE40">
            <v>6.2717609999999997</v>
          </cell>
          <cell r="AG40">
            <v>5634.9546690843154</v>
          </cell>
          <cell r="AH40" t="e">
            <v>#N/A</v>
          </cell>
          <cell r="AI40">
            <v>0</v>
          </cell>
          <cell r="AK40">
            <v>5988.7537681034564</v>
          </cell>
          <cell r="AM40">
            <v>53.12499312394079</v>
          </cell>
          <cell r="AO40">
            <v>420.28003990648716</v>
          </cell>
          <cell r="AP40">
            <v>468.81075347099483</v>
          </cell>
          <cell r="AR40">
            <v>-57.836346538058251</v>
          </cell>
          <cell r="AS40">
            <v>-0.43531463599174225</v>
          </cell>
          <cell r="AU40">
            <v>-245.40948513987667</v>
          </cell>
          <cell r="AY40">
            <v>334</v>
          </cell>
          <cell r="BA40">
            <v>4.198528355681419E-2</v>
          </cell>
          <cell r="BB40">
            <v>4.198528355681419E-2</v>
          </cell>
          <cell r="BC40">
            <v>0</v>
          </cell>
        </row>
        <row r="41">
          <cell r="A41" t="str">
            <v>AEO2010</v>
          </cell>
          <cell r="B41" t="str">
            <v>AEO</v>
          </cell>
          <cell r="C41">
            <v>2010</v>
          </cell>
          <cell r="D41">
            <v>17</v>
          </cell>
          <cell r="E41">
            <v>18</v>
          </cell>
          <cell r="F41">
            <v>2611.2939999999999</v>
          </cell>
          <cell r="G41">
            <v>2945.2939999999999</v>
          </cell>
          <cell r="H41">
            <v>-0.01</v>
          </cell>
          <cell r="J41">
            <v>0.11528614800423999</v>
          </cell>
          <cell r="L41">
            <v>237.369</v>
          </cell>
          <cell r="N41">
            <v>9.0900909663944388E-2</v>
          </cell>
          <cell r="P41">
            <v>8.0592633536753888E-2</v>
          </cell>
          <cell r="R41">
            <v>0.47</v>
          </cell>
          <cell r="S41">
            <v>348.93243000000001</v>
          </cell>
          <cell r="U41">
            <v>0.13362433720599826</v>
          </cell>
          <cell r="W41">
            <v>0.11847117129902822</v>
          </cell>
          <cell r="Y41">
            <v>-57.836346538058251</v>
          </cell>
          <cell r="AA41">
            <v>-51.525395683940516</v>
          </cell>
          <cell r="AC41">
            <v>-9.5411176737846271E-3</v>
          </cell>
          <cell r="AE41">
            <v>6.2518899999999995</v>
          </cell>
          <cell r="AG41">
            <v>5838.8347260909941</v>
          </cell>
          <cell r="AH41" t="e">
            <v>#N/A</v>
          </cell>
          <cell r="AI41">
            <v>0</v>
          </cell>
          <cell r="AK41">
            <v>-36571.441830000062</v>
          </cell>
          <cell r="AM41">
            <v>55.812311157106095</v>
          </cell>
          <cell r="AO41">
            <v>410.30148671654734</v>
          </cell>
          <cell r="AP41">
            <v>471.1045779756202</v>
          </cell>
          <cell r="AR41">
            <v>-27.581494561143284</v>
          </cell>
          <cell r="AS41">
            <v>-1.171493365084836</v>
          </cell>
          <cell r="AY41">
            <v>334</v>
          </cell>
          <cell r="BA41">
            <v>-3.1683286400742139E-3</v>
          </cell>
          <cell r="BB41">
            <v>-3.1683286400742139E-3</v>
          </cell>
          <cell r="BC41">
            <v>0</v>
          </cell>
        </row>
        <row r="42">
          <cell r="A42" t="str">
            <v>AEO2011</v>
          </cell>
          <cell r="B42" t="str">
            <v>AEO</v>
          </cell>
          <cell r="C42">
            <v>2011</v>
          </cell>
          <cell r="D42">
            <v>18</v>
          </cell>
          <cell r="E42">
            <v>19</v>
          </cell>
          <cell r="F42">
            <v>2734.6588929999998</v>
          </cell>
          <cell r="G42">
            <v>3120.0650000000001</v>
          </cell>
          <cell r="H42">
            <v>0.04</v>
          </cell>
          <cell r="J42">
            <v>9.4244510931663306E-2</v>
          </cell>
          <cell r="L42">
            <v>253.714</v>
          </cell>
          <cell r="N42">
            <v>9.2777201810960927E-2</v>
          </cell>
          <cell r="P42">
            <v>8.1316895641597206E-2</v>
          </cell>
          <cell r="R42">
            <v>0.47</v>
          </cell>
          <cell r="S42">
            <v>372.95958000000002</v>
          </cell>
          <cell r="U42">
            <v>0.13638248666211258</v>
          </cell>
          <cell r="W42">
            <v>0.1195358365931479</v>
          </cell>
          <cell r="Y42">
            <v>-27.581494561143284</v>
          </cell>
          <cell r="AA42">
            <v>-10.646652941196793</v>
          </cell>
          <cell r="AC42">
            <v>-1.5596330275229331E-2</v>
          </cell>
          <cell r="AE42">
            <v>6.2893545</v>
          </cell>
          <cell r="AG42">
            <v>5884.269410664172</v>
          </cell>
          <cell r="AH42" t="e">
            <v>#N/A</v>
          </cell>
          <cell r="AI42">
            <v>0</v>
          </cell>
          <cell r="AK42">
            <v>-23913.290717647102</v>
          </cell>
          <cell r="AM42">
            <v>59.300136444845016</v>
          </cell>
          <cell r="AO42">
            <v>433.12264623453956</v>
          </cell>
          <cell r="AP42">
            <v>496.08668107355055</v>
          </cell>
          <cell r="AR42">
            <v>99.271998070785955</v>
          </cell>
          <cell r="AS42">
            <v>0.6346439493228484</v>
          </cell>
          <cell r="AT42">
            <v>5</v>
          </cell>
          <cell r="AY42">
            <v>385.40610700000002</v>
          </cell>
          <cell r="BA42">
            <v>5.9925078656215547E-3</v>
          </cell>
          <cell r="BB42">
            <v>5.9925078656215547E-3</v>
          </cell>
        </row>
        <row r="43">
          <cell r="A43" t="str">
            <v>AEO2012</v>
          </cell>
          <cell r="B43" t="str">
            <v>AEO</v>
          </cell>
          <cell r="C43">
            <v>2012</v>
          </cell>
          <cell r="D43">
            <v>19</v>
          </cell>
          <cell r="E43">
            <v>20</v>
          </cell>
          <cell r="F43">
            <v>3008.8019999999997</v>
          </cell>
          <cell r="G43">
            <v>3475.8019999999997</v>
          </cell>
          <cell r="H43">
            <v>0.09</v>
          </cell>
          <cell r="J43">
            <v>0.12576205434026455</v>
          </cell>
          <cell r="L43">
            <v>260.60199999999998</v>
          </cell>
          <cell r="N43">
            <v>8.6613210174680821E-2</v>
          </cell>
          <cell r="P43">
            <v>7.4976077463560928E-2</v>
          </cell>
          <cell r="R43">
            <v>0.46</v>
          </cell>
          <cell r="S43">
            <v>380.47891999999996</v>
          </cell>
          <cell r="U43">
            <v>0.12645528685503399</v>
          </cell>
          <cell r="W43">
            <v>0.10946507309679895</v>
          </cell>
          <cell r="Y43">
            <v>99.271998070785955</v>
          </cell>
          <cell r="AA43">
            <v>100.70763496348944</v>
          </cell>
          <cell r="AC43">
            <v>-1.5377446411929174E-2</v>
          </cell>
          <cell r="AE43">
            <v>6.2467810000000004</v>
          </cell>
          <cell r="AG43">
            <v>5941.8371647509575</v>
          </cell>
          <cell r="AH43" t="e">
            <v>#N/A</v>
          </cell>
          <cell r="AI43">
            <v>0</v>
          </cell>
          <cell r="AK43">
            <v>-24742.659464242417</v>
          </cell>
          <cell r="AM43">
            <v>60.907997254906157</v>
          </cell>
          <cell r="AO43">
            <v>477.65316270123833</v>
          </cell>
          <cell r="AP43">
            <v>556.41489592799871</v>
          </cell>
          <cell r="AR43">
            <v>-156.57302652551496</v>
          </cell>
          <cell r="AY43">
            <v>467</v>
          </cell>
          <cell r="BA43">
            <v>-6.7691366419240229E-3</v>
          </cell>
          <cell r="BB43">
            <v>-6.7691366419240229E-3</v>
          </cell>
        </row>
        <row r="44">
          <cell r="A44" t="str">
            <v>AEO2013</v>
          </cell>
          <cell r="B44" t="str">
            <v>AEO</v>
          </cell>
          <cell r="C44" t="str">
            <v>2013e</v>
          </cell>
          <cell r="D44">
            <v>20</v>
          </cell>
          <cell r="E44">
            <v>21</v>
          </cell>
          <cell r="F44">
            <v>2764.3481929447998</v>
          </cell>
          <cell r="G44">
            <v>3305.8019999999997</v>
          </cell>
          <cell r="H44">
            <v>1.0172445337443065E-2</v>
          </cell>
          <cell r="J44">
            <v>0.13310413788954226</v>
          </cell>
          <cell r="L44">
            <v>267.24400000000003</v>
          </cell>
          <cell r="N44">
            <v>9.6675230957541144E-2</v>
          </cell>
          <cell r="P44">
            <v>8.0840897307219259E-2</v>
          </cell>
          <cell r="R44">
            <v>0.47</v>
          </cell>
          <cell r="S44">
            <v>392.84868000000006</v>
          </cell>
          <cell r="U44">
            <v>0.14211258950758549</v>
          </cell>
          <cell r="W44">
            <v>0.11883611904161233</v>
          </cell>
          <cell r="Y44">
            <v>-156.57302652551496</v>
          </cell>
          <cell r="AA44">
            <v>-93.710459448133747</v>
          </cell>
          <cell r="AC44">
            <v>-7.0989115002366709E-3</v>
          </cell>
          <cell r="AE44">
            <v>6.2332780000000003</v>
          </cell>
          <cell r="AG44">
            <v>5942.3889943074</v>
          </cell>
          <cell r="AH44" t="e">
            <v>#N/A</v>
          </cell>
          <cell r="AI44">
            <v>0</v>
          </cell>
          <cell r="AK44">
            <v>-55339.284055999691</v>
          </cell>
          <cell r="AM44">
            <v>63.024411874458359</v>
          </cell>
          <cell r="AO44">
            <v>474.14190217873693</v>
          </cell>
          <cell r="AP44">
            <v>530.34727474051363</v>
          </cell>
          <cell r="AY44">
            <v>541.45380705520006</v>
          </cell>
          <cell r="BA44">
            <v>-2.1615933070168181E-3</v>
          </cell>
          <cell r="BB44">
            <v>1.7064949131400553E-2</v>
          </cell>
        </row>
        <row r="45">
          <cell r="A45" t="str">
            <v>CHECK</v>
          </cell>
          <cell r="C45" t="str">
            <v>2006 = Trough rent</v>
          </cell>
          <cell r="F45">
            <v>2639.0089999999996</v>
          </cell>
          <cell r="G45">
            <v>2794.4089999999997</v>
          </cell>
          <cell r="H45">
            <v>0.12</v>
          </cell>
          <cell r="J45">
            <v>0.20998679863971223</v>
          </cell>
          <cell r="L45">
            <v>177.197</v>
          </cell>
          <cell r="N45">
            <v>6.7145280671646074E-2</v>
          </cell>
          <cell r="P45">
            <v>6.3411261558347407E-2</v>
          </cell>
          <cell r="S45">
            <v>230</v>
          </cell>
          <cell r="U45">
            <v>8.7153927857009969E-2</v>
          </cell>
          <cell r="W45">
            <v>8.2307206997973462E-2</v>
          </cell>
          <cell r="Z45">
            <v>0</v>
          </cell>
          <cell r="AB45">
            <v>0</v>
          </cell>
          <cell r="AC45">
            <v>3.790087463556846E-2</v>
          </cell>
          <cell r="AE45">
            <v>4.9727759999999996</v>
          </cell>
          <cell r="AG45">
            <v>5678.4467618002191</v>
          </cell>
          <cell r="AH45" t="e">
            <v>#N/A</v>
          </cell>
          <cell r="AI45" t="e">
            <v>#N/A</v>
          </cell>
          <cell r="AK45">
            <v>6068.4615384615472</v>
          </cell>
          <cell r="AM45">
            <v>46.251831974736049</v>
          </cell>
          <cell r="AO45">
            <v>522.181289368178</v>
          </cell>
          <cell r="AP45">
            <v>561.94145885517457</v>
          </cell>
          <cell r="AR45">
            <v>-0.10442094735195595</v>
          </cell>
        </row>
        <row r="47">
          <cell r="AI47">
            <v>0</v>
          </cell>
        </row>
        <row r="48">
          <cell r="C48">
            <v>1998</v>
          </cell>
          <cell r="D48">
            <v>11</v>
          </cell>
          <cell r="E48">
            <v>11</v>
          </cell>
          <cell r="F48">
            <v>911.93899999999996</v>
          </cell>
          <cell r="H48">
            <v>7.9000000000000001E-2</v>
          </cell>
          <cell r="J48">
            <v>0.10043105953358712</v>
          </cell>
          <cell r="L48">
            <v>68.772000000000006</v>
          </cell>
          <cell r="N48">
            <v>7.541293880402089E-2</v>
          </cell>
          <cell r="P48" t="str">
            <v>-</v>
          </cell>
          <cell r="S48">
            <v>91.466760000000008</v>
          </cell>
          <cell r="U48">
            <v>0.10029920860934778</v>
          </cell>
          <cell r="AC48">
            <v>344.5</v>
          </cell>
          <cell r="AE48">
            <v>2.0290000000000004</v>
          </cell>
          <cell r="AG48">
            <v>5558.9041095890416</v>
          </cell>
          <cell r="AH48">
            <v>0.96377696628168574</v>
          </cell>
          <cell r="AI48">
            <v>0</v>
          </cell>
          <cell r="AK48">
            <v>0.26550583454281568</v>
          </cell>
          <cell r="AM48">
            <v>45.079724001971414</v>
          </cell>
          <cell r="AO48">
            <v>474</v>
          </cell>
          <cell r="AS48" t="str">
            <v>Total rent expense reported in footnote 5 includes only minimum and percentage</v>
          </cell>
        </row>
        <row r="49">
          <cell r="A49" t="str">
            <v>ANN1999</v>
          </cell>
          <cell r="C49">
            <v>1999</v>
          </cell>
          <cell r="D49">
            <v>12</v>
          </cell>
          <cell r="E49">
            <v>12</v>
          </cell>
          <cell r="F49">
            <v>1084.519</v>
          </cell>
          <cell r="H49">
            <v>8.4000000000000005E-2</v>
          </cell>
          <cell r="J49">
            <v>0.11371677213585009</v>
          </cell>
          <cell r="L49">
            <v>76.494</v>
          </cell>
          <cell r="N49">
            <v>7.0532650880251985E-2</v>
          </cell>
          <cell r="P49" t="str">
            <v>-</v>
          </cell>
          <cell r="S49">
            <v>101.73702</v>
          </cell>
          <cell r="U49">
            <v>9.3808425670735135E-2</v>
          </cell>
          <cell r="AC49">
            <v>385</v>
          </cell>
          <cell r="AE49">
            <v>2.2800000000000002</v>
          </cell>
          <cell r="AG49">
            <v>5629.6296296296305</v>
          </cell>
          <cell r="AH49">
            <v>0.85353119923150744</v>
          </cell>
          <cell r="AI49">
            <v>0</v>
          </cell>
          <cell r="AK49">
            <v>0.26425199999999999</v>
          </cell>
          <cell r="AM49">
            <v>44.621499999999997</v>
          </cell>
          <cell r="AO49">
            <v>502</v>
          </cell>
          <cell r="AS49" t="str">
            <v>rent, and does not include CAM, RE Taxes, Insurance or other landlord passthrus.</v>
          </cell>
          <cell r="BA49">
            <v>0.12370625924100542</v>
          </cell>
        </row>
        <row r="50">
          <cell r="C50">
            <v>2000</v>
          </cell>
          <cell r="D50">
            <v>13</v>
          </cell>
          <cell r="E50">
            <v>13</v>
          </cell>
          <cell r="F50">
            <v>1232.7759999999998</v>
          </cell>
          <cell r="H50">
            <v>-5.0000000000000001E-3</v>
          </cell>
          <cell r="J50">
            <v>7.9690065348449302E-2</v>
          </cell>
          <cell r="L50">
            <v>95.016000000000005</v>
          </cell>
          <cell r="N50">
            <v>7.7074829490515723E-2</v>
          </cell>
          <cell r="P50" t="str">
            <v>-</v>
          </cell>
          <cell r="S50">
            <v>126.37128000000001</v>
          </cell>
          <cell r="U50">
            <v>0.10250952322238592</v>
          </cell>
          <cell r="AC50">
            <v>441.5</v>
          </cell>
          <cell r="AE50">
            <v>2.6950000000000003</v>
          </cell>
          <cell r="AG50">
            <v>5638.0753138075324</v>
          </cell>
          <cell r="AH50">
            <v>0.91681414954200546</v>
          </cell>
          <cell r="AI50">
            <v>0</v>
          </cell>
          <cell r="AK50">
            <v>0.28623166477916195</v>
          </cell>
          <cell r="AM50">
            <v>46.891012987012985</v>
          </cell>
          <cell r="AO50">
            <v>496</v>
          </cell>
          <cell r="AS50" t="str">
            <v>Rent expense does include administrative facilities.</v>
          </cell>
          <cell r="BA50">
            <v>0.18201754385964919</v>
          </cell>
        </row>
        <row r="51">
          <cell r="C51">
            <v>2001</v>
          </cell>
          <cell r="D51">
            <v>14</v>
          </cell>
          <cell r="E51">
            <v>14</v>
          </cell>
          <cell r="F51">
            <v>1299.5719999999999</v>
          </cell>
          <cell r="H51">
            <v>-6.0999999999999999E-2</v>
          </cell>
          <cell r="J51">
            <v>4.6277543683612705E-2</v>
          </cell>
          <cell r="L51">
            <v>109.864</v>
          </cell>
          <cell r="N51">
            <v>8.4538601939715546E-2</v>
          </cell>
          <cell r="P51" t="str">
            <v>-</v>
          </cell>
          <cell r="S51">
            <v>146.11912000000001</v>
          </cell>
          <cell r="U51">
            <v>0.11243634057982169</v>
          </cell>
          <cell r="AC51">
            <v>508</v>
          </cell>
          <cell r="AE51">
            <v>3.0559999999999996</v>
          </cell>
          <cell r="AG51">
            <v>5680.2973977695165</v>
          </cell>
          <cell r="AH51">
            <v>0.73845030244873944</v>
          </cell>
          <cell r="AI51">
            <v>0</v>
          </cell>
          <cell r="AK51">
            <v>0.28763606299212602</v>
          </cell>
          <cell r="AM51">
            <v>47.813848167539277</v>
          </cell>
          <cell r="AO51">
            <v>452</v>
          </cell>
          <cell r="BA51">
            <v>0.13395176252319074</v>
          </cell>
        </row>
        <row r="52">
          <cell r="C52">
            <v>2002</v>
          </cell>
          <cell r="D52">
            <v>15</v>
          </cell>
          <cell r="E52">
            <v>15</v>
          </cell>
          <cell r="F52">
            <v>1380.9659999999999</v>
          </cell>
          <cell r="H52">
            <v>-3.9E-2</v>
          </cell>
          <cell r="J52">
            <v>9.7609209785034512E-2</v>
          </cell>
          <cell r="L52">
            <v>111.712</v>
          </cell>
          <cell r="N52">
            <v>8.0894098768543185E-2</v>
          </cell>
          <cell r="P52" t="str">
            <v>-</v>
          </cell>
          <cell r="S52">
            <v>148.57696000000001</v>
          </cell>
          <cell r="U52">
            <v>0.10758915136216245</v>
          </cell>
          <cell r="AC52">
            <v>561</v>
          </cell>
          <cell r="AE52">
            <v>3.3045999999999998</v>
          </cell>
          <cell r="AG52">
            <v>5658.5616438356165</v>
          </cell>
          <cell r="AH52">
            <v>0.95879612943616999</v>
          </cell>
          <cell r="AI52">
            <v>0</v>
          </cell>
          <cell r="AK52">
            <v>0.2648430659536542</v>
          </cell>
          <cell r="AM52">
            <v>44.960648792592153</v>
          </cell>
          <cell r="AO52">
            <v>434</v>
          </cell>
          <cell r="AS52" t="str">
            <v>2004 onwards includes CAM and taxes</v>
          </cell>
          <cell r="BA52">
            <v>8.1348167539267102E-2</v>
          </cell>
        </row>
        <row r="53">
          <cell r="C53">
            <v>2003</v>
          </cell>
          <cell r="D53">
            <v>16</v>
          </cell>
          <cell r="E53">
            <v>16</v>
          </cell>
          <cell r="F53">
            <v>1587.7080000000001</v>
          </cell>
          <cell r="G53">
            <v>1587.7080000000001</v>
          </cell>
          <cell r="H53">
            <v>5600</v>
          </cell>
          <cell r="J53">
            <v>0.10788318758864981</v>
          </cell>
          <cell r="L53">
            <v>120.444</v>
          </cell>
          <cell r="N53">
            <v>7.586029672962534E-2</v>
          </cell>
          <cell r="P53">
            <v>7.586029672962534E-2</v>
          </cell>
          <cell r="R53">
            <v>0.33</v>
          </cell>
          <cell r="S53">
            <v>160.19052000000002</v>
          </cell>
          <cell r="U53">
            <v>0.10089419465040173</v>
          </cell>
          <cell r="Y53">
            <v>66.949567117607216</v>
          </cell>
          <cell r="AA53">
            <v>0</v>
          </cell>
          <cell r="AC53">
            <v>616</v>
          </cell>
          <cell r="AE53">
            <v>3.6619999999999999</v>
          </cell>
          <cell r="AG53">
            <v>5651.2345679012342</v>
          </cell>
          <cell r="AH53">
            <v>1.015205608048825</v>
          </cell>
          <cell r="AI53">
            <v>0</v>
          </cell>
          <cell r="AK53">
            <v>0.26004954545454551</v>
          </cell>
          <cell r="AM53">
            <v>43.743997815401428</v>
          </cell>
          <cell r="AO53">
            <v>455.81144317170504</v>
          </cell>
          <cell r="AP53">
            <v>433.56308028399786</v>
          </cell>
          <cell r="BA53">
            <v>0.10815227258972349</v>
          </cell>
        </row>
        <row r="54">
          <cell r="C54">
            <v>2004</v>
          </cell>
          <cell r="D54">
            <v>17</v>
          </cell>
          <cell r="E54">
            <v>17</v>
          </cell>
          <cell r="F54">
            <v>1853.5829999999999</v>
          </cell>
          <cell r="G54">
            <v>1853.5829999999999</v>
          </cell>
          <cell r="H54">
            <v>5700</v>
          </cell>
          <cell r="J54">
            <v>5.6624386391113724E-2</v>
          </cell>
          <cell r="L54">
            <v>195.80799999999999</v>
          </cell>
          <cell r="N54">
            <v>0.10563756788878621</v>
          </cell>
          <cell r="P54">
            <v>0.10563756788878621</v>
          </cell>
          <cell r="R54">
            <v>0</v>
          </cell>
          <cell r="S54">
            <v>195.80799999999999</v>
          </cell>
          <cell r="U54">
            <v>0.10563756788878621</v>
          </cell>
          <cell r="W54">
            <v>0.10563756788878621</v>
          </cell>
          <cell r="Y54">
            <v>-47.433732383844877</v>
          </cell>
          <cell r="AA54">
            <v>-1056.375678887862</v>
          </cell>
          <cell r="AC54">
            <v>693</v>
          </cell>
          <cell r="AE54">
            <v>4.202</v>
          </cell>
          <cell r="AG54">
            <v>5693.7669376693766</v>
          </cell>
          <cell r="AH54">
            <v>1.020409468489371</v>
          </cell>
          <cell r="AI54">
            <v>0</v>
          </cell>
          <cell r="AK54">
            <v>0.28255122655122655</v>
          </cell>
          <cell r="AM54">
            <v>46.598762494050447</v>
          </cell>
          <cell r="AO54">
            <v>471.40971515768052</v>
          </cell>
          <cell r="AP54">
            <v>441.11922893860066</v>
          </cell>
          <cell r="AT54" t="str">
            <v>Adjusted Rent Expense Increase Assumption</v>
          </cell>
          <cell r="BA54">
            <v>0.14746040415073725</v>
          </cell>
        </row>
        <row r="55">
          <cell r="A55" t="str">
            <v>ANN</v>
          </cell>
          <cell r="B55" t="str">
            <v>ANN</v>
          </cell>
          <cell r="C55" t="str">
            <v>2005 (total revs.)</v>
          </cell>
          <cell r="D55">
            <v>18</v>
          </cell>
          <cell r="E55">
            <v>18</v>
          </cell>
          <cell r="F55">
            <v>2073.1460000000002</v>
          </cell>
          <cell r="G55">
            <v>2073.1460000000002</v>
          </cell>
          <cell r="H55">
            <v>6200</v>
          </cell>
          <cell r="J55">
            <v>6.3201530427669003E-2</v>
          </cell>
          <cell r="L55">
            <v>243.13099999999997</v>
          </cell>
          <cell r="N55">
            <v>0.11727635197906947</v>
          </cell>
          <cell r="P55">
            <v>0.11727635197906947</v>
          </cell>
          <cell r="R55">
            <v>0</v>
          </cell>
          <cell r="S55">
            <v>243.13099999999997</v>
          </cell>
          <cell r="U55">
            <v>0.11727635197906947</v>
          </cell>
          <cell r="W55">
            <v>0.11727635197906947</v>
          </cell>
          <cell r="Y55">
            <v>-116.38784090283252</v>
          </cell>
          <cell r="AA55">
            <v>-116.38784090283252</v>
          </cell>
          <cell r="AC55">
            <v>781</v>
          </cell>
          <cell r="AE55">
            <v>4.8010000000000002</v>
          </cell>
          <cell r="AG55">
            <v>5826.4563106796122</v>
          </cell>
          <cell r="AH55">
            <v>0.81093297004613996</v>
          </cell>
          <cell r="AI55">
            <v>0.81093297004613996</v>
          </cell>
          <cell r="AK55">
            <v>0.31130729833546733</v>
          </cell>
          <cell r="AM55">
            <v>50.641741303895017</v>
          </cell>
          <cell r="AO55">
            <v>460.54559591247363</v>
          </cell>
          <cell r="AP55">
            <v>431.81545511351806</v>
          </cell>
          <cell r="AS55" t="str">
            <v>Note: 2005 CAM and RE taxes = $63.3mm (10-K)</v>
          </cell>
          <cell r="BA55">
            <v>0.14255116611137564</v>
          </cell>
          <cell r="BB55">
            <v>0.14255116611137564</v>
          </cell>
        </row>
        <row r="56">
          <cell r="A56" t="str">
            <v>ANN2006</v>
          </cell>
          <cell r="B56" t="str">
            <v>ANN</v>
          </cell>
          <cell r="C56" t="str">
            <v>2006 (total revs.)</v>
          </cell>
          <cell r="D56">
            <v>19</v>
          </cell>
          <cell r="E56">
            <v>19</v>
          </cell>
          <cell r="F56">
            <v>2342.9070000000002</v>
          </cell>
          <cell r="G56">
            <v>2342.9070000000002</v>
          </cell>
          <cell r="H56">
            <v>2.7999999999999997E-2</v>
          </cell>
          <cell r="J56">
            <v>9.5538149828397034E-2</v>
          </cell>
          <cell r="L56">
            <v>267.69100000000003</v>
          </cell>
          <cell r="N56">
            <v>0.1142559222367768</v>
          </cell>
          <cell r="P56">
            <v>0.1142559222367768</v>
          </cell>
          <cell r="R56">
            <v>0</v>
          </cell>
          <cell r="S56">
            <v>267.69100000000003</v>
          </cell>
          <cell r="U56">
            <v>0.1142559222367768</v>
          </cell>
          <cell r="W56">
            <v>0.1142559222367768</v>
          </cell>
          <cell r="Y56">
            <v>30.204297422926629</v>
          </cell>
          <cell r="AA56">
            <v>30.204297422926629</v>
          </cell>
          <cell r="AC56">
            <v>846.5</v>
          </cell>
          <cell r="AE56">
            <v>4.9399999999999995</v>
          </cell>
          <cell r="AG56">
            <v>5844.6490218642111</v>
          </cell>
          <cell r="AH56" t="e">
            <v>#N/A</v>
          </cell>
          <cell r="AI56">
            <v>1.0483471391538435</v>
          </cell>
          <cell r="AK56">
            <v>0.31623272297696403</v>
          </cell>
          <cell r="AM56">
            <v>54.188461538461553</v>
          </cell>
          <cell r="AO56">
            <v>474.2726720647774</v>
          </cell>
          <cell r="AP56">
            <v>474.2726720647774</v>
          </cell>
          <cell r="AR56" t="str">
            <v>DE-LVG</v>
          </cell>
          <cell r="AT56" t="str">
            <v>10-K #: Excludes CAM, RE Taxes, Insurance, Other</v>
          </cell>
          <cell r="BA56">
            <v>2.8952301603832442E-2</v>
          </cell>
          <cell r="BB56">
            <v>9.741197378651556E-2</v>
          </cell>
        </row>
        <row r="57">
          <cell r="A57" t="str">
            <v>ANN2007</v>
          </cell>
          <cell r="B57" t="str">
            <v>ANN</v>
          </cell>
          <cell r="C57" t="str">
            <v>2007 (total revs.)</v>
          </cell>
          <cell r="D57">
            <v>20</v>
          </cell>
          <cell r="E57">
            <v>20</v>
          </cell>
          <cell r="F57">
            <v>2276.5099999999998</v>
          </cell>
          <cell r="G57">
            <v>2396.5099999999998</v>
          </cell>
          <cell r="H57">
            <v>-3.3000000000000002E-2</v>
          </cell>
          <cell r="J57">
            <v>7.7922061664670611E-2</v>
          </cell>
          <cell r="L57">
            <v>285.76400000000001</v>
          </cell>
          <cell r="N57">
            <v>0.12552723247426983</v>
          </cell>
          <cell r="P57">
            <v>0.11924173068336875</v>
          </cell>
          <cell r="R57">
            <v>0</v>
          </cell>
          <cell r="S57">
            <v>285.76400000000001</v>
          </cell>
          <cell r="U57">
            <v>0.12552723247426983</v>
          </cell>
          <cell r="W57">
            <v>0.11924173068336875</v>
          </cell>
          <cell r="Y57">
            <v>-112.71310237493032</v>
          </cell>
          <cell r="AA57">
            <v>-49.858084465919525</v>
          </cell>
          <cell r="AC57">
            <v>899</v>
          </cell>
          <cell r="AE57">
            <v>5.2445000000000004</v>
          </cell>
          <cell r="AG57">
            <v>5823.4660925726594</v>
          </cell>
          <cell r="AH57" t="e">
            <v>#N/A</v>
          </cell>
          <cell r="AI57">
            <v>7.560747309384043E-2</v>
          </cell>
          <cell r="AK57">
            <v>0.31786874304783092</v>
          </cell>
          <cell r="AM57">
            <v>54.488321098293447</v>
          </cell>
          <cell r="AO57">
            <v>456.95681189817896</v>
          </cell>
          <cell r="AP57">
            <v>456.95681189817896</v>
          </cell>
          <cell r="AR57">
            <v>-130.22080706083517</v>
          </cell>
          <cell r="AY57">
            <v>120</v>
          </cell>
          <cell r="BA57">
            <v>6.1639676113360409E-2</v>
          </cell>
          <cell r="BB57">
            <v>6.1639676113360409E-2</v>
          </cell>
        </row>
        <row r="58">
          <cell r="A58" t="str">
            <v>ANN2008</v>
          </cell>
          <cell r="B58" t="str">
            <v>ANN</v>
          </cell>
          <cell r="C58">
            <v>2008</v>
          </cell>
          <cell r="D58">
            <v>21</v>
          </cell>
          <cell r="E58">
            <v>21</v>
          </cell>
          <cell r="F58">
            <v>2062.623</v>
          </cell>
          <cell r="G58">
            <v>2194.5590000000002</v>
          </cell>
          <cell r="H58">
            <v>-0.14800000000000002</v>
          </cell>
          <cell r="J58">
            <v>6.7530651944193378E-4</v>
          </cell>
          <cell r="L58">
            <v>285.77499999999998</v>
          </cell>
          <cell r="N58">
            <v>0.13854931318035335</v>
          </cell>
          <cell r="P58">
            <v>0.130219784476061</v>
          </cell>
          <cell r="R58">
            <v>0</v>
          </cell>
          <cell r="S58">
            <v>285.77499999999998</v>
          </cell>
          <cell r="U58">
            <v>0.13854931318035335</v>
          </cell>
          <cell r="W58">
            <v>0.130219784476061</v>
          </cell>
          <cell r="Y58">
            <v>-130.22080706083517</v>
          </cell>
          <cell r="AA58">
            <v>-109.78053792692246</v>
          </cell>
          <cell r="AC58">
            <v>932</v>
          </cell>
          <cell r="AE58">
            <v>5.4510000000000005</v>
          </cell>
          <cell r="AG58">
            <v>5873.7967914438505</v>
          </cell>
          <cell r="AH58" t="e">
            <v>#N/A</v>
          </cell>
          <cell r="AI58">
            <v>1.3726138259954728</v>
          </cell>
          <cell r="AK58">
            <v>0.30662553648068669</v>
          </cell>
          <cell r="AM58">
            <v>52.42616033755273</v>
          </cell>
          <cell r="AO58">
            <v>402.59750504494588</v>
          </cell>
          <cell r="AP58">
            <v>402.59750504494588</v>
          </cell>
          <cell r="AQ58" t="str">
            <v>Store sales exclude internet sales ($317M in '12, $248M in '11). ANN reports CAM charges and RE taxes in addition to rent expense.  No adjusment needed.  Comparable Store Sales estimate indicated (excl. Internet sales growth).</v>
          </cell>
          <cell r="AR58">
            <v>-258.89694663466219</v>
          </cell>
          <cell r="AS58">
            <v>3.6707452725250223E-2</v>
          </cell>
          <cell r="AU58">
            <v>-389.11775369549736</v>
          </cell>
          <cell r="AY58">
            <v>131.93600000000001</v>
          </cell>
          <cell r="BA58">
            <v>3.9374582896367638E-2</v>
          </cell>
          <cell r="BB58">
            <v>3.9374582896367638E-2</v>
          </cell>
        </row>
        <row r="59">
          <cell r="A59" t="str">
            <v>ANN2009</v>
          </cell>
          <cell r="B59" t="str">
            <v>ANN</v>
          </cell>
          <cell r="C59">
            <v>2009</v>
          </cell>
          <cell r="D59">
            <v>22</v>
          </cell>
          <cell r="E59">
            <v>22</v>
          </cell>
          <cell r="F59">
            <v>1706.9490000000001</v>
          </cell>
          <cell r="G59">
            <v>1828.5230000000001</v>
          </cell>
          <cell r="H59">
            <v>-0.17800000000000002</v>
          </cell>
          <cell r="J59">
            <v>1.4740312262957637E-2</v>
          </cell>
          <cell r="L59">
            <v>280.68899999999996</v>
          </cell>
          <cell r="N59">
            <v>0.16443900784381957</v>
          </cell>
          <cell r="P59">
            <v>0.15350586238182398</v>
          </cell>
          <cell r="R59">
            <v>0</v>
          </cell>
          <cell r="S59">
            <v>280.68899999999996</v>
          </cell>
          <cell r="U59">
            <v>0.16443900784381957</v>
          </cell>
          <cell r="W59">
            <v>0.15350586238182398</v>
          </cell>
          <cell r="Y59">
            <v>-258.89694663466219</v>
          </cell>
          <cell r="AA59">
            <v>-232.8607790576298</v>
          </cell>
          <cell r="AC59">
            <v>921</v>
          </cell>
          <cell r="AE59">
            <v>5.42</v>
          </cell>
          <cell r="AG59">
            <v>5896.3616317530323</v>
          </cell>
          <cell r="AH59" t="e">
            <v>#N/A</v>
          </cell>
          <cell r="AI59">
            <v>0</v>
          </cell>
          <cell r="AK59">
            <v>0.30476547231270357</v>
          </cell>
          <cell r="AM59">
            <v>51.787638376383761</v>
          </cell>
          <cell r="AO59">
            <v>337.36586715867156</v>
          </cell>
          <cell r="AP59">
            <v>337.36586715867162</v>
          </cell>
          <cell r="AR59">
            <v>170.57719203398409</v>
          </cell>
          <cell r="AS59">
            <v>-1.1802575107296098E-2</v>
          </cell>
          <cell r="AU59">
            <v>-88.319754600678095</v>
          </cell>
          <cell r="AY59">
            <v>121.574</v>
          </cell>
          <cell r="BA59">
            <v>-5.6870299027702576E-3</v>
          </cell>
          <cell r="BB59">
            <v>-5.6870299027702576E-3</v>
          </cell>
          <cell r="BC59">
            <v>0</v>
          </cell>
        </row>
        <row r="60">
          <cell r="A60" t="str">
            <v>ANN2010</v>
          </cell>
          <cell r="B60" t="str">
            <v>ANN</v>
          </cell>
          <cell r="C60">
            <v>2010</v>
          </cell>
          <cell r="D60">
            <v>23</v>
          </cell>
          <cell r="E60">
            <v>23</v>
          </cell>
          <cell r="F60">
            <v>1790.7090000000003</v>
          </cell>
          <cell r="G60">
            <v>1980.1950000000002</v>
          </cell>
          <cell r="H60">
            <v>0.107</v>
          </cell>
          <cell r="J60">
            <v>6.3334166584604085E-2</v>
          </cell>
          <cell r="L60">
            <v>263.91699999999997</v>
          </cell>
          <cell r="N60">
            <v>0.14738128864042116</v>
          </cell>
          <cell r="P60">
            <v>0.13327828824938956</v>
          </cell>
          <cell r="R60">
            <v>0</v>
          </cell>
          <cell r="S60">
            <v>263.91699999999997</v>
          </cell>
          <cell r="U60">
            <v>0.14738128864042116</v>
          </cell>
          <cell r="W60">
            <v>0.13327828824938956</v>
          </cell>
          <cell r="Y60">
            <v>170.57719203398409</v>
          </cell>
          <cell r="AA60">
            <v>202.27574132434424</v>
          </cell>
          <cell r="AC60">
            <v>901.5</v>
          </cell>
          <cell r="AE60">
            <v>5.3159999999999998</v>
          </cell>
          <cell r="AG60">
            <v>5897.3214285714275</v>
          </cell>
          <cell r="AH60" t="e">
            <v>#N/A</v>
          </cell>
          <cell r="AI60">
            <v>0</v>
          </cell>
          <cell r="AK60">
            <v>0.29275318912922904</v>
          </cell>
          <cell r="AM60">
            <v>49.645786305492848</v>
          </cell>
          <cell r="AO60">
            <v>372.49717832957117</v>
          </cell>
          <cell r="AP60">
            <v>372.49717832957117</v>
          </cell>
          <cell r="AR60">
            <v>80.418964011902688</v>
          </cell>
          <cell r="AS60">
            <v>-2.1172638436482094E-2</v>
          </cell>
          <cell r="AY60">
            <v>189.48599999999999</v>
          </cell>
          <cell r="BA60">
            <v>-1.9188191881918781E-2</v>
          </cell>
          <cell r="BB60">
            <v>-1.9188191881918781E-2</v>
          </cell>
        </row>
        <row r="61">
          <cell r="A61" t="str">
            <v>ANN2011</v>
          </cell>
          <cell r="B61" t="str">
            <v>ANN</v>
          </cell>
          <cell r="C61">
            <v>2011</v>
          </cell>
          <cell r="D61">
            <v>24</v>
          </cell>
          <cell r="E61">
            <v>24</v>
          </cell>
          <cell r="F61">
            <v>1964.1610000000001</v>
          </cell>
          <cell r="G61">
            <v>2212.4929999999999</v>
          </cell>
          <cell r="H61">
            <v>6.7813075156264932E-2</v>
          </cell>
          <cell r="J61">
            <v>6.8237052049430189E-2</v>
          </cell>
          <cell r="L61">
            <v>273.685</v>
          </cell>
          <cell r="N61">
            <v>0.13933939223923089</v>
          </cell>
          <cell r="P61">
            <v>0.12369982639493098</v>
          </cell>
          <cell r="R61">
            <v>0</v>
          </cell>
          <cell r="S61">
            <v>273.685</v>
          </cell>
          <cell r="U61">
            <v>0.13933939223923089</v>
          </cell>
          <cell r="W61">
            <v>0.12369982639493098</v>
          </cell>
          <cell r="Y61">
            <v>80.418964011902688</v>
          </cell>
          <cell r="AA61">
            <v>95.78461854458584</v>
          </cell>
          <cell r="AC61">
            <v>924.5</v>
          </cell>
          <cell r="AE61">
            <v>5.4339999999999993</v>
          </cell>
          <cell r="AG61">
            <v>5859.3913955928647</v>
          </cell>
          <cell r="AH61" t="e">
            <v>#N/A</v>
          </cell>
          <cell r="AI61">
            <v>0</v>
          </cell>
          <cell r="AK61">
            <v>0.29603569497025417</v>
          </cell>
          <cell r="AM61">
            <v>50.365292602134716</v>
          </cell>
          <cell r="AO61">
            <v>407.15734265734272</v>
          </cell>
          <cell r="AP61">
            <v>407.15734265734272</v>
          </cell>
          <cell r="AR61">
            <v>-37.938117539046409</v>
          </cell>
          <cell r="AS61">
            <v>2.5513033832501364E-2</v>
          </cell>
          <cell r="AY61">
            <v>248.33199999999999</v>
          </cell>
          <cell r="BA61">
            <v>2.2197140707298724E-2</v>
          </cell>
          <cell r="BB61">
            <v>2.2197140707298724E-2</v>
          </cell>
        </row>
        <row r="62">
          <cell r="A62" t="str">
            <v>ANN2012</v>
          </cell>
          <cell r="B62" t="str">
            <v>ANN</v>
          </cell>
          <cell r="C62">
            <v>2012</v>
          </cell>
          <cell r="D62">
            <v>25</v>
          </cell>
          <cell r="E62">
            <v>25</v>
          </cell>
          <cell r="F62">
            <v>2058.6278499999999</v>
          </cell>
          <cell r="G62">
            <v>2375.509</v>
          </cell>
          <cell r="H62">
            <v>3.3418816991071507E-2</v>
          </cell>
          <cell r="J62">
            <v>7.0212741774499945E-2</v>
          </cell>
          <cell r="L62">
            <v>294.65800000000002</v>
          </cell>
          <cell r="N62">
            <v>0.14313320399313553</v>
          </cell>
          <cell r="P62">
            <v>0.12403994259756541</v>
          </cell>
          <cell r="R62">
            <v>0</v>
          </cell>
          <cell r="S62">
            <v>294.65800000000002</v>
          </cell>
          <cell r="U62">
            <v>0.14313320399313553</v>
          </cell>
          <cell r="W62">
            <v>0.12403994259756541</v>
          </cell>
          <cell r="Y62">
            <v>-37.938117539046409</v>
          </cell>
          <cell r="AA62">
            <v>-3.4011620263443842</v>
          </cell>
          <cell r="AC62">
            <v>968.5</v>
          </cell>
          <cell r="AE62">
            <v>5.7029499999999995</v>
          </cell>
          <cell r="AG62">
            <v>5916.5650406504064</v>
          </cell>
          <cell r="AH62" t="e">
            <v>#N/A</v>
          </cell>
          <cell r="AI62">
            <v>0</v>
          </cell>
          <cell r="AK62">
            <v>0.30424161073825506</v>
          </cell>
          <cell r="AM62">
            <v>51.667645692141797</v>
          </cell>
          <cell r="AO62">
            <v>416.54038699269682</v>
          </cell>
          <cell r="AP62">
            <v>416.54038699269682</v>
          </cell>
          <cell r="AR62">
            <v>-22.007890094161709</v>
          </cell>
          <cell r="AY62">
            <v>316.88114999999999</v>
          </cell>
          <cell r="BA62">
            <v>4.9493927125506154E-2</v>
          </cell>
          <cell r="BB62">
            <v>4.9493927125506154E-2</v>
          </cell>
        </row>
        <row r="63">
          <cell r="A63" t="str">
            <v>ANN2013</v>
          </cell>
          <cell r="B63" t="str">
            <v>ANN</v>
          </cell>
          <cell r="C63" t="str">
            <v>2013e</v>
          </cell>
          <cell r="D63">
            <v>26</v>
          </cell>
          <cell r="E63">
            <v>26</v>
          </cell>
          <cell r="F63">
            <v>2097.3895625</v>
          </cell>
          <cell r="G63">
            <v>2493.491</v>
          </cell>
          <cell r="H63">
            <v>3.4566767130834258E-2</v>
          </cell>
          <cell r="J63">
            <v>7.37778062988559E-2</v>
          </cell>
          <cell r="L63">
            <v>304.822</v>
          </cell>
          <cell r="N63">
            <v>0.1453339930025517</v>
          </cell>
          <cell r="P63">
            <v>0.12224708250400744</v>
          </cell>
          <cell r="R63">
            <v>0</v>
          </cell>
          <cell r="S63">
            <v>304.822</v>
          </cell>
          <cell r="U63">
            <v>0.1453339930025517</v>
          </cell>
          <cell r="W63">
            <v>0.12224708250400744</v>
          </cell>
          <cell r="Y63">
            <v>-22.007890094161709</v>
          </cell>
          <cell r="AA63">
            <v>17.928600935579741</v>
          </cell>
          <cell r="AC63">
            <v>1001.5</v>
          </cell>
          <cell r="AE63">
            <v>5.9311499999999997</v>
          </cell>
          <cell r="AG63">
            <v>5927.7723258096175</v>
          </cell>
          <cell r="AH63" t="e">
            <v>#N/A</v>
          </cell>
          <cell r="AI63">
            <v>0</v>
          </cell>
          <cell r="AK63">
            <v>0.3043654518222666</v>
          </cell>
          <cell r="AM63">
            <v>51.393406000522667</v>
          </cell>
          <cell r="AO63">
            <v>429.26025509687719</v>
          </cell>
          <cell r="AP63">
            <v>420.40599209259591</v>
          </cell>
          <cell r="AY63">
            <v>396.10143749999997</v>
          </cell>
          <cell r="BA63">
            <v>4.0014378523395733E-2</v>
          </cell>
          <cell r="BB63">
            <v>4.0014378523395733E-2</v>
          </cell>
        </row>
        <row r="64">
          <cell r="C64" t="str">
            <v>2004 = Trough rent</v>
          </cell>
          <cell r="F64">
            <v>1853.5829999999999</v>
          </cell>
          <cell r="G64">
            <v>1853.5829999999999</v>
          </cell>
          <cell r="H64">
            <v>5700</v>
          </cell>
          <cell r="J64">
            <v>5.6624386391113724E-2</v>
          </cell>
          <cell r="L64">
            <v>195.80799999999999</v>
          </cell>
          <cell r="N64">
            <v>0.10563756788878621</v>
          </cell>
          <cell r="P64">
            <v>0.10563756788878621</v>
          </cell>
          <cell r="S64">
            <v>195.80799999999999</v>
          </cell>
          <cell r="U64">
            <v>0.10563756788878621</v>
          </cell>
          <cell r="W64">
            <v>0.10563756788878621</v>
          </cell>
          <cell r="Z64">
            <v>0</v>
          </cell>
          <cell r="AB64">
            <v>0</v>
          </cell>
          <cell r="AC64">
            <v>693</v>
          </cell>
          <cell r="AE64">
            <v>4.202</v>
          </cell>
          <cell r="AG64">
            <v>5693.7669376693766</v>
          </cell>
          <cell r="AH64">
            <v>0.85353119923150744</v>
          </cell>
          <cell r="AI64">
            <v>0.85353119923150744</v>
          </cell>
          <cell r="AK64">
            <v>0.28255122655122655</v>
          </cell>
          <cell r="AM64">
            <v>46.598762494050447</v>
          </cell>
          <cell r="AO64">
            <v>471.40971515768052</v>
          </cell>
          <cell r="AP64">
            <v>441.11922893860066</v>
          </cell>
          <cell r="AR64">
            <v>-4.188407412815609E-2</v>
          </cell>
        </row>
        <row r="66">
          <cell r="AI66">
            <v>0</v>
          </cell>
        </row>
        <row r="67">
          <cell r="C67">
            <v>1998</v>
          </cell>
          <cell r="F67">
            <v>146.75649300000001</v>
          </cell>
          <cell r="J67">
            <v>0.19545105919095518</v>
          </cell>
          <cell r="L67">
            <v>15.509575</v>
          </cell>
          <cell r="N67">
            <v>0.10568237686083164</v>
          </cell>
          <cell r="P67" t="e">
            <v>#DIV/0!</v>
          </cell>
          <cell r="S67" t="str">
            <v xml:space="preserve">NA </v>
          </cell>
          <cell r="U67">
            <v>0.10568237686083164</v>
          </cell>
          <cell r="AI67">
            <v>0</v>
          </cell>
        </row>
        <row r="68">
          <cell r="C68">
            <v>1999</v>
          </cell>
          <cell r="F68">
            <v>201.34088500000001</v>
          </cell>
          <cell r="J68">
            <v>0.22267133672328898</v>
          </cell>
          <cell r="L68">
            <v>19.205735000000001</v>
          </cell>
          <cell r="N68">
            <v>9.5389145627327504E-2</v>
          </cell>
          <cell r="P68" t="e">
            <v>#DIV/0!</v>
          </cell>
          <cell r="S68" t="str">
            <v xml:space="preserve">NA </v>
          </cell>
          <cell r="U68">
            <v>9.5389145627327504E-2</v>
          </cell>
          <cell r="AI68">
            <v>0</v>
          </cell>
        </row>
        <row r="69">
          <cell r="C69">
            <v>2000</v>
          </cell>
          <cell r="F69">
            <v>241.80135899999999</v>
          </cell>
          <cell r="J69">
            <v>0.18882137465571475</v>
          </cell>
          <cell r="L69">
            <v>26.1</v>
          </cell>
          <cell r="N69">
            <v>0.10793983999072562</v>
          </cell>
          <cell r="P69" t="e">
            <v>#DIV/0!</v>
          </cell>
          <cell r="S69" t="str">
            <v xml:space="preserve">NA </v>
          </cell>
          <cell r="U69">
            <v>0.10793983999072562</v>
          </cell>
          <cell r="AI69">
            <v>0</v>
          </cell>
        </row>
        <row r="70">
          <cell r="A70" t="str">
            <v>BEBE</v>
          </cell>
          <cell r="C70">
            <v>2001</v>
          </cell>
          <cell r="F70">
            <v>290.835688</v>
          </cell>
          <cell r="J70">
            <v>0.14687364296227631</v>
          </cell>
          <cell r="L70">
            <v>34.5</v>
          </cell>
          <cell r="N70">
            <v>0.11862368142385607</v>
          </cell>
          <cell r="P70" t="e">
            <v>#DIV/0!</v>
          </cell>
          <cell r="S70" t="str">
            <v xml:space="preserve">NA </v>
          </cell>
          <cell r="U70">
            <v>0.11862368142385607</v>
          </cell>
          <cell r="AC70">
            <v>0</v>
          </cell>
          <cell r="AE70" t="e">
            <v>#REF!</v>
          </cell>
          <cell r="AG70" t="e">
            <v>#REF!</v>
          </cell>
          <cell r="AI70">
            <v>0</v>
          </cell>
          <cell r="AK70" t="e">
            <v>#DIV/0!</v>
          </cell>
          <cell r="AM70" t="e">
            <v>#REF!</v>
          </cell>
          <cell r="AO70" t="e">
            <v>#REF!</v>
          </cell>
          <cell r="AS70" t="str">
            <v>Rent expense includes minimum rent, percentage rent, and other lease-required</v>
          </cell>
        </row>
        <row r="71">
          <cell r="C71">
            <v>2002</v>
          </cell>
          <cell r="F71">
            <v>316.42399999999998</v>
          </cell>
          <cell r="J71">
            <v>0.128147675271155</v>
          </cell>
          <cell r="L71">
            <v>40.200000000000003</v>
          </cell>
          <cell r="N71">
            <v>0.12704472479963594</v>
          </cell>
          <cell r="P71" t="e">
            <v>#DIV/0!</v>
          </cell>
          <cell r="S71" t="str">
            <v xml:space="preserve">NA </v>
          </cell>
          <cell r="U71">
            <v>0.12704472479963594</v>
          </cell>
          <cell r="AC71">
            <v>0</v>
          </cell>
          <cell r="AE71" t="e">
            <v>#REF!</v>
          </cell>
          <cell r="AG71" t="e">
            <v>#REF!</v>
          </cell>
          <cell r="AI71">
            <v>0</v>
          </cell>
          <cell r="AK71" t="e">
            <v>#DIV/0!</v>
          </cell>
          <cell r="AM71" t="e">
            <v>#REF!</v>
          </cell>
          <cell r="AO71" t="e">
            <v>#REF!</v>
          </cell>
          <cell r="AS71" t="str">
            <v>expenses according to footnote 4. (including CAM, taxes and insurance).</v>
          </cell>
        </row>
        <row r="72">
          <cell r="C72">
            <v>2003</v>
          </cell>
          <cell r="F72">
            <v>323.54900000000004</v>
          </cell>
          <cell r="J72">
            <v>8.8518276984320896E-2</v>
          </cell>
          <cell r="L72">
            <v>44.5</v>
          </cell>
          <cell r="N72">
            <v>0.13753712729756543</v>
          </cell>
          <cell r="P72" t="e">
            <v>#DIV/0!</v>
          </cell>
          <cell r="S72" t="str">
            <v xml:space="preserve">NA </v>
          </cell>
          <cell r="U72">
            <v>0.13753712729756543</v>
          </cell>
          <cell r="AC72">
            <v>9</v>
          </cell>
          <cell r="AE72" t="e">
            <v>#REF!</v>
          </cell>
          <cell r="AG72" t="e">
            <v>#REF!</v>
          </cell>
          <cell r="AI72">
            <v>0</v>
          </cell>
          <cell r="AK72">
            <v>4.9444444444444446</v>
          </cell>
          <cell r="AM72" t="e">
            <v>#REF!</v>
          </cell>
          <cell r="AO72" t="e">
            <v>#REF!</v>
          </cell>
          <cell r="AS72" t="str">
            <v>Percentage rent &amp; other lease-required exp's was $12.7m in 2002 &amp; $11.3m in 2001.</v>
          </cell>
        </row>
        <row r="73">
          <cell r="C73" t="str">
            <v>2004E</v>
          </cell>
          <cell r="F73">
            <v>367.72328660896363</v>
          </cell>
          <cell r="J73">
            <v>0.12271124666820926</v>
          </cell>
          <cell r="L73">
            <v>50</v>
          </cell>
          <cell r="N73">
            <v>0.13597180766299938</v>
          </cell>
          <cell r="P73" t="e">
            <v>#DIV/0!</v>
          </cell>
          <cell r="S73" t="str">
            <v xml:space="preserve">NA </v>
          </cell>
          <cell r="U73">
            <v>0.13597180766299938</v>
          </cell>
          <cell r="AC73">
            <v>26</v>
          </cell>
          <cell r="AE73" t="e">
            <v>#REF!</v>
          </cell>
          <cell r="AG73" t="e">
            <v>#REF!</v>
          </cell>
          <cell r="AI73">
            <v>0</v>
          </cell>
          <cell r="AK73">
            <v>1.9230769230769231</v>
          </cell>
          <cell r="AM73" t="e">
            <v>#REF!</v>
          </cell>
          <cell r="AO73" t="e">
            <v>#REF!</v>
          </cell>
        </row>
        <row r="74">
          <cell r="A74" t="str">
            <v/>
          </cell>
          <cell r="C74" t="str">
            <v>1999 =Trough rent</v>
          </cell>
          <cell r="F74">
            <v>201.34088500000001</v>
          </cell>
          <cell r="J74">
            <v>0.22267133672328898</v>
          </cell>
          <cell r="L74">
            <v>19.205735000000001</v>
          </cell>
          <cell r="N74">
            <v>9.5389145627327504E-2</v>
          </cell>
          <cell r="P74" t="e">
            <v>#DIV/0!</v>
          </cell>
          <cell r="S74" t="str">
            <v xml:space="preserve">NA </v>
          </cell>
          <cell r="U74">
            <v>9.5389145627327504E-2</v>
          </cell>
          <cell r="AC74">
            <v>0</v>
          </cell>
          <cell r="AE74" t="e">
            <v>#REF!</v>
          </cell>
          <cell r="AG74" t="e">
            <v>#REF!</v>
          </cell>
          <cell r="AI74">
            <v>0</v>
          </cell>
          <cell r="AK74" t="e">
            <v>#DIV/0!</v>
          </cell>
          <cell r="AM74" t="e">
            <v>#REF!</v>
          </cell>
          <cell r="AO74" t="e">
            <v>#REF!</v>
          </cell>
        </row>
        <row r="75">
          <cell r="AI75">
            <v>0</v>
          </cell>
        </row>
        <row r="76">
          <cell r="AI76">
            <v>0</v>
          </cell>
        </row>
        <row r="77">
          <cell r="C77">
            <v>1998</v>
          </cell>
          <cell r="F77">
            <v>134.09100000000001</v>
          </cell>
          <cell r="J77">
            <v>9.7433832248249294E-2</v>
          </cell>
          <cell r="L77">
            <v>17.049569999999999</v>
          </cell>
          <cell r="N77">
            <v>0.12714924939033939</v>
          </cell>
          <cell r="P77" t="e">
            <v>#DIV/0!</v>
          </cell>
          <cell r="S77" t="str">
            <v xml:space="preserve">NA </v>
          </cell>
          <cell r="U77">
            <v>0.12714924939033939</v>
          </cell>
          <cell r="AI77">
            <v>0</v>
          </cell>
        </row>
        <row r="78">
          <cell r="C78">
            <v>1999</v>
          </cell>
          <cell r="F78">
            <v>177.45951200000002</v>
          </cell>
          <cell r="J78">
            <v>0.13164326181625025</v>
          </cell>
          <cell r="L78">
            <v>22.837050999999999</v>
          </cell>
          <cell r="N78">
            <v>0.1286887963492202</v>
          </cell>
          <cell r="P78" t="e">
            <v>#DIV/0!</v>
          </cell>
          <cell r="S78" t="str">
            <v xml:space="preserve">NA </v>
          </cell>
          <cell r="U78">
            <v>0.1286887963492202</v>
          </cell>
          <cell r="AI78">
            <v>0</v>
          </cell>
        </row>
        <row r="79">
          <cell r="C79">
            <v>2000</v>
          </cell>
          <cell r="F79">
            <v>245.25988899999999</v>
          </cell>
          <cell r="J79">
            <v>0.13207785884629511</v>
          </cell>
          <cell r="L79">
            <v>32.266022</v>
          </cell>
          <cell r="N79">
            <v>0.13155849548639403</v>
          </cell>
          <cell r="P79" t="e">
            <v>#DIV/0!</v>
          </cell>
          <cell r="S79" t="str">
            <v xml:space="preserve">NA </v>
          </cell>
          <cell r="U79">
            <v>0.13155849548639403</v>
          </cell>
          <cell r="AI79">
            <v>0</v>
          </cell>
        </row>
        <row r="80">
          <cell r="A80" t="str">
            <v>CHIC</v>
          </cell>
          <cell r="C80">
            <v>2001</v>
          </cell>
          <cell r="F80">
            <v>324.82500000000005</v>
          </cell>
          <cell r="J80">
            <v>0.10698376048641588</v>
          </cell>
          <cell r="L80">
            <v>44.219476</v>
          </cell>
          <cell r="N80">
            <v>0.136133228661587</v>
          </cell>
          <cell r="P80" t="e">
            <v>#DIV/0!</v>
          </cell>
          <cell r="S80" t="str">
            <v xml:space="preserve">NA </v>
          </cell>
          <cell r="U80">
            <v>0.136133228661587</v>
          </cell>
          <cell r="AC80" t="e">
            <v>#REF!</v>
          </cell>
          <cell r="AE80">
            <v>-5.1656013997703476E-2</v>
          </cell>
          <cell r="AG80">
            <v>0.32991321774084859</v>
          </cell>
          <cell r="AI80">
            <v>0</v>
          </cell>
          <cell r="AK80" t="e">
            <v>#REF!</v>
          </cell>
          <cell r="AM80">
            <v>-856.0373241722815</v>
          </cell>
          <cell r="AO80">
            <v>-3.7935119081088153E-2</v>
          </cell>
          <cell r="AS80" t="str">
            <v>Rent expense reported in footnote 5 includes minimum rent, contingent rent, CAM,</v>
          </cell>
        </row>
        <row r="81">
          <cell r="C81">
            <v>2002</v>
          </cell>
          <cell r="F81">
            <v>409.38200000000001</v>
          </cell>
          <cell r="J81">
            <v>9.0038155072768328E-2</v>
          </cell>
          <cell r="L81">
            <v>62.035066</v>
          </cell>
          <cell r="N81">
            <v>0.15153344797768342</v>
          </cell>
          <cell r="P81" t="e">
            <v>#DIV/0!</v>
          </cell>
          <cell r="S81" t="str">
            <v xml:space="preserve">NA </v>
          </cell>
          <cell r="U81">
            <v>0.15153344797768342</v>
          </cell>
          <cell r="AC81">
            <v>197</v>
          </cell>
          <cell r="AE81">
            <v>-6.9835444948717074E-2</v>
          </cell>
          <cell r="AG81">
            <v>0.3063181749420234</v>
          </cell>
          <cell r="AI81">
            <v>0</v>
          </cell>
          <cell r="AK81">
            <v>0.31489881218274113</v>
          </cell>
          <cell r="AM81">
            <v>-888.30344025952434</v>
          </cell>
          <cell r="AO81">
            <v>-2.1562482513544312E-2</v>
          </cell>
          <cell r="AS81" t="str">
            <v>insurance, taxes, and all landlord pass thru's. Contingent rent was $1.6 and $1.7 in</v>
          </cell>
        </row>
        <row r="82">
          <cell r="C82">
            <v>2003</v>
          </cell>
          <cell r="F82">
            <v>456.62188200000003</v>
          </cell>
          <cell r="J82">
            <v>5.0577639641019384E-2</v>
          </cell>
          <cell r="L82">
            <v>80.031515999999996</v>
          </cell>
          <cell r="N82">
            <v>0.17526868324720363</v>
          </cell>
          <cell r="P82" t="e">
            <v>#DIV/0!</v>
          </cell>
          <cell r="S82" t="str">
            <v xml:space="preserve">NA </v>
          </cell>
          <cell r="U82">
            <v>0.17526868324720363</v>
          </cell>
          <cell r="AC82">
            <v>256</v>
          </cell>
          <cell r="AE82">
            <v>-0.12872313778023292</v>
          </cell>
          <cell r="AG82">
            <v>0.24965989912776765</v>
          </cell>
          <cell r="AI82">
            <v>0</v>
          </cell>
          <cell r="AK82">
            <v>0.31262310937499999</v>
          </cell>
          <cell r="AM82">
            <v>-621.73372542111736</v>
          </cell>
          <cell r="AO82">
            <v>8.5679571738574989E-3</v>
          </cell>
          <cell r="AS82" t="str">
            <v>2002 and 2001, respectively.</v>
          </cell>
        </row>
        <row r="83">
          <cell r="C83" t="str">
            <v>2004E</v>
          </cell>
          <cell r="F83">
            <v>547.93451428260357</v>
          </cell>
          <cell r="J83">
            <v>5.6460602021314046E-2</v>
          </cell>
          <cell r="L83">
            <v>93.528853499999997</v>
          </cell>
          <cell r="N83">
            <v>0.17069348811226995</v>
          </cell>
          <cell r="P83" t="e">
            <v>#DIV/0!</v>
          </cell>
          <cell r="S83" t="str">
            <v xml:space="preserve">NA </v>
          </cell>
          <cell r="U83">
            <v>0.17069348811226995</v>
          </cell>
          <cell r="AI83">
            <v>0</v>
          </cell>
        </row>
        <row r="84">
          <cell r="A84" t="str">
            <v>CHECK</v>
          </cell>
          <cell r="C84" t="str">
            <v>1997 = Trough rent</v>
          </cell>
          <cell r="F84">
            <v>81.543000000000006</v>
          </cell>
          <cell r="J84">
            <v>0.14272224470524755</v>
          </cell>
          <cell r="L84">
            <v>8.7663349999999998</v>
          </cell>
          <cell r="N84">
            <v>0.10750567185411376</v>
          </cell>
          <cell r="P84" t="e">
            <v>#DIV/0!</v>
          </cell>
          <cell r="S84" t="str">
            <v xml:space="preserve">NA </v>
          </cell>
          <cell r="U84">
            <v>0.10750567185411376</v>
          </cell>
          <cell r="AC84" t="e">
            <v>#REF!</v>
          </cell>
          <cell r="AE84">
            <v>3.2499700207880622E-2</v>
          </cell>
          <cell r="AG84">
            <v>0.15891633081877976</v>
          </cell>
          <cell r="AI84">
            <v>0</v>
          </cell>
          <cell r="AK84" t="e">
            <v>#REF!</v>
          </cell>
          <cell r="AM84">
            <v>269.73587275966054</v>
          </cell>
          <cell r="AO84">
            <v>-1.0681181008358798E-2</v>
          </cell>
        </row>
        <row r="85">
          <cell r="AI85">
            <v>0</v>
          </cell>
          <cell r="AS85">
            <v>2002</v>
          </cell>
          <cell r="AT85">
            <v>2001</v>
          </cell>
          <cell r="AU85">
            <v>2000</v>
          </cell>
        </row>
        <row r="86">
          <cell r="AI86">
            <v>0</v>
          </cell>
        </row>
        <row r="87">
          <cell r="C87">
            <v>1998</v>
          </cell>
          <cell r="D87">
            <v>4</v>
          </cell>
          <cell r="E87">
            <v>4</v>
          </cell>
          <cell r="F87">
            <v>152.506</v>
          </cell>
          <cell r="H87">
            <v>5.5E-2</v>
          </cell>
          <cell r="J87">
            <v>6.4554837186733632E-2</v>
          </cell>
          <cell r="L87" t="str">
            <v>N/A</v>
          </cell>
          <cell r="N87" t="str">
            <v>N/A</v>
          </cell>
          <cell r="P87" t="str">
            <v>N/A</v>
          </cell>
          <cell r="S87" t="str">
            <v>N/A</v>
          </cell>
          <cell r="U87" t="str">
            <v>N/A</v>
          </cell>
          <cell r="AC87">
            <v>124</v>
          </cell>
          <cell r="AE87">
            <v>0</v>
          </cell>
          <cell r="AG87">
            <v>3275.8992248062013</v>
          </cell>
          <cell r="AH87">
            <v>0</v>
          </cell>
          <cell r="AI87">
            <v>0</v>
          </cell>
          <cell r="AK87" t="str">
            <v>N/A</v>
          </cell>
          <cell r="AM87" t="str">
            <v>N/A</v>
          </cell>
          <cell r="AO87">
            <v>0</v>
          </cell>
          <cell r="AS87" t="str">
            <v xml:space="preserve">Total rent expense reported in footnote 14 includes only minimum rentals, </v>
          </cell>
        </row>
        <row r="88">
          <cell r="C88">
            <v>1999</v>
          </cell>
          <cell r="D88">
            <v>5</v>
          </cell>
          <cell r="E88">
            <v>5</v>
          </cell>
          <cell r="F88">
            <v>125.495</v>
          </cell>
          <cell r="H88">
            <v>0</v>
          </cell>
          <cell r="J88">
            <v>9.6258815092234759E-2</v>
          </cell>
          <cell r="L88" t="str">
            <v>N/A</v>
          </cell>
          <cell r="N88" t="str">
            <v>N/A</v>
          </cell>
          <cell r="P88" t="str">
            <v>N/A</v>
          </cell>
          <cell r="S88" t="str">
            <v>N/A</v>
          </cell>
          <cell r="U88" t="str">
            <v>N/A</v>
          </cell>
          <cell r="AC88">
            <v>134.5</v>
          </cell>
          <cell r="AE88">
            <v>0.48460049999999999</v>
          </cell>
          <cell r="AG88">
            <v>3619.9337748344374</v>
          </cell>
          <cell r="AH88" t="str">
            <v>NM</v>
          </cell>
          <cell r="AI88">
            <v>0</v>
          </cell>
          <cell r="AK88" t="str">
            <v>N/A</v>
          </cell>
          <cell r="AM88" t="str">
            <v>N/A</v>
          </cell>
          <cell r="AO88">
            <v>258.9658904602864</v>
          </cell>
          <cell r="AS88" t="str">
            <v xml:space="preserve">percentage rent, and office space rentals, and does not include CAM, </v>
          </cell>
        </row>
        <row r="89">
          <cell r="C89">
            <v>2000</v>
          </cell>
          <cell r="D89">
            <v>6</v>
          </cell>
          <cell r="E89">
            <v>6</v>
          </cell>
          <cell r="F89">
            <v>272.31900000000002</v>
          </cell>
          <cell r="H89">
            <v>0.12300000000000001</v>
          </cell>
          <cell r="J89">
            <v>7.8554930063638631E-2</v>
          </cell>
          <cell r="L89">
            <v>16.364000000000001</v>
          </cell>
          <cell r="N89">
            <v>6.0091289994455031E-2</v>
          </cell>
          <cell r="P89" t="str">
            <v>-</v>
          </cell>
          <cell r="S89">
            <v>24.873280000000001</v>
          </cell>
          <cell r="U89">
            <v>9.1338760791571647E-2</v>
          </cell>
          <cell r="AC89">
            <v>187.5</v>
          </cell>
          <cell r="AE89">
            <v>0.66086</v>
          </cell>
          <cell r="AG89">
            <v>3460.3125</v>
          </cell>
          <cell r="AH89">
            <v>2.8784651988181285</v>
          </cell>
          <cell r="AI89">
            <v>0</v>
          </cell>
          <cell r="AK89">
            <v>0.13265749333333335</v>
          </cell>
          <cell r="AM89">
            <v>37.637744756832006</v>
          </cell>
          <cell r="AO89">
            <v>412.06760887328636</v>
          </cell>
          <cell r="AS89" t="str">
            <v>RE Taxes, Insurance or other landlord passthrus.</v>
          </cell>
          <cell r="BA89">
            <v>0.36372125080349704</v>
          </cell>
        </row>
        <row r="90">
          <cell r="C90">
            <v>2001</v>
          </cell>
          <cell r="D90">
            <v>7</v>
          </cell>
          <cell r="E90">
            <v>7</v>
          </cell>
          <cell r="F90">
            <v>404.43799999999999</v>
          </cell>
          <cell r="H90">
            <v>0.155</v>
          </cell>
          <cell r="J90">
            <v>0.10647367458052906</v>
          </cell>
          <cell r="L90">
            <v>23.229000000000003</v>
          </cell>
          <cell r="N90">
            <v>5.7435255836494108E-2</v>
          </cell>
          <cell r="P90" t="str">
            <v>-</v>
          </cell>
          <cell r="S90">
            <v>35.308080000000004</v>
          </cell>
          <cell r="T90">
            <v>12.079080000000001</v>
          </cell>
          <cell r="U90">
            <v>8.7301588871471048E-2</v>
          </cell>
          <cell r="AC90">
            <v>251</v>
          </cell>
          <cell r="AE90">
            <v>0.86890350000000005</v>
          </cell>
          <cell r="AG90">
            <v>3462.9388489208632</v>
          </cell>
          <cell r="AH90">
            <v>1.0487771558750851</v>
          </cell>
          <cell r="AI90">
            <v>0</v>
          </cell>
          <cell r="AK90">
            <v>0.14066964143426297</v>
          </cell>
          <cell r="AM90">
            <v>40.635214382264543</v>
          </cell>
          <cell r="AO90">
            <v>465.45790182684266</v>
          </cell>
          <cell r="BA90">
            <v>0.31480722089398672</v>
          </cell>
        </row>
        <row r="91">
          <cell r="C91">
            <v>2002</v>
          </cell>
          <cell r="D91">
            <v>8</v>
          </cell>
          <cell r="E91">
            <v>8</v>
          </cell>
          <cell r="F91">
            <v>550.904</v>
          </cell>
          <cell r="H91">
            <v>6.6000000000000003E-2</v>
          </cell>
          <cell r="J91">
            <v>9.4566385431944497E-2</v>
          </cell>
          <cell r="L91">
            <v>35.752000000000002</v>
          </cell>
          <cell r="N91">
            <v>6.4896969344931249E-2</v>
          </cell>
          <cell r="P91" t="str">
            <v>-</v>
          </cell>
          <cell r="S91">
            <v>54.343040000000002</v>
          </cell>
          <cell r="T91">
            <v>18.59104</v>
          </cell>
          <cell r="U91">
            <v>9.8643393404295496E-2</v>
          </cell>
          <cell r="AC91">
            <v>322.5</v>
          </cell>
          <cell r="AE91">
            <v>1.1311515000000001</v>
          </cell>
          <cell r="AG91">
            <v>3541.1607629427795</v>
          </cell>
          <cell r="AH91">
            <v>0.98122062626915352</v>
          </cell>
          <cell r="AI91">
            <v>0</v>
          </cell>
          <cell r="AK91">
            <v>0.1685055503875969</v>
          </cell>
          <cell r="AM91">
            <v>48.04222953335605</v>
          </cell>
          <cell r="AO91">
            <v>487.02936786098059</v>
          </cell>
          <cell r="BA91">
            <v>0.30181487357341763</v>
          </cell>
        </row>
        <row r="92">
          <cell r="C92">
            <v>2003</v>
          </cell>
          <cell r="D92">
            <v>9</v>
          </cell>
          <cell r="E92">
            <v>9</v>
          </cell>
          <cell r="F92">
            <v>734.86799999999994</v>
          </cell>
          <cell r="G92">
            <v>734.86799999999994</v>
          </cell>
          <cell r="H92">
            <v>6.6000000000000003E-2</v>
          </cell>
          <cell r="J92">
            <v>0.12001611173707384</v>
          </cell>
          <cell r="L92">
            <v>46.836999999999996</v>
          </cell>
          <cell r="N92">
            <v>6.3735255855473363E-2</v>
          </cell>
          <cell r="P92">
            <v>6.3735255855473363E-2</v>
          </cell>
          <cell r="S92">
            <v>71.192239999999998</v>
          </cell>
          <cell r="T92">
            <v>24.355240000000002</v>
          </cell>
          <cell r="U92">
            <v>9.6877588900319514E-2</v>
          </cell>
          <cell r="W92">
            <v>9.6877588900319514E-2</v>
          </cell>
          <cell r="Y92">
            <v>17.658045039759816</v>
          </cell>
          <cell r="AA92">
            <v>-968.77588900319518</v>
          </cell>
          <cell r="AC92">
            <v>413</v>
          </cell>
          <cell r="AE92">
            <v>1.4556374999999999</v>
          </cell>
          <cell r="AG92">
            <v>3511.2614379084966</v>
          </cell>
          <cell r="AH92">
            <v>0.93400242034051428</v>
          </cell>
          <cell r="AI92">
            <v>0</v>
          </cell>
          <cell r="AK92">
            <v>0.17237830508474575</v>
          </cell>
          <cell r="AM92">
            <v>48.907945831293851</v>
          </cell>
          <cell r="AO92">
            <v>504.84272354896052</v>
          </cell>
          <cell r="BA92">
            <v>0.28686343076060083</v>
          </cell>
        </row>
        <row r="93">
          <cell r="A93" t="str">
            <v>ARO2004</v>
          </cell>
          <cell r="C93">
            <v>2004</v>
          </cell>
          <cell r="D93">
            <v>10</v>
          </cell>
          <cell r="E93">
            <v>10</v>
          </cell>
          <cell r="F93">
            <v>964.21199999999999</v>
          </cell>
          <cell r="G93">
            <v>964.21199999999999</v>
          </cell>
          <cell r="H93">
            <v>8.6999999999999994E-2</v>
          </cell>
          <cell r="J93">
            <v>0.14097522121691083</v>
          </cell>
          <cell r="L93">
            <v>59.344000000000001</v>
          </cell>
          <cell r="N93">
            <v>6.1546630823926689E-2</v>
          </cell>
          <cell r="P93">
            <v>6.1546630823926689E-2</v>
          </cell>
          <cell r="R93">
            <v>61.86699999999999</v>
          </cell>
          <cell r="S93">
            <v>90.202880000000007</v>
          </cell>
          <cell r="T93">
            <v>30.858880000000006</v>
          </cell>
          <cell r="U93">
            <v>9.3550878852368569E-2</v>
          </cell>
          <cell r="W93">
            <v>9.3550878852368569E-2</v>
          </cell>
          <cell r="Y93">
            <v>33.267100479509452</v>
          </cell>
          <cell r="AA93">
            <v>33.267100479509452</v>
          </cell>
          <cell r="AC93">
            <v>510</v>
          </cell>
          <cell r="AE93">
            <v>1.7950375000000001</v>
          </cell>
          <cell r="AG93">
            <v>3526.5704099821751</v>
          </cell>
          <cell r="AH93">
            <v>0.96537287843213526</v>
          </cell>
          <cell r="AI93">
            <v>0</v>
          </cell>
          <cell r="AK93">
            <v>0.17686839215686276</v>
          </cell>
          <cell r="AM93">
            <v>50.251251018432768</v>
          </cell>
          <cell r="AO93">
            <v>537.15423772483859</v>
          </cell>
          <cell r="AT93" t="str">
            <v>Adjusted Rent Expense Increase Assumption</v>
          </cell>
          <cell r="BA93">
            <v>0.2331624460073336</v>
          </cell>
        </row>
        <row r="94">
          <cell r="A94" t="str">
            <v>ARO</v>
          </cell>
          <cell r="B94" t="str">
            <v>ARO</v>
          </cell>
          <cell r="C94" t="str">
            <v>2005  (total revs.)</v>
          </cell>
          <cell r="D94">
            <v>11</v>
          </cell>
          <cell r="E94">
            <v>11</v>
          </cell>
          <cell r="F94">
            <v>1204.347</v>
          </cell>
          <cell r="G94">
            <v>1204.347</v>
          </cell>
          <cell r="H94">
            <v>3.5000000000000003E-2</v>
          </cell>
          <cell r="J94">
            <v>0.11245180998499606</v>
          </cell>
          <cell r="L94">
            <v>73.263999999999996</v>
          </cell>
          <cell r="N94">
            <v>6.0832965914308749E-2</v>
          </cell>
          <cell r="P94">
            <v>6.0832965914308749E-2</v>
          </cell>
          <cell r="R94">
            <v>0.52</v>
          </cell>
          <cell r="S94">
            <v>111.36127999999999</v>
          </cell>
          <cell r="T94">
            <v>38.097279999999998</v>
          </cell>
          <cell r="U94">
            <v>9.2466108189749291E-2</v>
          </cell>
          <cell r="W94">
            <v>9.2466108189749291E-2</v>
          </cell>
          <cell r="Y94">
            <v>10.847706626192776</v>
          </cell>
          <cell r="AA94">
            <v>10.847706626192776</v>
          </cell>
          <cell r="AC94">
            <v>616</v>
          </cell>
          <cell r="AE94">
            <v>2.1759405000000003</v>
          </cell>
          <cell r="AG94">
            <v>3537.220566318927</v>
          </cell>
          <cell r="AH94">
            <v>1.0087189025971417</v>
          </cell>
          <cell r="AI94">
            <v>1.0087189025971417</v>
          </cell>
          <cell r="AK94">
            <v>0.18078129870129869</v>
          </cell>
          <cell r="AM94">
            <v>51.178458234496752</v>
          </cell>
          <cell r="AO94">
            <v>553.48342475357197</v>
          </cell>
          <cell r="AP94">
            <v>553.48342475357197</v>
          </cell>
          <cell r="AQ94" t="str">
            <v>2008's adj. rent exp = $115.9mm + $52.8mm maint/insur/taxes (60% of $88mm min rent).  Excludes office &amp; DC rent.  We estimate achieves lvg. at +MSD comp.</v>
          </cell>
          <cell r="AT94" t="str">
            <v>10-K #: Excludes CAM, RE Taxes, Insurance, Other</v>
          </cell>
          <cell r="BA94">
            <v>0.21219779531068306</v>
          </cell>
          <cell r="BB94">
            <v>0.21219779531068306</v>
          </cell>
        </row>
        <row r="95">
          <cell r="A95" t="str">
            <v>ARO2006</v>
          </cell>
          <cell r="C95" t="str">
            <v>2006  (total revs.)</v>
          </cell>
          <cell r="D95">
            <v>12</v>
          </cell>
          <cell r="E95">
            <v>12</v>
          </cell>
          <cell r="F95">
            <v>1413.2080000000001</v>
          </cell>
          <cell r="G95">
            <v>1413.2080000000001</v>
          </cell>
          <cell r="H95">
            <v>0.02</v>
          </cell>
          <cell r="J95">
            <v>0.11723751917622893</v>
          </cell>
          <cell r="L95">
            <v>85.691000000000003</v>
          </cell>
          <cell r="N95">
            <v>6.0635801665430707E-2</v>
          </cell>
          <cell r="P95">
            <v>6.0635801665430707E-2</v>
          </cell>
          <cell r="R95">
            <v>0.51580679417908559</v>
          </cell>
          <cell r="S95">
            <v>129.89100000000002</v>
          </cell>
          <cell r="T95">
            <v>44.200000000000017</v>
          </cell>
          <cell r="U95">
            <v>9.1912160134955373E-2</v>
          </cell>
          <cell r="W95">
            <v>9.1912160134955373E-2</v>
          </cell>
          <cell r="Y95">
            <v>5.5394805479391795</v>
          </cell>
          <cell r="AA95">
            <v>5.5394805479391795</v>
          </cell>
          <cell r="AC95">
            <v>706.5</v>
          </cell>
          <cell r="AE95">
            <v>2.4997375000000002</v>
          </cell>
          <cell r="AG95">
            <v>3539.0835579514824</v>
          </cell>
          <cell r="AH95">
            <v>0.91160282341959664</v>
          </cell>
          <cell r="AI95">
            <v>1.0310116232081274</v>
          </cell>
          <cell r="AK95">
            <v>0.18385138004246288</v>
          </cell>
          <cell r="AM95">
            <v>51.961855994879464</v>
          </cell>
          <cell r="AO95">
            <v>565.34256096890169</v>
          </cell>
          <cell r="AP95">
            <v>565.34256096890169</v>
          </cell>
          <cell r="AR95" t="str">
            <v>LVG</v>
          </cell>
          <cell r="BA95">
            <v>0.14880783734665526</v>
          </cell>
          <cell r="BB95">
            <v>0.14880783734665526</v>
          </cell>
        </row>
        <row r="96">
          <cell r="A96" t="str">
            <v>ARO2007</v>
          </cell>
          <cell r="B96" t="str">
            <v>ARO</v>
          </cell>
          <cell r="C96" t="str">
            <v>2007  (ex. Internet)</v>
          </cell>
          <cell r="D96">
            <v>13</v>
          </cell>
          <cell r="E96">
            <v>13</v>
          </cell>
          <cell r="F96">
            <v>1540.383</v>
          </cell>
          <cell r="G96">
            <v>1583.183</v>
          </cell>
          <cell r="H96">
            <v>3.3000000000000002E-2</v>
          </cell>
          <cell r="J96">
            <v>0.12613702901054391</v>
          </cell>
          <cell r="L96">
            <v>96.923000000000002</v>
          </cell>
          <cell r="N96">
            <v>6.2921364361980106E-2</v>
          </cell>
          <cell r="P96">
            <v>6.1220339025873829E-2</v>
          </cell>
          <cell r="R96">
            <v>0.51587342529636926</v>
          </cell>
          <cell r="S96">
            <v>146.923</v>
          </cell>
          <cell r="U96">
            <v>9.5380824119715685E-2</v>
          </cell>
          <cell r="W96">
            <v>9.2802285016956351E-2</v>
          </cell>
          <cell r="Y96">
            <v>-34.686639847603118</v>
          </cell>
          <cell r="AA96">
            <v>-8.9012488200097835</v>
          </cell>
          <cell r="AC96">
            <v>785</v>
          </cell>
          <cell r="AE96">
            <v>2.7806069999999998</v>
          </cell>
          <cell r="AG96">
            <v>3544.9444444444448</v>
          </cell>
          <cell r="AH96">
            <v>0.65637150143669543</v>
          </cell>
          <cell r="AI96">
            <v>0.50721338211588152</v>
          </cell>
          <cell r="AK96">
            <v>0.18716305732484076</v>
          </cell>
          <cell r="AM96">
            <v>52.838462968697129</v>
          </cell>
          <cell r="AO96">
            <v>569.36596937287436</v>
          </cell>
          <cell r="AP96">
            <v>569.36596937287436</v>
          </cell>
          <cell r="AQ96" t="str">
            <v>2011's adj. rent exp = $154.5M + $55M maint/insur/taxes (40% of minimum rent expense). Excludes office, DC &amp; equip.  Store sales exclude internet sales ($217M in '12, $182M in '11) We estimate leverage at +LSD comp.</v>
          </cell>
          <cell r="AR96">
            <v>15.76314497107864</v>
          </cell>
          <cell r="AY96">
            <v>42.8</v>
          </cell>
          <cell r="BA96">
            <v>0.1123595977577645</v>
          </cell>
          <cell r="BB96">
            <v>0.1123595977577645</v>
          </cell>
        </row>
        <row r="97">
          <cell r="A97" t="str">
            <v>ARO2008</v>
          </cell>
          <cell r="B97" t="str">
            <v>ARO</v>
          </cell>
          <cell r="C97">
            <v>2008</v>
          </cell>
          <cell r="D97">
            <v>14</v>
          </cell>
          <cell r="E97">
            <v>14</v>
          </cell>
          <cell r="F97">
            <v>1798.421</v>
          </cell>
          <cell r="G97">
            <v>1885.521</v>
          </cell>
          <cell r="H97">
            <v>0.08</v>
          </cell>
          <cell r="J97">
            <v>0.13168190648632386</v>
          </cell>
          <cell r="L97">
            <v>106.833</v>
          </cell>
          <cell r="N97">
            <v>5.9403776979917382E-2</v>
          </cell>
          <cell r="P97">
            <v>5.6659671252667035E-2</v>
          </cell>
          <cell r="R97">
            <v>0.57910009079591496</v>
          </cell>
          <cell r="S97">
            <v>168.7</v>
          </cell>
          <cell r="U97">
            <v>9.3804509622607821E-2</v>
          </cell>
          <cell r="W97">
            <v>8.9471292019553214E-2</v>
          </cell>
          <cell r="Y97">
            <v>15.76314497107864</v>
          </cell>
          <cell r="AA97">
            <v>33.30992997403137</v>
          </cell>
          <cell r="AC97">
            <v>871</v>
          </cell>
          <cell r="AE97">
            <v>3.1099139999999998</v>
          </cell>
          <cell r="AG97">
            <v>3593.6695842450767</v>
          </cell>
          <cell r="AH97">
            <v>0.73896443311753368</v>
          </cell>
          <cell r="AI97">
            <v>0.73896443311753368</v>
          </cell>
          <cell r="AK97">
            <v>0.19368541905855338</v>
          </cell>
          <cell r="AM97">
            <v>54.245873037003598</v>
          </cell>
          <cell r="AO97">
            <v>606.29361455011303</v>
          </cell>
          <cell r="AP97">
            <v>606.29361455011303</v>
          </cell>
          <cell r="AR97">
            <v>215.9110286759082</v>
          </cell>
          <cell r="AS97">
            <v>0.10955414012738851</v>
          </cell>
          <cell r="AU97">
            <v>231.67417364698684</v>
          </cell>
          <cell r="AY97">
            <v>87.1</v>
          </cell>
          <cell r="BA97">
            <v>0.11842989678153004</v>
          </cell>
          <cell r="BB97">
            <v>0.11842989678153004</v>
          </cell>
        </row>
        <row r="98">
          <cell r="A98" t="str">
            <v>ARO2009</v>
          </cell>
          <cell r="B98" t="str">
            <v>ARO</v>
          </cell>
          <cell r="C98">
            <v>2009</v>
          </cell>
          <cell r="D98">
            <v>15</v>
          </cell>
          <cell r="E98">
            <v>15</v>
          </cell>
          <cell r="F98">
            <v>2101.105</v>
          </cell>
          <cell r="G98">
            <v>2230.105</v>
          </cell>
          <cell r="H98">
            <v>0.1</v>
          </cell>
          <cell r="J98">
            <v>0.17281024884478535</v>
          </cell>
          <cell r="L98">
            <v>121.69799999999999</v>
          </cell>
          <cell r="N98">
            <v>5.7920951118578076E-2</v>
          </cell>
          <cell r="P98">
            <v>5.4570524706235801E-2</v>
          </cell>
          <cell r="R98">
            <v>0.24675795822445723</v>
          </cell>
          <cell r="S98">
            <v>151.72794999999999</v>
          </cell>
          <cell r="U98">
            <v>7.2213406755017001E-2</v>
          </cell>
          <cell r="W98">
            <v>6.8036235961983854E-2</v>
          </cell>
          <cell r="Y98">
            <v>215.9110286759082</v>
          </cell>
          <cell r="AA98">
            <v>214.35056057569361</v>
          </cell>
          <cell r="AC98">
            <v>933</v>
          </cell>
          <cell r="AE98">
            <v>3.3564949999999998</v>
          </cell>
          <cell r="AG98">
            <v>3601.2352941176473</v>
          </cell>
          <cell r="AH98">
            <v>0.86147748172747662</v>
          </cell>
          <cell r="AI98">
            <v>0</v>
          </cell>
          <cell r="AK98">
            <v>0.16262374062165058</v>
          </cell>
          <cell r="AM98">
            <v>45.204283039301416</v>
          </cell>
          <cell r="AO98">
            <v>664.41481366723326</v>
          </cell>
          <cell r="AP98">
            <v>664.41481366723326</v>
          </cell>
          <cell r="AR98">
            <v>-58.853141250732186</v>
          </cell>
          <cell r="AS98">
            <v>7.1182548794489042E-2</v>
          </cell>
          <cell r="AU98">
            <v>157.05788742517601</v>
          </cell>
          <cell r="AY98">
            <v>129</v>
          </cell>
          <cell r="BA98">
            <v>7.9288687725769913E-2</v>
          </cell>
          <cell r="BB98">
            <v>7.9288687725769913E-2</v>
          </cell>
          <cell r="BC98">
            <v>0</v>
          </cell>
        </row>
        <row r="99">
          <cell r="A99" t="str">
            <v>ARO2010</v>
          </cell>
          <cell r="B99" t="str">
            <v>ARO</v>
          </cell>
          <cell r="C99">
            <v>2010</v>
          </cell>
          <cell r="D99">
            <v>16</v>
          </cell>
          <cell r="E99">
            <v>16</v>
          </cell>
          <cell r="F99">
            <v>2240.134</v>
          </cell>
          <cell r="G99">
            <v>2400.4340000000002</v>
          </cell>
          <cell r="H99">
            <v>1.3962820974102438E-2</v>
          </cell>
          <cell r="J99">
            <v>0.16275973428138421</v>
          </cell>
          <cell r="L99">
            <v>137.268</v>
          </cell>
          <cell r="N99">
            <v>6.127669148363446E-2</v>
          </cell>
          <cell r="P99">
            <v>5.718465910747806E-2</v>
          </cell>
          <cell r="R99">
            <v>0.27452574525745277</v>
          </cell>
          <cell r="S99">
            <v>174.95160000000001</v>
          </cell>
          <cell r="U99">
            <v>7.8098720880090219E-2</v>
          </cell>
          <cell r="W99">
            <v>7.2883320266251855E-2</v>
          </cell>
          <cell r="Y99">
            <v>-58.853141250732186</v>
          </cell>
          <cell r="AA99">
            <v>-48.470843042680009</v>
          </cell>
          <cell r="AC99">
            <v>982</v>
          </cell>
          <cell r="AE99">
            <v>3.5657044999999998</v>
          </cell>
          <cell r="AG99">
            <v>3659.1235177865615</v>
          </cell>
          <cell r="AH99">
            <v>0.83758791837809288</v>
          </cell>
          <cell r="AI99">
            <v>0</v>
          </cell>
          <cell r="AK99">
            <v>0.17815845213849288</v>
          </cell>
          <cell r="AM99">
            <v>49.065086576860203</v>
          </cell>
          <cell r="AO99">
            <v>673.20048534588329</v>
          </cell>
          <cell r="AP99">
            <v>673.20048534588329</v>
          </cell>
          <cell r="AR99">
            <v>-154.82800003588912</v>
          </cell>
          <cell r="AS99">
            <v>5.2518756698821001E-2</v>
          </cell>
          <cell r="AY99">
            <v>160.30000000000001</v>
          </cell>
          <cell r="BA99">
            <v>6.2329751720172411E-2</v>
          </cell>
          <cell r="BB99">
            <v>6.2329751720172411E-2</v>
          </cell>
        </row>
        <row r="100">
          <cell r="A100" t="str">
            <v>ARO2011</v>
          </cell>
          <cell r="B100" t="str">
            <v>ARO</v>
          </cell>
          <cell r="C100">
            <v>2011</v>
          </cell>
          <cell r="D100">
            <v>17</v>
          </cell>
          <cell r="E100">
            <v>17</v>
          </cell>
          <cell r="F100">
            <v>2160.0600000000004</v>
          </cell>
          <cell r="G100">
            <v>2342.2600000000002</v>
          </cell>
          <cell r="H100">
            <v>-0.08</v>
          </cell>
          <cell r="J100">
            <v>5.1068199089768077E-2</v>
          </cell>
          <cell r="L100">
            <v>149.184</v>
          </cell>
          <cell r="N100">
            <v>6.9064748201438833E-2</v>
          </cell>
          <cell r="P100">
            <v>6.3692331338109337E-2</v>
          </cell>
          <cell r="R100">
            <v>0.35498243779493777</v>
          </cell>
          <cell r="S100">
            <v>202.14169999999999</v>
          </cell>
          <cell r="U100">
            <v>9.3581520883679131E-2</v>
          </cell>
          <cell r="W100">
            <v>8.6301990385354299E-2</v>
          </cell>
          <cell r="Y100">
            <v>-154.82800003588912</v>
          </cell>
          <cell r="AA100">
            <v>-134.18670119102444</v>
          </cell>
          <cell r="AC100">
            <v>1034.5</v>
          </cell>
          <cell r="AE100">
            <v>3.8059085000000001</v>
          </cell>
          <cell r="AG100">
            <v>3697.9981078524124</v>
          </cell>
          <cell r="AH100">
            <v>0.65693993340941381</v>
          </cell>
          <cell r="AI100">
            <v>0</v>
          </cell>
          <cell r="AK100">
            <v>0.1954003866602223</v>
          </cell>
          <cell r="AM100">
            <v>53.112601104309256</v>
          </cell>
          <cell r="AO100">
            <v>615.42730204890631</v>
          </cell>
          <cell r="AP100">
            <v>615.42730204890631</v>
          </cell>
          <cell r="AR100">
            <v>-25.441774223151359</v>
          </cell>
          <cell r="AS100">
            <v>5.3462321792260736E-2</v>
          </cell>
          <cell r="AY100">
            <v>182.2</v>
          </cell>
          <cell r="BA100">
            <v>6.736508872229896E-2</v>
          </cell>
          <cell r="BB100">
            <v>6.736508872229896E-2</v>
          </cell>
        </row>
        <row r="101">
          <cell r="A101" t="str">
            <v>ARO2012</v>
          </cell>
          <cell r="B101" t="str">
            <v>ARO</v>
          </cell>
          <cell r="C101">
            <v>2012</v>
          </cell>
          <cell r="D101">
            <v>18</v>
          </cell>
          <cell r="E101">
            <v>18</v>
          </cell>
          <cell r="F101">
            <v>2169.1779999999999</v>
          </cell>
          <cell r="G101">
            <v>2386.1779999999999</v>
          </cell>
          <cell r="H101">
            <v>-0.02</v>
          </cell>
          <cell r="J101">
            <v>3.8601898098130097E-2</v>
          </cell>
          <cell r="L101">
            <v>154.52500000000001</v>
          </cell>
          <cell r="N101">
            <v>7.1236661998231601E-2</v>
          </cell>
          <cell r="P101">
            <v>6.4758370917844352E-2</v>
          </cell>
          <cell r="R101">
            <v>0.34938521274874623</v>
          </cell>
          <cell r="S101">
            <v>208.51375000000002</v>
          </cell>
          <cell r="U101">
            <v>9.6125698305994267E-2</v>
          </cell>
          <cell r="W101">
            <v>8.7383988118237624E-2</v>
          </cell>
          <cell r="Y101">
            <v>-25.441774223151359</v>
          </cell>
          <cell r="AA101">
            <v>-10.819977328833247</v>
          </cell>
          <cell r="AC101">
            <v>1070.5</v>
          </cell>
          <cell r="AE101">
            <v>3.9611524999999999</v>
          </cell>
          <cell r="AG101">
            <v>3702.5101476014756</v>
          </cell>
          <cell r="AH101" t="e">
            <v>#REF!</v>
          </cell>
          <cell r="AI101">
            <v>0</v>
          </cell>
          <cell r="AK101">
            <v>0.19478164409154602</v>
          </cell>
          <cell r="AM101">
            <v>52.639667369534507</v>
          </cell>
          <cell r="AO101">
            <v>602.39488381222384</v>
          </cell>
          <cell r="AP101">
            <v>602.39488381222384</v>
          </cell>
          <cell r="AR101">
            <v>-175.18225380370191</v>
          </cell>
          <cell r="AY101">
            <v>217</v>
          </cell>
          <cell r="BA101">
            <v>4.0790260722242788E-2</v>
          </cell>
          <cell r="BB101">
            <v>4.0790260722242788E-2</v>
          </cell>
        </row>
        <row r="102">
          <cell r="A102" t="str">
            <v>ARO2013</v>
          </cell>
          <cell r="B102" t="str">
            <v>ARO</v>
          </cell>
          <cell r="C102" t="str">
            <v>2013e</v>
          </cell>
          <cell r="D102">
            <v>19</v>
          </cell>
          <cell r="E102">
            <v>19</v>
          </cell>
          <cell r="F102">
            <v>1873.3020000000001</v>
          </cell>
          <cell r="G102">
            <v>2090.902</v>
          </cell>
          <cell r="H102">
            <v>-0.15</v>
          </cell>
          <cell r="J102">
            <v>-6.4042217186649569E-2</v>
          </cell>
          <cell r="L102">
            <v>155.37900000000002</v>
          </cell>
          <cell r="N102">
            <v>8.2943914008526132E-2</v>
          </cell>
          <cell r="P102">
            <v>7.4311947666605135E-2</v>
          </cell>
          <cell r="R102">
            <v>0.37012974423515344</v>
          </cell>
          <cell r="S102">
            <v>212.88938952951392</v>
          </cell>
          <cell r="U102">
            <v>0.11364392368636446</v>
          </cell>
          <cell r="W102">
            <v>0.1018170098500618</v>
          </cell>
          <cell r="Y102">
            <v>-175.18225380370191</v>
          </cell>
          <cell r="AA102">
            <v>-144.33021731824175</v>
          </cell>
          <cell r="AC102">
            <v>1092</v>
          </cell>
          <cell r="AE102">
            <v>4.0512949999999996</v>
          </cell>
          <cell r="AG102">
            <v>3717.3354545454545</v>
          </cell>
          <cell r="AH102" t="e">
            <v>#REF!</v>
          </cell>
          <cell r="AI102">
            <v>0</v>
          </cell>
          <cell r="AK102">
            <v>0.19495365341530579</v>
          </cell>
          <cell r="AM102">
            <v>52.548478827020482</v>
          </cell>
          <cell r="AO102">
            <v>516.10707193625751</v>
          </cell>
          <cell r="AP102">
            <v>516.10707193625751</v>
          </cell>
          <cell r="AY102">
            <v>217.6</v>
          </cell>
          <cell r="BA102">
            <v>2.2756634590564095E-2</v>
          </cell>
          <cell r="BB102">
            <v>2.2756634590564095E-2</v>
          </cell>
        </row>
        <row r="103">
          <cell r="C103" t="str">
            <v>2009 = Trough rent</v>
          </cell>
          <cell r="F103">
            <v>2101.105</v>
          </cell>
          <cell r="G103">
            <v>2230.105</v>
          </cell>
          <cell r="H103">
            <v>0.1</v>
          </cell>
          <cell r="J103">
            <v>0.17281024884478535</v>
          </cell>
          <cell r="L103">
            <v>121.69799999999999</v>
          </cell>
          <cell r="N103">
            <v>5.7920951118578076E-2</v>
          </cell>
          <cell r="P103">
            <v>5.4570524706235801E-2</v>
          </cell>
          <cell r="S103">
            <v>151.72794999999999</v>
          </cell>
          <cell r="U103">
            <v>7.2213406755017001E-2</v>
          </cell>
          <cell r="W103">
            <v>6.8036235961983854E-2</v>
          </cell>
          <cell r="Z103">
            <v>0</v>
          </cell>
          <cell r="AB103">
            <v>0</v>
          </cell>
          <cell r="AC103">
            <v>933</v>
          </cell>
          <cell r="AE103">
            <v>3.3564949999999998</v>
          </cell>
          <cell r="AG103">
            <v>3601.2352941176473</v>
          </cell>
          <cell r="AH103" t="str">
            <v>NM</v>
          </cell>
          <cell r="AI103" t="str">
            <v>NM</v>
          </cell>
          <cell r="AK103">
            <v>0.16262374062165058</v>
          </cell>
          <cell r="AM103">
            <v>45.204283039301416</v>
          </cell>
          <cell r="AO103">
            <v>664.41481366723326</v>
          </cell>
          <cell r="AP103">
            <v>664.41481366723326</v>
          </cell>
          <cell r="AR103">
            <v>0</v>
          </cell>
        </row>
        <row r="105">
          <cell r="C105">
            <v>1998</v>
          </cell>
          <cell r="D105">
            <v>5</v>
          </cell>
          <cell r="E105">
            <v>5</v>
          </cell>
          <cell r="F105">
            <v>513.91499999999996</v>
          </cell>
          <cell r="H105">
            <v>0</v>
          </cell>
          <cell r="J105">
            <v>4.8671472908944045E-2</v>
          </cell>
          <cell r="L105">
            <v>27.751000000000001</v>
          </cell>
          <cell r="N105">
            <v>5.3999202202698895E-2</v>
          </cell>
          <cell r="P105" t="str">
            <v>-</v>
          </cell>
          <cell r="S105">
            <v>36.076300000000003</v>
          </cell>
          <cell r="U105">
            <v>7.0198962863508574E-2</v>
          </cell>
          <cell r="AC105">
            <v>0</v>
          </cell>
          <cell r="AE105">
            <v>0</v>
          </cell>
          <cell r="AG105" t="e">
            <v>#DIV/0!</v>
          </cell>
          <cell r="AI105">
            <v>0</v>
          </cell>
          <cell r="AK105" t="e">
            <v>#DIV/0!</v>
          </cell>
          <cell r="AM105" t="e">
            <v>#DIV/0!</v>
          </cell>
          <cell r="AO105" t="e">
            <v>#N/A</v>
          </cell>
          <cell r="AR105" t="e">
            <v>#DIV/0!</v>
          </cell>
          <cell r="AY105">
            <v>0</v>
          </cell>
          <cell r="AZ105" t="str">
            <v>Indirect Sales</v>
          </cell>
        </row>
        <row r="106">
          <cell r="C106">
            <v>1999</v>
          </cell>
          <cell r="D106">
            <v>6</v>
          </cell>
          <cell r="E106">
            <v>6</v>
          </cell>
          <cell r="F106">
            <v>500.94400000000002</v>
          </cell>
          <cell r="H106">
            <v>0</v>
          </cell>
          <cell r="J106">
            <v>3.8876600977354805E-2</v>
          </cell>
          <cell r="L106">
            <v>28.353999999999999</v>
          </cell>
          <cell r="N106">
            <v>5.6601137053243475E-2</v>
          </cell>
          <cell r="P106" t="str">
            <v>-</v>
          </cell>
          <cell r="S106">
            <v>36.860199999999999</v>
          </cell>
          <cell r="U106">
            <v>7.3581478169216522E-2</v>
          </cell>
          <cell r="AC106">
            <v>116.5</v>
          </cell>
          <cell r="AE106">
            <v>0.18604100000000001</v>
          </cell>
          <cell r="AG106">
            <v>1596.9184549356225</v>
          </cell>
          <cell r="AH106" t="e">
            <v>#N/A</v>
          </cell>
          <cell r="AI106">
            <v>0</v>
          </cell>
          <cell r="AK106">
            <v>0.31639656652360515</v>
          </cell>
          <cell r="AM106">
            <v>198.12944458479581</v>
          </cell>
          <cell r="AO106" t="e">
            <v>#N/A</v>
          </cell>
          <cell r="AR106">
            <v>2692.6537698679322</v>
          </cell>
          <cell r="AY106">
            <v>0</v>
          </cell>
        </row>
        <row r="107">
          <cell r="C107">
            <v>2000</v>
          </cell>
          <cell r="D107">
            <v>7</v>
          </cell>
          <cell r="E107">
            <v>7</v>
          </cell>
          <cell r="F107">
            <v>352.01800000000003</v>
          </cell>
          <cell r="H107">
            <v>0</v>
          </cell>
          <cell r="J107">
            <v>0.10204985079738675</v>
          </cell>
          <cell r="L107">
            <v>28.364000000000001</v>
          </cell>
          <cell r="N107">
            <v>8.057542512030634E-2</v>
          </cell>
          <cell r="P107" t="str">
            <v>-</v>
          </cell>
          <cell r="S107">
            <v>36.873200000000004</v>
          </cell>
          <cell r="U107">
            <v>0.10474805265639825</v>
          </cell>
          <cell r="AC107">
            <v>236</v>
          </cell>
          <cell r="AE107">
            <v>0.4098965</v>
          </cell>
          <cell r="AG107">
            <v>1736.8495762711866</v>
          </cell>
          <cell r="AH107" t="e">
            <v>#N/A</v>
          </cell>
          <cell r="AI107">
            <v>0</v>
          </cell>
          <cell r="AK107">
            <v>0.15624237288135595</v>
          </cell>
          <cell r="AM107">
            <v>89.957342890217419</v>
          </cell>
          <cell r="AO107" t="e">
            <v>#N/A</v>
          </cell>
          <cell r="AR107">
            <v>858.79728175283276</v>
          </cell>
          <cell r="AY107">
            <v>196.89999999999998</v>
          </cell>
          <cell r="BA107">
            <v>1.2032589590466616</v>
          </cell>
        </row>
        <row r="108">
          <cell r="C108">
            <v>2001</v>
          </cell>
          <cell r="D108">
            <v>8</v>
          </cell>
          <cell r="E108">
            <v>8</v>
          </cell>
          <cell r="F108">
            <v>391.76099999999997</v>
          </cell>
          <cell r="H108">
            <v>3.2000000000000001E-2</v>
          </cell>
          <cell r="J108">
            <v>0.16934142226944285</v>
          </cell>
          <cell r="L108">
            <v>31.831</v>
          </cell>
          <cell r="N108">
            <v>8.1251068891492528E-2</v>
          </cell>
          <cell r="P108" t="str">
            <v>-</v>
          </cell>
          <cell r="S108">
            <v>41.380299999999998</v>
          </cell>
          <cell r="U108">
            <v>0.10562638955894027</v>
          </cell>
          <cell r="AC108">
            <v>252</v>
          </cell>
          <cell r="AE108">
            <v>0.48057099999999997</v>
          </cell>
          <cell r="AG108">
            <v>1907.0277777777776</v>
          </cell>
          <cell r="AH108" t="e">
            <v>#N/A</v>
          </cell>
          <cell r="AI108">
            <v>0</v>
          </cell>
          <cell r="AK108">
            <v>0.16420753968253968</v>
          </cell>
          <cell r="AM108">
            <v>86.106527443395464</v>
          </cell>
          <cell r="AO108" t="e">
            <v>#N/A</v>
          </cell>
          <cell r="AY108">
            <v>208.73000000000002</v>
          </cell>
          <cell r="BA108">
            <v>0.17242035489446716</v>
          </cell>
        </row>
        <row r="109">
          <cell r="C109">
            <v>2002</v>
          </cell>
          <cell r="D109">
            <v>9</v>
          </cell>
          <cell r="E109">
            <v>9</v>
          </cell>
          <cell r="F109">
            <v>447.048</v>
          </cell>
          <cell r="H109">
            <v>3.9E-2</v>
          </cell>
          <cell r="J109">
            <v>0.16371630365733811</v>
          </cell>
          <cell r="L109">
            <v>40.256999999999998</v>
          </cell>
          <cell r="N109">
            <v>9.0050732807215331E-2</v>
          </cell>
          <cell r="P109" t="str">
            <v>-</v>
          </cell>
          <cell r="S109">
            <v>52.334099999999999</v>
          </cell>
          <cell r="U109">
            <v>0.11706595264937993</v>
          </cell>
          <cell r="AC109">
            <v>280</v>
          </cell>
          <cell r="AE109">
            <v>0.55570699999999995</v>
          </cell>
          <cell r="AG109">
            <v>1984.667857142857</v>
          </cell>
          <cell r="AH109" t="e">
            <v>#N/A</v>
          </cell>
          <cell r="AI109">
            <v>0</v>
          </cell>
          <cell r="AK109">
            <v>0.1869075</v>
          </cell>
          <cell r="AM109">
            <v>94.175707702080416</v>
          </cell>
          <cell r="AO109" t="e">
            <v>#N/A</v>
          </cell>
          <cell r="AY109">
            <v>272.35500000000002</v>
          </cell>
          <cell r="BA109">
            <v>0.15634734513734694</v>
          </cell>
        </row>
        <row r="110">
          <cell r="C110">
            <v>2003</v>
          </cell>
          <cell r="D110">
            <v>10</v>
          </cell>
          <cell r="E110">
            <v>10</v>
          </cell>
          <cell r="F110">
            <v>559.18000000000006</v>
          </cell>
          <cell r="G110">
            <v>953.226</v>
          </cell>
          <cell r="H110">
            <v>0.152</v>
          </cell>
          <cell r="J110">
            <v>0.22916810913676303</v>
          </cell>
          <cell r="L110">
            <v>51.982999999999997</v>
          </cell>
          <cell r="N110">
            <v>9.2962909975320987E-2</v>
          </cell>
          <cell r="P110">
            <v>5.4533762192806319E-2</v>
          </cell>
          <cell r="S110">
            <v>67.5779</v>
          </cell>
          <cell r="U110">
            <v>0.12085178296791729</v>
          </cell>
          <cell r="Y110">
            <v>-37.858303185373671</v>
          </cell>
          <cell r="AA110">
            <v>0</v>
          </cell>
          <cell r="AC110">
            <v>310</v>
          </cell>
          <cell r="AE110">
            <v>0.64821649999999997</v>
          </cell>
          <cell r="AG110">
            <v>2091.0209677419357</v>
          </cell>
          <cell r="AH110" t="e">
            <v>#N/A</v>
          </cell>
          <cell r="AI110">
            <v>0</v>
          </cell>
          <cell r="AK110">
            <v>0.21799322580645161</v>
          </cell>
          <cell r="AM110">
            <v>104.25205159078796</v>
          </cell>
          <cell r="AO110" t="e">
            <v>#N/A</v>
          </cell>
          <cell r="AY110">
            <v>394.04599999999999</v>
          </cell>
          <cell r="BA110">
            <v>0.16647171980918007</v>
          </cell>
        </row>
        <row r="111">
          <cell r="C111">
            <v>2004</v>
          </cell>
          <cell r="D111">
            <v>11</v>
          </cell>
          <cell r="E111">
            <v>11</v>
          </cell>
          <cell r="F111">
            <v>1002.7059999999998</v>
          </cell>
          <cell r="G111">
            <v>1321.1059999999998</v>
          </cell>
          <cell r="H111">
            <v>0.16899999999999998</v>
          </cell>
          <cell r="J111">
            <v>0.30679143081630073</v>
          </cell>
          <cell r="L111">
            <v>62.906999999999996</v>
          </cell>
          <cell r="N111">
            <v>6.2737233047373817E-2</v>
          </cell>
          <cell r="P111">
            <v>4.7616920973790146E-2</v>
          </cell>
          <cell r="S111">
            <v>81.7791</v>
          </cell>
          <cell r="U111">
            <v>8.1558402961585966E-2</v>
          </cell>
          <cell r="W111">
            <v>6.1901997265927197E-2</v>
          </cell>
          <cell r="Y111">
            <v>392.9338000633133</v>
          </cell>
          <cell r="AA111">
            <v>-619.01997265927196</v>
          </cell>
          <cell r="AC111">
            <v>337.5</v>
          </cell>
          <cell r="AE111">
            <v>0.74035650000000008</v>
          </cell>
          <cell r="AG111">
            <v>2193.6488888888889</v>
          </cell>
          <cell r="AH111" t="e">
            <v>#N/A</v>
          </cell>
          <cell r="AI111">
            <v>0</v>
          </cell>
          <cell r="AK111">
            <v>0.24230844444444444</v>
          </cell>
          <cell r="AM111">
            <v>110.45908288777095</v>
          </cell>
          <cell r="AO111" t="e">
            <v>#N/A</v>
          </cell>
          <cell r="AT111" t="str">
            <v>Adjusted Rent Expense Increase Assumption</v>
          </cell>
          <cell r="AY111">
            <v>318.39999999999998</v>
          </cell>
          <cell r="BA111">
            <v>0.14214386705676274</v>
          </cell>
        </row>
        <row r="112">
          <cell r="A112" t="str">
            <v>COH</v>
          </cell>
          <cell r="B112" t="str">
            <v>COH</v>
          </cell>
          <cell r="C112" t="str">
            <v>2005 (direct revs. only)</v>
          </cell>
          <cell r="D112">
            <v>12</v>
          </cell>
          <cell r="E112">
            <v>12</v>
          </cell>
          <cell r="F112">
            <v>1307.5070000000003</v>
          </cell>
          <cell r="G112">
            <v>1710.4230000000002</v>
          </cell>
          <cell r="H112">
            <v>0.182</v>
          </cell>
          <cell r="J112">
            <v>0.33474935732272076</v>
          </cell>
          <cell r="L112">
            <v>85.384</v>
          </cell>
          <cell r="N112">
            <v>6.5302900864010652E-2</v>
          </cell>
          <cell r="P112">
            <v>4.9919815156835468E-2</v>
          </cell>
          <cell r="R112">
            <v>0.3</v>
          </cell>
          <cell r="S112">
            <v>110.9992</v>
          </cell>
          <cell r="U112">
            <v>8.4893771123213849E-2</v>
          </cell>
          <cell r="W112">
            <v>6.4895759703886113E-2</v>
          </cell>
          <cell r="Y112">
            <v>-33.353681616278827</v>
          </cell>
          <cell r="AA112">
            <v>-29.937624379589163</v>
          </cell>
          <cell r="AC112">
            <v>364</v>
          </cell>
          <cell r="AE112">
            <v>0.84354949999999995</v>
          </cell>
          <cell r="AG112">
            <v>2317.4436813186812</v>
          </cell>
          <cell r="AH112" t="e">
            <v>#N/A</v>
          </cell>
          <cell r="AI112" t="e">
            <v>#N/A</v>
          </cell>
          <cell r="AK112">
            <v>0.30494285714285713</v>
          </cell>
          <cell r="AM112">
            <v>131.58587611041202</v>
          </cell>
          <cell r="AO112">
            <v>1550.409312079493</v>
          </cell>
          <cell r="AQ112" t="str">
            <v>Comps=NA stores. Rev.=store rev. only (COH's "direct") &amp; excl. indirect (wholesale) rev. $626mm in '08.  Base rent in 10-K incl. an est. $13mm for NYC office space.</v>
          </cell>
          <cell r="AY112">
            <v>402.916</v>
          </cell>
          <cell r="BA112">
            <v>0.13938285136957651</v>
          </cell>
          <cell r="BB112">
            <v>0.13938285136957651</v>
          </cell>
        </row>
        <row r="113">
          <cell r="A113" t="str">
            <v>COH2006</v>
          </cell>
          <cell r="B113" t="str">
            <v>COH</v>
          </cell>
          <cell r="C113" t="str">
            <v>2006 (store revs. only)</v>
          </cell>
          <cell r="D113">
            <v>13</v>
          </cell>
          <cell r="E113">
            <v>13</v>
          </cell>
          <cell r="F113">
            <v>1610.6969999999999</v>
          </cell>
          <cell r="G113">
            <v>2035.0909999999999</v>
          </cell>
          <cell r="H113">
            <v>0.20699999999999999</v>
          </cell>
          <cell r="J113">
            <v>0.35121132175416231</v>
          </cell>
          <cell r="L113">
            <v>93.756</v>
          </cell>
          <cell r="N113">
            <v>5.820834086113031E-2</v>
          </cell>
          <cell r="P113">
            <v>4.6069684353181262E-2</v>
          </cell>
          <cell r="S113">
            <v>121.8828</v>
          </cell>
          <cell r="U113">
            <v>7.5670843119469408E-2</v>
          </cell>
          <cell r="W113">
            <v>5.9890589659135643E-2</v>
          </cell>
          <cell r="Y113">
            <v>92.229280037444411</v>
          </cell>
          <cell r="AA113">
            <v>50.051700447504707</v>
          </cell>
          <cell r="AC113">
            <v>400</v>
          </cell>
          <cell r="AE113">
            <v>0.97177550000000001</v>
          </cell>
          <cell r="AG113">
            <v>2429.4387499999998</v>
          </cell>
          <cell r="AH113" t="e">
            <v>#N/A</v>
          </cell>
          <cell r="AI113">
            <v>0.55347622265715346</v>
          </cell>
          <cell r="AK113">
            <v>0.30470700000000001</v>
          </cell>
          <cell r="AM113">
            <v>125.42279569715433</v>
          </cell>
          <cell r="AO113">
            <v>1657.4723277135511</v>
          </cell>
          <cell r="AP113">
            <v>2094.1987115336824</v>
          </cell>
          <cell r="AR113" t="str">
            <v>LVG</v>
          </cell>
          <cell r="AY113">
            <v>424.39400000000001</v>
          </cell>
          <cell r="BA113">
            <v>0.15200767708356189</v>
          </cell>
          <cell r="BB113">
            <v>0.15200767708356189</v>
          </cell>
        </row>
        <row r="114">
          <cell r="A114" t="str">
            <v>COH2007</v>
          </cell>
          <cell r="B114" t="str">
            <v>COH</v>
          </cell>
          <cell r="C114" t="str">
            <v>2007 (store revs. only)</v>
          </cell>
          <cell r="D114">
            <v>14</v>
          </cell>
          <cell r="E114">
            <v>14</v>
          </cell>
          <cell r="F114">
            <v>2101.62</v>
          </cell>
          <cell r="G114">
            <v>2612.4559999999997</v>
          </cell>
          <cell r="H114">
            <v>0.223</v>
          </cell>
          <cell r="J114">
            <v>0.38025405978129384</v>
          </cell>
          <cell r="L114">
            <v>107.458</v>
          </cell>
          <cell r="N114">
            <v>5.1131032251310896E-2</v>
          </cell>
          <cell r="P114">
            <v>4.1132941569159448E-2</v>
          </cell>
          <cell r="R114">
            <v>0.3</v>
          </cell>
          <cell r="S114">
            <v>139.69540000000001</v>
          </cell>
          <cell r="U114">
            <v>6.6470341926704174E-2</v>
          </cell>
          <cell r="W114">
            <v>5.3472824039907281E-2</v>
          </cell>
          <cell r="Y114">
            <v>92.005011927652347</v>
          </cell>
          <cell r="AA114">
            <v>64.177656192283621</v>
          </cell>
          <cell r="AC114">
            <v>455.5</v>
          </cell>
          <cell r="AE114">
            <v>1.1313430000000002</v>
          </cell>
          <cell r="AG114">
            <v>2483.7387486278822</v>
          </cell>
          <cell r="AH114" t="e">
            <v>#N/A</v>
          </cell>
          <cell r="AI114">
            <v>0.4981008696295634</v>
          </cell>
          <cell r="AK114">
            <v>0.30668583973655328</v>
          </cell>
          <cell r="AM114">
            <v>123.47749533077058</v>
          </cell>
          <cell r="AO114">
            <v>1857.5188956841555</v>
          </cell>
          <cell r="AP114">
            <v>2309.1635339591962</v>
          </cell>
          <cell r="AR114">
            <v>-0.69859499724281293</v>
          </cell>
          <cell r="AY114">
            <v>510.83600000000001</v>
          </cell>
          <cell r="BA114">
            <v>0.16420201991097749</v>
          </cell>
          <cell r="BB114">
            <v>0.16420201991097749</v>
          </cell>
        </row>
        <row r="115">
          <cell r="A115" t="str">
            <v>COH2008</v>
          </cell>
          <cell r="B115" t="str">
            <v>COH</v>
          </cell>
          <cell r="C115">
            <v>2008</v>
          </cell>
          <cell r="D115">
            <v>15</v>
          </cell>
          <cell r="E115">
            <v>15</v>
          </cell>
          <cell r="F115">
            <v>2557.857</v>
          </cell>
          <cell r="G115">
            <v>3180.7570000000001</v>
          </cell>
          <cell r="H115">
            <v>9.8000000000000004E-2</v>
          </cell>
          <cell r="J115">
            <v>0.37073847514915476</v>
          </cell>
          <cell r="L115">
            <v>132.96899999999999</v>
          </cell>
          <cell r="N115">
            <v>5.1984532364397228E-2</v>
          </cell>
          <cell r="P115">
            <v>4.1804199440573418E-2</v>
          </cell>
          <cell r="R115">
            <v>0.28000000000000003</v>
          </cell>
          <cell r="S115">
            <v>170.20032</v>
          </cell>
          <cell r="U115">
            <v>6.6540201426428455E-2</v>
          </cell>
          <cell r="W115">
            <v>5.3509375283933985E-2</v>
          </cell>
          <cell r="Y115">
            <v>-0.69859499724281293</v>
          </cell>
          <cell r="AA115">
            <v>-0.36551244026704344</v>
          </cell>
          <cell r="AC115">
            <v>518.5</v>
          </cell>
          <cell r="AE115">
            <v>1.3462895000000001</v>
          </cell>
          <cell r="AG115">
            <v>2596.5081967213118</v>
          </cell>
          <cell r="AH115" t="e">
            <v>#N/A</v>
          </cell>
          <cell r="AI115">
            <v>0.62680552477958651</v>
          </cell>
          <cell r="AK115">
            <v>0.32825519768563166</v>
          </cell>
          <cell r="AM115">
            <v>126.42178372482292</v>
          </cell>
          <cell r="AO115">
            <v>1899.9628237463041</v>
          </cell>
          <cell r="AP115">
            <v>2362.609973560664</v>
          </cell>
          <cell r="AQ115" t="str">
            <v>Store sales exclude indirect sales (mainly wholesale and license revenue).</v>
          </cell>
          <cell r="AR115">
            <v>-44.643821817905852</v>
          </cell>
          <cell r="AS115">
            <v>0.13830954994511524</v>
          </cell>
          <cell r="AU115">
            <v>-45.342416815148667</v>
          </cell>
          <cell r="AY115">
            <v>622.9</v>
          </cell>
          <cell r="BA115">
            <v>0.18999233654161451</v>
          </cell>
          <cell r="BB115">
            <v>0.18999233654161451</v>
          </cell>
        </row>
        <row r="116">
          <cell r="A116" t="str">
            <v>COH2009</v>
          </cell>
          <cell r="B116" t="str">
            <v>COH</v>
          </cell>
          <cell r="C116">
            <v>2009</v>
          </cell>
          <cell r="D116">
            <v>16</v>
          </cell>
          <cell r="E116">
            <v>16</v>
          </cell>
          <cell r="F116">
            <v>2726.8909999999996</v>
          </cell>
          <cell r="G116">
            <v>3230.4679999999998</v>
          </cell>
          <cell r="H116">
            <v>-6.8000000000000005E-2</v>
          </cell>
          <cell r="J116">
            <v>0.30964956161150636</v>
          </cell>
          <cell r="L116">
            <v>151.267</v>
          </cell>
          <cell r="N116">
            <v>5.5472330943921122E-2</v>
          </cell>
          <cell r="P116">
            <v>4.6825103978742399E-2</v>
          </cell>
          <cell r="R116">
            <v>0.28000000000000003</v>
          </cell>
          <cell r="S116">
            <v>193.62175999999999</v>
          </cell>
          <cell r="U116">
            <v>7.1004583608219041E-2</v>
          </cell>
          <cell r="W116">
            <v>5.9936133092790271E-2</v>
          </cell>
          <cell r="Y116">
            <v>-44.643821817905852</v>
          </cell>
          <cell r="AA116">
            <v>-64.267578088562857</v>
          </cell>
          <cell r="AC116">
            <v>586</v>
          </cell>
          <cell r="AE116">
            <v>1.5862339999999999</v>
          </cell>
          <cell r="AG116">
            <v>2706.8839590443686</v>
          </cell>
          <cell r="AH116" t="e">
            <v>#N/A</v>
          </cell>
          <cell r="AI116">
            <v>0</v>
          </cell>
          <cell r="AK116">
            <v>0.33041255972696243</v>
          </cell>
          <cell r="AM116">
            <v>122.06380647495894</v>
          </cell>
          <cell r="AO116">
            <v>1719.0975606373336</v>
          </cell>
          <cell r="AP116">
            <v>2036.5645926137001</v>
          </cell>
          <cell r="AR116">
            <v>-25.577163670650329</v>
          </cell>
          <cell r="AS116">
            <v>0.13018322082931544</v>
          </cell>
          <cell r="AU116">
            <v>-70.220985488556181</v>
          </cell>
          <cell r="AY116">
            <v>503.577</v>
          </cell>
          <cell r="BA116">
            <v>0.17822652557269425</v>
          </cell>
          <cell r="BB116">
            <v>0.17822652557269425</v>
          </cell>
          <cell r="BC116">
            <v>0</v>
          </cell>
        </row>
        <row r="117">
          <cell r="A117" t="str">
            <v>COH2010</v>
          </cell>
          <cell r="B117" t="str">
            <v>COH</v>
          </cell>
          <cell r="C117">
            <v>2010</v>
          </cell>
          <cell r="D117">
            <v>17</v>
          </cell>
          <cell r="E117">
            <v>17</v>
          </cell>
          <cell r="F117">
            <v>3155.86</v>
          </cell>
          <cell r="G117">
            <v>3607.636</v>
          </cell>
          <cell r="H117">
            <v>3.5557111151952245E-2</v>
          </cell>
          <cell r="J117">
            <v>0.31881570091882877</v>
          </cell>
          <cell r="L117">
            <v>181.369</v>
          </cell>
          <cell r="N117">
            <v>5.7470546855690682E-2</v>
          </cell>
          <cell r="P117">
            <v>5.0273641797564945E-2</v>
          </cell>
          <cell r="R117">
            <v>0.28000000000000003</v>
          </cell>
          <cell r="S117">
            <v>232.15232</v>
          </cell>
          <cell r="U117">
            <v>7.3562299975284073E-2</v>
          </cell>
          <cell r="W117">
            <v>6.4350261500883132E-2</v>
          </cell>
          <cell r="Y117">
            <v>-25.577163670650329</v>
          </cell>
          <cell r="AA117">
            <v>-44.141284080928614</v>
          </cell>
          <cell r="AC117">
            <v>644.5</v>
          </cell>
          <cell r="AE117">
            <v>1.7772825000000001</v>
          </cell>
          <cell r="AG117">
            <v>2757.6144297905353</v>
          </cell>
          <cell r="AH117" t="e">
            <v>#N/A</v>
          </cell>
          <cell r="AI117">
            <v>0</v>
          </cell>
          <cell r="AK117">
            <v>0.36020530643910009</v>
          </cell>
          <cell r="AM117">
            <v>130.62207049245126</v>
          </cell>
          <cell r="AO117">
            <v>1775.6659394328135</v>
          </cell>
          <cell r="AP117">
            <v>2029.8607565201366</v>
          </cell>
          <cell r="AR117">
            <v>9.5475379630437232</v>
          </cell>
          <cell r="AS117">
            <v>9.9829351535836164E-2</v>
          </cell>
          <cell r="AY117">
            <v>451.77600000000001</v>
          </cell>
          <cell r="BA117">
            <v>0.12044156158549124</v>
          </cell>
          <cell r="BB117">
            <v>0.12044156158549124</v>
          </cell>
        </row>
        <row r="118">
          <cell r="A118" t="str">
            <v>COH2011</v>
          </cell>
          <cell r="B118" t="str">
            <v>COH</v>
          </cell>
          <cell r="C118">
            <v>2011</v>
          </cell>
          <cell r="D118">
            <v>18</v>
          </cell>
          <cell r="E118">
            <v>18</v>
          </cell>
          <cell r="F118">
            <v>3621.8859999999995</v>
          </cell>
          <cell r="G118">
            <v>4158.5069999999996</v>
          </cell>
          <cell r="H118">
            <v>0.10576010987645663</v>
          </cell>
          <cell r="J118">
            <v>0.31997108577669814</v>
          </cell>
          <cell r="L118">
            <v>206.90500000000003</v>
          </cell>
          <cell r="N118">
            <v>5.7126314853642564E-2</v>
          </cell>
          <cell r="P118">
            <v>4.9754635497788038E-2</v>
          </cell>
          <cell r="R118">
            <v>0.27100000000000002</v>
          </cell>
          <cell r="S118">
            <v>262.97625500000004</v>
          </cell>
          <cell r="U118">
            <v>7.2607546178979701E-2</v>
          </cell>
          <cell r="W118">
            <v>6.3238141717688601E-2</v>
          </cell>
          <cell r="Y118">
            <v>9.5475379630437232</v>
          </cell>
          <cell r="AA118">
            <v>11.121197831945317</v>
          </cell>
          <cell r="AC118">
            <v>694</v>
          </cell>
          <cell r="AE118">
            <v>1.9337755000000001</v>
          </cell>
          <cell r="AG118">
            <v>2786.4200288184443</v>
          </cell>
          <cell r="AH118" t="e">
            <v>#N/A</v>
          </cell>
          <cell r="AI118">
            <v>0</v>
          </cell>
          <cell r="AK118">
            <v>0.37892832132564847</v>
          </cell>
          <cell r="AM118">
            <v>135.99109875991294</v>
          </cell>
          <cell r="AO118">
            <v>1872.9609512583024</v>
          </cell>
          <cell r="AP118">
            <v>2150.4600715026122</v>
          </cell>
          <cell r="AR118">
            <v>725.6810371864641</v>
          </cell>
          <cell r="AS118">
            <v>7.6803723816912361E-2</v>
          </cell>
          <cell r="AY118">
            <v>536.62099999999998</v>
          </cell>
          <cell r="BA118">
            <v>8.8051843193189594E-2</v>
          </cell>
          <cell r="BB118">
            <v>8.8051843193189594E-2</v>
          </cell>
        </row>
        <row r="119">
          <cell r="A119" t="str">
            <v>COH2012</v>
          </cell>
          <cell r="B119" t="str">
            <v>COH</v>
          </cell>
          <cell r="C119">
            <v>2012</v>
          </cell>
          <cell r="D119">
            <v>19</v>
          </cell>
          <cell r="E119">
            <v>19</v>
          </cell>
          <cell r="F119">
            <v>4224.5239999999994</v>
          </cell>
          <cell r="G119">
            <v>4763.1799999999994</v>
          </cell>
          <cell r="H119">
            <v>6.4820016572281286E-2</v>
          </cell>
          <cell r="J119">
            <v>0.3256643670824953</v>
          </cell>
          <cell r="L119">
            <v>0.13109804901416977</v>
          </cell>
          <cell r="N119">
            <v>3.1032620246486892E-5</v>
          </cell>
          <cell r="P119">
            <v>2.7523219574773532E-5</v>
          </cell>
          <cell r="R119">
            <v>0.27100000000000002</v>
          </cell>
          <cell r="S119">
            <v>0.16662562029700978</v>
          </cell>
          <cell r="U119">
            <v>3.9442460333284837E-5</v>
          </cell>
          <cell r="W119">
            <v>3.4982012079537157E-5</v>
          </cell>
          <cell r="Y119">
            <v>725.6810371864641</v>
          </cell>
          <cell r="AA119">
            <v>632.03159705609062</v>
          </cell>
          <cell r="AC119">
            <v>777.5</v>
          </cell>
          <cell r="AE119">
            <v>2.1739660000000001</v>
          </cell>
          <cell r="AG119">
            <v>2796.0977491961416</v>
          </cell>
          <cell r="AH119" t="e">
            <v>#N/A</v>
          </cell>
          <cell r="AI119">
            <v>0</v>
          </cell>
          <cell r="AK119">
            <v>2.1430947948168459E-4</v>
          </cell>
          <cell r="AM119">
            <v>7.6645918242056119E-2</v>
          </cell>
          <cell r="AO119">
            <v>1943.2337028269992</v>
          </cell>
          <cell r="AP119">
            <v>2191.0094270103577</v>
          </cell>
          <cell r="AR119">
            <v>-806.30672258206778</v>
          </cell>
          <cell r="AY119">
            <v>538.65600000000006</v>
          </cell>
          <cell r="BA119">
            <v>0.12420805827770587</v>
          </cell>
          <cell r="BB119">
            <v>0.12420805827770587</v>
          </cell>
        </row>
        <row r="120">
          <cell r="A120" t="str">
            <v>COH2013</v>
          </cell>
          <cell r="B120" t="str">
            <v>COH</v>
          </cell>
          <cell r="C120" t="str">
            <v>2013e</v>
          </cell>
          <cell r="D120">
            <v>20</v>
          </cell>
          <cell r="E120">
            <v>20</v>
          </cell>
          <cell r="F120">
            <v>4537.5911671521744</v>
          </cell>
          <cell r="G120">
            <v>5087.0202871521742</v>
          </cell>
          <cell r="H120">
            <v>1.4505265607205975E-3</v>
          </cell>
          <cell r="J120">
            <v>0.31002087609690615</v>
          </cell>
          <cell r="L120">
            <v>288</v>
          </cell>
          <cell r="N120">
            <v>6.3469799149126718E-2</v>
          </cell>
          <cell r="P120">
            <v>5.6614674945837246E-2</v>
          </cell>
          <cell r="R120">
            <v>0.27100000000000002</v>
          </cell>
          <cell r="S120">
            <v>366.048</v>
          </cell>
          <cell r="U120">
            <v>8.0670114718540062E-2</v>
          </cell>
          <cell r="W120">
            <v>7.1957251856159143E-2</v>
          </cell>
          <cell r="Y120">
            <v>-806.30672258206778</v>
          </cell>
          <cell r="AA120">
            <v>-719.22269844079608</v>
          </cell>
          <cell r="AC120">
            <v>872</v>
          </cell>
          <cell r="AE120">
            <v>2.4370785000000006</v>
          </cell>
          <cell r="AG120">
            <v>2794.8147935779825</v>
          </cell>
          <cell r="AK120">
            <v>0.41977981651376145</v>
          </cell>
          <cell r="AM120">
            <v>150.19951142320608</v>
          </cell>
          <cell r="AO120">
            <v>1847.3543834775876</v>
          </cell>
          <cell r="AP120">
            <v>2087.3436317919891</v>
          </cell>
          <cell r="AY120">
            <v>549.42912000000001</v>
          </cell>
          <cell r="BA120">
            <v>0.12102880173838981</v>
          </cell>
          <cell r="BB120">
            <v>0.12102880173838981</v>
          </cell>
        </row>
        <row r="121">
          <cell r="C121" t="str">
            <v>2007 = Trough rent</v>
          </cell>
          <cell r="F121">
            <v>4224.5239999999994</v>
          </cell>
          <cell r="G121">
            <v>4763.1799999999994</v>
          </cell>
          <cell r="H121">
            <v>6.4820016572281286E-2</v>
          </cell>
          <cell r="J121">
            <v>0.3256643670824953</v>
          </cell>
          <cell r="L121">
            <v>0.13109804901416977</v>
          </cell>
          <cell r="N121">
            <v>3.1032620246486892E-5</v>
          </cell>
          <cell r="P121">
            <v>2.7523219574773532E-5</v>
          </cell>
          <cell r="S121">
            <v>0.16662562029700978</v>
          </cell>
          <cell r="U121">
            <v>3.9442460333284837E-5</v>
          </cell>
          <cell r="W121">
            <v>3.4982012079537157E-5</v>
          </cell>
          <cell r="Z121">
            <v>0</v>
          </cell>
          <cell r="AB121">
            <v>0</v>
          </cell>
          <cell r="AC121">
            <v>777.5</v>
          </cell>
          <cell r="AE121">
            <v>2.1739660000000001</v>
          </cell>
          <cell r="AG121">
            <v>2796.0977491961416</v>
          </cell>
          <cell r="AH121" t="e">
            <v>#N/A</v>
          </cell>
          <cell r="AI121" t="e">
            <v>#N/A</v>
          </cell>
          <cell r="AK121">
            <v>2.1430947948168459E-4</v>
          </cell>
          <cell r="AM121">
            <v>7.6645918242056119E-2</v>
          </cell>
          <cell r="AO121">
            <v>1943.2337028269992</v>
          </cell>
          <cell r="AP121">
            <v>2191.0094270103577</v>
          </cell>
          <cell r="AR121">
            <v>-1.6014805470988935E-2</v>
          </cell>
        </row>
        <row r="123">
          <cell r="C123">
            <v>1998</v>
          </cell>
          <cell r="D123">
            <v>6</v>
          </cell>
          <cell r="E123">
            <v>6</v>
          </cell>
          <cell r="F123">
            <v>0</v>
          </cell>
          <cell r="H123">
            <v>0.30299999999999999</v>
          </cell>
          <cell r="J123">
            <v>0.14178268821601719</v>
          </cell>
          <cell r="L123">
            <v>0.31544196646943429</v>
          </cell>
          <cell r="N123" t="e">
            <v>#DIV/0!</v>
          </cell>
          <cell r="P123" t="str">
            <v>-</v>
          </cell>
          <cell r="S123">
            <v>0.31544196646943429</v>
          </cell>
          <cell r="U123" t="e">
            <v>#DIV/0!</v>
          </cell>
          <cell r="AC123">
            <v>151.5</v>
          </cell>
          <cell r="AE123">
            <v>-2.7308889301098649E-3</v>
          </cell>
          <cell r="AG123">
            <v>1588.7345679012344</v>
          </cell>
          <cell r="AH123" t="e">
            <v>#N/A</v>
          </cell>
          <cell r="AI123">
            <v>0</v>
          </cell>
          <cell r="AK123">
            <v>2.0821251912173881E-3</v>
          </cell>
          <cell r="AM123">
            <v>-115.50889638588997</v>
          </cell>
          <cell r="AO123">
            <v>459.20000000000005</v>
          </cell>
        </row>
        <row r="124">
          <cell r="C124">
            <v>1999</v>
          </cell>
          <cell r="D124">
            <v>7</v>
          </cell>
          <cell r="E124">
            <v>7</v>
          </cell>
          <cell r="F124">
            <v>0</v>
          </cell>
          <cell r="H124">
            <v>0.23300000000000001</v>
          </cell>
          <cell r="J124">
            <v>0.16003687068321282</v>
          </cell>
          <cell r="L124">
            <v>0.30383896092471052</v>
          </cell>
          <cell r="N124" t="e">
            <v>#DIV/0!</v>
          </cell>
          <cell r="P124" t="str">
            <v>-</v>
          </cell>
          <cell r="S124">
            <v>0.30383896092471052</v>
          </cell>
          <cell r="U124" t="e">
            <v>#DIV/0!</v>
          </cell>
          <cell r="AC124">
            <v>181</v>
          </cell>
          <cell r="AE124">
            <v>9.5211267605633809E-2</v>
          </cell>
          <cell r="AG124">
            <v>1739.9999999999998</v>
          </cell>
          <cell r="AH124" t="e">
            <v>#N/A</v>
          </cell>
          <cell r="AI124">
            <v>0</v>
          </cell>
          <cell r="AK124">
            <v>1.6786682924017156E-3</v>
          </cell>
          <cell r="AM124">
            <v>3.1912080215465157</v>
          </cell>
          <cell r="AO124">
            <v>540</v>
          </cell>
          <cell r="BA124">
            <v>-35.864569758171534</v>
          </cell>
        </row>
        <row r="125">
          <cell r="C125">
            <v>2000</v>
          </cell>
          <cell r="D125">
            <v>8</v>
          </cell>
          <cell r="E125">
            <v>8</v>
          </cell>
          <cell r="F125">
            <v>0</v>
          </cell>
          <cell r="H125">
            <v>0.34299999999999997</v>
          </cell>
          <cell r="J125">
            <v>0.1748475335296881</v>
          </cell>
          <cell r="L125">
            <v>0.30160083935187787</v>
          </cell>
          <cell r="N125" t="e">
            <v>#DIV/0!</v>
          </cell>
          <cell r="P125" t="str">
            <v>-</v>
          </cell>
          <cell r="S125">
            <v>0.30160083935187787</v>
          </cell>
          <cell r="U125" t="e">
            <v>#DIV/0!</v>
          </cell>
          <cell r="AC125">
            <v>225</v>
          </cell>
          <cell r="AE125">
            <v>0.10459770114942524</v>
          </cell>
          <cell r="AG125">
            <v>1921.9999999999998</v>
          </cell>
          <cell r="AH125" t="e">
            <v>#N/A</v>
          </cell>
          <cell r="AI125">
            <v>0</v>
          </cell>
          <cell r="AK125">
            <v>1.3404481748972349E-3</v>
          </cell>
          <cell r="AM125">
            <v>2.883436596001471</v>
          </cell>
          <cell r="AO125">
            <v>647.20000000000005</v>
          </cell>
          <cell r="BA125">
            <v>9.8585322723253155E-2</v>
          </cell>
        </row>
        <row r="126">
          <cell r="C126">
            <v>2001</v>
          </cell>
          <cell r="D126">
            <v>9</v>
          </cell>
          <cell r="E126">
            <v>9</v>
          </cell>
          <cell r="F126">
            <v>0</v>
          </cell>
          <cell r="H126">
            <v>0.17100000000000001</v>
          </cell>
          <cell r="J126">
            <v>0.17862603717985992</v>
          </cell>
          <cell r="L126">
            <v>0.30597249287687273</v>
          </cell>
          <cell r="N126" t="e">
            <v>#DIV/0!</v>
          </cell>
          <cell r="P126" t="str">
            <v>-</v>
          </cell>
          <cell r="S126">
            <v>0.30597249287687273</v>
          </cell>
          <cell r="U126" t="e">
            <v>#DIV/0!</v>
          </cell>
          <cell r="AC126">
            <v>280.5</v>
          </cell>
          <cell r="AE126">
            <v>0.11879372705950053</v>
          </cell>
          <cell r="AG126">
            <v>2150.32154340836</v>
          </cell>
          <cell r="AH126" t="e">
            <v>#N/A</v>
          </cell>
          <cell r="AI126">
            <v>0</v>
          </cell>
          <cell r="AK126">
            <v>1.0908110262990115E-3</v>
          </cell>
          <cell r="AM126">
            <v>2.5756620357876261</v>
          </cell>
          <cell r="AO126">
            <v>652</v>
          </cell>
          <cell r="AS126">
            <v>28014</v>
          </cell>
          <cell r="AT126">
            <v>20421</v>
          </cell>
          <cell r="AU126">
            <v>13764</v>
          </cell>
          <cell r="AV126" t="str">
            <v>Minimum rent</v>
          </cell>
          <cell r="BA126">
            <v>0.13572024771170899</v>
          </cell>
        </row>
        <row r="127">
          <cell r="C127">
            <v>2002</v>
          </cell>
          <cell r="D127">
            <v>10</v>
          </cell>
          <cell r="E127">
            <v>10</v>
          </cell>
          <cell r="F127">
            <v>0</v>
          </cell>
          <cell r="H127">
            <v>0.13548378119937243</v>
          </cell>
          <cell r="J127">
            <v>0.20107628927438123</v>
          </cell>
          <cell r="L127">
            <v>0.29619395499950396</v>
          </cell>
          <cell r="N127" t="e">
            <v>#DIV/0!</v>
          </cell>
          <cell r="P127" t="str">
            <v>-</v>
          </cell>
          <cell r="S127">
            <v>0.29619395499950396</v>
          </cell>
          <cell r="U127" t="e">
            <v>#DIV/0!</v>
          </cell>
          <cell r="AC127">
            <v>344.5</v>
          </cell>
          <cell r="AE127">
            <v>6.4194234287691998E-2</v>
          </cell>
          <cell r="AG127">
            <v>2288.3597883597877</v>
          </cell>
          <cell r="AH127" t="e">
            <v>#N/A</v>
          </cell>
          <cell r="AI127">
            <v>0</v>
          </cell>
          <cell r="AK127">
            <v>8.5977925979536705E-4</v>
          </cell>
          <cell r="AM127">
            <v>4.6140273855761746</v>
          </cell>
          <cell r="AO127">
            <v>679.2</v>
          </cell>
          <cell r="AS127">
            <v>3970</v>
          </cell>
          <cell r="AT127">
            <v>3431</v>
          </cell>
          <cell r="AU127">
            <v>2437</v>
          </cell>
          <cell r="AV127" t="str">
            <v>CAM</v>
          </cell>
          <cell r="BA127">
            <v>-0.45961595888359608</v>
          </cell>
        </row>
        <row r="128">
          <cell r="C128">
            <v>2003</v>
          </cell>
          <cell r="D128">
            <v>11</v>
          </cell>
          <cell r="E128">
            <v>11</v>
          </cell>
          <cell r="F128">
            <v>768.49907299999995</v>
          </cell>
          <cell r="G128">
            <v>768.49907299999995</v>
          </cell>
          <cell r="H128">
            <v>0.161</v>
          </cell>
          <cell r="J128">
            <v>0.20920595567198558</v>
          </cell>
          <cell r="L128">
            <v>0.29903143292405765</v>
          </cell>
          <cell r="N128">
            <v>3.8911098715672449E-4</v>
          </cell>
          <cell r="P128">
            <v>3.8911098715672449E-4</v>
          </cell>
          <cell r="S128">
            <v>0.29903143292405765</v>
          </cell>
          <cell r="U128">
            <v>3.8911098715672449E-4</v>
          </cell>
          <cell r="W128">
            <v>3.8911098715672449E-4</v>
          </cell>
          <cell r="Y128" t="e">
            <v>#DIV/0!</v>
          </cell>
          <cell r="AA128">
            <v>-3.8911098715672447</v>
          </cell>
          <cell r="AC128">
            <v>463</v>
          </cell>
          <cell r="AE128">
            <v>-3.2066157546092322E-3</v>
          </cell>
          <cell r="AG128">
            <v>2281.0218978102189</v>
          </cell>
          <cell r="AH128" t="e">
            <v>#N/A</v>
          </cell>
          <cell r="AI128">
            <v>0</v>
          </cell>
          <cell r="AK128">
            <v>6.4585622661783506E-4</v>
          </cell>
          <cell r="AM128">
            <v>-93.254526207022437</v>
          </cell>
          <cell r="AO128">
            <v>705.1721342789599</v>
          </cell>
          <cell r="AP128">
            <v>-239660.48064703392</v>
          </cell>
          <cell r="AS128">
            <v>5014</v>
          </cell>
          <cell r="AT128">
            <v>3406</v>
          </cell>
          <cell r="AU128">
            <v>2473</v>
          </cell>
          <cell r="AV128" t="str">
            <v>other rental charges (insurance &amp; taxes)</v>
          </cell>
          <cell r="BA128">
            <v>-1.0499517719961968</v>
          </cell>
        </row>
        <row r="129">
          <cell r="C129">
            <v>2004</v>
          </cell>
          <cell r="D129">
            <v>12</v>
          </cell>
          <cell r="E129">
            <v>12</v>
          </cell>
          <cell r="F129">
            <v>1066.8820000000001</v>
          </cell>
          <cell r="G129">
            <v>1066.8820000000001</v>
          </cell>
          <cell r="H129">
            <v>0.129</v>
          </cell>
          <cell r="J129">
            <v>0.21030910634915587</v>
          </cell>
          <cell r="L129">
            <v>0.30033030831900809</v>
          </cell>
          <cell r="N129">
            <v>2.8150283566412036E-4</v>
          </cell>
          <cell r="P129">
            <v>2.8150283566412036E-4</v>
          </cell>
          <cell r="S129">
            <v>0.30033030831900809</v>
          </cell>
          <cell r="U129">
            <v>2.8150283566412036E-4</v>
          </cell>
          <cell r="W129">
            <v>2.8150283566412036E-4</v>
          </cell>
          <cell r="Y129">
            <v>1.0760815149260414</v>
          </cell>
          <cell r="AA129">
            <v>1.0760815149260414</v>
          </cell>
          <cell r="AC129">
            <v>602.5</v>
          </cell>
          <cell r="AE129">
            <v>2.343378995433798E-2</v>
          </cell>
          <cell r="AG129">
            <v>2334.4748858447488</v>
          </cell>
          <cell r="AH129" t="e">
            <v>#N/A</v>
          </cell>
          <cell r="AI129">
            <v>0</v>
          </cell>
          <cell r="AK129">
            <v>4.9847354077843661E-4</v>
          </cell>
          <cell r="AM129">
            <v>12.816121886567137</v>
          </cell>
          <cell r="AO129">
            <v>747.78841490794787</v>
          </cell>
          <cell r="AP129">
            <v>45527.505455962433</v>
          </cell>
          <cell r="AS129">
            <v>5206</v>
          </cell>
          <cell r="AT129">
            <v>3560</v>
          </cell>
          <cell r="AU129">
            <v>2511</v>
          </cell>
          <cell r="AV129" t="str">
            <v>contingent rent or percentage rent</v>
          </cell>
          <cell r="BA129">
            <v>-8.3079507329975346</v>
          </cell>
        </row>
        <row r="130">
          <cell r="B130" t="str">
            <v>CHS</v>
          </cell>
          <cell r="C130" t="str">
            <v>2005  (ex. direct)</v>
          </cell>
          <cell r="D130">
            <v>13</v>
          </cell>
          <cell r="E130">
            <v>13</v>
          </cell>
          <cell r="F130">
            <v>1368.4259999999999</v>
          </cell>
          <cell r="G130">
            <v>1404.575</v>
          </cell>
          <cell r="H130">
            <v>0.14300000000000002</v>
          </cell>
          <cell r="J130">
            <v>0.21238737696456225</v>
          </cell>
          <cell r="L130">
            <v>0.30089457665130021</v>
          </cell>
          <cell r="N130">
            <v>2.1988370335794571E-4</v>
          </cell>
          <cell r="P130">
            <v>2.1422464208127029E-4</v>
          </cell>
          <cell r="R130" t="str">
            <v>0%</v>
          </cell>
          <cell r="S130">
            <v>0.30089457665130021</v>
          </cell>
          <cell r="U130">
            <v>2.1988370335794571E-4</v>
          </cell>
          <cell r="W130">
            <v>2.1422464208127029E-4</v>
          </cell>
          <cell r="Y130">
            <v>0.61619132306174651</v>
          </cell>
          <cell r="AA130">
            <v>0.67278193582850065</v>
          </cell>
          <cell r="AC130">
            <v>710</v>
          </cell>
          <cell r="AE130">
            <v>4.5640839947831857E-2</v>
          </cell>
          <cell r="AG130">
            <v>2441.0222804718219</v>
          </cell>
          <cell r="AH130" t="e">
            <v>#N/A</v>
          </cell>
          <cell r="AI130" t="e">
            <v>#N/A</v>
          </cell>
          <cell r="AK130">
            <v>4.2379517838211299E-4</v>
          </cell>
          <cell r="AM130">
            <v>6.5926608054371281</v>
          </cell>
          <cell r="AO130">
            <v>805.84527051895486</v>
          </cell>
          <cell r="AP130">
            <v>30774.52127536324</v>
          </cell>
          <cell r="AQ130" t="str">
            <v>Sales exclude CHS direct sales ($71mm in 2008).</v>
          </cell>
          <cell r="AY130">
            <v>36.149000000000001</v>
          </cell>
          <cell r="BA130">
            <v>0.9476508083739561</v>
          </cell>
          <cell r="BB130">
            <v>0.22002694207453977</v>
          </cell>
        </row>
        <row r="131">
          <cell r="A131" t="str">
            <v>CHS2006</v>
          </cell>
          <cell r="B131" t="str">
            <v>CHS</v>
          </cell>
          <cell r="C131" t="str">
            <v>2006 (ex. direct)</v>
          </cell>
          <cell r="D131">
            <v>14</v>
          </cell>
          <cell r="E131">
            <v>14</v>
          </cell>
          <cell r="F131">
            <v>1587.97</v>
          </cell>
          <cell r="G131">
            <v>1640.9270000000001</v>
          </cell>
          <cell r="H131">
            <v>2.1000000000000001E-2</v>
          </cell>
          <cell r="J131">
            <v>0.16070184718759586</v>
          </cell>
          <cell r="L131">
            <v>0.35966560364964434</v>
          </cell>
          <cell r="N131">
            <v>2.2649395369537482E-4</v>
          </cell>
          <cell r="P131">
            <v>2.1918440226143169E-4</v>
          </cell>
          <cell r="S131">
            <v>0.35966560364964434</v>
          </cell>
          <cell r="U131">
            <v>2.2649395369537482E-4</v>
          </cell>
          <cell r="W131">
            <v>2.1918440226143169E-4</v>
          </cell>
          <cell r="Y131">
            <v>-6.6102503374291105E-2</v>
          </cell>
          <cell r="AA131">
            <v>-4.9597601801614044E-2</v>
          </cell>
          <cell r="AC131">
            <v>841.5</v>
          </cell>
          <cell r="AE131">
            <v>8.7614531660344275E-2</v>
          </cell>
          <cell r="AG131">
            <v>2654.891304347826</v>
          </cell>
          <cell r="AH131" t="e">
            <v>#N/A</v>
          </cell>
          <cell r="AI131">
            <v>0.52110871532719394</v>
          </cell>
          <cell r="AK131">
            <v>4.2741010534717096E-4</v>
          </cell>
          <cell r="AM131">
            <v>4.1050907518853368</v>
          </cell>
          <cell r="AO131">
            <v>737.7328687572591</v>
          </cell>
          <cell r="AP131">
            <v>18728.936500641135</v>
          </cell>
          <cell r="AR131" t="str">
            <v>DE-LVG</v>
          </cell>
          <cell r="AY131">
            <v>52.957000000000008</v>
          </cell>
          <cell r="BA131">
            <v>0.91965204322464178</v>
          </cell>
          <cell r="BB131">
            <v>0.26757453073242554</v>
          </cell>
        </row>
        <row r="132">
          <cell r="A132" t="str">
            <v>CHS2007</v>
          </cell>
          <cell r="B132" t="str">
            <v>CHS</v>
          </cell>
          <cell r="C132" t="str">
            <v>2007 (ex. direct)</v>
          </cell>
          <cell r="D132">
            <v>15</v>
          </cell>
          <cell r="E132">
            <v>15</v>
          </cell>
          <cell r="F132">
            <v>1642.2329999999999</v>
          </cell>
          <cell r="G132">
            <v>1714.327</v>
          </cell>
          <cell r="H132">
            <v>-8.1000000000000003E-2</v>
          </cell>
          <cell r="J132">
            <v>7.0848793724884382E-2</v>
          </cell>
          <cell r="L132">
            <v>0.41252573167196227</v>
          </cell>
          <cell r="N132">
            <v>2.5119805269530103E-4</v>
          </cell>
          <cell r="P132">
            <v>2.4063421486796992E-4</v>
          </cell>
          <cell r="R132">
            <v>0</v>
          </cell>
          <cell r="S132">
            <v>0.41252573167196227</v>
          </cell>
          <cell r="U132">
            <v>2.5119805269530103E-4</v>
          </cell>
          <cell r="W132">
            <v>2.4063421486796992E-4</v>
          </cell>
          <cell r="Y132">
            <v>-0.24704098999926216</v>
          </cell>
          <cell r="AA132">
            <v>-0.21449812606538229</v>
          </cell>
          <cell r="AC132">
            <v>979</v>
          </cell>
          <cell r="AE132">
            <v>8.9529308981329825E-2</v>
          </cell>
          <cell r="AG132">
            <v>2892.5818882466283</v>
          </cell>
          <cell r="AH132" t="e">
            <v>#N/A</v>
          </cell>
          <cell r="AI132">
            <v>0.43492320044160998</v>
          </cell>
          <cell r="AK132">
            <v>4.2137459823489507E-4</v>
          </cell>
          <cell r="AM132">
            <v>4.6077171416344695</v>
          </cell>
          <cell r="AO132">
            <v>603.20771349862252</v>
          </cell>
          <cell r="AP132">
            <v>19148.221063087851</v>
          </cell>
          <cell r="AR132">
            <v>-0.33306943340191802</v>
          </cell>
          <cell r="AT132">
            <v>-6.6102503374291105E-2</v>
          </cell>
          <cell r="AY132">
            <v>72.094000000000008</v>
          </cell>
          <cell r="BA132">
            <v>2.185456321798962E-2</v>
          </cell>
          <cell r="BB132">
            <v>0.26480836236933802</v>
          </cell>
        </row>
        <row r="133">
          <cell r="A133" t="str">
            <v>CHS2008</v>
          </cell>
          <cell r="B133" t="str">
            <v>CHS</v>
          </cell>
          <cell r="C133">
            <v>2008</v>
          </cell>
          <cell r="D133">
            <v>16</v>
          </cell>
          <cell r="E133">
            <v>16</v>
          </cell>
          <cell r="F133">
            <v>1511.8130000000001</v>
          </cell>
          <cell r="G133">
            <v>1582.404</v>
          </cell>
          <cell r="H133">
            <v>-0.151</v>
          </cell>
          <cell r="J133">
            <v>-1.0066329458216793E-2</v>
          </cell>
          <cell r="L133">
            <v>0.4301183515714066</v>
          </cell>
          <cell r="N133">
            <v>2.8450499603549284E-4</v>
          </cell>
          <cell r="P133">
            <v>2.7181323579276003E-4</v>
          </cell>
          <cell r="R133">
            <v>0</v>
          </cell>
          <cell r="S133">
            <v>0.4301183515714066</v>
          </cell>
          <cell r="U133">
            <v>2.8450499603549284E-4</v>
          </cell>
          <cell r="W133">
            <v>2.7181323579276003E-4</v>
          </cell>
          <cell r="Y133">
            <v>-0.33306943340191802</v>
          </cell>
          <cell r="AA133">
            <v>-0.31179020924790107</v>
          </cell>
          <cell r="AC133">
            <v>1057</v>
          </cell>
          <cell r="AE133">
            <v>4.2474414908270086E-2</v>
          </cell>
          <cell r="AG133">
            <v>3015.4426115241631</v>
          </cell>
          <cell r="AH133" t="e">
            <v>#N/A</v>
          </cell>
          <cell r="AI133">
            <v>0.48593140201773805</v>
          </cell>
          <cell r="AK133">
            <v>4.069237006352002E-4</v>
          </cell>
          <cell r="AM133">
            <v>10.126527993388777</v>
          </cell>
          <cell r="AO133">
            <v>484.00347920530538</v>
          </cell>
          <cell r="AP133">
            <v>37255.463163352346</v>
          </cell>
          <cell r="AQ133" t="str">
            <v>CHS reports CAM charges and RE taxes within its rent expense.  No adjustment needed.  Store sales exclude internet ($241M(e) in '12, $186M(e) in '11).  Comparable Store Sales estimate indicated (excl. internet sales growth).</v>
          </cell>
          <cell r="AR133">
            <v>-997.88382249192</v>
          </cell>
          <cell r="AS133">
            <v>7.9673135852911026E-2</v>
          </cell>
          <cell r="AU133">
            <v>-998.21689192532187</v>
          </cell>
          <cell r="AY133">
            <v>70.591000000000008</v>
          </cell>
          <cell r="BA133">
            <v>-0.52558089198334401</v>
          </cell>
          <cell r="BB133">
            <v>0.14731244260789689</v>
          </cell>
        </row>
        <row r="134">
          <cell r="A134" t="str">
            <v>CHS2009</v>
          </cell>
          <cell r="B134" t="str">
            <v>CHS</v>
          </cell>
          <cell r="C134">
            <v>2009</v>
          </cell>
          <cell r="D134">
            <v>17</v>
          </cell>
          <cell r="E134">
            <v>17</v>
          </cell>
          <cell r="F134">
            <v>1614.8230000000001</v>
          </cell>
          <cell r="G134">
            <v>1713.1510000000001</v>
          </cell>
          <cell r="H134">
            <v>6.0999999999999999E-2</v>
          </cell>
          <cell r="J134">
            <v>7.1902009805323686E-2</v>
          </cell>
          <cell r="L134">
            <v>161.6</v>
          </cell>
          <cell r="N134">
            <v>0.10007288724522749</v>
          </cell>
          <cell r="P134">
            <v>9.4329104673201603E-2</v>
          </cell>
          <cell r="R134">
            <v>0</v>
          </cell>
          <cell r="S134">
            <v>161.6</v>
          </cell>
          <cell r="U134">
            <v>0.10007288724522749</v>
          </cell>
          <cell r="W134">
            <v>9.4329104673201603E-2</v>
          </cell>
          <cell r="Y134">
            <v>-997.88382249192</v>
          </cell>
          <cell r="AA134">
            <v>-940.57291437408844</v>
          </cell>
          <cell r="AC134">
            <v>1078</v>
          </cell>
          <cell r="AE134">
            <v>5.2421453538613605E-3</v>
          </cell>
          <cell r="AG134">
            <v>3031.25</v>
          </cell>
          <cell r="AH134" t="e">
            <v>#N/A</v>
          </cell>
          <cell r="AI134">
            <v>0</v>
          </cell>
          <cell r="AK134">
            <v>0.14990723562152133</v>
          </cell>
          <cell r="AM134">
            <v>30827.07347688586</v>
          </cell>
          <cell r="AO134">
            <v>495.46863065572603</v>
          </cell>
          <cell r="AP134">
            <v>326803.41431930999</v>
          </cell>
          <cell r="AR134">
            <v>27.079025904109962</v>
          </cell>
          <cell r="AS134">
            <v>1.9867549668874274E-2</v>
          </cell>
          <cell r="AU134">
            <v>-970.80479658781007</v>
          </cell>
          <cell r="AY134">
            <v>98.328000000000003</v>
          </cell>
          <cell r="BA134">
            <v>-0.8765811049973834</v>
          </cell>
          <cell r="BB134">
            <v>4.3420034003689434E-2</v>
          </cell>
          <cell r="BC134">
            <v>-0.92000113900107283</v>
          </cell>
        </row>
        <row r="135">
          <cell r="A135" t="str">
            <v>CHS2010</v>
          </cell>
          <cell r="B135" t="str">
            <v>CHS</v>
          </cell>
          <cell r="C135">
            <v>2010</v>
          </cell>
          <cell r="D135">
            <v>18</v>
          </cell>
          <cell r="E135">
            <v>18</v>
          </cell>
          <cell r="F135">
            <v>1767.5758960999999</v>
          </cell>
          <cell r="G135">
            <v>1904.9839999999999</v>
          </cell>
          <cell r="H135">
            <v>6.6000000000000003E-2</v>
          </cell>
          <cell r="J135">
            <v>9.3522045329514469E-2</v>
          </cell>
          <cell r="L135">
            <v>172.1</v>
          </cell>
          <cell r="N135">
            <v>9.7364984654816494E-2</v>
          </cell>
          <cell r="P135">
            <v>9.034196612674962E-2</v>
          </cell>
          <cell r="R135">
            <v>0</v>
          </cell>
          <cell r="S135">
            <v>172.1</v>
          </cell>
          <cell r="U135">
            <v>9.7364984654816494E-2</v>
          </cell>
          <cell r="W135">
            <v>9.034196612674962E-2</v>
          </cell>
          <cell r="Y135">
            <v>27.079025904109962</v>
          </cell>
          <cell r="AA135">
            <v>39.871385464519818</v>
          </cell>
          <cell r="AC135">
            <v>1115.5</v>
          </cell>
          <cell r="AE135">
            <v>-2.2399168808835412E-3</v>
          </cell>
          <cell r="AG135">
            <v>3024.4602519548216</v>
          </cell>
          <cell r="AH135" t="e">
            <v>#N/A</v>
          </cell>
          <cell r="AI135">
            <v>0</v>
          </cell>
          <cell r="AK135">
            <v>0.15428059166293143</v>
          </cell>
          <cell r="AM135">
            <v>-76833.208173383056</v>
          </cell>
          <cell r="AO135">
            <v>523.3459902667006</v>
          </cell>
          <cell r="AP135">
            <v>-850470.8439219289</v>
          </cell>
          <cell r="AR135">
            <v>37.754877760230734</v>
          </cell>
          <cell r="AS135">
            <v>3.4786641929499096E-2</v>
          </cell>
          <cell r="AY135">
            <v>137.40810390000001</v>
          </cell>
          <cell r="AZ135">
            <v>0</v>
          </cell>
          <cell r="BA135">
            <v>-1.4272901130514475</v>
          </cell>
          <cell r="BB135">
            <v>3.6287850502417118E-2</v>
          </cell>
          <cell r="BC135">
            <v>-1.4635779635538646</v>
          </cell>
        </row>
        <row r="136">
          <cell r="A136" t="str">
            <v>CHS2011</v>
          </cell>
          <cell r="B136" t="str">
            <v>CHS</v>
          </cell>
          <cell r="C136">
            <v>2011</v>
          </cell>
          <cell r="D136">
            <v>19</v>
          </cell>
          <cell r="E136">
            <v>19</v>
          </cell>
          <cell r="F136">
            <v>1971.3750597350001</v>
          </cell>
          <cell r="G136">
            <v>2196.36</v>
          </cell>
          <cell r="H136">
            <v>5.4762866757291556E-2</v>
          </cell>
          <cell r="J136">
            <v>0.10358456719299215</v>
          </cell>
          <cell r="L136">
            <v>184.5</v>
          </cell>
          <cell r="N136">
            <v>9.3589496878793421E-2</v>
          </cell>
          <cell r="P136">
            <v>8.4002622520898212E-2</v>
          </cell>
          <cell r="R136">
            <v>0</v>
          </cell>
          <cell r="S136">
            <v>184.5</v>
          </cell>
          <cell r="U136">
            <v>9.3589496878793421E-2</v>
          </cell>
          <cell r="W136">
            <v>8.4002622520898212E-2</v>
          </cell>
          <cell r="Y136">
            <v>37.754877760230734</v>
          </cell>
          <cell r="AA136">
            <v>63.393436058514077</v>
          </cell>
          <cell r="AC136">
            <v>1203.5</v>
          </cell>
          <cell r="AE136">
            <v>-4.1427290911320025E-3</v>
          </cell>
          <cell r="AG136">
            <v>3011.9307324840761</v>
          </cell>
          <cell r="AH136" t="e">
            <v>#N/A</v>
          </cell>
          <cell r="AI136">
            <v>0</v>
          </cell>
          <cell r="AK136">
            <v>0.15330286663896966</v>
          </cell>
          <cell r="AM136">
            <v>-44535.859319148789</v>
          </cell>
          <cell r="AO136">
            <v>593.84218122210302</v>
          </cell>
          <cell r="AP136">
            <v>-530172.24918268644</v>
          </cell>
          <cell r="AR136">
            <v>6.333935132962071</v>
          </cell>
          <cell r="AS136">
            <v>7.8888390856118429E-2</v>
          </cell>
          <cell r="AY136">
            <v>185.50094026500003</v>
          </cell>
          <cell r="AZ136">
            <v>39.484000000000002</v>
          </cell>
          <cell r="BA136">
            <v>0.84950125894756057</v>
          </cell>
          <cell r="BB136">
            <v>7.5387454632495521E-2</v>
          </cell>
          <cell r="BC136">
            <v>0.77411380431506505</v>
          </cell>
        </row>
        <row r="137">
          <cell r="A137" t="str">
            <v>CHS2012</v>
          </cell>
          <cell r="B137" t="str">
            <v>CHS</v>
          </cell>
          <cell r="C137">
            <v>2012</v>
          </cell>
          <cell r="D137">
            <v>20</v>
          </cell>
          <cell r="E137">
            <v>20</v>
          </cell>
          <cell r="F137">
            <v>2216.0997776554996</v>
          </cell>
          <cell r="G137">
            <v>2581.0569999999998</v>
          </cell>
          <cell r="H137">
            <v>7.1889918811679734E-2</v>
          </cell>
          <cell r="J137">
            <v>0.11212155024920044</v>
          </cell>
          <cell r="L137">
            <v>206</v>
          </cell>
          <cell r="N137">
            <v>9.2956103365497214E-2</v>
          </cell>
          <cell r="P137">
            <v>7.9812262960484798E-2</v>
          </cell>
          <cell r="R137">
            <v>0</v>
          </cell>
          <cell r="S137">
            <v>206</v>
          </cell>
          <cell r="U137">
            <v>9.2956103365497214E-2</v>
          </cell>
          <cell r="W137">
            <v>7.9812262960484798E-2</v>
          </cell>
          <cell r="Y137">
            <v>6.333935132962071</v>
          </cell>
          <cell r="AA137">
            <v>41.903595604134146</v>
          </cell>
          <cell r="AC137">
            <v>1306.5</v>
          </cell>
          <cell r="AE137">
            <v>5.1716363003673216E-4</v>
          </cell>
          <cell r="AG137">
            <v>3013.4883935151065</v>
          </cell>
          <cell r="AH137" t="e">
            <v>#N/A</v>
          </cell>
          <cell r="AI137">
            <v>0</v>
          </cell>
          <cell r="AK137">
            <v>0.15767317259854574</v>
          </cell>
          <cell r="AM137">
            <v>398326.54122519906</v>
          </cell>
          <cell r="AO137">
            <v>624.2786762617161</v>
          </cell>
          <cell r="AP137">
            <v>4990793.7258014008</v>
          </cell>
          <cell r="AR137">
            <v>-127.60770501113558</v>
          </cell>
          <cell r="AY137">
            <v>241.15122234450004</v>
          </cell>
          <cell r="AZ137">
            <v>123.806</v>
          </cell>
          <cell r="BA137">
            <v>-1.1248364589284348</v>
          </cell>
          <cell r="BB137">
            <v>8.3719491178496641E-2</v>
          </cell>
          <cell r="BC137">
            <v>-1.2085559501069314</v>
          </cell>
        </row>
        <row r="138">
          <cell r="A138" t="str">
            <v>CHS2013</v>
          </cell>
          <cell r="B138" t="str">
            <v>CHS</v>
          </cell>
          <cell r="C138" t="str">
            <v>2013e</v>
          </cell>
          <cell r="D138">
            <v>21</v>
          </cell>
          <cell r="E138">
            <v>21</v>
          </cell>
          <cell r="F138">
            <v>2175.6224109521495</v>
          </cell>
          <cell r="G138">
            <v>2586.0369999999998</v>
          </cell>
          <cell r="H138">
            <v>2.4045743690091128E-2</v>
          </cell>
          <cell r="J138">
            <v>0.11227175359758408</v>
          </cell>
          <cell r="L138">
            <v>230</v>
          </cell>
          <cell r="N138">
            <v>0.10571687386661077</v>
          </cell>
          <cell r="P138">
            <v>8.8939176044271609E-2</v>
          </cell>
          <cell r="R138">
            <v>0</v>
          </cell>
          <cell r="S138">
            <v>230</v>
          </cell>
          <cell r="U138">
            <v>0.10571687386661077</v>
          </cell>
          <cell r="W138">
            <v>8.8939176044271609E-2</v>
          </cell>
          <cell r="Y138">
            <v>-127.60770501113558</v>
          </cell>
          <cell r="AA138">
            <v>-91.269130837868119</v>
          </cell>
          <cell r="AC138">
            <v>1414.5</v>
          </cell>
          <cell r="AE138">
            <v>-2.6855614305135056E-2</v>
          </cell>
          <cell r="AG138">
            <v>2932.5593115058637</v>
          </cell>
          <cell r="AH138" t="e">
            <v>#N/A</v>
          </cell>
          <cell r="AI138">
            <v>0</v>
          </cell>
          <cell r="AK138">
            <v>0.16260162601626016</v>
          </cell>
          <cell r="AM138">
            <v>-8564.317218244445</v>
          </cell>
          <cell r="AO138">
            <v>606.00806495073687</v>
          </cell>
          <cell r="AP138">
            <v>-96294.092200509607</v>
          </cell>
          <cell r="AY138">
            <v>313.49658904785008</v>
          </cell>
          <cell r="AZ138">
            <v>96.918000000000006</v>
          </cell>
          <cell r="BA138">
            <v>-52.928659993409831</v>
          </cell>
          <cell r="BB138">
            <v>8.263035321208223E-2</v>
          </cell>
          <cell r="BC138">
            <v>-53.011290346621912</v>
          </cell>
        </row>
        <row r="139">
          <cell r="C139" t="str">
            <v>2005 = Trough rent</v>
          </cell>
          <cell r="F139">
            <v>1368.4259999999999</v>
          </cell>
          <cell r="G139">
            <v>1404.575</v>
          </cell>
          <cell r="H139">
            <v>0.14300000000000002</v>
          </cell>
          <cell r="J139">
            <v>0.21238737696456225</v>
          </cell>
          <cell r="L139">
            <v>0.30089457665130021</v>
          </cell>
          <cell r="N139">
            <v>2.1988370335794571E-4</v>
          </cell>
          <cell r="P139">
            <v>2.1422464208127029E-4</v>
          </cell>
          <cell r="S139">
            <v>0.30089457665130021</v>
          </cell>
          <cell r="U139">
            <v>2.1988370335794571E-4</v>
          </cell>
          <cell r="W139">
            <v>2.1422464208127029E-4</v>
          </cell>
          <cell r="Z139">
            <v>0</v>
          </cell>
          <cell r="AB139">
            <v>0</v>
          </cell>
          <cell r="AC139">
            <v>710</v>
          </cell>
          <cell r="AE139">
            <v>4.5640839947831857E-2</v>
          </cell>
          <cell r="AG139">
            <v>2441.0222804718219</v>
          </cell>
          <cell r="AH139" t="e">
            <v>#N/A</v>
          </cell>
          <cell r="AI139" t="e">
            <v>#N/A</v>
          </cell>
          <cell r="AK139">
            <v>4.2379517838211299E-4</v>
          </cell>
          <cell r="AM139">
            <v>6.5926608054371281</v>
          </cell>
          <cell r="AO139">
            <v>805.84527051895486</v>
          </cell>
          <cell r="AP139">
            <v>30774.52127536324</v>
          </cell>
          <cell r="AR139">
            <v>-0.14048536715923857</v>
          </cell>
          <cell r="AS139">
            <v>42204</v>
          </cell>
          <cell r="AT139">
            <v>30818</v>
          </cell>
          <cell r="AU139">
            <v>21185</v>
          </cell>
          <cell r="AV139" t="str">
            <v>total rent expense</v>
          </cell>
        </row>
        <row r="142">
          <cell r="AS142" t="str">
            <v>occupancy's role in determining potential operating margin</v>
          </cell>
        </row>
        <row r="143">
          <cell r="L143" t="str">
            <v>Rent Expense</v>
          </cell>
          <cell r="Y143" t="str">
            <v>Rent</v>
          </cell>
          <cell r="AA143" t="str">
            <v>Rent</v>
          </cell>
          <cell r="AC143" t="str">
            <v>Average</v>
          </cell>
          <cell r="AL143" t="str">
            <v>Adjusted Rent</v>
          </cell>
          <cell r="AO143" t="str">
            <v>Sales</v>
          </cell>
          <cell r="AP143" t="str">
            <v>Total Sales</v>
          </cell>
          <cell r="AQ143" t="str">
            <v>Key CAM adj.</v>
          </cell>
          <cell r="AR143" t="str">
            <v>Bps</v>
          </cell>
        </row>
        <row r="144">
          <cell r="F144" t="str">
            <v>Store Sales</v>
          </cell>
          <cell r="G144" t="str">
            <v>Total Sales</v>
          </cell>
          <cell r="H144" t="str">
            <v>Comp.</v>
          </cell>
          <cell r="J144" t="str">
            <v>Operating</v>
          </cell>
          <cell r="L144" t="str">
            <v>per 10-K</v>
          </cell>
          <cell r="U144" t="str">
            <v>% Store</v>
          </cell>
          <cell r="W144" t="str">
            <v>% Total</v>
          </cell>
          <cell r="Y144" t="str">
            <v>Levg. or</v>
          </cell>
          <cell r="AA144" t="str">
            <v>Levg. or</v>
          </cell>
          <cell r="AC144" t="str">
            <v>Store</v>
          </cell>
          <cell r="AE144" t="str">
            <v>Sq. Ft.</v>
          </cell>
          <cell r="AG144" t="str">
            <v>Sq. Ft. /</v>
          </cell>
          <cell r="AH144" t="str">
            <v>New Sq. Ft.</v>
          </cell>
          <cell r="AI144" t="str">
            <v>Adj. New SF</v>
          </cell>
          <cell r="AK144" t="str">
            <v>per Avg</v>
          </cell>
          <cell r="AM144" t="str">
            <v>per Avg</v>
          </cell>
          <cell r="AO144" t="str">
            <v>per Avg</v>
          </cell>
          <cell r="AP144" t="str">
            <v>per Avg</v>
          </cell>
          <cell r="AQ144" t="str">
            <v>Assumptions &amp;</v>
          </cell>
          <cell r="AR144" t="str">
            <v>Lvg</v>
          </cell>
        </row>
        <row r="145">
          <cell r="F145" t="str">
            <v>($ MM)</v>
          </cell>
          <cell r="G145" t="str">
            <v>($ MM)</v>
          </cell>
          <cell r="H145" t="str">
            <v>Sales %</v>
          </cell>
          <cell r="J145" t="str">
            <v>Margin</v>
          </cell>
          <cell r="L145" t="str">
            <v>$ MM</v>
          </cell>
          <cell r="N145" t="str">
            <v>% Sales</v>
          </cell>
          <cell r="P145" t="str">
            <v>% Sales</v>
          </cell>
          <cell r="R145" t="str">
            <v>Adj.</v>
          </cell>
          <cell r="S145" t="str">
            <v>$ MM</v>
          </cell>
          <cell r="U145" t="str">
            <v>Sales</v>
          </cell>
          <cell r="W145" t="str">
            <v>Sales</v>
          </cell>
          <cell r="Y145" t="str">
            <v>(Delevg)</v>
          </cell>
          <cell r="AA145" t="str">
            <v>(De-levg)</v>
          </cell>
          <cell r="AC145" t="str">
            <v>Count</v>
          </cell>
          <cell r="AE145" t="str">
            <v>(MM)</v>
          </cell>
          <cell r="AG145" t="str">
            <v>Store</v>
          </cell>
          <cell r="AH145" t="str">
            <v>Productivity</v>
          </cell>
          <cell r="AI145" t="str">
            <v>Productivity</v>
          </cell>
          <cell r="AK145" t="str">
            <v>Store</v>
          </cell>
          <cell r="AM145" t="str">
            <v>Sq. Ft.</v>
          </cell>
          <cell r="AO145" t="str">
            <v>Sq. Ft.</v>
          </cell>
          <cell r="AP145" t="str">
            <v>Sq. Ft.</v>
          </cell>
          <cell r="AQ145" t="str">
            <v>Other</v>
          </cell>
          <cell r="AR145" t="str">
            <v>(De-Lvg)</v>
          </cell>
          <cell r="AS145" t="str">
            <v>Notes on Rent:</v>
          </cell>
        </row>
        <row r="147">
          <cell r="A147" t="str">
            <v>EXPR2008</v>
          </cell>
          <cell r="B147" t="str">
            <v>EXPR</v>
          </cell>
          <cell r="C147">
            <v>2008</v>
          </cell>
          <cell r="D147">
            <v>5</v>
          </cell>
          <cell r="E147">
            <v>6</v>
          </cell>
          <cell r="F147">
            <v>1704.376</v>
          </cell>
          <cell r="G147">
            <v>1737.01</v>
          </cell>
          <cell r="H147">
            <v>-0.03</v>
          </cell>
          <cell r="J147">
            <v>2.2532973327729464E-3</v>
          </cell>
          <cell r="L147">
            <v>149.24799999999999</v>
          </cell>
          <cell r="N147">
            <v>8.7567532046919222E-2</v>
          </cell>
          <cell r="P147">
            <v>8.5922360838452283E-2</v>
          </cell>
          <cell r="R147">
            <v>0.5</v>
          </cell>
          <cell r="S147">
            <v>223.87199999999999</v>
          </cell>
          <cell r="U147">
            <v>0.13135129807037882</v>
          </cell>
          <cell r="W147">
            <v>0.12888354125767842</v>
          </cell>
          <cell r="AC147">
            <v>584</v>
          </cell>
          <cell r="AE147">
            <v>5.0869999999999997</v>
          </cell>
          <cell r="AG147">
            <v>8660.9294320137706</v>
          </cell>
          <cell r="AH147" t="e">
            <v>#N/A</v>
          </cell>
          <cell r="AI147">
            <v>0</v>
          </cell>
          <cell r="AK147">
            <v>0.38334246575342462</v>
          </cell>
          <cell r="AM147">
            <v>44.008649498722235</v>
          </cell>
          <cell r="AO147">
            <v>335.04540986829176</v>
          </cell>
          <cell r="AP147">
            <v>341.46058580695893</v>
          </cell>
          <cell r="AQ147" t="str">
            <v>Store sales exclude Internet and Other ($295M in '12, $227M in '11).  We estimate leverage at 2-3% comp.  Comparable Store Sales estimate indicated (excludes internet sales growth).</v>
          </cell>
          <cell r="AR147">
            <v>-88.671300046062328</v>
          </cell>
          <cell r="AU147">
            <v>-88.671300046062328</v>
          </cell>
          <cell r="AY147">
            <v>27.795000000000002</v>
          </cell>
          <cell r="AZ147">
            <v>4.8390000000000004</v>
          </cell>
          <cell r="BB147">
            <v>-6.8229691363678069E-2</v>
          </cell>
        </row>
        <row r="148">
          <cell r="A148" t="str">
            <v>EXPR2009</v>
          </cell>
          <cell r="B148" t="str">
            <v>EXPR</v>
          </cell>
          <cell r="C148">
            <v>2009</v>
          </cell>
          <cell r="D148">
            <v>6</v>
          </cell>
          <cell r="E148">
            <v>7</v>
          </cell>
          <cell r="F148">
            <v>1616.6420000000003</v>
          </cell>
          <cell r="G148">
            <v>1721.0660000000003</v>
          </cell>
          <cell r="H148">
            <v>-0.06</v>
          </cell>
          <cell r="J148">
            <v>7.3696767003706018E-2</v>
          </cell>
          <cell r="L148">
            <v>151.12200000000001</v>
          </cell>
          <cell r="N148">
            <v>9.347895204999003E-2</v>
          </cell>
          <cell r="P148">
            <v>8.7807207858385444E-2</v>
          </cell>
          <cell r="R148">
            <v>0.5</v>
          </cell>
          <cell r="S148">
            <v>226.68300000000002</v>
          </cell>
          <cell r="U148">
            <v>0.14021842807498505</v>
          </cell>
          <cell r="W148">
            <v>0.13171081178757815</v>
          </cell>
          <cell r="Y148">
            <v>-88.671300046062328</v>
          </cell>
          <cell r="AA148">
            <v>-28.27270529899728</v>
          </cell>
          <cell r="AC148">
            <v>577</v>
          </cell>
          <cell r="AE148">
            <v>5.0132534999999994</v>
          </cell>
          <cell r="AG148">
            <v>8716.4171029668414</v>
          </cell>
          <cell r="AH148" t="e">
            <v>#N/A</v>
          </cell>
          <cell r="AI148">
            <v>0</v>
          </cell>
          <cell r="AK148">
            <v>0.39286481802426348</v>
          </cell>
          <cell r="AM148">
            <v>45.216743976740865</v>
          </cell>
          <cell r="AO148">
            <v>322.4736191776459</v>
          </cell>
          <cell r="AP148">
            <v>343.30320619134869</v>
          </cell>
          <cell r="AR148">
            <v>-43.415306569644926</v>
          </cell>
          <cell r="AS148">
            <v>-1.1986301369863006E-2</v>
          </cell>
          <cell r="AU148">
            <v>-132.08660661570724</v>
          </cell>
          <cell r="AY148">
            <v>92.224000000000004</v>
          </cell>
          <cell r="AZ148">
            <v>12.2</v>
          </cell>
          <cell r="BA148">
            <v>-1.4497051307253872E-2</v>
          </cell>
          <cell r="BB148">
            <v>-1.4497051307253872E-2</v>
          </cell>
          <cell r="BC148">
            <v>0</v>
          </cell>
        </row>
        <row r="149">
          <cell r="A149" t="str">
            <v>EXPR2010</v>
          </cell>
          <cell r="B149" t="str">
            <v>EXPR</v>
          </cell>
          <cell r="C149">
            <v>2010</v>
          </cell>
          <cell r="D149">
            <v>7</v>
          </cell>
          <cell r="E149">
            <v>8</v>
          </cell>
          <cell r="F149">
            <v>1740.8140000000001</v>
          </cell>
          <cell r="G149">
            <v>1905.8140000000001</v>
          </cell>
          <cell r="H149">
            <v>7.0000000000000007E-2</v>
          </cell>
          <cell r="J149">
            <v>0.11318733097773451</v>
          </cell>
          <cell r="L149">
            <v>163.65200000000002</v>
          </cell>
          <cell r="N149">
            <v>9.4008894689495845E-2</v>
          </cell>
          <cell r="P149">
            <v>8.5869869777428443E-2</v>
          </cell>
          <cell r="R149">
            <v>0.5377263950333635</v>
          </cell>
          <cell r="S149">
            <v>251.65200000000002</v>
          </cell>
          <cell r="U149">
            <v>0.14455995873194954</v>
          </cell>
          <cell r="W149">
            <v>0.13204436529482941</v>
          </cell>
          <cell r="Y149">
            <v>-43.415306569644926</v>
          </cell>
          <cell r="AA149">
            <v>-3.3355350725125521</v>
          </cell>
          <cell r="AC149">
            <v>582</v>
          </cell>
          <cell r="AE149">
            <v>5.0612534999999994</v>
          </cell>
          <cell r="AG149">
            <v>8676.8189509306267</v>
          </cell>
          <cell r="AH149" t="e">
            <v>#N/A</v>
          </cell>
          <cell r="AI149">
            <v>0</v>
          </cell>
          <cell r="AK149">
            <v>0.4323917525773196</v>
          </cell>
          <cell r="AM149">
            <v>49.721279520972431</v>
          </cell>
          <cell r="AO149">
            <v>343.94918175902478</v>
          </cell>
          <cell r="AP149">
            <v>376.54980134861853</v>
          </cell>
          <cell r="AR149">
            <v>12.849196407395958</v>
          </cell>
          <cell r="AS149">
            <v>8.6655112651645716E-3</v>
          </cell>
          <cell r="AY149">
            <v>147.5</v>
          </cell>
          <cell r="AZ149">
            <v>17.5</v>
          </cell>
          <cell r="BA149">
            <v>9.5746205532993844E-3</v>
          </cell>
          <cell r="BB149">
            <v>9.5746205532993844E-3</v>
          </cell>
          <cell r="BC149">
            <v>0</v>
          </cell>
        </row>
        <row r="150">
          <cell r="A150" t="str">
            <v>EXPR2011</v>
          </cell>
          <cell r="B150" t="str">
            <v>EXPR</v>
          </cell>
          <cell r="C150">
            <v>2011</v>
          </cell>
          <cell r="D150">
            <v>8</v>
          </cell>
          <cell r="E150">
            <v>9</v>
          </cell>
          <cell r="F150">
            <v>1846.3230000000001</v>
          </cell>
          <cell r="G150">
            <v>2073.355</v>
          </cell>
          <cell r="H150">
            <v>3.4999999999999996E-2</v>
          </cell>
          <cell r="J150">
            <v>0.13116760033858166</v>
          </cell>
          <cell r="L150">
            <v>171.43200000000002</v>
          </cell>
          <cell r="N150">
            <v>9.2850492573617951E-2</v>
          </cell>
          <cell r="P150">
            <v>8.2683380318372884E-2</v>
          </cell>
          <cell r="R150">
            <v>0.54307247188389574</v>
          </cell>
          <cell r="S150">
            <v>264.53200000000004</v>
          </cell>
          <cell r="U150">
            <v>0.14327503909120995</v>
          </cell>
          <cell r="W150">
            <v>0.12758644805158789</v>
          </cell>
          <cell r="Y150">
            <v>12.849196407395958</v>
          </cell>
          <cell r="AA150">
            <v>44.579172432415163</v>
          </cell>
          <cell r="AC150">
            <v>600</v>
          </cell>
          <cell r="AE150">
            <v>5.1974999999999998</v>
          </cell>
          <cell r="AG150">
            <v>8648.6042692939245</v>
          </cell>
          <cell r="AH150" t="e">
            <v>#N/A</v>
          </cell>
          <cell r="AI150">
            <v>0</v>
          </cell>
          <cell r="AK150">
            <v>0.4408866666666667</v>
          </cell>
          <cell r="AM150">
            <v>50.896007696007707</v>
          </cell>
          <cell r="AO150">
            <v>355.23290043290046</v>
          </cell>
          <cell r="AP150">
            <v>398.91390091390093</v>
          </cell>
          <cell r="AR150">
            <v>-118.22919894172695</v>
          </cell>
          <cell r="AS150">
            <v>3.0927835051546282E-2</v>
          </cell>
          <cell r="AY150">
            <v>205.489</v>
          </cell>
          <cell r="AZ150">
            <v>21.542999999999999</v>
          </cell>
          <cell r="BA150">
            <v>2.6919517072203636E-2</v>
          </cell>
          <cell r="BB150">
            <v>2.6919517072203636E-2</v>
          </cell>
          <cell r="BC150">
            <v>0</v>
          </cell>
        </row>
        <row r="151">
          <cell r="A151" t="str">
            <v>EXPR2012</v>
          </cell>
          <cell r="B151" t="str">
            <v>EXPR</v>
          </cell>
          <cell r="C151">
            <v>2012</v>
          </cell>
          <cell r="D151">
            <v>9</v>
          </cell>
          <cell r="E151">
            <v>10</v>
          </cell>
          <cell r="F151">
            <v>1853.38996</v>
          </cell>
          <cell r="G151">
            <v>2148.069</v>
          </cell>
          <cell r="H151">
            <v>-3.5691284786031452E-2</v>
          </cell>
          <cell r="J151">
            <v>0.11711122873613471</v>
          </cell>
          <cell r="L151">
            <v>188.75700000000001</v>
          </cell>
          <cell r="N151">
            <v>0.10184419041527559</v>
          </cell>
          <cell r="P151">
            <v>8.7872875591985172E-2</v>
          </cell>
          <cell r="R151">
            <v>0.52289451517029817</v>
          </cell>
          <cell r="S151">
            <v>287.45699999999999</v>
          </cell>
          <cell r="U151">
            <v>0.15509795898538264</v>
          </cell>
          <cell r="W151">
            <v>0.13382112027127621</v>
          </cell>
          <cell r="Y151">
            <v>-118.22919894172695</v>
          </cell>
          <cell r="AA151">
            <v>-62.346722196883199</v>
          </cell>
          <cell r="AC151">
            <v>617</v>
          </cell>
          <cell r="AE151">
            <v>5.3366000000000007</v>
          </cell>
          <cell r="AG151">
            <v>8649.92</v>
          </cell>
          <cell r="AH151" t="e">
            <v>#N/A</v>
          </cell>
          <cell r="AI151">
            <v>0</v>
          </cell>
          <cell r="AK151">
            <v>0.46589465153970827</v>
          </cell>
          <cell r="AM151">
            <v>53.865195068020832</v>
          </cell>
          <cell r="AO151">
            <v>347.29789753775805</v>
          </cell>
          <cell r="AP151">
            <v>402.51639620732294</v>
          </cell>
          <cell r="AR151">
            <v>-217.36752031957073</v>
          </cell>
          <cell r="AS151">
            <v>2.8333333333333321E-2</v>
          </cell>
          <cell r="AY151">
            <v>271.38663999999994</v>
          </cell>
          <cell r="AZ151">
            <v>23.292400000000001</v>
          </cell>
          <cell r="BA151">
            <v>2.6762866762866988E-2</v>
          </cell>
        </row>
        <row r="152">
          <cell r="A152" t="str">
            <v>EXPR2013</v>
          </cell>
          <cell r="B152" t="str">
            <v>EXPR</v>
          </cell>
          <cell r="C152" t="str">
            <v>2013e</v>
          </cell>
          <cell r="D152">
            <v>10</v>
          </cell>
          <cell r="E152">
            <v>11</v>
          </cell>
          <cell r="F152">
            <v>1809.6134646735793</v>
          </cell>
          <cell r="G152">
            <v>2186.5955326735793</v>
          </cell>
          <cell r="H152">
            <v>-2.4816328423849843E-2</v>
          </cell>
          <cell r="J152">
            <v>0.10555055677883954</v>
          </cell>
          <cell r="L152">
            <v>210.81996863447199</v>
          </cell>
          <cell r="N152">
            <v>0.11650000000000001</v>
          </cell>
          <cell r="P152">
            <v>9.641470746841764E-2</v>
          </cell>
          <cell r="R152">
            <v>0.51789451517029816</v>
          </cell>
          <cell r="S152">
            <v>320.0024740786393</v>
          </cell>
          <cell r="U152">
            <v>0.17683471101733972</v>
          </cell>
          <cell r="W152">
            <v>0.1463473556480599</v>
          </cell>
          <cell r="Y152">
            <v>-217.36752031957073</v>
          </cell>
          <cell r="AA152">
            <v>-125.26235376783684</v>
          </cell>
          <cell r="AC152">
            <v>628.5</v>
          </cell>
          <cell r="AE152">
            <v>5.4376999999999995</v>
          </cell>
          <cell r="AG152">
            <v>8653.7974683544289</v>
          </cell>
          <cell r="AH152" t="e">
            <v>#N/A</v>
          </cell>
          <cell r="AI152">
            <v>2.1105301925004265</v>
          </cell>
          <cell r="AK152">
            <v>0.50915270338685648</v>
          </cell>
          <cell r="AM152">
            <v>58.848865159651936</v>
          </cell>
          <cell r="AO152">
            <v>332.79023570141408</v>
          </cell>
          <cell r="AP152">
            <v>402.11772121918818</v>
          </cell>
          <cell r="AY152">
            <v>353.68966799999998</v>
          </cell>
          <cell r="AZ152">
            <v>23.292400000000001</v>
          </cell>
          <cell r="BA152">
            <v>1.8944646404077226E-2</v>
          </cell>
        </row>
        <row r="153">
          <cell r="C153" t="str">
            <v>2008 = Trough rent</v>
          </cell>
          <cell r="F153">
            <v>1846.3230000000001</v>
          </cell>
          <cell r="G153">
            <v>2073.355</v>
          </cell>
          <cell r="H153">
            <v>3.4999999999999996E-2</v>
          </cell>
          <cell r="J153">
            <v>0.13116760033858166</v>
          </cell>
          <cell r="L153">
            <v>171.43200000000002</v>
          </cell>
          <cell r="N153">
            <v>9.2850492573617951E-2</v>
          </cell>
          <cell r="P153">
            <v>8.2683380318372884E-2</v>
          </cell>
          <cell r="S153">
            <v>264.53200000000004</v>
          </cell>
          <cell r="U153">
            <v>0.14327503909120995</v>
          </cell>
          <cell r="W153">
            <v>0.12758644805158789</v>
          </cell>
          <cell r="Z153">
            <v>0</v>
          </cell>
          <cell r="AB153">
            <v>0</v>
          </cell>
          <cell r="AC153">
            <v>600</v>
          </cell>
          <cell r="AE153">
            <v>5.1974999999999998</v>
          </cell>
          <cell r="AG153">
            <v>8648.6042692939245</v>
          </cell>
          <cell r="AH153" t="e">
            <v>#N/A</v>
          </cell>
          <cell r="AI153" t="e">
            <v>#N/A</v>
          </cell>
          <cell r="AK153">
            <v>0.4408866666666667</v>
          </cell>
          <cell r="AM153">
            <v>50.896007696007707</v>
          </cell>
          <cell r="AO153">
            <v>355.23290043290046</v>
          </cell>
          <cell r="AP153">
            <v>398.91390091390093</v>
          </cell>
          <cell r="AR153">
            <v>-5.747083333487564E-2</v>
          </cell>
          <cell r="AS153">
            <v>42204</v>
          </cell>
          <cell r="AT153">
            <v>30818</v>
          </cell>
          <cell r="AU153">
            <v>21185</v>
          </cell>
          <cell r="AV153" t="str">
            <v>total rent expense</v>
          </cell>
        </row>
        <row r="155">
          <cell r="A155" t="str">
            <v>GES2008</v>
          </cell>
          <cell r="B155" t="str">
            <v>GES</v>
          </cell>
          <cell r="C155" t="str">
            <v>2008 (Retail est.)</v>
          </cell>
          <cell r="D155">
            <v>1</v>
          </cell>
          <cell r="E155">
            <v>1</v>
          </cell>
          <cell r="F155">
            <v>1059.172</v>
          </cell>
          <cell r="H155">
            <v>0.01</v>
          </cell>
          <cell r="J155">
            <v>0.16769880433172976</v>
          </cell>
          <cell r="L155">
            <v>79.7</v>
          </cell>
          <cell r="N155">
            <v>7.5247457447893254E-2</v>
          </cell>
          <cell r="P155" t="e">
            <v>#DIV/0!</v>
          </cell>
          <cell r="R155">
            <v>0.46</v>
          </cell>
          <cell r="S155">
            <v>116.36199999999999</v>
          </cell>
          <cell r="U155">
            <v>0.10986128787392416</v>
          </cell>
          <cell r="AC155">
            <v>486</v>
          </cell>
          <cell r="AE155">
            <v>1.9570000000000001</v>
          </cell>
          <cell r="AG155">
            <v>4026.7489711934159</v>
          </cell>
          <cell r="AH155" t="str">
            <v>New Space Productivity</v>
          </cell>
          <cell r="AI155">
            <v>0.43492320044160998</v>
          </cell>
          <cell r="AK155">
            <v>0.23942798353909464</v>
          </cell>
          <cell r="AM155">
            <v>59.459376596831881</v>
          </cell>
          <cell r="AO155">
            <v>541.222278998467</v>
          </cell>
          <cell r="AQ155" t="str">
            <v>We estimated the Retail segments in North America, Europe and Asia for this analysis</v>
          </cell>
          <cell r="AR155">
            <v>-102.48126410714487</v>
          </cell>
          <cell r="AY155">
            <v>77</v>
          </cell>
          <cell r="BB155" t="str">
            <v xml:space="preserve">   % Chg. from LY (Avg. Sq. Ft.)</v>
          </cell>
        </row>
        <row r="156">
          <cell r="A156" t="str">
            <v>GES2009</v>
          </cell>
          <cell r="B156" t="str">
            <v>GES</v>
          </cell>
          <cell r="C156" t="str">
            <v>2009 (Retail est.)</v>
          </cell>
          <cell r="D156">
            <v>2</v>
          </cell>
          <cell r="E156">
            <v>2</v>
          </cell>
          <cell r="F156">
            <v>1097.0414000000001</v>
          </cell>
          <cell r="H156">
            <v>-4.4999999999999998E-2</v>
          </cell>
          <cell r="J156">
            <v>0.17060220835099074</v>
          </cell>
          <cell r="L156">
            <v>90.25</v>
          </cell>
          <cell r="N156">
            <v>8.22667221127662E-2</v>
          </cell>
          <cell r="P156" t="e">
            <v>#DIV/0!</v>
          </cell>
          <cell r="R156">
            <v>0.46</v>
          </cell>
          <cell r="S156">
            <v>131.76499999999999</v>
          </cell>
          <cell r="U156">
            <v>0.12010941428463864</v>
          </cell>
          <cell r="Y156">
            <v>-102.48126410714487</v>
          </cell>
          <cell r="AA156">
            <v>0</v>
          </cell>
          <cell r="AC156">
            <v>544</v>
          </cell>
          <cell r="AE156" t="e">
            <v>#REF!</v>
          </cell>
          <cell r="AG156" t="e">
            <v>#REF!</v>
          </cell>
          <cell r="AH156">
            <v>0</v>
          </cell>
          <cell r="AI156">
            <v>0.78798285070589347</v>
          </cell>
          <cell r="AK156">
            <v>0.24221507352941174</v>
          </cell>
          <cell r="AM156" t="e">
            <v>#REF!</v>
          </cell>
          <cell r="AO156" t="e">
            <v>#REF!</v>
          </cell>
          <cell r="AR156">
            <v>-62.844299757922329</v>
          </cell>
          <cell r="AS156">
            <v>0.11934156378600824</v>
          </cell>
          <cell r="AY156">
            <v>187</v>
          </cell>
          <cell r="BA156" t="e">
            <v>#REF!</v>
          </cell>
          <cell r="BB156">
            <v>0</v>
          </cell>
          <cell r="BC156" t="e">
            <v>#REF!</v>
          </cell>
        </row>
        <row r="157">
          <cell r="A157" t="str">
            <v>GES2010</v>
          </cell>
          <cell r="B157" t="str">
            <v>GES</v>
          </cell>
          <cell r="C157" t="str">
            <v>2010 (Retail est.)</v>
          </cell>
          <cell r="D157">
            <v>3</v>
          </cell>
          <cell r="E157">
            <v>3</v>
          </cell>
          <cell r="F157">
            <v>1257.9251856000001</v>
          </cell>
          <cell r="H157">
            <v>2.9362094153340568E-2</v>
          </cell>
          <cell r="J157">
            <v>0.16501949508180375</v>
          </cell>
          <cell r="L157">
            <v>108.9</v>
          </cell>
          <cell r="N157">
            <v>8.6571126205774576E-2</v>
          </cell>
          <cell r="P157" t="e">
            <v>#DIV/0!</v>
          </cell>
          <cell r="R157">
            <v>0.46</v>
          </cell>
          <cell r="S157">
            <v>158.994</v>
          </cell>
          <cell r="U157">
            <v>0.12639384426043088</v>
          </cell>
          <cell r="Y157">
            <v>-62.844299757922329</v>
          </cell>
          <cell r="AA157">
            <v>0</v>
          </cell>
          <cell r="AC157">
            <v>649</v>
          </cell>
          <cell r="AE157">
            <v>2.3588819485573187</v>
          </cell>
          <cell r="AG157">
            <v>3634.6409068679795</v>
          </cell>
          <cell r="AH157">
            <v>0.96214405267680603</v>
          </cell>
          <cell r="AI157">
            <v>0</v>
          </cell>
          <cell r="AK157">
            <v>0.24498305084745764</v>
          </cell>
          <cell r="AM157">
            <v>67.402270850069456</v>
          </cell>
          <cell r="AO157">
            <v>533.27178427447006</v>
          </cell>
          <cell r="AR157">
            <v>20.175879807164677</v>
          </cell>
          <cell r="AS157">
            <v>0.19301470588235303</v>
          </cell>
          <cell r="AY157">
            <v>246</v>
          </cell>
          <cell r="BA157" t="e">
            <v>#REF!</v>
          </cell>
          <cell r="BB157">
            <v>0.1793647733844359</v>
          </cell>
        </row>
        <row r="158">
          <cell r="A158" t="str">
            <v>GES2011</v>
          </cell>
          <cell r="B158" t="str">
            <v>GES</v>
          </cell>
          <cell r="C158" t="str">
            <v>2011e (Retail est.)</v>
          </cell>
          <cell r="D158">
            <v>4</v>
          </cell>
          <cell r="E158">
            <v>4</v>
          </cell>
          <cell r="F158">
            <v>1387.4478457788143</v>
          </cell>
          <cell r="H158">
            <v>5.2110137308240311E-3</v>
          </cell>
          <cell r="J158">
            <v>0.17670686903107405</v>
          </cell>
          <cell r="L158">
            <v>118.19559509679691</v>
          </cell>
          <cell r="N158">
            <v>8.5189216629941375E-2</v>
          </cell>
          <cell r="P158" t="e">
            <v>#DIV/0!</v>
          </cell>
          <cell r="R158">
            <v>0.46</v>
          </cell>
          <cell r="S158">
            <v>172.56556884132348</v>
          </cell>
          <cell r="U158">
            <v>0.12437625627971441</v>
          </cell>
          <cell r="Y158">
            <v>20.175879807164677</v>
          </cell>
          <cell r="AA158">
            <v>0</v>
          </cell>
          <cell r="AC158">
            <v>734</v>
          </cell>
          <cell r="AE158">
            <v>2.6352000982941619</v>
          </cell>
          <cell r="AG158">
            <v>3590.1908696105747</v>
          </cell>
          <cell r="AH158">
            <v>0.74590303296455585</v>
          </cell>
          <cell r="AI158">
            <v>0</v>
          </cell>
          <cell r="AK158">
            <v>0.2351029548246914</v>
          </cell>
          <cell r="AM158">
            <v>65.484806619819864</v>
          </cell>
          <cell r="AO158">
            <v>526.50568990072054</v>
          </cell>
          <cell r="AS158">
            <v>0.13097072419106315</v>
          </cell>
          <cell r="AY158">
            <v>301</v>
          </cell>
          <cell r="BA158">
            <v>0.1171394566420918</v>
          </cell>
        </row>
        <row r="159">
          <cell r="C159" t="str">
            <v>2008 = Trough rent</v>
          </cell>
          <cell r="F159">
            <v>1059.172</v>
          </cell>
          <cell r="H159">
            <v>0.01</v>
          </cell>
          <cell r="I159">
            <v>0</v>
          </cell>
          <cell r="J159">
            <v>0.16769880433172976</v>
          </cell>
          <cell r="K159">
            <v>0</v>
          </cell>
          <cell r="L159">
            <v>79.7</v>
          </cell>
          <cell r="M159">
            <v>0</v>
          </cell>
          <cell r="N159">
            <v>7.5247457447893254E-2</v>
          </cell>
          <cell r="O159">
            <v>0</v>
          </cell>
          <cell r="P159" t="e">
            <v>#DIV/0!</v>
          </cell>
          <cell r="Q159">
            <v>0</v>
          </cell>
          <cell r="S159">
            <v>116.36199999999999</v>
          </cell>
          <cell r="U159">
            <v>0.10986128787392416</v>
          </cell>
          <cell r="Z159">
            <v>0</v>
          </cell>
          <cell r="AB159">
            <v>0</v>
          </cell>
          <cell r="AC159">
            <v>486</v>
          </cell>
          <cell r="AD159">
            <v>0</v>
          </cell>
          <cell r="AE159">
            <v>1.9570000000000001</v>
          </cell>
          <cell r="AF159">
            <v>0</v>
          </cell>
          <cell r="AG159">
            <v>4026.7489711934159</v>
          </cell>
          <cell r="AH159" t="e">
            <v>#N/A</v>
          </cell>
          <cell r="AI159" t="e">
            <v>#N/A</v>
          </cell>
          <cell r="AJ159">
            <v>0</v>
          </cell>
          <cell r="AK159">
            <v>0.23942798353909464</v>
          </cell>
          <cell r="AL159">
            <v>0</v>
          </cell>
          <cell r="AM159">
            <v>59.459376596831881</v>
          </cell>
          <cell r="AN159">
            <v>0</v>
          </cell>
          <cell r="AO159">
            <v>541.222278998467</v>
          </cell>
          <cell r="AR159">
            <v>2.90340401926098E-3</v>
          </cell>
          <cell r="AT159" t="str">
            <v>Adjusted Rent Expense Increase Assumption</v>
          </cell>
        </row>
        <row r="161">
          <cell r="C161">
            <v>1999</v>
          </cell>
          <cell r="D161">
            <v>3</v>
          </cell>
          <cell r="E161">
            <v>2</v>
          </cell>
          <cell r="F161">
            <v>469.63400000000001</v>
          </cell>
          <cell r="H161" t="e">
            <v>#REF!</v>
          </cell>
          <cell r="J161">
            <v>5.3551637413813344E-2</v>
          </cell>
          <cell r="L161">
            <v>39.473999999999997</v>
          </cell>
          <cell r="N161">
            <v>8.4052687837763013E-2</v>
          </cell>
          <cell r="P161" t="e">
            <v>#DIV/0!</v>
          </cell>
          <cell r="S161">
            <v>57.892512208355939</v>
          </cell>
          <cell r="U161">
            <v>0.12327155233299961</v>
          </cell>
          <cell r="AC161">
            <v>116.5</v>
          </cell>
          <cell r="AE161" t="e">
            <v>#REF!</v>
          </cell>
          <cell r="AG161">
            <v>5430.8943089430895</v>
          </cell>
          <cell r="AH161" t="e">
            <v>#REF!</v>
          </cell>
          <cell r="AK161">
            <v>0.49693143526485783</v>
          </cell>
          <cell r="AM161" t="e">
            <v>#REF!</v>
          </cell>
          <cell r="AO161">
            <v>610.32195121951224</v>
          </cell>
          <cell r="AY161">
            <v>278.55700000000002</v>
          </cell>
          <cell r="AZ161">
            <v>2.5049999999999999</v>
          </cell>
          <cell r="BA161" t="str">
            <v>Internet/Catalog/Other</v>
          </cell>
        </row>
        <row r="162">
          <cell r="C162">
            <v>2000</v>
          </cell>
          <cell r="D162">
            <v>4</v>
          </cell>
          <cell r="E162">
            <v>3</v>
          </cell>
          <cell r="F162">
            <v>502.89800000000002</v>
          </cell>
          <cell r="H162">
            <v>6.9999999999999993E-3</v>
          </cell>
          <cell r="J162">
            <v>7.288477254154184E-2</v>
          </cell>
          <cell r="L162">
            <v>45.137999999999998</v>
          </cell>
          <cell r="N162">
            <v>8.9755775525056758E-2</v>
          </cell>
          <cell r="P162" t="e">
            <v>#DIV/0!</v>
          </cell>
          <cell r="S162">
            <v>66.19932654559382</v>
          </cell>
          <cell r="U162">
            <v>0.13163569261678076</v>
          </cell>
          <cell r="Y162">
            <v>-83.641402837811569</v>
          </cell>
          <cell r="AA162">
            <v>0</v>
          </cell>
          <cell r="AC162">
            <v>134.5</v>
          </cell>
          <cell r="AE162">
            <v>0.88123250000000009</v>
          </cell>
          <cell r="AG162">
            <v>7496.3356164383558</v>
          </cell>
          <cell r="AH162" t="e">
            <v>#DIV/0!</v>
          </cell>
          <cell r="AK162">
            <v>0.49218830145422915</v>
          </cell>
          <cell r="AM162">
            <v>75.121294942701056</v>
          </cell>
          <cell r="AO162">
            <v>567</v>
          </cell>
          <cell r="AY162">
            <v>284.76</v>
          </cell>
          <cell r="AZ162">
            <v>38.317</v>
          </cell>
        </row>
        <row r="163">
          <cell r="C163">
            <v>2001</v>
          </cell>
          <cell r="D163">
            <v>5</v>
          </cell>
          <cell r="E163">
            <v>4</v>
          </cell>
          <cell r="F163">
            <v>483.08300000000008</v>
          </cell>
          <cell r="H163">
            <v>-0.14499999999999999</v>
          </cell>
          <cell r="J163">
            <v>2.5710209013548715E-2</v>
          </cell>
          <cell r="L163">
            <v>38.326000000000001</v>
          </cell>
          <cell r="N163">
            <v>7.9336263126626255E-2</v>
          </cell>
          <cell r="P163" t="e">
            <v>#DIV/0!</v>
          </cell>
          <cell r="S163">
            <v>56.208857042545723</v>
          </cell>
          <cell r="U163">
            <v>0.11635445056552542</v>
          </cell>
          <cell r="Y163">
            <v>152.81242051255347</v>
          </cell>
          <cell r="AA163">
            <v>0</v>
          </cell>
          <cell r="AC163">
            <v>161.5</v>
          </cell>
          <cell r="AE163">
            <v>1.2045345000000001</v>
          </cell>
          <cell r="AG163">
            <v>7427.1412429378543</v>
          </cell>
          <cell r="AH163">
            <v>0.28783217304471503</v>
          </cell>
          <cell r="AK163">
            <v>0.34804245846777537</v>
          </cell>
          <cell r="AM163">
            <v>46.664381171768611</v>
          </cell>
          <cell r="AO163">
            <v>412</v>
          </cell>
          <cell r="AY163">
            <v>258.197</v>
          </cell>
          <cell r="AZ163">
            <v>36.659999999999997</v>
          </cell>
        </row>
        <row r="164">
          <cell r="C164">
            <v>2002</v>
          </cell>
          <cell r="D164">
            <v>6</v>
          </cell>
          <cell r="E164">
            <v>5</v>
          </cell>
          <cell r="F164">
            <v>484.29200000000003</v>
          </cell>
          <cell r="H164">
            <v>-0.11199999999999999</v>
          </cell>
          <cell r="J164">
            <v>-7.3352560832126842E-3</v>
          </cell>
          <cell r="L164">
            <v>41.656999999999996</v>
          </cell>
          <cell r="N164">
            <v>8.6016287694201013E-2</v>
          </cell>
          <cell r="P164" t="e">
            <v>#DIV/0!</v>
          </cell>
          <cell r="S164">
            <v>61.094096900833037</v>
          </cell>
          <cell r="U164">
            <v>0.12615136508724703</v>
          </cell>
          <cell r="Y164">
            <v>-97.969145217216138</v>
          </cell>
          <cell r="AA164">
            <v>0</v>
          </cell>
          <cell r="AC164">
            <v>185.5</v>
          </cell>
          <cell r="AE164">
            <v>1.3755295000000001</v>
          </cell>
          <cell r="AG164">
            <v>7404.4072164948457</v>
          </cell>
          <cell r="AH164">
            <v>0.80658746168346129</v>
          </cell>
          <cell r="AK164">
            <v>0.32934823127133711</v>
          </cell>
          <cell r="AM164">
            <v>44.414966673439601</v>
          </cell>
          <cell r="AO164">
            <v>349</v>
          </cell>
          <cell r="AY164">
            <v>247.98699999999999</v>
          </cell>
          <cell r="AZ164">
            <v>36.064999999999998</v>
          </cell>
        </row>
        <row r="165">
          <cell r="C165">
            <v>2003</v>
          </cell>
          <cell r="D165">
            <v>7</v>
          </cell>
          <cell r="E165">
            <v>6</v>
          </cell>
          <cell r="F165">
            <v>487.09200000000004</v>
          </cell>
          <cell r="H165">
            <v>-2.5000000000000001E-2</v>
          </cell>
          <cell r="J165">
            <v>-4.4603711782481688E-2</v>
          </cell>
          <cell r="L165">
            <v>42.997</v>
          </cell>
          <cell r="N165">
            <v>8.8272851945833633E-2</v>
          </cell>
          <cell r="P165" t="e">
            <v>#DIV/0!</v>
          </cell>
          <cell r="S165">
            <v>63.059338993329291</v>
          </cell>
          <cell r="U165">
            <v>0.12946083900644906</v>
          </cell>
          <cell r="Y165">
            <v>-33.09473919202027</v>
          </cell>
          <cell r="AA165">
            <v>0</v>
          </cell>
          <cell r="AC165">
            <v>195</v>
          </cell>
          <cell r="AE165">
            <v>1.4415900000000001</v>
          </cell>
          <cell r="AG165">
            <v>7381.25</v>
          </cell>
          <cell r="AH165">
            <v>0.64094350180489401</v>
          </cell>
          <cell r="AK165">
            <v>0.32338122560681687</v>
          </cell>
          <cell r="AM165">
            <v>43.742908173148599</v>
          </cell>
          <cell r="AO165">
            <v>338</v>
          </cell>
          <cell r="AY165">
            <v>173.536</v>
          </cell>
          <cell r="AZ165">
            <v>29.337</v>
          </cell>
        </row>
        <row r="166">
          <cell r="C166">
            <v>2004</v>
          </cell>
          <cell r="D166">
            <v>8</v>
          </cell>
          <cell r="E166">
            <v>7</v>
          </cell>
          <cell r="F166">
            <v>579.79300000000001</v>
          </cell>
          <cell r="H166">
            <v>0.16300000000000001</v>
          </cell>
          <cell r="J166">
            <v>4.6805833258726504E-2</v>
          </cell>
          <cell r="L166">
            <v>46.582999999999998</v>
          </cell>
          <cell r="N166">
            <v>8.0344191806386064E-2</v>
          </cell>
          <cell r="P166" t="e">
            <v>#DIV/0!</v>
          </cell>
          <cell r="S166">
            <v>68.318561488621498</v>
          </cell>
          <cell r="U166">
            <v>0.11783267733246434</v>
          </cell>
          <cell r="Y166">
            <v>116.28161673984714</v>
          </cell>
          <cell r="AA166">
            <v>0</v>
          </cell>
          <cell r="AC166">
            <v>196.5</v>
          </cell>
          <cell r="AE166">
            <v>1.4517545000000001</v>
          </cell>
          <cell r="AG166">
            <v>7394.8426395939086</v>
          </cell>
          <cell r="AH166">
            <v>3.7886887830029083</v>
          </cell>
          <cell r="AK166">
            <v>0.34767715770290841</v>
          </cell>
          <cell r="AM166">
            <v>47.05930754037373</v>
          </cell>
          <cell r="AO166">
            <v>400</v>
          </cell>
          <cell r="AY166">
            <v>198.50200000000001</v>
          </cell>
          <cell r="AZ166">
            <v>25.920999999999999</v>
          </cell>
        </row>
        <row r="167">
          <cell r="A167" t="str">
            <v>JCG</v>
          </cell>
          <cell r="B167" t="str">
            <v>JCG</v>
          </cell>
          <cell r="C167" t="str">
            <v>2005 (ex. Internet/cat.)</v>
          </cell>
          <cell r="D167">
            <v>9</v>
          </cell>
          <cell r="E167">
            <v>8</v>
          </cell>
          <cell r="F167">
            <v>670.44699999999989</v>
          </cell>
          <cell r="H167">
            <v>0.13400000000000001</v>
          </cell>
          <cell r="J167">
            <v>8.3401175843590095E-2</v>
          </cell>
          <cell r="L167">
            <v>49.143999999999998</v>
          </cell>
          <cell r="N167">
            <v>7.3300350363265113E-2</v>
          </cell>
          <cell r="P167" t="e">
            <v>#DIV/0!</v>
          </cell>
          <cell r="R167">
            <v>0.46659857648973868</v>
          </cell>
          <cell r="S167">
            <v>72.074520443011721</v>
          </cell>
          <cell r="U167">
            <v>0.10750218949896373</v>
          </cell>
          <cell r="Y167">
            <v>103.30487833500615</v>
          </cell>
          <cell r="AA167">
            <v>0</v>
          </cell>
          <cell r="AC167">
            <v>200</v>
          </cell>
          <cell r="AE167">
            <v>1.467584</v>
          </cell>
          <cell r="AG167">
            <v>7282.6798029556649</v>
          </cell>
          <cell r="AH167">
            <v>2.1058142610667754</v>
          </cell>
          <cell r="AI167">
            <v>2.1058142610667754</v>
          </cell>
          <cell r="AK167">
            <v>0.36037260221505862</v>
          </cell>
          <cell r="AM167">
            <v>49.111001784573638</v>
          </cell>
          <cell r="AO167">
            <v>459</v>
          </cell>
          <cell r="AQ167" t="str">
            <v>Sales excl. Internet/Catlog/other ($454mm in '08); CAM constitute ~addt'l 50% of min. lease obligations (2008 10-K) imlpying gross up rate of ~47% in 2008A.</v>
          </cell>
          <cell r="AY167">
            <v>253.68200000000002</v>
          </cell>
          <cell r="AZ167">
            <v>29.059000000000001</v>
          </cell>
          <cell r="BA167">
            <v>1.0903703071008186E-2</v>
          </cell>
          <cell r="BB167">
            <v>1.0903703071008186E-2</v>
          </cell>
        </row>
        <row r="168">
          <cell r="A168" t="str">
            <v>JCG2006</v>
          </cell>
          <cell r="B168" t="str">
            <v>JCG</v>
          </cell>
          <cell r="C168" t="str">
            <v>2006  (ex. Internet/cat.)</v>
          </cell>
          <cell r="D168">
            <v>10</v>
          </cell>
          <cell r="E168">
            <v>9</v>
          </cell>
          <cell r="F168">
            <v>808.47800000000007</v>
          </cell>
          <cell r="H168">
            <v>0.13</v>
          </cell>
          <cell r="J168">
            <v>0.10903210742808156</v>
          </cell>
          <cell r="L168">
            <v>54.694000000000003</v>
          </cell>
          <cell r="N168">
            <v>6.7650573052080568E-2</v>
          </cell>
          <cell r="P168" t="e">
            <v>#DIV/0!</v>
          </cell>
          <cell r="R168">
            <v>0.46279299374702876</v>
          </cell>
          <cell r="S168">
            <v>80.006</v>
          </cell>
          <cell r="U168">
            <v>9.8958784283555021E-2</v>
          </cell>
          <cell r="Y168">
            <v>85.434052154087084</v>
          </cell>
          <cell r="AA168">
            <v>0</v>
          </cell>
          <cell r="AC168">
            <v>215</v>
          </cell>
          <cell r="AE168">
            <v>1.5111439999999998</v>
          </cell>
          <cell r="AG168">
            <v>6801.3392070484579</v>
          </cell>
          <cell r="AH168">
            <v>2.5572791593313657</v>
          </cell>
          <cell r="AI168">
            <v>2.5564485413890532</v>
          </cell>
          <cell r="AK168">
            <v>0.37212093023255816</v>
          </cell>
          <cell r="AM168">
            <v>52.943994748349603</v>
          </cell>
          <cell r="AO168">
            <v>535.03107579423283</v>
          </cell>
          <cell r="AR168" t="str">
            <v>DE-LVG</v>
          </cell>
          <cell r="AY168">
            <v>308.58</v>
          </cell>
          <cell r="AZ168">
            <v>35.042999999999999</v>
          </cell>
          <cell r="BA168">
            <v>2.9681435611181195E-2</v>
          </cell>
          <cell r="BB168">
            <v>2.9681435611181195E-2</v>
          </cell>
        </row>
        <row r="169">
          <cell r="A169" t="str">
            <v>JCG2007</v>
          </cell>
          <cell r="B169" t="str">
            <v>JCG</v>
          </cell>
          <cell r="C169" t="str">
            <v>2007  (ex. Internet/cat.)</v>
          </cell>
          <cell r="D169">
            <v>11</v>
          </cell>
          <cell r="E169">
            <v>10</v>
          </cell>
          <cell r="F169">
            <v>914.81</v>
          </cell>
          <cell r="H169">
            <v>0.06</v>
          </cell>
          <cell r="J169">
            <v>0.12922691017305474</v>
          </cell>
          <cell r="L169">
            <v>62.661999999999999</v>
          </cell>
          <cell r="N169">
            <v>6.8497283588941971E-2</v>
          </cell>
          <cell r="P169" t="e">
            <v>#DIV/0!</v>
          </cell>
          <cell r="R169">
            <v>0.46659857648973868</v>
          </cell>
          <cell r="S169">
            <v>91.9</v>
          </cell>
          <cell r="U169">
            <v>0.10045801860495623</v>
          </cell>
          <cell r="Y169">
            <v>-14.992343214012132</v>
          </cell>
          <cell r="AA169">
            <v>0</v>
          </cell>
          <cell r="AC169">
            <v>243.5</v>
          </cell>
          <cell r="AE169">
            <v>1.6159599999999998</v>
          </cell>
          <cell r="AG169">
            <v>6492.3692307692309</v>
          </cell>
          <cell r="AH169">
            <v>1.0305037149500145</v>
          </cell>
          <cell r="AI169">
            <v>1.031129201248854</v>
          </cell>
          <cell r="AK169">
            <v>0.37741273100616018</v>
          </cell>
          <cell r="AM169">
            <v>56.870219559890103</v>
          </cell>
          <cell r="AO169">
            <v>566.10930963637713</v>
          </cell>
          <cell r="AQ169" t="str">
            <v>Sales excl. Internet/Catlog/other ($467mm in '09, $454mm in '08); CAM constitute ~addt'l 50% of min. lease obligations (2009 10-K) imlpying gross up rate of ~47% in 2009A.</v>
          </cell>
          <cell r="AR169">
            <v>-128.07473952334462</v>
          </cell>
          <cell r="AY169">
            <v>377.44299999999998</v>
          </cell>
          <cell r="AZ169">
            <v>42.468999999999994</v>
          </cell>
          <cell r="BA169">
            <v>6.9362019767805094E-2</v>
          </cell>
          <cell r="BB169">
            <v>6.9362019767805094E-2</v>
          </cell>
        </row>
        <row r="170">
          <cell r="A170" t="str">
            <v>JCG2008</v>
          </cell>
          <cell r="B170" t="str">
            <v>JCG</v>
          </cell>
          <cell r="C170" t="str">
            <v>2008  (ex. Internet/cat.)</v>
          </cell>
          <cell r="D170">
            <v>12</v>
          </cell>
          <cell r="E170">
            <v>11</v>
          </cell>
          <cell r="F170">
            <v>974.24199999999996</v>
          </cell>
          <cell r="H170">
            <v>-4.0219360864634061E-2</v>
          </cell>
          <cell r="J170">
            <v>6.9177875461056276E-2</v>
          </cell>
          <cell r="L170">
            <v>74.921999999999997</v>
          </cell>
          <cell r="N170">
            <v>7.690286397014294E-2</v>
          </cell>
          <cell r="P170" t="e">
            <v>#DIV/0!</v>
          </cell>
          <cell r="R170">
            <v>0.47283841862203357</v>
          </cell>
          <cell r="S170">
            <v>110.348</v>
          </cell>
          <cell r="U170">
            <v>0.1132654925572907</v>
          </cell>
          <cell r="Y170">
            <v>-128.07473952334462</v>
          </cell>
          <cell r="AA170">
            <v>0</v>
          </cell>
          <cell r="AC170">
            <v>280</v>
          </cell>
          <cell r="AE170">
            <v>1.7760745</v>
          </cell>
          <cell r="AG170">
            <v>6213.7766666666666</v>
          </cell>
          <cell r="AH170">
            <v>1.0620655465784357</v>
          </cell>
          <cell r="AI170">
            <v>1.061591154427054</v>
          </cell>
          <cell r="AK170">
            <v>0.39410000000000001</v>
          </cell>
          <cell r="AM170">
            <v>62.130276629724712</v>
          </cell>
          <cell r="AO170">
            <v>548.56088525565792</v>
          </cell>
          <cell r="AR170">
            <v>-6.0841115974208382</v>
          </cell>
          <cell r="AS170">
            <v>0.14989733059548249</v>
          </cell>
          <cell r="AY170">
            <v>408.959</v>
          </cell>
          <cell r="AZ170">
            <v>44.769999999999996</v>
          </cell>
          <cell r="BA170">
            <v>9.9083207505136439E-2</v>
          </cell>
          <cell r="BB170">
            <v>9.9083207505136439E-2</v>
          </cell>
        </row>
        <row r="171">
          <cell r="A171" t="str">
            <v>JCG2009</v>
          </cell>
          <cell r="B171" t="str">
            <v>JCG</v>
          </cell>
          <cell r="C171" t="str">
            <v>2009  (ex. Internet/cat.)</v>
          </cell>
          <cell r="D171">
            <v>13</v>
          </cell>
          <cell r="E171">
            <v>12</v>
          </cell>
          <cell r="F171">
            <v>1110.9129999999998</v>
          </cell>
          <cell r="H171">
            <v>0.04</v>
          </cell>
          <cell r="J171">
            <v>3.4523527315379471E-2</v>
          </cell>
          <cell r="L171">
            <v>85.771000000000001</v>
          </cell>
          <cell r="N171">
            <v>7.7207666126870439E-2</v>
          </cell>
          <cell r="P171" t="e">
            <v>#DIV/0!</v>
          </cell>
          <cell r="R171">
            <v>0.47490410511711412</v>
          </cell>
          <cell r="S171">
            <v>126.504</v>
          </cell>
          <cell r="U171">
            <v>0.11387390371703278</v>
          </cell>
          <cell r="Y171">
            <v>-6.0841115974208382</v>
          </cell>
          <cell r="AA171">
            <v>0</v>
          </cell>
          <cell r="AC171">
            <v>310.5</v>
          </cell>
          <cell r="AE171">
            <v>1.9111365</v>
          </cell>
          <cell r="AG171">
            <v>6100.1246105918999</v>
          </cell>
          <cell r="AH171">
            <v>1.3183554539213476</v>
          </cell>
          <cell r="AI171">
            <v>0</v>
          </cell>
          <cell r="AK171">
            <v>0.4074202898550725</v>
          </cell>
          <cell r="AM171">
            <v>66.193074121079263</v>
          </cell>
          <cell r="AO171">
            <v>581.29442873389735</v>
          </cell>
          <cell r="AR171">
            <v>39.582260443175585</v>
          </cell>
          <cell r="AS171">
            <v>0.10892857142857149</v>
          </cell>
          <cell r="AY171">
            <v>428.20500000000004</v>
          </cell>
          <cell r="AZ171">
            <v>38.925000000000004</v>
          </cell>
          <cell r="BA171">
            <v>7.6045233462898043E-2</v>
          </cell>
          <cell r="BB171">
            <v>7.6045233462898043E-2</v>
          </cell>
          <cell r="BC171">
            <v>0</v>
          </cell>
        </row>
        <row r="172">
          <cell r="A172" t="str">
            <v>JCG2010</v>
          </cell>
          <cell r="B172" t="str">
            <v>JCG</v>
          </cell>
          <cell r="C172" t="str">
            <v>2010E  (ex. Internet/cat.)</v>
          </cell>
          <cell r="D172">
            <v>14</v>
          </cell>
          <cell r="E172">
            <v>13</v>
          </cell>
          <cell r="F172">
            <v>1254.8847180750513</v>
          </cell>
          <cell r="H172">
            <v>6.0537742549816559E-2</v>
          </cell>
          <cell r="J172">
            <v>7.4342264470130856E-2</v>
          </cell>
          <cell r="L172">
            <v>93.518964188794527</v>
          </cell>
          <cell r="N172">
            <v>7.4523948568159554E-2</v>
          </cell>
          <cell r="P172" t="e">
            <v>#DIV/0!</v>
          </cell>
          <cell r="R172">
            <v>0.47490410511711412</v>
          </cell>
          <cell r="S172">
            <v>137.93150418835344</v>
          </cell>
          <cell r="U172">
            <v>0.10991567767271522</v>
          </cell>
          <cell r="Y172">
            <v>39.582260443175585</v>
          </cell>
          <cell r="AA172">
            <v>0</v>
          </cell>
          <cell r="AC172">
            <v>328</v>
          </cell>
          <cell r="AE172">
            <v>1.9912364999999999</v>
          </cell>
          <cell r="AG172">
            <v>6042.7850746268659</v>
          </cell>
          <cell r="AH172">
            <v>0.81125378413280969</v>
          </cell>
          <cell r="AI172">
            <v>0</v>
          </cell>
          <cell r="AK172">
            <v>0.42052287862302878</v>
          </cell>
          <cell r="AM172">
            <v>69.26927272996123</v>
          </cell>
          <cell r="AO172">
            <v>611.30028938438932</v>
          </cell>
          <cell r="AR172">
            <v>109.568933891602</v>
          </cell>
          <cell r="AS172">
            <v>5.6360708534621606E-2</v>
          </cell>
          <cell r="AY172">
            <v>467.69704999999999</v>
          </cell>
          <cell r="BA172">
            <v>4.1912233898520501E-2</v>
          </cell>
          <cell r="BB172">
            <v>4.1912233898520501E-2</v>
          </cell>
        </row>
        <row r="173">
          <cell r="C173" t="str">
            <v>2006 = Trough rent</v>
          </cell>
          <cell r="D173">
            <v>12</v>
          </cell>
          <cell r="E173">
            <v>11</v>
          </cell>
          <cell r="F173">
            <v>808.47800000000007</v>
          </cell>
          <cell r="H173">
            <v>0.13</v>
          </cell>
          <cell r="I173">
            <v>0</v>
          </cell>
          <cell r="J173">
            <v>0.10903210742808156</v>
          </cell>
          <cell r="K173">
            <v>0</v>
          </cell>
          <cell r="L173">
            <v>54.694000000000003</v>
          </cell>
          <cell r="M173">
            <v>0</v>
          </cell>
          <cell r="N173">
            <v>6.7650573052080568E-2</v>
          </cell>
          <cell r="O173">
            <v>0</v>
          </cell>
          <cell r="P173" t="e">
            <v>#DIV/0!</v>
          </cell>
          <cell r="Q173">
            <v>0</v>
          </cell>
          <cell r="S173">
            <v>80.006</v>
          </cell>
          <cell r="U173">
            <v>9.8958784283555021E-2</v>
          </cell>
          <cell r="Z173">
            <v>0</v>
          </cell>
          <cell r="AB173">
            <v>0</v>
          </cell>
          <cell r="AC173">
            <v>215</v>
          </cell>
          <cell r="AD173">
            <v>0</v>
          </cell>
          <cell r="AE173">
            <v>1.5111439999999998</v>
          </cell>
          <cell r="AF173">
            <v>0</v>
          </cell>
          <cell r="AG173">
            <v>6801.3392070484579</v>
          </cell>
          <cell r="AH173">
            <v>2.5572791593313657</v>
          </cell>
          <cell r="AI173">
            <v>2.5572791593313657</v>
          </cell>
          <cell r="AJ173">
            <v>0</v>
          </cell>
          <cell r="AK173">
            <v>0.37212093023255816</v>
          </cell>
          <cell r="AL173">
            <v>0</v>
          </cell>
          <cell r="AM173">
            <v>52.943994748349603</v>
          </cell>
          <cell r="AN173">
            <v>0</v>
          </cell>
          <cell r="AO173">
            <v>535.03107579423283</v>
          </cell>
          <cell r="AR173">
            <v>-7.4508580112702089E-2</v>
          </cell>
        </row>
        <row r="175">
          <cell r="J175">
            <v>0.10147888822359201</v>
          </cell>
          <cell r="AI175">
            <v>0</v>
          </cell>
        </row>
        <row r="176">
          <cell r="C176">
            <v>1998</v>
          </cell>
          <cell r="D176">
            <v>10</v>
          </cell>
          <cell r="E176">
            <v>10</v>
          </cell>
          <cell r="F176">
            <v>9054.4619999999995</v>
          </cell>
          <cell r="H176">
            <v>0.17</v>
          </cell>
          <cell r="J176">
            <v>0.14720686883439346</v>
          </cell>
          <cell r="L176">
            <v>547.22900000000004</v>
          </cell>
          <cell r="N176">
            <v>6.0437494795383767E-2</v>
          </cell>
          <cell r="P176" t="str">
            <v>-</v>
          </cell>
          <cell r="S176">
            <v>793.48205000000007</v>
          </cell>
          <cell r="U176">
            <v>8.7634367453306466E-2</v>
          </cell>
          <cell r="AC176">
            <v>2298</v>
          </cell>
          <cell r="AE176">
            <v>17.034850000000002</v>
          </cell>
          <cell r="AG176">
            <v>7606.2449310624497</v>
          </cell>
          <cell r="AH176">
            <v>1.0123668543912279</v>
          </cell>
          <cell r="AI176">
            <v>0</v>
          </cell>
          <cell r="AK176">
            <v>0.34529244995648395</v>
          </cell>
          <cell r="AM176">
            <v>46.579925857873711</v>
          </cell>
          <cell r="AO176">
            <v>531.52578390769497</v>
          </cell>
        </row>
        <row r="177">
          <cell r="A177" t="str">
            <v>GPS1999</v>
          </cell>
          <cell r="C177">
            <v>1999</v>
          </cell>
          <cell r="D177">
            <v>11</v>
          </cell>
          <cell r="E177">
            <v>11</v>
          </cell>
          <cell r="F177">
            <v>11635.398000000001</v>
          </cell>
          <cell r="H177">
            <v>7.0000000000000007E-2</v>
          </cell>
          <cell r="J177">
            <v>0.15613604278942594</v>
          </cell>
          <cell r="L177">
            <v>676.47800000000007</v>
          </cell>
          <cell r="N177">
            <v>5.813965280775097E-2</v>
          </cell>
          <cell r="P177" t="str">
            <v>-</v>
          </cell>
          <cell r="S177">
            <v>980.89310000000012</v>
          </cell>
          <cell r="U177">
            <v>8.4302496571238908E-2</v>
          </cell>
          <cell r="AC177">
            <v>2742</v>
          </cell>
          <cell r="AE177">
            <v>21.367550000000001</v>
          </cell>
          <cell r="AG177">
            <v>7945.0298210735573</v>
          </cell>
          <cell r="AH177">
            <v>0.84549409389814545</v>
          </cell>
          <cell r="AI177">
            <v>0</v>
          </cell>
          <cell r="AK177">
            <v>0.35772906637490887</v>
          </cell>
          <cell r="AM177">
            <v>45.905735566314341</v>
          </cell>
          <cell r="AO177">
            <v>544.53589672189844</v>
          </cell>
        </row>
        <row r="178">
          <cell r="C178">
            <v>2000</v>
          </cell>
          <cell r="D178">
            <v>12</v>
          </cell>
          <cell r="E178">
            <v>12</v>
          </cell>
          <cell r="F178">
            <v>13673.46</v>
          </cell>
          <cell r="H178">
            <v>-0.05</v>
          </cell>
          <cell r="J178">
            <v>0.10566169791698651</v>
          </cell>
          <cell r="L178">
            <v>903.68100000000004</v>
          </cell>
          <cell r="N178">
            <v>6.6090148360400378E-2</v>
          </cell>
          <cell r="P178" t="str">
            <v>-</v>
          </cell>
          <cell r="S178">
            <v>1310.33745</v>
          </cell>
          <cell r="U178">
            <v>9.583071512258054E-2</v>
          </cell>
          <cell r="AC178">
            <v>2933</v>
          </cell>
          <cell r="AE178">
            <v>27.6757685</v>
          </cell>
          <cell r="AG178">
            <v>11015.95400280899</v>
          </cell>
          <cell r="AH178">
            <v>0.76267618195329734</v>
          </cell>
          <cell r="AI178">
            <v>0</v>
          </cell>
          <cell r="AK178">
            <v>0.44675671667234912</v>
          </cell>
          <cell r="AM178">
            <v>47.346018593846814</v>
          </cell>
          <cell r="AO178">
            <v>494.05890933073817</v>
          </cell>
        </row>
        <row r="179">
          <cell r="C179">
            <v>2001</v>
          </cell>
          <cell r="D179">
            <v>13</v>
          </cell>
          <cell r="E179">
            <v>13</v>
          </cell>
          <cell r="F179">
            <v>13847.873</v>
          </cell>
          <cell r="H179">
            <v>-0.129</v>
          </cell>
          <cell r="J179">
            <v>2.4373129360732805E-2</v>
          </cell>
          <cell r="L179">
            <v>950.88400000000001</v>
          </cell>
          <cell r="N179">
            <v>6.8666429855328684E-2</v>
          </cell>
          <cell r="P179" t="str">
            <v>-</v>
          </cell>
          <cell r="S179">
            <v>1378.7818</v>
          </cell>
          <cell r="U179">
            <v>9.9566323290226591E-2</v>
          </cell>
          <cell r="AC179">
            <v>2972.5</v>
          </cell>
          <cell r="AE179">
            <v>33.8534145</v>
          </cell>
          <cell r="AG179">
            <v>11731.802389409106</v>
          </cell>
          <cell r="AH179">
            <v>0.63506306317070149</v>
          </cell>
          <cell r="AI179">
            <v>0</v>
          </cell>
          <cell r="AK179">
            <v>0.46384585365853659</v>
          </cell>
          <cell r="AM179">
            <v>40.727998057625769</v>
          </cell>
          <cell r="AO179">
            <v>409.05395229778077</v>
          </cell>
          <cell r="AS179" t="str">
            <v xml:space="preserve">According to footnote D, rental expense for all operating leases is included in </v>
          </cell>
        </row>
        <row r="180">
          <cell r="C180">
            <v>2002</v>
          </cell>
          <cell r="D180">
            <v>14</v>
          </cell>
          <cell r="E180">
            <v>14</v>
          </cell>
          <cell r="F180">
            <v>14454.708999999999</v>
          </cell>
          <cell r="H180">
            <v>-2.7000000000000003E-2</v>
          </cell>
          <cell r="J180">
            <v>7.0055301701334727E-2</v>
          </cell>
          <cell r="L180">
            <v>938.64700000000005</v>
          </cell>
          <cell r="N180">
            <v>6.4937108038632951E-2</v>
          </cell>
          <cell r="P180" t="str">
            <v>-</v>
          </cell>
          <cell r="S180">
            <v>1361.0381500000001</v>
          </cell>
          <cell r="U180">
            <v>9.4158806656017779E-2</v>
          </cell>
          <cell r="AC180">
            <v>3107</v>
          </cell>
          <cell r="AE180">
            <v>36.792456000000001</v>
          </cell>
          <cell r="AG180">
            <v>11951.081167789542</v>
          </cell>
          <cell r="AH180">
            <v>0.81576020584434494</v>
          </cell>
          <cell r="AI180">
            <v>0</v>
          </cell>
          <cell r="AK180">
            <v>0.43805540714515612</v>
          </cell>
          <cell r="AM180">
            <v>36.992315761687671</v>
          </cell>
          <cell r="AO180">
            <v>392.87154410132331</v>
          </cell>
          <cell r="AS180" t="str">
            <v>amounts shown as rent expense. This does not include CAM, taxes or insurance.</v>
          </cell>
        </row>
        <row r="181">
          <cell r="C181">
            <v>2003</v>
          </cell>
          <cell r="D181">
            <v>15</v>
          </cell>
          <cell r="E181">
            <v>15</v>
          </cell>
          <cell r="F181">
            <v>15853.79</v>
          </cell>
          <cell r="G181">
            <v>15853.79</v>
          </cell>
          <cell r="H181">
            <v>7.2000000000000008E-2</v>
          </cell>
          <cell r="J181">
            <v>0.11858369512905123</v>
          </cell>
          <cell r="L181">
            <v>954.27099999999996</v>
          </cell>
          <cell r="N181">
            <v>6.0191979331125231E-2</v>
          </cell>
          <cell r="P181">
            <v>6.0191979331125231E-2</v>
          </cell>
          <cell r="S181">
            <v>1383.6929499999999</v>
          </cell>
          <cell r="U181">
            <v>8.7278370030131586E-2</v>
          </cell>
          <cell r="W181">
            <v>8.7278370030131586E-2</v>
          </cell>
          <cell r="Y181">
            <v>68.804366258861933</v>
          </cell>
          <cell r="AA181">
            <v>-872.78370030131589</v>
          </cell>
          <cell r="AC181">
            <v>3069.5</v>
          </cell>
          <cell r="AE181">
            <v>36.884861999999998</v>
          </cell>
          <cell r="AG181">
            <v>12084.117802779616</v>
          </cell>
          <cell r="AH181">
            <v>9.870676305541382</v>
          </cell>
          <cell r="AI181">
            <v>0</v>
          </cell>
          <cell r="AK181">
            <v>0.45078773415865775</v>
          </cell>
          <cell r="AM181">
            <v>37.513843755196916</v>
          </cell>
          <cell r="AO181">
            <v>429.81833577146097</v>
          </cell>
          <cell r="AP181">
            <v>429.81833577146097</v>
          </cell>
          <cell r="AS181" t="str">
            <v xml:space="preserve">Per footnote, minimum rent and % rent (or contingent rent) is included. </v>
          </cell>
        </row>
        <row r="182">
          <cell r="C182">
            <v>2004</v>
          </cell>
          <cell r="D182">
            <v>16</v>
          </cell>
          <cell r="E182">
            <v>16</v>
          </cell>
          <cell r="F182">
            <v>16267.401000000002</v>
          </cell>
          <cell r="G182">
            <v>16267.401000000002</v>
          </cell>
          <cell r="H182">
            <v>4.0000000000000001E-3</v>
          </cell>
          <cell r="J182">
            <v>0.12171870601825099</v>
          </cell>
          <cell r="L182">
            <v>966.67</v>
          </cell>
          <cell r="N182">
            <v>5.9423751833498163E-2</v>
          </cell>
          <cell r="P182">
            <v>5.9423751833498163E-2</v>
          </cell>
          <cell r="S182">
            <v>1401.6714999999999</v>
          </cell>
          <cell r="U182">
            <v>8.6164440158572331E-2</v>
          </cell>
          <cell r="W182">
            <v>8.6164440158572331E-2</v>
          </cell>
          <cell r="Y182">
            <v>11.139298715592549</v>
          </cell>
          <cell r="AA182">
            <v>11.139298715592549</v>
          </cell>
          <cell r="AC182">
            <v>3008</v>
          </cell>
          <cell r="AE182">
            <v>36.554566499999993</v>
          </cell>
          <cell r="AG182">
            <v>12221.419171676685</v>
          </cell>
          <cell r="AH182">
            <v>-2.4667400646572251</v>
          </cell>
          <cell r="AI182">
            <v>0</v>
          </cell>
          <cell r="AK182">
            <v>0.46598121675531912</v>
          </cell>
          <cell r="AM182">
            <v>38.344634725732561</v>
          </cell>
          <cell r="AO182">
            <v>445.01693105839473</v>
          </cell>
          <cell r="AP182">
            <v>445.01693105839473</v>
          </cell>
          <cell r="AS182" t="str">
            <v>Also included is rent expense on some HQ facilities and DC's. (2005-10K)</v>
          </cell>
        </row>
        <row r="183">
          <cell r="A183" t="str">
            <v>GPS</v>
          </cell>
          <cell r="B183" t="str">
            <v>GPS</v>
          </cell>
          <cell r="C183" t="str">
            <v>2005 (total revs.)</v>
          </cell>
          <cell r="D183">
            <v>17</v>
          </cell>
          <cell r="E183">
            <v>17</v>
          </cell>
          <cell r="F183">
            <v>16023.38</v>
          </cell>
          <cell r="G183">
            <v>16023.38</v>
          </cell>
          <cell r="H183">
            <v>-5.0999999999999997E-2</v>
          </cell>
          <cell r="J183">
            <v>0.10885774412140264</v>
          </cell>
          <cell r="L183">
            <v>1004.677</v>
          </cell>
          <cell r="N183">
            <v>6.2700691115108051E-2</v>
          </cell>
          <cell r="P183">
            <v>6.2700691115108051E-2</v>
          </cell>
          <cell r="R183">
            <v>0.45</v>
          </cell>
          <cell r="S183">
            <v>1456.7816499999999</v>
          </cell>
          <cell r="U183">
            <v>9.0916002116906675E-2</v>
          </cell>
          <cell r="W183">
            <v>9.0916002116906675E-2</v>
          </cell>
          <cell r="Y183">
            <v>-47.515619583343437</v>
          </cell>
          <cell r="AA183">
            <v>-47.515619583343437</v>
          </cell>
          <cell r="AC183">
            <v>3023.5</v>
          </cell>
          <cell r="AE183">
            <v>37.178078999999997</v>
          </cell>
          <cell r="AG183">
            <v>12369.875204716671</v>
          </cell>
          <cell r="AH183">
            <v>2.1105301925004265</v>
          </cell>
          <cell r="AI183">
            <v>2.1105301925004265</v>
          </cell>
          <cell r="AK183">
            <v>0.48181962956838098</v>
          </cell>
          <cell r="AM183">
            <v>39.183887096479623</v>
          </cell>
          <cell r="AO183">
            <v>414.98593835361964</v>
          </cell>
          <cell r="AP183">
            <v>430.98999278580266</v>
          </cell>
          <cell r="BA183">
            <v>1.7057034447392594E-2</v>
          </cell>
          <cell r="BB183">
            <v>1.7057034447392594E-2</v>
          </cell>
        </row>
        <row r="184">
          <cell r="A184" t="str">
            <v>GPS2006</v>
          </cell>
          <cell r="B184" t="str">
            <v>GPS</v>
          </cell>
          <cell r="C184" t="str">
            <v>2006 (ex. Internet/cat.)</v>
          </cell>
          <cell r="D184">
            <v>18</v>
          </cell>
          <cell r="E184">
            <v>18</v>
          </cell>
          <cell r="F184">
            <v>9094</v>
          </cell>
          <cell r="G184">
            <v>15923</v>
          </cell>
          <cell r="H184">
            <v>-7.0000000000000007E-2</v>
          </cell>
          <cell r="J184">
            <v>7.6932738805501472E-2</v>
          </cell>
          <cell r="L184">
            <v>1046.23</v>
          </cell>
          <cell r="N184">
            <v>0.11504618429733891</v>
          </cell>
          <cell r="P184">
            <v>6.5705583118759028E-2</v>
          </cell>
          <cell r="R184">
            <v>0.45</v>
          </cell>
          <cell r="S184">
            <v>1517.0335</v>
          </cell>
          <cell r="U184">
            <v>0.16681696723114142</v>
          </cell>
          <cell r="W184">
            <v>9.527309552220059E-2</v>
          </cell>
          <cell r="Y184">
            <v>-759.00965114234748</v>
          </cell>
          <cell r="AA184">
            <v>-43.570934052939158</v>
          </cell>
          <cell r="AC184">
            <v>3092</v>
          </cell>
          <cell r="AE184">
            <v>38.332614499999998</v>
          </cell>
          <cell r="AG184">
            <v>12424.145640370489</v>
          </cell>
          <cell r="AH184">
            <v>2.0523924039060359</v>
          </cell>
          <cell r="AI184">
            <v>-11.671668450412358</v>
          </cell>
          <cell r="AK184">
            <v>0.4906317917205692</v>
          </cell>
          <cell r="AM184">
            <v>39.575529083725819</v>
          </cell>
          <cell r="AO184">
            <v>396.34656279445801</v>
          </cell>
          <cell r="AP184">
            <v>415.39039816864044</v>
          </cell>
          <cell r="AQ184" t="str">
            <v>Sales exclude GPS' internet sales ($1,030mm in 2008).  We estimate GPS requires a positive comp to lvg.</v>
          </cell>
          <cell r="AR184" t="str">
            <v>DE-LVG</v>
          </cell>
          <cell r="AY184">
            <v>6829</v>
          </cell>
          <cell r="BA184">
            <v>3.1054199976281671E-2</v>
          </cell>
          <cell r="BB184">
            <v>3.1054199976281671E-2</v>
          </cell>
        </row>
        <row r="185">
          <cell r="A185" t="str">
            <v>GPS2007</v>
          </cell>
          <cell r="B185" t="str">
            <v>GPS</v>
          </cell>
          <cell r="C185" t="str">
            <v>2007 (ex. Internet/cat.)</v>
          </cell>
          <cell r="D185">
            <v>19</v>
          </cell>
          <cell r="E185">
            <v>19</v>
          </cell>
          <cell r="F185">
            <v>14860</v>
          </cell>
          <cell r="G185">
            <v>15763</v>
          </cell>
          <cell r="H185">
            <v>-0.04</v>
          </cell>
          <cell r="J185">
            <v>8.5262957558840322E-2</v>
          </cell>
          <cell r="L185">
            <v>1099</v>
          </cell>
          <cell r="N185">
            <v>7.3956931359353967E-2</v>
          </cell>
          <cell r="P185">
            <v>6.9720230920510051E-2</v>
          </cell>
          <cell r="R185">
            <v>0.45</v>
          </cell>
          <cell r="S185">
            <v>1593.55</v>
          </cell>
          <cell r="U185">
            <v>0.10723755047106326</v>
          </cell>
          <cell r="W185">
            <v>0.10109433483473958</v>
          </cell>
          <cell r="Y185">
            <v>595.79416760078163</v>
          </cell>
          <cell r="AA185">
            <v>-58.212393125389866</v>
          </cell>
          <cell r="AC185">
            <v>3149</v>
          </cell>
          <cell r="AE185">
            <v>39.25</v>
          </cell>
          <cell r="AG185">
            <v>12503.946952952321</v>
          </cell>
          <cell r="AH185">
            <v>1.2515183171112927</v>
          </cell>
          <cell r="AI185">
            <v>28.164697496739052</v>
          </cell>
          <cell r="AK185">
            <v>0.50604953953636078</v>
          </cell>
          <cell r="AM185">
            <v>40.6</v>
          </cell>
          <cell r="AO185">
            <v>378.59872611464971</v>
          </cell>
          <cell r="AP185">
            <v>401.60509554140128</v>
          </cell>
          <cell r="AQ185" t="str">
            <v>Sales exclude Internet sales (2011 $1,560M, 2010 $1,299M).  Excludes rent expense associated with equipment.  We estimate GPS requires a flat to slightly positive comp to leverage.</v>
          </cell>
          <cell r="AR185">
            <v>-49.57065073265057</v>
          </cell>
          <cell r="AY185">
            <v>903</v>
          </cell>
          <cell r="BA185">
            <v>2.3932244433783723E-2</v>
          </cell>
          <cell r="BB185">
            <v>2.3932244433783723E-2</v>
          </cell>
        </row>
        <row r="186">
          <cell r="A186" t="str">
            <v>GPS2008</v>
          </cell>
          <cell r="B186" t="str">
            <v>GPS</v>
          </cell>
          <cell r="C186">
            <v>2008</v>
          </cell>
          <cell r="D186">
            <v>20</v>
          </cell>
          <cell r="E186">
            <v>20</v>
          </cell>
          <cell r="F186">
            <v>14449</v>
          </cell>
          <cell r="G186">
            <v>14526</v>
          </cell>
          <cell r="H186">
            <v>-0.11838208207470713</v>
          </cell>
          <cell r="J186">
            <v>0.10656753407682776</v>
          </cell>
          <cell r="L186">
            <v>1118</v>
          </cell>
          <cell r="N186">
            <v>7.737559692712298E-2</v>
          </cell>
          <cell r="P186">
            <v>7.6965441277708935E-2</v>
          </cell>
          <cell r="R186">
            <v>0.45</v>
          </cell>
          <cell r="S186">
            <v>1621.1</v>
          </cell>
          <cell r="U186">
            <v>0.11219461554432832</v>
          </cell>
          <cell r="W186">
            <v>0.11159988985267795</v>
          </cell>
          <cell r="Y186">
            <v>-49.57065073265057</v>
          </cell>
          <cell r="AA186">
            <v>-105.05555017938373</v>
          </cell>
          <cell r="AC186">
            <v>3158</v>
          </cell>
          <cell r="AE186">
            <v>39.549999999999997</v>
          </cell>
          <cell r="AG186">
            <v>12543.664655446173</v>
          </cell>
          <cell r="AH186">
            <v>5.2211883989800194</v>
          </cell>
          <cell r="AI186">
            <v>11.869715406120086</v>
          </cell>
          <cell r="AK186">
            <v>0.51333122229259021</v>
          </cell>
          <cell r="AM186">
            <v>40.988621997471554</v>
          </cell>
          <cell r="AO186">
            <v>343.18584070796464</v>
          </cell>
          <cell r="AP186">
            <v>367.28192161820482</v>
          </cell>
          <cell r="AQ186" t="str">
            <v>Store sales exclude Internet sales ($1,927M in '12 $1,560M in '11).  Excludes rent expense associated with equipment.  We estimate GPS requires a flat to slightly positive comp to leverage.</v>
          </cell>
          <cell r="AR186">
            <v>-24.806164328308455</v>
          </cell>
          <cell r="AS186">
            <v>2.8580501746586773E-3</v>
          </cell>
          <cell r="AU186">
            <v>-74.376815060959018</v>
          </cell>
          <cell r="AY186">
            <v>77</v>
          </cell>
          <cell r="BA186">
            <v>7.6433121019108263E-3</v>
          </cell>
          <cell r="BB186">
            <v>7.6433121019108263E-3</v>
          </cell>
        </row>
        <row r="187">
          <cell r="A187" t="str">
            <v>GPS2009</v>
          </cell>
          <cell r="B187" t="str">
            <v>GPS</v>
          </cell>
          <cell r="C187">
            <v>2009</v>
          </cell>
          <cell r="D187">
            <v>21</v>
          </cell>
          <cell r="E187">
            <v>21</v>
          </cell>
          <cell r="F187">
            <v>14010</v>
          </cell>
          <cell r="G187">
            <v>14197</v>
          </cell>
          <cell r="H187">
            <v>-3.0030152268958239E-2</v>
          </cell>
          <cell r="J187">
            <v>0.12784391068535605</v>
          </cell>
          <cell r="L187">
            <v>1108</v>
          </cell>
          <cell r="N187">
            <v>7.9086366880799425E-2</v>
          </cell>
          <cell r="P187">
            <v>7.8044657321969427E-2</v>
          </cell>
          <cell r="R187">
            <v>0.45</v>
          </cell>
          <cell r="S187">
            <v>1606.6</v>
          </cell>
          <cell r="U187">
            <v>0.11467523197715916</v>
          </cell>
          <cell r="W187">
            <v>0.11316475311685567</v>
          </cell>
          <cell r="Y187">
            <v>-24.806164328308455</v>
          </cell>
          <cell r="AA187">
            <v>-15.64863264177721</v>
          </cell>
          <cell r="AC187">
            <v>3122</v>
          </cell>
          <cell r="AE187">
            <v>39.15</v>
          </cell>
          <cell r="AG187">
            <v>12536.348949919224</v>
          </cell>
          <cell r="AH187">
            <v>-0.72980716956131053</v>
          </cell>
          <cell r="AI187">
            <v>0</v>
          </cell>
          <cell r="AK187">
            <v>0.51460602178090964</v>
          </cell>
          <cell r="AM187">
            <v>41.037037037037038</v>
          </cell>
          <cell r="AO187">
            <v>338.85057471264366</v>
          </cell>
          <cell r="AP187">
            <v>362.6309067688378</v>
          </cell>
          <cell r="AR187">
            <v>6.3028815693444429</v>
          </cell>
          <cell r="AS187">
            <v>-1.1399620012666256E-2</v>
          </cell>
          <cell r="AU187">
            <v>-18.503282758964012</v>
          </cell>
          <cell r="AY187">
            <v>187</v>
          </cell>
          <cell r="BA187">
            <v>-1.0113780025284402E-2</v>
          </cell>
          <cell r="BB187">
            <v>-1.0113780025284402E-2</v>
          </cell>
          <cell r="BC187">
            <v>0</v>
          </cell>
        </row>
        <row r="188">
          <cell r="A188" t="str">
            <v>GPS2010</v>
          </cell>
          <cell r="B188" t="str">
            <v>GPS</v>
          </cell>
          <cell r="C188">
            <v>2010</v>
          </cell>
          <cell r="D188">
            <v>22</v>
          </cell>
          <cell r="E188">
            <v>22</v>
          </cell>
          <cell r="F188">
            <v>14418</v>
          </cell>
          <cell r="G188">
            <v>14664</v>
          </cell>
          <cell r="H188">
            <v>0.01</v>
          </cell>
          <cell r="J188">
            <v>0.13420621931260229</v>
          </cell>
          <cell r="L188">
            <v>1134</v>
          </cell>
          <cell r="N188">
            <v>7.8651685393258425E-2</v>
          </cell>
          <cell r="P188">
            <v>7.7332242225859243E-2</v>
          </cell>
          <cell r="R188">
            <v>0.45</v>
          </cell>
          <cell r="S188">
            <v>1644.3</v>
          </cell>
          <cell r="U188">
            <v>0.11404494382022472</v>
          </cell>
          <cell r="W188">
            <v>0.1121317512274959</v>
          </cell>
          <cell r="Y188">
            <v>6.3028815693444429</v>
          </cell>
          <cell r="AA188">
            <v>10.330018893597719</v>
          </cell>
          <cell r="AC188">
            <v>3081.5</v>
          </cell>
          <cell r="AE188">
            <v>38.5</v>
          </cell>
          <cell r="AG188">
            <v>12451.108213820078</v>
          </cell>
          <cell r="AH188">
            <v>-0.77663200784565334</v>
          </cell>
          <cell r="AI188">
            <v>0</v>
          </cell>
          <cell r="AK188">
            <v>0.53360376440045432</v>
          </cell>
          <cell r="AM188">
            <v>42.709090909090911</v>
          </cell>
          <cell r="AO188">
            <v>353.53246753246754</v>
          </cell>
          <cell r="AP188">
            <v>380.88311688311688</v>
          </cell>
          <cell r="AR188">
            <v>-75.686159776416488</v>
          </cell>
          <cell r="AS188">
            <v>-1.297245355541321E-2</v>
          </cell>
          <cell r="AY188">
            <v>246</v>
          </cell>
          <cell r="BA188">
            <v>-1.6602809706257937E-2</v>
          </cell>
          <cell r="BB188">
            <v>-1.6602809706257937E-2</v>
          </cell>
        </row>
        <row r="189">
          <cell r="A189" t="str">
            <v>GPS2011</v>
          </cell>
          <cell r="B189" t="str">
            <v>GPS</v>
          </cell>
          <cell r="C189">
            <v>2011</v>
          </cell>
          <cell r="D189">
            <v>23</v>
          </cell>
          <cell r="E189">
            <v>23</v>
          </cell>
          <cell r="F189">
            <v>14248</v>
          </cell>
          <cell r="G189">
            <v>14549</v>
          </cell>
          <cell r="H189">
            <v>-0.05</v>
          </cell>
          <cell r="J189">
            <v>9.8838408138016365E-2</v>
          </cell>
          <cell r="L189">
            <v>1195</v>
          </cell>
          <cell r="N189">
            <v>8.3871420550252665E-2</v>
          </cell>
          <cell r="P189">
            <v>8.2136229294109561E-2</v>
          </cell>
          <cell r="R189">
            <v>0.45</v>
          </cell>
          <cell r="S189">
            <v>1732.75</v>
          </cell>
          <cell r="U189">
            <v>0.12161355979786637</v>
          </cell>
          <cell r="W189">
            <v>0.11909753247645886</v>
          </cell>
          <cell r="Y189">
            <v>-75.686159776416488</v>
          </cell>
          <cell r="AA189">
            <v>-69.657812489629663</v>
          </cell>
          <cell r="AC189">
            <v>3052</v>
          </cell>
          <cell r="AE189">
            <v>37.700000000000003</v>
          </cell>
          <cell r="AG189">
            <v>12252.96442687747</v>
          </cell>
          <cell r="AH189">
            <v>-1.5475876295690207</v>
          </cell>
          <cell r="AI189">
            <v>0</v>
          </cell>
          <cell r="AK189">
            <v>0.56774246395806027</v>
          </cell>
          <cell r="AM189">
            <v>45.96153846153846</v>
          </cell>
          <cell r="AO189">
            <v>350.15915119363393</v>
          </cell>
          <cell r="AP189">
            <v>385.91511936339521</v>
          </cell>
          <cell r="AR189">
            <v>51.547239300110959</v>
          </cell>
          <cell r="AS189">
            <v>-9.5732597760830318E-3</v>
          </cell>
          <cell r="AY189">
            <v>301</v>
          </cell>
          <cell r="BA189">
            <v>-2.0779220779220675E-2</v>
          </cell>
        </row>
        <row r="190">
          <cell r="A190" t="str">
            <v>GPS2012</v>
          </cell>
          <cell r="B190" t="str">
            <v>GPS</v>
          </cell>
          <cell r="C190">
            <v>2012</v>
          </cell>
          <cell r="D190">
            <v>24</v>
          </cell>
          <cell r="E190">
            <v>24</v>
          </cell>
          <cell r="F190">
            <v>15256</v>
          </cell>
          <cell r="G190">
            <v>15651</v>
          </cell>
          <cell r="H190">
            <v>3.7896859694612504E-2</v>
          </cell>
          <cell r="J190">
            <v>0.12408152833684749</v>
          </cell>
          <cell r="L190">
            <v>1227</v>
          </cell>
          <cell r="N190">
            <v>8.0427372836916616E-2</v>
          </cell>
          <cell r="P190">
            <v>7.8397546482652861E-2</v>
          </cell>
          <cell r="R190">
            <v>0.44800000000000001</v>
          </cell>
          <cell r="S190">
            <v>1776.6959999999999</v>
          </cell>
          <cell r="U190">
            <v>0.11645883586785527</v>
          </cell>
          <cell r="W190">
            <v>0.11351964730688134</v>
          </cell>
          <cell r="Y190">
            <v>51.547239300110959</v>
          </cell>
          <cell r="AA190">
            <v>55.778851695775231</v>
          </cell>
          <cell r="AC190">
            <v>3065.5</v>
          </cell>
          <cell r="AE190">
            <v>37.049999999999997</v>
          </cell>
          <cell r="AG190">
            <v>11922.455573505655</v>
          </cell>
          <cell r="AH190" t="e">
            <v>#REF!</v>
          </cell>
          <cell r="AI190">
            <v>0</v>
          </cell>
          <cell r="AK190">
            <v>0.57957788289022993</v>
          </cell>
          <cell r="AM190">
            <v>47.954008097165996</v>
          </cell>
          <cell r="AO190">
            <v>374.73684210526318</v>
          </cell>
          <cell r="AP190">
            <v>422.42914979757086</v>
          </cell>
          <cell r="AR190">
            <v>-35.763130628160418</v>
          </cell>
          <cell r="AS190">
            <v>4.4233289646133933E-3</v>
          </cell>
          <cell r="AY190">
            <v>395</v>
          </cell>
          <cell r="BA190">
            <v>-1.7241379310344973E-2</v>
          </cell>
        </row>
        <row r="191">
          <cell r="A191" t="str">
            <v>GPS2013</v>
          </cell>
          <cell r="B191" t="str">
            <v>GPS</v>
          </cell>
          <cell r="C191" t="str">
            <v>2013e</v>
          </cell>
          <cell r="D191">
            <v>25</v>
          </cell>
          <cell r="E191">
            <v>25</v>
          </cell>
          <cell r="F191">
            <v>15477</v>
          </cell>
          <cell r="G191">
            <v>16148</v>
          </cell>
          <cell r="H191">
            <v>1.1890636611345059E-2</v>
          </cell>
          <cell r="J191">
            <v>0.13308149616051523</v>
          </cell>
          <cell r="L191">
            <v>1283</v>
          </cell>
          <cell r="N191">
            <v>8.2897202300187378E-2</v>
          </cell>
          <cell r="P191">
            <v>7.9452563784988856E-2</v>
          </cell>
          <cell r="R191">
            <v>0.44800000000000001</v>
          </cell>
          <cell r="S191">
            <v>1857.7839999999999</v>
          </cell>
          <cell r="U191">
            <v>0.12003514893067131</v>
          </cell>
          <cell r="W191">
            <v>0.11504731236066386</v>
          </cell>
          <cell r="Y191">
            <v>-35.763130628160418</v>
          </cell>
          <cell r="AA191">
            <v>-15.276650537825176</v>
          </cell>
          <cell r="AC191">
            <v>3129.5</v>
          </cell>
          <cell r="AE191">
            <v>37.049999999999997</v>
          </cell>
          <cell r="AG191">
            <v>11757.269279393173</v>
          </cell>
          <cell r="AH191" t="e">
            <v>#REF!</v>
          </cell>
          <cell r="AI191">
            <v>0</v>
          </cell>
          <cell r="AK191">
            <v>0.59363604409650095</v>
          </cell>
          <cell r="AM191">
            <v>50.142618083670719</v>
          </cell>
          <cell r="AO191">
            <v>374.79082321187587</v>
          </cell>
          <cell r="AP191">
            <v>435.84345479082327</v>
          </cell>
          <cell r="AY191">
            <v>671</v>
          </cell>
          <cell r="BA191">
            <v>0</v>
          </cell>
        </row>
        <row r="192">
          <cell r="C192" t="str">
            <v>2004 = Trough rent</v>
          </cell>
          <cell r="F192">
            <v>16267.401000000002</v>
          </cell>
          <cell r="G192">
            <v>16267.401000000002</v>
          </cell>
          <cell r="H192">
            <v>4.0000000000000001E-3</v>
          </cell>
          <cell r="J192">
            <v>0.12171870601825099</v>
          </cell>
          <cell r="L192">
            <v>966.67</v>
          </cell>
          <cell r="N192">
            <v>5.9423751833498163E-2</v>
          </cell>
          <cell r="P192">
            <v>5.9423751833498163E-2</v>
          </cell>
          <cell r="S192">
            <v>1401.6714999999999</v>
          </cell>
          <cell r="U192">
            <v>8.6164440158572331E-2</v>
          </cell>
          <cell r="W192">
            <v>8.6164440158572331E-2</v>
          </cell>
          <cell r="Z192">
            <v>0</v>
          </cell>
          <cell r="AB192">
            <v>0</v>
          </cell>
          <cell r="AC192">
            <v>3008</v>
          </cell>
          <cell r="AE192">
            <v>36.554566499999993</v>
          </cell>
          <cell r="AG192">
            <v>12221.419171676685</v>
          </cell>
          <cell r="AH192">
            <v>0.84549409389814545</v>
          </cell>
          <cell r="AI192">
            <v>0.84549409389814545</v>
          </cell>
          <cell r="AK192">
            <v>0.46598121675531912</v>
          </cell>
          <cell r="AM192">
            <v>38.344634725732561</v>
          </cell>
          <cell r="AO192">
            <v>445.01693105839473</v>
          </cell>
          <cell r="AP192">
            <v>445.01693105839473</v>
          </cell>
          <cell r="AR192">
            <v>6.1252046671050608E-3</v>
          </cell>
          <cell r="AT192" t="str">
            <v>Adjusted Rent Expense Increase Assumption</v>
          </cell>
        </row>
        <row r="194">
          <cell r="AI194">
            <v>0</v>
          </cell>
        </row>
        <row r="195">
          <cell r="AE195" t="str">
            <v>Average</v>
          </cell>
          <cell r="AI195">
            <v>0</v>
          </cell>
          <cell r="AS195" t="str">
            <v>occupancy's role in determining potential operating margin</v>
          </cell>
        </row>
        <row r="196">
          <cell r="Q196" t="str">
            <v>Rent Expense</v>
          </cell>
          <cell r="AE196" t="str">
            <v>Total</v>
          </cell>
          <cell r="AG196" t="str">
            <v>Sq. Ft.</v>
          </cell>
          <cell r="AI196">
            <v>0</v>
          </cell>
          <cell r="AL196" t="str">
            <v>Adjusted Rent</v>
          </cell>
          <cell r="AO196" t="str">
            <v>Sales</v>
          </cell>
        </row>
        <row r="197">
          <cell r="F197" t="str">
            <v>Sales</v>
          </cell>
          <cell r="H197" t="str">
            <v>Comp.</v>
          </cell>
          <cell r="J197" t="str">
            <v>Operating</v>
          </cell>
          <cell r="L197" t="str">
            <v>per 10-K</v>
          </cell>
          <cell r="S197" t="str">
            <v>w/ adjustment</v>
          </cell>
          <cell r="AC197" t="str">
            <v>Store</v>
          </cell>
          <cell r="AE197" t="str">
            <v>Sq. Ft.</v>
          </cell>
          <cell r="AG197" t="str">
            <v>per</v>
          </cell>
          <cell r="AI197">
            <v>0</v>
          </cell>
          <cell r="AK197" t="str">
            <v>per Avg</v>
          </cell>
          <cell r="AM197" t="str">
            <v>per Avg</v>
          </cell>
          <cell r="AO197" t="str">
            <v>per Avg</v>
          </cell>
        </row>
        <row r="198">
          <cell r="F198" t="str">
            <v>($ MM)</v>
          </cell>
          <cell r="H198" t="str">
            <v>Sales %</v>
          </cell>
          <cell r="J198" t="str">
            <v>Margin</v>
          </cell>
          <cell r="L198" t="str">
            <v>$ MM</v>
          </cell>
          <cell r="N198" t="str">
            <v>% Sales</v>
          </cell>
          <cell r="P198" t="str">
            <v>% Sales</v>
          </cell>
          <cell r="R198" t="str">
            <v>Adj.</v>
          </cell>
          <cell r="S198" t="str">
            <v>$ MM</v>
          </cell>
          <cell r="U198" t="str">
            <v>% Sales</v>
          </cell>
          <cell r="AC198" t="str">
            <v>Count</v>
          </cell>
          <cell r="AE198" t="str">
            <v>(MM)</v>
          </cell>
          <cell r="AG198" t="str">
            <v>Store</v>
          </cell>
          <cell r="AI198">
            <v>0</v>
          </cell>
          <cell r="AK198" t="str">
            <v>Store</v>
          </cell>
          <cell r="AM198" t="str">
            <v>Sq. Ft.</v>
          </cell>
          <cell r="AO198" t="str">
            <v>Sq. Ft.</v>
          </cell>
          <cell r="AS198" t="str">
            <v>Notes on Rent:</v>
          </cell>
        </row>
        <row r="199">
          <cell r="C199">
            <v>1998</v>
          </cell>
          <cell r="D199">
            <v>6</v>
          </cell>
          <cell r="E199">
            <v>6</v>
          </cell>
          <cell r="F199">
            <v>103.37</v>
          </cell>
          <cell r="H199">
            <v>4.0000000000000001E-3</v>
          </cell>
          <cell r="J199">
            <v>8.1638773338492829E-2</v>
          </cell>
          <cell r="L199">
            <v>7.5055139999999998</v>
          </cell>
          <cell r="N199">
            <v>7.2608242236625709E-2</v>
          </cell>
          <cell r="P199" t="str">
            <v>-</v>
          </cell>
          <cell r="S199">
            <v>12.0088224</v>
          </cell>
          <cell r="U199">
            <v>0.11617318757860114</v>
          </cell>
          <cell r="AC199">
            <v>133</v>
          </cell>
          <cell r="AE199">
            <v>0.19071955719557196</v>
          </cell>
          <cell r="AG199">
            <v>1424</v>
          </cell>
          <cell r="AH199">
            <v>0.87458067757331504</v>
          </cell>
          <cell r="AI199">
            <v>0</v>
          </cell>
          <cell r="AK199">
            <v>9.0291897744360902E-2</v>
          </cell>
          <cell r="AM199">
            <v>62.965867667601813</v>
          </cell>
          <cell r="AO199">
            <v>542</v>
          </cell>
        </row>
        <row r="200">
          <cell r="C200">
            <v>1999</v>
          </cell>
          <cell r="D200">
            <v>7</v>
          </cell>
          <cell r="E200">
            <v>7</v>
          </cell>
          <cell r="F200">
            <v>168.94900000000001</v>
          </cell>
          <cell r="H200">
            <v>0.22800000000000001</v>
          </cell>
          <cell r="J200">
            <v>0.11957454616481908</v>
          </cell>
          <cell r="L200">
            <v>10.364345</v>
          </cell>
          <cell r="N200">
            <v>6.1345997904693125E-2</v>
          </cell>
          <cell r="P200" t="str">
            <v>-</v>
          </cell>
          <cell r="S200">
            <v>16.582952000000002</v>
          </cell>
          <cell r="U200">
            <v>9.8153596647509014E-2</v>
          </cell>
          <cell r="AC200">
            <v>185</v>
          </cell>
          <cell r="AE200">
            <v>0.27118619582664527</v>
          </cell>
          <cell r="AG200">
            <v>1482.0707547169811</v>
          </cell>
          <cell r="AH200">
            <v>0.9632613866155374</v>
          </cell>
          <cell r="AI200">
            <v>0</v>
          </cell>
          <cell r="AK200">
            <v>8.9637578378378394E-2</v>
          </cell>
          <cell r="AM200">
            <v>61.149690711398122</v>
          </cell>
          <cell r="AO200">
            <v>623</v>
          </cell>
        </row>
        <row r="201">
          <cell r="A201" t="str">
            <v>HOTT2000</v>
          </cell>
          <cell r="C201">
            <v>2000</v>
          </cell>
          <cell r="D201">
            <v>8</v>
          </cell>
          <cell r="E201">
            <v>8</v>
          </cell>
          <cell r="F201">
            <v>257.18799999999999</v>
          </cell>
          <cell r="H201">
            <v>0.16699999999999998</v>
          </cell>
          <cell r="J201">
            <v>0.13598223867365503</v>
          </cell>
          <cell r="L201">
            <v>16.093</v>
          </cell>
          <cell r="N201">
            <v>6.2572903867987625E-2</v>
          </cell>
          <cell r="P201" t="str">
            <v>-</v>
          </cell>
          <cell r="S201">
            <v>25.748800000000003</v>
          </cell>
          <cell r="U201">
            <v>0.1001166461887802</v>
          </cell>
          <cell r="AC201">
            <v>243</v>
          </cell>
          <cell r="AE201">
            <v>0.38646609865470849</v>
          </cell>
          <cell r="AG201">
            <v>1558.3941605839416</v>
          </cell>
          <cell r="AH201">
            <v>0.80096093047601291</v>
          </cell>
          <cell r="AI201">
            <v>0</v>
          </cell>
          <cell r="AK201">
            <v>0.10596213991769549</v>
          </cell>
          <cell r="AM201">
            <v>66.626283882678919</v>
          </cell>
          <cell r="AO201">
            <v>669</v>
          </cell>
        </row>
        <row r="202">
          <cell r="C202">
            <v>2001</v>
          </cell>
          <cell r="D202">
            <v>9</v>
          </cell>
          <cell r="E202">
            <v>9</v>
          </cell>
          <cell r="F202">
            <v>336.09300000000002</v>
          </cell>
          <cell r="H202">
            <v>3.9E-2</v>
          </cell>
          <cell r="J202">
            <v>0.13136542564111722</v>
          </cell>
          <cell r="L202">
            <v>21.783999999999999</v>
          </cell>
          <cell r="N202">
            <v>6.4815393358385917E-2</v>
          </cell>
          <cell r="P202" t="str">
            <v>-</v>
          </cell>
          <cell r="S202">
            <v>34.854399999999998</v>
          </cell>
          <cell r="U202">
            <v>0.10370462937341747</v>
          </cell>
          <cell r="AC202">
            <v>313</v>
          </cell>
          <cell r="AE202">
            <v>0.50714999999999999</v>
          </cell>
          <cell r="AG202">
            <v>1668.4659090909092</v>
          </cell>
          <cell r="AH202">
            <v>0.83955481404444587</v>
          </cell>
          <cell r="AI202">
            <v>0</v>
          </cell>
          <cell r="AK202">
            <v>0.11135591054313099</v>
          </cell>
          <cell r="AM202">
            <v>68.726017943409246</v>
          </cell>
          <cell r="AO202">
            <v>663.3824213743469</v>
          </cell>
          <cell r="AS202" t="str">
            <v xml:space="preserve">Total rent expense as reported in footnote 5 includes only minimum rent and </v>
          </cell>
        </row>
        <row r="203">
          <cell r="C203">
            <v>2002</v>
          </cell>
          <cell r="D203">
            <v>10</v>
          </cell>
          <cell r="E203">
            <v>10</v>
          </cell>
          <cell r="F203">
            <v>443.25</v>
          </cell>
          <cell r="H203">
            <v>0.05</v>
          </cell>
          <cell r="J203">
            <v>0.12094303440496341</v>
          </cell>
          <cell r="L203">
            <v>30.786999999999999</v>
          </cell>
          <cell r="N203">
            <v>6.9457416807670619E-2</v>
          </cell>
          <cell r="P203" t="str">
            <v>-</v>
          </cell>
          <cell r="S203">
            <v>49.2592</v>
          </cell>
          <cell r="U203">
            <v>0.11113186689227299</v>
          </cell>
          <cell r="AC203">
            <v>398.5</v>
          </cell>
          <cell r="AE203">
            <v>0.6859615</v>
          </cell>
          <cell r="AG203">
            <v>1763.1977528089888</v>
          </cell>
          <cell r="AH203">
            <v>0.74228900100459638</v>
          </cell>
          <cell r="AI203">
            <v>0</v>
          </cell>
          <cell r="AK203">
            <v>0.12361154328732747</v>
          </cell>
          <cell r="AM203">
            <v>71.810444172158356</v>
          </cell>
          <cell r="AO203">
            <v>645.33119343380429</v>
          </cell>
          <cell r="AS203" t="str">
            <v>contingent (percentage) rent. It does not include CAM, RE taxes, or insurance.</v>
          </cell>
        </row>
        <row r="204">
          <cell r="C204">
            <v>2003</v>
          </cell>
          <cell r="D204">
            <v>11</v>
          </cell>
          <cell r="E204">
            <v>11</v>
          </cell>
          <cell r="F204">
            <v>572.03899999999999</v>
          </cell>
          <cell r="H204">
            <v>7.400000000000001E-2</v>
          </cell>
          <cell r="J204">
            <v>0.13252592917615758</v>
          </cell>
          <cell r="L204">
            <v>38.572000000000003</v>
          </cell>
          <cell r="N204">
            <v>6.7428969003861625E-2</v>
          </cell>
          <cell r="P204" t="str">
            <v>-</v>
          </cell>
          <cell r="S204">
            <v>61.71520000000001</v>
          </cell>
          <cell r="U204">
            <v>0.10788635040617862</v>
          </cell>
          <cell r="AC204">
            <v>499.5</v>
          </cell>
          <cell r="AE204">
            <v>0.8916115</v>
          </cell>
          <cell r="AG204">
            <v>1802.5270758122745</v>
          </cell>
          <cell r="AH204">
            <v>0.69733374263571046</v>
          </cell>
          <cell r="AI204">
            <v>0</v>
          </cell>
          <cell r="AK204">
            <v>0.12355395395395398</v>
          </cell>
          <cell r="AM204">
            <v>69.217590845340169</v>
          </cell>
          <cell r="AO204">
            <v>641.57875935875654</v>
          </cell>
          <cell r="AS204" t="str">
            <v>Minimum rent does include HQ/DC rent, and other leases (copiers, vehicles, etc.)</v>
          </cell>
        </row>
        <row r="205">
          <cell r="C205">
            <v>2004</v>
          </cell>
          <cell r="D205">
            <v>12</v>
          </cell>
          <cell r="E205">
            <v>12</v>
          </cell>
          <cell r="F205">
            <v>656.46799999999996</v>
          </cell>
          <cell r="H205">
            <v>-2.8999999999999998E-2</v>
          </cell>
          <cell r="J205">
            <v>9.6534789205262039E-2</v>
          </cell>
          <cell r="L205">
            <v>44.341000000000001</v>
          </cell>
          <cell r="N205">
            <v>6.7544800355843704E-2</v>
          </cell>
          <cell r="P205" t="str">
            <v>-</v>
          </cell>
          <cell r="S205">
            <v>70.945599999999999</v>
          </cell>
          <cell r="U205">
            <v>0.10807168056934992</v>
          </cell>
          <cell r="AC205">
            <v>611</v>
          </cell>
          <cell r="AE205">
            <v>1.1065</v>
          </cell>
          <cell r="AG205">
            <v>1817.9640718562873</v>
          </cell>
          <cell r="AH205">
            <v>0.71346169999899167</v>
          </cell>
          <cell r="AI205">
            <v>0</v>
          </cell>
          <cell r="AK205">
            <v>0.11611391162029459</v>
          </cell>
          <cell r="AM205">
            <v>64.117126073203792</v>
          </cell>
          <cell r="AO205">
            <v>593.28332580207859</v>
          </cell>
          <cell r="AT205" t="str">
            <v>Adjusted Rent Expense Increase Assumption</v>
          </cell>
        </row>
        <row r="206">
          <cell r="A206" t="str">
            <v>HOTT</v>
          </cell>
          <cell r="B206" t="str">
            <v>HOTT</v>
          </cell>
          <cell r="C206" t="str">
            <v>2005 (total revs.)</v>
          </cell>
          <cell r="D206">
            <v>13</v>
          </cell>
          <cell r="E206">
            <v>13</v>
          </cell>
          <cell r="F206">
            <v>725.14200000000005</v>
          </cell>
          <cell r="H206">
            <v>-3.4042722666732861E-2</v>
          </cell>
          <cell r="J206">
            <v>4.6472277153991957E-2</v>
          </cell>
          <cell r="L206">
            <v>50.71</v>
          </cell>
          <cell r="N206">
            <v>6.993113073025696E-2</v>
          </cell>
          <cell r="P206" t="str">
            <v>-</v>
          </cell>
          <cell r="R206">
            <v>0.6</v>
          </cell>
          <cell r="S206">
            <v>81.13600000000001</v>
          </cell>
          <cell r="U206">
            <v>0.11088980916841115</v>
          </cell>
          <cell r="Y206">
            <v>-28.181285990612341</v>
          </cell>
          <cell r="AA206">
            <v>0</v>
          </cell>
          <cell r="AC206">
            <v>725.5</v>
          </cell>
          <cell r="AE206">
            <v>1.33355</v>
          </cell>
          <cell r="AG206">
            <v>1855.3001277139208</v>
          </cell>
          <cell r="AH206">
            <v>0.64503913201248819</v>
          </cell>
          <cell r="AI206">
            <v>0.64503913201248819</v>
          </cell>
          <cell r="AK206">
            <v>0.11183459682977258</v>
          </cell>
          <cell r="AM206">
            <v>60.842113156612058</v>
          </cell>
          <cell r="AO206">
            <v>543.76813767762746</v>
          </cell>
          <cell r="AQ206" t="str">
            <v>We estimate achieves lvg. at +LSD comp.</v>
          </cell>
          <cell r="BB206">
            <v>0.20519656574785361</v>
          </cell>
        </row>
        <row r="207">
          <cell r="A207" t="str">
            <v>HOTT2006</v>
          </cell>
          <cell r="B207" t="str">
            <v>HOTT</v>
          </cell>
          <cell r="C207" t="str">
            <v>2006 (total revs.)</v>
          </cell>
          <cell r="D207">
            <v>14</v>
          </cell>
          <cell r="E207">
            <v>14</v>
          </cell>
          <cell r="F207">
            <v>751.55799999999999</v>
          </cell>
          <cell r="H207">
            <v>-6.6000000000000003E-2</v>
          </cell>
          <cell r="J207">
            <v>2.8699049175180191E-2</v>
          </cell>
          <cell r="L207">
            <v>52.305</v>
          </cell>
          <cell r="N207">
            <v>6.9595427099438764E-2</v>
          </cell>
          <cell r="P207" t="str">
            <v>-</v>
          </cell>
          <cell r="R207">
            <v>0.6</v>
          </cell>
          <cell r="S207">
            <v>83.688000000000002</v>
          </cell>
          <cell r="U207">
            <v>0.11135268335910203</v>
          </cell>
          <cell r="Y207">
            <v>-4.628741906908818</v>
          </cell>
          <cell r="AA207">
            <v>0</v>
          </cell>
          <cell r="AC207">
            <v>804</v>
          </cell>
          <cell r="AE207">
            <v>1.4969999999999999</v>
          </cell>
          <cell r="AG207">
            <v>1868.2424242424242</v>
          </cell>
          <cell r="AH207">
            <v>0.77638635651709942</v>
          </cell>
          <cell r="AI207">
            <v>0.65985622194357585</v>
          </cell>
          <cell r="AK207">
            <v>0.10408955223880598</v>
          </cell>
          <cell r="AM207">
            <v>55.90380761523047</v>
          </cell>
          <cell r="AO207">
            <v>502.04275217100871</v>
          </cell>
          <cell r="AR207" t="str">
            <v>LVG</v>
          </cell>
          <cell r="BB207">
            <v>0.12256758276780011</v>
          </cell>
        </row>
        <row r="208">
          <cell r="A208" t="str">
            <v>HOTT2007</v>
          </cell>
          <cell r="B208" t="str">
            <v>HOTT</v>
          </cell>
          <cell r="C208" t="str">
            <v>2007 (total revs.)</v>
          </cell>
          <cell r="D208">
            <v>15</v>
          </cell>
          <cell r="E208">
            <v>15</v>
          </cell>
          <cell r="F208">
            <v>728.12199999999996</v>
          </cell>
          <cell r="H208">
            <v>-4.3672477963857703E-2</v>
          </cell>
          <cell r="J208">
            <v>3.3369407873955148E-2</v>
          </cell>
          <cell r="L208">
            <v>54.707000000000001</v>
          </cell>
          <cell r="N208">
            <v>7.5134386819791191E-2</v>
          </cell>
          <cell r="P208" t="str">
            <v>-</v>
          </cell>
          <cell r="S208">
            <v>87.531200000000013</v>
          </cell>
          <cell r="U208">
            <v>0.12021501891166593</v>
          </cell>
          <cell r="Y208">
            <v>-88.623355525638971</v>
          </cell>
          <cell r="AA208">
            <v>0</v>
          </cell>
          <cell r="AC208">
            <v>833</v>
          </cell>
          <cell r="AE208">
            <v>1.5644499999999999</v>
          </cell>
          <cell r="AG208">
            <v>1887.7526753864447</v>
          </cell>
          <cell r="AH208">
            <v>-4.2119313612750689E-2</v>
          </cell>
          <cell r="AI208">
            <v>0.25599600043235293</v>
          </cell>
          <cell r="AK208">
            <v>0.1050794717887155</v>
          </cell>
          <cell r="AM208">
            <v>55.950142222506322</v>
          </cell>
          <cell r="AO208">
            <v>465.41723928537186</v>
          </cell>
          <cell r="AR208">
            <v>50.09401586675191</v>
          </cell>
          <cell r="BB208">
            <v>4.5056780227120896E-2</v>
          </cell>
        </row>
        <row r="209">
          <cell r="A209" t="str">
            <v>HOTT2008</v>
          </cell>
          <cell r="B209" t="str">
            <v>HOTT</v>
          </cell>
          <cell r="C209" t="str">
            <v>2008 (total revs.)</v>
          </cell>
          <cell r="D209">
            <v>16</v>
          </cell>
          <cell r="E209">
            <v>16</v>
          </cell>
          <cell r="F209">
            <v>761.07400000000007</v>
          </cell>
          <cell r="H209">
            <v>0.01</v>
          </cell>
          <cell r="J209">
            <v>4.0496719110099784E-2</v>
          </cell>
          <cell r="L209">
            <v>54.8</v>
          </cell>
          <cell r="N209">
            <v>7.2003510828119205E-2</v>
          </cell>
          <cell r="P209" t="str">
            <v>-</v>
          </cell>
          <cell r="S209">
            <v>87.68</v>
          </cell>
          <cell r="U209">
            <v>0.11520561732499074</v>
          </cell>
          <cell r="Y209">
            <v>50.09401586675191</v>
          </cell>
          <cell r="AA209">
            <v>0</v>
          </cell>
          <cell r="AC209">
            <v>840.5</v>
          </cell>
          <cell r="AE209">
            <v>1.5904499999999999</v>
          </cell>
          <cell r="AG209">
            <v>1896.7857142857142</v>
          </cell>
          <cell r="AH209">
            <v>1.1089599247168989</v>
          </cell>
          <cell r="AI209">
            <v>1.1089599247169124</v>
          </cell>
          <cell r="AK209">
            <v>0.10431885782272457</v>
          </cell>
          <cell r="AM209">
            <v>55.129051526297594</v>
          </cell>
          <cell r="AO209">
            <v>478.52746078153979</v>
          </cell>
          <cell r="AR209">
            <v>59.576173249907413</v>
          </cell>
          <cell r="BB209">
            <v>1.6619259164562639E-2</v>
          </cell>
        </row>
        <row r="210">
          <cell r="A210" t="str">
            <v>HOTT2009</v>
          </cell>
          <cell r="B210" t="str">
            <v>HOTT</v>
          </cell>
          <cell r="C210" t="str">
            <v>2009E (total revs.)</v>
          </cell>
          <cell r="D210">
            <v>17</v>
          </cell>
          <cell r="E210">
            <v>17</v>
          </cell>
          <cell r="F210">
            <v>736.71</v>
          </cell>
          <cell r="H210">
            <v>-4.6097709933385057E-2</v>
          </cell>
          <cell r="J210">
            <v>2.6125612520530563E-2</v>
          </cell>
          <cell r="L210">
            <v>50.3025588</v>
          </cell>
          <cell r="N210">
            <v>6.8279999999999993E-2</v>
          </cell>
          <cell r="P210" t="str">
            <v>-</v>
          </cell>
          <cell r="S210">
            <v>80.484094080000006</v>
          </cell>
          <cell r="U210">
            <v>0.109248</v>
          </cell>
          <cell r="Y210">
            <v>59.576173249907413</v>
          </cell>
          <cell r="AA210">
            <v>0</v>
          </cell>
          <cell r="AC210">
            <v>838</v>
          </cell>
          <cell r="AE210">
            <v>1.5897515</v>
          </cell>
          <cell r="AG210">
            <v>1897.3720095693782</v>
          </cell>
          <cell r="AH210">
            <v>12.064675922680625</v>
          </cell>
          <cell r="AI210">
            <v>0</v>
          </cell>
          <cell r="AK210">
            <v>9.6043071694510748E-2</v>
          </cell>
          <cell r="AM210">
            <v>50.626839528064608</v>
          </cell>
          <cell r="AO210">
            <v>463.41204899004651</v>
          </cell>
          <cell r="BA210">
            <v>-8.207009489051087E-2</v>
          </cell>
          <cell r="BB210">
            <v>-4.3918387877639464E-4</v>
          </cell>
          <cell r="BC210">
            <v>-8.1630911011734475E-2</v>
          </cell>
        </row>
        <row r="212">
          <cell r="C212" t="str">
            <v>1999 = Trough rent</v>
          </cell>
          <cell r="F212">
            <v>168.94900000000001</v>
          </cell>
          <cell r="H212">
            <v>0.22800000000000001</v>
          </cell>
          <cell r="I212">
            <v>0</v>
          </cell>
          <cell r="J212">
            <v>0.11957454616481908</v>
          </cell>
          <cell r="K212">
            <v>0</v>
          </cell>
          <cell r="L212">
            <v>10.364345</v>
          </cell>
          <cell r="M212">
            <v>0</v>
          </cell>
          <cell r="N212">
            <v>6.1345997904693125E-2</v>
          </cell>
          <cell r="O212">
            <v>0</v>
          </cell>
          <cell r="P212" t="str">
            <v>-</v>
          </cell>
          <cell r="Q212">
            <v>0</v>
          </cell>
          <cell r="S212">
            <v>16.582952000000002</v>
          </cell>
          <cell r="T212">
            <v>0</v>
          </cell>
          <cell r="U212">
            <v>9.8153596647509014E-2</v>
          </cell>
          <cell r="Z212">
            <v>0</v>
          </cell>
          <cell r="AB212">
            <v>0</v>
          </cell>
          <cell r="AC212">
            <v>185</v>
          </cell>
          <cell r="AD212">
            <v>0</v>
          </cell>
          <cell r="AE212">
            <v>0.27118619582664527</v>
          </cell>
          <cell r="AF212">
            <v>0</v>
          </cell>
          <cell r="AG212">
            <v>1482.0707547169811</v>
          </cell>
          <cell r="AH212">
            <v>0.9632613866155374</v>
          </cell>
          <cell r="AI212">
            <v>0.9632613866155374</v>
          </cell>
          <cell r="AJ212">
            <v>0</v>
          </cell>
          <cell r="AK212">
            <v>8.9637578378378394E-2</v>
          </cell>
          <cell r="AL212">
            <v>0</v>
          </cell>
          <cell r="AM212">
            <v>61.149690711398122</v>
          </cell>
          <cell r="AN212">
            <v>0</v>
          </cell>
          <cell r="AO212">
            <v>623</v>
          </cell>
          <cell r="AR212">
            <v>-9.3448933644288523E-2</v>
          </cell>
        </row>
        <row r="214">
          <cell r="A214" t="str">
            <v>KORS2008</v>
          </cell>
          <cell r="B214" t="str">
            <v>KORS</v>
          </cell>
          <cell r="C214">
            <v>2008</v>
          </cell>
          <cell r="D214">
            <v>5</v>
          </cell>
          <cell r="E214">
            <v>6</v>
          </cell>
          <cell r="F214">
            <v>114.03099999999995</v>
          </cell>
          <cell r="G214">
            <v>397.07399999999996</v>
          </cell>
          <cell r="H214">
            <v>0</v>
          </cell>
          <cell r="J214">
            <v>6.1041518709359033E-2</v>
          </cell>
          <cell r="L214">
            <v>20.265000000000001</v>
          </cell>
          <cell r="N214">
            <v>0.17771483193166779</v>
          </cell>
          <cell r="P214">
            <v>5.1035827075054024E-2</v>
          </cell>
          <cell r="R214">
            <v>0.22500000000000001</v>
          </cell>
          <cell r="S214">
            <v>24.824625000000001</v>
          </cell>
          <cell r="U214">
            <v>0.21770066911629304</v>
          </cell>
          <cell r="W214">
            <v>6.2518888166941178E-2</v>
          </cell>
          <cell r="AC214">
            <v>37</v>
          </cell>
          <cell r="AE214">
            <v>9.3181E-2</v>
          </cell>
          <cell r="AG214">
            <v>2518.4054054054054</v>
          </cell>
          <cell r="AH214" t="e">
            <v>#N/A</v>
          </cell>
          <cell r="AI214">
            <v>0</v>
          </cell>
          <cell r="AK214">
            <v>0.67093581081081088</v>
          </cell>
          <cell r="AM214">
            <v>266.41294899174727</v>
          </cell>
          <cell r="AO214">
            <v>1223.758062265912</v>
          </cell>
          <cell r="AP214">
            <v>1223.758062265912</v>
          </cell>
          <cell r="AQ214" t="str">
            <v>For KORS only sales/sqft calculated with store sales only. store sales excl. Licensing/Wholesale/Other sales ($675M in '11). Note FY12 is currently in 4Q, data represents FY estimates.</v>
          </cell>
          <cell r="AR214">
            <v>1487.6586056199717</v>
          </cell>
          <cell r="AU214">
            <v>1487.6586056199717</v>
          </cell>
          <cell r="AY214">
            <v>20.015999999999998</v>
          </cell>
          <cell r="AZ214">
            <v>263.02699999999999</v>
          </cell>
        </row>
        <row r="215">
          <cell r="A215" t="str">
            <v>KORS2009</v>
          </cell>
          <cell r="B215" t="str">
            <v>KORS</v>
          </cell>
          <cell r="C215">
            <v>2009</v>
          </cell>
          <cell r="D215">
            <v>6</v>
          </cell>
          <cell r="E215">
            <v>7</v>
          </cell>
          <cell r="F215">
            <v>483.45299999999997</v>
          </cell>
          <cell r="G215">
            <v>508.09999999999997</v>
          </cell>
          <cell r="H215">
            <v>0</v>
          </cell>
          <cell r="J215">
            <v>0.11055894508954933</v>
          </cell>
          <cell r="L215">
            <v>27.317</v>
          </cell>
          <cell r="N215">
            <v>5.6503941437947437E-2</v>
          </cell>
          <cell r="P215">
            <v>5.3763038771895297E-2</v>
          </cell>
          <cell r="R215">
            <v>0.22</v>
          </cell>
          <cell r="S215">
            <v>33.326740000000001</v>
          </cell>
          <cell r="U215">
            <v>6.8934808554295873E-2</v>
          </cell>
          <cell r="W215">
            <v>6.559090730171227E-2</v>
          </cell>
          <cell r="Y215">
            <v>1487.6586056199717</v>
          </cell>
          <cell r="AA215">
            <v>-30.720191347710923</v>
          </cell>
          <cell r="AC215">
            <v>90</v>
          </cell>
          <cell r="AE215">
            <v>9.3387871572530881E-2</v>
          </cell>
          <cell r="AG215">
            <v>1037.6430174725654</v>
          </cell>
          <cell r="AH215" t="e">
            <v>#N/A</v>
          </cell>
          <cell r="AI215">
            <v>3.6379999999999999</v>
          </cell>
          <cell r="AK215">
            <v>0.37029711111111113</v>
          </cell>
          <cell r="AM215">
            <v>356.86368517475381</v>
          </cell>
          <cell r="AO215">
            <v>5176.8285523513623</v>
          </cell>
          <cell r="AP215">
            <v>5176.8285523513623</v>
          </cell>
          <cell r="AR215">
            <v>-62.997325311370673</v>
          </cell>
          <cell r="AS215">
            <v>1.4324324324324325</v>
          </cell>
          <cell r="AU215">
            <v>1424.6612803086009</v>
          </cell>
          <cell r="AY215">
            <v>24.646999999999998</v>
          </cell>
          <cell r="AZ215">
            <v>0</v>
          </cell>
          <cell r="BA215">
            <v>2.2201046622261078E-3</v>
          </cell>
        </row>
        <row r="216">
          <cell r="A216" t="str">
            <v>KORS2010</v>
          </cell>
          <cell r="B216" t="str">
            <v>KORS</v>
          </cell>
          <cell r="C216">
            <v>2010</v>
          </cell>
          <cell r="D216">
            <v>7</v>
          </cell>
          <cell r="E216">
            <v>8</v>
          </cell>
          <cell r="F216">
            <v>757.79900000000009</v>
          </cell>
          <cell r="G216">
            <v>803.33860000000004</v>
          </cell>
          <cell r="H216">
            <v>0</v>
          </cell>
          <cell r="J216">
            <v>0.17037099922747398</v>
          </cell>
          <cell r="L216">
            <v>46.923999999999999</v>
          </cell>
          <cell r="N216">
            <v>6.1921432992125873E-2</v>
          </cell>
          <cell r="P216">
            <v>5.8411235312233217E-2</v>
          </cell>
          <cell r="R216">
            <v>0.215</v>
          </cell>
          <cell r="S216">
            <v>57.012660000000004</v>
          </cell>
          <cell r="U216">
            <v>7.523454108543294E-2</v>
          </cell>
          <cell r="W216">
            <v>7.0969650904363371E-2</v>
          </cell>
          <cell r="Y216">
            <v>-62.997325311370673</v>
          </cell>
          <cell r="AA216">
            <v>-53.78743602651101</v>
          </cell>
          <cell r="AC216">
            <v>136</v>
          </cell>
          <cell r="AE216">
            <v>4.1039723788682526E-4</v>
          </cell>
          <cell r="AG216">
            <v>3.017626749167833</v>
          </cell>
          <cell r="AH216" t="e">
            <v>#N/A</v>
          </cell>
          <cell r="AI216">
            <v>4.024</v>
          </cell>
          <cell r="AK216">
            <v>0.41921073529411768</v>
          </cell>
          <cell r="AM216">
            <v>138920.67181924434</v>
          </cell>
          <cell r="AO216">
            <v>1846501.2189214036</v>
          </cell>
          <cell r="AP216">
            <v>1846501.2189214036</v>
          </cell>
          <cell r="AR216">
            <v>42.284862719047105</v>
          </cell>
          <cell r="AS216">
            <v>0.51111111111111107</v>
          </cell>
          <cell r="AY216">
            <v>45.5396</v>
          </cell>
          <cell r="AZ216">
            <v>0</v>
          </cell>
          <cell r="BA216">
            <v>-0.99560545463799244</v>
          </cell>
        </row>
        <row r="217">
          <cell r="A217" t="str">
            <v>KORS2011</v>
          </cell>
          <cell r="B217" t="str">
            <v>KORS</v>
          </cell>
          <cell r="C217">
            <v>2011</v>
          </cell>
          <cell r="D217">
            <v>8</v>
          </cell>
          <cell r="E217">
            <v>9</v>
          </cell>
          <cell r="F217">
            <v>1236.702</v>
          </cell>
          <cell r="G217">
            <v>1301.857</v>
          </cell>
          <cell r="H217">
            <v>0</v>
          </cell>
          <cell r="J217">
            <v>0.20914048163507978</v>
          </cell>
          <cell r="L217">
            <v>72.572999999999993</v>
          </cell>
          <cell r="N217">
            <v>5.8682689928535731E-2</v>
          </cell>
          <cell r="P217">
            <v>5.5745753949934591E-2</v>
          </cell>
          <cell r="R217">
            <v>0.21</v>
          </cell>
          <cell r="S217">
            <v>87.813329999999993</v>
          </cell>
          <cell r="U217">
            <v>7.100605481352823E-2</v>
          </cell>
          <cell r="W217">
            <v>6.7452362279420849E-2</v>
          </cell>
          <cell r="Y217">
            <v>42.284862719047105</v>
          </cell>
          <cell r="AA217">
            <v>35.172886249425218</v>
          </cell>
          <cell r="AC217">
            <v>201.5</v>
          </cell>
          <cell r="AE217">
            <v>4.265324118147954E-4</v>
          </cell>
          <cell r="AG217">
            <v>2.1167861628525824</v>
          </cell>
          <cell r="AH217" t="e">
            <v>#N/A</v>
          </cell>
          <cell r="AI217">
            <v>4.2779999999999996</v>
          </cell>
          <cell r="AK217">
            <v>0.4357981637717121</v>
          </cell>
          <cell r="AM217">
            <v>205877.27349106921</v>
          </cell>
          <cell r="AO217">
            <v>2899432.647423259</v>
          </cell>
          <cell r="AP217">
            <v>2899432.647423259</v>
          </cell>
          <cell r="AR217">
            <v>37.976276349204056</v>
          </cell>
          <cell r="AS217">
            <v>0.48161764705882359</v>
          </cell>
          <cell r="AY217">
            <v>65.155000000000001</v>
          </cell>
          <cell r="AZ217">
            <v>0</v>
          </cell>
          <cell r="BA217">
            <v>3.9315990553571156E-2</v>
          </cell>
        </row>
        <row r="218">
          <cell r="A218" t="str">
            <v>KORS2012</v>
          </cell>
          <cell r="B218" t="str">
            <v>KORS</v>
          </cell>
          <cell r="C218">
            <v>2012</v>
          </cell>
          <cell r="D218">
            <v>9</v>
          </cell>
          <cell r="E218">
            <v>10</v>
          </cell>
          <cell r="F218">
            <v>2094.9360000000001</v>
          </cell>
          <cell r="G218">
            <v>2181.8760000000002</v>
          </cell>
          <cell r="H218">
            <v>0</v>
          </cell>
          <cell r="J218">
            <v>0.27807961145283255</v>
          </cell>
          <cell r="L218">
            <v>116.26536217988766</v>
          </cell>
          <cell r="N218">
            <v>5.5498288339065081E-2</v>
          </cell>
          <cell r="P218">
            <v>5.3286878896824409E-2</v>
          </cell>
          <cell r="R218">
            <v>0.21099999999999999</v>
          </cell>
          <cell r="S218">
            <v>140.79735359984397</v>
          </cell>
          <cell r="U218">
            <v>6.7208427178607824E-2</v>
          </cell>
          <cell r="W218">
            <v>6.4530410344054365E-2</v>
          </cell>
          <cell r="Y218">
            <v>37.976276349204056</v>
          </cell>
          <cell r="AA218">
            <v>29.219519353664847</v>
          </cell>
          <cell r="AC218">
            <v>270.5</v>
          </cell>
          <cell r="AE218">
            <v>3.4961665288653766E-4</v>
          </cell>
          <cell r="AG218">
            <v>1.2924830051258325</v>
          </cell>
          <cell r="AH218" t="e">
            <v>#N/A</v>
          </cell>
          <cell r="AI218">
            <v>4.4009999999999998</v>
          </cell>
          <cell r="AK218">
            <v>0.52050777670921988</v>
          </cell>
          <cell r="AM218">
            <v>402719.24245421297</v>
          </cell>
          <cell r="AO218">
            <v>5992094.4345859783</v>
          </cell>
          <cell r="AP218">
            <v>5992094.4345859783</v>
          </cell>
          <cell r="AR218">
            <v>32.241586930621821</v>
          </cell>
          <cell r="AS218">
            <v>0.3424317617866004</v>
          </cell>
          <cell r="AY218">
            <v>86.94</v>
          </cell>
          <cell r="AZ218">
            <v>0</v>
          </cell>
          <cell r="BA218">
            <v>-0.18032805197851021</v>
          </cell>
        </row>
        <row r="219">
          <cell r="A219" t="str">
            <v>KORS2013</v>
          </cell>
          <cell r="B219" t="str">
            <v>KORS</v>
          </cell>
          <cell r="C219" t="str">
            <v>2013e</v>
          </cell>
          <cell r="D219">
            <v>10</v>
          </cell>
          <cell r="E219">
            <v>11</v>
          </cell>
          <cell r="F219">
            <v>2846.5395983040257</v>
          </cell>
          <cell r="G219">
            <v>2986.8905983040258</v>
          </cell>
          <cell r="H219">
            <v>0</v>
          </cell>
          <cell r="J219">
            <v>0.26883880286089917</v>
          </cell>
          <cell r="L219">
            <v>150.39946648441122</v>
          </cell>
          <cell r="N219">
            <v>5.2835894703175582E-2</v>
          </cell>
          <cell r="P219">
            <v>5.035318888807274E-2</v>
          </cell>
          <cell r="R219">
            <v>0.21099999999999999</v>
          </cell>
          <cell r="S219">
            <v>182.13375391262201</v>
          </cell>
          <cell r="U219">
            <v>6.3984268485545642E-2</v>
          </cell>
          <cell r="W219">
            <v>6.0977711743456099E-2</v>
          </cell>
          <cell r="Y219">
            <v>32.241586930621821</v>
          </cell>
          <cell r="AA219">
            <v>35.526986005982657</v>
          </cell>
          <cell r="AC219">
            <v>354.5</v>
          </cell>
          <cell r="AE219">
            <v>1.6521559532391717E-4</v>
          </cell>
          <cell r="AG219">
            <v>0.46605245507451948</v>
          </cell>
          <cell r="AH219" t="e">
            <v>#N/A</v>
          </cell>
          <cell r="AI219">
            <v>0</v>
          </cell>
          <cell r="AK219">
            <v>0.51377645673518202</v>
          </cell>
          <cell r="AM219">
            <v>1102400.4940667711</v>
          </cell>
          <cell r="AO219">
            <v>17229242.752315108</v>
          </cell>
          <cell r="AP219">
            <v>17229242.752315108</v>
          </cell>
          <cell r="AY219">
            <v>140.351</v>
          </cell>
          <cell r="AZ219">
            <v>0</v>
          </cell>
          <cell r="BA219">
            <v>-0.52743785526276077</v>
          </cell>
        </row>
        <row r="220">
          <cell r="C220" t="str">
            <v>2012e = Trough rent</v>
          </cell>
          <cell r="F220">
            <v>2846.5395983040257</v>
          </cell>
          <cell r="G220">
            <v>2986.8905983040258</v>
          </cell>
          <cell r="H220">
            <v>0</v>
          </cell>
          <cell r="J220">
            <v>0.26883880286089917</v>
          </cell>
          <cell r="L220">
            <v>150.39946648441122</v>
          </cell>
          <cell r="N220">
            <v>5.2835894703175582E-2</v>
          </cell>
          <cell r="P220">
            <v>5.035318888807274E-2</v>
          </cell>
          <cell r="S220">
            <v>182.13375391262201</v>
          </cell>
          <cell r="U220">
            <v>6.3984268485545642E-2</v>
          </cell>
          <cell r="W220">
            <v>6.0977711743456099E-2</v>
          </cell>
          <cell r="Z220">
            <v>0</v>
          </cell>
          <cell r="AB220">
            <v>0</v>
          </cell>
          <cell r="AC220">
            <v>354.5</v>
          </cell>
          <cell r="AE220">
            <v>1.6521559532391717E-4</v>
          </cell>
          <cell r="AG220">
            <v>0.46605245507451948</v>
          </cell>
          <cell r="AH220">
            <v>0.71346169999899167</v>
          </cell>
          <cell r="AI220">
            <v>0.71346169999899167</v>
          </cell>
          <cell r="AK220">
            <v>0.51377645673518202</v>
          </cell>
          <cell r="AM220">
            <v>1102400.4940667711</v>
          </cell>
          <cell r="AO220">
            <v>17229242.752315108</v>
          </cell>
          <cell r="AP220">
            <v>17229242.752315108</v>
          </cell>
          <cell r="AR220">
            <v>-0.15827985777134984</v>
          </cell>
          <cell r="AS220">
            <v>42204</v>
          </cell>
          <cell r="AT220">
            <v>30818</v>
          </cell>
          <cell r="AU220">
            <v>21185</v>
          </cell>
          <cell r="AV220" t="str">
            <v>total rent expense</v>
          </cell>
        </row>
        <row r="223">
          <cell r="AI223">
            <v>0</v>
          </cell>
        </row>
        <row r="224">
          <cell r="C224">
            <v>1998</v>
          </cell>
          <cell r="D224">
            <v>10</v>
          </cell>
          <cell r="E224">
            <v>20</v>
          </cell>
          <cell r="F224">
            <v>5824</v>
          </cell>
          <cell r="H224">
            <v>0.06</v>
          </cell>
          <cell r="J224">
            <v>7.2743971904971033E-2</v>
          </cell>
          <cell r="L224">
            <v>728.88199999999995</v>
          </cell>
          <cell r="N224">
            <v>0.12515144230769229</v>
          </cell>
          <cell r="P224" t="str">
            <v>-</v>
          </cell>
          <cell r="S224">
            <v>1056.8788999999999</v>
          </cell>
          <cell r="U224">
            <v>0.18146959134615384</v>
          </cell>
          <cell r="AC224">
            <v>5511</v>
          </cell>
          <cell r="AE224">
            <v>34.197499999999991</v>
          </cell>
          <cell r="AG224">
            <v>6112.0401337792637</v>
          </cell>
          <cell r="AH224">
            <v>-0.59071831008957132</v>
          </cell>
          <cell r="AI224">
            <v>0</v>
          </cell>
          <cell r="AK224">
            <v>0.19177624750499001</v>
          </cell>
          <cell r="AM224">
            <v>30.905150961327589</v>
          </cell>
          <cell r="AO224">
            <v>236.20384531032977</v>
          </cell>
          <cell r="AY224">
            <v>759</v>
          </cell>
          <cell r="AZ224" t="e">
            <v>#N/A</v>
          </cell>
        </row>
        <row r="225">
          <cell r="C225">
            <v>1999</v>
          </cell>
          <cell r="D225">
            <v>11</v>
          </cell>
          <cell r="E225">
            <v>21</v>
          </cell>
          <cell r="F225">
            <v>6330.0669999999991</v>
          </cell>
          <cell r="H225">
            <v>0.08</v>
          </cell>
          <cell r="J225">
            <v>0.10142919829788487</v>
          </cell>
          <cell r="L225">
            <v>721.11500000000001</v>
          </cell>
          <cell r="N225">
            <v>0.11391901539114832</v>
          </cell>
          <cell r="P225" t="str">
            <v>-</v>
          </cell>
          <cell r="S225">
            <v>1045.6167499999999</v>
          </cell>
          <cell r="U225">
            <v>0.16518257231716504</v>
          </cell>
          <cell r="Y225">
            <v>162.87019028988797</v>
          </cell>
          <cell r="AA225">
            <v>0</v>
          </cell>
          <cell r="AC225">
            <v>5202.5</v>
          </cell>
          <cell r="AE225">
            <v>31.192499999999995</v>
          </cell>
          <cell r="AG225">
            <v>5870.9934302209831</v>
          </cell>
          <cell r="AH225">
            <v>-7.8447952616746072E-2</v>
          </cell>
          <cell r="AI225">
            <v>0</v>
          </cell>
          <cell r="AK225">
            <v>0.20098351753964439</v>
          </cell>
          <cell r="AM225">
            <v>33.521415404343998</v>
          </cell>
          <cell r="AO225">
            <v>202.93554540354251</v>
          </cell>
          <cell r="AY225">
            <v>955.99300000000005</v>
          </cell>
          <cell r="AZ225" t="e">
            <v>#N/A</v>
          </cell>
        </row>
        <row r="226">
          <cell r="C226">
            <v>2000</v>
          </cell>
          <cell r="D226">
            <v>12</v>
          </cell>
          <cell r="E226">
            <v>22</v>
          </cell>
          <cell r="F226">
            <v>6959.6849999999995</v>
          </cell>
          <cell r="H226">
            <v>0.05</v>
          </cell>
          <cell r="J226">
            <v>9.9657008851657555E-2</v>
          </cell>
          <cell r="L226">
            <v>711</v>
          </cell>
          <cell r="N226">
            <v>0.10215979602525115</v>
          </cell>
          <cell r="P226" t="str">
            <v>-</v>
          </cell>
          <cell r="S226">
            <v>1030.95</v>
          </cell>
          <cell r="U226">
            <v>0.14813170423661418</v>
          </cell>
          <cell r="Y226">
            <v>170.50868080550867</v>
          </cell>
          <cell r="AA226">
            <v>0</v>
          </cell>
          <cell r="AC226">
            <v>5076</v>
          </cell>
          <cell r="AE226">
            <v>29.259999999999998</v>
          </cell>
          <cell r="AG226">
            <v>5659.9727042308441</v>
          </cell>
          <cell r="AH226">
            <v>-0.7984096220623913</v>
          </cell>
          <cell r="AI226">
            <v>0</v>
          </cell>
          <cell r="AK226">
            <v>0.20310283687943265</v>
          </cell>
          <cell r="AM226">
            <v>35.234107997265895</v>
          </cell>
          <cell r="AO226">
            <v>237.85663021189336</v>
          </cell>
          <cell r="AY226">
            <v>962.44299999999998</v>
          </cell>
          <cell r="AZ226" t="e">
            <v>#N/A</v>
          </cell>
        </row>
        <row r="227">
          <cell r="C227">
            <v>2001</v>
          </cell>
          <cell r="D227">
            <v>13</v>
          </cell>
          <cell r="E227">
            <v>23</v>
          </cell>
          <cell r="F227">
            <v>6811.4380000000001</v>
          </cell>
          <cell r="G227">
            <v>6811.4380000000001</v>
          </cell>
          <cell r="H227">
            <v>-0.03</v>
          </cell>
          <cell r="J227">
            <v>8.6788245324810775E-2</v>
          </cell>
          <cell r="L227">
            <v>535</v>
          </cell>
          <cell r="N227">
            <v>7.8544354363939015E-2</v>
          </cell>
          <cell r="P227">
            <v>7.8544354363939015E-2</v>
          </cell>
          <cell r="S227">
            <v>775.75</v>
          </cell>
          <cell r="U227">
            <v>0.11388931382771156</v>
          </cell>
          <cell r="Y227">
            <v>342.42390408902617</v>
          </cell>
          <cell r="AA227">
            <v>0</v>
          </cell>
          <cell r="AC227">
            <v>4871.5</v>
          </cell>
          <cell r="AE227">
            <v>27.106249999999996</v>
          </cell>
          <cell r="AG227">
            <v>5457.8456870394448</v>
          </cell>
          <cell r="AH227">
            <v>-0.11818363136128313</v>
          </cell>
          <cell r="AI227">
            <v>0</v>
          </cell>
          <cell r="AK227">
            <v>0.15924253310068767</v>
          </cell>
          <cell r="AM227">
            <v>28.618860963799865</v>
          </cell>
          <cell r="AO227">
            <v>251.28662208900167</v>
          </cell>
          <cell r="AS227" t="str">
            <v>Total rent expense as reported in footnote 7 includes minimum rent and contingent</v>
          </cell>
          <cell r="AY227">
            <v>869.07500000000005</v>
          </cell>
          <cell r="AZ227" t="e">
            <v>#N/A</v>
          </cell>
        </row>
        <row r="228">
          <cell r="C228">
            <v>2002</v>
          </cell>
          <cell r="D228">
            <v>14</v>
          </cell>
          <cell r="E228">
            <v>24</v>
          </cell>
          <cell r="F228">
            <v>7139</v>
          </cell>
          <cell r="G228">
            <v>7139</v>
          </cell>
          <cell r="H228">
            <v>0.03</v>
          </cell>
          <cell r="J228">
            <v>0.10322909618321845</v>
          </cell>
          <cell r="L228">
            <v>536</v>
          </cell>
          <cell r="N228">
            <v>7.5080543493486487E-2</v>
          </cell>
          <cell r="P228">
            <v>7.5080543493486487E-2</v>
          </cell>
          <cell r="S228">
            <v>777.19999999999993</v>
          </cell>
          <cell r="U228">
            <v>0.10886678806555539</v>
          </cell>
          <cell r="Y228">
            <v>50.225257621561717</v>
          </cell>
          <cell r="AA228">
            <v>0</v>
          </cell>
          <cell r="AC228">
            <v>4325</v>
          </cell>
          <cell r="AE228">
            <v>22.776874999999997</v>
          </cell>
          <cell r="AG228">
            <v>5047.3860257680863</v>
          </cell>
          <cell r="AH228">
            <v>-0.11326157930742181</v>
          </cell>
          <cell r="AI228">
            <v>0</v>
          </cell>
          <cell r="AK228">
            <v>0.17969942196531791</v>
          </cell>
          <cell r="AM228">
            <v>34.122328019098319</v>
          </cell>
          <cell r="AO228">
            <v>313.43193480229405</v>
          </cell>
          <cell r="AS228" t="str">
            <v>(percentage) rent. It does not include CAM, RE taxes, or insurance.</v>
          </cell>
          <cell r="AY228">
            <v>939</v>
          </cell>
          <cell r="AZ228" t="e">
            <v>#N/A</v>
          </cell>
        </row>
        <row r="229">
          <cell r="C229">
            <v>2003</v>
          </cell>
          <cell r="D229">
            <v>15</v>
          </cell>
          <cell r="E229">
            <v>25</v>
          </cell>
          <cell r="F229">
            <v>7452.4710000000005</v>
          </cell>
          <cell r="G229">
            <v>7452.4710000000005</v>
          </cell>
          <cell r="H229">
            <v>0.04</v>
          </cell>
          <cell r="J229">
            <v>0.10779854380260956</v>
          </cell>
          <cell r="L229">
            <v>560</v>
          </cell>
          <cell r="N229">
            <v>7.5142862011807893E-2</v>
          </cell>
          <cell r="P229">
            <v>7.5142862011807893E-2</v>
          </cell>
          <cell r="S229">
            <v>812</v>
          </cell>
          <cell r="U229">
            <v>0.10895714991712144</v>
          </cell>
          <cell r="W229">
            <v>0.10895714991712144</v>
          </cell>
          <cell r="Y229">
            <v>-0.90361851566050921</v>
          </cell>
          <cell r="AA229">
            <v>-1089.5714991712143</v>
          </cell>
          <cell r="AC229">
            <v>3973.5</v>
          </cell>
          <cell r="AE229">
            <v>20.209374999999998</v>
          </cell>
          <cell r="AG229">
            <v>5125.9268729225259</v>
          </cell>
          <cell r="AH229">
            <v>-3.4683402898325215E-2</v>
          </cell>
          <cell r="AI229">
            <v>0</v>
          </cell>
          <cell r="AK229">
            <v>0.20435384421794389</v>
          </cell>
          <cell r="AM229">
            <v>40.179372197309419</v>
          </cell>
          <cell r="AO229">
            <v>368.76306169785067</v>
          </cell>
          <cell r="AP229">
            <v>368.76306169785067</v>
          </cell>
          <cell r="AT229" t="str">
            <v>Adjusted Rent Expense Increase Assumption</v>
          </cell>
          <cell r="AY229">
            <v>995.3</v>
          </cell>
          <cell r="AZ229" t="e">
            <v>#N/A</v>
          </cell>
        </row>
        <row r="230">
          <cell r="C230">
            <v>2004</v>
          </cell>
          <cell r="D230">
            <v>16</v>
          </cell>
          <cell r="E230">
            <v>26</v>
          </cell>
          <cell r="F230">
            <v>7771.6320000000005</v>
          </cell>
          <cell r="G230">
            <v>7771.6320000000005</v>
          </cell>
          <cell r="H230">
            <v>0.04</v>
          </cell>
          <cell r="J230">
            <v>0.10913838741742408</v>
          </cell>
          <cell r="L230">
            <v>570</v>
          </cell>
          <cell r="N230">
            <v>7.3343668356916539E-2</v>
          </cell>
          <cell r="P230">
            <v>7.3343668356916539E-2</v>
          </cell>
          <cell r="S230">
            <v>826.5</v>
          </cell>
          <cell r="U230">
            <v>0.10634831911752897</v>
          </cell>
          <cell r="W230">
            <v>0.10634831911752897</v>
          </cell>
          <cell r="Y230">
            <v>26.08830799592468</v>
          </cell>
          <cell r="AA230">
            <v>26.08830799592468</v>
          </cell>
          <cell r="AC230">
            <v>3845</v>
          </cell>
          <cell r="AE230">
            <v>19.899374999999999</v>
          </cell>
          <cell r="AG230">
            <v>5226.5811061127279</v>
          </cell>
          <cell r="AH230">
            <v>-0.18424419002295231</v>
          </cell>
          <cell r="AI230">
            <v>0</v>
          </cell>
          <cell r="AK230">
            <v>0.21495448634590378</v>
          </cell>
          <cell r="AM230">
            <v>41.533967775369831</v>
          </cell>
          <cell r="AO230">
            <v>390.5465372656177</v>
          </cell>
          <cell r="AP230">
            <v>390.5465372656177</v>
          </cell>
          <cell r="AS230" t="str">
            <v>2005-10K</v>
          </cell>
          <cell r="AY230">
            <v>1119.201</v>
          </cell>
          <cell r="AZ230" t="e">
            <v>#N/A</v>
          </cell>
        </row>
        <row r="231">
          <cell r="A231" t="str">
            <v>LTD</v>
          </cell>
          <cell r="B231" t="str">
            <v>LTD</v>
          </cell>
          <cell r="C231" t="str">
            <v>2005 (net retail sales)</v>
          </cell>
          <cell r="D231">
            <v>17</v>
          </cell>
          <cell r="E231">
            <v>27</v>
          </cell>
          <cell r="F231">
            <v>7845.9229999999989</v>
          </cell>
          <cell r="G231">
            <v>7845.9229999999989</v>
          </cell>
          <cell r="H231">
            <v>-0.01</v>
          </cell>
          <cell r="J231">
            <v>0.1016377206317208</v>
          </cell>
          <cell r="L231">
            <v>596</v>
          </cell>
          <cell r="N231">
            <v>7.5963019264909948E-2</v>
          </cell>
          <cell r="P231">
            <v>7.5963019264909948E-2</v>
          </cell>
          <cell r="R231">
            <v>0.45</v>
          </cell>
          <cell r="S231">
            <v>864.19999999999993</v>
          </cell>
          <cell r="U231">
            <v>0.11014637793411942</v>
          </cell>
          <cell r="W231">
            <v>0.11014637793411942</v>
          </cell>
          <cell r="Y231">
            <v>-37.98058816590455</v>
          </cell>
          <cell r="AA231">
            <v>-37.98058816590455</v>
          </cell>
          <cell r="AC231">
            <v>3684.5</v>
          </cell>
          <cell r="AE231">
            <v>19.458125000000003</v>
          </cell>
          <cell r="AG231">
            <v>5338.4401114206139</v>
          </cell>
          <cell r="AH231">
            <v>-0.88207800362780864</v>
          </cell>
          <cell r="AI231" t="str">
            <v>NA</v>
          </cell>
          <cell r="AK231">
            <v>0.23455014248880443</v>
          </cell>
          <cell r="AM231">
            <v>44.413323483120791</v>
          </cell>
          <cell r="AO231">
            <v>403.22091671217026</v>
          </cell>
          <cell r="AP231">
            <v>403.22091671217026</v>
          </cell>
          <cell r="AQ231" t="str">
            <v>LTD's net retail sales excl. Direct/Other ($2,588mm in 08A). Rent exp. is "total store rent" only &amp; excl. equip. ($64mm in '08). Apparel div's incl. in 2006 &amp; 1H07.</v>
          </cell>
          <cell r="AY231">
            <v>1225.5999999999999</v>
          </cell>
          <cell r="AZ231" t="e">
            <v>#N/A</v>
          </cell>
          <cell r="BA231">
            <v>-2.2174063255755327E-2</v>
          </cell>
          <cell r="BB231">
            <v>-2.2174063255755661E-2</v>
          </cell>
        </row>
        <row r="232">
          <cell r="A232" t="str">
            <v>LTD2006</v>
          </cell>
          <cell r="B232" t="str">
            <v>LTD</v>
          </cell>
          <cell r="C232" t="str">
            <v>2006 (net retail sales)</v>
          </cell>
          <cell r="D232">
            <v>18</v>
          </cell>
          <cell r="E232">
            <v>28</v>
          </cell>
          <cell r="F232">
            <v>8520.7049999999999</v>
          </cell>
          <cell r="G232">
            <v>8520.7049999999999</v>
          </cell>
          <cell r="H232">
            <v>7.0000000000000007E-2</v>
          </cell>
          <cell r="J232">
            <v>0.11021733644006292</v>
          </cell>
          <cell r="L232">
            <v>567</v>
          </cell>
          <cell r="N232">
            <v>6.6543789510375026E-2</v>
          </cell>
          <cell r="P232">
            <v>6.6543789510375026E-2</v>
          </cell>
          <cell r="R232">
            <v>0.47500000000000009</v>
          </cell>
          <cell r="S232">
            <v>836.32500000000005</v>
          </cell>
          <cell r="U232">
            <v>9.815208952780316E-2</v>
          </cell>
          <cell r="W232">
            <v>9.815208952780316E-2</v>
          </cell>
          <cell r="Y232">
            <v>119.94288406316264</v>
          </cell>
          <cell r="AA232">
            <v>119.94288406316264</v>
          </cell>
          <cell r="AC232">
            <v>3678</v>
          </cell>
          <cell r="AE232">
            <v>18.814375000000002</v>
          </cell>
          <cell r="AG232">
            <v>4902.7482740308023</v>
          </cell>
          <cell r="AH232">
            <v>-0.4837450928793528</v>
          </cell>
          <cell r="AI232">
            <v>-0.4837450928793528</v>
          </cell>
          <cell r="AK232">
            <v>0.2273858075040783</v>
          </cell>
          <cell r="AM232">
            <v>44.451383583031593</v>
          </cell>
          <cell r="AO232">
            <v>452.88270272065904</v>
          </cell>
          <cell r="AP232">
            <v>452.88270272065904</v>
          </cell>
          <cell r="AR232" t="str">
            <v>LVG</v>
          </cell>
          <cell r="AX232" t="e">
            <v>#N/A</v>
          </cell>
          <cell r="AY232">
            <v>1415.663</v>
          </cell>
          <cell r="AZ232" t="e">
            <v>#N/A</v>
          </cell>
          <cell r="BA232">
            <v>-3.3083865994282591E-2</v>
          </cell>
          <cell r="BB232">
            <v>-3.308386599428248E-2</v>
          </cell>
        </row>
        <row r="233">
          <cell r="A233" t="str">
            <v>LTD2007</v>
          </cell>
          <cell r="B233" t="str">
            <v>LTD</v>
          </cell>
          <cell r="C233" t="str">
            <v>2007 (net retail sales)</v>
          </cell>
          <cell r="D233">
            <v>19</v>
          </cell>
          <cell r="E233">
            <v>29</v>
          </cell>
          <cell r="F233">
            <v>8371.8388199644869</v>
          </cell>
          <cell r="G233">
            <v>8371.8388199644869</v>
          </cell>
          <cell r="H233">
            <v>-0.02</v>
          </cell>
          <cell r="J233">
            <v>8.5367200562184539E-2</v>
          </cell>
          <cell r="L233">
            <v>489</v>
          </cell>
          <cell r="N233">
            <v>5.8410106849390388E-2</v>
          </cell>
          <cell r="P233">
            <v>5.8410106849390388E-2</v>
          </cell>
          <cell r="R233">
            <v>0.47499999999999987</v>
          </cell>
          <cell r="S233">
            <v>721.27499999999998</v>
          </cell>
          <cell r="U233">
            <v>8.6154907602850814E-2</v>
          </cell>
          <cell r="W233">
            <v>8.6154907602850814E-2</v>
          </cell>
          <cell r="Y233">
            <v>119.97181924952346</v>
          </cell>
          <cell r="AA233">
            <v>119.97181924952346</v>
          </cell>
          <cell r="AC233">
            <v>3346</v>
          </cell>
          <cell r="AE233">
            <v>15.675625</v>
          </cell>
          <cell r="AG233">
            <v>4404.4771018455231</v>
          </cell>
          <cell r="AH233">
            <v>-1.5158732680578674E-2</v>
          </cell>
          <cell r="AI233">
            <v>-1.5158732680578674E-2</v>
          </cell>
          <cell r="AK233">
            <v>0.21556335923490735</v>
          </cell>
          <cell r="AM233">
            <v>46.012519437024039</v>
          </cell>
          <cell r="AO233">
            <v>534.06730640497506</v>
          </cell>
          <cell r="AP233">
            <v>534.06730640497506</v>
          </cell>
          <cell r="AQ233" t="str">
            <v>LTD's net retail sales excl. Internet/Other (2011 $2,711M, 2010 $2,682M). Rent expense is "total store rent" only &amp; excludes equipment ($62M in 2010).</v>
          </cell>
          <cell r="AR233">
            <v>47.653217836071406</v>
          </cell>
          <cell r="AX233" t="e">
            <v>#N/A</v>
          </cell>
          <cell r="AY233">
            <v>1396.4</v>
          </cell>
          <cell r="AZ233" t="e">
            <v>#N/A</v>
          </cell>
          <cell r="BA233">
            <v>-0.16682722652227355</v>
          </cell>
          <cell r="BB233">
            <v>-0.16682722652227355</v>
          </cell>
        </row>
        <row r="234">
          <cell r="A234" t="str">
            <v>LTD2008</v>
          </cell>
          <cell r="B234" t="str">
            <v>LTD</v>
          </cell>
          <cell r="C234">
            <v>2008</v>
          </cell>
          <cell r="D234">
            <v>20</v>
          </cell>
          <cell r="E234">
            <v>30</v>
          </cell>
          <cell r="F234">
            <v>7519.8810000000003</v>
          </cell>
          <cell r="G234">
            <v>9042.6810000000005</v>
          </cell>
          <cell r="H234">
            <v>-0.09</v>
          </cell>
          <cell r="J234">
            <v>7.9342509151876559E-2</v>
          </cell>
          <cell r="L234">
            <v>428</v>
          </cell>
          <cell r="N234">
            <v>5.6915794279191384E-2</v>
          </cell>
          <cell r="P234">
            <v>4.733109572260704E-2</v>
          </cell>
          <cell r="R234">
            <v>0.47034794660442047</v>
          </cell>
          <cell r="S234">
            <v>612.04</v>
          </cell>
          <cell r="U234">
            <v>8.1389585819243673E-2</v>
          </cell>
          <cell r="W234">
            <v>6.7683466883328061E-2</v>
          </cell>
          <cell r="Y234">
            <v>47.653217836071406</v>
          </cell>
          <cell r="AA234">
            <v>184.71440719522752</v>
          </cell>
          <cell r="AC234">
            <v>2970</v>
          </cell>
          <cell r="AE234">
            <v>13.254999999999999</v>
          </cell>
          <cell r="AG234">
            <v>4519.7412076974124</v>
          </cell>
          <cell r="AH234">
            <v>0.90004897981150833</v>
          </cell>
          <cell r="AI234">
            <v>7.6186651709888767E-2</v>
          </cell>
          <cell r="AK234">
            <v>0.20607407407407405</v>
          </cell>
          <cell r="AM234">
            <v>46.174273858921161</v>
          </cell>
          <cell r="AO234">
            <v>486.97178423236517</v>
          </cell>
          <cell r="AP234">
            <v>682.20905318747646</v>
          </cell>
          <cell r="AQ234" t="str">
            <v>LTD's store sales excl. Internet/Other ($2,220M in '12, $2,711M in '11). Rent expense is "total store rent" only &amp; excludes equipment ($67M in '12). L Brands sold Mast apparel sourcing division on 11/3/2011, a negative 100bps 2012 rent margin impact. Mast generated $914M in revenue over those 12 months prior to sale.</v>
          </cell>
          <cell r="AR234">
            <v>-111.57675050987679</v>
          </cell>
          <cell r="AS234">
            <v>-0.1123729826658697</v>
          </cell>
          <cell r="AU234">
            <v>-63.923532673805383</v>
          </cell>
          <cell r="AX234" t="e">
            <v>#N/A</v>
          </cell>
          <cell r="AY234">
            <v>1522.8</v>
          </cell>
          <cell r="AZ234" t="e">
            <v>#N/A</v>
          </cell>
          <cell r="BA234">
            <v>-0.15441968023603536</v>
          </cell>
          <cell r="BB234">
            <v>-0.15441968023603536</v>
          </cell>
        </row>
        <row r="235">
          <cell r="A235" t="str">
            <v>LTD2009</v>
          </cell>
          <cell r="B235" t="str">
            <v>LTD</v>
          </cell>
          <cell r="C235">
            <v>2009</v>
          </cell>
          <cell r="D235">
            <v>21</v>
          </cell>
          <cell r="E235">
            <v>31</v>
          </cell>
          <cell r="F235">
            <v>7244.9470000000001</v>
          </cell>
          <cell r="G235">
            <v>8632.4470000000001</v>
          </cell>
          <cell r="H235">
            <v>-0.04</v>
          </cell>
          <cell r="J235">
            <v>9.9424870327071535E-2</v>
          </cell>
          <cell r="L235">
            <v>447</v>
          </cell>
          <cell r="N235">
            <v>6.1698173913487565E-2</v>
          </cell>
          <cell r="P235">
            <v>5.1781377864237102E-2</v>
          </cell>
          <cell r="R235">
            <v>0.5</v>
          </cell>
          <cell r="S235">
            <v>670.5</v>
          </cell>
          <cell r="U235">
            <v>9.2547260870231352E-2</v>
          </cell>
          <cell r="W235">
            <v>7.767206679635566E-2</v>
          </cell>
          <cell r="Y235">
            <v>-111.57675050987679</v>
          </cell>
          <cell r="AA235">
            <v>-99.885999130275991</v>
          </cell>
          <cell r="AC235">
            <v>2992.5</v>
          </cell>
          <cell r="AE235">
            <v>13.645</v>
          </cell>
          <cell r="AG235">
            <v>4600.3029283069664</v>
          </cell>
          <cell r="AH235">
            <v>0.55268004935408455</v>
          </cell>
          <cell r="AI235">
            <v>0</v>
          </cell>
          <cell r="AK235">
            <v>0.22406015037593985</v>
          </cell>
          <cell r="AM235">
            <v>49.138878710150237</v>
          </cell>
          <cell r="AO235">
            <v>461.82359838768787</v>
          </cell>
          <cell r="AP235">
            <v>632.64543788933679</v>
          </cell>
          <cell r="AR235">
            <v>72.973770023941753</v>
          </cell>
          <cell r="AS235">
            <v>7.575757575757569E-3</v>
          </cell>
          <cell r="AU235">
            <v>-38.602980485935035</v>
          </cell>
          <cell r="AX235" t="e">
            <v>#N/A</v>
          </cell>
          <cell r="AY235">
            <v>1387.5</v>
          </cell>
          <cell r="AZ235" t="e">
            <v>#N/A</v>
          </cell>
          <cell r="BA235">
            <v>2.9422859298378068E-2</v>
          </cell>
          <cell r="BB235">
            <v>2.9422859298378068E-2</v>
          </cell>
          <cell r="BC235">
            <v>0</v>
          </cell>
        </row>
        <row r="236">
          <cell r="A236" t="str">
            <v>LTD2010</v>
          </cell>
          <cell r="B236" t="str">
            <v>LTD</v>
          </cell>
          <cell r="C236">
            <v>2010</v>
          </cell>
          <cell r="D236">
            <v>22</v>
          </cell>
          <cell r="E236">
            <v>32</v>
          </cell>
          <cell r="F236">
            <v>8111.4479999999985</v>
          </cell>
          <cell r="G236">
            <v>9613.5479999999989</v>
          </cell>
          <cell r="H236">
            <v>0.09</v>
          </cell>
          <cell r="J236">
            <v>0.13356869529831561</v>
          </cell>
          <cell r="L236">
            <v>461</v>
          </cell>
          <cell r="N236">
            <v>5.683325591189145E-2</v>
          </cell>
          <cell r="P236">
            <v>4.7953159437077765E-2</v>
          </cell>
          <cell r="R236">
            <v>0.5</v>
          </cell>
          <cell r="S236">
            <v>691.5</v>
          </cell>
          <cell r="U236">
            <v>8.5249883867837176E-2</v>
          </cell>
          <cell r="W236">
            <v>7.1929739155616651E-2</v>
          </cell>
          <cell r="Y236">
            <v>72.973770023941753</v>
          </cell>
          <cell r="AA236">
            <v>57.423276407390091</v>
          </cell>
          <cell r="AC236">
            <v>2969.5</v>
          </cell>
          <cell r="AE236">
            <v>13.693124999999998</v>
          </cell>
          <cell r="AG236">
            <v>4622.2203504043118</v>
          </cell>
          <cell r="AH236">
            <v>2.8391356542486434</v>
          </cell>
          <cell r="AI236">
            <v>0</v>
          </cell>
          <cell r="AK236">
            <v>0.23286748610877253</v>
          </cell>
          <cell r="AM236">
            <v>50.499794604956875</v>
          </cell>
          <cell r="AO236">
            <v>506.22673787028168</v>
          </cell>
          <cell r="AP236">
            <v>702.07114884294128</v>
          </cell>
          <cell r="AR236">
            <v>958.01072728132135</v>
          </cell>
          <cell r="AS236">
            <v>-7.6858813700918516E-3</v>
          </cell>
          <cell r="AX236" t="e">
            <v>#N/A</v>
          </cell>
          <cell r="AY236">
            <v>1502.1</v>
          </cell>
          <cell r="AZ236" t="e">
            <v>#N/A</v>
          </cell>
          <cell r="BA236">
            <v>3.5269329424696405E-3</v>
          </cell>
          <cell r="BB236">
            <v>3.5269329424696405E-3</v>
          </cell>
        </row>
        <row r="237">
          <cell r="A237" t="str">
            <v>LTD2011</v>
          </cell>
          <cell r="B237" t="str">
            <v>LTD</v>
          </cell>
          <cell r="C237">
            <v>2011</v>
          </cell>
          <cell r="D237">
            <v>23</v>
          </cell>
          <cell r="E237">
            <v>33</v>
          </cell>
          <cell r="F237">
            <v>8806.6419999999998</v>
          </cell>
          <cell r="G237">
            <v>10364.092000000001</v>
          </cell>
          <cell r="H237">
            <v>9.5188161934013527E-2</v>
          </cell>
          <cell r="J237" t="e">
            <v>#REF!</v>
          </cell>
          <cell r="L237">
            <v>-61.947028644670468</v>
          </cell>
          <cell r="N237">
            <v>-7.0341259068633045E-3</v>
          </cell>
          <cell r="P237">
            <v>-5.9770820873329246E-3</v>
          </cell>
          <cell r="R237">
            <v>0.5</v>
          </cell>
          <cell r="S237">
            <v>-92.920542967005701</v>
          </cell>
          <cell r="U237">
            <v>-1.0551188860294958E-2</v>
          </cell>
          <cell r="W237">
            <v>-8.9656231309993874E-3</v>
          </cell>
          <cell r="Y237">
            <v>958.01072728132135</v>
          </cell>
          <cell r="AA237">
            <v>808.95362286616034</v>
          </cell>
          <cell r="AC237">
            <v>2954.5</v>
          </cell>
          <cell r="AE237">
            <v>13.698124999999999</v>
          </cell>
          <cell r="AG237">
            <v>4650.6290377422647</v>
          </cell>
          <cell r="AH237">
            <v>24.292760383321991</v>
          </cell>
          <cell r="AI237">
            <v>0</v>
          </cell>
          <cell r="AK237">
            <v>-3.1450513781352413E-2</v>
          </cell>
          <cell r="AM237">
            <v>-6.7834497763019179</v>
          </cell>
          <cell r="AO237">
            <v>558.69996806132224</v>
          </cell>
          <cell r="AP237">
            <v>756.60661586896026</v>
          </cell>
          <cell r="AR237">
            <v>7.9841551889418136</v>
          </cell>
          <cell r="AS237">
            <v>-5.0513554470449362E-3</v>
          </cell>
          <cell r="AX237" t="e">
            <v>#N/A</v>
          </cell>
          <cell r="AY237">
            <v>1557.4499999999998</v>
          </cell>
          <cell r="AZ237" t="e">
            <v>#N/A</v>
          </cell>
          <cell r="BA237">
            <v>3.6514674334764408E-4</v>
          </cell>
          <cell r="BB237">
            <v>3.6514674334764408E-4</v>
          </cell>
        </row>
        <row r="238">
          <cell r="A238" t="str">
            <v>LTD2012</v>
          </cell>
          <cell r="B238" t="str">
            <v>LTD</v>
          </cell>
          <cell r="C238">
            <v>2012</v>
          </cell>
          <cell r="D238">
            <v>24</v>
          </cell>
          <cell r="E238">
            <v>34</v>
          </cell>
          <cell r="F238">
            <v>8865.2999999999993</v>
          </cell>
          <cell r="G238">
            <v>10458.5</v>
          </cell>
          <cell r="H238">
            <v>0.06</v>
          </cell>
          <cell r="J238" t="e">
            <v>#REF!</v>
          </cell>
          <cell r="L238">
            <v>-66.944542716450741</v>
          </cell>
          <cell r="N238">
            <v>-7.5513003188217818E-3</v>
          </cell>
          <cell r="P238">
            <v>-6.4009698060382217E-3</v>
          </cell>
          <cell r="R238">
            <v>0.503</v>
          </cell>
          <cell r="S238">
            <v>-100.61764770282547</v>
          </cell>
          <cell r="U238">
            <v>-1.1349604379189139E-2</v>
          </cell>
          <cell r="W238">
            <v>-9.6206576184754474E-3</v>
          </cell>
          <cell r="Y238">
            <v>7.9841551889418136</v>
          </cell>
          <cell r="AA238">
            <v>6.5503448747606008</v>
          </cell>
          <cell r="AC238">
            <v>2908.5</v>
          </cell>
          <cell r="AE238">
            <v>13.619375</v>
          </cell>
          <cell r="AG238">
            <v>4715.3164116828921</v>
          </cell>
          <cell r="AH238">
            <v>-2.8585517329570109</v>
          </cell>
          <cell r="AI238">
            <v>3.081</v>
          </cell>
          <cell r="AK238">
            <v>-3.4594343373844066E-2</v>
          </cell>
          <cell r="AM238">
            <v>-7.387831504957127</v>
          </cell>
          <cell r="AO238">
            <v>604.88091413886457</v>
          </cell>
          <cell r="AP238">
            <v>767.91335872607954</v>
          </cell>
          <cell r="AR238">
            <v>-5.0402104358982136</v>
          </cell>
          <cell r="AS238">
            <v>-1.5569470299543031E-2</v>
          </cell>
          <cell r="AX238" t="e">
            <v>#N/A</v>
          </cell>
          <cell r="AY238">
            <v>1593.2</v>
          </cell>
          <cell r="AZ238" t="e">
            <v>#N/A</v>
          </cell>
          <cell r="BA238">
            <v>-5.7489619929734781E-3</v>
          </cell>
          <cell r="BB238">
            <v>-5.7489619929735891E-3</v>
          </cell>
        </row>
        <row r="239">
          <cell r="A239" t="str">
            <v>LTD2013</v>
          </cell>
          <cell r="B239" t="str">
            <v>LTD</v>
          </cell>
          <cell r="C239" t="str">
            <v>2013e</v>
          </cell>
          <cell r="D239">
            <v>25</v>
          </cell>
          <cell r="E239">
            <v>35</v>
          </cell>
          <cell r="F239">
            <v>9277.0785938034642</v>
          </cell>
          <cell r="G239">
            <v>10848.76057508401</v>
          </cell>
          <cell r="H239">
            <v>2.5951323724957436E-2</v>
          </cell>
          <cell r="J239" t="e">
            <v>#REF!</v>
          </cell>
          <cell r="L239">
            <v>-66.942999999999998</v>
          </cell>
          <cell r="N239">
            <v>-7.2159569764466518E-3</v>
          </cell>
          <cell r="P239">
            <v>-6.1705666317077518E-3</v>
          </cell>
          <cell r="R239">
            <v>0.503</v>
          </cell>
          <cell r="S239">
            <v>-100.615329</v>
          </cell>
          <cell r="U239">
            <v>-1.0845583335599318E-2</v>
          </cell>
          <cell r="W239">
            <v>-9.2743616474567515E-3</v>
          </cell>
          <cell r="Y239">
            <v>-5.0402104358982136</v>
          </cell>
          <cell r="AA239">
            <v>-3.4629597101869596</v>
          </cell>
          <cell r="AC239">
            <v>2893</v>
          </cell>
          <cell r="AE239">
            <v>13.747499999999999</v>
          </cell>
          <cell r="AG239">
            <v>4792.9553264604801</v>
          </cell>
          <cell r="AH239">
            <v>-9.6572497479951253E-2</v>
          </cell>
          <cell r="AI239">
            <v>3.3959999999999999</v>
          </cell>
          <cell r="AK239">
            <v>-3.4778890079502245E-2</v>
          </cell>
          <cell r="AM239">
            <v>-7.3188091653027829</v>
          </cell>
          <cell r="AO239">
            <v>613.91401599879782</v>
          </cell>
          <cell r="AP239">
            <v>789.14424986972256</v>
          </cell>
          <cell r="AY239">
            <v>1571.6819812805456</v>
          </cell>
          <cell r="AZ239" t="e">
            <v>#N/A</v>
          </cell>
          <cell r="BA239">
            <v>9.4075535771647179E-3</v>
          </cell>
          <cell r="BB239">
            <v>9.4075535771649399E-3</v>
          </cell>
        </row>
        <row r="240">
          <cell r="C240" t="str">
            <v>2007 = Trough rent</v>
          </cell>
          <cell r="F240">
            <v>8865.2999999999993</v>
          </cell>
          <cell r="G240">
            <v>10458.5</v>
          </cell>
          <cell r="H240">
            <v>0.06</v>
          </cell>
          <cell r="J240" t="e">
            <v>#REF!</v>
          </cell>
          <cell r="L240">
            <v>-66.944542716450741</v>
          </cell>
          <cell r="N240">
            <v>-7.5513003188217818E-3</v>
          </cell>
          <cell r="P240">
            <v>-6.4009698060382217E-3</v>
          </cell>
          <cell r="S240">
            <v>-100.61764770282547</v>
          </cell>
          <cell r="U240">
            <v>-1.1349604379189139E-2</v>
          </cell>
          <cell r="W240">
            <v>-9.6206576184754474E-3</v>
          </cell>
          <cell r="Z240">
            <v>0</v>
          </cell>
          <cell r="AB240">
            <v>0</v>
          </cell>
          <cell r="AC240">
            <v>2908.5</v>
          </cell>
          <cell r="AE240">
            <v>13.619375</v>
          </cell>
          <cell r="AG240">
            <v>4715.3164116828921</v>
          </cell>
          <cell r="AH240">
            <v>-7.8447952616746072E-2</v>
          </cell>
          <cell r="AI240">
            <v>-7.8447952616746072E-2</v>
          </cell>
          <cell r="AK240">
            <v>-3.4594343373844066E-2</v>
          </cell>
          <cell r="AM240">
            <v>-7.387831504957127</v>
          </cell>
          <cell r="AO240">
            <v>604.88091413886457</v>
          </cell>
          <cell r="AP240">
            <v>767.91335872607954</v>
          </cell>
          <cell r="AR240" t="e">
            <v>#REF!</v>
          </cell>
        </row>
        <row r="242">
          <cell r="A242" t="str">
            <v>LULU2005</v>
          </cell>
          <cell r="C242" t="str">
            <v>2005 (net retail sales)</v>
          </cell>
          <cell r="D242">
            <v>2</v>
          </cell>
          <cell r="E242">
            <v>3</v>
          </cell>
          <cell r="F242">
            <v>84.13</v>
          </cell>
          <cell r="G242">
            <v>84.13</v>
          </cell>
          <cell r="H242">
            <v>0.12</v>
          </cell>
          <cell r="J242" t="e">
            <v>#N/A</v>
          </cell>
          <cell r="L242">
            <v>3.415</v>
          </cell>
          <cell r="N242">
            <v>4.0591941043622966E-2</v>
          </cell>
          <cell r="P242">
            <v>4.0591941043622966E-2</v>
          </cell>
          <cell r="R242">
            <v>0</v>
          </cell>
          <cell r="S242">
            <v>3.415</v>
          </cell>
          <cell r="U242">
            <v>4.0591941043622966E-2</v>
          </cell>
          <cell r="W242">
            <v>4.0591941043622966E-2</v>
          </cell>
          <cell r="AC242">
            <v>26.5</v>
          </cell>
          <cell r="AE242">
            <v>5.9450000000000003E-2</v>
          </cell>
          <cell r="AG242" t="e">
            <v>#N/A</v>
          </cell>
          <cell r="AH242" t="e">
            <v>#REF!</v>
          </cell>
          <cell r="AI242">
            <v>0</v>
          </cell>
          <cell r="AK242">
            <v>0.1288679245283019</v>
          </cell>
          <cell r="AM242">
            <v>57.443229604709835</v>
          </cell>
          <cell r="AO242" t="e">
            <v>#N/A</v>
          </cell>
          <cell r="AP242">
            <v>1415.1387720773757</v>
          </cell>
          <cell r="AR242">
            <v>-370.20910329177184</v>
          </cell>
          <cell r="AX242" t="e">
            <v>#N/A</v>
          </cell>
          <cell r="AY242" t="e">
            <v>#N/A</v>
          </cell>
        </row>
        <row r="243">
          <cell r="A243" t="str">
            <v>LULU2006</v>
          </cell>
          <cell r="C243" t="str">
            <v>2006 (net retail sales)</v>
          </cell>
          <cell r="D243">
            <v>3</v>
          </cell>
          <cell r="E243">
            <v>4</v>
          </cell>
          <cell r="F243">
            <v>119.81263200000001</v>
          </cell>
          <cell r="G243">
            <v>119.81263200000001</v>
          </cell>
          <cell r="H243" t="e">
            <v>#N/A</v>
          </cell>
          <cell r="J243" t="e">
            <v>#N/A</v>
          </cell>
          <cell r="L243">
            <v>9.2989999999999995</v>
          </cell>
          <cell r="N243">
            <v>7.7612851372800148E-2</v>
          </cell>
          <cell r="P243">
            <v>7.7612851372800148E-2</v>
          </cell>
          <cell r="R243">
            <v>0</v>
          </cell>
          <cell r="S243">
            <v>9.2989999999999995</v>
          </cell>
          <cell r="U243">
            <v>7.7612851372800148E-2</v>
          </cell>
          <cell r="W243">
            <v>7.7612851372800148E-2</v>
          </cell>
          <cell r="Y243">
            <v>-370.20910329177184</v>
          </cell>
          <cell r="AA243">
            <v>-370.20910329177184</v>
          </cell>
          <cell r="AC243">
            <v>40</v>
          </cell>
          <cell r="AE243">
            <v>9.8599999999999993E-2</v>
          </cell>
          <cell r="AG243" t="e">
            <v>#N/A</v>
          </cell>
          <cell r="AH243" t="e">
            <v>#REF!</v>
          </cell>
          <cell r="AI243">
            <v>0</v>
          </cell>
          <cell r="AK243">
            <v>0.23247499999999999</v>
          </cell>
          <cell r="AM243">
            <v>94.310344827586206</v>
          </cell>
          <cell r="AO243" t="e">
            <v>#N/A</v>
          </cell>
          <cell r="AP243">
            <v>1215.1382555780935</v>
          </cell>
          <cell r="AR243">
            <v>-14.334231755733507</v>
          </cell>
          <cell r="AX243" t="e">
            <v>#N/A</v>
          </cell>
          <cell r="AY243" t="e">
            <v>#N/A</v>
          </cell>
          <cell r="BA243">
            <v>0.65853658536585336</v>
          </cell>
        </row>
        <row r="244">
          <cell r="A244" t="str">
            <v>LULU2007</v>
          </cell>
          <cell r="C244" t="str">
            <v>2007 (net retail sales)</v>
          </cell>
          <cell r="D244">
            <v>4</v>
          </cell>
          <cell r="E244">
            <v>5</v>
          </cell>
          <cell r="F244">
            <v>240.441439</v>
          </cell>
          <cell r="G244">
            <v>240.441439</v>
          </cell>
          <cell r="H244" t="e">
            <v>#N/A</v>
          </cell>
          <cell r="J244" t="e">
            <v>#N/A</v>
          </cell>
          <cell r="L244">
            <v>19.006</v>
          </cell>
          <cell r="N244">
            <v>7.9046274548373499E-2</v>
          </cell>
          <cell r="P244">
            <v>7.9046274548373499E-2</v>
          </cell>
          <cell r="R244">
            <v>0</v>
          </cell>
          <cell r="S244">
            <v>19.006</v>
          </cell>
          <cell r="U244">
            <v>7.9046274548373499E-2</v>
          </cell>
          <cell r="W244">
            <v>7.9046274548373499E-2</v>
          </cell>
          <cell r="Y244">
            <v>-14.334231755733507</v>
          </cell>
          <cell r="AA244">
            <v>-14.334231755733507</v>
          </cell>
          <cell r="AC244">
            <v>62</v>
          </cell>
          <cell r="AE244">
            <v>0.16239999999999999</v>
          </cell>
          <cell r="AG244" t="e">
            <v>#N/A</v>
          </cell>
          <cell r="AH244" t="e">
            <v>#REF!</v>
          </cell>
          <cell r="AI244">
            <v>3.081</v>
          </cell>
          <cell r="AK244">
            <v>0.30654838709677418</v>
          </cell>
          <cell r="AM244">
            <v>117.03201970443351</v>
          </cell>
          <cell r="AO244" t="e">
            <v>#N/A</v>
          </cell>
          <cell r="AP244">
            <v>1480.5507327586208</v>
          </cell>
          <cell r="AQ244" t="str">
            <v xml:space="preserve">10K rent expense adjusted based on corporate-owned stores' percent of total revenue.  Net retail sales exclude Internet/Other (2011 $184M, 2010 $121M). </v>
          </cell>
          <cell r="AR244">
            <v>-134.63230724789943</v>
          </cell>
          <cell r="AX244" t="e">
            <v>#N/A</v>
          </cell>
          <cell r="AY244" t="e">
            <v>#N/A</v>
          </cell>
          <cell r="BA244">
            <v>0.64705882352941169</v>
          </cell>
        </row>
        <row r="245">
          <cell r="A245" t="str">
            <v>LULU2008</v>
          </cell>
          <cell r="B245" t="str">
            <v>LULU</v>
          </cell>
          <cell r="C245">
            <v>2008</v>
          </cell>
          <cell r="D245">
            <v>5</v>
          </cell>
          <cell r="E245">
            <v>6</v>
          </cell>
          <cell r="F245">
            <v>353.488</v>
          </cell>
          <cell r="G245">
            <v>353.488</v>
          </cell>
          <cell r="H245" t="e">
            <v>#N/A</v>
          </cell>
          <cell r="J245" t="e">
            <v>#N/A</v>
          </cell>
          <cell r="L245">
            <v>32.701000000000001</v>
          </cell>
          <cell r="N245">
            <v>9.2509505273163442E-2</v>
          </cell>
          <cell r="P245">
            <v>9.2509505273163442E-2</v>
          </cell>
          <cell r="R245">
            <v>0</v>
          </cell>
          <cell r="S245">
            <v>32.701000000000001</v>
          </cell>
          <cell r="U245">
            <v>9.2509505273163442E-2</v>
          </cell>
          <cell r="W245">
            <v>9.2509505273163442E-2</v>
          </cell>
          <cell r="Y245">
            <v>-134.63230724789943</v>
          </cell>
          <cell r="AA245">
            <v>-134.63230724789943</v>
          </cell>
          <cell r="AC245">
            <v>95</v>
          </cell>
          <cell r="AE245">
            <v>0.24714999999999998</v>
          </cell>
          <cell r="AG245" t="e">
            <v>#N/A</v>
          </cell>
          <cell r="AH245" t="e">
            <v>#REF!</v>
          </cell>
          <cell r="AI245">
            <v>3.3959999999999999</v>
          </cell>
          <cell r="AK245">
            <v>0.34422105263157893</v>
          </cell>
          <cell r="AM245">
            <v>132.31236091442446</v>
          </cell>
          <cell r="AO245" t="e">
            <v>#N/A</v>
          </cell>
          <cell r="AP245">
            <v>1430.2569289904918</v>
          </cell>
          <cell r="AQ245" t="str">
            <v xml:space="preserve">10K rent expense adjusted based on corporate-owned stores' percent of total revenue.  Exclude Internet/Other ($197 in '12,  $106M in '11). </v>
          </cell>
          <cell r="AR245">
            <v>5.7048147531049693</v>
          </cell>
          <cell r="AS245">
            <v>0.532258064516129</v>
          </cell>
          <cell r="AU245">
            <v>-128.92749249479448</v>
          </cell>
          <cell r="AX245">
            <v>0</v>
          </cell>
          <cell r="AY245">
            <v>0</v>
          </cell>
          <cell r="BA245">
            <v>0.52185960591133007</v>
          </cell>
        </row>
        <row r="246">
          <cell r="A246" t="str">
            <v>LULU2009</v>
          </cell>
          <cell r="B246" t="str">
            <v>LULU</v>
          </cell>
          <cell r="C246">
            <v>2009</v>
          </cell>
          <cell r="D246">
            <v>6</v>
          </cell>
          <cell r="E246">
            <v>7</v>
          </cell>
          <cell r="F246">
            <v>452.89800000000002</v>
          </cell>
          <cell r="G246">
            <v>452.89800000000002</v>
          </cell>
          <cell r="H246" t="e">
            <v>#N/A</v>
          </cell>
          <cell r="J246" t="e">
            <v>#N/A</v>
          </cell>
          <cell r="L246">
            <v>41.639000000000003</v>
          </cell>
          <cell r="N246">
            <v>9.1939023797852945E-2</v>
          </cell>
          <cell r="P246">
            <v>9.1939023797852945E-2</v>
          </cell>
          <cell r="R246">
            <v>0</v>
          </cell>
          <cell r="S246">
            <v>41.639000000000003</v>
          </cell>
          <cell r="U246">
            <v>9.1939023797852945E-2</v>
          </cell>
          <cell r="W246">
            <v>9.1939023797852945E-2</v>
          </cell>
          <cell r="Y246">
            <v>5.7048147531049693</v>
          </cell>
          <cell r="AA246">
            <v>5.7048147531049693</v>
          </cell>
          <cell r="AC246">
            <v>118.5</v>
          </cell>
          <cell r="AE246">
            <v>0.30127999999999999</v>
          </cell>
          <cell r="AG246" t="e">
            <v>#N/A</v>
          </cell>
          <cell r="AH246" t="e">
            <v>#REF!</v>
          </cell>
          <cell r="AI246">
            <v>4.2779999999999996</v>
          </cell>
          <cell r="AK246">
            <v>0.35138396624472579</v>
          </cell>
          <cell r="AM246">
            <v>138.20698353690921</v>
          </cell>
          <cell r="AO246" t="e">
            <v>#N/A</v>
          </cell>
          <cell r="AP246">
            <v>1503.2461497610198</v>
          </cell>
          <cell r="AR246">
            <v>173.70101886496542</v>
          </cell>
          <cell r="AS246">
            <v>0.24736842105263168</v>
          </cell>
          <cell r="AU246">
            <v>179.4058336180704</v>
          </cell>
          <cell r="AX246">
            <v>0</v>
          </cell>
          <cell r="AY246">
            <v>0</v>
          </cell>
          <cell r="BA246">
            <v>0.2190167914222132</v>
          </cell>
        </row>
        <row r="247">
          <cell r="A247" t="str">
            <v>LULU2010</v>
          </cell>
          <cell r="B247" t="str">
            <v>LULU</v>
          </cell>
          <cell r="C247">
            <v>2010</v>
          </cell>
          <cell r="D247">
            <v>7</v>
          </cell>
          <cell r="E247">
            <v>8</v>
          </cell>
          <cell r="F247">
            <v>711.70400000000006</v>
          </cell>
          <cell r="G247">
            <v>711.70400000000006</v>
          </cell>
          <cell r="H247" t="e">
            <v>#N/A</v>
          </cell>
          <cell r="J247" t="e">
            <v>#N/A</v>
          </cell>
          <cell r="L247">
            <v>53.070999999999998</v>
          </cell>
          <cell r="N247">
            <v>7.4568921911356403E-2</v>
          </cell>
          <cell r="P247">
            <v>7.4568921911356403E-2</v>
          </cell>
          <cell r="R247">
            <v>0</v>
          </cell>
          <cell r="S247">
            <v>53.070999999999998</v>
          </cell>
          <cell r="U247">
            <v>7.4568921911356403E-2</v>
          </cell>
          <cell r="W247">
            <v>7.4568921911356403E-2</v>
          </cell>
          <cell r="Y247">
            <v>173.70101886496542</v>
          </cell>
          <cell r="AA247">
            <v>173.70101886496542</v>
          </cell>
          <cell r="AC247">
            <v>130.5</v>
          </cell>
          <cell r="AE247">
            <v>0.34408000000000005</v>
          </cell>
          <cell r="AG247" t="e">
            <v>#N/A</v>
          </cell>
          <cell r="AH247" t="e">
            <v>#REF!</v>
          </cell>
          <cell r="AI247">
            <v>4.4009999999999998</v>
          </cell>
          <cell r="AK247">
            <v>0.40667432950191568</v>
          </cell>
          <cell r="AM247">
            <v>154.24029295512668</v>
          </cell>
          <cell r="AO247" t="e">
            <v>#N/A</v>
          </cell>
          <cell r="AP247">
            <v>2068.4259474540804</v>
          </cell>
          <cell r="AR247">
            <v>75.081858688960253</v>
          </cell>
          <cell r="AS247">
            <v>0.10126582278481022</v>
          </cell>
          <cell r="AU247">
            <v>248.78287755392569</v>
          </cell>
          <cell r="AX247">
            <v>0</v>
          </cell>
          <cell r="AY247">
            <v>0</v>
          </cell>
          <cell r="BA247">
            <v>0.14206054168879478</v>
          </cell>
        </row>
        <row r="248">
          <cell r="A248" t="str">
            <v>LULU2011</v>
          </cell>
          <cell r="B248" t="str">
            <v>LULU</v>
          </cell>
          <cell r="C248">
            <v>2011</v>
          </cell>
          <cell r="D248">
            <v>8</v>
          </cell>
          <cell r="E248">
            <v>9</v>
          </cell>
          <cell r="F248">
            <v>1000.8389999999999</v>
          </cell>
          <cell r="G248">
            <v>1000.8389999999999</v>
          </cell>
          <cell r="H248" t="e">
            <v>#N/A</v>
          </cell>
          <cell r="J248" t="e">
            <v>#N/A</v>
          </cell>
          <cell r="L248">
            <v>67.117000000000004</v>
          </cell>
          <cell r="N248">
            <v>6.7060736042460378E-2</v>
          </cell>
          <cell r="P248">
            <v>6.7060736042460378E-2</v>
          </cell>
          <cell r="R248">
            <v>0</v>
          </cell>
          <cell r="S248">
            <v>67.117000000000004</v>
          </cell>
          <cell r="U248">
            <v>6.7060736042460378E-2</v>
          </cell>
          <cell r="W248">
            <v>6.7060736042460378E-2</v>
          </cell>
          <cell r="Y248">
            <v>75.081858688960253</v>
          </cell>
          <cell r="AA248">
            <v>75.081858688960253</v>
          </cell>
          <cell r="AC248">
            <v>155.5</v>
          </cell>
          <cell r="AE248">
            <v>0.434</v>
          </cell>
          <cell r="AG248" t="e">
            <v>#N/A</v>
          </cell>
          <cell r="AH248" t="e">
            <v>#REF!</v>
          </cell>
          <cell r="AI248">
            <v>0</v>
          </cell>
          <cell r="AK248">
            <v>0.43162057877813509</v>
          </cell>
          <cell r="AM248">
            <v>154.64746543778804</v>
          </cell>
          <cell r="AO248" t="e">
            <v>#N/A</v>
          </cell>
          <cell r="AP248">
            <v>2306.0806451612902</v>
          </cell>
          <cell r="AR248">
            <v>69.100308982571818</v>
          </cell>
          <cell r="AS248">
            <v>0.1915708812260537</v>
          </cell>
          <cell r="AY248">
            <v>0</v>
          </cell>
          <cell r="BA248">
            <v>0.26133457335503341</v>
          </cell>
        </row>
        <row r="249">
          <cell r="A249" t="str">
            <v>LULU2012</v>
          </cell>
          <cell r="B249" t="str">
            <v>LULU</v>
          </cell>
          <cell r="C249">
            <v>2012</v>
          </cell>
          <cell r="D249">
            <v>9</v>
          </cell>
          <cell r="E249">
            <v>10</v>
          </cell>
          <cell r="F249">
            <v>1370.3579999999999</v>
          </cell>
          <cell r="G249">
            <v>1370.3579999999999</v>
          </cell>
          <cell r="H249" t="e">
            <v>#N/A</v>
          </cell>
          <cell r="J249" t="e">
            <v>#N/A</v>
          </cell>
          <cell r="L249">
            <v>82.427999999999997</v>
          </cell>
          <cell r="N249">
            <v>6.0150705144203197E-2</v>
          </cell>
          <cell r="P249">
            <v>6.0150705144203197E-2</v>
          </cell>
          <cell r="R249">
            <v>0</v>
          </cell>
          <cell r="S249">
            <v>82.427999999999997</v>
          </cell>
          <cell r="U249">
            <v>6.0150705144203197E-2</v>
          </cell>
          <cell r="W249">
            <v>6.0150705144203197E-2</v>
          </cell>
          <cell r="Y249">
            <v>69.100308982571818</v>
          </cell>
          <cell r="AA249">
            <v>69.100308982571818</v>
          </cell>
          <cell r="AC249">
            <v>192.5</v>
          </cell>
          <cell r="AE249">
            <v>0.54800000000000004</v>
          </cell>
          <cell r="AG249" t="e">
            <v>#N/A</v>
          </cell>
          <cell r="AH249" t="e">
            <v>#REF!</v>
          </cell>
          <cell r="AI249">
            <v>0.31430417733017996</v>
          </cell>
          <cell r="AK249">
            <v>0.42819740259740258</v>
          </cell>
          <cell r="AM249">
            <v>150.41605839416056</v>
          </cell>
          <cell r="AO249" t="e">
            <v>#N/A</v>
          </cell>
          <cell r="AP249">
            <v>2500.6532846715327</v>
          </cell>
          <cell r="AS249">
            <v>0.23794212218649524</v>
          </cell>
          <cell r="AY249">
            <v>0</v>
          </cell>
          <cell r="BA249">
            <v>0.26267281105990792</v>
          </cell>
        </row>
        <row r="250">
          <cell r="A250" t="str">
            <v>LULU2013</v>
          </cell>
          <cell r="B250" t="str">
            <v>LULU</v>
          </cell>
          <cell r="C250" t="str">
            <v>2013e</v>
          </cell>
          <cell r="D250">
            <v>10</v>
          </cell>
          <cell r="E250">
            <v>11</v>
          </cell>
          <cell r="F250">
            <v>1591.1879999999999</v>
          </cell>
          <cell r="G250">
            <v>1591.1879999999999</v>
          </cell>
          <cell r="H250" t="e">
            <v>#N/A</v>
          </cell>
          <cell r="J250" t="e">
            <v>#N/A</v>
          </cell>
          <cell r="L250">
            <v>95.573999999999998</v>
          </cell>
          <cell r="N250">
            <v>6.0064555539634544E-2</v>
          </cell>
          <cell r="P250">
            <v>6.0064555539634544E-2</v>
          </cell>
          <cell r="R250">
            <v>0</v>
          </cell>
          <cell r="S250">
            <v>95.573999999999998</v>
          </cell>
          <cell r="U250">
            <v>6.0064555539634544E-2</v>
          </cell>
          <cell r="W250">
            <v>6.0064555539634544E-2</v>
          </cell>
          <cell r="Y250">
            <v>0.86149604568652727</v>
          </cell>
          <cell r="AA250">
            <v>0.86149604568652727</v>
          </cell>
          <cell r="AC250">
            <v>232.5</v>
          </cell>
          <cell r="AE250">
            <v>0.67100000000000004</v>
          </cell>
          <cell r="AG250" t="e">
            <v>#N/A</v>
          </cell>
          <cell r="AH250" t="e">
            <v>#REF!</v>
          </cell>
          <cell r="AI250">
            <v>0.7362238983900814</v>
          </cell>
          <cell r="AK250">
            <v>0.41107096774193547</v>
          </cell>
          <cell r="AM250">
            <v>142.43517138599105</v>
          </cell>
          <cell r="AO250" t="e">
            <v>#N/A</v>
          </cell>
          <cell r="AP250">
            <v>2371.3681073025332</v>
          </cell>
          <cell r="AY250">
            <v>0</v>
          </cell>
          <cell r="BA250">
            <v>0.22445255474452552</v>
          </cell>
        </row>
        <row r="251">
          <cell r="C251" t="str">
            <v>2005 = Trough rent</v>
          </cell>
          <cell r="F251">
            <v>84.13</v>
          </cell>
          <cell r="G251">
            <v>84.13</v>
          </cell>
          <cell r="H251">
            <v>0.12</v>
          </cell>
          <cell r="J251" t="e">
            <v>#N/A</v>
          </cell>
          <cell r="L251">
            <v>3.415</v>
          </cell>
          <cell r="N251">
            <v>4.0591941043622966E-2</v>
          </cell>
          <cell r="P251">
            <v>4.0591941043622966E-2</v>
          </cell>
          <cell r="S251">
            <v>3.415</v>
          </cell>
          <cell r="U251">
            <v>4.0591941043622966E-2</v>
          </cell>
          <cell r="W251">
            <v>4.0591941043622966E-2</v>
          </cell>
          <cell r="Z251">
            <v>0</v>
          </cell>
          <cell r="AB251">
            <v>0</v>
          </cell>
          <cell r="AC251">
            <v>26.5</v>
          </cell>
          <cell r="AE251">
            <v>5.9450000000000003E-2</v>
          </cell>
          <cell r="AG251" t="e">
            <v>#N/A</v>
          </cell>
          <cell r="AH251">
            <v>2.8391356542486434</v>
          </cell>
          <cell r="AI251">
            <v>2.8391356542486434</v>
          </cell>
          <cell r="AK251">
            <v>0.1288679245283019</v>
          </cell>
          <cell r="AM251">
            <v>57.443229604709835</v>
          </cell>
          <cell r="AO251" t="e">
            <v>#N/A</v>
          </cell>
          <cell r="AP251">
            <v>1415.1387720773757</v>
          </cell>
          <cell r="AR251" t="e">
            <v>#N/A</v>
          </cell>
        </row>
        <row r="253">
          <cell r="AI253">
            <v>0</v>
          </cell>
        </row>
        <row r="254">
          <cell r="C254">
            <v>1998</v>
          </cell>
          <cell r="D254">
            <v>6</v>
          </cell>
          <cell r="E254">
            <v>6</v>
          </cell>
          <cell r="F254">
            <v>283.85300000000001</v>
          </cell>
          <cell r="H254">
            <v>0.14000000000000001</v>
          </cell>
          <cell r="J254">
            <v>0.12490620144934172</v>
          </cell>
          <cell r="L254">
            <v>23.373000000000001</v>
          </cell>
          <cell r="N254">
            <v>8.2341916414482144E-2</v>
          </cell>
          <cell r="P254" t="str">
            <v>-</v>
          </cell>
          <cell r="S254">
            <v>35.0595</v>
          </cell>
          <cell r="U254">
            <v>0.12351287462172321</v>
          </cell>
          <cell r="AC254">
            <v>182</v>
          </cell>
          <cell r="AE254">
            <v>0.74307068062827231</v>
          </cell>
          <cell r="AG254">
            <v>4055</v>
          </cell>
          <cell r="AH254">
            <v>0.95290543931522975</v>
          </cell>
          <cell r="AI254">
            <v>3.081</v>
          </cell>
          <cell r="AK254">
            <v>0.19263461538461538</v>
          </cell>
          <cell r="AM254">
            <v>47.181918105498262</v>
          </cell>
          <cell r="AO254">
            <v>382</v>
          </cell>
        </row>
        <row r="255">
          <cell r="A255" t="str">
            <v>PLCE1999</v>
          </cell>
          <cell r="C255">
            <v>1999</v>
          </cell>
          <cell r="D255">
            <v>7</v>
          </cell>
          <cell r="E255">
            <v>7</v>
          </cell>
          <cell r="F255">
            <v>421.49599999999998</v>
          </cell>
          <cell r="H255">
            <v>0.15</v>
          </cell>
          <cell r="J255">
            <v>0.13721838404160419</v>
          </cell>
          <cell r="L255">
            <v>33.279000000000003</v>
          </cell>
          <cell r="N255">
            <v>7.8954485926319595E-2</v>
          </cell>
          <cell r="P255" t="str">
            <v>-</v>
          </cell>
          <cell r="S255">
            <v>49.918500000000009</v>
          </cell>
          <cell r="T255">
            <v>16.639500000000005</v>
          </cell>
          <cell r="U255">
            <v>0.11843172888947941</v>
          </cell>
          <cell r="AC255">
            <v>251</v>
          </cell>
          <cell r="AE255">
            <v>1.0181062801932366</v>
          </cell>
          <cell r="AG255">
            <v>4056.2003194949662</v>
          </cell>
          <cell r="AH255">
            <v>0.90483336640125767</v>
          </cell>
          <cell r="AI255">
            <v>3.3959999999999999</v>
          </cell>
          <cell r="AK255">
            <v>0.19887848605577693</v>
          </cell>
          <cell r="AM255">
            <v>49.030735760244475</v>
          </cell>
          <cell r="AO255">
            <v>414</v>
          </cell>
        </row>
        <row r="256">
          <cell r="C256">
            <v>2000</v>
          </cell>
          <cell r="D256">
            <v>8</v>
          </cell>
          <cell r="E256">
            <v>8</v>
          </cell>
          <cell r="F256">
            <v>587.38499999999999</v>
          </cell>
          <cell r="H256">
            <v>0.04</v>
          </cell>
          <cell r="J256">
            <v>0.12138546268631309</v>
          </cell>
          <cell r="L256">
            <v>48.161999999999999</v>
          </cell>
          <cell r="N256">
            <v>8.1993922214561143E-2</v>
          </cell>
          <cell r="P256" t="str">
            <v>-</v>
          </cell>
          <cell r="S256">
            <v>72.242999999999995</v>
          </cell>
          <cell r="T256">
            <v>24.080999999999996</v>
          </cell>
          <cell r="U256">
            <v>0.12299088332184172</v>
          </cell>
          <cell r="AC256">
            <v>346.5</v>
          </cell>
          <cell r="AE256">
            <v>1.4405000000000001</v>
          </cell>
          <cell r="AG256">
            <v>4157.2871572871572</v>
          </cell>
          <cell r="AH256">
            <v>0.83728668561396624</v>
          </cell>
          <cell r="AI256">
            <v>3.6379999999999999</v>
          </cell>
          <cell r="AK256">
            <v>0.20849350649350648</v>
          </cell>
          <cell r="AM256">
            <v>50.151336341548067</v>
          </cell>
          <cell r="AO256">
            <v>403</v>
          </cell>
        </row>
        <row r="257">
          <cell r="C257">
            <v>2001</v>
          </cell>
          <cell r="D257">
            <v>9</v>
          </cell>
          <cell r="E257">
            <v>9</v>
          </cell>
          <cell r="F257">
            <v>656.95600000000002</v>
          </cell>
          <cell r="H257">
            <v>-0.08</v>
          </cell>
          <cell r="J257">
            <v>0.11562418183257331</v>
          </cell>
          <cell r="L257">
            <v>63.048999999999999</v>
          </cell>
          <cell r="N257">
            <v>9.5971419699340588E-2</v>
          </cell>
          <cell r="P257" t="str">
            <v>-</v>
          </cell>
          <cell r="S257">
            <v>94.573499999999996</v>
          </cell>
          <cell r="T257">
            <v>31.524499999999996</v>
          </cell>
          <cell r="U257">
            <v>0.14395712954901088</v>
          </cell>
          <cell r="AC257">
            <v>460</v>
          </cell>
          <cell r="AE257">
            <v>1.9540000000000002</v>
          </cell>
          <cell r="AG257">
            <v>4247.826086956522</v>
          </cell>
          <cell r="AH257">
            <v>0.56325945814165801</v>
          </cell>
          <cell r="AI257">
            <v>4.024</v>
          </cell>
          <cell r="AK257">
            <v>0.20559456521739131</v>
          </cell>
          <cell r="AM257">
            <v>48.399948822927321</v>
          </cell>
          <cell r="AO257">
            <v>334</v>
          </cell>
          <cell r="AS257" t="str">
            <v>Total rent expense as reported in footnote 5 includes only minimum rent and</v>
          </cell>
        </row>
        <row r="258">
          <cell r="C258">
            <v>2002</v>
          </cell>
          <cell r="D258">
            <v>10</v>
          </cell>
          <cell r="E258">
            <v>10</v>
          </cell>
          <cell r="F258">
            <v>671.41399999999999</v>
          </cell>
          <cell r="H258">
            <v>-0.16</v>
          </cell>
          <cell r="J258">
            <v>1.9957879936968844E-2</v>
          </cell>
          <cell r="L258">
            <v>71.805999999999997</v>
          </cell>
          <cell r="N258">
            <v>0.10694742736970037</v>
          </cell>
          <cell r="P258" t="str">
            <v>-</v>
          </cell>
          <cell r="S258">
            <v>107.709</v>
          </cell>
          <cell r="T258">
            <v>35.903000000000006</v>
          </cell>
          <cell r="U258">
            <v>0.16042114105455055</v>
          </cell>
          <cell r="AC258">
            <v>581.5</v>
          </cell>
          <cell r="AE258">
            <v>2.5369999999999999</v>
          </cell>
          <cell r="AG258">
            <v>4362.8546861564919</v>
          </cell>
          <cell r="AH258">
            <v>0.59817887498631306</v>
          </cell>
          <cell r="AI258">
            <v>4.2779999999999996</v>
          </cell>
          <cell r="AK258">
            <v>0.18522613929492693</v>
          </cell>
          <cell r="AM258">
            <v>42.455262120614904</v>
          </cell>
          <cell r="AO258">
            <v>263</v>
          </cell>
          <cell r="AS258" t="str">
            <v>percentage (contingent) rent. It does not include CAM, taxes or insurance.</v>
          </cell>
        </row>
        <row r="259">
          <cell r="C259">
            <v>2003</v>
          </cell>
          <cell r="D259">
            <v>11</v>
          </cell>
          <cell r="E259">
            <v>11</v>
          </cell>
          <cell r="F259">
            <v>797.93799999999987</v>
          </cell>
          <cell r="G259">
            <v>797.93799999999987</v>
          </cell>
          <cell r="H259">
            <v>0.04</v>
          </cell>
          <cell r="J259">
            <v>4.5226571488010174E-2</v>
          </cell>
          <cell r="L259">
            <v>91.747</v>
          </cell>
          <cell r="N259">
            <v>0.11498011123671265</v>
          </cell>
          <cell r="P259">
            <v>0.11498011123671265</v>
          </cell>
          <cell r="S259">
            <v>137.62049999999999</v>
          </cell>
          <cell r="T259">
            <v>45.873499999999993</v>
          </cell>
          <cell r="U259">
            <v>0.17247016685506897</v>
          </cell>
          <cell r="W259">
            <v>0.17247016685506897</v>
          </cell>
          <cell r="Y259">
            <v>-120.4902580051842</v>
          </cell>
          <cell r="AA259">
            <v>-1724.7016685506896</v>
          </cell>
          <cell r="AC259">
            <v>667</v>
          </cell>
          <cell r="AE259">
            <v>2.9575</v>
          </cell>
          <cell r="AG259">
            <v>4434.0329835082466</v>
          </cell>
          <cell r="AH259">
            <v>0.86067255585926594</v>
          </cell>
          <cell r="AI259">
            <v>4.4009999999999998</v>
          </cell>
          <cell r="AK259">
            <v>0.20632758620689653</v>
          </cell>
          <cell r="AM259">
            <v>46.532713440405743</v>
          </cell>
          <cell r="AO259">
            <v>264.05342349957732</v>
          </cell>
          <cell r="AP259">
            <v>269.80152155536769</v>
          </cell>
          <cell r="AS259" t="str">
            <v>Minimum rent does include DC rent, and other leases (office equipment, auto leases, etc.)</v>
          </cell>
        </row>
        <row r="260">
          <cell r="C260">
            <v>2004</v>
          </cell>
          <cell r="D260">
            <v>12</v>
          </cell>
          <cell r="E260">
            <v>12</v>
          </cell>
          <cell r="F260">
            <v>1157.548</v>
          </cell>
          <cell r="G260">
            <v>1157.548</v>
          </cell>
          <cell r="H260">
            <v>0.16</v>
          </cell>
          <cell r="J260">
            <v>5.9695148710895748E-2</v>
          </cell>
          <cell r="L260">
            <v>108.91799999999999</v>
          </cell>
          <cell r="N260">
            <v>9.4093722247371156E-2</v>
          </cell>
          <cell r="P260">
            <v>9.4093722247371156E-2</v>
          </cell>
          <cell r="S260">
            <v>163.37699999999998</v>
          </cell>
          <cell r="T260">
            <v>54.458999999999989</v>
          </cell>
          <cell r="U260">
            <v>0.14114058337105673</v>
          </cell>
          <cell r="W260">
            <v>0.14114058337105673</v>
          </cell>
          <cell r="Y260">
            <v>313.29583484012244</v>
          </cell>
          <cell r="AA260">
            <v>313.29583484012244</v>
          </cell>
          <cell r="AC260">
            <v>873.5</v>
          </cell>
          <cell r="AE260">
            <v>3.2385000000000002</v>
          </cell>
          <cell r="AG260">
            <v>4494.7952810548231</v>
          </cell>
          <cell r="AH260">
            <v>0.24145908698828672</v>
          </cell>
          <cell r="AI260">
            <v>0</v>
          </cell>
          <cell r="AK260">
            <v>0.18703720663995418</v>
          </cell>
          <cell r="AM260">
            <v>50.448355720240841</v>
          </cell>
          <cell r="AO260">
            <v>244.06994066405758</v>
          </cell>
          <cell r="AP260">
            <v>357.43337965107298</v>
          </cell>
        </row>
        <row r="261">
          <cell r="A261" t="str">
            <v>PLCE</v>
          </cell>
          <cell r="B261" t="str">
            <v>PLCE</v>
          </cell>
          <cell r="C261" t="str">
            <v>2005 (CP &amp; Dis, total revs.)</v>
          </cell>
          <cell r="D261">
            <v>13</v>
          </cell>
          <cell r="E261">
            <v>13</v>
          </cell>
          <cell r="F261">
            <v>1668.7359999999999</v>
          </cell>
          <cell r="G261">
            <v>1668.7359999999999</v>
          </cell>
          <cell r="H261">
            <v>0.09</v>
          </cell>
          <cell r="J261">
            <v>6.152560980286869E-2</v>
          </cell>
          <cell r="L261">
            <v>158.059</v>
          </cell>
          <cell r="N261">
            <v>9.4717798381529494E-2</v>
          </cell>
          <cell r="P261">
            <v>9.4717798381529494E-2</v>
          </cell>
          <cell r="R261">
            <v>0.5</v>
          </cell>
          <cell r="S261">
            <v>237.08850000000001</v>
          </cell>
          <cell r="T261">
            <v>79.029500000000013</v>
          </cell>
          <cell r="U261">
            <v>0.14207669757229427</v>
          </cell>
          <cell r="W261">
            <v>0.14207669757229427</v>
          </cell>
          <cell r="Y261">
            <v>-9.3611420123754225</v>
          </cell>
          <cell r="AA261">
            <v>-9.3611420123754225</v>
          </cell>
          <cell r="AC261">
            <v>1087.5</v>
          </cell>
          <cell r="AE261">
            <v>3.5169999999999999</v>
          </cell>
          <cell r="AG261">
            <v>4532.2164948453601</v>
          </cell>
          <cell r="AH261">
            <v>0.31430417733017996</v>
          </cell>
          <cell r="AI261">
            <v>0.31430417733017996</v>
          </cell>
          <cell r="AK261">
            <v>0.21801241379310346</v>
          </cell>
          <cell r="AM261">
            <v>67.412141029286332</v>
          </cell>
          <cell r="AO261">
            <v>225.05866412405277</v>
          </cell>
          <cell r="AP261">
            <v>474.47711117429623</v>
          </cell>
          <cell r="AQ261" t="str">
            <v>2006 and before include Disney, all other years are CP-only.  We estimate achieves lvg. at +3-4% comp.</v>
          </cell>
          <cell r="BA261">
            <v>8.5996603365755764E-2</v>
          </cell>
          <cell r="BB261">
            <v>8.5996603365755764E-2</v>
          </cell>
        </row>
        <row r="262">
          <cell r="A262" t="str">
            <v>PLCE2006</v>
          </cell>
          <cell r="B262" t="str">
            <v>PLCE</v>
          </cell>
          <cell r="C262" t="str">
            <v>2006 (CP &amp; Dis, total revs)</v>
          </cell>
          <cell r="D262">
            <v>14</v>
          </cell>
          <cell r="E262">
            <v>14</v>
          </cell>
          <cell r="F262">
            <v>1365.229</v>
          </cell>
          <cell r="G262">
            <v>1405.4290000000001</v>
          </cell>
          <cell r="H262">
            <v>0.1</v>
          </cell>
          <cell r="J262">
            <v>8.2754091455349177E-2</v>
          </cell>
          <cell r="L262">
            <v>177.07300000000001</v>
          </cell>
          <cell r="N262">
            <v>0.1297020499857533</v>
          </cell>
          <cell r="P262">
            <v>0.125992134785891</v>
          </cell>
          <cell r="R262">
            <v>0.5</v>
          </cell>
          <cell r="S262">
            <v>265.60950000000003</v>
          </cell>
          <cell r="T262">
            <v>88.536500000000018</v>
          </cell>
          <cell r="U262">
            <v>0.19455307497862998</v>
          </cell>
          <cell r="W262">
            <v>0.1889882021788365</v>
          </cell>
          <cell r="Y262">
            <v>-524.763774063357</v>
          </cell>
          <cell r="AA262">
            <v>-469.11504606542223</v>
          </cell>
          <cell r="AC262">
            <v>1119</v>
          </cell>
          <cell r="AE262">
            <v>3.831</v>
          </cell>
          <cell r="AG262">
            <v>4593.5251798561158</v>
          </cell>
          <cell r="AH262">
            <v>1.3905544238341356</v>
          </cell>
          <cell r="AI262">
            <v>0.7362238983900814</v>
          </cell>
          <cell r="AK262">
            <v>0.23736327077747993</v>
          </cell>
          <cell r="AM262">
            <v>69.331636648394678</v>
          </cell>
          <cell r="AO262">
            <v>356.36361263377711</v>
          </cell>
          <cell r="AP262">
            <v>366.85695640824855</v>
          </cell>
          <cell r="AR262" t="str">
            <v>DE-LVG</v>
          </cell>
          <cell r="AY262">
            <v>40.200000000000003</v>
          </cell>
          <cell r="BA262">
            <v>8.9280636906454491E-2</v>
          </cell>
          <cell r="BB262">
            <v>8.9280636906454491E-2</v>
          </cell>
        </row>
        <row r="263">
          <cell r="A263" t="str">
            <v>PLCE2007</v>
          </cell>
          <cell r="B263" t="str">
            <v>PLCE</v>
          </cell>
          <cell r="C263" t="str">
            <v>2007 (CP only, ex. eComm)</v>
          </cell>
          <cell r="D263">
            <v>15</v>
          </cell>
          <cell r="E263">
            <v>15</v>
          </cell>
          <cell r="F263">
            <v>1465.8290000000002</v>
          </cell>
          <cell r="G263">
            <v>1520.3290000000002</v>
          </cell>
          <cell r="H263">
            <v>0.03</v>
          </cell>
          <cell r="J263">
            <v>3.7091971540370583E-2</v>
          </cell>
          <cell r="L263">
            <v>136.87300000000002</v>
          </cell>
          <cell r="N263">
            <v>9.3375830332187451E-2</v>
          </cell>
          <cell r="P263">
            <v>9.0028539875250682E-2</v>
          </cell>
          <cell r="R263">
            <v>0.53385985548647286</v>
          </cell>
          <cell r="S263">
            <v>209.94400000000002</v>
          </cell>
          <cell r="U263">
            <v>0.14322543761925846</v>
          </cell>
          <cell r="W263">
            <v>0.13809116316271017</v>
          </cell>
          <cell r="Y263">
            <v>513.27637359371511</v>
          </cell>
          <cell r="AA263">
            <v>508.97039016126325</v>
          </cell>
          <cell r="AC263">
            <v>885</v>
          </cell>
          <cell r="AE263">
            <v>4.1509999999999998</v>
          </cell>
          <cell r="AG263">
            <v>4690.3954802259886</v>
          </cell>
          <cell r="AH263">
            <v>0.61959716799550457</v>
          </cell>
          <cell r="AI263">
            <v>0.5230185536410018</v>
          </cell>
          <cell r="AK263">
            <v>0.23722485875706217</v>
          </cell>
          <cell r="AM263">
            <v>50.576728499156836</v>
          </cell>
          <cell r="AO263">
            <v>353.12671645386661</v>
          </cell>
          <cell r="AP263">
            <v>366.25608287159724</v>
          </cell>
          <cell r="AQ263" t="str">
            <v>Sales excl. Internet (2011 $176M, 2010 $151M). Adjustment includes 55% of minimum lease payments ($163M). Comparable Store Sales estimate indicated (excludes internet sales growth).</v>
          </cell>
          <cell r="AR263">
            <v>-35.740830889619822</v>
          </cell>
          <cell r="AY263">
            <v>54.5</v>
          </cell>
          <cell r="BA263">
            <v>8.3529104672409149E-2</v>
          </cell>
          <cell r="BB263">
            <v>8.3529104672409149E-2</v>
          </cell>
        </row>
        <row r="264">
          <cell r="A264" t="str">
            <v>PLCE2008</v>
          </cell>
          <cell r="B264" t="str">
            <v>PLCE</v>
          </cell>
          <cell r="C264">
            <v>2008</v>
          </cell>
          <cell r="D264">
            <v>16</v>
          </cell>
          <cell r="E264">
            <v>16</v>
          </cell>
          <cell r="F264">
            <v>1541.4409999999998</v>
          </cell>
          <cell r="G264">
            <v>1630.3409999999999</v>
          </cell>
          <cell r="H264">
            <v>0.05</v>
          </cell>
          <cell r="J264">
            <v>7.6369912797384074E-2</v>
          </cell>
          <cell r="L264">
            <v>145.374</v>
          </cell>
          <cell r="M264">
            <v>6.2108670081023831E-2</v>
          </cell>
          <cell r="N264">
            <v>9.4310453659919524E-2</v>
          </cell>
          <cell r="O264">
            <v>1.0009263900595311E-2</v>
          </cell>
          <cell r="P264">
            <v>8.9167848934670724E-2</v>
          </cell>
          <cell r="R264">
            <v>0.55655619299186943</v>
          </cell>
          <cell r="S264">
            <v>226.28280000000001</v>
          </cell>
          <cell r="U264">
            <v>0.14679952070822044</v>
          </cell>
          <cell r="W264">
            <v>0.13879476747502517</v>
          </cell>
          <cell r="Y264">
            <v>-35.740830889619822</v>
          </cell>
          <cell r="AA264">
            <v>-7.0360431231500371</v>
          </cell>
          <cell r="AC264">
            <v>910.5</v>
          </cell>
          <cell r="AE264">
            <v>4.3940254999999997</v>
          </cell>
          <cell r="AG264">
            <v>4825.9478308621638</v>
          </cell>
          <cell r="AH264">
            <v>0.38193141356258453</v>
          </cell>
          <cell r="AI264">
            <v>2.704011342187046E-2</v>
          </cell>
          <cell r="AK264">
            <v>0.24852586490939046</v>
          </cell>
          <cell r="AM264">
            <v>51.497834957944605</v>
          </cell>
          <cell r="AO264">
            <v>350.8038357993143</v>
          </cell>
          <cell r="AP264">
            <v>371.03585311464394</v>
          </cell>
          <cell r="AQ264" t="str">
            <v>Store sales exclude Internet ($215 in '12, $176M in '11). Adjustment includes 55% of minimum lease payments ($166M). Comparable Store Sales estimate indicated (excludes internet sales growth).</v>
          </cell>
          <cell r="AR264">
            <v>-90.652035496467391</v>
          </cell>
          <cell r="AS264">
            <v>2.8813559322033999E-2</v>
          </cell>
          <cell r="AU264">
            <v>-126.39286638608721</v>
          </cell>
          <cell r="AY264">
            <v>88.9</v>
          </cell>
          <cell r="BA264">
            <v>5.8546253914719237E-2</v>
          </cell>
          <cell r="BB264">
            <v>5.8546253914719237E-2</v>
          </cell>
        </row>
        <row r="265">
          <cell r="A265" t="str">
            <v>PLCE2009</v>
          </cell>
          <cell r="B265" t="str">
            <v>PLCE</v>
          </cell>
          <cell r="C265">
            <v>2009</v>
          </cell>
          <cell r="D265">
            <v>17</v>
          </cell>
          <cell r="E265">
            <v>17</v>
          </cell>
          <cell r="F265">
            <v>1524.087</v>
          </cell>
          <cell r="G265">
            <v>1643.587</v>
          </cell>
          <cell r="H265">
            <v>-2.0476756022042034E-2</v>
          </cell>
          <cell r="J265">
            <v>7.5680812758922966E-2</v>
          </cell>
          <cell r="L265">
            <v>149.274</v>
          </cell>
          <cell r="M265">
            <v>2.6827355648190165E-2</v>
          </cell>
          <cell r="N265">
            <v>9.7943227650390041E-2</v>
          </cell>
          <cell r="O265">
            <v>3.8519314132134053E-2</v>
          </cell>
          <cell r="P265">
            <v>9.0822086083669443E-2</v>
          </cell>
          <cell r="R265">
            <v>0.59137827083082106</v>
          </cell>
          <cell r="S265">
            <v>237.5514</v>
          </cell>
          <cell r="U265">
            <v>0.15586472425786718</v>
          </cell>
          <cell r="W265">
            <v>0.14453229430507786</v>
          </cell>
          <cell r="Y265">
            <v>-90.652035496467391</v>
          </cell>
          <cell r="AA265">
            <v>-57.375268300526862</v>
          </cell>
          <cell r="AC265">
            <v>932</v>
          </cell>
          <cell r="AE265">
            <v>4.6057885000000001</v>
          </cell>
          <cell r="AG265">
            <v>4941.8331545064375</v>
          </cell>
          <cell r="AH265">
            <v>0.19128056215647676</v>
          </cell>
          <cell r="AI265">
            <v>0</v>
          </cell>
          <cell r="AK265">
            <v>0.25488347639484976</v>
          </cell>
          <cell r="AM265">
            <v>51.576706138373481</v>
          </cell>
          <cell r="AO265">
            <v>330.90685775084984</v>
          </cell>
          <cell r="AP265">
            <v>356.85246945229898</v>
          </cell>
          <cell r="AR265">
            <v>-51.989026554680464</v>
          </cell>
          <cell r="AS265">
            <v>2.3613399231191545E-2</v>
          </cell>
          <cell r="AU265">
            <v>-142.64106205114786</v>
          </cell>
          <cell r="AY265">
            <v>119.5</v>
          </cell>
          <cell r="BA265">
            <v>4.8193393506706039E-2</v>
          </cell>
          <cell r="BB265">
            <v>4.8193393506706039E-2</v>
          </cell>
          <cell r="BC265">
            <v>0</v>
          </cell>
        </row>
        <row r="266">
          <cell r="A266" t="str">
            <v>PLCE2010</v>
          </cell>
          <cell r="B266" t="str">
            <v>PLCE</v>
          </cell>
          <cell r="C266">
            <v>2010</v>
          </cell>
          <cell r="D266">
            <v>18</v>
          </cell>
          <cell r="E266">
            <v>18</v>
          </cell>
          <cell r="F266">
            <v>1522.799</v>
          </cell>
          <cell r="G266">
            <v>1673.999</v>
          </cell>
          <cell r="H266">
            <v>-2.5000000000000001E-2</v>
          </cell>
          <cell r="J266">
            <v>7.6816652817594241E-2</v>
          </cell>
          <cell r="L266">
            <v>156.84399999999999</v>
          </cell>
          <cell r="M266">
            <v>5.0712113295014571E-2</v>
          </cell>
          <cell r="N266">
            <v>0.10299717822247059</v>
          </cell>
          <cell r="O266">
            <v>5.1600817058232051E-2</v>
          </cell>
          <cell r="P266">
            <v>9.3694201728913809E-2</v>
          </cell>
          <cell r="R266">
            <v>0.56376737395118703</v>
          </cell>
          <cell r="S266">
            <v>245.26752999999997</v>
          </cell>
          <cell r="U266">
            <v>0.16106362691333523</v>
          </cell>
          <cell r="W266">
            <v>0.14651593579207631</v>
          </cell>
          <cell r="Y266">
            <v>-51.989026554680464</v>
          </cell>
          <cell r="AA266">
            <v>-19.836414869984498</v>
          </cell>
          <cell r="AC266">
            <v>971</v>
          </cell>
          <cell r="AE266">
            <v>4.8101095000000003</v>
          </cell>
          <cell r="AG266">
            <v>4953.7687950566424</v>
          </cell>
          <cell r="AH266">
            <v>0.54449801312670665</v>
          </cell>
          <cell r="AI266">
            <v>0</v>
          </cell>
          <cell r="AK266">
            <v>0.25259271884654994</v>
          </cell>
          <cell r="AM266">
            <v>50.990009686889657</v>
          </cell>
          <cell r="AO266">
            <v>316.58302165470451</v>
          </cell>
          <cell r="AP266">
            <v>348.01681749656632</v>
          </cell>
          <cell r="AR266">
            <v>-34.779054307776669</v>
          </cell>
          <cell r="AS266">
            <v>4.1845493562231661E-2</v>
          </cell>
          <cell r="AY266">
            <v>151.19999999999999</v>
          </cell>
          <cell r="BA266">
            <v>4.4361785175328849E-2</v>
          </cell>
          <cell r="BB266">
            <v>4.4361785175328849E-2</v>
          </cell>
          <cell r="BC266">
            <v>0</v>
          </cell>
        </row>
        <row r="267">
          <cell r="A267" t="str">
            <v>PLCE2011</v>
          </cell>
          <cell r="B267" t="str">
            <v>PLCE</v>
          </cell>
          <cell r="C267">
            <v>2011</v>
          </cell>
          <cell r="D267">
            <v>19</v>
          </cell>
          <cell r="E267">
            <v>19</v>
          </cell>
          <cell r="F267">
            <v>1539.6632472717101</v>
          </cell>
          <cell r="G267">
            <v>1715.8619999999999</v>
          </cell>
          <cell r="H267">
            <v>-2.3904589063689273E-2</v>
          </cell>
          <cell r="J267">
            <v>6.2053358603430732E-2</v>
          </cell>
          <cell r="L267">
            <v>163.82</v>
          </cell>
          <cell r="M267">
            <v>4.4477315039147092E-2</v>
          </cell>
          <cell r="N267">
            <v>0.10639988990468516</v>
          </cell>
          <cell r="O267">
            <v>3.3036940826328465E-2</v>
          </cell>
          <cell r="P267">
            <v>9.5473878435445275E-2</v>
          </cell>
          <cell r="R267">
            <v>0.54644457331217189</v>
          </cell>
          <cell r="S267">
            <v>253.33855</v>
          </cell>
          <cell r="U267">
            <v>0.1645415323441129</v>
          </cell>
          <cell r="W267">
            <v>0.14764506119956036</v>
          </cell>
          <cell r="Y267">
            <v>-34.779054307776669</v>
          </cell>
          <cell r="AA267">
            <v>-11.291254074840552</v>
          </cell>
          <cell r="AC267">
            <v>1022</v>
          </cell>
          <cell r="AE267">
            <v>5.0307180000000002</v>
          </cell>
          <cell r="AG267">
            <v>4922.4246575342468</v>
          </cell>
          <cell r="AH267" t="e">
            <v>#REF!</v>
          </cell>
          <cell r="AI267">
            <v>0</v>
          </cell>
          <cell r="AK267">
            <v>0.2478850782778865</v>
          </cell>
          <cell r="AM267">
            <v>50.358328572581485</v>
          </cell>
          <cell r="AO267">
            <v>306.05238601561649</v>
          </cell>
          <cell r="AP267">
            <v>341.07695959105632</v>
          </cell>
          <cell r="AR267">
            <v>21.037297882090801</v>
          </cell>
          <cell r="AS267">
            <v>5.2523171987641559E-2</v>
          </cell>
          <cell r="AY267">
            <v>176.19875272828972</v>
          </cell>
          <cell r="BA267">
            <v>4.5863508928434937E-2</v>
          </cell>
          <cell r="BB267">
            <v>4.5863508928434937E-2</v>
          </cell>
        </row>
        <row r="268">
          <cell r="A268" t="str">
            <v>PLCE2012</v>
          </cell>
          <cell r="B268" t="str">
            <v>PLCE</v>
          </cell>
          <cell r="C268">
            <v>2012</v>
          </cell>
          <cell r="D268">
            <v>20</v>
          </cell>
          <cell r="E268">
            <v>20</v>
          </cell>
          <cell r="F268">
            <v>1594.4456642773432</v>
          </cell>
          <cell r="G268">
            <v>1809.4860000000001</v>
          </cell>
          <cell r="H268">
            <v>0.02</v>
          </cell>
          <cell r="J268">
            <v>6.3735779110753052E-2</v>
          </cell>
          <cell r="L268">
            <v>167.292</v>
          </cell>
          <cell r="M268">
            <v>2.1193993407398359E-2</v>
          </cell>
          <cell r="N268">
            <v>0.10492173157611012</v>
          </cell>
          <cell r="O268">
            <v>-1.3892479869097585E-2</v>
          </cell>
          <cell r="P268">
            <v>9.2452773881643732E-2</v>
          </cell>
          <cell r="R268">
            <v>0.5481807259163618</v>
          </cell>
          <cell r="S268">
            <v>258.99824999999998</v>
          </cell>
          <cell r="U268">
            <v>0.16243780255590382</v>
          </cell>
          <cell r="W268">
            <v>0.14313360258106445</v>
          </cell>
          <cell r="Y268">
            <v>21.037297882090801</v>
          </cell>
          <cell r="AA268">
            <v>45.114586184959172</v>
          </cell>
          <cell r="AC268">
            <v>1072</v>
          </cell>
          <cell r="AE268">
            <v>5.2347429999999999</v>
          </cell>
          <cell r="AG268">
            <v>4883.1557835820895</v>
          </cell>
          <cell r="AH268" t="e">
            <v>#REF!</v>
          </cell>
          <cell r="AI268">
            <v>0</v>
          </cell>
          <cell r="AK268">
            <v>0.2416028451492537</v>
          </cell>
          <cell r="AM268">
            <v>49.476784247096752</v>
          </cell>
          <cell r="AO268">
            <v>304.58910098878653</v>
          </cell>
          <cell r="AP268">
            <v>345.6685457146607</v>
          </cell>
          <cell r="AR268">
            <v>-42.386626215511484</v>
          </cell>
          <cell r="AS268">
            <v>4.8923679060665304E-2</v>
          </cell>
          <cell r="AY268">
            <v>215.04033572265695</v>
          </cell>
          <cell r="BA268">
            <v>4.0555841134406689E-2</v>
          </cell>
          <cell r="BB268">
            <v>4.0555841134406689E-2</v>
          </cell>
        </row>
        <row r="269">
          <cell r="A269" t="str">
            <v>PLCE2013</v>
          </cell>
          <cell r="B269" t="str">
            <v>PLCE</v>
          </cell>
          <cell r="C269" t="str">
            <v>2013e</v>
          </cell>
          <cell r="D269">
            <v>21</v>
          </cell>
          <cell r="E269">
            <v>21</v>
          </cell>
          <cell r="F269">
            <v>1568.1226578943113</v>
          </cell>
          <cell r="G269">
            <v>1810.0853655980659</v>
          </cell>
          <cell r="H269">
            <v>-1.3539310674990351E-2</v>
          </cell>
          <cell r="J269">
            <v>5.9647972720880363E-2</v>
          </cell>
          <cell r="L269">
            <v>170.08164158249932</v>
          </cell>
          <cell r="M269">
            <v>1.6675283830065446E-2</v>
          </cell>
          <cell r="N269">
            <v>0.10846195017096839</v>
          </cell>
          <cell r="O269">
            <v>3.3741518955872296E-2</v>
          </cell>
          <cell r="P269">
            <v>9.3963326158544497E-2</v>
          </cell>
          <cell r="R269">
            <v>0.53672753361637993</v>
          </cell>
          <cell r="S269">
            <v>261.36914158249931</v>
          </cell>
          <cell r="U269">
            <v>0.16667646517745496</v>
          </cell>
          <cell r="W269">
            <v>0.14439603045801155</v>
          </cell>
          <cell r="Y269">
            <v>-42.386626215511484</v>
          </cell>
          <cell r="AA269">
            <v>-12.624278769471086</v>
          </cell>
          <cell r="AC269">
            <v>1117.5</v>
          </cell>
          <cell r="AE269">
            <v>5.3942430000000003</v>
          </cell>
          <cell r="AG269">
            <v>4827.0630872483225</v>
          </cell>
          <cell r="AH269" t="e">
            <v>#REF!</v>
          </cell>
          <cell r="AI269">
            <v>0</v>
          </cell>
          <cell r="AK269">
            <v>0.23388737501789647</v>
          </cell>
          <cell r="AM269">
            <v>48.453349539963121</v>
          </cell>
          <cell r="AO269">
            <v>290.70300650050638</v>
          </cell>
          <cell r="AP269">
            <v>335.55873652671295</v>
          </cell>
          <cell r="AY269">
            <v>241.9627077037546</v>
          </cell>
          <cell r="BA269">
            <v>3.0469499648788867E-2</v>
          </cell>
          <cell r="BB269">
            <v>3.0469499648788867E-2</v>
          </cell>
        </row>
        <row r="270">
          <cell r="C270" t="str">
            <v>2007 = Trough rent</v>
          </cell>
          <cell r="F270">
            <v>1465.8290000000002</v>
          </cell>
          <cell r="G270">
            <v>1520.3290000000002</v>
          </cell>
          <cell r="H270">
            <v>0.03</v>
          </cell>
          <cell r="J270">
            <v>3.7091971540370583E-2</v>
          </cell>
          <cell r="L270">
            <v>136.87300000000002</v>
          </cell>
          <cell r="N270">
            <v>9.3375830332187451E-2</v>
          </cell>
          <cell r="P270">
            <v>9.0028539875250682E-2</v>
          </cell>
          <cell r="S270">
            <v>209.94400000000002</v>
          </cell>
          <cell r="U270">
            <v>0.14322543761925846</v>
          </cell>
          <cell r="W270">
            <v>0.13809116316271017</v>
          </cell>
          <cell r="Z270">
            <v>0</v>
          </cell>
          <cell r="AB270">
            <v>0</v>
          </cell>
          <cell r="AC270">
            <v>885</v>
          </cell>
          <cell r="AE270">
            <v>4.1509999999999998</v>
          </cell>
          <cell r="AG270">
            <v>4690.3954802259886</v>
          </cell>
          <cell r="AH270">
            <v>0.90483336640125767</v>
          </cell>
          <cell r="AI270">
            <v>0.90483336640125767</v>
          </cell>
          <cell r="AK270">
            <v>0.23722485875706217</v>
          </cell>
          <cell r="AM270">
            <v>50.576728499156836</v>
          </cell>
          <cell r="AO270">
            <v>353.12671645386661</v>
          </cell>
          <cell r="AP270">
            <v>366.25608287159724</v>
          </cell>
          <cell r="AR270">
            <v>3.8588841218552383E-2</v>
          </cell>
          <cell r="AT270" t="str">
            <v>or little higher - my est based on lower sq ft productivity from neg comp</v>
          </cell>
        </row>
        <row r="272">
          <cell r="AS272" t="str">
            <v>occupancy's role in determining potential operating margin</v>
          </cell>
        </row>
        <row r="273">
          <cell r="L273" t="str">
            <v>Rent Expense</v>
          </cell>
          <cell r="Y273" t="str">
            <v>Rent</v>
          </cell>
          <cell r="AA273" t="str">
            <v>Rent</v>
          </cell>
          <cell r="AC273" t="str">
            <v>Average</v>
          </cell>
          <cell r="AL273" t="str">
            <v>Adjusted Rent</v>
          </cell>
          <cell r="AO273" t="str">
            <v>Sales</v>
          </cell>
          <cell r="AP273" t="str">
            <v>Total Sales</v>
          </cell>
          <cell r="AQ273" t="str">
            <v>Key CAM adj.</v>
          </cell>
          <cell r="AR273" t="str">
            <v>Bps</v>
          </cell>
        </row>
        <row r="274">
          <cell r="F274" t="str">
            <v>Store Sales</v>
          </cell>
          <cell r="G274" t="str">
            <v>Total Sales</v>
          </cell>
          <cell r="H274" t="str">
            <v>Comp.</v>
          </cell>
          <cell r="J274" t="str">
            <v>Operating</v>
          </cell>
          <cell r="L274" t="str">
            <v>per 10-K</v>
          </cell>
          <cell r="U274" t="str">
            <v>% Store</v>
          </cell>
          <cell r="W274" t="str">
            <v>% Total</v>
          </cell>
          <cell r="Y274" t="str">
            <v>Levg. or</v>
          </cell>
          <cell r="AA274" t="str">
            <v>Levg. or</v>
          </cell>
          <cell r="AC274" t="str">
            <v>Store</v>
          </cell>
          <cell r="AE274" t="str">
            <v>Sq. Ft.</v>
          </cell>
          <cell r="AG274" t="str">
            <v>Sq. Ft. /</v>
          </cell>
          <cell r="AH274" t="str">
            <v>New Sq. Ft.</v>
          </cell>
          <cell r="AI274" t="str">
            <v>Adj. New SF</v>
          </cell>
          <cell r="AK274" t="str">
            <v>per Avg</v>
          </cell>
          <cell r="AM274" t="str">
            <v>per Avg</v>
          </cell>
          <cell r="AO274" t="str">
            <v>per Avg</v>
          </cell>
          <cell r="AP274" t="str">
            <v>per Avg</v>
          </cell>
          <cell r="AQ274" t="str">
            <v>Assumptions &amp;</v>
          </cell>
          <cell r="AR274" t="str">
            <v>Lvg</v>
          </cell>
        </row>
        <row r="275">
          <cell r="F275" t="str">
            <v>($ MM)</v>
          </cell>
          <cell r="G275" t="str">
            <v>($ MM)</v>
          </cell>
          <cell r="H275" t="str">
            <v>Sales %</v>
          </cell>
          <cell r="J275" t="str">
            <v>Margin</v>
          </cell>
          <cell r="L275" t="str">
            <v>$ MM</v>
          </cell>
          <cell r="N275" t="str">
            <v>% Sales</v>
          </cell>
          <cell r="P275" t="str">
            <v>% Sales</v>
          </cell>
          <cell r="R275" t="str">
            <v>Adj.</v>
          </cell>
          <cell r="S275" t="str">
            <v>$ MM</v>
          </cell>
          <cell r="U275" t="str">
            <v>Sales</v>
          </cell>
          <cell r="W275" t="str">
            <v>Sales</v>
          </cell>
          <cell r="Y275" t="str">
            <v>(Delevg)</v>
          </cell>
          <cell r="AA275" t="str">
            <v>(De-levg)</v>
          </cell>
          <cell r="AC275" t="str">
            <v>Count</v>
          </cell>
          <cell r="AE275" t="str">
            <v>(MM)</v>
          </cell>
          <cell r="AG275" t="str">
            <v>Store</v>
          </cell>
          <cell r="AH275" t="str">
            <v>Productivity</v>
          </cell>
          <cell r="AI275" t="str">
            <v>Productivity</v>
          </cell>
          <cell r="AK275" t="str">
            <v>Store</v>
          </cell>
          <cell r="AM275" t="str">
            <v>Sq. Ft.</v>
          </cell>
          <cell r="AO275" t="str">
            <v>Sq. Ft.</v>
          </cell>
          <cell r="AP275" t="str">
            <v>Sq. Ft.</v>
          </cell>
          <cell r="AQ275" t="str">
            <v>Other</v>
          </cell>
          <cell r="AR275" t="str">
            <v>(De-Lvg)</v>
          </cell>
          <cell r="AS275" t="str">
            <v>Notes on Rent:</v>
          </cell>
        </row>
        <row r="277">
          <cell r="AI277">
            <v>0</v>
          </cell>
        </row>
        <row r="278">
          <cell r="C278">
            <v>1998</v>
          </cell>
          <cell r="D278">
            <v>6</v>
          </cell>
          <cell r="E278">
            <v>10</v>
          </cell>
          <cell r="F278">
            <v>321.12522999999999</v>
          </cell>
          <cell r="H278">
            <v>8.5999999999999993E-2</v>
          </cell>
          <cell r="J278">
            <v>0.11801102018673525</v>
          </cell>
          <cell r="L278">
            <v>39.094115000000002</v>
          </cell>
          <cell r="N278">
            <v>0.12174102607882914</v>
          </cell>
          <cell r="P278" t="e">
            <v>#DIV/0!</v>
          </cell>
          <cell r="S278">
            <v>39.094115000000002</v>
          </cell>
          <cell r="U278">
            <v>0.12174102607882914</v>
          </cell>
          <cell r="AC278">
            <v>307</v>
          </cell>
          <cell r="AE278">
            <v>0.79683679900744409</v>
          </cell>
          <cell r="AG278">
            <v>2597.9736842105262</v>
          </cell>
          <cell r="AH278">
            <v>0.75997612897812572</v>
          </cell>
          <cell r="AI278">
            <v>0</v>
          </cell>
          <cell r="AK278">
            <v>0.12734239413680781</v>
          </cell>
          <cell r="AM278">
            <v>49.061633509768143</v>
          </cell>
          <cell r="AO278">
            <v>403</v>
          </cell>
        </row>
        <row r="279">
          <cell r="C279">
            <v>1999</v>
          </cell>
          <cell r="D279">
            <v>7</v>
          </cell>
          <cell r="E279">
            <v>11</v>
          </cell>
          <cell r="F279">
            <v>436.80787899999996</v>
          </cell>
          <cell r="H279">
            <v>7.8E-2</v>
          </cell>
          <cell r="J279">
            <v>0.1293581725891898</v>
          </cell>
          <cell r="L279">
            <v>51.698739000000003</v>
          </cell>
          <cell r="N279">
            <v>0.11835578405397768</v>
          </cell>
          <cell r="P279" t="e">
            <v>#DIV/0!</v>
          </cell>
          <cell r="S279">
            <v>51.698739000000003</v>
          </cell>
          <cell r="U279">
            <v>0.11835578405397768</v>
          </cell>
          <cell r="AC279">
            <v>396</v>
          </cell>
          <cell r="AE279">
            <v>1.0975072336683416</v>
          </cell>
          <cell r="AG279">
            <v>2787.4955555555557</v>
          </cell>
          <cell r="AH279">
            <v>0.74799655487924677</v>
          </cell>
          <cell r="AI279">
            <v>0</v>
          </cell>
          <cell r="AK279">
            <v>0.13055237121212121</v>
          </cell>
          <cell r="AM279">
            <v>47.105602053483118</v>
          </cell>
          <cell r="AO279">
            <v>398</v>
          </cell>
        </row>
        <row r="280">
          <cell r="C280">
            <v>2000</v>
          </cell>
          <cell r="D280">
            <v>8</v>
          </cell>
          <cell r="E280">
            <v>12</v>
          </cell>
          <cell r="F280">
            <v>589.43799999999999</v>
          </cell>
          <cell r="H280">
            <v>3.5000000000000003E-2</v>
          </cell>
          <cell r="J280">
            <v>0.10794010565996763</v>
          </cell>
          <cell r="L280">
            <v>71.174610999999999</v>
          </cell>
          <cell r="N280">
            <v>0.12074995334539002</v>
          </cell>
          <cell r="P280" t="e">
            <v>#DIV/0!</v>
          </cell>
          <cell r="S280">
            <v>71.174610999999999</v>
          </cell>
          <cell r="U280">
            <v>0.12074995334539002</v>
          </cell>
          <cell r="AC280">
            <v>519.5</v>
          </cell>
          <cell r="AE280">
            <v>1.5092479999999999</v>
          </cell>
          <cell r="AG280">
            <v>2995.1154499151103</v>
          </cell>
          <cell r="AH280">
            <v>0.8381001867454233</v>
          </cell>
          <cell r="AI280">
            <v>0</v>
          </cell>
          <cell r="AK280">
            <v>0.1370059884504331</v>
          </cell>
          <cell r="AM280">
            <v>47.15898977504029</v>
          </cell>
          <cell r="AO280">
            <v>390.55079085743364</v>
          </cell>
        </row>
        <row r="281">
          <cell r="C281">
            <v>2001</v>
          </cell>
          <cell r="D281">
            <v>9</v>
          </cell>
          <cell r="E281">
            <v>13</v>
          </cell>
          <cell r="F281">
            <v>684.84</v>
          </cell>
          <cell r="H281">
            <v>-2.5000000000000001E-2</v>
          </cell>
          <cell r="J281">
            <v>7.0677852356993365E-2</v>
          </cell>
          <cell r="L281">
            <v>91.479995000000002</v>
          </cell>
          <cell r="N281">
            <v>0.13357863880614451</v>
          </cell>
          <cell r="P281" t="e">
            <v>#DIV/0!</v>
          </cell>
          <cell r="S281">
            <v>91.479995000000002</v>
          </cell>
          <cell r="U281">
            <v>0.13357863880614451</v>
          </cell>
          <cell r="AC281">
            <v>653.5</v>
          </cell>
          <cell r="AE281">
            <v>2.041636</v>
          </cell>
          <cell r="AG281">
            <v>3230.0125348189413</v>
          </cell>
          <cell r="AH281">
            <v>0.52970150781392722</v>
          </cell>
          <cell r="AI281">
            <v>0</v>
          </cell>
          <cell r="AK281">
            <v>0.13998469013006887</v>
          </cell>
          <cell r="AM281">
            <v>44.807201185715769</v>
          </cell>
          <cell r="AO281">
            <v>335.4368751334714</v>
          </cell>
          <cell r="AS281" t="str">
            <v xml:space="preserve">Rental expense according to footnote 7 includes CAM, minimum rent, and </v>
          </cell>
        </row>
        <row r="282">
          <cell r="C282">
            <v>2002</v>
          </cell>
          <cell r="D282">
            <v>10</v>
          </cell>
          <cell r="E282">
            <v>14</v>
          </cell>
          <cell r="F282">
            <v>846.39300000000003</v>
          </cell>
          <cell r="H282">
            <v>9.6999999999999989E-2</v>
          </cell>
          <cell r="J282">
            <v>9.5980236131442478E-2</v>
          </cell>
          <cell r="L282">
            <v>111.3</v>
          </cell>
          <cell r="N282">
            <v>0.13149919718145117</v>
          </cell>
          <cell r="P282" t="e">
            <v>#DIV/0!</v>
          </cell>
          <cell r="S282">
            <v>111.3</v>
          </cell>
          <cell r="U282">
            <v>0.13149919718145117</v>
          </cell>
          <cell r="AC282">
            <v>754.5</v>
          </cell>
          <cell r="AE282">
            <v>2.4832459999999998</v>
          </cell>
          <cell r="AG282">
            <v>3346.8305941845765</v>
          </cell>
          <cell r="AH282">
            <v>0.64215254777460662</v>
          </cell>
          <cell r="AI282">
            <v>0</v>
          </cell>
          <cell r="AK282">
            <v>0.14751491053677931</v>
          </cell>
          <cell r="AM282">
            <v>44.820368179391011</v>
          </cell>
          <cell r="AO282">
            <v>340.84138260969718</v>
          </cell>
          <cell r="AS282" t="str">
            <v>contingent (percentage) rent. This number also includes taxes and insurance.</v>
          </cell>
        </row>
        <row r="283">
          <cell r="C283">
            <v>2003</v>
          </cell>
          <cell r="D283">
            <v>11</v>
          </cell>
          <cell r="E283">
            <v>15</v>
          </cell>
          <cell r="F283">
            <v>1041.4559999999999</v>
          </cell>
          <cell r="H283">
            <v>0.13100000000000001</v>
          </cell>
          <cell r="J283">
            <v>0.12312282035918935</v>
          </cell>
          <cell r="L283">
            <v>120</v>
          </cell>
          <cell r="N283">
            <v>0.11522330276075035</v>
          </cell>
          <cell r="P283" t="e">
            <v>#DIV/0!</v>
          </cell>
          <cell r="S283">
            <v>120</v>
          </cell>
          <cell r="U283">
            <v>0.11522330276075035</v>
          </cell>
          <cell r="AC283">
            <v>834</v>
          </cell>
          <cell r="AE283">
            <v>2.8219889999999999</v>
          </cell>
          <cell r="AG283">
            <v>3416.9156214367158</v>
          </cell>
          <cell r="AH283">
            <v>0.72311821413936017</v>
          </cell>
          <cell r="AI283">
            <v>0</v>
          </cell>
          <cell r="AK283">
            <v>0.14388489208633093</v>
          </cell>
          <cell r="AM283">
            <v>42.523199062788692</v>
          </cell>
          <cell r="AO283">
            <v>368.80370547156627</v>
          </cell>
          <cell r="AS283" t="str">
            <v>This is a fully loaded number, and landlord passthru's account for approx 40%</v>
          </cell>
        </row>
        <row r="284">
          <cell r="C284">
            <v>2004</v>
          </cell>
          <cell r="D284">
            <v>12</v>
          </cell>
          <cell r="E284">
            <v>16</v>
          </cell>
          <cell r="F284">
            <v>1229.7619999999999</v>
          </cell>
          <cell r="H284">
            <v>7.2999999999999995E-2</v>
          </cell>
          <cell r="J284">
            <v>0.13824870178132018</v>
          </cell>
          <cell r="L284">
            <v>138</v>
          </cell>
          <cell r="N284">
            <v>0.11221683545271362</v>
          </cell>
          <cell r="P284" t="e">
            <v>#DIV/0!</v>
          </cell>
          <cell r="S284">
            <v>138</v>
          </cell>
          <cell r="U284">
            <v>0.11221683545271362</v>
          </cell>
          <cell r="AC284">
            <v>933.5</v>
          </cell>
          <cell r="AE284">
            <v>3.2222425000000001</v>
          </cell>
          <cell r="AG284">
            <v>3482.6767676767677</v>
          </cell>
          <cell r="AH284">
            <v>0.76568465239276695</v>
          </cell>
          <cell r="AI284">
            <v>0</v>
          </cell>
          <cell r="AK284">
            <v>0.14783074450990893</v>
          </cell>
          <cell r="AM284">
            <v>42.827316690162206</v>
          </cell>
          <cell r="AO284">
            <v>381.64787411251632</v>
          </cell>
          <cell r="AS284" t="str">
            <v>of minimum rent.</v>
          </cell>
        </row>
        <row r="285">
          <cell r="A285" t="str">
            <v>PSUN2005</v>
          </cell>
          <cell r="B285" t="str">
            <v>PSUN</v>
          </cell>
          <cell r="C285" t="str">
            <v>2005 (total revs.)</v>
          </cell>
          <cell r="D285">
            <v>13</v>
          </cell>
          <cell r="E285">
            <v>17</v>
          </cell>
          <cell r="F285">
            <v>1391.4839999999999</v>
          </cell>
          <cell r="H285">
            <v>3.2000000000000001E-2</v>
          </cell>
          <cell r="J285">
            <v>0.14177166248408174</v>
          </cell>
          <cell r="L285">
            <v>161</v>
          </cell>
          <cell r="N285">
            <v>0.11570380974556661</v>
          </cell>
          <cell r="P285" t="e">
            <v>#DIV/0!</v>
          </cell>
          <cell r="R285" t="str">
            <v>0%</v>
          </cell>
          <cell r="S285">
            <v>161</v>
          </cell>
          <cell r="U285">
            <v>0.11570380974556661</v>
          </cell>
          <cell r="Y285">
            <v>-34.869742928529959</v>
          </cell>
          <cell r="AA285">
            <v>0</v>
          </cell>
          <cell r="AC285">
            <v>1047.5</v>
          </cell>
          <cell r="AE285">
            <v>3.6894204999999998</v>
          </cell>
          <cell r="AG285">
            <v>3557.4579185520365</v>
          </cell>
          <cell r="AH285">
            <v>0.68632270501834947</v>
          </cell>
          <cell r="AI285">
            <v>0.68632270501834947</v>
          </cell>
          <cell r="AK285">
            <v>0.15369928400954655</v>
          </cell>
          <cell r="AM285">
            <v>43.638289536256444</v>
          </cell>
          <cell r="AO285">
            <v>377.1551656960761</v>
          </cell>
          <cell r="AQ285" t="str">
            <v>PacSun only rent exp. incl. CAM. We est. can lvg on slightly positive comp.</v>
          </cell>
          <cell r="AS285" t="str">
            <v>2005-10K</v>
          </cell>
          <cell r="BB285">
            <v>0.14498536345417823</v>
          </cell>
        </row>
        <row r="286">
          <cell r="A286" t="str">
            <v>PSUN2006</v>
          </cell>
          <cell r="B286" t="str">
            <v>PSUN</v>
          </cell>
          <cell r="C286" t="str">
            <v>2006 (total revs.)</v>
          </cell>
          <cell r="D286">
            <v>14</v>
          </cell>
          <cell r="E286">
            <v>18</v>
          </cell>
          <cell r="F286">
            <v>1434.7329999999999</v>
          </cell>
          <cell r="H286">
            <v>-4.7E-2</v>
          </cell>
          <cell r="J286">
            <v>4.2582138976381009E-2</v>
          </cell>
          <cell r="L286">
            <v>180</v>
          </cell>
          <cell r="N286">
            <v>0.12545888329047983</v>
          </cell>
          <cell r="P286" t="e">
            <v>#DIV/0!</v>
          </cell>
          <cell r="R286" t="str">
            <v>0%</v>
          </cell>
          <cell r="S286">
            <v>180</v>
          </cell>
          <cell r="U286">
            <v>0.12545888329047983</v>
          </cell>
          <cell r="Y286">
            <v>-97.550735449132148</v>
          </cell>
          <cell r="AA286">
            <v>0</v>
          </cell>
          <cell r="AC286">
            <v>1152</v>
          </cell>
          <cell r="AE286">
            <v>4.1276215000000001</v>
          </cell>
          <cell r="AG286">
            <v>3606.5487906588828</v>
          </cell>
          <cell r="AH286">
            <v>0.65740242452252129</v>
          </cell>
          <cell r="AI286">
            <v>-6.7246080654527587</v>
          </cell>
          <cell r="AK286">
            <v>0.15625</v>
          </cell>
          <cell r="AM286">
            <v>43.608649678755668</v>
          </cell>
          <cell r="AO286">
            <v>347.59315988638974</v>
          </cell>
          <cell r="AR286" t="str">
            <v>DE-LVG</v>
          </cell>
          <cell r="BB286">
            <v>0.11877231126134857</v>
          </cell>
        </row>
        <row r="287">
          <cell r="A287" t="str">
            <v>PSUN2007</v>
          </cell>
          <cell r="B287" t="str">
            <v>PSUN</v>
          </cell>
          <cell r="C287" t="str">
            <v>2007 (PacSun only, total revs.)</v>
          </cell>
          <cell r="E287">
            <v>19</v>
          </cell>
          <cell r="F287">
            <v>1306</v>
          </cell>
          <cell r="H287">
            <v>3.4000000000000002E-2</v>
          </cell>
          <cell r="J287">
            <v>5.6049004594180662E-2</v>
          </cell>
          <cell r="L287">
            <v>158</v>
          </cell>
          <cell r="N287">
            <v>0.12098009188361408</v>
          </cell>
          <cell r="P287" t="e">
            <v>#DIV/0!</v>
          </cell>
          <cell r="S287">
            <v>158</v>
          </cell>
          <cell r="U287">
            <v>0.12098009188361408</v>
          </cell>
          <cell r="Y287">
            <v>44.78791406865745</v>
          </cell>
          <cell r="AA287">
            <v>0</v>
          </cell>
          <cell r="AC287">
            <v>954</v>
          </cell>
          <cell r="AE287">
            <v>3.6579999999999999</v>
          </cell>
          <cell r="AG287">
            <v>3834.3815513626832</v>
          </cell>
          <cell r="AH287">
            <v>-0.84289252467834408</v>
          </cell>
          <cell r="AI287">
            <v>-0.47762448326231066</v>
          </cell>
          <cell r="AK287">
            <v>0.16561844863731656</v>
          </cell>
          <cell r="AM287">
            <v>43.193001640240567</v>
          </cell>
          <cell r="AO287">
            <v>346.28888911055031</v>
          </cell>
          <cell r="AR287">
            <v>-105.05850675357337</v>
          </cell>
          <cell r="BB287">
            <v>2.0109523123668316E-2</v>
          </cell>
        </row>
        <row r="288">
          <cell r="A288" t="str">
            <v>PSUN2008</v>
          </cell>
          <cell r="B288" t="str">
            <v>PSUN</v>
          </cell>
          <cell r="C288" t="str">
            <v>2008 (PacSun only, total revs.)</v>
          </cell>
          <cell r="D288">
            <v>16</v>
          </cell>
          <cell r="E288">
            <v>20</v>
          </cell>
          <cell r="F288">
            <v>1254.8870000000002</v>
          </cell>
          <cell r="H288">
            <v>-5.2000000000000005E-2</v>
          </cell>
          <cell r="J288">
            <v>-3.5148184657263964E-2</v>
          </cell>
          <cell r="L288">
            <v>165</v>
          </cell>
          <cell r="N288">
            <v>0.13148594255897142</v>
          </cell>
          <cell r="P288" t="e">
            <v>#DIV/0!</v>
          </cell>
          <cell r="S288">
            <v>165</v>
          </cell>
          <cell r="U288">
            <v>0.13148594255897142</v>
          </cell>
          <cell r="Y288">
            <v>-105.05850675357337</v>
          </cell>
          <cell r="AA288">
            <v>0</v>
          </cell>
          <cell r="AC288">
            <v>932</v>
          </cell>
          <cell r="AE288">
            <v>3.5199999999999996</v>
          </cell>
          <cell r="AG288">
            <v>3776.8240343347634</v>
          </cell>
          <cell r="AH288">
            <v>-1.793857454547541</v>
          </cell>
          <cell r="AI288">
            <v>-1.793857454547541</v>
          </cell>
          <cell r="AK288">
            <v>0.17703862660944206</v>
          </cell>
          <cell r="AM288">
            <v>46.875000000000007</v>
          </cell>
          <cell r="AO288">
            <v>329.49638965471974</v>
          </cell>
          <cell r="AR288">
            <v>-179.42321713444343</v>
          </cell>
          <cell r="BB288">
            <v>-9.5502663974430524E-2</v>
          </cell>
        </row>
        <row r="289">
          <cell r="A289" t="str">
            <v>PSUN2009</v>
          </cell>
          <cell r="B289" t="str">
            <v>PSUN</v>
          </cell>
          <cell r="C289" t="str">
            <v>2009E (PacSun only, total revs.)</v>
          </cell>
          <cell r="D289">
            <v>17</v>
          </cell>
          <cell r="E289">
            <v>21</v>
          </cell>
          <cell r="F289">
            <v>1069.978298807788</v>
          </cell>
          <cell r="H289">
            <v>-0.16815330518714891</v>
          </cell>
          <cell r="J289">
            <v>-5.6341057225284763E-2</v>
          </cell>
          <cell r="L289">
            <v>159.88499999999999</v>
          </cell>
          <cell r="N289">
            <v>0.14942826427241576</v>
          </cell>
          <cell r="P289" t="e">
            <v>#DIV/0!</v>
          </cell>
          <cell r="S289">
            <v>159.88499999999999</v>
          </cell>
          <cell r="U289">
            <v>0.14942826427241576</v>
          </cell>
          <cell r="Y289">
            <v>-179.42321713444343</v>
          </cell>
          <cell r="AA289">
            <v>0</v>
          </cell>
          <cell r="AC289">
            <v>911</v>
          </cell>
          <cell r="AE289">
            <v>3.4734999999999996</v>
          </cell>
          <cell r="AG289">
            <v>3850.5617977528086</v>
          </cell>
          <cell r="AH289">
            <v>0</v>
          </cell>
          <cell r="AI289">
            <v>0</v>
          </cell>
          <cell r="AK289">
            <v>0.17550493962678373</v>
          </cell>
          <cell r="AM289">
            <v>46.029940981718731</v>
          </cell>
          <cell r="AO289">
            <v>308.04039119268407</v>
          </cell>
          <cell r="BA289">
            <v>-3.1000000000000028E-2</v>
          </cell>
          <cell r="BB289">
            <v>-8.7961139556255841E-2</v>
          </cell>
          <cell r="BC289">
            <v>5.6961139556255813E-2</v>
          </cell>
        </row>
        <row r="291">
          <cell r="C291" t="str">
            <v>2004 = Trough rent</v>
          </cell>
          <cell r="F291">
            <v>1229.7619999999999</v>
          </cell>
          <cell r="H291">
            <v>7.2999999999999995E-2</v>
          </cell>
          <cell r="I291">
            <v>0</v>
          </cell>
          <cell r="J291">
            <v>0.13824870178132018</v>
          </cell>
          <cell r="K291">
            <v>0</v>
          </cell>
          <cell r="L291">
            <v>138</v>
          </cell>
          <cell r="M291">
            <v>0</v>
          </cell>
          <cell r="N291">
            <v>0.11221683545271362</v>
          </cell>
          <cell r="O291">
            <v>0</v>
          </cell>
          <cell r="P291" t="e">
            <v>#DIV/0!</v>
          </cell>
          <cell r="Q291">
            <v>0</v>
          </cell>
          <cell r="S291">
            <v>138</v>
          </cell>
          <cell r="T291">
            <v>0</v>
          </cell>
          <cell r="U291">
            <v>0.11221683545271362</v>
          </cell>
          <cell r="Z291">
            <v>0</v>
          </cell>
          <cell r="AB291">
            <v>0</v>
          </cell>
          <cell r="AC291">
            <v>933.5</v>
          </cell>
          <cell r="AD291">
            <v>0</v>
          </cell>
          <cell r="AE291">
            <v>3.2222425000000001</v>
          </cell>
          <cell r="AF291">
            <v>0</v>
          </cell>
          <cell r="AG291">
            <v>3482.6767676767677</v>
          </cell>
          <cell r="AH291">
            <v>0.76568465239276695</v>
          </cell>
          <cell r="AI291">
            <v>0.76568465239276695</v>
          </cell>
          <cell r="AJ291">
            <v>0</v>
          </cell>
          <cell r="AK291">
            <v>0.14783074450990893</v>
          </cell>
          <cell r="AL291">
            <v>0</v>
          </cell>
          <cell r="AM291">
            <v>42.827316690162206</v>
          </cell>
          <cell r="AN291">
            <v>0</v>
          </cell>
          <cell r="AO291">
            <v>381.64787411251632</v>
          </cell>
          <cell r="AR291">
            <v>-0.19458975900660494</v>
          </cell>
        </row>
        <row r="292">
          <cell r="AS292">
            <v>0</v>
          </cell>
          <cell r="AT292" t="str">
            <v>Adjusted Rent Expense Increase Assumption</v>
          </cell>
        </row>
        <row r="293">
          <cell r="AI293">
            <v>0</v>
          </cell>
        </row>
        <row r="294">
          <cell r="C294">
            <v>1998</v>
          </cell>
          <cell r="F294">
            <v>2182.3609999999999</v>
          </cell>
          <cell r="J294">
            <v>0.10065887357774446</v>
          </cell>
          <cell r="L294">
            <v>106.696</v>
          </cell>
          <cell r="N294">
            <v>4.8890169866488635E-2</v>
          </cell>
          <cell r="P294">
            <v>4.8890169866488635E-2</v>
          </cell>
          <cell r="S294">
            <v>141.90568000000002</v>
          </cell>
          <cell r="U294">
            <v>6.5023925922429893E-2</v>
          </cell>
          <cell r="AC294">
            <v>337</v>
          </cell>
          <cell r="AE294">
            <v>9.367874999999998</v>
          </cell>
          <cell r="AG294">
            <v>27997.851002865329</v>
          </cell>
          <cell r="AI294">
            <v>0</v>
          </cell>
          <cell r="AK294">
            <v>0.42108510385756681</v>
          </cell>
          <cell r="AM294">
            <v>15.148118436678548</v>
          </cell>
          <cell r="AO294">
            <v>232.96222462404765</v>
          </cell>
        </row>
        <row r="295">
          <cell r="C295">
            <v>1999</v>
          </cell>
          <cell r="F295">
            <v>2468.6379999999999</v>
          </cell>
          <cell r="J295">
            <v>0.10335942329333012</v>
          </cell>
          <cell r="L295">
            <v>118.089</v>
          </cell>
          <cell r="N295">
            <v>4.7835689153290194E-2</v>
          </cell>
          <cell r="P295">
            <v>4.7835689153290194E-2</v>
          </cell>
          <cell r="S295">
            <v>157.05837</v>
          </cell>
          <cell r="U295">
            <v>6.3621466573875962E-2</v>
          </cell>
          <cell r="AC295">
            <v>363.5</v>
          </cell>
          <cell r="AE295">
            <v>10.231874999999999</v>
          </cell>
          <cell r="AG295">
            <v>28287.037037037033</v>
          </cell>
          <cell r="AI295">
            <v>0</v>
          </cell>
          <cell r="AK295">
            <v>0.43207254470426409</v>
          </cell>
          <cell r="AM295">
            <v>15.349910940076967</v>
          </cell>
          <cell r="AO295">
            <v>241.26936656282453</v>
          </cell>
        </row>
        <row r="296">
          <cell r="C296">
            <v>2000</v>
          </cell>
          <cell r="F296">
            <v>2709.0389999999998</v>
          </cell>
          <cell r="J296">
            <v>9.3262592380545198E-2</v>
          </cell>
          <cell r="L296">
            <v>129.64500000000001</v>
          </cell>
          <cell r="N296">
            <v>4.7856453893797772E-2</v>
          </cell>
          <cell r="P296">
            <v>4.7856453893797772E-2</v>
          </cell>
          <cell r="S296">
            <v>172.42785000000003</v>
          </cell>
          <cell r="U296">
            <v>6.3649083678751051E-2</v>
          </cell>
          <cell r="AC296">
            <v>393.5</v>
          </cell>
          <cell r="AE296">
            <v>11.177499999999998</v>
          </cell>
          <cell r="AG296">
            <v>28514.669926650367</v>
          </cell>
          <cell r="AI296">
            <v>0</v>
          </cell>
          <cell r="AK296">
            <v>0.43819021601016528</v>
          </cell>
          <cell r="AM296">
            <v>15.426334153433242</v>
          </cell>
          <cell r="AO296">
            <v>242.36537687318275</v>
          </cell>
        </row>
        <row r="297">
          <cell r="A297" t="str">
            <v>ROSTold</v>
          </cell>
          <cell r="C297">
            <v>2001</v>
          </cell>
          <cell r="F297">
            <v>2986.5960000000005</v>
          </cell>
          <cell r="J297">
            <v>8.6304608992980758E-2</v>
          </cell>
          <cell r="L297">
            <v>143.89599999999999</v>
          </cell>
          <cell r="N297">
            <v>4.8180604273226096E-2</v>
          </cell>
          <cell r="P297">
            <v>4.8180604273226096E-2</v>
          </cell>
          <cell r="Q297">
            <v>0</v>
          </cell>
          <cell r="S297">
            <v>191.38167999999999</v>
          </cell>
          <cell r="T297">
            <v>47.485680000000002</v>
          </cell>
          <cell r="U297">
            <v>6.4080203683390707E-2</v>
          </cell>
          <cell r="AC297">
            <v>430.5</v>
          </cell>
          <cell r="AE297">
            <v>12.383749999999999</v>
          </cell>
          <cell r="AF297">
            <v>0</v>
          </cell>
          <cell r="AG297">
            <v>28993.362831858401</v>
          </cell>
          <cell r="AI297">
            <v>0</v>
          </cell>
          <cell r="AJ297">
            <v>0</v>
          </cell>
          <cell r="AK297">
            <v>0.44455674796747963</v>
          </cell>
          <cell r="AL297">
            <v>0</v>
          </cell>
          <cell r="AM297">
            <v>15.454259008781669</v>
          </cell>
          <cell r="AN297">
            <v>0</v>
          </cell>
          <cell r="AO297">
            <v>241.17056626627641</v>
          </cell>
          <cell r="AS297" t="str">
            <v xml:space="preserve">Minimum rentals as reported in footnote C do not include CAM, RE taxes, </v>
          </cell>
        </row>
        <row r="298">
          <cell r="C298" t="str">
            <v>2002 (Trough rent)</v>
          </cell>
          <cell r="F298">
            <v>3531.3490000000002</v>
          </cell>
          <cell r="J298">
            <v>9.3112009036773302E-2</v>
          </cell>
          <cell r="L298">
            <v>163.57400000000001</v>
          </cell>
          <cell r="M298">
            <v>0</v>
          </cell>
          <cell r="N298">
            <v>4.6320542093120788E-2</v>
          </cell>
          <cell r="O298">
            <v>0</v>
          </cell>
          <cell r="P298">
            <v>4.6320542093120788E-2</v>
          </cell>
          <cell r="Q298">
            <v>0</v>
          </cell>
          <cell r="S298">
            <v>217.55342000000002</v>
          </cell>
          <cell r="T298">
            <v>53.979420000000005</v>
          </cell>
          <cell r="U298">
            <v>6.1606320983850653E-2</v>
          </cell>
          <cell r="Z298">
            <v>0</v>
          </cell>
          <cell r="AB298">
            <v>0</v>
          </cell>
          <cell r="AC298">
            <v>479.5</v>
          </cell>
          <cell r="AD298">
            <v>0</v>
          </cell>
          <cell r="AE298">
            <v>13.954374999999999</v>
          </cell>
          <cell r="AF298">
            <v>0</v>
          </cell>
          <cell r="AG298">
            <v>29400</v>
          </cell>
          <cell r="AI298">
            <v>0</v>
          </cell>
          <cell r="AJ298">
            <v>0</v>
          </cell>
          <cell r="AK298">
            <v>0.45370890510948908</v>
          </cell>
          <cell r="AL298">
            <v>0</v>
          </cell>
          <cell r="AM298">
            <v>15.5903377972858</v>
          </cell>
          <cell r="AN298">
            <v>0</v>
          </cell>
          <cell r="AO298">
            <v>253.063931562682</v>
          </cell>
          <cell r="AS298" t="str">
            <v>Insurance, or other landlord passthrus. Estimate 30% for these costs given</v>
          </cell>
        </row>
        <row r="299">
          <cell r="C299">
            <v>2003</v>
          </cell>
          <cell r="F299">
            <v>3920.5829999999996</v>
          </cell>
          <cell r="J299">
            <v>9.5246803855446871E-2</v>
          </cell>
          <cell r="L299">
            <v>186.24</v>
          </cell>
          <cell r="M299">
            <v>0</v>
          </cell>
          <cell r="N299">
            <v>4.7503139201491212E-2</v>
          </cell>
          <cell r="O299">
            <v>0</v>
          </cell>
          <cell r="P299">
            <v>4.7503139201491212E-2</v>
          </cell>
          <cell r="Q299">
            <v>0</v>
          </cell>
          <cell r="S299">
            <v>247.69920000000002</v>
          </cell>
          <cell r="T299">
            <v>61.45920000000001</v>
          </cell>
          <cell r="U299">
            <v>6.3179175137983309E-2</v>
          </cell>
          <cell r="Z299">
            <v>0</v>
          </cell>
          <cell r="AB299">
            <v>0</v>
          </cell>
          <cell r="AC299">
            <v>537.5</v>
          </cell>
          <cell r="AD299">
            <v>0</v>
          </cell>
          <cell r="AE299">
            <v>15.727499999999999</v>
          </cell>
          <cell r="AF299">
            <v>0</v>
          </cell>
          <cell r="AG299">
            <v>29400</v>
          </cell>
          <cell r="AI299">
            <v>0</v>
          </cell>
          <cell r="AJ299">
            <v>0</v>
          </cell>
          <cell r="AK299">
            <v>0.46083572093023262</v>
          </cell>
          <cell r="AL299">
            <v>0</v>
          </cell>
          <cell r="AM299">
            <v>15.749432522651409</v>
          </cell>
          <cell r="AN299">
            <v>0</v>
          </cell>
          <cell r="AO299">
            <v>249.28202193609917</v>
          </cell>
          <cell r="AS299" t="str">
            <v>lower cost of operating in a strip center vs. a mall.</v>
          </cell>
        </row>
        <row r="300">
          <cell r="C300">
            <v>2004</v>
          </cell>
          <cell r="F300">
            <v>4239.99</v>
          </cell>
          <cell r="J300">
            <v>6.9744975813622059E-2</v>
          </cell>
          <cell r="L300">
            <v>216.16300000000001</v>
          </cell>
          <cell r="M300">
            <v>0</v>
          </cell>
          <cell r="N300">
            <v>5.0981959863112887E-2</v>
          </cell>
          <cell r="O300">
            <v>0</v>
          </cell>
          <cell r="P300">
            <v>5.0981959863112887E-2</v>
          </cell>
          <cell r="Q300">
            <v>0</v>
          </cell>
          <cell r="S300">
            <v>287.49679000000003</v>
          </cell>
          <cell r="T300">
            <v>71.333790000000022</v>
          </cell>
          <cell r="U300">
            <v>6.7806006617940145E-2</v>
          </cell>
          <cell r="Z300">
            <v>0</v>
          </cell>
          <cell r="AB300">
            <v>0</v>
          </cell>
          <cell r="AC300">
            <v>608.5</v>
          </cell>
          <cell r="AD300">
            <v>0</v>
          </cell>
          <cell r="AE300">
            <v>17.858750000000001</v>
          </cell>
          <cell r="AF300">
            <v>0</v>
          </cell>
          <cell r="AG300">
            <v>29400</v>
          </cell>
          <cell r="AI300">
            <v>0</v>
          </cell>
          <cell r="AJ300">
            <v>0</v>
          </cell>
          <cell r="AK300">
            <v>0.47246801972062452</v>
          </cell>
          <cell r="AL300">
            <v>0</v>
          </cell>
          <cell r="AM300">
            <v>16.098371386575209</v>
          </cell>
          <cell r="AN300">
            <v>0</v>
          </cell>
          <cell r="AO300">
            <v>237.41807237348635</v>
          </cell>
        </row>
        <row r="301">
          <cell r="C301">
            <v>2005</v>
          </cell>
          <cell r="F301">
            <v>4944.1790000000001</v>
          </cell>
          <cell r="J301">
            <v>6.5823668600995366E-2</v>
          </cell>
          <cell r="L301">
            <v>246.214</v>
          </cell>
          <cell r="M301">
            <v>0</v>
          </cell>
          <cell r="N301">
            <v>4.9798763353834881E-2</v>
          </cell>
          <cell r="O301">
            <v>0</v>
          </cell>
          <cell r="P301">
            <v>4.9798763353834881E-2</v>
          </cell>
          <cell r="Q301">
            <v>0</v>
          </cell>
          <cell r="S301">
            <v>327.46462000000002</v>
          </cell>
          <cell r="T301">
            <v>81.250620000000026</v>
          </cell>
          <cell r="U301">
            <v>6.6232355260600395E-2</v>
          </cell>
          <cell r="Z301">
            <v>0</v>
          </cell>
          <cell r="AB301">
            <v>0</v>
          </cell>
          <cell r="AC301">
            <v>691.5</v>
          </cell>
          <cell r="AD301">
            <v>0</v>
          </cell>
          <cell r="AE301">
            <v>20.357499999999998</v>
          </cell>
          <cell r="AF301">
            <v>0</v>
          </cell>
          <cell r="AG301">
            <v>29494.209809264299</v>
          </cell>
          <cell r="AI301">
            <v>0</v>
          </cell>
          <cell r="AJ301">
            <v>0</v>
          </cell>
          <cell r="AK301">
            <v>0.4735569342010123</v>
          </cell>
          <cell r="AL301">
            <v>0</v>
          </cell>
          <cell r="AM301">
            <v>16.085699128085476</v>
          </cell>
          <cell r="AN301">
            <v>0</v>
          </cell>
          <cell r="AO301">
            <v>242.86769004052564</v>
          </cell>
        </row>
        <row r="302">
          <cell r="C302">
            <v>2006</v>
          </cell>
          <cell r="F302">
            <v>5570.21</v>
          </cell>
          <cell r="J302">
            <v>6.9952479349970648E-2</v>
          </cell>
          <cell r="L302">
            <v>274.21100000000001</v>
          </cell>
          <cell r="M302">
            <v>0</v>
          </cell>
          <cell r="N302">
            <v>4.9228126049107666E-2</v>
          </cell>
          <cell r="O302">
            <v>0</v>
          </cell>
          <cell r="P302">
            <v>4.9228126049107666E-2</v>
          </cell>
          <cell r="Q302">
            <v>0</v>
          </cell>
          <cell r="S302">
            <v>364.70063000000005</v>
          </cell>
          <cell r="T302">
            <v>90.489630000000034</v>
          </cell>
          <cell r="U302">
            <v>6.5473407645313203E-2</v>
          </cell>
          <cell r="Z302">
            <v>0</v>
          </cell>
          <cell r="AB302">
            <v>0</v>
          </cell>
          <cell r="AC302">
            <v>765.5</v>
          </cell>
          <cell r="AD302">
            <v>0</v>
          </cell>
          <cell r="AE302">
            <v>22.475624999999997</v>
          </cell>
          <cell r="AF302">
            <v>0</v>
          </cell>
          <cell r="AG302">
            <v>29237.76662484316</v>
          </cell>
          <cell r="AI302">
            <v>0</v>
          </cell>
          <cell r="AJ302">
            <v>0</v>
          </cell>
          <cell r="AK302">
            <v>0.47642146309601574</v>
          </cell>
          <cell r="AL302">
            <v>0</v>
          </cell>
          <cell r="AM302">
            <v>16.226495592447378</v>
          </cell>
          <cell r="AN302">
            <v>0</v>
          </cell>
          <cell r="AO302">
            <v>247.83337504518786</v>
          </cell>
        </row>
        <row r="303">
          <cell r="C303" t="str">
            <v>2007E</v>
          </cell>
          <cell r="F303">
            <v>5975.2120000000004</v>
          </cell>
          <cell r="J303">
            <v>7.0472980707630153E-2</v>
          </cell>
          <cell r="L303">
            <v>301.58199999999999</v>
          </cell>
          <cell r="M303">
            <v>0</v>
          </cell>
          <cell r="N303">
            <v>5.0472184083175622E-2</v>
          </cell>
          <cell r="O303">
            <v>0</v>
          </cell>
          <cell r="P303">
            <v>5.0472184083175622E-2</v>
          </cell>
          <cell r="Q303">
            <v>0</v>
          </cell>
          <cell r="S303">
            <v>401.10406</v>
          </cell>
          <cell r="T303">
            <v>99.52206000000001</v>
          </cell>
          <cell r="U303">
            <v>6.7128004830623575E-2</v>
          </cell>
          <cell r="Z303">
            <v>0</v>
          </cell>
          <cell r="AB303">
            <v>0</v>
          </cell>
          <cell r="AC303">
            <v>843.5</v>
          </cell>
          <cell r="AD303">
            <v>0</v>
          </cell>
          <cell r="AE303">
            <v>24.838749999999997</v>
          </cell>
          <cell r="AF303">
            <v>0</v>
          </cell>
          <cell r="AG303">
            <v>29634.831460674159</v>
          </cell>
          <cell r="AI303">
            <v>0</v>
          </cell>
          <cell r="AJ303">
            <v>0</v>
          </cell>
          <cell r="AK303">
            <v>0.47552348547717843</v>
          </cell>
          <cell r="AL303">
            <v>0</v>
          </cell>
          <cell r="AM303">
            <v>16.148319057923608</v>
          </cell>
          <cell r="AN303">
            <v>0</v>
          </cell>
          <cell r="AO303">
            <v>240.56009259725232</v>
          </cell>
        </row>
        <row r="304">
          <cell r="A304" t="str">
            <v>CHECK</v>
          </cell>
          <cell r="C304" t="str">
            <v>2002 = Trough rent</v>
          </cell>
          <cell r="F304">
            <v>9721.0650000000005</v>
          </cell>
          <cell r="H304">
            <v>0.06</v>
          </cell>
          <cell r="I304">
            <v>0</v>
          </cell>
          <cell r="J304">
            <v>0.13082424610883689</v>
          </cell>
          <cell r="L304">
            <v>406.6</v>
          </cell>
          <cell r="M304">
            <v>0</v>
          </cell>
          <cell r="N304">
            <v>4.1826692857212661E-2</v>
          </cell>
          <cell r="O304">
            <v>0</v>
          </cell>
          <cell r="P304">
            <v>4.1826692857212661E-2</v>
          </cell>
          <cell r="Q304">
            <v>0</v>
          </cell>
          <cell r="S304">
            <v>530.20640000000003</v>
          </cell>
          <cell r="T304">
            <v>0</v>
          </cell>
          <cell r="U304">
            <v>5.4542007485805309E-2</v>
          </cell>
          <cell r="Z304">
            <v>0</v>
          </cell>
          <cell r="AB304">
            <v>0</v>
          </cell>
          <cell r="AC304">
            <v>1162</v>
          </cell>
          <cell r="AD304">
            <v>0</v>
          </cell>
          <cell r="AE304">
            <v>33.981400000000001</v>
          </cell>
          <cell r="AF304">
            <v>0</v>
          </cell>
          <cell r="AG304">
            <v>29199.749791492912</v>
          </cell>
          <cell r="AI304">
            <v>0</v>
          </cell>
          <cell r="AJ304">
            <v>0</v>
          </cell>
          <cell r="AK304">
            <v>0.45628777969018935</v>
          </cell>
          <cell r="AL304">
            <v>0</v>
          </cell>
          <cell r="AM304">
            <v>15.602841554497461</v>
          </cell>
          <cell r="AN304">
            <v>0</v>
          </cell>
          <cell r="AO304">
            <v>286.07017368325023</v>
          </cell>
          <cell r="AS304" t="str">
            <v>Minimum rentals include rent expense on DC's, HQ, and stores.</v>
          </cell>
        </row>
        <row r="305">
          <cell r="AI305">
            <v>0</v>
          </cell>
        </row>
        <row r="306">
          <cell r="AI306">
            <v>0</v>
          </cell>
        </row>
        <row r="307">
          <cell r="C307">
            <v>1998</v>
          </cell>
          <cell r="F307">
            <v>7948.8710000000001</v>
          </cell>
          <cell r="J307">
            <v>8.8716749837807252E-2</v>
          </cell>
          <cell r="L307">
            <v>318.10000000000002</v>
          </cell>
          <cell r="N307">
            <v>4.0018261712889795E-2</v>
          </cell>
          <cell r="P307">
            <v>4.0018261712889795E-2</v>
          </cell>
          <cell r="S307">
            <v>423.07300000000004</v>
          </cell>
          <cell r="U307">
            <v>5.3224288078143431E-2</v>
          </cell>
          <cell r="AC307">
            <v>1208.5</v>
          </cell>
          <cell r="AE307">
            <v>36.0715</v>
          </cell>
          <cell r="AG307">
            <v>29796.147672552172</v>
          </cell>
          <cell r="AI307">
            <v>0</v>
          </cell>
          <cell r="AK307">
            <v>0.35008109226313616</v>
          </cell>
          <cell r="AM307">
            <v>11.728733210429287</v>
          </cell>
          <cell r="AO307">
            <v>220.36430422910053</v>
          </cell>
        </row>
        <row r="308">
          <cell r="C308">
            <v>1999</v>
          </cell>
          <cell r="F308">
            <v>8795.3469999999998</v>
          </cell>
          <cell r="J308">
            <v>9.79247322476305E-2</v>
          </cell>
          <cell r="L308">
            <v>352.6</v>
          </cell>
          <cell r="N308">
            <v>4.0089379077368981E-2</v>
          </cell>
          <cell r="P308">
            <v>4.0089379077368981E-2</v>
          </cell>
          <cell r="S308">
            <v>468.95800000000008</v>
          </cell>
          <cell r="U308">
            <v>5.3318874172900751E-2</v>
          </cell>
          <cell r="AC308">
            <v>1301.5</v>
          </cell>
          <cell r="AE308">
            <v>38.645500000000006</v>
          </cell>
          <cell r="AG308">
            <v>29598.378776713344</v>
          </cell>
          <cell r="AI308">
            <v>0</v>
          </cell>
          <cell r="AK308">
            <v>0.36032116788321172</v>
          </cell>
          <cell r="AM308">
            <v>12.134866931466794</v>
          </cell>
          <cell r="AO308">
            <v>227.59045684491076</v>
          </cell>
        </row>
        <row r="309">
          <cell r="C309">
            <v>2000</v>
          </cell>
          <cell r="F309">
            <v>9579.0059999999994</v>
          </cell>
          <cell r="J309">
            <v>9.2686652456423935E-2</v>
          </cell>
          <cell r="L309">
            <v>390.6</v>
          </cell>
          <cell r="N309">
            <v>4.077667348783371E-2</v>
          </cell>
          <cell r="P309">
            <v>4.077667348783371E-2</v>
          </cell>
          <cell r="S309">
            <v>519.49800000000005</v>
          </cell>
          <cell r="U309">
            <v>5.4232975738818835E-2</v>
          </cell>
          <cell r="AC309">
            <v>1425</v>
          </cell>
          <cell r="AE309">
            <v>42.072000000000003</v>
          </cell>
          <cell r="AG309">
            <v>29456.798392498324</v>
          </cell>
          <cell r="AI309">
            <v>0</v>
          </cell>
          <cell r="AK309">
            <v>0.36456000000000005</v>
          </cell>
          <cell r="AM309">
            <v>12.347832287507131</v>
          </cell>
          <cell r="AO309">
            <v>227.68126069594976</v>
          </cell>
        </row>
        <row r="310">
          <cell r="A310" t="str">
            <v>TJXold</v>
          </cell>
          <cell r="C310">
            <v>2001</v>
          </cell>
          <cell r="F310">
            <v>10708.998</v>
          </cell>
          <cell r="J310">
            <v>8.4012248391492766E-2</v>
          </cell>
          <cell r="L310">
            <v>446.6</v>
          </cell>
          <cell r="N310">
            <v>4.1703248053646107E-2</v>
          </cell>
          <cell r="P310">
            <v>4.1703248053646107E-2</v>
          </cell>
          <cell r="S310">
            <v>593.97800000000007</v>
          </cell>
          <cell r="U310">
            <v>5.5465319911349321E-2</v>
          </cell>
          <cell r="AC310">
            <v>1579</v>
          </cell>
          <cell r="AE310">
            <v>46.483999999999995</v>
          </cell>
          <cell r="AG310">
            <v>29422.822822822822</v>
          </cell>
          <cell r="AI310">
            <v>0</v>
          </cell>
          <cell r="AK310">
            <v>0.37617352754908173</v>
          </cell>
          <cell r="AM310">
            <v>12.778117201617764</v>
          </cell>
          <cell r="AO310">
            <v>230.38030289992258</v>
          </cell>
          <cell r="AS310" t="str">
            <v>Minimum rentals as reported in footnote D is net of sublease income (less than</v>
          </cell>
        </row>
        <row r="311">
          <cell r="C311">
            <v>2002</v>
          </cell>
          <cell r="F311">
            <v>11981.206999999999</v>
          </cell>
          <cell r="J311">
            <v>8.0383971331102005E-2</v>
          </cell>
          <cell r="L311">
            <v>524.70000000000005</v>
          </cell>
          <cell r="N311">
            <v>4.3793584402639911E-2</v>
          </cell>
          <cell r="P311">
            <v>4.3793584402639911E-2</v>
          </cell>
          <cell r="S311">
            <v>697.85100000000011</v>
          </cell>
          <cell r="U311">
            <v>5.8245467255511087E-2</v>
          </cell>
          <cell r="AC311">
            <v>1754</v>
          </cell>
          <cell r="AE311">
            <v>51.407499999999999</v>
          </cell>
          <cell r="AG311">
            <v>29205.642973412912</v>
          </cell>
          <cell r="AI311">
            <v>0</v>
          </cell>
          <cell r="AK311">
            <v>0.39786259977194988</v>
          </cell>
          <cell r="AM311">
            <v>13.574886932840542</v>
          </cell>
          <cell r="AO311">
            <v>233.06340514516361</v>
          </cell>
          <cell r="AS311" t="str">
            <v>1% of expense) and do not include CAM, RE taxes, insurance, or other landlord</v>
          </cell>
        </row>
        <row r="312">
          <cell r="C312">
            <v>2003</v>
          </cell>
          <cell r="F312">
            <v>13327.938</v>
          </cell>
          <cell r="J312">
            <v>7.6080035786481051E-2</v>
          </cell>
          <cell r="L312">
            <v>597.79999999999995</v>
          </cell>
          <cell r="N312">
            <v>4.4853149827077526E-2</v>
          </cell>
          <cell r="P312">
            <v>4.4853149827077526E-2</v>
          </cell>
          <cell r="S312">
            <v>795.07399999999996</v>
          </cell>
          <cell r="U312">
            <v>5.9654689270013106E-2</v>
          </cell>
          <cell r="AC312">
            <v>1952.5</v>
          </cell>
          <cell r="AE312">
            <v>57.158000000000001</v>
          </cell>
          <cell r="AG312">
            <v>29335.596508244424</v>
          </cell>
          <cell r="AI312">
            <v>0</v>
          </cell>
          <cell r="AK312">
            <v>0.40720819462227908</v>
          </cell>
          <cell r="AM312">
            <v>13.910108821162391</v>
          </cell>
          <cell r="AO312">
            <v>233.17712306238846</v>
          </cell>
          <cell r="AS312" t="str">
            <v xml:space="preserve">passthrus. Estimate 30% for these costs given lower cost of operating in a strip </v>
          </cell>
        </row>
        <row r="313">
          <cell r="C313">
            <v>2004</v>
          </cell>
          <cell r="F313">
            <v>14913.483</v>
          </cell>
          <cell r="J313">
            <v>6.8039639029997254E-2</v>
          </cell>
          <cell r="L313">
            <v>713.3</v>
          </cell>
          <cell r="N313">
            <v>4.7829202608136542E-2</v>
          </cell>
          <cell r="P313">
            <v>4.7829202608136542E-2</v>
          </cell>
          <cell r="S313">
            <v>948.68899999999996</v>
          </cell>
          <cell r="U313">
            <v>6.3612839468821597E-2</v>
          </cell>
          <cell r="AC313">
            <v>2143</v>
          </cell>
          <cell r="AE313">
            <v>62.599717339192452</v>
          </cell>
          <cell r="AG313">
            <v>29095.96883020904</v>
          </cell>
          <cell r="AI313">
            <v>0</v>
          </cell>
          <cell r="AK313">
            <v>0.44269202053196449</v>
          </cell>
          <cell r="AM313">
            <v>15.154844787231083</v>
          </cell>
          <cell r="AO313">
            <v>238.23562843250988</v>
          </cell>
        </row>
        <row r="314">
          <cell r="C314">
            <v>2005</v>
          </cell>
          <cell r="F314">
            <v>16057.935000000001</v>
          </cell>
          <cell r="J314">
            <v>6.4700660452293626E-2</v>
          </cell>
          <cell r="L314">
            <v>774.9</v>
          </cell>
          <cell r="N314">
            <v>4.8256516170977148E-2</v>
          </cell>
          <cell r="P314">
            <v>4.8256516170977148E-2</v>
          </cell>
          <cell r="S314">
            <v>1030.617</v>
          </cell>
          <cell r="U314">
            <v>6.4181166507399606E-2</v>
          </cell>
          <cell r="AC314">
            <v>2302.5</v>
          </cell>
          <cell r="AE314">
            <v>67.642217339192456</v>
          </cell>
          <cell r="AG314">
            <v>29640.907181856372</v>
          </cell>
          <cell r="AI314">
            <v>0</v>
          </cell>
          <cell r="AK314">
            <v>0.44760781758957652</v>
          </cell>
          <cell r="AM314">
            <v>15.236298284427351</v>
          </cell>
          <cell r="AO314">
            <v>237.39515988184351</v>
          </cell>
        </row>
        <row r="315">
          <cell r="C315">
            <v>2006</v>
          </cell>
          <cell r="F315">
            <v>17404.637000000002</v>
          </cell>
          <cell r="J315">
            <v>7.2818180580267233E-2</v>
          </cell>
          <cell r="L315">
            <v>837.6</v>
          </cell>
          <cell r="N315">
            <v>4.8125105970322733E-2</v>
          </cell>
          <cell r="P315">
            <v>4.8125105970322733E-2</v>
          </cell>
          <cell r="S315">
            <v>837.6</v>
          </cell>
          <cell r="U315">
            <v>4.8125105970322733E-2</v>
          </cell>
          <cell r="AC315">
            <v>2423.5</v>
          </cell>
          <cell r="AE315">
            <v>72.137500000000003</v>
          </cell>
          <cell r="AG315">
            <v>29886.455798864554</v>
          </cell>
          <cell r="AI315">
            <v>0</v>
          </cell>
          <cell r="AK315">
            <v>0.34561584485248609</v>
          </cell>
          <cell r="AM315">
            <v>11.611159244498353</v>
          </cell>
          <cell r="AO315">
            <v>241.27031017154741</v>
          </cell>
        </row>
        <row r="316">
          <cell r="C316" t="str">
            <v>2007E</v>
          </cell>
          <cell r="F316">
            <v>18471.973000000002</v>
          </cell>
          <cell r="J316">
            <v>7.8795643540622337E-2</v>
          </cell>
          <cell r="L316">
            <v>896.6</v>
          </cell>
          <cell r="N316">
            <v>4.8538399227846418E-2</v>
          </cell>
          <cell r="P316">
            <v>4.8538399227846418E-2</v>
          </cell>
          <cell r="S316">
            <v>1192.4780000000001</v>
          </cell>
          <cell r="U316">
            <v>6.4556070973035742E-2</v>
          </cell>
          <cell r="AC316">
            <v>2514.5</v>
          </cell>
          <cell r="AE316">
            <v>74.97</v>
          </cell>
          <cell r="AG316">
            <v>29746.390948107692</v>
          </cell>
          <cell r="AI316">
            <v>0</v>
          </cell>
          <cell r="AK316">
            <v>0.47424060449393518</v>
          </cell>
          <cell r="AM316">
            <v>15.906069094304389</v>
          </cell>
          <cell r="AO316">
            <v>246.39152994531148</v>
          </cell>
        </row>
        <row r="317">
          <cell r="A317" t="str">
            <v>CHECK</v>
          </cell>
          <cell r="C317" t="str">
            <v>1998 = Trough rent</v>
          </cell>
          <cell r="F317">
            <v>17404.637000000002</v>
          </cell>
          <cell r="H317">
            <v>0.03</v>
          </cell>
          <cell r="J317">
            <v>7.2818180580267233E-2</v>
          </cell>
          <cell r="L317">
            <v>837.6</v>
          </cell>
          <cell r="N317">
            <v>4.8125105970322733E-2</v>
          </cell>
          <cell r="P317">
            <v>4.8125105970322733E-2</v>
          </cell>
          <cell r="S317">
            <v>837.6</v>
          </cell>
          <cell r="U317">
            <v>4.8125105970322733E-2</v>
          </cell>
          <cell r="AC317">
            <v>2423.5</v>
          </cell>
          <cell r="AE317">
            <v>72.137500000000003</v>
          </cell>
          <cell r="AG317">
            <v>29886.455798864554</v>
          </cell>
          <cell r="AI317">
            <v>0</v>
          </cell>
          <cell r="AK317">
            <v>0.34561584485248609</v>
          </cell>
          <cell r="AM317">
            <v>11.611159244498353</v>
          </cell>
          <cell r="AO317">
            <v>241.27031017154741</v>
          </cell>
          <cell r="AS317" t="str">
            <v xml:space="preserve">center vs. a mall. Minimum rent includes rent expense on DC's, HQ (ex. capital </v>
          </cell>
        </row>
        <row r="318">
          <cell r="AI318">
            <v>0</v>
          </cell>
        </row>
        <row r="319">
          <cell r="AI319">
            <v>0</v>
          </cell>
        </row>
        <row r="320">
          <cell r="C320">
            <v>1998</v>
          </cell>
          <cell r="D320">
            <v>11</v>
          </cell>
          <cell r="E320">
            <v>12</v>
          </cell>
          <cell r="F320">
            <v>972.97400000000016</v>
          </cell>
          <cell r="H320">
            <v>3.6000000000000004E-2</v>
          </cell>
          <cell r="J320">
            <v>5.8595959189176441E-2</v>
          </cell>
          <cell r="L320">
            <v>67.316000000000003</v>
          </cell>
          <cell r="N320">
            <v>6.9185815859416577E-2</v>
          </cell>
          <cell r="P320" t="e">
            <v>#DIV/0!</v>
          </cell>
          <cell r="S320">
            <v>96.261880000000005</v>
          </cell>
          <cell r="U320">
            <v>9.893571667896571E-2</v>
          </cell>
          <cell r="AC320">
            <v>620.5</v>
          </cell>
          <cell r="AE320">
            <v>2.624285</v>
          </cell>
          <cell r="AG320">
            <v>4239.545454545454</v>
          </cell>
          <cell r="AH320">
            <v>0.58006686834613874</v>
          </cell>
          <cell r="AI320">
            <v>0</v>
          </cell>
          <cell r="AK320">
            <v>0.15513598710717164</v>
          </cell>
          <cell r="AM320">
            <v>36.681183636685802</v>
          </cell>
          <cell r="AO320">
            <v>370.75774925360622</v>
          </cell>
          <cell r="AY320">
            <v>169.27199999999999</v>
          </cell>
          <cell r="AZ320" t="str">
            <v>Catalog/Internet Sales</v>
          </cell>
        </row>
        <row r="321">
          <cell r="C321">
            <v>1999</v>
          </cell>
          <cell r="D321">
            <v>12</v>
          </cell>
          <cell r="E321">
            <v>13</v>
          </cell>
          <cell r="F321">
            <v>1117.6640000000002</v>
          </cell>
          <cell r="H321">
            <v>8.6999999999999994E-2</v>
          </cell>
          <cell r="J321">
            <v>7.7612332633889128E-2</v>
          </cell>
          <cell r="L321">
            <v>72.718999999999994</v>
          </cell>
          <cell r="N321">
            <v>6.5063382197154046E-2</v>
          </cell>
          <cell r="P321" t="e">
            <v>#DIV/0!</v>
          </cell>
          <cell r="S321">
            <v>103.98816999999998</v>
          </cell>
          <cell r="U321">
            <v>9.3040636541930274E-2</v>
          </cell>
          <cell r="AC321">
            <v>655.5</v>
          </cell>
          <cell r="AE321">
            <v>2.7668889999999999</v>
          </cell>
          <cell r="AG321">
            <v>4203.4888558692419</v>
          </cell>
          <cell r="AH321">
            <v>0.80017082045803423</v>
          </cell>
          <cell r="AI321">
            <v>0</v>
          </cell>
          <cell r="AK321">
            <v>0.15863946605644544</v>
          </cell>
          <cell r="AM321">
            <v>37.583065312703177</v>
          </cell>
          <cell r="AO321">
            <v>397.53275248844466</v>
          </cell>
          <cell r="AY321">
            <v>190.994</v>
          </cell>
        </row>
        <row r="322">
          <cell r="C322">
            <v>2000</v>
          </cell>
          <cell r="D322">
            <v>13</v>
          </cell>
          <cell r="E322">
            <v>14</v>
          </cell>
          <cell r="F322">
            <v>1325.961</v>
          </cell>
          <cell r="H322">
            <v>0.16300000000000001</v>
          </cell>
          <cell r="J322">
            <v>0.12016519163684423</v>
          </cell>
          <cell r="L322">
            <v>78.466999999999999</v>
          </cell>
          <cell r="N322">
            <v>5.9177456953862138E-2</v>
          </cell>
          <cell r="P322" t="e">
            <v>#DIV/0!</v>
          </cell>
          <cell r="R322">
            <v>50</v>
          </cell>
          <cell r="S322">
            <v>112.20780999999999</v>
          </cell>
          <cell r="U322">
            <v>8.4623763444022865E-2</v>
          </cell>
          <cell r="Y322">
            <v>84.168730979074098</v>
          </cell>
          <cell r="AA322">
            <v>0</v>
          </cell>
          <cell r="AC322">
            <v>697.5</v>
          </cell>
          <cell r="AE322">
            <v>2.9128375000000002</v>
          </cell>
          <cell r="AG322">
            <v>4150.5914127423821</v>
          </cell>
          <cell r="AH322">
            <v>0.80565545961892249</v>
          </cell>
          <cell r="AI322">
            <v>0</v>
          </cell>
          <cell r="AK322">
            <v>0.16087141218637993</v>
          </cell>
          <cell r="AM322">
            <v>38.521822793066896</v>
          </cell>
          <cell r="AO322">
            <v>455.21282941461715</v>
          </cell>
          <cell r="AY322">
            <v>269.03500000000003</v>
          </cell>
        </row>
        <row r="323">
          <cell r="A323" t="str">
            <v>TLB2001</v>
          </cell>
          <cell r="C323">
            <v>2001</v>
          </cell>
          <cell r="D323">
            <v>14</v>
          </cell>
          <cell r="E323">
            <v>15</v>
          </cell>
          <cell r="F323">
            <v>1346.0290000000002</v>
          </cell>
          <cell r="H323">
            <v>-2.6000000000000002E-2</v>
          </cell>
          <cell r="J323">
            <v>0.1302414306117223</v>
          </cell>
          <cell r="L323">
            <v>84.375</v>
          </cell>
          <cell r="N323">
            <v>6.268438495753062E-2</v>
          </cell>
          <cell r="P323" t="e">
            <v>#DIV/0!</v>
          </cell>
          <cell r="S323">
            <v>120.65625</v>
          </cell>
          <cell r="U323">
            <v>8.9638670489268796E-2</v>
          </cell>
          <cell r="Y323">
            <v>-50.149070452459313</v>
          </cell>
          <cell r="AA323">
            <v>0</v>
          </cell>
          <cell r="AC323">
            <v>761</v>
          </cell>
          <cell r="AE323">
            <v>3.145597</v>
          </cell>
          <cell r="AG323">
            <v>4118.0837500000007</v>
          </cell>
          <cell r="AH323">
            <v>0.51477447107119634</v>
          </cell>
          <cell r="AI323">
            <v>0</v>
          </cell>
          <cell r="AK323">
            <v>0.15854960578186597</v>
          </cell>
          <cell r="AM323">
            <v>38.357186251131346</v>
          </cell>
          <cell r="AO323">
            <v>427.90891522340593</v>
          </cell>
          <cell r="AS323" t="str">
            <v>Rent expense reported in footnote 13 includes only minimum rent and percentage</v>
          </cell>
          <cell r="AY323">
            <v>266.48399999999998</v>
          </cell>
        </row>
        <row r="324">
          <cell r="C324">
            <v>2002</v>
          </cell>
          <cell r="D324">
            <v>15</v>
          </cell>
          <cell r="E324">
            <v>16</v>
          </cell>
          <cell r="F324">
            <v>1321.414</v>
          </cell>
          <cell r="H324">
            <v>-6.5872368711950471E-2</v>
          </cell>
          <cell r="J324">
            <v>0.12295748118827028</v>
          </cell>
          <cell r="L324">
            <v>100.07299999999999</v>
          </cell>
          <cell r="N324">
            <v>7.5731754015017236E-2</v>
          </cell>
          <cell r="P324" t="e">
            <v>#DIV/0!</v>
          </cell>
          <cell r="S324">
            <v>143.10439</v>
          </cell>
          <cell r="U324">
            <v>0.10829640824147466</v>
          </cell>
          <cell r="Y324">
            <v>-186.57737752205861</v>
          </cell>
          <cell r="AA324">
            <v>0</v>
          </cell>
          <cell r="AC324">
            <v>843</v>
          </cell>
          <cell r="AE324">
            <v>3.45275</v>
          </cell>
          <cell r="AG324">
            <v>4075.6580135440186</v>
          </cell>
          <cell r="AH324">
            <v>0.68895002975963471</v>
          </cell>
          <cell r="AI324">
            <v>0</v>
          </cell>
          <cell r="AK324">
            <v>0.16975609727164886</v>
          </cell>
          <cell r="AM324">
            <v>41.446496271088265</v>
          </cell>
          <cell r="AO324">
            <v>390.38853088118168</v>
          </cell>
          <cell r="AS324" t="str">
            <v xml:space="preserve">(contingent) rent. CAM, taxes, and insurance costs are not included. </v>
          </cell>
          <cell r="AY324">
            <v>247.42099999999999</v>
          </cell>
        </row>
        <row r="325">
          <cell r="C325">
            <v>2003</v>
          </cell>
          <cell r="D325">
            <v>16</v>
          </cell>
          <cell r="E325">
            <v>17</v>
          </cell>
          <cell r="F325">
            <v>1355.3900000000003</v>
          </cell>
          <cell r="H325">
            <v>-3.8198786916022825E-2</v>
          </cell>
          <cell r="J325">
            <v>0.10446579173433505</v>
          </cell>
          <cell r="L325">
            <v>115.36799999999999</v>
          </cell>
          <cell r="N325">
            <v>8.511793653487186E-2</v>
          </cell>
          <cell r="P325" t="e">
            <v>#DIV/0!</v>
          </cell>
          <cell r="S325">
            <v>164.97623999999999</v>
          </cell>
          <cell r="U325">
            <v>0.12171864924486675</v>
          </cell>
          <cell r="Y325">
            <v>-134.22241003392094</v>
          </cell>
          <cell r="AA325">
            <v>0</v>
          </cell>
          <cell r="AC325" t="str">
            <v>N/A</v>
          </cell>
          <cell r="AE325">
            <v>3.7707715000000004</v>
          </cell>
          <cell r="AG325">
            <v>7515.3154875717028</v>
          </cell>
          <cell r="AH325">
            <v>0.71263224132942471</v>
          </cell>
          <cell r="AI325">
            <v>0</v>
          </cell>
          <cell r="AK325" t="e">
            <v>#VALUE!</v>
          </cell>
          <cell r="AM325">
            <v>43.751322507874043</v>
          </cell>
          <cell r="AO325">
            <v>367.27232079695091</v>
          </cell>
          <cell r="AS325" t="str">
            <v>40% mall based. Village, free standing, strip locations lower cost.</v>
          </cell>
          <cell r="AY325">
            <v>239.39999999999998</v>
          </cell>
        </row>
        <row r="326">
          <cell r="C326">
            <v>2004</v>
          </cell>
          <cell r="D326">
            <v>17</v>
          </cell>
          <cell r="E326">
            <v>18</v>
          </cell>
          <cell r="F326">
            <v>1454.6429999999998</v>
          </cell>
          <cell r="H326">
            <v>1.6678949539392276E-2</v>
          </cell>
          <cell r="J326">
            <v>8.3703263493738828E-2</v>
          </cell>
          <cell r="L326">
            <v>124.01</v>
          </cell>
          <cell r="N326">
            <v>8.5251157844227085E-2</v>
          </cell>
          <cell r="P326" t="e">
            <v>#DIV/0!</v>
          </cell>
          <cell r="S326">
            <v>177.33430000000001</v>
          </cell>
          <cell r="U326">
            <v>0.12190915571724474</v>
          </cell>
          <cell r="Y326">
            <v>-1.905064723779909</v>
          </cell>
          <cell r="AA326">
            <v>0</v>
          </cell>
          <cell r="AC326">
            <v>537.5</v>
          </cell>
          <cell r="AE326">
            <v>4.0667920000000004</v>
          </cell>
          <cell r="AG326">
            <v>7614.264492753623</v>
          </cell>
          <cell r="AH326">
            <v>0.42863561876343226</v>
          </cell>
          <cell r="AI326">
            <v>0</v>
          </cell>
          <cell r="AK326">
            <v>0.32992427906976746</v>
          </cell>
          <cell r="AM326">
            <v>43.605451176258832</v>
          </cell>
          <cell r="AO326">
            <v>357.67750108685169</v>
          </cell>
          <cell r="AT326" t="str">
            <v>Adjusted Rent Expense Increase Assumption</v>
          </cell>
          <cell r="AY326">
            <v>243.2</v>
          </cell>
        </row>
        <row r="327">
          <cell r="A327" t="str">
            <v>TLB</v>
          </cell>
          <cell r="B327" t="str">
            <v>TLB</v>
          </cell>
          <cell r="C327" t="str">
            <v>2005 (ex. catalog/internet)</v>
          </cell>
          <cell r="D327">
            <v>18</v>
          </cell>
          <cell r="E327">
            <v>19</v>
          </cell>
          <cell r="F327">
            <v>1543.6069999999997</v>
          </cell>
          <cell r="H327">
            <v>2.6000000000000002E-2</v>
          </cell>
          <cell r="J327">
            <v>8.4124458284446632E-2</v>
          </cell>
          <cell r="L327">
            <v>126.904</v>
          </cell>
          <cell r="N327">
            <v>8.2212635729172007E-2</v>
          </cell>
          <cell r="P327" t="e">
            <v>#DIV/0!</v>
          </cell>
          <cell r="R327">
            <v>0.43</v>
          </cell>
          <cell r="S327">
            <v>181.47271999999998</v>
          </cell>
          <cell r="U327">
            <v>0.11756406909271597</v>
          </cell>
          <cell r="Y327">
            <v>43.450866245287742</v>
          </cell>
          <cell r="AA327">
            <v>0</v>
          </cell>
          <cell r="AC327">
            <v>558.5</v>
          </cell>
          <cell r="AE327">
            <v>4.0954864999999998</v>
          </cell>
          <cell r="AG327">
            <v>7058.2283185840715</v>
          </cell>
          <cell r="AH327">
            <v>4.9875786230984609</v>
          </cell>
          <cell r="AI327">
            <v>4.9875786230984609</v>
          </cell>
          <cell r="AK327">
            <v>0.32492877350044758</v>
          </cell>
          <cell r="AM327">
            <v>44.31041831049864</v>
          </cell>
          <cell r="AO327">
            <v>376.90491715697266</v>
          </cell>
          <cell r="AY327">
            <v>264.99900000000002</v>
          </cell>
          <cell r="BA327">
            <v>7.0558071325013128E-3</v>
          </cell>
          <cell r="BB327">
            <v>7.0558071325013128E-3</v>
          </cell>
        </row>
        <row r="328">
          <cell r="A328" t="str">
            <v>TLB2006</v>
          </cell>
          <cell r="B328" t="str">
            <v>TLB</v>
          </cell>
          <cell r="C328" t="str">
            <v>2006 (ex. cat/int., TLB only)</v>
          </cell>
          <cell r="D328">
            <v>20</v>
          </cell>
          <cell r="E328">
            <v>20</v>
          </cell>
          <cell r="F328">
            <v>1510.8999999999999</v>
          </cell>
          <cell r="H328">
            <v>0</v>
          </cell>
          <cell r="J328">
            <v>3.4231676537281146E-2</v>
          </cell>
          <cell r="L328">
            <v>119.7</v>
          </cell>
          <cell r="N328">
            <v>7.9224303395327295E-2</v>
          </cell>
          <cell r="P328" t="e">
            <v>#DIV/0!</v>
          </cell>
          <cell r="S328">
            <v>171.17099999999999</v>
          </cell>
          <cell r="U328">
            <v>0.11329075385531803</v>
          </cell>
          <cell r="Y328">
            <v>42.733152373979344</v>
          </cell>
          <cell r="AA328">
            <v>0</v>
          </cell>
          <cell r="AC328">
            <v>574.5</v>
          </cell>
          <cell r="AE328">
            <v>4.5221070000000001</v>
          </cell>
          <cell r="AG328">
            <v>8658.073630136987</v>
          </cell>
          <cell r="AH328">
            <v>1.3003546528055958</v>
          </cell>
          <cell r="AI328">
            <v>-0.20340786898966789</v>
          </cell>
          <cell r="AK328">
            <v>0.29794778067885114</v>
          </cell>
          <cell r="AM328">
            <v>37.852045517719944</v>
          </cell>
          <cell r="AO328">
            <v>387.58481389316972</v>
          </cell>
          <cell r="AR328" t="str">
            <v>DE-LVG</v>
          </cell>
          <cell r="AY328">
            <v>0</v>
          </cell>
          <cell r="BA328">
            <v>0.10416845471227898</v>
          </cell>
          <cell r="BB328">
            <v>0.10416845471227898</v>
          </cell>
        </row>
        <row r="329">
          <cell r="A329" t="str">
            <v>TLB2007</v>
          </cell>
          <cell r="B329" t="str">
            <v>TLB</v>
          </cell>
          <cell r="C329" t="str">
            <v>2007 (ex. cat/internet)</v>
          </cell>
          <cell r="D329">
            <v>22</v>
          </cell>
          <cell r="E329">
            <v>21</v>
          </cell>
          <cell r="F329">
            <v>1445.3309999999999</v>
          </cell>
          <cell r="H329">
            <v>-5.7000000000000002E-2</v>
          </cell>
          <cell r="J329">
            <v>2.060985355201498E-2</v>
          </cell>
          <cell r="L329">
            <v>121.8</v>
          </cell>
          <cell r="N329">
            <v>8.4271353759104314E-2</v>
          </cell>
          <cell r="P329" t="e">
            <v>#DIV/0!</v>
          </cell>
          <cell r="R329">
            <v>0.43</v>
          </cell>
          <cell r="S329">
            <v>174.17399999999998</v>
          </cell>
          <cell r="U329">
            <v>0.12050803587551917</v>
          </cell>
          <cell r="Y329">
            <v>-72.17282020201138</v>
          </cell>
          <cell r="AA329">
            <v>0</v>
          </cell>
          <cell r="AC329">
            <v>590</v>
          </cell>
          <cell r="AE329">
            <v>4.6354140000000008</v>
          </cell>
          <cell r="AG329">
            <v>7071.330536912752</v>
          </cell>
          <cell r="AH329">
            <v>-4.7241269119223421</v>
          </cell>
          <cell r="AI329">
            <v>0.54288620063301307</v>
          </cell>
          <cell r="AK329">
            <v>0.2952101694915254</v>
          </cell>
          <cell r="AM329">
            <v>37.574637346308215</v>
          </cell>
          <cell r="AO329">
            <v>311.80192319391529</v>
          </cell>
          <cell r="AQ329" t="str">
            <v>Sales exclude Catalog/Internet sales (2010 $222M, 2009 $208M). We estimate achieves leverage at slightly negative comp.</v>
          </cell>
          <cell r="AR329">
            <v>-242.40623139852897</v>
          </cell>
          <cell r="AY329">
            <v>262.7</v>
          </cell>
          <cell r="BA329">
            <v>2.505624037644405E-2</v>
          </cell>
          <cell r="BB329">
            <v>2.505624037644405E-2</v>
          </cell>
        </row>
        <row r="330">
          <cell r="A330" t="str">
            <v>TLB2008</v>
          </cell>
          <cell r="B330" t="str">
            <v>TLB</v>
          </cell>
          <cell r="C330" t="str">
            <v>2008 (ex. cat/internet)</v>
          </cell>
          <cell r="D330">
            <v>23</v>
          </cell>
          <cell r="E330">
            <v>22</v>
          </cell>
          <cell r="F330">
            <v>1261.5730000000001</v>
          </cell>
          <cell r="H330">
            <v>-0.14199999999999999</v>
          </cell>
          <cell r="J330">
            <v>-6.5804557341305761E-2</v>
          </cell>
          <cell r="L330">
            <v>127.7</v>
          </cell>
          <cell r="N330">
            <v>0.10122283847228816</v>
          </cell>
          <cell r="P330" t="e">
            <v>#DIV/0!</v>
          </cell>
          <cell r="R330">
            <v>0.43</v>
          </cell>
          <cell r="S330">
            <v>182.61099999999999</v>
          </cell>
          <cell r="U330">
            <v>0.14474865901537207</v>
          </cell>
          <cell r="Y330">
            <v>-242.40623139852897</v>
          </cell>
          <cell r="AA330">
            <v>0</v>
          </cell>
          <cell r="AC330">
            <v>591.5</v>
          </cell>
          <cell r="AE330">
            <v>4.2110205000000001</v>
          </cell>
          <cell r="AG330">
            <v>7167.8500851788749</v>
          </cell>
          <cell r="AH330">
            <v>-0.16231796349067013</v>
          </cell>
          <cell r="AI330">
            <v>-0.16231796349067013</v>
          </cell>
          <cell r="AK330">
            <v>0.30872527472527472</v>
          </cell>
          <cell r="AM330">
            <v>43.365022801480066</v>
          </cell>
          <cell r="AO330">
            <v>299.58842518102205</v>
          </cell>
          <cell r="AR330">
            <v>-305.46734834987626</v>
          </cell>
          <cell r="AS330">
            <v>2.5423728813558366E-3</v>
          </cell>
          <cell r="AU330">
            <v>-547.87357974840529</v>
          </cell>
          <cell r="AY330">
            <v>233.6</v>
          </cell>
          <cell r="BA330">
            <v>-9.1554605478604612E-2</v>
          </cell>
          <cell r="BB330">
            <v>-9.1554605478604612E-2</v>
          </cell>
        </row>
        <row r="331">
          <cell r="A331" t="str">
            <v>TLB2009</v>
          </cell>
          <cell r="B331" t="str">
            <v>TLB</v>
          </cell>
          <cell r="C331" t="str">
            <v>2009 (ex. cat/internet)</v>
          </cell>
          <cell r="D331">
            <v>24</v>
          </cell>
          <cell r="E331">
            <v>23</v>
          </cell>
          <cell r="F331">
            <v>1027.865</v>
          </cell>
          <cell r="H331">
            <v>-0.16500000000000001</v>
          </cell>
          <cell r="J331">
            <v>5.3041682313181328E-3</v>
          </cell>
          <cell r="L331">
            <v>126</v>
          </cell>
          <cell r="N331">
            <v>0.12258419150374805</v>
          </cell>
          <cell r="P331" t="e">
            <v>#DIV/0!</v>
          </cell>
          <cell r="R331">
            <v>0.43</v>
          </cell>
          <cell r="S331">
            <v>180.17999999999998</v>
          </cell>
          <cell r="U331">
            <v>0.17529539385035969</v>
          </cell>
          <cell r="Y331">
            <v>-305.46734834987626</v>
          </cell>
          <cell r="AA331">
            <v>0</v>
          </cell>
          <cell r="AC331">
            <v>583.5</v>
          </cell>
          <cell r="AE331">
            <v>4.1897039999999999</v>
          </cell>
          <cell r="AG331">
            <v>7192.8965517241377</v>
          </cell>
          <cell r="AH331">
            <v>4.0005869456344563</v>
          </cell>
          <cell r="AI331">
            <v>0</v>
          </cell>
          <cell r="AK331">
            <v>0.30879177377892025</v>
          </cell>
          <cell r="AM331">
            <v>43.005424726901943</v>
          </cell>
          <cell r="AO331">
            <v>245.33117375356352</v>
          </cell>
          <cell r="AR331">
            <v>1.8375642410795034</v>
          </cell>
          <cell r="AS331">
            <v>-1.3524936601859716E-2</v>
          </cell>
          <cell r="AU331">
            <v>-303.62978410879674</v>
          </cell>
          <cell r="AY331">
            <v>207.74200000000002</v>
          </cell>
          <cell r="BA331">
            <v>-5.0620746206294642E-3</v>
          </cell>
          <cell r="BB331">
            <v>-5.0620746206294642E-3</v>
          </cell>
          <cell r="BC331">
            <v>0</v>
          </cell>
        </row>
        <row r="332">
          <cell r="A332" t="str">
            <v>TLB2010</v>
          </cell>
          <cell r="B332" t="str">
            <v>TLB</v>
          </cell>
          <cell r="C332" t="str">
            <v>2010 (ex. cat/internet)</v>
          </cell>
          <cell r="D332">
            <v>25</v>
          </cell>
          <cell r="E332">
            <v>24</v>
          </cell>
          <cell r="F332">
            <v>991.37899999999991</v>
          </cell>
          <cell r="H332">
            <v>-1.7000000000000001E-2</v>
          </cell>
          <cell r="J332">
            <v>4.855406987288341E-2</v>
          </cell>
          <cell r="L332">
            <v>121.4</v>
          </cell>
          <cell r="N332">
            <v>0.12245569050786835</v>
          </cell>
          <cell r="P332" t="e">
            <v>#DIV/0!</v>
          </cell>
          <cell r="R332">
            <v>0.43</v>
          </cell>
          <cell r="S332">
            <v>173.602</v>
          </cell>
          <cell r="U332">
            <v>0.17511163742625174</v>
          </cell>
          <cell r="Y332">
            <v>1.8375642410795034</v>
          </cell>
          <cell r="AA332">
            <v>0</v>
          </cell>
          <cell r="AC332">
            <v>574</v>
          </cell>
          <cell r="AE332">
            <v>4.1130554999999998</v>
          </cell>
          <cell r="AG332">
            <v>7137.7306338028175</v>
          </cell>
          <cell r="AH332">
            <v>1.011062836663472</v>
          </cell>
          <cell r="AI332">
            <v>0</v>
          </cell>
          <cell r="AK332">
            <v>0.30244250871080142</v>
          </cell>
          <cell r="AM332">
            <v>42.207551052982389</v>
          </cell>
          <cell r="AO332">
            <v>241.0322447630478</v>
          </cell>
          <cell r="AR332">
            <v>52.479777721540501</v>
          </cell>
          <cell r="AS332">
            <v>-1.6281062553556103E-2</v>
          </cell>
          <cell r="AY332">
            <v>221.72300000000001</v>
          </cell>
          <cell r="BA332">
            <v>-1.8294490493839244E-2</v>
          </cell>
          <cell r="BB332">
            <v>-1.8294490493839244E-2</v>
          </cell>
        </row>
        <row r="333">
          <cell r="A333" t="str">
            <v>TLB2011</v>
          </cell>
          <cell r="B333" t="str">
            <v>TLB</v>
          </cell>
          <cell r="C333" t="str">
            <v>2011 (ex. cat/internet)</v>
          </cell>
          <cell r="D333">
            <v>26</v>
          </cell>
          <cell r="E333">
            <v>25</v>
          </cell>
          <cell r="F333">
            <v>919.12393499999996</v>
          </cell>
          <cell r="H333">
            <v>-7.4970367722391601E-2</v>
          </cell>
          <cell r="J333">
            <v>-2.994072671744278E-2</v>
          </cell>
          <cell r="L333">
            <v>109.1788498425</v>
          </cell>
          <cell r="N333">
            <v>0.1187857759818865</v>
          </cell>
          <cell r="P333" t="e">
            <v>#DIV/0!</v>
          </cell>
          <cell r="R333">
            <v>0.43</v>
          </cell>
          <cell r="S333">
            <v>156.125755274775</v>
          </cell>
          <cell r="U333">
            <v>0.16986365965409769</v>
          </cell>
          <cell r="Y333">
            <v>52.479777721540501</v>
          </cell>
          <cell r="AA333">
            <v>0</v>
          </cell>
          <cell r="AC333">
            <v>535</v>
          </cell>
          <cell r="AE333">
            <v>3.8099080000000005</v>
          </cell>
          <cell r="AG333">
            <v>7102.758964143427</v>
          </cell>
          <cell r="AH333" t="e">
            <v>#REF!</v>
          </cell>
          <cell r="AI333">
            <v>0</v>
          </cell>
          <cell r="AK333">
            <v>0.29182384163509345</v>
          </cell>
          <cell r="AM333">
            <v>40.978878039778124</v>
          </cell>
          <cell r="AO333">
            <v>241.24570330832131</v>
          </cell>
          <cell r="AS333">
            <v>-6.7944250871080136E-2</v>
          </cell>
          <cell r="AY333">
            <v>212.26310999999998</v>
          </cell>
          <cell r="BA333">
            <v>-7.3703722208464995E-2</v>
          </cell>
          <cell r="BB333">
            <v>-7.3703722208464995E-2</v>
          </cell>
        </row>
        <row r="334">
          <cell r="A334" t="str">
            <v>TLB2012</v>
          </cell>
          <cell r="B334" t="str">
            <v>TLB</v>
          </cell>
          <cell r="C334" t="str">
            <v>2012e (ex. cat/internet)</v>
          </cell>
          <cell r="D334">
            <v>27</v>
          </cell>
          <cell r="E334">
            <v>26</v>
          </cell>
          <cell r="F334">
            <v>915</v>
          </cell>
          <cell r="H334">
            <v>0</v>
          </cell>
          <cell r="J334">
            <v>2.000000000000053E-3</v>
          </cell>
          <cell r="L334">
            <v>0</v>
          </cell>
          <cell r="N334">
            <v>0</v>
          </cell>
          <cell r="P334" t="e">
            <v>#DIV/0!</v>
          </cell>
          <cell r="R334">
            <v>0.43</v>
          </cell>
          <cell r="S334">
            <v>0</v>
          </cell>
          <cell r="U334">
            <v>0</v>
          </cell>
          <cell r="Y334">
            <v>0</v>
          </cell>
          <cell r="AA334">
            <v>0</v>
          </cell>
          <cell r="AC334">
            <v>494.5</v>
          </cell>
          <cell r="AE334">
            <v>3.4999100000000007</v>
          </cell>
          <cell r="AG334">
            <v>7051.81724845996</v>
          </cell>
          <cell r="AH334" t="e">
            <v>#REF!</v>
          </cell>
          <cell r="AI334">
            <v>0</v>
          </cell>
          <cell r="AK334">
            <v>0</v>
          </cell>
          <cell r="AM334">
            <v>0</v>
          </cell>
          <cell r="AO334">
            <v>261.43529405041841</v>
          </cell>
          <cell r="AS334">
            <v>-7.5700934579439272E-2</v>
          </cell>
          <cell r="AY334">
            <v>220.11684506999995</v>
          </cell>
          <cell r="BA334">
            <v>-8.1366269211749942E-2</v>
          </cell>
          <cell r="BB334">
            <v>-8.1366269211749942E-2</v>
          </cell>
        </row>
        <row r="335">
          <cell r="C335" t="str">
            <v>2006 = Trough rent</v>
          </cell>
          <cell r="F335">
            <v>1510.8999999999999</v>
          </cell>
          <cell r="H335">
            <v>0</v>
          </cell>
          <cell r="I335">
            <v>0</v>
          </cell>
          <cell r="J335">
            <v>3.4231676537281146E-2</v>
          </cell>
          <cell r="K335">
            <v>0</v>
          </cell>
          <cell r="L335">
            <v>119.7</v>
          </cell>
          <cell r="M335">
            <v>0</v>
          </cell>
          <cell r="N335">
            <v>7.9224303395327295E-2</v>
          </cell>
          <cell r="O335">
            <v>0</v>
          </cell>
          <cell r="P335" t="e">
            <v>#DIV/0!</v>
          </cell>
          <cell r="Q335">
            <v>0</v>
          </cell>
          <cell r="S335">
            <v>171.17099999999999</v>
          </cell>
          <cell r="T335">
            <v>0</v>
          </cell>
          <cell r="U335">
            <v>0.11329075385531803</v>
          </cell>
          <cell r="Z335">
            <v>0</v>
          </cell>
          <cell r="AB335">
            <v>0</v>
          </cell>
          <cell r="AC335">
            <v>574.5</v>
          </cell>
          <cell r="AD335">
            <v>0</v>
          </cell>
          <cell r="AE335">
            <v>4.5221070000000001</v>
          </cell>
          <cell r="AF335">
            <v>0</v>
          </cell>
          <cell r="AG335">
            <v>8658.073630136987</v>
          </cell>
          <cell r="AH335">
            <v>0.80565545961892249</v>
          </cell>
          <cell r="AI335">
            <v>0.80565545961892249</v>
          </cell>
          <cell r="AJ335">
            <v>0</v>
          </cell>
          <cell r="AK335">
            <v>0.29794778067885114</v>
          </cell>
          <cell r="AL335">
            <v>0</v>
          </cell>
          <cell r="AM335">
            <v>37.852045517719944</v>
          </cell>
          <cell r="AN335">
            <v>0</v>
          </cell>
          <cell r="AO335">
            <v>387.58481389316972</v>
          </cell>
          <cell r="AR335">
            <v>-2.8927508305963013E-2</v>
          </cell>
        </row>
        <row r="337">
          <cell r="A337" t="str">
            <v>TEA2008</v>
          </cell>
          <cell r="B337" t="str">
            <v>TEA</v>
          </cell>
          <cell r="C337" t="str">
            <v>2008 (ex. direct)</v>
          </cell>
          <cell r="D337">
            <v>5</v>
          </cell>
          <cell r="E337">
            <v>6</v>
          </cell>
          <cell r="F337">
            <v>60.274104043392505</v>
          </cell>
          <cell r="H337">
            <v>0.03</v>
          </cell>
          <cell r="J337">
            <v>7.4536884796667618E-2</v>
          </cell>
          <cell r="L337">
            <v>6.27</v>
          </cell>
          <cell r="N337">
            <v>0.10402477315110489</v>
          </cell>
          <cell r="P337" t="e">
            <v>#DIV/0!</v>
          </cell>
          <cell r="R337">
            <v>0.4</v>
          </cell>
          <cell r="S337">
            <v>8.7779999999999987</v>
          </cell>
          <cell r="U337">
            <v>0.14563468241154684</v>
          </cell>
          <cell r="AC337">
            <v>73</v>
          </cell>
          <cell r="AE337">
            <v>6.5500000000000003E-2</v>
          </cell>
          <cell r="AG337">
            <v>0.88505747126436785</v>
          </cell>
          <cell r="AH337" t="e">
            <v>#N/A</v>
          </cell>
          <cell r="AI337">
            <v>0</v>
          </cell>
          <cell r="AK337">
            <v>0.12024657534246573</v>
          </cell>
          <cell r="AM337">
            <v>134.01526717557249</v>
          </cell>
          <cell r="AO337">
            <v>920.21532890675587</v>
          </cell>
          <cell r="AQ337" t="str">
            <v>TEA net retail sales excl. Internet/Catalog and Other sales (2011 $13M, 2010 $9M).</v>
          </cell>
          <cell r="AR337">
            <v>48.350967070117377</v>
          </cell>
          <cell r="AU337">
            <v>48.350967070117377</v>
          </cell>
          <cell r="AY337">
            <v>3.5868959566074952</v>
          </cell>
          <cell r="AZ337">
            <v>0</v>
          </cell>
          <cell r="BB337">
            <v>0.35051546391752586</v>
          </cell>
        </row>
        <row r="338">
          <cell r="A338" t="str">
            <v>TEA2009</v>
          </cell>
          <cell r="B338" t="str">
            <v>TEA</v>
          </cell>
          <cell r="C338" t="str">
            <v>2009 (ex. direct)</v>
          </cell>
          <cell r="D338">
            <v>6</v>
          </cell>
          <cell r="E338">
            <v>7</v>
          </cell>
          <cell r="F338">
            <v>84.666442307692307</v>
          </cell>
          <cell r="H338">
            <v>6.9000000000000006E-2</v>
          </cell>
          <cell r="J338">
            <v>0.13512884713389905</v>
          </cell>
          <cell r="L338">
            <v>8.5150000000000006</v>
          </cell>
          <cell r="N338">
            <v>0.10057113264609652</v>
          </cell>
          <cell r="P338" t="e">
            <v>#DIV/0!</v>
          </cell>
          <cell r="R338">
            <v>0.4</v>
          </cell>
          <cell r="S338">
            <v>11.920999999999999</v>
          </cell>
          <cell r="U338">
            <v>0.1407995857045351</v>
          </cell>
          <cell r="Y338">
            <v>48.350967070117377</v>
          </cell>
          <cell r="AA338">
            <v>0</v>
          </cell>
          <cell r="AC338">
            <v>97.5</v>
          </cell>
          <cell r="AE338">
            <v>8.5999999999999993E-2</v>
          </cell>
          <cell r="AG338">
            <v>0.87962962962962965</v>
          </cell>
          <cell r="AH338" t="e">
            <v>#N/A</v>
          </cell>
          <cell r="AI338">
            <v>0</v>
          </cell>
          <cell r="AK338">
            <v>0.12226666666666666</v>
          </cell>
          <cell r="AM338">
            <v>138.61627906976744</v>
          </cell>
          <cell r="AO338">
            <v>984.49351520572452</v>
          </cell>
          <cell r="AQ338" t="str">
            <v>TEA net retail sales excl. Internet/Catalog and Other sales (2011 $13M, 2010 $9M).</v>
          </cell>
          <cell r="AR338">
            <v>64.757834074289093</v>
          </cell>
          <cell r="AS338">
            <v>0.33561643835616439</v>
          </cell>
          <cell r="AU338">
            <v>113.10880114440647</v>
          </cell>
          <cell r="AY338">
            <v>5.595557692307688</v>
          </cell>
          <cell r="AZ338">
            <v>0</v>
          </cell>
          <cell r="BA338">
            <v>0.31297709923664097</v>
          </cell>
          <cell r="BB338">
            <v>0.31297709923664119</v>
          </cell>
          <cell r="BC338">
            <v>0</v>
          </cell>
        </row>
        <row r="339">
          <cell r="A339" t="str">
            <v>TEA2010</v>
          </cell>
          <cell r="B339" t="str">
            <v>TEA</v>
          </cell>
          <cell r="C339" t="str">
            <v>2010 (ex. direct)</v>
          </cell>
          <cell r="D339">
            <v>7</v>
          </cell>
          <cell r="E339">
            <v>8</v>
          </cell>
          <cell r="F339">
            <v>115.97199999999999</v>
          </cell>
          <cell r="H339">
            <v>8.6999999999999994E-2</v>
          </cell>
          <cell r="J339">
            <v>0.18842671670636166</v>
          </cell>
          <cell r="L339">
            <v>11.127000000000001</v>
          </cell>
          <cell r="N339">
            <v>9.5945573069361578E-2</v>
          </cell>
          <cell r="P339" t="e">
            <v>#DIV/0!</v>
          </cell>
          <cell r="R339">
            <v>0.4</v>
          </cell>
          <cell r="S339">
            <v>15.5778</v>
          </cell>
          <cell r="U339">
            <v>0.13432380229710619</v>
          </cell>
          <cell r="Y339">
            <v>64.757834074289093</v>
          </cell>
          <cell r="AA339">
            <v>0</v>
          </cell>
          <cell r="AC339">
            <v>127</v>
          </cell>
          <cell r="AE339">
            <v>0.1125</v>
          </cell>
          <cell r="AG339">
            <v>0.8904109589041096</v>
          </cell>
          <cell r="AH339" t="e">
            <v>#N/A</v>
          </cell>
          <cell r="AI339">
            <v>0</v>
          </cell>
          <cell r="AK339">
            <v>0.12265984251968504</v>
          </cell>
          <cell r="AM339">
            <v>138.46933333333334</v>
          </cell>
          <cell r="AO339">
            <v>1030.862222222222</v>
          </cell>
          <cell r="AR339">
            <v>46.980996825169981</v>
          </cell>
          <cell r="AS339">
            <v>0.3025641025641026</v>
          </cell>
          <cell r="AY339">
            <v>8.729000000000001</v>
          </cell>
          <cell r="AZ339">
            <v>0</v>
          </cell>
          <cell r="BA339">
            <v>0.30813953488372103</v>
          </cell>
          <cell r="BB339">
            <v>0.30813953488372103</v>
          </cell>
          <cell r="BC339">
            <v>0</v>
          </cell>
        </row>
        <row r="340">
          <cell r="A340" t="str">
            <v>TEA2011</v>
          </cell>
          <cell r="B340" t="str">
            <v>TEA</v>
          </cell>
          <cell r="C340" t="str">
            <v>2011 (ex. direct)</v>
          </cell>
          <cell r="D340">
            <v>8</v>
          </cell>
          <cell r="E340">
            <v>9</v>
          </cell>
          <cell r="F340">
            <v>154.61748399999999</v>
          </cell>
          <cell r="H340">
            <v>5.5244243202004134E-2</v>
          </cell>
          <cell r="J340">
            <v>0.18791790600832833</v>
          </cell>
          <cell r="L340">
            <v>14.316000000000001</v>
          </cell>
          <cell r="N340">
            <v>9.2589787581849423E-2</v>
          </cell>
          <cell r="P340" t="e">
            <v>#DIV/0!</v>
          </cell>
          <cell r="R340">
            <v>0.4</v>
          </cell>
          <cell r="S340">
            <v>20.042400000000001</v>
          </cell>
          <cell r="U340">
            <v>0.12962570261458919</v>
          </cell>
          <cell r="Y340">
            <v>46.980996825169981</v>
          </cell>
          <cell r="AA340">
            <v>0</v>
          </cell>
          <cell r="AC340">
            <v>173</v>
          </cell>
          <cell r="AE340">
            <v>0.15511000000000003</v>
          </cell>
          <cell r="AG340">
            <v>0.90110000000000001</v>
          </cell>
          <cell r="AH340" t="e">
            <v>#N/A</v>
          </cell>
          <cell r="AI340">
            <v>0</v>
          </cell>
          <cell r="AK340">
            <v>0.11585202312138729</v>
          </cell>
          <cell r="AM340">
            <v>129.21410611823865</v>
          </cell>
          <cell r="AO340">
            <v>996.82473083618061</v>
          </cell>
          <cell r="AR340">
            <v>-35.442973854107883</v>
          </cell>
          <cell r="AS340">
            <v>0.36220472440944884</v>
          </cell>
          <cell r="AY340">
            <v>12.282588000000001</v>
          </cell>
          <cell r="AZ340">
            <v>1.1999280000000008</v>
          </cell>
          <cell r="BA340">
            <v>0.37875555555555573</v>
          </cell>
          <cell r="BB340">
            <v>0.37875555555555573</v>
          </cell>
          <cell r="BC340">
            <v>0</v>
          </cell>
        </row>
        <row r="341">
          <cell r="A341" t="str">
            <v>TEA2012</v>
          </cell>
          <cell r="B341" t="str">
            <v>TEA</v>
          </cell>
          <cell r="C341" t="str">
            <v>2012 (ex. direct)</v>
          </cell>
          <cell r="D341">
            <v>9</v>
          </cell>
          <cell r="E341">
            <v>10</v>
          </cell>
          <cell r="F341">
            <v>211.73057145393938</v>
          </cell>
          <cell r="H341">
            <v>7.9845857404125514E-3</v>
          </cell>
          <cell r="J341">
            <v>0.15199208134269537</v>
          </cell>
          <cell r="L341">
            <v>20.43200014530515</v>
          </cell>
          <cell r="N341">
            <v>9.6500000000000002E-2</v>
          </cell>
          <cell r="P341" t="e">
            <v>#DIV/0!</v>
          </cell>
          <cell r="R341">
            <v>0.38</v>
          </cell>
          <cell r="S341">
            <v>28.196160200521103</v>
          </cell>
          <cell r="U341">
            <v>0.13316999999999998</v>
          </cell>
          <cell r="Y341">
            <v>-35.442973854107883</v>
          </cell>
          <cell r="AA341">
            <v>0</v>
          </cell>
          <cell r="AC341">
            <v>253</v>
          </cell>
          <cell r="AE341">
            <v>0.22950999999999999</v>
          </cell>
          <cell r="AG341">
            <v>0.91111111111111109</v>
          </cell>
          <cell r="AH341" t="e">
            <v>#N/A</v>
          </cell>
          <cell r="AI341">
            <v>0.75818087950057389</v>
          </cell>
          <cell r="AK341">
            <v>0.11144727351984626</v>
          </cell>
          <cell r="AM341">
            <v>122.85373273722759</v>
          </cell>
          <cell r="AO341">
            <v>922.5330985749614</v>
          </cell>
          <cell r="AS341">
            <v>0.46242774566473988</v>
          </cell>
          <cell r="AY341">
            <v>16.79919752</v>
          </cell>
          <cell r="AZ341">
            <v>1.1999280000000008</v>
          </cell>
          <cell r="BA341">
            <v>0.47965959641544686</v>
          </cell>
          <cell r="BB341">
            <v>0.47965959641544686</v>
          </cell>
        </row>
        <row r="342">
          <cell r="A342" t="str">
            <v>TEA2013</v>
          </cell>
          <cell r="C342" t="str">
            <v>2013e (ex. direct)</v>
          </cell>
        </row>
        <row r="343">
          <cell r="C343" t="str">
            <v>2011 = Trough rent</v>
          </cell>
          <cell r="F343">
            <v>154.61748399999999</v>
          </cell>
          <cell r="H343">
            <v>5.5244243202004134E-2</v>
          </cell>
          <cell r="I343">
            <v>0</v>
          </cell>
          <cell r="J343">
            <v>0.18791790600832833</v>
          </cell>
          <cell r="K343">
            <v>0</v>
          </cell>
          <cell r="L343">
            <v>14.316000000000001</v>
          </cell>
          <cell r="M343">
            <v>0</v>
          </cell>
          <cell r="N343">
            <v>9.2589787581849423E-2</v>
          </cell>
          <cell r="O343">
            <v>0</v>
          </cell>
          <cell r="P343" t="e">
            <v>#DIV/0!</v>
          </cell>
          <cell r="Q343">
            <v>0</v>
          </cell>
          <cell r="S343">
            <v>20.042400000000001</v>
          </cell>
          <cell r="U343">
            <v>0.12962570261458919</v>
          </cell>
          <cell r="Z343">
            <v>0</v>
          </cell>
          <cell r="AB343">
            <v>0</v>
          </cell>
          <cell r="AC343">
            <v>173</v>
          </cell>
          <cell r="AD343">
            <v>0</v>
          </cell>
          <cell r="AE343">
            <v>0.15511000000000003</v>
          </cell>
          <cell r="AF343">
            <v>0</v>
          </cell>
          <cell r="AG343">
            <v>0.90110000000000001</v>
          </cell>
          <cell r="AH343">
            <v>0.80565545961892249</v>
          </cell>
          <cell r="AI343">
            <v>0.80565545961892249</v>
          </cell>
          <cell r="AJ343">
            <v>0</v>
          </cell>
          <cell r="AK343">
            <v>0.11585202312138729</v>
          </cell>
          <cell r="AL343">
            <v>0</v>
          </cell>
          <cell r="AM343">
            <v>129.21410611823865</v>
          </cell>
          <cell r="AN343">
            <v>0</v>
          </cell>
          <cell r="AO343">
            <v>996.82473083618061</v>
          </cell>
          <cell r="AR343">
            <v>-5.2789058874429279E-2</v>
          </cell>
        </row>
        <row r="345">
          <cell r="AI345">
            <v>0</v>
          </cell>
        </row>
        <row r="346">
          <cell r="AI346">
            <v>0</v>
          </cell>
        </row>
        <row r="347">
          <cell r="C347">
            <v>1998</v>
          </cell>
          <cell r="D347">
            <v>6</v>
          </cell>
          <cell r="E347">
            <v>6</v>
          </cell>
          <cell r="F347">
            <v>376.94299999999998</v>
          </cell>
          <cell r="H347">
            <v>0.15</v>
          </cell>
          <cell r="J347">
            <v>7.3966090363795062E-2</v>
          </cell>
          <cell r="L347">
            <v>30.170999999999999</v>
          </cell>
          <cell r="N347">
            <v>8.0041279450739244E-2</v>
          </cell>
          <cell r="P347" t="e">
            <v>#DIV/0!</v>
          </cell>
          <cell r="S347">
            <v>44.501630614657209</v>
          </cell>
          <cell r="U347">
            <v>0.11805931033248319</v>
          </cell>
          <cell r="AC347">
            <v>315.5</v>
          </cell>
          <cell r="AE347">
            <v>1.2606789297658862</v>
          </cell>
          <cell r="AG347">
            <v>4014.7335423197492</v>
          </cell>
          <cell r="AH347">
            <v>1.4820735153636422</v>
          </cell>
          <cell r="AI347">
            <v>0</v>
          </cell>
          <cell r="AK347">
            <v>0.14105112714629861</v>
          </cell>
          <cell r="AM347">
            <v>35.299733789412471</v>
          </cell>
          <cell r="AO347">
            <v>299</v>
          </cell>
        </row>
        <row r="348">
          <cell r="C348">
            <v>1999</v>
          </cell>
          <cell r="D348">
            <v>7</v>
          </cell>
          <cell r="E348">
            <v>7</v>
          </cell>
          <cell r="F348">
            <v>450.42600000000004</v>
          </cell>
          <cell r="H348">
            <v>0.09</v>
          </cell>
          <cell r="J348">
            <v>9.4255216173133927E-2</v>
          </cell>
          <cell r="L348">
            <v>34.628999999999998</v>
          </cell>
          <cell r="N348">
            <v>7.6880553076420971E-2</v>
          </cell>
          <cell r="P348" t="e">
            <v>#DIV/0!</v>
          </cell>
          <cell r="S348">
            <v>51.077092789598105</v>
          </cell>
          <cell r="U348">
            <v>0.11339730119841683</v>
          </cell>
          <cell r="AC348">
            <v>335.5</v>
          </cell>
          <cell r="AE348">
            <v>1.3690759878419454</v>
          </cell>
          <cell r="AG348">
            <v>4080.7033914812082</v>
          </cell>
          <cell r="AH348">
            <v>1.2205260961442157</v>
          </cell>
          <cell r="AI348">
            <v>0</v>
          </cell>
          <cell r="AK348">
            <v>0.15224170727152939</v>
          </cell>
          <cell r="AM348">
            <v>37.30771209427914</v>
          </cell>
          <cell r="AO348">
            <v>329</v>
          </cell>
        </row>
        <row r="349">
          <cell r="C349" t="str">
            <v>2000 (Trough rent)</v>
          </cell>
          <cell r="D349">
            <v>8</v>
          </cell>
          <cell r="E349">
            <v>8</v>
          </cell>
          <cell r="F349">
            <v>536.04</v>
          </cell>
          <cell r="H349">
            <v>0.04</v>
          </cell>
          <cell r="J349">
            <v>0.10145310435931297</v>
          </cell>
          <cell r="L349">
            <v>39.603999999999999</v>
          </cell>
          <cell r="N349">
            <v>7.3882546078650857E-2</v>
          </cell>
          <cell r="P349" t="e">
            <v>#DIV/0!</v>
          </cell>
          <cell r="S349">
            <v>58.415119779353816</v>
          </cell>
          <cell r="U349">
            <v>0.10897529993909749</v>
          </cell>
          <cell r="AC349">
            <v>379</v>
          </cell>
          <cell r="AE349">
            <v>1.5550000000000002</v>
          </cell>
          <cell r="AG349">
            <v>4102.9023746701851</v>
          </cell>
          <cell r="AH349">
            <v>1.1050852556033259</v>
          </cell>
          <cell r="AI349">
            <v>0</v>
          </cell>
          <cell r="AK349">
            <v>0.15412960363945599</v>
          </cell>
          <cell r="AM349">
            <v>37.565993427237174</v>
          </cell>
          <cell r="AO349">
            <v>341</v>
          </cell>
          <cell r="AY349">
            <v>9</v>
          </cell>
        </row>
        <row r="350">
          <cell r="C350">
            <v>2001</v>
          </cell>
          <cell r="D350">
            <v>9</v>
          </cell>
          <cell r="E350">
            <v>9</v>
          </cell>
          <cell r="F350">
            <v>592.78899999999999</v>
          </cell>
          <cell r="H350">
            <v>0</v>
          </cell>
          <cell r="J350">
            <v>0.11041515607552153</v>
          </cell>
          <cell r="L350">
            <v>45.048999999999999</v>
          </cell>
          <cell r="N350">
            <v>7.5994999907218252E-2</v>
          </cell>
          <cell r="P350" t="e">
            <v>#DIV/0!</v>
          </cell>
          <cell r="S350">
            <v>66.446387509850268</v>
          </cell>
          <cell r="U350">
            <v>0.11209112771972872</v>
          </cell>
          <cell r="AC350">
            <v>436</v>
          </cell>
          <cell r="AE350">
            <v>1.7847500000000001</v>
          </cell>
          <cell r="AG350">
            <v>4093.4633027522941</v>
          </cell>
          <cell r="AH350">
            <v>0.71653249042935319</v>
          </cell>
          <cell r="AI350">
            <v>0</v>
          </cell>
          <cell r="AK350">
            <v>0.15239997135286759</v>
          </cell>
          <cell r="AM350">
            <v>37.230081249390821</v>
          </cell>
          <cell r="AO350">
            <v>336</v>
          </cell>
          <cell r="AT350" t="str">
            <v>Adjusted Rent Expense Increase Assumption</v>
          </cell>
          <cell r="AY350">
            <v>9.9</v>
          </cell>
        </row>
        <row r="351">
          <cell r="A351" t="str">
            <v>TOO2002</v>
          </cell>
          <cell r="C351" t="str">
            <v>2002 (peak op mgn)</v>
          </cell>
          <cell r="D351">
            <v>10</v>
          </cell>
          <cell r="E351">
            <v>10</v>
          </cell>
          <cell r="F351">
            <v>637.3549999999999</v>
          </cell>
          <cell r="H351">
            <v>-0.03</v>
          </cell>
          <cell r="J351">
            <v>0.11932103389424743</v>
          </cell>
          <cell r="L351">
            <v>54.423000000000002</v>
          </cell>
          <cell r="N351">
            <v>8.5388833538608794E-2</v>
          </cell>
          <cell r="P351" t="e">
            <v>#DIV/0!</v>
          </cell>
          <cell r="S351">
            <v>80.272852836879437</v>
          </cell>
          <cell r="U351">
            <v>0.12594684726232547</v>
          </cell>
          <cell r="AC351">
            <v>494</v>
          </cell>
          <cell r="AE351">
            <v>2.0114999999999998</v>
          </cell>
          <cell r="AG351">
            <v>4071.8623481781374</v>
          </cell>
          <cell r="AH351">
            <v>0.82787376081242559</v>
          </cell>
          <cell r="AI351">
            <v>0</v>
          </cell>
          <cell r="AK351">
            <v>0.16249565351595027</v>
          </cell>
          <cell r="AM351">
            <v>39.906961390444664</v>
          </cell>
          <cell r="AO351">
            <v>319</v>
          </cell>
          <cell r="AS351" t="str">
            <v>Total rent expense as reported in footnote 4 includes minimum and percentage (contingent) rent.</v>
          </cell>
          <cell r="AY351">
            <v>10.1</v>
          </cell>
        </row>
        <row r="352">
          <cell r="C352">
            <v>2003</v>
          </cell>
          <cell r="D352">
            <v>11</v>
          </cell>
          <cell r="E352">
            <v>11</v>
          </cell>
          <cell r="F352">
            <v>591.18100000000004</v>
          </cell>
          <cell r="H352">
            <v>-0.13</v>
          </cell>
          <cell r="J352">
            <v>7.7421865734840375E-2</v>
          </cell>
          <cell r="L352">
            <v>53.137999999999998</v>
          </cell>
          <cell r="N352">
            <v>8.9884485462151179E-2</v>
          </cell>
          <cell r="P352" t="e">
            <v>#DIV/0!</v>
          </cell>
          <cell r="S352">
            <v>78.377503152088252</v>
          </cell>
          <cell r="U352">
            <v>0.1325778452827277</v>
          </cell>
          <cell r="AC352">
            <v>540</v>
          </cell>
          <cell r="AE352">
            <v>2.21475</v>
          </cell>
          <cell r="AG352">
            <v>4101.3888888888887</v>
          </cell>
          <cell r="AH352">
            <v>0.56959067138662667</v>
          </cell>
          <cell r="AI352">
            <v>0</v>
          </cell>
          <cell r="AK352">
            <v>0.14514352435571898</v>
          </cell>
          <cell r="AM352">
            <v>35.388871498854613</v>
          </cell>
          <cell r="AO352">
            <v>260</v>
          </cell>
          <cell r="AS352" t="str">
            <v>Does not include CAM, taxes, insurance or other landlord passthru charges. Does incl $4.6, $1.3</v>
          </cell>
          <cell r="AY352">
            <v>7.5</v>
          </cell>
        </row>
        <row r="353">
          <cell r="C353">
            <v>2004</v>
          </cell>
          <cell r="D353">
            <v>12</v>
          </cell>
          <cell r="E353">
            <v>12</v>
          </cell>
          <cell r="F353">
            <v>668.48400000000004</v>
          </cell>
          <cell r="H353">
            <v>0.04</v>
          </cell>
          <cell r="J353">
            <v>9.5258599005081226E-2</v>
          </cell>
          <cell r="L353">
            <v>54.936</v>
          </cell>
          <cell r="N353">
            <v>8.2179977381657596E-2</v>
          </cell>
          <cell r="P353" t="e">
            <v>#DIV/0!</v>
          </cell>
          <cell r="S353">
            <v>81.029517730496451</v>
          </cell>
          <cell r="U353">
            <v>0.12121384764705878</v>
          </cell>
          <cell r="AC353">
            <v>580.5</v>
          </cell>
          <cell r="AE353">
            <v>2.4009999999999998</v>
          </cell>
          <cell r="AG353">
            <v>4136.0895779500424</v>
          </cell>
          <cell r="AH353">
            <v>1.0792556027623441</v>
          </cell>
          <cell r="AI353">
            <v>0</v>
          </cell>
          <cell r="AK353">
            <v>0.13958573252454168</v>
          </cell>
          <cell r="AM353">
            <v>33.748237288836506</v>
          </cell>
          <cell r="AO353">
            <v>271</v>
          </cell>
          <cell r="AS353" t="str">
            <v>&amp; $1.1 mm in equipent and other leasing expenses in 2002, 2001, and 2000, respectively.</v>
          </cell>
          <cell r="AY353">
            <v>7.35</v>
          </cell>
          <cell r="BC353" t="str">
            <v>Too</v>
          </cell>
          <cell r="BD353" t="str">
            <v>Justice</v>
          </cell>
          <cell r="BE353" t="str">
            <v>Total EOY</v>
          </cell>
          <cell r="BG353" t="str">
            <v>Too</v>
          </cell>
          <cell r="BH353" t="str">
            <v>Justice</v>
          </cell>
          <cell r="BI353" t="str">
            <v>Store Mix</v>
          </cell>
          <cell r="BK353" t="str">
            <v>Too</v>
          </cell>
          <cell r="BL353" t="str">
            <v>Justice</v>
          </cell>
          <cell r="BM353" t="str">
            <v>Gross Up Total</v>
          </cell>
        </row>
        <row r="354">
          <cell r="A354" t="str">
            <v>TOO</v>
          </cell>
          <cell r="B354" t="str">
            <v>TWB</v>
          </cell>
          <cell r="C354" t="str">
            <v>2005 (ex. catalog/internet)</v>
          </cell>
          <cell r="D354">
            <v>13</v>
          </cell>
          <cell r="E354">
            <v>13</v>
          </cell>
          <cell r="F354">
            <v>749.23599999999999</v>
          </cell>
          <cell r="H354">
            <v>6.6501985009667086E-2</v>
          </cell>
          <cell r="J354">
            <v>0.10945251314095128</v>
          </cell>
          <cell r="L354">
            <v>60.719000000000001</v>
          </cell>
          <cell r="N354">
            <v>8.10412206567757E-2</v>
          </cell>
          <cell r="P354" t="e">
            <v>#DIV/0!</v>
          </cell>
          <cell r="R354">
            <v>0.47498029944838455</v>
          </cell>
          <cell r="S354">
            <v>89.559328802206466</v>
          </cell>
          <cell r="U354">
            <v>0.11953420391199364</v>
          </cell>
          <cell r="Y354">
            <v>16.796437350651424</v>
          </cell>
          <cell r="AA354">
            <v>0</v>
          </cell>
          <cell r="AC354">
            <v>634.5</v>
          </cell>
          <cell r="AE354">
            <v>2.6360000000000001</v>
          </cell>
          <cell r="AG354">
            <v>4154.4523246650915</v>
          </cell>
          <cell r="AH354">
            <v>0.554766004130825</v>
          </cell>
          <cell r="AI354" t="e">
            <v>#DIV/0!</v>
          </cell>
          <cell r="AK354">
            <v>0.14114945437699994</v>
          </cell>
          <cell r="AM354">
            <v>33.975466161686825</v>
          </cell>
          <cell r="AO354">
            <v>287.533004552352</v>
          </cell>
          <cell r="AQ354" t="str">
            <v>CAM exp. for trad. malls likely greater than those of off-mall power centers; Sales exclude internet. Assume 33% gross up heritage Justice &amp; 50% gross up at heritage Ltoo (~65% mix).</v>
          </cell>
          <cell r="AY354">
            <v>8.6999999999999993</v>
          </cell>
          <cell r="BB354">
            <v>9.7875885047896904E-2</v>
          </cell>
          <cell r="BC354">
            <v>666</v>
          </cell>
          <cell r="BD354" t="e">
            <v>#REF!</v>
          </cell>
          <cell r="BE354">
            <v>-7</v>
          </cell>
          <cell r="BG354">
            <v>-95.142857142857139</v>
          </cell>
          <cell r="BH354" t="e">
            <v>#REF!</v>
          </cell>
          <cell r="BI354" t="e">
            <v>#REF!</v>
          </cell>
          <cell r="BK354">
            <v>0.5</v>
          </cell>
          <cell r="BL354">
            <v>0.25</v>
          </cell>
          <cell r="BM354" t="e">
            <v>#REF!</v>
          </cell>
        </row>
        <row r="355">
          <cell r="A355" t="str">
            <v>TOO2006</v>
          </cell>
          <cell r="B355" t="str">
            <v>TWB</v>
          </cell>
          <cell r="C355" t="str">
            <v>2006 (ex. catalog/internet)</v>
          </cell>
          <cell r="D355">
            <v>14</v>
          </cell>
          <cell r="E355">
            <v>14</v>
          </cell>
          <cell r="F355">
            <v>873.67700000000002</v>
          </cell>
          <cell r="H355">
            <v>5.9767763143587394E-2</v>
          </cell>
          <cell r="J355">
            <v>0.1082844281087541</v>
          </cell>
          <cell r="L355">
            <v>68.863</v>
          </cell>
          <cell r="N355">
            <v>7.8819746885862851E-2</v>
          </cell>
          <cell r="P355" t="e">
            <v>#DIV/0!</v>
          </cell>
          <cell r="R355">
            <v>0.45479106628242072</v>
          </cell>
          <cell r="S355">
            <v>100.18127719740633</v>
          </cell>
          <cell r="U355">
            <v>0.11466626361619492</v>
          </cell>
          <cell r="Y355">
            <v>48.6794029579872</v>
          </cell>
          <cell r="AA355">
            <v>0</v>
          </cell>
          <cell r="AC355">
            <v>694</v>
          </cell>
          <cell r="AE355">
            <v>2.8914999999999997</v>
          </cell>
          <cell r="AG355">
            <v>4166.4265129682999</v>
          </cell>
          <cell r="AH355">
            <v>1.096918573731529</v>
          </cell>
          <cell r="AI355">
            <v>-3.1314968038155975</v>
          </cell>
          <cell r="AK355">
            <v>0.14435342535649326</v>
          </cell>
          <cell r="AM355">
            <v>34.646819020372241</v>
          </cell>
          <cell r="AO355">
            <v>305.61369531385094</v>
          </cell>
          <cell r="AR355" t="str">
            <v>DE-LVG</v>
          </cell>
          <cell r="AY355">
            <v>10.004999999999999</v>
          </cell>
          <cell r="BB355">
            <v>9.6927162367222985E-2</v>
          </cell>
          <cell r="BC355">
            <v>722</v>
          </cell>
          <cell r="BD355" t="e">
            <v>#REF!</v>
          </cell>
          <cell r="BE355">
            <v>-23</v>
          </cell>
          <cell r="BG355">
            <v>-31.391304347826086</v>
          </cell>
          <cell r="BH355" t="e">
            <v>#REF!</v>
          </cell>
          <cell r="BI355" t="e">
            <v>#REF!</v>
          </cell>
          <cell r="BK355">
            <v>0.5</v>
          </cell>
          <cell r="BL355">
            <v>0.25</v>
          </cell>
          <cell r="BM355" t="e">
            <v>#REF!</v>
          </cell>
        </row>
        <row r="356">
          <cell r="A356" t="str">
            <v>TOO2007</v>
          </cell>
          <cell r="B356" t="str">
            <v>TWB</v>
          </cell>
          <cell r="C356" t="str">
            <v>2007 (ex. catalog/internet)</v>
          </cell>
          <cell r="D356">
            <v>15</v>
          </cell>
          <cell r="E356">
            <v>15</v>
          </cell>
          <cell r="F356">
            <v>995.61835000000019</v>
          </cell>
          <cell r="H356">
            <v>4.2569622984237887E-2</v>
          </cell>
          <cell r="J356">
            <v>8.7556799011899514E-2</v>
          </cell>
          <cell r="L356">
            <v>88.5</v>
          </cell>
          <cell r="N356">
            <v>8.8889482601440584E-2</v>
          </cell>
          <cell r="P356" t="e">
            <v>#DIV/0!</v>
          </cell>
          <cell r="R356">
            <v>0.43302429667519182</v>
          </cell>
          <cell r="S356">
            <v>126.82265025575448</v>
          </cell>
          <cell r="U356">
            <v>0.12738078828675109</v>
          </cell>
          <cell r="Y356">
            <v>-127.1452467055617</v>
          </cell>
          <cell r="AA356">
            <v>0</v>
          </cell>
          <cell r="AC356">
            <v>782</v>
          </cell>
          <cell r="AE356">
            <v>3.258</v>
          </cell>
          <cell r="AG356">
            <v>4166.2404092071611</v>
          </cell>
          <cell r="AH356">
            <v>0.76530433931676778</v>
          </cell>
          <cell r="AI356">
            <v>0.87994420617141123</v>
          </cell>
          <cell r="AK356">
            <v>0.16217730211733311</v>
          </cell>
          <cell r="AM356">
            <v>38.92653476235558</v>
          </cell>
          <cell r="AO356">
            <v>311.13014119091469</v>
          </cell>
          <cell r="AR356">
            <v>-250.66771363226658</v>
          </cell>
          <cell r="AY356">
            <v>18.04365</v>
          </cell>
          <cell r="BB356">
            <v>0.12675082137298999</v>
          </cell>
        </row>
        <row r="357">
          <cell r="A357" t="str">
            <v>TOO2008</v>
          </cell>
          <cell r="B357" t="str">
            <v>TWB</v>
          </cell>
          <cell r="C357" t="str">
            <v>2008 (ex. catalog/internet)</v>
          </cell>
          <cell r="D357">
            <v>16</v>
          </cell>
          <cell r="E357">
            <v>16</v>
          </cell>
          <cell r="F357">
            <v>972.13756875000013</v>
          </cell>
          <cell r="H357">
            <v>-0.12</v>
          </cell>
          <cell r="J357">
            <v>4.1685844701136723E-3</v>
          </cell>
          <cell r="L357">
            <v>98.8</v>
          </cell>
          <cell r="N357">
            <v>0.10163170643331851</v>
          </cell>
          <cell r="P357" t="e">
            <v>#DIV/0!</v>
          </cell>
          <cell r="R357">
            <v>0.5</v>
          </cell>
          <cell r="S357">
            <v>148.19999999999999</v>
          </cell>
          <cell r="U357">
            <v>0.15244755964997775</v>
          </cell>
          <cell r="Y357">
            <v>-250.66771363226658</v>
          </cell>
          <cell r="AA357">
            <v>0</v>
          </cell>
          <cell r="AC357">
            <v>878</v>
          </cell>
          <cell r="AE357">
            <v>3.6669999999999998</v>
          </cell>
          <cell r="AG357">
            <v>4176.5375854214117</v>
          </cell>
          <cell r="AH357">
            <v>0.76802675205506166</v>
          </cell>
          <cell r="AI357">
            <v>0.76802675205506166</v>
          </cell>
          <cell r="AK357">
            <v>0.16879271070615032</v>
          </cell>
          <cell r="AM357">
            <v>40.414507772020727</v>
          </cell>
          <cell r="AO357">
            <v>271.35587673847834</v>
          </cell>
          <cell r="AR357">
            <v>-173.95575495684656</v>
          </cell>
          <cell r="AY357">
            <v>22.924431249999998</v>
          </cell>
          <cell r="BB357">
            <v>0.12553713934929389</v>
          </cell>
        </row>
        <row r="358">
          <cell r="A358" t="str">
            <v>TOO2009</v>
          </cell>
          <cell r="B358" t="str">
            <v>TWB</v>
          </cell>
          <cell r="C358" t="str">
            <v>2009E (ex. catalog/internet)</v>
          </cell>
          <cell r="D358">
            <v>17</v>
          </cell>
          <cell r="E358">
            <v>17</v>
          </cell>
          <cell r="F358">
            <v>891.22543403751649</v>
          </cell>
          <cell r="H358">
            <v>-8.3892059167547842E-2</v>
          </cell>
          <cell r="J358">
            <v>3.0777196465136616E-2</v>
          </cell>
          <cell r="L358">
            <v>100.91234789232369</v>
          </cell>
          <cell r="N358">
            <v>0.11322875676377493</v>
          </cell>
          <cell r="P358" t="e">
            <v>#DIV/0!</v>
          </cell>
          <cell r="S358">
            <v>151.36852183848555</v>
          </cell>
          <cell r="U358">
            <v>0.1698431351456624</v>
          </cell>
          <cell r="Y358">
            <v>-173.95575495684656</v>
          </cell>
          <cell r="AA358">
            <v>0</v>
          </cell>
          <cell r="AC358">
            <v>901</v>
          </cell>
          <cell r="AE358">
            <v>3.7701500000000001</v>
          </cell>
          <cell r="AG358">
            <v>4184.406215316315</v>
          </cell>
          <cell r="AH358">
            <v>2.3495180442905102E-2</v>
          </cell>
          <cell r="AI358">
            <v>0</v>
          </cell>
          <cell r="AK358">
            <v>0.1680005791770095</v>
          </cell>
          <cell r="AM358">
            <v>40.149204100230904</v>
          </cell>
          <cell r="AO358">
            <v>242.77674437025487</v>
          </cell>
          <cell r="AY358">
            <v>24.079308749999996</v>
          </cell>
          <cell r="BB358">
            <v>2.8129260976274884E-2</v>
          </cell>
          <cell r="BC358">
            <v>-2.8129260976274884E-2</v>
          </cell>
        </row>
        <row r="360">
          <cell r="C360" t="str">
            <v>2000 = Trough rent</v>
          </cell>
          <cell r="F360">
            <v>536.04</v>
          </cell>
          <cell r="H360">
            <v>0.04</v>
          </cell>
          <cell r="I360">
            <v>0</v>
          </cell>
          <cell r="J360">
            <v>0.10145310435931297</v>
          </cell>
          <cell r="K360">
            <v>0</v>
          </cell>
          <cell r="L360">
            <v>39.603999999999999</v>
          </cell>
          <cell r="M360">
            <v>0</v>
          </cell>
          <cell r="N360">
            <v>7.3882546078650857E-2</v>
          </cell>
          <cell r="O360">
            <v>0</v>
          </cell>
          <cell r="P360" t="e">
            <v>#DIV/0!</v>
          </cell>
          <cell r="Q360">
            <v>0</v>
          </cell>
          <cell r="S360">
            <v>58.415119779353816</v>
          </cell>
          <cell r="T360">
            <v>0</v>
          </cell>
          <cell r="U360">
            <v>0.10897529993909749</v>
          </cell>
          <cell r="Z360">
            <v>0</v>
          </cell>
          <cell r="AB360">
            <v>0</v>
          </cell>
          <cell r="AC360">
            <v>379</v>
          </cell>
          <cell r="AD360">
            <v>0</v>
          </cell>
          <cell r="AE360">
            <v>1.5550000000000002</v>
          </cell>
          <cell r="AF360">
            <v>0</v>
          </cell>
          <cell r="AG360">
            <v>4102.9023746701851</v>
          </cell>
          <cell r="AH360">
            <v>1.1050852556033259</v>
          </cell>
          <cell r="AI360">
            <v>1.1050852556033259</v>
          </cell>
          <cell r="AJ360">
            <v>0</v>
          </cell>
          <cell r="AK360">
            <v>0.15412960363945599</v>
          </cell>
          <cell r="AL360">
            <v>0</v>
          </cell>
          <cell r="AM360">
            <v>37.565993427237174</v>
          </cell>
          <cell r="AN360">
            <v>0</v>
          </cell>
          <cell r="AO360">
            <v>341</v>
          </cell>
          <cell r="AR360">
            <v>-7.0675907894176354E-2</v>
          </cell>
          <cell r="AS360" t="str">
            <v>The y-o-y increase of $3+mm relates to the leasing of new POS terminals in 2002.</v>
          </cell>
        </row>
        <row r="362">
          <cell r="A362" t="str">
            <v>TEST2009</v>
          </cell>
          <cell r="J362">
            <v>999999</v>
          </cell>
          <cell r="N362">
            <v>-999999</v>
          </cell>
          <cell r="P362" t="str">
            <v>-</v>
          </cell>
          <cell r="U362">
            <v>-999999</v>
          </cell>
          <cell r="AI362">
            <v>0</v>
          </cell>
          <cell r="AM362">
            <v>999999</v>
          </cell>
          <cell r="AO362">
            <v>999999</v>
          </cell>
        </row>
        <row r="363">
          <cell r="A363" t="str">
            <v>TEST2010</v>
          </cell>
          <cell r="J363">
            <v>999999</v>
          </cell>
          <cell r="N363">
            <v>-999999</v>
          </cell>
          <cell r="P363" t="str">
            <v>-</v>
          </cell>
          <cell r="U363">
            <v>-999999</v>
          </cell>
          <cell r="AM363">
            <v>999999</v>
          </cell>
          <cell r="AO363">
            <v>999999</v>
          </cell>
        </row>
        <row r="364">
          <cell r="P364" t="str">
            <v>-</v>
          </cell>
          <cell r="AY364" t="str">
            <v>Direct Marketing</v>
          </cell>
          <cell r="AZ364" t="str">
            <v>Other Sales</v>
          </cell>
        </row>
        <row r="365">
          <cell r="D365">
            <v>18</v>
          </cell>
          <cell r="E365">
            <v>150</v>
          </cell>
          <cell r="F365">
            <v>2113.402</v>
          </cell>
          <cell r="G365">
            <v>2560.7339999999995</v>
          </cell>
          <cell r="L365">
            <v>188.32599999999999</v>
          </cell>
          <cell r="P365">
            <v>7.3543757375814922E-2</v>
          </cell>
          <cell r="S365">
            <v>216.57489999999999</v>
          </cell>
          <cell r="U365">
            <v>0.10247690690176312</v>
          </cell>
          <cell r="W365">
            <v>8.4575320982187147E-2</v>
          </cell>
          <cell r="AE365">
            <v>0.76850000000000007</v>
          </cell>
          <cell r="AY365">
            <v>174.078</v>
          </cell>
          <cell r="AZ365">
            <v>49.587999999999994</v>
          </cell>
        </row>
        <row r="366">
          <cell r="B366" t="str">
            <v>TIF</v>
          </cell>
          <cell r="C366" t="str">
            <v>2007 (ex. other./internet)</v>
          </cell>
          <cell r="D366">
            <v>19</v>
          </cell>
          <cell r="E366">
            <v>157</v>
          </cell>
          <cell r="F366">
            <v>2593.5160000000001</v>
          </cell>
          <cell r="G366">
            <v>2938.7709999999997</v>
          </cell>
          <cell r="H366">
            <v>7.0000000000000007E-2</v>
          </cell>
          <cell r="J366">
            <v>0.1854516735056933</v>
          </cell>
          <cell r="L366">
            <v>176.79599999999999</v>
          </cell>
          <cell r="N366">
            <v>6.8168463198222021E-2</v>
          </cell>
          <cell r="P366">
            <v>6.0159842328646913E-2</v>
          </cell>
          <cell r="R366">
            <v>0.15</v>
          </cell>
          <cell r="S366">
            <v>203.61982</v>
          </cell>
          <cell r="U366">
            <v>7.8511110014358884E-2</v>
          </cell>
          <cell r="W366">
            <v>6.9287406198033127E-2</v>
          </cell>
          <cell r="Y366">
            <v>239.6579688740423</v>
          </cell>
          <cell r="AA366">
            <v>152.8791478415402</v>
          </cell>
          <cell r="AC366">
            <v>175.5</v>
          </cell>
          <cell r="AE366">
            <v>0.82600000000000007</v>
          </cell>
          <cell r="AG366">
            <v>4673.9130434782619</v>
          </cell>
          <cell r="AH366" t="e">
            <v>#N/A</v>
          </cell>
          <cell r="AI366" t="e">
            <v>#DIV/0!</v>
          </cell>
          <cell r="AK366">
            <v>1.1602268945868945</v>
          </cell>
          <cell r="AM366">
            <v>246.51309927360774</v>
          </cell>
          <cell r="AO366">
            <v>3459.0883777239706</v>
          </cell>
          <cell r="AP366">
            <v>3557.8341404358348</v>
          </cell>
          <cell r="AQ366" t="str">
            <v>Revs excl. Other (mainly wholesale and license revenue) and Internet (2011 $234M, 2010 $229M). Rent expense incl. fees paid to department stores for use of facilities and excl. office, distrib &amp; mfg. facilities / equip.</v>
          </cell>
          <cell r="AY366">
            <v>182.12700000000001</v>
          </cell>
          <cell r="AZ366">
            <v>81.563999999999993</v>
          </cell>
          <cell r="BA366">
            <v>7.4821080026024722E-2</v>
          </cell>
          <cell r="BB366">
            <v>7.4821080026024722E-2</v>
          </cell>
        </row>
        <row r="367">
          <cell r="A367" t="str">
            <v>TIF2008</v>
          </cell>
          <cell r="B367" t="str">
            <v>TIF</v>
          </cell>
          <cell r="C367">
            <v>2008</v>
          </cell>
          <cell r="D367">
            <v>20</v>
          </cell>
          <cell r="E367">
            <v>164</v>
          </cell>
          <cell r="F367">
            <v>2593.1092699999999</v>
          </cell>
          <cell r="G367">
            <v>2848.8589999999999</v>
          </cell>
          <cell r="H367">
            <v>-0.09</v>
          </cell>
          <cell r="J367">
            <v>0.17287552665821646</v>
          </cell>
          <cell r="L367">
            <v>185.916</v>
          </cell>
          <cell r="N367">
            <v>7.1696168823614598E-2</v>
          </cell>
          <cell r="P367">
            <v>6.525981103311887E-2</v>
          </cell>
          <cell r="R367">
            <v>0.15309473095376402</v>
          </cell>
          <cell r="S367">
            <v>214.37876</v>
          </cell>
          <cell r="U367">
            <v>8.2672474500081514E-2</v>
          </cell>
          <cell r="W367">
            <v>7.5250744245327697E-2</v>
          </cell>
          <cell r="Y367">
            <v>-41.613644857226298</v>
          </cell>
          <cell r="AA367">
            <v>-59.633380472945696</v>
          </cell>
          <cell r="AC367">
            <v>195</v>
          </cell>
          <cell r="AE367">
            <v>0.89750000000000008</v>
          </cell>
          <cell r="AG367">
            <v>4538.8349514563106</v>
          </cell>
          <cell r="AH367" t="e">
            <v>#N/A</v>
          </cell>
          <cell r="AI367">
            <v>-3.1314968038155975</v>
          </cell>
          <cell r="AK367">
            <v>1.0993782564102563</v>
          </cell>
          <cell r="AM367">
            <v>238.86212813370472</v>
          </cell>
          <cell r="AO367">
            <v>3071.0841225626737</v>
          </cell>
          <cell r="AP367">
            <v>3174.2161559888577</v>
          </cell>
          <cell r="AQ367" t="str">
            <v>Store sales exclude Other (mainly wholesale and license revenue) and Internet ($260 in '12, $234M in '11). Rent expense incl. fees paid to department stores for use of facilities and excl. office, distrib &amp; mfg. facilities / equip.</v>
          </cell>
          <cell r="AR367">
            <v>-100.94140440030847</v>
          </cell>
          <cell r="AS367">
            <v>0.11111111111111116</v>
          </cell>
          <cell r="AU367">
            <v>-142.55504925753476</v>
          </cell>
          <cell r="AY367">
            <v>163.18872999999999</v>
          </cell>
          <cell r="AZ367">
            <v>92.561000000000007</v>
          </cell>
          <cell r="BA367">
            <v>8.6561743341404318E-2</v>
          </cell>
          <cell r="BB367">
            <v>8.6561743341404318E-2</v>
          </cell>
        </row>
        <row r="368">
          <cell r="A368" t="str">
            <v>TIF2009</v>
          </cell>
          <cell r="B368" t="str">
            <v>TIF</v>
          </cell>
          <cell r="C368">
            <v>2009</v>
          </cell>
          <cell r="D368">
            <v>21</v>
          </cell>
          <cell r="E368">
            <v>171</v>
          </cell>
          <cell r="F368">
            <v>2494.8095837000005</v>
          </cell>
          <cell r="G368">
            <v>2709.7300000000005</v>
          </cell>
          <cell r="H368">
            <v>-0.08</v>
          </cell>
          <cell r="J368">
            <v>0.16240584855317702</v>
          </cell>
          <cell r="L368">
            <v>197.63099999999997</v>
          </cell>
          <cell r="N368">
            <v>7.9216867407931602E-2</v>
          </cell>
          <cell r="P368">
            <v>7.2933834736302119E-2</v>
          </cell>
          <cell r="R368">
            <v>0.17104624274531832</v>
          </cell>
          <cell r="S368">
            <v>231.43503999999996</v>
          </cell>
          <cell r="U368">
            <v>9.276661494011236E-2</v>
          </cell>
          <cell r="W368">
            <v>8.5408893136954572E-2</v>
          </cell>
          <cell r="Y368">
            <v>-100.94140440030847</v>
          </cell>
          <cell r="AA368">
            <v>-101.58148891626875</v>
          </cell>
          <cell r="AC368">
            <v>213</v>
          </cell>
          <cell r="AE368">
            <v>0.95860000000000012</v>
          </cell>
          <cell r="AG368">
            <v>4464.545454545455</v>
          </cell>
          <cell r="AH368" t="e">
            <v>#N/A</v>
          </cell>
          <cell r="AI368">
            <v>0.87994420617141123</v>
          </cell>
          <cell r="AK368">
            <v>1.0865494835680749</v>
          </cell>
          <cell r="AM368">
            <v>241.4302524514917</v>
          </cell>
          <cell r="AO368">
            <v>2771.2048821197582</v>
          </cell>
          <cell r="AP368">
            <v>2826.7577717504696</v>
          </cell>
          <cell r="AR368">
            <v>25.173222495804559</v>
          </cell>
          <cell r="AS368">
            <v>9.2307692307692202E-2</v>
          </cell>
          <cell r="AU368">
            <v>-75.768181904503905</v>
          </cell>
          <cell r="AY368">
            <v>161.66741630000001</v>
          </cell>
          <cell r="AZ368">
            <v>53.253</v>
          </cell>
          <cell r="BA368">
            <v>6.8077994428969335E-2</v>
          </cell>
          <cell r="BB368">
            <v>6.8077994428969335E-2</v>
          </cell>
        </row>
        <row r="369">
          <cell r="A369" t="str">
            <v>TIF2010</v>
          </cell>
          <cell r="B369" t="str">
            <v>TIF</v>
          </cell>
          <cell r="C369">
            <v>2010</v>
          </cell>
          <cell r="D369">
            <v>22</v>
          </cell>
          <cell r="E369">
            <v>178</v>
          </cell>
          <cell r="F369">
            <v>2856.1557915349995</v>
          </cell>
          <cell r="G369">
            <v>3085.2899999999995</v>
          </cell>
          <cell r="H369">
            <v>0.08</v>
          </cell>
          <cell r="J369">
            <v>0.1984954412713229</v>
          </cell>
          <cell r="L369">
            <v>221.68899999999999</v>
          </cell>
          <cell r="N369">
            <v>7.7617964908299503E-2</v>
          </cell>
          <cell r="P369">
            <v>7.1853537268781881E-2</v>
          </cell>
          <cell r="R369">
            <v>0.16273716783421821</v>
          </cell>
          <cell r="S369">
            <v>257.76603999999998</v>
          </cell>
          <cell r="U369">
            <v>9.0249292690531904E-2</v>
          </cell>
          <cell r="W369">
            <v>8.3546778422773874E-2</v>
          </cell>
          <cell r="Y369">
            <v>25.173222495804559</v>
          </cell>
          <cell r="AA369">
            <v>18.621147141806986</v>
          </cell>
          <cell r="AC369">
            <v>226.5</v>
          </cell>
          <cell r="AE369">
            <v>1.01065</v>
          </cell>
          <cell r="AG369">
            <v>4459.6566523605152</v>
          </cell>
          <cell r="AK369">
            <v>1.1380399116997792</v>
          </cell>
          <cell r="AM369">
            <v>255.04976005540985</v>
          </cell>
          <cell r="AO369">
            <v>2999.1945777469937</v>
          </cell>
          <cell r="AP369">
            <v>3052.7779152030866</v>
          </cell>
          <cell r="AR369">
            <v>21.654484675192737</v>
          </cell>
          <cell r="AS369">
            <v>6.3380281690140761E-2</v>
          </cell>
          <cell r="AY369">
            <v>174.98020846500003</v>
          </cell>
          <cell r="AZ369">
            <v>54.154000000000003</v>
          </cell>
          <cell r="BA369">
            <v>5.4297934487794519E-2</v>
          </cell>
          <cell r="BB369">
            <v>5.4297934487794519E-2</v>
          </cell>
        </row>
        <row r="370">
          <cell r="A370" t="str">
            <v>TIF2011</v>
          </cell>
          <cell r="B370" t="str">
            <v>TIF</v>
          </cell>
          <cell r="C370">
            <v>2011</v>
          </cell>
          <cell r="D370">
            <v>23</v>
          </cell>
          <cell r="E370">
            <v>185</v>
          </cell>
          <cell r="F370">
            <v>3409.40267933425</v>
          </cell>
          <cell r="G370">
            <v>3642.9369999999999</v>
          </cell>
          <cell r="H370">
            <v>0.13678577190955957</v>
          </cell>
          <cell r="J370">
            <v>0.20619187210758799</v>
          </cell>
          <cell r="L370">
            <v>259.899</v>
          </cell>
          <cell r="N370">
            <v>7.6230068561672554E-2</v>
          </cell>
          <cell r="P370">
            <v>7.1343259573250925E-2</v>
          </cell>
          <cell r="R370">
            <v>0.1555</v>
          </cell>
          <cell r="S370">
            <v>300.31329449999998</v>
          </cell>
          <cell r="U370">
            <v>8.8083844223012631E-2</v>
          </cell>
          <cell r="W370">
            <v>8.2437136436891434E-2</v>
          </cell>
          <cell r="Y370">
            <v>21.654484675192737</v>
          </cell>
          <cell r="AA370">
            <v>11.096419858824397</v>
          </cell>
          <cell r="AC370">
            <v>240.5</v>
          </cell>
          <cell r="AE370">
            <v>1.0528999999999999</v>
          </cell>
          <cell r="AG370">
            <v>4301.2096774193542</v>
          </cell>
          <cell r="AK370">
            <v>1.2487039272349272</v>
          </cell>
          <cell r="AM370">
            <v>285.2248974261563</v>
          </cell>
          <cell r="AO370">
            <v>3411.1909962959448</v>
          </cell>
          <cell r="AP370">
            <v>3459.9078734922596</v>
          </cell>
          <cell r="AR370">
            <v>-42.725174219932079</v>
          </cell>
          <cell r="AS370">
            <v>6.1810154525386407E-2</v>
          </cell>
          <cell r="AY370">
            <v>182.24032066575</v>
          </cell>
          <cell r="AZ370">
            <v>51.293999999999997</v>
          </cell>
          <cell r="BA370">
            <v>4.1804779102557754E-2</v>
          </cell>
          <cell r="BB370">
            <v>4.1804779102557754E-2</v>
          </cell>
        </row>
        <row r="371">
          <cell r="A371" t="str">
            <v>TIF2012</v>
          </cell>
          <cell r="B371" t="str">
            <v>TIF</v>
          </cell>
          <cell r="C371">
            <v>2012</v>
          </cell>
          <cell r="D371">
            <v>24</v>
          </cell>
          <cell r="E371">
            <v>192</v>
          </cell>
          <cell r="F371">
            <v>3533.8881498960477</v>
          </cell>
          <cell r="G371">
            <v>3794.2489999999998</v>
          </cell>
          <cell r="H371">
            <v>0.01</v>
          </cell>
          <cell r="J371">
            <v>0.18381455361943019</v>
          </cell>
          <cell r="L371">
            <v>280.15199999999999</v>
          </cell>
          <cell r="N371">
            <v>7.9275853710378721E-2</v>
          </cell>
          <cell r="P371">
            <v>7.3835955415683052E-2</v>
          </cell>
          <cell r="R371">
            <v>0.1649999</v>
          </cell>
          <cell r="S371">
            <v>326.3770519848</v>
          </cell>
          <cell r="U371">
            <v>9.2356361645005838E-2</v>
          </cell>
          <cell r="W371">
            <v>8.6018880675675216E-2</v>
          </cell>
          <cell r="Y371">
            <v>-42.725174219932079</v>
          </cell>
          <cell r="AA371">
            <v>-35.817442387837822</v>
          </cell>
          <cell r="AC371">
            <v>262</v>
          </cell>
          <cell r="AE371">
            <v>1.1093500000000001</v>
          </cell>
          <cell r="AG371">
            <v>4173.913043478261</v>
          </cell>
          <cell r="AK371">
            <v>1.2457139388732825</v>
          </cell>
          <cell r="AM371">
            <v>294.20566276179744</v>
          </cell>
          <cell r="AO371">
            <v>3365.8830179294127</v>
          </cell>
          <cell r="AP371">
            <v>3420.2451886239687</v>
          </cell>
          <cell r="AR371">
            <v>-1.0906929343781901</v>
          </cell>
          <cell r="AS371">
            <v>8.9397089397089458E-2</v>
          </cell>
          <cell r="AY371">
            <v>187.58085010395183</v>
          </cell>
          <cell r="AZ371">
            <v>72.78</v>
          </cell>
          <cell r="BA371">
            <v>5.36138284737393E-2</v>
          </cell>
          <cell r="BB371">
            <v>5.0170956406116574E-2</v>
          </cell>
        </row>
        <row r="372">
          <cell r="A372" t="str">
            <v>TIF2013</v>
          </cell>
          <cell r="B372" t="str">
            <v>TIF</v>
          </cell>
          <cell r="C372" t="str">
            <v>2013e</v>
          </cell>
          <cell r="D372">
            <v>25</v>
          </cell>
          <cell r="E372">
            <v>199</v>
          </cell>
          <cell r="F372">
            <v>3740.2792243929298</v>
          </cell>
          <cell r="G372">
            <v>4031.13</v>
          </cell>
          <cell r="H372">
            <v>0.06</v>
          </cell>
          <cell r="J372">
            <v>0.1816621416837946</v>
          </cell>
          <cell r="L372">
            <v>296.86400000000003</v>
          </cell>
          <cell r="N372">
            <v>7.9369475429520345E-2</v>
          </cell>
          <cell r="P372">
            <v>7.3642874330522717E-2</v>
          </cell>
          <cell r="R372">
            <v>0.1649999</v>
          </cell>
          <cell r="S372">
            <v>345.84653031360006</v>
          </cell>
          <cell r="U372">
            <v>9.2465430938443657E-2</v>
          </cell>
          <cell r="W372">
            <v>8.5793941230771525E-2</v>
          </cell>
          <cell r="Y372">
            <v>-1.0906929343781901</v>
          </cell>
          <cell r="AA372">
            <v>2.2493944490369069</v>
          </cell>
          <cell r="AC372">
            <v>282.5</v>
          </cell>
          <cell r="AE372">
            <v>1.164825</v>
          </cell>
          <cell r="AG372">
            <v>4099.9999999999991</v>
          </cell>
          <cell r="AK372">
            <v>1.2242355055348675</v>
          </cell>
          <cell r="AM372">
            <v>296.90857451857579</v>
          </cell>
          <cell r="AO372">
            <v>3365.2222436846732</v>
          </cell>
          <cell r="AP372">
            <v>3460.7172751271651</v>
          </cell>
          <cell r="AY372">
            <v>193.20827560707039</v>
          </cell>
          <cell r="AZ372">
            <v>97.642500000000013</v>
          </cell>
          <cell r="BA372">
            <v>5.00067607157344E-2</v>
          </cell>
          <cell r="BB372">
            <v>5.3449094485518378E-2</v>
          </cell>
        </row>
        <row r="373">
          <cell r="C373" t="str">
            <v>2007 = Trough rent</v>
          </cell>
          <cell r="F373">
            <v>2593.5160000000001</v>
          </cell>
          <cell r="G373">
            <v>2938.7709999999997</v>
          </cell>
          <cell r="H373">
            <v>7.0000000000000007E-2</v>
          </cell>
          <cell r="J373">
            <v>0.1854516735056933</v>
          </cell>
          <cell r="L373">
            <v>176.79599999999999</v>
          </cell>
          <cell r="N373">
            <v>6.8168463198222021E-2</v>
          </cell>
          <cell r="P373">
            <v>6.0159842328646913E-2</v>
          </cell>
          <cell r="S373">
            <v>203.61982</v>
          </cell>
          <cell r="U373">
            <v>7.8511110014358884E-2</v>
          </cell>
          <cell r="W373">
            <v>6.9287406198033127E-2</v>
          </cell>
          <cell r="Z373">
            <v>0</v>
          </cell>
          <cell r="AB373">
            <v>0</v>
          </cell>
          <cell r="AC373">
            <v>175.5</v>
          </cell>
          <cell r="AE373">
            <v>0.82600000000000007</v>
          </cell>
          <cell r="AG373">
            <v>4673.9130434782619</v>
          </cell>
          <cell r="AH373">
            <v>2.3495180442905102E-2</v>
          </cell>
          <cell r="AI373">
            <v>2.3495180442905102E-2</v>
          </cell>
          <cell r="AK373">
            <v>1.1602268945868945</v>
          </cell>
          <cell r="AM373">
            <v>246.51309927360774</v>
          </cell>
          <cell r="AO373">
            <v>3459.0883777239706</v>
          </cell>
          <cell r="AP373">
            <v>3557.8341404358348</v>
          </cell>
        </row>
        <row r="377">
          <cell r="C377">
            <v>1998</v>
          </cell>
          <cell r="D377">
            <v>6</v>
          </cell>
          <cell r="E377">
            <v>6</v>
          </cell>
          <cell r="F377" t="e">
            <v>#N/A</v>
          </cell>
          <cell r="H377">
            <v>0.10800000000000001</v>
          </cell>
          <cell r="J377">
            <v>0.11967693517261109</v>
          </cell>
          <cell r="L377">
            <v>14.593999999999999</v>
          </cell>
          <cell r="N377" t="e">
            <v>#N/A</v>
          </cell>
          <cell r="P377" t="str">
            <v>-</v>
          </cell>
          <cell r="S377">
            <v>19.174894444444444</v>
          </cell>
          <cell r="U377" t="e">
            <v>#N/A</v>
          </cell>
          <cell r="AC377">
            <v>40.5</v>
          </cell>
          <cell r="AE377">
            <v>0.5569144421629022</v>
          </cell>
          <cell r="AG377">
            <v>12129.652173913044</v>
          </cell>
          <cell r="AH377">
            <v>0.99370991920266738</v>
          </cell>
          <cell r="AI377">
            <v>0</v>
          </cell>
          <cell r="AK377">
            <v>0.47345418381344306</v>
          </cell>
          <cell r="AM377">
            <v>34.430592911138092</v>
          </cell>
          <cell r="AO377">
            <v>365.25</v>
          </cell>
          <cell r="AY377" t="e">
            <v>#N/A</v>
          </cell>
          <cell r="AZ377">
            <v>19.934999999999999</v>
          </cell>
          <cell r="BA377" t="str">
            <v>DtC and Wholesale</v>
          </cell>
        </row>
        <row r="378">
          <cell r="C378">
            <v>1999</v>
          </cell>
          <cell r="D378">
            <v>7</v>
          </cell>
          <cell r="E378">
            <v>7</v>
          </cell>
          <cell r="F378" t="e">
            <v>#N/A</v>
          </cell>
          <cell r="H378">
            <v>0.10300000000000001</v>
          </cell>
          <cell r="J378">
            <v>0.13507099632163913</v>
          </cell>
          <cell r="L378">
            <v>19.032</v>
          </cell>
          <cell r="N378" t="e">
            <v>#N/A</v>
          </cell>
          <cell r="P378" t="str">
            <v>-</v>
          </cell>
          <cell r="S378">
            <v>25.005933333333335</v>
          </cell>
          <cell r="U378" t="e">
            <v>#N/A</v>
          </cell>
          <cell r="AC378">
            <v>51.5</v>
          </cell>
          <cell r="AE378">
            <v>0.68677449046679817</v>
          </cell>
          <cell r="AG378">
            <v>12225.520467836257</v>
          </cell>
          <cell r="AH378">
            <v>0.73702838466677978</v>
          </cell>
          <cell r="AI378">
            <v>0</v>
          </cell>
          <cell r="AK378">
            <v>0.48555210355987061</v>
          </cell>
          <cell r="AM378">
            <v>36.410690380093897</v>
          </cell>
          <cell r="AO378">
            <v>380.25</v>
          </cell>
          <cell r="AY378" t="e">
            <v>#N/A</v>
          </cell>
          <cell r="AZ378">
            <v>22.331</v>
          </cell>
        </row>
        <row r="379">
          <cell r="C379">
            <v>2000</v>
          </cell>
          <cell r="D379">
            <v>8</v>
          </cell>
          <cell r="E379">
            <v>8</v>
          </cell>
          <cell r="F379" t="e">
            <v>#N/A</v>
          </cell>
          <cell r="H379">
            <v>-7.400000000000001E-2</v>
          </cell>
          <cell r="J379">
            <v>6.0535057037310387E-2</v>
          </cell>
          <cell r="L379">
            <v>25.824000000000002</v>
          </cell>
          <cell r="N379" t="e">
            <v>#N/A</v>
          </cell>
          <cell r="P379" t="str">
            <v>-</v>
          </cell>
          <cell r="S379">
            <v>33.929866666666669</v>
          </cell>
          <cell r="U379" t="e">
            <v>#N/A</v>
          </cell>
          <cell r="AC379">
            <v>62.5</v>
          </cell>
          <cell r="AE379">
            <v>0.76973800000000003</v>
          </cell>
          <cell r="AG379">
            <v>12391.490196078432</v>
          </cell>
          <cell r="AH379">
            <v>0.87968902230656432</v>
          </cell>
          <cell r="AI379">
            <v>0</v>
          </cell>
          <cell r="AK379">
            <v>0.54287786666666671</v>
          </cell>
          <cell r="AM379">
            <v>44.079760472611028</v>
          </cell>
          <cell r="AO379">
            <v>329.25</v>
          </cell>
          <cell r="AY379" t="e">
            <v>#N/A</v>
          </cell>
          <cell r="AZ379">
            <v>20.609000000000002</v>
          </cell>
        </row>
        <row r="380">
          <cell r="C380">
            <v>2001</v>
          </cell>
          <cell r="D380">
            <v>9</v>
          </cell>
          <cell r="E380">
            <v>9</v>
          </cell>
          <cell r="F380" t="e">
            <v>#N/A</v>
          </cell>
          <cell r="H380">
            <v>2.7999999999999997E-2</v>
          </cell>
          <cell r="J380">
            <v>7.3068965319608561E-2</v>
          </cell>
          <cell r="L380">
            <v>32.92</v>
          </cell>
          <cell r="N380" t="e">
            <v>#N/A</v>
          </cell>
          <cell r="P380" t="str">
            <v>-</v>
          </cell>
          <cell r="S380">
            <v>43.253222222222227</v>
          </cell>
          <cell r="U380" t="e">
            <v>#N/A</v>
          </cell>
          <cell r="AC380">
            <v>74</v>
          </cell>
          <cell r="AE380">
            <v>0.92097733333333331</v>
          </cell>
          <cell r="AG380">
            <v>12491.666666666668</v>
          </cell>
          <cell r="AH380">
            <v>0.87183740083437633</v>
          </cell>
          <cell r="AI380">
            <v>0</v>
          </cell>
          <cell r="AK380">
            <v>0.58450300300300306</v>
          </cell>
          <cell r="AM380">
            <v>46.964480727960982</v>
          </cell>
          <cell r="AO380">
            <v>332.25</v>
          </cell>
          <cell r="AS380" t="str">
            <v>Total rentals as reported in footnote 11 includes only minimum rent, contingent rent.</v>
          </cell>
          <cell r="AY380" t="e">
            <v>#N/A</v>
          </cell>
          <cell r="AZ380">
            <v>18.266999999999999</v>
          </cell>
        </row>
        <row r="381">
          <cell r="C381">
            <v>2002</v>
          </cell>
          <cell r="D381">
            <v>10</v>
          </cell>
          <cell r="E381">
            <v>10</v>
          </cell>
          <cell r="F381" t="e">
            <v>#N/A</v>
          </cell>
          <cell r="H381">
            <v>9.0999999999999998E-2</v>
          </cell>
          <cell r="J381">
            <v>0.1073886941341773</v>
          </cell>
          <cell r="L381">
            <v>37.771999999999998</v>
          </cell>
          <cell r="N381" t="e">
            <v>#N/A</v>
          </cell>
          <cell r="P381" t="str">
            <v>-</v>
          </cell>
          <cell r="S381">
            <v>49.628211111111106</v>
          </cell>
          <cell r="U381" t="e">
            <v>#N/A</v>
          </cell>
          <cell r="AC381">
            <v>86.5</v>
          </cell>
          <cell r="AE381">
            <v>1.0671200000000001</v>
          </cell>
          <cell r="AG381">
            <v>12203.297491039424</v>
          </cell>
          <cell r="AH381">
            <v>0.54431258786780556</v>
          </cell>
          <cell r="AI381">
            <v>0</v>
          </cell>
          <cell r="AK381">
            <v>0.57373654463712265</v>
          </cell>
          <cell r="AM381">
            <v>46.506682576571613</v>
          </cell>
          <cell r="AO381">
            <v>349.28311717520052</v>
          </cell>
          <cell r="AS381" t="str">
            <v>It does not include CAM, taxes, and insurance, but it does include certain HQ lease/</v>
          </cell>
          <cell r="AY381" t="e">
            <v>#N/A</v>
          </cell>
          <cell r="AZ381">
            <v>18.28</v>
          </cell>
        </row>
        <row r="382">
          <cell r="C382">
            <v>2003</v>
          </cell>
          <cell r="D382">
            <v>11</v>
          </cell>
          <cell r="E382">
            <v>11</v>
          </cell>
          <cell r="F382" t="e">
            <v>#N/A</v>
          </cell>
          <cell r="H382">
            <v>0.13</v>
          </cell>
          <cell r="J382">
            <v>5.9454926118777132E-2</v>
          </cell>
          <cell r="L382">
            <v>44.595999999999997</v>
          </cell>
          <cell r="N382" t="e">
            <v>#N/A</v>
          </cell>
          <cell r="P382" t="str">
            <v>-</v>
          </cell>
          <cell r="S382">
            <v>58.594188888888887</v>
          </cell>
          <cell r="U382" t="e">
            <v>#N/A</v>
          </cell>
          <cell r="AC382">
            <v>103.5</v>
          </cell>
          <cell r="AE382">
            <v>1.2399133333333332</v>
          </cell>
          <cell r="AG382">
            <v>11797.543859649122</v>
          </cell>
          <cell r="AH382">
            <v>0.63552625214353453</v>
          </cell>
          <cell r="AI382">
            <v>0</v>
          </cell>
          <cell r="AK382">
            <v>0.56612742887815348</v>
          </cell>
          <cell r="AM382">
            <v>47.256681022508744</v>
          </cell>
          <cell r="AO382">
            <v>386.14392403770159</v>
          </cell>
          <cell r="AS382" t="str">
            <v>rent expense as well as other operating lease expenses. Estimate 30% for CAM, taxes,</v>
          </cell>
          <cell r="AY382" t="e">
            <v>#N/A</v>
          </cell>
          <cell r="AZ382">
            <v>18.432000000000002</v>
          </cell>
        </row>
        <row r="383">
          <cell r="C383">
            <v>2004</v>
          </cell>
          <cell r="D383">
            <v>12</v>
          </cell>
          <cell r="E383">
            <v>12</v>
          </cell>
          <cell r="F383" t="e">
            <v>#N/A</v>
          </cell>
          <cell r="H383">
            <v>0.22</v>
          </cell>
          <cell r="J383">
            <v>0.17924010872848067</v>
          </cell>
          <cell r="L383">
            <v>57.320999999999998</v>
          </cell>
          <cell r="N383" t="e">
            <v>#N/A</v>
          </cell>
          <cell r="P383" t="str">
            <v>-</v>
          </cell>
          <cell r="S383">
            <v>75.313424999999995</v>
          </cell>
          <cell r="U383" t="e">
            <v>#N/A</v>
          </cell>
          <cell r="AC383">
            <v>128</v>
          </cell>
          <cell r="AE383">
            <v>1.4948413333333335</v>
          </cell>
          <cell r="AG383">
            <v>11582.835680751175</v>
          </cell>
          <cell r="AH383">
            <v>0.58006686834613874</v>
          </cell>
          <cell r="AI383">
            <v>0</v>
          </cell>
          <cell r="AK383">
            <v>0.58838613281249996</v>
          </cell>
          <cell r="AM383">
            <v>50.382220052785975</v>
          </cell>
          <cell r="AO383">
            <v>471.61660858543729</v>
          </cell>
          <cell r="AS383" t="str">
            <v>and insurance as majority of stores are free-standing street locations.</v>
          </cell>
          <cell r="AY383" t="e">
            <v>#N/A</v>
          </cell>
          <cell r="AZ383">
            <v>28.844999999999999</v>
          </cell>
        </row>
        <row r="384">
          <cell r="A384" t="str">
            <v>URBN2005</v>
          </cell>
          <cell r="B384" t="str">
            <v>URBN</v>
          </cell>
          <cell r="C384" t="str">
            <v>2005 (retail revenue)</v>
          </cell>
          <cell r="D384">
            <v>13</v>
          </cell>
          <cell r="E384">
            <v>13</v>
          </cell>
          <cell r="F384">
            <v>1092.107</v>
          </cell>
          <cell r="G384">
            <v>1092.107</v>
          </cell>
          <cell r="H384">
            <v>0.109</v>
          </cell>
          <cell r="J384">
            <v>0.19018191440948548</v>
          </cell>
          <cell r="L384">
            <v>72</v>
          </cell>
          <cell r="N384">
            <v>6.5927605994650709E-2</v>
          </cell>
          <cell r="P384">
            <v>6.5927605994650709E-2</v>
          </cell>
          <cell r="R384">
            <v>0.31388888888888888</v>
          </cell>
          <cell r="S384">
            <v>94.6</v>
          </cell>
          <cell r="U384">
            <v>8.6621548987416072E-2</v>
          </cell>
          <cell r="W384">
            <v>8.6621548987416072E-2</v>
          </cell>
          <cell r="AC384">
            <v>158.5</v>
          </cell>
          <cell r="AE384">
            <v>1.7937146666666668</v>
          </cell>
          <cell r="AG384">
            <v>11100.952380952382</v>
          </cell>
          <cell r="AH384" t="e">
            <v>#N/A</v>
          </cell>
          <cell r="AI384" t="e">
            <v>#N/A</v>
          </cell>
          <cell r="AK384">
            <v>0.59684542586750788</v>
          </cell>
          <cell r="AM384">
            <v>52.739714826438387</v>
          </cell>
          <cell r="AO384">
            <v>503.5711737132475</v>
          </cell>
          <cell r="AP384">
            <v>608.85213255768656</v>
          </cell>
          <cell r="AQ384" t="str">
            <v>URBN revs excl. Direct &amp; Wholesale.  We estimate achieves lvg. at +3% comp (vs. +4% historically).</v>
          </cell>
          <cell r="AY384" t="e">
            <v>#N/A</v>
          </cell>
          <cell r="AZ384">
            <v>58.262999999999998</v>
          </cell>
          <cell r="BA384">
            <v>0.1999364927024585</v>
          </cell>
          <cell r="BB384">
            <v>0.1999364927024585</v>
          </cell>
        </row>
        <row r="385">
          <cell r="A385" t="str">
            <v>URBN2006</v>
          </cell>
          <cell r="B385" t="str">
            <v>URBN</v>
          </cell>
          <cell r="C385" t="str">
            <v>2006 (retail revenue)</v>
          </cell>
          <cell r="D385">
            <v>14</v>
          </cell>
          <cell r="E385">
            <v>14</v>
          </cell>
          <cell r="F385">
            <v>1140.7440000000001</v>
          </cell>
          <cell r="G385">
            <v>1224.7170000000001</v>
          </cell>
          <cell r="H385">
            <v>-6.2E-2</v>
          </cell>
          <cell r="J385">
            <v>0.13389950494685726</v>
          </cell>
          <cell r="L385">
            <v>84.9</v>
          </cell>
          <cell r="N385">
            <v>7.4425112032147439E-2</v>
          </cell>
          <cell r="P385">
            <v>6.932213727742817E-2</v>
          </cell>
          <cell r="R385">
            <v>0.36749116607773846</v>
          </cell>
          <cell r="S385">
            <v>116.1</v>
          </cell>
          <cell r="U385">
            <v>0.10177568323830762</v>
          </cell>
          <cell r="W385">
            <v>9.4797410340511312E-2</v>
          </cell>
          <cell r="Y385">
            <v>-151.54134250891542</v>
          </cell>
          <cell r="AA385">
            <v>-81.758613530952402</v>
          </cell>
          <cell r="AC385">
            <v>191</v>
          </cell>
          <cell r="AE385">
            <v>2.1286666666666667</v>
          </cell>
          <cell r="AG385">
            <v>11181.964573268919</v>
          </cell>
          <cell r="AH385" t="e">
            <v>#N/A</v>
          </cell>
          <cell r="AI385">
            <v>0.57050985289671607</v>
          </cell>
          <cell r="AK385">
            <v>0.60785340314136127</v>
          </cell>
          <cell r="AM385">
            <v>54.541183839649229</v>
          </cell>
          <cell r="AO385">
            <v>463.68556216724085</v>
          </cell>
          <cell r="AP385">
            <v>575.34466019417482</v>
          </cell>
          <cell r="AR385" t="str">
            <v>LVG</v>
          </cell>
          <cell r="AZ385">
            <v>83.972999999999999</v>
          </cell>
          <cell r="BA385">
            <v>0.18673650064001257</v>
          </cell>
          <cell r="BB385">
            <v>0.18673650064001257</v>
          </cell>
        </row>
        <row r="386">
          <cell r="A386" t="str">
            <v>URBN2007</v>
          </cell>
          <cell r="B386" t="str">
            <v>URBN</v>
          </cell>
          <cell r="C386" t="str">
            <v>2007 (retail revenue)</v>
          </cell>
          <cell r="D386">
            <v>15</v>
          </cell>
          <cell r="E386">
            <v>15</v>
          </cell>
          <cell r="F386">
            <v>1413.252</v>
          </cell>
          <cell r="G386">
            <v>1507.7239999999999</v>
          </cell>
          <cell r="H386">
            <v>6.1240545094416121E-2</v>
          </cell>
          <cell r="I386">
            <v>1507.7239999999999</v>
          </cell>
          <cell r="J386">
            <v>0.14919507814427571</v>
          </cell>
          <cell r="L386">
            <v>100</v>
          </cell>
          <cell r="N386">
            <v>7.075878894917538E-2</v>
          </cell>
          <cell r="P386">
            <v>6.6325136430805648E-2</v>
          </cell>
          <cell r="R386">
            <v>0.38900000000000001</v>
          </cell>
          <cell r="S386">
            <v>138.9</v>
          </cell>
          <cell r="U386">
            <v>9.8283957850404613E-2</v>
          </cell>
          <cell r="W386">
            <v>9.2125614502389042E-2</v>
          </cell>
          <cell r="Y386">
            <v>34.917253879030028</v>
          </cell>
          <cell r="AA386">
            <v>26.717958381222708</v>
          </cell>
          <cell r="AC386">
            <v>226</v>
          </cell>
          <cell r="AE386">
            <v>2.5003513333333331</v>
          </cell>
          <cell r="AG386">
            <v>10963.41224489796</v>
          </cell>
          <cell r="AH386" t="e">
            <v>#N/A</v>
          </cell>
          <cell r="AI386">
            <v>1.1072278735327175</v>
          </cell>
          <cell r="AK386">
            <v>0.6146017699115045</v>
          </cell>
          <cell r="AM386">
            <v>55.552193065134588</v>
          </cell>
          <cell r="AO386">
            <v>477.13614646688325</v>
          </cell>
          <cell r="AP386">
            <v>603.00485771732883</v>
          </cell>
          <cell r="AQ386" t="str">
            <v xml:space="preserve">URBN revenues exclude Internet &amp; Wholesale (2011 $638M, 2010 $554M).  </v>
          </cell>
          <cell r="AR386">
            <v>70.721806877925005</v>
          </cell>
          <cell r="AZ386">
            <v>94.471999999999994</v>
          </cell>
          <cell r="BA386">
            <v>0.1746091450046976</v>
          </cell>
          <cell r="BB386">
            <v>0.16044182027649789</v>
          </cell>
        </row>
        <row r="387">
          <cell r="A387" t="str">
            <v>URBN2008</v>
          </cell>
          <cell r="B387" t="str">
            <v>URBN</v>
          </cell>
          <cell r="C387">
            <v>2008</v>
          </cell>
          <cell r="D387">
            <v>16</v>
          </cell>
          <cell r="E387">
            <v>16</v>
          </cell>
          <cell r="F387">
            <v>1724.558</v>
          </cell>
          <cell r="G387">
            <v>1834.6179999999999</v>
          </cell>
          <cell r="H387">
            <v>7.8E-2</v>
          </cell>
          <cell r="I387">
            <v>1834.6179999999999</v>
          </cell>
          <cell r="J387">
            <v>0.16321381344781302</v>
          </cell>
          <cell r="L387">
            <v>114.9</v>
          </cell>
          <cell r="N387">
            <v>6.6625767298055499E-2</v>
          </cell>
          <cell r="P387">
            <v>6.2628841535404101E-2</v>
          </cell>
          <cell r="R387">
            <v>0.36901653611836394</v>
          </cell>
          <cell r="S387">
            <v>157.30000000000001</v>
          </cell>
          <cell r="U387">
            <v>9.1211777162612112E-2</v>
          </cell>
          <cell r="W387">
            <v>8.573991969990484E-2</v>
          </cell>
          <cell r="Y387">
            <v>70.721806877925005</v>
          </cell>
          <cell r="AA387">
            <v>63.856948024842012</v>
          </cell>
          <cell r="AC387">
            <v>269.5</v>
          </cell>
          <cell r="AE387">
            <v>2.8666320000000001</v>
          </cell>
          <cell r="AG387">
            <v>10364.721088435374</v>
          </cell>
          <cell r="AH387" t="e">
            <v>#N/A</v>
          </cell>
          <cell r="AI387">
            <v>1.0580506015968159</v>
          </cell>
          <cell r="AK387">
            <v>0.58367346938775511</v>
          </cell>
          <cell r="AM387">
            <v>54.8727566007775</v>
          </cell>
          <cell r="AO387">
            <v>497.11229066025908</v>
          </cell>
          <cell r="AP387">
            <v>639.99076267899045</v>
          </cell>
          <cell r="AQ387" t="str">
            <v xml:space="preserve">Store sales exclude Wholesale ($149M in '12, $133M in '11) and Estimated Online Sales ($886M in '12, $654M in '11)  </v>
          </cell>
          <cell r="AR387">
            <v>-55.307693258897508</v>
          </cell>
          <cell r="AS387">
            <v>0.19247787610619471</v>
          </cell>
          <cell r="AU387">
            <v>15.414113619027496</v>
          </cell>
          <cell r="AZ387">
            <v>110.06</v>
          </cell>
          <cell r="BA387">
            <v>0.14649167970261256</v>
          </cell>
          <cell r="BB387">
            <v>0.13447027515640153</v>
          </cell>
        </row>
        <row r="388">
          <cell r="A388" t="str">
            <v>URBN2009</v>
          </cell>
          <cell r="B388" t="str">
            <v>URBN</v>
          </cell>
          <cell r="C388">
            <v>2009</v>
          </cell>
          <cell r="D388">
            <v>17</v>
          </cell>
          <cell r="E388">
            <v>17</v>
          </cell>
          <cell r="F388">
            <v>1833.7330000000002</v>
          </cell>
          <cell r="G388">
            <v>1937.8150000000001</v>
          </cell>
          <cell r="H388">
            <v>-2.6000000000000002E-2</v>
          </cell>
          <cell r="I388">
            <v>1937.8150000000001</v>
          </cell>
          <cell r="J388">
            <v>0.17493104346906177</v>
          </cell>
          <cell r="L388">
            <v>128.97800000000001</v>
          </cell>
          <cell r="N388">
            <v>7.0336303049571558E-2</v>
          </cell>
          <cell r="P388">
            <v>6.6558469203716566E-2</v>
          </cell>
          <cell r="R388">
            <v>0.37542836762858767</v>
          </cell>
          <cell r="S388">
            <v>177.4</v>
          </cell>
          <cell r="U388">
            <v>9.6742546488501863E-2</v>
          </cell>
          <cell r="W388">
            <v>9.1546406648725501E-2</v>
          </cell>
          <cell r="Y388">
            <v>-55.307693258897508</v>
          </cell>
          <cell r="AA388">
            <v>-58.064869488206604</v>
          </cell>
          <cell r="AC388">
            <v>310.5</v>
          </cell>
          <cell r="AE388">
            <v>3.196711333333333</v>
          </cell>
          <cell r="AG388">
            <v>10233.01121304791</v>
          </cell>
          <cell r="AH388" t="e">
            <v>#N/A</v>
          </cell>
          <cell r="AI388">
            <v>0</v>
          </cell>
          <cell r="AK388">
            <v>0.57133655394524963</v>
          </cell>
          <cell r="AM388">
            <v>55.494532193189386</v>
          </cell>
          <cell r="AO388">
            <v>472.35857184060205</v>
          </cell>
          <cell r="AP388">
            <v>606.19017419360364</v>
          </cell>
          <cell r="AR388">
            <v>11.078356184553718</v>
          </cell>
          <cell r="AS388">
            <v>0.15213358070500926</v>
          </cell>
          <cell r="AU388">
            <v>-44.229337074343789</v>
          </cell>
          <cell r="AZ388">
            <v>104.08199999999999</v>
          </cell>
          <cell r="BA388">
            <v>0.11514534594371817</v>
          </cell>
          <cell r="BB388">
            <v>9.8111026371071164E-2</v>
          </cell>
          <cell r="BC388">
            <v>1.7034319572647005E-2</v>
          </cell>
        </row>
        <row r="389">
          <cell r="A389" t="str">
            <v>URBN2010</v>
          </cell>
          <cell r="B389" t="str">
            <v>URBN</v>
          </cell>
          <cell r="C389">
            <v>2010</v>
          </cell>
          <cell r="D389">
            <v>18</v>
          </cell>
          <cell r="E389">
            <v>18</v>
          </cell>
          <cell r="F389">
            <v>2153.7919999999999</v>
          </cell>
          <cell r="G389">
            <v>2274.1019999999999</v>
          </cell>
          <cell r="H389">
            <v>8.6694387741127713E-2</v>
          </cell>
          <cell r="I389">
            <v>2274.1019999999999</v>
          </cell>
          <cell r="J389">
            <v>0.18213914767235589</v>
          </cell>
          <cell r="L389">
            <v>149.75500000000002</v>
          </cell>
          <cell r="N389">
            <v>6.9530855347220172E-2</v>
          </cell>
          <cell r="P389">
            <v>6.5852367220115907E-2</v>
          </cell>
          <cell r="R389">
            <v>0.37542836762858767</v>
          </cell>
          <cell r="S389">
            <v>205.97727519421917</v>
          </cell>
          <cell r="U389">
            <v>9.5634710870046491E-2</v>
          </cell>
          <cell r="W389">
            <v>9.0575213950042338E-2</v>
          </cell>
          <cell r="Y389">
            <v>11.078356184553718</v>
          </cell>
          <cell r="AA389">
            <v>9.7119269868316263</v>
          </cell>
          <cell r="AC389">
            <v>349.5</v>
          </cell>
          <cell r="AE389">
            <v>3.541557333333333</v>
          </cell>
          <cell r="AG389">
            <v>10045.483870967742</v>
          </cell>
          <cell r="AH389" t="e">
            <v>#N/A</v>
          </cell>
          <cell r="AI389" t="e">
            <v>#REF!</v>
          </cell>
          <cell r="AK389">
            <v>0.58934842687902478</v>
          </cell>
          <cell r="AM389">
            <v>58.160084902635823</v>
          </cell>
          <cell r="AO389">
            <v>488.62877065757885</v>
          </cell>
          <cell r="AP389">
            <v>642.11921083304969</v>
          </cell>
          <cell r="AR389">
            <v>-46.246370264364927</v>
          </cell>
          <cell r="AS389">
            <v>0.12560386473429941</v>
          </cell>
          <cell r="AZ389">
            <v>120.31</v>
          </cell>
          <cell r="BA389">
            <v>0.10787523928237075</v>
          </cell>
          <cell r="BB389">
            <v>0.11676706595272801</v>
          </cell>
        </row>
        <row r="390">
          <cell r="A390" t="str">
            <v>URBN2011</v>
          </cell>
          <cell r="B390" t="str">
            <v>URBN</v>
          </cell>
          <cell r="C390">
            <v>2011</v>
          </cell>
          <cell r="D390">
            <v>19</v>
          </cell>
          <cell r="E390">
            <v>19</v>
          </cell>
          <cell r="F390">
            <v>2340.7940000000003</v>
          </cell>
          <cell r="G390">
            <v>2473.8010000000004</v>
          </cell>
          <cell r="H390">
            <v>0</v>
          </cell>
          <cell r="I390">
            <v>2473.8010000000004</v>
          </cell>
          <cell r="J390">
            <v>0.11509616173653441</v>
          </cell>
          <cell r="L390">
            <v>171.304</v>
          </cell>
          <cell r="N390">
            <v>7.3182005763856181E-2</v>
          </cell>
          <cell r="P390">
            <v>6.9247283835684431E-2</v>
          </cell>
          <cell r="R390">
            <v>0.37</v>
          </cell>
          <cell r="S390">
            <v>234.68648000000002</v>
          </cell>
          <cell r="U390">
            <v>0.10025934789648298</v>
          </cell>
          <cell r="W390">
            <v>9.4868778854887675E-2</v>
          </cell>
          <cell r="Y390">
            <v>-46.246370264364927</v>
          </cell>
          <cell r="AA390">
            <v>-42.935649048453371</v>
          </cell>
          <cell r="AC390">
            <v>400.5</v>
          </cell>
          <cell r="AE390">
            <v>3.9141679999999996</v>
          </cell>
          <cell r="AG390">
            <v>9537.1002331002328</v>
          </cell>
          <cell r="AH390" t="e">
            <v>#N/A</v>
          </cell>
          <cell r="AI390" t="e">
            <v>#REF!</v>
          </cell>
          <cell r="AK390">
            <v>0.58598372034956314</v>
          </cell>
          <cell r="AM390">
            <v>59.958203122604864</v>
          </cell>
          <cell r="AO390">
            <v>598.03105027684057</v>
          </cell>
          <cell r="AP390">
            <v>632.01196269552065</v>
          </cell>
          <cell r="AR390">
            <v>4.4591290613427148</v>
          </cell>
          <cell r="AS390">
            <v>0.14592274678111594</v>
          </cell>
          <cell r="AY390">
            <v>0</v>
          </cell>
          <cell r="AZ390">
            <v>133.00700000000001</v>
          </cell>
          <cell r="BA390">
            <v>0.10521096557145482</v>
          </cell>
          <cell r="BB390">
            <v>9.4863149331535057E-2</v>
          </cell>
        </row>
        <row r="391">
          <cell r="A391" t="str">
            <v>URBN2012</v>
          </cell>
          <cell r="B391" t="str">
            <v>URBN</v>
          </cell>
          <cell r="C391">
            <v>2012</v>
          </cell>
          <cell r="D391">
            <v>20</v>
          </cell>
          <cell r="E391">
            <v>20</v>
          </cell>
          <cell r="F391">
            <v>2646.2840000000001</v>
          </cell>
          <cell r="G391">
            <v>2794.9250000000002</v>
          </cell>
          <cell r="H391">
            <v>7.0000000000000007E-2</v>
          </cell>
          <cell r="I391">
            <v>2794.9250000000002</v>
          </cell>
          <cell r="J391">
            <v>0.13391593692138434</v>
          </cell>
          <cell r="L391">
            <v>192.518</v>
          </cell>
          <cell r="N391">
            <v>7.2750317048359131E-2</v>
          </cell>
          <cell r="P391">
            <v>6.8881275883968265E-2</v>
          </cell>
          <cell r="R391">
            <v>0.372</v>
          </cell>
          <cell r="S391">
            <v>264.13469599999996</v>
          </cell>
          <cell r="U391">
            <v>9.9813434990348712E-2</v>
          </cell>
          <cell r="W391">
            <v>9.4505110512804441E-2</v>
          </cell>
          <cell r="Y391">
            <v>4.4591290613427148</v>
          </cell>
          <cell r="AA391">
            <v>3.6366834208323429</v>
          </cell>
          <cell r="AC391">
            <v>452.5</v>
          </cell>
          <cell r="AE391">
            <v>4.2913493333333328</v>
          </cell>
          <cell r="AG391">
            <v>9435.4677871148433</v>
          </cell>
          <cell r="AH391" t="e">
            <v>#N/A</v>
          </cell>
          <cell r="AI391" t="e">
            <v>#REF!</v>
          </cell>
          <cell r="AK391">
            <v>0.58372308508287285</v>
          </cell>
          <cell r="AM391">
            <v>61.550499734038588</v>
          </cell>
          <cell r="AO391">
            <v>616.65546066008153</v>
          </cell>
          <cell r="AP391">
            <v>651.29281792331381</v>
          </cell>
          <cell r="AR391">
            <v>1.5486989781805793</v>
          </cell>
          <cell r="AS391">
            <v>0.12983770287141083</v>
          </cell>
          <cell r="AY391">
            <v>0</v>
          </cell>
          <cell r="AZ391">
            <v>148.64099999999999</v>
          </cell>
          <cell r="BA391">
            <v>9.6363092573781506E-2</v>
          </cell>
          <cell r="BB391">
            <v>0.1025235924840362</v>
          </cell>
        </row>
        <row r="392">
          <cell r="A392" t="str">
            <v>URBN2013</v>
          </cell>
          <cell r="B392" t="str">
            <v>URBN</v>
          </cell>
          <cell r="C392" t="str">
            <v>2013e</v>
          </cell>
          <cell r="D392">
            <v>21</v>
          </cell>
          <cell r="E392">
            <v>21</v>
          </cell>
          <cell r="F392">
            <v>2908.982</v>
          </cell>
          <cell r="G392">
            <v>3086.64446</v>
          </cell>
          <cell r="H392">
            <v>6.1944861640197184E-2</v>
          </cell>
          <cell r="I392">
            <v>3086.64446</v>
          </cell>
          <cell r="J392">
            <v>0.13829498846783278</v>
          </cell>
          <cell r="L392">
            <v>211.30099999999999</v>
          </cell>
          <cell r="N392">
            <v>7.2637438114089389E-2</v>
          </cell>
          <cell r="P392">
            <v>6.8456540018865655E-2</v>
          </cell>
          <cell r="R392">
            <v>0.372</v>
          </cell>
          <cell r="S392">
            <v>289.90497199999999</v>
          </cell>
          <cell r="U392">
            <v>9.9658565092530654E-2</v>
          </cell>
          <cell r="W392">
            <v>9.3922372905883691E-2</v>
          </cell>
          <cell r="Y392">
            <v>1.5486989781805793</v>
          </cell>
          <cell r="AA392">
            <v>5.8273760692074958</v>
          </cell>
          <cell r="AC392">
            <v>493.5</v>
          </cell>
          <cell r="AE392">
            <v>4.6583493333333319</v>
          </cell>
          <cell r="AG392">
            <v>9443.0841487279831</v>
          </cell>
          <cell r="AH392" t="e">
            <v>#N/A</v>
          </cell>
          <cell r="AI392" t="e">
            <v>#REF!</v>
          </cell>
          <cell r="AK392">
            <v>0.58744675177304961</v>
          </cell>
          <cell r="AM392">
            <v>62.23341172066101</v>
          </cell>
          <cell r="AO392">
            <v>624.46626301390893</v>
          </cell>
          <cell r="AP392">
            <v>662.60476386199196</v>
          </cell>
          <cell r="AY392">
            <v>0</v>
          </cell>
          <cell r="AZ392">
            <v>177.66246000000001</v>
          </cell>
          <cell r="BA392">
            <v>8.5520886670610308E-2</v>
          </cell>
          <cell r="BB392">
            <v>7.0821320409722999E-2</v>
          </cell>
        </row>
        <row r="393">
          <cell r="C393" t="str">
            <v>2008 = Trough rent</v>
          </cell>
          <cell r="F393">
            <v>1724.558</v>
          </cell>
          <cell r="G393">
            <v>1834.6179999999999</v>
          </cell>
          <cell r="H393">
            <v>7.8E-2</v>
          </cell>
          <cell r="J393">
            <v>0.16321381344781302</v>
          </cell>
          <cell r="L393">
            <v>114.9</v>
          </cell>
          <cell r="N393">
            <v>6.6625767298055499E-2</v>
          </cell>
          <cell r="P393">
            <v>6.2628841535404101E-2</v>
          </cell>
          <cell r="S393">
            <v>157.30000000000001</v>
          </cell>
          <cell r="U393">
            <v>9.1211777162612112E-2</v>
          </cell>
          <cell r="W393">
            <v>8.573991969990484E-2</v>
          </cell>
          <cell r="Z393">
            <v>0</v>
          </cell>
          <cell r="AB393">
            <v>0</v>
          </cell>
          <cell r="AC393">
            <v>269.5</v>
          </cell>
          <cell r="AE393">
            <v>2.8666320000000001</v>
          </cell>
          <cell r="AG393">
            <v>10364.721088435374</v>
          </cell>
          <cell r="AH393">
            <v>0.73702838466677978</v>
          </cell>
          <cell r="AI393">
            <v>0.73702838466677978</v>
          </cell>
          <cell r="AK393">
            <v>0.58367346938775511</v>
          </cell>
          <cell r="AM393">
            <v>54.8727566007775</v>
          </cell>
          <cell r="AO393">
            <v>497.11229066025908</v>
          </cell>
          <cell r="AP393">
            <v>639.99076267899045</v>
          </cell>
          <cell r="AR393">
            <v>1.1717230021248748E-2</v>
          </cell>
          <cell r="AT393" t="str">
            <v>Adjusted Rent Expense Increase Assumption</v>
          </cell>
        </row>
        <row r="395">
          <cell r="C395" t="str">
            <v>Specialty Apparel Equal Weighted Average</v>
          </cell>
          <cell r="AE395" t="str">
            <v>% Change</v>
          </cell>
          <cell r="BA395">
            <v>0.39662788717019842</v>
          </cell>
        </row>
        <row r="396">
          <cell r="C396">
            <v>2001</v>
          </cell>
          <cell r="J396">
            <v>0.11208098869909278</v>
          </cell>
          <cell r="BA396">
            <v>0.22245259021816288</v>
          </cell>
        </row>
        <row r="397">
          <cell r="C397">
            <v>2002</v>
          </cell>
          <cell r="J397">
            <v>0.11493908586248529</v>
          </cell>
          <cell r="BA397">
            <v>8.616130388328859E-2</v>
          </cell>
        </row>
        <row r="398">
          <cell r="C398">
            <v>2003</v>
          </cell>
          <cell r="J398">
            <v>0.12835284026103502</v>
          </cell>
          <cell r="BA398">
            <v>-3.2457052286478806E-2</v>
          </cell>
        </row>
        <row r="399">
          <cell r="C399">
            <v>2004</v>
          </cell>
          <cell r="J399">
            <v>0.15615619290526289</v>
          </cell>
          <cell r="BA399">
            <v>-1.2606605522925778</v>
          </cell>
        </row>
        <row r="400">
          <cell r="C400">
            <v>2005</v>
          </cell>
          <cell r="J400" t="e">
            <v>#N/A</v>
          </cell>
          <cell r="BA400">
            <v>0.19916611186563671</v>
          </cell>
        </row>
        <row r="401">
          <cell r="C401">
            <v>2006</v>
          </cell>
          <cell r="J401" t="e">
            <v>#N/A</v>
          </cell>
          <cell r="BA401">
            <v>0.22555900713188998</v>
          </cell>
        </row>
        <row r="402">
          <cell r="C402">
            <v>2007</v>
          </cell>
          <cell r="J402" t="e">
            <v>#N/A</v>
          </cell>
          <cell r="BA402">
            <v>0.11621597601104482</v>
          </cell>
        </row>
        <row r="403">
          <cell r="C403">
            <v>2008</v>
          </cell>
          <cell r="H403" t="e">
            <v>#N/A</v>
          </cell>
          <cell r="J403" t="e">
            <v>#N/A</v>
          </cell>
          <cell r="R403">
            <v>0.32002632382887547</v>
          </cell>
          <cell r="U403">
            <v>0.10174705886603579</v>
          </cell>
          <cell r="W403">
            <v>8.968555271449323E-2</v>
          </cell>
          <cell r="Y403">
            <v>-71.432465230432186</v>
          </cell>
          <cell r="AA403">
            <v>-40.732660827391754</v>
          </cell>
          <cell r="AE403">
            <v>5.7479811541754376E-2</v>
          </cell>
          <cell r="AH403" t="e">
            <v>#N/A</v>
          </cell>
          <cell r="AI403" t="e">
            <v>#N/A</v>
          </cell>
          <cell r="AK403">
            <v>212.4674144829512</v>
          </cell>
          <cell r="AM403">
            <v>87.283360775547848</v>
          </cell>
          <cell r="AO403" t="e">
            <v>#N/A</v>
          </cell>
          <cell r="BA403">
            <v>5.7479811541754376E-2</v>
          </cell>
        </row>
        <row r="404">
          <cell r="C404">
            <v>2009</v>
          </cell>
          <cell r="H404" t="e">
            <v>#N/A</v>
          </cell>
          <cell r="J404" t="e">
            <v>#N/A</v>
          </cell>
          <cell r="R404">
            <v>0.30699868406763137</v>
          </cell>
          <cell r="U404">
            <v>0.11359812594031778</v>
          </cell>
          <cell r="W404">
            <v>0.10338406724674366</v>
          </cell>
          <cell r="Y404">
            <v>-40.617581645198847</v>
          </cell>
          <cell r="AA404">
            <v>-136.98514532250448</v>
          </cell>
          <cell r="AE404">
            <v>-6.5792847207363225E-3</v>
          </cell>
          <cell r="AH404" t="e">
            <v>#N/A</v>
          </cell>
          <cell r="AI404">
            <v>0</v>
          </cell>
          <cell r="AK404">
            <v>428.13432047114111</v>
          </cell>
          <cell r="AM404">
            <v>2295.4321268394224</v>
          </cell>
          <cell r="AO404" t="e">
            <v>#N/A</v>
          </cell>
          <cell r="BA404">
            <v>-6.5792847207363225E-3</v>
          </cell>
        </row>
        <row r="405">
          <cell r="C405">
            <v>2010</v>
          </cell>
          <cell r="H405" t="e">
            <v>#N/A</v>
          </cell>
          <cell r="J405" t="e">
            <v>#N/A</v>
          </cell>
          <cell r="R405">
            <v>0.30710949973637358</v>
          </cell>
          <cell r="U405">
            <v>0.11129598145917331</v>
          </cell>
          <cell r="W405">
            <v>0.1004915679193944</v>
          </cell>
          <cell r="Y405">
            <v>23.021444811444955</v>
          </cell>
          <cell r="AA405">
            <v>28.924993273492696</v>
          </cell>
          <cell r="AE405">
            <v>-0.13815132685945378</v>
          </cell>
          <cell r="AH405" t="e">
            <v>#N/A</v>
          </cell>
          <cell r="AI405" t="e">
            <v>#REF!</v>
          </cell>
          <cell r="AK405">
            <v>-2611.8561713304457</v>
          </cell>
          <cell r="AM405">
            <v>4507.0405961726337</v>
          </cell>
          <cell r="AO405" t="e">
            <v>#N/A</v>
          </cell>
          <cell r="BA405">
            <v>-0.13815132685945378</v>
          </cell>
        </row>
        <row r="406">
          <cell r="C406">
            <v>2011</v>
          </cell>
          <cell r="H406" t="e">
            <v>#N/A</v>
          </cell>
          <cell r="J406" t="e">
            <v>#N/A</v>
          </cell>
          <cell r="R406">
            <v>0.30362880070769149</v>
          </cell>
          <cell r="U406">
            <v>0.10435886931351149</v>
          </cell>
          <cell r="W406">
            <v>9.3452680198482116E-2</v>
          </cell>
          <cell r="Y406">
            <v>69.371121456618297</v>
          </cell>
          <cell r="AA406">
            <v>70.388877209122569</v>
          </cell>
          <cell r="AE406">
            <v>0.10903117814506871</v>
          </cell>
          <cell r="AH406" t="e">
            <v>#N/A</v>
          </cell>
          <cell r="AI406" t="e">
            <v>#REF!</v>
          </cell>
          <cell r="AK406">
            <v>-1707.7007330879028</v>
          </cell>
          <cell r="AM406">
            <v>11596.610392115939</v>
          </cell>
          <cell r="AO406" t="e">
            <v>#N/A</v>
          </cell>
          <cell r="BA406">
            <v>0.10903117814506871</v>
          </cell>
        </row>
        <row r="407">
          <cell r="C407">
            <v>2012</v>
          </cell>
          <cell r="H407" t="e">
            <v>#N/A</v>
          </cell>
          <cell r="J407" t="e">
            <v>#N/A</v>
          </cell>
          <cell r="R407">
            <v>0.30215289310567967</v>
          </cell>
          <cell r="U407">
            <v>9.9338687180367077E-2</v>
          </cell>
          <cell r="W407">
            <v>8.7041949064867494E-2</v>
          </cell>
          <cell r="Y407">
            <v>50.201821331443931</v>
          </cell>
          <cell r="AA407">
            <v>64.10731133614658</v>
          </cell>
          <cell r="AE407">
            <v>-4.4820308707260781E-2</v>
          </cell>
          <cell r="AH407" t="e">
            <v>#N/A</v>
          </cell>
          <cell r="AI407" t="e">
            <v>#REF!</v>
          </cell>
          <cell r="AK407">
            <v>-1766.9572039527209</v>
          </cell>
          <cell r="AM407">
            <v>57281.206037108052</v>
          </cell>
          <cell r="AO407" t="e">
            <v>#N/A</v>
          </cell>
          <cell r="BA407">
            <v>-4.4820308707260781E-2</v>
          </cell>
        </row>
        <row r="408">
          <cell r="C408" t="str">
            <v>2013e</v>
          </cell>
          <cell r="H408" t="e">
            <v>#N/A</v>
          </cell>
          <cell r="J408" t="e">
            <v>#N/A</v>
          </cell>
          <cell r="R408">
            <v>0.30072995219790838</v>
          </cell>
          <cell r="U408">
            <v>0.11050849345007722</v>
          </cell>
          <cell r="W408">
            <v>9.6845632107346397E-2</v>
          </cell>
          <cell r="Y408">
            <v>-135.86328613969661</v>
          </cell>
          <cell r="AA408">
            <v>-98.036830424788974</v>
          </cell>
          <cell r="AE408">
            <v>-3.7754338492539596</v>
          </cell>
          <cell r="AH408" t="e">
            <v>#N/A</v>
          </cell>
          <cell r="AI408" t="e">
            <v>#REF!</v>
          </cell>
          <cell r="AK408">
            <v>-3952.3958140734421</v>
          </cell>
          <cell r="AM408">
            <v>78206.160276811555</v>
          </cell>
          <cell r="BA408">
            <v>-3.7754338492539596</v>
          </cell>
        </row>
        <row r="409">
          <cell r="C409" t="str">
            <v>Trough rent year</v>
          </cell>
          <cell r="H409" t="e">
            <v>#N/A</v>
          </cell>
          <cell r="J409" t="e">
            <v>#N/A</v>
          </cell>
          <cell r="U409">
            <v>7.5582899420304051E-2</v>
          </cell>
          <cell r="W409">
            <v>6.817431274718723E-2</v>
          </cell>
          <cell r="AH409" t="e">
            <v>#N/A</v>
          </cell>
          <cell r="AI409" t="e">
            <v>#N/A</v>
          </cell>
          <cell r="AK409">
            <v>433.7700038282905</v>
          </cell>
          <cell r="AM409">
            <v>78792.11454990592</v>
          </cell>
          <cell r="AO409" t="e">
            <v>#N/A</v>
          </cell>
        </row>
        <row r="411">
          <cell r="C411" t="str">
            <v>Specialty Apparel Equal Weighted Average (Excluding COH, KORS, LULU &amp; TIF)</v>
          </cell>
        </row>
        <row r="412">
          <cell r="C412">
            <v>2005</v>
          </cell>
          <cell r="AH412" t="e">
            <v>#N/A</v>
          </cell>
          <cell r="AI412" t="e">
            <v>#N/A</v>
          </cell>
        </row>
        <row r="413">
          <cell r="C413">
            <v>2006</v>
          </cell>
          <cell r="AH413" t="e">
            <v>#N/A</v>
          </cell>
          <cell r="AI413" t="e">
            <v>#N/A</v>
          </cell>
        </row>
        <row r="414">
          <cell r="C414">
            <v>2007</v>
          </cell>
          <cell r="AH414" t="e">
            <v>#N/A</v>
          </cell>
          <cell r="AI414" t="e">
            <v>#N/A</v>
          </cell>
        </row>
        <row r="415">
          <cell r="C415">
            <v>2008</v>
          </cell>
          <cell r="H415" t="e">
            <v>#N/A</v>
          </cell>
          <cell r="J415">
            <v>6.6291262469165002E-2</v>
          </cell>
          <cell r="R415">
            <v>0.38657034569549931</v>
          </cell>
          <cell r="U415">
            <v>0.10752151299316615</v>
          </cell>
          <cell r="W415">
            <v>9.7180922503353875E-2</v>
          </cell>
          <cell r="Y415">
            <v>-75.167750089324997</v>
          </cell>
          <cell r="AA415">
            <v>-29.41607297675889</v>
          </cell>
          <cell r="AE415">
            <v>-2.0021055277190104E-2</v>
          </cell>
          <cell r="AH415" t="e">
            <v>#N/A</v>
          </cell>
          <cell r="AI415" t="e">
            <v>#N/A</v>
          </cell>
          <cell r="AK415">
            <v>270.21906706531854</v>
          </cell>
          <cell r="AM415">
            <v>45.574804717677324</v>
          </cell>
          <cell r="AO415">
            <v>428.44903482920148</v>
          </cell>
          <cell r="BA415">
            <v>-2.0021055277190104E-2</v>
          </cell>
        </row>
        <row r="416">
          <cell r="C416">
            <v>2009</v>
          </cell>
          <cell r="H416" t="e">
            <v>#N/A</v>
          </cell>
          <cell r="J416">
            <v>9.6357247931104756E-2</v>
          </cell>
          <cell r="R416">
            <v>0.36269353342015209</v>
          </cell>
          <cell r="U416">
            <v>0.12385272724997516</v>
          </cell>
          <cell r="W416">
            <v>0.11445019841251011</v>
          </cell>
          <cell r="Y416">
            <v>-200.53928859029622</v>
          </cell>
          <cell r="AA416">
            <v>-172.69275909156255</v>
          </cell>
          <cell r="AE416">
            <v>-5.5965140217641138E-2</v>
          </cell>
          <cell r="AH416" t="e">
            <v>#N/A</v>
          </cell>
          <cell r="AI416">
            <v>0</v>
          </cell>
          <cell r="AK416">
            <v>599.17418434753245</v>
          </cell>
          <cell r="AM416">
            <v>3127.7485048113799</v>
          </cell>
          <cell r="AO416">
            <v>421.86808628535601</v>
          </cell>
          <cell r="BA416">
            <v>-5.5965140217641138E-2</v>
          </cell>
        </row>
        <row r="417">
          <cell r="C417">
            <v>2010</v>
          </cell>
          <cell r="H417" t="e">
            <v>#N/A</v>
          </cell>
          <cell r="J417">
            <v>0.11445052395756188</v>
          </cell>
          <cell r="R417">
            <v>0.36417958284750113</v>
          </cell>
          <cell r="U417">
            <v>0.12215008639278882</v>
          </cell>
          <cell r="W417">
            <v>0.11134463381321449</v>
          </cell>
          <cell r="Y417">
            <v>17.02640857186362</v>
          </cell>
          <cell r="AA417">
            <v>31.055645992956492</v>
          </cell>
          <cell r="AE417">
            <v>-0.12553131591564409</v>
          </cell>
          <cell r="AH417" t="e">
            <v>#N/A</v>
          </cell>
          <cell r="AI417" t="e">
            <v>#REF!</v>
          </cell>
          <cell r="AK417">
            <v>-3656.8310528909178</v>
          </cell>
          <cell r="AM417">
            <v>-7636.2015596330457</v>
          </cell>
          <cell r="AO417">
            <v>443.28793932516191</v>
          </cell>
          <cell r="BA417">
            <v>-0.12553131591564409</v>
          </cell>
        </row>
        <row r="418">
          <cell r="C418">
            <v>2011</v>
          </cell>
          <cell r="H418" t="e">
            <v>#N/A</v>
          </cell>
          <cell r="J418" t="e">
            <v>#REF!</v>
          </cell>
          <cell r="R418">
            <v>0.36143032099076811</v>
          </cell>
          <cell r="U418">
            <v>0.11369991558301021</v>
          </cell>
          <cell r="W418">
            <v>0.10281491463022888</v>
          </cell>
          <cell r="Y418">
            <v>84.501708097786064</v>
          </cell>
          <cell r="AA418">
            <v>85.297191829856075</v>
          </cell>
          <cell r="AE418">
            <v>0.10959293078266104</v>
          </cell>
          <cell r="AH418" t="e">
            <v>#N/A</v>
          </cell>
          <cell r="AI418" t="e">
            <v>#REF!</v>
          </cell>
          <cell r="AK418">
            <v>-2391.030531422175</v>
          </cell>
          <cell r="AM418">
            <v>-4410.0591463069914</v>
          </cell>
          <cell r="AO418">
            <v>475.42704182560931</v>
          </cell>
          <cell r="BA418">
            <v>0.10959293078266104</v>
          </cell>
        </row>
        <row r="419">
          <cell r="C419">
            <v>2012</v>
          </cell>
          <cell r="H419" t="e">
            <v>#N/A</v>
          </cell>
          <cell r="J419" t="e">
            <v>#REF!</v>
          </cell>
          <cell r="R419">
            <v>0.35831406034795138</v>
          </cell>
          <cell r="U419">
            <v>0.11371553712773561</v>
          </cell>
          <cell r="W419">
            <v>0.10078523087321326</v>
          </cell>
          <cell r="Y419">
            <v>-0.1562154472541156</v>
          </cell>
          <cell r="AA419">
            <v>20.296837570156253</v>
          </cell>
          <cell r="AE419">
            <v>-8.8765096773449376E-2</v>
          </cell>
          <cell r="AH419" t="e">
            <v>#N/A</v>
          </cell>
          <cell r="AI419" t="e">
            <v>#REF!</v>
          </cell>
          <cell r="AK419">
            <v>-2473.9595488765749</v>
          </cell>
          <cell r="AM419">
            <v>39877.294369822557</v>
          </cell>
          <cell r="AO419">
            <v>494.36326220630542</v>
          </cell>
          <cell r="BA419">
            <v>-8.8765096773449376E-2</v>
          </cell>
        </row>
        <row r="420">
          <cell r="C420" t="str">
            <v>2013e</v>
          </cell>
          <cell r="H420" t="e">
            <v>#N/A</v>
          </cell>
          <cell r="J420" t="e">
            <v>#REF!</v>
          </cell>
          <cell r="R420">
            <v>0.35632194307707171</v>
          </cell>
          <cell r="U420">
            <v>0.12499345386189176</v>
          </cell>
          <cell r="W420">
            <v>0.10770453891328283</v>
          </cell>
          <cell r="Y420">
            <v>-112.77916734156152</v>
          </cell>
          <cell r="AA420">
            <v>-69.193080400695578</v>
          </cell>
          <cell r="AE420">
            <v>-5.2724124151491321</v>
          </cell>
          <cell r="AH420" t="e">
            <v>#N/A</v>
          </cell>
          <cell r="AI420" t="e">
            <v>#REF!</v>
          </cell>
          <cell r="AK420">
            <v>-5533.6110259774705</v>
          </cell>
          <cell r="AM420">
            <v>-810.37934487372513</v>
          </cell>
          <cell r="BA420">
            <v>-5.2724124151491321</v>
          </cell>
        </row>
        <row r="421">
          <cell r="C421" t="str">
            <v>Trough rent year</v>
          </cell>
          <cell r="H421" t="e">
            <v>#N/A</v>
          </cell>
          <cell r="J421" t="e">
            <v>#REF!</v>
          </cell>
          <cell r="U421">
            <v>8.5365281669631046E-2</v>
          </cell>
          <cell r="W421">
            <v>7.8354833746342945E-2</v>
          </cell>
          <cell r="AH421" t="e">
            <v>#N/A</v>
          </cell>
          <cell r="AI421" t="e">
            <v>#N/A</v>
          </cell>
          <cell r="AK421">
            <v>551.93408325376504</v>
          </cell>
          <cell r="AM421">
            <v>38.448063875720372</v>
          </cell>
          <cell r="AO421">
            <v>512.847717323594</v>
          </cell>
        </row>
        <row r="424">
          <cell r="L424" t="str">
            <v>Rent Expense</v>
          </cell>
          <cell r="Y424" t="str">
            <v>Rent</v>
          </cell>
          <cell r="AA424" t="str">
            <v>Rent</v>
          </cell>
          <cell r="AC424" t="str">
            <v>Average</v>
          </cell>
          <cell r="AL424" t="str">
            <v>Adjusted Rent</v>
          </cell>
          <cell r="AO424" t="str">
            <v>Sales</v>
          </cell>
          <cell r="AP424" t="str">
            <v>Total Sales</v>
          </cell>
          <cell r="AQ424" t="str">
            <v>Key CAM adj.</v>
          </cell>
          <cell r="AR424" t="str">
            <v>Bps</v>
          </cell>
        </row>
        <row r="425">
          <cell r="F425" t="str">
            <v>Store Sales</v>
          </cell>
          <cell r="G425" t="str">
            <v>Total Sales</v>
          </cell>
          <cell r="H425" t="str">
            <v>Comp.</v>
          </cell>
          <cell r="J425" t="str">
            <v>Operating</v>
          </cell>
          <cell r="L425" t="str">
            <v>per 10-K</v>
          </cell>
          <cell r="U425" t="str">
            <v>% Store</v>
          </cell>
          <cell r="W425" t="str">
            <v>% Total</v>
          </cell>
          <cell r="Y425" t="str">
            <v>Levg. or</v>
          </cell>
          <cell r="AA425" t="str">
            <v>Levg. or</v>
          </cell>
          <cell r="AC425" t="str">
            <v>Store</v>
          </cell>
          <cell r="AE425" t="str">
            <v>Sq. Ft.</v>
          </cell>
          <cell r="AG425" t="str">
            <v>Sq. Ft. /</v>
          </cell>
          <cell r="AH425" t="str">
            <v>New Sq. Ft.</v>
          </cell>
          <cell r="AI425" t="str">
            <v>Adj. New SF</v>
          </cell>
          <cell r="AK425" t="str">
            <v>per Avg</v>
          </cell>
          <cell r="AM425" t="str">
            <v>per Avg</v>
          </cell>
          <cell r="AO425" t="str">
            <v>per Avg</v>
          </cell>
          <cell r="AP425" t="str">
            <v>per Avg</v>
          </cell>
          <cell r="AQ425" t="str">
            <v>Assumptions &amp;</v>
          </cell>
          <cell r="AR425" t="str">
            <v>Lvg</v>
          </cell>
        </row>
        <row r="426">
          <cell r="F426" t="str">
            <v>($ MM)</v>
          </cell>
          <cell r="G426" t="str">
            <v>($ MM)</v>
          </cell>
          <cell r="H426" t="str">
            <v>Sales %</v>
          </cell>
          <cell r="J426" t="str">
            <v>Margin</v>
          </cell>
          <cell r="L426" t="str">
            <v>$ MM</v>
          </cell>
          <cell r="N426" t="str">
            <v>% Sales</v>
          </cell>
          <cell r="P426" t="str">
            <v>% Sales</v>
          </cell>
          <cell r="R426" t="str">
            <v>Adj.</v>
          </cell>
          <cell r="S426" t="str">
            <v>$ MM</v>
          </cell>
          <cell r="U426" t="str">
            <v>Sales</v>
          </cell>
          <cell r="W426" t="str">
            <v>Sales</v>
          </cell>
          <cell r="Y426" t="str">
            <v>(Delevg)</v>
          </cell>
          <cell r="AA426" t="str">
            <v>(De-levg)</v>
          </cell>
          <cell r="AC426" t="str">
            <v>Count</v>
          </cell>
          <cell r="AE426" t="str">
            <v>(MM)</v>
          </cell>
          <cell r="AG426" t="str">
            <v>Store</v>
          </cell>
          <cell r="AH426" t="str">
            <v>Productivity</v>
          </cell>
          <cell r="AI426" t="str">
            <v>Productivity</v>
          </cell>
          <cell r="AK426" t="str">
            <v>Store</v>
          </cell>
          <cell r="AM426" t="str">
            <v>Sq. Ft.</v>
          </cell>
          <cell r="AO426" t="str">
            <v>Sq. Ft.</v>
          </cell>
          <cell r="AP426" t="str">
            <v>Sq. Ft.</v>
          </cell>
          <cell r="AQ426" t="str">
            <v>Other</v>
          </cell>
          <cell r="AR426" t="str">
            <v>(De-Lvg)</v>
          </cell>
          <cell r="AS426" t="str">
            <v>Notes on Rent:</v>
          </cell>
        </row>
        <row r="428">
          <cell r="C428">
            <v>1998</v>
          </cell>
          <cell r="D428">
            <v>10</v>
          </cell>
          <cell r="E428">
            <v>10</v>
          </cell>
          <cell r="F428">
            <v>2182.3609999999999</v>
          </cell>
          <cell r="G428">
            <v>2182.3609999999999</v>
          </cell>
          <cell r="H428">
            <v>0.03</v>
          </cell>
          <cell r="J428">
            <v>0.10065887357774446</v>
          </cell>
          <cell r="L428">
            <v>106.696</v>
          </cell>
          <cell r="N428">
            <v>4.8890169866488635E-2</v>
          </cell>
          <cell r="P428">
            <v>4.8890169866488635E-2</v>
          </cell>
          <cell r="S428">
            <v>141.90568000000002</v>
          </cell>
          <cell r="T428">
            <v>35.20968000000002</v>
          </cell>
          <cell r="U428">
            <v>6.5023925922429893E-2</v>
          </cell>
          <cell r="W428">
            <v>6.5023925922429893E-2</v>
          </cell>
          <cell r="AC428">
            <v>337</v>
          </cell>
          <cell r="AE428">
            <v>9.367874999999998</v>
          </cell>
          <cell r="AG428">
            <v>27997.851002865329</v>
          </cell>
          <cell r="AH428">
            <v>0.54431258786780556</v>
          </cell>
          <cell r="AK428">
            <v>0.42108510385756681</v>
          </cell>
          <cell r="AM428">
            <v>15.148118436678548</v>
          </cell>
          <cell r="AO428">
            <v>232.96222462404765</v>
          </cell>
          <cell r="AP428">
            <v>232.96222462404765</v>
          </cell>
        </row>
        <row r="429">
          <cell r="A429" t="str">
            <v>ROST1999</v>
          </cell>
          <cell r="C429">
            <v>1999</v>
          </cell>
          <cell r="D429">
            <v>11</v>
          </cell>
          <cell r="E429">
            <v>11</v>
          </cell>
          <cell r="F429">
            <v>2468.6379999999999</v>
          </cell>
          <cell r="G429">
            <v>2468.6379999999999</v>
          </cell>
          <cell r="H429">
            <v>0.06</v>
          </cell>
          <cell r="J429">
            <v>0.10335942329333012</v>
          </cell>
          <cell r="L429">
            <v>118.089</v>
          </cell>
          <cell r="N429">
            <v>4.7835689153290194E-2</v>
          </cell>
          <cell r="P429">
            <v>4.7835689153290194E-2</v>
          </cell>
          <cell r="S429">
            <v>157.05837</v>
          </cell>
          <cell r="T429">
            <v>38.969369999999998</v>
          </cell>
          <cell r="U429">
            <v>6.3621466573875962E-2</v>
          </cell>
          <cell r="W429">
            <v>6.3621466573875962E-2</v>
          </cell>
          <cell r="AC429">
            <v>363.5</v>
          </cell>
          <cell r="AE429">
            <v>10.231874999999999</v>
          </cell>
          <cell r="AG429">
            <v>28287.037037037033</v>
          </cell>
          <cell r="AH429">
            <v>0.63552625214353453</v>
          </cell>
          <cell r="AK429">
            <v>0.43207254470426409</v>
          </cell>
          <cell r="AM429">
            <v>15.349910940076967</v>
          </cell>
          <cell r="AO429">
            <v>241.26936656282453</v>
          </cell>
          <cell r="AP429">
            <v>241.26936656282453</v>
          </cell>
        </row>
        <row r="430">
          <cell r="C430">
            <v>2000</v>
          </cell>
          <cell r="D430">
            <v>12</v>
          </cell>
          <cell r="E430">
            <v>12</v>
          </cell>
          <cell r="F430">
            <v>2709.0389999999998</v>
          </cell>
          <cell r="G430">
            <v>2709.0389999999998</v>
          </cell>
          <cell r="H430">
            <v>0.01</v>
          </cell>
          <cell r="J430">
            <v>9.3262592380545198E-2</v>
          </cell>
          <cell r="L430">
            <v>129.64500000000001</v>
          </cell>
          <cell r="N430">
            <v>4.7856453893797772E-2</v>
          </cell>
          <cell r="P430">
            <v>4.7856453893797772E-2</v>
          </cell>
          <cell r="S430">
            <v>172.42785000000003</v>
          </cell>
          <cell r="T430">
            <v>42.782850000000025</v>
          </cell>
          <cell r="U430">
            <v>6.3649083678751051E-2</v>
          </cell>
          <cell r="W430">
            <v>6.3649083678751051E-2</v>
          </cell>
          <cell r="AC430">
            <v>393.5</v>
          </cell>
          <cell r="AE430">
            <v>11.177499999999998</v>
          </cell>
          <cell r="AG430">
            <v>28514.669926650367</v>
          </cell>
          <cell r="AH430">
            <v>0.58006686834613874</v>
          </cell>
          <cell r="AK430">
            <v>0.43819021601016528</v>
          </cell>
          <cell r="AM430">
            <v>15.426334153433242</v>
          </cell>
          <cell r="AO430">
            <v>242.36537687318275</v>
          </cell>
          <cell r="AP430">
            <v>242.36537687318275</v>
          </cell>
        </row>
        <row r="431">
          <cell r="C431">
            <v>2001</v>
          </cell>
          <cell r="D431">
            <v>13</v>
          </cell>
          <cell r="E431">
            <v>13</v>
          </cell>
          <cell r="F431">
            <v>2986.5960000000005</v>
          </cell>
          <cell r="G431">
            <v>2986.5960000000005</v>
          </cell>
          <cell r="H431">
            <v>0.03</v>
          </cell>
          <cell r="J431">
            <v>8.6304608992980758E-2</v>
          </cell>
          <cell r="L431">
            <v>143.89599999999999</v>
          </cell>
          <cell r="N431">
            <v>4.8180604273226096E-2</v>
          </cell>
          <cell r="P431">
            <v>4.8180604273226096E-2</v>
          </cell>
          <cell r="S431">
            <v>191.38167999999999</v>
          </cell>
          <cell r="T431">
            <v>47.485680000000002</v>
          </cell>
          <cell r="U431">
            <v>6.4080203683390707E-2</v>
          </cell>
          <cell r="W431">
            <v>6.4080203683390707E-2</v>
          </cell>
          <cell r="AC431">
            <v>430.5</v>
          </cell>
          <cell r="AE431">
            <v>12.383749999999999</v>
          </cell>
          <cell r="AG431">
            <v>28993.362831858401</v>
          </cell>
          <cell r="AH431">
            <v>0.80017082045803423</v>
          </cell>
          <cell r="AK431">
            <v>0.44455674796747963</v>
          </cell>
          <cell r="AM431">
            <v>15.454259008781669</v>
          </cell>
          <cell r="AO431">
            <v>241.17056626627641</v>
          </cell>
          <cell r="AP431">
            <v>241.17056626627641</v>
          </cell>
          <cell r="AS431" t="str">
            <v xml:space="preserve">Minimum rentals as reported in footnote C do not include CAM, RE taxes, </v>
          </cell>
        </row>
        <row r="432">
          <cell r="C432" t="str">
            <v>2002 (Trough rent)</v>
          </cell>
          <cell r="D432">
            <v>14</v>
          </cell>
          <cell r="E432">
            <v>14</v>
          </cell>
          <cell r="F432">
            <v>3531.3490000000002</v>
          </cell>
          <cell r="G432">
            <v>3531.3490000000002</v>
          </cell>
          <cell r="H432">
            <v>7.0000000000000007E-2</v>
          </cell>
          <cell r="J432">
            <v>9.3112009036773302E-2</v>
          </cell>
          <cell r="L432">
            <v>163.57400000000001</v>
          </cell>
          <cell r="N432">
            <v>4.6320542093120788E-2</v>
          </cell>
          <cell r="P432">
            <v>4.6320542093120788E-2</v>
          </cell>
          <cell r="S432">
            <v>217.55342000000002</v>
          </cell>
          <cell r="T432">
            <v>53.979420000000005</v>
          </cell>
          <cell r="U432">
            <v>6.1606320983850653E-2</v>
          </cell>
          <cell r="W432">
            <v>6.1606320983850653E-2</v>
          </cell>
          <cell r="AC432">
            <v>479.5</v>
          </cell>
          <cell r="AE432">
            <v>13.954374999999999</v>
          </cell>
          <cell r="AG432">
            <v>29400</v>
          </cell>
          <cell r="AH432">
            <v>0.80565545961892249</v>
          </cell>
          <cell r="AK432">
            <v>0.45370890510948908</v>
          </cell>
          <cell r="AM432">
            <v>15.5903377972858</v>
          </cell>
          <cell r="AO432">
            <v>253.063931562682</v>
          </cell>
          <cell r="AP432">
            <v>253.063931562682</v>
          </cell>
          <cell r="AS432" t="str">
            <v>Insurance, or other landlord passthrus. Estimate 30% for these costs given</v>
          </cell>
        </row>
        <row r="433">
          <cell r="C433">
            <v>2003</v>
          </cell>
          <cell r="D433">
            <v>15</v>
          </cell>
          <cell r="E433">
            <v>15</v>
          </cell>
          <cell r="F433">
            <v>3920.5829999999996</v>
          </cell>
          <cell r="G433">
            <v>3920.5829999999996</v>
          </cell>
          <cell r="H433">
            <v>0.01</v>
          </cell>
          <cell r="J433">
            <v>9.5246803855446871E-2</v>
          </cell>
          <cell r="L433">
            <v>186.24</v>
          </cell>
          <cell r="N433">
            <v>4.7503139201491212E-2</v>
          </cell>
          <cell r="P433">
            <v>4.7503139201491212E-2</v>
          </cell>
          <cell r="S433">
            <v>247.69920000000002</v>
          </cell>
          <cell r="T433">
            <v>61.45920000000001</v>
          </cell>
          <cell r="U433">
            <v>6.3179175137983309E-2</v>
          </cell>
          <cell r="W433">
            <v>6.3179175137983309E-2</v>
          </cell>
          <cell r="AC433">
            <v>537.5</v>
          </cell>
          <cell r="AE433">
            <v>15.727499999999999</v>
          </cell>
          <cell r="AG433">
            <v>29400</v>
          </cell>
          <cell r="AH433">
            <v>0.51477447107119634</v>
          </cell>
          <cell r="AK433">
            <v>0.46083572093023262</v>
          </cell>
          <cell r="AM433">
            <v>15.749432522651409</v>
          </cell>
          <cell r="AO433">
            <v>249.28202193609917</v>
          </cell>
          <cell r="AP433">
            <v>249.28202193609917</v>
          </cell>
          <cell r="AS433" t="str">
            <v>lower cost of operating in a strip center vs. a mall.</v>
          </cell>
        </row>
        <row r="434">
          <cell r="C434">
            <v>2004</v>
          </cell>
          <cell r="D434">
            <v>16</v>
          </cell>
          <cell r="E434">
            <v>16</v>
          </cell>
          <cell r="F434">
            <v>4239.99</v>
          </cell>
          <cell r="G434">
            <v>4239.99</v>
          </cell>
          <cell r="H434">
            <v>-0.01</v>
          </cell>
          <cell r="J434">
            <v>6.9744975813622059E-2</v>
          </cell>
          <cell r="L434">
            <v>216.16300000000001</v>
          </cell>
          <cell r="N434">
            <v>5.0981959863112887E-2</v>
          </cell>
          <cell r="P434">
            <v>5.0981959863112887E-2</v>
          </cell>
          <cell r="S434">
            <v>287.49679000000003</v>
          </cell>
          <cell r="T434">
            <v>71.333790000000022</v>
          </cell>
          <cell r="U434">
            <v>6.7806006617940145E-2</v>
          </cell>
          <cell r="W434">
            <v>6.7806006617940145E-2</v>
          </cell>
          <cell r="AC434">
            <v>608.5</v>
          </cell>
          <cell r="AE434">
            <v>17.858750000000001</v>
          </cell>
          <cell r="AG434">
            <v>29400</v>
          </cell>
          <cell r="AH434">
            <v>0.68895002975963471</v>
          </cell>
          <cell r="AK434">
            <v>0.47246801972062452</v>
          </cell>
          <cell r="AM434">
            <v>16.098371386575209</v>
          </cell>
          <cell r="AO434">
            <v>237.41807237348635</v>
          </cell>
          <cell r="AP434">
            <v>237.41807237348635</v>
          </cell>
          <cell r="AT434" t="str">
            <v>Adjusted Rent Expense Increase Assumption</v>
          </cell>
        </row>
        <row r="435">
          <cell r="A435" t="str">
            <v>ROST</v>
          </cell>
          <cell r="B435" t="str">
            <v>ROST</v>
          </cell>
          <cell r="C435" t="str">
            <v>2005 (total revs.)</v>
          </cell>
          <cell r="D435">
            <v>17</v>
          </cell>
          <cell r="E435">
            <v>17</v>
          </cell>
          <cell r="F435">
            <v>4944.1790000000001</v>
          </cell>
          <cell r="G435">
            <v>4944.1790000000001</v>
          </cell>
          <cell r="H435">
            <v>0.06</v>
          </cell>
          <cell r="J435">
            <v>6.5823668600995366E-2</v>
          </cell>
          <cell r="L435">
            <v>246.214</v>
          </cell>
          <cell r="N435">
            <v>4.9798763353834881E-2</v>
          </cell>
          <cell r="P435">
            <v>4.9798763353834881E-2</v>
          </cell>
          <cell r="S435">
            <v>327.46462000000002</v>
          </cell>
          <cell r="T435">
            <v>81.250620000000026</v>
          </cell>
          <cell r="U435">
            <v>6.6232355260600395E-2</v>
          </cell>
          <cell r="W435">
            <v>6.6232355260600395E-2</v>
          </cell>
          <cell r="Y435">
            <v>15.736513573397504</v>
          </cell>
          <cell r="AA435">
            <v>15.736513573397504</v>
          </cell>
          <cell r="AC435">
            <v>691.5</v>
          </cell>
          <cell r="AE435">
            <v>20.357499999999998</v>
          </cell>
          <cell r="AG435">
            <v>29494.209809264299</v>
          </cell>
          <cell r="AH435">
            <v>0.75818087950057389</v>
          </cell>
          <cell r="AI435">
            <v>0.75818087950057389</v>
          </cell>
          <cell r="AK435">
            <v>0.4735569342010123</v>
          </cell>
          <cell r="AM435">
            <v>16.085699128085476</v>
          </cell>
          <cell r="AO435">
            <v>242.86769004052564</v>
          </cell>
          <cell r="AP435">
            <v>242.86769004052564</v>
          </cell>
          <cell r="AQ435" t="str">
            <v>Added 33% of reported minimum &amp; contin. rent given lower CAM for street or strip center stores vs. stores in enclosed shopping malls. We estimate achieves lvg. at +4% &amp; occupancy neutral at +3%.</v>
          </cell>
          <cell r="BA435">
            <v>0.13991740743333092</v>
          </cell>
          <cell r="BB435">
            <v>0.13991740743333092</v>
          </cell>
        </row>
        <row r="436">
          <cell r="A436" t="str">
            <v>ROST2006</v>
          </cell>
          <cell r="B436" t="str">
            <v>ROST</v>
          </cell>
          <cell r="C436" t="str">
            <v>2006 (total revs.)</v>
          </cell>
          <cell r="D436">
            <v>18</v>
          </cell>
          <cell r="E436">
            <v>18</v>
          </cell>
          <cell r="F436">
            <v>5570.21</v>
          </cell>
          <cell r="G436">
            <v>5570.21</v>
          </cell>
          <cell r="H436">
            <v>0.04</v>
          </cell>
          <cell r="J436">
            <v>6.9952479349970648E-2</v>
          </cell>
          <cell r="L436">
            <v>274.21100000000001</v>
          </cell>
          <cell r="N436">
            <v>4.9228126049107666E-2</v>
          </cell>
          <cell r="P436">
            <v>4.9228126049107666E-2</v>
          </cell>
          <cell r="S436">
            <v>364.70063000000005</v>
          </cell>
          <cell r="T436">
            <v>90.489630000000034</v>
          </cell>
          <cell r="U436">
            <v>6.5473407645313203E-2</v>
          </cell>
          <cell r="W436">
            <v>6.5473407645313203E-2</v>
          </cell>
          <cell r="Y436">
            <v>7.5894761528719208</v>
          </cell>
          <cell r="AA436">
            <v>7.5894761528719208</v>
          </cell>
          <cell r="AC436">
            <v>765.5</v>
          </cell>
          <cell r="AE436">
            <v>22.475624999999997</v>
          </cell>
          <cell r="AG436">
            <v>29237.76662484316</v>
          </cell>
          <cell r="AH436">
            <v>0.83251118752428011</v>
          </cell>
          <cell r="AI436">
            <v>0.83251118752428011</v>
          </cell>
          <cell r="AK436">
            <v>0.47642146309601574</v>
          </cell>
          <cell r="AM436">
            <v>16.226495592447378</v>
          </cell>
          <cell r="AO436">
            <v>247.83337504518786</v>
          </cell>
          <cell r="AP436">
            <v>247.83337504518786</v>
          </cell>
          <cell r="AR436" t="str">
            <v>LVG</v>
          </cell>
          <cell r="BA436">
            <v>0.1040464202382414</v>
          </cell>
          <cell r="BB436">
            <v>0.1040464202382414</v>
          </cell>
        </row>
        <row r="437">
          <cell r="A437" t="str">
            <v>ROST2007</v>
          </cell>
          <cell r="B437" t="str">
            <v>ROST</v>
          </cell>
          <cell r="C437" t="str">
            <v>2007 (total revs.)</v>
          </cell>
          <cell r="D437">
            <v>19</v>
          </cell>
          <cell r="E437">
            <v>19</v>
          </cell>
          <cell r="F437">
            <v>5975.2120000000004</v>
          </cell>
          <cell r="G437">
            <v>5975.2120000000004</v>
          </cell>
          <cell r="H437">
            <v>0.01</v>
          </cell>
          <cell r="J437">
            <v>7.0472980707630153E-2</v>
          </cell>
          <cell r="L437">
            <v>301.58199999999999</v>
          </cell>
          <cell r="N437">
            <v>5.0472184083175622E-2</v>
          </cell>
          <cell r="P437">
            <v>5.0472184083175622E-2</v>
          </cell>
          <cell r="R437">
            <v>0.33</v>
          </cell>
          <cell r="S437">
            <v>401.10406</v>
          </cell>
          <cell r="T437">
            <v>99.52206000000001</v>
          </cell>
          <cell r="U437">
            <v>6.7128004830623575E-2</v>
          </cell>
          <cell r="W437">
            <v>6.7128004830623575E-2</v>
          </cell>
          <cell r="Y437">
            <v>-16.545971853103719</v>
          </cell>
          <cell r="AA437">
            <v>-16.545971853103719</v>
          </cell>
          <cell r="AC437">
            <v>843.5</v>
          </cell>
          <cell r="AE437">
            <v>24.838749999999997</v>
          </cell>
          <cell r="AG437">
            <v>29634.831460674159</v>
          </cell>
          <cell r="AH437">
            <v>0.59641969370138126</v>
          </cell>
          <cell r="AI437">
            <v>0.59641969370138126</v>
          </cell>
          <cell r="AK437">
            <v>0.47552348547717843</v>
          </cell>
          <cell r="AM437">
            <v>16.148319057923608</v>
          </cell>
          <cell r="AO437">
            <v>240.56009259725232</v>
          </cell>
          <cell r="AP437">
            <v>240.56009259725232</v>
          </cell>
          <cell r="AQ437" t="str">
            <v>+30% of reported min &amp; contin. rent given lower CAM for street/strip center stores vs. stores in enclosed malls. Estimate achieves lvg. at +3-4% comp.</v>
          </cell>
          <cell r="AR437">
            <v>8.0380178779640428</v>
          </cell>
          <cell r="BA437">
            <v>0.10514168126581569</v>
          </cell>
          <cell r="BB437">
            <v>0.10514168126581569</v>
          </cell>
        </row>
        <row r="438">
          <cell r="A438" t="str">
            <v>ROST2008</v>
          </cell>
          <cell r="B438" t="str">
            <v>ROST</v>
          </cell>
          <cell r="C438">
            <v>2008</v>
          </cell>
          <cell r="D438">
            <v>20</v>
          </cell>
          <cell r="E438">
            <v>20</v>
          </cell>
          <cell r="F438">
            <v>6486.1390000000001</v>
          </cell>
          <cell r="G438">
            <v>6486.1390000000001</v>
          </cell>
          <cell r="H438">
            <v>0.02</v>
          </cell>
          <cell r="J438">
            <v>7.6348348377979589E-2</v>
          </cell>
          <cell r="L438">
            <v>325.89999999999998</v>
          </cell>
          <cell r="N438">
            <v>5.0245608365778155E-2</v>
          </cell>
          <cell r="P438">
            <v>5.0245608365778155E-2</v>
          </cell>
          <cell r="R438">
            <v>0.32</v>
          </cell>
          <cell r="S438">
            <v>430.18799999999999</v>
          </cell>
          <cell r="T438">
            <v>104.28800000000001</v>
          </cell>
          <cell r="U438">
            <v>6.6324203042827171E-2</v>
          </cell>
          <cell r="W438">
            <v>6.6324203042827171E-2</v>
          </cell>
          <cell r="Y438">
            <v>8.0380178779640428</v>
          </cell>
          <cell r="AA438">
            <v>8.0380178779640428</v>
          </cell>
          <cell r="AC438">
            <v>923</v>
          </cell>
          <cell r="AE438">
            <v>27.25</v>
          </cell>
          <cell r="AG438">
            <v>29419.456066945604</v>
          </cell>
          <cell r="AH438">
            <v>0.67480804566801988</v>
          </cell>
          <cell r="AI438">
            <v>0.67480804566801988</v>
          </cell>
          <cell r="AK438">
            <v>0.4660758396533044</v>
          </cell>
          <cell r="AM438">
            <v>15.786715596330275</v>
          </cell>
          <cell r="AO438">
            <v>238.02344954128441</v>
          </cell>
          <cell r="AP438">
            <v>238.02344954128441</v>
          </cell>
          <cell r="AQ438" t="str">
            <v>+30% of reported min &amp; contin. rent given lower CAM for street/strip center stores vs. stores in enclosed malls. Estimate achieves lvg. at +3-4% comp.</v>
          </cell>
          <cell r="AR438">
            <v>44.969715840716958</v>
          </cell>
          <cell r="AS438">
            <v>9.4250148192057015E-2</v>
          </cell>
          <cell r="AU438">
            <v>53.007733718681003</v>
          </cell>
          <cell r="BA438">
            <v>9.7076141110160608E-2</v>
          </cell>
          <cell r="BB438">
            <v>9.7076141110160608E-2</v>
          </cell>
        </row>
        <row r="439">
          <cell r="A439" t="str">
            <v>ROST2009</v>
          </cell>
          <cell r="B439" t="str">
            <v>ROST</v>
          </cell>
          <cell r="C439">
            <v>2009</v>
          </cell>
          <cell r="D439">
            <v>21</v>
          </cell>
          <cell r="E439">
            <v>21</v>
          </cell>
          <cell r="F439">
            <v>7184.2129999999997</v>
          </cell>
          <cell r="G439">
            <v>7184.2129999999997</v>
          </cell>
          <cell r="H439">
            <v>0.06</v>
          </cell>
          <cell r="J439">
            <v>0.10107189193861588</v>
          </cell>
          <cell r="L439">
            <v>336.5</v>
          </cell>
          <cell r="N439">
            <v>4.6838811711178388E-2</v>
          </cell>
          <cell r="P439">
            <v>4.6838811711178388E-2</v>
          </cell>
          <cell r="R439">
            <v>0.32</v>
          </cell>
          <cell r="S439">
            <v>444.18</v>
          </cell>
          <cell r="U439">
            <v>6.1827231458755474E-2</v>
          </cell>
          <cell r="W439">
            <v>6.1827231458755474E-2</v>
          </cell>
          <cell r="Y439">
            <v>44.969715840716958</v>
          </cell>
          <cell r="AA439">
            <v>44.969715840716958</v>
          </cell>
          <cell r="AC439">
            <v>980.5</v>
          </cell>
          <cell r="AE439">
            <v>28.875</v>
          </cell>
          <cell r="AG439">
            <v>29477.611940298502</v>
          </cell>
          <cell r="AH439">
            <v>0.7986431216570512</v>
          </cell>
          <cell r="AI439">
            <v>0</v>
          </cell>
          <cell r="AK439">
            <v>0.45301376848546659</v>
          </cell>
          <cell r="AM439">
            <v>15.382857142857143</v>
          </cell>
          <cell r="AO439">
            <v>248.80391341991341</v>
          </cell>
          <cell r="AP439">
            <v>248.80391341991341</v>
          </cell>
          <cell r="AR439">
            <v>18.071452661060082</v>
          </cell>
          <cell r="AS439">
            <v>6.2296858071505978E-2</v>
          </cell>
          <cell r="AU439">
            <v>63.041168501777037</v>
          </cell>
          <cell r="BA439">
            <v>5.9633027522935755E-2</v>
          </cell>
          <cell r="BB439">
            <v>5.9633027522935755E-2</v>
          </cell>
          <cell r="BC439">
            <v>0</v>
          </cell>
        </row>
        <row r="440">
          <cell r="A440" t="str">
            <v>ROST2010</v>
          </cell>
          <cell r="B440" t="str">
            <v>ROST</v>
          </cell>
          <cell r="C440">
            <v>2010</v>
          </cell>
          <cell r="D440">
            <v>22</v>
          </cell>
          <cell r="E440">
            <v>22</v>
          </cell>
          <cell r="F440">
            <v>7866.1</v>
          </cell>
          <cell r="G440">
            <v>7866.1</v>
          </cell>
          <cell r="H440">
            <v>0.05</v>
          </cell>
          <cell r="J440">
            <v>0.11525279363343965</v>
          </cell>
          <cell r="L440">
            <v>360.4</v>
          </cell>
          <cell r="N440">
            <v>4.5816859689045392E-2</v>
          </cell>
          <cell r="P440">
            <v>4.5816859689045392E-2</v>
          </cell>
          <cell r="R440">
            <v>0.31</v>
          </cell>
          <cell r="S440">
            <v>472.12399999999997</v>
          </cell>
          <cell r="U440">
            <v>6.0020086192649466E-2</v>
          </cell>
          <cell r="W440">
            <v>6.0020086192649466E-2</v>
          </cell>
          <cell r="Y440">
            <v>18.071452661060082</v>
          </cell>
          <cell r="AA440">
            <v>18.071452661060082</v>
          </cell>
          <cell r="AC440">
            <v>1030</v>
          </cell>
          <cell r="AE440">
            <v>30.3125</v>
          </cell>
          <cell r="AG440">
            <v>29383.886255924172</v>
          </cell>
          <cell r="AH440">
            <v>0.90219844721245179</v>
          </cell>
          <cell r="AI440">
            <v>0</v>
          </cell>
          <cell r="AK440">
            <v>0.45837281553398057</v>
          </cell>
          <cell r="AM440">
            <v>15.575224742268039</v>
          </cell>
          <cell r="AO440">
            <v>259.50020618556704</v>
          </cell>
          <cell r="AP440">
            <v>259.50020618556704</v>
          </cell>
          <cell r="AR440">
            <v>24.569763953621663</v>
          </cell>
          <cell r="AS440">
            <v>5.048444671086183E-2</v>
          </cell>
          <cell r="BA440">
            <v>4.9783549783549708E-2</v>
          </cell>
          <cell r="BB440">
            <v>4.9783549783549708E-2</v>
          </cell>
        </row>
        <row r="441">
          <cell r="A441" t="str">
            <v>ROST2011</v>
          </cell>
          <cell r="B441" t="str">
            <v>ROST</v>
          </cell>
          <cell r="C441">
            <v>2011</v>
          </cell>
          <cell r="D441">
            <v>23</v>
          </cell>
          <cell r="E441">
            <v>23</v>
          </cell>
          <cell r="F441">
            <v>8608.2909999999993</v>
          </cell>
          <cell r="G441">
            <v>8608.2909999999993</v>
          </cell>
          <cell r="H441">
            <v>0.05</v>
          </cell>
          <cell r="J441">
            <v>0.12353973628447262</v>
          </cell>
          <cell r="L441">
            <v>380</v>
          </cell>
          <cell r="N441">
            <v>4.414348910834915E-2</v>
          </cell>
          <cell r="P441">
            <v>4.414348910834915E-2</v>
          </cell>
          <cell r="R441">
            <v>0.30399999999999999</v>
          </cell>
          <cell r="S441">
            <v>495.52000000000004</v>
          </cell>
          <cell r="U441">
            <v>5.75631097972873E-2</v>
          </cell>
          <cell r="W441">
            <v>5.75631097972873E-2</v>
          </cell>
          <cell r="Y441">
            <v>24.569763953621663</v>
          </cell>
          <cell r="AA441">
            <v>24.569763953621663</v>
          </cell>
          <cell r="AC441">
            <v>1090</v>
          </cell>
          <cell r="AE441">
            <v>31.976150000000001</v>
          </cell>
          <cell r="AG441">
            <v>29290.933333333334</v>
          </cell>
          <cell r="AH441" t="e">
            <v>#REF!</v>
          </cell>
          <cell r="AI441">
            <v>0</v>
          </cell>
          <cell r="AK441">
            <v>0.45460550458715598</v>
          </cell>
          <cell r="AM441">
            <v>15.496549772252132</v>
          </cell>
          <cell r="AO441">
            <v>269.20973913369806</v>
          </cell>
          <cell r="AP441">
            <v>269.20973913369806</v>
          </cell>
          <cell r="AR441">
            <v>30.211023114819906</v>
          </cell>
          <cell r="AS441">
            <v>5.8252427184465994E-2</v>
          </cell>
          <cell r="BA441">
            <v>5.4883298969072181E-2</v>
          </cell>
          <cell r="BB441">
            <v>5.4883298969072181E-2</v>
          </cell>
        </row>
        <row r="442">
          <cell r="A442" t="str">
            <v>ROST2012</v>
          </cell>
          <cell r="B442" t="str">
            <v>ROST</v>
          </cell>
          <cell r="C442">
            <v>2012</v>
          </cell>
          <cell r="D442">
            <v>24</v>
          </cell>
          <cell r="E442">
            <v>24</v>
          </cell>
          <cell r="F442">
            <v>9721.0650000000005</v>
          </cell>
          <cell r="G442">
            <v>9721.0650000000005</v>
          </cell>
          <cell r="H442">
            <v>0.06</v>
          </cell>
          <cell r="J442">
            <v>0.13082424610883689</v>
          </cell>
          <cell r="L442">
            <v>406.6</v>
          </cell>
          <cell r="N442">
            <v>4.1826692857212661E-2</v>
          </cell>
          <cell r="P442">
            <v>4.1826692857212661E-2</v>
          </cell>
          <cell r="R442">
            <v>0.30399999999999999</v>
          </cell>
          <cell r="S442">
            <v>530.20640000000003</v>
          </cell>
          <cell r="U442">
            <v>5.4542007485805309E-2</v>
          </cell>
          <cell r="W442">
            <v>5.4542007485805309E-2</v>
          </cell>
          <cell r="Y442">
            <v>30.211023114819906</v>
          </cell>
          <cell r="AA442">
            <v>30.211023114819906</v>
          </cell>
          <cell r="AC442">
            <v>1162</v>
          </cell>
          <cell r="AE442">
            <v>33.981400000000001</v>
          </cell>
          <cell r="AG442">
            <v>29199.749791492912</v>
          </cell>
          <cell r="AH442" t="e">
            <v>#REF!</v>
          </cell>
          <cell r="AI442">
            <v>0</v>
          </cell>
          <cell r="AK442">
            <v>0.45628777969018935</v>
          </cell>
          <cell r="AM442">
            <v>15.602841554497461</v>
          </cell>
          <cell r="AO442">
            <v>286.07017368325023</v>
          </cell>
          <cell r="AP442">
            <v>286.07017368325023</v>
          </cell>
          <cell r="AR442">
            <v>-8.9201321709712893</v>
          </cell>
          <cell r="AS442">
            <v>6.6055045871559637E-2</v>
          </cell>
          <cell r="BA442">
            <v>6.27108016443505E-2</v>
          </cell>
          <cell r="BB442">
            <v>6.27108016443505E-2</v>
          </cell>
        </row>
        <row r="443">
          <cell r="A443" t="str">
            <v>ROST2013</v>
          </cell>
          <cell r="B443" t="str">
            <v>ROST</v>
          </cell>
          <cell r="C443" t="str">
            <v>2013e</v>
          </cell>
          <cell r="D443">
            <v>25</v>
          </cell>
          <cell r="E443">
            <v>25</v>
          </cell>
          <cell r="F443">
            <v>10230.352999999999</v>
          </cell>
          <cell r="G443">
            <v>10230.352999999999</v>
          </cell>
          <cell r="H443">
            <v>0.03</v>
          </cell>
          <cell r="J443">
            <v>0.12931567538615835</v>
          </cell>
          <cell r="L443">
            <v>434.9</v>
          </cell>
          <cell r="N443">
            <v>4.2510752072777942E-2</v>
          </cell>
          <cell r="P443">
            <v>4.2510752072777942E-2</v>
          </cell>
          <cell r="R443">
            <v>0.30399999999999999</v>
          </cell>
          <cell r="S443">
            <v>567.1096</v>
          </cell>
          <cell r="U443">
            <v>5.5434020702902438E-2</v>
          </cell>
          <cell r="W443">
            <v>5.5434020702902438E-2</v>
          </cell>
          <cell r="Y443">
            <v>-8.9201321709712893</v>
          </cell>
          <cell r="AA443">
            <v>-8.9201321709712893</v>
          </cell>
          <cell r="AC443">
            <v>1237.5</v>
          </cell>
          <cell r="AE443">
            <v>36.047250000000005</v>
          </cell>
          <cell r="AG443">
            <v>29062.695924764892</v>
          </cell>
          <cell r="AH443" t="e">
            <v>#REF!</v>
          </cell>
          <cell r="AI443">
            <v>0</v>
          </cell>
          <cell r="AK443">
            <v>0.45827038383838387</v>
          </cell>
          <cell r="AM443">
            <v>15.732395675120847</v>
          </cell>
          <cell r="AO443">
            <v>283.80397949912953</v>
          </cell>
          <cell r="AP443">
            <v>283.80397949912953</v>
          </cell>
          <cell r="BA443">
            <v>6.0793551766554765E-2</v>
          </cell>
          <cell r="BB443">
            <v>6.0793551766554765E-2</v>
          </cell>
        </row>
        <row r="444">
          <cell r="C444" t="str">
            <v>2011 = Trough rent</v>
          </cell>
          <cell r="F444">
            <v>9721.0650000000005</v>
          </cell>
          <cell r="G444">
            <v>9721.0650000000005</v>
          </cell>
          <cell r="H444">
            <v>0.06</v>
          </cell>
          <cell r="J444">
            <v>0.13082424610883689</v>
          </cell>
          <cell r="L444">
            <v>406.6</v>
          </cell>
          <cell r="N444">
            <v>4.1826692857212661E-2</v>
          </cell>
          <cell r="P444">
            <v>4.1826692857212661E-2</v>
          </cell>
          <cell r="S444">
            <v>530.20640000000003</v>
          </cell>
          <cell r="U444">
            <v>5.4542007485805309E-2</v>
          </cell>
          <cell r="W444">
            <v>5.4542007485805309E-2</v>
          </cell>
          <cell r="Z444">
            <v>0</v>
          </cell>
          <cell r="AB444">
            <v>0</v>
          </cell>
          <cell r="AC444">
            <v>1162</v>
          </cell>
          <cell r="AE444">
            <v>33.981400000000001</v>
          </cell>
          <cell r="AG444">
            <v>29199.749791492912</v>
          </cell>
          <cell r="AH444">
            <v>0.63552625214353453</v>
          </cell>
          <cell r="AI444">
            <v>0.63552625214353453</v>
          </cell>
          <cell r="AK444">
            <v>0.45628777969018935</v>
          </cell>
          <cell r="AM444">
            <v>15.602841554497461</v>
          </cell>
          <cell r="AO444">
            <v>286.07017368325023</v>
          </cell>
          <cell r="AP444">
            <v>286.07017368325023</v>
          </cell>
          <cell r="AR444">
            <v>-2.9752354170221013E-2</v>
          </cell>
          <cell r="AS444" t="str">
            <v>Minimum rentals include rent expense on DC's, HQ, and stores.</v>
          </cell>
        </row>
        <row r="446">
          <cell r="AI446">
            <v>0</v>
          </cell>
        </row>
        <row r="447">
          <cell r="C447">
            <v>1998</v>
          </cell>
          <cell r="D447">
            <v>10</v>
          </cell>
          <cell r="E447">
            <v>10</v>
          </cell>
          <cell r="F447">
            <v>7948.8710000000001</v>
          </cell>
          <cell r="G447">
            <v>7948.8710000000001</v>
          </cell>
          <cell r="H447">
            <v>4.6106199232570262E-2</v>
          </cell>
          <cell r="J447">
            <v>8.8716749837807252E-2</v>
          </cell>
          <cell r="L447">
            <v>318.10000000000002</v>
          </cell>
          <cell r="N447">
            <v>4.0018261712889795E-2</v>
          </cell>
          <cell r="P447">
            <v>4.0018261712889795E-2</v>
          </cell>
          <cell r="S447">
            <v>423.07300000000004</v>
          </cell>
          <cell r="U447">
            <v>5.3224288078143431E-2</v>
          </cell>
          <cell r="W447">
            <v>5.3224288078143431E-2</v>
          </cell>
          <cell r="AC447">
            <v>1208.5</v>
          </cell>
          <cell r="AE447">
            <v>36.0715</v>
          </cell>
          <cell r="AG447">
            <v>29796.147672552172</v>
          </cell>
          <cell r="AH447">
            <v>0.63228040141991204</v>
          </cell>
          <cell r="AI447">
            <v>0</v>
          </cell>
          <cell r="AK447">
            <v>0.35008109226313616</v>
          </cell>
          <cell r="AM447">
            <v>11.728733210429287</v>
          </cell>
          <cell r="AO447">
            <v>220.36430422910053</v>
          </cell>
          <cell r="AP447">
            <v>220.36430422910053</v>
          </cell>
        </row>
        <row r="448">
          <cell r="A448" t="str">
            <v>TJX1999</v>
          </cell>
          <cell r="C448">
            <v>1999</v>
          </cell>
          <cell r="D448">
            <v>11</v>
          </cell>
          <cell r="E448">
            <v>11</v>
          </cell>
          <cell r="F448">
            <v>8795.3469999999998</v>
          </cell>
          <cell r="G448">
            <v>8795.3469999999998</v>
          </cell>
          <cell r="H448">
            <v>0.05</v>
          </cell>
          <cell r="J448">
            <v>9.79247322476305E-2</v>
          </cell>
          <cell r="L448">
            <v>352.6</v>
          </cell>
          <cell r="N448">
            <v>4.0089379077368981E-2</v>
          </cell>
          <cell r="P448">
            <v>4.0089379077368981E-2</v>
          </cell>
          <cell r="S448">
            <v>468.95800000000008</v>
          </cell>
          <cell r="U448">
            <v>5.3318874172900751E-2</v>
          </cell>
          <cell r="W448">
            <v>5.3318874172900751E-2</v>
          </cell>
          <cell r="AC448">
            <v>1301.5</v>
          </cell>
          <cell r="AE448">
            <v>38.645500000000006</v>
          </cell>
          <cell r="AG448">
            <v>29598.378776713344</v>
          </cell>
          <cell r="AH448">
            <v>0.79164037880162208</v>
          </cell>
          <cell r="AI448">
            <v>0</v>
          </cell>
          <cell r="AK448">
            <v>0.36032116788321172</v>
          </cell>
          <cell r="AM448">
            <v>12.134866931466794</v>
          </cell>
          <cell r="AO448">
            <v>227.59045684491076</v>
          </cell>
          <cell r="AP448">
            <v>227.59045684491076</v>
          </cell>
        </row>
        <row r="449">
          <cell r="C449">
            <v>2000</v>
          </cell>
          <cell r="D449">
            <v>12</v>
          </cell>
          <cell r="E449">
            <v>12</v>
          </cell>
          <cell r="F449">
            <v>9579.0059999999994</v>
          </cell>
          <cell r="G449">
            <v>9579.0059999999994</v>
          </cell>
          <cell r="H449">
            <v>0.02</v>
          </cell>
          <cell r="J449">
            <v>9.2686652456423935E-2</v>
          </cell>
          <cell r="L449">
            <v>390.6</v>
          </cell>
          <cell r="N449">
            <v>4.077667348783371E-2</v>
          </cell>
          <cell r="P449">
            <v>4.077667348783371E-2</v>
          </cell>
          <cell r="S449">
            <v>519.49800000000005</v>
          </cell>
          <cell r="U449">
            <v>5.4232975738818835E-2</v>
          </cell>
          <cell r="W449">
            <v>5.4232975738818835E-2</v>
          </cell>
          <cell r="AC449">
            <v>1425</v>
          </cell>
          <cell r="AE449">
            <v>42.072000000000003</v>
          </cell>
          <cell r="AG449">
            <v>29456.798392498324</v>
          </cell>
          <cell r="AH449">
            <v>0.77933046885793966</v>
          </cell>
          <cell r="AI449">
            <v>0</v>
          </cell>
          <cell r="AK449">
            <v>0.36456000000000005</v>
          </cell>
          <cell r="AM449">
            <v>12.347832287507131</v>
          </cell>
          <cell r="AO449">
            <v>227.68126069594976</v>
          </cell>
          <cell r="AP449">
            <v>227.68126069594976</v>
          </cell>
        </row>
        <row r="450">
          <cell r="C450">
            <v>2001</v>
          </cell>
          <cell r="D450">
            <v>13</v>
          </cell>
          <cell r="E450">
            <v>13</v>
          </cell>
          <cell r="F450">
            <v>10708.998</v>
          </cell>
          <cell r="G450">
            <v>10708.998</v>
          </cell>
          <cell r="H450">
            <v>0.03</v>
          </cell>
          <cell r="J450">
            <v>8.4012248391492766E-2</v>
          </cell>
          <cell r="L450">
            <v>446.6</v>
          </cell>
          <cell r="N450">
            <v>4.1703248053646107E-2</v>
          </cell>
          <cell r="P450">
            <v>4.1703248053646107E-2</v>
          </cell>
          <cell r="S450">
            <v>593.97800000000007</v>
          </cell>
          <cell r="U450">
            <v>5.5465319911349321E-2</v>
          </cell>
          <cell r="W450">
            <v>5.5465319911349321E-2</v>
          </cell>
          <cell r="AC450">
            <v>1579</v>
          </cell>
          <cell r="AE450">
            <v>46.483999999999995</v>
          </cell>
          <cell r="AG450">
            <v>29422.822822822822</v>
          </cell>
          <cell r="AH450">
            <v>0.83882218851875856</v>
          </cell>
          <cell r="AI450">
            <v>0</v>
          </cell>
          <cell r="AK450">
            <v>0.37617352754908173</v>
          </cell>
          <cell r="AM450">
            <v>12.778117201617764</v>
          </cell>
          <cell r="AO450">
            <v>230.38030289992258</v>
          </cell>
          <cell r="AP450">
            <v>230.38030289992258</v>
          </cell>
          <cell r="AS450" t="str">
            <v>Minimum rentals as reported in footnote D is net of sublease income (less than</v>
          </cell>
        </row>
        <row r="451">
          <cell r="C451">
            <v>2002</v>
          </cell>
          <cell r="D451">
            <v>14</v>
          </cell>
          <cell r="E451">
            <v>14</v>
          </cell>
          <cell r="F451">
            <v>11981.206999999999</v>
          </cell>
          <cell r="G451">
            <v>11981.206999999999</v>
          </cell>
          <cell r="H451">
            <v>0.03</v>
          </cell>
          <cell r="J451">
            <v>8.0383971331102005E-2</v>
          </cell>
          <cell r="L451">
            <v>524.70000000000005</v>
          </cell>
          <cell r="N451">
            <v>4.3793584402639911E-2</v>
          </cell>
          <cell r="P451">
            <v>4.3793584402639911E-2</v>
          </cell>
          <cell r="S451">
            <v>697.85100000000011</v>
          </cell>
          <cell r="T451">
            <v>173.15100000000007</v>
          </cell>
          <cell r="U451">
            <v>5.8245467255511087E-2</v>
          </cell>
          <cell r="W451">
            <v>5.8245467255511087E-2</v>
          </cell>
          <cell r="AC451">
            <v>1754</v>
          </cell>
          <cell r="AE451">
            <v>51.407499999999999</v>
          </cell>
          <cell r="AG451">
            <v>29205.642973412912</v>
          </cell>
          <cell r="AH451">
            <v>0.83836550223034645</v>
          </cell>
          <cell r="AI451">
            <v>0</v>
          </cell>
          <cell r="AK451">
            <v>0.39786259977194988</v>
          </cell>
          <cell r="AM451">
            <v>13.574886932840542</v>
          </cell>
          <cell r="AO451">
            <v>233.06340514516361</v>
          </cell>
          <cell r="AP451">
            <v>233.06340514516361</v>
          </cell>
          <cell r="AS451" t="str">
            <v>1% of expense) and do not include CAM, RE taxes, insurance, or other landlord</v>
          </cell>
        </row>
        <row r="452">
          <cell r="C452">
            <v>2003</v>
          </cell>
          <cell r="D452">
            <v>15</v>
          </cell>
          <cell r="E452">
            <v>15</v>
          </cell>
          <cell r="F452">
            <v>13327.938</v>
          </cell>
          <cell r="G452">
            <v>13327.938</v>
          </cell>
          <cell r="H452">
            <v>0.01</v>
          </cell>
          <cell r="J452">
            <v>7.6080035786481051E-2</v>
          </cell>
          <cell r="L452">
            <v>597.79999999999995</v>
          </cell>
          <cell r="N452">
            <v>4.4853149827077526E-2</v>
          </cell>
          <cell r="P452">
            <v>4.4853149827077526E-2</v>
          </cell>
          <cell r="S452">
            <v>795.07399999999996</v>
          </cell>
          <cell r="T452">
            <v>197.274</v>
          </cell>
          <cell r="U452">
            <v>5.9654689270013106E-2</v>
          </cell>
          <cell r="W452">
            <v>5.9654689270013106E-2</v>
          </cell>
          <cell r="AC452">
            <v>1952.5</v>
          </cell>
          <cell r="AE452">
            <v>57.158000000000001</v>
          </cell>
          <cell r="AG452">
            <v>29335.596508244424</v>
          </cell>
          <cell r="AH452">
            <v>0.91545325255251775</v>
          </cell>
          <cell r="AI452">
            <v>0</v>
          </cell>
          <cell r="AK452">
            <v>0.40720819462227908</v>
          </cell>
          <cell r="AM452">
            <v>13.910108821162391</v>
          </cell>
          <cell r="AO452">
            <v>233.17712306238846</v>
          </cell>
          <cell r="AP452">
            <v>233.17712306238846</v>
          </cell>
          <cell r="AS452" t="str">
            <v xml:space="preserve">passthrus. Estimate 30% for these costs given lower cost of operating in a strip </v>
          </cell>
        </row>
        <row r="453">
          <cell r="C453">
            <v>2004</v>
          </cell>
          <cell r="D453">
            <v>16</v>
          </cell>
          <cell r="E453">
            <v>16</v>
          </cell>
          <cell r="F453">
            <v>14913.483</v>
          </cell>
          <cell r="G453">
            <v>14913.483</v>
          </cell>
          <cell r="H453">
            <v>0.05</v>
          </cell>
          <cell r="J453">
            <v>6.8039639029997254E-2</v>
          </cell>
          <cell r="L453">
            <v>713.3</v>
          </cell>
          <cell r="N453">
            <v>4.7829202608136542E-2</v>
          </cell>
          <cell r="P453">
            <v>4.7829202608136542E-2</v>
          </cell>
          <cell r="S453">
            <v>948.68899999999996</v>
          </cell>
          <cell r="T453">
            <v>235.38900000000001</v>
          </cell>
          <cell r="U453">
            <v>6.3612839468821597E-2</v>
          </cell>
          <cell r="W453">
            <v>6.3612839468821597E-2</v>
          </cell>
          <cell r="AC453">
            <v>2143</v>
          </cell>
          <cell r="AE453">
            <v>62.599717339192452</v>
          </cell>
          <cell r="AG453">
            <v>29095.96883020904</v>
          </cell>
          <cell r="AH453">
            <v>0.72437520260648536</v>
          </cell>
          <cell r="AI453">
            <v>0</v>
          </cell>
          <cell r="AK453">
            <v>0.44269202053196449</v>
          </cell>
          <cell r="AM453">
            <v>15.154844787231083</v>
          </cell>
          <cell r="AO453">
            <v>238.23562843250988</v>
          </cell>
          <cell r="AP453">
            <v>238.23562843250988</v>
          </cell>
          <cell r="AT453" t="str">
            <v>Adjusted Rent Expense Increase Assumption</v>
          </cell>
        </row>
        <row r="454">
          <cell r="A454" t="str">
            <v>TJXold</v>
          </cell>
          <cell r="B454" t="str">
            <v>TJX</v>
          </cell>
          <cell r="C454" t="str">
            <v>2005 (total revs.)</v>
          </cell>
          <cell r="D454">
            <v>17</v>
          </cell>
          <cell r="E454">
            <v>17</v>
          </cell>
          <cell r="F454">
            <v>16057.935000000001</v>
          </cell>
          <cell r="G454">
            <v>16057.935000000001</v>
          </cell>
          <cell r="H454">
            <v>0.02</v>
          </cell>
          <cell r="J454">
            <v>6.4700660452293626E-2</v>
          </cell>
          <cell r="L454">
            <v>774.9</v>
          </cell>
          <cell r="N454">
            <v>4.8256516170977148E-2</v>
          </cell>
          <cell r="P454">
            <v>4.8256516170977148E-2</v>
          </cell>
          <cell r="R454">
            <v>0.33</v>
          </cell>
          <cell r="S454">
            <v>1030.617</v>
          </cell>
          <cell r="T454">
            <v>255.71699999999998</v>
          </cell>
          <cell r="U454">
            <v>6.4181166507399606E-2</v>
          </cell>
          <cell r="W454">
            <v>6.4181166507399606E-2</v>
          </cell>
          <cell r="Y454">
            <v>-5.6832703857800926</v>
          </cell>
          <cell r="AA454">
            <v>-5.6832703857800926</v>
          </cell>
          <cell r="AC454">
            <v>2302.5</v>
          </cell>
          <cell r="AE454">
            <v>67.642217339192456</v>
          </cell>
          <cell r="AG454">
            <v>29640.907181856372</v>
          </cell>
          <cell r="AH454">
            <v>0.70438701131550097</v>
          </cell>
          <cell r="AI454">
            <v>0.70438701131550097</v>
          </cell>
          <cell r="AK454">
            <v>0.44760781758957652</v>
          </cell>
          <cell r="AM454">
            <v>15.236298284427351</v>
          </cell>
          <cell r="AO454">
            <v>237.39515988184351</v>
          </cell>
          <cell r="AP454">
            <v>237.39515988184351</v>
          </cell>
          <cell r="AQ454" t="str">
            <v>Added 33% of reported minimum &amp; cont. rent given lower CAM for street or strip center stores vs. stores in enclosed shopping malls</v>
          </cell>
          <cell r="AS454" t="str">
            <v>2005-10K</v>
          </cell>
          <cell r="BA454">
            <v>8.0551481928864854E-2</v>
          </cell>
          <cell r="BB454">
            <v>8.0551481928864854E-2</v>
          </cell>
        </row>
        <row r="455">
          <cell r="A455" t="str">
            <v>TJX2006</v>
          </cell>
          <cell r="B455" t="str">
            <v>TJX</v>
          </cell>
          <cell r="C455" t="str">
            <v>2006 (total revs.)</v>
          </cell>
          <cell r="D455">
            <v>18</v>
          </cell>
          <cell r="E455">
            <v>18</v>
          </cell>
          <cell r="F455">
            <v>17404.637000000002</v>
          </cell>
          <cell r="G455">
            <v>17404.637000000002</v>
          </cell>
          <cell r="H455">
            <v>0.03</v>
          </cell>
          <cell r="J455">
            <v>7.2818180580267233E-2</v>
          </cell>
          <cell r="L455">
            <v>837.6</v>
          </cell>
          <cell r="N455">
            <v>4.8125105970322733E-2</v>
          </cell>
          <cell r="P455">
            <v>4.8125105970322733E-2</v>
          </cell>
          <cell r="S455">
            <v>837.6</v>
          </cell>
          <cell r="T455">
            <v>0</v>
          </cell>
          <cell r="U455">
            <v>4.8125105970322733E-2</v>
          </cell>
          <cell r="W455">
            <v>4.8125105970322733E-2</v>
          </cell>
          <cell r="Y455">
            <v>160.56060537076874</v>
          </cell>
          <cell r="AA455">
            <v>160.56060537076874</v>
          </cell>
          <cell r="AC455">
            <v>2423.5</v>
          </cell>
          <cell r="AE455">
            <v>72.137500000000003</v>
          </cell>
          <cell r="AG455">
            <v>29886.455798864554</v>
          </cell>
          <cell r="AH455">
            <v>0.81053008980455465</v>
          </cell>
          <cell r="AI455">
            <v>0.81053008980455465</v>
          </cell>
          <cell r="AK455">
            <v>0.34561584485248609</v>
          </cell>
          <cell r="AM455">
            <v>11.611159244498353</v>
          </cell>
          <cell r="AO455">
            <v>241.27031017154741</v>
          </cell>
          <cell r="AP455">
            <v>241.27031017154741</v>
          </cell>
          <cell r="AR455" t="str">
            <v>DE-LVG</v>
          </cell>
          <cell r="BA455">
            <v>6.6456760846054452E-2</v>
          </cell>
          <cell r="BB455">
            <v>6.6456760846054452E-2</v>
          </cell>
        </row>
        <row r="456">
          <cell r="A456" t="str">
            <v>TJX2007</v>
          </cell>
          <cell r="B456" t="str">
            <v>TJX</v>
          </cell>
          <cell r="C456" t="str">
            <v>2007 (total revs.)</v>
          </cell>
          <cell r="D456">
            <v>19</v>
          </cell>
          <cell r="E456">
            <v>19</v>
          </cell>
          <cell r="F456">
            <v>18471.973000000002</v>
          </cell>
          <cell r="G456">
            <v>18471.973000000002</v>
          </cell>
          <cell r="H456">
            <v>0.02</v>
          </cell>
          <cell r="J456">
            <v>7.8795643540622337E-2</v>
          </cell>
          <cell r="L456">
            <v>896.6</v>
          </cell>
          <cell r="N456">
            <v>4.8538399227846418E-2</v>
          </cell>
          <cell r="P456">
            <v>4.8538399227846418E-2</v>
          </cell>
          <cell r="R456">
            <v>0.33</v>
          </cell>
          <cell r="S456">
            <v>1192.4780000000001</v>
          </cell>
          <cell r="T456">
            <v>295.87800000000004</v>
          </cell>
          <cell r="U456">
            <v>6.4556070973035742E-2</v>
          </cell>
          <cell r="W456">
            <v>6.4556070973035742E-2</v>
          </cell>
          <cell r="Y456">
            <v>-164.30965002713009</v>
          </cell>
          <cell r="AA456">
            <v>-164.30965002713009</v>
          </cell>
          <cell r="AC456">
            <v>2514.5</v>
          </cell>
          <cell r="AE456">
            <v>74.97</v>
          </cell>
          <cell r="AG456">
            <v>29746.390948107692</v>
          </cell>
          <cell r="AH456">
            <v>1.0524512778565702</v>
          </cell>
          <cell r="AI456">
            <v>1.0524512778565702</v>
          </cell>
          <cell r="AK456">
            <v>0.47424060449393518</v>
          </cell>
          <cell r="AM456">
            <v>15.906069094304389</v>
          </cell>
          <cell r="AO456">
            <v>246.39152994531148</v>
          </cell>
          <cell r="AP456">
            <v>246.39152994531148</v>
          </cell>
          <cell r="AQ456" t="str">
            <v>Added 33% of reported minimum &amp; cont. rent given lower CAM for street or strip center stores vs. stores in enclosed shopping malls. We estimate occupancy neutral at +3% comp.</v>
          </cell>
          <cell r="AR456">
            <v>-10.076371340965313</v>
          </cell>
          <cell r="BA456">
            <v>3.9265291977127026E-2</v>
          </cell>
          <cell r="BB456">
            <v>3.9265291977127026E-2</v>
          </cell>
        </row>
        <row r="457">
          <cell r="A457" t="str">
            <v>TJX2008</v>
          </cell>
          <cell r="B457" t="str">
            <v>TJX</v>
          </cell>
          <cell r="C457">
            <v>2008</v>
          </cell>
          <cell r="D457">
            <v>20</v>
          </cell>
          <cell r="E457">
            <v>20</v>
          </cell>
          <cell r="F457">
            <v>18999.504999999997</v>
          </cell>
          <cell r="G457">
            <v>18999.504999999997</v>
          </cell>
          <cell r="H457">
            <v>0.01</v>
          </cell>
          <cell r="J457">
            <v>7.551412523642044E-2</v>
          </cell>
          <cell r="L457">
            <v>936.6</v>
          </cell>
          <cell r="N457">
            <v>4.9296021133182162E-2</v>
          </cell>
          <cell r="P457">
            <v>4.9296021133182162E-2</v>
          </cell>
          <cell r="R457">
            <v>0.33</v>
          </cell>
          <cell r="S457">
            <v>1245.6780000000001</v>
          </cell>
          <cell r="T457">
            <v>309.07800000000009</v>
          </cell>
          <cell r="U457">
            <v>6.5563708107132274E-2</v>
          </cell>
          <cell r="W457">
            <v>6.5563708107132274E-2</v>
          </cell>
          <cell r="Y457">
            <v>-10.076371340965313</v>
          </cell>
          <cell r="AA457">
            <v>-10.076371340965313</v>
          </cell>
          <cell r="AC457">
            <v>2607.5</v>
          </cell>
          <cell r="AE457">
            <v>77.12</v>
          </cell>
          <cell r="AG457">
            <v>29411.764705882353</v>
          </cell>
          <cell r="AH457">
            <v>0.64713087936605551</v>
          </cell>
          <cell r="AI457">
            <v>0.64713087936605551</v>
          </cell>
          <cell r="AK457">
            <v>0.47772885906040274</v>
          </cell>
          <cell r="AM457">
            <v>16.152463692946057</v>
          </cell>
          <cell r="AO457">
            <v>246.36287603734436</v>
          </cell>
          <cell r="AP457">
            <v>246.36287603734436</v>
          </cell>
          <cell r="AQ457" t="str">
            <v>Added 33% of reported minimum &amp; cont. rent given lower CAM for street or strip center stores vs. stores in enclosed shopping malls. We estimate occupancy neutral at +3% comp.</v>
          </cell>
          <cell r="AR457">
            <v>25.002223119672955</v>
          </cell>
          <cell r="AS457">
            <v>3.6985484191688123E-2</v>
          </cell>
          <cell r="AU457">
            <v>14.925851778707642</v>
          </cell>
          <cell r="BA457">
            <v>2.8678137921835489E-2</v>
          </cell>
          <cell r="BB457">
            <v>2.8678137921835489E-2</v>
          </cell>
        </row>
        <row r="458">
          <cell r="A458" t="str">
            <v>TJX2009</v>
          </cell>
          <cell r="B458" t="str">
            <v>TJX</v>
          </cell>
          <cell r="C458">
            <v>2009</v>
          </cell>
          <cell r="D458">
            <v>21</v>
          </cell>
          <cell r="E458">
            <v>21</v>
          </cell>
          <cell r="F458">
            <v>20288.444</v>
          </cell>
          <cell r="G458">
            <v>20288.444</v>
          </cell>
          <cell r="H458">
            <v>0.06</v>
          </cell>
          <cell r="J458">
            <v>9.8138181518503828E-2</v>
          </cell>
          <cell r="L458">
            <v>962</v>
          </cell>
          <cell r="N458">
            <v>4.7416154733206747E-2</v>
          </cell>
          <cell r="P458">
            <v>4.7416154733206747E-2</v>
          </cell>
          <cell r="R458">
            <v>0.33</v>
          </cell>
          <cell r="S458">
            <v>1279.46</v>
          </cell>
          <cell r="U458">
            <v>6.3063485795164978E-2</v>
          </cell>
          <cell r="W458">
            <v>6.3063485795164978E-2</v>
          </cell>
          <cell r="Y458">
            <v>25.002223119672955</v>
          </cell>
          <cell r="AA458">
            <v>25.002223119672955</v>
          </cell>
          <cell r="AC458">
            <v>2697.5</v>
          </cell>
          <cell r="AE458">
            <v>79.349999999999994</v>
          </cell>
          <cell r="AG458">
            <v>29420.342690484871</v>
          </cell>
          <cell r="AH458">
            <v>0.27115330319976505</v>
          </cell>
          <cell r="AI458">
            <v>0</v>
          </cell>
          <cell r="AK458">
            <v>0.47431325301204819</v>
          </cell>
          <cell r="AM458">
            <v>16.124259609325772</v>
          </cell>
          <cell r="AO458">
            <v>255.68297416509137</v>
          </cell>
          <cell r="AP458">
            <v>255.68297416509137</v>
          </cell>
          <cell r="AR458">
            <v>-2.5858899407142646</v>
          </cell>
          <cell r="AS458">
            <v>3.4515819750719157E-2</v>
          </cell>
          <cell r="AU458">
            <v>22.416333178958691</v>
          </cell>
          <cell r="BA458">
            <v>2.8915975103734226E-2</v>
          </cell>
          <cell r="BB458">
            <v>2.8915975103734226E-2</v>
          </cell>
          <cell r="BC458">
            <v>0</v>
          </cell>
        </row>
        <row r="459">
          <cell r="A459" t="str">
            <v>TJX2010</v>
          </cell>
          <cell r="B459" t="str">
            <v>TJX</v>
          </cell>
          <cell r="C459">
            <v>2010</v>
          </cell>
          <cell r="D459">
            <v>22</v>
          </cell>
          <cell r="E459">
            <v>22</v>
          </cell>
          <cell r="F459">
            <v>21663.250999999997</v>
          </cell>
          <cell r="G459">
            <v>21663.250999999997</v>
          </cell>
          <cell r="H459">
            <v>0.04</v>
          </cell>
          <cell r="J459">
            <v>0.10767252800606876</v>
          </cell>
          <cell r="L459">
            <v>1031.4000000000001</v>
          </cell>
          <cell r="N459">
            <v>4.7610582548298051E-2</v>
          </cell>
          <cell r="P459">
            <v>4.7610582548298051E-2</v>
          </cell>
          <cell r="R459">
            <v>0.33</v>
          </cell>
          <cell r="S459">
            <v>1371.7620000000002</v>
          </cell>
          <cell r="U459">
            <v>6.3322074789236404E-2</v>
          </cell>
          <cell r="W459">
            <v>6.3322074789236404E-2</v>
          </cell>
          <cell r="Y459">
            <v>-2.5858899407142646</v>
          </cell>
          <cell r="AA459">
            <v>-2.5858899407142646</v>
          </cell>
          <cell r="AC459">
            <v>2801</v>
          </cell>
          <cell r="AE459">
            <v>82.4</v>
          </cell>
          <cell r="AG459">
            <v>29415.879678209163</v>
          </cell>
          <cell r="AH459">
            <v>0.72229463047866593</v>
          </cell>
          <cell r="AI459">
            <v>0</v>
          </cell>
          <cell r="AK459">
            <v>0.4897400928239915</v>
          </cell>
          <cell r="AM459">
            <v>16.647597087378642</v>
          </cell>
          <cell r="AO459">
            <v>262.90353155339801</v>
          </cell>
          <cell r="AP459">
            <v>262.90353155339801</v>
          </cell>
          <cell r="AR459">
            <v>10.16582641933557</v>
          </cell>
          <cell r="AS459">
            <v>3.8368860055607135E-2</v>
          </cell>
          <cell r="BA459">
            <v>3.843730308758686E-2</v>
          </cell>
          <cell r="BB459">
            <v>3.843730308758686E-2</v>
          </cell>
          <cell r="BC459">
            <v>0</v>
          </cell>
        </row>
        <row r="460">
          <cell r="A460" t="str">
            <v>TJX2011</v>
          </cell>
          <cell r="B460" t="str">
            <v>TJX</v>
          </cell>
          <cell r="C460">
            <v>2011</v>
          </cell>
          <cell r="D460">
            <v>23</v>
          </cell>
          <cell r="E460">
            <v>23</v>
          </cell>
          <cell r="F460">
            <v>23182.226000000002</v>
          </cell>
          <cell r="G460">
            <v>23182.226000000002</v>
          </cell>
          <cell r="H460">
            <v>0.04</v>
          </cell>
          <cell r="J460">
            <v>0.108524220236659</v>
          </cell>
          <cell r="L460">
            <v>1086</v>
          </cell>
          <cell r="N460">
            <v>4.6846234697220185E-2</v>
          </cell>
          <cell r="P460">
            <v>4.6846234697220185E-2</v>
          </cell>
          <cell r="R460">
            <v>0.33</v>
          </cell>
          <cell r="S460">
            <v>1444.38</v>
          </cell>
          <cell r="U460">
            <v>6.2305492147302848E-2</v>
          </cell>
          <cell r="W460">
            <v>6.2305492147302848E-2</v>
          </cell>
          <cell r="Y460">
            <v>10.16582641933557</v>
          </cell>
          <cell r="AA460">
            <v>10.16582641933557</v>
          </cell>
          <cell r="AC460">
            <v>2882</v>
          </cell>
          <cell r="AE460">
            <v>84.699999999999989</v>
          </cell>
          <cell r="AG460">
            <v>29363.166953528398</v>
          </cell>
          <cell r="AH460" t="e">
            <v>#REF!</v>
          </cell>
          <cell r="AI460">
            <v>0</v>
          </cell>
          <cell r="AK460">
            <v>0.50117279666897996</v>
          </cell>
          <cell r="AM460">
            <v>17.052892561983473</v>
          </cell>
          <cell r="AO460">
            <v>273.69806375442744</v>
          </cell>
          <cell r="AP460">
            <v>273.69806375442744</v>
          </cell>
          <cell r="AR460">
            <v>20.91967123394857</v>
          </cell>
          <cell r="AS460">
            <v>2.8918243484469919E-2</v>
          </cell>
          <cell r="BA460">
            <v>2.7912621359223122E-2</v>
          </cell>
          <cell r="BB460">
            <v>2.7912621359223122E-2</v>
          </cell>
        </row>
        <row r="461">
          <cell r="A461" t="str">
            <v>TJX2012</v>
          </cell>
          <cell r="B461" t="str">
            <v>TJX</v>
          </cell>
          <cell r="C461">
            <v>2012</v>
          </cell>
          <cell r="D461">
            <v>24</v>
          </cell>
          <cell r="E461">
            <v>24</v>
          </cell>
          <cell r="F461">
            <v>25878.372000000003</v>
          </cell>
          <cell r="G461">
            <v>25878.372000000003</v>
          </cell>
          <cell r="H461">
            <v>7.0000000000000007E-2</v>
          </cell>
          <cell r="J461">
            <v>0.12004333193757324</v>
          </cell>
          <cell r="L461">
            <v>1171.5999999999999</v>
          </cell>
          <cell r="N461">
            <v>4.5273327085645097E-2</v>
          </cell>
          <cell r="P461">
            <v>4.5273327085645097E-2</v>
          </cell>
          <cell r="R461">
            <v>0.33</v>
          </cell>
          <cell r="S461">
            <v>1558.2280000000001</v>
          </cell>
          <cell r="U461">
            <v>6.0213525023907991E-2</v>
          </cell>
          <cell r="W461">
            <v>6.0213525023907991E-2</v>
          </cell>
          <cell r="Y461">
            <v>20.91967123394857</v>
          </cell>
          <cell r="AA461">
            <v>20.91967123394857</v>
          </cell>
          <cell r="AC461">
            <v>2977.5</v>
          </cell>
          <cell r="AE461">
            <v>87.199999999999989</v>
          </cell>
          <cell r="AG461">
            <v>29213.114754098358</v>
          </cell>
          <cell r="AH461" t="e">
            <v>#REF!</v>
          </cell>
          <cell r="AI461">
            <v>0</v>
          </cell>
          <cell r="AK461">
            <v>0.52333434089000841</v>
          </cell>
          <cell r="AM461">
            <v>17.869587155963305</v>
          </cell>
          <cell r="AO461">
            <v>296.7703211009175</v>
          </cell>
          <cell r="AP461">
            <v>296.7703211009175</v>
          </cell>
          <cell r="AR461">
            <v>1.6085915910753201</v>
          </cell>
          <cell r="AS461">
            <v>3.3136710617626575E-2</v>
          </cell>
          <cell r="BA461">
            <v>2.9515938606847758E-2</v>
          </cell>
          <cell r="BB461">
            <v>2.9515938606847758E-2</v>
          </cell>
        </row>
        <row r="462">
          <cell r="A462" t="str">
            <v>TJX2013</v>
          </cell>
          <cell r="B462" t="str">
            <v>TJX</v>
          </cell>
          <cell r="C462" t="str">
            <v>2013e</v>
          </cell>
          <cell r="D462">
            <v>25</v>
          </cell>
          <cell r="E462">
            <v>25</v>
          </cell>
          <cell r="F462">
            <v>27422.696</v>
          </cell>
          <cell r="G462">
            <v>27422.696</v>
          </cell>
          <cell r="H462">
            <v>0.03</v>
          </cell>
          <cell r="J462">
            <v>0.12218237039859245</v>
          </cell>
          <cell r="L462">
            <v>1238.2</v>
          </cell>
          <cell r="N462">
            <v>4.5152380349474032E-2</v>
          </cell>
          <cell r="P462">
            <v>4.5152380349474032E-2</v>
          </cell>
          <cell r="R462">
            <v>0.33</v>
          </cell>
          <cell r="S462">
            <v>1646.806</v>
          </cell>
          <cell r="U462">
            <v>6.0052665864800459E-2</v>
          </cell>
          <cell r="W462">
            <v>6.0052665864800459E-2</v>
          </cell>
          <cell r="Y462">
            <v>1.6085915910753201</v>
          </cell>
          <cell r="AA462">
            <v>1.6085915910753201</v>
          </cell>
          <cell r="AC462">
            <v>3134.5</v>
          </cell>
          <cell r="AE462">
            <v>91.199999999999989</v>
          </cell>
          <cell r="AG462">
            <v>28984.156570363466</v>
          </cell>
          <cell r="AH462" t="e">
            <v>#REF!</v>
          </cell>
          <cell r="AI462">
            <v>0</v>
          </cell>
          <cell r="AK462">
            <v>0.52538076248205456</v>
          </cell>
          <cell r="AM462">
            <v>18.057083333333335</v>
          </cell>
          <cell r="AO462">
            <v>300.68745614035089</v>
          </cell>
          <cell r="AP462">
            <v>300.68745614035089</v>
          </cell>
          <cell r="BA462">
            <v>4.587155963302747E-2</v>
          </cell>
          <cell r="BB462">
            <v>4.587155963302747E-2</v>
          </cell>
        </row>
        <row r="463">
          <cell r="C463" t="str">
            <v>2011 = Trough rent</v>
          </cell>
          <cell r="F463">
            <v>17404.637000000002</v>
          </cell>
          <cell r="G463">
            <v>17404.637000000002</v>
          </cell>
          <cell r="H463">
            <v>0.03</v>
          </cell>
          <cell r="J463">
            <v>7.2818180580267233E-2</v>
          </cell>
          <cell r="L463">
            <v>837.6</v>
          </cell>
          <cell r="N463">
            <v>4.8125105970322733E-2</v>
          </cell>
          <cell r="P463">
            <v>4.8125105970322733E-2</v>
          </cell>
          <cell r="S463">
            <v>837.6</v>
          </cell>
          <cell r="U463">
            <v>4.8125105970322733E-2</v>
          </cell>
          <cell r="W463">
            <v>4.8125105970322733E-2</v>
          </cell>
          <cell r="Z463">
            <v>0</v>
          </cell>
          <cell r="AB463">
            <v>0</v>
          </cell>
          <cell r="AC463">
            <v>2423.5</v>
          </cell>
          <cell r="AE463">
            <v>72.137500000000003</v>
          </cell>
          <cell r="AG463">
            <v>29886.455798864554</v>
          </cell>
          <cell r="AH463">
            <v>0.79164037880162208</v>
          </cell>
          <cell r="AI463">
            <v>0.79164037880162208</v>
          </cell>
          <cell r="AK463">
            <v>0.34561584485248609</v>
          </cell>
          <cell r="AM463">
            <v>11.611159244498353</v>
          </cell>
          <cell r="AO463">
            <v>241.27031017154741</v>
          </cell>
          <cell r="AP463">
            <v>241.27031017154741</v>
          </cell>
          <cell r="AR463">
            <v>2.5320000938236595E-2</v>
          </cell>
          <cell r="AS463" t="str">
            <v xml:space="preserve">center vs. a mall. Minimum rent includes rent expense on DC's, HQ (ex. capital </v>
          </cell>
        </row>
        <row r="465">
          <cell r="C465" t="str">
            <v>Off-Price Retail Equal Weighted Average</v>
          </cell>
          <cell r="AE465" t="str">
            <v>% Change</v>
          </cell>
        </row>
        <row r="466">
          <cell r="C466" t="str">
            <v>2005 (total revs.)</v>
          </cell>
          <cell r="H466">
            <v>0.04</v>
          </cell>
          <cell r="J466">
            <v>6.5262164526644489E-2</v>
          </cell>
          <cell r="U466">
            <v>6.5206760884000001E-2</v>
          </cell>
          <cell r="Y466">
            <v>5.0266215938087058</v>
          </cell>
          <cell r="AA466">
            <v>5.0266215938087058</v>
          </cell>
          <cell r="AH466">
            <v>0.73128394540803743</v>
          </cell>
          <cell r="AI466">
            <v>0.73128394540803743</v>
          </cell>
          <cell r="AK466">
            <v>0.46058237589529438</v>
          </cell>
          <cell r="AM466">
            <v>15.660998706256414</v>
          </cell>
          <cell r="AO466">
            <v>240.13142496118456</v>
          </cell>
        </row>
        <row r="467">
          <cell r="C467" t="str">
            <v>2006 (total revs.)</v>
          </cell>
          <cell r="H467">
            <v>3.5000000000000003E-2</v>
          </cell>
          <cell r="J467">
            <v>7.138532996511894E-2</v>
          </cell>
          <cell r="U467">
            <v>5.6799256807817972E-2</v>
          </cell>
          <cell r="Y467">
            <v>84.075040761820333</v>
          </cell>
          <cell r="AA467">
            <v>84.075040761820333</v>
          </cell>
          <cell r="AH467">
            <v>0.82152063866441738</v>
          </cell>
          <cell r="AI467">
            <v>0.82152063866441738</v>
          </cell>
          <cell r="AK467">
            <v>0.41101865397425091</v>
          </cell>
          <cell r="AM467">
            <v>13.918827418472866</v>
          </cell>
          <cell r="AO467">
            <v>244.55184260836762</v>
          </cell>
        </row>
        <row r="468">
          <cell r="C468" t="str">
            <v>2007 (total revs.)</v>
          </cell>
          <cell r="H468">
            <v>1.4999999999999999E-2</v>
          </cell>
          <cell r="J468">
            <v>7.4634312124126245E-2</v>
          </cell>
          <cell r="R468">
            <v>0.33</v>
          </cell>
          <cell r="U468">
            <v>6.5842037901829659E-2</v>
          </cell>
          <cell r="Y468">
            <v>-90.427810940116899</v>
          </cell>
          <cell r="AA468">
            <v>-90.427810940116899</v>
          </cell>
          <cell r="AE468">
            <v>7.2203486621471358E-2</v>
          </cell>
          <cell r="AH468">
            <v>0.82443548577897574</v>
          </cell>
          <cell r="AI468">
            <v>0.82443548577897574</v>
          </cell>
          <cell r="AK468">
            <v>0.47488204498555681</v>
          </cell>
          <cell r="AM468">
            <v>16.027194076114</v>
          </cell>
          <cell r="AO468">
            <v>243.47581127128188</v>
          </cell>
          <cell r="BA468">
            <v>7.2203486621471358E-2</v>
          </cell>
          <cell r="BB468">
            <v>8.1792350648589751E-2</v>
          </cell>
        </row>
        <row r="469">
          <cell r="C469" t="str">
            <v>2008 (total revs.)</v>
          </cell>
          <cell r="H469">
            <v>1.4999999999999999E-2</v>
          </cell>
          <cell r="J469">
            <v>7.5931236807200014E-2</v>
          </cell>
          <cell r="R469">
            <v>0.32500000000000001</v>
          </cell>
          <cell r="U469">
            <v>6.5943955574979729E-2</v>
          </cell>
          <cell r="W469">
            <v>6.5943955574979729E-2</v>
          </cell>
          <cell r="Y469">
            <v>-1.019176731500635</v>
          </cell>
          <cell r="AA469">
            <v>-1.019176731500635</v>
          </cell>
          <cell r="AE469">
            <v>6.2877139515998048E-2</v>
          </cell>
          <cell r="AH469">
            <v>0.6609694625170377</v>
          </cell>
          <cell r="AI469">
            <v>0.6609694625170377</v>
          </cell>
          <cell r="AK469">
            <v>0.4719023493568536</v>
          </cell>
          <cell r="AM469">
            <v>15.969589644638166</v>
          </cell>
          <cell r="AO469">
            <v>242.19316278931439</v>
          </cell>
          <cell r="BA469">
            <v>6.2877139515998048E-2</v>
          </cell>
          <cell r="BB469">
            <v>6.2904612985389685E-2</v>
          </cell>
        </row>
        <row r="470">
          <cell r="C470" t="str">
            <v>2009 (total revs.)</v>
          </cell>
          <cell r="H470">
            <v>0.06</v>
          </cell>
          <cell r="J470">
            <v>9.9605036728559859E-2</v>
          </cell>
          <cell r="R470">
            <v>0.32500000000000001</v>
          </cell>
          <cell r="U470">
            <v>6.2445358626960226E-2</v>
          </cell>
          <cell r="W470">
            <v>6.2445358626960226E-2</v>
          </cell>
          <cell r="Y470">
            <v>34.985969480194953</v>
          </cell>
          <cell r="AA470">
            <v>34.985969480194953</v>
          </cell>
          <cell r="AE470">
            <v>4.4274501313334991E-2</v>
          </cell>
          <cell r="AH470">
            <v>0.53489821242840807</v>
          </cell>
          <cell r="AI470">
            <v>0</v>
          </cell>
          <cell r="AK470">
            <v>0.46366351074875739</v>
          </cell>
          <cell r="AM470">
            <v>15.753558376091458</v>
          </cell>
          <cell r="AO470">
            <v>252.24344379250238</v>
          </cell>
          <cell r="AR470">
            <v>-5.7020467579714795E-3</v>
          </cell>
          <cell r="BA470">
            <v>4.4274501313334991E-2</v>
          </cell>
          <cell r="BB470">
            <v>4.999127267257971E-2</v>
          </cell>
        </row>
        <row r="471">
          <cell r="C471" t="str">
            <v>2010 (total revs.)</v>
          </cell>
          <cell r="H471">
            <v>4.4999999999999998E-2</v>
          </cell>
          <cell r="J471">
            <v>0.1114626608197542</v>
          </cell>
          <cell r="R471">
            <v>0.32</v>
          </cell>
          <cell r="U471">
            <v>6.1671080490942935E-2</v>
          </cell>
          <cell r="W471">
            <v>6.1671080490942935E-2</v>
          </cell>
          <cell r="Y471">
            <v>7.7427813601729092</v>
          </cell>
          <cell r="AA471">
            <v>7.7427813601729092</v>
          </cell>
          <cell r="AE471">
            <v>4.4110426435568284E-2</v>
          </cell>
          <cell r="AH471">
            <v>0.81224653884555886</v>
          </cell>
          <cell r="AI471">
            <v>0</v>
          </cell>
          <cell r="AK471">
            <v>0.47405645417898601</v>
          </cell>
          <cell r="AM471">
            <v>16.111410914823342</v>
          </cell>
          <cell r="AO471">
            <v>261.2018688694825</v>
          </cell>
          <cell r="AR471">
            <v>5.9032668417779988E-3</v>
          </cell>
          <cell r="BA471">
            <v>4.4110426435568284E-2</v>
          </cell>
          <cell r="BB471">
            <v>3.2111129831889892E-2</v>
          </cell>
        </row>
        <row r="472">
          <cell r="C472" t="str">
            <v>2011 (total revs.)</v>
          </cell>
          <cell r="H472">
            <v>4.4999999999999998E-2</v>
          </cell>
          <cell r="J472">
            <v>0.11603197826056581</v>
          </cell>
          <cell r="R472">
            <v>0.317</v>
          </cell>
          <cell r="U472">
            <v>5.9934300972295074E-2</v>
          </cell>
          <cell r="W472">
            <v>5.9934300972295074E-2</v>
          </cell>
          <cell r="Y472">
            <v>17.367795186478617</v>
          </cell>
          <cell r="AA472">
            <v>17.367795186478617</v>
          </cell>
          <cell r="AE472">
            <v>4.1397960164147651E-2</v>
          </cell>
          <cell r="AH472" t="e">
            <v>#REF!</v>
          </cell>
          <cell r="AI472">
            <v>0</v>
          </cell>
          <cell r="AK472">
            <v>0.47788915062806797</v>
          </cell>
          <cell r="AM472">
            <v>16.274721167117804</v>
          </cell>
          <cell r="AO472">
            <v>271.45390144406275</v>
          </cell>
          <cell r="AR472">
            <v>5.8813901914091041E-3</v>
          </cell>
          <cell r="BA472">
            <v>4.1397960164147651E-2</v>
          </cell>
          <cell r="BB472">
            <v>3.4818645284444533E-2</v>
          </cell>
        </row>
        <row r="473">
          <cell r="C473" t="str">
            <v>2012 (total revs.)</v>
          </cell>
          <cell r="H473">
            <v>6.5000000000000002E-2</v>
          </cell>
          <cell r="J473">
            <v>0.12543378902320507</v>
          </cell>
          <cell r="R473">
            <v>0.317</v>
          </cell>
          <cell r="U473">
            <v>5.7377766254856646E-2</v>
          </cell>
          <cell r="W473">
            <v>5.7377766254856646E-2</v>
          </cell>
          <cell r="Y473">
            <v>25.565347174384236</v>
          </cell>
          <cell r="AA473">
            <v>25.565347174384236</v>
          </cell>
          <cell r="AE473">
            <v>4.6113370125599129E-2</v>
          </cell>
          <cell r="AH473" t="e">
            <v>#REF!</v>
          </cell>
          <cell r="AI473">
            <v>0</v>
          </cell>
          <cell r="AK473">
            <v>0.48981106029009891</v>
          </cell>
          <cell r="AM473">
            <v>16.736214355230384</v>
          </cell>
          <cell r="AO473">
            <v>291.42024739208387</v>
          </cell>
          <cell r="AR473">
            <v>5.5197280218863536E-3</v>
          </cell>
          <cell r="BA473">
            <v>4.6113370125599129E-2</v>
          </cell>
          <cell r="BB473">
            <v>3.7717710345610361E-2</v>
          </cell>
        </row>
        <row r="474">
          <cell r="C474" t="str">
            <v>2013e (total revs.)</v>
          </cell>
          <cell r="H474">
            <v>0.03</v>
          </cell>
          <cell r="J474">
            <v>0.12574902289237538</v>
          </cell>
          <cell r="R474">
            <v>0.317</v>
          </cell>
          <cell r="U474">
            <v>5.7743343283851445E-2</v>
          </cell>
          <cell r="W474">
            <v>5.7743343283851445E-2</v>
          </cell>
          <cell r="Y474">
            <v>-3.6557702899479847</v>
          </cell>
          <cell r="AA474">
            <v>-3.6557702899479847</v>
          </cell>
          <cell r="AE474">
            <v>5.3332555699791118E-2</v>
          </cell>
          <cell r="AH474" t="e">
            <v>#REF!</v>
          </cell>
          <cell r="AI474">
            <v>0</v>
          </cell>
          <cell r="AK474">
            <v>0.49182557316021924</v>
          </cell>
          <cell r="AM474">
            <v>16.89473950422709</v>
          </cell>
          <cell r="AO474">
            <v>292.24571781974021</v>
          </cell>
          <cell r="BA474">
            <v>5.3332555699791118E-2</v>
          </cell>
        </row>
        <row r="475">
          <cell r="C475" t="str">
            <v>Trough rent year</v>
          </cell>
          <cell r="H475">
            <v>4.4999999999999998E-2</v>
          </cell>
          <cell r="J475">
            <v>0.10182121334455206</v>
          </cell>
          <cell r="U475">
            <v>5.1333556728064021E-2</v>
          </cell>
          <cell r="W475">
            <v>5.1333556728064021E-2</v>
          </cell>
          <cell r="AH475">
            <v>0.71358331547257836</v>
          </cell>
          <cell r="AI475">
            <v>0.71358331547257836</v>
          </cell>
          <cell r="AK475">
            <v>0.40095181227133769</v>
          </cell>
          <cell r="AM475">
            <v>13.607000399497906</v>
          </cell>
          <cell r="AO475">
            <v>263.67024192739882</v>
          </cell>
          <cell r="AR475">
            <v>2.0122008380651923E-4</v>
          </cell>
        </row>
        <row r="477">
          <cell r="C477" t="str">
            <v>Softlines Retail Sector Equal Weighted Average</v>
          </cell>
        </row>
        <row r="478">
          <cell r="C478" t="str">
            <v>2005 (total revs.)</v>
          </cell>
          <cell r="H478" t="e">
            <v>#N/A</v>
          </cell>
          <cell r="J478">
            <v>0.13416761295598689</v>
          </cell>
          <cell r="R478">
            <v>0.38279938653943923</v>
          </cell>
          <cell r="U478">
            <v>9.1731816246676173E-2</v>
          </cell>
          <cell r="Y478">
            <v>8.5580158978769489</v>
          </cell>
          <cell r="AA478">
            <v>-10.734854619782036</v>
          </cell>
          <cell r="AH478">
            <v>0.68178217341397473</v>
          </cell>
          <cell r="AI478">
            <v>0.36564197270401871</v>
          </cell>
          <cell r="AK478">
            <v>385.67264346964549</v>
          </cell>
          <cell r="AM478">
            <v>47.386425539569267</v>
          </cell>
          <cell r="AO478">
            <v>513.10857892560409</v>
          </cell>
        </row>
        <row r="479">
          <cell r="C479" t="str">
            <v>2006 (total revs.)</v>
          </cell>
          <cell r="H479" t="e">
            <v>#N/A</v>
          </cell>
          <cell r="J479">
            <v>0.12998817637329441</v>
          </cell>
          <cell r="R479">
            <v>0.397746379650397</v>
          </cell>
          <cell r="U479">
            <v>9.7774064310998374E-2</v>
          </cell>
          <cell r="Y479">
            <v>-57.063307364104311</v>
          </cell>
          <cell r="AA479">
            <v>-82.576275376797042</v>
          </cell>
          <cell r="AH479">
            <v>0.80658050873301979</v>
          </cell>
          <cell r="AI479">
            <v>0.41076031933220869</v>
          </cell>
          <cell r="AK479">
            <v>433.76404624948657</v>
          </cell>
          <cell r="AM479">
            <v>47.237422277741473</v>
          </cell>
          <cell r="AO479">
            <v>539.98391911293788</v>
          </cell>
        </row>
        <row r="480">
          <cell r="C480" t="str">
            <v>2007 (total revs.)</v>
          </cell>
          <cell r="H480" t="e">
            <v>#N/A</v>
          </cell>
          <cell r="J480">
            <v>0.12579639216003458</v>
          </cell>
          <cell r="R480">
            <v>0.35328421711316799</v>
          </cell>
          <cell r="U480">
            <v>9.0222742740986808E-2</v>
          </cell>
          <cell r="Y480">
            <v>75.513215700115609</v>
          </cell>
          <cell r="AA480">
            <v>38.21643059574744</v>
          </cell>
          <cell r="AE480">
            <v>6.8610758603543764E-2</v>
          </cell>
          <cell r="AH480">
            <v>0.8018829773184577</v>
          </cell>
          <cell r="AI480">
            <v>0.41221774288948787</v>
          </cell>
          <cell r="AK480">
            <v>259.60302398802827</v>
          </cell>
          <cell r="AM480">
            <v>60.111002227370577</v>
          </cell>
          <cell r="AO480">
            <v>740.04193223692323</v>
          </cell>
          <cell r="BA480">
            <v>6.8610758603543764E-2</v>
          </cell>
          <cell r="BB480">
            <v>8.1792350648589751E-2</v>
          </cell>
        </row>
        <row r="481">
          <cell r="C481" t="str">
            <v>2008 (total revs.)</v>
          </cell>
          <cell r="H481" t="e">
            <v>#N/A</v>
          </cell>
          <cell r="J481" t="e">
            <v>#N/A</v>
          </cell>
          <cell r="R481">
            <v>0.33346053335026604</v>
          </cell>
          <cell r="U481">
            <v>9.7271670954653791E-2</v>
          </cell>
          <cell r="W481">
            <v>8.8331117399061576E-2</v>
          </cell>
          <cell r="Y481">
            <v>-62.044026763907979</v>
          </cell>
          <cell r="AA481">
            <v>-35.059305956550169</v>
          </cell>
          <cell r="AE481">
            <v>2.2588647047824501E-2</v>
          </cell>
          <cell r="AH481">
            <v>0.74989582551789813</v>
          </cell>
          <cell r="AI481">
            <v>0.33048473125851885</v>
          </cell>
          <cell r="AK481">
            <v>185.94533730774657</v>
          </cell>
          <cell r="AM481">
            <v>78.369139384184137</v>
          </cell>
          <cell r="AO481" t="e">
            <v>#N/A</v>
          </cell>
          <cell r="BA481">
            <v>2.2588647047824501E-2</v>
          </cell>
          <cell r="BB481">
            <v>5.2982669654964377E-2</v>
          </cell>
        </row>
        <row r="482">
          <cell r="C482" t="str">
            <v>2009 (total revs.)</v>
          </cell>
          <cell r="H482" t="e">
            <v>#N/A</v>
          </cell>
          <cell r="J482" t="e">
            <v>#N/A</v>
          </cell>
          <cell r="R482">
            <v>0.31458715158510819</v>
          </cell>
          <cell r="U482">
            <v>0.10758015331521689</v>
          </cell>
          <cell r="W482">
            <v>9.8266728669270748E-2</v>
          </cell>
          <cell r="Y482">
            <v>-31.723046218681915</v>
          </cell>
          <cell r="AA482">
            <v>-115.48875597216706</v>
          </cell>
          <cell r="AE482">
            <v>-2.2256146647740838E-4</v>
          </cell>
          <cell r="AH482">
            <v>0.68663185732937726</v>
          </cell>
          <cell r="AI482">
            <v>0</v>
          </cell>
          <cell r="AK482">
            <v>352.642945899067</v>
          </cell>
          <cell r="AM482">
            <v>2010.4723057815058</v>
          </cell>
          <cell r="AO482" t="e">
            <v>#N/A</v>
          </cell>
          <cell r="BA482">
            <v>-2.2256146647740838E-4</v>
          </cell>
          <cell r="BB482">
            <v>6.6076402607799276E-2</v>
          </cell>
        </row>
        <row r="483">
          <cell r="C483" t="str">
            <v>2010 (total revs.)</v>
          </cell>
          <cell r="H483" t="e">
            <v>#N/A</v>
          </cell>
          <cell r="J483" t="e">
            <v>#N/A</v>
          </cell>
          <cell r="R483">
            <v>0.31409017625348407</v>
          </cell>
          <cell r="U483">
            <v>0.10545775781585209</v>
          </cell>
          <cell r="W483">
            <v>9.5639006990837966E-2</v>
          </cell>
          <cell r="Y483">
            <v>21.223954993648245</v>
          </cell>
          <cell r="AA483">
            <v>26.277216784327724</v>
          </cell>
          <cell r="AE483">
            <v>-0.11536860769757601</v>
          </cell>
          <cell r="AH483">
            <v>0.86384989569903836</v>
          </cell>
          <cell r="AI483">
            <v>0</v>
          </cell>
          <cell r="AK483">
            <v>-2150.8773897573742</v>
          </cell>
          <cell r="AM483">
            <v>3945.6744480154066</v>
          </cell>
          <cell r="AO483" t="e">
            <v>#N/A</v>
          </cell>
          <cell r="BA483">
            <v>-0.11536860769757601</v>
          </cell>
          <cell r="BB483">
            <v>5.2550434326394953E-2</v>
          </cell>
        </row>
        <row r="484">
          <cell r="C484" t="str">
            <v>2011 (total revs.)</v>
          </cell>
          <cell r="H484" t="e">
            <v>#N/A</v>
          </cell>
          <cell r="J484" t="e">
            <v>#N/A</v>
          </cell>
          <cell r="R484">
            <v>0.31087077705339305</v>
          </cell>
          <cell r="U484">
            <v>9.9132449508662485E-2</v>
          </cell>
          <cell r="W484">
            <v>8.9262882795208734E-2</v>
          </cell>
          <cell r="Y484">
            <v>63.253083071895979</v>
          </cell>
          <cell r="AA484">
            <v>63.761241956292075</v>
          </cell>
          <cell r="AE484">
            <v>0.10057702589745358</v>
          </cell>
          <cell r="AH484" t="e">
            <v>#REF!</v>
          </cell>
          <cell r="AI484">
            <v>0</v>
          </cell>
          <cell r="AK484">
            <v>-1406.278743112133</v>
          </cell>
          <cell r="AM484">
            <v>10149.068433247336</v>
          </cell>
          <cell r="AO484" t="e">
            <v>#N/A</v>
          </cell>
          <cell r="BA484">
            <v>0.10057702589745358</v>
          </cell>
          <cell r="BB484">
            <v>6.5975357587888889E-2</v>
          </cell>
        </row>
        <row r="485">
          <cell r="C485" t="str">
            <v>2012 (total revs.)</v>
          </cell>
          <cell r="H485" t="e">
            <v>#N/A</v>
          </cell>
          <cell r="J485" t="e">
            <v>#N/A</v>
          </cell>
          <cell r="R485">
            <v>0.30847885314585383</v>
          </cell>
          <cell r="U485">
            <v>9.44021082479541E-2</v>
          </cell>
          <cell r="W485">
            <v>8.3333926213616141E-2</v>
          </cell>
          <cell r="Y485">
            <v>47.303412607083963</v>
          </cell>
          <cell r="AA485">
            <v>59.289565815926281</v>
          </cell>
          <cell r="AE485">
            <v>-3.3453598853153292E-2</v>
          </cell>
          <cell r="AH485" t="e">
            <v>#REF!</v>
          </cell>
          <cell r="AI485">
            <v>0.35219350565775048</v>
          </cell>
          <cell r="AK485">
            <v>-1455.0770462319995</v>
          </cell>
          <cell r="AM485">
            <v>50123.147309263957</v>
          </cell>
          <cell r="AO485" t="e">
            <v>#N/A</v>
          </cell>
          <cell r="BA485">
            <v>-3.3453598853153292E-2</v>
          </cell>
          <cell r="BB485">
            <v>8.1831488167741356E-2</v>
          </cell>
        </row>
        <row r="486">
          <cell r="C486" t="str">
            <v>2013e (total revs.)</v>
          </cell>
          <cell r="H486" t="e">
            <v>#N/A</v>
          </cell>
          <cell r="J486" t="e">
            <v>#N/A</v>
          </cell>
          <cell r="R486">
            <v>0.30276370817316983</v>
          </cell>
          <cell r="U486">
            <v>0.10391284967929901</v>
          </cell>
          <cell r="W486">
            <v>9.1957846004409524E-2</v>
          </cell>
          <cell r="Y486">
            <v>-119.33734665847804</v>
          </cell>
          <cell r="AA486">
            <v>-86.239197907933857</v>
          </cell>
          <cell r="AE486">
            <v>-3.2968380486347404</v>
          </cell>
          <cell r="AH486" t="e">
            <v>#REF!</v>
          </cell>
          <cell r="AI486">
            <v>0.40526504490227733</v>
          </cell>
          <cell r="AK486">
            <v>-3458.2848591176166</v>
          </cell>
          <cell r="AM486">
            <v>68432.50208464812</v>
          </cell>
          <cell r="BA486">
            <v>-3.2968380486347404</v>
          </cell>
          <cell r="BB486">
            <v>4.6157627710628708E-2</v>
          </cell>
        </row>
        <row r="487">
          <cell r="B487" t="str">
            <v>Footnotes:</v>
          </cell>
        </row>
        <row r="488">
          <cell r="B488" t="str">
            <v>--</v>
          </cell>
          <cell r="C488" t="str">
            <v>Trough rent is defined as the year in which rent expense as a percent of sales was the lowest in the past seven years;  generally retailers experienced trough rent expense in the same year</v>
          </cell>
        </row>
        <row r="489">
          <cell r="C489" t="str">
            <v>they achieved peak operating margin.</v>
          </cell>
          <cell r="BA489" t="str">
            <v>KORS,LULU,URBN</v>
          </cell>
        </row>
        <row r="490">
          <cell r="B490" t="str">
            <v>--</v>
          </cell>
          <cell r="C490" t="str">
            <v xml:space="preserve">For all companies - rent expense as reported in the footnotes to financial statements generally includes rent expense on Headquarters buildings, Distribution Centers, and/or other </v>
          </cell>
          <cell r="BA490">
            <v>-7.2488137949208317E-2</v>
          </cell>
        </row>
        <row r="491">
          <cell r="C491" t="str">
            <v>operating leases such as for office equipment and/or vehicles. The inclusion of these expenses is common to nearly all retailers, thus no adjustments were made to exclude these items.</v>
          </cell>
        </row>
        <row r="492">
          <cell r="C492" t="str">
            <v>We believe these amounts constitute a small fraction of total rent expense and do not meaningfully skew results.</v>
          </cell>
        </row>
        <row r="497">
          <cell r="AU497" t="str">
            <v>Total Square Footage Growth</v>
          </cell>
        </row>
        <row r="498">
          <cell r="A498" t="str">
            <v>--</v>
          </cell>
          <cell r="B498" t="str">
            <v>--</v>
          </cell>
          <cell r="C498" t="str">
            <v>LTD - we excluded $22mm from 2004 rent expense for charge to correct for lease accounting.</v>
          </cell>
          <cell r="AU498">
            <v>2006</v>
          </cell>
          <cell r="AW498">
            <v>182.98589653827486</v>
          </cell>
        </row>
        <row r="499">
          <cell r="A499" t="str">
            <v>--</v>
          </cell>
          <cell r="AU499">
            <v>2007</v>
          </cell>
          <cell r="AW499">
            <v>188.71238214231465</v>
          </cell>
          <cell r="AY499">
            <v>3.1294682881978231E-2</v>
          </cell>
        </row>
        <row r="500">
          <cell r="AU500">
            <v>2008</v>
          </cell>
          <cell r="AW500">
            <v>198.52691941490826</v>
          </cell>
          <cell r="AY500">
            <v>5.2007913636489045E-2</v>
          </cell>
        </row>
        <row r="501">
          <cell r="AU501">
            <v>2009</v>
          </cell>
          <cell r="AW501">
            <v>203.8598434786872</v>
          </cell>
          <cell r="AY501">
            <v>2.6862473258014274E-2</v>
          </cell>
        </row>
        <row r="502">
          <cell r="AU502">
            <v>2010</v>
          </cell>
          <cell r="AW502">
            <v>208.49697691645244</v>
          </cell>
          <cell r="AY502">
            <v>2.2746674178870441E-2</v>
          </cell>
        </row>
        <row r="503">
          <cell r="AU503">
            <v>2011</v>
          </cell>
          <cell r="AW503">
            <v>212.82263177090888</v>
          </cell>
          <cell r="AY503">
            <v>2.0746846877256031E-2</v>
          </cell>
        </row>
        <row r="504">
          <cell r="AU504" t="str">
            <v>Speciality Square Footage Growth</v>
          </cell>
        </row>
        <row r="505">
          <cell r="AU505">
            <v>2006</v>
          </cell>
          <cell r="AW505">
            <v>88.372771538274847</v>
          </cell>
        </row>
        <row r="506">
          <cell r="AU506">
            <v>2007</v>
          </cell>
          <cell r="AW506">
            <v>88.903632142314649</v>
          </cell>
          <cell r="AY506">
            <v>6.0070607133768661E-3</v>
          </cell>
        </row>
        <row r="507">
          <cell r="AU507">
            <v>2008</v>
          </cell>
          <cell r="AW507">
            <v>94.156919414908259</v>
          </cell>
          <cell r="AY507">
            <v>5.908968110756474E-2</v>
          </cell>
        </row>
        <row r="508">
          <cell r="AU508">
            <v>2009</v>
          </cell>
          <cell r="AW508">
            <v>95.634843478687202</v>
          </cell>
          <cell r="AY508">
            <v>1.5696393562605548E-2</v>
          </cell>
        </row>
        <row r="509">
          <cell r="AU509">
            <v>2010</v>
          </cell>
          <cell r="AW509">
            <v>95.784476916452434</v>
          </cell>
          <cell r="AY509">
            <v>1.5646330596921221E-3</v>
          </cell>
        </row>
        <row r="510">
          <cell r="AU510">
            <v>2011</v>
          </cell>
          <cell r="AW510">
            <v>96.146481770908892</v>
          </cell>
          <cell r="AY510">
            <v>3.7793687047247282E-3</v>
          </cell>
        </row>
        <row r="511">
          <cell r="AP511">
            <v>15.28</v>
          </cell>
          <cell r="AU511" t="str">
            <v>Speciality exCOH TIF LULU Square Footage Growth</v>
          </cell>
        </row>
        <row r="512">
          <cell r="AP512">
            <v>33</v>
          </cell>
          <cell r="AU512">
            <v>2006</v>
          </cell>
          <cell r="AW512">
            <v>86.533896038274847</v>
          </cell>
        </row>
        <row r="513">
          <cell r="AP513">
            <v>504.23999999999995</v>
          </cell>
          <cell r="AU513">
            <v>2007</v>
          </cell>
          <cell r="AW513">
            <v>86.783889142314649</v>
          </cell>
          <cell r="AY513">
            <v>2.8889616148708441E-3</v>
          </cell>
        </row>
        <row r="514">
          <cell r="AP514">
            <v>514.24</v>
          </cell>
          <cell r="AU514">
            <v>2008</v>
          </cell>
          <cell r="AW514">
            <v>91.665979914908263</v>
          </cell>
          <cell r="AY514">
            <v>5.6255726965492414E-2</v>
          </cell>
        </row>
        <row r="515">
          <cell r="AP515">
            <v>15.583030303030304</v>
          </cell>
          <cell r="AU515">
            <v>2009</v>
          </cell>
          <cell r="AW515">
            <v>92.788729478687202</v>
          </cell>
          <cell r="AY515">
            <v>1.2248268821444697E-2</v>
          </cell>
        </row>
        <row r="516">
          <cell r="AU516">
            <v>2010</v>
          </cell>
          <cell r="AW516">
            <v>92.652464416452446</v>
          </cell>
          <cell r="AY516">
            <v>-1.4685518704732337E-3</v>
          </cell>
        </row>
        <row r="517">
          <cell r="F517" t="str">
            <v>M</v>
          </cell>
          <cell r="AU517">
            <v>2011</v>
          </cell>
          <cell r="AW517">
            <v>92.725806270908905</v>
          </cell>
          <cell r="AY517">
            <v>7.9158017995939467E-4</v>
          </cell>
        </row>
        <row r="518">
          <cell r="F518" t="str">
            <v>store</v>
          </cell>
          <cell r="G518" t="str">
            <v>total</v>
          </cell>
          <cell r="AU518" t="str">
            <v>Off-Pricers Square Footage Growth</v>
          </cell>
        </row>
        <row r="519">
          <cell r="C519">
            <v>2008</v>
          </cell>
          <cell r="F519">
            <v>1.3347810085132347E-2</v>
          </cell>
          <cell r="G519">
            <v>1.2895982555383058E-2</v>
          </cell>
          <cell r="AU519">
            <v>2006</v>
          </cell>
          <cell r="AW519">
            <v>94.613124999999997</v>
          </cell>
        </row>
        <row r="520">
          <cell r="C520">
            <v>2009</v>
          </cell>
          <cell r="F520">
            <v>1.3631138725345356E-2</v>
          </cell>
          <cell r="G520">
            <v>1.3011073643267727E-2</v>
          </cell>
          <cell r="AU520">
            <v>2007</v>
          </cell>
          <cell r="AW520">
            <v>99.808750000000003</v>
          </cell>
          <cell r="AY520">
            <v>5.4914421228555943E-2</v>
          </cell>
        </row>
        <row r="521">
          <cell r="C521">
            <v>2010</v>
          </cell>
          <cell r="F521">
            <v>1.3296420106166756E-2</v>
          </cell>
          <cell r="G521">
            <v>1.2605089220352382E-2</v>
          </cell>
          <cell r="AU521">
            <v>2008</v>
          </cell>
          <cell r="AW521">
            <v>104.37</v>
          </cell>
          <cell r="AY521">
            <v>4.5699901060778814E-2</v>
          </cell>
        </row>
        <row r="522">
          <cell r="C522">
            <v>2011</v>
          </cell>
          <cell r="F522">
            <v>1.3106585718522482E-2</v>
          </cell>
          <cell r="G522">
            <v>1.2196743960444402E-2</v>
          </cell>
          <cell r="AU522">
            <v>2009</v>
          </cell>
          <cell r="AW522">
            <v>108.22499999999999</v>
          </cell>
          <cell r="AY522">
            <v>3.6935901121011749E-2</v>
          </cell>
        </row>
        <row r="523">
          <cell r="C523">
            <v>2012</v>
          </cell>
          <cell r="F523">
            <v>1.3482094665146972E-2</v>
          </cell>
          <cell r="G523">
            <v>1.2223520724349736E-2</v>
          </cell>
          <cell r="AU523">
            <v>2010</v>
          </cell>
          <cell r="AW523">
            <v>112.71250000000001</v>
          </cell>
          <cell r="AY523">
            <v>4.1464541464541593E-2</v>
          </cell>
        </row>
        <row r="524">
          <cell r="AU524">
            <v>2011</v>
          </cell>
          <cell r="AW524">
            <v>116.67614999999999</v>
          </cell>
          <cell r="AY524">
            <v>3.5166019740490162E-2</v>
          </cell>
        </row>
        <row r="525">
          <cell r="F525" t="str">
            <v>KSS</v>
          </cell>
        </row>
        <row r="526">
          <cell r="C526">
            <v>2008</v>
          </cell>
          <cell r="F526">
            <v>2.418289548788306E-2</v>
          </cell>
          <cell r="G526">
            <v>2.3675285406175757E-2</v>
          </cell>
        </row>
        <row r="527">
          <cell r="C527">
            <v>2009</v>
          </cell>
          <cell r="F527">
            <v>2.4607831397437434E-2</v>
          </cell>
          <cell r="G527">
            <v>2.3925951798812434E-2</v>
          </cell>
        </row>
        <row r="528">
          <cell r="C528">
            <v>2010</v>
          </cell>
          <cell r="F528">
            <v>2.4446833795484128E-2</v>
          </cell>
          <cell r="G528">
            <v>2.3489750421401771E-2</v>
          </cell>
        </row>
        <row r="529">
          <cell r="C529">
            <v>2011</v>
          </cell>
          <cell r="F529">
            <v>2.3912433342688746E-2</v>
          </cell>
          <cell r="G529">
            <v>2.265475430759413E-2</v>
          </cell>
        </row>
        <row r="530">
          <cell r="C530">
            <v>2012</v>
          </cell>
          <cell r="F530">
            <v>2.4077495940422196E-2</v>
          </cell>
          <cell r="G530">
            <v>2.2302904564315353E-2</v>
          </cell>
        </row>
        <row r="532">
          <cell r="F532" t="str">
            <v>JCP</v>
          </cell>
        </row>
        <row r="533">
          <cell r="C533">
            <v>2008</v>
          </cell>
          <cell r="F533">
            <v>2.4184690828073882E-2</v>
          </cell>
          <cell r="G533">
            <v>2.0780400015049837E-2</v>
          </cell>
        </row>
        <row r="534">
          <cell r="C534">
            <v>2009</v>
          </cell>
          <cell r="F534">
            <v>2.5576892288200301E-2</v>
          </cell>
          <cell r="G534">
            <v>2.2015250586441375E-2</v>
          </cell>
        </row>
        <row r="535">
          <cell r="C535">
            <v>2010</v>
          </cell>
          <cell r="F535">
            <v>2.483909272688032E-2</v>
          </cell>
          <cell r="G535">
            <v>2.1709024189349727E-2</v>
          </cell>
        </row>
        <row r="536">
          <cell r="C536">
            <v>2011</v>
          </cell>
          <cell r="F536">
            <v>2.5537646695094018E-2</v>
          </cell>
          <cell r="G536">
            <v>2.2377025654398513E-2</v>
          </cell>
        </row>
        <row r="537">
          <cell r="C537">
            <v>2012</v>
          </cell>
          <cell r="F537">
            <v>3.1387591658716095E-2</v>
          </cell>
          <cell r="G537">
            <v>2.8915984999414036E-2</v>
          </cell>
        </row>
        <row r="539">
          <cell r="F539" t="str">
            <v>SKS</v>
          </cell>
        </row>
        <row r="540">
          <cell r="C540">
            <v>2008</v>
          </cell>
          <cell r="F540">
            <v>4.694373466456208E-2</v>
          </cell>
          <cell r="G540">
            <v>4.4427593067493949E-2</v>
          </cell>
        </row>
        <row r="541">
          <cell r="C541">
            <v>2009</v>
          </cell>
          <cell r="F541">
            <v>5.4498108200846621E-2</v>
          </cell>
          <cell r="G541">
            <v>5.0688876144587454E-2</v>
          </cell>
        </row>
        <row r="542">
          <cell r="C542">
            <v>2010</v>
          </cell>
          <cell r="F542">
            <v>5.0569598183313878E-2</v>
          </cell>
          <cell r="G542">
            <v>4.6295713776437097E-2</v>
          </cell>
        </row>
        <row r="543">
          <cell r="C543">
            <v>2011</v>
          </cell>
          <cell r="F543">
            <v>4.778917206350887E-2</v>
          </cell>
          <cell r="G543">
            <v>4.3010254857157981E-2</v>
          </cell>
        </row>
        <row r="544">
          <cell r="C544">
            <v>2012</v>
          </cell>
          <cell r="F544">
            <v>4.8783069373031465E-2</v>
          </cell>
          <cell r="G544">
            <v>4.3178247989274478E-2</v>
          </cell>
        </row>
        <row r="546">
          <cell r="F546" t="str">
            <v>JWN</v>
          </cell>
        </row>
        <row r="547">
          <cell r="C547">
            <v>2008</v>
          </cell>
          <cell r="F547">
            <v>1.1938382541720154E-2</v>
          </cell>
          <cell r="G547">
            <v>1.1216982269931251E-2</v>
          </cell>
        </row>
        <row r="548">
          <cell r="C548">
            <v>2009</v>
          </cell>
          <cell r="F548">
            <v>1.3385315139701105E-2</v>
          </cell>
          <cell r="G548">
            <v>1.247275369338823E-2</v>
          </cell>
        </row>
        <row r="549">
          <cell r="C549">
            <v>2010</v>
          </cell>
          <cell r="F549">
            <v>1.4758861127251598E-2</v>
          </cell>
          <cell r="G549">
            <v>1.364124597207304E-2</v>
          </cell>
        </row>
        <row r="550">
          <cell r="C550">
            <v>2011</v>
          </cell>
          <cell r="F550">
            <v>1.5338063439065108E-2</v>
          </cell>
          <cell r="G550">
            <v>1.4004001143183767E-2</v>
          </cell>
        </row>
        <row r="551">
          <cell r="C551">
            <v>2012</v>
          </cell>
          <cell r="F551">
            <v>1.7058991708758221E-2</v>
          </cell>
          <cell r="G551">
            <v>1.5218500255058663E-2</v>
          </cell>
        </row>
        <row r="553">
          <cell r="F553" t="str">
            <v>All Softlines</v>
          </cell>
        </row>
        <row r="554">
          <cell r="C554">
            <v>2008</v>
          </cell>
          <cell r="F554">
            <v>8.3328393284892999E-2</v>
          </cell>
          <cell r="G554">
            <v>7.4588558120258303E-2</v>
          </cell>
        </row>
        <row r="555">
          <cell r="C555">
            <v>2009</v>
          </cell>
          <cell r="F555">
            <v>8.6655347924080153E-2</v>
          </cell>
          <cell r="G555">
            <v>8.4567126667719761E-2</v>
          </cell>
          <cell r="J555">
            <v>-33.269546391871543</v>
          </cell>
          <cell r="L555">
            <v>-99.785685474614581</v>
          </cell>
        </row>
        <row r="556">
          <cell r="C556">
            <v>2010</v>
          </cell>
          <cell r="F556">
            <v>8.5065185071975039E-2</v>
          </cell>
          <cell r="G556">
            <v>8.1857171596805695E-2</v>
          </cell>
          <cell r="J556">
            <v>15.901628521051148</v>
          </cell>
          <cell r="L556">
            <v>27.099550709140662</v>
          </cell>
        </row>
        <row r="557">
          <cell r="C557">
            <v>2011</v>
          </cell>
          <cell r="F557">
            <v>8.0062373347216789E-2</v>
          </cell>
          <cell r="G557">
            <v>7.6453658774331537E-2</v>
          </cell>
          <cell r="J557">
            <v>50.028117247582493</v>
          </cell>
          <cell r="L557">
            <v>54.035128224741577</v>
          </cell>
        </row>
        <row r="558">
          <cell r="C558">
            <v>2012</v>
          </cell>
          <cell r="F558">
            <v>7.649786112196641E-2</v>
          </cell>
          <cell r="G558">
            <v>7.167029382141063E-2</v>
          </cell>
          <cell r="J558">
            <v>35.645122252503796</v>
          </cell>
          <cell r="L558">
            <v>47.833649529209069</v>
          </cell>
        </row>
        <row r="560">
          <cell r="F560">
            <v>1.0157486802113744E-2</v>
          </cell>
          <cell r="G560">
            <v>1.2896832846309131E-2</v>
          </cell>
        </row>
      </sheetData>
      <sheetData sheetId="4">
        <row r="1">
          <cell r="C1">
            <v>10</v>
          </cell>
          <cell r="H1">
            <v>23</v>
          </cell>
        </row>
        <row r="2">
          <cell r="B2" t="str">
            <v>Operating Margin and Rent Expense Performance vs. Sector Leader, Ranked by EBIT Margin</v>
          </cell>
        </row>
        <row r="3">
          <cell r="C3" t="str">
            <v>Ranked By: 2012 Operating Margin</v>
          </cell>
          <cell r="E3" t="str">
            <v>EBIT Margin Trails Apparel Leader by X bps</v>
          </cell>
          <cell r="H3" t="str">
            <v>2012 Adj. Rent Expense % of Total Sales</v>
          </cell>
          <cell r="J3" t="str">
            <v>Rent Margin Differential vs. Apparel Leader</v>
          </cell>
          <cell r="M3" t="str">
            <v>Rent Margin Differential / EBIT Margin Differential</v>
          </cell>
        </row>
        <row r="8">
          <cell r="B8" t="e">
            <v>#N/A</v>
          </cell>
          <cell r="C8" t="e">
            <v>#N/A</v>
          </cell>
          <cell r="E8" t="str">
            <v>Specialty EBIT Margin Leader</v>
          </cell>
          <cell r="H8" t="e">
            <v>#N/A</v>
          </cell>
          <cell r="J8" t="str">
            <v>Specialty Leader</v>
          </cell>
          <cell r="M8" t="str">
            <v>Specialty Leader</v>
          </cell>
        </row>
        <row r="9">
          <cell r="B9" t="e">
            <v>#N/A</v>
          </cell>
          <cell r="C9" t="e">
            <v>#N/A</v>
          </cell>
          <cell r="E9" t="e">
            <v>#N/A</v>
          </cell>
          <cell r="F9" t="str">
            <v>bps</v>
          </cell>
          <cell r="H9" t="e">
            <v>#N/A</v>
          </cell>
        </row>
        <row r="10">
          <cell r="B10" t="e">
            <v>#N/A</v>
          </cell>
          <cell r="C10" t="e">
            <v>#N/A</v>
          </cell>
          <cell r="E10" t="str">
            <v>Apparel EBIT Margin Leader</v>
          </cell>
          <cell r="H10" t="e">
            <v>#N/A</v>
          </cell>
          <cell r="J10" t="str">
            <v>Apparel Leader</v>
          </cell>
          <cell r="M10" t="str">
            <v>Apparel Leader</v>
          </cell>
        </row>
        <row r="11">
          <cell r="B11" t="e">
            <v>#N/A</v>
          </cell>
          <cell r="C11" t="e">
            <v>#N/A</v>
          </cell>
          <cell r="E11" t="e">
            <v>#N/A</v>
          </cell>
          <cell r="F11" t="str">
            <v>bps</v>
          </cell>
          <cell r="H11" t="e">
            <v>#N/A</v>
          </cell>
          <cell r="J11" t="e">
            <v>#N/A</v>
          </cell>
          <cell r="L11" t="str">
            <v>Higher = worse</v>
          </cell>
          <cell r="M11" t="e">
            <v>#N/A</v>
          </cell>
          <cell r="N11" t="str">
            <v>= % of EBIT differential due to higher rent expense</v>
          </cell>
        </row>
        <row r="12">
          <cell r="B12" t="e">
            <v>#N/A</v>
          </cell>
          <cell r="C12" t="e">
            <v>#N/A</v>
          </cell>
          <cell r="E12" t="e">
            <v>#N/A</v>
          </cell>
          <cell r="F12" t="str">
            <v>bps</v>
          </cell>
          <cell r="H12" t="e">
            <v>#N/A</v>
          </cell>
          <cell r="J12" t="e">
            <v>#N/A</v>
          </cell>
          <cell r="M12" t="e">
            <v>#N/A</v>
          </cell>
        </row>
        <row r="13">
          <cell r="B13" t="e">
            <v>#N/A</v>
          </cell>
          <cell r="C13" t="e">
            <v>#N/A</v>
          </cell>
          <cell r="E13" t="e">
            <v>#N/A</v>
          </cell>
          <cell r="F13" t="str">
            <v>bps</v>
          </cell>
          <cell r="H13" t="e">
            <v>#N/A</v>
          </cell>
          <cell r="J13" t="e">
            <v>#N/A</v>
          </cell>
          <cell r="M13" t="e">
            <v>#N/A</v>
          </cell>
        </row>
        <row r="14">
          <cell r="B14" t="e">
            <v>#N/A</v>
          </cell>
          <cell r="C14" t="e">
            <v>#N/A</v>
          </cell>
          <cell r="E14" t="e">
            <v>#N/A</v>
          </cell>
          <cell r="F14" t="str">
            <v>bps</v>
          </cell>
          <cell r="H14" t="e">
            <v>#N/A</v>
          </cell>
        </row>
        <row r="15">
          <cell r="B15" t="e">
            <v>#N/A</v>
          </cell>
          <cell r="C15" t="e">
            <v>#N/A</v>
          </cell>
          <cell r="E15" t="e">
            <v>#N/A</v>
          </cell>
          <cell r="F15" t="str">
            <v>bps</v>
          </cell>
          <cell r="H15" t="e">
            <v>#N/A</v>
          </cell>
          <cell r="J15" t="e">
            <v>#N/A</v>
          </cell>
          <cell r="M15" t="e">
            <v>#N/A</v>
          </cell>
        </row>
        <row r="16">
          <cell r="B16" t="e">
            <v>#N/A</v>
          </cell>
          <cell r="C16" t="e">
            <v>#N/A</v>
          </cell>
          <cell r="E16" t="e">
            <v>#N/A</v>
          </cell>
          <cell r="F16" t="str">
            <v>bps</v>
          </cell>
          <cell r="H16" t="e">
            <v>#N/A</v>
          </cell>
          <cell r="J16" t="e">
            <v>#N/A</v>
          </cell>
          <cell r="M16" t="e">
            <v>#N/A</v>
          </cell>
        </row>
        <row r="17">
          <cell r="B17" t="e">
            <v>#N/A</v>
          </cell>
          <cell r="C17" t="e">
            <v>#N/A</v>
          </cell>
          <cell r="E17" t="e">
            <v>#N/A</v>
          </cell>
          <cell r="F17" t="str">
            <v>bps</v>
          </cell>
          <cell r="H17" t="e">
            <v>#N/A</v>
          </cell>
        </row>
        <row r="18">
          <cell r="B18" t="e">
            <v>#N/A</v>
          </cell>
          <cell r="C18" t="e">
            <v>#N/A</v>
          </cell>
          <cell r="E18" t="e">
            <v>#N/A</v>
          </cell>
          <cell r="F18" t="str">
            <v>bps</v>
          </cell>
          <cell r="H18" t="e">
            <v>#N/A</v>
          </cell>
          <cell r="J18" t="e">
            <v>#N/A</v>
          </cell>
          <cell r="M18" t="e">
            <v>#N/A</v>
          </cell>
        </row>
        <row r="19">
          <cell r="B19" t="e">
            <v>#N/A</v>
          </cell>
          <cell r="C19" t="e">
            <v>#N/A</v>
          </cell>
          <cell r="E19" t="e">
            <v>#N/A</v>
          </cell>
          <cell r="F19" t="str">
            <v>bps</v>
          </cell>
          <cell r="H19" t="e">
            <v>#N/A</v>
          </cell>
          <cell r="J19" t="e">
            <v>#N/A</v>
          </cell>
          <cell r="M19" t="e">
            <v>#N/A</v>
          </cell>
        </row>
        <row r="20">
          <cell r="B20" t="e">
            <v>#N/A</v>
          </cell>
          <cell r="C20" t="e">
            <v>#N/A</v>
          </cell>
          <cell r="E20" t="e">
            <v>#N/A</v>
          </cell>
          <cell r="F20" t="str">
            <v>bps</v>
          </cell>
          <cell r="H20" t="e">
            <v>#N/A</v>
          </cell>
          <cell r="J20" t="e">
            <v>#N/A</v>
          </cell>
          <cell r="M20" t="e">
            <v>#N/A</v>
          </cell>
        </row>
        <row r="21">
          <cell r="B21" t="e">
            <v>#N/A</v>
          </cell>
          <cell r="C21" t="e">
            <v>#N/A</v>
          </cell>
          <cell r="E21" t="e">
            <v>#N/A</v>
          </cell>
          <cell r="F21" t="str">
            <v>bps</v>
          </cell>
          <cell r="H21" t="e">
            <v>#N/A</v>
          </cell>
          <cell r="J21" t="e">
            <v>#N/A</v>
          </cell>
          <cell r="M21" t="e">
            <v>#N/A</v>
          </cell>
        </row>
        <row r="22">
          <cell r="B22" t="e">
            <v>#N/A</v>
          </cell>
          <cell r="C22" t="e">
            <v>#N/A</v>
          </cell>
          <cell r="E22" t="e">
            <v>#N/A</v>
          </cell>
          <cell r="F22" t="str">
            <v>bps</v>
          </cell>
          <cell r="H22" t="e">
            <v>#N/A</v>
          </cell>
          <cell r="J22" t="e">
            <v>#N/A</v>
          </cell>
          <cell r="M22" t="e">
            <v>#N/A</v>
          </cell>
        </row>
        <row r="23">
          <cell r="B23" t="e">
            <v>#N/A</v>
          </cell>
          <cell r="C23" t="e">
            <v>#N/A</v>
          </cell>
          <cell r="E23" t="e">
            <v>#N/A</v>
          </cell>
          <cell r="F23" t="str">
            <v>bps</v>
          </cell>
          <cell r="H23" t="e">
            <v>#N/A</v>
          </cell>
          <cell r="J23" t="e">
            <v>#N/A</v>
          </cell>
          <cell r="M23" t="e">
            <v>#N/A</v>
          </cell>
        </row>
        <row r="24">
          <cell r="B24" t="str">
            <v>Average</v>
          </cell>
          <cell r="C24" t="e">
            <v>#N/A</v>
          </cell>
          <cell r="E24" t="e">
            <v>#N/A</v>
          </cell>
          <cell r="F24" t="str">
            <v>bps</v>
          </cell>
          <cell r="H24" t="e">
            <v>#N/A</v>
          </cell>
          <cell r="J24" t="e">
            <v>#N/A</v>
          </cell>
          <cell r="K24" t="str">
            <v>bps</v>
          </cell>
          <cell r="M24" t="e">
            <v>#N/A</v>
          </cell>
        </row>
        <row r="25">
          <cell r="B25" t="str">
            <v>Avg ex COH, KORS, LULU, TIF</v>
          </cell>
          <cell r="C25" t="e">
            <v>#N/A</v>
          </cell>
          <cell r="E25" t="e">
            <v>#N/A</v>
          </cell>
          <cell r="F25" t="str">
            <v>bps</v>
          </cell>
        </row>
        <row r="27">
          <cell r="B27" t="str">
            <v>Max Differential</v>
          </cell>
          <cell r="E27" t="e">
            <v>#N/A</v>
          </cell>
          <cell r="F27" t="str">
            <v>bps</v>
          </cell>
          <cell r="J27" t="e">
            <v>#N/A</v>
          </cell>
          <cell r="K27" t="str">
            <v>bps</v>
          </cell>
        </row>
        <row r="28">
          <cell r="B28" t="str">
            <v>Min Differential</v>
          </cell>
          <cell r="E28" t="e">
            <v>#N/A</v>
          </cell>
          <cell r="F28" t="str">
            <v>bps</v>
          </cell>
          <cell r="J28" t="e">
            <v>#N/A</v>
          </cell>
          <cell r="K28" t="str">
            <v>bps</v>
          </cell>
        </row>
        <row r="30">
          <cell r="C30" t="e">
            <v>#N/A</v>
          </cell>
        </row>
        <row r="31">
          <cell r="C31" t="e">
            <v>#N/A</v>
          </cell>
        </row>
        <row r="33">
          <cell r="J33" t="e">
            <v>#N/A</v>
          </cell>
        </row>
        <row r="35">
          <cell r="H35" t="e">
            <v>#N/A</v>
          </cell>
          <cell r="J35" t="e">
            <v>#N/A</v>
          </cell>
        </row>
        <row r="36">
          <cell r="H36" t="e">
            <v>#N/A</v>
          </cell>
        </row>
        <row r="37">
          <cell r="J37" t="e">
            <v>#N/A</v>
          </cell>
        </row>
        <row r="38">
          <cell r="J38" t="e">
            <v>#N/A</v>
          </cell>
        </row>
        <row r="39">
          <cell r="A39">
            <v>10</v>
          </cell>
        </row>
        <row r="40">
          <cell r="B40" t="str">
            <v>AEO</v>
          </cell>
          <cell r="C40" t="str">
            <v>AEO2012</v>
          </cell>
          <cell r="E40">
            <v>0.12576205434026455</v>
          </cell>
          <cell r="G40">
            <v>0.10946507309679895</v>
          </cell>
          <cell r="J40">
            <v>1</v>
          </cell>
          <cell r="K40" t="e">
            <v>#REF!</v>
          </cell>
          <cell r="M40" t="e">
            <v>#N/A</v>
          </cell>
          <cell r="N40" t="e">
            <v>#N/A</v>
          </cell>
          <cell r="O40" t="e">
            <v>#N/A</v>
          </cell>
        </row>
        <row r="41">
          <cell r="B41" t="str">
            <v>ANF</v>
          </cell>
          <cell r="C41" t="str">
            <v>ANF2012</v>
          </cell>
          <cell r="E41">
            <v>8.334698573757908E-2</v>
          </cell>
          <cell r="G41">
            <v>0.13179221890549467</v>
          </cell>
          <cell r="J41">
            <v>2</v>
          </cell>
          <cell r="K41" t="e">
            <v>#REF!</v>
          </cell>
          <cell r="M41" t="e">
            <v>#N/A</v>
          </cell>
          <cell r="N41" t="e">
            <v>#N/A</v>
          </cell>
          <cell r="O41" t="e">
            <v>#N/A</v>
          </cell>
        </row>
        <row r="42">
          <cell r="B42" t="str">
            <v>ANN</v>
          </cell>
          <cell r="C42" t="str">
            <v>ANN2012</v>
          </cell>
          <cell r="E42">
            <v>7.0212741774499945E-2</v>
          </cell>
          <cell r="G42">
            <v>0.12403994259756541</v>
          </cell>
          <cell r="J42">
            <v>3</v>
          </cell>
          <cell r="K42" t="e">
            <v>#REF!</v>
          </cell>
          <cell r="M42" t="e">
            <v>#N/A</v>
          </cell>
          <cell r="N42" t="e">
            <v>#N/A</v>
          </cell>
          <cell r="O42" t="e">
            <v>#N/A</v>
          </cell>
        </row>
        <row r="43">
          <cell r="B43" t="str">
            <v>ARO</v>
          </cell>
          <cell r="C43" t="str">
            <v>ARO2012</v>
          </cell>
          <cell r="E43">
            <v>3.8601898098130097E-2</v>
          </cell>
          <cell r="G43">
            <v>8.7383988118237624E-2</v>
          </cell>
          <cell r="J43">
            <v>4</v>
          </cell>
          <cell r="K43" t="e">
            <v>#REF!</v>
          </cell>
          <cell r="M43" t="e">
            <v>#N/A</v>
          </cell>
          <cell r="N43" t="e">
            <v>#N/A</v>
          </cell>
          <cell r="O43" t="e">
            <v>#N/A</v>
          </cell>
        </row>
        <row r="44">
          <cell r="B44" t="str">
            <v>CHS</v>
          </cell>
          <cell r="C44" t="str">
            <v>CHS2012</v>
          </cell>
          <cell r="E44">
            <v>0.11212155024920044</v>
          </cell>
          <cell r="G44">
            <v>7.9812262960484798E-2</v>
          </cell>
          <cell r="J44">
            <v>5</v>
          </cell>
          <cell r="K44" t="e">
            <v>#REF!</v>
          </cell>
          <cell r="M44" t="e">
            <v>#N/A</v>
          </cell>
          <cell r="N44" t="e">
            <v>#N/A</v>
          </cell>
          <cell r="O44" t="e">
            <v>#N/A</v>
          </cell>
        </row>
        <row r="45">
          <cell r="B45" t="str">
            <v>COH</v>
          </cell>
          <cell r="C45" t="str">
            <v>COH2012</v>
          </cell>
          <cell r="E45">
            <v>0.3256643670824953</v>
          </cell>
          <cell r="G45">
            <v>3.4982012079537157E-5</v>
          </cell>
          <cell r="J45">
            <v>6</v>
          </cell>
          <cell r="K45" t="e">
            <v>#REF!</v>
          </cell>
          <cell r="M45" t="e">
            <v>#N/A</v>
          </cell>
          <cell r="N45" t="e">
            <v>#N/A</v>
          </cell>
          <cell r="O45" t="e">
            <v>#N/A</v>
          </cell>
        </row>
        <row r="46">
          <cell r="B46" t="str">
            <v>EXPR</v>
          </cell>
          <cell r="C46" t="str">
            <v>EXPR2012</v>
          </cell>
          <cell r="E46">
            <v>0.11711122873613471</v>
          </cell>
          <cell r="G46">
            <v>0.13382112027127621</v>
          </cell>
          <cell r="J46">
            <v>7</v>
          </cell>
          <cell r="K46" t="e">
            <v>#REF!</v>
          </cell>
          <cell r="M46" t="e">
            <v>#N/A</v>
          </cell>
          <cell r="N46" t="e">
            <v>#N/A</v>
          </cell>
          <cell r="O46" t="e">
            <v>#N/A</v>
          </cell>
        </row>
        <row r="47">
          <cell r="B47" t="str">
            <v>GPS</v>
          </cell>
          <cell r="C47" t="str">
            <v>GPS2012</v>
          </cell>
          <cell r="E47">
            <v>0.12408152833684749</v>
          </cell>
          <cell r="G47">
            <v>0.11351964730688134</v>
          </cell>
          <cell r="J47">
            <v>8</v>
          </cell>
          <cell r="K47" t="e">
            <v>#REF!</v>
          </cell>
          <cell r="M47" t="e">
            <v>#N/A</v>
          </cell>
          <cell r="N47" t="e">
            <v>#N/A</v>
          </cell>
          <cell r="O47" t="e">
            <v>#N/A</v>
          </cell>
        </row>
        <row r="48">
          <cell r="B48" t="str">
            <v>KORS</v>
          </cell>
          <cell r="C48" t="str">
            <v>KORS2012</v>
          </cell>
          <cell r="E48">
            <v>0.27807961145283255</v>
          </cell>
          <cell r="G48">
            <v>6.4530410344054365E-2</v>
          </cell>
          <cell r="J48">
            <v>9</v>
          </cell>
          <cell r="K48" t="e">
            <v>#REF!</v>
          </cell>
          <cell r="M48" t="e">
            <v>#N/A</v>
          </cell>
          <cell r="N48" t="e">
            <v>#N/A</v>
          </cell>
          <cell r="O48" t="e">
            <v>#N/A</v>
          </cell>
        </row>
        <row r="49">
          <cell r="B49" t="str">
            <v>LTD</v>
          </cell>
          <cell r="C49" t="str">
            <v>LTD2012</v>
          </cell>
          <cell r="E49" t="e">
            <v>#REF!</v>
          </cell>
          <cell r="G49">
            <v>-9.6206576184754474E-3</v>
          </cell>
          <cell r="J49">
            <v>10</v>
          </cell>
          <cell r="K49" t="e">
            <v>#REF!</v>
          </cell>
          <cell r="M49" t="e">
            <v>#N/A</v>
          </cell>
          <cell r="N49" t="e">
            <v>#N/A</v>
          </cell>
          <cell r="O49" t="e">
            <v>#N/A</v>
          </cell>
        </row>
        <row r="50">
          <cell r="B50" t="str">
            <v>LULU</v>
          </cell>
          <cell r="C50" t="str">
            <v>LULU2012</v>
          </cell>
          <cell r="E50" t="e">
            <v>#N/A</v>
          </cell>
          <cell r="G50">
            <v>6.0150705144203197E-2</v>
          </cell>
          <cell r="J50">
            <v>11</v>
          </cell>
          <cell r="K50" t="e">
            <v>#N/A</v>
          </cell>
          <cell r="M50" t="e">
            <v>#N/A</v>
          </cell>
          <cell r="N50" t="e">
            <v>#N/A</v>
          </cell>
          <cell r="O50" t="e">
            <v>#N/A</v>
          </cell>
        </row>
        <row r="51">
          <cell r="B51" t="str">
            <v>PLCE</v>
          </cell>
          <cell r="C51" t="str">
            <v>PLCE2012</v>
          </cell>
          <cell r="E51">
            <v>6.3735779110753052E-2</v>
          </cell>
          <cell r="G51">
            <v>0.14313360258106445</v>
          </cell>
          <cell r="J51">
            <v>12</v>
          </cell>
          <cell r="K51" t="e">
            <v>#REF!</v>
          </cell>
          <cell r="M51" t="e">
            <v>#N/A</v>
          </cell>
          <cell r="N51" t="e">
            <v>#N/A</v>
          </cell>
          <cell r="O51" t="e">
            <v>#N/A</v>
          </cell>
        </row>
        <row r="52">
          <cell r="B52" t="str">
            <v>ROST</v>
          </cell>
          <cell r="C52" t="str">
            <v>ROST2012</v>
          </cell>
          <cell r="E52">
            <v>0.13082424610883689</v>
          </cell>
          <cell r="G52">
            <v>5.4542007485805309E-2</v>
          </cell>
          <cell r="J52">
            <v>13</v>
          </cell>
          <cell r="K52" t="e">
            <v>#REF!</v>
          </cell>
          <cell r="M52" t="e">
            <v>#N/A</v>
          </cell>
          <cell r="N52" t="e">
            <v>#N/A</v>
          </cell>
          <cell r="O52" t="e">
            <v>#N/A</v>
          </cell>
        </row>
        <row r="53">
          <cell r="B53" t="str">
            <v>TIF</v>
          </cell>
          <cell r="C53" t="str">
            <v>TIF2012</v>
          </cell>
          <cell r="E53">
            <v>0.18381455361943019</v>
          </cell>
          <cell r="G53">
            <v>8.6018880675675216E-2</v>
          </cell>
          <cell r="J53">
            <v>14</v>
          </cell>
          <cell r="K53" t="e">
            <v>#REF!</v>
          </cell>
          <cell r="M53" t="e">
            <v>#N/A</v>
          </cell>
          <cell r="N53" t="e">
            <v>#N/A</v>
          </cell>
          <cell r="O53" t="e">
            <v>#N/A</v>
          </cell>
        </row>
        <row r="54">
          <cell r="B54" t="str">
            <v>TJX</v>
          </cell>
          <cell r="C54" t="str">
            <v>TJX2012</v>
          </cell>
          <cell r="E54">
            <v>0.12004333193757324</v>
          </cell>
          <cell r="G54">
            <v>6.0213525023907991E-2</v>
          </cell>
          <cell r="J54">
            <v>15</v>
          </cell>
          <cell r="K54" t="e">
            <v>#REF!</v>
          </cell>
          <cell r="M54" t="e">
            <v>#N/A</v>
          </cell>
          <cell r="N54" t="e">
            <v>#N/A</v>
          </cell>
          <cell r="O54" t="e">
            <v>#N/A</v>
          </cell>
        </row>
        <row r="55">
          <cell r="B55" t="str">
            <v>URBN</v>
          </cell>
          <cell r="C55" t="str">
            <v>URBN2012</v>
          </cell>
          <cell r="E55">
            <v>0.13391593692138434</v>
          </cell>
          <cell r="G55">
            <v>9.4505110512804441E-2</v>
          </cell>
          <cell r="J55">
            <v>16</v>
          </cell>
          <cell r="K55" t="e">
            <v>#REF!</v>
          </cell>
          <cell r="M55" t="e">
            <v>#N/A</v>
          </cell>
          <cell r="N55" t="e">
            <v>#N/A</v>
          </cell>
          <cell r="O55" t="e">
            <v>#N/A</v>
          </cell>
        </row>
      </sheetData>
      <sheetData sheetId="5"/>
      <sheetData sheetId="6">
        <row r="4">
          <cell r="G4" t="str">
            <v>EPS Impact Based on:</v>
          </cell>
        </row>
        <row r="5">
          <cell r="C5" t="str">
            <v>2013E</v>
          </cell>
          <cell r="G5" t="str">
            <v>Basis Points of Favorable Leverage</v>
          </cell>
        </row>
        <row r="6">
          <cell r="C6" t="str">
            <v>Rev. ($mm)</v>
          </cell>
          <cell r="D6" t="str">
            <v>Tax  %</v>
          </cell>
          <cell r="E6" t="str">
            <v>Shares</v>
          </cell>
          <cell r="G6">
            <v>25</v>
          </cell>
          <cell r="H6">
            <v>50</v>
          </cell>
          <cell r="I6">
            <v>75</v>
          </cell>
          <cell r="J6">
            <v>100</v>
          </cell>
        </row>
        <row r="7">
          <cell r="A7">
            <v>2013</v>
          </cell>
          <cell r="B7" t="str">
            <v>ANF</v>
          </cell>
          <cell r="C7">
            <v>4116.8969999999999</v>
          </cell>
          <cell r="D7">
            <v>0.35499999999999987</v>
          </cell>
          <cell r="E7">
            <v>77.128999999999991</v>
          </cell>
          <cell r="G7">
            <v>8.607004385509992E-2</v>
          </cell>
          <cell r="H7">
            <v>0.17214008771019984</v>
          </cell>
          <cell r="I7">
            <v>0.25821013156529976</v>
          </cell>
          <cell r="J7">
            <v>0.34428017542039968</v>
          </cell>
        </row>
        <row r="8">
          <cell r="A8">
            <v>2013</v>
          </cell>
          <cell r="B8" t="str">
            <v>AEO</v>
          </cell>
          <cell r="C8">
            <v>3305.8019999999997</v>
          </cell>
          <cell r="D8">
            <v>0.37999999999999978</v>
          </cell>
          <cell r="E8">
            <v>198.876</v>
          </cell>
          <cell r="G8">
            <v>2.576476347070537E-2</v>
          </cell>
          <cell r="H8">
            <v>5.152952694141074E-2</v>
          </cell>
          <cell r="I8">
            <v>7.7294290412116107E-2</v>
          </cell>
          <cell r="J8">
            <v>0.10305905388282148</v>
          </cell>
        </row>
        <row r="9">
          <cell r="A9">
            <v>2013</v>
          </cell>
          <cell r="B9" t="str">
            <v>ANN</v>
          </cell>
          <cell r="C9">
            <v>2493.491</v>
          </cell>
          <cell r="D9">
            <v>0.37133144960850195</v>
          </cell>
          <cell r="E9">
            <v>3.9319553411028219E-2</v>
          </cell>
          <cell r="G9">
            <v>99.669199952343391</v>
          </cell>
          <cell r="H9">
            <v>199.33839990468678</v>
          </cell>
          <cell r="I9">
            <v>299.00759985703013</v>
          </cell>
          <cell r="J9">
            <v>398.67679980937356</v>
          </cell>
        </row>
        <row r="10">
          <cell r="A10">
            <v>2013</v>
          </cell>
          <cell r="B10" t="str">
            <v>ARO</v>
          </cell>
          <cell r="C10">
            <v>2090.902</v>
          </cell>
          <cell r="D10">
            <v>0.34108693878459279</v>
          </cell>
          <cell r="E10">
            <v>77.047000000000011</v>
          </cell>
          <cell r="G10">
            <v>4.4703967627598006E-2</v>
          </cell>
          <cell r="H10">
            <v>8.9407935255196011E-2</v>
          </cell>
          <cell r="I10">
            <v>0.13411190288279401</v>
          </cell>
          <cell r="J10">
            <v>0.17881587051039202</v>
          </cell>
        </row>
        <row r="11">
          <cell r="A11">
            <v>2013</v>
          </cell>
          <cell r="B11" t="str">
            <v>COH</v>
          </cell>
          <cell r="C11">
            <v>5087.0202871521742</v>
          </cell>
          <cell r="D11">
            <v>0.3254047256325372</v>
          </cell>
          <cell r="E11">
            <v>285.91700000000003</v>
          </cell>
          <cell r="G11">
            <v>3.0005909462573668E-2</v>
          </cell>
          <cell r="H11">
            <v>6.0011818925147335E-2</v>
          </cell>
          <cell r="I11">
            <v>9.0017728387720999E-2</v>
          </cell>
          <cell r="J11">
            <v>0.12002363785029467</v>
          </cell>
        </row>
        <row r="12">
          <cell r="A12">
            <v>2013</v>
          </cell>
          <cell r="B12" t="str">
            <v>CHS</v>
          </cell>
          <cell r="C12">
            <v>2586.0369999999998</v>
          </cell>
          <cell r="D12">
            <v>0.37499999999999972</v>
          </cell>
          <cell r="E12">
            <v>158.453</v>
          </cell>
          <cell r="G12">
            <v>2.5500828715770613E-2</v>
          </cell>
          <cell r="H12">
            <v>5.1001657431541225E-2</v>
          </cell>
          <cell r="I12">
            <v>7.6502486147311838E-2</v>
          </cell>
          <cell r="J12">
            <v>0.10200331486308245</v>
          </cell>
        </row>
        <row r="13">
          <cell r="A13">
            <v>2013</v>
          </cell>
          <cell r="B13" t="str">
            <v>EXPR</v>
          </cell>
          <cell r="C13">
            <v>2186.5955326735793</v>
          </cell>
          <cell r="D13">
            <v>0.39500000000000018</v>
          </cell>
          <cell r="E13">
            <v>85.894999999999996</v>
          </cell>
          <cell r="G13">
            <v>3.8503122919480617E-2</v>
          </cell>
          <cell r="H13">
            <v>7.7006245838961235E-2</v>
          </cell>
          <cell r="I13">
            <v>0.11550936875844184</v>
          </cell>
          <cell r="J13">
            <v>0.15401249167792247</v>
          </cell>
        </row>
        <row r="14">
          <cell r="A14">
            <v>2013</v>
          </cell>
          <cell r="B14" t="str">
            <v>KORS</v>
          </cell>
          <cell r="C14">
            <v>0.58904486203358519</v>
          </cell>
          <cell r="D14">
            <v>0</v>
          </cell>
          <cell r="E14">
            <v>0.29942648035485164</v>
          </cell>
          <cell r="G14">
            <v>4.9181092912649665E-3</v>
          </cell>
          <cell r="H14">
            <v>9.836218582529933E-3</v>
          </cell>
          <cell r="I14">
            <v>1.47543278737949E-2</v>
          </cell>
          <cell r="J14">
            <v>1.9672437165059866E-2</v>
          </cell>
        </row>
        <row r="15">
          <cell r="A15">
            <v>2013</v>
          </cell>
          <cell r="B15" t="str">
            <v>GPS</v>
          </cell>
          <cell r="C15">
            <v>16148</v>
          </cell>
          <cell r="D15">
            <v>0.38843764930721453</v>
          </cell>
          <cell r="E15">
            <v>488</v>
          </cell>
          <cell r="G15">
            <v>5.059174610136833E-2</v>
          </cell>
          <cell r="H15">
            <v>0.10118349220273666</v>
          </cell>
          <cell r="I15">
            <v>0.151775238304105</v>
          </cell>
          <cell r="J15">
            <v>0.20236698440547332</v>
          </cell>
        </row>
        <row r="16">
          <cell r="A16">
            <v>2013</v>
          </cell>
          <cell r="B16" t="str">
            <v>LTD</v>
          </cell>
          <cell r="C16">
            <v>11026.371251157587</v>
          </cell>
          <cell r="D16">
            <v>0.38220788021602242</v>
          </cell>
          <cell r="E16">
            <v>292.298</v>
          </cell>
          <cell r="G16">
            <v>5.8262503239654005E-2</v>
          </cell>
          <cell r="H16">
            <v>0.11652500647930801</v>
          </cell>
          <cell r="I16">
            <v>0.17478750971896198</v>
          </cell>
          <cell r="J16">
            <v>0.23305001295861602</v>
          </cell>
        </row>
        <row r="17">
          <cell r="A17">
            <v>2013</v>
          </cell>
          <cell r="B17" t="str">
            <v>LULU</v>
          </cell>
          <cell r="C17">
            <v>1591.1880000000001</v>
          </cell>
          <cell r="D17">
            <v>0</v>
          </cell>
          <cell r="E17">
            <v>3.1629902384018749E-2</v>
          </cell>
          <cell r="G17">
            <v>125.76611687584278</v>
          </cell>
          <cell r="H17">
            <v>251.53223375168557</v>
          </cell>
          <cell r="I17">
            <v>377.29835062752835</v>
          </cell>
          <cell r="J17">
            <v>503.06446750337113</v>
          </cell>
        </row>
        <row r="18">
          <cell r="A18">
            <v>2013</v>
          </cell>
          <cell r="B18" t="str">
            <v>PLCE</v>
          </cell>
          <cell r="C18">
            <v>1810.0853655980659</v>
          </cell>
          <cell r="D18">
            <v>0.3350000000000003</v>
          </cell>
          <cell r="E18">
            <v>22.839000000000002</v>
          </cell>
          <cell r="G18">
            <v>0.13176001227316358</v>
          </cell>
          <cell r="H18">
            <v>0.26352002454632717</v>
          </cell>
          <cell r="I18">
            <v>0.39528003681949064</v>
          </cell>
          <cell r="J18">
            <v>0.52704004909265434</v>
          </cell>
        </row>
        <row r="19">
          <cell r="A19">
            <v>2013</v>
          </cell>
          <cell r="B19" t="str">
            <v>URBN</v>
          </cell>
          <cell r="C19">
            <v>3086.64446</v>
          </cell>
          <cell r="D19">
            <v>0.68700000000000006</v>
          </cell>
          <cell r="E19">
            <v>0</v>
          </cell>
          <cell r="G19" t="e">
            <v>#DIV/0!</v>
          </cell>
          <cell r="H19" t="e">
            <v>#DIV/0!</v>
          </cell>
          <cell r="I19" t="e">
            <v>#DIV/0!</v>
          </cell>
          <cell r="J19" t="e">
            <v>#DIV/0!</v>
          </cell>
        </row>
        <row r="20">
          <cell r="A20">
            <v>2013</v>
          </cell>
          <cell r="B20" t="str">
            <v>ROST</v>
          </cell>
          <cell r="C20">
            <v>10230.352999999999</v>
          </cell>
          <cell r="D20">
            <v>0.37999999999999984</v>
          </cell>
          <cell r="E20">
            <v>9.8656002653935371E-2</v>
          </cell>
          <cell r="G20">
            <v>160.7306876766861</v>
          </cell>
          <cell r="H20">
            <v>321.4613753533722</v>
          </cell>
          <cell r="I20">
            <v>482.19206303005825</v>
          </cell>
          <cell r="J20">
            <v>642.92275070674441</v>
          </cell>
        </row>
        <row r="21">
          <cell r="A21">
            <v>2013</v>
          </cell>
          <cell r="B21" t="str">
            <v>TIF</v>
          </cell>
          <cell r="C21">
            <v>4031.13</v>
          </cell>
          <cell r="D21">
            <v>56.952000000000005</v>
          </cell>
          <cell r="E21">
            <v>127.492</v>
          </cell>
          <cell r="G21">
            <v>-4.4228223292441884</v>
          </cell>
          <cell r="H21">
            <v>-8.8456446584883768</v>
          </cell>
          <cell r="I21">
            <v>-13.268466987732563</v>
          </cell>
          <cell r="J21">
            <v>-17.691289316976754</v>
          </cell>
        </row>
        <row r="22">
          <cell r="A22">
            <v>2013</v>
          </cell>
          <cell r="B22" t="str">
            <v>TJX</v>
          </cell>
          <cell r="C22">
            <v>27422.696</v>
          </cell>
          <cell r="D22">
            <v>0.3561074852183575</v>
          </cell>
          <cell r="E22">
            <v>719.02866666666682</v>
          </cell>
          <cell r="G22">
            <v>6.1392784140963164E-2</v>
          </cell>
          <cell r="H22">
            <v>0.12278556828192633</v>
          </cell>
          <cell r="I22">
            <v>0.18417835242288946</v>
          </cell>
          <cell r="J22">
            <v>0.24557113656385265</v>
          </cell>
        </row>
        <row r="23">
          <cell r="E23" t="str">
            <v>Average:</v>
          </cell>
          <cell r="G23" t="e">
            <v>#DIV/0!</v>
          </cell>
          <cell r="H23" t="e">
            <v>#DIV/0!</v>
          </cell>
          <cell r="I23" t="e">
            <v>#DIV/0!</v>
          </cell>
          <cell r="J23" t="e">
            <v>#DIV/0!</v>
          </cell>
        </row>
        <row r="27">
          <cell r="B27" t="e">
            <v>#N/A</v>
          </cell>
          <cell r="C27" t="e">
            <v>#N/A</v>
          </cell>
        </row>
        <row r="28">
          <cell r="B28" t="e">
            <v>#N/A</v>
          </cell>
          <cell r="C28" t="e">
            <v>#N/A</v>
          </cell>
        </row>
        <row r="29">
          <cell r="B29" t="e">
            <v>#N/A</v>
          </cell>
          <cell r="C29" t="e">
            <v>#N/A</v>
          </cell>
        </row>
        <row r="30">
          <cell r="B30" t="e">
            <v>#N/A</v>
          </cell>
          <cell r="C30" t="e">
            <v>#N/A</v>
          </cell>
        </row>
        <row r="31">
          <cell r="B31" t="e">
            <v>#N/A</v>
          </cell>
          <cell r="C31" t="e">
            <v>#N/A</v>
          </cell>
        </row>
        <row r="32">
          <cell r="B32" t="e">
            <v>#N/A</v>
          </cell>
          <cell r="C32" t="e">
            <v>#N/A</v>
          </cell>
        </row>
        <row r="33">
          <cell r="B33" t="e">
            <v>#N/A</v>
          </cell>
          <cell r="C33" t="e">
            <v>#N/A</v>
          </cell>
        </row>
        <row r="34">
          <cell r="B34" t="e">
            <v>#N/A</v>
          </cell>
          <cell r="C34" t="e">
            <v>#N/A</v>
          </cell>
        </row>
        <row r="35">
          <cell r="B35" t="e">
            <v>#N/A</v>
          </cell>
          <cell r="C35" t="e">
            <v>#N/A</v>
          </cell>
        </row>
        <row r="36">
          <cell r="B36" t="e">
            <v>#N/A</v>
          </cell>
          <cell r="C36" t="e">
            <v>#N/A</v>
          </cell>
        </row>
        <row r="37">
          <cell r="B37" t="e">
            <v>#N/A</v>
          </cell>
          <cell r="C37" t="e">
            <v>#N/A</v>
          </cell>
        </row>
        <row r="38">
          <cell r="B38" t="e">
            <v>#N/A</v>
          </cell>
          <cell r="C38" t="e">
            <v>#N/A</v>
          </cell>
        </row>
        <row r="39">
          <cell r="B39" t="e">
            <v>#N/A</v>
          </cell>
          <cell r="C39" t="e">
            <v>#N/A</v>
          </cell>
        </row>
        <row r="40">
          <cell r="B40" t="e">
            <v>#N/A</v>
          </cell>
          <cell r="C40" t="e">
            <v>#N/A</v>
          </cell>
        </row>
        <row r="41">
          <cell r="B41" t="e">
            <v>#N/A</v>
          </cell>
          <cell r="C41" t="e">
            <v>#N/A</v>
          </cell>
        </row>
        <row r="42">
          <cell r="B42" t="e">
            <v>#N/A</v>
          </cell>
          <cell r="C42" t="e">
            <v>#N/A</v>
          </cell>
        </row>
        <row r="43">
          <cell r="B43" t="e">
            <v>#N/A</v>
          </cell>
          <cell r="C43" t="e">
            <v>#N/A</v>
          </cell>
        </row>
        <row r="54">
          <cell r="A54">
            <v>9</v>
          </cell>
        </row>
        <row r="55">
          <cell r="B55" t="str">
            <v>ANF</v>
          </cell>
          <cell r="C55">
            <v>0.34428017542039968</v>
          </cell>
          <cell r="E55">
            <v>1</v>
          </cell>
          <cell r="G55" t="e">
            <v>#DIV/0!</v>
          </cell>
          <cell r="H55" t="e">
            <v>#N/A</v>
          </cell>
          <cell r="I55" t="e">
            <v>#N/A</v>
          </cell>
        </row>
        <row r="56">
          <cell r="B56" t="str">
            <v>AEO</v>
          </cell>
          <cell r="C56">
            <v>0.10305905388282148</v>
          </cell>
          <cell r="E56">
            <v>2</v>
          </cell>
          <cell r="G56" t="e">
            <v>#DIV/0!</v>
          </cell>
          <cell r="H56" t="e">
            <v>#N/A</v>
          </cell>
          <cell r="I56" t="e">
            <v>#N/A</v>
          </cell>
        </row>
        <row r="57">
          <cell r="B57" t="str">
            <v>ANN</v>
          </cell>
          <cell r="C57">
            <v>398.67679980937356</v>
          </cell>
          <cell r="E57">
            <v>3</v>
          </cell>
          <cell r="G57" t="e">
            <v>#DIV/0!</v>
          </cell>
          <cell r="H57" t="e">
            <v>#N/A</v>
          </cell>
          <cell r="I57" t="e">
            <v>#N/A</v>
          </cell>
        </row>
        <row r="58">
          <cell r="B58" t="str">
            <v>ARO</v>
          </cell>
          <cell r="C58">
            <v>0.17881587051039202</v>
          </cell>
          <cell r="E58">
            <v>4</v>
          </cell>
          <cell r="G58" t="e">
            <v>#DIV/0!</v>
          </cell>
          <cell r="H58" t="e">
            <v>#N/A</v>
          </cell>
          <cell r="I58" t="e">
            <v>#N/A</v>
          </cell>
        </row>
        <row r="59">
          <cell r="B59" t="str">
            <v>COH</v>
          </cell>
          <cell r="C59">
            <v>0.12002363785029467</v>
          </cell>
          <cell r="E59">
            <v>5</v>
          </cell>
          <cell r="G59" t="e">
            <v>#DIV/0!</v>
          </cell>
          <cell r="H59" t="e">
            <v>#N/A</v>
          </cell>
          <cell r="I59" t="e">
            <v>#N/A</v>
          </cell>
        </row>
        <row r="60">
          <cell r="B60" t="str">
            <v>CHS</v>
          </cell>
          <cell r="C60">
            <v>0.10200331486308245</v>
          </cell>
          <cell r="E60">
            <v>6</v>
          </cell>
          <cell r="G60" t="e">
            <v>#DIV/0!</v>
          </cell>
          <cell r="H60" t="e">
            <v>#N/A</v>
          </cell>
          <cell r="I60" t="e">
            <v>#N/A</v>
          </cell>
        </row>
        <row r="61">
          <cell r="B61" t="str">
            <v>EXPR</v>
          </cell>
          <cell r="C61">
            <v>0.15401249167792247</v>
          </cell>
          <cell r="E61">
            <v>7</v>
          </cell>
          <cell r="G61" t="e">
            <v>#DIV/0!</v>
          </cell>
          <cell r="H61" t="e">
            <v>#N/A</v>
          </cell>
          <cell r="I61" t="e">
            <v>#N/A</v>
          </cell>
        </row>
        <row r="62">
          <cell r="B62" t="str">
            <v>KORS</v>
          </cell>
          <cell r="C62">
            <v>1.9672437165059866E-2</v>
          </cell>
          <cell r="E62">
            <v>8</v>
          </cell>
          <cell r="G62" t="e">
            <v>#DIV/0!</v>
          </cell>
          <cell r="H62" t="e">
            <v>#N/A</v>
          </cell>
          <cell r="I62" t="e">
            <v>#N/A</v>
          </cell>
        </row>
        <row r="63">
          <cell r="B63" t="str">
            <v>GPS</v>
          </cell>
          <cell r="C63">
            <v>0.20236698440547332</v>
          </cell>
          <cell r="E63">
            <v>9</v>
          </cell>
          <cell r="G63" t="e">
            <v>#DIV/0!</v>
          </cell>
          <cell r="H63" t="e">
            <v>#N/A</v>
          </cell>
          <cell r="I63" t="e">
            <v>#N/A</v>
          </cell>
        </row>
        <row r="64">
          <cell r="B64" t="str">
            <v>LTD</v>
          </cell>
          <cell r="C64">
            <v>0.23305001295861602</v>
          </cell>
          <cell r="E64">
            <v>10</v>
          </cell>
          <cell r="G64" t="e">
            <v>#DIV/0!</v>
          </cell>
          <cell r="H64" t="e">
            <v>#N/A</v>
          </cell>
          <cell r="I64" t="e">
            <v>#N/A</v>
          </cell>
        </row>
        <row r="65">
          <cell r="B65" t="str">
            <v>LULU</v>
          </cell>
          <cell r="C65">
            <v>503.06446750337113</v>
          </cell>
          <cell r="E65">
            <v>11</v>
          </cell>
          <cell r="G65" t="e">
            <v>#DIV/0!</v>
          </cell>
          <cell r="H65" t="e">
            <v>#N/A</v>
          </cell>
          <cell r="I65" t="e">
            <v>#N/A</v>
          </cell>
        </row>
        <row r="66">
          <cell r="B66" t="str">
            <v>PLCE</v>
          </cell>
          <cell r="C66">
            <v>0.52704004909265434</v>
          </cell>
          <cell r="E66">
            <v>12</v>
          </cell>
          <cell r="G66" t="e">
            <v>#DIV/0!</v>
          </cell>
          <cell r="H66" t="e">
            <v>#N/A</v>
          </cell>
          <cell r="I66" t="e">
            <v>#N/A</v>
          </cell>
        </row>
        <row r="67">
          <cell r="B67" t="str">
            <v>URBN</v>
          </cell>
          <cell r="C67" t="e">
            <v>#DIV/0!</v>
          </cell>
          <cell r="E67">
            <v>13</v>
          </cell>
          <cell r="G67" t="e">
            <v>#DIV/0!</v>
          </cell>
          <cell r="H67" t="e">
            <v>#N/A</v>
          </cell>
          <cell r="I67" t="e">
            <v>#N/A</v>
          </cell>
        </row>
        <row r="68">
          <cell r="B68" t="str">
            <v>ROST</v>
          </cell>
          <cell r="C68">
            <v>642.92275070674441</v>
          </cell>
          <cell r="E68">
            <v>14</v>
          </cell>
          <cell r="G68" t="e">
            <v>#DIV/0!</v>
          </cell>
          <cell r="H68" t="e">
            <v>#N/A</v>
          </cell>
          <cell r="I68" t="e">
            <v>#N/A</v>
          </cell>
        </row>
        <row r="69">
          <cell r="B69" t="str">
            <v>TIF</v>
          </cell>
          <cell r="C69">
            <v>-17.691289316976754</v>
          </cell>
          <cell r="E69">
            <v>15</v>
          </cell>
          <cell r="G69" t="e">
            <v>#DIV/0!</v>
          </cell>
          <cell r="H69" t="e">
            <v>#N/A</v>
          </cell>
          <cell r="I69" t="e">
            <v>#N/A</v>
          </cell>
        </row>
        <row r="70">
          <cell r="B70" t="str">
            <v>TJX</v>
          </cell>
          <cell r="C70">
            <v>0.24557113656385265</v>
          </cell>
          <cell r="E70">
            <v>16</v>
          </cell>
          <cell r="G70" t="e">
            <v>#DIV/0!</v>
          </cell>
          <cell r="H70" t="e">
            <v>#N/A</v>
          </cell>
          <cell r="I70" t="e">
            <v>#N/A</v>
          </cell>
        </row>
        <row r="71">
          <cell r="B71" t="str">
            <v>Average:</v>
          </cell>
          <cell r="C71" t="e">
            <v>#DIV/0!</v>
          </cell>
          <cell r="E71">
            <v>17</v>
          </cell>
          <cell r="G71" t="e">
            <v>#DIV/0!</v>
          </cell>
          <cell r="H71" t="e">
            <v>#N/A</v>
          </cell>
          <cell r="I71" t="e">
            <v>#N/A</v>
          </cell>
        </row>
        <row r="76">
          <cell r="A76">
            <v>0</v>
          </cell>
          <cell r="B76" t="e">
            <v>#N/A</v>
          </cell>
          <cell r="C76" t="e">
            <v>#N/A</v>
          </cell>
        </row>
        <row r="77">
          <cell r="A77">
            <v>-1</v>
          </cell>
          <cell r="B77" t="e">
            <v>#N/A</v>
          </cell>
          <cell r="C77" t="e">
            <v>#N/A</v>
          </cell>
        </row>
        <row r="78">
          <cell r="A78">
            <v>-2</v>
          </cell>
          <cell r="B78" t="e">
            <v>#N/A</v>
          </cell>
          <cell r="C78" t="e">
            <v>#N/A</v>
          </cell>
        </row>
        <row r="79">
          <cell r="A79">
            <v>-3</v>
          </cell>
          <cell r="B79" t="e">
            <v>#N/A</v>
          </cell>
          <cell r="C79" t="e">
            <v>#N/A</v>
          </cell>
        </row>
        <row r="80">
          <cell r="A80">
            <v>-4</v>
          </cell>
          <cell r="B80" t="e">
            <v>#N/A</v>
          </cell>
          <cell r="C80" t="e">
            <v>#N/A</v>
          </cell>
        </row>
        <row r="81">
          <cell r="A81">
            <v>-5</v>
          </cell>
          <cell r="B81" t="e">
            <v>#N/A</v>
          </cell>
          <cell r="C81" t="e">
            <v>#N/A</v>
          </cell>
        </row>
        <row r="82">
          <cell r="A82">
            <v>-6</v>
          </cell>
          <cell r="B82" t="e">
            <v>#N/A</v>
          </cell>
          <cell r="C82" t="e">
            <v>#N/A</v>
          </cell>
        </row>
        <row r="83">
          <cell r="A83">
            <v>-7</v>
          </cell>
          <cell r="B83" t="e">
            <v>#N/A</v>
          </cell>
          <cell r="C83" t="e">
            <v>#N/A</v>
          </cell>
        </row>
        <row r="84">
          <cell r="A84">
            <v>-8</v>
          </cell>
          <cell r="B84" t="e">
            <v>#N/A</v>
          </cell>
          <cell r="C84" t="e">
            <v>#N/A</v>
          </cell>
        </row>
        <row r="85">
          <cell r="A85">
            <v>-9</v>
          </cell>
          <cell r="B85" t="e">
            <v>#N/A</v>
          </cell>
          <cell r="C85" t="e">
            <v>#N/A</v>
          </cell>
        </row>
        <row r="86">
          <cell r="A86">
            <v>-10</v>
          </cell>
          <cell r="B86" t="e">
            <v>#N/A</v>
          </cell>
          <cell r="C86" t="e">
            <v>#N/A</v>
          </cell>
        </row>
        <row r="87">
          <cell r="A87">
            <v>-11</v>
          </cell>
          <cell r="B87" t="e">
            <v>#N/A</v>
          </cell>
          <cell r="C87" t="e">
            <v>#N/A</v>
          </cell>
        </row>
        <row r="88">
          <cell r="A88">
            <v>-12</v>
          </cell>
          <cell r="B88" t="e">
            <v>#N/A</v>
          </cell>
          <cell r="C88" t="e">
            <v>#N/A</v>
          </cell>
        </row>
        <row r="89">
          <cell r="A89">
            <v>-13</v>
          </cell>
          <cell r="B89" t="e">
            <v>#N/A</v>
          </cell>
          <cell r="C89" t="e">
            <v>#N/A</v>
          </cell>
        </row>
        <row r="90">
          <cell r="A90">
            <v>-14</v>
          </cell>
          <cell r="B90" t="e">
            <v>#N/A</v>
          </cell>
          <cell r="C90" t="e">
            <v>#N/A</v>
          </cell>
        </row>
        <row r="91">
          <cell r="A91">
            <v>-15</v>
          </cell>
          <cell r="B91" t="e">
            <v>#N/A</v>
          </cell>
          <cell r="C91" t="e">
            <v>#N/A</v>
          </cell>
        </row>
        <row r="92">
          <cell r="A92">
            <v>-16</v>
          </cell>
          <cell r="B92" t="e">
            <v>#N/A</v>
          </cell>
          <cell r="C92" t="e">
            <v>#N/A</v>
          </cell>
        </row>
      </sheetData>
      <sheetData sheetId="7"/>
      <sheetData sheetId="8">
        <row r="2">
          <cell r="D2" t="str">
            <v>u</v>
          </cell>
          <cell r="E2" t="str">
            <v>p</v>
          </cell>
          <cell r="F2" t="str">
            <v>k</v>
          </cell>
          <cell r="G2" t="str">
            <v>p</v>
          </cell>
        </row>
        <row r="3">
          <cell r="D3" t="str">
            <v>f</v>
          </cell>
          <cell r="E3" t="str">
            <v>k</v>
          </cell>
          <cell r="F3" t="str">
            <v>p</v>
          </cell>
          <cell r="G3" t="str">
            <v>u</v>
          </cell>
          <cell r="K3" t="str">
            <v>--Don't Paste--</v>
          </cell>
        </row>
        <row r="4">
          <cell r="A4" t="str">
            <v>'13 forecast status</v>
          </cell>
          <cell r="B4" t="str">
            <v>Ticker</v>
          </cell>
          <cell r="C4" t="str">
            <v>Our 2013E Rent Margin Forecast (bps)</v>
          </cell>
          <cell r="D4" t="str">
            <v>Operating Margin</v>
          </cell>
          <cell r="E4" t="str">
            <v>Sales
Productivity</v>
          </cell>
          <cell r="F4" t="str">
            <v>Rent $ PSF</v>
          </cell>
          <cell r="G4" t="str">
            <v>Rent Margin
(total sales)</v>
          </cell>
          <cell r="H4" t="str">
            <v>Rent Margin
(store sales)</v>
          </cell>
          <cell r="I4" t="str">
            <v>Comments</v>
          </cell>
          <cell r="K4" t="str">
            <v>2013E Comp. Sales %</v>
          </cell>
        </row>
        <row r="5">
          <cell r="A5" t="str">
            <v>check-in wed</v>
          </cell>
          <cell r="B5" t="str">
            <v>ANF</v>
          </cell>
          <cell r="C5">
            <v>-229.75073062217939</v>
          </cell>
          <cell r="D5" t="e">
            <v>#N/A</v>
          </cell>
          <cell r="E5" t="str">
            <v>Middle Tier</v>
          </cell>
          <cell r="F5" t="str">
            <v>Highest Tier</v>
          </cell>
          <cell r="G5" t="str">
            <v>Lowest Tier</v>
          </cell>
          <cell r="H5" t="str">
            <v>Lowest Tier</v>
          </cell>
          <cell r="I5" t="str">
            <v>Low operating margin and high rent margin combined with our expectation for closures of underperforming stores and beneficial mix shift toward international stores suggests leverage opportunity.</v>
          </cell>
          <cell r="K5" t="e">
            <v>#N/A</v>
          </cell>
          <cell r="L5">
            <v>-2.3904589063689273E-2</v>
          </cell>
        </row>
        <row r="6">
          <cell r="A6" t="str">
            <v>guidance</v>
          </cell>
          <cell r="B6" t="str">
            <v>ANN</v>
          </cell>
          <cell r="C6">
            <v>17.928600935579741</v>
          </cell>
          <cell r="D6" t="e">
            <v>#N/A</v>
          </cell>
          <cell r="E6" t="str">
            <v>Lowest Tier</v>
          </cell>
          <cell r="F6" t="str">
            <v>Middle Tier</v>
          </cell>
          <cell r="G6" t="str">
            <v>Lowest Tier</v>
          </cell>
          <cell r="H6" t="str">
            <v>Lowest Tier</v>
          </cell>
          <cell r="I6" t="str">
            <v>Low operating margin, low sales productivity, high rent margin and outlook for +LSD comps indicates some leverage opportunity.  In addition, store growth is focused on lower rent outlet centers and mall stores downsizing into smaller boxes with store productivity to improve.</v>
          </cell>
          <cell r="K6">
            <v>3.3418816991071507E-2</v>
          </cell>
        </row>
        <row r="7">
          <cell r="A7" t="str">
            <v>ok</v>
          </cell>
          <cell r="B7" t="str">
            <v>PLCE</v>
          </cell>
          <cell r="C7">
            <v>-12.624278769471086</v>
          </cell>
          <cell r="D7" t="e">
            <v>#N/A</v>
          </cell>
          <cell r="E7" t="str">
            <v>Lowest Tier</v>
          </cell>
          <cell r="F7" t="str">
            <v>Middle Tier</v>
          </cell>
          <cell r="G7" t="str">
            <v>Lowest Tier</v>
          </cell>
          <cell r="H7" t="str">
            <v>Lowest Tier</v>
          </cell>
          <cell r="I7" t="str">
            <v>PLCE has the second lowest operating margin, third lowest sales productivity, highest rent margin, and we see only +LSD 2013e comps.  However, the company is accelerating new store growth with a focus on value centers which could lower average rents and create leverage.</v>
          </cell>
          <cell r="K7">
            <v>0.02</v>
          </cell>
        </row>
        <row r="8">
          <cell r="A8" t="str">
            <v>ok</v>
          </cell>
          <cell r="B8" t="str">
            <v>EXPR</v>
          </cell>
          <cell r="C8">
            <v>-125.26235376783684</v>
          </cell>
          <cell r="D8" t="e">
            <v>#N/A</v>
          </cell>
          <cell r="E8" t="str">
            <v>Lowest Tier</v>
          </cell>
          <cell r="F8" t="str">
            <v>Middle Tier</v>
          </cell>
          <cell r="G8" t="str">
            <v>Lowest Tier</v>
          </cell>
          <cell r="H8" t="str">
            <v>Lowest Tier</v>
          </cell>
          <cell r="I8" t="str">
            <v>Low operating margin and high rent margin, but improved traffic-driving fashions, expansion in top mall locations, plus a focus on new outlets not currently in guidance can potentially improve productivity going forward.</v>
          </cell>
          <cell r="K8">
            <v>0.09</v>
          </cell>
        </row>
        <row r="9">
          <cell r="A9" t="str">
            <v>ok</v>
          </cell>
          <cell r="B9" t="str">
            <v>ARO</v>
          </cell>
          <cell r="C9">
            <v>-144.33021731824175</v>
          </cell>
          <cell r="D9" t="e">
            <v>#N/A</v>
          </cell>
          <cell r="E9" t="str">
            <v>Middle Tier</v>
          </cell>
          <cell r="F9" t="str">
            <v>Middle Tier</v>
          </cell>
          <cell r="G9" t="str">
            <v>Middle Tier</v>
          </cell>
          <cell r="H9" t="str">
            <v>Middle Tier</v>
          </cell>
          <cell r="I9" t="str">
            <v>Competitive pricing pressure and slowed productivity helps generate the group's lowest operating margins. The company will close 100 low-volume stores, however increase rent from new P.S. store openings could offset the store closure benefit. If the new P.S concept is productive and Aeropostale comps improve, ARO could conceivably reverse the rent deleverage trend.</v>
          </cell>
          <cell r="K9">
            <v>-0.02</v>
          </cell>
        </row>
        <row r="12">
          <cell r="D12">
            <v>5</v>
          </cell>
        </row>
        <row r="13">
          <cell r="D13">
            <v>11</v>
          </cell>
        </row>
      </sheetData>
      <sheetData sheetId="9">
        <row r="7">
          <cell r="E7" t="str">
            <v>Output Table</v>
          </cell>
        </row>
        <row r="10">
          <cell r="E10">
            <v>2</v>
          </cell>
          <cell r="F10">
            <v>27</v>
          </cell>
          <cell r="I10">
            <v>2</v>
          </cell>
          <cell r="J10">
            <v>27</v>
          </cell>
          <cell r="L10">
            <v>2</v>
          </cell>
          <cell r="M10">
            <v>27</v>
          </cell>
        </row>
        <row r="12">
          <cell r="F12" t="str">
            <v>Rent Exp Leverage</v>
          </cell>
          <cell r="J12" t="str">
            <v>Rent Exp Leverage</v>
          </cell>
          <cell r="M12" t="str">
            <v>Rent Exp Leverage</v>
          </cell>
        </row>
        <row r="13">
          <cell r="F13" t="str">
            <v>2013E (bps)</v>
          </cell>
          <cell r="J13" t="str">
            <v>2012A (bps)</v>
          </cell>
          <cell r="M13" t="str">
            <v>2011A (bps)</v>
          </cell>
        </row>
        <row r="15">
          <cell r="E15" t="str">
            <v>KORS</v>
          </cell>
          <cell r="F15">
            <v>35.526986005982657</v>
          </cell>
          <cell r="I15" t="str">
            <v>COH</v>
          </cell>
          <cell r="J15">
            <v>632.03159705609062</v>
          </cell>
          <cell r="L15" t="str">
            <v>LTD</v>
          </cell>
          <cell r="M15">
            <v>808.95362286616034</v>
          </cell>
        </row>
        <row r="16">
          <cell r="E16" t="str">
            <v>ANN</v>
          </cell>
          <cell r="F16">
            <v>17.928600935579741</v>
          </cell>
          <cell r="I16" t="str">
            <v>AEO</v>
          </cell>
          <cell r="J16">
            <v>100.70763496348944</v>
          </cell>
          <cell r="L16" t="str">
            <v>ANF</v>
          </cell>
          <cell r="M16">
            <v>108.97913814203019</v>
          </cell>
        </row>
        <row r="17">
          <cell r="E17" t="str">
            <v>URBN</v>
          </cell>
          <cell r="F17">
            <v>5.8273760692074958</v>
          </cell>
          <cell r="I17" t="str">
            <v>LULU</v>
          </cell>
          <cell r="J17">
            <v>69.100308982571818</v>
          </cell>
          <cell r="L17" t="str">
            <v>ANN</v>
          </cell>
          <cell r="M17">
            <v>95.78461854458584</v>
          </cell>
        </row>
        <row r="18">
          <cell r="E18" t="str">
            <v>TIF</v>
          </cell>
          <cell r="F18">
            <v>2.2493944490369069</v>
          </cell>
          <cell r="I18" t="str">
            <v>GPS</v>
          </cell>
          <cell r="J18">
            <v>55.778851695775231</v>
          </cell>
          <cell r="L18" t="str">
            <v>LULU</v>
          </cell>
          <cell r="M18">
            <v>75.081858688960253</v>
          </cell>
        </row>
        <row r="19">
          <cell r="E19" t="str">
            <v>TJX</v>
          </cell>
          <cell r="F19">
            <v>1.6085915910753201</v>
          </cell>
          <cell r="I19" t="str">
            <v>PLCE</v>
          </cell>
          <cell r="J19">
            <v>45.114586184959172</v>
          </cell>
          <cell r="L19" t="str">
            <v>CHS</v>
          </cell>
          <cell r="M19">
            <v>63.393436058514077</v>
          </cell>
        </row>
        <row r="20">
          <cell r="E20" t="str">
            <v>LULU</v>
          </cell>
          <cell r="F20">
            <v>0.86149604568652727</v>
          </cell>
          <cell r="I20" t="str">
            <v>CHS</v>
          </cell>
          <cell r="J20">
            <v>41.903595604134146</v>
          </cell>
          <cell r="L20" t="str">
            <v>EXPR</v>
          </cell>
          <cell r="M20">
            <v>44.579172432415163</v>
          </cell>
        </row>
        <row r="21">
          <cell r="E21" t="str">
            <v>LTD</v>
          </cell>
          <cell r="F21">
            <v>-3.4629597101869596</v>
          </cell>
          <cell r="I21" t="str">
            <v>ROST</v>
          </cell>
          <cell r="J21">
            <v>30.211023114819906</v>
          </cell>
          <cell r="L21" t="str">
            <v>KORS</v>
          </cell>
          <cell r="M21">
            <v>35.172886249425218</v>
          </cell>
        </row>
        <row r="22">
          <cell r="E22" t="str">
            <v>ROST</v>
          </cell>
          <cell r="F22">
            <v>-8.9201321709712893</v>
          </cell>
          <cell r="I22" t="str">
            <v>KORS</v>
          </cell>
          <cell r="J22">
            <v>29.219519353664847</v>
          </cell>
          <cell r="L22" t="str">
            <v>ROST</v>
          </cell>
          <cell r="M22">
            <v>24.569763953621663</v>
          </cell>
        </row>
        <row r="23">
          <cell r="E23" t="str">
            <v>PLCE</v>
          </cell>
          <cell r="F23">
            <v>-12.624278769471086</v>
          </cell>
          <cell r="I23" t="str">
            <v>ANF</v>
          </cell>
          <cell r="J23">
            <v>25.844540509672441</v>
          </cell>
          <cell r="L23" t="str">
            <v>COH</v>
          </cell>
          <cell r="M23">
            <v>11.121197831945317</v>
          </cell>
        </row>
        <row r="24">
          <cell r="E24" t="str">
            <v>GPS</v>
          </cell>
          <cell r="F24">
            <v>-15.276650537825176</v>
          </cell>
          <cell r="I24" t="str">
            <v>TJX</v>
          </cell>
          <cell r="J24">
            <v>20.91967123394857</v>
          </cell>
          <cell r="L24" t="str">
            <v>TIF</v>
          </cell>
          <cell r="M24">
            <v>11.096419858824397</v>
          </cell>
        </row>
        <row r="25">
          <cell r="E25" t="str">
            <v>CHS</v>
          </cell>
          <cell r="F25">
            <v>-91.269130837868119</v>
          </cell>
          <cell r="I25" t="str">
            <v>LTD</v>
          </cell>
          <cell r="J25">
            <v>6.5503448747606008</v>
          </cell>
          <cell r="L25" t="str">
            <v>TJX</v>
          </cell>
          <cell r="M25">
            <v>10.16582641933557</v>
          </cell>
        </row>
        <row r="26">
          <cell r="E26" t="str">
            <v>AEO</v>
          </cell>
          <cell r="F26">
            <v>-93.710459448133747</v>
          </cell>
          <cell r="I26" t="str">
            <v>URBN</v>
          </cell>
          <cell r="J26">
            <v>3.6366834208323429</v>
          </cell>
          <cell r="L26" t="str">
            <v>AEO</v>
          </cell>
          <cell r="M26">
            <v>-10.646652941196793</v>
          </cell>
        </row>
        <row r="27">
          <cell r="E27" t="str">
            <v>EXPR</v>
          </cell>
          <cell r="F27">
            <v>-125.26235376783684</v>
          </cell>
          <cell r="I27" t="str">
            <v>ANN</v>
          </cell>
          <cell r="J27">
            <v>-3.4011620263443842</v>
          </cell>
          <cell r="L27" t="str">
            <v>PLCE</v>
          </cell>
          <cell r="M27">
            <v>-11.291254074840552</v>
          </cell>
        </row>
        <row r="28">
          <cell r="E28" t="str">
            <v>ARO</v>
          </cell>
          <cell r="F28">
            <v>-144.33021731824175</v>
          </cell>
          <cell r="I28" t="str">
            <v>ARO</v>
          </cell>
          <cell r="J28">
            <v>-10.819977328833247</v>
          </cell>
          <cell r="L28" t="str">
            <v>URBN</v>
          </cell>
          <cell r="M28">
            <v>-42.935649048453371</v>
          </cell>
        </row>
        <row r="29">
          <cell r="E29" t="str">
            <v>ANF</v>
          </cell>
          <cell r="F29">
            <v>-229.75073062217939</v>
          </cell>
          <cell r="I29" t="str">
            <v>TIF</v>
          </cell>
          <cell r="J29">
            <v>-35.817442387837822</v>
          </cell>
          <cell r="L29" t="str">
            <v>GPS</v>
          </cell>
          <cell r="M29">
            <v>-69.657812489629663</v>
          </cell>
        </row>
        <row r="30">
          <cell r="E30" t="str">
            <v>COH</v>
          </cell>
          <cell r="F30">
            <v>-719.22269844079608</v>
          </cell>
          <cell r="I30" t="str">
            <v>EXPR</v>
          </cell>
          <cell r="J30">
            <v>-62.346722196883199</v>
          </cell>
          <cell r="L30" t="str">
            <v>ARO</v>
          </cell>
          <cell r="M30">
            <v>-134.18670119102444</v>
          </cell>
        </row>
        <row r="31">
          <cell r="E31" t="str">
            <v>Average</v>
          </cell>
          <cell r="F31">
            <v>-86.239197907933857</v>
          </cell>
          <cell r="I31" t="str">
            <v>Average</v>
          </cell>
          <cell r="J31">
            <v>59.289565815926281</v>
          </cell>
          <cell r="L31" t="str">
            <v>Average</v>
          </cell>
          <cell r="M31">
            <v>63.761241956292082</v>
          </cell>
        </row>
        <row r="36">
          <cell r="F36">
            <v>-97.718884557368384</v>
          </cell>
          <cell r="J36">
            <v>62.679281292644397</v>
          </cell>
        </row>
        <row r="37">
          <cell r="A37" t="str">
            <v>Inputs</v>
          </cell>
        </row>
        <row r="38">
          <cell r="K38" t="str">
            <v>11</v>
          </cell>
        </row>
        <row r="39">
          <cell r="B39" t="str">
            <v>AEO2013</v>
          </cell>
          <cell r="E39" t="str">
            <v>AEO</v>
          </cell>
          <cell r="F39">
            <v>-93.710459448133747</v>
          </cell>
          <cell r="G39" t="str">
            <v>AEO2012</v>
          </cell>
          <cell r="I39" t="str">
            <v>AEO</v>
          </cell>
          <cell r="J39">
            <v>100.70763496348944</v>
          </cell>
          <cell r="K39" t="str">
            <v>AEO2011</v>
          </cell>
          <cell r="L39" t="str">
            <v>AEO</v>
          </cell>
          <cell r="M39">
            <v>-10.646652941196793</v>
          </cell>
          <cell r="O39" t="str">
            <v>AEO</v>
          </cell>
          <cell r="P39">
            <v>6.9971755153556927</v>
          </cell>
          <cell r="Q39">
            <v>1</v>
          </cell>
          <cell r="R39">
            <v>9</v>
          </cell>
          <cell r="T39" t="str">
            <v>LULU</v>
          </cell>
          <cell r="U39">
            <v>69.96180502825834</v>
          </cell>
        </row>
        <row r="40">
          <cell r="B40" t="str">
            <v>ANF2013</v>
          </cell>
          <cell r="E40" t="str">
            <v>ANF</v>
          </cell>
          <cell r="F40">
            <v>-229.75073062217939</v>
          </cell>
          <cell r="G40" t="str">
            <v>ANF2012</v>
          </cell>
          <cell r="I40" t="str">
            <v>ANF</v>
          </cell>
          <cell r="J40">
            <v>25.844540509672441</v>
          </cell>
          <cell r="K40" t="str">
            <v>ANF2011</v>
          </cell>
          <cell r="L40" t="str">
            <v>ANF</v>
          </cell>
          <cell r="M40">
            <v>108.97913814203019</v>
          </cell>
          <cell r="O40" t="str">
            <v>ANF</v>
          </cell>
          <cell r="P40">
            <v>-203.90619011250695</v>
          </cell>
          <cell r="Q40">
            <v>2</v>
          </cell>
          <cell r="R40">
            <v>16</v>
          </cell>
          <cell r="T40" t="str">
            <v>KORS</v>
          </cell>
          <cell r="U40">
            <v>64.7465053596475</v>
          </cell>
        </row>
        <row r="41">
          <cell r="B41" t="str">
            <v>ANN2013</v>
          </cell>
          <cell r="E41" t="str">
            <v>ANN</v>
          </cell>
          <cell r="F41">
            <v>17.928600935579741</v>
          </cell>
          <cell r="G41" t="str">
            <v>ANN2012</v>
          </cell>
          <cell r="I41" t="str">
            <v>ANN</v>
          </cell>
          <cell r="J41">
            <v>-3.4011620263443842</v>
          </cell>
          <cell r="K41" t="str">
            <v>ANN2011</v>
          </cell>
          <cell r="L41" t="str">
            <v>ANN</v>
          </cell>
          <cell r="M41">
            <v>95.78461854458584</v>
          </cell>
          <cell r="O41" t="str">
            <v>ANN</v>
          </cell>
          <cell r="P41">
            <v>14.527438909235357</v>
          </cell>
          <cell r="Q41">
            <v>3</v>
          </cell>
          <cell r="R41">
            <v>7</v>
          </cell>
          <cell r="T41" t="str">
            <v>GPS</v>
          </cell>
          <cell r="U41">
            <v>40.502201157950054</v>
          </cell>
        </row>
        <row r="42">
          <cell r="B42" t="str">
            <v>ARO2013</v>
          </cell>
          <cell r="E42" t="str">
            <v>ARO</v>
          </cell>
          <cell r="F42">
            <v>-144.33021731824175</v>
          </cell>
          <cell r="G42" t="str">
            <v>ARO2012</v>
          </cell>
          <cell r="I42" t="str">
            <v>ARO</v>
          </cell>
          <cell r="J42">
            <v>-10.819977328833247</v>
          </cell>
          <cell r="K42" t="str">
            <v>ARO2011</v>
          </cell>
          <cell r="L42" t="str">
            <v>ARO</v>
          </cell>
          <cell r="M42">
            <v>-134.18670119102444</v>
          </cell>
          <cell r="O42" t="str">
            <v>ARO</v>
          </cell>
          <cell r="P42">
            <v>-155.15019464707501</v>
          </cell>
          <cell r="Q42">
            <v>4</v>
          </cell>
          <cell r="R42">
            <v>14</v>
          </cell>
          <cell r="T42" t="str">
            <v>PLCE</v>
          </cell>
          <cell r="U42">
            <v>32.49030741548809</v>
          </cell>
        </row>
        <row r="43">
          <cell r="B43" t="str">
            <v>CHS2013</v>
          </cell>
          <cell r="E43" t="str">
            <v>CHS</v>
          </cell>
          <cell r="F43">
            <v>-91.269130837868119</v>
          </cell>
          <cell r="G43" t="str">
            <v>CHS2012</v>
          </cell>
          <cell r="I43" t="str">
            <v>CHS</v>
          </cell>
          <cell r="J43">
            <v>41.903595604134146</v>
          </cell>
          <cell r="K43" t="str">
            <v>CHS2011</v>
          </cell>
          <cell r="L43" t="str">
            <v>CHS</v>
          </cell>
          <cell r="M43">
            <v>63.393436058514077</v>
          </cell>
          <cell r="O43" t="str">
            <v>CHS</v>
          </cell>
          <cell r="P43">
            <v>-49.365535233733972</v>
          </cell>
          <cell r="Q43">
            <v>5</v>
          </cell>
          <cell r="R43">
            <v>12</v>
          </cell>
          <cell r="T43" t="str">
            <v>TJX</v>
          </cell>
          <cell r="U43">
            <v>22.528262825023891</v>
          </cell>
        </row>
        <row r="44">
          <cell r="B44" t="str">
            <v>COH2013</v>
          </cell>
          <cell r="E44" t="str">
            <v>COH</v>
          </cell>
          <cell r="F44">
            <v>-719.22269844079608</v>
          </cell>
          <cell r="G44" t="str">
            <v>COH2012</v>
          </cell>
          <cell r="I44" t="str">
            <v>COH</v>
          </cell>
          <cell r="J44">
            <v>632.03159705609062</v>
          </cell>
          <cell r="K44" t="str">
            <v>COH2011</v>
          </cell>
          <cell r="L44" t="str">
            <v>COH</v>
          </cell>
          <cell r="M44">
            <v>11.121197831945317</v>
          </cell>
          <cell r="O44" t="str">
            <v>COH</v>
          </cell>
          <cell r="P44">
            <v>-87.191101384705462</v>
          </cell>
          <cell r="Q44">
            <v>6</v>
          </cell>
          <cell r="R44">
            <v>13</v>
          </cell>
          <cell r="T44" t="str">
            <v>ROST</v>
          </cell>
          <cell r="U44">
            <v>21.290890943848616</v>
          </cell>
        </row>
        <row r="45">
          <cell r="B45" t="str">
            <v>EXPR2013</v>
          </cell>
          <cell r="E45" t="str">
            <v>EXPR</v>
          </cell>
          <cell r="F45">
            <v>-125.26235376783684</v>
          </cell>
          <cell r="G45" t="str">
            <v>EXPR2012</v>
          </cell>
          <cell r="I45" t="str">
            <v>EXPR</v>
          </cell>
          <cell r="J45">
            <v>-62.346722196883199</v>
          </cell>
          <cell r="K45" t="str">
            <v>EXPR2011</v>
          </cell>
          <cell r="L45" t="str">
            <v>EXPR</v>
          </cell>
          <cell r="M45">
            <v>44.579172432415163</v>
          </cell>
          <cell r="O45" t="str">
            <v>EXPR</v>
          </cell>
          <cell r="P45">
            <v>-187.60907596472003</v>
          </cell>
          <cell r="Q45">
            <v>7</v>
          </cell>
          <cell r="R45">
            <v>15</v>
          </cell>
          <cell r="T45" t="str">
            <v>ANN</v>
          </cell>
          <cell r="U45">
            <v>14.527438909235357</v>
          </cell>
        </row>
        <row r="46">
          <cell r="B46" t="str">
            <v>GPS2013</v>
          </cell>
          <cell r="E46" t="str">
            <v>GPS</v>
          </cell>
          <cell r="F46">
            <v>-15.276650537825176</v>
          </cell>
          <cell r="G46" t="str">
            <v>GPS2012</v>
          </cell>
          <cell r="I46" t="str">
            <v>GPS</v>
          </cell>
          <cell r="J46">
            <v>55.778851695775231</v>
          </cell>
          <cell r="K46" t="str">
            <v>GPS2011</v>
          </cell>
          <cell r="L46" t="str">
            <v>GPS</v>
          </cell>
          <cell r="M46">
            <v>-69.657812489629663</v>
          </cell>
          <cell r="O46" t="str">
            <v>GPS</v>
          </cell>
          <cell r="P46">
            <v>40.502201157950054</v>
          </cell>
          <cell r="Q46">
            <v>8</v>
          </cell>
          <cell r="R46">
            <v>3</v>
          </cell>
          <cell r="T46" t="str">
            <v>URBN</v>
          </cell>
          <cell r="U46">
            <v>9.4640594900398387</v>
          </cell>
        </row>
        <row r="47">
          <cell r="B47" t="str">
            <v>KORS2013</v>
          </cell>
          <cell r="E47" t="str">
            <v>KORS</v>
          </cell>
          <cell r="F47">
            <v>35.526986005982657</v>
          </cell>
          <cell r="G47" t="str">
            <v>KORS2012</v>
          </cell>
          <cell r="I47" t="str">
            <v>KORS</v>
          </cell>
          <cell r="J47">
            <v>29.219519353664847</v>
          </cell>
          <cell r="K47" t="str">
            <v>KORS2011</v>
          </cell>
          <cell r="L47" t="str">
            <v>KORS</v>
          </cell>
          <cell r="M47">
            <v>35.172886249425218</v>
          </cell>
          <cell r="O47" t="str">
            <v>KORS</v>
          </cell>
          <cell r="P47">
            <v>64.7465053596475</v>
          </cell>
          <cell r="Q47">
            <v>9</v>
          </cell>
          <cell r="R47">
            <v>2</v>
          </cell>
          <cell r="T47" t="str">
            <v>AEO</v>
          </cell>
          <cell r="U47">
            <v>6.9971755153556927</v>
          </cell>
        </row>
        <row r="48">
          <cell r="B48" t="str">
            <v>LTD2013</v>
          </cell>
          <cell r="E48" t="str">
            <v>LTD</v>
          </cell>
          <cell r="F48">
            <v>-3.4629597101869596</v>
          </cell>
          <cell r="G48" t="str">
            <v>LTD2012</v>
          </cell>
          <cell r="I48" t="str">
            <v>LTD</v>
          </cell>
          <cell r="J48">
            <v>6.5503448747606008</v>
          </cell>
          <cell r="K48" t="str">
            <v>LTD2011</v>
          </cell>
          <cell r="L48" t="str">
            <v>LTD</v>
          </cell>
          <cell r="M48">
            <v>808.95362286616034</v>
          </cell>
          <cell r="O48" t="str">
            <v>LTD</v>
          </cell>
          <cell r="P48">
            <v>3.0873851645736412</v>
          </cell>
          <cell r="Q48">
            <v>10</v>
          </cell>
          <cell r="R48">
            <v>10</v>
          </cell>
          <cell r="T48" t="str">
            <v>LTD</v>
          </cell>
          <cell r="U48">
            <v>3.0873851645736412</v>
          </cell>
        </row>
        <row r="49">
          <cell r="B49" t="str">
            <v>LULU2013</v>
          </cell>
          <cell r="E49" t="str">
            <v>LULU</v>
          </cell>
          <cell r="F49">
            <v>0.86149604568652727</v>
          </cell>
          <cell r="G49" t="str">
            <v>LULU2012</v>
          </cell>
          <cell r="I49" t="str">
            <v>LULU</v>
          </cell>
          <cell r="J49">
            <v>69.100308982571818</v>
          </cell>
          <cell r="K49" t="str">
            <v>LULU2011</v>
          </cell>
          <cell r="L49" t="str">
            <v>LULU</v>
          </cell>
          <cell r="M49">
            <v>75.081858688960253</v>
          </cell>
          <cell r="O49" t="str">
            <v>LULU</v>
          </cell>
          <cell r="P49">
            <v>69.96180502825834</v>
          </cell>
          <cell r="Q49">
            <v>11</v>
          </cell>
          <cell r="R49">
            <v>1</v>
          </cell>
          <cell r="T49" t="str">
            <v>TIF</v>
          </cell>
          <cell r="U49">
            <v>-33.568047938800916</v>
          </cell>
        </row>
        <row r="50">
          <cell r="B50" t="str">
            <v>PLCE2013</v>
          </cell>
          <cell r="E50" t="str">
            <v>PLCE</v>
          </cell>
          <cell r="F50">
            <v>-12.624278769471086</v>
          </cell>
          <cell r="G50" t="str">
            <v>PLCE2012</v>
          </cell>
          <cell r="I50" t="str">
            <v>PLCE</v>
          </cell>
          <cell r="J50">
            <v>45.114586184959172</v>
          </cell>
          <cell r="K50" t="str">
            <v>PLCE2011</v>
          </cell>
          <cell r="L50" t="str">
            <v>PLCE</v>
          </cell>
          <cell r="M50">
            <v>-11.291254074840552</v>
          </cell>
          <cell r="O50" t="str">
            <v>PLCE</v>
          </cell>
          <cell r="P50">
            <v>32.49030741548809</v>
          </cell>
          <cell r="Q50">
            <v>12</v>
          </cell>
          <cell r="R50">
            <v>4</v>
          </cell>
          <cell r="T50" t="str">
            <v>CHS</v>
          </cell>
          <cell r="U50">
            <v>-49.365535233733972</v>
          </cell>
        </row>
        <row r="51">
          <cell r="B51" t="str">
            <v>ROST2013</v>
          </cell>
          <cell r="E51" t="str">
            <v>ROST</v>
          </cell>
          <cell r="F51">
            <v>-8.9201321709712893</v>
          </cell>
          <cell r="G51" t="str">
            <v>ROST2012</v>
          </cell>
          <cell r="I51" t="str">
            <v>ROST</v>
          </cell>
          <cell r="J51">
            <v>30.211023114819906</v>
          </cell>
          <cell r="K51" t="str">
            <v>ROST2011</v>
          </cell>
          <cell r="L51" t="str">
            <v>ROST</v>
          </cell>
          <cell r="M51">
            <v>24.569763953621663</v>
          </cell>
          <cell r="O51" t="str">
            <v>ROST</v>
          </cell>
          <cell r="P51">
            <v>21.290890943848616</v>
          </cell>
          <cell r="Q51">
            <v>13</v>
          </cell>
          <cell r="R51">
            <v>6</v>
          </cell>
          <cell r="T51" t="str">
            <v>COH</v>
          </cell>
          <cell r="U51">
            <v>-87.191101384705462</v>
          </cell>
        </row>
        <row r="52">
          <cell r="B52" t="str">
            <v>TIF2013</v>
          </cell>
          <cell r="E52" t="str">
            <v>TIF</v>
          </cell>
          <cell r="F52">
            <v>2.2493944490369069</v>
          </cell>
          <cell r="G52" t="str">
            <v>TIF2012</v>
          </cell>
          <cell r="I52" t="str">
            <v>TIF</v>
          </cell>
          <cell r="J52">
            <v>-35.817442387837822</v>
          </cell>
          <cell r="K52" t="str">
            <v>TIF2011</v>
          </cell>
          <cell r="L52" t="str">
            <v>TIF</v>
          </cell>
          <cell r="M52">
            <v>11.096419858824397</v>
          </cell>
          <cell r="O52" t="str">
            <v>TIF</v>
          </cell>
          <cell r="P52">
            <v>-33.568047938800916</v>
          </cell>
          <cell r="Q52">
            <v>14</v>
          </cell>
          <cell r="R52">
            <v>11</v>
          </cell>
          <cell r="T52" t="str">
            <v>ARO</v>
          </cell>
          <cell r="U52">
            <v>-155.15019464707501</v>
          </cell>
        </row>
        <row r="53">
          <cell r="B53" t="str">
            <v>TJX2013</v>
          </cell>
          <cell r="E53" t="str">
            <v>TJX</v>
          </cell>
          <cell r="F53">
            <v>1.6085915910753201</v>
          </cell>
          <cell r="G53" t="str">
            <v>TJX2012</v>
          </cell>
          <cell r="I53" t="str">
            <v>TJX</v>
          </cell>
          <cell r="J53">
            <v>20.91967123394857</v>
          </cell>
          <cell r="K53" t="str">
            <v>TJX2011</v>
          </cell>
          <cell r="L53" t="str">
            <v>TJX</v>
          </cell>
          <cell r="M53">
            <v>10.16582641933557</v>
          </cell>
          <cell r="O53" t="str">
            <v>TJX</v>
          </cell>
          <cell r="P53">
            <v>22.528262825023891</v>
          </cell>
          <cell r="Q53">
            <v>15</v>
          </cell>
          <cell r="R53">
            <v>5</v>
          </cell>
          <cell r="T53" t="str">
            <v>EXPR</v>
          </cell>
          <cell r="U53">
            <v>-187.60907596472003</v>
          </cell>
        </row>
        <row r="54">
          <cell r="B54" t="str">
            <v>URBN2013</v>
          </cell>
          <cell r="E54" t="str">
            <v>URBN</v>
          </cell>
          <cell r="F54">
            <v>5.8273760692074958</v>
          </cell>
          <cell r="G54" t="str">
            <v>URBN2012</v>
          </cell>
          <cell r="I54" t="str">
            <v>URBN</v>
          </cell>
          <cell r="J54">
            <v>3.6366834208323429</v>
          </cell>
          <cell r="K54" t="str">
            <v>URBN2011</v>
          </cell>
          <cell r="L54" t="str">
            <v>URBN</v>
          </cell>
          <cell r="M54">
            <v>-42.935649048453371</v>
          </cell>
          <cell r="O54" t="str">
            <v>URBN</v>
          </cell>
          <cell r="P54">
            <v>9.4640594900398387</v>
          </cell>
          <cell r="Q54">
            <v>16</v>
          </cell>
          <cell r="R54">
            <v>8</v>
          </cell>
          <cell r="T54" t="str">
            <v>ANF</v>
          </cell>
          <cell r="U54">
            <v>-203.90619011250695</v>
          </cell>
        </row>
        <row r="55">
          <cell r="E55" t="str">
            <v>Average</v>
          </cell>
          <cell r="F55">
            <v>-86.239197907933857</v>
          </cell>
          <cell r="I55" t="str">
            <v>Average</v>
          </cell>
          <cell r="J55">
            <v>59.289565815926281</v>
          </cell>
          <cell r="L55" t="str">
            <v>Average</v>
          </cell>
          <cell r="M55">
            <v>63.761241956292082</v>
          </cell>
          <cell r="O55" t="str">
            <v>Average</v>
          </cell>
          <cell r="P55">
            <v>-26.949632092007576</v>
          </cell>
        </row>
        <row r="61">
          <cell r="H61">
            <v>0</v>
          </cell>
        </row>
        <row r="62">
          <cell r="B62" t="str">
            <v>2013E (bps)</v>
          </cell>
        </row>
        <row r="63">
          <cell r="E63" t="str">
            <v>AEO</v>
          </cell>
          <cell r="F63">
            <v>-93.710459448133747</v>
          </cell>
          <cell r="G63">
            <v>1</v>
          </cell>
          <cell r="I63">
            <v>12</v>
          </cell>
          <cell r="J63" t="str">
            <v>KORS</v>
          </cell>
          <cell r="K63">
            <v>35.526986005982657</v>
          </cell>
        </row>
        <row r="64">
          <cell r="E64" t="str">
            <v>ANF</v>
          </cell>
          <cell r="F64">
            <v>-229.75073062217939</v>
          </cell>
          <cell r="G64">
            <v>2</v>
          </cell>
          <cell r="I64">
            <v>15</v>
          </cell>
          <cell r="J64" t="str">
            <v>ANN</v>
          </cell>
          <cell r="K64">
            <v>17.928600935579741</v>
          </cell>
        </row>
        <row r="65">
          <cell r="E65" t="str">
            <v>ANN</v>
          </cell>
          <cell r="F65">
            <v>17.928600935579741</v>
          </cell>
          <cell r="G65">
            <v>3</v>
          </cell>
          <cell r="I65">
            <v>2</v>
          </cell>
          <cell r="J65" t="str">
            <v>URBN</v>
          </cell>
          <cell r="K65">
            <v>5.8273760692074958</v>
          </cell>
        </row>
        <row r="66">
          <cell r="E66" t="str">
            <v>ARO</v>
          </cell>
          <cell r="F66">
            <v>-144.33021731824175</v>
          </cell>
          <cell r="G66">
            <v>4</v>
          </cell>
          <cell r="I66">
            <v>14</v>
          </cell>
          <cell r="J66" t="str">
            <v>TIF</v>
          </cell>
          <cell r="K66">
            <v>2.2493944490369069</v>
          </cell>
        </row>
        <row r="67">
          <cell r="E67" t="str">
            <v>CHS</v>
          </cell>
          <cell r="F67">
            <v>-91.269130837868119</v>
          </cell>
          <cell r="G67">
            <v>5</v>
          </cell>
          <cell r="I67">
            <v>11</v>
          </cell>
          <cell r="J67" t="str">
            <v>TJX</v>
          </cell>
          <cell r="K67">
            <v>1.6085915910753201</v>
          </cell>
        </row>
        <row r="68">
          <cell r="E68" t="str">
            <v>COH</v>
          </cell>
          <cell r="F68">
            <v>-719.22269844079608</v>
          </cell>
          <cell r="G68">
            <v>6</v>
          </cell>
          <cell r="I68">
            <v>16</v>
          </cell>
          <cell r="J68" t="str">
            <v>LULU</v>
          </cell>
          <cell r="K68">
            <v>0.86149604568652727</v>
          </cell>
        </row>
        <row r="69">
          <cell r="E69" t="str">
            <v>EXPR</v>
          </cell>
          <cell r="F69">
            <v>-125.26235376783684</v>
          </cell>
          <cell r="G69">
            <v>7</v>
          </cell>
          <cell r="I69">
            <v>13</v>
          </cell>
          <cell r="J69" t="str">
            <v>LTD</v>
          </cell>
          <cell r="K69">
            <v>-3.4629597101869596</v>
          </cell>
          <cell r="L69" t="str">
            <v>kors</v>
          </cell>
        </row>
        <row r="70">
          <cell r="E70" t="str">
            <v>GPS</v>
          </cell>
          <cell r="F70">
            <v>-15.276650537825176</v>
          </cell>
          <cell r="G70">
            <v>8</v>
          </cell>
          <cell r="I70">
            <v>10</v>
          </cell>
          <cell r="J70" t="str">
            <v>ROST</v>
          </cell>
          <cell r="K70">
            <v>-8.9201321709712893</v>
          </cell>
          <cell r="L70" t="str">
            <v>rost</v>
          </cell>
        </row>
        <row r="71">
          <cell r="E71" t="str">
            <v>KORS</v>
          </cell>
          <cell r="F71">
            <v>35.526986005982657</v>
          </cell>
          <cell r="G71">
            <v>9</v>
          </cell>
          <cell r="I71">
            <v>1</v>
          </cell>
          <cell r="J71" t="str">
            <v>PLCE</v>
          </cell>
          <cell r="K71">
            <v>-12.624278769471086</v>
          </cell>
        </row>
        <row r="72">
          <cell r="E72" t="str">
            <v>LTD</v>
          </cell>
          <cell r="F72">
            <v>-3.4629597101869596</v>
          </cell>
          <cell r="G72">
            <v>10</v>
          </cell>
          <cell r="I72">
            <v>7</v>
          </cell>
          <cell r="J72" t="str">
            <v>GPS</v>
          </cell>
          <cell r="K72">
            <v>-15.276650537825176</v>
          </cell>
        </row>
        <row r="73">
          <cell r="E73" t="str">
            <v>LULU</v>
          </cell>
          <cell r="F73">
            <v>0.86149604568652727</v>
          </cell>
          <cell r="G73">
            <v>11</v>
          </cell>
          <cell r="I73">
            <v>6</v>
          </cell>
          <cell r="J73" t="str">
            <v>CHS</v>
          </cell>
          <cell r="K73">
            <v>-91.269130837868119</v>
          </cell>
        </row>
        <row r="74">
          <cell r="E74" t="str">
            <v>PLCE</v>
          </cell>
          <cell r="F74">
            <v>-12.624278769471086</v>
          </cell>
          <cell r="G74">
            <v>12</v>
          </cell>
          <cell r="I74">
            <v>9</v>
          </cell>
          <cell r="J74" t="str">
            <v>AEO</v>
          </cell>
          <cell r="K74">
            <v>-93.710459448133747</v>
          </cell>
        </row>
        <row r="75">
          <cell r="E75" t="str">
            <v>ROST</v>
          </cell>
          <cell r="F75">
            <v>-8.9201321709712893</v>
          </cell>
          <cell r="G75">
            <v>13</v>
          </cell>
          <cell r="I75">
            <v>8</v>
          </cell>
          <cell r="J75" t="str">
            <v>EXPR</v>
          </cell>
          <cell r="K75">
            <v>-125.26235376783684</v>
          </cell>
        </row>
        <row r="76">
          <cell r="E76" t="str">
            <v>TIF</v>
          </cell>
          <cell r="F76">
            <v>2.2493944490369069</v>
          </cell>
          <cell r="G76">
            <v>14</v>
          </cell>
          <cell r="I76">
            <v>4</v>
          </cell>
          <cell r="J76" t="str">
            <v>ARO</v>
          </cell>
          <cell r="K76">
            <v>-144.33021731824175</v>
          </cell>
        </row>
        <row r="77">
          <cell r="E77" t="str">
            <v>TJX</v>
          </cell>
          <cell r="F77">
            <v>1.6085915910753201</v>
          </cell>
          <cell r="G77">
            <v>15</v>
          </cell>
          <cell r="I77">
            <v>5</v>
          </cell>
          <cell r="J77" t="str">
            <v>ANF</v>
          </cell>
          <cell r="K77">
            <v>-229.75073062217939</v>
          </cell>
        </row>
        <row r="78">
          <cell r="E78" t="str">
            <v>URBN</v>
          </cell>
          <cell r="F78">
            <v>5.8273760692074958</v>
          </cell>
          <cell r="G78">
            <v>16</v>
          </cell>
          <cell r="I78">
            <v>3</v>
          </cell>
          <cell r="J78" t="str">
            <v>COH</v>
          </cell>
          <cell r="K78">
            <v>-719.22269844079608</v>
          </cell>
        </row>
        <row r="80">
          <cell r="B80" t="str">
            <v>2012A (bps)</v>
          </cell>
        </row>
        <row r="81">
          <cell r="E81" t="str">
            <v>AEO</v>
          </cell>
          <cell r="F81">
            <v>100.70763496348944</v>
          </cell>
          <cell r="G81">
            <v>1</v>
          </cell>
          <cell r="I81">
            <v>2</v>
          </cell>
          <cell r="J81" t="str">
            <v>COH</v>
          </cell>
          <cell r="K81">
            <v>632.03159705609062</v>
          </cell>
        </row>
        <row r="82">
          <cell r="E82" t="str">
            <v>ANF</v>
          </cell>
          <cell r="F82">
            <v>25.844540509672441</v>
          </cell>
          <cell r="G82">
            <v>2</v>
          </cell>
          <cell r="I82">
            <v>9</v>
          </cell>
          <cell r="J82" t="str">
            <v>AEO</v>
          </cell>
          <cell r="K82">
            <v>100.70763496348944</v>
          </cell>
        </row>
        <row r="83">
          <cell r="E83" t="str">
            <v>ANN</v>
          </cell>
          <cell r="F83">
            <v>-3.4011620263443842</v>
          </cell>
          <cell r="G83">
            <v>3</v>
          </cell>
          <cell r="I83">
            <v>13</v>
          </cell>
          <cell r="J83" t="str">
            <v>LULU</v>
          </cell>
          <cell r="K83">
            <v>69.100308982571818</v>
          </cell>
        </row>
        <row r="84">
          <cell r="E84" t="str">
            <v>ARO</v>
          </cell>
          <cell r="F84">
            <v>-10.819977328833247</v>
          </cell>
          <cell r="G84">
            <v>4</v>
          </cell>
          <cell r="I84">
            <v>14</v>
          </cell>
          <cell r="J84" t="str">
            <v>GPS</v>
          </cell>
          <cell r="K84">
            <v>55.778851695775231</v>
          </cell>
        </row>
        <row r="85">
          <cell r="E85" t="str">
            <v>CHS</v>
          </cell>
          <cell r="F85">
            <v>41.903595604134146</v>
          </cell>
          <cell r="G85">
            <v>5</v>
          </cell>
          <cell r="I85">
            <v>6</v>
          </cell>
          <cell r="J85" t="str">
            <v>PLCE</v>
          </cell>
          <cell r="K85">
            <v>45.114586184959172</v>
          </cell>
        </row>
        <row r="86">
          <cell r="E86" t="str">
            <v>COH</v>
          </cell>
          <cell r="F86">
            <v>632.03159705609062</v>
          </cell>
          <cell r="G86">
            <v>6</v>
          </cell>
          <cell r="I86">
            <v>1</v>
          </cell>
          <cell r="J86" t="str">
            <v>CHS</v>
          </cell>
          <cell r="K86">
            <v>41.903595604134146</v>
          </cell>
        </row>
        <row r="87">
          <cell r="E87" t="str">
            <v>EXPR</v>
          </cell>
          <cell r="F87">
            <v>-62.346722196883199</v>
          </cell>
          <cell r="G87">
            <v>7</v>
          </cell>
          <cell r="I87">
            <v>16</v>
          </cell>
          <cell r="J87" t="str">
            <v>ROST</v>
          </cell>
          <cell r="K87">
            <v>30.211023114819906</v>
          </cell>
        </row>
        <row r="88">
          <cell r="E88" t="str">
            <v>GPS</v>
          </cell>
          <cell r="F88">
            <v>55.778851695775231</v>
          </cell>
          <cell r="G88">
            <v>8</v>
          </cell>
          <cell r="I88">
            <v>4</v>
          </cell>
          <cell r="J88" t="str">
            <v>KORS</v>
          </cell>
          <cell r="K88">
            <v>29.219519353664847</v>
          </cell>
        </row>
        <row r="89">
          <cell r="E89" t="str">
            <v>KORS</v>
          </cell>
          <cell r="F89">
            <v>29.219519353664847</v>
          </cell>
          <cell r="G89">
            <v>9</v>
          </cell>
          <cell r="I89">
            <v>8</v>
          </cell>
          <cell r="J89" t="str">
            <v>ANF</v>
          </cell>
          <cell r="K89">
            <v>25.844540509672441</v>
          </cell>
        </row>
        <row r="90">
          <cell r="E90" t="str">
            <v>LTD</v>
          </cell>
          <cell r="F90">
            <v>6.5503448747606008</v>
          </cell>
          <cell r="G90">
            <v>10</v>
          </cell>
          <cell r="I90">
            <v>11</v>
          </cell>
          <cell r="J90" t="str">
            <v>TJX</v>
          </cell>
          <cell r="K90">
            <v>20.91967123394857</v>
          </cell>
        </row>
        <row r="91">
          <cell r="E91" t="str">
            <v>LULU</v>
          </cell>
          <cell r="F91">
            <v>69.100308982571818</v>
          </cell>
          <cell r="G91">
            <v>11</v>
          </cell>
          <cell r="I91">
            <v>3</v>
          </cell>
          <cell r="J91" t="str">
            <v>LTD</v>
          </cell>
          <cell r="K91">
            <v>6.5503448747606008</v>
          </cell>
        </row>
        <row r="92">
          <cell r="E92" t="str">
            <v>PLCE</v>
          </cell>
          <cell r="F92">
            <v>45.114586184959172</v>
          </cell>
          <cell r="G92">
            <v>12</v>
          </cell>
          <cell r="I92">
            <v>5</v>
          </cell>
          <cell r="J92" t="str">
            <v>URBN</v>
          </cell>
          <cell r="K92">
            <v>3.6366834208323429</v>
          </cell>
        </row>
        <row r="93">
          <cell r="E93" t="str">
            <v>ROST</v>
          </cell>
          <cell r="F93">
            <v>30.211023114819906</v>
          </cell>
          <cell r="G93">
            <v>13</v>
          </cell>
          <cell r="I93">
            <v>7</v>
          </cell>
          <cell r="J93" t="str">
            <v>ANN</v>
          </cell>
          <cell r="K93">
            <v>-3.4011620263443842</v>
          </cell>
        </row>
        <row r="94">
          <cell r="E94" t="str">
            <v>TIF</v>
          </cell>
          <cell r="F94">
            <v>-35.817442387837822</v>
          </cell>
          <cell r="G94">
            <v>14</v>
          </cell>
          <cell r="I94">
            <v>15</v>
          </cell>
          <cell r="J94" t="str">
            <v>ARO</v>
          </cell>
          <cell r="K94">
            <v>-10.819977328833247</v>
          </cell>
        </row>
        <row r="95">
          <cell r="E95" t="str">
            <v>TJX</v>
          </cell>
          <cell r="F95">
            <v>20.91967123394857</v>
          </cell>
          <cell r="G95">
            <v>15</v>
          </cell>
          <cell r="I95">
            <v>10</v>
          </cell>
          <cell r="J95" t="str">
            <v>TIF</v>
          </cell>
          <cell r="K95">
            <v>-35.817442387837822</v>
          </cell>
        </row>
        <row r="96">
          <cell r="E96" t="str">
            <v>URBN</v>
          </cell>
          <cell r="F96">
            <v>3.6366834208323429</v>
          </cell>
          <cell r="G96">
            <v>16</v>
          </cell>
          <cell r="I96">
            <v>12</v>
          </cell>
          <cell r="J96" t="str">
            <v>EXPR</v>
          </cell>
          <cell r="K96">
            <v>-62.346722196883199</v>
          </cell>
        </row>
        <row r="98">
          <cell r="B98" t="str">
            <v>2011A (bps)</v>
          </cell>
        </row>
        <row r="99">
          <cell r="E99" t="str">
            <v>AEO</v>
          </cell>
          <cell r="F99">
            <v>-10.646652941196793</v>
          </cell>
          <cell r="G99">
            <v>1</v>
          </cell>
          <cell r="I99">
            <v>12</v>
          </cell>
          <cell r="J99" t="str">
            <v>LTD</v>
          </cell>
          <cell r="K99">
            <v>808.95362286616034</v>
          </cell>
        </row>
        <row r="100">
          <cell r="E100" t="str">
            <v>ANF</v>
          </cell>
          <cell r="F100">
            <v>108.97913814203019</v>
          </cell>
          <cell r="G100">
            <v>2</v>
          </cell>
          <cell r="I100">
            <v>2</v>
          </cell>
          <cell r="J100" t="str">
            <v>ANF</v>
          </cell>
          <cell r="K100">
            <v>108.97913814203019</v>
          </cell>
        </row>
        <row r="101">
          <cell r="E101" t="str">
            <v>ANN</v>
          </cell>
          <cell r="F101">
            <v>95.78461854458584</v>
          </cell>
          <cell r="G101">
            <v>3</v>
          </cell>
          <cell r="I101">
            <v>3</v>
          </cell>
          <cell r="J101" t="str">
            <v>ANN</v>
          </cell>
          <cell r="K101">
            <v>95.78461854458584</v>
          </cell>
        </row>
        <row r="102">
          <cell r="E102" t="str">
            <v>ARO</v>
          </cell>
          <cell r="F102">
            <v>-134.18670119102444</v>
          </cell>
          <cell r="G102">
            <v>4</v>
          </cell>
          <cell r="I102">
            <v>16</v>
          </cell>
          <cell r="J102" t="str">
            <v>LULU</v>
          </cell>
          <cell r="K102">
            <v>75.081858688960253</v>
          </cell>
        </row>
        <row r="103">
          <cell r="E103" t="str">
            <v>CHS</v>
          </cell>
          <cell r="F103">
            <v>63.393436058514077</v>
          </cell>
          <cell r="G103">
            <v>5</v>
          </cell>
          <cell r="I103">
            <v>5</v>
          </cell>
          <cell r="J103" t="str">
            <v>CHS</v>
          </cell>
          <cell r="K103">
            <v>63.393436058514077</v>
          </cell>
        </row>
        <row r="104">
          <cell r="E104" t="str">
            <v>COH</v>
          </cell>
          <cell r="F104">
            <v>11.121197831945317</v>
          </cell>
          <cell r="G104">
            <v>6</v>
          </cell>
          <cell r="I104">
            <v>9</v>
          </cell>
          <cell r="J104" t="str">
            <v>EXPR</v>
          </cell>
          <cell r="K104">
            <v>44.579172432415163</v>
          </cell>
        </row>
        <row r="105">
          <cell r="E105" t="str">
            <v>EXPR</v>
          </cell>
          <cell r="F105">
            <v>44.579172432415163</v>
          </cell>
          <cell r="G105">
            <v>7</v>
          </cell>
          <cell r="I105">
            <v>6</v>
          </cell>
          <cell r="J105" t="str">
            <v>KORS</v>
          </cell>
          <cell r="K105">
            <v>35.172886249425218</v>
          </cell>
        </row>
        <row r="106">
          <cell r="E106" t="str">
            <v>GPS</v>
          </cell>
          <cell r="F106">
            <v>-69.657812489629663</v>
          </cell>
          <cell r="G106">
            <v>8</v>
          </cell>
          <cell r="I106">
            <v>15</v>
          </cell>
          <cell r="J106" t="str">
            <v>ROST</v>
          </cell>
          <cell r="K106">
            <v>24.569763953621663</v>
          </cell>
        </row>
        <row r="107">
          <cell r="E107" t="str">
            <v>KORS</v>
          </cell>
          <cell r="F107">
            <v>35.172886249425218</v>
          </cell>
          <cell r="G107">
            <v>9</v>
          </cell>
          <cell r="I107">
            <v>7</v>
          </cell>
          <cell r="J107" t="str">
            <v>COH</v>
          </cell>
          <cell r="K107">
            <v>11.121197831945317</v>
          </cell>
        </row>
        <row r="108">
          <cell r="E108" t="str">
            <v>LTD</v>
          </cell>
          <cell r="F108">
            <v>808.95362286616034</v>
          </cell>
          <cell r="G108">
            <v>10</v>
          </cell>
          <cell r="I108">
            <v>1</v>
          </cell>
          <cell r="J108" t="str">
            <v>TIF</v>
          </cell>
          <cell r="K108">
            <v>11.096419858824397</v>
          </cell>
        </row>
        <row r="109">
          <cell r="E109" t="str">
            <v>LULU</v>
          </cell>
          <cell r="F109">
            <v>75.081858688960253</v>
          </cell>
          <cell r="G109">
            <v>11</v>
          </cell>
          <cell r="I109">
            <v>4</v>
          </cell>
          <cell r="J109" t="str">
            <v>TJX</v>
          </cell>
          <cell r="K109">
            <v>10.16582641933557</v>
          </cell>
        </row>
        <row r="110">
          <cell r="E110" t="str">
            <v>PLCE</v>
          </cell>
          <cell r="F110">
            <v>-11.291254074840552</v>
          </cell>
          <cell r="G110">
            <v>12</v>
          </cell>
          <cell r="I110">
            <v>13</v>
          </cell>
          <cell r="J110" t="str">
            <v>AEO</v>
          </cell>
          <cell r="K110">
            <v>-10.646652941196793</v>
          </cell>
        </row>
        <row r="111">
          <cell r="E111" t="str">
            <v>ROST</v>
          </cell>
          <cell r="F111">
            <v>24.569763953621663</v>
          </cell>
          <cell r="G111">
            <v>13</v>
          </cell>
          <cell r="I111">
            <v>8</v>
          </cell>
          <cell r="J111" t="str">
            <v>PLCE</v>
          </cell>
          <cell r="K111">
            <v>-11.291254074840552</v>
          </cell>
        </row>
        <row r="112">
          <cell r="E112" t="str">
            <v>TIF</v>
          </cell>
          <cell r="F112">
            <v>11.096419858824397</v>
          </cell>
          <cell r="G112">
            <v>14</v>
          </cell>
          <cell r="I112">
            <v>10</v>
          </cell>
          <cell r="J112" t="str">
            <v>URBN</v>
          </cell>
          <cell r="K112">
            <v>-42.935649048453371</v>
          </cell>
        </row>
        <row r="113">
          <cell r="E113" t="str">
            <v>TJX</v>
          </cell>
          <cell r="F113">
            <v>10.16582641933557</v>
          </cell>
          <cell r="G113">
            <v>15</v>
          </cell>
          <cell r="I113">
            <v>11</v>
          </cell>
          <cell r="J113" t="str">
            <v>GPS</v>
          </cell>
          <cell r="K113">
            <v>-69.657812489629663</v>
          </cell>
        </row>
        <row r="114">
          <cell r="E114" t="str">
            <v>URBN</v>
          </cell>
          <cell r="F114">
            <v>-42.935649048453371</v>
          </cell>
          <cell r="G114">
            <v>16</v>
          </cell>
          <cell r="I114">
            <v>14</v>
          </cell>
          <cell r="J114" t="str">
            <v>ARO</v>
          </cell>
          <cell r="K114">
            <v>-134.18670119102444</v>
          </cell>
        </row>
        <row r="117">
          <cell r="B117" t="str">
            <v>Two Year Stacked</v>
          </cell>
        </row>
        <row r="118">
          <cell r="E118" t="str">
            <v>AEO</v>
          </cell>
          <cell r="F118">
            <v>6.9971755153556927</v>
          </cell>
          <cell r="G118">
            <v>1</v>
          </cell>
          <cell r="I118">
            <v>9</v>
          </cell>
          <cell r="J118" t="str">
            <v>LULU</v>
          </cell>
          <cell r="L118">
            <v>69.96180502825834</v>
          </cell>
        </row>
        <row r="119">
          <cell r="E119" t="str">
            <v>ANF</v>
          </cell>
          <cell r="F119">
            <v>-203.90619011250695</v>
          </cell>
          <cell r="G119">
            <v>2</v>
          </cell>
          <cell r="I119">
            <v>16</v>
          </cell>
          <cell r="J119" t="str">
            <v>KORS</v>
          </cell>
          <cell r="L119">
            <v>64.7465053596475</v>
          </cell>
        </row>
        <row r="120">
          <cell r="E120" t="str">
            <v>ANN</v>
          </cell>
          <cell r="F120">
            <v>14.527438909235357</v>
          </cell>
          <cell r="G120">
            <v>3</v>
          </cell>
          <cell r="I120">
            <v>7</v>
          </cell>
          <cell r="J120" t="str">
            <v>GPS</v>
          </cell>
          <cell r="L120">
            <v>40.502201157950054</v>
          </cell>
        </row>
        <row r="121">
          <cell r="E121" t="str">
            <v>ARO</v>
          </cell>
          <cell r="F121">
            <v>-155.15019464707501</v>
          </cell>
          <cell r="G121">
            <v>4</v>
          </cell>
          <cell r="I121">
            <v>14</v>
          </cell>
          <cell r="J121" t="str">
            <v>PLCE</v>
          </cell>
          <cell r="L121">
            <v>32.49030741548809</v>
          </cell>
        </row>
        <row r="122">
          <cell r="E122" t="str">
            <v>CHS</v>
          </cell>
          <cell r="F122">
            <v>-49.365535233733972</v>
          </cell>
          <cell r="G122">
            <v>5</v>
          </cell>
          <cell r="I122">
            <v>12</v>
          </cell>
          <cell r="J122" t="str">
            <v>TJX</v>
          </cell>
          <cell r="L122">
            <v>22.528262825023891</v>
          </cell>
        </row>
        <row r="123">
          <cell r="E123" t="str">
            <v>COH</v>
          </cell>
          <cell r="F123">
            <v>-87.191101384705462</v>
          </cell>
          <cell r="G123">
            <v>6</v>
          </cell>
          <cell r="I123">
            <v>13</v>
          </cell>
          <cell r="J123" t="str">
            <v>ROST</v>
          </cell>
          <cell r="L123">
            <v>21.290890943848616</v>
          </cell>
        </row>
        <row r="124">
          <cell r="E124" t="str">
            <v>EXPR</v>
          </cell>
          <cell r="F124">
            <v>-187.60907596472003</v>
          </cell>
          <cell r="G124">
            <v>7</v>
          </cell>
          <cell r="I124">
            <v>15</v>
          </cell>
          <cell r="J124" t="str">
            <v>ANN</v>
          </cell>
          <cell r="L124">
            <v>14.527438909235357</v>
          </cell>
        </row>
        <row r="125">
          <cell r="E125" t="str">
            <v>GPS</v>
          </cell>
          <cell r="F125">
            <v>40.502201157950054</v>
          </cell>
          <cell r="G125">
            <v>8</v>
          </cell>
          <cell r="I125">
            <v>3</v>
          </cell>
          <cell r="J125" t="str">
            <v>URBN</v>
          </cell>
          <cell r="L125">
            <v>9.4640594900398387</v>
          </cell>
        </row>
        <row r="126">
          <cell r="E126" t="str">
            <v>KORS</v>
          </cell>
          <cell r="F126">
            <v>64.7465053596475</v>
          </cell>
          <cell r="G126">
            <v>9</v>
          </cell>
          <cell r="I126">
            <v>2</v>
          </cell>
          <cell r="J126" t="str">
            <v>AEO</v>
          </cell>
          <cell r="L126">
            <v>6.9971755153556927</v>
          </cell>
        </row>
        <row r="127">
          <cell r="E127" t="str">
            <v>LTD</v>
          </cell>
          <cell r="F127">
            <v>3.0873851645736412</v>
          </cell>
          <cell r="G127">
            <v>10</v>
          </cell>
          <cell r="I127">
            <v>10</v>
          </cell>
          <cell r="J127" t="str">
            <v>LTD</v>
          </cell>
          <cell r="L127">
            <v>3.0873851645736412</v>
          </cell>
        </row>
        <row r="128">
          <cell r="E128" t="str">
            <v>LULU</v>
          </cell>
          <cell r="F128">
            <v>69.96180502825834</v>
          </cell>
          <cell r="G128">
            <v>11</v>
          </cell>
          <cell r="I128">
            <v>1</v>
          </cell>
          <cell r="J128" t="str">
            <v>TIF</v>
          </cell>
          <cell r="L128">
            <v>-33.568047938800916</v>
          </cell>
        </row>
        <row r="129">
          <cell r="E129" t="str">
            <v>PLCE</v>
          </cell>
          <cell r="F129">
            <v>32.49030741548809</v>
          </cell>
          <cell r="G129">
            <v>12</v>
          </cell>
          <cell r="I129">
            <v>4</v>
          </cell>
          <cell r="J129" t="str">
            <v>CHS</v>
          </cell>
          <cell r="L129">
            <v>-49.365535233733972</v>
          </cell>
        </row>
        <row r="130">
          <cell r="E130" t="str">
            <v>ROST</v>
          </cell>
          <cell r="F130">
            <v>21.290890943848616</v>
          </cell>
          <cell r="G130">
            <v>13</v>
          </cell>
          <cell r="I130">
            <v>6</v>
          </cell>
          <cell r="J130" t="str">
            <v>COH</v>
          </cell>
          <cell r="L130">
            <v>-87.191101384705462</v>
          </cell>
        </row>
        <row r="131">
          <cell r="E131" t="str">
            <v>TIF</v>
          </cell>
          <cell r="F131">
            <v>-33.568047938800916</v>
          </cell>
          <cell r="G131">
            <v>14</v>
          </cell>
          <cell r="I131">
            <v>11</v>
          </cell>
          <cell r="J131" t="str">
            <v>ARO</v>
          </cell>
          <cell r="L131">
            <v>-155.15019464707501</v>
          </cell>
        </row>
        <row r="132">
          <cell r="E132" t="str">
            <v>TJX</v>
          </cell>
          <cell r="F132">
            <v>22.528262825023891</v>
          </cell>
          <cell r="G132">
            <v>15</v>
          </cell>
          <cell r="I132">
            <v>5</v>
          </cell>
          <cell r="J132" t="str">
            <v>EXPR</v>
          </cell>
          <cell r="L132">
            <v>-187.60907596472003</v>
          </cell>
        </row>
        <row r="133">
          <cell r="E133" t="str">
            <v>URBN</v>
          </cell>
          <cell r="F133">
            <v>9.4640594900398387</v>
          </cell>
          <cell r="G133">
            <v>16</v>
          </cell>
          <cell r="I133">
            <v>8</v>
          </cell>
          <cell r="J133" t="str">
            <v>ANF</v>
          </cell>
          <cell r="L133">
            <v>-203.90619011250695</v>
          </cell>
        </row>
      </sheetData>
      <sheetData sheetId="10">
        <row r="7">
          <cell r="E7" t="str">
            <v>Sort by</v>
          </cell>
        </row>
        <row r="8">
          <cell r="E8" t="str">
            <v>Descending</v>
          </cell>
        </row>
        <row r="9">
          <cell r="A9" t="str">
            <v>2012</v>
          </cell>
          <cell r="B9" t="str">
            <v>2013</v>
          </cell>
          <cell r="C9">
            <v>2</v>
          </cell>
          <cell r="D9">
            <v>27</v>
          </cell>
          <cell r="E9">
            <v>27</v>
          </cell>
        </row>
        <row r="10">
          <cell r="D10" t="str">
            <v>2012A Leverage</v>
          </cell>
          <cell r="E10" t="str">
            <v>2013E Leverage</v>
          </cell>
        </row>
        <row r="11">
          <cell r="A11" t="str">
            <v>AEO2012</v>
          </cell>
          <cell r="B11" t="str">
            <v>AEO2013</v>
          </cell>
          <cell r="C11" t="str">
            <v>AEO</v>
          </cell>
          <cell r="D11">
            <v>100.70763496348944</v>
          </cell>
          <cell r="E11">
            <v>-93.710459448133747</v>
          </cell>
        </row>
        <row r="12">
          <cell r="A12" t="str">
            <v>ANF2012</v>
          </cell>
          <cell r="B12" t="str">
            <v>ANF2013</v>
          </cell>
          <cell r="C12" t="str">
            <v>ANF</v>
          </cell>
          <cell r="D12">
            <v>25.844540509672441</v>
          </cell>
          <cell r="E12">
            <v>-229.75073062217939</v>
          </cell>
        </row>
        <row r="13">
          <cell r="A13" t="str">
            <v>ANN2012</v>
          </cell>
          <cell r="B13" t="str">
            <v>ANN2013</v>
          </cell>
          <cell r="C13" t="str">
            <v>ANN</v>
          </cell>
          <cell r="D13">
            <v>-3.4011620263443842</v>
          </cell>
          <cell r="E13">
            <v>17.928600935579741</v>
          </cell>
        </row>
        <row r="14">
          <cell r="A14" t="str">
            <v>ARO2012</v>
          </cell>
          <cell r="B14" t="str">
            <v>ARO2013</v>
          </cell>
          <cell r="C14" t="str">
            <v>ARO</v>
          </cell>
          <cell r="D14">
            <v>-10.819977328833247</v>
          </cell>
          <cell r="E14">
            <v>-144.33021731824175</v>
          </cell>
        </row>
        <row r="15">
          <cell r="A15" t="str">
            <v>CHS2012</v>
          </cell>
          <cell r="B15" t="str">
            <v>CHS2013</v>
          </cell>
          <cell r="C15" t="str">
            <v>CHS</v>
          </cell>
          <cell r="D15">
            <v>41.903595604134146</v>
          </cell>
          <cell r="E15">
            <v>-91.269130837868119</v>
          </cell>
        </row>
        <row r="16">
          <cell r="A16" t="str">
            <v>COH2012</v>
          </cell>
          <cell r="B16" t="str">
            <v>COH2013</v>
          </cell>
          <cell r="C16" t="str">
            <v>COH</v>
          </cell>
          <cell r="D16">
            <v>632.03159705609062</v>
          </cell>
          <cell r="E16">
            <v>-719.22269844079608</v>
          </cell>
        </row>
        <row r="17">
          <cell r="A17" t="str">
            <v>EXPR2012</v>
          </cell>
          <cell r="B17" t="str">
            <v>EXPR2013</v>
          </cell>
          <cell r="C17" t="str">
            <v>EXPR</v>
          </cell>
          <cell r="D17">
            <v>-62.346722196883199</v>
          </cell>
          <cell r="E17">
            <v>-125.26235376783684</v>
          </cell>
        </row>
        <row r="18">
          <cell r="A18" t="str">
            <v>GPS2012</v>
          </cell>
          <cell r="B18" t="str">
            <v>GPS2013</v>
          </cell>
          <cell r="C18" t="str">
            <v>GPS</v>
          </cell>
          <cell r="D18">
            <v>55.778851695775231</v>
          </cell>
          <cell r="E18">
            <v>-15.276650537825176</v>
          </cell>
        </row>
        <row r="19">
          <cell r="A19" t="str">
            <v>KORS2012</v>
          </cell>
          <cell r="B19" t="str">
            <v>KORS2013</v>
          </cell>
          <cell r="C19" t="str">
            <v>KORS</v>
          </cell>
          <cell r="D19">
            <v>29.219519353664847</v>
          </cell>
          <cell r="E19">
            <v>35.526986005982657</v>
          </cell>
        </row>
        <row r="20">
          <cell r="A20" t="str">
            <v>LTD2012</v>
          </cell>
          <cell r="B20" t="str">
            <v>LTD2013</v>
          </cell>
          <cell r="C20" t="str">
            <v>LTD</v>
          </cell>
          <cell r="D20">
            <v>6.5503448747606008</v>
          </cell>
          <cell r="E20">
            <v>-3.4629597101869596</v>
          </cell>
        </row>
        <row r="21">
          <cell r="A21" t="str">
            <v>LULU2012</v>
          </cell>
          <cell r="B21" t="str">
            <v>LULU2013</v>
          </cell>
          <cell r="C21" t="str">
            <v>LULU</v>
          </cell>
          <cell r="D21">
            <v>69.100308982571818</v>
          </cell>
          <cell r="E21">
            <v>0.86149604568652727</v>
          </cell>
        </row>
        <row r="22">
          <cell r="A22" t="str">
            <v>PLCE2012</v>
          </cell>
          <cell r="B22" t="str">
            <v>PLCE2013</v>
          </cell>
          <cell r="C22" t="str">
            <v>PLCE</v>
          </cell>
          <cell r="D22">
            <v>45.114586184959172</v>
          </cell>
          <cell r="E22">
            <v>-12.624278769471086</v>
          </cell>
        </row>
        <row r="23">
          <cell r="A23" t="str">
            <v>ROST2012</v>
          </cell>
          <cell r="B23" t="str">
            <v>ROST2013</v>
          </cell>
          <cell r="C23" t="str">
            <v>ROST</v>
          </cell>
          <cell r="D23">
            <v>30.211023114819906</v>
          </cell>
          <cell r="E23">
            <v>-8.9201321709712893</v>
          </cell>
        </row>
        <row r="24">
          <cell r="A24" t="str">
            <v>TIF2012</v>
          </cell>
          <cell r="B24" t="str">
            <v>TIF2013</v>
          </cell>
          <cell r="C24" t="str">
            <v>TIF</v>
          </cell>
          <cell r="D24">
            <v>-35.817442387837822</v>
          </cell>
          <cell r="E24">
            <v>2.2493944490369069</v>
          </cell>
        </row>
        <row r="25">
          <cell r="A25" t="str">
            <v>TJX2012</v>
          </cell>
          <cell r="B25" t="str">
            <v>TJX2013</v>
          </cell>
          <cell r="C25" t="str">
            <v>TJX</v>
          </cell>
          <cell r="D25">
            <v>20.91967123394857</v>
          </cell>
          <cell r="E25">
            <v>1.6085915910753201</v>
          </cell>
        </row>
        <row r="26">
          <cell r="A26" t="str">
            <v>URBN2012</v>
          </cell>
          <cell r="B26" t="str">
            <v>URBN2013</v>
          </cell>
          <cell r="C26" t="str">
            <v>URBN</v>
          </cell>
          <cell r="D26">
            <v>3.6366834208323429</v>
          </cell>
          <cell r="E26">
            <v>5.8273760692074958</v>
          </cell>
        </row>
        <row r="32">
          <cell r="B32" t="str">
            <v>2013E Leverage</v>
          </cell>
          <cell r="F32" t="str">
            <v>2013E Leverage</v>
          </cell>
          <cell r="G32" t="str">
            <v>2012A Leverage</v>
          </cell>
        </row>
        <row r="33">
          <cell r="A33" t="str">
            <v>AEO</v>
          </cell>
          <cell r="B33">
            <v>-93.710459448133747</v>
          </cell>
          <cell r="C33">
            <v>1</v>
          </cell>
          <cell r="D33">
            <v>12</v>
          </cell>
          <cell r="E33" t="str">
            <v>KORS</v>
          </cell>
          <cell r="F33">
            <v>35.526986005982657</v>
          </cell>
          <cell r="G33">
            <v>29.219519353664847</v>
          </cell>
        </row>
        <row r="34">
          <cell r="A34" t="str">
            <v>ANF</v>
          </cell>
          <cell r="B34">
            <v>-229.75073062217939</v>
          </cell>
          <cell r="C34">
            <v>2</v>
          </cell>
          <cell r="D34">
            <v>15</v>
          </cell>
          <cell r="E34" t="str">
            <v>ANN</v>
          </cell>
          <cell r="F34">
            <v>17.928600935579741</v>
          </cell>
          <cell r="G34">
            <v>-3.4011620263443842</v>
          </cell>
          <cell r="M34" t="str">
            <v>2012A Leverage</v>
          </cell>
          <cell r="N34" t="str">
            <v>2013E Leverage</v>
          </cell>
        </row>
        <row r="35">
          <cell r="A35" t="str">
            <v>ANN</v>
          </cell>
          <cell r="B35">
            <v>17.928600935579741</v>
          </cell>
          <cell r="C35">
            <v>3</v>
          </cell>
          <cell r="D35">
            <v>2</v>
          </cell>
          <cell r="E35" t="str">
            <v>URBN</v>
          </cell>
          <cell r="F35">
            <v>5.8273760692074958</v>
          </cell>
          <cell r="G35">
            <v>3.6366834208323429</v>
          </cell>
          <cell r="L35" t="str">
            <v>KORS</v>
          </cell>
          <cell r="M35">
            <v>29.219519353664847</v>
          </cell>
          <cell r="N35">
            <v>35.526986005982657</v>
          </cell>
        </row>
        <row r="36">
          <cell r="A36" t="str">
            <v>ARO</v>
          </cell>
          <cell r="B36">
            <v>-144.33021731824175</v>
          </cell>
          <cell r="C36">
            <v>4</v>
          </cell>
          <cell r="D36">
            <v>14</v>
          </cell>
          <cell r="E36" t="str">
            <v>TIF</v>
          </cell>
          <cell r="F36">
            <v>2.2493944490369069</v>
          </cell>
          <cell r="G36">
            <v>-35.817442387837822</v>
          </cell>
          <cell r="L36" t="str">
            <v>ANN</v>
          </cell>
          <cell r="M36">
            <v>-3.4011620263443842</v>
          </cell>
          <cell r="N36">
            <v>17.928600935579741</v>
          </cell>
        </row>
        <row r="37">
          <cell r="A37" t="str">
            <v>CHS</v>
          </cell>
          <cell r="B37">
            <v>-91.269130837868119</v>
          </cell>
          <cell r="C37">
            <v>5</v>
          </cell>
          <cell r="D37">
            <v>11</v>
          </cell>
          <cell r="E37" t="str">
            <v>TJX</v>
          </cell>
          <cell r="F37">
            <v>1.6085915910753201</v>
          </cell>
          <cell r="G37">
            <v>20.91967123394857</v>
          </cell>
          <cell r="L37" t="str">
            <v>URBN</v>
          </cell>
          <cell r="M37">
            <v>3.6366834208323429</v>
          </cell>
          <cell r="N37">
            <v>5.8273760692074958</v>
          </cell>
        </row>
        <row r="38">
          <cell r="A38" t="str">
            <v>COH</v>
          </cell>
          <cell r="B38">
            <v>-719.22269844079608</v>
          </cell>
          <cell r="C38">
            <v>6</v>
          </cell>
          <cell r="D38">
            <v>16</v>
          </cell>
          <cell r="E38" t="str">
            <v>LULU</v>
          </cell>
          <cell r="F38">
            <v>0.86149604568652727</v>
          </cell>
          <cell r="G38">
            <v>69.100308982571818</v>
          </cell>
          <cell r="L38" t="str">
            <v>TIF</v>
          </cell>
          <cell r="M38">
            <v>-35.817442387837822</v>
          </cell>
          <cell r="N38">
            <v>2.2493944490369069</v>
          </cell>
        </row>
        <row r="39">
          <cell r="A39" t="str">
            <v>EXPR</v>
          </cell>
          <cell r="B39">
            <v>-125.26235376783684</v>
          </cell>
          <cell r="C39">
            <v>7</v>
          </cell>
          <cell r="D39">
            <v>13</v>
          </cell>
          <cell r="E39" t="str">
            <v>LTD</v>
          </cell>
          <cell r="F39">
            <v>-3.4629597101869596</v>
          </cell>
          <cell r="G39">
            <v>6.5503448747606008</v>
          </cell>
          <cell r="L39" t="str">
            <v>TJX</v>
          </cell>
          <cell r="M39">
            <v>20.91967123394857</v>
          </cell>
          <cell r="N39">
            <v>1.6085915910753201</v>
          </cell>
        </row>
        <row r="40">
          <cell r="A40" t="str">
            <v>GPS</v>
          </cell>
          <cell r="B40">
            <v>-15.276650537825176</v>
          </cell>
          <cell r="C40">
            <v>8</v>
          </cell>
          <cell r="D40">
            <v>10</v>
          </cell>
          <cell r="E40" t="str">
            <v>ROST</v>
          </cell>
          <cell r="F40">
            <v>-8.9201321709712893</v>
          </cell>
          <cell r="G40">
            <v>30.211023114819906</v>
          </cell>
          <cell r="L40" t="str">
            <v>LULU</v>
          </cell>
          <cell r="M40">
            <v>69.100308982571818</v>
          </cell>
          <cell r="N40">
            <v>0.86149604568652727</v>
          </cell>
        </row>
        <row r="41">
          <cell r="A41" t="str">
            <v>KORS</v>
          </cell>
          <cell r="B41">
            <v>35.526986005982657</v>
          </cell>
          <cell r="C41">
            <v>9</v>
          </cell>
          <cell r="D41">
            <v>1</v>
          </cell>
          <cell r="E41" t="str">
            <v>PLCE</v>
          </cell>
          <cell r="F41">
            <v>-12.624278769471086</v>
          </cell>
          <cell r="G41">
            <v>45.114586184959172</v>
          </cell>
          <cell r="L41" t="str">
            <v>LTD</v>
          </cell>
          <cell r="M41">
            <v>6.5503448747606008</v>
          </cell>
          <cell r="N41">
            <v>-3.4629597101869596</v>
          </cell>
        </row>
        <row r="42">
          <cell r="A42" t="str">
            <v>LTD</v>
          </cell>
          <cell r="B42">
            <v>-3.4629597101869596</v>
          </cell>
          <cell r="C42">
            <v>10</v>
          </cell>
          <cell r="D42">
            <v>7</v>
          </cell>
          <cell r="E42" t="str">
            <v>GPS</v>
          </cell>
          <cell r="F42">
            <v>-15.276650537825176</v>
          </cell>
          <cell r="G42">
            <v>55.778851695775231</v>
          </cell>
          <cell r="L42" t="str">
            <v>ROST</v>
          </cell>
          <cell r="M42">
            <v>30.211023114819906</v>
          </cell>
          <cell r="N42">
            <v>-8.9201321709712893</v>
          </cell>
        </row>
        <row r="43">
          <cell r="A43" t="str">
            <v>LULU</v>
          </cell>
          <cell r="B43">
            <v>0.86149604568652727</v>
          </cell>
          <cell r="C43">
            <v>11</v>
          </cell>
          <cell r="D43">
            <v>6</v>
          </cell>
          <cell r="E43" t="str">
            <v>CHS</v>
          </cell>
          <cell r="F43">
            <v>-91.269130837868119</v>
          </cell>
          <cell r="G43">
            <v>41.903595604134146</v>
          </cell>
          <cell r="L43" t="str">
            <v>PLCE</v>
          </cell>
          <cell r="M43">
            <v>45.114586184959172</v>
          </cell>
          <cell r="N43">
            <v>-12.624278769471086</v>
          </cell>
        </row>
        <row r="44">
          <cell r="A44" t="str">
            <v>PLCE</v>
          </cell>
          <cell r="B44">
            <v>-12.624278769471086</v>
          </cell>
          <cell r="C44">
            <v>12</v>
          </cell>
          <cell r="D44">
            <v>9</v>
          </cell>
          <cell r="E44" t="str">
            <v>AEO</v>
          </cell>
          <cell r="F44">
            <v>-93.710459448133747</v>
          </cell>
          <cell r="G44">
            <v>100.70763496348944</v>
          </cell>
          <cell r="L44" t="str">
            <v>GPS</v>
          </cell>
          <cell r="M44">
            <v>55.778851695775231</v>
          </cell>
          <cell r="N44">
            <v>-15.276650537825176</v>
          </cell>
        </row>
        <row r="45">
          <cell r="A45" t="str">
            <v>ROST</v>
          </cell>
          <cell r="B45">
            <v>-8.9201321709712893</v>
          </cell>
          <cell r="C45">
            <v>13</v>
          </cell>
          <cell r="D45">
            <v>8</v>
          </cell>
          <cell r="E45" t="str">
            <v>EXPR</v>
          </cell>
          <cell r="F45">
            <v>-125.26235376783684</v>
          </cell>
          <cell r="G45">
            <v>-62.346722196883199</v>
          </cell>
          <cell r="L45" t="str">
            <v>CHS</v>
          </cell>
          <cell r="M45">
            <v>41.903595604134146</v>
          </cell>
          <cell r="N45">
            <v>-91.269130837868119</v>
          </cell>
        </row>
        <row r="46">
          <cell r="A46" t="str">
            <v>TIF</v>
          </cell>
          <cell r="B46">
            <v>2.2493944490369069</v>
          </cell>
          <cell r="C46">
            <v>14</v>
          </cell>
          <cell r="D46">
            <v>4</v>
          </cell>
          <cell r="E46" t="str">
            <v>ARO</v>
          </cell>
          <cell r="F46">
            <v>-144.33021731824175</v>
          </cell>
          <cell r="G46">
            <v>-10.819977328833247</v>
          </cell>
          <cell r="L46" t="str">
            <v>AEO</v>
          </cell>
          <cell r="M46">
            <v>100.70763496348944</v>
          </cell>
          <cell r="N46">
            <v>-93.710459448133747</v>
          </cell>
        </row>
        <row r="47">
          <cell r="A47" t="str">
            <v>TJX</v>
          </cell>
          <cell r="B47">
            <v>1.6085915910753201</v>
          </cell>
          <cell r="C47">
            <v>15</v>
          </cell>
          <cell r="D47">
            <v>5</v>
          </cell>
          <cell r="E47" t="str">
            <v>ANF</v>
          </cell>
          <cell r="F47">
            <v>-229.75073062217939</v>
          </cell>
          <cell r="G47">
            <v>25.844540509672441</v>
          </cell>
          <cell r="L47" t="str">
            <v>EXPR</v>
          </cell>
          <cell r="M47">
            <v>-62.346722196883199</v>
          </cell>
          <cell r="N47">
            <v>-125.26235376783684</v>
          </cell>
        </row>
        <row r="48">
          <cell r="A48" t="str">
            <v>URBN</v>
          </cell>
          <cell r="B48">
            <v>5.8273760692074958</v>
          </cell>
          <cell r="C48">
            <v>16</v>
          </cell>
          <cell r="D48">
            <v>3</v>
          </cell>
          <cell r="E48" t="str">
            <v>COH</v>
          </cell>
          <cell r="F48">
            <v>-719.22269844079608</v>
          </cell>
          <cell r="G48">
            <v>632.03159705609062</v>
          </cell>
          <cell r="L48" t="str">
            <v>ARO</v>
          </cell>
          <cell r="M48">
            <v>-10.819977328833247</v>
          </cell>
          <cell r="N48">
            <v>-144.33021731824175</v>
          </cell>
        </row>
        <row r="49">
          <cell r="L49" t="str">
            <v>ANF</v>
          </cell>
          <cell r="M49">
            <v>25.844540509672441</v>
          </cell>
          <cell r="N49">
            <v>-229.75073062217939</v>
          </cell>
        </row>
        <row r="50">
          <cell r="L50" t="str">
            <v>COH</v>
          </cell>
          <cell r="M50">
            <v>632.03159705609062</v>
          </cell>
          <cell r="N50">
            <v>-719.22269844079608</v>
          </cell>
        </row>
      </sheetData>
      <sheetData sheetId="11">
        <row r="2">
          <cell r="D2">
            <v>1997</v>
          </cell>
          <cell r="E2">
            <v>1998</v>
          </cell>
          <cell r="F2">
            <v>1999</v>
          </cell>
          <cell r="G2">
            <v>2000</v>
          </cell>
          <cell r="H2">
            <v>2001</v>
          </cell>
          <cell r="I2">
            <v>2002</v>
          </cell>
          <cell r="J2">
            <v>2003</v>
          </cell>
          <cell r="K2">
            <v>2004</v>
          </cell>
          <cell r="L2">
            <v>2005</v>
          </cell>
          <cell r="M2">
            <v>2006</v>
          </cell>
          <cell r="N2">
            <v>2007</v>
          </cell>
          <cell r="O2">
            <v>2008</v>
          </cell>
          <cell r="P2">
            <v>2009</v>
          </cell>
          <cell r="Q2">
            <v>2010</v>
          </cell>
          <cell r="R2">
            <v>2011</v>
          </cell>
          <cell r="S2" t="str">
            <v>2012E</v>
          </cell>
          <cell r="T2" t="str">
            <v>2013E</v>
          </cell>
          <cell r="U2" t="str">
            <v>2014E</v>
          </cell>
          <cell r="V2" t="str">
            <v>2015E</v>
          </cell>
          <cell r="W2" t="str">
            <v>2013e-2015e</v>
          </cell>
        </row>
        <row r="3">
          <cell r="B3" t="str">
            <v>AEO</v>
          </cell>
          <cell r="C3" t="str">
            <v>End of Year # Stores</v>
          </cell>
          <cell r="D3">
            <v>332</v>
          </cell>
          <cell r="E3">
            <v>386</v>
          </cell>
          <cell r="F3">
            <v>466</v>
          </cell>
          <cell r="G3">
            <v>554</v>
          </cell>
          <cell r="H3">
            <v>678</v>
          </cell>
          <cell r="I3">
            <v>753</v>
          </cell>
          <cell r="J3">
            <v>805</v>
          </cell>
          <cell r="K3">
            <v>846</v>
          </cell>
          <cell r="L3">
            <v>0</v>
          </cell>
          <cell r="M3">
            <v>0</v>
          </cell>
          <cell r="N3">
            <v>987</v>
          </cell>
          <cell r="O3">
            <v>1098</v>
          </cell>
          <cell r="P3">
            <v>1103</v>
          </cell>
          <cell r="Q3">
            <v>1077</v>
          </cell>
          <cell r="R3">
            <v>1069</v>
          </cell>
          <cell r="S3">
            <v>1044</v>
          </cell>
          <cell r="T3">
            <v>1054</v>
          </cell>
          <cell r="U3">
            <v>-21</v>
          </cell>
          <cell r="V3">
            <v>-20</v>
          </cell>
          <cell r="W3" t="str">
            <v xml:space="preserve">Est. Renewal + New </v>
          </cell>
        </row>
        <row r="4">
          <cell r="C4" t="str">
            <v>New Store Openings</v>
          </cell>
          <cell r="D4">
            <v>36</v>
          </cell>
          <cell r="E4">
            <v>56</v>
          </cell>
          <cell r="F4">
            <v>80</v>
          </cell>
          <cell r="G4">
            <v>90</v>
          </cell>
          <cell r="H4">
            <v>127</v>
          </cell>
          <cell r="I4">
            <v>79</v>
          </cell>
          <cell r="J4">
            <v>59</v>
          </cell>
          <cell r="K4">
            <v>50</v>
          </cell>
          <cell r="L4">
            <v>36</v>
          </cell>
          <cell r="M4">
            <v>50</v>
          </cell>
          <cell r="N4">
            <v>80</v>
          </cell>
          <cell r="O4">
            <v>122</v>
          </cell>
          <cell r="P4">
            <v>29</v>
          </cell>
          <cell r="Q4">
            <v>34</v>
          </cell>
          <cell r="R4">
            <v>33</v>
          </cell>
          <cell r="S4">
            <v>17</v>
          </cell>
          <cell r="T4">
            <v>50</v>
          </cell>
          <cell r="U4">
            <v>60</v>
          </cell>
          <cell r="V4">
            <v>26</v>
          </cell>
          <cell r="W4" t="str">
            <v>Stores as % of Total</v>
          </cell>
        </row>
        <row r="5">
          <cell r="C5" t="str">
            <v>Store Closings</v>
          </cell>
          <cell r="D5">
            <v>7</v>
          </cell>
          <cell r="E5">
            <v>2</v>
          </cell>
          <cell r="F5">
            <v>0</v>
          </cell>
          <cell r="G5">
            <v>2</v>
          </cell>
          <cell r="H5">
            <v>3</v>
          </cell>
          <cell r="I5">
            <v>4</v>
          </cell>
          <cell r="J5">
            <v>7</v>
          </cell>
          <cell r="K5">
            <v>9</v>
          </cell>
          <cell r="L5">
            <v>13</v>
          </cell>
          <cell r="M5">
            <v>8</v>
          </cell>
          <cell r="N5">
            <v>4</v>
          </cell>
          <cell r="O5">
            <v>11</v>
          </cell>
          <cell r="P5">
            <v>24</v>
          </cell>
          <cell r="Q5">
            <v>51</v>
          </cell>
          <cell r="R5">
            <v>29</v>
          </cell>
          <cell r="S5">
            <v>41</v>
          </cell>
          <cell r="T5">
            <v>40</v>
          </cell>
          <cell r="U5">
            <v>49</v>
          </cell>
          <cell r="V5">
            <v>50</v>
          </cell>
        </row>
        <row r="6">
          <cell r="C6" t="str">
            <v xml:space="preserve">Stores Up for Negotation as a % of Total </v>
          </cell>
          <cell r="T6">
            <v>0.10341555977229601</v>
          </cell>
          <cell r="U6">
            <v>-5.2380952380952381</v>
          </cell>
          <cell r="V6">
            <v>-3.1</v>
          </cell>
          <cell r="W6">
            <v>-8.2346796783229426</v>
          </cell>
          <cell r="Y6" t="str">
            <v>GPS2009</v>
          </cell>
          <cell r="Z6">
            <v>0.44999999999999996</v>
          </cell>
          <cell r="AB6" t="str">
            <v>GPS</v>
          </cell>
          <cell r="AC6">
            <v>0.6</v>
          </cell>
          <cell r="AE6" t="str">
            <v>GPS</v>
          </cell>
          <cell r="AF6" t="str">
            <v xml:space="preserve">GPS </v>
          </cell>
        </row>
        <row r="7">
          <cell r="C7" t="str">
            <v>Gross Square Footage</v>
          </cell>
          <cell r="D7">
            <v>1.3933610000000001</v>
          </cell>
          <cell r="E7">
            <v>1.624933</v>
          </cell>
          <cell r="F7">
            <v>2.03938</v>
          </cell>
          <cell r="G7">
            <v>2.5968629999999999</v>
          </cell>
          <cell r="H7">
            <v>3.3346939999999998</v>
          </cell>
          <cell r="I7">
            <v>3.8174419999999998</v>
          </cell>
          <cell r="J7">
            <v>4.2394970000000001</v>
          </cell>
          <cell r="K7">
            <v>4.540095</v>
          </cell>
          <cell r="L7">
            <v>4.7724869999999999</v>
          </cell>
          <cell r="M7">
            <v>5.1730650000000002</v>
          </cell>
          <cell r="N7">
            <v>5.7099320000000002</v>
          </cell>
          <cell r="O7">
            <v>6.3281669999999997</v>
          </cell>
          <cell r="P7">
            <v>6.2153549999999997</v>
          </cell>
          <cell r="Q7">
            <v>6.2884250000000002</v>
          </cell>
          <cell r="R7">
            <v>6.2902839999999998</v>
          </cell>
          <cell r="S7">
            <v>6.2032780000000001</v>
          </cell>
          <cell r="T7">
            <v>6.2632779999999997</v>
          </cell>
          <cell r="U7">
            <v>6.3254780000000004</v>
          </cell>
          <cell r="V7">
            <v>6.3876780000000011</v>
          </cell>
        </row>
        <row r="8">
          <cell r="B8" t="str">
            <v>ANF</v>
          </cell>
          <cell r="C8" t="str">
            <v>End of Year # Stores</v>
          </cell>
          <cell r="D8">
            <v>156</v>
          </cell>
          <cell r="E8">
            <v>196</v>
          </cell>
          <cell r="F8">
            <v>250</v>
          </cell>
          <cell r="G8">
            <v>354</v>
          </cell>
          <cell r="H8">
            <v>491</v>
          </cell>
          <cell r="I8">
            <v>597</v>
          </cell>
          <cell r="J8">
            <v>700</v>
          </cell>
          <cell r="K8">
            <v>788</v>
          </cell>
          <cell r="L8">
            <v>851</v>
          </cell>
          <cell r="M8">
            <v>944</v>
          </cell>
          <cell r="N8">
            <v>1035</v>
          </cell>
          <cell r="O8">
            <v>1125</v>
          </cell>
          <cell r="P8">
            <v>1097</v>
          </cell>
          <cell r="Q8">
            <v>1069</v>
          </cell>
          <cell r="R8">
            <v>1041</v>
          </cell>
          <cell r="S8">
            <v>1041</v>
          </cell>
          <cell r="T8">
            <v>1026</v>
          </cell>
          <cell r="U8">
            <v>961</v>
          </cell>
          <cell r="V8">
            <v>932</v>
          </cell>
          <cell r="W8" t="str">
            <v xml:space="preserve">Est. Renewal + New </v>
          </cell>
          <cell r="Y8" t="str">
            <v>LTD2009</v>
          </cell>
          <cell r="Z8">
            <v>0.10411835764549821</v>
          </cell>
          <cell r="AB8" t="str">
            <v>PLCE</v>
          </cell>
          <cell r="AC8">
            <v>0.4606230830142336</v>
          </cell>
          <cell r="AE8" t="str">
            <v>PLCE</v>
          </cell>
        </row>
        <row r="9">
          <cell r="C9" t="str">
            <v>New Store Openings</v>
          </cell>
          <cell r="D9">
            <v>30</v>
          </cell>
          <cell r="E9">
            <v>41</v>
          </cell>
          <cell r="F9">
            <v>54</v>
          </cell>
          <cell r="G9">
            <v>104</v>
          </cell>
          <cell r="H9">
            <v>138</v>
          </cell>
          <cell r="I9">
            <v>112</v>
          </cell>
          <cell r="J9">
            <v>106</v>
          </cell>
          <cell r="K9">
            <v>109</v>
          </cell>
          <cell r="L9">
            <v>81</v>
          </cell>
          <cell r="M9">
            <v>104</v>
          </cell>
          <cell r="N9">
            <v>99</v>
          </cell>
          <cell r="O9">
            <v>97</v>
          </cell>
          <cell r="P9">
            <v>22</v>
          </cell>
          <cell r="Q9">
            <v>37</v>
          </cell>
          <cell r="R9">
            <v>46</v>
          </cell>
          <cell r="S9">
            <v>47</v>
          </cell>
          <cell r="T9">
            <v>23</v>
          </cell>
          <cell r="U9">
            <v>21</v>
          </cell>
          <cell r="V9">
            <v>30</v>
          </cell>
          <cell r="W9" t="str">
            <v>Stores as % of Total</v>
          </cell>
          <cell r="Y9" t="str">
            <v>TLB2009</v>
          </cell>
          <cell r="Z9">
            <v>0.20357470611216757</v>
          </cell>
          <cell r="AB9" t="str">
            <v>URBN</v>
          </cell>
          <cell r="AC9">
            <v>0.41715569113610479</v>
          </cell>
          <cell r="AE9" t="str">
            <v>URBN</v>
          </cell>
        </row>
        <row r="10">
          <cell r="C10" t="str">
            <v>Store Closings</v>
          </cell>
          <cell r="D10">
            <v>1</v>
          </cell>
          <cell r="E10">
            <v>1</v>
          </cell>
          <cell r="F10">
            <v>0</v>
          </cell>
          <cell r="G10">
            <v>0</v>
          </cell>
          <cell r="H10">
            <v>1</v>
          </cell>
          <cell r="I10">
            <v>6</v>
          </cell>
          <cell r="J10">
            <v>3</v>
          </cell>
          <cell r="K10">
            <v>21</v>
          </cell>
          <cell r="L10">
            <v>22</v>
          </cell>
          <cell r="M10">
            <v>13</v>
          </cell>
          <cell r="N10">
            <v>6</v>
          </cell>
          <cell r="O10">
            <v>10</v>
          </cell>
          <cell r="P10">
            <v>51</v>
          </cell>
          <cell r="Q10">
            <v>65</v>
          </cell>
          <cell r="R10">
            <v>74</v>
          </cell>
          <cell r="S10">
            <v>47</v>
          </cell>
          <cell r="T10">
            <v>50</v>
          </cell>
          <cell r="U10">
            <v>66</v>
          </cell>
          <cell r="V10">
            <v>59</v>
          </cell>
        </row>
        <row r="11">
          <cell r="C11" t="str">
            <v xml:space="preserve">Stores Up for Negotation as a % of Total </v>
          </cell>
          <cell r="T11">
            <v>0.12573099415204678</v>
          </cell>
          <cell r="U11">
            <v>0.13527575442247658</v>
          </cell>
          <cell r="V11">
            <v>0.11909871244635194</v>
          </cell>
          <cell r="W11">
            <v>0.38010546102087528</v>
          </cell>
          <cell r="Y11" t="str">
            <v>TIF2009</v>
          </cell>
          <cell r="Z11">
            <v>0.22025176029526791</v>
          </cell>
          <cell r="AB11" t="str">
            <v>JCG</v>
          </cell>
          <cell r="AC11">
            <v>0.40734666829785499</v>
          </cell>
          <cell r="AE11" t="str">
            <v>JCG</v>
          </cell>
          <cell r="AF11" t="str">
            <v xml:space="preserve">JCG </v>
          </cell>
        </row>
        <row r="12">
          <cell r="C12" t="str">
            <v>Gross Square Footage</v>
          </cell>
          <cell r="D12">
            <v>1.5217640000000001</v>
          </cell>
          <cell r="E12">
            <v>1.7906640000000003</v>
          </cell>
          <cell r="F12">
            <v>2.1739999999999999</v>
          </cell>
          <cell r="G12">
            <v>2.8490000000000002</v>
          </cell>
          <cell r="H12">
            <v>3.673</v>
          </cell>
          <cell r="I12">
            <v>4.3575140000000001</v>
          </cell>
          <cell r="J12">
            <v>5.0158140000000007</v>
          </cell>
          <cell r="K12">
            <v>5.5903639999999992</v>
          </cell>
          <cell r="L12">
            <v>6.0253639999999997</v>
          </cell>
          <cell r="M12">
            <v>6.6933639999999999</v>
          </cell>
          <cell r="N12">
            <v>7.337364</v>
          </cell>
          <cell r="O12">
            <v>8.0223639999999996</v>
          </cell>
          <cell r="P12">
            <v>7.8471839999999995</v>
          </cell>
          <cell r="Q12">
            <v>7.7568339999999996</v>
          </cell>
          <cell r="R12">
            <v>7.742534</v>
          </cell>
          <cell r="S12">
            <v>7.9580000000000002</v>
          </cell>
          <cell r="T12">
            <v>7.7359999999999998</v>
          </cell>
          <cell r="U12">
            <v>7.5170000000000003</v>
          </cell>
          <cell r="V12">
            <v>7.2919999999999998</v>
          </cell>
        </row>
        <row r="13">
          <cell r="B13" t="str">
            <v>ANN</v>
          </cell>
          <cell r="C13" t="str">
            <v>End of Year # Stores</v>
          </cell>
          <cell r="D13">
            <v>324</v>
          </cell>
          <cell r="E13">
            <v>365</v>
          </cell>
          <cell r="F13">
            <v>405</v>
          </cell>
          <cell r="G13">
            <v>478</v>
          </cell>
          <cell r="H13">
            <v>538</v>
          </cell>
          <cell r="I13">
            <v>584</v>
          </cell>
          <cell r="J13">
            <v>648</v>
          </cell>
          <cell r="K13">
            <v>738</v>
          </cell>
          <cell r="L13">
            <v>824</v>
          </cell>
          <cell r="M13">
            <v>869</v>
          </cell>
          <cell r="N13">
            <v>929</v>
          </cell>
          <cell r="O13">
            <v>935</v>
          </cell>
          <cell r="P13">
            <v>907</v>
          </cell>
          <cell r="Q13">
            <v>896</v>
          </cell>
          <cell r="R13">
            <v>953</v>
          </cell>
          <cell r="S13">
            <v>984</v>
          </cell>
          <cell r="T13">
            <v>1019</v>
          </cell>
          <cell r="U13">
            <v>1030</v>
          </cell>
          <cell r="V13">
            <v>1035</v>
          </cell>
          <cell r="W13" t="str">
            <v xml:space="preserve">Est. Renewal + New </v>
          </cell>
          <cell r="Y13" t="str">
            <v>ANF2009</v>
          </cell>
          <cell r="Z13">
            <v>0.38010546102087528</v>
          </cell>
          <cell r="AB13" t="str">
            <v>TLB</v>
          </cell>
          <cell r="AC13">
            <v>0.37738107711413327</v>
          </cell>
          <cell r="AE13" t="str">
            <v>TLB</v>
          </cell>
          <cell r="AF13" t="str">
            <v xml:space="preserve">TLB </v>
          </cell>
        </row>
        <row r="14">
          <cell r="C14" t="str">
            <v>New Store Openings</v>
          </cell>
          <cell r="D14">
            <v>27</v>
          </cell>
          <cell r="E14">
            <v>45</v>
          </cell>
          <cell r="F14">
            <v>47</v>
          </cell>
          <cell r="G14">
            <v>81</v>
          </cell>
          <cell r="H14">
            <v>67</v>
          </cell>
          <cell r="I14">
            <v>49</v>
          </cell>
          <cell r="J14">
            <v>70</v>
          </cell>
          <cell r="K14">
            <v>95</v>
          </cell>
          <cell r="L14">
            <v>97</v>
          </cell>
          <cell r="M14">
            <v>70</v>
          </cell>
          <cell r="N14">
            <v>77</v>
          </cell>
          <cell r="O14">
            <v>66</v>
          </cell>
          <cell r="P14">
            <v>14</v>
          </cell>
          <cell r="Q14">
            <v>34</v>
          </cell>
          <cell r="R14">
            <v>76</v>
          </cell>
          <cell r="S14">
            <v>63</v>
          </cell>
          <cell r="T14">
            <v>65</v>
          </cell>
          <cell r="U14">
            <v>50</v>
          </cell>
          <cell r="V14">
            <v>40</v>
          </cell>
          <cell r="W14" t="str">
            <v>Stores as % of Total</v>
          </cell>
          <cell r="Y14" t="str">
            <v>URBN2009</v>
          </cell>
          <cell r="Z14" t="e">
            <v>#DIV/0!</v>
          </cell>
          <cell r="AB14" t="str">
            <v>ANF</v>
          </cell>
          <cell r="AC14">
            <v>0.31524129122736722</v>
          </cell>
          <cell r="AE14" t="str">
            <v>ANF</v>
          </cell>
          <cell r="AF14" t="str">
            <v xml:space="preserve">ANF </v>
          </cell>
        </row>
        <row r="15">
          <cell r="C15" t="str">
            <v>Store Closings</v>
          </cell>
          <cell r="D15">
            <v>12</v>
          </cell>
          <cell r="E15">
            <v>4</v>
          </cell>
          <cell r="F15">
            <v>7</v>
          </cell>
          <cell r="G15">
            <v>8</v>
          </cell>
          <cell r="H15">
            <v>7</v>
          </cell>
          <cell r="I15">
            <v>3</v>
          </cell>
          <cell r="J15">
            <v>6</v>
          </cell>
          <cell r="K15">
            <v>5</v>
          </cell>
          <cell r="L15">
            <v>11</v>
          </cell>
          <cell r="M15">
            <v>25</v>
          </cell>
          <cell r="N15">
            <v>17</v>
          </cell>
          <cell r="O15">
            <v>60</v>
          </cell>
          <cell r="P15">
            <v>42</v>
          </cell>
          <cell r="Q15">
            <v>45</v>
          </cell>
          <cell r="R15">
            <v>19</v>
          </cell>
          <cell r="S15">
            <v>32</v>
          </cell>
          <cell r="T15">
            <v>30</v>
          </cell>
          <cell r="U15">
            <v>45</v>
          </cell>
          <cell r="V15">
            <v>35</v>
          </cell>
        </row>
        <row r="16">
          <cell r="C16" t="str">
            <v xml:space="preserve">Stores Up for Negotation as a % of Total </v>
          </cell>
          <cell r="T16">
            <v>0.1324828263002944</v>
          </cell>
          <cell r="U16">
            <v>0.14077669902912621</v>
          </cell>
          <cell r="V16">
            <v>0.13236714975845409</v>
          </cell>
          <cell r="W16">
            <v>0.4056266750878747</v>
          </cell>
          <cell r="Y16" t="str">
            <v>ARO2009</v>
          </cell>
          <cell r="Z16">
            <v>0.42478198661474498</v>
          </cell>
          <cell r="AB16" t="str">
            <v>COH</v>
          </cell>
          <cell r="AC16">
            <v>0.31480360058911533</v>
          </cell>
          <cell r="AE16" t="str">
            <v>COH</v>
          </cell>
          <cell r="AF16" t="str">
            <v xml:space="preserve">COH </v>
          </cell>
        </row>
        <row r="17">
          <cell r="C17" t="str">
            <v>Gross Square Footage</v>
          </cell>
          <cell r="D17">
            <v>1.7565</v>
          </cell>
          <cell r="E17">
            <v>1.9180000000000001</v>
          </cell>
          <cell r="F17">
            <v>2.1545000000000005</v>
          </cell>
          <cell r="G17">
            <v>2.4875000000000003</v>
          </cell>
          <cell r="H17">
            <v>2.8754999999999997</v>
          </cell>
          <cell r="I17">
            <v>3.1802999999999999</v>
          </cell>
          <cell r="J17">
            <v>3.4832999999999998</v>
          </cell>
          <cell r="K17">
            <v>3.9319999999999999</v>
          </cell>
          <cell r="L17">
            <v>4.5015000000000001</v>
          </cell>
          <cell r="M17">
            <v>4.9399999999999995</v>
          </cell>
          <cell r="N17">
            <v>5.2445000000000004</v>
          </cell>
          <cell r="O17">
            <v>5.4510000000000005</v>
          </cell>
          <cell r="P17">
            <v>5.42</v>
          </cell>
          <cell r="Q17">
            <v>5.3159999999999998</v>
          </cell>
          <cell r="R17">
            <v>5.4339999999999993</v>
          </cell>
          <cell r="S17">
            <v>5.7029499999999995</v>
          </cell>
          <cell r="T17">
            <v>5.9311499999999997</v>
          </cell>
          <cell r="U17">
            <v>6.1110999999999995</v>
          </cell>
          <cell r="V17">
            <v>6.2420999999999989</v>
          </cell>
        </row>
        <row r="18">
          <cell r="B18" t="str">
            <v>ARO</v>
          </cell>
          <cell r="C18" t="str">
            <v>End of Year # Stores</v>
          </cell>
          <cell r="D18" t="str">
            <v>NA</v>
          </cell>
          <cell r="E18" t="str">
            <v>NA</v>
          </cell>
          <cell r="F18">
            <v>151</v>
          </cell>
          <cell r="G18">
            <v>224</v>
          </cell>
          <cell r="H18">
            <v>278</v>
          </cell>
          <cell r="I18">
            <v>367</v>
          </cell>
          <cell r="J18">
            <v>459</v>
          </cell>
          <cell r="K18">
            <v>561</v>
          </cell>
          <cell r="L18">
            <v>671</v>
          </cell>
          <cell r="M18">
            <v>742</v>
          </cell>
          <cell r="N18">
            <v>828</v>
          </cell>
          <cell r="O18">
            <v>914</v>
          </cell>
          <cell r="P18">
            <v>952</v>
          </cell>
          <cell r="Q18">
            <v>1012</v>
          </cell>
          <cell r="R18">
            <v>1057</v>
          </cell>
          <cell r="S18">
            <v>1095</v>
          </cell>
          <cell r="T18">
            <v>1151</v>
          </cell>
          <cell r="U18">
            <v>860</v>
          </cell>
          <cell r="V18">
            <v>806</v>
          </cell>
          <cell r="W18" t="str">
            <v xml:space="preserve">Est. Renewal + New </v>
          </cell>
          <cell r="Y18" t="str">
            <v>COH2009</v>
          </cell>
          <cell r="Z18">
            <v>0.34262208874140121</v>
          </cell>
          <cell r="AB18" t="str">
            <v>TIF</v>
          </cell>
          <cell r="AC18">
            <v>0.31466034456172814</v>
          </cell>
          <cell r="AE18" t="str">
            <v>TIF</v>
          </cell>
          <cell r="AF18" t="str">
            <v xml:space="preserve">TIF </v>
          </cell>
        </row>
        <row r="19">
          <cell r="C19" t="str">
            <v>New Store Openings</v>
          </cell>
          <cell r="D19" t="str">
            <v>NA</v>
          </cell>
          <cell r="E19" t="str">
            <v>NA</v>
          </cell>
          <cell r="F19">
            <v>40</v>
          </cell>
          <cell r="G19">
            <v>74</v>
          </cell>
          <cell r="H19">
            <v>62</v>
          </cell>
          <cell r="I19">
            <v>93</v>
          </cell>
          <cell r="J19">
            <v>95</v>
          </cell>
          <cell r="K19">
            <v>103</v>
          </cell>
          <cell r="L19">
            <v>119</v>
          </cell>
          <cell r="M19">
            <v>74</v>
          </cell>
          <cell r="N19">
            <v>88</v>
          </cell>
          <cell r="O19">
            <v>88</v>
          </cell>
          <cell r="P19">
            <v>53</v>
          </cell>
          <cell r="Q19">
            <v>68</v>
          </cell>
          <cell r="R19">
            <v>47</v>
          </cell>
          <cell r="S19">
            <v>48</v>
          </cell>
          <cell r="T19">
            <v>74</v>
          </cell>
          <cell r="U19">
            <v>8</v>
          </cell>
          <cell r="V19">
            <v>1</v>
          </cell>
          <cell r="W19" t="str">
            <v>Stores as % of Total</v>
          </cell>
          <cell r="Y19" t="str">
            <v>AEO2009</v>
          </cell>
          <cell r="Z19">
            <v>-8.2346796783229426</v>
          </cell>
          <cell r="AB19" t="str">
            <v>TJX</v>
          </cell>
          <cell r="AC19">
            <v>0.31280725462882786</v>
          </cell>
          <cell r="AE19" t="str">
            <v>TJX</v>
          </cell>
          <cell r="AF19" t="str">
            <v xml:space="preserve">TJX </v>
          </cell>
        </row>
        <row r="20">
          <cell r="C20" t="str">
            <v>Store Closings</v>
          </cell>
          <cell r="D20" t="str">
            <v>NA</v>
          </cell>
          <cell r="E20" t="str">
            <v>NA</v>
          </cell>
          <cell r="F20">
            <v>7</v>
          </cell>
          <cell r="G20">
            <v>1</v>
          </cell>
          <cell r="H20">
            <v>8</v>
          </cell>
          <cell r="I20">
            <v>4</v>
          </cell>
          <cell r="J20">
            <v>3</v>
          </cell>
          <cell r="K20">
            <v>1</v>
          </cell>
          <cell r="L20">
            <v>9</v>
          </cell>
          <cell r="M20">
            <v>3</v>
          </cell>
          <cell r="N20">
            <v>2</v>
          </cell>
          <cell r="O20">
            <v>2</v>
          </cell>
          <cell r="P20">
            <v>15</v>
          </cell>
          <cell r="Q20">
            <v>8</v>
          </cell>
          <cell r="R20">
            <v>2</v>
          </cell>
          <cell r="S20">
            <v>10</v>
          </cell>
          <cell r="T20">
            <v>18</v>
          </cell>
          <cell r="U20">
            <v>248</v>
          </cell>
          <cell r="V20">
            <v>55</v>
          </cell>
        </row>
        <row r="21">
          <cell r="C21" t="str">
            <v xml:space="preserve">Stores Up for Negotation as a % of Total </v>
          </cell>
          <cell r="T21">
            <v>0.14682884448305822</v>
          </cell>
          <cell r="U21">
            <v>0.12906976744186047</v>
          </cell>
          <cell r="V21">
            <v>0.14888337468982629</v>
          </cell>
          <cell r="W21">
            <v>0.42478198661474498</v>
          </cell>
          <cell r="Y21" t="str">
            <v>CHS2009</v>
          </cell>
          <cell r="Z21">
            <v>-72.720352560025106</v>
          </cell>
          <cell r="AB21" t="str">
            <v>ARO</v>
          </cell>
          <cell r="AC21">
            <v>0.28132227506821411</v>
          </cell>
          <cell r="AE21" t="str">
            <v>ARO</v>
          </cell>
          <cell r="AF21" t="str">
            <v xml:space="preserve">ARO </v>
          </cell>
        </row>
        <row r="22">
          <cell r="C22" t="str">
            <v>Gross Square Footage</v>
          </cell>
          <cell r="D22" t="str">
            <v>NA</v>
          </cell>
          <cell r="E22" t="str">
            <v>NA</v>
          </cell>
          <cell r="F22">
            <v>0.54661000000000004</v>
          </cell>
          <cell r="G22">
            <v>0.77510999999999997</v>
          </cell>
          <cell r="H22">
            <v>0.96269700000000002</v>
          </cell>
          <cell r="I22">
            <v>1.299606</v>
          </cell>
          <cell r="J22">
            <v>1.611669</v>
          </cell>
          <cell r="K22">
            <v>1.9784060000000001</v>
          </cell>
          <cell r="L22">
            <v>2.373475</v>
          </cell>
          <cell r="M22">
            <v>2.6259999999999999</v>
          </cell>
          <cell r="N22">
            <v>2.9352140000000002</v>
          </cell>
          <cell r="O22">
            <v>3.2846139999999999</v>
          </cell>
          <cell r="P22">
            <v>3.4283760000000001</v>
          </cell>
          <cell r="Q22">
            <v>3.703033</v>
          </cell>
          <cell r="R22">
            <v>3.9087839999999998</v>
          </cell>
          <cell r="S22">
            <v>4.0135209999999999</v>
          </cell>
          <cell r="T22">
            <v>4.0890690000000003</v>
          </cell>
          <cell r="U22">
            <v>3.2942269999999998</v>
          </cell>
          <cell r="V22">
            <v>3.160927</v>
          </cell>
        </row>
        <row r="23">
          <cell r="B23" t="str">
            <v>CHS</v>
          </cell>
          <cell r="C23" t="str">
            <v>End of Year # Stores</v>
          </cell>
          <cell r="D23">
            <v>141</v>
          </cell>
          <cell r="E23">
            <v>162</v>
          </cell>
          <cell r="F23">
            <v>200</v>
          </cell>
          <cell r="G23">
            <v>250</v>
          </cell>
          <cell r="H23">
            <v>311</v>
          </cell>
          <cell r="I23">
            <v>378</v>
          </cell>
          <cell r="J23">
            <v>548</v>
          </cell>
          <cell r="K23">
            <v>657</v>
          </cell>
          <cell r="L23">
            <v>763</v>
          </cell>
          <cell r="M23">
            <v>920</v>
          </cell>
          <cell r="N23">
            <v>1038</v>
          </cell>
          <cell r="O23">
            <v>1076</v>
          </cell>
          <cell r="P23">
            <v>1080</v>
          </cell>
          <cell r="Q23">
            <v>1151</v>
          </cell>
          <cell r="R23">
            <v>1256</v>
          </cell>
          <cell r="S23">
            <v>1357</v>
          </cell>
          <cell r="T23">
            <v>1485</v>
          </cell>
          <cell r="U23">
            <v>1588</v>
          </cell>
          <cell r="V23">
            <v>-2</v>
          </cell>
          <cell r="W23" t="str">
            <v xml:space="preserve">Est. Renewal + New </v>
          </cell>
          <cell r="Y23" t="str">
            <v>ROST2009</v>
          </cell>
          <cell r="Z23">
            <v>0.37659535889101164</v>
          </cell>
          <cell r="AB23" t="str">
            <v>AEO</v>
          </cell>
          <cell r="AC23">
            <v>0.28042089756544664</v>
          </cell>
          <cell r="AE23" t="str">
            <v>AEO</v>
          </cell>
          <cell r="AF23" t="str">
            <v xml:space="preserve">AEO </v>
          </cell>
        </row>
        <row r="24">
          <cell r="C24" t="str">
            <v>New Store Openings</v>
          </cell>
          <cell r="D24">
            <v>15</v>
          </cell>
          <cell r="E24">
            <v>25</v>
          </cell>
          <cell r="F24">
            <v>41</v>
          </cell>
          <cell r="G24">
            <v>53</v>
          </cell>
          <cell r="H24">
            <v>64</v>
          </cell>
          <cell r="I24">
            <v>67</v>
          </cell>
          <cell r="J24">
            <v>58</v>
          </cell>
          <cell r="K24">
            <v>118</v>
          </cell>
          <cell r="L24">
            <v>106</v>
          </cell>
          <cell r="M24">
            <v>158</v>
          </cell>
          <cell r="N24">
            <v>146</v>
          </cell>
          <cell r="O24">
            <v>49</v>
          </cell>
          <cell r="P24">
            <v>30</v>
          </cell>
          <cell r="Q24">
            <v>80</v>
          </cell>
          <cell r="R24">
            <v>137</v>
          </cell>
          <cell r="S24">
            <v>125</v>
          </cell>
          <cell r="T24">
            <v>145</v>
          </cell>
          <cell r="U24">
            <v>109</v>
          </cell>
          <cell r="V24">
            <v>40</v>
          </cell>
          <cell r="W24" t="str">
            <v>Stores as % of Total</v>
          </cell>
          <cell r="Y24" t="str">
            <v>TJX2009</v>
          </cell>
          <cell r="Z24">
            <v>0.32413234626289633</v>
          </cell>
          <cell r="AB24" t="str">
            <v>ROST</v>
          </cell>
          <cell r="AC24">
            <v>0.27287831460692641</v>
          </cell>
          <cell r="AE24" t="str">
            <v>ROST</v>
          </cell>
        </row>
        <row r="25">
          <cell r="C25" t="str">
            <v>Store Closings</v>
          </cell>
          <cell r="D25">
            <v>7</v>
          </cell>
          <cell r="E25">
            <v>4</v>
          </cell>
          <cell r="F25">
            <v>3</v>
          </cell>
          <cell r="G25">
            <v>3</v>
          </cell>
          <cell r="H25">
            <v>3</v>
          </cell>
          <cell r="I25">
            <v>0</v>
          </cell>
          <cell r="J25">
            <v>2</v>
          </cell>
          <cell r="K25">
            <v>9</v>
          </cell>
          <cell r="L25">
            <v>0</v>
          </cell>
          <cell r="M25">
            <v>6</v>
          </cell>
          <cell r="N25">
            <v>18</v>
          </cell>
          <cell r="O25">
            <v>11</v>
          </cell>
          <cell r="P25">
            <v>26</v>
          </cell>
          <cell r="Q25">
            <v>9</v>
          </cell>
          <cell r="R25">
            <v>32</v>
          </cell>
          <cell r="S25">
            <v>24</v>
          </cell>
          <cell r="T25">
            <v>17</v>
          </cell>
          <cell r="U25">
            <v>-5</v>
          </cell>
          <cell r="V25">
            <v>-2</v>
          </cell>
        </row>
        <row r="26">
          <cell r="C26" t="str">
            <v xml:space="preserve">Stores Up for Negotation as a % of Total </v>
          </cell>
          <cell r="T26">
            <v>0.13670033670033671</v>
          </cell>
          <cell r="U26">
            <v>0.1429471032745592</v>
          </cell>
          <cell r="V26">
            <v>-73</v>
          </cell>
          <cell r="W26">
            <v>-72.720352560025106</v>
          </cell>
          <cell r="Y26" t="str">
            <v>ANN2009</v>
          </cell>
          <cell r="Z26">
            <v>0.4056266750878747</v>
          </cell>
          <cell r="AB26" t="str">
            <v>CHS</v>
          </cell>
          <cell r="AC26">
            <v>0.25976024802294312</v>
          </cell>
          <cell r="AE26" t="str">
            <v>CHS</v>
          </cell>
          <cell r="AF26" t="str">
            <v xml:space="preserve">CHS </v>
          </cell>
        </row>
        <row r="27">
          <cell r="C27" t="str">
            <v>Gross Square Footage</v>
          </cell>
          <cell r="D27">
            <v>137</v>
          </cell>
          <cell r="E27">
            <v>151.5</v>
          </cell>
          <cell r="F27">
            <v>181</v>
          </cell>
          <cell r="G27">
            <v>225</v>
          </cell>
          <cell r="H27">
            <v>280.5</v>
          </cell>
          <cell r="I27">
            <v>344.5</v>
          </cell>
          <cell r="J27">
            <v>463</v>
          </cell>
          <cell r="K27">
            <v>602.5</v>
          </cell>
          <cell r="L27">
            <v>710</v>
          </cell>
          <cell r="M27">
            <v>841.5</v>
          </cell>
          <cell r="N27">
            <v>979</v>
          </cell>
          <cell r="O27">
            <v>1057</v>
          </cell>
          <cell r="P27">
            <v>1078</v>
          </cell>
          <cell r="Q27">
            <v>1115.5</v>
          </cell>
          <cell r="R27">
            <v>1203.5</v>
          </cell>
          <cell r="S27">
            <v>1306.5</v>
          </cell>
          <cell r="T27">
            <v>1414.5</v>
          </cell>
          <cell r="U27">
            <v>1509.5</v>
          </cell>
          <cell r="V27">
            <v>1532.5</v>
          </cell>
        </row>
        <row r="28">
          <cell r="B28" t="str">
            <v>COH</v>
          </cell>
          <cell r="C28" t="str">
            <v>End of Year # Stores</v>
          </cell>
          <cell r="D28" t="str">
            <v>NA</v>
          </cell>
          <cell r="E28" t="str">
            <v>NA</v>
          </cell>
          <cell r="F28" t="str">
            <v>NA</v>
          </cell>
          <cell r="G28">
            <v>239</v>
          </cell>
          <cell r="H28">
            <v>265</v>
          </cell>
          <cell r="I28">
            <v>295</v>
          </cell>
          <cell r="J28">
            <v>325</v>
          </cell>
          <cell r="K28">
            <v>350</v>
          </cell>
          <cell r="L28">
            <v>378</v>
          </cell>
          <cell r="M28">
            <v>422</v>
          </cell>
          <cell r="N28">
            <v>489</v>
          </cell>
          <cell r="O28">
            <v>548</v>
          </cell>
          <cell r="P28">
            <v>624</v>
          </cell>
          <cell r="Q28">
            <v>665</v>
          </cell>
          <cell r="R28">
            <v>723</v>
          </cell>
          <cell r="S28">
            <v>832</v>
          </cell>
          <cell r="T28">
            <v>912</v>
          </cell>
          <cell r="U28">
            <v>983</v>
          </cell>
          <cell r="V28">
            <v>1054</v>
          </cell>
          <cell r="W28" t="str">
            <v xml:space="preserve">Est. Renewal + New </v>
          </cell>
          <cell r="Y28" t="str">
            <v>JCG2009</v>
          </cell>
          <cell r="Z28">
            <v>0.16361373453400688</v>
          </cell>
          <cell r="AB28" t="str">
            <v>ANN</v>
          </cell>
          <cell r="AC28">
            <v>0.15037683740834962</v>
          </cell>
          <cell r="AE28" t="str">
            <v>ANN</v>
          </cell>
          <cell r="AF28" t="str">
            <v xml:space="preserve">ANN </v>
          </cell>
        </row>
        <row r="29">
          <cell r="C29" t="str">
            <v>New Store Openings</v>
          </cell>
          <cell r="D29" t="str">
            <v>NA</v>
          </cell>
          <cell r="E29" t="str">
            <v>NA</v>
          </cell>
          <cell r="F29" t="str">
            <v>NA</v>
          </cell>
          <cell r="G29">
            <v>10</v>
          </cell>
          <cell r="H29">
            <v>26</v>
          </cell>
          <cell r="I29">
            <v>33</v>
          </cell>
          <cell r="J29">
            <v>37</v>
          </cell>
          <cell r="K29">
            <v>29</v>
          </cell>
          <cell r="L29">
            <v>38</v>
          </cell>
          <cell r="M29">
            <v>50</v>
          </cell>
          <cell r="N29">
            <v>70</v>
          </cell>
          <cell r="O29">
            <v>60</v>
          </cell>
          <cell r="P29">
            <v>85</v>
          </cell>
          <cell r="Q29">
            <v>52</v>
          </cell>
          <cell r="R29">
            <v>65</v>
          </cell>
          <cell r="S29">
            <v>114</v>
          </cell>
          <cell r="T29">
            <v>83</v>
          </cell>
          <cell r="U29">
            <v>74</v>
          </cell>
          <cell r="V29">
            <v>74</v>
          </cell>
          <cell r="W29" t="str">
            <v>Stores as % of Total</v>
          </cell>
          <cell r="Y29" t="str">
            <v>PLCE2009</v>
          </cell>
          <cell r="Z29">
            <v>0.4</v>
          </cell>
          <cell r="AB29" t="str">
            <v>LTD</v>
          </cell>
          <cell r="AC29">
            <v>7.3625433459171691E-2</v>
          </cell>
          <cell r="AE29" t="str">
            <v>LTD</v>
          </cell>
          <cell r="AF29" t="str">
            <v xml:space="preserve">LTD </v>
          </cell>
        </row>
        <row r="30">
          <cell r="C30" t="str">
            <v>Store Closings</v>
          </cell>
          <cell r="D30" t="str">
            <v>NA</v>
          </cell>
          <cell r="E30" t="str">
            <v>NA</v>
          </cell>
          <cell r="F30" t="str">
            <v>NA</v>
          </cell>
          <cell r="G30">
            <v>4</v>
          </cell>
          <cell r="H30">
            <v>0</v>
          </cell>
          <cell r="I30">
            <v>3</v>
          </cell>
          <cell r="J30">
            <v>7</v>
          </cell>
          <cell r="K30">
            <v>4</v>
          </cell>
          <cell r="L30">
            <v>10</v>
          </cell>
          <cell r="M30">
            <v>6</v>
          </cell>
          <cell r="N30">
            <v>3</v>
          </cell>
          <cell r="O30">
            <v>1</v>
          </cell>
          <cell r="P30">
            <v>9</v>
          </cell>
          <cell r="Q30">
            <v>11</v>
          </cell>
          <cell r="R30">
            <v>7</v>
          </cell>
          <cell r="S30">
            <v>5</v>
          </cell>
          <cell r="T30">
            <v>3</v>
          </cell>
          <cell r="U30">
            <v>3</v>
          </cell>
          <cell r="V30">
            <v>3</v>
          </cell>
        </row>
        <row r="31">
          <cell r="C31" t="str">
            <v xml:space="preserve">Stores Up for Negotation as a % of Total </v>
          </cell>
          <cell r="T31">
            <v>0.13157894736842105</v>
          </cell>
          <cell r="U31">
            <v>0.10478128179043744</v>
          </cell>
          <cell r="V31">
            <v>0.10626185958254269</v>
          </cell>
          <cell r="W31">
            <v>0.34262208874140121</v>
          </cell>
        </row>
        <row r="32">
          <cell r="C32" t="str">
            <v>Gross Square Footage</v>
          </cell>
          <cell r="D32" t="str">
            <v>NA</v>
          </cell>
          <cell r="E32" t="str">
            <v>NA</v>
          </cell>
          <cell r="F32" t="str">
            <v>NA</v>
          </cell>
          <cell r="G32">
            <v>0</v>
          </cell>
          <cell r="H32">
            <v>0</v>
          </cell>
          <cell r="I32">
            <v>0</v>
          </cell>
          <cell r="J32">
            <v>0</v>
          </cell>
          <cell r="K32">
            <v>0</v>
          </cell>
          <cell r="L32">
            <v>0</v>
          </cell>
          <cell r="M32">
            <v>0</v>
          </cell>
          <cell r="N32">
            <v>0</v>
          </cell>
          <cell r="O32">
            <v>0</v>
          </cell>
          <cell r="P32">
            <v>0</v>
          </cell>
          <cell r="Q32">
            <v>0</v>
          </cell>
          <cell r="R32">
            <v>0</v>
          </cell>
          <cell r="S32">
            <v>0</v>
          </cell>
          <cell r="T32">
            <v>48</v>
          </cell>
          <cell r="U32">
            <v>50</v>
          </cell>
          <cell r="V32">
            <v>52</v>
          </cell>
        </row>
        <row r="33">
          <cell r="B33" t="str">
            <v>EXPR</v>
          </cell>
          <cell r="C33" t="str">
            <v>End of Year # Stores</v>
          </cell>
          <cell r="D33" t="str">
            <v>NA</v>
          </cell>
          <cell r="E33">
            <v>1234</v>
          </cell>
          <cell r="F33">
            <v>1187</v>
          </cell>
          <cell r="G33">
            <v>1136</v>
          </cell>
          <cell r="H33">
            <v>1106</v>
          </cell>
          <cell r="I33">
            <v>1031</v>
          </cell>
          <cell r="J33">
            <v>956</v>
          </cell>
          <cell r="K33">
            <v>884</v>
          </cell>
          <cell r="L33">
            <v>743</v>
          </cell>
          <cell r="M33">
            <v>658</v>
          </cell>
          <cell r="N33">
            <v>587</v>
          </cell>
          <cell r="O33">
            <v>581</v>
          </cell>
          <cell r="P33">
            <v>573</v>
          </cell>
          <cell r="Q33">
            <v>591</v>
          </cell>
          <cell r="R33">
            <v>609</v>
          </cell>
          <cell r="S33">
            <v>625</v>
          </cell>
          <cell r="T33">
            <v>632</v>
          </cell>
          <cell r="U33">
            <v>629</v>
          </cell>
          <cell r="V33">
            <v>629</v>
          </cell>
          <cell r="W33" t="str">
            <v xml:space="preserve">Est. Renewal + New </v>
          </cell>
        </row>
        <row r="34">
          <cell r="C34" t="str">
            <v>New Store Openings</v>
          </cell>
          <cell r="D34" t="str">
            <v>NA</v>
          </cell>
          <cell r="E34">
            <v>4</v>
          </cell>
          <cell r="F34">
            <v>9</v>
          </cell>
          <cell r="G34">
            <v>4</v>
          </cell>
          <cell r="H34">
            <v>16</v>
          </cell>
          <cell r="I34">
            <v>21</v>
          </cell>
          <cell r="J34">
            <v>7</v>
          </cell>
          <cell r="K34">
            <v>15</v>
          </cell>
          <cell r="L34">
            <v>17</v>
          </cell>
          <cell r="M34">
            <v>2</v>
          </cell>
          <cell r="N34">
            <v>2</v>
          </cell>
          <cell r="O34">
            <v>4</v>
          </cell>
          <cell r="P34">
            <v>7</v>
          </cell>
          <cell r="Q34">
            <v>23</v>
          </cell>
          <cell r="R34">
            <v>27</v>
          </cell>
          <cell r="S34">
            <v>28</v>
          </cell>
          <cell r="T34">
            <v>16</v>
          </cell>
          <cell r="U34">
            <v>20</v>
          </cell>
          <cell r="V34">
            <v>15</v>
          </cell>
          <cell r="W34" t="str">
            <v>Stores as % of Total</v>
          </cell>
          <cell r="Y34" t="e">
            <v>#REF!</v>
          </cell>
          <cell r="Z34">
            <v>581</v>
          </cell>
          <cell r="AA34">
            <v>582</v>
          </cell>
        </row>
        <row r="35">
          <cell r="C35" t="str">
            <v>Store Closings</v>
          </cell>
          <cell r="D35" t="str">
            <v>NA</v>
          </cell>
          <cell r="E35" t="str">
            <v>NA</v>
          </cell>
          <cell r="F35" t="str">
            <v>NA</v>
          </cell>
          <cell r="G35" t="str">
            <v>NA</v>
          </cell>
          <cell r="H35" t="str">
            <v>NA</v>
          </cell>
          <cell r="I35" t="str">
            <v>NA</v>
          </cell>
          <cell r="J35" t="str">
            <v>NA</v>
          </cell>
          <cell r="K35" t="e">
            <v>#REF!</v>
          </cell>
          <cell r="L35" t="e">
            <v>#REF!</v>
          </cell>
          <cell r="M35" t="e">
            <v>#REF!</v>
          </cell>
          <cell r="N35" t="e">
            <v>#REF!</v>
          </cell>
          <cell r="O35">
            <v>10</v>
          </cell>
          <cell r="P35">
            <v>6</v>
          </cell>
          <cell r="Q35">
            <v>5</v>
          </cell>
          <cell r="R35">
            <v>9</v>
          </cell>
          <cell r="S35">
            <v>12</v>
          </cell>
          <cell r="T35">
            <v>9</v>
          </cell>
          <cell r="U35">
            <v>5</v>
          </cell>
          <cell r="V35">
            <v>5</v>
          </cell>
        </row>
        <row r="36">
          <cell r="C36" t="str">
            <v xml:space="preserve">Stores Up for Negotation as a % of Total </v>
          </cell>
          <cell r="T36">
            <v>3.6392405063291139E-2</v>
          </cell>
          <cell r="U36">
            <v>5.5643879173290937E-2</v>
          </cell>
          <cell r="V36">
            <v>5.0874403815580289E-2</v>
          </cell>
          <cell r="W36">
            <v>0.14291068805216237</v>
          </cell>
        </row>
        <row r="37">
          <cell r="C37" t="str">
            <v>Gross Square Footage</v>
          </cell>
          <cell r="D37" t="str">
            <v>NA</v>
          </cell>
          <cell r="E37" t="str">
            <v>NA</v>
          </cell>
          <cell r="F37" t="str">
            <v>NA</v>
          </cell>
          <cell r="G37" t="str">
            <v>NA</v>
          </cell>
          <cell r="H37" t="str">
            <v>NA</v>
          </cell>
          <cell r="I37" t="str">
            <v>NA</v>
          </cell>
          <cell r="J37" t="str">
            <v>NA</v>
          </cell>
          <cell r="K37">
            <v>6.867</v>
          </cell>
          <cell r="L37">
            <v>6.4770000000000003</v>
          </cell>
          <cell r="M37">
            <v>5.7770000000000001</v>
          </cell>
          <cell r="N37">
            <v>5.1420000000000003</v>
          </cell>
          <cell r="O37">
            <v>5.032</v>
          </cell>
          <cell r="P37">
            <v>4.9945069999999996</v>
          </cell>
          <cell r="Q37">
            <v>5.1280000000000001</v>
          </cell>
          <cell r="R37">
            <v>5.2670000000000003</v>
          </cell>
          <cell r="S37">
            <v>5.4062000000000001</v>
          </cell>
          <cell r="T37">
            <v>5.5</v>
          </cell>
          <cell r="U37">
            <v>5.4729999999999999</v>
          </cell>
          <cell r="V37">
            <v>5.7249999999999996</v>
          </cell>
        </row>
        <row r="38">
          <cell r="B38" t="str">
            <v>GES</v>
          </cell>
          <cell r="C38" t="str">
            <v>End of Year # Stores</v>
          </cell>
          <cell r="D38" t="str">
            <v>NA</v>
          </cell>
          <cell r="E38" t="str">
            <v>NA</v>
          </cell>
          <cell r="F38" t="str">
            <v>NA</v>
          </cell>
          <cell r="G38" t="str">
            <v>NA</v>
          </cell>
          <cell r="H38" t="str">
            <v>NA</v>
          </cell>
          <cell r="I38" t="str">
            <v>NA</v>
          </cell>
          <cell r="J38" t="str">
            <v>NA</v>
          </cell>
          <cell r="K38" t="str">
            <v>NA</v>
          </cell>
          <cell r="L38" t="str">
            <v>NA</v>
          </cell>
          <cell r="M38" t="str">
            <v>NA</v>
          </cell>
          <cell r="N38">
            <v>413</v>
          </cell>
          <cell r="O38">
            <v>486</v>
          </cell>
          <cell r="P38">
            <v>544</v>
          </cell>
          <cell r="Q38">
            <v>649</v>
          </cell>
          <cell r="R38">
            <v>734</v>
          </cell>
          <cell r="S38">
            <v>837</v>
          </cell>
          <cell r="T38">
            <v>837</v>
          </cell>
          <cell r="U38">
            <v>837</v>
          </cell>
          <cell r="V38">
            <v>837</v>
          </cell>
          <cell r="W38" t="str">
            <v xml:space="preserve">Est. Renewal + New </v>
          </cell>
        </row>
        <row r="39">
          <cell r="C39" t="str">
            <v>New Store Openings</v>
          </cell>
          <cell r="D39" t="str">
            <v>NA</v>
          </cell>
          <cell r="E39" t="str">
            <v>NA</v>
          </cell>
          <cell r="F39" t="str">
            <v>NA</v>
          </cell>
          <cell r="G39" t="str">
            <v>NA</v>
          </cell>
          <cell r="H39" t="str">
            <v>NA</v>
          </cell>
          <cell r="I39" t="str">
            <v>NA</v>
          </cell>
          <cell r="J39" t="str">
            <v>NA</v>
          </cell>
          <cell r="K39" t="str">
            <v>NA</v>
          </cell>
          <cell r="L39" t="str">
            <v>NA</v>
          </cell>
          <cell r="M39" t="str">
            <v>NA</v>
          </cell>
          <cell r="N39" t="str">
            <v>NA</v>
          </cell>
          <cell r="O39">
            <v>73</v>
          </cell>
          <cell r="P39">
            <v>58</v>
          </cell>
          <cell r="Q39">
            <v>105</v>
          </cell>
          <cell r="R39">
            <v>85</v>
          </cell>
          <cell r="S39">
            <v>103</v>
          </cell>
          <cell r="T39">
            <v>0</v>
          </cell>
          <cell r="U39">
            <v>0</v>
          </cell>
          <cell r="V39">
            <v>0</v>
          </cell>
          <cell r="W39" t="str">
            <v>Stores as % of Total</v>
          </cell>
        </row>
        <row r="40">
          <cell r="C40" t="str">
            <v>Store Closings</v>
          </cell>
          <cell r="D40">
            <v>-6508</v>
          </cell>
          <cell r="E40">
            <v>-9054</v>
          </cell>
          <cell r="F40">
            <v>-11600</v>
          </cell>
          <cell r="G40">
            <v>-13673</v>
          </cell>
          <cell r="H40">
            <v>-13848</v>
          </cell>
          <cell r="I40">
            <v>-14455</v>
          </cell>
          <cell r="J40">
            <v>-15854</v>
          </cell>
          <cell r="K40">
            <v>-16267</v>
          </cell>
          <cell r="L40">
            <v>-16015</v>
          </cell>
          <cell r="M40">
            <v>-15916</v>
          </cell>
          <cell r="N40">
            <v>-15732</v>
          </cell>
          <cell r="O40">
            <v>-14449</v>
          </cell>
          <cell r="P40">
            <v>-14010</v>
          </cell>
          <cell r="Q40">
            <v>-14418</v>
          </cell>
          <cell r="R40">
            <v>-15143</v>
          </cell>
          <cell r="S40">
            <v>-15651</v>
          </cell>
          <cell r="T40">
            <v>-16147</v>
          </cell>
          <cell r="U40">
            <v>-16435</v>
          </cell>
          <cell r="V40">
            <v>-15797</v>
          </cell>
        </row>
        <row r="41">
          <cell r="C41" t="str">
            <v>Stores Up for Negotiation as a % of Total</v>
          </cell>
          <cell r="S41" t="str">
            <v>NA</v>
          </cell>
          <cell r="T41" t="str">
            <v>NA</v>
          </cell>
          <cell r="U41" t="str">
            <v>NA</v>
          </cell>
          <cell r="V41" t="str">
            <v>NA</v>
          </cell>
          <cell r="W41">
            <v>0</v>
          </cell>
        </row>
        <row r="42">
          <cell r="C42" t="str">
            <v>Gross Square Footage</v>
          </cell>
          <cell r="D42">
            <v>9.2418280423096411E-2</v>
          </cell>
          <cell r="E42">
            <v>0.20605216943141902</v>
          </cell>
          <cell r="F42">
            <v>7.6963951833128208E-2</v>
          </cell>
          <cell r="G42">
            <v>9.8632819651960579E-2</v>
          </cell>
          <cell r="H42">
            <v>-7.0239366803548364E-4</v>
          </cell>
          <cell r="I42">
            <v>-1.364751715485446E-3</v>
          </cell>
          <cell r="J42">
            <v>0.11019013468117667</v>
          </cell>
          <cell r="K42">
            <v>4.7067975609023982E-2</v>
          </cell>
          <cell r="L42">
            <v>-2.005022203512774E-2</v>
          </cell>
          <cell r="M42">
            <v>-2.8279756009248036E-2</v>
          </cell>
          <cell r="N42">
            <v>-2.7967456994279494E-2</v>
          </cell>
          <cell r="O42">
            <v>-8.1101168564105541E-2</v>
          </cell>
          <cell r="P42">
            <v>-1.1379140965551482E-2</v>
          </cell>
          <cell r="Q42">
            <v>4.6469551086676386E-2</v>
          </cell>
          <cell r="R42">
            <v>1.7476555668287652E-3</v>
          </cell>
          <cell r="S42">
            <v>7.1006622775072303E-2</v>
          </cell>
          <cell r="T42">
            <v>1.0655197694796836E-2</v>
          </cell>
          <cell r="U42">
            <v>-1.1446023337511102E-2</v>
          </cell>
          <cell r="V42">
            <v>-5.2928662537714555E-2</v>
          </cell>
        </row>
        <row r="43">
          <cell r="B43" t="str">
            <v>GPS</v>
          </cell>
          <cell r="C43" t="str">
            <v>End of Year # Stores</v>
          </cell>
          <cell r="D43">
            <v>2130</v>
          </cell>
          <cell r="E43">
            <v>2466</v>
          </cell>
          <cell r="F43">
            <v>3018</v>
          </cell>
          <cell r="G43">
            <v>2848</v>
          </cell>
          <cell r="H43">
            <v>3097</v>
          </cell>
          <cell r="I43">
            <v>3117</v>
          </cell>
          <cell r="J43">
            <v>3022</v>
          </cell>
          <cell r="K43">
            <v>2994</v>
          </cell>
          <cell r="L43">
            <v>3053</v>
          </cell>
          <cell r="M43">
            <v>3131</v>
          </cell>
          <cell r="N43">
            <v>3167</v>
          </cell>
          <cell r="O43">
            <v>3149</v>
          </cell>
          <cell r="P43">
            <v>3095</v>
          </cell>
          <cell r="Q43">
            <v>3068</v>
          </cell>
          <cell r="R43">
            <v>3072</v>
          </cell>
          <cell r="S43">
            <v>3131</v>
          </cell>
          <cell r="T43">
            <v>3211</v>
          </cell>
          <cell r="U43">
            <v>3280</v>
          </cell>
          <cell r="V43">
            <v>3260</v>
          </cell>
          <cell r="W43" t="str">
            <v xml:space="preserve">Est. Renewal + New </v>
          </cell>
        </row>
        <row r="44">
          <cell r="C44" t="str">
            <v>New Store Openings</v>
          </cell>
          <cell r="D44">
            <v>298</v>
          </cell>
          <cell r="E44">
            <v>356</v>
          </cell>
          <cell r="F44">
            <v>570</v>
          </cell>
          <cell r="G44">
            <v>731</v>
          </cell>
          <cell r="H44">
            <v>324</v>
          </cell>
          <cell r="I44">
            <v>115</v>
          </cell>
          <cell r="J44">
            <v>35</v>
          </cell>
          <cell r="K44">
            <v>130</v>
          </cell>
          <cell r="L44">
            <v>198</v>
          </cell>
          <cell r="M44">
            <v>194</v>
          </cell>
          <cell r="N44">
            <v>214</v>
          </cell>
          <cell r="O44">
            <v>101</v>
          </cell>
          <cell r="P44">
            <v>47</v>
          </cell>
          <cell r="Q44">
            <v>71</v>
          </cell>
          <cell r="R44">
            <v>102</v>
          </cell>
          <cell r="S44">
            <v>148</v>
          </cell>
          <cell r="T44">
            <v>160</v>
          </cell>
          <cell r="U44">
            <v>169</v>
          </cell>
          <cell r="V44">
            <v>150</v>
          </cell>
          <cell r="W44" t="str">
            <v>Stores as % of Total</v>
          </cell>
        </row>
        <row r="45">
          <cell r="C45" t="str">
            <v>Store Closings</v>
          </cell>
          <cell r="D45">
            <v>22</v>
          </cell>
          <cell r="E45">
            <v>20</v>
          </cell>
          <cell r="F45">
            <v>18</v>
          </cell>
          <cell r="G45">
            <v>73</v>
          </cell>
          <cell r="H45">
            <v>75</v>
          </cell>
          <cell r="I45">
            <v>95</v>
          </cell>
          <cell r="J45">
            <v>130</v>
          </cell>
          <cell r="K45">
            <v>158</v>
          </cell>
          <cell r="L45">
            <v>139</v>
          </cell>
          <cell r="M45">
            <v>116</v>
          </cell>
          <cell r="N45">
            <v>178</v>
          </cell>
          <cell r="O45">
            <v>119</v>
          </cell>
          <cell r="P45">
            <v>101</v>
          </cell>
          <cell r="Q45">
            <v>98</v>
          </cell>
          <cell r="R45">
            <v>98</v>
          </cell>
          <cell r="S45">
            <v>89</v>
          </cell>
          <cell r="T45">
            <v>80</v>
          </cell>
          <cell r="U45">
            <v>53</v>
          </cell>
          <cell r="V45">
            <v>170</v>
          </cell>
        </row>
        <row r="46">
          <cell r="C46" t="str">
            <v>Stores Up for Negotiation as a % of Total</v>
          </cell>
          <cell r="T46">
            <v>0.15</v>
          </cell>
          <cell r="U46">
            <v>0.15</v>
          </cell>
          <cell r="V46">
            <v>0.15</v>
          </cell>
          <cell r="W46">
            <v>0.44999999999999996</v>
          </cell>
        </row>
        <row r="47">
          <cell r="C47" t="str">
            <v>Gross Square Footage</v>
          </cell>
          <cell r="D47">
            <v>15.312700000000001</v>
          </cell>
          <cell r="E47">
            <v>18.757000000000001</v>
          </cell>
          <cell r="F47">
            <v>23.978099999999998</v>
          </cell>
          <cell r="G47">
            <v>31.373437000000003</v>
          </cell>
          <cell r="H47">
            <v>36.333391999999996</v>
          </cell>
          <cell r="I47">
            <v>37.251519999999999</v>
          </cell>
          <cell r="J47">
            <v>36.518203999999997</v>
          </cell>
          <cell r="K47">
            <v>36.590928999999996</v>
          </cell>
          <cell r="L47">
            <v>37.765228999999998</v>
          </cell>
          <cell r="M47">
            <v>38.9</v>
          </cell>
          <cell r="N47">
            <v>39.6</v>
          </cell>
          <cell r="O47">
            <v>39.5</v>
          </cell>
          <cell r="P47">
            <v>38.799999999999997</v>
          </cell>
          <cell r="Q47">
            <v>38.200000000000003</v>
          </cell>
          <cell r="R47">
            <v>37.200000000000003</v>
          </cell>
          <cell r="S47">
            <v>36.9</v>
          </cell>
          <cell r="T47">
            <v>37.199999999999996</v>
          </cell>
          <cell r="U47">
            <v>38.010000000000005</v>
          </cell>
          <cell r="V47">
            <v>37.9</v>
          </cell>
        </row>
        <row r="48">
          <cell r="B48" t="str">
            <v>JCG</v>
          </cell>
          <cell r="C48" t="str">
            <v>End of Year # Stores</v>
          </cell>
          <cell r="F48">
            <v>123</v>
          </cell>
          <cell r="G48">
            <v>146</v>
          </cell>
          <cell r="H48">
            <v>177</v>
          </cell>
          <cell r="I48">
            <v>194</v>
          </cell>
          <cell r="J48">
            <v>196</v>
          </cell>
          <cell r="K48">
            <v>197</v>
          </cell>
          <cell r="L48">
            <v>203</v>
          </cell>
          <cell r="M48">
            <v>227</v>
          </cell>
          <cell r="N48">
            <v>260</v>
          </cell>
          <cell r="O48">
            <v>300</v>
          </cell>
          <cell r="P48">
            <v>321</v>
          </cell>
          <cell r="Q48">
            <v>335</v>
          </cell>
          <cell r="R48">
            <v>366</v>
          </cell>
          <cell r="S48">
            <v>400</v>
          </cell>
          <cell r="T48">
            <v>435</v>
          </cell>
          <cell r="U48">
            <v>471</v>
          </cell>
          <cell r="V48">
            <v>8.88624888199654</v>
          </cell>
          <cell r="W48" t="str">
            <v xml:space="preserve">Est. Renewal + New </v>
          </cell>
        </row>
        <row r="49">
          <cell r="C49" t="str">
            <v>New Store Openings</v>
          </cell>
          <cell r="F49">
            <v>13</v>
          </cell>
          <cell r="G49">
            <v>23</v>
          </cell>
          <cell r="H49">
            <v>31</v>
          </cell>
          <cell r="I49">
            <v>17</v>
          </cell>
          <cell r="J49">
            <v>2</v>
          </cell>
          <cell r="K49">
            <v>1</v>
          </cell>
          <cell r="L49">
            <v>6</v>
          </cell>
          <cell r="M49">
            <v>24</v>
          </cell>
          <cell r="N49">
            <v>33</v>
          </cell>
          <cell r="O49">
            <v>40</v>
          </cell>
          <cell r="P49">
            <v>21</v>
          </cell>
          <cell r="Q49">
            <v>14</v>
          </cell>
          <cell r="R49">
            <v>31</v>
          </cell>
          <cell r="S49">
            <v>34</v>
          </cell>
          <cell r="T49">
            <v>35</v>
          </cell>
          <cell r="U49">
            <v>36</v>
          </cell>
          <cell r="W49" t="str">
            <v>Stores as % of Total</v>
          </cell>
        </row>
        <row r="50">
          <cell r="C50" t="str">
            <v xml:space="preserve">Stores Up for Negotation as a % of Total </v>
          </cell>
          <cell r="S50">
            <v>0.1275</v>
          </cell>
          <cell r="T50">
            <v>8.5057471264367815E-2</v>
          </cell>
          <cell r="U50">
            <v>7.8556263269639062E-2</v>
          </cell>
          <cell r="W50">
            <v>0.16361373453400688</v>
          </cell>
        </row>
        <row r="51">
          <cell r="B51" t="str">
            <v>KORS</v>
          </cell>
          <cell r="C51" t="str">
            <v>End of Year # Stores</v>
          </cell>
          <cell r="D51">
            <v>0</v>
          </cell>
          <cell r="E51">
            <v>0</v>
          </cell>
          <cell r="F51">
            <v>0</v>
          </cell>
          <cell r="G51">
            <v>0</v>
          </cell>
          <cell r="H51">
            <v>0</v>
          </cell>
          <cell r="I51">
            <v>0</v>
          </cell>
          <cell r="J51">
            <v>0</v>
          </cell>
          <cell r="K51">
            <v>0</v>
          </cell>
          <cell r="L51">
            <v>0</v>
          </cell>
          <cell r="M51">
            <v>0</v>
          </cell>
          <cell r="N51">
            <v>0</v>
          </cell>
          <cell r="O51">
            <v>74</v>
          </cell>
          <cell r="P51">
            <v>74</v>
          </cell>
          <cell r="Q51">
            <v>106</v>
          </cell>
          <cell r="R51">
            <v>166</v>
          </cell>
          <cell r="S51">
            <v>237</v>
          </cell>
          <cell r="T51">
            <v>303</v>
          </cell>
          <cell r="U51">
            <v>405</v>
          </cell>
          <cell r="V51">
            <v>526</v>
          </cell>
          <cell r="W51" t="str">
            <v xml:space="preserve">Est. Renewal + New </v>
          </cell>
        </row>
        <row r="52">
          <cell r="C52" t="str">
            <v>New Store Openings</v>
          </cell>
          <cell r="D52">
            <v>0</v>
          </cell>
          <cell r="E52">
            <v>0</v>
          </cell>
          <cell r="F52">
            <v>0</v>
          </cell>
          <cell r="G52">
            <v>0</v>
          </cell>
          <cell r="H52">
            <v>0</v>
          </cell>
          <cell r="I52">
            <v>0</v>
          </cell>
          <cell r="J52">
            <v>0</v>
          </cell>
          <cell r="K52">
            <v>0</v>
          </cell>
          <cell r="L52">
            <v>0</v>
          </cell>
          <cell r="M52">
            <v>0</v>
          </cell>
          <cell r="N52">
            <v>0</v>
          </cell>
          <cell r="O52">
            <v>74</v>
          </cell>
          <cell r="P52">
            <v>0</v>
          </cell>
          <cell r="Q52">
            <v>32</v>
          </cell>
          <cell r="R52">
            <v>60</v>
          </cell>
          <cell r="S52">
            <v>71</v>
          </cell>
          <cell r="T52">
            <v>66</v>
          </cell>
          <cell r="U52">
            <v>102</v>
          </cell>
          <cell r="V52">
            <v>121</v>
          </cell>
          <cell r="W52" t="str">
            <v>Stores as % of Total</v>
          </cell>
        </row>
        <row r="53">
          <cell r="C53" t="str">
            <v>Store Closings</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row>
        <row r="54">
          <cell r="C54" t="str">
            <v xml:space="preserve">Stores Up for Negotation as a % of Total </v>
          </cell>
          <cell r="T54">
            <v>0.21782178217821782</v>
          </cell>
          <cell r="U54">
            <v>0.25185185185185183</v>
          </cell>
          <cell r="V54">
            <v>0.23003802281368821</v>
          </cell>
          <cell r="W54">
            <v>0.69971165684375791</v>
          </cell>
        </row>
        <row r="55">
          <cell r="C55" t="str">
            <v>Gross Square Footage</v>
          </cell>
          <cell r="D55">
            <v>0</v>
          </cell>
          <cell r="E55">
            <v>0</v>
          </cell>
          <cell r="F55">
            <v>0</v>
          </cell>
          <cell r="G55">
            <v>0</v>
          </cell>
          <cell r="H55">
            <v>0</v>
          </cell>
          <cell r="I55">
            <v>0</v>
          </cell>
          <cell r="J55">
            <v>0</v>
          </cell>
          <cell r="K55">
            <v>0</v>
          </cell>
          <cell r="L55">
            <v>0</v>
          </cell>
          <cell r="M55">
            <v>0</v>
          </cell>
          <cell r="N55">
            <v>0</v>
          </cell>
          <cell r="O55">
            <v>0</v>
          </cell>
          <cell r="P55">
            <v>4.3243243243243248E-4</v>
          </cell>
          <cell r="Q55">
            <v>5.6603773584905674E-4</v>
          </cell>
          <cell r="R55">
            <v>4.2771084337349396E-4</v>
          </cell>
          <cell r="S55">
            <v>2.8270042194092836E-4</v>
          </cell>
          <cell r="T55">
            <v>3.3223684210526304E-4</v>
          </cell>
          <cell r="U55">
            <v>2.987654320987654E-4</v>
          </cell>
          <cell r="V55">
            <v>2.1482889733840293E-4</v>
          </cell>
        </row>
        <row r="56">
          <cell r="B56" t="str">
            <v>LTD</v>
          </cell>
          <cell r="C56" t="str">
            <v>End of Year # Stores</v>
          </cell>
          <cell r="D56">
            <v>5640</v>
          </cell>
          <cell r="E56">
            <v>5382</v>
          </cell>
          <cell r="F56">
            <v>5023</v>
          </cell>
          <cell r="G56">
            <v>5129</v>
          </cell>
          <cell r="H56">
            <v>4614</v>
          </cell>
          <cell r="I56">
            <v>4036</v>
          </cell>
          <cell r="J56">
            <v>3911</v>
          </cell>
          <cell r="K56">
            <v>3779</v>
          </cell>
          <cell r="L56">
            <v>3590</v>
          </cell>
          <cell r="M56">
            <v>3766</v>
          </cell>
          <cell r="N56">
            <v>2926</v>
          </cell>
          <cell r="O56">
            <v>3014</v>
          </cell>
          <cell r="P56">
            <v>2971</v>
          </cell>
          <cell r="Q56">
            <v>2968</v>
          </cell>
          <cell r="R56">
            <v>2941</v>
          </cell>
          <cell r="S56">
            <v>2876</v>
          </cell>
          <cell r="T56">
            <v>2908</v>
          </cell>
          <cell r="U56">
            <v>2916</v>
          </cell>
          <cell r="V56">
            <v>2935</v>
          </cell>
          <cell r="W56" t="str">
            <v xml:space="preserve">Est. Renewal + New </v>
          </cell>
        </row>
        <row r="57">
          <cell r="C57" t="str">
            <v>New Store Openings</v>
          </cell>
          <cell r="D57">
            <v>315</v>
          </cell>
          <cell r="E57">
            <v>251</v>
          </cell>
          <cell r="F57">
            <v>295</v>
          </cell>
          <cell r="G57">
            <v>330</v>
          </cell>
          <cell r="H57">
            <v>282</v>
          </cell>
          <cell r="I57">
            <v>108</v>
          </cell>
          <cell r="J57">
            <v>25</v>
          </cell>
          <cell r="K57">
            <v>39</v>
          </cell>
          <cell r="L57">
            <v>50</v>
          </cell>
          <cell r="M57">
            <v>343</v>
          </cell>
          <cell r="N57">
            <v>129</v>
          </cell>
          <cell r="O57">
            <v>146</v>
          </cell>
          <cell r="P57">
            <v>59</v>
          </cell>
          <cell r="Q57">
            <v>43</v>
          </cell>
          <cell r="R57">
            <v>40</v>
          </cell>
          <cell r="S57">
            <v>48</v>
          </cell>
          <cell r="T57">
            <v>80</v>
          </cell>
          <cell r="U57">
            <v>55</v>
          </cell>
          <cell r="V57">
            <v>55</v>
          </cell>
          <cell r="W57" t="str">
            <v>Stores as % of Total</v>
          </cell>
        </row>
        <row r="58">
          <cell r="C58" t="str">
            <v>Store Closings</v>
          </cell>
          <cell r="D58">
            <v>304</v>
          </cell>
          <cell r="E58">
            <v>350</v>
          </cell>
          <cell r="F58">
            <v>303</v>
          </cell>
          <cell r="G58">
            <v>224</v>
          </cell>
          <cell r="H58">
            <v>146</v>
          </cell>
          <cell r="I58">
            <v>174</v>
          </cell>
          <cell r="J58">
            <v>150</v>
          </cell>
          <cell r="K58">
            <v>171</v>
          </cell>
          <cell r="L58">
            <v>239.00000000000006</v>
          </cell>
          <cell r="M58">
            <v>167</v>
          </cell>
          <cell r="N58">
            <v>45</v>
          </cell>
          <cell r="O58">
            <v>58</v>
          </cell>
          <cell r="P58">
            <v>102</v>
          </cell>
          <cell r="Q58">
            <v>46</v>
          </cell>
          <cell r="R58">
            <v>67</v>
          </cell>
          <cell r="S58">
            <v>113</v>
          </cell>
          <cell r="T58">
            <v>48</v>
          </cell>
          <cell r="U58">
            <v>47</v>
          </cell>
          <cell r="V58">
            <v>47</v>
          </cell>
        </row>
        <row r="59">
          <cell r="C59" t="str">
            <v xml:space="preserve">Stores Up for Negotation as a % of Total </v>
          </cell>
          <cell r="T59">
            <v>3.6107290233837692E-2</v>
          </cell>
          <cell r="U59">
            <v>3.2235939643347047E-2</v>
          </cell>
          <cell r="V59">
            <v>3.5775127768313458E-2</v>
          </cell>
          <cell r="W59">
            <v>0.10411835764549821</v>
          </cell>
        </row>
        <row r="60">
          <cell r="C60" t="str">
            <v>Gross Square Footage</v>
          </cell>
          <cell r="D60">
            <v>35.499999999999993</v>
          </cell>
          <cell r="E60">
            <v>32.894999999999996</v>
          </cell>
          <cell r="F60">
            <v>29.49</v>
          </cell>
          <cell r="G60">
            <v>29.029999999999998</v>
          </cell>
          <cell r="H60">
            <v>25.182499999999997</v>
          </cell>
          <cell r="I60">
            <v>20.371249999999996</v>
          </cell>
          <cell r="J60">
            <v>20.047499999999999</v>
          </cell>
          <cell r="K60">
            <v>19.751249999999999</v>
          </cell>
          <cell r="L60">
            <v>19.165000000000003</v>
          </cell>
          <cell r="M60">
            <v>18.463750000000001</v>
          </cell>
          <cell r="N60">
            <v>12.887499999999999</v>
          </cell>
          <cell r="O60">
            <v>13.622499999999999</v>
          </cell>
          <cell r="P60">
            <v>13.667499999999999</v>
          </cell>
          <cell r="Q60">
            <v>13.718749999999998</v>
          </cell>
          <cell r="R60">
            <v>13.6775</v>
          </cell>
          <cell r="S60">
            <v>13.561249999999999</v>
          </cell>
          <cell r="T60">
            <v>13.947499999999996</v>
          </cell>
          <cell r="U60">
            <v>14.401160365690101</v>
          </cell>
          <cell r="V60">
            <v>14.66540513551724</v>
          </cell>
        </row>
        <row r="61">
          <cell r="B61" t="str">
            <v>LULU</v>
          </cell>
          <cell r="C61" t="str">
            <v>End of Year # Stores</v>
          </cell>
          <cell r="D61">
            <v>0</v>
          </cell>
          <cell r="E61">
            <v>0</v>
          </cell>
          <cell r="F61">
            <v>0</v>
          </cell>
          <cell r="G61">
            <v>0</v>
          </cell>
          <cell r="H61">
            <v>0</v>
          </cell>
          <cell r="I61">
            <v>12</v>
          </cell>
          <cell r="J61">
            <v>17</v>
          </cell>
          <cell r="K61">
            <v>24</v>
          </cell>
          <cell r="L61">
            <v>12</v>
          </cell>
          <cell r="M61">
            <v>7</v>
          </cell>
          <cell r="N61">
            <v>7</v>
          </cell>
          <cell r="O61">
            <v>5</v>
          </cell>
          <cell r="P61">
            <v>0</v>
          </cell>
          <cell r="Q61">
            <v>0</v>
          </cell>
          <cell r="R61">
            <v>0</v>
          </cell>
          <cell r="S61">
            <v>1</v>
          </cell>
          <cell r="T61">
            <v>2</v>
          </cell>
          <cell r="U61">
            <v>1</v>
          </cell>
          <cell r="V61">
            <v>1</v>
          </cell>
          <cell r="W61" t="str">
            <v xml:space="preserve">Est. Renewal + New </v>
          </cell>
        </row>
        <row r="62">
          <cell r="C62" t="str">
            <v>New Store Openings</v>
          </cell>
          <cell r="D62">
            <v>0</v>
          </cell>
          <cell r="E62">
            <v>0</v>
          </cell>
          <cell r="F62">
            <v>0</v>
          </cell>
          <cell r="G62">
            <v>0</v>
          </cell>
          <cell r="H62">
            <v>0</v>
          </cell>
          <cell r="I62">
            <v>12</v>
          </cell>
          <cell r="J62">
            <v>5</v>
          </cell>
          <cell r="K62">
            <v>7</v>
          </cell>
          <cell r="L62">
            <v>-12</v>
          </cell>
          <cell r="M62">
            <v>-5</v>
          </cell>
          <cell r="N62">
            <v>0</v>
          </cell>
          <cell r="O62">
            <v>-1</v>
          </cell>
          <cell r="P62">
            <v>-4</v>
          </cell>
          <cell r="Q62">
            <v>1</v>
          </cell>
          <cell r="R62">
            <v>1</v>
          </cell>
          <cell r="S62">
            <v>2</v>
          </cell>
          <cell r="T62">
            <v>2</v>
          </cell>
          <cell r="U62">
            <v>0</v>
          </cell>
          <cell r="V62">
            <v>1</v>
          </cell>
          <cell r="W62" t="str">
            <v>Stores as % of Total</v>
          </cell>
        </row>
        <row r="63">
          <cell r="C63" t="str">
            <v>Store Closings</v>
          </cell>
          <cell r="G63">
            <v>0</v>
          </cell>
          <cell r="H63">
            <v>0</v>
          </cell>
          <cell r="I63">
            <v>0</v>
          </cell>
          <cell r="J63">
            <v>0</v>
          </cell>
          <cell r="K63">
            <v>0</v>
          </cell>
          <cell r="L63">
            <v>0</v>
          </cell>
          <cell r="M63">
            <v>0</v>
          </cell>
          <cell r="N63">
            <v>0</v>
          </cell>
          <cell r="O63">
            <v>1</v>
          </cell>
          <cell r="P63">
            <v>1</v>
          </cell>
          <cell r="Q63">
            <v>1</v>
          </cell>
          <cell r="R63">
            <v>1</v>
          </cell>
          <cell r="S63">
            <v>1</v>
          </cell>
          <cell r="T63">
            <v>1</v>
          </cell>
          <cell r="U63">
            <v>1</v>
          </cell>
          <cell r="V63">
            <v>1</v>
          </cell>
        </row>
        <row r="64">
          <cell r="C64" t="str">
            <v xml:space="preserve">Stores Up for Negotation as a % of Total </v>
          </cell>
          <cell r="T64">
            <v>3.5</v>
          </cell>
          <cell r="U64">
            <v>7</v>
          </cell>
          <cell r="V64">
            <v>-11</v>
          </cell>
          <cell r="W64">
            <v>-0.5</v>
          </cell>
        </row>
        <row r="65">
          <cell r="C65" t="str">
            <v>Gross Square Footage</v>
          </cell>
          <cell r="F65" t="str">
            <v>NA</v>
          </cell>
          <cell r="G65" t="str">
            <v>NA</v>
          </cell>
          <cell r="H65" t="str">
            <v>NA</v>
          </cell>
          <cell r="I65" t="str">
            <v>NA</v>
          </cell>
          <cell r="J65" t="str">
            <v>NA</v>
          </cell>
          <cell r="K65" t="str">
            <v>NA</v>
          </cell>
          <cell r="L65">
            <v>0</v>
          </cell>
          <cell r="M65">
            <v>0</v>
          </cell>
          <cell r="N65">
            <v>0</v>
          </cell>
          <cell r="O65">
            <v>0</v>
          </cell>
          <cell r="P65">
            <v>0</v>
          </cell>
          <cell r="Q65">
            <v>0</v>
          </cell>
          <cell r="R65">
            <v>0</v>
          </cell>
          <cell r="S65">
            <v>0</v>
          </cell>
          <cell r="T65">
            <v>0</v>
          </cell>
          <cell r="U65">
            <v>0</v>
          </cell>
          <cell r="V65">
            <v>0</v>
          </cell>
        </row>
        <row r="66">
          <cell r="B66" t="str">
            <v>PLCE</v>
          </cell>
          <cell r="C66" t="str">
            <v>End of Year # Stores</v>
          </cell>
          <cell r="D66">
            <v>155</v>
          </cell>
          <cell r="E66">
            <v>209</v>
          </cell>
          <cell r="F66">
            <v>293</v>
          </cell>
          <cell r="G66">
            <v>400</v>
          </cell>
          <cell r="H66">
            <v>520</v>
          </cell>
          <cell r="I66">
            <v>643</v>
          </cell>
          <cell r="J66">
            <v>691</v>
          </cell>
          <cell r="K66">
            <v>750</v>
          </cell>
          <cell r="L66">
            <v>802</v>
          </cell>
          <cell r="M66">
            <v>866</v>
          </cell>
          <cell r="N66">
            <v>904</v>
          </cell>
          <cell r="O66">
            <v>917</v>
          </cell>
          <cell r="P66">
            <v>947</v>
          </cell>
          <cell r="Q66">
            <v>995</v>
          </cell>
          <cell r="R66">
            <v>1049</v>
          </cell>
          <cell r="S66">
            <v>1095</v>
          </cell>
          <cell r="T66">
            <v>1140</v>
          </cell>
          <cell r="U66">
            <v>1112</v>
          </cell>
          <cell r="V66">
            <v>1092</v>
          </cell>
          <cell r="W66" t="str">
            <v xml:space="preserve">Est. Renewal + New </v>
          </cell>
        </row>
        <row r="67">
          <cell r="C67" t="str">
            <v>New Store Openings</v>
          </cell>
          <cell r="D67">
            <v>47</v>
          </cell>
          <cell r="E67">
            <v>54</v>
          </cell>
          <cell r="F67">
            <v>84</v>
          </cell>
          <cell r="G67">
            <v>108</v>
          </cell>
          <cell r="H67">
            <v>121</v>
          </cell>
          <cell r="I67">
            <v>126</v>
          </cell>
          <cell r="J67">
            <v>53</v>
          </cell>
          <cell r="K67">
            <v>62</v>
          </cell>
          <cell r="L67">
            <v>70</v>
          </cell>
          <cell r="M67">
            <v>88</v>
          </cell>
          <cell r="N67">
            <v>69</v>
          </cell>
          <cell r="O67">
            <v>40</v>
          </cell>
          <cell r="P67">
            <v>45</v>
          </cell>
          <cell r="Q67">
            <v>67</v>
          </cell>
          <cell r="R67">
            <v>88</v>
          </cell>
          <cell r="S67">
            <v>64</v>
          </cell>
          <cell r="T67">
            <v>50</v>
          </cell>
          <cell r="U67">
            <v>35</v>
          </cell>
          <cell r="V67">
            <v>0</v>
          </cell>
          <cell r="W67" t="str">
            <v>Stores as % of Total</v>
          </cell>
        </row>
        <row r="68">
          <cell r="C68" t="str">
            <v>Store Closings</v>
          </cell>
          <cell r="D68">
            <v>0</v>
          </cell>
          <cell r="E68">
            <v>0</v>
          </cell>
          <cell r="F68">
            <v>0</v>
          </cell>
          <cell r="G68">
            <v>1</v>
          </cell>
          <cell r="H68">
            <v>1</v>
          </cell>
          <cell r="I68">
            <v>3</v>
          </cell>
          <cell r="J68">
            <v>5</v>
          </cell>
          <cell r="K68">
            <v>3</v>
          </cell>
          <cell r="L68">
            <v>7</v>
          </cell>
          <cell r="M68">
            <v>13</v>
          </cell>
          <cell r="N68">
            <v>24</v>
          </cell>
          <cell r="O68">
            <v>14</v>
          </cell>
          <cell r="P68">
            <v>6</v>
          </cell>
          <cell r="Q68">
            <v>19</v>
          </cell>
          <cell r="R68">
            <v>34</v>
          </cell>
          <cell r="S68">
            <v>18</v>
          </cell>
          <cell r="T68">
            <v>38</v>
          </cell>
          <cell r="U68">
            <v>30</v>
          </cell>
          <cell r="V68">
            <v>20</v>
          </cell>
        </row>
        <row r="69">
          <cell r="C69" t="str">
            <v xml:space="preserve">Stores Up for Negotation as a % of Total </v>
          </cell>
          <cell r="T69">
            <v>0.13333333333333333</v>
          </cell>
          <cell r="U69">
            <v>0.13333333333333333</v>
          </cell>
          <cell r="V69">
            <v>0.13333333333333333</v>
          </cell>
          <cell r="W69">
            <v>0.4</v>
          </cell>
        </row>
        <row r="70">
          <cell r="C70" t="str">
            <v>Gross Square Footage</v>
          </cell>
          <cell r="D70">
            <v>0.63906499999999999</v>
          </cell>
          <cell r="E70">
            <v>0.84749499999999989</v>
          </cell>
          <cell r="F70">
            <v>1.2130000000000001</v>
          </cell>
          <cell r="G70">
            <v>1.6679999999999999</v>
          </cell>
          <cell r="H70">
            <v>2.2400000000000002</v>
          </cell>
          <cell r="I70">
            <v>2.8340000000000001</v>
          </cell>
          <cell r="J70">
            <v>3.081</v>
          </cell>
          <cell r="K70">
            <v>3.3959999999999999</v>
          </cell>
          <cell r="L70">
            <v>3.6379999999999999</v>
          </cell>
          <cell r="M70">
            <v>4.024</v>
          </cell>
          <cell r="N70">
            <v>4.2779999999999996</v>
          </cell>
          <cell r="O70">
            <v>4.5100509999999998</v>
          </cell>
          <cell r="P70">
            <v>4.7015260000000003</v>
          </cell>
          <cell r="Q70">
            <v>4.9186930000000002</v>
          </cell>
          <cell r="R70">
            <v>5.1427430000000003</v>
          </cell>
          <cell r="S70">
            <v>5.3267430000000004</v>
          </cell>
          <cell r="T70">
            <v>5.21</v>
          </cell>
          <cell r="U70">
            <v>5.2249999999999996</v>
          </cell>
          <cell r="V70">
            <v>5.165</v>
          </cell>
        </row>
        <row r="71">
          <cell r="B71" t="str">
            <v>ROST</v>
          </cell>
          <cell r="C71" t="str">
            <v>End of Year # Stores</v>
          </cell>
          <cell r="D71">
            <v>325</v>
          </cell>
          <cell r="E71">
            <v>349</v>
          </cell>
          <cell r="F71">
            <v>378</v>
          </cell>
          <cell r="G71">
            <v>409</v>
          </cell>
          <cell r="H71">
            <v>452</v>
          </cell>
          <cell r="I71">
            <v>507</v>
          </cell>
          <cell r="J71">
            <v>568</v>
          </cell>
          <cell r="K71">
            <v>649</v>
          </cell>
          <cell r="L71">
            <v>734</v>
          </cell>
          <cell r="M71">
            <v>797</v>
          </cell>
          <cell r="N71">
            <v>890</v>
          </cell>
          <cell r="O71">
            <v>956</v>
          </cell>
          <cell r="P71">
            <v>1005</v>
          </cell>
          <cell r="Q71">
            <v>1055</v>
          </cell>
          <cell r="R71">
            <v>1125</v>
          </cell>
          <cell r="S71">
            <v>1199</v>
          </cell>
          <cell r="T71">
            <v>1276</v>
          </cell>
          <cell r="U71">
            <v>1362</v>
          </cell>
          <cell r="V71">
            <v>1446</v>
          </cell>
          <cell r="W71" t="str">
            <v xml:space="preserve">Est. Renewal + New </v>
          </cell>
        </row>
        <row r="72">
          <cell r="C72" t="str">
            <v>New Store Openings</v>
          </cell>
          <cell r="D72">
            <v>17</v>
          </cell>
          <cell r="E72">
            <v>26</v>
          </cell>
          <cell r="F72">
            <v>34</v>
          </cell>
          <cell r="G72">
            <v>34</v>
          </cell>
          <cell r="H72">
            <v>45</v>
          </cell>
          <cell r="I72">
            <v>60</v>
          </cell>
          <cell r="J72">
            <v>66</v>
          </cell>
          <cell r="K72">
            <v>84</v>
          </cell>
          <cell r="L72">
            <v>86</v>
          </cell>
          <cell r="M72">
            <v>66</v>
          </cell>
          <cell r="N72">
            <v>97</v>
          </cell>
          <cell r="O72">
            <v>77</v>
          </cell>
          <cell r="P72">
            <v>56</v>
          </cell>
          <cell r="Q72">
            <v>56</v>
          </cell>
          <cell r="R72">
            <v>78</v>
          </cell>
          <cell r="S72">
            <v>82</v>
          </cell>
          <cell r="T72">
            <v>88</v>
          </cell>
          <cell r="U72">
            <v>95</v>
          </cell>
          <cell r="V72">
            <v>94</v>
          </cell>
          <cell r="W72" t="str">
            <v>Stores as % of Total</v>
          </cell>
        </row>
        <row r="73">
          <cell r="C73" t="str">
            <v>Store Closings</v>
          </cell>
          <cell r="D73">
            <v>1</v>
          </cell>
          <cell r="E73">
            <v>2</v>
          </cell>
          <cell r="F73">
            <v>5</v>
          </cell>
          <cell r="G73">
            <v>3</v>
          </cell>
          <cell r="H73">
            <v>2</v>
          </cell>
          <cell r="I73">
            <v>5</v>
          </cell>
          <cell r="J73">
            <v>5</v>
          </cell>
          <cell r="K73">
            <v>3</v>
          </cell>
          <cell r="L73">
            <v>1</v>
          </cell>
          <cell r="M73">
            <v>3</v>
          </cell>
          <cell r="N73">
            <v>4</v>
          </cell>
          <cell r="O73">
            <v>11</v>
          </cell>
          <cell r="P73">
            <v>7</v>
          </cell>
          <cell r="Q73">
            <v>6</v>
          </cell>
          <cell r="R73">
            <v>8</v>
          </cell>
          <cell r="S73">
            <v>8</v>
          </cell>
          <cell r="T73">
            <v>11</v>
          </cell>
          <cell r="U73">
            <v>9</v>
          </cell>
          <cell r="V73">
            <v>10</v>
          </cell>
        </row>
        <row r="74">
          <cell r="C74" t="str">
            <v xml:space="preserve">Stores Up for Negotation as a % of Total </v>
          </cell>
          <cell r="T74">
            <v>0.1206896551724138</v>
          </cell>
          <cell r="U74">
            <v>0.13142437591776798</v>
          </cell>
          <cell r="V74">
            <v>0.12448132780082988</v>
          </cell>
          <cell r="W74">
            <v>0.37659535889101164</v>
          </cell>
        </row>
        <row r="75">
          <cell r="C75" t="str">
            <v>Gross Square Footage</v>
          </cell>
          <cell r="D75">
            <v>8.9644999999999975</v>
          </cell>
          <cell r="E75">
            <v>9.7712500000000002</v>
          </cell>
          <cell r="F75">
            <v>10.692499999999999</v>
          </cell>
          <cell r="G75">
            <v>11.6625</v>
          </cell>
          <cell r="H75">
            <v>13.104999999999999</v>
          </cell>
          <cell r="I75">
            <v>14.803749999999999</v>
          </cell>
          <cell r="J75">
            <v>16.651249999999997</v>
          </cell>
          <cell r="K75">
            <v>19.06625</v>
          </cell>
          <cell r="L75">
            <v>21.648749999999996</v>
          </cell>
          <cell r="M75">
            <v>23.302499999999998</v>
          </cell>
          <cell r="N75">
            <v>26.375</v>
          </cell>
          <cell r="O75">
            <v>28.125</v>
          </cell>
          <cell r="P75">
            <v>29.624999999999996</v>
          </cell>
          <cell r="Q75">
            <v>31</v>
          </cell>
          <cell r="R75">
            <v>32.952300000000001</v>
          </cell>
          <cell r="S75">
            <v>35.0105</v>
          </cell>
          <cell r="T75">
            <v>37.084000000000003</v>
          </cell>
          <cell r="U75">
            <v>39.442000000000007</v>
          </cell>
          <cell r="V75">
            <v>41.742400000000011</v>
          </cell>
        </row>
        <row r="76">
          <cell r="B76" t="str">
            <v>TEA</v>
          </cell>
          <cell r="C76" t="str">
            <v>End of Year # Stores</v>
          </cell>
          <cell r="D76">
            <v>0</v>
          </cell>
          <cell r="E76">
            <v>0</v>
          </cell>
          <cell r="F76">
            <v>0</v>
          </cell>
          <cell r="G76">
            <v>0</v>
          </cell>
          <cell r="H76">
            <v>0</v>
          </cell>
          <cell r="I76">
            <v>0</v>
          </cell>
          <cell r="J76">
            <v>0</v>
          </cell>
          <cell r="K76">
            <v>0</v>
          </cell>
          <cell r="L76">
            <v>0</v>
          </cell>
          <cell r="M76">
            <v>47</v>
          </cell>
          <cell r="N76">
            <v>59</v>
          </cell>
          <cell r="O76">
            <v>87</v>
          </cell>
          <cell r="P76">
            <v>108</v>
          </cell>
          <cell r="Q76">
            <v>146</v>
          </cell>
          <cell r="R76">
            <v>200</v>
          </cell>
          <cell r="S76">
            <v>306</v>
          </cell>
          <cell r="T76">
            <v>386</v>
          </cell>
          <cell r="U76">
            <v>466</v>
          </cell>
          <cell r="V76">
            <v>546</v>
          </cell>
          <cell r="W76" t="str">
            <v xml:space="preserve">Est. Renewal + New </v>
          </cell>
        </row>
        <row r="77">
          <cell r="C77" t="str">
            <v>New Store Openings</v>
          </cell>
          <cell r="D77">
            <v>0</v>
          </cell>
          <cell r="E77">
            <v>0</v>
          </cell>
          <cell r="F77">
            <v>0</v>
          </cell>
          <cell r="G77">
            <v>0</v>
          </cell>
          <cell r="H77">
            <v>0</v>
          </cell>
          <cell r="I77">
            <v>0</v>
          </cell>
          <cell r="J77">
            <v>0</v>
          </cell>
          <cell r="K77">
            <v>0</v>
          </cell>
          <cell r="L77">
            <v>0</v>
          </cell>
          <cell r="M77">
            <v>47</v>
          </cell>
          <cell r="N77">
            <v>12</v>
          </cell>
          <cell r="O77">
            <v>28</v>
          </cell>
          <cell r="P77">
            <v>21</v>
          </cell>
          <cell r="Q77">
            <v>38</v>
          </cell>
          <cell r="R77">
            <v>54</v>
          </cell>
          <cell r="S77">
            <v>106</v>
          </cell>
          <cell r="T77">
            <v>80</v>
          </cell>
          <cell r="U77">
            <v>80</v>
          </cell>
          <cell r="V77">
            <v>80</v>
          </cell>
          <cell r="W77" t="str">
            <v>Stores as % of Total</v>
          </cell>
        </row>
        <row r="78">
          <cell r="C78" t="str">
            <v>Store Closings</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row>
        <row r="79">
          <cell r="C79" t="str">
            <v xml:space="preserve">Stores Up for Negotation as a % of Total </v>
          </cell>
          <cell r="T79">
            <v>0.20725388601036268</v>
          </cell>
          <cell r="U79">
            <v>0.17167381974248927</v>
          </cell>
          <cell r="V79">
            <v>0.14652014652014653</v>
          </cell>
          <cell r="W79">
            <v>0.52544785227299851</v>
          </cell>
        </row>
        <row r="80">
          <cell r="C80" t="str">
            <v>Gross Square Footage</v>
          </cell>
          <cell r="D80">
            <v>0</v>
          </cell>
          <cell r="E80">
            <v>0</v>
          </cell>
          <cell r="F80">
            <v>0</v>
          </cell>
          <cell r="G80">
            <v>0</v>
          </cell>
          <cell r="H80">
            <v>0</v>
          </cell>
          <cell r="I80">
            <v>0</v>
          </cell>
          <cell r="J80">
            <v>0</v>
          </cell>
          <cell r="K80">
            <v>0</v>
          </cell>
          <cell r="L80">
            <v>0</v>
          </cell>
          <cell r="M80">
            <v>4.2999999999999997E-2</v>
          </cell>
          <cell r="N80">
            <v>5.3999999999999999E-2</v>
          </cell>
          <cell r="O80">
            <v>7.6999999999999999E-2</v>
          </cell>
          <cell r="P80">
            <v>9.5000000000000001E-2</v>
          </cell>
          <cell r="Q80">
            <v>0.13</v>
          </cell>
          <cell r="R80">
            <v>0.18021999999999999</v>
          </cell>
          <cell r="S80">
            <v>0.27879999999999999</v>
          </cell>
          <cell r="T80">
            <v>0.35320000000000007</v>
          </cell>
          <cell r="U80">
            <v>0.42760000000000004</v>
          </cell>
          <cell r="V80">
            <v>0.502</v>
          </cell>
        </row>
        <row r="81">
          <cell r="B81" t="str">
            <v>TIF</v>
          </cell>
          <cell r="C81" t="str">
            <v>End of Year # Stores</v>
          </cell>
          <cell r="D81">
            <v>96</v>
          </cell>
          <cell r="E81">
            <v>104</v>
          </cell>
          <cell r="F81">
            <v>110</v>
          </cell>
          <cell r="G81">
            <v>119</v>
          </cell>
          <cell r="H81">
            <v>126</v>
          </cell>
          <cell r="I81">
            <v>131</v>
          </cell>
          <cell r="J81">
            <v>141</v>
          </cell>
          <cell r="K81">
            <v>151</v>
          </cell>
          <cell r="L81">
            <v>154</v>
          </cell>
          <cell r="M81">
            <v>167</v>
          </cell>
          <cell r="N81">
            <v>184</v>
          </cell>
          <cell r="O81">
            <v>210</v>
          </cell>
          <cell r="P81">
            <v>224</v>
          </cell>
          <cell r="Q81">
            <v>233</v>
          </cell>
          <cell r="R81">
            <v>248</v>
          </cell>
          <cell r="S81">
            <v>276</v>
          </cell>
          <cell r="T81">
            <v>298</v>
          </cell>
          <cell r="U81">
            <v>295</v>
          </cell>
          <cell r="V81">
            <v>307</v>
          </cell>
          <cell r="W81" t="str">
            <v xml:space="preserve">Est. Renewal + New </v>
          </cell>
        </row>
        <row r="82">
          <cell r="C82" t="str">
            <v>New Store Openings</v>
          </cell>
          <cell r="D82">
            <v>15</v>
          </cell>
          <cell r="E82">
            <v>8</v>
          </cell>
          <cell r="F82">
            <v>6</v>
          </cell>
          <cell r="G82">
            <v>9</v>
          </cell>
          <cell r="H82">
            <v>7</v>
          </cell>
          <cell r="I82">
            <v>6</v>
          </cell>
          <cell r="J82">
            <v>10</v>
          </cell>
          <cell r="K82">
            <v>10</v>
          </cell>
          <cell r="L82">
            <v>6</v>
          </cell>
          <cell r="M82">
            <v>13</v>
          </cell>
          <cell r="N82">
            <v>17</v>
          </cell>
          <cell r="O82">
            <v>22</v>
          </cell>
          <cell r="P82">
            <v>14</v>
          </cell>
          <cell r="Q82">
            <v>10</v>
          </cell>
          <cell r="R82">
            <v>15</v>
          </cell>
          <cell r="S82">
            <v>28</v>
          </cell>
          <cell r="T82">
            <v>22</v>
          </cell>
          <cell r="U82">
            <v>6</v>
          </cell>
          <cell r="V82">
            <v>12</v>
          </cell>
          <cell r="W82" t="str">
            <v>Stores as % of Total</v>
          </cell>
        </row>
        <row r="83">
          <cell r="C83" t="str">
            <v>Store Closings</v>
          </cell>
          <cell r="D83">
            <v>0</v>
          </cell>
          <cell r="E83">
            <v>0</v>
          </cell>
          <cell r="F83">
            <v>0</v>
          </cell>
          <cell r="G83">
            <v>0</v>
          </cell>
          <cell r="H83">
            <v>0</v>
          </cell>
          <cell r="I83">
            <v>1</v>
          </cell>
          <cell r="J83">
            <v>0</v>
          </cell>
          <cell r="K83">
            <v>0</v>
          </cell>
          <cell r="L83">
            <v>3</v>
          </cell>
          <cell r="M83">
            <v>0</v>
          </cell>
          <cell r="N83">
            <v>0</v>
          </cell>
          <cell r="O83">
            <v>0</v>
          </cell>
          <cell r="P83">
            <v>0</v>
          </cell>
          <cell r="Q83">
            <v>1</v>
          </cell>
          <cell r="R83">
            <v>0</v>
          </cell>
          <cell r="S83">
            <v>0</v>
          </cell>
          <cell r="T83">
            <v>0</v>
          </cell>
          <cell r="U83">
            <v>0</v>
          </cell>
          <cell r="V83">
            <v>0</v>
          </cell>
        </row>
        <row r="84">
          <cell r="C84" t="str">
            <v xml:space="preserve">Stores Up for Negotation as a % of Total </v>
          </cell>
          <cell r="T84">
            <v>0.10738255033557047</v>
          </cell>
          <cell r="U84">
            <v>5.4237288135593219E-2</v>
          </cell>
          <cell r="V84">
            <v>5.8631921824104233E-2</v>
          </cell>
          <cell r="W84">
            <v>0.22025176029526791</v>
          </cell>
        </row>
        <row r="85">
          <cell r="C85" t="str">
            <v>Gross Square Footage</v>
          </cell>
          <cell r="D85">
            <v>0.43045</v>
          </cell>
          <cell r="E85">
            <v>0.47145000000000004</v>
          </cell>
          <cell r="F85">
            <v>0.51644999999999996</v>
          </cell>
          <cell r="G85">
            <v>0.56045</v>
          </cell>
          <cell r="H85">
            <v>0.60899999999999999</v>
          </cell>
          <cell r="I85">
            <v>0.64200000000000002</v>
          </cell>
          <cell r="J85">
            <v>0.67199999999999993</v>
          </cell>
          <cell r="K85">
            <v>0.72500000000000009</v>
          </cell>
          <cell r="L85">
            <v>0.74500000000000011</v>
          </cell>
          <cell r="M85">
            <v>0.79200000000000004</v>
          </cell>
          <cell r="N85">
            <v>0.8600000000000001</v>
          </cell>
          <cell r="O85">
            <v>0.93500000000000005</v>
          </cell>
          <cell r="P85">
            <v>0.98220000000000007</v>
          </cell>
          <cell r="Q85">
            <v>1.0390999999999999</v>
          </cell>
          <cell r="R85">
            <v>1.0667</v>
          </cell>
          <cell r="S85">
            <v>1.1447499999999999</v>
          </cell>
          <cell r="T85">
            <v>1.1848999999999998</v>
          </cell>
          <cell r="U85">
            <v>1.2093999999999998</v>
          </cell>
          <cell r="V85">
            <v>1.2473999999999998</v>
          </cell>
        </row>
        <row r="86">
          <cell r="B86" t="str">
            <v>TJX</v>
          </cell>
          <cell r="C86" t="str">
            <v>End of Year # Stores</v>
          </cell>
          <cell r="D86">
            <v>1171</v>
          </cell>
          <cell r="E86">
            <v>1246</v>
          </cell>
          <cell r="F86">
            <v>1357</v>
          </cell>
          <cell r="G86">
            <v>1493</v>
          </cell>
          <cell r="H86">
            <v>1665</v>
          </cell>
          <cell r="I86">
            <v>1843</v>
          </cell>
          <cell r="J86">
            <v>2062</v>
          </cell>
          <cell r="K86">
            <v>2224</v>
          </cell>
          <cell r="L86">
            <v>2381</v>
          </cell>
          <cell r="M86">
            <v>2466</v>
          </cell>
          <cell r="N86">
            <v>2563</v>
          </cell>
          <cell r="O86">
            <v>2652</v>
          </cell>
          <cell r="P86">
            <v>2743</v>
          </cell>
          <cell r="Q86">
            <v>2859</v>
          </cell>
          <cell r="R86">
            <v>2905</v>
          </cell>
          <cell r="S86">
            <v>3050</v>
          </cell>
          <cell r="T86">
            <v>3219</v>
          </cell>
          <cell r="U86">
            <v>3395</v>
          </cell>
          <cell r="V86">
            <v>3614</v>
          </cell>
          <cell r="W86" t="str">
            <v xml:space="preserve">Est. Renewal + New </v>
          </cell>
        </row>
        <row r="87">
          <cell r="C87" t="str">
            <v>New Store Openings</v>
          </cell>
          <cell r="D87">
            <v>35</v>
          </cell>
          <cell r="E87">
            <v>75</v>
          </cell>
          <cell r="F87">
            <v>111</v>
          </cell>
          <cell r="G87">
            <v>136</v>
          </cell>
          <cell r="H87">
            <v>172</v>
          </cell>
          <cell r="I87">
            <v>178</v>
          </cell>
          <cell r="J87">
            <v>219</v>
          </cell>
          <cell r="K87">
            <v>162</v>
          </cell>
          <cell r="L87">
            <v>157</v>
          </cell>
          <cell r="M87">
            <v>85</v>
          </cell>
          <cell r="N87">
            <v>97</v>
          </cell>
          <cell r="O87">
            <v>123</v>
          </cell>
          <cell r="P87">
            <v>91</v>
          </cell>
          <cell r="Q87">
            <v>116</v>
          </cell>
          <cell r="R87">
            <v>46</v>
          </cell>
          <cell r="S87">
            <v>145</v>
          </cell>
          <cell r="T87">
            <v>169</v>
          </cell>
          <cell r="U87">
            <v>176</v>
          </cell>
          <cell r="V87">
            <v>219</v>
          </cell>
          <cell r="W87" t="str">
            <v>Stores as % of Total</v>
          </cell>
        </row>
        <row r="88">
          <cell r="C88" t="str">
            <v>Store Closings</v>
          </cell>
          <cell r="D88">
            <v>0</v>
          </cell>
          <cell r="E88">
            <v>0</v>
          </cell>
          <cell r="F88">
            <v>0</v>
          </cell>
          <cell r="G88">
            <v>0</v>
          </cell>
          <cell r="H88">
            <v>0</v>
          </cell>
          <cell r="I88">
            <v>0</v>
          </cell>
          <cell r="J88">
            <v>0</v>
          </cell>
          <cell r="K88">
            <v>0</v>
          </cell>
          <cell r="L88">
            <v>0</v>
          </cell>
          <cell r="M88">
            <v>0</v>
          </cell>
          <cell r="N88">
            <v>0</v>
          </cell>
          <cell r="O88">
            <v>-34</v>
          </cell>
          <cell r="P88">
            <v>0</v>
          </cell>
          <cell r="Q88">
            <v>0</v>
          </cell>
          <cell r="R88">
            <v>0</v>
          </cell>
          <cell r="S88">
            <v>0</v>
          </cell>
          <cell r="T88">
            <v>0</v>
          </cell>
          <cell r="U88">
            <v>0</v>
          </cell>
          <cell r="V88">
            <v>0</v>
          </cell>
        </row>
        <row r="89">
          <cell r="C89" t="str">
            <v xml:space="preserve">Stores Up for Negotation as a % of Total </v>
          </cell>
          <cell r="T89">
            <v>0.12053432743087915</v>
          </cell>
          <cell r="U89">
            <v>9.9558173784977902E-2</v>
          </cell>
          <cell r="V89">
            <v>0.10403984504703929</v>
          </cell>
          <cell r="W89">
            <v>0.32413234626289633</v>
          </cell>
        </row>
        <row r="90">
          <cell r="C90" t="str">
            <v>Gross Square Footage</v>
          </cell>
          <cell r="D90">
            <v>35.017000000000003</v>
          </cell>
          <cell r="E90">
            <v>37.126000000000005</v>
          </cell>
          <cell r="F90">
            <v>40.165000000000006</v>
          </cell>
          <cell r="G90">
            <v>43.978999999999999</v>
          </cell>
          <cell r="H90">
            <v>48.988999999999997</v>
          </cell>
          <cell r="I90">
            <v>53.826000000000001</v>
          </cell>
          <cell r="J90">
            <v>60.49</v>
          </cell>
          <cell r="K90">
            <v>64.709434678384909</v>
          </cell>
          <cell r="L90">
            <v>70.575000000000017</v>
          </cell>
          <cell r="M90">
            <v>73.699999999999989</v>
          </cell>
          <cell r="N90">
            <v>76.240000000000009</v>
          </cell>
          <cell r="O90">
            <v>78</v>
          </cell>
          <cell r="P90">
            <v>80.7</v>
          </cell>
          <cell r="Q90">
            <v>84.1</v>
          </cell>
          <cell r="R90">
            <v>85.3</v>
          </cell>
          <cell r="S90">
            <v>89.1</v>
          </cell>
          <cell r="T90">
            <v>93.3</v>
          </cell>
          <cell r="U90">
            <v>97.6</v>
          </cell>
          <cell r="V90">
            <v>102.60846790271133</v>
          </cell>
        </row>
        <row r="91">
          <cell r="B91" t="str">
            <v>TLB</v>
          </cell>
          <cell r="C91" t="str">
            <v>End of Year # Stores</v>
          </cell>
          <cell r="D91">
            <v>385</v>
          </cell>
          <cell r="E91">
            <v>406</v>
          </cell>
          <cell r="F91">
            <v>425</v>
          </cell>
          <cell r="G91">
            <v>443</v>
          </cell>
          <cell r="H91">
            <v>468</v>
          </cell>
          <cell r="I91">
            <v>495</v>
          </cell>
          <cell r="J91">
            <v>523</v>
          </cell>
          <cell r="K91">
            <v>552</v>
          </cell>
          <cell r="L91">
            <v>565</v>
          </cell>
          <cell r="M91">
            <v>584</v>
          </cell>
          <cell r="N91">
            <v>596</v>
          </cell>
          <cell r="O91">
            <v>587</v>
          </cell>
          <cell r="P91">
            <v>580</v>
          </cell>
          <cell r="Q91">
            <v>568</v>
          </cell>
          <cell r="R91">
            <v>502</v>
          </cell>
          <cell r="S91">
            <v>487</v>
          </cell>
          <cell r="T91">
            <v>487</v>
          </cell>
          <cell r="U91">
            <v>492</v>
          </cell>
          <cell r="V91">
            <v>497</v>
          </cell>
          <cell r="W91" t="str">
            <v xml:space="preserve">Est. Renewal + New </v>
          </cell>
        </row>
        <row r="92">
          <cell r="C92" t="str">
            <v>New Store Openings</v>
          </cell>
          <cell r="D92">
            <v>42</v>
          </cell>
          <cell r="E92">
            <v>21</v>
          </cell>
          <cell r="F92">
            <v>19</v>
          </cell>
          <cell r="G92">
            <v>18</v>
          </cell>
          <cell r="H92">
            <v>25</v>
          </cell>
          <cell r="I92">
            <v>27</v>
          </cell>
          <cell r="J92">
            <v>28</v>
          </cell>
          <cell r="K92">
            <v>29</v>
          </cell>
          <cell r="L92">
            <v>13</v>
          </cell>
          <cell r="M92">
            <v>19</v>
          </cell>
          <cell r="N92">
            <v>12</v>
          </cell>
          <cell r="O92">
            <v>0</v>
          </cell>
          <cell r="P92">
            <v>23</v>
          </cell>
          <cell r="Q92">
            <v>11</v>
          </cell>
          <cell r="R92">
            <v>17</v>
          </cell>
          <cell r="S92">
            <v>10</v>
          </cell>
          <cell r="T92">
            <v>10</v>
          </cell>
          <cell r="U92">
            <v>10</v>
          </cell>
          <cell r="V92">
            <v>10</v>
          </cell>
          <cell r="W92" t="str">
            <v>Stores as % of Total</v>
          </cell>
        </row>
        <row r="93">
          <cell r="C93" t="str">
            <v>Store Closings</v>
          </cell>
          <cell r="D93">
            <v>0</v>
          </cell>
          <cell r="E93">
            <v>0</v>
          </cell>
          <cell r="F93">
            <v>0</v>
          </cell>
          <cell r="G93">
            <v>0</v>
          </cell>
          <cell r="H93">
            <v>0</v>
          </cell>
          <cell r="I93">
            <v>0</v>
          </cell>
          <cell r="J93">
            <v>0</v>
          </cell>
          <cell r="K93">
            <v>0</v>
          </cell>
          <cell r="L93">
            <v>0</v>
          </cell>
          <cell r="M93">
            <v>0</v>
          </cell>
          <cell r="N93">
            <v>0</v>
          </cell>
          <cell r="O93">
            <v>9</v>
          </cell>
          <cell r="P93">
            <v>30</v>
          </cell>
          <cell r="Q93">
            <v>23</v>
          </cell>
          <cell r="R93">
            <v>83</v>
          </cell>
          <cell r="S93">
            <v>25</v>
          </cell>
          <cell r="T93">
            <v>10</v>
          </cell>
          <cell r="U93">
            <v>5</v>
          </cell>
          <cell r="V93">
            <v>5</v>
          </cell>
        </row>
        <row r="94">
          <cell r="C94" t="str">
            <v xml:space="preserve">Stores Up for Negotation as a % of Total </v>
          </cell>
          <cell r="T94">
            <v>7.8028747433264892E-2</v>
          </cell>
          <cell r="U94">
            <v>7.926829268292683E-2</v>
          </cell>
          <cell r="V94">
            <v>4.6277665995975853E-2</v>
          </cell>
          <cell r="W94">
            <v>0.20357470611216757</v>
          </cell>
        </row>
        <row r="95">
          <cell r="C95" t="str">
            <v>Gross Square Footage</v>
          </cell>
          <cell r="D95">
            <v>2.5437400000000001</v>
          </cell>
          <cell r="E95">
            <v>2.7048299999999998</v>
          </cell>
          <cell r="F95">
            <v>2.828948</v>
          </cell>
          <cell r="G95">
            <v>2.9967269999999999</v>
          </cell>
          <cell r="H95">
            <v>3.294467</v>
          </cell>
          <cell r="I95">
            <v>3.6110330000000004</v>
          </cell>
          <cell r="J95">
            <v>3.9305100000000004</v>
          </cell>
          <cell r="K95">
            <v>4.203074</v>
          </cell>
          <cell r="L95">
            <v>3.9878990000000001</v>
          </cell>
          <cell r="M95">
            <v>5.0563150000000006</v>
          </cell>
          <cell r="N95">
            <v>4.2145130000000002</v>
          </cell>
          <cell r="O95">
            <v>4.2075279999999999</v>
          </cell>
          <cell r="P95">
            <v>4.1718799999999998</v>
          </cell>
          <cell r="Q95">
            <v>4.0542310000000006</v>
          </cell>
          <cell r="R95">
            <v>3.5655850000000004</v>
          </cell>
          <cell r="S95">
            <v>3.4342350000000006</v>
          </cell>
          <cell r="T95">
            <v>3.4101350000000008</v>
          </cell>
          <cell r="U95">
            <v>3.4217850000000007</v>
          </cell>
          <cell r="V95">
            <v>3.4334350000000007</v>
          </cell>
        </row>
        <row r="96">
          <cell r="B96" t="str">
            <v>URBN</v>
          </cell>
          <cell r="C96" t="str">
            <v>End of Year # Stores</v>
          </cell>
          <cell r="D96">
            <v>0</v>
          </cell>
          <cell r="E96">
            <v>0</v>
          </cell>
          <cell r="F96">
            <v>0</v>
          </cell>
          <cell r="G96">
            <v>0</v>
          </cell>
          <cell r="H96">
            <v>0</v>
          </cell>
          <cell r="I96">
            <v>0</v>
          </cell>
          <cell r="J96">
            <v>0</v>
          </cell>
          <cell r="K96">
            <v>0</v>
          </cell>
          <cell r="L96">
            <v>0</v>
          </cell>
          <cell r="M96">
            <v>0</v>
          </cell>
          <cell r="N96">
            <v>245</v>
          </cell>
          <cell r="O96">
            <v>294</v>
          </cell>
          <cell r="P96">
            <v>327</v>
          </cell>
          <cell r="Q96">
            <v>372</v>
          </cell>
          <cell r="R96">
            <v>429</v>
          </cell>
          <cell r="S96">
            <v>0</v>
          </cell>
          <cell r="T96">
            <v>1</v>
          </cell>
          <cell r="U96">
            <v>0</v>
          </cell>
          <cell r="V96">
            <v>2</v>
          </cell>
          <cell r="W96" t="str">
            <v xml:space="preserve">Est. Renewal + New </v>
          </cell>
        </row>
        <row r="97">
          <cell r="C97" t="str">
            <v>New Store Openings</v>
          </cell>
          <cell r="D97">
            <v>3</v>
          </cell>
          <cell r="E97">
            <v>11</v>
          </cell>
          <cell r="F97">
            <v>13</v>
          </cell>
          <cell r="G97">
            <v>11</v>
          </cell>
          <cell r="H97">
            <v>12</v>
          </cell>
          <cell r="I97">
            <v>13</v>
          </cell>
          <cell r="J97">
            <v>21</v>
          </cell>
          <cell r="K97">
            <v>28</v>
          </cell>
          <cell r="L97">
            <v>33</v>
          </cell>
          <cell r="M97">
            <v>32</v>
          </cell>
          <cell r="N97">
            <v>38</v>
          </cell>
          <cell r="O97">
            <v>49</v>
          </cell>
          <cell r="P97">
            <v>33</v>
          </cell>
          <cell r="Q97">
            <v>45</v>
          </cell>
          <cell r="R97">
            <v>57</v>
          </cell>
          <cell r="S97">
            <v>49</v>
          </cell>
          <cell r="T97">
            <v>37</v>
          </cell>
          <cell r="U97">
            <v>38</v>
          </cell>
          <cell r="V97">
            <v>33</v>
          </cell>
          <cell r="W97" t="str">
            <v>Stores as % of Total</v>
          </cell>
        </row>
        <row r="98">
          <cell r="C98" t="str">
            <v>Store Closings</v>
          </cell>
          <cell r="D98">
            <v>1</v>
          </cell>
          <cell r="E98">
            <v>0</v>
          </cell>
          <cell r="F98">
            <v>2</v>
          </cell>
          <cell r="G98">
            <v>0</v>
          </cell>
          <cell r="H98">
            <v>0</v>
          </cell>
          <cell r="I98">
            <v>0</v>
          </cell>
          <cell r="J98">
            <v>0</v>
          </cell>
          <cell r="K98">
            <v>0</v>
          </cell>
          <cell r="L98">
            <v>0</v>
          </cell>
          <cell r="M98">
            <v>0</v>
          </cell>
          <cell r="N98">
            <v>0</v>
          </cell>
          <cell r="O98">
            <v>0</v>
          </cell>
          <cell r="P98">
            <v>0</v>
          </cell>
          <cell r="Q98">
            <v>0</v>
          </cell>
          <cell r="R98">
            <v>0</v>
          </cell>
          <cell r="S98">
            <v>-2</v>
          </cell>
          <cell r="T98">
            <v>0</v>
          </cell>
          <cell r="U98">
            <v>-3</v>
          </cell>
          <cell r="V98">
            <v>-3</v>
          </cell>
        </row>
        <row r="99">
          <cell r="C99" t="str">
            <v xml:space="preserve">Stores Up for Negotation as a % of Total </v>
          </cell>
          <cell r="T99">
            <v>58</v>
          </cell>
          <cell r="U99" t="e">
            <v>#DIV/0!</v>
          </cell>
          <cell r="V99">
            <v>33</v>
          </cell>
          <cell r="W99" t="e">
            <v>#DIV/0!</v>
          </cell>
        </row>
        <row r="100">
          <cell r="C100" t="str">
            <v>Gross Square Footage</v>
          </cell>
          <cell r="D100">
            <v>0.44773066666666667</v>
          </cell>
          <cell r="E100">
            <v>0.55796400000000002</v>
          </cell>
          <cell r="F100">
            <v>0.69685466666666673</v>
          </cell>
          <cell r="G100">
            <v>0.84262133333333333</v>
          </cell>
          <cell r="H100">
            <v>0.99933333333333341</v>
          </cell>
          <cell r="I100">
            <v>1.1349066666666665</v>
          </cell>
          <cell r="J100">
            <v>1.3449199999999999</v>
          </cell>
          <cell r="K100">
            <v>1.6447626666666668</v>
          </cell>
          <cell r="L100">
            <v>1.9426666666666668</v>
          </cell>
          <cell r="M100">
            <v>2.3146666666666662</v>
          </cell>
          <cell r="N100">
            <v>2.6860360000000001</v>
          </cell>
          <cell r="O100">
            <v>3.047228</v>
          </cell>
          <cell r="P100">
            <v>3.3461946666666664</v>
          </cell>
          <cell r="Q100">
            <v>3.7369199999999996</v>
          </cell>
          <cell r="R100">
            <v>4.0914159999999997</v>
          </cell>
          <cell r="S100">
            <v>9397.6722222222197</v>
          </cell>
          <cell r="T100">
            <v>4.8254159999999988</v>
          </cell>
          <cell r="U100">
            <v>5.1950239999999983</v>
          </cell>
          <cell r="V100">
            <v>5.53893511111111</v>
          </cell>
        </row>
        <row r="102">
          <cell r="B102" t="str">
            <v>(1) EXPR was private in 2007/2008 and store counts and openings are estimates</v>
          </cell>
        </row>
        <row r="103">
          <cell r="B103" t="str">
            <v xml:space="preserve">(2) GPS operates 5 year leases on most stores and we therefore estimate 15% (or 1/5, adjusted for 10K disclosures) of its store base is up for lease renewal annually </v>
          </cell>
        </row>
        <row r="104">
          <cell r="B104" t="str">
            <v>(3) LTD does not include stores closed due to spin-offs</v>
          </cell>
        </row>
        <row r="105">
          <cell r="B105" t="str">
            <v>(4) As of the end of 3Q08, all Talbots Kids, Mens, and U.K. businesses ceased operations and all stores were closed.  Prior to 2003 we estimated store openings and total store count.</v>
          </cell>
        </row>
        <row r="107">
          <cell r="B107" t="str">
            <v>Note: Stores up for Negotiation include Renewal Stores (stores opened 10 years ago for all retailers ex. GPS which has 5 year leases) + current year new store openings</v>
          </cell>
        </row>
        <row r="109">
          <cell r="O109" t="e">
            <v>#DIV/0!</v>
          </cell>
          <cell r="P109">
            <v>1.9864041317998682E-2</v>
          </cell>
          <cell r="Q109">
            <v>3.3426410968546705E-2</v>
          </cell>
          <cell r="R109">
            <v>6.9076167175337266E-2</v>
          </cell>
          <cell r="S109">
            <v>6.7313605647386341</v>
          </cell>
          <cell r="T109">
            <v>-0.84561071525986964</v>
          </cell>
          <cell r="U109">
            <v>6.2076375640629511E-2</v>
          </cell>
          <cell r="V109">
            <v>1.8408484036460004E-2</v>
          </cell>
        </row>
        <row r="110">
          <cell r="O110">
            <v>1252.9349239999997</v>
          </cell>
          <cell r="P110">
            <v>1277.8232750990992</v>
          </cell>
          <cell r="Q110">
            <v>1320.5363210377359</v>
          </cell>
          <cell r="R110">
            <v>1411.7539087108435</v>
          </cell>
          <cell r="S110">
            <v>10914.778496922641</v>
          </cell>
          <cell r="T110">
            <v>1685.124845236842</v>
          </cell>
          <cell r="U110">
            <v>1789.731288131122</v>
          </cell>
          <cell r="V110">
            <v>1822.6775279782369</v>
          </cell>
        </row>
        <row r="111">
          <cell r="B111" t="str">
            <v>AEO</v>
          </cell>
          <cell r="C111">
            <v>-8.2346796783229426</v>
          </cell>
          <cell r="F111" t="e">
            <v>#N/A</v>
          </cell>
          <cell r="G111" t="e">
            <v>#N/A</v>
          </cell>
        </row>
        <row r="112">
          <cell r="B112" t="str">
            <v>ANF</v>
          </cell>
          <cell r="C112">
            <v>0.38010546102087528</v>
          </cell>
          <cell r="F112" t="e">
            <v>#N/A</v>
          </cell>
          <cell r="G112" t="e">
            <v>#N/A</v>
          </cell>
        </row>
        <row r="113">
          <cell r="B113" t="str">
            <v>ANN</v>
          </cell>
          <cell r="C113">
            <v>0.4056266750878747</v>
          </cell>
          <cell r="F113" t="e">
            <v>#N/A</v>
          </cell>
          <cell r="G113" t="e">
            <v>#N/A</v>
          </cell>
        </row>
        <row r="114">
          <cell r="B114" t="str">
            <v>ARO</v>
          </cell>
          <cell r="C114">
            <v>0.42478198661474498</v>
          </cell>
          <cell r="F114" t="e">
            <v>#N/A</v>
          </cell>
          <cell r="G114" t="e">
            <v>#N/A</v>
          </cell>
        </row>
        <row r="115">
          <cell r="B115" t="str">
            <v>CHS</v>
          </cell>
          <cell r="C115">
            <v>-72.720352560025106</v>
          </cell>
          <cell r="F115" t="e">
            <v>#N/A</v>
          </cell>
          <cell r="G115" t="e">
            <v>#N/A</v>
          </cell>
        </row>
        <row r="116">
          <cell r="B116" t="str">
            <v>COH</v>
          </cell>
          <cell r="C116">
            <v>0.34262208874140121</v>
          </cell>
          <cell r="F116" t="e">
            <v>#N/A</v>
          </cell>
          <cell r="G116" t="e">
            <v>#N/A</v>
          </cell>
        </row>
        <row r="117">
          <cell r="B117" t="str">
            <v>GPS</v>
          </cell>
          <cell r="C117">
            <v>0.44999999999999996</v>
          </cell>
          <cell r="F117" t="e">
            <v>#N/A</v>
          </cell>
          <cell r="G117" t="e">
            <v>#N/A</v>
          </cell>
        </row>
        <row r="118">
          <cell r="B118" t="str">
            <v>KORS</v>
          </cell>
          <cell r="C118">
            <v>0.69971165684375791</v>
          </cell>
          <cell r="F118" t="e">
            <v>#N/A</v>
          </cell>
          <cell r="G118" t="e">
            <v>#N/A</v>
          </cell>
        </row>
        <row r="119">
          <cell r="B119" t="str">
            <v>LULU</v>
          </cell>
          <cell r="C119">
            <v>-0.5</v>
          </cell>
          <cell r="F119" t="e">
            <v>#N/A</v>
          </cell>
          <cell r="G119" t="e">
            <v>#N/A</v>
          </cell>
        </row>
        <row r="120">
          <cell r="B120" t="str">
            <v>LTD</v>
          </cell>
          <cell r="C120">
            <v>0.10411835764549821</v>
          </cell>
          <cell r="F120" t="e">
            <v>#N/A</v>
          </cell>
          <cell r="G120" t="e">
            <v>#N/A</v>
          </cell>
        </row>
        <row r="121">
          <cell r="B121" t="str">
            <v>PLCE</v>
          </cell>
          <cell r="C121">
            <v>0.4</v>
          </cell>
          <cell r="F121" t="e">
            <v>#N/A</v>
          </cell>
          <cell r="G121" t="e">
            <v>#N/A</v>
          </cell>
        </row>
        <row r="122">
          <cell r="B122" t="str">
            <v>ROST</v>
          </cell>
          <cell r="C122">
            <v>0.37659535889101164</v>
          </cell>
          <cell r="F122" t="e">
            <v>#N/A</v>
          </cell>
          <cell r="G122" t="e">
            <v>#N/A</v>
          </cell>
        </row>
        <row r="123">
          <cell r="B123" t="str">
            <v>TIF</v>
          </cell>
          <cell r="C123">
            <v>0.22025176029526791</v>
          </cell>
          <cell r="F123" t="e">
            <v>#N/A</v>
          </cell>
          <cell r="G123" t="e">
            <v>#N/A</v>
          </cell>
        </row>
        <row r="124">
          <cell r="B124" t="str">
            <v>TJX</v>
          </cell>
          <cell r="C124">
            <v>0.32413234626289633</v>
          </cell>
          <cell r="F124" t="e">
            <v>#N/A</v>
          </cell>
          <cell r="G124" t="e">
            <v>#N/A</v>
          </cell>
        </row>
        <row r="125">
          <cell r="B125" t="str">
            <v>TLB</v>
          </cell>
          <cell r="C125">
            <v>0.20357470611216757</v>
          </cell>
          <cell r="F125" t="e">
            <v>#N/A</v>
          </cell>
          <cell r="G125" t="e">
            <v>#N/A</v>
          </cell>
        </row>
        <row r="126">
          <cell r="B126" t="str">
            <v>URBN</v>
          </cell>
          <cell r="C126" t="e">
            <v>#DIV/0!</v>
          </cell>
          <cell r="F126" t="e">
            <v>#N/A</v>
          </cell>
          <cell r="G126" t="e">
            <v>#N/A</v>
          </cell>
        </row>
        <row r="127">
          <cell r="B127" t="str">
            <v>EXPR</v>
          </cell>
          <cell r="C127">
            <v>0.14291068805216237</v>
          </cell>
          <cell r="F127" t="e">
            <v>#N/A</v>
          </cell>
          <cell r="G127" t="e">
            <v>#N/A</v>
          </cell>
        </row>
        <row r="135">
          <cell r="I135" t="str">
            <v>(1) GPS operates 5 year leases and we therefore estimate 20% (or 1/5) of its store base is up for lease renewal annually or 60% up for renewal over the next 3-year period</v>
          </cell>
        </row>
        <row r="142">
          <cell r="B142" t="str">
            <v>AEO</v>
          </cell>
          <cell r="C142">
            <v>-8.2346796783229426</v>
          </cell>
          <cell r="E142">
            <v>1</v>
          </cell>
          <cell r="F142" t="e">
            <v>#DIV/0!</v>
          </cell>
          <cell r="G142" t="e">
            <v>#N/A</v>
          </cell>
          <cell r="H142" t="e">
            <v>#N/A</v>
          </cell>
        </row>
        <row r="143">
          <cell r="B143" t="str">
            <v>ANF</v>
          </cell>
          <cell r="C143">
            <v>0.38010546102087528</v>
          </cell>
          <cell r="E143">
            <v>2</v>
          </cell>
          <cell r="F143" t="e">
            <v>#DIV/0!</v>
          </cell>
          <cell r="G143" t="e">
            <v>#N/A</v>
          </cell>
          <cell r="H143" t="e">
            <v>#N/A</v>
          </cell>
        </row>
        <row r="144">
          <cell r="B144" t="str">
            <v>ANN</v>
          </cell>
          <cell r="C144">
            <v>0.4056266750878747</v>
          </cell>
          <cell r="E144">
            <v>3</v>
          </cell>
          <cell r="F144" t="e">
            <v>#DIV/0!</v>
          </cell>
          <cell r="G144" t="e">
            <v>#N/A</v>
          </cell>
          <cell r="H144" t="e">
            <v>#N/A</v>
          </cell>
        </row>
        <row r="145">
          <cell r="B145" t="str">
            <v>ARO</v>
          </cell>
          <cell r="C145">
            <v>0.42478198661474498</v>
          </cell>
          <cell r="E145">
            <v>4</v>
          </cell>
          <cell r="F145" t="e">
            <v>#DIV/0!</v>
          </cell>
          <cell r="G145" t="e">
            <v>#N/A</v>
          </cell>
          <cell r="H145" t="e">
            <v>#N/A</v>
          </cell>
        </row>
        <row r="146">
          <cell r="B146" t="str">
            <v>CHS</v>
          </cell>
          <cell r="C146">
            <v>-72.720352560025106</v>
          </cell>
          <cell r="E146">
            <v>5</v>
          </cell>
          <cell r="F146" t="e">
            <v>#DIV/0!</v>
          </cell>
          <cell r="G146" t="e">
            <v>#N/A</v>
          </cell>
          <cell r="H146" t="e">
            <v>#N/A</v>
          </cell>
        </row>
        <row r="147">
          <cell r="B147" t="str">
            <v>COH</v>
          </cell>
          <cell r="C147">
            <v>0.34262208874140121</v>
          </cell>
          <cell r="E147">
            <v>6</v>
          </cell>
          <cell r="F147" t="e">
            <v>#DIV/0!</v>
          </cell>
          <cell r="G147" t="e">
            <v>#N/A</v>
          </cell>
          <cell r="H147" t="e">
            <v>#N/A</v>
          </cell>
        </row>
        <row r="148">
          <cell r="B148" t="str">
            <v>GPS</v>
          </cell>
          <cell r="C148">
            <v>0.44999999999999996</v>
          </cell>
          <cell r="E148">
            <v>7</v>
          </cell>
          <cell r="F148" t="e">
            <v>#DIV/0!</v>
          </cell>
          <cell r="G148" t="e">
            <v>#N/A</v>
          </cell>
          <cell r="H148" t="e">
            <v>#N/A</v>
          </cell>
        </row>
        <row r="149">
          <cell r="B149" t="str">
            <v>KORS</v>
          </cell>
          <cell r="C149">
            <v>0.69971165684375791</v>
          </cell>
          <cell r="E149">
            <v>8</v>
          </cell>
          <cell r="F149" t="e">
            <v>#DIV/0!</v>
          </cell>
          <cell r="G149" t="e">
            <v>#N/A</v>
          </cell>
          <cell r="H149" t="e">
            <v>#N/A</v>
          </cell>
        </row>
        <row r="150">
          <cell r="B150" t="str">
            <v>LULU</v>
          </cell>
          <cell r="C150">
            <v>-0.5</v>
          </cell>
          <cell r="E150">
            <v>9</v>
          </cell>
          <cell r="F150" t="e">
            <v>#DIV/0!</v>
          </cell>
          <cell r="G150" t="e">
            <v>#N/A</v>
          </cell>
          <cell r="H150" t="e">
            <v>#N/A</v>
          </cell>
        </row>
        <row r="151">
          <cell r="B151" t="str">
            <v>LTD</v>
          </cell>
          <cell r="C151">
            <v>0.10411835764549821</v>
          </cell>
          <cell r="E151">
            <v>10</v>
          </cell>
          <cell r="F151" t="e">
            <v>#DIV/0!</v>
          </cell>
          <cell r="G151" t="e">
            <v>#N/A</v>
          </cell>
          <cell r="H151" t="e">
            <v>#N/A</v>
          </cell>
        </row>
        <row r="152">
          <cell r="B152" t="str">
            <v>PLCE</v>
          </cell>
          <cell r="C152">
            <v>0.4</v>
          </cell>
          <cell r="E152">
            <v>11</v>
          </cell>
          <cell r="F152" t="e">
            <v>#DIV/0!</v>
          </cell>
          <cell r="G152" t="e">
            <v>#N/A</v>
          </cell>
          <cell r="H152" t="e">
            <v>#N/A</v>
          </cell>
        </row>
        <row r="153">
          <cell r="B153" t="str">
            <v>ROST</v>
          </cell>
          <cell r="C153">
            <v>0.37659535889101164</v>
          </cell>
          <cell r="E153">
            <v>12</v>
          </cell>
          <cell r="F153" t="e">
            <v>#DIV/0!</v>
          </cell>
          <cell r="G153" t="e">
            <v>#N/A</v>
          </cell>
          <cell r="H153" t="e">
            <v>#N/A</v>
          </cell>
        </row>
        <row r="154">
          <cell r="B154" t="str">
            <v>TIF</v>
          </cell>
          <cell r="C154">
            <v>0.22025176029526791</v>
          </cell>
          <cell r="E154">
            <v>13</v>
          </cell>
          <cell r="F154" t="e">
            <v>#DIV/0!</v>
          </cell>
          <cell r="G154" t="e">
            <v>#N/A</v>
          </cell>
          <cell r="H154" t="e">
            <v>#N/A</v>
          </cell>
        </row>
        <row r="155">
          <cell r="B155" t="str">
            <v>TJX</v>
          </cell>
          <cell r="C155">
            <v>0.32413234626289633</v>
          </cell>
          <cell r="E155">
            <v>14</v>
          </cell>
          <cell r="F155" t="e">
            <v>#DIV/0!</v>
          </cell>
          <cell r="G155" t="e">
            <v>#N/A</v>
          </cell>
          <cell r="H155" t="e">
            <v>#N/A</v>
          </cell>
        </row>
        <row r="156">
          <cell r="B156" t="str">
            <v>TLB</v>
          </cell>
          <cell r="C156">
            <v>0.20357470611216757</v>
          </cell>
          <cell r="E156">
            <v>15</v>
          </cell>
          <cell r="F156" t="e">
            <v>#DIV/0!</v>
          </cell>
          <cell r="G156" t="e">
            <v>#N/A</v>
          </cell>
          <cell r="H156" t="e">
            <v>#N/A</v>
          </cell>
        </row>
        <row r="157">
          <cell r="B157" t="str">
            <v>URBN</v>
          </cell>
          <cell r="C157" t="e">
            <v>#DIV/0!</v>
          </cell>
          <cell r="E157">
            <v>16</v>
          </cell>
          <cell r="F157" t="e">
            <v>#DIV/0!</v>
          </cell>
          <cell r="G157" t="e">
            <v>#N/A</v>
          </cell>
          <cell r="H157" t="e">
            <v>#N/A</v>
          </cell>
        </row>
        <row r="158">
          <cell r="B158" t="str">
            <v>EXPR</v>
          </cell>
          <cell r="C158">
            <v>0.14291068805216237</v>
          </cell>
          <cell r="E158">
            <v>17</v>
          </cell>
          <cell r="F158" t="e">
            <v>#DIV/0!</v>
          </cell>
          <cell r="G158" t="e">
            <v>#N/A</v>
          </cell>
          <cell r="H158" t="e">
            <v>#N/A</v>
          </cell>
        </row>
        <row r="183">
          <cell r="D183">
            <v>1997</v>
          </cell>
          <cell r="E183">
            <v>1998</v>
          </cell>
          <cell r="F183">
            <v>1999</v>
          </cell>
          <cell r="G183">
            <v>2000</v>
          </cell>
          <cell r="H183">
            <v>2001</v>
          </cell>
          <cell r="I183">
            <v>2002</v>
          </cell>
          <cell r="J183">
            <v>2003</v>
          </cell>
          <cell r="K183">
            <v>2004</v>
          </cell>
          <cell r="L183">
            <v>2005</v>
          </cell>
          <cell r="M183">
            <v>2006</v>
          </cell>
          <cell r="N183">
            <v>2007</v>
          </cell>
          <cell r="O183">
            <v>2008</v>
          </cell>
          <cell r="P183">
            <v>2009</v>
          </cell>
          <cell r="Q183">
            <v>2010</v>
          </cell>
          <cell r="R183">
            <v>2011</v>
          </cell>
          <cell r="S183" t="str">
            <v>2012E</v>
          </cell>
          <cell r="T183" t="str">
            <v>2013E</v>
          </cell>
          <cell r="U183" t="str">
            <v>2014E</v>
          </cell>
          <cell r="V183" t="str">
            <v>2015E</v>
          </cell>
          <cell r="W183" t="str">
            <v>2013e-2015e</v>
          </cell>
        </row>
        <row r="184">
          <cell r="B184" t="str">
            <v>AEO</v>
          </cell>
          <cell r="C184" t="str">
            <v>End of Year # Stores</v>
          </cell>
          <cell r="D184">
            <v>332</v>
          </cell>
          <cell r="E184">
            <v>386</v>
          </cell>
          <cell r="F184">
            <v>466</v>
          </cell>
          <cell r="G184">
            <v>554</v>
          </cell>
          <cell r="H184">
            <v>678</v>
          </cell>
          <cell r="I184">
            <v>753</v>
          </cell>
          <cell r="J184">
            <v>805</v>
          </cell>
          <cell r="K184">
            <v>846</v>
          </cell>
          <cell r="L184">
            <v>869</v>
          </cell>
          <cell r="M184">
            <v>911</v>
          </cell>
          <cell r="N184">
            <v>987</v>
          </cell>
          <cell r="O184">
            <v>1098</v>
          </cell>
          <cell r="P184">
            <v>1103</v>
          </cell>
          <cell r="Q184">
            <v>1077</v>
          </cell>
          <cell r="R184">
            <v>1069</v>
          </cell>
          <cell r="S184">
            <v>1044</v>
          </cell>
          <cell r="T184">
            <v>1054</v>
          </cell>
          <cell r="U184">
            <v>1066</v>
          </cell>
          <cell r="V184">
            <v>1078</v>
          </cell>
          <cell r="W184" t="str">
            <v xml:space="preserve">Est. Renewal + New </v>
          </cell>
        </row>
        <row r="185">
          <cell r="C185" t="str">
            <v>New Store Openings</v>
          </cell>
          <cell r="D185">
            <v>36</v>
          </cell>
          <cell r="E185">
            <v>56</v>
          </cell>
          <cell r="F185">
            <v>80</v>
          </cell>
          <cell r="G185">
            <v>90</v>
          </cell>
          <cell r="H185">
            <v>127</v>
          </cell>
          <cell r="I185">
            <v>79</v>
          </cell>
          <cell r="J185">
            <v>59</v>
          </cell>
          <cell r="K185">
            <v>50</v>
          </cell>
          <cell r="L185">
            <v>36</v>
          </cell>
          <cell r="M185">
            <v>50</v>
          </cell>
          <cell r="N185">
            <v>80</v>
          </cell>
          <cell r="O185">
            <v>122</v>
          </cell>
          <cell r="P185">
            <v>29</v>
          </cell>
          <cell r="Q185">
            <v>34</v>
          </cell>
          <cell r="R185">
            <v>33</v>
          </cell>
          <cell r="S185">
            <v>17</v>
          </cell>
          <cell r="T185">
            <v>50</v>
          </cell>
          <cell r="U185">
            <v>34</v>
          </cell>
          <cell r="V185">
            <v>34</v>
          </cell>
          <cell r="W185" t="str">
            <v>Stores as % of Total</v>
          </cell>
        </row>
        <row r="186">
          <cell r="C186" t="str">
            <v>Store Closings</v>
          </cell>
          <cell r="D186">
            <v>7</v>
          </cell>
          <cell r="E186">
            <v>2</v>
          </cell>
          <cell r="F186">
            <v>0</v>
          </cell>
          <cell r="G186">
            <v>2</v>
          </cell>
          <cell r="H186">
            <v>3</v>
          </cell>
          <cell r="I186">
            <v>4</v>
          </cell>
          <cell r="J186">
            <v>7</v>
          </cell>
          <cell r="K186">
            <v>9</v>
          </cell>
          <cell r="L186">
            <v>13</v>
          </cell>
          <cell r="M186">
            <v>8</v>
          </cell>
          <cell r="N186">
            <v>4</v>
          </cell>
          <cell r="O186">
            <v>11</v>
          </cell>
          <cell r="P186">
            <v>24</v>
          </cell>
          <cell r="Q186">
            <v>51</v>
          </cell>
          <cell r="R186">
            <v>29</v>
          </cell>
          <cell r="S186">
            <v>41</v>
          </cell>
          <cell r="T186">
            <v>40</v>
          </cell>
          <cell r="U186">
            <v>22</v>
          </cell>
          <cell r="V186">
            <v>22</v>
          </cell>
        </row>
        <row r="187">
          <cell r="C187" t="str">
            <v xml:space="preserve">Stores Up for Negotation as a % of Total </v>
          </cell>
          <cell r="T187">
            <v>0.10341555977229601</v>
          </cell>
          <cell r="U187">
            <v>7.879924953095685E-2</v>
          </cell>
          <cell r="V187">
            <v>6.4935064935064929E-2</v>
          </cell>
          <cell r="W187">
            <v>0.24714987423831777</v>
          </cell>
          <cell r="Y187" t="str">
            <v>GPS2009</v>
          </cell>
          <cell r="Z187">
            <v>0.172882846425089</v>
          </cell>
          <cell r="AB187" t="str">
            <v>GPS</v>
          </cell>
          <cell r="AC187">
            <v>0.6</v>
          </cell>
          <cell r="AE187" t="str">
            <v>GPS</v>
          </cell>
          <cell r="AF187" t="str">
            <v xml:space="preserve">GPS </v>
          </cell>
        </row>
        <row r="188">
          <cell r="C188" t="str">
            <v>Gross Square Footage</v>
          </cell>
          <cell r="D188">
            <v>1.3933610000000001</v>
          </cell>
          <cell r="E188">
            <v>1.624933</v>
          </cell>
          <cell r="F188">
            <v>2.03938</v>
          </cell>
          <cell r="G188">
            <v>2.5968629999999999</v>
          </cell>
          <cell r="H188">
            <v>3.3346939999999998</v>
          </cell>
          <cell r="I188">
            <v>3.8174419999999998</v>
          </cell>
          <cell r="J188">
            <v>4.2394970000000001</v>
          </cell>
          <cell r="K188">
            <v>4.540095</v>
          </cell>
          <cell r="L188">
            <v>4.7724869999999999</v>
          </cell>
          <cell r="M188">
            <v>5.1730650000000002</v>
          </cell>
          <cell r="N188">
            <v>5.7099320000000002</v>
          </cell>
          <cell r="O188">
            <v>6.3281669999999997</v>
          </cell>
          <cell r="P188">
            <v>6.2153549999999997</v>
          </cell>
          <cell r="Q188">
            <v>6.2884250000000002</v>
          </cell>
          <cell r="R188">
            <v>6.2902839999999998</v>
          </cell>
          <cell r="S188">
            <v>6.2032780000000001</v>
          </cell>
          <cell r="T188">
            <v>6.2632779999999997</v>
          </cell>
          <cell r="U188">
            <v>6.3254780000000004</v>
          </cell>
          <cell r="V188">
            <v>6.3876780000000011</v>
          </cell>
        </row>
        <row r="189">
          <cell r="B189" t="str">
            <v>ANF</v>
          </cell>
          <cell r="C189" t="str">
            <v>End of Year # Stores</v>
          </cell>
          <cell r="D189">
            <v>156</v>
          </cell>
          <cell r="E189">
            <v>196</v>
          </cell>
          <cell r="F189">
            <v>250</v>
          </cell>
          <cell r="G189">
            <v>354</v>
          </cell>
          <cell r="H189">
            <v>491</v>
          </cell>
          <cell r="I189">
            <v>597</v>
          </cell>
          <cell r="J189">
            <v>700</v>
          </cell>
          <cell r="K189">
            <v>788</v>
          </cell>
          <cell r="L189">
            <v>851</v>
          </cell>
          <cell r="M189">
            <v>944</v>
          </cell>
          <cell r="N189">
            <v>1035</v>
          </cell>
          <cell r="O189">
            <v>1125</v>
          </cell>
          <cell r="P189">
            <v>1097</v>
          </cell>
          <cell r="Q189">
            <v>1070</v>
          </cell>
          <cell r="R189">
            <v>1046</v>
          </cell>
          <cell r="S189">
            <v>1053</v>
          </cell>
          <cell r="T189">
            <v>1026</v>
          </cell>
          <cell r="U189">
            <v>1017</v>
          </cell>
          <cell r="V189">
            <v>1002</v>
          </cell>
          <cell r="W189" t="str">
            <v xml:space="preserve">Est. Renewal + New </v>
          </cell>
          <cell r="Y189" t="str">
            <v>LTD2009</v>
          </cell>
          <cell r="Z189">
            <v>0.11694669587971274</v>
          </cell>
          <cell r="AB189" t="str">
            <v>PLCE</v>
          </cell>
          <cell r="AC189">
            <v>0.4606230830142336</v>
          </cell>
          <cell r="AE189" t="str">
            <v>PLCE</v>
          </cell>
        </row>
        <row r="190">
          <cell r="C190" t="str">
            <v>New Store Openings</v>
          </cell>
          <cell r="D190">
            <v>30</v>
          </cell>
          <cell r="E190">
            <v>41</v>
          </cell>
          <cell r="F190">
            <v>54</v>
          </cell>
          <cell r="G190">
            <v>104</v>
          </cell>
          <cell r="H190">
            <v>138</v>
          </cell>
          <cell r="I190">
            <v>112</v>
          </cell>
          <cell r="J190">
            <v>106</v>
          </cell>
          <cell r="K190">
            <v>109</v>
          </cell>
          <cell r="L190">
            <v>81</v>
          </cell>
          <cell r="M190">
            <v>104</v>
          </cell>
          <cell r="N190">
            <v>99</v>
          </cell>
          <cell r="O190">
            <v>97</v>
          </cell>
          <cell r="P190">
            <v>22</v>
          </cell>
          <cell r="Q190">
            <v>37</v>
          </cell>
          <cell r="R190">
            <v>47</v>
          </cell>
          <cell r="S190">
            <v>53</v>
          </cell>
          <cell r="T190">
            <v>23</v>
          </cell>
          <cell r="U190">
            <v>21</v>
          </cell>
          <cell r="V190">
            <v>11</v>
          </cell>
          <cell r="W190" t="str">
            <v>Stores as % of Total</v>
          </cell>
          <cell r="Y190" t="str">
            <v>TLB2009</v>
          </cell>
          <cell r="Z190">
            <v>0.23630547032851901</v>
          </cell>
          <cell r="AB190" t="str">
            <v>URBN</v>
          </cell>
          <cell r="AC190">
            <v>0.41715569113610479</v>
          </cell>
          <cell r="AE190" t="str">
            <v>URBN</v>
          </cell>
        </row>
        <row r="191">
          <cell r="C191" t="str">
            <v>Store Closings</v>
          </cell>
          <cell r="D191">
            <v>1</v>
          </cell>
          <cell r="E191">
            <v>1</v>
          </cell>
          <cell r="F191">
            <v>0</v>
          </cell>
          <cell r="G191">
            <v>0</v>
          </cell>
          <cell r="H191">
            <v>1</v>
          </cell>
          <cell r="I191">
            <v>6</v>
          </cell>
          <cell r="J191">
            <v>3</v>
          </cell>
          <cell r="K191">
            <v>21</v>
          </cell>
          <cell r="L191">
            <v>22</v>
          </cell>
          <cell r="M191">
            <v>13</v>
          </cell>
          <cell r="N191">
            <v>6</v>
          </cell>
          <cell r="O191">
            <v>10</v>
          </cell>
          <cell r="P191">
            <v>51</v>
          </cell>
          <cell r="Q191">
            <v>64</v>
          </cell>
          <cell r="R191">
            <v>71</v>
          </cell>
          <cell r="S191">
            <v>46</v>
          </cell>
          <cell r="T191">
            <v>50</v>
          </cell>
          <cell r="U191">
            <v>30</v>
          </cell>
          <cell r="V191">
            <v>26</v>
          </cell>
        </row>
        <row r="192">
          <cell r="C192" t="str">
            <v xml:space="preserve">Stores Up for Negotation as a % of Total </v>
          </cell>
          <cell r="T192">
            <v>0.12573099415204678</v>
          </cell>
          <cell r="U192">
            <v>0.12782694198623401</v>
          </cell>
          <cell r="V192">
            <v>9.1816367265469059E-2</v>
          </cell>
          <cell r="W192">
            <v>0.34537430340374986</v>
          </cell>
          <cell r="Y192" t="str">
            <v>TIF2009</v>
          </cell>
          <cell r="Z192">
            <v>0.30832187996873905</v>
          </cell>
          <cell r="AB192" t="str">
            <v>JCG</v>
          </cell>
          <cell r="AC192">
            <v>0.40734666829785499</v>
          </cell>
          <cell r="AE192" t="str">
            <v>JCG</v>
          </cell>
          <cell r="AF192" t="str">
            <v xml:space="preserve">JCG </v>
          </cell>
        </row>
        <row r="193">
          <cell r="C193" t="str">
            <v>Gross Square Footage</v>
          </cell>
          <cell r="D193">
            <v>1.5217640000000001</v>
          </cell>
          <cell r="E193">
            <v>1.7906640000000003</v>
          </cell>
          <cell r="F193">
            <v>2.1739999999999999</v>
          </cell>
          <cell r="G193">
            <v>2.8490000000000002</v>
          </cell>
          <cell r="H193">
            <v>3.673</v>
          </cell>
          <cell r="I193">
            <v>4.3575140000000001</v>
          </cell>
          <cell r="J193">
            <v>5.0158140000000007</v>
          </cell>
          <cell r="K193">
            <v>5.5903639999999992</v>
          </cell>
          <cell r="L193">
            <v>6.0253639999999997</v>
          </cell>
          <cell r="M193">
            <v>6.6933639999999999</v>
          </cell>
          <cell r="N193">
            <v>7.337364</v>
          </cell>
          <cell r="O193">
            <v>8.0223639999999996</v>
          </cell>
          <cell r="P193">
            <v>7.8471839999999995</v>
          </cell>
          <cell r="Q193">
            <v>7.7568339999999996</v>
          </cell>
          <cell r="R193">
            <v>7.7781839999999995</v>
          </cell>
          <cell r="S193">
            <v>7.9546839999999994</v>
          </cell>
          <cell r="T193">
            <v>7.8556839999999992</v>
          </cell>
          <cell r="U193">
            <v>7.8356839999999996</v>
          </cell>
          <cell r="V193">
            <v>7.7582839999999997</v>
          </cell>
        </row>
        <row r="194">
          <cell r="B194" t="str">
            <v>ANN</v>
          </cell>
          <cell r="C194" t="str">
            <v>End of Year # Stores</v>
          </cell>
          <cell r="D194">
            <v>324</v>
          </cell>
          <cell r="E194">
            <v>365</v>
          </cell>
          <cell r="F194">
            <v>405</v>
          </cell>
          <cell r="G194">
            <v>478</v>
          </cell>
          <cell r="H194">
            <v>538</v>
          </cell>
          <cell r="I194">
            <v>584</v>
          </cell>
          <cell r="J194">
            <v>648</v>
          </cell>
          <cell r="K194">
            <v>738</v>
          </cell>
          <cell r="L194">
            <v>824</v>
          </cell>
          <cell r="M194">
            <v>869</v>
          </cell>
          <cell r="N194">
            <v>929</v>
          </cell>
          <cell r="O194">
            <v>935</v>
          </cell>
          <cell r="P194">
            <v>907</v>
          </cell>
          <cell r="Q194">
            <v>896</v>
          </cell>
          <cell r="R194">
            <v>953</v>
          </cell>
          <cell r="S194">
            <v>984</v>
          </cell>
          <cell r="T194">
            <v>1019</v>
          </cell>
          <cell r="U194">
            <v>1042</v>
          </cell>
          <cell r="V194">
            <v>1062</v>
          </cell>
          <cell r="W194" t="str">
            <v xml:space="preserve">Est. Renewal + New </v>
          </cell>
          <cell r="Y194" t="str">
            <v>ANF2009</v>
          </cell>
          <cell r="Z194">
            <v>0.44586656238183364</v>
          </cell>
          <cell r="AB194" t="str">
            <v>TLB</v>
          </cell>
          <cell r="AC194">
            <v>0.37738107711413327</v>
          </cell>
          <cell r="AE194" t="str">
            <v>TLB</v>
          </cell>
          <cell r="AF194" t="str">
            <v xml:space="preserve">TLB </v>
          </cell>
        </row>
        <row r="195">
          <cell r="C195" t="str">
            <v>New Store Openings</v>
          </cell>
          <cell r="D195">
            <v>27</v>
          </cell>
          <cell r="E195">
            <v>45</v>
          </cell>
          <cell r="F195">
            <v>47</v>
          </cell>
          <cell r="G195">
            <v>81</v>
          </cell>
          <cell r="H195">
            <v>67</v>
          </cell>
          <cell r="I195">
            <v>49</v>
          </cell>
          <cell r="J195">
            <v>70</v>
          </cell>
          <cell r="K195">
            <v>95</v>
          </cell>
          <cell r="L195">
            <v>97</v>
          </cell>
          <cell r="M195">
            <v>70</v>
          </cell>
          <cell r="N195">
            <v>77</v>
          </cell>
          <cell r="O195">
            <v>66</v>
          </cell>
          <cell r="P195">
            <v>14</v>
          </cell>
          <cell r="Q195">
            <v>34</v>
          </cell>
          <cell r="R195">
            <v>76</v>
          </cell>
          <cell r="S195">
            <v>63</v>
          </cell>
          <cell r="T195">
            <v>65</v>
          </cell>
          <cell r="U195">
            <v>28</v>
          </cell>
          <cell r="V195">
            <v>25</v>
          </cell>
          <cell r="W195" t="str">
            <v>Stores as % of Total</v>
          </cell>
          <cell r="Y195" t="str">
            <v>URBN2009</v>
          </cell>
          <cell r="Z195">
            <v>0.43109594588854916</v>
          </cell>
          <cell r="AB195" t="str">
            <v>ANF</v>
          </cell>
          <cell r="AC195">
            <v>0.31524129122736722</v>
          </cell>
          <cell r="AE195" t="str">
            <v>ANF</v>
          </cell>
          <cell r="AF195" t="str">
            <v xml:space="preserve">ANF </v>
          </cell>
        </row>
        <row r="196">
          <cell r="C196" t="str">
            <v>Store Closings</v>
          </cell>
          <cell r="D196">
            <v>12</v>
          </cell>
          <cell r="E196">
            <v>4</v>
          </cell>
          <cell r="F196">
            <v>7</v>
          </cell>
          <cell r="G196">
            <v>8</v>
          </cell>
          <cell r="H196">
            <v>7</v>
          </cell>
          <cell r="I196">
            <v>3</v>
          </cell>
          <cell r="J196">
            <v>6</v>
          </cell>
          <cell r="K196">
            <v>5</v>
          </cell>
          <cell r="L196">
            <v>11</v>
          </cell>
          <cell r="M196">
            <v>25</v>
          </cell>
          <cell r="N196">
            <v>17</v>
          </cell>
          <cell r="O196">
            <v>60</v>
          </cell>
          <cell r="P196">
            <v>42</v>
          </cell>
          <cell r="Q196">
            <v>45</v>
          </cell>
          <cell r="R196">
            <v>19</v>
          </cell>
          <cell r="S196">
            <v>32</v>
          </cell>
          <cell r="T196">
            <v>30</v>
          </cell>
          <cell r="U196">
            <v>5</v>
          </cell>
          <cell r="V196">
            <v>5</v>
          </cell>
        </row>
        <row r="197">
          <cell r="C197" t="str">
            <v xml:space="preserve">Stores Up for Negotation as a % of Total </v>
          </cell>
          <cell r="T197">
            <v>0.1324828263002944</v>
          </cell>
          <cell r="U197">
            <v>0.11804222648752399</v>
          </cell>
          <cell r="V197">
            <v>0.11487758945386065</v>
          </cell>
          <cell r="W197">
            <v>0.36540264224167907</v>
          </cell>
          <cell r="Y197" t="str">
            <v>ARO2009</v>
          </cell>
          <cell r="Z197">
            <v>0.37257664709719507</v>
          </cell>
          <cell r="AB197" t="str">
            <v>COH</v>
          </cell>
          <cell r="AC197">
            <v>0.31480360058911533</v>
          </cell>
          <cell r="AE197" t="str">
            <v>COH</v>
          </cell>
          <cell r="AF197" t="str">
            <v xml:space="preserve">COH </v>
          </cell>
        </row>
        <row r="198">
          <cell r="C198" t="str">
            <v>Gross Square Footage</v>
          </cell>
          <cell r="D198">
            <v>1.7565</v>
          </cell>
          <cell r="E198">
            <v>1.9180000000000001</v>
          </cell>
          <cell r="F198">
            <v>2.1545000000000005</v>
          </cell>
          <cell r="G198">
            <v>2.4874999999999998</v>
          </cell>
          <cell r="H198">
            <v>2.8754999999999997</v>
          </cell>
          <cell r="I198">
            <v>3.1802999999999999</v>
          </cell>
          <cell r="J198">
            <v>3.4832999999999998</v>
          </cell>
          <cell r="K198">
            <v>3.9319999999999999</v>
          </cell>
          <cell r="L198">
            <v>4.5015000000000001</v>
          </cell>
          <cell r="M198">
            <v>4.9400000000000004</v>
          </cell>
          <cell r="N198">
            <v>5.2445000000000004</v>
          </cell>
          <cell r="O198">
            <v>5.4510000000000005</v>
          </cell>
          <cell r="P198">
            <v>5.42</v>
          </cell>
          <cell r="Q198">
            <v>5.3159999999999998</v>
          </cell>
          <cell r="R198">
            <v>5.4339999999999993</v>
          </cell>
          <cell r="S198">
            <v>5.7029499999999995</v>
          </cell>
          <cell r="T198">
            <v>5.9311499999999997</v>
          </cell>
          <cell r="U198">
            <v>6.1110999999999995</v>
          </cell>
          <cell r="V198">
            <v>6.2420999999999989</v>
          </cell>
        </row>
        <row r="199">
          <cell r="B199" t="str">
            <v>ARO</v>
          </cell>
          <cell r="C199" t="str">
            <v>End of Year # Stores</v>
          </cell>
          <cell r="D199" t="str">
            <v>NA</v>
          </cell>
          <cell r="E199" t="str">
            <v>NA</v>
          </cell>
          <cell r="F199">
            <v>151</v>
          </cell>
          <cell r="G199">
            <v>224</v>
          </cell>
          <cell r="H199">
            <v>278</v>
          </cell>
          <cell r="I199">
            <v>367</v>
          </cell>
          <cell r="J199">
            <v>459</v>
          </cell>
          <cell r="K199">
            <v>561</v>
          </cell>
          <cell r="L199">
            <v>671</v>
          </cell>
          <cell r="M199">
            <v>742</v>
          </cell>
          <cell r="N199">
            <v>828</v>
          </cell>
          <cell r="O199">
            <v>914</v>
          </cell>
          <cell r="P199">
            <v>952</v>
          </cell>
          <cell r="Q199">
            <v>1012</v>
          </cell>
          <cell r="R199">
            <v>1057</v>
          </cell>
          <cell r="S199">
            <v>1095</v>
          </cell>
          <cell r="T199">
            <v>1151</v>
          </cell>
          <cell r="U199">
            <v>1181</v>
          </cell>
          <cell r="V199">
            <v>1219</v>
          </cell>
          <cell r="W199" t="str">
            <v xml:space="preserve">Est. Renewal + New </v>
          </cell>
          <cell r="Y199" t="str">
            <v>COH2009</v>
          </cell>
          <cell r="Z199">
            <v>0.40221365664572795</v>
          </cell>
          <cell r="AB199" t="str">
            <v>TIF</v>
          </cell>
          <cell r="AC199">
            <v>0.31466034456172814</v>
          </cell>
          <cell r="AE199" t="str">
            <v>TIF</v>
          </cell>
          <cell r="AF199" t="str">
            <v xml:space="preserve">TIF </v>
          </cell>
        </row>
        <row r="200">
          <cell r="C200" t="str">
            <v>New Store Openings</v>
          </cell>
          <cell r="D200" t="str">
            <v>NA</v>
          </cell>
          <cell r="E200" t="str">
            <v>NA</v>
          </cell>
          <cell r="F200">
            <v>40</v>
          </cell>
          <cell r="G200">
            <v>74</v>
          </cell>
          <cell r="H200">
            <v>62</v>
          </cell>
          <cell r="I200">
            <v>93</v>
          </cell>
          <cell r="J200">
            <v>95</v>
          </cell>
          <cell r="K200">
            <v>103</v>
          </cell>
          <cell r="L200">
            <v>119</v>
          </cell>
          <cell r="M200">
            <v>74</v>
          </cell>
          <cell r="N200">
            <v>88</v>
          </cell>
          <cell r="O200">
            <v>88</v>
          </cell>
          <cell r="P200">
            <v>53</v>
          </cell>
          <cell r="Q200">
            <v>68</v>
          </cell>
          <cell r="R200">
            <v>47</v>
          </cell>
          <cell r="S200">
            <v>48</v>
          </cell>
          <cell r="T200">
            <v>74</v>
          </cell>
          <cell r="U200">
            <v>40</v>
          </cell>
          <cell r="V200">
            <v>40</v>
          </cell>
          <cell r="W200" t="str">
            <v>Stores as % of Total</v>
          </cell>
          <cell r="Y200" t="str">
            <v>AEO2009</v>
          </cell>
          <cell r="Z200">
            <v>0.23462101636520241</v>
          </cell>
          <cell r="AB200" t="str">
            <v>TJX</v>
          </cell>
          <cell r="AC200">
            <v>0.31280725462882786</v>
          </cell>
          <cell r="AE200" t="str">
            <v>TJX</v>
          </cell>
          <cell r="AF200" t="str">
            <v xml:space="preserve">TJX </v>
          </cell>
        </row>
        <row r="201">
          <cell r="C201" t="str">
            <v>Store Closings</v>
          </cell>
          <cell r="D201" t="str">
            <v>NA</v>
          </cell>
          <cell r="E201" t="str">
            <v>NA</v>
          </cell>
          <cell r="F201">
            <v>7</v>
          </cell>
          <cell r="G201">
            <v>1</v>
          </cell>
          <cell r="H201">
            <v>8</v>
          </cell>
          <cell r="I201">
            <v>4</v>
          </cell>
          <cell r="J201">
            <v>3</v>
          </cell>
          <cell r="K201">
            <v>1</v>
          </cell>
          <cell r="L201">
            <v>9</v>
          </cell>
          <cell r="M201">
            <v>3</v>
          </cell>
          <cell r="N201">
            <v>2</v>
          </cell>
          <cell r="O201">
            <v>2</v>
          </cell>
          <cell r="P201">
            <v>15</v>
          </cell>
          <cell r="Q201">
            <v>8</v>
          </cell>
          <cell r="R201">
            <v>2</v>
          </cell>
          <cell r="S201">
            <v>10</v>
          </cell>
          <cell r="T201">
            <v>18</v>
          </cell>
          <cell r="U201">
            <v>10</v>
          </cell>
          <cell r="V201">
            <v>2</v>
          </cell>
        </row>
        <row r="202">
          <cell r="C202" t="str">
            <v xml:space="preserve">Stores Up for Negotation as a % of Total </v>
          </cell>
          <cell r="T202">
            <v>0.14682884448305822</v>
          </cell>
          <cell r="U202">
            <v>0.12108382726502964</v>
          </cell>
          <cell r="V202">
            <v>0.13043478260869565</v>
          </cell>
          <cell r="W202">
            <v>0.39834745435678354</v>
          </cell>
          <cell r="Y202" t="str">
            <v>CHS2009</v>
          </cell>
          <cell r="Z202">
            <v>0.40320803378882658</v>
          </cell>
          <cell r="AB202" t="str">
            <v>ARO</v>
          </cell>
          <cell r="AC202">
            <v>0.28132227506821411</v>
          </cell>
          <cell r="AE202" t="str">
            <v>ARO</v>
          </cell>
          <cell r="AF202" t="str">
            <v xml:space="preserve">ARO </v>
          </cell>
        </row>
        <row r="203">
          <cell r="C203" t="str">
            <v>Gross Square Footage</v>
          </cell>
          <cell r="D203" t="str">
            <v>NA</v>
          </cell>
          <cell r="E203" t="str">
            <v>NA</v>
          </cell>
          <cell r="F203">
            <v>0.54661000000000004</v>
          </cell>
          <cell r="G203">
            <v>0.77510999999999997</v>
          </cell>
          <cell r="H203">
            <v>0.96269700000000002</v>
          </cell>
          <cell r="I203">
            <v>1.299606</v>
          </cell>
          <cell r="J203">
            <v>1.611669</v>
          </cell>
          <cell r="K203">
            <v>1.9784060000000001</v>
          </cell>
          <cell r="L203">
            <v>2.373475</v>
          </cell>
          <cell r="M203">
            <v>2.6259999999999999</v>
          </cell>
          <cell r="N203">
            <v>2.9352140000000002</v>
          </cell>
          <cell r="O203">
            <v>3.2846139999999999</v>
          </cell>
          <cell r="P203">
            <v>3.4283760000000001</v>
          </cell>
          <cell r="Q203">
            <v>3.703033</v>
          </cell>
          <cell r="R203">
            <v>3.9087839999999998</v>
          </cell>
          <cell r="S203">
            <v>4.0513839999999997</v>
          </cell>
          <cell r="T203">
            <v>4.2435840000000002</v>
          </cell>
          <cell r="U203">
            <v>4.3551840000000004</v>
          </cell>
          <cell r="V203">
            <v>4.4915840000000005</v>
          </cell>
        </row>
        <row r="204">
          <cell r="B204" t="str">
            <v>CHS</v>
          </cell>
          <cell r="C204" t="str">
            <v>End of Year # Stores</v>
          </cell>
          <cell r="D204">
            <v>141</v>
          </cell>
          <cell r="E204">
            <v>162</v>
          </cell>
          <cell r="F204">
            <v>200</v>
          </cell>
          <cell r="G204">
            <v>250</v>
          </cell>
          <cell r="H204">
            <v>311</v>
          </cell>
          <cell r="I204">
            <v>378</v>
          </cell>
          <cell r="J204">
            <v>548</v>
          </cell>
          <cell r="K204">
            <v>657</v>
          </cell>
          <cell r="L204">
            <v>763</v>
          </cell>
          <cell r="M204">
            <v>920</v>
          </cell>
          <cell r="N204">
            <v>1038</v>
          </cell>
          <cell r="O204">
            <v>1076</v>
          </cell>
          <cell r="P204">
            <v>1080</v>
          </cell>
          <cell r="Q204">
            <v>1151</v>
          </cell>
          <cell r="R204">
            <v>1256</v>
          </cell>
          <cell r="S204">
            <v>1357</v>
          </cell>
          <cell r="T204">
            <v>1485</v>
          </cell>
          <cell r="U204">
            <v>1588</v>
          </cell>
          <cell r="V204">
            <v>1691</v>
          </cell>
          <cell r="W204" t="str">
            <v xml:space="preserve">Est. Renewal + New </v>
          </cell>
          <cell r="Y204" t="str">
            <v>ROST2009</v>
          </cell>
          <cell r="Z204">
            <v>0.35910877163928379</v>
          </cell>
          <cell r="AB204" t="str">
            <v>AEO</v>
          </cell>
          <cell r="AC204">
            <v>0.28042089756544664</v>
          </cell>
          <cell r="AE204" t="str">
            <v>AEO</v>
          </cell>
          <cell r="AF204" t="str">
            <v xml:space="preserve">AEO </v>
          </cell>
        </row>
        <row r="205">
          <cell r="C205" t="str">
            <v>New Store Openings</v>
          </cell>
          <cell r="D205">
            <v>15</v>
          </cell>
          <cell r="E205">
            <v>25</v>
          </cell>
          <cell r="F205">
            <v>41</v>
          </cell>
          <cell r="G205">
            <v>53</v>
          </cell>
          <cell r="H205">
            <v>64</v>
          </cell>
          <cell r="I205">
            <v>67</v>
          </cell>
          <cell r="J205">
            <v>58</v>
          </cell>
          <cell r="K205">
            <v>118</v>
          </cell>
          <cell r="L205">
            <v>106</v>
          </cell>
          <cell r="M205">
            <v>158</v>
          </cell>
          <cell r="N205">
            <v>146</v>
          </cell>
          <cell r="O205">
            <v>49</v>
          </cell>
          <cell r="P205">
            <v>30</v>
          </cell>
          <cell r="Q205">
            <v>80</v>
          </cell>
          <cell r="R205">
            <v>137</v>
          </cell>
          <cell r="S205">
            <v>125</v>
          </cell>
          <cell r="T205">
            <v>145</v>
          </cell>
          <cell r="U205">
            <v>120</v>
          </cell>
          <cell r="V205">
            <v>120</v>
          </cell>
          <cell r="W205" t="str">
            <v>Stores as % of Total</v>
          </cell>
          <cell r="Y205" t="str">
            <v>TJX2009</v>
          </cell>
          <cell r="Z205">
            <v>0.30601265074429024</v>
          </cell>
          <cell r="AB205" t="str">
            <v>ROST</v>
          </cell>
          <cell r="AC205">
            <v>0.27287831460692641</v>
          </cell>
          <cell r="AE205" t="str">
            <v>ROST</v>
          </cell>
        </row>
        <row r="206">
          <cell r="C206" t="str">
            <v>Store Closings</v>
          </cell>
          <cell r="D206">
            <v>7</v>
          </cell>
          <cell r="E206">
            <v>4</v>
          </cell>
          <cell r="F206">
            <v>3</v>
          </cell>
          <cell r="G206">
            <v>3</v>
          </cell>
          <cell r="H206">
            <v>3</v>
          </cell>
          <cell r="I206">
            <v>0</v>
          </cell>
          <cell r="J206">
            <v>2</v>
          </cell>
          <cell r="K206">
            <v>9</v>
          </cell>
          <cell r="L206">
            <v>0</v>
          </cell>
          <cell r="M206">
            <v>6</v>
          </cell>
          <cell r="N206">
            <v>18</v>
          </cell>
          <cell r="O206">
            <v>11</v>
          </cell>
          <cell r="P206">
            <v>26</v>
          </cell>
          <cell r="Q206">
            <v>9</v>
          </cell>
          <cell r="R206">
            <v>32</v>
          </cell>
          <cell r="S206">
            <v>24</v>
          </cell>
          <cell r="T206">
            <v>17</v>
          </cell>
          <cell r="U206">
            <v>17</v>
          </cell>
          <cell r="V206">
            <v>17</v>
          </cell>
        </row>
        <row r="207">
          <cell r="C207" t="str">
            <v xml:space="preserve">Stores Up for Negotation as a % of Total </v>
          </cell>
          <cell r="T207">
            <v>0.13670033670033671</v>
          </cell>
          <cell r="U207">
            <v>0.14987405541561713</v>
          </cell>
          <cell r="V207">
            <v>0.13364872856298049</v>
          </cell>
          <cell r="W207">
            <v>0.4202231206789343</v>
          </cell>
          <cell r="Y207" t="str">
            <v>ANN2009</v>
          </cell>
          <cell r="Z207">
            <v>0.34249710739925038</v>
          </cell>
          <cell r="AB207" t="str">
            <v>CHS</v>
          </cell>
          <cell r="AC207">
            <v>0.25976024802294312</v>
          </cell>
          <cell r="AE207" t="str">
            <v>CHS</v>
          </cell>
          <cell r="AF207" t="str">
            <v xml:space="preserve">CHS </v>
          </cell>
        </row>
        <row r="208">
          <cell r="C208" t="str">
            <v>Gross Square Footage</v>
          </cell>
          <cell r="D208">
            <v>0</v>
          </cell>
          <cell r="E208">
            <v>0</v>
          </cell>
          <cell r="F208">
            <v>0</v>
          </cell>
          <cell r="G208">
            <v>0</v>
          </cell>
          <cell r="H208">
            <v>0</v>
          </cell>
          <cell r="I208">
            <v>0</v>
          </cell>
          <cell r="J208">
            <v>0</v>
          </cell>
          <cell r="K208">
            <v>0</v>
          </cell>
          <cell r="L208">
            <v>0</v>
          </cell>
          <cell r="M208">
            <v>0</v>
          </cell>
          <cell r="N208">
            <v>0</v>
          </cell>
          <cell r="O208">
            <v>0</v>
          </cell>
          <cell r="P208">
            <v>0</v>
          </cell>
          <cell r="Q208">
            <v>0</v>
          </cell>
          <cell r="R208">
            <v>0</v>
          </cell>
          <cell r="S208">
            <v>0</v>
          </cell>
          <cell r="T208">
            <v>0</v>
          </cell>
          <cell r="U208">
            <v>0</v>
          </cell>
          <cell r="V208">
            <v>0</v>
          </cell>
        </row>
        <row r="209">
          <cell r="B209" t="str">
            <v>COH</v>
          </cell>
          <cell r="C209" t="str">
            <v>End of Year # Stores</v>
          </cell>
          <cell r="D209" t="str">
            <v>NA</v>
          </cell>
          <cell r="E209" t="str">
            <v>NA</v>
          </cell>
          <cell r="F209" t="str">
            <v>NA</v>
          </cell>
          <cell r="G209">
            <v>239</v>
          </cell>
          <cell r="H209">
            <v>265</v>
          </cell>
          <cell r="I209">
            <v>295</v>
          </cell>
          <cell r="J209">
            <v>325</v>
          </cell>
          <cell r="K209">
            <v>350</v>
          </cell>
          <cell r="L209">
            <v>378</v>
          </cell>
          <cell r="M209">
            <v>422</v>
          </cell>
          <cell r="N209">
            <v>489</v>
          </cell>
          <cell r="O209">
            <v>548</v>
          </cell>
          <cell r="P209">
            <v>624</v>
          </cell>
          <cell r="Q209">
            <v>665</v>
          </cell>
          <cell r="R209">
            <v>723</v>
          </cell>
          <cell r="S209">
            <v>832</v>
          </cell>
          <cell r="T209">
            <v>912</v>
          </cell>
          <cell r="U209">
            <v>983</v>
          </cell>
          <cell r="V209">
            <v>1054</v>
          </cell>
          <cell r="W209" t="str">
            <v xml:space="preserve">Est. Renewal + New </v>
          </cell>
          <cell r="Y209" t="str">
            <v>JCG2009</v>
          </cell>
          <cell r="Z209">
            <v>0.29111373453400685</v>
          </cell>
          <cell r="AB209" t="str">
            <v>ANN</v>
          </cell>
          <cell r="AC209">
            <v>0.15037683740834962</v>
          </cell>
          <cell r="AE209" t="str">
            <v>ANN</v>
          </cell>
          <cell r="AF209" t="str">
            <v xml:space="preserve">ANN </v>
          </cell>
        </row>
        <row r="210">
          <cell r="C210" t="str">
            <v>New Store Openings</v>
          </cell>
          <cell r="D210" t="str">
            <v>NA</v>
          </cell>
          <cell r="E210" t="str">
            <v>NA</v>
          </cell>
          <cell r="F210" t="str">
            <v>NA</v>
          </cell>
          <cell r="G210">
            <v>10</v>
          </cell>
          <cell r="H210">
            <v>26</v>
          </cell>
          <cell r="I210">
            <v>33</v>
          </cell>
          <cell r="J210">
            <v>37</v>
          </cell>
          <cell r="K210">
            <v>29</v>
          </cell>
          <cell r="L210">
            <v>38</v>
          </cell>
          <cell r="M210">
            <v>50</v>
          </cell>
          <cell r="N210">
            <v>70</v>
          </cell>
          <cell r="O210">
            <v>60</v>
          </cell>
          <cell r="P210">
            <v>85</v>
          </cell>
          <cell r="Q210">
            <v>52</v>
          </cell>
          <cell r="R210">
            <v>65</v>
          </cell>
          <cell r="S210">
            <v>114</v>
          </cell>
          <cell r="T210">
            <v>83</v>
          </cell>
          <cell r="U210">
            <v>74</v>
          </cell>
          <cell r="V210">
            <v>74</v>
          </cell>
          <cell r="W210" t="str">
            <v>Stores as % of Total</v>
          </cell>
          <cell r="Y210" t="str">
            <v>PLCE2009</v>
          </cell>
          <cell r="Z210">
            <v>0.40735649884065694</v>
          </cell>
          <cell r="AB210" t="str">
            <v>LTD</v>
          </cell>
          <cell r="AC210">
            <v>7.3625433459171691E-2</v>
          </cell>
          <cell r="AE210" t="str">
            <v>LTD</v>
          </cell>
          <cell r="AF210" t="str">
            <v xml:space="preserve">LTD </v>
          </cell>
        </row>
        <row r="211">
          <cell r="C211" t="str">
            <v>Store Closings</v>
          </cell>
          <cell r="D211" t="str">
            <v>NA</v>
          </cell>
          <cell r="E211" t="str">
            <v>NA</v>
          </cell>
          <cell r="F211" t="str">
            <v>NA</v>
          </cell>
          <cell r="G211">
            <v>4</v>
          </cell>
          <cell r="H211">
            <v>0</v>
          </cell>
          <cell r="I211">
            <v>3</v>
          </cell>
          <cell r="J211">
            <v>7</v>
          </cell>
          <cell r="K211">
            <v>4</v>
          </cell>
          <cell r="L211">
            <v>10</v>
          </cell>
          <cell r="M211">
            <v>6</v>
          </cell>
          <cell r="N211">
            <v>3</v>
          </cell>
          <cell r="O211">
            <v>1</v>
          </cell>
          <cell r="P211">
            <v>9</v>
          </cell>
          <cell r="Q211">
            <v>11</v>
          </cell>
          <cell r="R211">
            <v>7</v>
          </cell>
          <cell r="S211">
            <v>5</v>
          </cell>
          <cell r="T211">
            <v>3</v>
          </cell>
          <cell r="U211">
            <v>3</v>
          </cell>
          <cell r="V211">
            <v>3</v>
          </cell>
        </row>
        <row r="212">
          <cell r="C212" t="str">
            <v xml:space="preserve">Stores Up for Negotation as a % of Total </v>
          </cell>
          <cell r="T212">
            <v>0.13157894736842105</v>
          </cell>
          <cell r="U212">
            <v>0.10478128179043744</v>
          </cell>
          <cell r="V212">
            <v>0.10626185958254269</v>
          </cell>
          <cell r="W212">
            <v>0.34262208874140121</v>
          </cell>
        </row>
        <row r="213">
          <cell r="C213" t="str">
            <v>Gross Square Footage</v>
          </cell>
          <cell r="D213" t="str">
            <v>NA</v>
          </cell>
          <cell r="E213" t="str">
            <v>NA</v>
          </cell>
          <cell r="F213" t="str">
            <v>NA</v>
          </cell>
          <cell r="G213">
            <v>0</v>
          </cell>
          <cell r="H213">
            <v>0</v>
          </cell>
          <cell r="I213">
            <v>0</v>
          </cell>
          <cell r="J213">
            <v>0</v>
          </cell>
          <cell r="K213">
            <v>0</v>
          </cell>
          <cell r="L213">
            <v>0</v>
          </cell>
          <cell r="M213">
            <v>0</v>
          </cell>
          <cell r="N213">
            <v>0</v>
          </cell>
          <cell r="O213">
            <v>0</v>
          </cell>
          <cell r="P213">
            <v>0</v>
          </cell>
          <cell r="Q213">
            <v>0</v>
          </cell>
          <cell r="R213">
            <v>0</v>
          </cell>
          <cell r="S213">
            <v>0</v>
          </cell>
          <cell r="T213">
            <v>48</v>
          </cell>
          <cell r="U213">
            <v>50</v>
          </cell>
          <cell r="V213">
            <v>52</v>
          </cell>
        </row>
        <row r="214">
          <cell r="B214" t="str">
            <v>EXPR</v>
          </cell>
          <cell r="C214" t="str">
            <v>End of Year # Stores</v>
          </cell>
          <cell r="D214" t="str">
            <v>NA</v>
          </cell>
          <cell r="E214">
            <v>1234</v>
          </cell>
          <cell r="F214">
            <v>1187</v>
          </cell>
          <cell r="G214">
            <v>1136</v>
          </cell>
          <cell r="H214">
            <v>1106</v>
          </cell>
          <cell r="I214">
            <v>1031</v>
          </cell>
          <cell r="J214">
            <v>956</v>
          </cell>
          <cell r="K214">
            <v>884</v>
          </cell>
          <cell r="L214">
            <v>743</v>
          </cell>
          <cell r="M214">
            <v>658</v>
          </cell>
          <cell r="N214">
            <v>587</v>
          </cell>
          <cell r="O214">
            <v>581</v>
          </cell>
          <cell r="P214">
            <v>573</v>
          </cell>
          <cell r="Q214">
            <v>591</v>
          </cell>
          <cell r="R214">
            <v>609</v>
          </cell>
          <cell r="S214">
            <v>625</v>
          </cell>
          <cell r="T214">
            <v>632</v>
          </cell>
          <cell r="U214">
            <v>647</v>
          </cell>
          <cell r="V214">
            <v>657</v>
          </cell>
          <cell r="W214" t="str">
            <v xml:space="preserve">Est. Renewal + New </v>
          </cell>
        </row>
        <row r="215">
          <cell r="C215" t="str">
            <v>New Store Openings</v>
          </cell>
          <cell r="D215" t="str">
            <v>NA</v>
          </cell>
          <cell r="E215">
            <v>4</v>
          </cell>
          <cell r="F215">
            <v>9</v>
          </cell>
          <cell r="G215">
            <v>4</v>
          </cell>
          <cell r="H215">
            <v>16</v>
          </cell>
          <cell r="I215">
            <v>21</v>
          </cell>
          <cell r="J215">
            <v>7</v>
          </cell>
          <cell r="K215">
            <v>15</v>
          </cell>
          <cell r="L215">
            <v>17</v>
          </cell>
          <cell r="M215">
            <v>2</v>
          </cell>
          <cell r="N215">
            <v>2</v>
          </cell>
          <cell r="O215">
            <v>4</v>
          </cell>
          <cell r="P215">
            <v>7</v>
          </cell>
          <cell r="Q215">
            <v>23</v>
          </cell>
          <cell r="R215">
            <v>27</v>
          </cell>
          <cell r="S215">
            <v>28</v>
          </cell>
          <cell r="T215">
            <v>16</v>
          </cell>
          <cell r="U215">
            <v>20</v>
          </cell>
          <cell r="V215">
            <v>15</v>
          </cell>
          <cell r="W215" t="str">
            <v>Stores as % of Total</v>
          </cell>
          <cell r="Y215">
            <v>660</v>
          </cell>
          <cell r="Z215">
            <v>581</v>
          </cell>
          <cell r="AA215">
            <v>582</v>
          </cell>
        </row>
        <row r="216">
          <cell r="C216" t="str">
            <v>Store Closings</v>
          </cell>
          <cell r="D216" t="str">
            <v>NA</v>
          </cell>
          <cell r="E216" t="str">
            <v>NA</v>
          </cell>
          <cell r="F216" t="str">
            <v>NA</v>
          </cell>
          <cell r="G216" t="str">
            <v>NA</v>
          </cell>
          <cell r="H216" t="str">
            <v>NA</v>
          </cell>
          <cell r="I216" t="str">
            <v>NA</v>
          </cell>
          <cell r="J216" t="str">
            <v>NA</v>
          </cell>
          <cell r="K216">
            <v>0</v>
          </cell>
          <cell r="L216">
            <v>0</v>
          </cell>
          <cell r="M216">
            <v>0</v>
          </cell>
          <cell r="N216">
            <v>0</v>
          </cell>
          <cell r="O216">
            <v>10</v>
          </cell>
          <cell r="P216">
            <v>6</v>
          </cell>
          <cell r="Q216">
            <v>5</v>
          </cell>
          <cell r="R216">
            <v>9</v>
          </cell>
          <cell r="S216">
            <v>12</v>
          </cell>
          <cell r="T216">
            <v>9</v>
          </cell>
          <cell r="U216">
            <v>5</v>
          </cell>
          <cell r="V216">
            <v>5</v>
          </cell>
        </row>
        <row r="217">
          <cell r="C217" t="str">
            <v xml:space="preserve">Stores Up for Negotation as a % of Total </v>
          </cell>
          <cell r="T217">
            <v>3.6392405063291139E-2</v>
          </cell>
          <cell r="U217">
            <v>5.4095826893353939E-2</v>
          </cell>
          <cell r="V217">
            <v>4.8706240487062402E-2</v>
          </cell>
          <cell r="W217">
            <v>0.13919447244370747</v>
          </cell>
        </row>
        <row r="218">
          <cell r="C218" t="str">
            <v>Gross Square Footage</v>
          </cell>
          <cell r="D218" t="str">
            <v>NA</v>
          </cell>
          <cell r="E218" t="str">
            <v>NA</v>
          </cell>
          <cell r="F218" t="str">
            <v>NA</v>
          </cell>
          <cell r="G218" t="str">
            <v>NA</v>
          </cell>
          <cell r="H218" t="str">
            <v>NA</v>
          </cell>
          <cell r="I218" t="str">
            <v>NA</v>
          </cell>
          <cell r="J218" t="str">
            <v>NA</v>
          </cell>
          <cell r="K218">
            <v>6.867</v>
          </cell>
          <cell r="L218">
            <v>6.4770000000000003</v>
          </cell>
          <cell r="M218">
            <v>5.7770000000000001</v>
          </cell>
          <cell r="N218">
            <v>5.1420000000000003</v>
          </cell>
          <cell r="O218">
            <v>5.032</v>
          </cell>
          <cell r="P218">
            <v>4.9945069999999996</v>
          </cell>
          <cell r="Q218">
            <v>5.1280000000000001</v>
          </cell>
          <cell r="R218">
            <v>5.2670000000000003</v>
          </cell>
          <cell r="S218">
            <v>5.4062000000000001</v>
          </cell>
          <cell r="T218">
            <v>5.4691999999999998</v>
          </cell>
          <cell r="U218">
            <v>5.6041999999999996</v>
          </cell>
          <cell r="V218">
            <v>5.6941999999999995</v>
          </cell>
        </row>
        <row r="219">
          <cell r="B219" t="str">
            <v>GES</v>
          </cell>
          <cell r="C219" t="str">
            <v>End of Year # Stores</v>
          </cell>
          <cell r="D219" t="str">
            <v>NA</v>
          </cell>
          <cell r="E219" t="str">
            <v>NA</v>
          </cell>
          <cell r="F219" t="str">
            <v>NA</v>
          </cell>
          <cell r="G219" t="str">
            <v>NA</v>
          </cell>
          <cell r="H219" t="str">
            <v>NA</v>
          </cell>
          <cell r="I219" t="str">
            <v>NA</v>
          </cell>
          <cell r="J219" t="str">
            <v>NA</v>
          </cell>
          <cell r="K219" t="str">
            <v>NA</v>
          </cell>
          <cell r="L219" t="str">
            <v>NA</v>
          </cell>
          <cell r="M219" t="str">
            <v>NA</v>
          </cell>
          <cell r="N219">
            <v>413</v>
          </cell>
          <cell r="O219">
            <v>486</v>
          </cell>
          <cell r="P219">
            <v>544</v>
          </cell>
          <cell r="Q219">
            <v>649</v>
          </cell>
          <cell r="R219">
            <v>734</v>
          </cell>
          <cell r="S219">
            <v>837</v>
          </cell>
          <cell r="T219">
            <v>837</v>
          </cell>
          <cell r="U219">
            <v>837</v>
          </cell>
          <cell r="V219">
            <v>837</v>
          </cell>
          <cell r="W219" t="str">
            <v xml:space="preserve">Est. Renewal + New </v>
          </cell>
        </row>
        <row r="220">
          <cell r="C220" t="str">
            <v>New Store Openings</v>
          </cell>
          <cell r="D220" t="str">
            <v>NA</v>
          </cell>
          <cell r="E220" t="str">
            <v>NA</v>
          </cell>
          <cell r="F220" t="str">
            <v>NA</v>
          </cell>
          <cell r="G220" t="str">
            <v>NA</v>
          </cell>
          <cell r="H220" t="str">
            <v>NA</v>
          </cell>
          <cell r="I220" t="str">
            <v>NA</v>
          </cell>
          <cell r="J220" t="str">
            <v>NA</v>
          </cell>
          <cell r="K220" t="str">
            <v>NA</v>
          </cell>
          <cell r="L220" t="str">
            <v>NA</v>
          </cell>
          <cell r="M220" t="str">
            <v>NA</v>
          </cell>
          <cell r="N220" t="str">
            <v>NA</v>
          </cell>
          <cell r="O220">
            <v>73</v>
          </cell>
          <cell r="P220">
            <v>58</v>
          </cell>
          <cell r="Q220">
            <v>105</v>
          </cell>
          <cell r="R220">
            <v>85</v>
          </cell>
          <cell r="S220">
            <v>103</v>
          </cell>
          <cell r="T220">
            <v>0</v>
          </cell>
          <cell r="U220">
            <v>0</v>
          </cell>
          <cell r="V220">
            <v>0</v>
          </cell>
          <cell r="W220" t="str">
            <v>Stores as % of Total</v>
          </cell>
        </row>
        <row r="221">
          <cell r="C221" t="str">
            <v>Store Closings</v>
          </cell>
          <cell r="D221">
            <v>-6508</v>
          </cell>
          <cell r="E221">
            <v>-9054</v>
          </cell>
          <cell r="F221">
            <v>-11600</v>
          </cell>
          <cell r="G221">
            <v>-13673</v>
          </cell>
          <cell r="H221">
            <v>-13848</v>
          </cell>
          <cell r="I221">
            <v>-14455</v>
          </cell>
          <cell r="J221">
            <v>-15854</v>
          </cell>
          <cell r="K221">
            <v>-16267</v>
          </cell>
          <cell r="L221">
            <v>-16015</v>
          </cell>
          <cell r="M221">
            <v>-15916</v>
          </cell>
          <cell r="N221">
            <v>-15732</v>
          </cell>
          <cell r="O221">
            <v>-14526</v>
          </cell>
          <cell r="P221">
            <v>-14197</v>
          </cell>
          <cell r="Q221">
            <v>-14664</v>
          </cell>
          <cell r="R221">
            <v>-14549</v>
          </cell>
          <cell r="S221">
            <v>-15651</v>
          </cell>
          <cell r="T221">
            <v>-15557.613676301589</v>
          </cell>
          <cell r="U221">
            <v>-16123.430031544121</v>
          </cell>
          <cell r="V221">
            <v>-16480.247519048262</v>
          </cell>
        </row>
        <row r="222">
          <cell r="C222" t="str">
            <v>Stores Up for Negotiation as a % of Total</v>
          </cell>
          <cell r="S222" t="str">
            <v>NA</v>
          </cell>
          <cell r="T222" t="str">
            <v>NA</v>
          </cell>
          <cell r="U222" t="str">
            <v>NA</v>
          </cell>
          <cell r="V222" t="str">
            <v>NA</v>
          </cell>
          <cell r="W222">
            <v>0</v>
          </cell>
        </row>
        <row r="223">
          <cell r="C223" t="str">
            <v>Gross Square Footage</v>
          </cell>
          <cell r="D223">
            <v>9.2418280423096411E-2</v>
          </cell>
          <cell r="E223">
            <v>0.20605216943141902</v>
          </cell>
          <cell r="F223">
            <v>7.6963951833128208E-2</v>
          </cell>
          <cell r="G223">
            <v>9.8632819651960579E-2</v>
          </cell>
          <cell r="H223">
            <v>-7.0239366803548364E-4</v>
          </cell>
          <cell r="I223">
            <v>-1.364751715485446E-3</v>
          </cell>
          <cell r="J223">
            <v>0.11019013468117667</v>
          </cell>
          <cell r="K223">
            <v>4.7067975609023982E-2</v>
          </cell>
          <cell r="L223">
            <v>-2.005022203512774E-2</v>
          </cell>
          <cell r="M223">
            <v>-2.8279756009248036E-2</v>
          </cell>
          <cell r="N223">
            <v>-2.7967456994279494E-2</v>
          </cell>
          <cell r="O223">
            <v>-8.1101168564105541E-2</v>
          </cell>
          <cell r="P223">
            <v>-1.1379140965551482E-2</v>
          </cell>
          <cell r="Q223">
            <v>4.6469551086676386E-2</v>
          </cell>
          <cell r="R223">
            <v>-4.1257834560385342E-3</v>
          </cell>
          <cell r="S223">
            <v>6.4818376524268917E-2</v>
          </cell>
          <cell r="T223">
            <v>-1.1116159396982295E-2</v>
          </cell>
          <cell r="U223">
            <v>-1.3273353469245297E-2</v>
          </cell>
          <cell r="V223">
            <v>-1.6032368173021672E-2</v>
          </cell>
        </row>
        <row r="224">
          <cell r="B224" t="str">
            <v>GPS</v>
          </cell>
          <cell r="C224" t="str">
            <v>End of Year # Stores</v>
          </cell>
          <cell r="D224">
            <v>2130</v>
          </cell>
          <cell r="E224">
            <v>2466</v>
          </cell>
          <cell r="F224">
            <v>3018</v>
          </cell>
          <cell r="G224">
            <v>2848</v>
          </cell>
          <cell r="H224">
            <v>3097</v>
          </cell>
          <cell r="I224">
            <v>3117</v>
          </cell>
          <cell r="J224">
            <v>3022</v>
          </cell>
          <cell r="K224">
            <v>2994</v>
          </cell>
          <cell r="L224">
            <v>3053</v>
          </cell>
          <cell r="M224">
            <v>3131</v>
          </cell>
          <cell r="N224">
            <v>3167</v>
          </cell>
          <cell r="O224">
            <v>3149</v>
          </cell>
          <cell r="P224">
            <v>3095</v>
          </cell>
          <cell r="Q224">
            <v>3068</v>
          </cell>
          <cell r="R224">
            <v>3072</v>
          </cell>
          <cell r="S224">
            <v>3131</v>
          </cell>
          <cell r="T224">
            <v>3211</v>
          </cell>
          <cell r="U224">
            <v>3338</v>
          </cell>
          <cell r="V224">
            <v>3465</v>
          </cell>
          <cell r="W224" t="str">
            <v xml:space="preserve">Est. Renewal + New </v>
          </cell>
        </row>
        <row r="225">
          <cell r="C225" t="str">
            <v>New Store Openings</v>
          </cell>
          <cell r="D225">
            <v>298</v>
          </cell>
          <cell r="E225">
            <v>356</v>
          </cell>
          <cell r="F225">
            <v>570</v>
          </cell>
          <cell r="G225">
            <v>731</v>
          </cell>
          <cell r="H225">
            <v>324</v>
          </cell>
          <cell r="I225">
            <v>115</v>
          </cell>
          <cell r="J225">
            <v>35</v>
          </cell>
          <cell r="K225">
            <v>130</v>
          </cell>
          <cell r="L225">
            <v>198</v>
          </cell>
          <cell r="M225">
            <v>194</v>
          </cell>
          <cell r="N225">
            <v>214</v>
          </cell>
          <cell r="O225">
            <v>101</v>
          </cell>
          <cell r="P225">
            <v>47</v>
          </cell>
          <cell r="Q225">
            <v>71</v>
          </cell>
          <cell r="R225">
            <v>102</v>
          </cell>
          <cell r="S225">
            <v>148</v>
          </cell>
          <cell r="T225">
            <v>160</v>
          </cell>
          <cell r="U225">
            <v>160</v>
          </cell>
          <cell r="V225">
            <v>160</v>
          </cell>
          <cell r="W225" t="str">
            <v>Stores as % of Total</v>
          </cell>
        </row>
        <row r="226">
          <cell r="C226" t="str">
            <v>Store Closings</v>
          </cell>
          <cell r="D226">
            <v>22</v>
          </cell>
          <cell r="E226">
            <v>20</v>
          </cell>
          <cell r="F226">
            <v>18</v>
          </cell>
          <cell r="G226">
            <v>73</v>
          </cell>
          <cell r="H226">
            <v>75</v>
          </cell>
          <cell r="I226">
            <v>95</v>
          </cell>
          <cell r="J226">
            <v>130</v>
          </cell>
          <cell r="K226">
            <v>158</v>
          </cell>
          <cell r="L226">
            <v>139</v>
          </cell>
          <cell r="M226">
            <v>116</v>
          </cell>
          <cell r="N226">
            <v>178</v>
          </cell>
          <cell r="O226">
            <v>119</v>
          </cell>
          <cell r="P226">
            <v>101</v>
          </cell>
          <cell r="Q226">
            <v>98</v>
          </cell>
          <cell r="R226">
            <v>98</v>
          </cell>
          <cell r="S226">
            <v>89</v>
          </cell>
          <cell r="T226">
            <v>80</v>
          </cell>
          <cell r="U226">
            <v>33</v>
          </cell>
          <cell r="V226">
            <v>33</v>
          </cell>
        </row>
        <row r="227">
          <cell r="C227" t="str">
            <v>Stores Up for Negotiation as a % of Total</v>
          </cell>
          <cell r="T227">
            <v>0.15</v>
          </cell>
          <cell r="U227">
            <v>0.15</v>
          </cell>
          <cell r="V227">
            <v>0.15</v>
          </cell>
          <cell r="W227">
            <v>0.45</v>
          </cell>
        </row>
        <row r="228">
          <cell r="C228" t="str">
            <v>Gross Square Footage</v>
          </cell>
          <cell r="D228">
            <v>15.312700000000001</v>
          </cell>
          <cell r="E228">
            <v>18.757000000000001</v>
          </cell>
          <cell r="F228">
            <v>23.978099999999998</v>
          </cell>
          <cell r="G228">
            <v>31.373437000000003</v>
          </cell>
          <cell r="H228">
            <v>36.333391999999996</v>
          </cell>
          <cell r="I228">
            <v>37.251519999999999</v>
          </cell>
          <cell r="J228">
            <v>36.518203999999997</v>
          </cell>
          <cell r="K228">
            <v>36.590928999999996</v>
          </cell>
          <cell r="L228">
            <v>37.765228999999998</v>
          </cell>
          <cell r="M228">
            <v>38.9</v>
          </cell>
          <cell r="N228">
            <v>39.6</v>
          </cell>
          <cell r="O228">
            <v>39.5</v>
          </cell>
          <cell r="P228">
            <v>38.799999999999997</v>
          </cell>
          <cell r="Q228">
            <v>38.200000000000003</v>
          </cell>
          <cell r="R228">
            <v>37.200000000000003</v>
          </cell>
          <cell r="S228">
            <v>36.6</v>
          </cell>
          <cell r="T228">
            <v>37.045000000000002</v>
          </cell>
          <cell r="U228">
            <v>37.109800000000007</v>
          </cell>
          <cell r="V228">
            <v>37.174600000000005</v>
          </cell>
        </row>
        <row r="229">
          <cell r="B229" t="str">
            <v>JCG</v>
          </cell>
          <cell r="C229" t="str">
            <v>End of Year # Stores</v>
          </cell>
          <cell r="F229">
            <v>123</v>
          </cell>
          <cell r="G229">
            <v>146</v>
          </cell>
          <cell r="H229">
            <v>177</v>
          </cell>
          <cell r="I229">
            <v>194</v>
          </cell>
          <cell r="J229">
            <v>196</v>
          </cell>
          <cell r="K229">
            <v>197</v>
          </cell>
          <cell r="L229">
            <v>203</v>
          </cell>
          <cell r="M229">
            <v>227</v>
          </cell>
          <cell r="N229">
            <v>260</v>
          </cell>
          <cell r="O229">
            <v>300</v>
          </cell>
          <cell r="P229">
            <v>321</v>
          </cell>
          <cell r="Q229">
            <v>335</v>
          </cell>
          <cell r="R229">
            <v>366</v>
          </cell>
          <cell r="S229">
            <v>400</v>
          </cell>
          <cell r="T229">
            <v>435</v>
          </cell>
          <cell r="U229">
            <v>471</v>
          </cell>
          <cell r="V229">
            <v>8.88624888199654</v>
          </cell>
          <cell r="W229" t="str">
            <v xml:space="preserve">Est. Renewal + New </v>
          </cell>
        </row>
        <row r="230">
          <cell r="C230" t="str">
            <v>New Store Openings</v>
          </cell>
          <cell r="F230">
            <v>13</v>
          </cell>
          <cell r="G230">
            <v>23</v>
          </cell>
          <cell r="H230">
            <v>31</v>
          </cell>
          <cell r="I230">
            <v>17</v>
          </cell>
          <cell r="J230">
            <v>2</v>
          </cell>
          <cell r="K230">
            <v>1</v>
          </cell>
          <cell r="L230">
            <v>6</v>
          </cell>
          <cell r="M230">
            <v>24</v>
          </cell>
          <cell r="N230">
            <v>33</v>
          </cell>
          <cell r="O230">
            <v>40</v>
          </cell>
          <cell r="P230">
            <v>21</v>
          </cell>
          <cell r="Q230">
            <v>14</v>
          </cell>
          <cell r="R230">
            <v>31</v>
          </cell>
          <cell r="S230">
            <v>34</v>
          </cell>
          <cell r="T230">
            <v>35</v>
          </cell>
          <cell r="U230">
            <v>36</v>
          </cell>
          <cell r="W230" t="str">
            <v>Stores as % of Total</v>
          </cell>
        </row>
        <row r="231">
          <cell r="C231" t="str">
            <v xml:space="preserve">Stores Up for Negotation as a % of Total </v>
          </cell>
          <cell r="S231">
            <v>0.1275</v>
          </cell>
          <cell r="T231">
            <v>8.5057471264367815E-2</v>
          </cell>
          <cell r="U231">
            <v>7.8556263269639062E-2</v>
          </cell>
          <cell r="W231">
            <v>0.16361373453400688</v>
          </cell>
        </row>
        <row r="232">
          <cell r="B232" t="str">
            <v>KORS</v>
          </cell>
          <cell r="C232" t="str">
            <v>End of Year # Stores</v>
          </cell>
          <cell r="D232">
            <v>0</v>
          </cell>
          <cell r="E232">
            <v>0</v>
          </cell>
          <cell r="F232">
            <v>0</v>
          </cell>
          <cell r="G232">
            <v>0</v>
          </cell>
          <cell r="H232">
            <v>0</v>
          </cell>
          <cell r="I232">
            <v>0</v>
          </cell>
          <cell r="J232">
            <v>0</v>
          </cell>
          <cell r="K232">
            <v>0</v>
          </cell>
          <cell r="L232">
            <v>0</v>
          </cell>
          <cell r="M232">
            <v>0</v>
          </cell>
          <cell r="N232">
            <v>0</v>
          </cell>
          <cell r="O232">
            <v>74</v>
          </cell>
          <cell r="P232">
            <v>106</v>
          </cell>
          <cell r="Q232">
            <v>166</v>
          </cell>
          <cell r="R232">
            <v>237</v>
          </cell>
          <cell r="S232">
            <v>307</v>
          </cell>
          <cell r="T232">
            <v>379</v>
          </cell>
          <cell r="U232">
            <v>444</v>
          </cell>
          <cell r="V232">
            <v>504</v>
          </cell>
          <cell r="W232" t="str">
            <v xml:space="preserve">Est. Renewal + New </v>
          </cell>
        </row>
        <row r="233">
          <cell r="C233" t="str">
            <v>New Store Openings</v>
          </cell>
          <cell r="D233">
            <v>0</v>
          </cell>
          <cell r="E233">
            <v>0</v>
          </cell>
          <cell r="F233">
            <v>0</v>
          </cell>
          <cell r="G233">
            <v>0</v>
          </cell>
          <cell r="H233">
            <v>0</v>
          </cell>
          <cell r="I233">
            <v>0</v>
          </cell>
          <cell r="J233">
            <v>0</v>
          </cell>
          <cell r="K233">
            <v>0</v>
          </cell>
          <cell r="L233">
            <v>0</v>
          </cell>
          <cell r="M233">
            <v>0</v>
          </cell>
          <cell r="N233">
            <v>0</v>
          </cell>
          <cell r="O233">
            <v>74</v>
          </cell>
          <cell r="P233">
            <v>32</v>
          </cell>
          <cell r="Q233">
            <v>60</v>
          </cell>
          <cell r="R233">
            <v>71</v>
          </cell>
          <cell r="S233">
            <v>70</v>
          </cell>
          <cell r="T233">
            <v>72</v>
          </cell>
          <cell r="U233">
            <v>65</v>
          </cell>
          <cell r="V233">
            <v>60</v>
          </cell>
          <cell r="W233" t="str">
            <v>Stores as % of Total</v>
          </cell>
        </row>
        <row r="234">
          <cell r="C234" t="str">
            <v>Store Closings</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row>
        <row r="235">
          <cell r="C235" t="str">
            <v xml:space="preserve">Stores Up for Negotation as a % of Total </v>
          </cell>
          <cell r="T235">
            <v>0.18997361477572558</v>
          </cell>
          <cell r="U235">
            <v>0.1463963963963964</v>
          </cell>
          <cell r="V235">
            <v>0.11904761904761904</v>
          </cell>
          <cell r="W235">
            <v>0.45541763021974102</v>
          </cell>
        </row>
        <row r="236">
          <cell r="C236" t="str">
            <v>Gross Square Footage</v>
          </cell>
          <cell r="D236">
            <v>0</v>
          </cell>
          <cell r="E236">
            <v>0</v>
          </cell>
          <cell r="F236">
            <v>0</v>
          </cell>
          <cell r="G236">
            <v>0</v>
          </cell>
          <cell r="H236">
            <v>0</v>
          </cell>
          <cell r="I236">
            <v>0</v>
          </cell>
          <cell r="J236">
            <v>0</v>
          </cell>
          <cell r="K236">
            <v>0</v>
          </cell>
          <cell r="L236">
            <v>0</v>
          </cell>
          <cell r="M236">
            <v>0</v>
          </cell>
          <cell r="N236">
            <v>0</v>
          </cell>
          <cell r="O236">
            <v>0.186362</v>
          </cell>
          <cell r="P236">
            <v>0.26346800000000004</v>
          </cell>
          <cell r="Q236">
            <v>0.37071299999999996</v>
          </cell>
          <cell r="R236">
            <v>0.53605600000000009</v>
          </cell>
          <cell r="S236">
            <v>0.67179600000000006</v>
          </cell>
          <cell r="T236">
            <v>0.71599999999999997</v>
          </cell>
          <cell r="U236">
            <v>0.75420299999999996</v>
          </cell>
          <cell r="V236">
            <v>0.79125199999999996</v>
          </cell>
        </row>
        <row r="237">
          <cell r="B237" t="str">
            <v>LTD</v>
          </cell>
          <cell r="C237" t="str">
            <v>End of Year # Stores</v>
          </cell>
          <cell r="D237">
            <v>5640</v>
          </cell>
          <cell r="E237">
            <v>5382</v>
          </cell>
          <cell r="F237">
            <v>5023</v>
          </cell>
          <cell r="G237">
            <v>5129</v>
          </cell>
          <cell r="H237">
            <v>4614</v>
          </cell>
          <cell r="I237">
            <v>4036</v>
          </cell>
          <cell r="J237">
            <v>3911</v>
          </cell>
          <cell r="K237">
            <v>3779</v>
          </cell>
          <cell r="L237">
            <v>3590</v>
          </cell>
          <cell r="M237">
            <v>3766</v>
          </cell>
          <cell r="N237">
            <v>2926</v>
          </cell>
          <cell r="O237">
            <v>3014</v>
          </cell>
          <cell r="P237">
            <v>2971</v>
          </cell>
          <cell r="Q237">
            <v>2968</v>
          </cell>
          <cell r="R237">
            <v>2941</v>
          </cell>
          <cell r="S237">
            <v>2876</v>
          </cell>
          <cell r="T237">
            <v>2908</v>
          </cell>
          <cell r="U237">
            <v>2923</v>
          </cell>
          <cell r="V237">
            <v>2938</v>
          </cell>
          <cell r="W237" t="str">
            <v xml:space="preserve">Est. Renewal + New </v>
          </cell>
        </row>
        <row r="238">
          <cell r="C238" t="str">
            <v>New Store Openings</v>
          </cell>
          <cell r="D238">
            <v>315</v>
          </cell>
          <cell r="E238">
            <v>251</v>
          </cell>
          <cell r="F238">
            <v>295</v>
          </cell>
          <cell r="G238">
            <v>330</v>
          </cell>
          <cell r="H238">
            <v>282</v>
          </cell>
          <cell r="I238">
            <v>108</v>
          </cell>
          <cell r="J238">
            <v>25</v>
          </cell>
          <cell r="K238">
            <v>39</v>
          </cell>
          <cell r="L238">
            <v>50</v>
          </cell>
          <cell r="M238">
            <v>343</v>
          </cell>
          <cell r="N238">
            <v>129</v>
          </cell>
          <cell r="O238">
            <v>146</v>
          </cell>
          <cell r="P238">
            <v>59</v>
          </cell>
          <cell r="Q238">
            <v>43</v>
          </cell>
          <cell r="R238">
            <v>40</v>
          </cell>
          <cell r="S238">
            <v>48</v>
          </cell>
          <cell r="T238">
            <v>80</v>
          </cell>
          <cell r="U238">
            <v>55</v>
          </cell>
          <cell r="V238">
            <v>55</v>
          </cell>
          <cell r="W238" t="str">
            <v>Stores as % of Total</v>
          </cell>
        </row>
        <row r="239">
          <cell r="C239" t="str">
            <v>Store Closings</v>
          </cell>
          <cell r="D239">
            <v>304</v>
          </cell>
          <cell r="E239">
            <v>350</v>
          </cell>
          <cell r="F239">
            <v>303</v>
          </cell>
          <cell r="G239">
            <v>224</v>
          </cell>
          <cell r="H239">
            <v>146</v>
          </cell>
          <cell r="I239">
            <v>174</v>
          </cell>
          <cell r="J239">
            <v>150</v>
          </cell>
          <cell r="K239">
            <v>171</v>
          </cell>
          <cell r="L239">
            <v>239</v>
          </cell>
          <cell r="M239">
            <v>167</v>
          </cell>
          <cell r="N239">
            <v>45</v>
          </cell>
          <cell r="O239">
            <v>58</v>
          </cell>
          <cell r="P239">
            <v>102</v>
          </cell>
          <cell r="Q239">
            <v>46</v>
          </cell>
          <cell r="R239">
            <v>67</v>
          </cell>
          <cell r="S239">
            <v>113</v>
          </cell>
          <cell r="T239">
            <v>48</v>
          </cell>
          <cell r="U239">
            <v>40</v>
          </cell>
          <cell r="V239">
            <v>40</v>
          </cell>
        </row>
        <row r="240">
          <cell r="C240" t="str">
            <v xml:space="preserve">Stores Up for Negotation as a % of Total </v>
          </cell>
          <cell r="T240">
            <v>3.6107290233837692E-2</v>
          </cell>
          <cell r="U240">
            <v>3.215874101950051E-2</v>
          </cell>
          <cell r="V240">
            <v>3.5738597685500341E-2</v>
          </cell>
          <cell r="W240">
            <v>0.10400462893883855</v>
          </cell>
        </row>
        <row r="241">
          <cell r="C241" t="str">
            <v>Gross Square Footage</v>
          </cell>
          <cell r="D241">
            <v>35.5</v>
          </cell>
          <cell r="E241">
            <v>32.895000000000003</v>
          </cell>
          <cell r="F241">
            <v>29.49</v>
          </cell>
          <cell r="G241">
            <v>29.03</v>
          </cell>
          <cell r="H241">
            <v>25.182500000000001</v>
          </cell>
          <cell r="I241">
            <v>20.37125</v>
          </cell>
          <cell r="J241">
            <v>20.047499999999999</v>
          </cell>
          <cell r="K241">
            <v>19.751249999999999</v>
          </cell>
          <cell r="L241">
            <v>19.164999999999999</v>
          </cell>
          <cell r="M241">
            <v>18.463750000000001</v>
          </cell>
          <cell r="N241">
            <v>12.887499999999999</v>
          </cell>
          <cell r="O241">
            <v>13.6225</v>
          </cell>
          <cell r="P241">
            <v>13.6675</v>
          </cell>
          <cell r="Q241">
            <v>13.71875</v>
          </cell>
          <cell r="R241">
            <v>13.6775</v>
          </cell>
          <cell r="S241">
            <v>13.561249999999999</v>
          </cell>
          <cell r="T241">
            <v>13.93375</v>
          </cell>
          <cell r="U241">
            <v>14.506425620000002</v>
          </cell>
          <cell r="V241">
            <v>14.705800620000002</v>
          </cell>
        </row>
        <row r="242">
          <cell r="B242" t="str">
            <v>LULU</v>
          </cell>
          <cell r="C242" t="str">
            <v>End of Year # Stores</v>
          </cell>
          <cell r="D242">
            <v>0</v>
          </cell>
          <cell r="E242">
            <v>0</v>
          </cell>
          <cell r="F242">
            <v>0</v>
          </cell>
          <cell r="G242">
            <v>0</v>
          </cell>
          <cell r="H242">
            <v>0</v>
          </cell>
          <cell r="I242">
            <v>12</v>
          </cell>
          <cell r="J242">
            <v>17</v>
          </cell>
          <cell r="K242">
            <v>24</v>
          </cell>
          <cell r="L242">
            <v>37</v>
          </cell>
          <cell r="M242">
            <v>51</v>
          </cell>
          <cell r="N242">
            <v>81</v>
          </cell>
          <cell r="O242">
            <v>113</v>
          </cell>
          <cell r="P242">
            <v>124</v>
          </cell>
          <cell r="Q242">
            <v>133</v>
          </cell>
          <cell r="R242">
            <v>174</v>
          </cell>
          <cell r="S242">
            <v>211</v>
          </cell>
          <cell r="T242">
            <v>254</v>
          </cell>
          <cell r="U242">
            <v>293</v>
          </cell>
          <cell r="V242">
            <v>332</v>
          </cell>
          <cell r="W242" t="str">
            <v xml:space="preserve">Est. Renewal + New </v>
          </cell>
        </row>
        <row r="243">
          <cell r="C243" t="str">
            <v>New Store Openings</v>
          </cell>
          <cell r="D243">
            <v>0</v>
          </cell>
          <cell r="E243">
            <v>0</v>
          </cell>
          <cell r="F243">
            <v>0</v>
          </cell>
          <cell r="G243">
            <v>0</v>
          </cell>
          <cell r="H243">
            <v>0</v>
          </cell>
          <cell r="I243">
            <v>12</v>
          </cell>
          <cell r="J243">
            <v>5</v>
          </cell>
          <cell r="K243">
            <v>7</v>
          </cell>
          <cell r="L243">
            <v>13</v>
          </cell>
          <cell r="M243">
            <v>14</v>
          </cell>
          <cell r="N243">
            <v>30</v>
          </cell>
          <cell r="O243">
            <v>33</v>
          </cell>
          <cell r="P243">
            <v>12</v>
          </cell>
          <cell r="Q243">
            <v>10</v>
          </cell>
          <cell r="R243">
            <v>42</v>
          </cell>
          <cell r="S243">
            <v>38</v>
          </cell>
          <cell r="T243">
            <v>44</v>
          </cell>
          <cell r="U243">
            <v>40</v>
          </cell>
          <cell r="V243">
            <v>40</v>
          </cell>
          <cell r="W243" t="str">
            <v>Stores as % of Total</v>
          </cell>
        </row>
        <row r="244">
          <cell r="C244" t="str">
            <v>Store Closings</v>
          </cell>
          <cell r="G244">
            <v>0</v>
          </cell>
          <cell r="H244">
            <v>0</v>
          </cell>
          <cell r="I244">
            <v>0</v>
          </cell>
          <cell r="J244">
            <v>0</v>
          </cell>
          <cell r="K244">
            <v>0</v>
          </cell>
          <cell r="L244">
            <v>0</v>
          </cell>
          <cell r="M244">
            <v>0</v>
          </cell>
          <cell r="N244">
            <v>0</v>
          </cell>
          <cell r="O244">
            <v>1</v>
          </cell>
          <cell r="P244">
            <v>1</v>
          </cell>
          <cell r="Q244">
            <v>1</v>
          </cell>
          <cell r="R244">
            <v>1</v>
          </cell>
          <cell r="S244">
            <v>1</v>
          </cell>
          <cell r="T244">
            <v>1</v>
          </cell>
          <cell r="U244">
            <v>1</v>
          </cell>
          <cell r="V244">
            <v>1</v>
          </cell>
        </row>
        <row r="245">
          <cell r="C245" t="str">
            <v xml:space="preserve">Stores Up for Negotation as a % of Total </v>
          </cell>
          <cell r="T245">
            <v>0.19291338582677164</v>
          </cell>
          <cell r="U245">
            <v>0.16040955631399317</v>
          </cell>
          <cell r="V245">
            <v>0.15963855421686746</v>
          </cell>
          <cell r="W245">
            <v>0.51296149635763233</v>
          </cell>
        </row>
        <row r="246">
          <cell r="C246" t="str">
            <v>Gross Square Footage</v>
          </cell>
          <cell r="F246" t="str">
            <v>NA</v>
          </cell>
          <cell r="G246" t="str">
            <v>NA</v>
          </cell>
          <cell r="H246" t="str">
            <v>NA</v>
          </cell>
          <cell r="I246" t="str">
            <v>NA</v>
          </cell>
          <cell r="J246" t="str">
            <v>NA</v>
          </cell>
          <cell r="K246" t="str">
            <v>NA</v>
          </cell>
          <cell r="L246">
            <v>7.8299999999999995E-2</v>
          </cell>
          <cell r="M246">
            <v>0.11890000000000001</v>
          </cell>
          <cell r="N246">
            <v>0.2059</v>
          </cell>
          <cell r="O246">
            <v>0.28839999999999999</v>
          </cell>
          <cell r="P246">
            <v>0.31416000000000005</v>
          </cell>
          <cell r="Q246">
            <v>0.374</v>
          </cell>
          <cell r="R246">
            <v>0.49399999999999999</v>
          </cell>
          <cell r="S246">
            <v>0.60199999999999998</v>
          </cell>
          <cell r="T246">
            <v>0.72468246445497619</v>
          </cell>
          <cell r="U246">
            <v>0.83868246445497618</v>
          </cell>
          <cell r="V246">
            <v>0.95168246445497617</v>
          </cell>
        </row>
        <row r="247">
          <cell r="B247" t="str">
            <v>PLCE</v>
          </cell>
          <cell r="C247" t="str">
            <v>End of Year # Stores</v>
          </cell>
          <cell r="D247">
            <v>155</v>
          </cell>
          <cell r="E247">
            <v>209</v>
          </cell>
          <cell r="F247">
            <v>293</v>
          </cell>
          <cell r="G247">
            <v>400</v>
          </cell>
          <cell r="H247">
            <v>520</v>
          </cell>
          <cell r="I247">
            <v>643</v>
          </cell>
          <cell r="J247">
            <v>691</v>
          </cell>
          <cell r="K247">
            <v>750</v>
          </cell>
          <cell r="L247">
            <v>802</v>
          </cell>
          <cell r="M247">
            <v>866</v>
          </cell>
          <cell r="N247">
            <v>904</v>
          </cell>
          <cell r="O247">
            <v>917</v>
          </cell>
          <cell r="P247">
            <v>947</v>
          </cell>
          <cell r="Q247">
            <v>995</v>
          </cell>
          <cell r="R247">
            <v>1049</v>
          </cell>
          <cell r="S247">
            <v>1095</v>
          </cell>
          <cell r="T247">
            <v>1140</v>
          </cell>
          <cell r="U247">
            <v>1135</v>
          </cell>
          <cell r="V247">
            <v>1105</v>
          </cell>
          <cell r="W247" t="str">
            <v xml:space="preserve">Est. Renewal + New </v>
          </cell>
        </row>
        <row r="248">
          <cell r="C248" t="str">
            <v>New Store Openings</v>
          </cell>
          <cell r="D248">
            <v>47</v>
          </cell>
          <cell r="E248">
            <v>54</v>
          </cell>
          <cell r="F248">
            <v>84</v>
          </cell>
          <cell r="G248">
            <v>108</v>
          </cell>
          <cell r="H248">
            <v>121</v>
          </cell>
          <cell r="I248">
            <v>126</v>
          </cell>
          <cell r="J248">
            <v>53</v>
          </cell>
          <cell r="K248">
            <v>62</v>
          </cell>
          <cell r="L248">
            <v>70</v>
          </cell>
          <cell r="M248">
            <v>88</v>
          </cell>
          <cell r="N248">
            <v>69</v>
          </cell>
          <cell r="O248">
            <v>40</v>
          </cell>
          <cell r="P248">
            <v>45</v>
          </cell>
          <cell r="Q248">
            <v>67</v>
          </cell>
          <cell r="R248">
            <v>88</v>
          </cell>
          <cell r="S248">
            <v>64</v>
          </cell>
          <cell r="T248">
            <v>55</v>
          </cell>
          <cell r="U248">
            <v>25</v>
          </cell>
          <cell r="V248">
            <v>0</v>
          </cell>
          <cell r="W248" t="str">
            <v>Stores as % of Total</v>
          </cell>
        </row>
        <row r="249">
          <cell r="C249" t="str">
            <v>Store Closings</v>
          </cell>
          <cell r="D249">
            <v>0</v>
          </cell>
          <cell r="E249">
            <v>0</v>
          </cell>
          <cell r="F249">
            <v>0</v>
          </cell>
          <cell r="G249">
            <v>1</v>
          </cell>
          <cell r="H249">
            <v>1</v>
          </cell>
          <cell r="I249">
            <v>3</v>
          </cell>
          <cell r="J249">
            <v>5</v>
          </cell>
          <cell r="K249">
            <v>3</v>
          </cell>
          <cell r="L249">
            <v>7</v>
          </cell>
          <cell r="M249">
            <v>13</v>
          </cell>
          <cell r="N249">
            <v>24</v>
          </cell>
          <cell r="O249">
            <v>14</v>
          </cell>
          <cell r="P249">
            <v>6</v>
          </cell>
          <cell r="Q249">
            <v>19</v>
          </cell>
          <cell r="R249">
            <v>34</v>
          </cell>
          <cell r="S249">
            <v>18</v>
          </cell>
          <cell r="T249">
            <v>10</v>
          </cell>
          <cell r="U249">
            <v>30</v>
          </cell>
          <cell r="V249">
            <v>30</v>
          </cell>
        </row>
        <row r="250">
          <cell r="C250" t="str">
            <v xml:space="preserve">Stores Up for Negotation as a % of Total </v>
          </cell>
          <cell r="T250">
            <v>9.4736842105263161E-2</v>
          </cell>
          <cell r="U250">
            <v>7.6651982378854622E-2</v>
          </cell>
          <cell r="V250">
            <v>6.3348416289592757E-2</v>
          </cell>
          <cell r="W250">
            <v>0.23473724077371055</v>
          </cell>
        </row>
        <row r="251">
          <cell r="C251" t="str">
            <v>Gross Square Footage</v>
          </cell>
          <cell r="D251">
            <v>0.63906499999999999</v>
          </cell>
          <cell r="E251">
            <v>0.84749499999999989</v>
          </cell>
          <cell r="F251">
            <v>1.2130000000000001</v>
          </cell>
          <cell r="G251">
            <v>1.6679999999999999</v>
          </cell>
          <cell r="H251">
            <v>2.2400000000000002</v>
          </cell>
          <cell r="I251">
            <v>2.8340000000000001</v>
          </cell>
          <cell r="J251">
            <v>3.081</v>
          </cell>
          <cell r="K251">
            <v>3.3959999999999999</v>
          </cell>
          <cell r="L251">
            <v>3.6379999999999999</v>
          </cell>
          <cell r="M251">
            <v>4.024</v>
          </cell>
          <cell r="N251">
            <v>4.2779999999999996</v>
          </cell>
          <cell r="O251">
            <v>4.5100509999999998</v>
          </cell>
          <cell r="P251">
            <v>4.7015260000000003</v>
          </cell>
          <cell r="Q251">
            <v>4.9186930000000002</v>
          </cell>
          <cell r="R251">
            <v>5.1427430000000003</v>
          </cell>
          <cell r="S251">
            <v>5.3267430000000004</v>
          </cell>
          <cell r="T251">
            <v>5.4617430000000002</v>
          </cell>
          <cell r="U251">
            <v>5.4467430000000006</v>
          </cell>
          <cell r="V251">
            <v>5.3567430000000007</v>
          </cell>
        </row>
        <row r="252">
          <cell r="B252" t="str">
            <v>ROST</v>
          </cell>
          <cell r="C252" t="str">
            <v>End of Year # Stores</v>
          </cell>
          <cell r="D252">
            <v>325</v>
          </cell>
          <cell r="E252">
            <v>349</v>
          </cell>
          <cell r="F252">
            <v>378</v>
          </cell>
          <cell r="G252">
            <v>409</v>
          </cell>
          <cell r="H252">
            <v>452</v>
          </cell>
          <cell r="I252">
            <v>507</v>
          </cell>
          <cell r="J252">
            <v>568</v>
          </cell>
          <cell r="K252">
            <v>649</v>
          </cell>
          <cell r="L252">
            <v>734</v>
          </cell>
          <cell r="M252">
            <v>797</v>
          </cell>
          <cell r="N252">
            <v>890</v>
          </cell>
          <cell r="O252">
            <v>956</v>
          </cell>
          <cell r="P252">
            <v>1005</v>
          </cell>
          <cell r="Q252">
            <v>1055</v>
          </cell>
          <cell r="R252">
            <v>1125</v>
          </cell>
          <cell r="S252">
            <v>1199</v>
          </cell>
          <cell r="T252">
            <v>1271</v>
          </cell>
          <cell r="U252">
            <v>1343</v>
          </cell>
          <cell r="V252">
            <v>1415</v>
          </cell>
          <cell r="W252" t="str">
            <v xml:space="preserve">Est. Renewal + New </v>
          </cell>
        </row>
        <row r="253">
          <cell r="C253" t="str">
            <v>New Store Openings</v>
          </cell>
          <cell r="D253">
            <v>17</v>
          </cell>
          <cell r="E253">
            <v>26</v>
          </cell>
          <cell r="F253">
            <v>34</v>
          </cell>
          <cell r="G253">
            <v>34</v>
          </cell>
          <cell r="H253">
            <v>45</v>
          </cell>
          <cell r="I253">
            <v>60</v>
          </cell>
          <cell r="J253">
            <v>66</v>
          </cell>
          <cell r="K253">
            <v>84</v>
          </cell>
          <cell r="L253">
            <v>86</v>
          </cell>
          <cell r="M253">
            <v>66</v>
          </cell>
          <cell r="N253">
            <v>97</v>
          </cell>
          <cell r="O253">
            <v>77</v>
          </cell>
          <cell r="P253">
            <v>56</v>
          </cell>
          <cell r="Q253">
            <v>56</v>
          </cell>
          <cell r="R253">
            <v>78</v>
          </cell>
          <cell r="S253">
            <v>82</v>
          </cell>
          <cell r="T253">
            <v>82</v>
          </cell>
          <cell r="U253">
            <v>82</v>
          </cell>
          <cell r="V253">
            <v>82</v>
          </cell>
          <cell r="W253" t="str">
            <v>Stores as % of Total</v>
          </cell>
        </row>
        <row r="254">
          <cell r="C254" t="str">
            <v>Store Closings</v>
          </cell>
          <cell r="D254">
            <v>1</v>
          </cell>
          <cell r="E254">
            <v>2</v>
          </cell>
          <cell r="F254">
            <v>5</v>
          </cell>
          <cell r="G254">
            <v>3</v>
          </cell>
          <cell r="H254">
            <v>2</v>
          </cell>
          <cell r="I254">
            <v>5</v>
          </cell>
          <cell r="J254">
            <v>5</v>
          </cell>
          <cell r="K254">
            <v>3</v>
          </cell>
          <cell r="L254">
            <v>1</v>
          </cell>
          <cell r="M254">
            <v>3</v>
          </cell>
          <cell r="N254">
            <v>4</v>
          </cell>
          <cell r="O254">
            <v>11</v>
          </cell>
          <cell r="P254">
            <v>7</v>
          </cell>
          <cell r="Q254">
            <v>6</v>
          </cell>
          <cell r="R254">
            <v>8</v>
          </cell>
          <cell r="S254">
            <v>8</v>
          </cell>
          <cell r="T254">
            <v>10</v>
          </cell>
          <cell r="U254">
            <v>10</v>
          </cell>
          <cell r="V254">
            <v>10</v>
          </cell>
        </row>
        <row r="255">
          <cell r="C255" t="str">
            <v xml:space="preserve">Stores Up for Negotation as a % of Total </v>
          </cell>
          <cell r="T255">
            <v>0.11644374508261211</v>
          </cell>
          <cell r="U255">
            <v>0.12360387192851824</v>
          </cell>
          <cell r="V255">
            <v>0.11872791519434629</v>
          </cell>
          <cell r="W255">
            <v>0.35877553220547664</v>
          </cell>
        </row>
        <row r="256">
          <cell r="C256" t="str">
            <v>Gross Square Footage</v>
          </cell>
          <cell r="D256">
            <v>8.9644999999999975</v>
          </cell>
          <cell r="E256">
            <v>9.7712500000000002</v>
          </cell>
          <cell r="F256">
            <v>10.692500000000001</v>
          </cell>
          <cell r="G256">
            <v>11.6625</v>
          </cell>
          <cell r="H256">
            <v>13.105</v>
          </cell>
          <cell r="I256">
            <v>14.803750000000001</v>
          </cell>
          <cell r="J256">
            <v>16.651250000000001</v>
          </cell>
          <cell r="K256">
            <v>19.06625</v>
          </cell>
          <cell r="L256">
            <v>21.64875</v>
          </cell>
          <cell r="M256">
            <v>23.302499999999998</v>
          </cell>
          <cell r="N256">
            <v>26.375</v>
          </cell>
          <cell r="O256">
            <v>28.125</v>
          </cell>
          <cell r="P256">
            <v>29.625</v>
          </cell>
          <cell r="Q256">
            <v>31</v>
          </cell>
          <cell r="R256">
            <v>32.952300000000001</v>
          </cell>
          <cell r="S256">
            <v>35.0105</v>
          </cell>
          <cell r="T256">
            <v>37.010100000000001</v>
          </cell>
          <cell r="U256">
            <v>39.009700000000002</v>
          </cell>
          <cell r="V256">
            <v>41.009300000000003</v>
          </cell>
        </row>
        <row r="257">
          <cell r="B257" t="str">
            <v>TEA</v>
          </cell>
          <cell r="C257" t="str">
            <v>End of Year # Stores</v>
          </cell>
          <cell r="D257">
            <v>0</v>
          </cell>
          <cell r="E257">
            <v>0</v>
          </cell>
          <cell r="F257">
            <v>0</v>
          </cell>
          <cell r="G257">
            <v>0</v>
          </cell>
          <cell r="H257">
            <v>0</v>
          </cell>
          <cell r="I257">
            <v>0</v>
          </cell>
          <cell r="J257">
            <v>0</v>
          </cell>
          <cell r="K257">
            <v>0</v>
          </cell>
          <cell r="L257">
            <v>0</v>
          </cell>
          <cell r="M257">
            <v>47</v>
          </cell>
          <cell r="N257">
            <v>59</v>
          </cell>
          <cell r="O257">
            <v>87</v>
          </cell>
          <cell r="P257">
            <v>108</v>
          </cell>
          <cell r="Q257">
            <v>146</v>
          </cell>
          <cell r="R257">
            <v>200</v>
          </cell>
          <cell r="S257">
            <v>306</v>
          </cell>
          <cell r="T257">
            <v>386</v>
          </cell>
          <cell r="U257">
            <v>466</v>
          </cell>
          <cell r="V257">
            <v>546</v>
          </cell>
          <cell r="W257" t="str">
            <v xml:space="preserve">Est. Renewal + New </v>
          </cell>
        </row>
        <row r="258">
          <cell r="C258" t="str">
            <v>New Store Openings</v>
          </cell>
          <cell r="D258">
            <v>0</v>
          </cell>
          <cell r="E258">
            <v>0</v>
          </cell>
          <cell r="F258">
            <v>0</v>
          </cell>
          <cell r="G258">
            <v>0</v>
          </cell>
          <cell r="H258">
            <v>0</v>
          </cell>
          <cell r="I258">
            <v>0</v>
          </cell>
          <cell r="J258">
            <v>0</v>
          </cell>
          <cell r="K258">
            <v>0</v>
          </cell>
          <cell r="L258">
            <v>0</v>
          </cell>
          <cell r="M258">
            <v>47</v>
          </cell>
          <cell r="N258">
            <v>12</v>
          </cell>
          <cell r="O258">
            <v>28</v>
          </cell>
          <cell r="P258">
            <v>21</v>
          </cell>
          <cell r="Q258">
            <v>38</v>
          </cell>
          <cell r="R258">
            <v>54</v>
          </cell>
          <cell r="S258">
            <v>106</v>
          </cell>
          <cell r="T258">
            <v>80</v>
          </cell>
          <cell r="U258">
            <v>80</v>
          </cell>
          <cell r="V258">
            <v>80</v>
          </cell>
          <cell r="W258" t="str">
            <v>Stores as % of Total</v>
          </cell>
        </row>
        <row r="259">
          <cell r="C259" t="str">
            <v>Store Closings</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row>
        <row r="260">
          <cell r="C260" t="str">
            <v xml:space="preserve">Stores Up for Negotation as a % of Total </v>
          </cell>
          <cell r="T260">
            <v>0.20725388601036268</v>
          </cell>
          <cell r="U260">
            <v>0.17167381974248927</v>
          </cell>
          <cell r="V260">
            <v>0.14652014652014653</v>
          </cell>
          <cell r="W260">
            <v>0.52544785227299851</v>
          </cell>
        </row>
        <row r="261">
          <cell r="C261" t="str">
            <v>Gross Square Footage</v>
          </cell>
          <cell r="D261">
            <v>0</v>
          </cell>
          <cell r="E261">
            <v>0</v>
          </cell>
          <cell r="F261">
            <v>0</v>
          </cell>
          <cell r="G261">
            <v>0</v>
          </cell>
          <cell r="H261">
            <v>0</v>
          </cell>
          <cell r="I261">
            <v>0</v>
          </cell>
          <cell r="J261">
            <v>0</v>
          </cell>
          <cell r="K261">
            <v>0</v>
          </cell>
          <cell r="L261">
            <v>0</v>
          </cell>
          <cell r="M261">
            <v>4.2999999999999997E-2</v>
          </cell>
          <cell r="N261">
            <v>5.3999999999999999E-2</v>
          </cell>
          <cell r="O261">
            <v>7.6999999999999999E-2</v>
          </cell>
          <cell r="P261">
            <v>9.5000000000000001E-2</v>
          </cell>
          <cell r="Q261">
            <v>0.13</v>
          </cell>
          <cell r="R261">
            <v>0.18021999999999999</v>
          </cell>
          <cell r="S261">
            <v>0.27879999999999999</v>
          </cell>
          <cell r="T261">
            <v>0.35320000000000007</v>
          </cell>
          <cell r="U261">
            <v>0.42760000000000004</v>
          </cell>
          <cell r="V261">
            <v>0.502</v>
          </cell>
        </row>
        <row r="262">
          <cell r="B262" t="str">
            <v>TIF</v>
          </cell>
          <cell r="C262" t="str">
            <v>End of Year # Stores</v>
          </cell>
          <cell r="D262">
            <v>96</v>
          </cell>
          <cell r="E262">
            <v>104</v>
          </cell>
          <cell r="F262">
            <v>110</v>
          </cell>
          <cell r="G262">
            <v>119</v>
          </cell>
          <cell r="H262">
            <v>126</v>
          </cell>
          <cell r="I262">
            <v>131</v>
          </cell>
          <cell r="J262">
            <v>141</v>
          </cell>
          <cell r="K262">
            <v>151</v>
          </cell>
          <cell r="L262">
            <v>154</v>
          </cell>
          <cell r="M262">
            <v>167</v>
          </cell>
          <cell r="N262">
            <v>184</v>
          </cell>
          <cell r="O262">
            <v>210</v>
          </cell>
          <cell r="P262">
            <v>224</v>
          </cell>
          <cell r="Q262">
            <v>233</v>
          </cell>
          <cell r="R262">
            <v>248</v>
          </cell>
          <cell r="S262">
            <v>276</v>
          </cell>
          <cell r="T262">
            <v>298</v>
          </cell>
          <cell r="U262">
            <v>320</v>
          </cell>
          <cell r="V262">
            <v>342</v>
          </cell>
          <cell r="W262" t="str">
            <v xml:space="preserve">Est. Renewal + New </v>
          </cell>
        </row>
        <row r="263">
          <cell r="C263" t="str">
            <v>New Store Openings</v>
          </cell>
          <cell r="D263">
            <v>15</v>
          </cell>
          <cell r="E263">
            <v>8</v>
          </cell>
          <cell r="F263">
            <v>6</v>
          </cell>
          <cell r="G263">
            <v>9</v>
          </cell>
          <cell r="H263">
            <v>7</v>
          </cell>
          <cell r="I263">
            <v>6</v>
          </cell>
          <cell r="J263">
            <v>10</v>
          </cell>
          <cell r="K263">
            <v>10</v>
          </cell>
          <cell r="L263">
            <v>6</v>
          </cell>
          <cell r="M263">
            <v>13</v>
          </cell>
          <cell r="N263">
            <v>17</v>
          </cell>
          <cell r="O263">
            <v>22</v>
          </cell>
          <cell r="P263">
            <v>14</v>
          </cell>
          <cell r="Q263">
            <v>10</v>
          </cell>
          <cell r="R263">
            <v>15</v>
          </cell>
          <cell r="S263">
            <v>28</v>
          </cell>
          <cell r="T263">
            <v>22</v>
          </cell>
          <cell r="U263">
            <v>22</v>
          </cell>
          <cell r="V263">
            <v>22</v>
          </cell>
          <cell r="W263" t="str">
            <v>Stores as % of Total</v>
          </cell>
        </row>
        <row r="264">
          <cell r="C264" t="str">
            <v>Store Closings</v>
          </cell>
          <cell r="D264">
            <v>0</v>
          </cell>
          <cell r="E264">
            <v>0</v>
          </cell>
          <cell r="F264">
            <v>0</v>
          </cell>
          <cell r="G264">
            <v>0</v>
          </cell>
          <cell r="H264">
            <v>0</v>
          </cell>
          <cell r="I264">
            <v>1</v>
          </cell>
          <cell r="J264">
            <v>0</v>
          </cell>
          <cell r="K264">
            <v>0</v>
          </cell>
          <cell r="L264">
            <v>3</v>
          </cell>
          <cell r="M264">
            <v>0</v>
          </cell>
          <cell r="N264">
            <v>0</v>
          </cell>
          <cell r="O264">
            <v>0</v>
          </cell>
          <cell r="P264">
            <v>0</v>
          </cell>
          <cell r="Q264">
            <v>1</v>
          </cell>
          <cell r="R264">
            <v>0</v>
          </cell>
          <cell r="S264">
            <v>0</v>
          </cell>
          <cell r="T264">
            <v>0</v>
          </cell>
          <cell r="U264">
            <v>0</v>
          </cell>
          <cell r="V264">
            <v>0</v>
          </cell>
        </row>
        <row r="265">
          <cell r="C265" t="str">
            <v xml:space="preserve">Stores Up for Negotation as a % of Total </v>
          </cell>
          <cell r="T265">
            <v>0.10738255033557047</v>
          </cell>
          <cell r="U265">
            <v>0.1</v>
          </cell>
          <cell r="V265">
            <v>8.1871345029239762E-2</v>
          </cell>
          <cell r="W265">
            <v>0.28925389536481022</v>
          </cell>
        </row>
        <row r="266">
          <cell r="C266" t="str">
            <v>Gross Square Footage</v>
          </cell>
          <cell r="D266">
            <v>0.43045</v>
          </cell>
          <cell r="E266">
            <v>0.47145000000000004</v>
          </cell>
          <cell r="F266">
            <v>0.51644999999999996</v>
          </cell>
          <cell r="G266">
            <v>0.56045</v>
          </cell>
          <cell r="H266">
            <v>0.60899999999999999</v>
          </cell>
          <cell r="I266">
            <v>0.64200000000000002</v>
          </cell>
          <cell r="J266">
            <v>0.67199999999999993</v>
          </cell>
          <cell r="K266">
            <v>0.72499999999999998</v>
          </cell>
          <cell r="L266">
            <v>0.745</v>
          </cell>
          <cell r="M266">
            <v>0.79200000000000004</v>
          </cell>
          <cell r="N266">
            <v>0.86</v>
          </cell>
          <cell r="O266">
            <v>0.93500000000000005</v>
          </cell>
          <cell r="P266">
            <v>0.98220000000000007</v>
          </cell>
          <cell r="Q266">
            <v>1.0390999999999999</v>
          </cell>
          <cell r="R266">
            <v>1.0667</v>
          </cell>
          <cell r="S266">
            <v>1.1520000000000001</v>
          </cell>
          <cell r="T266">
            <v>1.2075</v>
          </cell>
          <cell r="U266">
            <v>1.2594000000000001</v>
          </cell>
          <cell r="V266">
            <v>1.3113000000000001</v>
          </cell>
        </row>
        <row r="267">
          <cell r="B267" t="str">
            <v>TJX</v>
          </cell>
          <cell r="C267" t="str">
            <v>End of Year # Stores</v>
          </cell>
          <cell r="D267">
            <v>1171</v>
          </cell>
          <cell r="E267">
            <v>1246</v>
          </cell>
          <cell r="F267">
            <v>1357</v>
          </cell>
          <cell r="G267">
            <v>1493</v>
          </cell>
          <cell r="H267">
            <v>1665</v>
          </cell>
          <cell r="I267">
            <v>1843</v>
          </cell>
          <cell r="J267">
            <v>2062</v>
          </cell>
          <cell r="K267">
            <v>2224</v>
          </cell>
          <cell r="L267">
            <v>2381</v>
          </cell>
          <cell r="M267">
            <v>2466</v>
          </cell>
          <cell r="N267">
            <v>2563</v>
          </cell>
          <cell r="O267">
            <v>2652</v>
          </cell>
          <cell r="P267">
            <v>2743</v>
          </cell>
          <cell r="Q267">
            <v>2859</v>
          </cell>
          <cell r="R267">
            <v>2905</v>
          </cell>
          <cell r="S267">
            <v>3050</v>
          </cell>
          <cell r="T267">
            <v>3200</v>
          </cell>
          <cell r="U267">
            <v>3357</v>
          </cell>
          <cell r="V267">
            <v>3514</v>
          </cell>
          <cell r="W267" t="str">
            <v xml:space="preserve">Est. Renewal + New </v>
          </cell>
        </row>
        <row r="268">
          <cell r="C268" t="str">
            <v>New Store Openings</v>
          </cell>
          <cell r="D268">
            <v>35</v>
          </cell>
          <cell r="E268">
            <v>75</v>
          </cell>
          <cell r="F268">
            <v>111</v>
          </cell>
          <cell r="G268">
            <v>136</v>
          </cell>
          <cell r="H268">
            <v>172</v>
          </cell>
          <cell r="I268">
            <v>178</v>
          </cell>
          <cell r="J268">
            <v>219</v>
          </cell>
          <cell r="K268">
            <v>162</v>
          </cell>
          <cell r="L268">
            <v>157</v>
          </cell>
          <cell r="M268">
            <v>85</v>
          </cell>
          <cell r="N268">
            <v>97</v>
          </cell>
          <cell r="O268">
            <v>123</v>
          </cell>
          <cell r="P268">
            <v>91</v>
          </cell>
          <cell r="Q268">
            <v>116</v>
          </cell>
          <cell r="R268">
            <v>46</v>
          </cell>
          <cell r="S268">
            <v>145</v>
          </cell>
          <cell r="T268">
            <v>150</v>
          </cell>
          <cell r="U268">
            <v>157</v>
          </cell>
          <cell r="V268">
            <v>157</v>
          </cell>
          <cell r="W268" t="str">
            <v>Stores as % of Total</v>
          </cell>
        </row>
        <row r="269">
          <cell r="C269" t="str">
            <v>Store Closings</v>
          </cell>
          <cell r="D269">
            <v>0</v>
          </cell>
          <cell r="E269">
            <v>0</v>
          </cell>
          <cell r="F269">
            <v>0</v>
          </cell>
          <cell r="G269">
            <v>0</v>
          </cell>
          <cell r="H269">
            <v>0</v>
          </cell>
          <cell r="I269">
            <v>0</v>
          </cell>
          <cell r="J269">
            <v>0</v>
          </cell>
          <cell r="K269">
            <v>0</v>
          </cell>
          <cell r="L269">
            <v>0</v>
          </cell>
          <cell r="M269">
            <v>0</v>
          </cell>
          <cell r="N269">
            <v>0</v>
          </cell>
          <cell r="O269">
            <v>-34</v>
          </cell>
          <cell r="P269">
            <v>0</v>
          </cell>
          <cell r="Q269">
            <v>0</v>
          </cell>
          <cell r="R269">
            <v>0</v>
          </cell>
          <cell r="S269">
            <v>0</v>
          </cell>
          <cell r="T269">
            <v>0</v>
          </cell>
          <cell r="U269">
            <v>0</v>
          </cell>
          <cell r="V269">
            <v>0</v>
          </cell>
        </row>
        <row r="270">
          <cell r="C270" t="str">
            <v xml:space="preserve">Stores Up for Negotation as a % of Total </v>
          </cell>
          <cell r="T270">
            <v>0.1153125</v>
          </cell>
          <cell r="U270">
            <v>9.5025320226392609E-2</v>
          </cell>
          <cell r="V270">
            <v>8.9356858281161064E-2</v>
          </cell>
          <cell r="W270">
            <v>0.29969467850755366</v>
          </cell>
        </row>
        <row r="271">
          <cell r="C271" t="str">
            <v>Gross Square Footage</v>
          </cell>
          <cell r="D271">
            <v>35.017000000000003</v>
          </cell>
          <cell r="E271">
            <v>37.126000000000005</v>
          </cell>
          <cell r="F271">
            <v>40.164999999999999</v>
          </cell>
          <cell r="G271">
            <v>43.978999999999999</v>
          </cell>
          <cell r="H271">
            <v>48.988999999999997</v>
          </cell>
          <cell r="I271">
            <v>53.826000000000001</v>
          </cell>
          <cell r="J271">
            <v>60.49</v>
          </cell>
          <cell r="K271">
            <v>64.709434678384909</v>
          </cell>
          <cell r="L271">
            <v>70.575000000000003</v>
          </cell>
          <cell r="M271">
            <v>73.7</v>
          </cell>
          <cell r="N271">
            <v>76.239999999999995</v>
          </cell>
          <cell r="O271">
            <v>78</v>
          </cell>
          <cell r="P271">
            <v>80.7</v>
          </cell>
          <cell r="Q271">
            <v>84.1</v>
          </cell>
          <cell r="R271">
            <v>85.3</v>
          </cell>
          <cell r="S271">
            <v>89.1</v>
          </cell>
          <cell r="T271">
            <v>93.5014751119229</v>
          </cell>
          <cell r="U271">
            <v>98.067991049235928</v>
          </cell>
          <cell r="V271">
            <v>102.55106830134042</v>
          </cell>
        </row>
        <row r="272">
          <cell r="B272" t="str">
            <v>TLB</v>
          </cell>
          <cell r="C272" t="str">
            <v>End of Year # Stores</v>
          </cell>
          <cell r="D272">
            <v>385</v>
          </cell>
          <cell r="E272">
            <v>406</v>
          </cell>
          <cell r="F272">
            <v>425</v>
          </cell>
          <cell r="G272">
            <v>443</v>
          </cell>
          <cell r="H272">
            <v>468</v>
          </cell>
          <cell r="I272">
            <v>495</v>
          </cell>
          <cell r="J272">
            <v>523</v>
          </cell>
          <cell r="K272">
            <v>552</v>
          </cell>
          <cell r="L272">
            <v>565</v>
          </cell>
          <cell r="M272">
            <v>584</v>
          </cell>
          <cell r="N272">
            <v>596</v>
          </cell>
          <cell r="O272">
            <v>587</v>
          </cell>
          <cell r="P272">
            <v>580</v>
          </cell>
          <cell r="Q272">
            <v>568</v>
          </cell>
          <cell r="R272">
            <v>502</v>
          </cell>
          <cell r="S272">
            <v>487</v>
          </cell>
          <cell r="T272">
            <v>487</v>
          </cell>
          <cell r="U272">
            <v>492</v>
          </cell>
          <cell r="V272">
            <v>497</v>
          </cell>
          <cell r="W272" t="str">
            <v xml:space="preserve">Est. Renewal + New </v>
          </cell>
        </row>
        <row r="273">
          <cell r="C273" t="str">
            <v>New Store Openings</v>
          </cell>
          <cell r="D273">
            <v>42</v>
          </cell>
          <cell r="E273">
            <v>21</v>
          </cell>
          <cell r="F273">
            <v>19</v>
          </cell>
          <cell r="G273">
            <v>18</v>
          </cell>
          <cell r="H273">
            <v>25</v>
          </cell>
          <cell r="I273">
            <v>27</v>
          </cell>
          <cell r="J273">
            <v>28</v>
          </cell>
          <cell r="K273">
            <v>29</v>
          </cell>
          <cell r="L273">
            <v>13</v>
          </cell>
          <cell r="M273">
            <v>19</v>
          </cell>
          <cell r="N273">
            <v>12</v>
          </cell>
          <cell r="O273">
            <v>0</v>
          </cell>
          <cell r="P273">
            <v>23</v>
          </cell>
          <cell r="Q273">
            <v>11</v>
          </cell>
          <cell r="R273">
            <v>17</v>
          </cell>
          <cell r="S273">
            <v>10</v>
          </cell>
          <cell r="T273">
            <v>10</v>
          </cell>
          <cell r="U273">
            <v>10</v>
          </cell>
          <cell r="V273">
            <v>10</v>
          </cell>
          <cell r="W273" t="str">
            <v>Stores as % of Total</v>
          </cell>
        </row>
        <row r="274">
          <cell r="C274" t="str">
            <v>Store Closings</v>
          </cell>
          <cell r="D274">
            <v>0</v>
          </cell>
          <cell r="E274">
            <v>0</v>
          </cell>
          <cell r="F274">
            <v>0</v>
          </cell>
          <cell r="G274">
            <v>0</v>
          </cell>
          <cell r="H274">
            <v>0</v>
          </cell>
          <cell r="I274">
            <v>0</v>
          </cell>
          <cell r="J274">
            <v>0</v>
          </cell>
          <cell r="K274">
            <v>0</v>
          </cell>
          <cell r="L274">
            <v>0</v>
          </cell>
          <cell r="M274">
            <v>0</v>
          </cell>
          <cell r="N274">
            <v>0</v>
          </cell>
          <cell r="O274">
            <v>9</v>
          </cell>
          <cell r="P274">
            <v>30</v>
          </cell>
          <cell r="Q274">
            <v>23</v>
          </cell>
          <cell r="R274">
            <v>83</v>
          </cell>
          <cell r="S274">
            <v>25</v>
          </cell>
          <cell r="T274">
            <v>10</v>
          </cell>
          <cell r="U274">
            <v>5</v>
          </cell>
          <cell r="V274">
            <v>5</v>
          </cell>
        </row>
        <row r="275">
          <cell r="C275" t="str">
            <v xml:space="preserve">Stores Up for Negotation as a % of Total </v>
          </cell>
          <cell r="T275">
            <v>7.8028747433264892E-2</v>
          </cell>
          <cell r="U275">
            <v>7.926829268292683E-2</v>
          </cell>
          <cell r="V275">
            <v>4.6277665995975853E-2</v>
          </cell>
          <cell r="W275">
            <v>0.20357470611216757</v>
          </cell>
        </row>
        <row r="276">
          <cell r="C276" t="str">
            <v>Gross Square Footage</v>
          </cell>
          <cell r="D276">
            <v>2.5437400000000001</v>
          </cell>
          <cell r="E276">
            <v>2.7048299999999998</v>
          </cell>
          <cell r="F276">
            <v>2.828948</v>
          </cell>
          <cell r="G276">
            <v>2.9967269999999999</v>
          </cell>
          <cell r="H276">
            <v>3.294467</v>
          </cell>
          <cell r="I276">
            <v>3.6110330000000004</v>
          </cell>
          <cell r="J276">
            <v>3.9305100000000004</v>
          </cell>
          <cell r="K276">
            <v>4.203074</v>
          </cell>
          <cell r="L276">
            <v>3.9878990000000001</v>
          </cell>
          <cell r="M276">
            <v>5.0563150000000006</v>
          </cell>
          <cell r="N276">
            <v>4.2145130000000002</v>
          </cell>
          <cell r="O276">
            <v>4.2075279999999999</v>
          </cell>
          <cell r="P276">
            <v>4.1718799999999998</v>
          </cell>
          <cell r="Q276">
            <v>4.0542310000000006</v>
          </cell>
          <cell r="R276">
            <v>3.5655850000000004</v>
          </cell>
          <cell r="S276">
            <v>3.4342350000000006</v>
          </cell>
          <cell r="T276">
            <v>3.4101350000000008</v>
          </cell>
          <cell r="U276">
            <v>3.4217850000000007</v>
          </cell>
          <cell r="V276">
            <v>3.4334350000000007</v>
          </cell>
        </row>
        <row r="277">
          <cell r="B277" t="str">
            <v>URBN</v>
          </cell>
          <cell r="C277" t="str">
            <v>End of Year # Stores</v>
          </cell>
          <cell r="D277">
            <v>35</v>
          </cell>
          <cell r="E277">
            <v>46</v>
          </cell>
          <cell r="F277">
            <v>57</v>
          </cell>
          <cell r="G277">
            <v>68</v>
          </cell>
          <cell r="H277">
            <v>80</v>
          </cell>
          <cell r="I277">
            <v>93</v>
          </cell>
          <cell r="J277">
            <v>114</v>
          </cell>
          <cell r="K277">
            <v>142</v>
          </cell>
          <cell r="L277">
            <v>175</v>
          </cell>
          <cell r="M277">
            <v>207</v>
          </cell>
          <cell r="N277">
            <v>245</v>
          </cell>
          <cell r="O277">
            <v>294</v>
          </cell>
          <cell r="P277">
            <v>327</v>
          </cell>
          <cell r="Q277">
            <v>372</v>
          </cell>
          <cell r="R277">
            <v>429</v>
          </cell>
          <cell r="S277">
            <v>480</v>
          </cell>
          <cell r="T277">
            <v>517</v>
          </cell>
          <cell r="U277">
            <v>568</v>
          </cell>
          <cell r="V277">
            <v>619</v>
          </cell>
          <cell r="W277" t="str">
            <v xml:space="preserve">Est. Renewal + New </v>
          </cell>
        </row>
        <row r="278">
          <cell r="C278" t="str">
            <v>New Store Openings</v>
          </cell>
          <cell r="D278">
            <v>3</v>
          </cell>
          <cell r="E278">
            <v>11</v>
          </cell>
          <cell r="F278">
            <v>13</v>
          </cell>
          <cell r="G278">
            <v>11</v>
          </cell>
          <cell r="H278">
            <v>12</v>
          </cell>
          <cell r="I278">
            <v>13</v>
          </cell>
          <cell r="J278">
            <v>21</v>
          </cell>
          <cell r="K278">
            <v>28</v>
          </cell>
          <cell r="L278">
            <v>33</v>
          </cell>
          <cell r="M278">
            <v>32</v>
          </cell>
          <cell r="N278">
            <v>38</v>
          </cell>
          <cell r="O278">
            <v>49</v>
          </cell>
          <cell r="P278">
            <v>33</v>
          </cell>
          <cell r="Q278">
            <v>45</v>
          </cell>
          <cell r="R278">
            <v>57</v>
          </cell>
          <cell r="S278">
            <v>49</v>
          </cell>
          <cell r="T278">
            <v>37</v>
          </cell>
          <cell r="U278">
            <v>51</v>
          </cell>
          <cell r="V278">
            <v>51</v>
          </cell>
          <cell r="W278" t="str">
            <v>Stores as % of Total</v>
          </cell>
        </row>
        <row r="279">
          <cell r="C279" t="str">
            <v>Store Closings</v>
          </cell>
          <cell r="D279">
            <v>1</v>
          </cell>
          <cell r="E279">
            <v>0</v>
          </cell>
          <cell r="F279">
            <v>2</v>
          </cell>
          <cell r="G279">
            <v>0</v>
          </cell>
          <cell r="H279">
            <v>0</v>
          </cell>
          <cell r="I279">
            <v>0</v>
          </cell>
          <cell r="J279">
            <v>0</v>
          </cell>
          <cell r="K279">
            <v>0</v>
          </cell>
          <cell r="L279">
            <v>0</v>
          </cell>
          <cell r="M279">
            <v>0</v>
          </cell>
          <cell r="N279">
            <v>0</v>
          </cell>
          <cell r="O279">
            <v>0</v>
          </cell>
          <cell r="P279">
            <v>0</v>
          </cell>
          <cell r="Q279">
            <v>0</v>
          </cell>
          <cell r="R279">
            <v>0</v>
          </cell>
          <cell r="S279">
            <v>-2</v>
          </cell>
          <cell r="T279">
            <v>0</v>
          </cell>
          <cell r="U279">
            <v>0</v>
          </cell>
          <cell r="V279">
            <v>0</v>
          </cell>
        </row>
        <row r="280">
          <cell r="C280" t="str">
            <v xml:space="preserve">Stores Up for Negotation as a % of Total </v>
          </cell>
          <cell r="T280">
            <v>0.11218568665377177</v>
          </cell>
          <cell r="U280">
            <v>0.13908450704225353</v>
          </cell>
          <cell r="V280">
            <v>0.13570274636510501</v>
          </cell>
          <cell r="W280">
            <v>0.38697294006113037</v>
          </cell>
        </row>
        <row r="281">
          <cell r="C281" t="str">
            <v>Gross Square Footage</v>
          </cell>
          <cell r="D281">
            <v>0.44773066666666667</v>
          </cell>
          <cell r="E281">
            <v>0.55796400000000002</v>
          </cell>
          <cell r="F281">
            <v>0.69685466666666673</v>
          </cell>
          <cell r="G281">
            <v>0.84262133333333333</v>
          </cell>
          <cell r="H281">
            <v>0.99933333333333341</v>
          </cell>
          <cell r="I281">
            <v>1.1349066666666665</v>
          </cell>
          <cell r="J281">
            <v>1.3449199999999999</v>
          </cell>
          <cell r="K281">
            <v>1.6447626666666668</v>
          </cell>
          <cell r="L281">
            <v>1.9426666666666668</v>
          </cell>
          <cell r="M281">
            <v>2.3146666666666662</v>
          </cell>
          <cell r="N281">
            <v>2.6860360000000001</v>
          </cell>
          <cell r="O281">
            <v>3.047228</v>
          </cell>
          <cell r="P281">
            <v>3.3461946666666664</v>
          </cell>
          <cell r="Q281">
            <v>0.11676706595272801</v>
          </cell>
          <cell r="R281">
            <v>9.4863149331535057E-2</v>
          </cell>
          <cell r="S281">
            <v>2295.9241510084089</v>
          </cell>
          <cell r="T281">
            <v>-0.99948653071889548</v>
          </cell>
          <cell r="U281">
            <v>5.5374159999999994</v>
          </cell>
        </row>
        <row r="285">
          <cell r="Q285">
            <v>11.891783239173689</v>
          </cell>
          <cell r="R285">
            <v>12.077802008784207</v>
          </cell>
          <cell r="S285">
            <v>147.50269035343581</v>
          </cell>
          <cell r="T285">
            <v>15.689227061509351</v>
          </cell>
        </row>
        <row r="287">
          <cell r="S287">
            <v>574.36918675210222</v>
          </cell>
          <cell r="T287">
            <v>0.19859898343402019</v>
          </cell>
        </row>
      </sheetData>
      <sheetData sheetId="12">
        <row r="2">
          <cell r="O2" t="str">
            <v>2013-2015e</v>
          </cell>
        </row>
        <row r="3">
          <cell r="C3" t="str">
            <v>Store Closings</v>
          </cell>
          <cell r="F3">
            <v>2007</v>
          </cell>
          <cell r="G3">
            <v>2008</v>
          </cell>
          <cell r="H3">
            <v>2009</v>
          </cell>
          <cell r="I3">
            <v>2010</v>
          </cell>
          <cell r="J3">
            <v>2011</v>
          </cell>
          <cell r="K3">
            <v>2012</v>
          </cell>
          <cell r="L3" t="str">
            <v>2013E</v>
          </cell>
          <cell r="M3" t="str">
            <v>2014E</v>
          </cell>
          <cell r="N3" t="str">
            <v>2015E</v>
          </cell>
          <cell r="O3" t="str">
            <v>closings</v>
          </cell>
          <cell r="S3" t="str">
            <v>Check:</v>
          </cell>
        </row>
        <row r="4">
          <cell r="C4" t="str">
            <v>TLB</v>
          </cell>
          <cell r="D4" t="str">
            <v>End of Period</v>
          </cell>
          <cell r="E4">
            <v>584</v>
          </cell>
          <cell r="F4">
            <v>596</v>
          </cell>
          <cell r="G4">
            <v>587</v>
          </cell>
          <cell r="H4">
            <v>580</v>
          </cell>
          <cell r="I4">
            <v>568</v>
          </cell>
          <cell r="J4">
            <v>502</v>
          </cell>
          <cell r="K4">
            <v>487</v>
          </cell>
          <cell r="L4">
            <v>487</v>
          </cell>
          <cell r="M4">
            <v>492</v>
          </cell>
        </row>
        <row r="5">
          <cell r="D5" t="str">
            <v>Closings</v>
          </cell>
          <cell r="E5">
            <v>0</v>
          </cell>
          <cell r="F5">
            <v>0</v>
          </cell>
          <cell r="G5">
            <v>9</v>
          </cell>
          <cell r="H5">
            <v>30</v>
          </cell>
          <cell r="I5">
            <v>23</v>
          </cell>
          <cell r="J5">
            <v>83</v>
          </cell>
          <cell r="K5">
            <v>25</v>
          </cell>
          <cell r="L5">
            <v>10</v>
          </cell>
          <cell r="M5">
            <v>5</v>
          </cell>
          <cell r="O5">
            <v>40</v>
          </cell>
        </row>
        <row r="6">
          <cell r="D6" t="str">
            <v>as a % of stores</v>
          </cell>
          <cell r="F6">
            <v>0</v>
          </cell>
          <cell r="G6">
            <v>1.5100671140939598E-2</v>
          </cell>
          <cell r="H6">
            <v>5.1107325383304938E-2</v>
          </cell>
          <cell r="I6">
            <v>3.9655172413793106E-2</v>
          </cell>
          <cell r="J6">
            <v>0.14612676056338028</v>
          </cell>
          <cell r="K6">
            <v>4.9800796812749001E-2</v>
          </cell>
          <cell r="L6">
            <v>2.0533880903490759E-2</v>
          </cell>
          <cell r="M6">
            <v>1.0266940451745379E-2</v>
          </cell>
        </row>
        <row r="7">
          <cell r="D7" t="str">
            <v>'11-'13 closings as % '10 ending stores (or '11 begin store cnt)</v>
          </cell>
          <cell r="O7">
            <v>7.9681274900398405E-2</v>
          </cell>
        </row>
        <row r="8">
          <cell r="C8" t="str">
            <v>ANF</v>
          </cell>
          <cell r="D8" t="str">
            <v>End of Period</v>
          </cell>
          <cell r="E8">
            <v>944</v>
          </cell>
          <cell r="F8">
            <v>1035</v>
          </cell>
          <cell r="G8">
            <v>1125</v>
          </cell>
          <cell r="H8">
            <v>1097</v>
          </cell>
          <cell r="I8">
            <v>1069</v>
          </cell>
          <cell r="J8">
            <v>1041</v>
          </cell>
          <cell r="K8">
            <v>1041</v>
          </cell>
          <cell r="L8">
            <v>1026</v>
          </cell>
          <cell r="M8">
            <v>961</v>
          </cell>
          <cell r="N8">
            <v>932</v>
          </cell>
          <cell r="S8">
            <v>1097</v>
          </cell>
          <cell r="T8">
            <v>1069</v>
          </cell>
          <cell r="U8">
            <v>1041</v>
          </cell>
          <cell r="V8">
            <v>1041</v>
          </cell>
          <cell r="W8">
            <v>1014</v>
          </cell>
          <cell r="X8">
            <v>981</v>
          </cell>
        </row>
        <row r="9">
          <cell r="D9" t="str">
            <v>Closings</v>
          </cell>
          <cell r="E9">
            <v>13</v>
          </cell>
          <cell r="F9">
            <v>6</v>
          </cell>
          <cell r="G9">
            <v>10</v>
          </cell>
          <cell r="H9">
            <v>51</v>
          </cell>
          <cell r="I9">
            <v>65</v>
          </cell>
          <cell r="J9">
            <v>74</v>
          </cell>
          <cell r="K9">
            <v>47</v>
          </cell>
          <cell r="L9">
            <v>50</v>
          </cell>
          <cell r="M9">
            <v>66</v>
          </cell>
          <cell r="N9">
            <v>59</v>
          </cell>
          <cell r="O9">
            <v>175</v>
          </cell>
        </row>
        <row r="10">
          <cell r="D10" t="str">
            <v>as a % of stores</v>
          </cell>
          <cell r="F10">
            <v>6.3559322033898309E-3</v>
          </cell>
          <cell r="G10">
            <v>9.6618357487922701E-3</v>
          </cell>
          <cell r="H10">
            <v>4.5333333333333337E-2</v>
          </cell>
          <cell r="I10">
            <v>5.9252506836827715E-2</v>
          </cell>
          <cell r="J10">
            <v>6.9223573433115054E-2</v>
          </cell>
          <cell r="K10">
            <v>4.5148895292987511E-2</v>
          </cell>
          <cell r="L10">
            <v>4.8030739673390971E-2</v>
          </cell>
          <cell r="M10">
            <v>6.4327485380116955E-2</v>
          </cell>
          <cell r="N10">
            <v>6.1394380853277836E-2</v>
          </cell>
        </row>
        <row r="11">
          <cell r="D11" t="str">
            <v>'11-'13 closings as % '10 ending stores (or '11 begin store cnt)</v>
          </cell>
          <cell r="O11">
            <v>0.16810758885686838</v>
          </cell>
          <cell r="Q11">
            <v>0.117898687528788</v>
          </cell>
        </row>
        <row r="12">
          <cell r="C12" t="str">
            <v>ARO</v>
          </cell>
          <cell r="D12" t="str">
            <v>End of Period</v>
          </cell>
          <cell r="E12">
            <v>742</v>
          </cell>
          <cell r="F12">
            <v>828</v>
          </cell>
          <cell r="G12">
            <v>914</v>
          </cell>
          <cell r="H12">
            <v>952</v>
          </cell>
          <cell r="I12">
            <v>1012</v>
          </cell>
          <cell r="J12">
            <v>1057</v>
          </cell>
          <cell r="K12">
            <v>1095</v>
          </cell>
          <cell r="L12">
            <v>1151</v>
          </cell>
          <cell r="M12">
            <v>860</v>
          </cell>
          <cell r="N12">
            <v>806</v>
          </cell>
        </row>
        <row r="13">
          <cell r="D13" t="str">
            <v>Closings</v>
          </cell>
          <cell r="E13">
            <v>-3</v>
          </cell>
          <cell r="F13">
            <v>-2</v>
          </cell>
          <cell r="G13">
            <v>-2</v>
          </cell>
          <cell r="H13">
            <v>-15</v>
          </cell>
          <cell r="I13">
            <v>-8</v>
          </cell>
          <cell r="J13">
            <v>2</v>
          </cell>
          <cell r="K13">
            <v>10</v>
          </cell>
          <cell r="L13">
            <v>18</v>
          </cell>
          <cell r="M13">
            <v>248</v>
          </cell>
          <cell r="N13">
            <v>55</v>
          </cell>
          <cell r="O13">
            <v>321</v>
          </cell>
        </row>
        <row r="14">
          <cell r="D14" t="str">
            <v>as a % of stores</v>
          </cell>
          <cell r="F14">
            <v>-2.6954177897574125E-3</v>
          </cell>
          <cell r="G14">
            <v>-2.4154589371980675E-3</v>
          </cell>
          <cell r="H14">
            <v>-1.6411378555798686E-2</v>
          </cell>
          <cell r="I14">
            <v>-8.4033613445378148E-3</v>
          </cell>
          <cell r="J14">
            <v>1.976284584980237E-3</v>
          </cell>
          <cell r="K14">
            <v>9.4607379375591296E-3</v>
          </cell>
          <cell r="L14">
            <v>1.643835616438356E-2</v>
          </cell>
          <cell r="M14">
            <v>0.21546481320590791</v>
          </cell>
          <cell r="N14">
            <v>6.3953488372093026E-2</v>
          </cell>
        </row>
        <row r="15">
          <cell r="D15" t="str">
            <v>'10-'12 closings as % '09 ending stores (or '10 begin store cnt)</v>
          </cell>
          <cell r="O15">
            <v>0.29315068493150687</v>
          </cell>
        </row>
        <row r="16">
          <cell r="C16" t="str">
            <v>PLCE</v>
          </cell>
          <cell r="D16" t="str">
            <v>End of Period</v>
          </cell>
          <cell r="E16">
            <v>866</v>
          </cell>
          <cell r="F16">
            <v>904</v>
          </cell>
          <cell r="G16">
            <v>917</v>
          </cell>
          <cell r="H16">
            <v>947</v>
          </cell>
          <cell r="I16">
            <v>995</v>
          </cell>
          <cell r="J16">
            <v>1049</v>
          </cell>
          <cell r="K16">
            <v>1095</v>
          </cell>
          <cell r="L16">
            <v>1140</v>
          </cell>
          <cell r="M16">
            <v>1112</v>
          </cell>
          <cell r="N16">
            <v>1092</v>
          </cell>
        </row>
        <row r="17">
          <cell r="D17" t="str">
            <v>Closings</v>
          </cell>
          <cell r="E17">
            <v>13</v>
          </cell>
          <cell r="F17">
            <v>24</v>
          </cell>
          <cell r="G17">
            <v>14</v>
          </cell>
          <cell r="H17">
            <v>6</v>
          </cell>
          <cell r="I17">
            <v>19</v>
          </cell>
          <cell r="J17">
            <v>34</v>
          </cell>
          <cell r="K17">
            <v>18</v>
          </cell>
          <cell r="L17">
            <v>38</v>
          </cell>
          <cell r="M17">
            <v>30</v>
          </cell>
          <cell r="N17">
            <v>20</v>
          </cell>
          <cell r="O17">
            <v>88</v>
          </cell>
        </row>
        <row r="18">
          <cell r="D18" t="str">
            <v>as a % of stores</v>
          </cell>
          <cell r="F18">
            <v>2.771362586605081E-2</v>
          </cell>
          <cell r="G18">
            <v>1.5486725663716814E-2</v>
          </cell>
          <cell r="H18">
            <v>6.5430752453653216E-3</v>
          </cell>
          <cell r="I18">
            <v>2.0063357972544878E-2</v>
          </cell>
          <cell r="J18">
            <v>3.4170854271356785E-2</v>
          </cell>
          <cell r="K18">
            <v>1.7159199237368923E-2</v>
          </cell>
          <cell r="L18">
            <v>3.4703196347031964E-2</v>
          </cell>
          <cell r="M18">
            <v>2.6315789473684209E-2</v>
          </cell>
          <cell r="N18">
            <v>1.7985611510791366E-2</v>
          </cell>
        </row>
        <row r="19">
          <cell r="D19" t="str">
            <v>'10-'12 closings as % '09 ending stores (or '10 begin store cnt)</v>
          </cell>
          <cell r="O19">
            <v>8.0365296803652966E-2</v>
          </cell>
        </row>
        <row r="20">
          <cell r="C20" t="str">
            <v>ANN</v>
          </cell>
          <cell r="D20" t="str">
            <v>End of Period</v>
          </cell>
          <cell r="E20">
            <v>869</v>
          </cell>
          <cell r="F20">
            <v>929</v>
          </cell>
          <cell r="G20">
            <v>935</v>
          </cell>
          <cell r="H20">
            <v>907</v>
          </cell>
          <cell r="I20">
            <v>896</v>
          </cell>
          <cell r="J20">
            <v>953</v>
          </cell>
          <cell r="K20">
            <v>984</v>
          </cell>
          <cell r="L20">
            <v>1019</v>
          </cell>
          <cell r="M20">
            <v>1030</v>
          </cell>
          <cell r="N20">
            <v>1035</v>
          </cell>
          <cell r="S20">
            <v>907</v>
          </cell>
          <cell r="T20">
            <v>896</v>
          </cell>
          <cell r="U20">
            <v>953</v>
          </cell>
        </row>
        <row r="21">
          <cell r="D21" t="str">
            <v>Closings</v>
          </cell>
          <cell r="E21">
            <v>25</v>
          </cell>
          <cell r="F21">
            <v>17</v>
          </cell>
          <cell r="G21">
            <v>60</v>
          </cell>
          <cell r="H21">
            <v>42</v>
          </cell>
          <cell r="I21">
            <v>45</v>
          </cell>
          <cell r="J21">
            <v>19</v>
          </cell>
          <cell r="K21">
            <v>32</v>
          </cell>
          <cell r="L21">
            <v>30</v>
          </cell>
          <cell r="M21">
            <v>45</v>
          </cell>
          <cell r="N21">
            <v>35</v>
          </cell>
          <cell r="O21">
            <v>110</v>
          </cell>
        </row>
        <row r="22">
          <cell r="D22" t="str">
            <v>as a % of stores</v>
          </cell>
          <cell r="F22">
            <v>1.9562715765247412E-2</v>
          </cell>
          <cell r="G22">
            <v>6.4585575888051666E-2</v>
          </cell>
          <cell r="H22">
            <v>4.4919786096256686E-2</v>
          </cell>
          <cell r="I22">
            <v>4.9614112458654908E-2</v>
          </cell>
          <cell r="J22">
            <v>2.1205357142857144E-2</v>
          </cell>
          <cell r="K22">
            <v>3.3578174186778595E-2</v>
          </cell>
          <cell r="L22">
            <v>3.048780487804878E-2</v>
          </cell>
          <cell r="M22">
            <v>4.4160942100098133E-2</v>
          </cell>
          <cell r="N22">
            <v>3.3980582524271843E-2</v>
          </cell>
        </row>
        <row r="23">
          <cell r="D23" t="str">
            <v>'11-'13 closings as % '10 ending stores (or '11 begin store cnt)</v>
          </cell>
          <cell r="O23">
            <v>0.11178861788617886</v>
          </cell>
        </row>
        <row r="24">
          <cell r="C24" t="str">
            <v>AEO</v>
          </cell>
          <cell r="D24" t="str">
            <v>End of Period</v>
          </cell>
          <cell r="E24">
            <v>0</v>
          </cell>
          <cell r="F24">
            <v>987</v>
          </cell>
          <cell r="G24">
            <v>1098</v>
          </cell>
          <cell r="H24">
            <v>1103</v>
          </cell>
          <cell r="I24">
            <v>1077</v>
          </cell>
          <cell r="J24">
            <v>1069</v>
          </cell>
          <cell r="K24">
            <v>1044</v>
          </cell>
          <cell r="L24">
            <v>1054</v>
          </cell>
          <cell r="M24">
            <v>-21</v>
          </cell>
          <cell r="N24">
            <v>-20</v>
          </cell>
        </row>
        <row r="25">
          <cell r="D25" t="str">
            <v>Closings</v>
          </cell>
          <cell r="E25">
            <v>8</v>
          </cell>
          <cell r="F25">
            <v>4</v>
          </cell>
          <cell r="G25">
            <v>11</v>
          </cell>
          <cell r="H25">
            <v>24</v>
          </cell>
          <cell r="I25">
            <v>51</v>
          </cell>
          <cell r="J25">
            <v>29</v>
          </cell>
          <cell r="K25">
            <v>41</v>
          </cell>
          <cell r="L25">
            <v>40</v>
          </cell>
          <cell r="M25">
            <v>49</v>
          </cell>
          <cell r="N25">
            <v>50</v>
          </cell>
          <cell r="O25">
            <v>139</v>
          </cell>
        </row>
        <row r="26">
          <cell r="D26" t="str">
            <v>as a % of stores</v>
          </cell>
          <cell r="F26" t="e">
            <v>#DIV/0!</v>
          </cell>
          <cell r="G26">
            <v>1.1144883485309016E-2</v>
          </cell>
          <cell r="H26">
            <v>2.185792349726776E-2</v>
          </cell>
          <cell r="I26">
            <v>4.6237533998186767E-2</v>
          </cell>
          <cell r="J26">
            <v>2.6926648096564532E-2</v>
          </cell>
          <cell r="K26">
            <v>3.8353601496725911E-2</v>
          </cell>
          <cell r="L26">
            <v>3.8314176245210725E-2</v>
          </cell>
          <cell r="M26">
            <v>4.6489563567362426E-2</v>
          </cell>
          <cell r="N26">
            <v>-2.3809523809523809</v>
          </cell>
        </row>
        <row r="27">
          <cell r="D27" t="str">
            <v>'11-'13 closings as % '10 ending stores (or '11 begin store cnt)</v>
          </cell>
          <cell r="O27">
            <v>0.13314176245210729</v>
          </cell>
        </row>
        <row r="28">
          <cell r="C28" t="str">
            <v>GPS</v>
          </cell>
          <cell r="D28" t="str">
            <v>End of Period</v>
          </cell>
          <cell r="E28">
            <v>3131</v>
          </cell>
          <cell r="F28">
            <v>3167</v>
          </cell>
          <cell r="G28">
            <v>3149</v>
          </cell>
          <cell r="H28">
            <v>3095</v>
          </cell>
          <cell r="I28">
            <v>3068</v>
          </cell>
          <cell r="J28">
            <v>3072</v>
          </cell>
          <cell r="K28">
            <v>3131</v>
          </cell>
          <cell r="L28">
            <v>3211</v>
          </cell>
          <cell r="M28">
            <v>3280</v>
          </cell>
          <cell r="N28">
            <v>3260</v>
          </cell>
          <cell r="S28">
            <v>3095</v>
          </cell>
          <cell r="T28">
            <v>3068</v>
          </cell>
          <cell r="U28">
            <v>3072</v>
          </cell>
        </row>
        <row r="29">
          <cell r="D29" t="str">
            <v>Closings</v>
          </cell>
          <cell r="E29">
            <v>116</v>
          </cell>
          <cell r="F29">
            <v>178</v>
          </cell>
          <cell r="G29">
            <v>119</v>
          </cell>
          <cell r="H29">
            <v>101</v>
          </cell>
          <cell r="I29">
            <v>98</v>
          </cell>
          <cell r="J29">
            <v>98</v>
          </cell>
          <cell r="K29">
            <v>89</v>
          </cell>
          <cell r="L29">
            <v>80</v>
          </cell>
          <cell r="M29">
            <v>53</v>
          </cell>
          <cell r="N29">
            <v>170</v>
          </cell>
          <cell r="O29">
            <v>303</v>
          </cell>
        </row>
        <row r="30">
          <cell r="D30" t="str">
            <v>as a % of stores</v>
          </cell>
          <cell r="F30">
            <v>5.6850846374960073E-2</v>
          </cell>
          <cell r="G30">
            <v>3.7574992106094093E-2</v>
          </cell>
          <cell r="H30">
            <v>3.207367418228009E-2</v>
          </cell>
          <cell r="I30">
            <v>3.1663974151857836E-2</v>
          </cell>
          <cell r="J30">
            <v>3.1942633637548894E-2</v>
          </cell>
          <cell r="K30">
            <v>2.8971354166666668E-2</v>
          </cell>
          <cell r="L30">
            <v>2.5550942190993294E-2</v>
          </cell>
          <cell r="M30">
            <v>1.6505761445032699E-2</v>
          </cell>
          <cell r="N30">
            <v>5.1829268292682924E-2</v>
          </cell>
        </row>
        <row r="31">
          <cell r="D31" t="str">
            <v>'11-'13 closings as % '10 ending stores (or '11 begin store cnt)</v>
          </cell>
          <cell r="O31">
            <v>9.6774193548387094E-2</v>
          </cell>
        </row>
        <row r="32">
          <cell r="C32" t="str">
            <v>LTD</v>
          </cell>
          <cell r="D32" t="str">
            <v>End of Period</v>
          </cell>
          <cell r="E32">
            <v>3766</v>
          </cell>
          <cell r="F32">
            <v>2926</v>
          </cell>
          <cell r="G32">
            <v>3014</v>
          </cell>
          <cell r="H32">
            <v>2971</v>
          </cell>
          <cell r="I32">
            <v>2968</v>
          </cell>
          <cell r="J32">
            <v>2941</v>
          </cell>
          <cell r="K32">
            <v>2876</v>
          </cell>
          <cell r="L32">
            <v>2908</v>
          </cell>
          <cell r="M32">
            <v>2916</v>
          </cell>
          <cell r="N32">
            <v>2935</v>
          </cell>
        </row>
        <row r="33">
          <cell r="D33" t="str">
            <v>Closings</v>
          </cell>
          <cell r="E33">
            <v>167</v>
          </cell>
          <cell r="F33">
            <v>45</v>
          </cell>
          <cell r="G33">
            <v>58</v>
          </cell>
          <cell r="H33">
            <v>102</v>
          </cell>
          <cell r="I33">
            <v>46</v>
          </cell>
          <cell r="J33">
            <v>67</v>
          </cell>
          <cell r="K33">
            <v>113</v>
          </cell>
          <cell r="L33">
            <v>48</v>
          </cell>
          <cell r="M33">
            <v>47</v>
          </cell>
          <cell r="N33">
            <v>47</v>
          </cell>
          <cell r="O33">
            <v>142</v>
          </cell>
        </row>
        <row r="34">
          <cell r="D34" t="str">
            <v>as a % of stores</v>
          </cell>
          <cell r="F34">
            <v>1.1949017525225704E-2</v>
          </cell>
          <cell r="G34">
            <v>1.9822282980177717E-2</v>
          </cell>
          <cell r="H34">
            <v>3.3842070338420703E-2</v>
          </cell>
          <cell r="I34">
            <v>1.5483002356109055E-2</v>
          </cell>
          <cell r="J34">
            <v>2.257412398921833E-2</v>
          </cell>
          <cell r="K34">
            <v>3.8422305338320299E-2</v>
          </cell>
          <cell r="L34">
            <v>1.6689847009735744E-2</v>
          </cell>
          <cell r="M34">
            <v>1.6162310866574967E-2</v>
          </cell>
          <cell r="N34">
            <v>1.6117969821673524E-2</v>
          </cell>
        </row>
        <row r="35">
          <cell r="D35" t="str">
            <v>'11-'13 closings as % '10 ending stores (or '11 begin store cnt)</v>
          </cell>
          <cell r="O35">
            <v>4.9374130737134911E-2</v>
          </cell>
        </row>
        <row r="38">
          <cell r="C38" t="str">
            <v>LULU</v>
          </cell>
          <cell r="D38" t="str">
            <v>End of Period</v>
          </cell>
          <cell r="E38">
            <v>7</v>
          </cell>
          <cell r="F38">
            <v>7</v>
          </cell>
          <cell r="G38">
            <v>5</v>
          </cell>
          <cell r="H38">
            <v>0</v>
          </cell>
          <cell r="I38">
            <v>0</v>
          </cell>
          <cell r="J38">
            <v>0</v>
          </cell>
          <cell r="K38">
            <v>1</v>
          </cell>
          <cell r="L38">
            <v>2</v>
          </cell>
          <cell r="M38">
            <v>1</v>
          </cell>
          <cell r="N38">
            <v>1</v>
          </cell>
        </row>
        <row r="39">
          <cell r="D39" t="str">
            <v>Closings</v>
          </cell>
          <cell r="E39">
            <v>0</v>
          </cell>
          <cell r="F39">
            <v>0</v>
          </cell>
          <cell r="G39">
            <v>1</v>
          </cell>
          <cell r="H39">
            <v>1</v>
          </cell>
          <cell r="I39">
            <v>1</v>
          </cell>
          <cell r="J39">
            <v>1</v>
          </cell>
          <cell r="K39">
            <v>1</v>
          </cell>
          <cell r="L39">
            <v>1</v>
          </cell>
          <cell r="M39">
            <v>1</v>
          </cell>
          <cell r="N39">
            <v>1</v>
          </cell>
          <cell r="O39">
            <v>3</v>
          </cell>
        </row>
        <row r="40">
          <cell r="D40" t="str">
            <v>as a % of stores</v>
          </cell>
          <cell r="F40">
            <v>0</v>
          </cell>
          <cell r="G40">
            <v>0.14285714285714285</v>
          </cell>
          <cell r="H40">
            <v>0.2</v>
          </cell>
          <cell r="I40" t="e">
            <v>#DIV/0!</v>
          </cell>
          <cell r="J40" t="e">
            <v>#DIV/0!</v>
          </cell>
          <cell r="K40" t="e">
            <v>#DIV/0!</v>
          </cell>
          <cell r="L40">
            <v>1</v>
          </cell>
          <cell r="M40">
            <v>0.5</v>
          </cell>
          <cell r="N40">
            <v>1</v>
          </cell>
        </row>
        <row r="41">
          <cell r="D41" t="str">
            <v>'11-'13 closings as % '10 ending stores (or '11 begin store cnt)</v>
          </cell>
          <cell r="O41">
            <v>3</v>
          </cell>
        </row>
        <row r="42">
          <cell r="D42" t="str">
            <v>Average</v>
          </cell>
          <cell r="O42">
            <v>0.117898687528788</v>
          </cell>
        </row>
        <row r="44">
          <cell r="C44" t="str">
            <v>CHS</v>
          </cell>
          <cell r="D44" t="str">
            <v>End of Period</v>
          </cell>
          <cell r="E44">
            <v>920</v>
          </cell>
          <cell r="F44">
            <v>1038</v>
          </cell>
          <cell r="G44">
            <v>1076</v>
          </cell>
          <cell r="H44">
            <v>1080</v>
          </cell>
          <cell r="I44">
            <v>1151</v>
          </cell>
          <cell r="J44">
            <v>1256</v>
          </cell>
          <cell r="K44">
            <v>1357</v>
          </cell>
          <cell r="L44">
            <v>1485</v>
          </cell>
          <cell r="M44">
            <v>1588</v>
          </cell>
          <cell r="N44">
            <v>-2</v>
          </cell>
        </row>
        <row r="45">
          <cell r="D45" t="str">
            <v>Closings</v>
          </cell>
          <cell r="E45">
            <v>6</v>
          </cell>
          <cell r="F45">
            <v>18</v>
          </cell>
          <cell r="G45">
            <v>11</v>
          </cell>
          <cell r="H45">
            <v>26</v>
          </cell>
          <cell r="I45">
            <v>9</v>
          </cell>
          <cell r="J45">
            <v>32</v>
          </cell>
          <cell r="K45">
            <v>24</v>
          </cell>
          <cell r="L45">
            <v>17</v>
          </cell>
          <cell r="M45">
            <v>-5</v>
          </cell>
          <cell r="N45">
            <v>-2</v>
          </cell>
          <cell r="O45">
            <v>10</v>
          </cell>
        </row>
        <row r="46">
          <cell r="D46" t="str">
            <v>as a % of stores</v>
          </cell>
          <cell r="F46">
            <v>1.9565217391304349E-2</v>
          </cell>
          <cell r="G46">
            <v>1.0597302504816955E-2</v>
          </cell>
          <cell r="H46">
            <v>2.4163568773234202E-2</v>
          </cell>
          <cell r="I46">
            <v>8.3333333333333332E-3</v>
          </cell>
          <cell r="J46">
            <v>2.780191138140747E-2</v>
          </cell>
          <cell r="K46">
            <v>1.9108280254777069E-2</v>
          </cell>
          <cell r="L46">
            <v>1.2527634487840826E-2</v>
          </cell>
          <cell r="M46">
            <v>-3.3670033670033669E-3</v>
          </cell>
          <cell r="N46">
            <v>-1.2594458438287153E-3</v>
          </cell>
        </row>
        <row r="47">
          <cell r="D47" t="str">
            <v>'10-'12 closings as % '09 ending stores (or '10 begin store cnt)</v>
          </cell>
          <cell r="O47">
            <v>7.9617834394904458E-3</v>
          </cell>
        </row>
        <row r="48">
          <cell r="C48" t="str">
            <v>COH</v>
          </cell>
          <cell r="D48" t="str">
            <v>End of Period</v>
          </cell>
          <cell r="E48">
            <v>422</v>
          </cell>
          <cell r="F48">
            <v>489</v>
          </cell>
          <cell r="G48">
            <v>548</v>
          </cell>
          <cell r="H48">
            <v>624</v>
          </cell>
          <cell r="I48">
            <v>665</v>
          </cell>
          <cell r="J48">
            <v>723</v>
          </cell>
          <cell r="K48">
            <v>832</v>
          </cell>
          <cell r="L48">
            <v>912</v>
          </cell>
          <cell r="M48">
            <v>983</v>
          </cell>
          <cell r="N48">
            <v>1054</v>
          </cell>
        </row>
        <row r="49">
          <cell r="D49" t="str">
            <v>Closings</v>
          </cell>
          <cell r="E49">
            <v>6</v>
          </cell>
          <cell r="F49">
            <v>3</v>
          </cell>
          <cell r="G49">
            <v>1</v>
          </cell>
          <cell r="H49">
            <v>9</v>
          </cell>
          <cell r="I49">
            <v>11</v>
          </cell>
          <cell r="J49">
            <v>7</v>
          </cell>
          <cell r="K49">
            <v>5</v>
          </cell>
          <cell r="L49">
            <v>3</v>
          </cell>
          <cell r="M49">
            <v>3</v>
          </cell>
          <cell r="N49">
            <v>3</v>
          </cell>
          <cell r="O49">
            <v>11</v>
          </cell>
        </row>
        <row r="50">
          <cell r="D50" t="str">
            <v>as a % of stores</v>
          </cell>
          <cell r="F50">
            <v>7.1090047393364926E-3</v>
          </cell>
          <cell r="G50">
            <v>2.0449897750511249E-3</v>
          </cell>
          <cell r="H50">
            <v>1.6423357664233577E-2</v>
          </cell>
          <cell r="I50">
            <v>1.7628205128205128E-2</v>
          </cell>
          <cell r="J50">
            <v>1.0526315789473684E-2</v>
          </cell>
          <cell r="K50">
            <v>6.9156293222683261E-3</v>
          </cell>
          <cell r="L50">
            <v>3.605769230769231E-3</v>
          </cell>
          <cell r="M50">
            <v>3.2894736842105261E-3</v>
          </cell>
          <cell r="N50">
            <v>3.0518819938962359E-3</v>
          </cell>
        </row>
        <row r="51">
          <cell r="D51" t="str">
            <v>'10-'12 closings as % '09 ending stores (or '10 begin store cnt)</v>
          </cell>
          <cell r="O51">
            <v>1.5214384508990318E-2</v>
          </cell>
        </row>
        <row r="52">
          <cell r="C52" t="str">
            <v>JCG</v>
          </cell>
          <cell r="D52" t="str">
            <v>End of Period</v>
          </cell>
          <cell r="E52">
            <v>227</v>
          </cell>
          <cell r="F52">
            <v>260</v>
          </cell>
          <cell r="G52">
            <v>300</v>
          </cell>
          <cell r="H52">
            <v>321</v>
          </cell>
          <cell r="I52">
            <v>335</v>
          </cell>
          <cell r="J52">
            <v>366</v>
          </cell>
          <cell r="K52">
            <v>400</v>
          </cell>
          <cell r="L52">
            <v>435</v>
          </cell>
          <cell r="M52">
            <v>471</v>
          </cell>
          <cell r="N52">
            <v>8.88624888199654</v>
          </cell>
        </row>
        <row r="53">
          <cell r="D53" t="str">
            <v>Closings</v>
          </cell>
          <cell r="E53">
            <v>5</v>
          </cell>
          <cell r="F53">
            <v>4</v>
          </cell>
          <cell r="G53">
            <v>4</v>
          </cell>
          <cell r="H53">
            <v>3</v>
          </cell>
          <cell r="I53">
            <v>1</v>
          </cell>
          <cell r="J53">
            <v>4</v>
          </cell>
          <cell r="K53">
            <v>3</v>
          </cell>
          <cell r="L53">
            <v>3</v>
          </cell>
          <cell r="M53">
            <v>3</v>
          </cell>
          <cell r="N53" t="e">
            <v>#REF!</v>
          </cell>
          <cell r="O53">
            <v>9</v>
          </cell>
        </row>
        <row r="54">
          <cell r="D54" t="str">
            <v>as a % of stores</v>
          </cell>
          <cell r="F54">
            <v>1.7621145374449341E-2</v>
          </cell>
          <cell r="G54">
            <v>1.5384615384615385E-2</v>
          </cell>
          <cell r="H54">
            <v>0.01</v>
          </cell>
          <cell r="I54">
            <v>3.1152647975077881E-3</v>
          </cell>
          <cell r="J54">
            <v>1.1940298507462687E-2</v>
          </cell>
          <cell r="K54">
            <v>8.1967213114754103E-3</v>
          </cell>
          <cell r="L54">
            <v>7.4999999999999997E-3</v>
          </cell>
          <cell r="M54">
            <v>6.8965517241379309E-3</v>
          </cell>
          <cell r="N54" t="e">
            <v>#REF!</v>
          </cell>
        </row>
        <row r="55">
          <cell r="D55" t="str">
            <v>'09-'11 closings as % '08 ending stores (or '09 begin store cnt)</v>
          </cell>
          <cell r="O55">
            <v>2.4590163934426229E-2</v>
          </cell>
        </row>
        <row r="56">
          <cell r="C56" t="str">
            <v>ROST</v>
          </cell>
          <cell r="D56" t="str">
            <v>End of Period</v>
          </cell>
          <cell r="E56">
            <v>797</v>
          </cell>
          <cell r="F56">
            <v>890</v>
          </cell>
          <cell r="G56">
            <v>956</v>
          </cell>
          <cell r="H56">
            <v>1005</v>
          </cell>
          <cell r="I56">
            <v>1055</v>
          </cell>
          <cell r="J56">
            <v>1125</v>
          </cell>
          <cell r="K56">
            <v>1199</v>
          </cell>
          <cell r="L56">
            <v>1276</v>
          </cell>
          <cell r="M56">
            <v>1362</v>
          </cell>
          <cell r="N56">
            <v>1446</v>
          </cell>
        </row>
        <row r="57">
          <cell r="D57" t="str">
            <v>Closings</v>
          </cell>
          <cell r="E57">
            <v>3</v>
          </cell>
          <cell r="F57">
            <v>4</v>
          </cell>
          <cell r="G57">
            <v>11</v>
          </cell>
          <cell r="H57">
            <v>7</v>
          </cell>
          <cell r="I57">
            <v>6</v>
          </cell>
          <cell r="J57">
            <v>8</v>
          </cell>
          <cell r="K57">
            <v>8</v>
          </cell>
          <cell r="L57">
            <v>11</v>
          </cell>
          <cell r="M57">
            <v>9</v>
          </cell>
          <cell r="N57">
            <v>10</v>
          </cell>
          <cell r="O57">
            <v>28</v>
          </cell>
        </row>
        <row r="58">
          <cell r="D58" t="str">
            <v>as a % of stores</v>
          </cell>
          <cell r="F58">
            <v>5.018820577164366E-3</v>
          </cell>
          <cell r="G58">
            <v>1.2359550561797753E-2</v>
          </cell>
          <cell r="H58">
            <v>7.3221757322175732E-3</v>
          </cell>
          <cell r="I58">
            <v>5.9701492537313433E-3</v>
          </cell>
          <cell r="J58">
            <v>7.5829383886255926E-3</v>
          </cell>
          <cell r="K58">
            <v>7.1111111111111115E-3</v>
          </cell>
          <cell r="L58">
            <v>9.1743119266055051E-3</v>
          </cell>
          <cell r="M58">
            <v>7.0532915360501571E-3</v>
          </cell>
          <cell r="N58">
            <v>7.3421439060205578E-3</v>
          </cell>
        </row>
        <row r="59">
          <cell r="D59" t="str">
            <v>'10-'12 closings as % '09 ending stores (or '10 begin store cnt)</v>
          </cell>
          <cell r="O59">
            <v>2.4888888888888887E-2</v>
          </cell>
        </row>
        <row r="60">
          <cell r="C60" t="str">
            <v>TJX</v>
          </cell>
          <cell r="D60" t="str">
            <v>End of Period</v>
          </cell>
          <cell r="E60">
            <v>2466</v>
          </cell>
          <cell r="F60">
            <v>2563</v>
          </cell>
          <cell r="G60">
            <v>2652</v>
          </cell>
          <cell r="H60">
            <v>2743</v>
          </cell>
          <cell r="I60">
            <v>2859</v>
          </cell>
          <cell r="J60">
            <v>2905</v>
          </cell>
          <cell r="K60">
            <v>3050</v>
          </cell>
          <cell r="L60">
            <v>3219</v>
          </cell>
          <cell r="M60">
            <v>3395</v>
          </cell>
          <cell r="N60">
            <v>3614</v>
          </cell>
        </row>
        <row r="61">
          <cell r="D61" t="str">
            <v>Closings</v>
          </cell>
          <cell r="E61">
            <v>0</v>
          </cell>
          <cell r="F61">
            <v>0</v>
          </cell>
          <cell r="G61">
            <v>-34</v>
          </cell>
          <cell r="H61">
            <v>0</v>
          </cell>
          <cell r="I61">
            <v>0</v>
          </cell>
          <cell r="J61">
            <v>0</v>
          </cell>
          <cell r="K61">
            <v>0</v>
          </cell>
          <cell r="L61">
            <v>0</v>
          </cell>
          <cell r="M61">
            <v>0</v>
          </cell>
          <cell r="N61">
            <v>0</v>
          </cell>
          <cell r="O61">
            <v>0</v>
          </cell>
        </row>
        <row r="62">
          <cell r="D62" t="str">
            <v>as a % of stores</v>
          </cell>
          <cell r="F62">
            <v>0</v>
          </cell>
          <cell r="G62">
            <v>-1.3265704252828716E-2</v>
          </cell>
          <cell r="H62">
            <v>0</v>
          </cell>
          <cell r="I62">
            <v>0</v>
          </cell>
          <cell r="J62">
            <v>0</v>
          </cell>
          <cell r="K62">
            <v>0</v>
          </cell>
          <cell r="L62">
            <v>0</v>
          </cell>
          <cell r="M62">
            <v>0</v>
          </cell>
          <cell r="N62">
            <v>0</v>
          </cell>
        </row>
        <row r="63">
          <cell r="D63" t="str">
            <v>'10-'12 closings as % '09 ending stores (or '10 begin store cnt)</v>
          </cell>
          <cell r="O63">
            <v>0</v>
          </cell>
        </row>
        <row r="64">
          <cell r="C64" t="str">
            <v>TIF</v>
          </cell>
          <cell r="D64" t="str">
            <v>End of Period</v>
          </cell>
          <cell r="E64">
            <v>167</v>
          </cell>
          <cell r="F64">
            <v>184</v>
          </cell>
          <cell r="G64">
            <v>210</v>
          </cell>
          <cell r="H64">
            <v>224</v>
          </cell>
          <cell r="I64">
            <v>233</v>
          </cell>
          <cell r="J64">
            <v>248</v>
          </cell>
          <cell r="K64">
            <v>276</v>
          </cell>
          <cell r="L64">
            <v>298</v>
          </cell>
          <cell r="M64">
            <v>295</v>
          </cell>
          <cell r="N64">
            <v>307</v>
          </cell>
        </row>
        <row r="65">
          <cell r="D65" t="str">
            <v>Closings</v>
          </cell>
          <cell r="E65">
            <v>0</v>
          </cell>
          <cell r="F65">
            <v>0</v>
          </cell>
          <cell r="G65">
            <v>0</v>
          </cell>
          <cell r="H65">
            <v>0</v>
          </cell>
          <cell r="I65">
            <v>1</v>
          </cell>
          <cell r="J65">
            <v>0</v>
          </cell>
          <cell r="K65">
            <v>0</v>
          </cell>
          <cell r="L65">
            <v>0</v>
          </cell>
          <cell r="M65">
            <v>0</v>
          </cell>
          <cell r="N65">
            <v>0</v>
          </cell>
          <cell r="O65">
            <v>0</v>
          </cell>
        </row>
        <row r="66">
          <cell r="D66" t="str">
            <v>as a % of stores</v>
          </cell>
          <cell r="F66">
            <v>0</v>
          </cell>
          <cell r="G66">
            <v>0</v>
          </cell>
          <cell r="H66">
            <v>0</v>
          </cell>
          <cell r="I66">
            <v>4.464285714285714E-3</v>
          </cell>
          <cell r="J66">
            <v>0</v>
          </cell>
          <cell r="K66">
            <v>0</v>
          </cell>
          <cell r="L66">
            <v>0</v>
          </cell>
          <cell r="M66">
            <v>0</v>
          </cell>
          <cell r="N66">
            <v>0</v>
          </cell>
        </row>
        <row r="67">
          <cell r="D67" t="str">
            <v>'10-'12 closings as % '09 ending stores (or '10 begin store cnt)</v>
          </cell>
          <cell r="O67">
            <v>0</v>
          </cell>
        </row>
        <row r="68">
          <cell r="C68" t="str">
            <v>URBN</v>
          </cell>
          <cell r="D68" t="str">
            <v>End of Period</v>
          </cell>
          <cell r="E68">
            <v>0</v>
          </cell>
          <cell r="F68">
            <v>245</v>
          </cell>
          <cell r="G68">
            <v>294</v>
          </cell>
          <cell r="H68">
            <v>327</v>
          </cell>
          <cell r="I68">
            <v>372</v>
          </cell>
          <cell r="J68">
            <v>429</v>
          </cell>
          <cell r="K68">
            <v>0</v>
          </cell>
          <cell r="L68">
            <v>1</v>
          </cell>
          <cell r="M68">
            <v>0</v>
          </cell>
          <cell r="N68">
            <v>2</v>
          </cell>
        </row>
        <row r="69">
          <cell r="D69" t="str">
            <v>Closings</v>
          </cell>
          <cell r="E69">
            <v>0</v>
          </cell>
          <cell r="F69">
            <v>0</v>
          </cell>
          <cell r="G69">
            <v>0</v>
          </cell>
          <cell r="H69">
            <v>0</v>
          </cell>
          <cell r="I69">
            <v>0</v>
          </cell>
          <cell r="J69">
            <v>0</v>
          </cell>
          <cell r="K69">
            <v>-2</v>
          </cell>
          <cell r="L69">
            <v>0</v>
          </cell>
          <cell r="M69">
            <v>-3</v>
          </cell>
          <cell r="N69">
            <v>-3</v>
          </cell>
          <cell r="O69">
            <v>-5</v>
          </cell>
        </row>
        <row r="70">
          <cell r="D70" t="str">
            <v>as a % of stores</v>
          </cell>
          <cell r="F70" t="e">
            <v>#DIV/0!</v>
          </cell>
          <cell r="G70">
            <v>0</v>
          </cell>
          <cell r="H70">
            <v>0</v>
          </cell>
          <cell r="I70">
            <v>0</v>
          </cell>
          <cell r="J70">
            <v>0</v>
          </cell>
          <cell r="K70">
            <v>-4.662004662004662E-3</v>
          </cell>
          <cell r="L70" t="e">
            <v>#DIV/0!</v>
          </cell>
          <cell r="M70">
            <v>-3</v>
          </cell>
          <cell r="N70" t="e">
            <v>#DIV/0!</v>
          </cell>
        </row>
        <row r="71">
          <cell r="D71" t="str">
            <v>'10-'12 closings as % '09 ending stores (or '10 begin store cnt)</v>
          </cell>
          <cell r="O71">
            <v>-1.1655011655011656E-2</v>
          </cell>
        </row>
        <row r="72">
          <cell r="C72" t="str">
            <v>EXPR</v>
          </cell>
          <cell r="D72" t="str">
            <v>End of Period</v>
          </cell>
          <cell r="E72">
            <v>658</v>
          </cell>
          <cell r="F72">
            <v>587</v>
          </cell>
          <cell r="G72">
            <v>581</v>
          </cell>
          <cell r="H72">
            <v>573</v>
          </cell>
          <cell r="I72">
            <v>591</v>
          </cell>
          <cell r="J72">
            <v>609</v>
          </cell>
          <cell r="K72">
            <v>625</v>
          </cell>
          <cell r="L72">
            <v>632</v>
          </cell>
          <cell r="M72">
            <v>629</v>
          </cell>
          <cell r="N72">
            <v>629</v>
          </cell>
        </row>
        <row r="73">
          <cell r="D73" t="str">
            <v>Closings</v>
          </cell>
          <cell r="E73" t="e">
            <v>#REF!</v>
          </cell>
          <cell r="F73" t="e">
            <v>#REF!</v>
          </cell>
          <cell r="G73">
            <v>10</v>
          </cell>
          <cell r="H73">
            <v>6</v>
          </cell>
          <cell r="I73">
            <v>5</v>
          </cell>
          <cell r="J73">
            <v>9</v>
          </cell>
          <cell r="K73">
            <v>12</v>
          </cell>
          <cell r="L73">
            <v>9</v>
          </cell>
          <cell r="M73">
            <v>5</v>
          </cell>
          <cell r="N73">
            <v>5</v>
          </cell>
          <cell r="O73">
            <v>26</v>
          </cell>
        </row>
        <row r="74">
          <cell r="D74" t="str">
            <v>as a % of stores</v>
          </cell>
          <cell r="F74" t="e">
            <v>#REF!</v>
          </cell>
          <cell r="G74">
            <v>1.7035775127768313E-2</v>
          </cell>
          <cell r="H74">
            <v>1.0327022375215147E-2</v>
          </cell>
          <cell r="I74">
            <v>8.7260034904013961E-3</v>
          </cell>
          <cell r="J74">
            <v>1.5228426395939087E-2</v>
          </cell>
          <cell r="K74">
            <v>1.9704433497536946E-2</v>
          </cell>
          <cell r="L74">
            <v>1.44E-2</v>
          </cell>
          <cell r="M74">
            <v>7.9113924050632917E-3</v>
          </cell>
          <cell r="N74">
            <v>7.9491255961844191E-3</v>
          </cell>
        </row>
        <row r="75">
          <cell r="D75" t="str">
            <v>'10-'12 closings as % '09 ending stores (or '10 begin store cnt)</v>
          </cell>
          <cell r="O75">
            <v>4.2692939244663386E-2</v>
          </cell>
        </row>
        <row r="90">
          <cell r="J90">
            <v>0</v>
          </cell>
          <cell r="K90">
            <v>1</v>
          </cell>
          <cell r="L90">
            <v>2</v>
          </cell>
          <cell r="M90">
            <v>3</v>
          </cell>
          <cell r="N90">
            <v>4</v>
          </cell>
        </row>
        <row r="92">
          <cell r="C92" t="str">
            <v>Store Openings</v>
          </cell>
          <cell r="I92">
            <v>2010</v>
          </cell>
          <cell r="J92">
            <v>2011</v>
          </cell>
          <cell r="K92">
            <v>2012</v>
          </cell>
          <cell r="L92" t="str">
            <v>2013E</v>
          </cell>
          <cell r="M92" t="str">
            <v>2014E</v>
          </cell>
          <cell r="N92" t="str">
            <v>2015E</v>
          </cell>
        </row>
        <row r="93">
          <cell r="C93" t="str">
            <v>KORS</v>
          </cell>
          <cell r="D93" t="str">
            <v>End of Year # Stores</v>
          </cell>
          <cell r="I93">
            <v>106</v>
          </cell>
          <cell r="J93">
            <v>166</v>
          </cell>
          <cell r="K93">
            <v>237</v>
          </cell>
          <cell r="L93">
            <v>303</v>
          </cell>
          <cell r="M93">
            <v>405</v>
          </cell>
          <cell r="N93">
            <v>526</v>
          </cell>
        </row>
        <row r="94">
          <cell r="D94" t="str">
            <v>New Store Openings</v>
          </cell>
          <cell r="I94">
            <v>32</v>
          </cell>
          <cell r="J94">
            <v>60</v>
          </cell>
          <cell r="K94">
            <v>71</v>
          </cell>
          <cell r="L94">
            <v>66</v>
          </cell>
          <cell r="M94">
            <v>102</v>
          </cell>
          <cell r="N94">
            <v>121</v>
          </cell>
        </row>
        <row r="95">
          <cell r="D95" t="str">
            <v>Gross Square Footage</v>
          </cell>
          <cell r="I95">
            <v>5.6603773584905674E-4</v>
          </cell>
          <cell r="J95">
            <v>4.265324118147954E-4</v>
          </cell>
          <cell r="K95">
            <v>3.4961665288653766E-4</v>
          </cell>
          <cell r="L95">
            <v>1.6521559532391717E-4</v>
          </cell>
          <cell r="M95">
            <v>3.1550113710201424E-4</v>
          </cell>
          <cell r="N95">
            <v>2.5679716471858416E-4</v>
          </cell>
        </row>
        <row r="96">
          <cell r="D96" t="str">
            <v>y/y chg. square footage</v>
          </cell>
          <cell r="J96">
            <v>-0.24645940579386161</v>
          </cell>
          <cell r="K96">
            <v>-0.18032805197851021</v>
          </cell>
          <cell r="L96">
            <v>-0.52743785526276077</v>
          </cell>
          <cell r="M96">
            <v>0.90963290410600384</v>
          </cell>
          <cell r="N96">
            <v>-0.18606580287680141</v>
          </cell>
        </row>
        <row r="97">
          <cell r="C97" t="str">
            <v>LULU</v>
          </cell>
          <cell r="D97" t="str">
            <v>End of Year # Stores</v>
          </cell>
          <cell r="I97">
            <v>0</v>
          </cell>
          <cell r="J97">
            <v>0</v>
          </cell>
          <cell r="K97">
            <v>1</v>
          </cell>
          <cell r="L97">
            <v>2</v>
          </cell>
          <cell r="M97">
            <v>1</v>
          </cell>
          <cell r="N97">
            <v>1</v>
          </cell>
        </row>
        <row r="98">
          <cell r="D98" t="str">
            <v>New Store Openings</v>
          </cell>
          <cell r="I98">
            <v>1</v>
          </cell>
          <cell r="J98">
            <v>1</v>
          </cell>
          <cell r="K98">
            <v>2</v>
          </cell>
          <cell r="L98">
            <v>2</v>
          </cell>
          <cell r="M98">
            <v>0</v>
          </cell>
          <cell r="N98">
            <v>1</v>
          </cell>
        </row>
        <row r="99">
          <cell r="D99" t="str">
            <v>Gross Square Footage</v>
          </cell>
          <cell r="I99">
            <v>1</v>
          </cell>
          <cell r="J99">
            <v>0.434</v>
          </cell>
          <cell r="K99">
            <v>0.54800000000000004</v>
          </cell>
          <cell r="L99">
            <v>0.67100000000000004</v>
          </cell>
          <cell r="M99">
            <v>0</v>
          </cell>
          <cell r="N99">
            <v>0</v>
          </cell>
        </row>
        <row r="100">
          <cell r="D100" t="str">
            <v>y/y chg. square footage</v>
          </cell>
          <cell r="J100">
            <v>-0.56600000000000006</v>
          </cell>
          <cell r="K100">
            <v>0.26267281105990792</v>
          </cell>
          <cell r="L100">
            <v>0.22445255474452552</v>
          </cell>
          <cell r="M100">
            <v>-1</v>
          </cell>
          <cell r="N100" t="e">
            <v>#DIV/0!</v>
          </cell>
        </row>
        <row r="101">
          <cell r="C101" t="str">
            <v>TEA</v>
          </cell>
          <cell r="D101" t="str">
            <v>End of Year # Stores</v>
          </cell>
          <cell r="I101">
            <v>146</v>
          </cell>
          <cell r="J101">
            <v>200</v>
          </cell>
          <cell r="K101">
            <v>260</v>
          </cell>
          <cell r="L101">
            <v>340</v>
          </cell>
          <cell r="M101">
            <v>420</v>
          </cell>
          <cell r="N101">
            <v>420</v>
          </cell>
        </row>
        <row r="102">
          <cell r="D102" t="str">
            <v>New Store Openings</v>
          </cell>
          <cell r="I102">
            <v>38</v>
          </cell>
          <cell r="J102">
            <v>54</v>
          </cell>
          <cell r="K102">
            <v>60</v>
          </cell>
          <cell r="L102">
            <v>80</v>
          </cell>
          <cell r="M102">
            <v>80</v>
          </cell>
          <cell r="N102">
            <v>80</v>
          </cell>
        </row>
        <row r="103">
          <cell r="D103" t="str">
            <v>Gross Square Footage</v>
          </cell>
          <cell r="I103">
            <v>0.13</v>
          </cell>
          <cell r="J103">
            <v>0.18021999999999999</v>
          </cell>
          <cell r="K103">
            <v>0.23602000000000001</v>
          </cell>
          <cell r="L103">
            <v>0.30002000000000001</v>
          </cell>
          <cell r="M103">
            <v>0.36401999999999995</v>
          </cell>
          <cell r="N103">
            <v>0.36401999999999995</v>
          </cell>
        </row>
        <row r="104">
          <cell r="D104" t="str">
            <v>y/y chg. square footage</v>
          </cell>
          <cell r="J104">
            <v>0.38630769230769224</v>
          </cell>
          <cell r="K104">
            <v>0.30962157363222742</v>
          </cell>
          <cell r="L104">
            <v>0.27116346072366748</v>
          </cell>
          <cell r="M104">
            <v>0.21331911205919596</v>
          </cell>
          <cell r="N104">
            <v>0</v>
          </cell>
        </row>
        <row r="105">
          <cell r="C105" t="str">
            <v>URBN</v>
          </cell>
          <cell r="D105" t="str">
            <v>End of Year # Stores</v>
          </cell>
          <cell r="I105">
            <v>372</v>
          </cell>
          <cell r="J105">
            <v>429</v>
          </cell>
          <cell r="K105">
            <v>0</v>
          </cell>
          <cell r="L105">
            <v>1</v>
          </cell>
          <cell r="M105">
            <v>0</v>
          </cell>
          <cell r="N105">
            <v>2</v>
          </cell>
        </row>
        <row r="106">
          <cell r="D106" t="str">
            <v>New Store Openings</v>
          </cell>
          <cell r="I106">
            <v>45</v>
          </cell>
          <cell r="J106">
            <v>57</v>
          </cell>
          <cell r="K106">
            <v>49</v>
          </cell>
          <cell r="L106">
            <v>37</v>
          </cell>
          <cell r="M106">
            <v>38</v>
          </cell>
          <cell r="N106">
            <v>33</v>
          </cell>
        </row>
        <row r="107">
          <cell r="D107" t="str">
            <v>Gross Square Footage</v>
          </cell>
          <cell r="I107">
            <v>4.951378557939913</v>
          </cell>
          <cell r="J107">
            <v>3.9141679999999996</v>
          </cell>
          <cell r="K107">
            <v>4.2913493333333328</v>
          </cell>
          <cell r="L107">
            <v>4.6583493333333319</v>
          </cell>
          <cell r="M107">
            <v>5.8610094607379377</v>
          </cell>
          <cell r="N107">
            <v>5.6772816399286983</v>
          </cell>
        </row>
        <row r="108">
          <cell r="D108" t="str">
            <v>y/y chg. square footage</v>
          </cell>
          <cell r="J108">
            <v>-0.20947914723196981</v>
          </cell>
          <cell r="K108">
            <v>9.6363092573781506E-2</v>
          </cell>
          <cell r="L108">
            <v>8.5520886670610308E-2</v>
          </cell>
          <cell r="M108">
            <v>0.25817302253371999</v>
          </cell>
          <cell r="N108">
            <v>-3.1347470438327307E-2</v>
          </cell>
        </row>
        <row r="111">
          <cell r="L111">
            <v>-7.2488137949208317E-2</v>
          </cell>
        </row>
      </sheetData>
      <sheetData sheetId="13">
        <row r="1">
          <cell r="K1" t="str">
            <v>Rent Expense as a % of Sales Relative to Sales Productivity</v>
          </cell>
        </row>
        <row r="2">
          <cell r="B2">
            <v>2</v>
          </cell>
          <cell r="C2">
            <v>42</v>
          </cell>
          <cell r="D2">
            <v>23</v>
          </cell>
          <cell r="F2">
            <v>41</v>
          </cell>
          <cell r="G2">
            <v>21</v>
          </cell>
        </row>
        <row r="3">
          <cell r="C3" t="str">
            <v>2012A</v>
          </cell>
          <cell r="D3" t="str">
            <v>2012A</v>
          </cell>
          <cell r="F3" t="str">
            <v>2012A</v>
          </cell>
          <cell r="G3" t="str">
            <v>2012A</v>
          </cell>
        </row>
        <row r="4">
          <cell r="A4" t="str">
            <v>2012</v>
          </cell>
          <cell r="C4" t="str">
            <v>Total Sales per</v>
          </cell>
          <cell r="D4" t="str">
            <v>Rent as %</v>
          </cell>
          <cell r="F4" t="str">
            <v>Sales per</v>
          </cell>
          <cell r="G4" t="str">
            <v>Rent as %</v>
          </cell>
        </row>
        <row r="5">
          <cell r="C5" t="str">
            <v>Square Ft</v>
          </cell>
          <cell r="D5" t="str">
            <v>of Revenue</v>
          </cell>
          <cell r="F5" t="str">
            <v>Square Ft</v>
          </cell>
          <cell r="G5" t="str">
            <v>of Revenue</v>
          </cell>
        </row>
        <row r="6">
          <cell r="A6" t="str">
            <v>AEO2012</v>
          </cell>
          <cell r="B6" t="str">
            <v>AEO</v>
          </cell>
          <cell r="C6">
            <v>556.41489592799871</v>
          </cell>
          <cell r="D6">
            <v>0.10946507309679895</v>
          </cell>
          <cell r="F6">
            <v>477.65316270123833</v>
          </cell>
          <cell r="G6">
            <v>0.12645528685503399</v>
          </cell>
          <cell r="J6">
            <v>1</v>
          </cell>
          <cell r="AL6" t="str">
            <v>AEO</v>
          </cell>
          <cell r="AM6">
            <v>556.41489592799871</v>
          </cell>
          <cell r="AN6">
            <v>0.10946507309679895</v>
          </cell>
        </row>
        <row r="7">
          <cell r="A7" t="str">
            <v>ANF2012</v>
          </cell>
          <cell r="B7" t="str">
            <v>ANF</v>
          </cell>
          <cell r="C7">
            <v>574.6052968644251</v>
          </cell>
          <cell r="D7">
            <v>0.13179221890549467</v>
          </cell>
          <cell r="F7">
            <v>574.6052968644251</v>
          </cell>
          <cell r="G7">
            <v>0.15602665073739372</v>
          </cell>
          <cell r="J7">
            <v>2</v>
          </cell>
          <cell r="AL7" t="str">
            <v>ANF</v>
          </cell>
          <cell r="AM7">
            <v>574.6052968644251</v>
          </cell>
          <cell r="AN7">
            <v>0.13179221890549467</v>
          </cell>
        </row>
        <row r="8">
          <cell r="A8" t="str">
            <v>ANN2012</v>
          </cell>
          <cell r="B8" t="str">
            <v>ANN</v>
          </cell>
          <cell r="C8">
            <v>416.54038699269682</v>
          </cell>
          <cell r="D8">
            <v>0.12403994259756541</v>
          </cell>
          <cell r="F8">
            <v>416.54038699269682</v>
          </cell>
          <cell r="G8">
            <v>0.14313320399313553</v>
          </cell>
          <cell r="J8">
            <v>3</v>
          </cell>
          <cell r="AL8" t="str">
            <v>ANN</v>
          </cell>
          <cell r="AM8">
            <v>416.54038699269682</v>
          </cell>
          <cell r="AN8">
            <v>0.12403994259756541</v>
          </cell>
        </row>
        <row r="9">
          <cell r="A9" t="str">
            <v>ARO2012</v>
          </cell>
          <cell r="B9" t="str">
            <v>ARO</v>
          </cell>
          <cell r="C9">
            <v>602.39488381222384</v>
          </cell>
          <cell r="D9">
            <v>8.7383988118237624E-2</v>
          </cell>
          <cell r="F9">
            <v>602.39488381222384</v>
          </cell>
          <cell r="G9">
            <v>9.6125698305994267E-2</v>
          </cell>
          <cell r="J9">
            <v>4</v>
          </cell>
          <cell r="AL9" t="str">
            <v>ARO</v>
          </cell>
          <cell r="AM9">
            <v>602.39488381222384</v>
          </cell>
          <cell r="AN9">
            <v>8.7383988118237624E-2</v>
          </cell>
        </row>
        <row r="10">
          <cell r="A10" t="str">
            <v>CHS2012</v>
          </cell>
          <cell r="B10" t="str">
            <v>CHS</v>
          </cell>
          <cell r="C10">
            <v>4990793.7258014008</v>
          </cell>
          <cell r="D10">
            <v>7.9812262960484798E-2</v>
          </cell>
          <cell r="F10">
            <v>624.2786762617161</v>
          </cell>
          <cell r="G10">
            <v>9.2956103365497214E-2</v>
          </cell>
          <cell r="J10">
            <v>5</v>
          </cell>
          <cell r="AL10" t="str">
            <v>CHS</v>
          </cell>
          <cell r="AM10">
            <v>4990793.7258014008</v>
          </cell>
          <cell r="AN10">
            <v>7.9812262960484798E-2</v>
          </cell>
        </row>
        <row r="11">
          <cell r="A11" t="str">
            <v>COH2012</v>
          </cell>
          <cell r="B11" t="str">
            <v>COH</v>
          </cell>
          <cell r="C11">
            <v>2191.0094270103577</v>
          </cell>
          <cell r="D11">
            <v>3.4982012079537157E-5</v>
          </cell>
          <cell r="F11">
            <v>1943.2337028269992</v>
          </cell>
          <cell r="G11">
            <v>3.9442460333284837E-5</v>
          </cell>
          <cell r="J11">
            <v>6</v>
          </cell>
          <cell r="AL11" t="str">
            <v>COH</v>
          </cell>
          <cell r="AM11">
            <v>2191.0094270103577</v>
          </cell>
          <cell r="AN11">
            <v>3.4982012079537157E-5</v>
          </cell>
        </row>
        <row r="12">
          <cell r="A12" t="str">
            <v>EXPR2012</v>
          </cell>
          <cell r="B12" t="str">
            <v>EXPR</v>
          </cell>
          <cell r="C12">
            <v>402.51639620732294</v>
          </cell>
          <cell r="D12">
            <v>0.13382112027127621</v>
          </cell>
          <cell r="F12">
            <v>347.29789753775805</v>
          </cell>
          <cell r="G12">
            <v>0.15509795898538264</v>
          </cell>
          <cell r="J12">
            <v>7</v>
          </cell>
          <cell r="AL12" t="str">
            <v>EXPR</v>
          </cell>
          <cell r="AM12">
            <v>402.51639620732294</v>
          </cell>
          <cell r="AN12">
            <v>0.13382112027127621</v>
          </cell>
        </row>
        <row r="13">
          <cell r="A13" t="str">
            <v>GPS2012</v>
          </cell>
          <cell r="B13" t="str">
            <v>GPS</v>
          </cell>
          <cell r="C13">
            <v>422.42914979757086</v>
          </cell>
          <cell r="D13">
            <v>0.11351964730688134</v>
          </cell>
          <cell r="F13">
            <v>374.73684210526318</v>
          </cell>
          <cell r="G13">
            <v>0.11645883586785527</v>
          </cell>
          <cell r="J13">
            <v>8</v>
          </cell>
          <cell r="AL13" t="str">
            <v>GPS</v>
          </cell>
          <cell r="AM13">
            <v>422.42914979757086</v>
          </cell>
          <cell r="AN13">
            <v>0.11351964730688134</v>
          </cell>
        </row>
        <row r="14">
          <cell r="A14" t="str">
            <v>KORS2012</v>
          </cell>
          <cell r="B14" t="str">
            <v>KORS</v>
          </cell>
          <cell r="C14">
            <v>5992094.4345859783</v>
          </cell>
          <cell r="D14">
            <v>6.4530410344054365E-2</v>
          </cell>
          <cell r="F14">
            <v>5992094.4345859783</v>
          </cell>
          <cell r="G14">
            <v>6.7208427178607824E-2</v>
          </cell>
          <cell r="J14">
            <v>9</v>
          </cell>
          <cell r="AL14" t="str">
            <v>KORS</v>
          </cell>
          <cell r="AM14">
            <v>5992094.4345859783</v>
          </cell>
          <cell r="AN14">
            <v>6.4530410344054365E-2</v>
          </cell>
        </row>
        <row r="15">
          <cell r="A15" t="str">
            <v>LTD2012</v>
          </cell>
          <cell r="B15" t="str">
            <v>LTD</v>
          </cell>
          <cell r="C15">
            <v>767.91335872607954</v>
          </cell>
          <cell r="D15">
            <v>-9.6206576184754474E-3</v>
          </cell>
          <cell r="F15">
            <v>604.88091413886457</v>
          </cell>
          <cell r="G15">
            <v>-1.1349604379189139E-2</v>
          </cell>
          <cell r="J15">
            <v>10</v>
          </cell>
          <cell r="AL15" t="str">
            <v>LTD</v>
          </cell>
          <cell r="AM15">
            <v>767.91335872607954</v>
          </cell>
          <cell r="AN15">
            <v>-9.6206576184754474E-3</v>
          </cell>
        </row>
        <row r="16">
          <cell r="A16" t="str">
            <v>LULU2012</v>
          </cell>
          <cell r="B16" t="str">
            <v>LULU</v>
          </cell>
          <cell r="C16">
            <v>2500.6532846715327</v>
          </cell>
          <cell r="D16">
            <v>6.0150705144203197E-2</v>
          </cell>
          <cell r="F16" t="e">
            <v>#N/A</v>
          </cell>
          <cell r="G16">
            <v>6.0150705144203197E-2</v>
          </cell>
          <cell r="J16">
            <v>11</v>
          </cell>
          <cell r="AL16" t="str">
            <v>LULU</v>
          </cell>
          <cell r="AM16">
            <v>2500.6532846715327</v>
          </cell>
          <cell r="AN16">
            <v>6.0150705144203197E-2</v>
          </cell>
        </row>
        <row r="17">
          <cell r="A17" t="str">
            <v>PLCE2012</v>
          </cell>
          <cell r="B17" t="str">
            <v>PLCE</v>
          </cell>
          <cell r="C17">
            <v>345.6685457146607</v>
          </cell>
          <cell r="D17">
            <v>0.14313360258106445</v>
          </cell>
          <cell r="F17">
            <v>304.58910098878653</v>
          </cell>
          <cell r="G17">
            <v>0.16243780255590382</v>
          </cell>
          <cell r="J17">
            <v>12</v>
          </cell>
          <cell r="AL17" t="str">
            <v>PLCE</v>
          </cell>
          <cell r="AM17">
            <v>345.6685457146607</v>
          </cell>
          <cell r="AN17">
            <v>0.14313360258106445</v>
          </cell>
        </row>
        <row r="18">
          <cell r="A18" t="str">
            <v>ROST2012</v>
          </cell>
          <cell r="B18" t="str">
            <v>ROST</v>
          </cell>
          <cell r="C18">
            <v>286.07017368325023</v>
          </cell>
          <cell r="D18">
            <v>5.4542007485805309E-2</v>
          </cell>
          <cell r="F18">
            <v>286.07017368325023</v>
          </cell>
          <cell r="G18">
            <v>5.4542007485805309E-2</v>
          </cell>
          <cell r="J18">
            <v>13</v>
          </cell>
          <cell r="AL18" t="str">
            <v>TIF</v>
          </cell>
          <cell r="AM18">
            <v>3420.2451886239687</v>
          </cell>
          <cell r="AN18">
            <v>8.6018880675675216E-2</v>
          </cell>
        </row>
        <row r="19">
          <cell r="A19" t="str">
            <v>TIF2012</v>
          </cell>
          <cell r="B19" t="str">
            <v>TIF</v>
          </cell>
          <cell r="C19">
            <v>3420.2451886239687</v>
          </cell>
          <cell r="D19">
            <v>8.6018880675675216E-2</v>
          </cell>
          <cell r="F19">
            <v>3365.8830179294127</v>
          </cell>
          <cell r="G19">
            <v>9.2356361645005838E-2</v>
          </cell>
          <cell r="J19">
            <v>14</v>
          </cell>
          <cell r="AL19" t="str">
            <v>URBN</v>
          </cell>
          <cell r="AM19">
            <v>651.29281792331381</v>
          </cell>
          <cell r="AN19">
            <v>9.4505110512804441E-2</v>
          </cell>
        </row>
        <row r="20">
          <cell r="A20" t="str">
            <v>TJX2012</v>
          </cell>
          <cell r="B20" t="str">
            <v>TJX</v>
          </cell>
          <cell r="C20">
            <v>296.7703211009175</v>
          </cell>
          <cell r="D20">
            <v>6.0213525023907991E-2</v>
          </cell>
          <cell r="F20">
            <v>296.7703211009175</v>
          </cell>
          <cell r="G20">
            <v>6.0213525023907991E-2</v>
          </cell>
          <cell r="J20">
            <v>15</v>
          </cell>
        </row>
        <row r="21">
          <cell r="A21" t="str">
            <v>URBN2012</v>
          </cell>
          <cell r="B21" t="str">
            <v>URBN</v>
          </cell>
          <cell r="C21">
            <v>651.29281792331381</v>
          </cell>
          <cell r="D21">
            <v>9.4505110512804441E-2</v>
          </cell>
          <cell r="F21">
            <v>616.65546066008153</v>
          </cell>
          <cell r="G21">
            <v>9.9813434990348712E-2</v>
          </cell>
          <cell r="J21">
            <v>16</v>
          </cell>
        </row>
        <row r="24">
          <cell r="B24" t="str">
            <v>max</v>
          </cell>
          <cell r="C24">
            <v>5992094.4345859783</v>
          </cell>
          <cell r="D24">
            <v>0.14313360258106445</v>
          </cell>
          <cell r="AL24" t="str">
            <v>ROST</v>
          </cell>
          <cell r="AM24">
            <v>286.07017368325023</v>
          </cell>
          <cell r="AN24">
            <v>5.4542007485805309E-2</v>
          </cell>
        </row>
        <row r="25">
          <cell r="B25" t="str">
            <v>min</v>
          </cell>
          <cell r="C25">
            <v>286.07017368325023</v>
          </cell>
          <cell r="D25">
            <v>-9.6206576184754474E-3</v>
          </cell>
          <cell r="AL25" t="str">
            <v>TJX</v>
          </cell>
          <cell r="AM25">
            <v>296.7703211009175</v>
          </cell>
          <cell r="AN25">
            <v>6.0213525023907991E-2</v>
          </cell>
        </row>
        <row r="27">
          <cell r="K27" t="str">
            <v>Rent Per Square Foot Relative to Sales Productivity</v>
          </cell>
        </row>
        <row r="29">
          <cell r="B29">
            <v>2</v>
          </cell>
          <cell r="C29">
            <v>42</v>
          </cell>
          <cell r="D29">
            <v>39</v>
          </cell>
        </row>
        <row r="30">
          <cell r="C30" t="str">
            <v>Sales per</v>
          </cell>
          <cell r="D30" t="str">
            <v>Rent per</v>
          </cell>
          <cell r="AV30" t="str">
            <v>AEO</v>
          </cell>
          <cell r="AW30">
            <v>477.65316270123833</v>
          </cell>
          <cell r="AX30">
            <v>0.12645528685503399</v>
          </cell>
        </row>
        <row r="31">
          <cell r="C31" t="str">
            <v>Square Ft</v>
          </cell>
          <cell r="D31" t="str">
            <v>Square Ft</v>
          </cell>
          <cell r="AV31" t="str">
            <v>ANF</v>
          </cell>
          <cell r="AW31">
            <v>574.6052968644251</v>
          </cell>
          <cell r="AX31">
            <v>0.15602665073739372</v>
          </cell>
        </row>
        <row r="32">
          <cell r="A32" t="str">
            <v>AEO2012</v>
          </cell>
          <cell r="B32" t="str">
            <v>AEO</v>
          </cell>
          <cell r="C32">
            <v>556.41489592799871</v>
          </cell>
          <cell r="D32">
            <v>60.907997254906157</v>
          </cell>
          <cell r="G32">
            <v>0.99168537411331648</v>
          </cell>
          <cell r="J32">
            <v>1</v>
          </cell>
          <cell r="AV32" t="str">
            <v>ANN</v>
          </cell>
          <cell r="AW32">
            <v>416.54038699269682</v>
          </cell>
          <cell r="AX32">
            <v>0.14313320399313553</v>
          </cell>
        </row>
        <row r="33">
          <cell r="A33" t="str">
            <v>ANF2012</v>
          </cell>
          <cell r="B33" t="str">
            <v>ANF</v>
          </cell>
          <cell r="C33">
            <v>574.6052968644251</v>
          </cell>
          <cell r="D33">
            <v>75.728507068613069</v>
          </cell>
          <cell r="J33">
            <v>2</v>
          </cell>
          <cell r="AV33" t="str">
            <v>ARO</v>
          </cell>
          <cell r="AW33">
            <v>602.39488381222384</v>
          </cell>
          <cell r="AX33">
            <v>9.6125698305994267E-2</v>
          </cell>
        </row>
        <row r="34">
          <cell r="A34" t="str">
            <v>ANN2012</v>
          </cell>
          <cell r="B34" t="str">
            <v>ANN</v>
          </cell>
          <cell r="C34">
            <v>416.54038699269682</v>
          </cell>
          <cell r="D34">
            <v>51.667645692141797</v>
          </cell>
          <cell r="J34">
            <v>3</v>
          </cell>
          <cell r="AV34" t="str">
            <v>CHS</v>
          </cell>
          <cell r="AW34">
            <v>624.2786762617161</v>
          </cell>
          <cell r="AX34">
            <v>9.2956103365497214E-2</v>
          </cell>
        </row>
        <row r="35">
          <cell r="A35" t="str">
            <v>ARO2012</v>
          </cell>
          <cell r="B35" t="str">
            <v>ARO</v>
          </cell>
          <cell r="C35">
            <v>602.39488381222384</v>
          </cell>
          <cell r="D35">
            <v>52.639667369534507</v>
          </cell>
          <cell r="J35">
            <v>4</v>
          </cell>
          <cell r="AV35" t="str">
            <v>COH</v>
          </cell>
          <cell r="AW35">
            <v>1943.2337028269992</v>
          </cell>
          <cell r="AX35">
            <v>3.9442460333284837E-5</v>
          </cell>
        </row>
        <row r="36">
          <cell r="A36" t="str">
            <v>CHS2012</v>
          </cell>
          <cell r="B36" t="str">
            <v>CHS</v>
          </cell>
          <cell r="C36">
            <v>4990793.7258014008</v>
          </cell>
          <cell r="D36">
            <v>398326.54122519906</v>
          </cell>
          <cell r="J36">
            <v>5</v>
          </cell>
          <cell r="AV36" t="str">
            <v>EXPR</v>
          </cell>
          <cell r="AW36">
            <v>347.29789753775805</v>
          </cell>
          <cell r="AX36">
            <v>0.15509795898538264</v>
          </cell>
        </row>
        <row r="37">
          <cell r="A37" t="str">
            <v>COH2012</v>
          </cell>
          <cell r="B37" t="str">
            <v>COH</v>
          </cell>
          <cell r="C37">
            <v>2191.0094270103577</v>
          </cell>
          <cell r="D37">
            <v>7.6645918242056119E-2</v>
          </cell>
          <cell r="J37">
            <v>6</v>
          </cell>
          <cell r="AV37" t="str">
            <v>GPS</v>
          </cell>
          <cell r="AW37">
            <v>374.73684210526318</v>
          </cell>
          <cell r="AX37">
            <v>0.11645883586785527</v>
          </cell>
        </row>
        <row r="38">
          <cell r="A38" t="str">
            <v>EXPR2012</v>
          </cell>
          <cell r="B38" t="str">
            <v>EXPR</v>
          </cell>
          <cell r="C38">
            <v>402.51639620732294</v>
          </cell>
          <cell r="D38">
            <v>53.865195068020832</v>
          </cell>
          <cell r="J38">
            <v>7</v>
          </cell>
          <cell r="AV38" t="str">
            <v>KORS</v>
          </cell>
          <cell r="AW38">
            <v>5992094.4345859783</v>
          </cell>
          <cell r="AX38">
            <v>6.7208427178607824E-2</v>
          </cell>
        </row>
        <row r="39">
          <cell r="A39" t="str">
            <v>GPS2012</v>
          </cell>
          <cell r="B39" t="str">
            <v>GPS</v>
          </cell>
          <cell r="C39">
            <v>422.42914979757086</v>
          </cell>
          <cell r="D39">
            <v>47.954008097165996</v>
          </cell>
          <cell r="J39">
            <v>8</v>
          </cell>
          <cell r="AV39" t="str">
            <v>LTD</v>
          </cell>
          <cell r="AW39">
            <v>604.88091413886457</v>
          </cell>
          <cell r="AX39">
            <v>-1.1349604379189139E-2</v>
          </cell>
        </row>
        <row r="40">
          <cell r="A40" t="str">
            <v>KORS2012</v>
          </cell>
          <cell r="B40" t="str">
            <v>KORS</v>
          </cell>
          <cell r="C40">
            <v>5992094.4345859783</v>
          </cell>
          <cell r="D40">
            <v>402719.24245421297</v>
          </cell>
          <cell r="J40">
            <v>9</v>
          </cell>
          <cell r="AV40" t="str">
            <v>LULU</v>
          </cell>
          <cell r="AW40" t="e">
            <v>#N/A</v>
          </cell>
          <cell r="AX40">
            <v>6.0150705144203197E-2</v>
          </cell>
        </row>
        <row r="41">
          <cell r="A41" t="str">
            <v>LTD2012</v>
          </cell>
          <cell r="B41" t="str">
            <v>LTD</v>
          </cell>
          <cell r="C41">
            <v>767.91335872607954</v>
          </cell>
          <cell r="D41">
            <v>-7.387831504957127</v>
          </cell>
          <cell r="J41">
            <v>10</v>
          </cell>
          <cell r="AV41" t="str">
            <v>PLCE</v>
          </cell>
          <cell r="AW41">
            <v>304.58910098878653</v>
          </cell>
          <cell r="AX41">
            <v>0.16243780255590382</v>
          </cell>
        </row>
        <row r="42">
          <cell r="A42" t="str">
            <v>LULU2012</v>
          </cell>
          <cell r="B42" t="str">
            <v>LULU</v>
          </cell>
          <cell r="C42">
            <v>2500.6532846715327</v>
          </cell>
          <cell r="D42">
            <v>150.41605839416056</v>
          </cell>
          <cell r="J42">
            <v>11</v>
          </cell>
          <cell r="AV42" t="str">
            <v>TIF</v>
          </cell>
          <cell r="AW42">
            <v>3365.8830179294127</v>
          </cell>
          <cell r="AX42">
            <v>9.2356361645005838E-2</v>
          </cell>
        </row>
        <row r="43">
          <cell r="A43" t="str">
            <v>PLCE2012</v>
          </cell>
          <cell r="B43" t="str">
            <v>PLCE</v>
          </cell>
          <cell r="C43">
            <v>345.6685457146607</v>
          </cell>
          <cell r="D43">
            <v>49.476784247096752</v>
          </cell>
          <cell r="J43">
            <v>12</v>
          </cell>
          <cell r="AV43" t="str">
            <v>URBN</v>
          </cell>
          <cell r="AW43">
            <v>616.65546066008153</v>
          </cell>
          <cell r="AX43">
            <v>9.9813434990348712E-2</v>
          </cell>
        </row>
        <row r="44">
          <cell r="A44" t="str">
            <v>ROST2012</v>
          </cell>
          <cell r="B44" t="str">
            <v>ROST</v>
          </cell>
          <cell r="C44">
            <v>286.07017368325023</v>
          </cell>
          <cell r="D44">
            <v>15.602841554497461</v>
          </cell>
          <cell r="J44">
            <v>13</v>
          </cell>
        </row>
        <row r="45">
          <cell r="A45" t="str">
            <v>TIF2012</v>
          </cell>
          <cell r="B45" t="str">
            <v>TIF</v>
          </cell>
          <cell r="C45">
            <v>3420.2451886239687</v>
          </cell>
          <cell r="D45">
            <v>294.20566276179744</v>
          </cell>
          <cell r="J45">
            <v>14</v>
          </cell>
        </row>
        <row r="46">
          <cell r="A46" t="str">
            <v>TJX2012</v>
          </cell>
          <cell r="B46" t="str">
            <v>TJX</v>
          </cell>
          <cell r="C46">
            <v>296.7703211009175</v>
          </cell>
          <cell r="D46">
            <v>17.869587155963305</v>
          </cell>
          <cell r="J46">
            <v>15</v>
          </cell>
        </row>
        <row r="47">
          <cell r="A47" t="str">
            <v>URBN2012</v>
          </cell>
          <cell r="B47" t="str">
            <v>URBN</v>
          </cell>
          <cell r="C47">
            <v>651.29281792331381</v>
          </cell>
          <cell r="D47">
            <v>61.550499734038588</v>
          </cell>
          <cell r="J47">
            <v>16</v>
          </cell>
          <cell r="AV47" t="str">
            <v>TJX</v>
          </cell>
          <cell r="AW47">
            <v>296.7703211009175</v>
          </cell>
          <cell r="AX47">
            <v>6.0213525023907991E-2</v>
          </cell>
        </row>
        <row r="48">
          <cell r="C48" t="str">
            <v>max</v>
          </cell>
          <cell r="D48">
            <v>402719.24245421297</v>
          </cell>
          <cell r="AV48" t="str">
            <v>ROST</v>
          </cell>
          <cell r="AW48">
            <v>286.07017368325023</v>
          </cell>
          <cell r="AX48">
            <v>5.4542007485805309E-2</v>
          </cell>
        </row>
        <row r="49">
          <cell r="C49" t="str">
            <v>min</v>
          </cell>
          <cell r="D49">
            <v>-7.387831504957127</v>
          </cell>
        </row>
        <row r="52">
          <cell r="D52">
            <v>50123.14730926395</v>
          </cell>
          <cell r="I52">
            <v>4</v>
          </cell>
        </row>
        <row r="53">
          <cell r="D53">
            <v>33233.868010578008</v>
          </cell>
          <cell r="K53">
            <v>8</v>
          </cell>
          <cell r="L53">
            <v>0.625</v>
          </cell>
        </row>
        <row r="54">
          <cell r="K54">
            <v>5</v>
          </cell>
        </row>
        <row r="58">
          <cell r="B58" t="str">
            <v>AEO</v>
          </cell>
          <cell r="C58">
            <v>556.41489592799871</v>
          </cell>
          <cell r="D58">
            <v>60.907997254906157</v>
          </cell>
          <cell r="G58">
            <v>0.83441541839588385</v>
          </cell>
        </row>
        <row r="59">
          <cell r="B59" t="str">
            <v>ANF</v>
          </cell>
          <cell r="C59">
            <v>573.42437500905748</v>
          </cell>
          <cell r="D59">
            <v>75.572870756940176</v>
          </cell>
        </row>
        <row r="60">
          <cell r="B60" t="str">
            <v>ANN</v>
          </cell>
          <cell r="C60">
            <v>416.54038699269688</v>
          </cell>
          <cell r="D60">
            <v>51.667645692141797</v>
          </cell>
        </row>
        <row r="61">
          <cell r="B61" t="str">
            <v>ARO</v>
          </cell>
          <cell r="C61">
            <v>599.52955766762716</v>
          </cell>
          <cell r="D61">
            <v>52.389283743760188</v>
          </cell>
        </row>
        <row r="62">
          <cell r="B62" t="str">
            <v>CHS</v>
          </cell>
          <cell r="C62">
            <v>655.73204488974068</v>
          </cell>
          <cell r="D62">
            <v>52.335478675118473</v>
          </cell>
        </row>
        <row r="63">
          <cell r="B63" t="str">
            <v>COH</v>
          </cell>
          <cell r="C63">
            <v>2191.0094270103577</v>
          </cell>
          <cell r="D63">
            <v>145.08335272952749</v>
          </cell>
        </row>
        <row r="64">
          <cell r="B64" t="str">
            <v>EXPR</v>
          </cell>
          <cell r="C64">
            <v>402.51639620732294</v>
          </cell>
          <cell r="D64">
            <v>53.865195068020832</v>
          </cell>
        </row>
        <row r="65">
          <cell r="B65" t="str">
            <v>GPS</v>
          </cell>
          <cell r="C65">
            <v>424.14634146341456</v>
          </cell>
          <cell r="D65">
            <v>48.148943089430887</v>
          </cell>
        </row>
        <row r="66">
          <cell r="B66" t="str">
            <v>KORS</v>
          </cell>
          <cell r="C66">
            <v>1719.6195990428828</v>
          </cell>
          <cell r="D66">
            <v>233.01601264001974</v>
          </cell>
        </row>
        <row r="67">
          <cell r="B67" t="str">
            <v>LTD</v>
          </cell>
          <cell r="C67">
            <v>767.91335872607954</v>
          </cell>
          <cell r="D67">
            <v>56.613390849433259</v>
          </cell>
        </row>
        <row r="68">
          <cell r="B68" t="str">
            <v>LULU</v>
          </cell>
          <cell r="C68">
            <v>2500.6532846715322</v>
          </cell>
          <cell r="D68">
            <v>150.41605839416056</v>
          </cell>
        </row>
        <row r="69">
          <cell r="B69" t="str">
            <v>PLCE</v>
          </cell>
          <cell r="C69">
            <v>345.6685457146607</v>
          </cell>
          <cell r="D69">
            <v>49.476784247096752</v>
          </cell>
        </row>
        <row r="70">
          <cell r="B70" t="str">
            <v>TIF</v>
          </cell>
          <cell r="C70">
            <v>3420.4894758191731</v>
          </cell>
          <cell r="D70">
            <v>294.20566276179744</v>
          </cell>
        </row>
        <row r="71">
          <cell r="B71" t="str">
            <v>URBN</v>
          </cell>
          <cell r="C71">
            <v>649.80887279121066</v>
          </cell>
          <cell r="D71">
            <v>61.410259335334239</v>
          </cell>
        </row>
        <row r="72">
          <cell r="O72" t="str">
            <v>blah</v>
          </cell>
        </row>
        <row r="73">
          <cell r="O73" t="str">
            <v>hello</v>
          </cell>
        </row>
        <row r="74">
          <cell r="O74" t="str">
            <v>blah</v>
          </cell>
        </row>
        <row r="76">
          <cell r="B76" t="str">
            <v>TJX</v>
          </cell>
          <cell r="C76">
            <v>296.7703211009175</v>
          </cell>
          <cell r="D76">
            <v>17.869587155963305</v>
          </cell>
        </row>
        <row r="78">
          <cell r="B78" t="str">
            <v>ROST</v>
          </cell>
          <cell r="C78">
            <v>286.07017368325023</v>
          </cell>
          <cell r="D78">
            <v>15.602841554497461</v>
          </cell>
        </row>
      </sheetData>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Tables"/>
      <sheetName val="URBN Sales"/>
      <sheetName val="JWN Variance Chart"/>
      <sheetName val="JCP Variance Chart"/>
      <sheetName val="COH Variance Chart Data"/>
      <sheetName val="TJX Variance Chart Data"/>
      <sheetName val="SKS Variance Chart Data"/>
      <sheetName val="KSS Variance Chart Data"/>
      <sheetName val="M Variance Chart Data"/>
      <sheetName val="LTD Variance Chart Data"/>
      <sheetName val="VS. Consensus"/>
    </sheetNames>
    <sheetDataSet>
      <sheetData sheetId="0"/>
      <sheetData sheetId="1">
        <row r="1">
          <cell r="A1" t="str">
            <v>COH</v>
          </cell>
        </row>
        <row r="2">
          <cell r="A2" t="str">
            <v>As a % of Sales</v>
          </cell>
          <cell r="B2" t="str">
            <v>3Q10</v>
          </cell>
          <cell r="C2" t="str">
            <v>3Q09</v>
          </cell>
          <cell r="D2" t="str">
            <v>MS Estimate</v>
          </cell>
          <cell r="F2" t="str">
            <v>y/y∆ (bp)</v>
          </cell>
          <cell r="G2" t="str">
            <v>∆ vs 
Est. (bp)</v>
          </cell>
          <cell r="J2" t="str">
            <v>FQ1</v>
          </cell>
          <cell r="K2" t="str">
            <v>FQ2</v>
          </cell>
          <cell r="L2" t="str">
            <v>FQ3</v>
          </cell>
          <cell r="M2" t="str">
            <v>FY1</v>
          </cell>
          <cell r="N2" t="str">
            <v>FY2</v>
          </cell>
        </row>
        <row r="3">
          <cell r="A3" t="str">
            <v>Gross Income</v>
          </cell>
          <cell r="B3">
            <v>0.74116245487364618</v>
          </cell>
          <cell r="C3">
            <v>0.7096030889032745</v>
          </cell>
          <cell r="D3">
            <v>0.72560308890327452</v>
          </cell>
          <cell r="F3">
            <v>315.59365970371675</v>
          </cell>
          <cell r="G3">
            <v>155.59365970371664</v>
          </cell>
          <cell r="I3" t="str">
            <v>Consensus</v>
          </cell>
          <cell r="J3">
            <v>0.72</v>
          </cell>
          <cell r="K3">
            <v>0.42599999999999999</v>
          </cell>
          <cell r="M3">
            <v>2.081</v>
          </cell>
          <cell r="N3">
            <v>2.2749999999999999</v>
          </cell>
        </row>
        <row r="4">
          <cell r="A4" t="str">
            <v>SG&amp;A Expense</v>
          </cell>
          <cell r="B4">
            <v>0.44097833935018049</v>
          </cell>
          <cell r="C4">
            <v>0.44101067790723286</v>
          </cell>
          <cell r="D4">
            <v>0.43692237117798643</v>
          </cell>
          <cell r="F4">
            <v>-0.32338557052369321</v>
          </cell>
          <cell r="G4">
            <v>40.559681721940578</v>
          </cell>
          <cell r="I4" t="str">
            <v>MS Est.</v>
          </cell>
          <cell r="J4">
            <v>0.7264395435116795</v>
          </cell>
          <cell r="K4">
            <v>0.44398364879993413</v>
          </cell>
          <cell r="L4">
            <v>0.52239948825870619</v>
          </cell>
          <cell r="M4">
            <v>2.1327424509456789</v>
          </cell>
          <cell r="N4">
            <v>2.3543180587690742</v>
          </cell>
        </row>
        <row r="5">
          <cell r="A5" t="str">
            <v>Operating Income</v>
          </cell>
          <cell r="B5">
            <v>0.30018411552346569</v>
          </cell>
          <cell r="C5">
            <v>0.26859241099604159</v>
          </cell>
          <cell r="D5">
            <v>0.28868071772528814</v>
          </cell>
          <cell r="F5">
            <v>315.91704527424105</v>
          </cell>
          <cell r="G5">
            <v>115.03397798177551</v>
          </cell>
          <cell r="I5" t="str">
            <v>MS/C</v>
          </cell>
          <cell r="J5">
            <v>6.4395435116795241E-3</v>
          </cell>
          <cell r="K5">
            <v>1.7983648799934138E-2</v>
          </cell>
          <cell r="L5">
            <v>0.52239948825870619</v>
          </cell>
          <cell r="M5">
            <v>5.1742450945678975E-2</v>
          </cell>
          <cell r="N5">
            <v>7.9318058769074273E-2</v>
          </cell>
        </row>
        <row r="6">
          <cell r="A6" t="str">
            <v>Interest Expense</v>
          </cell>
          <cell r="B6">
            <v>-1.2515042117930205E-4</v>
          </cell>
          <cell r="C6">
            <v>1.6352699344135126E-4</v>
          </cell>
          <cell r="D6">
            <v>-1.7061939941546975E-3</v>
          </cell>
          <cell r="F6">
            <v>-2.8867741462065335</v>
          </cell>
          <cell r="G6">
            <v>15.810435729753955</v>
          </cell>
          <cell r="I6" t="str">
            <v>M Guidance</v>
          </cell>
          <cell r="J6">
            <v>0.67</v>
          </cell>
          <cell r="K6" t="str">
            <v>NA</v>
          </cell>
          <cell r="L6" t="str">
            <v>NA</v>
          </cell>
          <cell r="M6">
            <v>2.25</v>
          </cell>
          <cell r="N6" t="str">
            <v>NA</v>
          </cell>
        </row>
        <row r="7">
          <cell r="A7" t="str">
            <v>Earnings b4 Taxes</v>
          </cell>
          <cell r="B7">
            <v>0.30030926594464497</v>
          </cell>
          <cell r="C7">
            <v>0.26842888400260023</v>
          </cell>
          <cell r="D7">
            <v>0.29038691171944286</v>
          </cell>
          <cell r="F7">
            <v>318.80381942044733</v>
          </cell>
          <cell r="G7">
            <v>99.223542252021019</v>
          </cell>
          <cell r="I7" t="str">
            <v>N Guidance</v>
          </cell>
        </row>
        <row r="8">
          <cell r="A8" t="str">
            <v>Net Income</v>
          </cell>
          <cell r="B8">
            <v>0.19009265944645004</v>
          </cell>
          <cell r="C8">
            <v>0.16642588105235703</v>
          </cell>
          <cell r="D8">
            <v>0.182943754383249</v>
          </cell>
          <cell r="F8">
            <v>236.66778394093006</v>
          </cell>
          <cell r="G8">
            <v>71.48905063201039</v>
          </cell>
        </row>
        <row r="10">
          <cell r="A10" t="str">
            <v>EPS</v>
          </cell>
          <cell r="B10">
            <v>0.50314371257485024</v>
          </cell>
          <cell r="C10">
            <v>0.38320548925642983</v>
          </cell>
          <cell r="D10">
            <v>0.46802614782621577</v>
          </cell>
          <cell r="F10">
            <v>0.11993822331842041</v>
          </cell>
          <cell r="G10">
            <v>3.5117564748634478E-2</v>
          </cell>
        </row>
        <row r="12">
          <cell r="A12" t="str">
            <v>EPS Upsides/Downsides</v>
          </cell>
        </row>
        <row r="13">
          <cell r="A13" t="str">
            <v>Revenues</v>
          </cell>
          <cell r="B13">
            <v>1.3795699767058796E-2</v>
          </cell>
        </row>
        <row r="14">
          <cell r="A14" t="str">
            <v>Operating Margin</v>
          </cell>
          <cell r="B14">
            <v>1.8744559330757776E-2</v>
          </cell>
        </row>
        <row r="15">
          <cell r="A15" t="str">
            <v>Interest Expense</v>
          </cell>
          <cell r="B15">
            <v>-2.5705300518566792E-3</v>
          </cell>
        </row>
        <row r="16">
          <cell r="A16" t="str">
            <v>Tax Rate</v>
          </cell>
          <cell r="B16">
            <v>2.376385526818688E-3</v>
          </cell>
        </row>
        <row r="17">
          <cell r="A17" t="str">
            <v>Share Count</v>
          </cell>
          <cell r="B17">
            <v>3.11827661271602E-3</v>
          </cell>
        </row>
        <row r="18">
          <cell r="A18" t="str">
            <v>Total</v>
          </cell>
          <cell r="B18">
            <v>3.5464391185494604E-2</v>
          </cell>
        </row>
        <row r="20">
          <cell r="A20" t="str">
            <v>M</v>
          </cell>
        </row>
        <row r="21">
          <cell r="A21" t="str">
            <v>As a % of Sales</v>
          </cell>
          <cell r="B21" t="str">
            <v>4Q09</v>
          </cell>
          <cell r="C21" t="str">
            <v>4Q08</v>
          </cell>
          <cell r="D21" t="str">
            <v>MS Est.</v>
          </cell>
          <cell r="F21" t="str">
            <v>y/y∆ (bp)</v>
          </cell>
          <cell r="G21" t="str">
            <v>∆ vs MS
Est. (bp)</v>
          </cell>
          <cell r="J21" t="str">
            <v>FQ1</v>
          </cell>
          <cell r="K21" t="str">
            <v>FQ2</v>
          </cell>
          <cell r="M21" t="str">
            <v>FY1</v>
          </cell>
          <cell r="N21" t="str">
            <v>FY2</v>
          </cell>
        </row>
        <row r="22">
          <cell r="A22" t="str">
            <v>Same Store Sales</v>
          </cell>
          <cell r="B22">
            <v>-8.0000000000000002E-3</v>
          </cell>
          <cell r="C22">
            <v>-7.0000000000000007E-2</v>
          </cell>
          <cell r="D22">
            <v>-5.8421857088268997E-3</v>
          </cell>
          <cell r="F22">
            <v>620.00000000000011</v>
          </cell>
          <cell r="G22">
            <v>-21.578142911731003</v>
          </cell>
        </row>
        <row r="23">
          <cell r="A23" t="str">
            <v>Gross Income</v>
          </cell>
          <cell r="B23">
            <v>0.41686839087781885</v>
          </cell>
          <cell r="C23">
            <v>0.39349634484497104</v>
          </cell>
          <cell r="D23">
            <v>0.4229823306319937</v>
          </cell>
          <cell r="F23">
            <v>233.72046032847814</v>
          </cell>
          <cell r="G23">
            <v>-61.139397541748465</v>
          </cell>
          <cell r="I23" t="str">
            <v>Consensus</v>
          </cell>
          <cell r="J23">
            <v>-7.0000000000000007E-2</v>
          </cell>
          <cell r="K23">
            <v>1.1399999999999999</v>
          </cell>
          <cell r="M23">
            <v>1.1499999999999999</v>
          </cell>
          <cell r="N23">
            <v>1.47</v>
          </cell>
          <cell r="P23" t="str">
            <v>Bloomberg as of 8/11/09</v>
          </cell>
        </row>
        <row r="24">
          <cell r="A24" t="str">
            <v>SG&amp;A Expense</v>
          </cell>
          <cell r="B24">
            <v>0.2818193400433176</v>
          </cell>
          <cell r="C24">
            <v>0.28434585328963952</v>
          </cell>
          <cell r="D24">
            <v>0.29238058846006876</v>
          </cell>
          <cell r="F24">
            <v>-25.265132463219153</v>
          </cell>
          <cell r="G24">
            <v>-105.61248416751157</v>
          </cell>
          <cell r="I24" t="str">
            <v>MS Est.</v>
          </cell>
          <cell r="J24">
            <v>1.3152087854175281</v>
          </cell>
          <cell r="K24">
            <v>1.22</v>
          </cell>
          <cell r="M24">
            <v>1.25</v>
          </cell>
          <cell r="N24">
            <v>1.36</v>
          </cell>
        </row>
        <row r="25">
          <cell r="A25" t="str">
            <v>Operating Income</v>
          </cell>
          <cell r="B25">
            <v>0.13504905083450122</v>
          </cell>
          <cell r="C25">
            <v>0.10915049155533149</v>
          </cell>
          <cell r="D25">
            <v>0.13060174217192488</v>
          </cell>
          <cell r="F25">
            <v>258.98559279169729</v>
          </cell>
          <cell r="G25">
            <v>44.473086625763379</v>
          </cell>
          <cell r="I25" t="str">
            <v>MS/C</v>
          </cell>
          <cell r="K25">
            <v>8.0000000000000071E-2</v>
          </cell>
          <cell r="M25">
            <v>0.10000000000000009</v>
          </cell>
          <cell r="N25">
            <v>-0.10999999999999988</v>
          </cell>
        </row>
        <row r="26">
          <cell r="A26" t="str">
            <v>Interest Expense</v>
          </cell>
          <cell r="B26">
            <v>1.7709262326411009E-2</v>
          </cell>
          <cell r="C26">
            <v>1.8023695487774136E-2</v>
          </cell>
          <cell r="D26">
            <v>1.6762872564004581E-2</v>
          </cell>
          <cell r="F26">
            <v>-3.1443316136312709</v>
          </cell>
          <cell r="G26">
            <v>9.4638976240642858</v>
          </cell>
          <cell r="I26" t="str">
            <v>MG</v>
          </cell>
        </row>
        <row r="27">
          <cell r="A27" t="str">
            <v>Earnings b4 Taxes</v>
          </cell>
          <cell r="B27">
            <v>9.3642502229583383E-2</v>
          </cell>
          <cell r="C27">
            <v>6.3524073607259895E-2</v>
          </cell>
          <cell r="D27">
            <v>8.9001269302226765E-2</v>
          </cell>
          <cell r="F27">
            <v>301.18428622323489</v>
          </cell>
          <cell r="G27">
            <v>46.412329273566172</v>
          </cell>
          <cell r="I27" t="str">
            <v>NMG</v>
          </cell>
        </row>
        <row r="28">
          <cell r="A28" t="str">
            <v>Tax Rate</v>
          </cell>
          <cell r="B28">
            <v>0.37893593919652552</v>
          </cell>
          <cell r="C28">
            <v>0.38035961272475793</v>
          </cell>
          <cell r="D28">
            <v>0.40020087706019697</v>
          </cell>
          <cell r="F28">
            <v>-14.236735282324165</v>
          </cell>
          <cell r="G28">
            <v>-212.64937863671452</v>
          </cell>
        </row>
        <row r="29">
          <cell r="A29" t="str">
            <v>Net Income</v>
          </cell>
          <cell r="B29">
            <v>5.6695120397502866E-2</v>
          </cell>
          <cell r="C29">
            <v>5.6000000000000001E-2</v>
          </cell>
          <cell r="D29">
            <v>5.6070438993390141E-2</v>
          </cell>
          <cell r="F29">
            <v>6.9512039750286441</v>
          </cell>
          <cell r="G29">
            <v>6.2468140411272435</v>
          </cell>
        </row>
        <row r="31">
          <cell r="A31" t="str">
            <v>EPS</v>
          </cell>
          <cell r="B31">
            <v>1.3487385050695591</v>
          </cell>
          <cell r="C31">
            <v>1.2932312985703269</v>
          </cell>
          <cell r="D31">
            <v>1.3152087854175281</v>
          </cell>
          <cell r="F31">
            <v>5.5507206499232131E-2</v>
          </cell>
          <cell r="G31">
            <v>3.3529719652030998E-2</v>
          </cell>
        </row>
        <row r="33">
          <cell r="A33" t="str">
            <v>EPS Upsides/Downsides</v>
          </cell>
        </row>
        <row r="34">
          <cell r="A34" t="str">
            <v>Sales Variance</v>
          </cell>
          <cell r="B34">
            <v>-3.436359757770527E-4</v>
          </cell>
        </row>
        <row r="35">
          <cell r="A35" t="str">
            <v>Gross Margin</v>
          </cell>
          <cell r="B35">
            <v>-7.028610225707739E-2</v>
          </cell>
        </row>
        <row r="36">
          <cell r="A36" t="str">
            <v>SG&amp;A</v>
          </cell>
          <cell r="B36">
            <v>0.12141254510649906</v>
          </cell>
        </row>
        <row r="37">
          <cell r="A37" t="str">
            <v>Operating Margin</v>
          </cell>
          <cell r="B37">
            <v>5.1126442849421666E-2</v>
          </cell>
        </row>
        <row r="38">
          <cell r="A38" t="str">
            <v>Interest Expense</v>
          </cell>
          <cell r="B38">
            <v>-1.0827872995755723E-2</v>
          </cell>
        </row>
        <row r="39">
          <cell r="A39" t="str">
            <v>Tax Rate</v>
          </cell>
          <cell r="B39">
            <v>1.3911813251584314E-4</v>
          </cell>
        </row>
        <row r="40">
          <cell r="A40" t="str">
            <v>Shares</v>
          </cell>
          <cell r="B40">
            <v>-6.7117318972655937E-3</v>
          </cell>
        </row>
        <row r="41">
          <cell r="A41" t="str">
            <v>Total</v>
          </cell>
          <cell r="B41">
            <v>3.3382320113139144E-2</v>
          </cell>
        </row>
        <row r="43">
          <cell r="A43" t="str">
            <v>JCP</v>
          </cell>
        </row>
        <row r="44">
          <cell r="A44" t="str">
            <v>As a % of Sales</v>
          </cell>
          <cell r="B44" t="str">
            <v>2Q09</v>
          </cell>
          <cell r="C44" t="str">
            <v>2Q08</v>
          </cell>
          <cell r="D44" t="str">
            <v>MS Est.</v>
          </cell>
          <cell r="F44" t="str">
            <v>y/y∆ (bp)</v>
          </cell>
          <cell r="G44" t="str">
            <v>∆ vs MS
Est. (bp)</v>
          </cell>
          <cell r="J44" t="str">
            <v>FQ1</v>
          </cell>
          <cell r="K44" t="str">
            <v>FQ2</v>
          </cell>
          <cell r="L44" t="str">
            <v>FY1</v>
          </cell>
          <cell r="M44" t="str">
            <v>FY2</v>
          </cell>
        </row>
        <row r="45">
          <cell r="A45" t="str">
            <v>Gross Income</v>
          </cell>
          <cell r="B45">
            <v>0.39052747901801327</v>
          </cell>
          <cell r="C45">
            <v>0.40880043961122103</v>
          </cell>
          <cell r="D45">
            <v>0.37998198198198196</v>
          </cell>
          <cell r="F45">
            <v>-182.72960593207765</v>
          </cell>
          <cell r="G45">
            <v>105.45497036031304</v>
          </cell>
          <cell r="I45" t="str">
            <v>Consensus</v>
          </cell>
          <cell r="J45">
            <v>-0.01</v>
          </cell>
          <cell r="K45">
            <v>0.13</v>
          </cell>
          <cell r="L45">
            <v>0.88</v>
          </cell>
          <cell r="M45">
            <v>1.36</v>
          </cell>
          <cell r="N45" t="str">
            <v>Bloomberg</v>
          </cell>
          <cell r="O45">
            <v>40038</v>
          </cell>
        </row>
        <row r="46">
          <cell r="A46" t="str">
            <v>SG&amp;A Expense</v>
          </cell>
          <cell r="B46">
            <v>0.3160165321976135</v>
          </cell>
          <cell r="C46">
            <v>0.33123431892985855</v>
          </cell>
          <cell r="D46">
            <v>0.27389189189189189</v>
          </cell>
          <cell r="F46">
            <v>-152.17786732245054</v>
          </cell>
          <cell r="G46">
            <v>421.24640305721607</v>
          </cell>
          <cell r="I46" t="str">
            <v>MS Est.</v>
          </cell>
          <cell r="J46">
            <v>0.8553594903233469</v>
          </cell>
          <cell r="K46">
            <v>0.13</v>
          </cell>
          <cell r="L46">
            <v>0.87</v>
          </cell>
          <cell r="M46">
            <v>1.33</v>
          </cell>
        </row>
        <row r="47">
          <cell r="A47" t="str">
            <v>Operating Income</v>
          </cell>
          <cell r="B47">
            <v>2.7892927545231563E-2</v>
          </cell>
          <cell r="C47">
            <v>3.1873435876103265E-2</v>
          </cell>
          <cell r="D47">
            <v>6.9661501885608032E-2</v>
          </cell>
          <cell r="F47">
            <v>-39.805083308717023</v>
          </cell>
          <cell r="G47">
            <v>-417.68574340376466</v>
          </cell>
          <cell r="I47" t="str">
            <v>MS/C</v>
          </cell>
          <cell r="J47">
            <v>0.86535949032334691</v>
          </cell>
          <cell r="K47">
            <v>0</v>
          </cell>
          <cell r="L47">
            <v>-1.0000000000000009E-2</v>
          </cell>
          <cell r="M47">
            <v>-3.0000000000000027E-2</v>
          </cell>
        </row>
        <row r="48">
          <cell r="A48" t="str">
            <v>Interest Expense</v>
          </cell>
          <cell r="B48">
            <v>0</v>
          </cell>
          <cell r="C48">
            <v>0</v>
          </cell>
          <cell r="D48">
            <v>0</v>
          </cell>
          <cell r="F48">
            <v>0</v>
          </cell>
          <cell r="G48">
            <v>0</v>
          </cell>
          <cell r="I48" t="str">
            <v>MG</v>
          </cell>
        </row>
        <row r="49">
          <cell r="A49" t="str">
            <v>Earnings b4 Taxes</v>
          </cell>
          <cell r="B49">
            <v>138.16690201280809</v>
          </cell>
          <cell r="C49">
            <v>77.36492887791303</v>
          </cell>
          <cell r="D49">
            <v>20.474558308592531</v>
          </cell>
          <cell r="F49">
            <v>608019.73134895065</v>
          </cell>
          <cell r="G49">
            <v>1176923.4370421555</v>
          </cell>
          <cell r="I49" t="str">
            <v>MGN</v>
          </cell>
        </row>
        <row r="50">
          <cell r="A50" t="str">
            <v>Tax Rate</v>
          </cell>
          <cell r="B50">
            <v>0</v>
          </cell>
          <cell r="C50">
            <v>0</v>
          </cell>
          <cell r="D50">
            <v>0</v>
          </cell>
          <cell r="F50">
            <v>0</v>
          </cell>
          <cell r="G50">
            <v>0</v>
          </cell>
        </row>
        <row r="51">
          <cell r="A51" t="str">
            <v>Net Income</v>
          </cell>
          <cell r="B51">
            <v>85.658406517953949</v>
          </cell>
          <cell r="C51">
            <v>47.152740872066616</v>
          </cell>
          <cell r="D51">
            <v>10.820352277453523</v>
          </cell>
          <cell r="F51">
            <v>385056.65645887336</v>
          </cell>
          <cell r="G51">
            <v>748380.54240500426</v>
          </cell>
        </row>
        <row r="53">
          <cell r="A53" t="str">
            <v>EPS</v>
          </cell>
          <cell r="B53">
            <v>0.14074219483202524</v>
          </cell>
          <cell r="C53">
            <v>0.19354741634065173</v>
          </cell>
          <cell r="D53">
            <v>0.8553594903233469</v>
          </cell>
          <cell r="F53">
            <v>-5.2805221508626488E-2</v>
          </cell>
          <cell r="G53">
            <v>-0.71461729549132169</v>
          </cell>
        </row>
        <row r="55">
          <cell r="A55" t="str">
            <v>EPS Upsides/Downsides</v>
          </cell>
        </row>
        <row r="56">
          <cell r="A56" t="str">
            <v>Gross Margin</v>
          </cell>
          <cell r="B56">
            <v>-9.617582778843134E-2</v>
          </cell>
        </row>
        <row r="57">
          <cell r="A57" t="str">
            <v>Operating Expenses</v>
          </cell>
          <cell r="B57">
            <v>0.14882953124199277</v>
          </cell>
        </row>
        <row r="58">
          <cell r="A58" t="str">
            <v>Real Estate + Other Exp. (Inc.)</v>
          </cell>
          <cell r="B58">
            <v>-5.5156676128457718E-2</v>
          </cell>
        </row>
        <row r="59">
          <cell r="A59" t="str">
            <v>Operating Income</v>
          </cell>
          <cell r="B59">
            <v>-2.5029726748962895E-3</v>
          </cell>
        </row>
        <row r="60">
          <cell r="A60" t="str">
            <v>LIFO Charge</v>
          </cell>
          <cell r="B60">
            <v>0</v>
          </cell>
        </row>
        <row r="61">
          <cell r="A61" t="str">
            <v>Interest Expense</v>
          </cell>
          <cell r="B61">
            <v>2.3887504428639367E-3</v>
          </cell>
        </row>
        <row r="62">
          <cell r="A62" t="str">
            <v>Tax Rate</v>
          </cell>
          <cell r="B62">
            <v>4.3826380109566214E-3</v>
          </cell>
        </row>
        <row r="63">
          <cell r="A63" t="str">
            <v>Shares</v>
          </cell>
          <cell r="B63">
            <v>1.3564864172863622E-3</v>
          </cell>
        </row>
        <row r="64">
          <cell r="A64" t="str">
            <v>Total</v>
          </cell>
          <cell r="B64">
            <v>5.6249021962106304E-3</v>
          </cell>
        </row>
        <row r="66">
          <cell r="A66" t="str">
            <v>KSS</v>
          </cell>
        </row>
        <row r="67">
          <cell r="A67" t="str">
            <v>As a % of Sales</v>
          </cell>
          <cell r="B67" t="str">
            <v>4Q09</v>
          </cell>
          <cell r="C67" t="str">
            <v>4Q08</v>
          </cell>
          <cell r="D67" t="str">
            <v>MS Est.</v>
          </cell>
          <cell r="F67" t="str">
            <v>y/y∆ (bp)</v>
          </cell>
          <cell r="G67" t="str">
            <v>∆ vs MS
Est. (bp)</v>
          </cell>
          <cell r="J67" t="str">
            <v>FQ1</v>
          </cell>
          <cell r="K67" t="str">
            <v>FQ2</v>
          </cell>
          <cell r="L67" t="str">
            <v>FY1</v>
          </cell>
          <cell r="M67" t="str">
            <v>FY2</v>
          </cell>
        </row>
        <row r="68">
          <cell r="A68" t="str">
            <v>Gross Income</v>
          </cell>
          <cell r="B68">
            <v>0.36430834213305174</v>
          </cell>
          <cell r="C68">
            <v>0.34804202483285579</v>
          </cell>
          <cell r="D68">
            <v>0.35754202483285574</v>
          </cell>
          <cell r="F68">
            <v>162.66317300195954</v>
          </cell>
          <cell r="G68">
            <v>67.663173001960004</v>
          </cell>
          <cell r="I68" t="str">
            <v>Consensus</v>
          </cell>
          <cell r="J68">
            <v>0.60699999999999998</v>
          </cell>
          <cell r="K68">
            <v>1.232</v>
          </cell>
          <cell r="L68">
            <v>3.0419999999999998</v>
          </cell>
          <cell r="M68">
            <v>3.4220000000000002</v>
          </cell>
          <cell r="N68" t="str">
            <v>Bloomberg</v>
          </cell>
          <cell r="O68">
            <v>40128</v>
          </cell>
        </row>
        <row r="69">
          <cell r="A69" t="str">
            <v>SG&amp;A Expense</v>
          </cell>
          <cell r="B69">
            <v>0.20943329813445971</v>
          </cell>
          <cell r="C69">
            <v>0.21050620821394461</v>
          </cell>
          <cell r="D69">
            <v>0.20550620821394461</v>
          </cell>
          <cell r="F69">
            <v>-10.72910079484901</v>
          </cell>
          <cell r="G69">
            <v>39.270899205151032</v>
          </cell>
          <cell r="I69" t="str">
            <v>MS Est.</v>
          </cell>
          <cell r="J69">
            <v>1.37</v>
          </cell>
          <cell r="K69">
            <v>1.27</v>
          </cell>
          <cell r="L69">
            <v>3.08</v>
          </cell>
          <cell r="M69">
            <v>3.59</v>
          </cell>
        </row>
        <row r="70">
          <cell r="A70" t="str">
            <v>Operating Income</v>
          </cell>
          <cell r="B70">
            <v>0.12706793382611756</v>
          </cell>
          <cell r="C70">
            <v>0.10945558739255014</v>
          </cell>
          <cell r="D70">
            <v>0.12398231433098438</v>
          </cell>
          <cell r="F70">
            <v>176.12346433567419</v>
          </cell>
          <cell r="G70">
            <v>30.856194951331823</v>
          </cell>
          <cell r="I70" t="str">
            <v>MS/C</v>
          </cell>
          <cell r="J70">
            <v>0.76300000000000012</v>
          </cell>
          <cell r="K70">
            <v>3.8000000000000034E-2</v>
          </cell>
          <cell r="L70">
            <v>3.8000000000000256E-2</v>
          </cell>
          <cell r="M70">
            <v>0.16799999999999971</v>
          </cell>
        </row>
        <row r="71">
          <cell r="A71" t="str">
            <v>Interest Expense</v>
          </cell>
          <cell r="B71">
            <v>5.4558254135867656E-3</v>
          </cell>
          <cell r="C71">
            <v>5.7306590257879654E-3</v>
          </cell>
          <cell r="D71">
            <v>5.8271922900633606E-3</v>
          </cell>
          <cell r="F71">
            <v>-2.7483361220119984</v>
          </cell>
          <cell r="G71">
            <v>-3.7136687647659499</v>
          </cell>
          <cell r="I71" t="str">
            <v>MG</v>
          </cell>
        </row>
        <row r="72">
          <cell r="A72" t="str">
            <v>Earnings b4 Taxes</v>
          </cell>
          <cell r="B72">
            <v>0.1216121084125308</v>
          </cell>
          <cell r="C72">
            <v>0.10372492836676218</v>
          </cell>
          <cell r="D72">
            <v>0.11815512204092102</v>
          </cell>
          <cell r="F72">
            <v>178.87180045768613</v>
          </cell>
          <cell r="G72">
            <v>34.5698637160978</v>
          </cell>
        </row>
        <row r="73">
          <cell r="A73" t="str">
            <v>Net Income</v>
          </cell>
          <cell r="B73">
            <v>7.5853572685674053E-2</v>
          </cell>
          <cell r="C73">
            <v>6.4183381088825209E-2</v>
          </cell>
          <cell r="D73">
            <v>7.3610641031493798E-2</v>
          </cell>
          <cell r="F73">
            <v>116.70191596848845</v>
          </cell>
          <cell r="G73">
            <v>22.429316541802553</v>
          </cell>
        </row>
        <row r="75">
          <cell r="A75" t="str">
            <v>EPS</v>
          </cell>
          <cell r="B75">
            <v>1.4</v>
          </cell>
          <cell r="C75">
            <v>1.1000000000000001</v>
          </cell>
          <cell r="D75">
            <v>1.37</v>
          </cell>
          <cell r="F75">
            <v>0.29999999999999982</v>
          </cell>
          <cell r="G75">
            <v>2.9999999999999805E-2</v>
          </cell>
        </row>
        <row r="77">
          <cell r="A77" t="str">
            <v>EPS Upsides/Downsides</v>
          </cell>
        </row>
        <row r="78">
          <cell r="A78" t="str">
            <v>Reported Sales Variance</v>
          </cell>
          <cell r="B78">
            <v>0</v>
          </cell>
        </row>
        <row r="79">
          <cell r="A79" t="str">
            <v>Gross Margin</v>
          </cell>
          <cell r="B79">
            <v>7.7857794189564164E-2</v>
          </cell>
        </row>
        <row r="80">
          <cell r="A80" t="str">
            <v>SG&amp;A Expenses</v>
          </cell>
          <cell r="B80">
            <v>-4.5187735843620652E-2</v>
          </cell>
        </row>
        <row r="81">
          <cell r="A81" t="str">
            <v>Preopening Expense</v>
          </cell>
          <cell r="B81">
            <v>2.835153269306672E-3</v>
          </cell>
        </row>
        <row r="82">
          <cell r="A82" t="str">
            <v>Depreciation/Amortization</v>
          </cell>
          <cell r="B82">
            <v>0</v>
          </cell>
        </row>
        <row r="83">
          <cell r="A83" t="str">
            <v>Interest Expense, Net</v>
          </cell>
          <cell r="B83">
            <v>4.2731968594937973E-3</v>
          </cell>
        </row>
        <row r="84">
          <cell r="A84" t="str">
            <v>Tax Rate</v>
          </cell>
          <cell r="B84">
            <v>1.6461038961039123E-3</v>
          </cell>
        </row>
        <row r="85">
          <cell r="A85" t="str">
            <v>Shares</v>
          </cell>
          <cell r="B85">
            <v>-8.4967320261439827E-3</v>
          </cell>
        </row>
        <row r="86">
          <cell r="A86" t="str">
            <v>Total</v>
          </cell>
          <cell r="B86">
            <v>3.2927780344703908E-2</v>
          </cell>
        </row>
        <row r="88">
          <cell r="A88" t="str">
            <v>JWN</v>
          </cell>
        </row>
        <row r="89">
          <cell r="A89" t="str">
            <v>As a % of Sales</v>
          </cell>
          <cell r="B89" t="str">
            <v>3Q08</v>
          </cell>
          <cell r="C89" t="str">
            <v>3Q07</v>
          </cell>
          <cell r="D89" t="str">
            <v>MS Est.</v>
          </cell>
          <cell r="F89" t="str">
            <v>y/y∆ (bp)</v>
          </cell>
          <cell r="G89" t="str">
            <v>∆ vs MS
Est. (bp)</v>
          </cell>
          <cell r="J89" t="str">
            <v>FQ1</v>
          </cell>
          <cell r="K89" t="str">
            <v>FQ2</v>
          </cell>
          <cell r="L89" t="str">
            <v>FY1</v>
          </cell>
          <cell r="M89" t="str">
            <v>FY2</v>
          </cell>
        </row>
        <row r="90">
          <cell r="A90" t="str">
            <v>Gross Income</v>
          </cell>
          <cell r="B90">
            <v>0</v>
          </cell>
          <cell r="C90">
            <v>0</v>
          </cell>
          <cell r="D90">
            <v>0</v>
          </cell>
          <cell r="F90">
            <v>0</v>
          </cell>
          <cell r="G90">
            <v>0</v>
          </cell>
          <cell r="I90" t="str">
            <v>Consensus</v>
          </cell>
          <cell r="J90">
            <v>0.38200000000000001</v>
          </cell>
          <cell r="K90">
            <v>0.59599999999999997</v>
          </cell>
          <cell r="L90">
            <v>1.806</v>
          </cell>
          <cell r="M90">
            <v>2.1389999999999998</v>
          </cell>
          <cell r="N90" t="str">
            <v>Bloomberg</v>
          </cell>
          <cell r="O90">
            <v>40128</v>
          </cell>
        </row>
        <row r="91">
          <cell r="A91" t="str">
            <v>SG&amp;A Expense</v>
          </cell>
          <cell r="B91">
            <v>0</v>
          </cell>
          <cell r="C91">
            <v>0</v>
          </cell>
          <cell r="D91">
            <v>0</v>
          </cell>
          <cell r="F91">
            <v>0</v>
          </cell>
          <cell r="G91">
            <v>0</v>
          </cell>
          <cell r="I91" t="str">
            <v>MS Est.</v>
          </cell>
          <cell r="J91">
            <v>0</v>
          </cell>
          <cell r="K91">
            <v>0.2</v>
          </cell>
          <cell r="L91">
            <v>1.8</v>
          </cell>
          <cell r="M91">
            <v>1.07</v>
          </cell>
        </row>
        <row r="92">
          <cell r="A92" t="str">
            <v>Operating Income</v>
          </cell>
          <cell r="B92">
            <v>0</v>
          </cell>
          <cell r="C92">
            <v>0</v>
          </cell>
          <cell r="D92">
            <v>0</v>
          </cell>
          <cell r="F92">
            <v>0</v>
          </cell>
          <cell r="G92">
            <v>0</v>
          </cell>
          <cell r="I92" t="str">
            <v>MS/C</v>
          </cell>
          <cell r="J92">
            <v>-0.38200000000000001</v>
          </cell>
          <cell r="K92">
            <v>-0.39599999999999996</v>
          </cell>
          <cell r="L92">
            <v>-6.0000000000000053E-3</v>
          </cell>
          <cell r="M92">
            <v>-1.0689999999999997</v>
          </cell>
        </row>
        <row r="93">
          <cell r="A93" t="str">
            <v>Interest Expense</v>
          </cell>
          <cell r="B93">
            <v>0</v>
          </cell>
          <cell r="C93">
            <v>0</v>
          </cell>
          <cell r="D93">
            <v>0</v>
          </cell>
          <cell r="F93">
            <v>0</v>
          </cell>
          <cell r="G93">
            <v>0</v>
          </cell>
          <cell r="I93" t="str">
            <v>MG</v>
          </cell>
        </row>
        <row r="94">
          <cell r="A94" t="str">
            <v>Service &amp; Other</v>
          </cell>
          <cell r="B94">
            <v>0</v>
          </cell>
          <cell r="C94">
            <v>0</v>
          </cell>
          <cell r="D94">
            <v>0</v>
          </cell>
          <cell r="F94">
            <v>0</v>
          </cell>
          <cell r="G94">
            <v>0</v>
          </cell>
          <cell r="I94" t="str">
            <v>New</v>
          </cell>
        </row>
        <row r="95">
          <cell r="A95" t="str">
            <v>Earnings b4 Taxes</v>
          </cell>
          <cell r="B95">
            <v>0</v>
          </cell>
          <cell r="C95">
            <v>0</v>
          </cell>
          <cell r="D95">
            <v>0</v>
          </cell>
          <cell r="F95">
            <v>0</v>
          </cell>
          <cell r="G95">
            <v>0</v>
          </cell>
        </row>
        <row r="96">
          <cell r="A96" t="str">
            <v>Tax Rate</v>
          </cell>
          <cell r="B96">
            <v>0</v>
          </cell>
          <cell r="C96">
            <v>0</v>
          </cell>
          <cell r="D96">
            <v>0</v>
          </cell>
          <cell r="F96">
            <v>0</v>
          </cell>
          <cell r="G96">
            <v>0</v>
          </cell>
        </row>
        <row r="97">
          <cell r="A97" t="str">
            <v>Net Income</v>
          </cell>
          <cell r="B97">
            <v>0</v>
          </cell>
          <cell r="C97">
            <v>0</v>
          </cell>
          <cell r="D97">
            <v>0</v>
          </cell>
          <cell r="F97">
            <v>0</v>
          </cell>
          <cell r="G97">
            <v>0</v>
          </cell>
        </row>
        <row r="99">
          <cell r="A99" t="str">
            <v>EPS</v>
          </cell>
          <cell r="B99">
            <v>0</v>
          </cell>
          <cell r="C99">
            <v>0</v>
          </cell>
          <cell r="D99">
            <v>0</v>
          </cell>
          <cell r="F99">
            <v>0</v>
          </cell>
          <cell r="G99">
            <v>0</v>
          </cell>
        </row>
        <row r="101">
          <cell r="A101" t="str">
            <v>EPS Upsides/Downsides</v>
          </cell>
        </row>
        <row r="102">
          <cell r="A102">
            <v>0</v>
          </cell>
          <cell r="B102">
            <v>0</v>
          </cell>
        </row>
        <row r="103">
          <cell r="A103" t="str">
            <v>Source: Company data, Morgan Stanley Research  E = Morgan Stanley Research Estimate</v>
          </cell>
          <cell r="B103">
            <v>0</v>
          </cell>
        </row>
        <row r="104">
          <cell r="A104" t="str">
            <v>EPS Upsides/Downsides</v>
          </cell>
          <cell r="B104">
            <v>0</v>
          </cell>
        </row>
        <row r="105">
          <cell r="A105" t="str">
            <v>Reported Sales Variance</v>
          </cell>
          <cell r="B105">
            <v>-2.1583430631226738E-3</v>
          </cell>
        </row>
        <row r="106">
          <cell r="A106" t="str">
            <v>Gross Margin</v>
          </cell>
          <cell r="B106">
            <v>9.3948964248107891E-2</v>
          </cell>
        </row>
        <row r="107">
          <cell r="A107" t="str">
            <v>Total SG&amp;A</v>
          </cell>
          <cell r="B107">
            <v>-0.13372107319019222</v>
          </cell>
        </row>
        <row r="108">
          <cell r="A108" t="str">
            <v>Operating Margin</v>
          </cell>
          <cell r="B108">
            <v>0</v>
          </cell>
        </row>
        <row r="109">
          <cell r="A109" t="str">
            <v>Tax Rate</v>
          </cell>
          <cell r="B109">
            <v>9.3948964248107891E-2</v>
          </cell>
        </row>
        <row r="110">
          <cell r="A110" t="str">
            <v>Shares</v>
          </cell>
          <cell r="B110">
            <v>-0.13372107319019222</v>
          </cell>
        </row>
        <row r="111">
          <cell r="A111" t="str">
            <v>Total</v>
          </cell>
          <cell r="B111">
            <v>-4.1930452005207008E-2</v>
          </cell>
        </row>
        <row r="113">
          <cell r="A113" t="str">
            <v>SKS</v>
          </cell>
        </row>
        <row r="114">
          <cell r="A114" t="str">
            <v>As a % of Sales</v>
          </cell>
          <cell r="B114" t="str">
            <v>3Q09</v>
          </cell>
          <cell r="C114" t="str">
            <v>3Q08</v>
          </cell>
          <cell r="D114" t="str">
            <v>MS Est.</v>
          </cell>
          <cell r="F114" t="str">
            <v>y/y∆ (bp)</v>
          </cell>
          <cell r="G114" t="str">
            <v>∆ vs MS
Est. (bp)</v>
          </cell>
          <cell r="J114" t="str">
            <v>FQ1</v>
          </cell>
          <cell r="K114" t="str">
            <v>FQ2</v>
          </cell>
          <cell r="L114" t="str">
            <v>FY1</v>
          </cell>
          <cell r="M114" t="str">
            <v>FY2</v>
          </cell>
        </row>
        <row r="115">
          <cell r="A115" t="str">
            <v>Gross Income</v>
          </cell>
          <cell r="B115">
            <v>0.3907231769028765</v>
          </cell>
          <cell r="C115">
            <v>0.33156390807654762</v>
          </cell>
          <cell r="D115">
            <v>0.39027636388805009</v>
          </cell>
          <cell r="F115">
            <v>591.59268826328878</v>
          </cell>
          <cell r="G115">
            <v>4.4681301482640823</v>
          </cell>
          <cell r="I115" t="str">
            <v>Consensus</v>
          </cell>
          <cell r="J115">
            <v>-0.113</v>
          </cell>
          <cell r="K115">
            <v>-3.7999999999999999E-2</v>
          </cell>
          <cell r="L115">
            <v>-0.57499999999999996</v>
          </cell>
          <cell r="M115">
            <v>-0.34899999999999998</v>
          </cell>
          <cell r="N115" t="str">
            <v>Bloomberg</v>
          </cell>
          <cell r="O115">
            <v>40133</v>
          </cell>
        </row>
        <row r="116">
          <cell r="A116" t="str">
            <v>SG&amp;A Expense</v>
          </cell>
          <cell r="B116">
            <v>0.2428184106076488</v>
          </cell>
          <cell r="C116">
            <v>0.272497270340676</v>
          </cell>
          <cell r="D116">
            <v>0.2548642423756452</v>
          </cell>
          <cell r="F116">
            <v>-296.78859733027195</v>
          </cell>
          <cell r="G116">
            <v>-120.45831767996395</v>
          </cell>
          <cell r="I116" t="str">
            <v>MS Est.</v>
          </cell>
          <cell r="J116">
            <v>-1.5781525121147805E-2</v>
          </cell>
          <cell r="K116">
            <v>-7.0000000000000007E-2</v>
          </cell>
          <cell r="L116">
            <v>-0.59</v>
          </cell>
          <cell r="M116">
            <v>-0.35</v>
          </cell>
        </row>
        <row r="117">
          <cell r="A117" t="str">
            <v>Other Operating Expenses</v>
          </cell>
          <cell r="B117">
            <v>0.1287210309271713</v>
          </cell>
          <cell r="C117">
            <v>0.14260560872785277</v>
          </cell>
          <cell r="D117">
            <v>0.11997295045879695</v>
          </cell>
          <cell r="F117">
            <v>-138.84577800681475</v>
          </cell>
          <cell r="G117">
            <v>87.480804683743443</v>
          </cell>
          <cell r="I117" t="str">
            <v>MS/C</v>
          </cell>
          <cell r="J117">
            <v>9.7218474878852199E-2</v>
          </cell>
          <cell r="K117">
            <v>-3.2000000000000008E-2</v>
          </cell>
          <cell r="L117">
            <v>-1.5000000000000013E-2</v>
          </cell>
          <cell r="M117">
            <v>-1.0000000000000009E-3</v>
          </cell>
        </row>
        <row r="118">
          <cell r="A118" t="str">
            <v>Operating Income</v>
          </cell>
          <cell r="B118">
            <v>1.8221202599182782E-2</v>
          </cell>
          <cell r="C118">
            <v>-8.4795773424491586E-2</v>
          </cell>
          <cell r="D118">
            <v>1.4627638389771777E-2</v>
          </cell>
          <cell r="F118">
            <v>1030.1697602367437</v>
          </cell>
          <cell r="G118">
            <v>35.935642094110044</v>
          </cell>
        </row>
        <row r="119">
          <cell r="A119" t="str">
            <v>Interest Expense</v>
          </cell>
          <cell r="B119">
            <v>2.0676050365587218E-2</v>
          </cell>
          <cell r="C119">
            <v>2.2905626388730099E-2</v>
          </cell>
          <cell r="D119">
            <v>2.0468421239228773E-2</v>
          </cell>
          <cell r="F119">
            <v>-22.295760231428805</v>
          </cell>
          <cell r="G119">
            <v>2.0762912635844537</v>
          </cell>
        </row>
        <row r="120">
          <cell r="A120" t="str">
            <v>Earnings b4 Taxes</v>
          </cell>
          <cell r="B120">
            <v>5.6698146463637996E-5</v>
          </cell>
          <cell r="C120">
            <v>5.6698146463637996E-5</v>
          </cell>
          <cell r="D120">
            <v>5.6698146463637996E-5</v>
          </cell>
          <cell r="F120">
            <v>0</v>
          </cell>
          <cell r="G120">
            <v>0</v>
          </cell>
        </row>
        <row r="121">
          <cell r="A121" t="str">
            <v>Net Income</v>
          </cell>
          <cell r="B121">
            <v>-1.5571584659782067E-3</v>
          </cell>
          <cell r="C121">
            <v>-6.6810020735004902E-2</v>
          </cell>
          <cell r="D121">
            <v>-3.6564382174707932E-3</v>
          </cell>
          <cell r="F121">
            <v>652.52862269026696</v>
          </cell>
          <cell r="G121">
            <v>20.992797514925869</v>
          </cell>
        </row>
        <row r="123">
          <cell r="A123" t="str">
            <v>EPS</v>
          </cell>
          <cell r="B123">
            <v>-6.6533490389486675E-3</v>
          </cell>
          <cell r="C123">
            <v>-0.25767632111798916</v>
          </cell>
          <cell r="D123">
            <v>-1.5781525121147805E-2</v>
          </cell>
          <cell r="F123">
            <v>0.25102297207904051</v>
          </cell>
          <cell r="G123">
            <v>9.1281760821991381E-3</v>
          </cell>
        </row>
        <row r="125">
          <cell r="A125" t="str">
            <v>EPS Upsides/Downsides</v>
          </cell>
        </row>
        <row r="126">
          <cell r="A126" t="str">
            <v>Reported Sales Variance</v>
          </cell>
          <cell r="B126">
            <v>7.3141706523534907E-4</v>
          </cell>
        </row>
        <row r="127">
          <cell r="A127" t="str">
            <v>Gross Margin</v>
          </cell>
          <cell r="B127">
            <v>9.0502516031737673E-2</v>
          </cell>
        </row>
        <row r="128">
          <cell r="A128" t="str">
            <v>SG&amp;A Expenses</v>
          </cell>
          <cell r="B128">
            <v>9.135785673203356E-2</v>
          </cell>
        </row>
        <row r="129">
          <cell r="A129" t="str">
            <v>Other Operating Expenses</v>
          </cell>
          <cell r="B129">
            <v>0.14148159111000269</v>
          </cell>
        </row>
        <row r="130">
          <cell r="A130" t="str">
            <v>Operating Margin</v>
          </cell>
          <cell r="B130">
            <v>0.3233419638737739</v>
          </cell>
        </row>
        <row r="131">
          <cell r="A131" t="str">
            <v>Interest Expense, Net</v>
          </cell>
          <cell r="B131">
            <v>-2.9209222303217691E-2</v>
          </cell>
        </row>
        <row r="132">
          <cell r="A132" t="str">
            <v>Other (Income)</v>
          </cell>
          <cell r="B132">
            <v>-1.1491989190871084E-3</v>
          </cell>
        </row>
        <row r="133">
          <cell r="A133" t="str">
            <v>Tax Rate</v>
          </cell>
          <cell r="B133">
            <v>0.11636249147294966</v>
          </cell>
        </row>
        <row r="134">
          <cell r="A134" t="str">
            <v>Shares</v>
          </cell>
          <cell r="B134">
            <v>0</v>
          </cell>
        </row>
        <row r="135">
          <cell r="A135" t="str">
            <v>Total</v>
          </cell>
          <cell r="B135">
            <v>0.40934603412441872</v>
          </cell>
        </row>
        <row r="137">
          <cell r="A137" t="str">
            <v>LTD</v>
          </cell>
        </row>
        <row r="138">
          <cell r="A138" t="str">
            <v>As a % of Sales</v>
          </cell>
          <cell r="B138" t="str">
            <v>4Q09</v>
          </cell>
          <cell r="C138" t="str">
            <v>4Q08</v>
          </cell>
          <cell r="D138" t="str">
            <v>MS Est.</v>
          </cell>
          <cell r="F138" t="str">
            <v>y/y∆ (bp)</v>
          </cell>
          <cell r="G138" t="str">
            <v>∆ vs MS
Est. (bp)</v>
          </cell>
          <cell r="J138" t="str">
            <v>FQ1</v>
          </cell>
          <cell r="K138" t="str">
            <v>FQ2</v>
          </cell>
          <cell r="L138" t="str">
            <v>FQ3</v>
          </cell>
          <cell r="M138" t="str">
            <v>FY1</v>
          </cell>
          <cell r="N138" t="str">
            <v>FY2</v>
          </cell>
        </row>
        <row r="139">
          <cell r="A139" t="str">
            <v>Gross Income</v>
          </cell>
          <cell r="B139">
            <v>0.35943311437115333</v>
          </cell>
          <cell r="C139">
            <v>0.31784386724838393</v>
          </cell>
          <cell r="D139">
            <v>0.35784386724838391</v>
          </cell>
          <cell r="F139">
            <v>415.89247122769399</v>
          </cell>
          <cell r="G139">
            <v>15.892471227694216</v>
          </cell>
          <cell r="I139" t="str">
            <v>Consensus</v>
          </cell>
          <cell r="J139">
            <v>0.98499999999999999</v>
          </cell>
          <cell r="K139">
            <v>7.5999999999999998E-2</v>
          </cell>
          <cell r="M139">
            <v>0.98299999999999998</v>
          </cell>
          <cell r="N139">
            <v>1.202</v>
          </cell>
          <cell r="O139" t="str">
            <v>Bloomberg 2/24</v>
          </cell>
        </row>
        <row r="140">
          <cell r="A140" t="str">
            <v>SG&amp;A Expense</v>
          </cell>
          <cell r="B140">
            <v>0.26366684338267576</v>
          </cell>
          <cell r="C140">
            <v>0.28004500251269832</v>
          </cell>
          <cell r="D140">
            <v>0.26902521392184064</v>
          </cell>
          <cell r="F140">
            <v>-163.78159130022553</v>
          </cell>
          <cell r="G140">
            <v>-53.583705391648806</v>
          </cell>
          <cell r="I140" t="str">
            <v>MS Est.</v>
          </cell>
          <cell r="J140">
            <v>0.225114276362679</v>
          </cell>
          <cell r="K140" t="str">
            <v>none</v>
          </cell>
          <cell r="M140">
            <v>1.1010266280936629</v>
          </cell>
          <cell r="N140">
            <v>1.2665067931582552</v>
          </cell>
        </row>
        <row r="141">
          <cell r="A141" t="str">
            <v>Operating Income</v>
          </cell>
          <cell r="B141">
            <v>9.5766270988477592E-2</v>
          </cell>
          <cell r="C141">
            <v>3.779886473568559E-2</v>
          </cell>
          <cell r="D141">
            <v>8.8818653326543262E-2</v>
          </cell>
          <cell r="F141">
            <v>579.67406252792</v>
          </cell>
          <cell r="G141">
            <v>69.476176619343306</v>
          </cell>
          <cell r="I141" t="str">
            <v>MS/C</v>
          </cell>
          <cell r="J141">
            <v>-0.75988572363732099</v>
          </cell>
          <cell r="K141" t="e">
            <v>#VALUE!</v>
          </cell>
          <cell r="L141">
            <v>0</v>
          </cell>
          <cell r="M141">
            <v>0</v>
          </cell>
          <cell r="N141">
            <v>0</v>
          </cell>
        </row>
        <row r="142">
          <cell r="A142" t="str">
            <v>Interest Expense</v>
          </cell>
          <cell r="B142">
            <v>3.1643210377647633E-2</v>
          </cell>
          <cell r="C142">
            <v>3.5762043127987642E-2</v>
          </cell>
          <cell r="D142">
            <v>3.1378458603900941E-2</v>
          </cell>
          <cell r="F142">
            <v>-41.188327503400082</v>
          </cell>
          <cell r="G142">
            <v>2.6475177374669228</v>
          </cell>
          <cell r="I142" t="str">
            <v>MGT Guid</v>
          </cell>
          <cell r="J142" t="str">
            <v>$0.00-$(0.04)</v>
          </cell>
        </row>
        <row r="143">
          <cell r="A143" t="str">
            <v>Other Expense (Income)</v>
          </cell>
          <cell r="B143">
            <v>-7.3910090208000262E-3</v>
          </cell>
          <cell r="C143">
            <v>1.628761729547883E-4</v>
          </cell>
          <cell r="D143">
            <v>-3.6241263266891016E-3</v>
          </cell>
          <cell r="F143">
            <v>-75.538851937548145</v>
          </cell>
          <cell r="G143">
            <v>-37.668826941109245</v>
          </cell>
        </row>
        <row r="144">
          <cell r="A144" t="str">
            <v>Tax Rate</v>
          </cell>
          <cell r="B144">
            <v>0.40006660295948787</v>
          </cell>
          <cell r="C144">
            <v>0.195484070522735</v>
          </cell>
          <cell r="D144">
            <v>0.38</v>
          </cell>
          <cell r="F144">
            <v>2045.8253243675288</v>
          </cell>
          <cell r="G144">
            <v>200.66602959487867</v>
          </cell>
        </row>
        <row r="145">
          <cell r="A145" t="str">
            <v>Net Income</v>
          </cell>
          <cell r="B145">
            <v>4.2903678730295505E-2</v>
          </cell>
          <cell r="C145">
            <v>1.5076189532220727E-3</v>
          </cell>
          <cell r="D145">
            <v>3.7859879050585479E-2</v>
          </cell>
          <cell r="F145">
            <v>413.9605977707343</v>
          </cell>
          <cell r="G145">
            <v>50.437996797100261</v>
          </cell>
        </row>
        <row r="147">
          <cell r="A147" t="str">
            <v>EPS</v>
          </cell>
          <cell r="B147">
            <v>0.24893510925268417</v>
          </cell>
          <cell r="C147">
            <v>8.04553257961238E-3</v>
          </cell>
          <cell r="D147">
            <v>0.225114276362679</v>
          </cell>
          <cell r="F147">
            <v>0.24088957667307179</v>
          </cell>
          <cell r="G147">
            <v>2.3820832890005167E-2</v>
          </cell>
        </row>
        <row r="149">
          <cell r="A149" t="str">
            <v>EPS Upsides/Downsides</v>
          </cell>
        </row>
        <row r="150">
          <cell r="A150" t="str">
            <v>Gross Margin</v>
          </cell>
          <cell r="B150">
            <v>5.555265989990261E-3</v>
          </cell>
        </row>
        <row r="151">
          <cell r="A151" t="str">
            <v>SG&amp;A</v>
          </cell>
          <cell r="B151">
            <v>1.8634632007562379E-2</v>
          </cell>
        </row>
        <row r="152">
          <cell r="A152" t="str">
            <v>Operating Margin</v>
          </cell>
          <cell r="B152">
            <v>2.418989799755264E-2</v>
          </cell>
        </row>
        <row r="153">
          <cell r="A153" t="str">
            <v>Interest Expense, Net</v>
          </cell>
          <cell r="B153">
            <v>-9.2361681188376816E-4</v>
          </cell>
        </row>
        <row r="154">
          <cell r="A154" t="str">
            <v>Other expense (income)</v>
          </cell>
          <cell r="B154">
            <v>1.3112471077827939E-2</v>
          </cell>
        </row>
        <row r="155">
          <cell r="A155" t="str">
            <v>Tax Rate</v>
          </cell>
          <cell r="B155">
            <v>-8.3263942709177457E-3</v>
          </cell>
        </row>
        <row r="156">
          <cell r="A156" t="str">
            <v>Shares</v>
          </cell>
          <cell r="B156">
            <v>-6.1742795380068938E-3</v>
          </cell>
        </row>
        <row r="157">
          <cell r="A157" t="str">
            <v>Total</v>
          </cell>
          <cell r="B157">
            <v>2.1878078454572167E-2</v>
          </cell>
        </row>
        <row r="159">
          <cell r="A159" t="str">
            <v>GPS</v>
          </cell>
          <cell r="J159" t="str">
            <v>4Q09</v>
          </cell>
          <cell r="K159" t="str">
            <v>1Q10</v>
          </cell>
        </row>
        <row r="160">
          <cell r="A160" t="str">
            <v>As a % of Sales</v>
          </cell>
          <cell r="B160" t="str">
            <v>4Q09</v>
          </cell>
          <cell r="C160" t="str">
            <v>4Q08</v>
          </cell>
          <cell r="D160" t="str">
            <v>MS Est.</v>
          </cell>
          <cell r="F160" t="str">
            <v>y/y∆ (bp)</v>
          </cell>
          <cell r="G160" t="str">
            <v>∆ vs MS
Est. (bp)</v>
          </cell>
          <cell r="J160" t="str">
            <v>FQ1</v>
          </cell>
          <cell r="K160" t="str">
            <v>FQ2</v>
          </cell>
          <cell r="L160" t="str">
            <v>FQ3</v>
          </cell>
          <cell r="M160" t="str">
            <v>FY1</v>
          </cell>
          <cell r="N160" t="str">
            <v>FY2</v>
          </cell>
        </row>
        <row r="161">
          <cell r="A161" t="str">
            <v>Gross Income</v>
          </cell>
          <cell r="B161">
            <v>0.3922743753062225</v>
          </cell>
          <cell r="C161">
            <v>0.34027437530622245</v>
          </cell>
          <cell r="D161">
            <v>0.42196995226060091</v>
          </cell>
          <cell r="F161">
            <v>520.00000000000045</v>
          </cell>
          <cell r="G161">
            <v>-296.95576954378413</v>
          </cell>
          <cell r="I161" t="str">
            <v>Consensus</v>
          </cell>
          <cell r="J161">
            <v>0.5</v>
          </cell>
          <cell r="K161">
            <v>0.35399999999999998</v>
          </cell>
          <cell r="M161">
            <v>1.5029999999999999</v>
          </cell>
          <cell r="N161">
            <v>1.6339999999999999</v>
          </cell>
        </row>
        <row r="162">
          <cell r="A162" t="str">
            <v>SG&amp;A Expense</v>
          </cell>
          <cell r="B162">
            <v>0.25777315041646254</v>
          </cell>
          <cell r="C162">
            <v>0.24277315041646252</v>
          </cell>
          <cell r="D162">
            <v>0.2828268744734625</v>
          </cell>
          <cell r="F162">
            <v>150.00000000000014</v>
          </cell>
          <cell r="G162">
            <v>-250.5372405699996</v>
          </cell>
          <cell r="I162" t="str">
            <v>MS Est.</v>
          </cell>
          <cell r="J162">
            <v>0.50455187729779205</v>
          </cell>
          <cell r="K162">
            <v>0.43607954545454547</v>
          </cell>
          <cell r="M162">
            <v>1.5717170524816499</v>
          </cell>
          <cell r="N162">
            <v>1.6307831306006146</v>
          </cell>
        </row>
        <row r="163">
          <cell r="A163" t="str">
            <v>Operating Income</v>
          </cell>
          <cell r="B163">
            <v>0.13450122488975996</v>
          </cell>
          <cell r="C163">
            <v>9.7501224889759916E-2</v>
          </cell>
          <cell r="D163">
            <v>0.13914307778713844</v>
          </cell>
          <cell r="F163">
            <v>370.00000000000045</v>
          </cell>
          <cell r="G163">
            <v>-46.418528973784788</v>
          </cell>
          <cell r="I163" t="str">
            <v>MS/C</v>
          </cell>
          <cell r="J163">
            <v>4.5518772977920507E-3</v>
          </cell>
          <cell r="K163">
            <v>8.2079545454545488E-2</v>
          </cell>
          <cell r="M163">
            <v>6.8717052481650054E-2</v>
          </cell>
          <cell r="N163">
            <v>-3.2168693993852582E-3</v>
          </cell>
        </row>
        <row r="164">
          <cell r="A164" t="str">
            <v>Interest Expense</v>
          </cell>
          <cell r="B164">
            <v>0</v>
          </cell>
          <cell r="C164">
            <v>0</v>
          </cell>
          <cell r="D164">
            <v>0</v>
          </cell>
          <cell r="F164">
            <v>0</v>
          </cell>
          <cell r="G164">
            <v>0</v>
          </cell>
          <cell r="I164" t="str">
            <v>Guidance</v>
          </cell>
          <cell r="J164" t="str">
            <v>$0.33-$0.35</v>
          </cell>
        </row>
        <row r="165">
          <cell r="A165" t="str">
            <v>Earnings b4 Taxes</v>
          </cell>
          <cell r="B165">
            <v>0.13450122488975996</v>
          </cell>
          <cell r="C165">
            <v>9.8236158745712884E-2</v>
          </cell>
          <cell r="D165">
            <v>0.13949061485667194</v>
          </cell>
          <cell r="F165">
            <v>362.6506614404708</v>
          </cell>
          <cell r="G165">
            <v>-49.893899669119776</v>
          </cell>
        </row>
        <row r="166">
          <cell r="A166" t="str">
            <v>Tax Rate</v>
          </cell>
          <cell r="B166">
            <v>0.39</v>
          </cell>
          <cell r="C166">
            <v>0.3940149625935162</v>
          </cell>
          <cell r="D166">
            <v>0.39</v>
          </cell>
          <cell r="F166">
            <v>-40.149625935161914</v>
          </cell>
          <cell r="G166">
            <v>0</v>
          </cell>
        </row>
        <row r="167">
          <cell r="A167" t="str">
            <v>Net Income</v>
          </cell>
          <cell r="B167">
            <v>0.39</v>
          </cell>
          <cell r="C167">
            <v>0.3940149625935162</v>
          </cell>
          <cell r="D167">
            <v>8.5089275062569872E-2</v>
          </cell>
          <cell r="F167">
            <v>-40.149625935161914</v>
          </cell>
          <cell r="G167">
            <v>3049.1072493743018</v>
          </cell>
        </row>
        <row r="169">
          <cell r="A169" t="str">
            <v>EPS</v>
          </cell>
          <cell r="B169">
            <v>0.50455187729779205</v>
          </cell>
          <cell r="C169">
            <v>0.34219263456090654</v>
          </cell>
          <cell r="D169">
            <v>0.43995659234339185</v>
          </cell>
          <cell r="F169">
            <v>0.16235924273688551</v>
          </cell>
          <cell r="G169">
            <v>6.4595284954400201E-2</v>
          </cell>
        </row>
        <row r="171">
          <cell r="A171" t="str">
            <v>EPS Upsides/Downsides</v>
          </cell>
        </row>
        <row r="172">
          <cell r="A172" t="str">
            <v>Sales</v>
          </cell>
          <cell r="B172">
            <v>0</v>
          </cell>
        </row>
        <row r="173">
          <cell r="A173" t="str">
            <v>Gross Margin</v>
          </cell>
          <cell r="B173">
            <v>0</v>
          </cell>
        </row>
        <row r="174">
          <cell r="A174" t="str">
            <v>SG&amp;A Expenses</v>
          </cell>
          <cell r="B174">
            <v>0</v>
          </cell>
        </row>
        <row r="175">
          <cell r="A175" t="str">
            <v>Operating Margin</v>
          </cell>
          <cell r="B175" t="e">
            <v>#REF!</v>
          </cell>
        </row>
        <row r="176">
          <cell r="A176" t="str">
            <v>Interest Expense</v>
          </cell>
          <cell r="B176">
            <v>0</v>
          </cell>
        </row>
        <row r="177">
          <cell r="A177" t="str">
            <v>Interest Income</v>
          </cell>
          <cell r="B177">
            <v>0</v>
          </cell>
        </row>
        <row r="178">
          <cell r="A178" t="str">
            <v>Tax Rate</v>
          </cell>
          <cell r="B178">
            <v>0</v>
          </cell>
        </row>
        <row r="179">
          <cell r="A179" t="str">
            <v>Shares</v>
          </cell>
          <cell r="B179">
            <v>0</v>
          </cell>
        </row>
        <row r="180">
          <cell r="A180" t="str">
            <v>Total</v>
          </cell>
          <cell r="B180">
            <v>0</v>
          </cell>
        </row>
        <row r="182">
          <cell r="A182" t="str">
            <v>ROST</v>
          </cell>
        </row>
        <row r="183">
          <cell r="A183" t="str">
            <v>As a % of Sales</v>
          </cell>
          <cell r="B183" t="str">
            <v>2Q09</v>
          </cell>
          <cell r="C183" t="str">
            <v>2Q08</v>
          </cell>
          <cell r="D183" t="str">
            <v>MS Est.</v>
          </cell>
          <cell r="F183" t="str">
            <v>y/y∆ (bp)</v>
          </cell>
          <cell r="G183" t="str">
            <v>∆ vs MS
Est. (bp)</v>
          </cell>
          <cell r="J183" t="str">
            <v>FQ1</v>
          </cell>
          <cell r="K183" t="str">
            <v>FQ2</v>
          </cell>
          <cell r="L183" t="str">
            <v>FY1</v>
          </cell>
          <cell r="M183" t="str">
            <v>FY2</v>
          </cell>
        </row>
        <row r="184">
          <cell r="A184" t="str">
            <v>Gross Income</v>
          </cell>
          <cell r="B184">
            <v>0</v>
          </cell>
          <cell r="C184">
            <v>0</v>
          </cell>
          <cell r="D184">
            <v>0</v>
          </cell>
          <cell r="F184">
            <v>0</v>
          </cell>
          <cell r="G184">
            <v>0</v>
          </cell>
          <cell r="I184" t="str">
            <v>Consensus</v>
          </cell>
          <cell r="J184">
            <v>0.82</v>
          </cell>
          <cell r="K184">
            <v>0.56000000000000005</v>
          </cell>
          <cell r="L184">
            <v>3</v>
          </cell>
          <cell r="M184">
            <v>3.27</v>
          </cell>
          <cell r="N184" t="str">
            <v>Bloomberg</v>
          </cell>
          <cell r="O184">
            <v>40045</v>
          </cell>
        </row>
        <row r="185">
          <cell r="A185" t="str">
            <v>SG&amp;A Expense</v>
          </cell>
          <cell r="B185">
            <v>0</v>
          </cell>
          <cell r="C185">
            <v>0</v>
          </cell>
          <cell r="D185">
            <v>0</v>
          </cell>
          <cell r="F185">
            <v>0</v>
          </cell>
          <cell r="G185">
            <v>0</v>
          </cell>
          <cell r="I185" t="str">
            <v>MS Est.</v>
          </cell>
          <cell r="J185">
            <v>0</v>
          </cell>
          <cell r="K185">
            <v>0.56000000000000005</v>
          </cell>
          <cell r="L185">
            <v>3.03</v>
          </cell>
          <cell r="M185">
            <v>3.43</v>
          </cell>
        </row>
        <row r="186">
          <cell r="A186" t="str">
            <v>Operating Income</v>
          </cell>
          <cell r="B186">
            <v>0</v>
          </cell>
          <cell r="C186">
            <v>0</v>
          </cell>
          <cell r="D186">
            <v>0</v>
          </cell>
          <cell r="F186">
            <v>0</v>
          </cell>
          <cell r="G186">
            <v>0</v>
          </cell>
          <cell r="I186" t="str">
            <v>MS/C</v>
          </cell>
          <cell r="J186">
            <v>-0.82</v>
          </cell>
          <cell r="K186">
            <v>0</v>
          </cell>
          <cell r="L186">
            <v>2.9999999999999805E-2</v>
          </cell>
          <cell r="M186">
            <v>0.16000000000000014</v>
          </cell>
        </row>
        <row r="187">
          <cell r="A187" t="str">
            <v>Interest Expense</v>
          </cell>
          <cell r="B187">
            <v>0</v>
          </cell>
          <cell r="C187">
            <v>0</v>
          </cell>
          <cell r="D187">
            <v>0</v>
          </cell>
          <cell r="F187">
            <v>0</v>
          </cell>
          <cell r="G187">
            <v>0</v>
          </cell>
          <cell r="I187" t="str">
            <v>Guidance</v>
          </cell>
          <cell r="J187" t="str">
            <v>0.81-0.82</v>
          </cell>
        </row>
        <row r="188">
          <cell r="A188" t="str">
            <v>Earnings b4 Taxes</v>
          </cell>
          <cell r="B188">
            <v>0</v>
          </cell>
          <cell r="C188">
            <v>0</v>
          </cell>
          <cell r="D188">
            <v>0</v>
          </cell>
          <cell r="F188">
            <v>0</v>
          </cell>
          <cell r="G188">
            <v>0</v>
          </cell>
          <cell r="I188" t="str">
            <v>N Guidance</v>
          </cell>
        </row>
        <row r="189">
          <cell r="A189" t="str">
            <v>Tax Rate</v>
          </cell>
          <cell r="B189">
            <v>0</v>
          </cell>
          <cell r="C189">
            <v>0</v>
          </cell>
          <cell r="D189">
            <v>0</v>
          </cell>
          <cell r="F189">
            <v>0</v>
          </cell>
          <cell r="G189">
            <v>0</v>
          </cell>
        </row>
        <row r="190">
          <cell r="A190" t="str">
            <v>Net Income</v>
          </cell>
          <cell r="B190">
            <v>0</v>
          </cell>
          <cell r="C190">
            <v>0</v>
          </cell>
          <cell r="D190">
            <v>0</v>
          </cell>
          <cell r="F190">
            <v>0</v>
          </cell>
          <cell r="G190">
            <v>0</v>
          </cell>
        </row>
        <row r="192">
          <cell r="A192" t="str">
            <v>EPS</v>
          </cell>
          <cell r="B192">
            <v>0</v>
          </cell>
          <cell r="C192">
            <v>0</v>
          </cell>
          <cell r="D192">
            <v>0</v>
          </cell>
          <cell r="F192">
            <v>0</v>
          </cell>
          <cell r="G192">
            <v>0</v>
          </cell>
        </row>
        <row r="194">
          <cell r="A194" t="str">
            <v>EPS Upsides/Downsides</v>
          </cell>
        </row>
        <row r="195">
          <cell r="A195" t="str">
            <v>Gross Margin</v>
          </cell>
          <cell r="B195">
            <v>-9.3079415940881156E-3</v>
          </cell>
        </row>
        <row r="196">
          <cell r="A196" t="str">
            <v>SG&amp;A</v>
          </cell>
          <cell r="B196">
            <v>-4.1553199556378624E-3</v>
          </cell>
        </row>
        <row r="197">
          <cell r="A197" t="str">
            <v>Interest Expense, Net</v>
          </cell>
          <cell r="B197">
            <v>1.4972157034199365E-3</v>
          </cell>
        </row>
        <row r="198">
          <cell r="A198" t="str">
            <v>Tax Rate</v>
          </cell>
          <cell r="B198">
            <v>6.994656953981741E-3</v>
          </cell>
        </row>
        <row r="199">
          <cell r="A199" t="str">
            <v>Shares</v>
          </cell>
          <cell r="B199">
            <v>4.7205651805766191E-3</v>
          </cell>
        </row>
        <row r="200">
          <cell r="A200" t="str">
            <v>Total</v>
          </cell>
          <cell r="B200">
            <v>-2.508237117476806E-4</v>
          </cell>
        </row>
        <row r="202">
          <cell r="A202" t="str">
            <v>TJX</v>
          </cell>
        </row>
        <row r="203">
          <cell r="A203" t="str">
            <v>As a % of Sales</v>
          </cell>
          <cell r="B203" t="str">
            <v>3Q09</v>
          </cell>
          <cell r="C203" t="str">
            <v>3Q08</v>
          </cell>
          <cell r="D203" t="str">
            <v>MS Est.</v>
          </cell>
          <cell r="F203" t="str">
            <v>y/y∆ (bp)</v>
          </cell>
          <cell r="G203" t="str">
            <v>∆ vs MS
Est. (bp)</v>
          </cell>
          <cell r="J203" t="str">
            <v>FQ1</v>
          </cell>
          <cell r="K203" t="str">
            <v>FQ2</v>
          </cell>
          <cell r="L203" t="str">
            <v>FY1</v>
          </cell>
          <cell r="M203" t="str">
            <v>FY2</v>
          </cell>
        </row>
        <row r="204">
          <cell r="A204" t="str">
            <v>Gross Income</v>
          </cell>
          <cell r="B204">
            <v>0</v>
          </cell>
          <cell r="C204">
            <v>0</v>
          </cell>
          <cell r="D204">
            <v>0</v>
          </cell>
          <cell r="F204">
            <v>0</v>
          </cell>
          <cell r="G204">
            <v>0</v>
          </cell>
          <cell r="I204" t="str">
            <v>Consensus</v>
          </cell>
          <cell r="J204">
            <v>0.78400000000000003</v>
          </cell>
          <cell r="K204">
            <v>0.70599999999999996</v>
          </cell>
          <cell r="L204">
            <v>2.5819999999999999</v>
          </cell>
          <cell r="M204">
            <v>2.8839999999999999</v>
          </cell>
          <cell r="N204" t="str">
            <v>Bloomberg</v>
          </cell>
          <cell r="O204">
            <v>40133</v>
          </cell>
        </row>
        <row r="205">
          <cell r="A205" t="str">
            <v>SG&amp;A Expense</v>
          </cell>
          <cell r="B205">
            <v>0</v>
          </cell>
          <cell r="C205">
            <v>0</v>
          </cell>
          <cell r="D205">
            <v>0</v>
          </cell>
          <cell r="F205">
            <v>0</v>
          </cell>
          <cell r="G205">
            <v>0</v>
          </cell>
          <cell r="I205" t="str">
            <v>MS Est.</v>
          </cell>
          <cell r="J205">
            <v>0</v>
          </cell>
          <cell r="K205">
            <v>0.81</v>
          </cell>
          <cell r="L205">
            <v>2.7</v>
          </cell>
          <cell r="M205">
            <v>3.13</v>
          </cell>
        </row>
        <row r="206">
          <cell r="A206" t="str">
            <v>Operating Income</v>
          </cell>
          <cell r="B206">
            <v>0</v>
          </cell>
          <cell r="C206">
            <v>0</v>
          </cell>
          <cell r="D206">
            <v>0</v>
          </cell>
          <cell r="F206">
            <v>0</v>
          </cell>
          <cell r="G206">
            <v>0</v>
          </cell>
          <cell r="I206" t="str">
            <v>MS/C</v>
          </cell>
          <cell r="J206">
            <v>-0.78400000000000003</v>
          </cell>
          <cell r="K206">
            <v>0.10400000000000009</v>
          </cell>
          <cell r="L206">
            <v>0.11800000000000033</v>
          </cell>
          <cell r="M206">
            <v>0.246</v>
          </cell>
        </row>
        <row r="207">
          <cell r="A207" t="str">
            <v>Interest Expense</v>
          </cell>
          <cell r="B207">
            <v>0</v>
          </cell>
          <cell r="C207">
            <v>0</v>
          </cell>
          <cell r="D207">
            <v>0</v>
          </cell>
          <cell r="F207">
            <v>0</v>
          </cell>
          <cell r="G207">
            <v>0</v>
          </cell>
          <cell r="I207" t="str">
            <v>Mgt</v>
          </cell>
        </row>
        <row r="208">
          <cell r="A208" t="str">
            <v>Earnings b4 Taxes</v>
          </cell>
          <cell r="B208">
            <v>0</v>
          </cell>
          <cell r="C208">
            <v>0</v>
          </cell>
          <cell r="D208">
            <v>0</v>
          </cell>
          <cell r="F208">
            <v>0</v>
          </cell>
          <cell r="G208">
            <v>0</v>
          </cell>
          <cell r="I208" t="str">
            <v>New Guide</v>
          </cell>
        </row>
        <row r="209">
          <cell r="A209" t="str">
            <v>Tax Rate</v>
          </cell>
          <cell r="B209">
            <v>0</v>
          </cell>
          <cell r="C209">
            <v>0</v>
          </cell>
          <cell r="D209">
            <v>0</v>
          </cell>
          <cell r="F209">
            <v>0</v>
          </cell>
          <cell r="G209">
            <v>0</v>
          </cell>
        </row>
        <row r="210">
          <cell r="A210" t="str">
            <v>Net Income</v>
          </cell>
          <cell r="B210">
            <v>0</v>
          </cell>
          <cell r="C210">
            <v>0</v>
          </cell>
          <cell r="D210">
            <v>0</v>
          </cell>
          <cell r="F210">
            <v>0</v>
          </cell>
          <cell r="G210">
            <v>0</v>
          </cell>
        </row>
        <row r="212">
          <cell r="A212" t="str">
            <v>EPS</v>
          </cell>
          <cell r="B212">
            <v>0</v>
          </cell>
          <cell r="C212">
            <v>0</v>
          </cell>
          <cell r="D212">
            <v>0</v>
          </cell>
          <cell r="F212">
            <v>0</v>
          </cell>
          <cell r="G212">
            <v>0</v>
          </cell>
        </row>
        <row r="214">
          <cell r="A214" t="str">
            <v>EPS Upsides/Downsides</v>
          </cell>
        </row>
        <row r="215">
          <cell r="A215" t="str">
            <v>Reported Sales Variance</v>
          </cell>
          <cell r="B215">
            <v>-9.2385306540772958E-3</v>
          </cell>
        </row>
        <row r="216">
          <cell r="A216" t="str">
            <v>Gross Margin</v>
          </cell>
          <cell r="B216">
            <v>0.12327703340832144</v>
          </cell>
        </row>
        <row r="217">
          <cell r="A217" t="str">
            <v>SG&amp;A</v>
          </cell>
          <cell r="B217">
            <v>-9.2623490996430774E-2</v>
          </cell>
        </row>
        <row r="218">
          <cell r="A218" t="str">
            <v>Interest Expense, Net</v>
          </cell>
          <cell r="B218">
            <v>-1.7995738165169045E-3</v>
          </cell>
        </row>
        <row r="219">
          <cell r="A219" t="str">
            <v>Tax Rate</v>
          </cell>
          <cell r="B219">
            <v>1.0237504860645822E-2</v>
          </cell>
        </row>
        <row r="220">
          <cell r="A220" t="str">
            <v>Shares</v>
          </cell>
          <cell r="B220">
            <v>4.3935790474023406E-3</v>
          </cell>
        </row>
        <row r="221">
          <cell r="A221" t="str">
            <v>Total</v>
          </cell>
          <cell r="B221">
            <v>3.4246521849344624E-2</v>
          </cell>
        </row>
        <row r="223">
          <cell r="A223" t="str">
            <v>URBN</v>
          </cell>
        </row>
        <row r="224">
          <cell r="A224" t="str">
            <v>As a % of Sales</v>
          </cell>
          <cell r="B224" t="str">
            <v>4Q09</v>
          </cell>
          <cell r="C224" t="str">
            <v>4Q08</v>
          </cell>
          <cell r="D224" t="str">
            <v>MS Estimate</v>
          </cell>
          <cell r="F224" t="str">
            <v>y/y∆ (bp)</v>
          </cell>
          <cell r="G224" t="str">
            <v>∆ vs 
Est. (bp)</v>
          </cell>
          <cell r="J224" t="str">
            <v>FQ1</v>
          </cell>
          <cell r="K224" t="str">
            <v>FQ2</v>
          </cell>
          <cell r="L224" t="str">
            <v>FY1</v>
          </cell>
          <cell r="M224" t="str">
            <v>FY2</v>
          </cell>
        </row>
        <row r="225">
          <cell r="A225" t="str">
            <v>Gross Income</v>
          </cell>
          <cell r="B225">
            <v>0.41744081917711845</v>
          </cell>
          <cell r="C225">
            <v>0.34028633398808855</v>
          </cell>
          <cell r="D225">
            <v>0.39338633398808853</v>
          </cell>
          <cell r="F225">
            <v>771.54485189029901</v>
          </cell>
          <cell r="G225">
            <v>240.54485189029919</v>
          </cell>
          <cell r="I225" t="str">
            <v>Consensus</v>
          </cell>
          <cell r="J225">
            <v>0.40300000000000002</v>
          </cell>
          <cell r="K225">
            <v>0.25900000000000001</v>
          </cell>
          <cell r="L225">
            <v>1.234</v>
          </cell>
          <cell r="M225">
            <v>1.5580000000000001</v>
          </cell>
          <cell r="N225" t="str">
            <v>updated 3/3/2010</v>
          </cell>
        </row>
        <row r="226">
          <cell r="A226" t="str">
            <v>SG&amp;A Expense</v>
          </cell>
          <cell r="B226">
            <v>0.21580375637433241</v>
          </cell>
          <cell r="C226">
            <v>0.21590779368522153</v>
          </cell>
          <cell r="D226">
            <v>0.21140779368522153</v>
          </cell>
          <cell r="F226">
            <v>-1.0403731088912127</v>
          </cell>
          <cell r="G226">
            <v>43.959626891108826</v>
          </cell>
          <cell r="I226" t="str">
            <v>MS Est.</v>
          </cell>
          <cell r="J226">
            <v>0.40309878685263067</v>
          </cell>
          <cell r="K226">
            <v>0.38</v>
          </cell>
          <cell r="L226">
            <v>1.21</v>
          </cell>
          <cell r="M226">
            <v>1.5</v>
          </cell>
          <cell r="N226" t="str">
            <v>updated 3/3/2010</v>
          </cell>
        </row>
        <row r="227">
          <cell r="A227" t="str">
            <v>Operating Income</v>
          </cell>
          <cell r="B227">
            <v>0.20163706280278604</v>
          </cell>
          <cell r="C227">
            <v>0.12437854030286699</v>
          </cell>
          <cell r="D227">
            <v>0.18197854030286698</v>
          </cell>
          <cell r="F227">
            <v>772.58522499919047</v>
          </cell>
          <cell r="G227">
            <v>196.58522499919061</v>
          </cell>
          <cell r="I227" t="str">
            <v>MS/C</v>
          </cell>
          <cell r="J227">
            <v>9.8786852630650124E-5</v>
          </cell>
          <cell r="K227">
            <v>-0.25900000000000001</v>
          </cell>
          <cell r="L227">
            <v>-1.234</v>
          </cell>
          <cell r="M227">
            <v>-1.5580000000000001</v>
          </cell>
        </row>
        <row r="228">
          <cell r="A228" t="str">
            <v>Other Expenses (Income)</v>
          </cell>
          <cell r="B228">
            <v>-9.7707194478099143E-4</v>
          </cell>
          <cell r="C228">
            <v>-5.8120997169725901E-3</v>
          </cell>
          <cell r="D228">
            <v>-5.8120997169725901E-3</v>
          </cell>
          <cell r="F228">
            <v>48.350277721915987</v>
          </cell>
          <cell r="G228">
            <v>48.350277721915987</v>
          </cell>
          <cell r="I228" t="str">
            <v>Guidance</v>
          </cell>
          <cell r="J228" t="str">
            <v>NA</v>
          </cell>
          <cell r="K228" t="str">
            <v>NA</v>
          </cell>
          <cell r="L228" t="str">
            <v>NA</v>
          </cell>
          <cell r="M228" t="str">
            <v>NA</v>
          </cell>
        </row>
        <row r="229">
          <cell r="A229" t="str">
            <v>Income Before Taxes</v>
          </cell>
          <cell r="B229">
            <v>0.20261413474756704</v>
          </cell>
          <cell r="C229">
            <v>0.1301906400198396</v>
          </cell>
          <cell r="D229">
            <v>0.18779064001983956</v>
          </cell>
          <cell r="F229">
            <v>724.23494727727439</v>
          </cell>
          <cell r="G229">
            <v>148.23494727727481</v>
          </cell>
        </row>
        <row r="230">
          <cell r="A230" t="str">
            <v>Tax Rate</v>
          </cell>
          <cell r="B230">
            <v>0.34856630072880074</v>
          </cell>
          <cell r="C230">
            <v>0.38704703161141057</v>
          </cell>
          <cell r="D230">
            <v>0.374</v>
          </cell>
          <cell r="F230">
            <v>-384.80730882609839</v>
          </cell>
          <cell r="G230">
            <v>-254.33699271199262</v>
          </cell>
        </row>
        <row r="231">
          <cell r="A231" t="str">
            <v>Net Income</v>
          </cell>
          <cell r="B231">
            <v>0.13198967532324082</v>
          </cell>
          <cell r="C231">
            <v>7.9800739256570954E-2</v>
          </cell>
          <cell r="D231">
            <v>0.11755694065241959</v>
          </cell>
          <cell r="F231">
            <v>521.88936066669874</v>
          </cell>
          <cell r="G231">
            <v>144.32734670821233</v>
          </cell>
        </row>
        <row r="233">
          <cell r="A233" t="str">
            <v>EPS</v>
          </cell>
          <cell r="B233">
            <v>0.45049458331518716</v>
          </cell>
          <cell r="C233">
            <v>0.2383991529512581</v>
          </cell>
          <cell r="D233">
            <v>0.40309878685263067</v>
          </cell>
          <cell r="F233">
            <v>0.21209543036392906</v>
          </cell>
          <cell r="G233">
            <v>4.7395796462556483E-2</v>
          </cell>
        </row>
        <row r="235">
          <cell r="A235" t="str">
            <v>EPS Upsides/Downsides</v>
          </cell>
        </row>
        <row r="236">
          <cell r="A236" t="str">
            <v>Sales</v>
          </cell>
          <cell r="B236" t="e">
            <v>#REF!</v>
          </cell>
        </row>
        <row r="237">
          <cell r="A237" t="str">
            <v>Gross Margin</v>
          </cell>
          <cell r="B237">
            <v>5.3483017340296916E-2</v>
          </cell>
        </row>
        <row r="238">
          <cell r="A238" t="str">
            <v>SG&amp;A</v>
          </cell>
          <cell r="B238">
            <v>-9.7740336939839308E-3</v>
          </cell>
        </row>
        <row r="239">
          <cell r="A239" t="str">
            <v>Other Expenses (Income)</v>
          </cell>
          <cell r="B239">
            <v>-1.0750256018734979E-2</v>
          </cell>
        </row>
        <row r="240">
          <cell r="A240" t="str">
            <v>Tax Rate</v>
          </cell>
          <cell r="B240">
            <v>1.7588503278478228E-2</v>
          </cell>
        </row>
        <row r="241">
          <cell r="A241" t="str">
            <v>Shares</v>
          </cell>
          <cell r="B241">
            <v>-2.0935642207525196E-3</v>
          </cell>
        </row>
        <row r="242">
          <cell r="A242" t="str">
            <v>Total</v>
          </cell>
          <cell r="B242">
            <v>4.8453666685303709E-2</v>
          </cell>
        </row>
        <row r="243">
          <cell r="A243" t="str">
            <v>AEO</v>
          </cell>
        </row>
        <row r="244">
          <cell r="A244" t="str">
            <v>AEO</v>
          </cell>
          <cell r="B244" t="str">
            <v>3Q09</v>
          </cell>
          <cell r="C244" t="str">
            <v>3Q08</v>
          </cell>
          <cell r="D244" t="str">
            <v>MS Estimate</v>
          </cell>
          <cell r="F244" t="str">
            <v>y/y∆ (bp)</v>
          </cell>
          <cell r="G244" t="str">
            <v>∆ vs 
Est. (bp)</v>
          </cell>
          <cell r="J244" t="str">
            <v>FQ1</v>
          </cell>
          <cell r="K244" t="str">
            <v>FQ2</v>
          </cell>
          <cell r="M244" t="str">
            <v>FY1</v>
          </cell>
          <cell r="N244" t="str">
            <v>FY2</v>
          </cell>
        </row>
        <row r="245">
          <cell r="A245" t="str">
            <v>As a % of Sales</v>
          </cell>
          <cell r="B245" t="str">
            <v>4Q09</v>
          </cell>
          <cell r="C245" t="str">
            <v>4Q08</v>
          </cell>
          <cell r="D245" t="str">
            <v>MS Estimate</v>
          </cell>
          <cell r="F245" t="str">
            <v>y/y∆ (bp)</v>
          </cell>
          <cell r="G245" t="str">
            <v>∆ vs 
Est. (bp)</v>
          </cell>
          <cell r="I245" t="str">
            <v>Consensus</v>
          </cell>
          <cell r="J245" t="str">
            <v>FQ1</v>
          </cell>
          <cell r="K245" t="str">
            <v>FQ2</v>
          </cell>
          <cell r="M245" t="str">
            <v>FY1</v>
          </cell>
          <cell r="N245" t="str">
            <v>FY2</v>
          </cell>
          <cell r="O245" t="str">
            <v>updated 11/23/2009</v>
          </cell>
        </row>
        <row r="246">
          <cell r="A246" t="str">
            <v>Gross Income</v>
          </cell>
          <cell r="B246">
            <v>0.38593867923135189</v>
          </cell>
          <cell r="C246">
            <v>0.34406978028044605</v>
          </cell>
          <cell r="D246">
            <v>0.38593867923135189</v>
          </cell>
          <cell r="F246">
            <v>418.68898950905844</v>
          </cell>
          <cell r="G246">
            <v>0</v>
          </cell>
          <cell r="I246" t="str">
            <v>Consensus</v>
          </cell>
          <cell r="J246">
            <v>0.20516677394692481</v>
          </cell>
          <cell r="K246">
            <v>0.34</v>
          </cell>
          <cell r="M246">
            <v>0.77</v>
          </cell>
          <cell r="N246">
            <v>0.97</v>
          </cell>
        </row>
        <row r="247">
          <cell r="A247" t="str">
            <v>SG&amp;A</v>
          </cell>
          <cell r="B247">
            <v>0.26707126698025407</v>
          </cell>
          <cell r="C247">
            <v>0.27777851385668545</v>
          </cell>
          <cell r="D247">
            <v>0.26707126698025407</v>
          </cell>
          <cell r="F247">
            <v>-107.07246876431375</v>
          </cell>
          <cell r="G247">
            <v>0</v>
          </cell>
          <cell r="I247" t="str">
            <v>MS Est.</v>
          </cell>
          <cell r="J247">
            <v>-4.8332260530751792E-3</v>
          </cell>
          <cell r="K247">
            <v>1.8000000000000016E-2</v>
          </cell>
          <cell r="M247">
            <v>2.200000000000002E-2</v>
          </cell>
          <cell r="N247">
            <v>-6.2000000000000055E-2</v>
          </cell>
        </row>
        <row r="248">
          <cell r="A248" t="str">
            <v>Operating Income</v>
          </cell>
          <cell r="B248">
            <v>0.11886741225109779</v>
          </cell>
          <cell r="C248">
            <v>6.6291266423760653E-2</v>
          </cell>
          <cell r="D248">
            <v>0.11886741225109779</v>
          </cell>
          <cell r="F248">
            <v>525.76145827337132</v>
          </cell>
          <cell r="G248">
            <v>0</v>
          </cell>
          <cell r="I248" t="str">
            <v>MS/C</v>
          </cell>
          <cell r="J248" t="str">
            <v>0.20-0.21 op.</v>
          </cell>
        </row>
        <row r="249">
          <cell r="A249" t="str">
            <v>Interest and Other Income, net</v>
          </cell>
          <cell r="B249">
            <v>-4.7111590699647102E-4</v>
          </cell>
          <cell r="C249">
            <v>3.207463840123661E-3</v>
          </cell>
          <cell r="D249">
            <v>-4.7111590699647102E-4</v>
          </cell>
          <cell r="F249">
            <v>-36.78579747120132</v>
          </cell>
          <cell r="G249">
            <v>0</v>
          </cell>
          <cell r="I249" t="str">
            <v>M Guidance</v>
          </cell>
        </row>
        <row r="250">
          <cell r="A250" t="str">
            <v>Income Before Taxes</v>
          </cell>
          <cell r="B250">
            <v>0.11839629634410131</v>
          </cell>
          <cell r="C250">
            <v>6.9498730263884312E-2</v>
          </cell>
          <cell r="D250">
            <v>0.11839629634410131</v>
          </cell>
          <cell r="F250">
            <v>488.97566080217001</v>
          </cell>
          <cell r="G250">
            <v>0</v>
          </cell>
        </row>
        <row r="251">
          <cell r="A251" t="str">
            <v>Tax Rate</v>
          </cell>
          <cell r="B251">
            <v>0.38</v>
          </cell>
          <cell r="C251">
            <v>0.3856064818492333</v>
          </cell>
          <cell r="D251">
            <v>0.38</v>
          </cell>
          <cell r="F251">
            <v>-56.064818492332911</v>
          </cell>
          <cell r="G251">
            <v>0</v>
          </cell>
        </row>
        <row r="252">
          <cell r="A252" t="str">
            <v>Net Income</v>
          </cell>
          <cell r="B252">
            <v>7.340570373334282E-2</v>
          </cell>
          <cell r="C252">
            <v>4.2699569393839044E-2</v>
          </cell>
          <cell r="D252">
            <v>7.340570373334282E-2</v>
          </cell>
          <cell r="F252">
            <v>307.06134339503774</v>
          </cell>
          <cell r="G252">
            <v>0</v>
          </cell>
        </row>
        <row r="253">
          <cell r="A253" t="str">
            <v>EPS</v>
          </cell>
          <cell r="B253">
            <v>0.20516677394692481</v>
          </cell>
          <cell r="C253">
            <v>0.30139292156616848</v>
          </cell>
          <cell r="D253">
            <v>0.20516677394692481</v>
          </cell>
          <cell r="F253">
            <v>-9.6226147619243668E-2</v>
          </cell>
          <cell r="G253">
            <v>0</v>
          </cell>
        </row>
        <row r="254">
          <cell r="A254" t="str">
            <v>EPS</v>
          </cell>
          <cell r="B254">
            <v>0.33751528617009335</v>
          </cell>
          <cell r="C254">
            <v>0.18721951927964575</v>
          </cell>
          <cell r="D254">
            <v>0.33751528617009335</v>
          </cell>
          <cell r="F254">
            <v>0.1502957668904476</v>
          </cell>
          <cell r="G254">
            <v>0</v>
          </cell>
        </row>
        <row r="255">
          <cell r="A255" t="str">
            <v>EPS Upsides/Downsides</v>
          </cell>
        </row>
        <row r="256">
          <cell r="A256" t="str">
            <v>EPS Upsides/Downsides</v>
          </cell>
          <cell r="B256">
            <v>0</v>
          </cell>
        </row>
        <row r="257">
          <cell r="A257" t="str">
            <v>Gross Margin</v>
          </cell>
          <cell r="B257">
            <v>0</v>
          </cell>
        </row>
        <row r="258">
          <cell r="A258" t="str">
            <v>SG&amp;A</v>
          </cell>
          <cell r="B258">
            <v>0</v>
          </cell>
        </row>
        <row r="259">
          <cell r="A259" t="str">
            <v>Interest and Other Income, net</v>
          </cell>
          <cell r="B259">
            <v>0</v>
          </cell>
        </row>
        <row r="260">
          <cell r="A260" t="str">
            <v>Tax Rate</v>
          </cell>
          <cell r="B260">
            <v>0</v>
          </cell>
        </row>
        <row r="261">
          <cell r="A261" t="str">
            <v>Shares</v>
          </cell>
          <cell r="B261">
            <v>0</v>
          </cell>
        </row>
        <row r="262">
          <cell r="A262" t="str">
            <v>Total</v>
          </cell>
          <cell r="B262">
            <v>0</v>
          </cell>
        </row>
        <row r="263">
          <cell r="A263" t="str">
            <v>ANF</v>
          </cell>
          <cell r="I263" t="str">
            <v>From Bloomberg</v>
          </cell>
        </row>
        <row r="264">
          <cell r="A264" t="str">
            <v>ANF</v>
          </cell>
          <cell r="B264" t="str">
            <v>3Q09</v>
          </cell>
          <cell r="C264" t="str">
            <v>3Q08</v>
          </cell>
          <cell r="D264" t="str">
            <v>MS Est.</v>
          </cell>
          <cell r="F264" t="str">
            <v>y/y∆ (bp)</v>
          </cell>
          <cell r="G264" t="str">
            <v>∆ vs MS
Est. (bp)</v>
          </cell>
          <cell r="I264" t="str">
            <v>From Bloomberg</v>
          </cell>
          <cell r="J264" t="str">
            <v>FQ1</v>
          </cell>
          <cell r="K264" t="str">
            <v>FQ2</v>
          </cell>
          <cell r="M264" t="str">
            <v>FY1</v>
          </cell>
          <cell r="N264" t="str">
            <v>FY2</v>
          </cell>
          <cell r="O264" t="str">
            <v>FY3</v>
          </cell>
        </row>
        <row r="265">
          <cell r="A265" t="str">
            <v>As a % of Sales</v>
          </cell>
          <cell r="B265" t="str">
            <v>4Q09</v>
          </cell>
          <cell r="C265" t="str">
            <v>4Q08</v>
          </cell>
          <cell r="D265" t="str">
            <v>MS Est.</v>
          </cell>
          <cell r="F265" t="str">
            <v>y/y∆ (bp)</v>
          </cell>
          <cell r="G265" t="str">
            <v>∆ vs MS
Est. (bp)</v>
          </cell>
          <cell r="I265" t="str">
            <v>Consensus</v>
          </cell>
          <cell r="J265" t="str">
            <v>FQ1</v>
          </cell>
          <cell r="K265" t="str">
            <v>FQ2</v>
          </cell>
          <cell r="M265" t="str">
            <v>FY1</v>
          </cell>
          <cell r="N265" t="str">
            <v>FY2</v>
          </cell>
          <cell r="O265" t="str">
            <v>FY3</v>
          </cell>
          <cell r="P265">
            <v>40129</v>
          </cell>
        </row>
        <row r="266">
          <cell r="A266" t="str">
            <v>Gross Income</v>
          </cell>
          <cell r="B266">
            <v>0.63520055214206117</v>
          </cell>
          <cell r="C266">
            <v>0.64625120691184512</v>
          </cell>
          <cell r="D266">
            <v>0.6389308385648651</v>
          </cell>
          <cell r="F266">
            <v>-110.50654769783952</v>
          </cell>
          <cell r="G266">
            <v>-37.302864228039297</v>
          </cell>
          <cell r="I266" t="str">
            <v>Consensus</v>
          </cell>
          <cell r="J266">
            <v>0.86899999999999999</v>
          </cell>
          <cell r="K266">
            <v>-0.30550645974206669</v>
          </cell>
          <cell r="M266">
            <v>0.89300000000000002</v>
          </cell>
          <cell r="N266">
            <v>1.6679999999999999</v>
          </cell>
          <cell r="O266">
            <v>2.238</v>
          </cell>
          <cell r="P266">
            <v>40225</v>
          </cell>
        </row>
        <row r="267">
          <cell r="A267" t="str">
            <v>SG&amp;A Expense</v>
          </cell>
          <cell r="B267">
            <v>0.50553157028219287</v>
          </cell>
          <cell r="C267">
            <v>0.49192146483158294</v>
          </cell>
          <cell r="D267">
            <v>0.50634691694515288</v>
          </cell>
          <cell r="F267">
            <v>136.10105450609922</v>
          </cell>
          <cell r="G267">
            <v>-8.1534666296001479</v>
          </cell>
          <cell r="I267" t="str">
            <v>MS Est.</v>
          </cell>
          <cell r="J267">
            <v>0.91479700159346322</v>
          </cell>
          <cell r="K267">
            <v>-1.3135064597420667</v>
          </cell>
        </row>
        <row r="268">
          <cell r="A268" t="str">
            <v>Other Operating Expense</v>
          </cell>
          <cell r="B268">
            <v>-7.7650319287258102E-3</v>
          </cell>
          <cell r="C268">
            <v>-5.5372656653843921E-3</v>
          </cell>
          <cell r="D268">
            <v>-6.4792049741721819E-3</v>
          </cell>
          <cell r="F268">
            <v>-22.277662633414181</v>
          </cell>
          <cell r="G268">
            <v>-12.858269545536283</v>
          </cell>
          <cell r="I268" t="str">
            <v>MS/C</v>
          </cell>
          <cell r="J268">
            <v>4.5797001593463227E-2</v>
          </cell>
        </row>
        <row r="269">
          <cell r="A269" t="str">
            <v>Operating Income</v>
          </cell>
          <cell r="B269">
            <v>0.13743401378859399</v>
          </cell>
          <cell r="C269">
            <v>0.15986700774564663</v>
          </cell>
          <cell r="D269">
            <v>0.1390631265938844</v>
          </cell>
          <cell r="F269">
            <v>-224.32993957052645</v>
          </cell>
          <cell r="G269">
            <v>-16.291128052904057</v>
          </cell>
          <cell r="I269" t="str">
            <v>Guidance</v>
          </cell>
        </row>
        <row r="270">
          <cell r="A270" t="str">
            <v>Interest Expense (Income)</v>
          </cell>
          <cell r="B270">
            <v>1.1677462710645722E-3</v>
          </cell>
          <cell r="C270">
            <v>-1.4467648645149055E-3</v>
          </cell>
          <cell r="D270">
            <v>4.1688385501705005E-4</v>
          </cell>
          <cell r="F270">
            <v>26.145111355794779</v>
          </cell>
          <cell r="G270">
            <v>7.5086241604752209</v>
          </cell>
          <cell r="I270" t="str">
            <v>P Guidance</v>
          </cell>
        </row>
        <row r="271">
          <cell r="A271" t="str">
            <v>Earnings Before Taxes</v>
          </cell>
          <cell r="B271">
            <v>0.13626626751752943</v>
          </cell>
          <cell r="C271">
            <v>0.16131377261016155</v>
          </cell>
          <cell r="D271">
            <v>0.13864624273886736</v>
          </cell>
          <cell r="F271">
            <v>-250.47505092632122</v>
          </cell>
          <cell r="G271">
            <v>-23.799752213379264</v>
          </cell>
          <cell r="I271" t="str">
            <v>Consensus Comp</v>
          </cell>
        </row>
        <row r="272">
          <cell r="A272" t="str">
            <v>Tax Rate</v>
          </cell>
          <cell r="B272">
            <v>0.36083845574860479</v>
          </cell>
          <cell r="C272">
            <v>0.44367265418599672</v>
          </cell>
          <cell r="D272">
            <v>0.38500000000000001</v>
          </cell>
          <cell r="F272">
            <v>-828.34198437391922</v>
          </cell>
          <cell r="G272">
            <v>-241.61544251395216</v>
          </cell>
          <cell r="I272" t="str">
            <v>Consensus Comp</v>
          </cell>
        </row>
        <row r="273">
          <cell r="A273" t="str">
            <v>Net Income</v>
          </cell>
          <cell r="B273">
            <v>5.0704547372784445E-2</v>
          </cell>
          <cell r="C273">
            <v>6.974548561442645E-2</v>
          </cell>
          <cell r="D273">
            <v>7.2438837812268814E-2</v>
          </cell>
          <cell r="F273">
            <v>-190.40938241642004</v>
          </cell>
          <cell r="G273">
            <v>-217.34290439484369</v>
          </cell>
          <cell r="I273" t="str">
            <v>MS Est.</v>
          </cell>
        </row>
        <row r="274">
          <cell r="A274" t="str">
            <v>EPS</v>
          </cell>
          <cell r="B274">
            <v>0.29675419812915488</v>
          </cell>
          <cell r="C274">
            <v>0.71954597662320108</v>
          </cell>
          <cell r="D274">
            <v>0.20607553553155786</v>
          </cell>
          <cell r="F274">
            <v>-0.4227917784940462</v>
          </cell>
          <cell r="G274">
            <v>9.0678662597597021E-2</v>
          </cell>
        </row>
        <row r="275">
          <cell r="A275" t="str">
            <v>EPS</v>
          </cell>
          <cell r="B275">
            <v>0.91479700159346322</v>
          </cell>
          <cell r="C275">
            <v>0.9973146910195102</v>
          </cell>
          <cell r="D275">
            <v>0.91348144252652552</v>
          </cell>
          <cell r="F275">
            <v>-8.2517689426046981E-2</v>
          </cell>
          <cell r="G275">
            <v>1.3155590669376993E-3</v>
          </cell>
        </row>
        <row r="276">
          <cell r="A276" t="str">
            <v>EPS Upsides/Downsides</v>
          </cell>
        </row>
        <row r="277">
          <cell r="A277" t="str">
            <v>EPS Upsides/Downsides</v>
          </cell>
          <cell r="B277">
            <v>3.9594538117740255E-3</v>
          </cell>
          <cell r="I277" t="str">
            <v>running tally</v>
          </cell>
        </row>
        <row r="278">
          <cell r="A278" t="str">
            <v>Gross Margin</v>
          </cell>
          <cell r="B278">
            <v>-9.3823838608346158E-2</v>
          </cell>
          <cell r="I278">
            <v>-9.3823838608346158E-2</v>
          </cell>
        </row>
        <row r="279">
          <cell r="A279" t="str">
            <v>Stores and Distribution</v>
          </cell>
          <cell r="B279">
            <v>7.3388432416435279E-2</v>
          </cell>
          <cell r="I279">
            <v>-2.0435406191910879E-2</v>
          </cell>
        </row>
        <row r="280">
          <cell r="A280" t="str">
            <v>Marketing, General and Administrative Expenses</v>
          </cell>
          <cell r="B280">
            <v>-1.3406211970566307E-2</v>
          </cell>
          <cell r="I280">
            <v>-3.3841618162477188E-2</v>
          </cell>
        </row>
        <row r="281">
          <cell r="A281" t="str">
            <v>Other Operating Expense (Income)</v>
          </cell>
          <cell r="B281">
            <v>7.9346580895232471E-3</v>
          </cell>
          <cell r="I281">
            <v>-2.5906960072953941E-2</v>
          </cell>
        </row>
        <row r="282">
          <cell r="A282" t="str">
            <v>Operating Margin</v>
          </cell>
          <cell r="B282">
            <v>-1.1770010098571454E-2</v>
          </cell>
        </row>
        <row r="283">
          <cell r="A283" t="str">
            <v>Interest Expense, Net</v>
          </cell>
          <cell r="B283">
            <v>-4.9958905404242308E-3</v>
          </cell>
          <cell r="I283">
            <v>-3.090285061337817E-2</v>
          </cell>
        </row>
        <row r="284">
          <cell r="A284" t="str">
            <v>Tax Rate</v>
          </cell>
          <cell r="B284">
            <v>3.4581098368381503E-2</v>
          </cell>
          <cell r="I284">
            <v>3.6782477550033332E-3</v>
          </cell>
        </row>
        <row r="285">
          <cell r="A285" t="str">
            <v>Shares</v>
          </cell>
          <cell r="B285">
            <v>-3.5496818885781822E-3</v>
          </cell>
          <cell r="I285">
            <v>1.28565866425151E-4</v>
          </cell>
        </row>
        <row r="286">
          <cell r="A286" t="str">
            <v>Total</v>
          </cell>
          <cell r="B286">
            <v>1.28565866425151E-4</v>
          </cell>
        </row>
        <row r="287">
          <cell r="A287" t="str">
            <v>ARO</v>
          </cell>
        </row>
        <row r="288">
          <cell r="A288" t="str">
            <v>ARO</v>
          </cell>
          <cell r="B288" t="str">
            <v>3Q09</v>
          </cell>
          <cell r="C288" t="str">
            <v>3Q08</v>
          </cell>
          <cell r="D288" t="str">
            <v>MS Est.</v>
          </cell>
          <cell r="F288" t="str">
            <v>y/y∆ (bp)</v>
          </cell>
          <cell r="G288" t="str">
            <v>∆ vs MS
Est. (bp)</v>
          </cell>
          <cell r="J288" t="str">
            <v>FQ1</v>
          </cell>
          <cell r="K288" t="str">
            <v>FQ2</v>
          </cell>
          <cell r="L288" t="str">
            <v>FQ3</v>
          </cell>
          <cell r="M288" t="str">
            <v>FY1</v>
          </cell>
          <cell r="N288" t="str">
            <v>FY2</v>
          </cell>
        </row>
        <row r="289">
          <cell r="A289" t="str">
            <v>As a % of Sales</v>
          </cell>
          <cell r="B289" t="str">
            <v>3Q09</v>
          </cell>
          <cell r="C289" t="str">
            <v>3Q08</v>
          </cell>
          <cell r="D289" t="str">
            <v>MS Est.</v>
          </cell>
          <cell r="F289" t="str">
            <v>y/y∆ (bp)</v>
          </cell>
          <cell r="G289" t="str">
            <v>∆ vs MS
Est. (bp)</v>
          </cell>
          <cell r="I289" t="str">
            <v>Consensus</v>
          </cell>
          <cell r="J289" t="str">
            <v>FQ1</v>
          </cell>
          <cell r="K289" t="str">
            <v>FQ2</v>
          </cell>
          <cell r="L289" t="str">
            <v>FQ3</v>
          </cell>
          <cell r="M289" t="str">
            <v>FY1</v>
          </cell>
          <cell r="N289" t="str">
            <v>FY2</v>
          </cell>
        </row>
        <row r="290">
          <cell r="A290" t="str">
            <v>Gross Income</v>
          </cell>
          <cell r="B290">
            <v>0.39257147284965077</v>
          </cell>
          <cell r="C290">
            <v>0.35982922472756235</v>
          </cell>
          <cell r="D290">
            <v>0.39528365206998789</v>
          </cell>
          <cell r="F290">
            <v>327.42248122088426</v>
          </cell>
          <cell r="G290">
            <v>-27.121792203371186</v>
          </cell>
          <cell r="I290" t="str">
            <v>Consensus</v>
          </cell>
          <cell r="J290">
            <v>0.30712970000000001</v>
          </cell>
          <cell r="K290">
            <v>0.59615390000000001</v>
          </cell>
          <cell r="M290">
            <v>2.1453759999999997</v>
          </cell>
          <cell r="N290">
            <v>2.394126</v>
          </cell>
          <cell r="O290" t="str">
            <v>linked to working2</v>
          </cell>
        </row>
        <row r="291">
          <cell r="A291" t="str">
            <v>SG&amp;A Expense</v>
          </cell>
          <cell r="B291">
            <v>0.20646029325265305</v>
          </cell>
          <cell r="C291">
            <v>0.21385080398392656</v>
          </cell>
          <cell r="D291">
            <v>0.2117429985550526</v>
          </cell>
          <cell r="F291">
            <v>-73.905107312735026</v>
          </cell>
          <cell r="G291">
            <v>-52.827053023995482</v>
          </cell>
          <cell r="I291" t="str">
            <v>MS Est.</v>
          </cell>
          <cell r="J291">
            <v>0.92113662102337024</v>
          </cell>
          <cell r="K291">
            <v>1.3135602997739202</v>
          </cell>
          <cell r="M291">
            <v>3.2066781689519406</v>
          </cell>
          <cell r="N291">
            <v>3.5479305986742777</v>
          </cell>
          <cell r="O291" t="str">
            <v>linked to working2</v>
          </cell>
        </row>
        <row r="292">
          <cell r="A292" t="str">
            <v>Operating Income</v>
          </cell>
          <cell r="B292">
            <v>0.18611117959699769</v>
          </cell>
          <cell r="C292">
            <v>0.14597842074363579</v>
          </cell>
          <cell r="D292">
            <v>0.18354065351493529</v>
          </cell>
          <cell r="F292">
            <v>401.32758853361901</v>
          </cell>
          <cell r="G292">
            <v>25.705260820624019</v>
          </cell>
          <cell r="I292" t="str">
            <v>MS/C</v>
          </cell>
          <cell r="J292">
            <v>0.61400692102337029</v>
          </cell>
          <cell r="K292">
            <v>0.71740639977392018</v>
          </cell>
          <cell r="M292">
            <v>1.0613021689519408</v>
          </cell>
          <cell r="N292">
            <v>1.1538045986742778</v>
          </cell>
        </row>
        <row r="293">
          <cell r="A293" t="str">
            <v>Interest Expense (Income), Net</v>
          </cell>
          <cell r="B293">
            <v>-4.7548772713344299E-5</v>
          </cell>
          <cell r="C293">
            <v>-4.3565120519794122E-4</v>
          </cell>
          <cell r="D293">
            <v>-2.9837499988074993E-4</v>
          </cell>
          <cell r="F293">
            <v>3.8810243248459693</v>
          </cell>
          <cell r="G293">
            <v>2.5082622716740564</v>
          </cell>
          <cell r="I293" t="str">
            <v>M Guidance</v>
          </cell>
          <cell r="J293" t="str">
            <v>$0.61-$0.62</v>
          </cell>
        </row>
        <row r="294">
          <cell r="A294" t="str">
            <v>Income Before Taxes</v>
          </cell>
          <cell r="B294">
            <v>0.18615872836971104</v>
          </cell>
          <cell r="C294">
            <v>0.14641407194883371</v>
          </cell>
          <cell r="D294">
            <v>0.18383902851481601</v>
          </cell>
          <cell r="F294">
            <v>397.44656420877322</v>
          </cell>
          <cell r="G294">
            <v>23.196998548950244</v>
          </cell>
        </row>
        <row r="295">
          <cell r="A295" t="str">
            <v>Tax Provision (Benefit)</v>
          </cell>
          <cell r="B295">
            <v>0.40752828546562242</v>
          </cell>
          <cell r="C295">
            <v>0.39575215721835749</v>
          </cell>
          <cell r="D295">
            <v>0.39900000000000002</v>
          </cell>
          <cell r="F295">
            <v>117.76128247264927</v>
          </cell>
          <cell r="G295">
            <v>85.282854656223989</v>
          </cell>
        </row>
        <row r="296">
          <cell r="A296" t="str">
            <v>Net Income (Pre-Extraordinary)</v>
          </cell>
          <cell r="B296">
            <v>0.11029378097274217</v>
          </cell>
          <cell r="C296">
            <v>8.8470387127958974E-2</v>
          </cell>
          <cell r="D296">
            <v>0.11048725613740441</v>
          </cell>
          <cell r="F296">
            <v>218.23393844783197</v>
          </cell>
          <cell r="G296">
            <v>-1.9347516466224068</v>
          </cell>
        </row>
        <row r="297">
          <cell r="A297" t="str">
            <v>Diluted EPS (Pre-Extraordinary)</v>
          </cell>
          <cell r="B297">
            <v>0.92113662102337024</v>
          </cell>
          <cell r="C297">
            <v>0.6304289980190988</v>
          </cell>
          <cell r="D297">
            <v>0.92709190651576245</v>
          </cell>
          <cell r="F297">
            <v>0.29070762300427144</v>
          </cell>
          <cell r="G297">
            <v>-5.9552854923922149E-3</v>
          </cell>
        </row>
        <row r="298">
          <cell r="A298" t="str">
            <v>EPS Upsides/Downsides</v>
          </cell>
        </row>
        <row r="299">
          <cell r="A299" t="str">
            <v>EPS Upsides/Downsides</v>
          </cell>
          <cell r="B299">
            <v>-1.3419303182105114E-2</v>
          </cell>
        </row>
        <row r="300">
          <cell r="A300" t="str">
            <v>SG&amp;A</v>
          </cell>
          <cell r="B300">
            <v>-1.3419303182105114E-2</v>
          </cell>
        </row>
        <row r="301">
          <cell r="A301" t="str">
            <v>Operating Income</v>
          </cell>
          <cell r="B301">
            <v>2.613773586311971E-2</v>
          </cell>
        </row>
        <row r="302">
          <cell r="A302" t="str">
            <v>Tax Rate</v>
          </cell>
          <cell r="B302">
            <v>-1.2410206745309426E-3</v>
          </cell>
        </row>
        <row r="303">
          <cell r="A303" t="str">
            <v>Shares</v>
          </cell>
          <cell r="B303">
            <v>-1.3259225485726153E-2</v>
          </cell>
        </row>
        <row r="304">
          <cell r="A304" t="str">
            <v>EPS</v>
          </cell>
          <cell r="B304">
            <v>-4.3937840004031337E-3</v>
          </cell>
        </row>
        <row r="305">
          <cell r="A305" t="str">
            <v>Total</v>
          </cell>
          <cell r="B305">
            <v>-6.1755974796456337E-3</v>
          </cell>
        </row>
        <row r="306">
          <cell r="A306" t="str">
            <v>TGT</v>
          </cell>
        </row>
        <row r="307">
          <cell r="A307" t="str">
            <v>TGT</v>
          </cell>
          <cell r="B307" t="str">
            <v>4Q07</v>
          </cell>
          <cell r="C307" t="str">
            <v>4Q06</v>
          </cell>
          <cell r="D307" t="str">
            <v>MS Est.</v>
          </cell>
          <cell r="F307" t="str">
            <v>y/y∆ (bp)</v>
          </cell>
          <cell r="G307" t="str">
            <v>∆ vs MS
Est. (bp)</v>
          </cell>
        </row>
        <row r="308">
          <cell r="A308" t="str">
            <v>As a % of Sales</v>
          </cell>
          <cell r="B308" t="str">
            <v>4Q07</v>
          </cell>
          <cell r="C308" t="str">
            <v>4Q06</v>
          </cell>
          <cell r="D308" t="str">
            <v>MS Est.</v>
          </cell>
          <cell r="F308" t="str">
            <v>y/y∆ (bp)</v>
          </cell>
          <cell r="G308" t="str">
            <v>∆ vs MS
Est. (bp)</v>
          </cell>
        </row>
        <row r="309">
          <cell r="A309" t="str">
            <v>Gross Income</v>
          </cell>
          <cell r="B309">
            <v>0.30149999999999999</v>
          </cell>
          <cell r="C309">
            <v>0.30722922829415122</v>
          </cell>
          <cell r="D309">
            <v>0.30149999999999999</v>
          </cell>
          <cell r="F309">
            <v>-57.29228294151234</v>
          </cell>
          <cell r="G309">
            <v>0</v>
          </cell>
        </row>
        <row r="310">
          <cell r="A310" t="str">
            <v>SG&amp;A Expense</v>
          </cell>
          <cell r="B310">
            <v>0.20180000000000001</v>
          </cell>
          <cell r="C310">
            <v>0.19731174425242617</v>
          </cell>
          <cell r="D310">
            <v>0.20180000000000001</v>
          </cell>
          <cell r="F310">
            <v>44.882557475738324</v>
          </cell>
          <cell r="G310">
            <v>0</v>
          </cell>
        </row>
        <row r="311">
          <cell r="A311" t="str">
            <v>Operating Income</v>
          </cell>
          <cell r="B311">
            <v>7.8299999999999981E-2</v>
          </cell>
          <cell r="C311">
            <v>8.9054958742020865E-2</v>
          </cell>
          <cell r="D311">
            <v>7.8299999999999981E-2</v>
          </cell>
          <cell r="F311">
            <v>-107.54958742020884</v>
          </cell>
          <cell r="G311">
            <v>0</v>
          </cell>
        </row>
        <row r="312">
          <cell r="A312" t="str">
            <v>Interest Expense (Income)</v>
          </cell>
          <cell r="B312">
            <v>8.9523397104446754E-3</v>
          </cell>
          <cell r="C312">
            <v>7.8883180237687475E-3</v>
          </cell>
          <cell r="D312">
            <v>8.9523397104446754E-3</v>
          </cell>
          <cell r="F312">
            <v>10.64021686675928</v>
          </cell>
          <cell r="G312">
            <v>0</v>
          </cell>
        </row>
        <row r="313">
          <cell r="A313" t="str">
            <v>Earnings Before Taxes</v>
          </cell>
          <cell r="B313">
            <v>8.2896011892450883E-2</v>
          </cell>
          <cell r="C313">
            <v>9.367377653225388E-2</v>
          </cell>
          <cell r="D313">
            <v>6.0257749178857754E-2</v>
          </cell>
          <cell r="F313">
            <v>-18.254847645429173</v>
          </cell>
          <cell r="G313">
            <v>-20.000000000000018</v>
          </cell>
        </row>
        <row r="314">
          <cell r="A314" t="str">
            <v>Tax Rate</v>
          </cell>
          <cell r="B314">
            <v>0.38100000000000001</v>
          </cell>
          <cell r="C314">
            <v>0.38282548476454292</v>
          </cell>
          <cell r="D314">
            <v>0.38300000000000001</v>
          </cell>
          <cell r="F314">
            <v>-18.254847645429173</v>
          </cell>
          <cell r="G314">
            <v>-20.000000000000018</v>
          </cell>
        </row>
        <row r="315">
          <cell r="A315" t="str">
            <v>Net Income</v>
          </cell>
          <cell r="B315">
            <v>5.1312631361427101E-2</v>
          </cell>
          <cell r="C315">
            <v>5.781306762156832E-2</v>
          </cell>
          <cell r="D315">
            <v>3.7179031243355233E-2</v>
          </cell>
          <cell r="F315">
            <v>-65.004362601412197</v>
          </cell>
          <cell r="G315">
            <v>141.33600118071868</v>
          </cell>
        </row>
        <row r="316">
          <cell r="A316" t="str">
            <v>EPS</v>
          </cell>
          <cell r="B316">
            <v>1.1961704077679793</v>
          </cell>
          <cell r="C316">
            <v>1.287266004159926</v>
          </cell>
          <cell r="D316">
            <v>1.1961704077679793</v>
          </cell>
          <cell r="F316">
            <v>-9.1095596391946643E-2</v>
          </cell>
          <cell r="G316">
            <v>0</v>
          </cell>
        </row>
        <row r="317">
          <cell r="A317" t="str">
            <v>EPS</v>
          </cell>
          <cell r="B317">
            <v>1.1961704077679793</v>
          </cell>
          <cell r="C317">
            <v>1.287266004159926</v>
          </cell>
          <cell r="D317">
            <v>1.1961704077679793</v>
          </cell>
          <cell r="F317">
            <v>-9.1095596391946643E-2</v>
          </cell>
          <cell r="G317">
            <v>0</v>
          </cell>
        </row>
        <row r="318">
          <cell r="A318" t="str">
            <v>EPS Upsides/Downsides</v>
          </cell>
        </row>
        <row r="319">
          <cell r="A319" t="str">
            <v>EPS Upsides/Downsides</v>
          </cell>
          <cell r="B319">
            <v>2.2495220971553489E-4</v>
          </cell>
        </row>
        <row r="320">
          <cell r="A320" t="str">
            <v>Gross Income</v>
          </cell>
          <cell r="B320">
            <v>2.2495220971553489E-4</v>
          </cell>
        </row>
        <row r="321">
          <cell r="A321" t="str">
            <v>SG&amp;A Expense</v>
          </cell>
          <cell r="B321">
            <v>1.5056502792900478E-4</v>
          </cell>
        </row>
        <row r="322">
          <cell r="A322" t="str">
            <v>Operating Income</v>
          </cell>
          <cell r="B322">
            <v>5.8420424612691138E-5</v>
          </cell>
        </row>
        <row r="323">
          <cell r="A323" t="str">
            <v>Interest Expense (Income)</v>
          </cell>
          <cell r="B323">
            <v>6.6794315090834546E-6</v>
          </cell>
        </row>
        <row r="324">
          <cell r="A324" t="str">
            <v>Earnings Before Taxes</v>
          </cell>
        </row>
        <row r="325">
          <cell r="A325" t="str">
            <v>Tax Rate</v>
          </cell>
          <cell r="B325">
            <v>6.6794315090834546E-6</v>
          </cell>
        </row>
        <row r="326">
          <cell r="A326" t="str">
            <v>Total</v>
          </cell>
          <cell r="B326">
            <v>6.6794315090834546E-6</v>
          </cell>
        </row>
        <row r="327">
          <cell r="A327" t="str">
            <v>shares</v>
          </cell>
          <cell r="B327">
            <v>829.63621578113214</v>
          </cell>
        </row>
        <row r="328">
          <cell r="A328" t="str">
            <v>shares</v>
          </cell>
          <cell r="B328">
            <v>829.63621578113214</v>
          </cell>
        </row>
      </sheetData>
      <sheetData sheetId="2"/>
      <sheetData sheetId="3"/>
      <sheetData sheetId="4"/>
      <sheetData sheetId="5">
        <row r="1">
          <cell r="A1" t="str">
            <v>COH</v>
          </cell>
        </row>
        <row r="2">
          <cell r="B2" t="str">
            <v>3Q10</v>
          </cell>
          <cell r="C2" t="str">
            <v>MS Estimate</v>
          </cell>
          <cell r="D2" t="str">
            <v>FC Consensus</v>
          </cell>
          <cell r="E2" t="str">
            <v>Management Guidance</v>
          </cell>
          <cell r="F2" t="str">
            <v>3Q09</v>
          </cell>
          <cell r="H2" t="str">
            <v>y/y∆ (bp)</v>
          </cell>
          <cell r="I2" t="str">
            <v>∆ vs 
Est. (bp)</v>
          </cell>
        </row>
        <row r="3">
          <cell r="A3" t="str">
            <v>Sales</v>
          </cell>
          <cell r="B3">
            <v>0</v>
          </cell>
          <cell r="C3">
            <v>0</v>
          </cell>
          <cell r="D3">
            <v>659.173</v>
          </cell>
          <cell r="E3">
            <v>655</v>
          </cell>
          <cell r="F3">
            <v>0</v>
          </cell>
          <cell r="H3">
            <v>0</v>
          </cell>
          <cell r="I3">
            <v>0</v>
          </cell>
        </row>
        <row r="4">
          <cell r="A4" t="str">
            <v>EPS</v>
          </cell>
          <cell r="B4">
            <v>1.9105951722867136</v>
          </cell>
          <cell r="C4">
            <v>0.43855628046027123</v>
          </cell>
          <cell r="D4">
            <v>0.36</v>
          </cell>
          <cell r="F4">
            <v>0</v>
          </cell>
          <cell r="H4" t="e">
            <v>#DIV/0!</v>
          </cell>
          <cell r="I4">
            <v>1.4720388918264424</v>
          </cell>
        </row>
        <row r="5">
          <cell r="A5" t="str">
            <v>Operating Margin</v>
          </cell>
          <cell r="B5">
            <v>0</v>
          </cell>
          <cell r="C5">
            <v>0</v>
          </cell>
          <cell r="F5">
            <v>0</v>
          </cell>
          <cell r="H5">
            <v>0</v>
          </cell>
          <cell r="I5">
            <v>0</v>
          </cell>
        </row>
        <row r="6">
          <cell r="A6" t="str">
            <v>SG&amp;A Ratio</v>
          </cell>
          <cell r="B6">
            <v>0</v>
          </cell>
          <cell r="C6">
            <v>0</v>
          </cell>
          <cell r="F6">
            <v>0</v>
          </cell>
          <cell r="H6">
            <v>0</v>
          </cell>
          <cell r="I6">
            <v>0</v>
          </cell>
        </row>
        <row r="7">
          <cell r="A7" t="str">
            <v>Gross Margin</v>
          </cell>
          <cell r="B7">
            <v>-1.2409999999999997</v>
          </cell>
          <cell r="C7">
            <v>0</v>
          </cell>
          <cell r="F7">
            <v>0</v>
          </cell>
          <cell r="H7">
            <v>-12409.999999999996</v>
          </cell>
          <cell r="I7">
            <v>-12409.999999999996</v>
          </cell>
        </row>
        <row r="17">
          <cell r="B17" t="str">
            <v>Floating rate note, no commission after</v>
          </cell>
          <cell r="D17" t="str">
            <v>50K</v>
          </cell>
        </row>
        <row r="18">
          <cell r="B18" t="str">
            <v>Floating Rate Taxable MARS</v>
          </cell>
          <cell r="D18" t="str">
            <v>250K</v>
          </cell>
        </row>
      </sheetData>
      <sheetData sheetId="6">
        <row r="1">
          <cell r="A1" t="str">
            <v>TJX</v>
          </cell>
        </row>
        <row r="2">
          <cell r="A2" t="str">
            <v>FY08</v>
          </cell>
          <cell r="B2" t="str">
            <v>MS Estimate</v>
          </cell>
          <cell r="C2" t="str">
            <v>FC Consensus</v>
          </cell>
          <cell r="D2" t="str">
            <v>Management Guidance</v>
          </cell>
        </row>
        <row r="3">
          <cell r="A3" t="str">
            <v>Sales</v>
          </cell>
          <cell r="B3">
            <v>18626.920587592856</v>
          </cell>
          <cell r="C3">
            <v>18779.7</v>
          </cell>
          <cell r="D3">
            <v>18800</v>
          </cell>
        </row>
        <row r="4">
          <cell r="A4" t="str">
            <v>EPS</v>
          </cell>
          <cell r="B4">
            <v>1.859054126788775</v>
          </cell>
          <cell r="C4">
            <v>1.86</v>
          </cell>
          <cell r="D4">
            <v>1.84</v>
          </cell>
        </row>
        <row r="25">
          <cell r="A25" t="str">
            <v>Segment Profit Margin</v>
          </cell>
        </row>
        <row r="26">
          <cell r="B26" t="str">
            <v>1Q10</v>
          </cell>
          <cell r="C26" t="str">
            <v>1Q09</v>
          </cell>
          <cell r="D26" t="str">
            <v xml:space="preserve">y/y ∆ bps </v>
          </cell>
        </row>
        <row r="27">
          <cell r="A27" t="str">
            <v>Marmaxx</v>
          </cell>
          <cell r="B27">
            <v>0.14292234211059399</v>
          </cell>
          <cell r="C27">
            <v>0.11253751732714293</v>
          </cell>
          <cell r="D27">
            <v>303.84824783451057</v>
          </cell>
        </row>
        <row r="28">
          <cell r="A28" t="str">
            <v>Winners/HomeSense</v>
          </cell>
          <cell r="B28">
            <v>9.7944497097286837E-2</v>
          </cell>
          <cell r="C28">
            <v>4.6515850334361418E-2</v>
          </cell>
          <cell r="D28">
            <v>514.28646762925416</v>
          </cell>
        </row>
        <row r="29">
          <cell r="A29" t="str">
            <v>TK Maxx</v>
          </cell>
          <cell r="B29">
            <v>1.1338405403307196E-2</v>
          </cell>
          <cell r="C29">
            <v>2.2098094327688129E-2</v>
          </cell>
          <cell r="D29">
            <v>-107.59688924380933</v>
          </cell>
        </row>
        <row r="30">
          <cell r="A30" t="str">
            <v>HomeGoods</v>
          </cell>
          <cell r="B30">
            <v>8.8813479222594902E-2</v>
          </cell>
          <cell r="C30">
            <v>3.9737684839051282E-2</v>
          </cell>
          <cell r="D30">
            <v>490.75794383543621</v>
          </cell>
        </row>
        <row r="31">
          <cell r="A31" t="str">
            <v>AJ Wright</v>
          </cell>
          <cell r="B31">
            <v>4.6295989667847801E-2</v>
          </cell>
          <cell r="C31">
            <v>2.4599484932606441E-2</v>
          </cell>
          <cell r="D31">
            <v>216.96504735241359</v>
          </cell>
        </row>
        <row r="33">
          <cell r="A33" t="str">
            <v>Total (Pre-Corp. Expenses)</v>
          </cell>
          <cell r="B33">
            <v>0.11543015704050999</v>
          </cell>
          <cell r="C33">
            <v>8.7197167623898078E-2</v>
          </cell>
          <cell r="D33">
            <v>282.32989416611912</v>
          </cell>
        </row>
        <row r="46">
          <cell r="A46" t="str">
            <v>KSS Guidance</v>
          </cell>
        </row>
        <row r="47">
          <cell r="A47" t="str">
            <v>3Q09</v>
          </cell>
          <cell r="B47" t="str">
            <v>KSS</v>
          </cell>
          <cell r="C47" t="str">
            <v>MS Estimate</v>
          </cell>
        </row>
        <row r="48">
          <cell r="A48" t="str">
            <v>EPS</v>
          </cell>
          <cell r="B48" t="str">
            <v>$0.40-$0.44</v>
          </cell>
          <cell r="C48">
            <v>0.49</v>
          </cell>
        </row>
        <row r="49">
          <cell r="A49" t="str">
            <v>SSS</v>
          </cell>
          <cell r="B49" t="str">
            <v>(5)%-(3)%</v>
          </cell>
          <cell r="C49">
            <v>-1.2999999999999999E-2</v>
          </cell>
        </row>
        <row r="50">
          <cell r="A50" t="str">
            <v>Gross Margin</v>
          </cell>
          <cell r="B50" t="str">
            <v>+10-20 bps</v>
          </cell>
          <cell r="C50" t="str">
            <v>+30 bps</v>
          </cell>
        </row>
        <row r="51">
          <cell r="A51" t="str">
            <v>SG&amp;A</v>
          </cell>
          <cell r="B51" t="str">
            <v>+3-4%</v>
          </cell>
          <cell r="C51" t="str">
            <v>+2.8%</v>
          </cell>
        </row>
        <row r="53">
          <cell r="A53" t="str">
            <v>4Q09</v>
          </cell>
          <cell r="B53" t="str">
            <v>KSS</v>
          </cell>
          <cell r="C53" t="str">
            <v>MS Estimate</v>
          </cell>
        </row>
        <row r="54">
          <cell r="A54" t="str">
            <v>EPS</v>
          </cell>
          <cell r="B54" t="str">
            <v>$0.99-$1.06</v>
          </cell>
          <cell r="C54">
            <v>1.19</v>
          </cell>
        </row>
        <row r="55">
          <cell r="A55" t="str">
            <v>SSS</v>
          </cell>
          <cell r="B55" t="str">
            <v>(5)%-(3)%</v>
          </cell>
          <cell r="C55">
            <v>1.4999999999999999E-2</v>
          </cell>
        </row>
        <row r="56">
          <cell r="A56" t="str">
            <v>Gross Margin</v>
          </cell>
          <cell r="B56" t="str">
            <v>+20-30 bps</v>
          </cell>
          <cell r="C56" t="str">
            <v>+30 bps</v>
          </cell>
        </row>
        <row r="57">
          <cell r="A57" t="str">
            <v>SG&amp;A</v>
          </cell>
          <cell r="B57" t="str">
            <v>+3-4%</v>
          </cell>
          <cell r="C57" t="str">
            <v>+2.4%</v>
          </cell>
        </row>
        <row r="72">
          <cell r="B72" t="str">
            <v>1Q07</v>
          </cell>
          <cell r="C72" t="str">
            <v>2Q07</v>
          </cell>
          <cell r="D72" t="str">
            <v>3Q07</v>
          </cell>
          <cell r="E72" t="str">
            <v>4Q07</v>
          </cell>
        </row>
        <row r="73">
          <cell r="A73" t="str">
            <v>Comp Growth</v>
          </cell>
          <cell r="B73">
            <v>0.02</v>
          </cell>
          <cell r="C73">
            <v>0</v>
          </cell>
          <cell r="D73">
            <v>0.01</v>
          </cell>
          <cell r="E73">
            <v>0.04</v>
          </cell>
        </row>
        <row r="74">
          <cell r="A74" t="str">
            <v>Y/Y Operating Margin Expansion</v>
          </cell>
          <cell r="B74">
            <v>-4.8252690757108478</v>
          </cell>
          <cell r="C74">
            <v>0</v>
          </cell>
          <cell r="D74">
            <v>6.3212983778726528</v>
          </cell>
          <cell r="E74">
            <v>-35.848527742219083</v>
          </cell>
        </row>
      </sheetData>
      <sheetData sheetId="7"/>
      <sheetData sheetId="8"/>
      <sheetData sheetId="9">
        <row r="1">
          <cell r="A1" t="str">
            <v>FD</v>
          </cell>
        </row>
        <row r="2">
          <cell r="A2" t="str">
            <v>FY07</v>
          </cell>
          <cell r="B2" t="str">
            <v>MS Estimate</v>
          </cell>
          <cell r="C2" t="str">
            <v>FC Consensus</v>
          </cell>
          <cell r="D2" t="str">
            <v>Management Guidance</v>
          </cell>
        </row>
        <row r="3">
          <cell r="A3" t="str">
            <v>Sales</v>
          </cell>
          <cell r="B3">
            <v>18626.920587592856</v>
          </cell>
          <cell r="C3">
            <v>18779.7</v>
          </cell>
          <cell r="D3">
            <v>18800</v>
          </cell>
        </row>
        <row r="4">
          <cell r="A4" t="str">
            <v>EPS</v>
          </cell>
          <cell r="B4">
            <v>2.5210916050242727</v>
          </cell>
          <cell r="C4">
            <v>2.84</v>
          </cell>
          <cell r="D4">
            <v>1.84</v>
          </cell>
        </row>
        <row r="26">
          <cell r="A26" t="str">
            <v>FD</v>
          </cell>
        </row>
        <row r="27">
          <cell r="B27" t="str">
            <v>+ or- from 0</v>
          </cell>
          <cell r="C27" t="str">
            <v>N +1</v>
          </cell>
        </row>
        <row r="28">
          <cell r="A28" t="str">
            <v>Management Guidance</v>
          </cell>
          <cell r="B28">
            <v>2.4500000000000002</v>
          </cell>
          <cell r="C28">
            <v>0.15</v>
          </cell>
        </row>
        <row r="30">
          <cell r="B30" t="str">
            <v>Actual</v>
          </cell>
          <cell r="C30" t="str">
            <v>Axis</v>
          </cell>
        </row>
        <row r="31">
          <cell r="A31" t="str">
            <v>Morgan Stanley Estimate</v>
          </cell>
          <cell r="B31">
            <v>2.9</v>
          </cell>
          <cell r="C31">
            <v>50</v>
          </cell>
        </row>
        <row r="32">
          <cell r="A32" t="str">
            <v>Consensus</v>
          </cell>
          <cell r="B32">
            <v>2.84</v>
          </cell>
          <cell r="C32">
            <v>50</v>
          </cell>
        </row>
        <row r="50">
          <cell r="B50" t="str">
            <v>1Q06</v>
          </cell>
          <cell r="C50" t="str">
            <v>2Q06</v>
          </cell>
          <cell r="D50" t="str">
            <v>3Q06</v>
          </cell>
          <cell r="E50" t="str">
            <v>4Q06</v>
          </cell>
        </row>
        <row r="51">
          <cell r="A51" t="str">
            <v>FD Legacy Comp Growth</v>
          </cell>
          <cell r="B51">
            <v>0</v>
          </cell>
          <cell r="C51">
            <v>4.5999999999999999E-2</v>
          </cell>
          <cell r="D51">
            <v>5.8999999999999997E-2</v>
          </cell>
          <cell r="E51">
            <v>6.0999999999999999E-2</v>
          </cell>
        </row>
        <row r="52">
          <cell r="A52" t="str">
            <v>Operating Margin Expansion</v>
          </cell>
          <cell r="B52">
            <v>0</v>
          </cell>
          <cell r="C52">
            <v>0</v>
          </cell>
          <cell r="D52">
            <v>0</v>
          </cell>
          <cell r="E52">
            <v>0</v>
          </cell>
        </row>
      </sheetData>
      <sheetData sheetId="10">
        <row r="1">
          <cell r="A1" t="str">
            <v>LTD</v>
          </cell>
        </row>
        <row r="2">
          <cell r="A2" t="str">
            <v>FY08</v>
          </cell>
          <cell r="B2" t="str">
            <v>MS Estimate</v>
          </cell>
          <cell r="C2" t="str">
            <v>FC Consensus</v>
          </cell>
          <cell r="D2" t="str">
            <v>Management Guidance</v>
          </cell>
        </row>
        <row r="3">
          <cell r="A3" t="str">
            <v>Sales</v>
          </cell>
          <cell r="B3">
            <v>9042.7010000000009</v>
          </cell>
          <cell r="C3">
            <v>9635.4</v>
          </cell>
          <cell r="D3">
            <v>0</v>
          </cell>
        </row>
        <row r="4">
          <cell r="A4" t="str">
            <v>EPS</v>
          </cell>
          <cell r="B4">
            <v>0</v>
          </cell>
          <cell r="C4">
            <v>0</v>
          </cell>
          <cell r="D4">
            <v>0</v>
          </cell>
        </row>
        <row r="25">
          <cell r="A25" t="str">
            <v>Segment Profit Margin</v>
          </cell>
        </row>
        <row r="26">
          <cell r="F26" t="str">
            <v>bps ∆</v>
          </cell>
        </row>
        <row r="27">
          <cell r="B27" t="str">
            <v>1Q10</v>
          </cell>
          <cell r="C27" t="str">
            <v>1Q09</v>
          </cell>
          <cell r="D27" t="str">
            <v>MS Est.</v>
          </cell>
          <cell r="F27" t="str">
            <v>1Q09</v>
          </cell>
          <cell r="G27" t="str">
            <v>MS Est.</v>
          </cell>
        </row>
        <row r="28">
          <cell r="A28" t="str">
            <v>Victoria's Secret</v>
          </cell>
          <cell r="B28">
            <v>0.13238659563759983</v>
          </cell>
          <cell r="C28">
            <v>7.7521804896170138E-2</v>
          </cell>
          <cell r="D28">
            <v>0.14252180489617014</v>
          </cell>
          <cell r="F28">
            <v>548.64790741429692</v>
          </cell>
          <cell r="G28">
            <v>-101.3520925857031</v>
          </cell>
        </row>
        <row r="29">
          <cell r="A29" t="str">
            <v>Bath &amp; Body Works</v>
          </cell>
          <cell r="B29">
            <v>8.7683705624808289E-2</v>
          </cell>
          <cell r="C29">
            <v>9.8268193902651124E-3</v>
          </cell>
          <cell r="D29">
            <v>2.2326819390265113E-2</v>
          </cell>
          <cell r="F29">
            <v>778.56886234543174</v>
          </cell>
          <cell r="G29">
            <v>653.56886234543174</v>
          </cell>
        </row>
        <row r="30">
          <cell r="A30" t="str">
            <v>Apparel Total</v>
          </cell>
          <cell r="B30" t="str">
            <v>NA</v>
          </cell>
          <cell r="C30" t="str">
            <v>NA</v>
          </cell>
          <cell r="D30" t="str">
            <v>NA</v>
          </cell>
          <cell r="F30" t="str">
            <v>NA</v>
          </cell>
          <cell r="G30" t="str">
            <v>NA</v>
          </cell>
        </row>
        <row r="31">
          <cell r="A31" t="str">
            <v>Other</v>
          </cell>
          <cell r="B31">
            <v>-8.4426574604243854E-2</v>
          </cell>
          <cell r="C31">
            <v>-0.13145813191874914</v>
          </cell>
          <cell r="D31">
            <v>-7.6458131918749145E-2</v>
          </cell>
          <cell r="F31">
            <v>470.31557314505284</v>
          </cell>
          <cell r="G31">
            <v>-79.684426854947091</v>
          </cell>
        </row>
        <row r="32">
          <cell r="A32" t="str">
            <v>Total</v>
          </cell>
          <cell r="B32">
            <v>9.5766270988477564E-2</v>
          </cell>
          <cell r="C32">
            <v>3.779886473568559E-2</v>
          </cell>
          <cell r="D32">
            <v>8.881865332654329E-2</v>
          </cell>
          <cell r="F32">
            <v>579.67406252791977</v>
          </cell>
          <cell r="G32">
            <v>69.476176619342738</v>
          </cell>
        </row>
        <row r="37">
          <cell r="A37" t="str">
            <v>TJX</v>
          </cell>
        </row>
        <row r="38">
          <cell r="B38" t="str">
            <v>+ or- from 0</v>
          </cell>
          <cell r="C38" t="str">
            <v>N +1</v>
          </cell>
        </row>
        <row r="39">
          <cell r="A39" t="str">
            <v>Management Guidance</v>
          </cell>
          <cell r="B39">
            <v>1.75</v>
          </cell>
          <cell r="C39">
            <v>0.05</v>
          </cell>
        </row>
        <row r="41">
          <cell r="B41" t="str">
            <v>Actual</v>
          </cell>
          <cell r="C41" t="str">
            <v>Axis</v>
          </cell>
        </row>
        <row r="42">
          <cell r="A42" t="str">
            <v>Morgan Stanley Estimate</v>
          </cell>
          <cell r="B42">
            <v>1.98</v>
          </cell>
          <cell r="C42">
            <v>50</v>
          </cell>
        </row>
        <row r="43">
          <cell r="A43" t="str">
            <v>Consensus</v>
          </cell>
          <cell r="B43">
            <v>1.9</v>
          </cell>
          <cell r="C43">
            <v>50</v>
          </cell>
        </row>
        <row r="58">
          <cell r="X58" t="str">
            <v>2/24/12010</v>
          </cell>
        </row>
        <row r="60">
          <cell r="X60" t="str">
            <v>LTD Guidance</v>
          </cell>
        </row>
        <row r="61">
          <cell r="Y61" t="str">
            <v>1Q10 (Mgmt Guidance)</v>
          </cell>
          <cell r="Z61" t="str">
            <v>FY10 (Mgmt Guidance)</v>
          </cell>
          <cell r="AA61" t="str">
            <v>FY10 (MS estimate)</v>
          </cell>
        </row>
        <row r="62">
          <cell r="X62" t="str">
            <v>Comps</v>
          </cell>
          <cell r="Y62" t="str">
            <v>+2 to +4%</v>
          </cell>
          <cell r="Z62" t="str">
            <v>flat to +LSD</v>
          </cell>
          <cell r="AA62">
            <v>-1.2E-2</v>
          </cell>
        </row>
        <row r="63">
          <cell r="X63" t="str">
            <v>Gross margin rate</v>
          </cell>
          <cell r="Y63" t="str">
            <v>Up from 31.8% LY</v>
          </cell>
          <cell r="Z63" t="str">
            <v>Up from 35.1% LY</v>
          </cell>
          <cell r="AA63">
            <v>0.35899999999999999</v>
          </cell>
        </row>
        <row r="64">
          <cell r="X64" t="str">
            <v>SG&amp;A expense</v>
          </cell>
          <cell r="Y64" t="str">
            <v>About flat as % of sales</v>
          </cell>
          <cell r="Z64" t="str">
            <v>About flat as % of sales</v>
          </cell>
          <cell r="AA64" t="str">
            <v>Flat y/y as % of sales</v>
          </cell>
        </row>
        <row r="65">
          <cell r="X65" t="str">
            <v>Interest expense</v>
          </cell>
          <cell r="Y65" t="str">
            <v>Approx. $61 million</v>
          </cell>
          <cell r="Z65" t="str">
            <v>Approx. $215 million</v>
          </cell>
          <cell r="AA65" t="str">
            <v>$244 million</v>
          </cell>
        </row>
        <row r="66">
          <cell r="X66" t="str">
            <v>Interest income and other income</v>
          </cell>
          <cell r="Y66" t="str">
            <v>About $7 million</v>
          </cell>
          <cell r="Z66" t="str">
            <v>About $40 million</v>
          </cell>
          <cell r="AA66" t="str">
            <v>$14 million</v>
          </cell>
        </row>
        <row r="67">
          <cell r="X67" t="str">
            <v xml:space="preserve">Tax rate </v>
          </cell>
          <cell r="Y67" t="str">
            <v xml:space="preserve">About 38% </v>
          </cell>
          <cell r="Z67" t="str">
            <v xml:space="preserve">About 38% </v>
          </cell>
          <cell r="AA67">
            <v>0.39</v>
          </cell>
        </row>
        <row r="68">
          <cell r="X68" t="str">
            <v>Weighted avg. shares outstanding</v>
          </cell>
          <cell r="Y68" t="str">
            <v>Approx. 330 million</v>
          </cell>
          <cell r="Z68" t="str">
            <v>Approx. 330 million</v>
          </cell>
          <cell r="AA68" t="str">
            <v>318 million</v>
          </cell>
        </row>
        <row r="69">
          <cell r="X69" t="str">
            <v>Earnings per share</v>
          </cell>
          <cell r="Y69" t="str">
            <v>$0.05 - $0.10</v>
          </cell>
          <cell r="Z69" t="str">
            <v>$1.40 - $1.60</v>
          </cell>
          <cell r="AA69">
            <v>1.41</v>
          </cell>
        </row>
        <row r="70">
          <cell r="X70" t="str">
            <v>Capital expenditures</v>
          </cell>
          <cell r="Y70" t="str">
            <v>N/A</v>
          </cell>
          <cell r="Z70" t="str">
            <v>$250 - $300 million</v>
          </cell>
          <cell r="AA70" t="str">
            <v>$225 million</v>
          </cell>
        </row>
        <row r="71">
          <cell r="X71" t="str">
            <v>Depreciation and amortization</v>
          </cell>
          <cell r="Y71" t="str">
            <v>N/A</v>
          </cell>
          <cell r="Z71" t="str">
            <v>About $350 million</v>
          </cell>
          <cell r="AA71" t="str">
            <v>$340 million</v>
          </cell>
        </row>
        <row r="72">
          <cell r="X72" t="str">
            <v>Free cash flow</v>
          </cell>
          <cell r="Y72" t="str">
            <v>N/A</v>
          </cell>
          <cell r="Z72" t="str">
            <v>$500 - $600 million</v>
          </cell>
          <cell r="AA72" t="str">
            <v>$529 million</v>
          </cell>
        </row>
      </sheetData>
      <sheetData sheetId="1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lative Risk Reward Chart"/>
      <sheetName val="LIZ Drivers"/>
      <sheetName val="UA Driver"/>
      <sheetName val="UA Drivers"/>
      <sheetName val="Sheet1"/>
      <sheetName val="MW-Cache"/>
      <sheetName val="__FDSCACHE__"/>
      <sheetName val="Scenario Inputs2"/>
      <sheetName val="Scenario Inputs"/>
      <sheetName val="LIZ"/>
      <sheetName val="R5010 (2)"/>
    </sheetNames>
    <sheetDataSet>
      <sheetData sheetId="0"/>
      <sheetData sheetId="1"/>
      <sheetData sheetId="2"/>
      <sheetData sheetId="3"/>
      <sheetData sheetId="4"/>
      <sheetData sheetId="5"/>
      <sheetData sheetId="6"/>
      <sheetData sheetId="7"/>
      <sheetData sheetId="8">
        <row r="1">
          <cell r="B1">
            <v>39782</v>
          </cell>
          <cell r="C1" t="str">
            <v>Bear</v>
          </cell>
          <cell r="D1" t="str">
            <v>Base</v>
          </cell>
          <cell r="E1" t="str">
            <v>Bull</v>
          </cell>
          <cell r="G1" t="str">
            <v>SOTP</v>
          </cell>
          <cell r="K1" t="str">
            <v>P/E as of today</v>
          </cell>
        </row>
        <row r="2">
          <cell r="A2" t="str">
            <v>LIZ.N</v>
          </cell>
          <cell r="B2" t="str">
            <v>LIZ</v>
          </cell>
          <cell r="K2" t="str">
            <v>LIZ</v>
          </cell>
          <cell r="L2" t="e">
            <v>#VALUE!</v>
          </cell>
        </row>
        <row r="3">
          <cell r="B3" t="str">
            <v>Current Price</v>
          </cell>
          <cell r="D3" t="str">
            <v>#Calc</v>
          </cell>
          <cell r="K3" t="str">
            <v>JNY</v>
          </cell>
          <cell r="L3" t="e">
            <v>#VALUE!</v>
          </cell>
        </row>
        <row r="4">
          <cell r="B4" t="str">
            <v>Net Debt</v>
          </cell>
          <cell r="D4">
            <v>798.01300000000015</v>
          </cell>
          <cell r="K4" t="str">
            <v>WRC</v>
          </cell>
          <cell r="L4" t="e">
            <v>#VALUE!</v>
          </cell>
        </row>
        <row r="5">
          <cell r="B5" t="str">
            <v>Shares</v>
          </cell>
          <cell r="D5">
            <v>93.703999999999994</v>
          </cell>
          <cell r="K5" t="str">
            <v>PVH</v>
          </cell>
          <cell r="L5" t="e">
            <v>#VALUE!</v>
          </cell>
        </row>
        <row r="7">
          <cell r="B7" t="str">
            <v>Revenue</v>
          </cell>
          <cell r="C7">
            <v>-6.6357108530112452E-2</v>
          </cell>
          <cell r="D7">
            <v>-3.3845973767718252E-2</v>
          </cell>
          <cell r="E7">
            <v>-1.4128768261478464E-2</v>
          </cell>
          <cell r="K7" t="str">
            <v>GES</v>
          </cell>
          <cell r="L7" t="e">
            <v>#VALUE!</v>
          </cell>
        </row>
        <row r="8">
          <cell r="B8" t="str">
            <v>Gross Margin</v>
          </cell>
          <cell r="C8">
            <v>-128.72476703079562</v>
          </cell>
          <cell r="D8">
            <v>-90.996036928954197</v>
          </cell>
          <cell r="E8">
            <v>-39.295245448067732</v>
          </cell>
          <cell r="K8" t="str">
            <v>UA</v>
          </cell>
          <cell r="L8" t="e">
            <v>#VALUE!</v>
          </cell>
        </row>
        <row r="9">
          <cell r="B9" t="str">
            <v>Expense Ratio</v>
          </cell>
          <cell r="C9">
            <v>-16.156522960027452</v>
          </cell>
          <cell r="D9">
            <v>-39.565286944746589</v>
          </cell>
          <cell r="E9">
            <v>-82.030885314070545</v>
          </cell>
          <cell r="G9" t="e">
            <v>#VALUE!</v>
          </cell>
          <cell r="K9" t="str">
            <v>RL</v>
          </cell>
          <cell r="L9" t="e">
            <v>#VALUE!</v>
          </cell>
        </row>
        <row r="10">
          <cell r="B10" t="str">
            <v>Operating Margin</v>
          </cell>
          <cell r="C10">
            <v>-112.56824407076829</v>
          </cell>
          <cell r="D10">
            <v>-51.430749984207672</v>
          </cell>
          <cell r="E10">
            <v>42.735639866002749</v>
          </cell>
        </row>
        <row r="12">
          <cell r="B12" t="str">
            <v>P/E Valuation</v>
          </cell>
          <cell r="J12" t="str">
            <v>Liz Claiborne: Base Case Assumptions</v>
          </cell>
        </row>
        <row r="13">
          <cell r="B13" t="str">
            <v>EPS</v>
          </cell>
          <cell r="C13">
            <v>0.39172173589738984</v>
          </cell>
          <cell r="D13">
            <v>0.59632293685253845</v>
          </cell>
          <cell r="E13">
            <v>0.94772161341348582</v>
          </cell>
          <cell r="J13">
            <v>0.59632293685253845</v>
          </cell>
        </row>
        <row r="14">
          <cell r="B14" t="str">
            <v>P/E</v>
          </cell>
          <cell r="C14">
            <v>7</v>
          </cell>
          <cell r="D14">
            <v>9</v>
          </cell>
          <cell r="E14">
            <v>11</v>
          </cell>
        </row>
        <row r="15">
          <cell r="B15" t="str">
            <v>Scenario Price</v>
          </cell>
          <cell r="C15">
            <v>2.7420521512817291</v>
          </cell>
          <cell r="D15">
            <v>5.3669064316728461</v>
          </cell>
          <cell r="E15">
            <v>10.424937747548345</v>
          </cell>
        </row>
        <row r="16">
          <cell r="B16" t="str">
            <v>Ups/Downs</v>
          </cell>
          <cell r="C16" t="e">
            <v>#VALUE!</v>
          </cell>
          <cell r="D16" t="e">
            <v>#VALUE!</v>
          </cell>
          <cell r="E16" t="e">
            <v>#VALUE!</v>
          </cell>
        </row>
        <row r="18">
          <cell r="B18" t="str">
            <v>EBITDA Valuation</v>
          </cell>
        </row>
        <row r="19">
          <cell r="B19" t="str">
            <v>EBITDA</v>
          </cell>
          <cell r="C19">
            <v>286.15685640708614</v>
          </cell>
          <cell r="D19">
            <v>317.84754729244861</v>
          </cell>
          <cell r="E19">
            <v>365.73937752847428</v>
          </cell>
          <cell r="J19">
            <v>317.84754729244861</v>
          </cell>
        </row>
        <row r="20">
          <cell r="B20" t="str">
            <v>EV/EBITDA</v>
          </cell>
          <cell r="C20">
            <v>11</v>
          </cell>
          <cell r="D20">
            <v>0</v>
          </cell>
          <cell r="E20">
            <v>9</v>
          </cell>
          <cell r="G20">
            <v>3.7973007645817578</v>
          </cell>
        </row>
        <row r="21">
          <cell r="B21" t="str">
            <v>EV</v>
          </cell>
          <cell r="C21">
            <v>3147.7254204779474</v>
          </cell>
          <cell r="D21">
            <v>0</v>
          </cell>
          <cell r="E21">
            <v>3291.6543977562687</v>
          </cell>
        </row>
        <row r="22">
          <cell r="B22" t="str">
            <v>Implied Equity</v>
          </cell>
          <cell r="C22">
            <v>25.075903061533634</v>
          </cell>
          <cell r="D22">
            <v>-8.516317339708019</v>
          </cell>
          <cell r="E22">
            <v>26.611899147915448</v>
          </cell>
        </row>
        <row r="23">
          <cell r="B23" t="str">
            <v>Ups/Downs</v>
          </cell>
          <cell r="C23" t="e">
            <v>#VALUE!</v>
          </cell>
          <cell r="D23" t="e">
            <v>#VALUE!</v>
          </cell>
          <cell r="E23" t="e">
            <v>#VALUE!</v>
          </cell>
        </row>
        <row r="25">
          <cell r="B25" t="str">
            <v>Residual Income</v>
          </cell>
        </row>
        <row r="26">
          <cell r="B26" t="str">
            <v>Val-Cur</v>
          </cell>
          <cell r="J26">
            <v>23.757622379140592</v>
          </cell>
        </row>
        <row r="28">
          <cell r="B28" t="str">
            <v>FCF Valuation</v>
          </cell>
        </row>
        <row r="29">
          <cell r="B29" t="str">
            <v>FCF Per Share</v>
          </cell>
          <cell r="C29">
            <v>1.6651496506062415</v>
          </cell>
          <cell r="D29">
            <v>1.7526412115393128</v>
          </cell>
          <cell r="E29">
            <v>2.0397844788766752</v>
          </cell>
          <cell r="J29">
            <v>1.7526412115393128</v>
          </cell>
        </row>
        <row r="30">
          <cell r="B30" t="str">
            <v>Yield</v>
          </cell>
          <cell r="C30">
            <v>0.11971761675992125</v>
          </cell>
          <cell r="D30">
            <v>-1.1129962159385136</v>
          </cell>
          <cell r="E30">
            <v>0.11014895708475064</v>
          </cell>
        </row>
        <row r="32">
          <cell r="C32" t="str">
            <v>Trough</v>
          </cell>
          <cell r="D32" t="str">
            <v>5-Yr.</v>
          </cell>
          <cell r="E32" t="str">
            <v>Peak</v>
          </cell>
          <cell r="G32" t="str">
            <v>New Trough</v>
          </cell>
        </row>
        <row r="33">
          <cell r="B33" t="str">
            <v>P/E</v>
          </cell>
          <cell r="C33">
            <v>4.1204470316534083</v>
          </cell>
          <cell r="D33">
            <v>12.532633475042442</v>
          </cell>
          <cell r="E33">
            <v>20.621219484196743</v>
          </cell>
          <cell r="G33">
            <v>3.1204470316534083</v>
          </cell>
        </row>
        <row r="34">
          <cell r="B34" t="str">
            <v>EV/EBITDA</v>
          </cell>
          <cell r="C34">
            <v>299.1585</v>
          </cell>
          <cell r="D34">
            <v>323.00270076643244</v>
          </cell>
          <cell r="E34">
            <v>315.34630000000004</v>
          </cell>
          <cell r="G34">
            <v>298.6585</v>
          </cell>
        </row>
        <row r="36">
          <cell r="B36" t="str">
            <v>Recession</v>
          </cell>
          <cell r="C36" t="str">
            <v>Trough</v>
          </cell>
          <cell r="D36" t="str">
            <v>Mean</v>
          </cell>
          <cell r="E36" t="str">
            <v>Peak</v>
          </cell>
          <cell r="G36" t="str">
            <v>Average</v>
          </cell>
        </row>
        <row r="37">
          <cell r="B37" t="str">
            <v>P/E</v>
          </cell>
          <cell r="C37">
            <v>38.83488257972796</v>
          </cell>
          <cell r="D37">
            <v>0</v>
          </cell>
          <cell r="E37">
            <v>119.38721139465103</v>
          </cell>
          <cell r="G37">
            <v>19.41744128986398</v>
          </cell>
        </row>
        <row r="38">
          <cell r="B38" t="str">
            <v>EV/EBITDA</v>
          </cell>
          <cell r="C38">
            <v>11.594471180832928</v>
          </cell>
          <cell r="D38">
            <v>0</v>
          </cell>
          <cell r="E38">
            <v>11.010880043757094</v>
          </cell>
          <cell r="G38">
            <v>5.7972355904164639</v>
          </cell>
        </row>
        <row r="40">
          <cell r="B40" t="str">
            <v>Price Targets</v>
          </cell>
          <cell r="C40">
            <v>2.5</v>
          </cell>
          <cell r="D40">
            <v>5</v>
          </cell>
          <cell r="E40">
            <v>10.5</v>
          </cell>
          <cell r="O40">
            <v>2.5</v>
          </cell>
          <cell r="P40">
            <v>5</v>
          </cell>
          <cell r="Q40">
            <v>10.5</v>
          </cell>
        </row>
        <row r="41">
          <cell r="B41" t="str">
            <v>Ups/Downs</v>
          </cell>
          <cell r="C41" t="e">
            <v>#VALUE!</v>
          </cell>
          <cell r="D41" t="e">
            <v>#VALUE!</v>
          </cell>
          <cell r="E41" t="e">
            <v>#VALUE!</v>
          </cell>
        </row>
        <row r="42">
          <cell r="C42">
            <v>6.3820813881384062</v>
          </cell>
          <cell r="D42">
            <v>8.3847185660685462</v>
          </cell>
          <cell r="E42">
            <v>11.079202849644105</v>
          </cell>
        </row>
        <row r="43">
          <cell r="A43" t="str">
            <v>JNY.N</v>
          </cell>
          <cell r="B43" t="str">
            <v>JNY</v>
          </cell>
        </row>
        <row r="44">
          <cell r="B44" t="str">
            <v>Current Price</v>
          </cell>
          <cell r="D44" t="str">
            <v>#Calc</v>
          </cell>
        </row>
        <row r="45">
          <cell r="B45" t="str">
            <v>Net Debt</v>
          </cell>
          <cell r="D45">
            <v>582.83067580048032</v>
          </cell>
        </row>
        <row r="46">
          <cell r="B46" t="str">
            <v>Shares</v>
          </cell>
          <cell r="D46">
            <v>83</v>
          </cell>
        </row>
        <row r="48">
          <cell r="B48" t="str">
            <v>Revenue</v>
          </cell>
          <cell r="C48">
            <v>-2.307901574014426E-2</v>
          </cell>
          <cell r="D48">
            <v>1.7273526849326259E-5</v>
          </cell>
          <cell r="E48">
            <v>3.4790577670898548E-2</v>
          </cell>
          <cell r="G48" t="e">
            <v>#VALUE!</v>
          </cell>
        </row>
        <row r="49">
          <cell r="B49" t="str">
            <v>Gross Margin</v>
          </cell>
          <cell r="C49">
            <v>-117.78645744805694</v>
          </cell>
          <cell r="D49">
            <v>-59.059756967107525</v>
          </cell>
          <cell r="E49">
            <v>28.286142070195751</v>
          </cell>
        </row>
        <row r="50">
          <cell r="B50" t="str">
            <v>Expense Ratio</v>
          </cell>
          <cell r="C50">
            <v>-17.859818164190354</v>
          </cell>
          <cell r="D50">
            <v>-16.397089142762276</v>
          </cell>
          <cell r="E50">
            <v>-45.122434328145332</v>
          </cell>
        </row>
        <row r="51">
          <cell r="B51" t="str">
            <v>Operating Margin</v>
          </cell>
          <cell r="C51">
            <v>-99.926639283867488</v>
          </cell>
          <cell r="D51">
            <v>-42.662667824345732</v>
          </cell>
          <cell r="E51">
            <v>73.408576398340188</v>
          </cell>
        </row>
        <row r="53">
          <cell r="B53" t="str">
            <v>P/E Valuation</v>
          </cell>
          <cell r="J53" t="str">
            <v>Jones New York: Base Case Assumptions</v>
          </cell>
        </row>
        <row r="54">
          <cell r="B54" t="str">
            <v>EPS</v>
          </cell>
          <cell r="C54">
            <v>0.61728823323972237</v>
          </cell>
          <cell r="D54">
            <v>0.79672999545315148</v>
          </cell>
          <cell r="E54">
            <v>1.1656862274518387</v>
          </cell>
          <cell r="J54">
            <v>0.79672999545315148</v>
          </cell>
        </row>
        <row r="55">
          <cell r="B55" t="str">
            <v>P/E</v>
          </cell>
          <cell r="C55">
            <v>7</v>
          </cell>
          <cell r="D55">
            <v>9</v>
          </cell>
          <cell r="E55">
            <v>11</v>
          </cell>
        </row>
        <row r="56">
          <cell r="B56" t="str">
            <v>Scenario Price</v>
          </cell>
          <cell r="C56">
            <v>4.3210176326780569</v>
          </cell>
          <cell r="D56">
            <v>7.1705699590783638</v>
          </cell>
          <cell r="E56">
            <v>12.822548501970225</v>
          </cell>
        </row>
        <row r="57">
          <cell r="B57" t="str">
            <v>Ups/Downs</v>
          </cell>
          <cell r="C57" t="e">
            <v>#VALUE!</v>
          </cell>
          <cell r="D57" t="e">
            <v>#VALUE!</v>
          </cell>
          <cell r="E57" t="e">
            <v>#VALUE!</v>
          </cell>
        </row>
        <row r="59">
          <cell r="B59" t="str">
            <v>EBITDA Valuation</v>
          </cell>
        </row>
        <row r="60">
          <cell r="B60" t="str">
            <v>EBITDA</v>
          </cell>
          <cell r="C60">
            <v>221.06983294688666</v>
          </cell>
          <cell r="D60">
            <v>245.04954641820538</v>
          </cell>
          <cell r="E60">
            <v>294.16843447832446</v>
          </cell>
          <cell r="J60">
            <v>245.04954641820538</v>
          </cell>
        </row>
        <row r="61">
          <cell r="B61" t="str">
            <v>EV/EBITDA</v>
          </cell>
          <cell r="C61">
            <v>11</v>
          </cell>
          <cell r="D61">
            <v>0</v>
          </cell>
          <cell r="E61">
            <v>9</v>
          </cell>
          <cell r="G61">
            <v>4.3145065738565203</v>
          </cell>
        </row>
        <row r="62">
          <cell r="B62" t="str">
            <v>EV</v>
          </cell>
          <cell r="C62">
            <v>2431.7681624157531</v>
          </cell>
          <cell r="D62">
            <v>0</v>
          </cell>
          <cell r="E62">
            <v>2647.51591030492</v>
          </cell>
        </row>
        <row r="63">
          <cell r="B63" t="str">
            <v>Implied Equity</v>
          </cell>
          <cell r="C63">
            <v>22.276355260424975</v>
          </cell>
          <cell r="D63">
            <v>-7.022056334945546</v>
          </cell>
          <cell r="E63">
            <v>24.875725716920964</v>
          </cell>
        </row>
        <row r="64">
          <cell r="B64" t="str">
            <v>Ups/Downs</v>
          </cell>
          <cell r="C64" t="e">
            <v>#VALUE!</v>
          </cell>
          <cell r="D64" t="e">
            <v>#VALUE!</v>
          </cell>
          <cell r="E64" t="e">
            <v>#VALUE!</v>
          </cell>
        </row>
        <row r="66">
          <cell r="B66" t="str">
            <v>Residual Income</v>
          </cell>
        </row>
        <row r="67">
          <cell r="B67" t="str">
            <v>Val-Cur</v>
          </cell>
          <cell r="J67">
            <v>11.026665131182027</v>
          </cell>
        </row>
        <row r="69">
          <cell r="B69" t="str">
            <v>FCF Valuation</v>
          </cell>
        </row>
        <row r="70">
          <cell r="B70" t="str">
            <v>FCF Per Share</v>
          </cell>
          <cell r="C70">
            <v>1.4983974074057604</v>
          </cell>
          <cell r="D70">
            <v>1.6912537539147832</v>
          </cell>
          <cell r="E70">
            <v>2.0737124321978539</v>
          </cell>
          <cell r="J70">
            <v>1.6912537539147832</v>
          </cell>
        </row>
        <row r="71">
          <cell r="B71" t="str">
            <v>Yield</v>
          </cell>
          <cell r="C71">
            <v>0.11267258713316833</v>
          </cell>
          <cell r="D71">
            <v>22.775738775349954</v>
          </cell>
          <cell r="E71">
            <v>0.11001630579463952</v>
          </cell>
        </row>
        <row r="73">
          <cell r="C73" t="str">
            <v>Trough</v>
          </cell>
          <cell r="D73" t="str">
            <v>5-Yr.</v>
          </cell>
          <cell r="E73" t="str">
            <v>Peak</v>
          </cell>
          <cell r="G73" t="str">
            <v>New Trough</v>
          </cell>
        </row>
        <row r="74">
          <cell r="B74" t="str">
            <v>P/E</v>
          </cell>
          <cell r="C74">
            <v>6.4271182083309695</v>
          </cell>
          <cell r="D74">
            <v>12.392891578887301</v>
          </cell>
          <cell r="E74">
            <v>24.731174680467745</v>
          </cell>
          <cell r="G74">
            <v>5.4271182083309695</v>
          </cell>
          <cell r="J74">
            <v>9.4100048936091358</v>
          </cell>
        </row>
        <row r="75">
          <cell r="B75" t="str">
            <v>EV/EBITDA</v>
          </cell>
          <cell r="C75">
            <v>239.84399999999999</v>
          </cell>
          <cell r="D75">
            <v>255.64028263804386</v>
          </cell>
          <cell r="E75">
            <v>253.69650000000001</v>
          </cell>
          <cell r="G75">
            <v>239.34399999999999</v>
          </cell>
        </row>
        <row r="77">
          <cell r="B77" t="str">
            <v>Recession</v>
          </cell>
          <cell r="C77" t="str">
            <v>Trough</v>
          </cell>
          <cell r="D77" t="str">
            <v>Mean</v>
          </cell>
          <cell r="E77" t="str">
            <v>Peak</v>
          </cell>
          <cell r="G77" t="str">
            <v>Average</v>
          </cell>
        </row>
        <row r="78">
          <cell r="B78" t="str">
            <v>P/E</v>
          </cell>
          <cell r="C78">
            <v>32.655768648507156</v>
          </cell>
          <cell r="D78">
            <v>0</v>
          </cell>
          <cell r="E78">
            <v>132.64806136481181</v>
          </cell>
          <cell r="G78">
            <v>16.327884324253578</v>
          </cell>
        </row>
        <row r="79">
          <cell r="B79" t="str">
            <v>EV/EBITDA</v>
          </cell>
          <cell r="C79">
            <v>11.977090922263137</v>
          </cell>
          <cell r="D79">
            <v>0</v>
          </cell>
          <cell r="E79">
            <v>10.060946589376625</v>
          </cell>
          <cell r="G79">
            <v>5.9885454611315687</v>
          </cell>
        </row>
        <row r="81">
          <cell r="B81" t="str">
            <v>Price Targets</v>
          </cell>
          <cell r="C81">
            <v>4</v>
          </cell>
          <cell r="D81">
            <v>7</v>
          </cell>
          <cell r="E81">
            <v>13</v>
          </cell>
          <cell r="O81">
            <v>4</v>
          </cell>
          <cell r="P81">
            <v>7</v>
          </cell>
          <cell r="Q81">
            <v>13</v>
          </cell>
        </row>
        <row r="82">
          <cell r="B82" t="str">
            <v>Ups/Downs</v>
          </cell>
          <cell r="C82" t="e">
            <v>#VALUE!</v>
          </cell>
          <cell r="D82" t="e">
            <v>#VALUE!</v>
          </cell>
          <cell r="E82" t="e">
            <v>#VALUE!</v>
          </cell>
        </row>
        <row r="84">
          <cell r="A84" t="str">
            <v>WRC.N</v>
          </cell>
          <cell r="B84" t="str">
            <v>WRC</v>
          </cell>
        </row>
        <row r="85">
          <cell r="B85" t="str">
            <v>Current Price</v>
          </cell>
          <cell r="D85" t="str">
            <v>#Calc</v>
          </cell>
        </row>
        <row r="86">
          <cell r="B86" t="str">
            <v>Net Debt</v>
          </cell>
          <cell r="D86">
            <v>146.34019599656796</v>
          </cell>
        </row>
        <row r="87">
          <cell r="B87" t="str">
            <v>Shares</v>
          </cell>
          <cell r="D87">
            <v>46.780639000000001</v>
          </cell>
        </row>
        <row r="89">
          <cell r="B89" t="str">
            <v>Revenue</v>
          </cell>
          <cell r="C89">
            <v>-0.11976989950304207</v>
          </cell>
          <cell r="D89">
            <v>-2.5755049553264464E-2</v>
          </cell>
          <cell r="E89">
            <v>2.641037255466161E-3</v>
          </cell>
        </row>
        <row r="90">
          <cell r="B90" t="str">
            <v>Gross Margin</v>
          </cell>
          <cell r="C90">
            <v>-119.65735385759734</v>
          </cell>
          <cell r="D90">
            <v>-57.860654104995859</v>
          </cell>
          <cell r="E90">
            <v>-14.807151827720411</v>
          </cell>
        </row>
        <row r="91">
          <cell r="B91" t="str">
            <v>Expense Ratio</v>
          </cell>
          <cell r="C91">
            <v>77.998922105267937</v>
          </cell>
          <cell r="D91">
            <v>34.705478862581685</v>
          </cell>
          <cell r="E91">
            <v>31.128711896627472</v>
          </cell>
        </row>
        <row r="92">
          <cell r="B92" t="str">
            <v>Operating Margin</v>
          </cell>
          <cell r="C92">
            <v>-179.68581022683421</v>
          </cell>
          <cell r="D92">
            <v>-68.16021575468082</v>
          </cell>
          <cell r="E92">
            <v>-19.916157281824887</v>
          </cell>
        </row>
        <row r="94">
          <cell r="B94" t="str">
            <v>P/E Valuation</v>
          </cell>
          <cell r="J94" t="str">
            <v>Warnaco: Base Case Assumptions</v>
          </cell>
        </row>
        <row r="95">
          <cell r="B95" t="str">
            <v>EPS</v>
          </cell>
          <cell r="C95">
            <v>1.87</v>
          </cell>
          <cell r="D95">
            <v>2.4700000000000002</v>
          </cell>
          <cell r="E95">
            <v>2.74</v>
          </cell>
          <cell r="G95" t="e">
            <v>#VALUE!</v>
          </cell>
          <cell r="J95">
            <v>2.4618117734226126</v>
          </cell>
        </row>
        <row r="96">
          <cell r="B96" t="str">
            <v>P/E</v>
          </cell>
          <cell r="C96">
            <v>7</v>
          </cell>
          <cell r="D96">
            <v>9</v>
          </cell>
          <cell r="E96">
            <v>11</v>
          </cell>
        </row>
        <row r="97">
          <cell r="B97" t="str">
            <v>Scenario Price</v>
          </cell>
          <cell r="C97">
            <v>13.09</v>
          </cell>
          <cell r="D97">
            <v>22.23</v>
          </cell>
          <cell r="E97">
            <v>30.14</v>
          </cell>
        </row>
        <row r="98">
          <cell r="B98" t="str">
            <v>Ups/Downs</v>
          </cell>
          <cell r="C98" t="e">
            <v>#VALUE!</v>
          </cell>
          <cell r="D98" t="e">
            <v>#VALUE!</v>
          </cell>
          <cell r="E98" t="e">
            <v>#VALUE!</v>
          </cell>
        </row>
        <row r="100">
          <cell r="B100" t="str">
            <v>EBITDA Valuation</v>
          </cell>
        </row>
        <row r="101">
          <cell r="B101" t="str">
            <v>EBITDA</v>
          </cell>
          <cell r="C101">
            <v>273.64127016791991</v>
          </cell>
          <cell r="D101">
            <v>319.82543010478742</v>
          </cell>
          <cell r="E101">
            <v>339.57970290961413</v>
          </cell>
          <cell r="J101">
            <v>267.61990748481674</v>
          </cell>
        </row>
        <row r="102">
          <cell r="B102" t="str">
            <v>EV/EBITDA</v>
          </cell>
          <cell r="C102">
            <v>14</v>
          </cell>
          <cell r="D102">
            <v>0</v>
          </cell>
          <cell r="E102">
            <v>9</v>
          </cell>
          <cell r="G102">
            <v>4.8720627293441439</v>
          </cell>
        </row>
        <row r="103">
          <cell r="B103" t="str">
            <v>EV</v>
          </cell>
          <cell r="C103">
            <v>3830.9777823508789</v>
          </cell>
          <cell r="D103">
            <v>0</v>
          </cell>
          <cell r="E103">
            <v>3056.2173261865273</v>
          </cell>
        </row>
        <row r="104">
          <cell r="B104" t="str">
            <v>Implied Equity</v>
          </cell>
          <cell r="C104">
            <v>78.764156820395527</v>
          </cell>
          <cell r="D104">
            <v>-3.1282213993820811</v>
          </cell>
          <cell r="E104">
            <v>62.202594756988233</v>
          </cell>
        </row>
        <row r="105">
          <cell r="B105" t="str">
            <v>Ups/Downs</v>
          </cell>
          <cell r="C105" t="e">
            <v>#VALUE!</v>
          </cell>
          <cell r="D105" t="e">
            <v>#VALUE!</v>
          </cell>
          <cell r="E105" t="e">
            <v>#VALUE!</v>
          </cell>
        </row>
        <row r="107">
          <cell r="B107" t="str">
            <v>Residual Income</v>
          </cell>
        </row>
        <row r="108">
          <cell r="B108" t="str">
            <v>Val-Cur</v>
          </cell>
          <cell r="J108">
            <v>47.247361694811161</v>
          </cell>
        </row>
        <row r="110">
          <cell r="B110" t="str">
            <v>FCF Valuation</v>
          </cell>
        </row>
        <row r="111">
          <cell r="B111" t="str">
            <v>FCF Per Share</v>
          </cell>
          <cell r="C111">
            <v>3.979414945933359</v>
          </cell>
          <cell r="D111">
            <v>3.8835532092131673</v>
          </cell>
          <cell r="E111">
            <v>3.935765790688011</v>
          </cell>
          <cell r="J111">
            <v>3.4887129180590786</v>
          </cell>
        </row>
        <row r="112">
          <cell r="B112" t="str">
            <v>Yield</v>
          </cell>
          <cell r="C112">
            <v>8.6646376901905423E-2</v>
          </cell>
          <cell r="D112">
            <v>0.40661692195380583</v>
          </cell>
          <cell r="E112">
            <v>8.5242694361047575E-2</v>
          </cell>
        </row>
        <row r="114">
          <cell r="C114" t="str">
            <v>Trough</v>
          </cell>
          <cell r="D114" t="str">
            <v>5-Yr.</v>
          </cell>
          <cell r="E114" t="str">
            <v>Peak</v>
          </cell>
        </row>
        <row r="115">
          <cell r="B115" t="str">
            <v>P/E</v>
          </cell>
          <cell r="C115">
            <v>5.8995804573471604</v>
          </cell>
          <cell r="D115">
            <v>15.225137406424947</v>
          </cell>
          <cell r="E115">
            <v>19.74418957856701</v>
          </cell>
          <cell r="G115">
            <v>4.8995804573471604</v>
          </cell>
          <cell r="J115">
            <v>10.562358931886054</v>
          </cell>
        </row>
        <row r="116">
          <cell r="B116" t="str">
            <v>EV/EBITDA</v>
          </cell>
          <cell r="C116">
            <v>274.86070000000001</v>
          </cell>
          <cell r="D116">
            <v>271.92733993753131</v>
          </cell>
          <cell r="E116">
            <v>268.14100000000002</v>
          </cell>
          <cell r="G116">
            <v>274.36070000000001</v>
          </cell>
        </row>
        <row r="118">
          <cell r="B118" t="str">
            <v>Recession</v>
          </cell>
          <cell r="C118" t="str">
            <v>Trough</v>
          </cell>
          <cell r="D118" t="str">
            <v>Mean</v>
          </cell>
          <cell r="E118" t="str">
            <v>Peak</v>
          </cell>
          <cell r="G118" t="str">
            <v>Average</v>
          </cell>
        </row>
        <row r="119">
          <cell r="B119" t="str">
            <v>P/E</v>
          </cell>
          <cell r="C119">
            <v>33.220998804772435</v>
          </cell>
          <cell r="D119">
            <v>0</v>
          </cell>
          <cell r="E119">
            <v>134.16903974985749</v>
          </cell>
          <cell r="G119">
            <v>16.610499402386218</v>
          </cell>
        </row>
        <row r="120">
          <cell r="B120" t="str">
            <v>EV/EBITDA</v>
          </cell>
          <cell r="C120" t="str">
            <v>-</v>
          </cell>
          <cell r="D120">
            <v>0</v>
          </cell>
          <cell r="E120" t="str">
            <v>-</v>
          </cell>
          <cell r="G120">
            <v>0</v>
          </cell>
        </row>
        <row r="122">
          <cell r="B122" t="str">
            <v>Price Targets</v>
          </cell>
          <cell r="C122">
            <v>13.3143286066726</v>
          </cell>
          <cell r="D122">
            <v>22</v>
          </cell>
          <cell r="E122">
            <v>30.153107432493702</v>
          </cell>
          <cell r="O122">
            <v>13.3143286066726</v>
          </cell>
          <cell r="P122">
            <v>22</v>
          </cell>
          <cell r="Q122">
            <v>30.153107432493702</v>
          </cell>
        </row>
        <row r="123">
          <cell r="B123" t="str">
            <v>Ups/Downs</v>
          </cell>
          <cell r="C123" t="e">
            <v>#VALUE!</v>
          </cell>
          <cell r="D123" t="e">
            <v>#VALUE!</v>
          </cell>
          <cell r="E123" t="e">
            <v>#VALUE!</v>
          </cell>
        </row>
        <row r="124">
          <cell r="C124">
            <v>7.1199618217500529</v>
          </cell>
          <cell r="D124">
            <v>8.9068825910931171</v>
          </cell>
          <cell r="E124">
            <v>11.004783734486752</v>
          </cell>
        </row>
        <row r="125">
          <cell r="A125" t="str">
            <v>PVH.N</v>
          </cell>
          <cell r="B125" t="str">
            <v>PVH</v>
          </cell>
        </row>
        <row r="126">
          <cell r="B126" t="str">
            <v>Current Price</v>
          </cell>
          <cell r="D126" t="str">
            <v>#Calc</v>
          </cell>
        </row>
        <row r="127">
          <cell r="B127" t="str">
            <v>Net Debt</v>
          </cell>
          <cell r="D127">
            <v>202.00699999999949</v>
          </cell>
        </row>
        <row r="128">
          <cell r="B128" t="str">
            <v>Shares</v>
          </cell>
          <cell r="D128">
            <v>52.293999999999997</v>
          </cell>
        </row>
        <row r="130">
          <cell r="B130" t="str">
            <v>Revenue</v>
          </cell>
          <cell r="C130">
            <v>-6.8117249220791765E-2</v>
          </cell>
          <cell r="D130">
            <v>-3.1739824302132846E-2</v>
          </cell>
          <cell r="E130">
            <v>-1.1084924771722404E-2</v>
          </cell>
          <cell r="H130">
            <v>-7.6285701523983507E-2</v>
          </cell>
          <cell r="I130">
            <v>-3.4224458929715929E-2</v>
          </cell>
          <cell r="J130">
            <v>-5.6435284573952416E-4</v>
          </cell>
          <cell r="L130">
            <v>-7.3434977884946129E-2</v>
          </cell>
          <cell r="M130">
            <v>-1.8574336102211375E-2</v>
          </cell>
          <cell r="N130">
            <v>-1.4657847626209475E-2</v>
          </cell>
        </row>
        <row r="131">
          <cell r="B131" t="str">
            <v>Gross Margin</v>
          </cell>
          <cell r="C131">
            <v>-115.21074728246039</v>
          </cell>
          <cell r="D131">
            <v>-74.588543265898807</v>
          </cell>
          <cell r="E131">
            <v>-42.450498013919535</v>
          </cell>
          <cell r="H131">
            <v>-166.11433040271356</v>
          </cell>
          <cell r="I131">
            <v>-96.33603105782818</v>
          </cell>
          <cell r="J131">
            <v>-128.25676583740182</v>
          </cell>
        </row>
        <row r="132">
          <cell r="B132" t="str">
            <v>Expense Ratio</v>
          </cell>
          <cell r="C132">
            <v>71.983136258124134</v>
          </cell>
          <cell r="D132">
            <v>50.455743705470901</v>
          </cell>
          <cell r="E132">
            <v>31.931965238854442</v>
          </cell>
        </row>
        <row r="133">
          <cell r="B133" t="str">
            <v>Operating Margin</v>
          </cell>
          <cell r="C133">
            <v>-187.19388354058384</v>
          </cell>
          <cell r="D133">
            <v>-125.04428697136902</v>
          </cell>
          <cell r="E133">
            <v>-61.293027348627291</v>
          </cell>
        </row>
        <row r="135">
          <cell r="B135" t="str">
            <v>P/E Valuation</v>
          </cell>
          <cell r="J135" t="str">
            <v>Phillips-Van Heusen: Base Case Assumptions</v>
          </cell>
        </row>
        <row r="136">
          <cell r="B136" t="str">
            <v>EPS</v>
          </cell>
          <cell r="C136">
            <v>2.6975367948907065</v>
          </cell>
          <cell r="D136">
            <v>3.0202804920565067</v>
          </cell>
          <cell r="E136">
            <v>3.3219712718979792</v>
          </cell>
          <cell r="J136">
            <v>2.5625646500915376</v>
          </cell>
        </row>
        <row r="137">
          <cell r="B137" t="str">
            <v>P/E</v>
          </cell>
          <cell r="C137">
            <v>5</v>
          </cell>
          <cell r="D137">
            <v>8</v>
          </cell>
          <cell r="E137">
            <v>11</v>
          </cell>
        </row>
        <row r="138">
          <cell r="B138" t="str">
            <v>Scenario Price</v>
          </cell>
          <cell r="C138">
            <v>13.487683974453532</v>
          </cell>
          <cell r="D138">
            <v>24.162243936452054</v>
          </cell>
          <cell r="E138">
            <v>36.541683990877772</v>
          </cell>
        </row>
        <row r="139">
          <cell r="B139" t="str">
            <v>Ups/Downs</v>
          </cell>
          <cell r="C139" t="e">
            <v>#VALUE!</v>
          </cell>
          <cell r="D139" t="e">
            <v>#VALUE!</v>
          </cell>
          <cell r="E139" t="e">
            <v>#VALUE!</v>
          </cell>
        </row>
        <row r="141">
          <cell r="B141" t="str">
            <v>EBITDA Valuation</v>
          </cell>
        </row>
        <row r="142">
          <cell r="B142" t="str">
            <v>EBITDA</v>
          </cell>
          <cell r="C142">
            <v>302.38773729897332</v>
          </cell>
          <cell r="D142">
            <v>329.01846757906344</v>
          </cell>
          <cell r="E142">
            <v>353.74714620418871</v>
          </cell>
          <cell r="J142">
            <v>296.11657850148913</v>
          </cell>
        </row>
        <row r="143">
          <cell r="B143" t="str">
            <v>EV/EBITDA</v>
          </cell>
          <cell r="C143">
            <v>11</v>
          </cell>
          <cell r="D143">
            <v>0</v>
          </cell>
          <cell r="E143">
            <v>8</v>
          </cell>
          <cell r="G143">
            <v>4.5459145076988214</v>
          </cell>
        </row>
        <row r="144">
          <cell r="B144" t="str">
            <v>EV</v>
          </cell>
          <cell r="C144">
            <v>3326.2651102887066</v>
          </cell>
          <cell r="D144">
            <v>0</v>
          </cell>
          <cell r="E144">
            <v>2829.9771696335097</v>
          </cell>
        </row>
        <row r="145">
          <cell r="B145" t="str">
            <v>Implied Equity</v>
          </cell>
          <cell r="C145">
            <v>59.744102770656426</v>
          </cell>
          <cell r="D145">
            <v>-3.8629097028339676</v>
          </cell>
          <cell r="E145">
            <v>50.253760845097148</v>
          </cell>
        </row>
        <row r="146">
          <cell r="B146" t="str">
            <v>Ups/Downs</v>
          </cell>
          <cell r="C146" t="e">
            <v>#VALUE!</v>
          </cell>
          <cell r="D146" t="e">
            <v>#VALUE!</v>
          </cell>
          <cell r="E146" t="e">
            <v>#VALUE!</v>
          </cell>
        </row>
        <row r="148">
          <cell r="B148" t="str">
            <v>Residual Income</v>
          </cell>
        </row>
        <row r="149">
          <cell r="B149" t="str">
            <v>Val-Cur</v>
          </cell>
          <cell r="J149">
            <v>28.280014890537061</v>
          </cell>
        </row>
        <row r="151">
          <cell r="B151" t="str">
            <v>FCF Valuation</v>
          </cell>
        </row>
        <row r="152">
          <cell r="B152" t="str">
            <v>FCF Per Share</v>
          </cell>
          <cell r="C152">
            <v>3.1023693610209668</v>
          </cell>
          <cell r="D152">
            <v>3.5516863295785646</v>
          </cell>
          <cell r="E152">
            <v>3.943845867944578</v>
          </cell>
          <cell r="J152">
            <v>3.28539002263462</v>
          </cell>
        </row>
        <row r="153">
          <cell r="B153" t="str">
            <v>Yield</v>
          </cell>
          <cell r="C153">
            <v>8.4727397730142831E-2</v>
          </cell>
          <cell r="D153">
            <v>0.34993131190446175</v>
          </cell>
          <cell r="E153">
            <v>9.0876793716481663E-2</v>
          </cell>
        </row>
        <row r="155">
          <cell r="C155" t="str">
            <v>Trough</v>
          </cell>
          <cell r="D155" t="str">
            <v>5-Yr.</v>
          </cell>
          <cell r="E155" t="str">
            <v>Peak</v>
          </cell>
        </row>
        <row r="156">
          <cell r="B156" t="str">
            <v>P/E</v>
          </cell>
          <cell r="C156">
            <v>5.2061818093456127</v>
          </cell>
          <cell r="D156">
            <v>15.259176673924259</v>
          </cell>
          <cell r="E156">
            <v>20.669431279620856</v>
          </cell>
          <cell r="J156">
            <v>10.232679241634935</v>
          </cell>
        </row>
        <row r="157">
          <cell r="B157" t="str">
            <v>EV/EBITDA</v>
          </cell>
          <cell r="C157">
            <v>295.50900000000001</v>
          </cell>
          <cell r="D157">
            <v>328.76022298543529</v>
          </cell>
          <cell r="E157">
            <v>326.46520000000004</v>
          </cell>
        </row>
        <row r="159">
          <cell r="B159" t="str">
            <v>Recession</v>
          </cell>
          <cell r="C159" t="str">
            <v>Trough</v>
          </cell>
          <cell r="D159" t="str">
            <v>Mean</v>
          </cell>
          <cell r="E159" t="str">
            <v>Peak</v>
          </cell>
          <cell r="G159" t="str">
            <v>Average</v>
          </cell>
          <cell r="O159">
            <v>11</v>
          </cell>
          <cell r="P159">
            <v>22</v>
          </cell>
          <cell r="Q159">
            <v>31</v>
          </cell>
        </row>
        <row r="160">
          <cell r="B160" t="str">
            <v>P/E</v>
          </cell>
          <cell r="C160">
            <v>27.942809263417701</v>
          </cell>
          <cell r="D160">
            <v>0</v>
          </cell>
          <cell r="E160">
            <v>133.11565080531253</v>
          </cell>
          <cell r="G160">
            <v>13.97140463170885</v>
          </cell>
        </row>
        <row r="161">
          <cell r="B161" t="str">
            <v>EV/EBITDA</v>
          </cell>
          <cell r="C161">
            <v>10.881526792662877</v>
          </cell>
          <cell r="D161">
            <v>0</v>
          </cell>
          <cell r="E161">
            <v>9.0106642080704216</v>
          </cell>
          <cell r="G161">
            <v>5.4407633963314384</v>
          </cell>
        </row>
        <row r="163">
          <cell r="B163" t="str">
            <v>Price Targets</v>
          </cell>
          <cell r="C163">
            <v>11</v>
          </cell>
          <cell r="D163">
            <v>22</v>
          </cell>
          <cell r="E163">
            <v>31</v>
          </cell>
        </row>
        <row r="164">
          <cell r="B164" t="str">
            <v>Ups/Downs</v>
          </cell>
          <cell r="C164" t="e">
            <v>#VALUE!</v>
          </cell>
          <cell r="D164" t="e">
            <v>#VALUE!</v>
          </cell>
          <cell r="E164" t="e">
            <v>#VALUE!</v>
          </cell>
        </row>
        <row r="165">
          <cell r="C165">
            <v>4.077794238371335</v>
          </cell>
          <cell r="D165">
            <v>7.284091678856031</v>
          </cell>
          <cell r="E165">
            <v>9.3318085746986075</v>
          </cell>
        </row>
        <row r="166">
          <cell r="A166" t="str">
            <v>GES.N</v>
          </cell>
          <cell r="B166" t="str">
            <v>GES</v>
          </cell>
        </row>
        <row r="167">
          <cell r="B167" t="str">
            <v>Current Price</v>
          </cell>
          <cell r="D167" t="str">
            <v>#Calc</v>
          </cell>
        </row>
        <row r="168">
          <cell r="B168" t="str">
            <v>Net Debt</v>
          </cell>
          <cell r="D168">
            <v>-235.60499999999982</v>
          </cell>
        </row>
        <row r="169">
          <cell r="B169" t="str">
            <v>Shares</v>
          </cell>
          <cell r="D169">
            <v>93.893000000000001</v>
          </cell>
        </row>
        <row r="171">
          <cell r="B171" t="str">
            <v>Revenue</v>
          </cell>
          <cell r="C171">
            <v>5.0019061343269389E-3</v>
          </cell>
          <cell r="D171">
            <v>6.2067972955618389E-2</v>
          </cell>
          <cell r="E171">
            <v>8.6505074929410508E-2</v>
          </cell>
        </row>
        <row r="172">
          <cell r="B172" t="str">
            <v>Gross Margin</v>
          </cell>
          <cell r="C172">
            <v>-132.46959365692589</v>
          </cell>
          <cell r="D172">
            <v>-92.045492314125624</v>
          </cell>
          <cell r="E172">
            <v>-56.354346649143963</v>
          </cell>
        </row>
        <row r="173">
          <cell r="B173" t="str">
            <v>Expense Ratio</v>
          </cell>
          <cell r="C173">
            <v>43.820169861799044</v>
          </cell>
          <cell r="D173">
            <v>20.392820435544689</v>
          </cell>
          <cell r="E173">
            <v>9.2980880347370842E-2</v>
          </cell>
        </row>
        <row r="174">
          <cell r="B174" t="str">
            <v>Operating Margin</v>
          </cell>
          <cell r="C174">
            <v>-176.28976351872521</v>
          </cell>
          <cell r="D174">
            <v>-112.43831274967059</v>
          </cell>
          <cell r="E174">
            <v>-56.447327529490224</v>
          </cell>
        </row>
        <row r="176">
          <cell r="B176" t="str">
            <v>P/E Valuation</v>
          </cell>
          <cell r="J176" t="str">
            <v>Guess?: Base Case Assumptions</v>
          </cell>
        </row>
        <row r="177">
          <cell r="B177" t="str">
            <v>EPS</v>
          </cell>
          <cell r="C177">
            <v>2.2579131220645636</v>
          </cell>
          <cell r="D177">
            <v>2.5106239184555692</v>
          </cell>
          <cell r="E177">
            <v>2.6827665053331833</v>
          </cell>
          <cell r="J177">
            <v>2.5106239184555692</v>
          </cell>
        </row>
        <row r="178">
          <cell r="B178" t="str">
            <v>P/E</v>
          </cell>
          <cell r="C178">
            <v>6</v>
          </cell>
          <cell r="D178">
            <v>9</v>
          </cell>
          <cell r="E178">
            <v>12</v>
          </cell>
        </row>
        <row r="179">
          <cell r="B179" t="str">
            <v>Scenario Price</v>
          </cell>
          <cell r="C179">
            <v>13.547478732387383</v>
          </cell>
          <cell r="D179">
            <v>22.595615266100122</v>
          </cell>
          <cell r="E179">
            <v>32.193198063998196</v>
          </cell>
        </row>
        <row r="180">
          <cell r="B180" t="str">
            <v>Ups/Downs</v>
          </cell>
          <cell r="C180" t="e">
            <v>#VALUE!</v>
          </cell>
          <cell r="D180" t="e">
            <v>#VALUE!</v>
          </cell>
          <cell r="E180" t="e">
            <v>#VALUE!</v>
          </cell>
        </row>
        <row r="182">
          <cell r="B182" t="str">
            <v>EBITDA Valuation</v>
          </cell>
        </row>
        <row r="183">
          <cell r="B183" t="str">
            <v>EBITDA</v>
          </cell>
          <cell r="C183">
            <v>395.95327325664459</v>
          </cell>
          <cell r="D183">
            <v>432.95762994659856</v>
          </cell>
          <cell r="E183">
            <v>458.02811179010723</v>
          </cell>
          <cell r="J183">
            <v>432.95762994659856</v>
          </cell>
        </row>
        <row r="184">
          <cell r="B184" t="str">
            <v>EV/EBITDA</v>
          </cell>
          <cell r="C184">
            <v>12</v>
          </cell>
          <cell r="D184">
            <v>0</v>
          </cell>
          <cell r="E184">
            <v>9</v>
          </cell>
          <cell r="G184">
            <v>4.642892656853105</v>
          </cell>
        </row>
        <row r="185">
          <cell r="B185" t="str">
            <v>EV</v>
          </cell>
          <cell r="C185">
            <v>4751.4392790797356</v>
          </cell>
          <cell r="D185">
            <v>0</v>
          </cell>
          <cell r="E185">
            <v>4122.2530061109646</v>
          </cell>
        </row>
        <row r="186">
          <cell r="B186" t="str">
            <v>Implied Equity</v>
          </cell>
          <cell r="C186">
            <v>53.114122235733603</v>
          </cell>
          <cell r="D186">
            <v>2.5092924925180773</v>
          </cell>
          <cell r="E186">
            <v>46.413023400157243</v>
          </cell>
        </row>
        <row r="187">
          <cell r="B187" t="str">
            <v>Ups/Downs</v>
          </cell>
          <cell r="C187" t="e">
            <v>#VALUE!</v>
          </cell>
          <cell r="D187" t="e">
            <v>#VALUE!</v>
          </cell>
          <cell r="E187" t="e">
            <v>#VALUE!</v>
          </cell>
        </row>
        <row r="189">
          <cell r="B189" t="str">
            <v>Residual Income</v>
          </cell>
        </row>
        <row r="190">
          <cell r="B190" t="str">
            <v>Val-Cur</v>
          </cell>
          <cell r="J190">
            <v>44.100114552712384</v>
          </cell>
        </row>
        <row r="192">
          <cell r="B192" t="str">
            <v>FCF Valuation</v>
          </cell>
        </row>
        <row r="193">
          <cell r="B193" t="str">
            <v>FCF Per Share</v>
          </cell>
          <cell r="C193">
            <v>1.9620268022792264</v>
          </cell>
          <cell r="D193">
            <v>2.0333858335373303</v>
          </cell>
          <cell r="E193">
            <v>2.1215188246551513</v>
          </cell>
          <cell r="J193">
            <v>2.0333858335373303</v>
          </cell>
        </row>
        <row r="194">
          <cell r="B194" t="str">
            <v>Yield</v>
          </cell>
          <cell r="C194">
            <v>5.8865276974596217E-2</v>
          </cell>
          <cell r="D194">
            <v>0.16199110174697171</v>
          </cell>
          <cell r="E194">
            <v>5.3978394715806746E-2</v>
          </cell>
        </row>
        <row r="196">
          <cell r="C196" t="str">
            <v>Trough</v>
          </cell>
          <cell r="D196" t="str">
            <v>5-Yr.</v>
          </cell>
          <cell r="E196" t="str">
            <v>Peak</v>
          </cell>
          <cell r="O196">
            <v>10</v>
          </cell>
          <cell r="P196">
            <v>22</v>
          </cell>
          <cell r="Q196">
            <v>28</v>
          </cell>
        </row>
        <row r="197">
          <cell r="B197" t="str">
            <v>P/E</v>
          </cell>
          <cell r="C197">
            <v>2.7960526315789473</v>
          </cell>
          <cell r="D197">
            <v>21.424835061443098</v>
          </cell>
          <cell r="E197">
            <v>48.75</v>
          </cell>
          <cell r="J197">
            <v>12.110443846511023</v>
          </cell>
        </row>
        <row r="198">
          <cell r="B198" t="str">
            <v>EV/EBITDA</v>
          </cell>
          <cell r="C198">
            <v>418.6037</v>
          </cell>
          <cell r="D198">
            <v>418.89366514622878</v>
          </cell>
          <cell r="E198">
            <v>412.87130000000002</v>
          </cell>
        </row>
        <row r="200">
          <cell r="B200" t="str">
            <v>Recession</v>
          </cell>
          <cell r="C200" t="str">
            <v>Trough</v>
          </cell>
          <cell r="D200" t="str">
            <v>Mean</v>
          </cell>
          <cell r="E200" t="str">
            <v>Peak</v>
          </cell>
          <cell r="G200" t="str">
            <v>Average</v>
          </cell>
        </row>
        <row r="201">
          <cell r="B201" t="str">
            <v>P/E</v>
          </cell>
          <cell r="C201">
            <v>13.053715703642743</v>
          </cell>
          <cell r="D201">
            <v>0</v>
          </cell>
          <cell r="E201">
            <v>309.44987810540982</v>
          </cell>
          <cell r="G201">
            <v>6.5268578518213713</v>
          </cell>
        </row>
        <row r="202">
          <cell r="B202" t="str">
            <v>EV/EBITDA</v>
          </cell>
          <cell r="C202">
            <v>11.247450128851238</v>
          </cell>
          <cell r="D202">
            <v>0</v>
          </cell>
          <cell r="E202">
            <v>11.620803986217455</v>
          </cell>
          <cell r="G202">
            <v>5.6237250644256189</v>
          </cell>
        </row>
        <row r="204">
          <cell r="B204" t="str">
            <v>Price Targets</v>
          </cell>
          <cell r="C204">
            <v>10</v>
          </cell>
          <cell r="D204">
            <v>22</v>
          </cell>
          <cell r="E204">
            <v>28</v>
          </cell>
        </row>
        <row r="205">
          <cell r="B205" t="str">
            <v>Ups/Downs</v>
          </cell>
          <cell r="C205" t="e">
            <v>#VALUE!</v>
          </cell>
          <cell r="D205" t="e">
            <v>#VALUE!</v>
          </cell>
          <cell r="E205" t="e">
            <v>#VALUE!</v>
          </cell>
        </row>
        <row r="206">
          <cell r="C206">
            <v>4.4288683662267392</v>
          </cell>
          <cell r="D206">
            <v>8.762762052204728</v>
          </cell>
          <cell r="E206">
            <v>10.436987320490857</v>
          </cell>
        </row>
        <row r="207">
          <cell r="A207" t="str">
            <v>UA.N</v>
          </cell>
          <cell r="B207" t="str">
            <v>UA</v>
          </cell>
        </row>
        <row r="208">
          <cell r="B208" t="str">
            <v>Current Price</v>
          </cell>
          <cell r="D208" t="str">
            <v>#Calc</v>
          </cell>
        </row>
        <row r="209">
          <cell r="B209" t="str">
            <v>Net Debt</v>
          </cell>
          <cell r="D209">
            <v>-2.5880000000000081</v>
          </cell>
        </row>
        <row r="210">
          <cell r="B210" t="str">
            <v>Shares</v>
          </cell>
          <cell r="D210">
            <v>49.933999999999997</v>
          </cell>
        </row>
        <row r="212">
          <cell r="B212" t="str">
            <v>Revenue</v>
          </cell>
          <cell r="C212">
            <v>0.14236773121139379</v>
          </cell>
          <cell r="D212">
            <v>0.18755186841098626</v>
          </cell>
          <cell r="E212">
            <v>0.22117037202345236</v>
          </cell>
        </row>
        <row r="213">
          <cell r="B213" t="str">
            <v>Gross Margin</v>
          </cell>
          <cell r="C213">
            <v>-166.35202649946334</v>
          </cell>
          <cell r="D213">
            <v>-81.868290295997738</v>
          </cell>
          <cell r="E213">
            <v>-11.871325705416492</v>
          </cell>
        </row>
        <row r="214">
          <cell r="B214" t="str">
            <v>Expense Ratio</v>
          </cell>
          <cell r="C214">
            <v>31.875640145483942</v>
          </cell>
          <cell r="D214">
            <v>-18.306369319854298</v>
          </cell>
          <cell r="E214">
            <v>-146.78806714331915</v>
          </cell>
        </row>
        <row r="215">
          <cell r="B215" t="str">
            <v>Operating Margin</v>
          </cell>
          <cell r="C215">
            <v>-198.22766664494756</v>
          </cell>
          <cell r="D215">
            <v>-63.561920976143718</v>
          </cell>
          <cell r="E215">
            <v>134.91674143790212</v>
          </cell>
        </row>
        <row r="217">
          <cell r="B217" t="str">
            <v>P/E Valuation</v>
          </cell>
          <cell r="J217" t="str">
            <v>Under Armour: Base Case Assumptions</v>
          </cell>
        </row>
        <row r="218">
          <cell r="B218" t="str">
            <v>EPS</v>
          </cell>
          <cell r="C218">
            <v>0.99906466248783032</v>
          </cell>
          <cell r="D218">
            <v>1.2018850185316137</v>
          </cell>
          <cell r="E218">
            <v>1.5504235836780593</v>
          </cell>
          <cell r="J218">
            <v>1.2018850185316137</v>
          </cell>
        </row>
        <row r="219">
          <cell r="B219" t="str">
            <v>P/E</v>
          </cell>
          <cell r="C219">
            <v>14</v>
          </cell>
          <cell r="D219">
            <v>18</v>
          </cell>
          <cell r="E219">
            <v>20</v>
          </cell>
        </row>
        <row r="220">
          <cell r="B220" t="str">
            <v>Scenario Price</v>
          </cell>
          <cell r="C220">
            <v>13.986905274829624</v>
          </cell>
          <cell r="D220">
            <v>21.633930333569047</v>
          </cell>
          <cell r="E220">
            <v>31.008471673561186</v>
          </cell>
        </row>
        <row r="221">
          <cell r="B221" t="str">
            <v>Ups/Downs</v>
          </cell>
          <cell r="C221" t="e">
            <v>#VALUE!</v>
          </cell>
          <cell r="D221" t="e">
            <v>#VALUE!</v>
          </cell>
          <cell r="E221" t="e">
            <v>#VALUE!</v>
          </cell>
        </row>
        <row r="223">
          <cell r="B223" t="str">
            <v>EBITDA Valuation</v>
          </cell>
        </row>
        <row r="224">
          <cell r="B224" t="str">
            <v>EBITDA</v>
          </cell>
          <cell r="C224">
            <v>119.58353719373952</v>
          </cell>
          <cell r="D224">
            <v>137.30870701109214</v>
          </cell>
          <cell r="E224">
            <v>167.54865976843155</v>
          </cell>
          <cell r="J224">
            <v>137.30870701109214</v>
          </cell>
        </row>
        <row r="225">
          <cell r="B225" t="str">
            <v>EV/EBITDA</v>
          </cell>
          <cell r="C225">
            <v>20</v>
          </cell>
          <cell r="D225">
            <v>0</v>
          </cell>
          <cell r="E225">
            <v>18</v>
          </cell>
          <cell r="I225" t="str">
            <v>LULU</v>
          </cell>
          <cell r="J225">
            <v>5.9734860572920985</v>
          </cell>
        </row>
        <row r="226">
          <cell r="B226" t="str">
            <v>EV</v>
          </cell>
          <cell r="C226">
            <v>2391.6707438747903</v>
          </cell>
          <cell r="D226">
            <v>0</v>
          </cell>
          <cell r="E226">
            <v>3015.8758758317681</v>
          </cell>
          <cell r="I226" t="str">
            <v>JCG</v>
          </cell>
          <cell r="J226">
            <v>0</v>
          </cell>
        </row>
        <row r="227">
          <cell r="B227" t="str">
            <v>Implied Equity</v>
          </cell>
          <cell r="C227">
            <v>47.948466853742751</v>
          </cell>
          <cell r="D227">
            <v>5.1828413505827856E-2</v>
          </cell>
          <cell r="E227">
            <v>60.449070289417399</v>
          </cell>
          <cell r="I227" t="str">
            <v>HIBB</v>
          </cell>
          <cell r="J227">
            <v>3.6649423212155883</v>
          </cell>
        </row>
        <row r="228">
          <cell r="B228" t="str">
            <v>Ups/Downs</v>
          </cell>
          <cell r="C228" t="e">
            <v>#VALUE!</v>
          </cell>
          <cell r="D228" t="e">
            <v>#VALUE!</v>
          </cell>
          <cell r="E228" t="e">
            <v>#VALUE!</v>
          </cell>
        </row>
        <row r="230">
          <cell r="B230" t="str">
            <v>Residual Income</v>
          </cell>
        </row>
        <row r="231">
          <cell r="B231" t="str">
            <v>Val-Cur</v>
          </cell>
          <cell r="J231">
            <v>28.532794139999851</v>
          </cell>
        </row>
        <row r="233">
          <cell r="B233" t="str">
            <v>FCF Valuation</v>
          </cell>
        </row>
        <row r="234">
          <cell r="B234" t="str">
            <v>FCF Per Share</v>
          </cell>
          <cell r="C234">
            <v>0.4343387735004669</v>
          </cell>
          <cell r="D234">
            <v>0.42456773940421655</v>
          </cell>
          <cell r="E234">
            <v>0.60593286020249848</v>
          </cell>
          <cell r="J234">
            <v>0.42456773940421655</v>
          </cell>
        </row>
        <row r="235">
          <cell r="B235" t="str">
            <v>Yield</v>
          </cell>
          <cell r="C235">
            <v>1.4025548198816596E-2</v>
          </cell>
          <cell r="D235">
            <v>3.9156364723598631E-2</v>
          </cell>
          <cell r="E235">
            <v>1.325058266813635E-2</v>
          </cell>
        </row>
        <row r="237">
          <cell r="C237" t="str">
            <v>Trough</v>
          </cell>
          <cell r="D237" t="str">
            <v>5-Yr.</v>
          </cell>
          <cell r="E237" t="str">
            <v>Peak</v>
          </cell>
          <cell r="O237">
            <v>14</v>
          </cell>
          <cell r="P237">
            <v>22</v>
          </cell>
          <cell r="Q237">
            <v>31</v>
          </cell>
        </row>
        <row r="238">
          <cell r="B238" t="str">
            <v>P/E</v>
          </cell>
          <cell r="C238">
            <v>12.428356703450484</v>
          </cell>
          <cell r="D238">
            <v>44.41327296284517</v>
          </cell>
          <cell r="E238">
            <v>87.068181818181827</v>
          </cell>
          <cell r="J238">
            <v>28.420814833147826</v>
          </cell>
        </row>
        <row r="239">
          <cell r="B239" t="str">
            <v>EV/EBITDA</v>
          </cell>
          <cell r="C239">
            <v>140.03810000000001</v>
          </cell>
          <cell r="D239">
            <v>117.12529688969684</v>
          </cell>
          <cell r="E239">
            <v>118.35556000000001</v>
          </cell>
        </row>
        <row r="241">
          <cell r="B241" t="str">
            <v>Price Targets</v>
          </cell>
          <cell r="C241">
            <v>14</v>
          </cell>
          <cell r="D241">
            <v>22</v>
          </cell>
          <cell r="E241">
            <v>31</v>
          </cell>
        </row>
        <row r="242">
          <cell r="B242" t="str">
            <v>Ups/Downs</v>
          </cell>
          <cell r="C242" t="e">
            <v>#VALUE!</v>
          </cell>
          <cell r="D242" t="e">
            <v>#VALUE!</v>
          </cell>
          <cell r="E242" t="e">
            <v>#VALUE!</v>
          </cell>
        </row>
        <row r="243">
          <cell r="C243">
            <v>14.013106984624766</v>
          </cell>
          <cell r="D243">
            <v>18.304579606856397</v>
          </cell>
          <cell r="E243">
            <v>19.994535897382903</v>
          </cell>
        </row>
        <row r="244">
          <cell r="A244" t="str">
            <v>RL.N</v>
          </cell>
          <cell r="B244" t="str">
            <v>RL</v>
          </cell>
        </row>
        <row r="245">
          <cell r="B245" t="str">
            <v>Current Price</v>
          </cell>
          <cell r="D245" t="str">
            <v>#Calc</v>
          </cell>
        </row>
        <row r="246">
          <cell r="B246" t="str">
            <v>Net Debt</v>
          </cell>
          <cell r="D246">
            <v>-240.9999999999996</v>
          </cell>
        </row>
        <row r="247">
          <cell r="B247" t="str">
            <v>Shares</v>
          </cell>
          <cell r="D247">
            <v>102.1</v>
          </cell>
        </row>
        <row r="249">
          <cell r="B249" t="str">
            <v>Revenue</v>
          </cell>
          <cell r="C249">
            <v>-1.2219431833004668E-2</v>
          </cell>
          <cell r="D249">
            <v>9.7264391571743047E-3</v>
          </cell>
          <cell r="E249">
            <v>4.8279300510463141E-2</v>
          </cell>
        </row>
        <row r="250">
          <cell r="B250" t="str">
            <v>Gross Margin</v>
          </cell>
          <cell r="C250">
            <v>-52.400778001017166</v>
          </cell>
          <cell r="D250">
            <v>39.903577506641419</v>
          </cell>
          <cell r="E250">
            <v>72.31350123189317</v>
          </cell>
        </row>
        <row r="251">
          <cell r="B251" t="str">
            <v>Expense Ratio</v>
          </cell>
          <cell r="C251">
            <v>162.99489485176565</v>
          </cell>
          <cell r="D251">
            <v>139.69425994722619</v>
          </cell>
          <cell r="E251">
            <v>121.14643072228759</v>
          </cell>
        </row>
        <row r="252">
          <cell r="B252" t="str">
            <v>Operating Margin</v>
          </cell>
          <cell r="C252">
            <v>-191.34202325536199</v>
          </cell>
          <cell r="D252">
            <v>-74.157682659594656</v>
          </cell>
          <cell r="E252">
            <v>-20.585567856334919</v>
          </cell>
        </row>
        <row r="254">
          <cell r="B254" t="str">
            <v>P/E Valuation</v>
          </cell>
          <cell r="J254" t="str">
            <v>Ralph Lauren: Base Case Assumptions</v>
          </cell>
        </row>
        <row r="255">
          <cell r="B255" t="str">
            <v>EPS</v>
          </cell>
          <cell r="C255">
            <v>3.3923540743442406</v>
          </cell>
          <cell r="D255">
            <v>3.8195556979500398</v>
          </cell>
          <cell r="E255">
            <v>4.1322311197207835</v>
          </cell>
          <cell r="J255">
            <v>3.8195556979500398</v>
          </cell>
        </row>
        <row r="256">
          <cell r="B256" t="str">
            <v>P/E</v>
          </cell>
          <cell r="C256">
            <v>8</v>
          </cell>
          <cell r="D256">
            <v>11</v>
          </cell>
          <cell r="E256">
            <v>15</v>
          </cell>
          <cell r="G256" t="e">
            <v>#VALUE!</v>
          </cell>
        </row>
        <row r="257">
          <cell r="B257" t="str">
            <v>Scenario Price</v>
          </cell>
          <cell r="C257">
            <v>27.138832594753925</v>
          </cell>
          <cell r="D257">
            <v>42.015112677450439</v>
          </cell>
          <cell r="E257">
            <v>61.983466795811751</v>
          </cell>
        </row>
        <row r="258">
          <cell r="B258" t="str">
            <v>Ups/Downs</v>
          </cell>
          <cell r="C258" t="e">
            <v>#VALUE!</v>
          </cell>
          <cell r="D258" t="e">
            <v>#VALUE!</v>
          </cell>
          <cell r="E258" t="e">
            <v>#VALUE!</v>
          </cell>
        </row>
        <row r="260">
          <cell r="B260" t="str">
            <v>EBITDA Valuation</v>
          </cell>
        </row>
        <row r="261">
          <cell r="B261" t="str">
            <v>EBITDA</v>
          </cell>
          <cell r="C261">
            <v>772.82752298635683</v>
          </cell>
          <cell r="D261">
            <v>843.29338043227006</v>
          </cell>
          <cell r="E261">
            <v>895.18188415629652</v>
          </cell>
          <cell r="J261">
            <v>843.29338043227006</v>
          </cell>
        </row>
        <row r="262">
          <cell r="B262" t="str">
            <v>EV/EBITDA</v>
          </cell>
          <cell r="C262">
            <v>15</v>
          </cell>
          <cell r="D262">
            <v>0</v>
          </cell>
          <cell r="E262">
            <v>11</v>
          </cell>
          <cell r="G262">
            <v>6.2532186038063315</v>
          </cell>
        </row>
        <row r="263">
          <cell r="B263" t="str">
            <v>EV</v>
          </cell>
          <cell r="C263">
            <v>11592.412844795352</v>
          </cell>
          <cell r="D263">
            <v>0</v>
          </cell>
          <cell r="E263">
            <v>9847.000725719261</v>
          </cell>
        </row>
        <row r="264">
          <cell r="B264" t="str">
            <v>Implied Equity</v>
          </cell>
          <cell r="C264">
            <v>115.9002237492199</v>
          </cell>
          <cell r="D264">
            <v>2.360430950048968</v>
          </cell>
          <cell r="E264">
            <v>98.805100153959472</v>
          </cell>
        </row>
        <row r="265">
          <cell r="B265" t="str">
            <v>Ups/Downs</v>
          </cell>
          <cell r="C265" t="e">
            <v>#VALUE!</v>
          </cell>
          <cell r="D265" t="e">
            <v>#VALUE!</v>
          </cell>
          <cell r="E265" t="e">
            <v>#VALUE!</v>
          </cell>
        </row>
        <row r="267">
          <cell r="B267" t="str">
            <v>Residual Income</v>
          </cell>
        </row>
        <row r="268">
          <cell r="B268" t="str">
            <v>Val-Cur</v>
          </cell>
          <cell r="J268">
            <v>58.077356023997737</v>
          </cell>
        </row>
        <row r="270">
          <cell r="B270" t="str">
            <v>FCF Valuation</v>
          </cell>
        </row>
        <row r="271">
          <cell r="B271" t="str">
            <v>FCF Per Share</v>
          </cell>
          <cell r="C271">
            <v>5.3375916719245931</v>
          </cell>
          <cell r="D271">
            <v>5.6935077768655109</v>
          </cell>
          <cell r="E271">
            <v>5.7274157838770998</v>
          </cell>
          <cell r="J271">
            <v>5.6935077768655109</v>
          </cell>
        </row>
        <row r="272">
          <cell r="B272" t="str">
            <v>Yield</v>
          </cell>
          <cell r="C272">
            <v>7.4631248392592789E-2</v>
          </cell>
          <cell r="D272">
            <v>0.25660565759637294</v>
          </cell>
          <cell r="E272">
            <v>7.1241580076601946E-2</v>
          </cell>
        </row>
        <row r="273">
          <cell r="O273">
            <v>25.684165401014301</v>
          </cell>
          <cell r="P273">
            <v>43</v>
          </cell>
          <cell r="Q273">
            <v>71.837292762706198</v>
          </cell>
        </row>
        <row r="274">
          <cell r="C274" t="str">
            <v>Trough</v>
          </cell>
          <cell r="D274" t="str">
            <v>5-Yr.</v>
          </cell>
          <cell r="E274" t="str">
            <v>Peak</v>
          </cell>
        </row>
        <row r="275">
          <cell r="B275" t="str">
            <v>P/E</v>
          </cell>
          <cell r="C275">
            <v>7.8445747800586503</v>
          </cell>
          <cell r="D275">
            <v>16.682633413664135</v>
          </cell>
          <cell r="E275">
            <v>26.298497977869165</v>
          </cell>
          <cell r="J275">
            <v>12.263604096861393</v>
          </cell>
        </row>
        <row r="276">
          <cell r="B276" t="str">
            <v>EV/EBITDA</v>
          </cell>
          <cell r="C276">
            <v>860.82420000000002</v>
          </cell>
          <cell r="D276">
            <v>862.34718055699659</v>
          </cell>
          <cell r="E276">
            <v>821.79550000000006</v>
          </cell>
        </row>
        <row r="278">
          <cell r="B278" t="str">
            <v>Recession</v>
          </cell>
          <cell r="C278" t="str">
            <v>Trough</v>
          </cell>
          <cell r="D278" t="str">
            <v>Mean</v>
          </cell>
          <cell r="E278" t="str">
            <v>Peak</v>
          </cell>
          <cell r="G278" t="str">
            <v>Average</v>
          </cell>
        </row>
        <row r="279">
          <cell r="B279" t="str">
            <v>P/E</v>
          </cell>
          <cell r="C279">
            <v>33.450534727436931</v>
          </cell>
          <cell r="D279">
            <v>0</v>
          </cell>
          <cell r="E279">
            <v>170.30555199737367</v>
          </cell>
          <cell r="G279">
            <v>16.725267363718466</v>
          </cell>
        </row>
        <row r="280">
          <cell r="B280" t="str">
            <v>EV/EBITDA</v>
          </cell>
          <cell r="C280">
            <v>13.227056805898966</v>
          </cell>
          <cell r="D280">
            <v>0</v>
          </cell>
          <cell r="E280">
            <v>10.280584766378455</v>
          </cell>
          <cell r="G280">
            <v>6.6135284029494832</v>
          </cell>
        </row>
        <row r="283">
          <cell r="B283" t="str">
            <v>Price Targets</v>
          </cell>
          <cell r="C283">
            <v>25.684165401014301</v>
          </cell>
          <cell r="D283">
            <v>43</v>
          </cell>
          <cell r="E283">
            <v>71.837292762706198</v>
          </cell>
        </row>
        <row r="284">
          <cell r="B284" t="str">
            <v>Ups/Downs</v>
          </cell>
          <cell r="C284" t="e">
            <v>#VALUE!</v>
          </cell>
          <cell r="D284" t="e">
            <v>#VALUE!</v>
          </cell>
          <cell r="E284" t="e">
            <v>#VALUE!</v>
          </cell>
        </row>
        <row r="285">
          <cell r="C285">
            <v>7.571192404489552</v>
          </cell>
          <cell r="D285">
            <v>11.257853897268248</v>
          </cell>
          <cell r="E285">
            <v>17.384626048593397</v>
          </cell>
        </row>
      </sheetData>
      <sheetData sheetId="9">
        <row r="1">
          <cell r="R1" t="str">
            <v>SmartCharts</v>
          </cell>
          <cell r="BN1" t="str">
            <v>.</v>
          </cell>
        </row>
        <row r="2">
          <cell r="BN2" t="str">
            <v>.</v>
          </cell>
        </row>
        <row r="3">
          <cell r="BN3" t="str">
            <v>.</v>
          </cell>
        </row>
        <row r="9">
          <cell r="D9" t="str">
            <v>Input values in white cells:</v>
          </cell>
        </row>
        <row r="10">
          <cell r="AF10">
            <v>6130.6740333953476</v>
          </cell>
        </row>
        <row r="11">
          <cell r="C11" t="str">
            <v>Base case:</v>
          </cell>
          <cell r="D11">
            <v>22</v>
          </cell>
          <cell r="AF11">
            <v>0.1</v>
          </cell>
        </row>
        <row r="13">
          <cell r="C13" t="str">
            <v>Current price:</v>
          </cell>
          <cell r="D13">
            <v>14.15</v>
          </cell>
          <cell r="AE13">
            <v>-4.9399999999999977</v>
          </cell>
        </row>
        <row r="14">
          <cell r="AE14">
            <v>6170.7696480537052</v>
          </cell>
        </row>
        <row r="15">
          <cell r="C15" t="str">
            <v>Price target:</v>
          </cell>
          <cell r="D15">
            <v>22</v>
          </cell>
        </row>
        <row r="17">
          <cell r="AE17" t="str">
            <v>Bear</v>
          </cell>
          <cell r="AG17" t="str">
            <v>Base</v>
          </cell>
          <cell r="AJ17" t="str">
            <v>Bull</v>
          </cell>
        </row>
        <row r="18">
          <cell r="E18" t="str">
            <v>Input your Bull/Bear data below:</v>
          </cell>
          <cell r="AD18">
            <v>6165.9792177678301</v>
          </cell>
          <cell r="AE18">
            <v>6165.9792177678301</v>
          </cell>
          <cell r="AG18">
            <v>40</v>
          </cell>
          <cell r="AJ18">
            <v>6130.6740333953476</v>
          </cell>
          <cell r="AL18">
            <v>6130.6740333953476</v>
          </cell>
        </row>
        <row r="19">
          <cell r="E19" t="str">
            <v>(Input "to Bear" values as negatives)</v>
          </cell>
          <cell r="AE19" t="str">
            <v>bear_labels</v>
          </cell>
          <cell r="AF19" t="str">
            <v>-bear</v>
          </cell>
          <cell r="AG19" t="str">
            <v>-space1</v>
          </cell>
          <cell r="AH19" t="str">
            <v>+space1</v>
          </cell>
          <cell r="AI19" t="str">
            <v>+bull</v>
          </cell>
          <cell r="AJ19" t="str">
            <v>bull_labels</v>
          </cell>
        </row>
        <row r="20">
          <cell r="D20" t="str">
            <v>to Bear</v>
          </cell>
          <cell r="E20" t="str">
            <v>to Bull</v>
          </cell>
        </row>
        <row r="21">
          <cell r="C21" t="str">
            <v>Global Expansion</v>
          </cell>
          <cell r="D21">
            <v>6170.7696480537052</v>
          </cell>
          <cell r="E21">
            <v>6125.839446330172</v>
          </cell>
          <cell r="AE21">
            <v>-613.06740333953474</v>
          </cell>
          <cell r="AF21">
            <v>6170.7696480537052</v>
          </cell>
          <cell r="AG21">
            <v>0</v>
          </cell>
          <cell r="AH21">
            <v>0</v>
          </cell>
          <cell r="AI21">
            <v>6125.839446330172</v>
          </cell>
          <cell r="AJ21">
            <v>613.06740333953474</v>
          </cell>
          <cell r="AK21">
            <v>6738.9068496697064</v>
          </cell>
        </row>
        <row r="22">
          <cell r="C22" t="str">
            <v>Margin Strength</v>
          </cell>
          <cell r="D22">
            <v>0.14956971412449871</v>
          </cell>
          <cell r="E22">
            <v>-0.10541293482405914</v>
          </cell>
          <cell r="AE22">
            <v>-613.06740333953474</v>
          </cell>
          <cell r="AF22">
            <v>0.14956971412449871</v>
          </cell>
          <cell r="AG22">
            <v>6170.7696480537052</v>
          </cell>
          <cell r="AH22">
            <v>6125.839446330172</v>
          </cell>
          <cell r="AI22">
            <v>-0.10541293482405914</v>
          </cell>
          <cell r="AJ22">
            <v>613.06740333953474</v>
          </cell>
          <cell r="AK22">
            <v>6738.8014367348824</v>
          </cell>
        </row>
        <row r="23">
          <cell r="C23" t="str">
            <v>Multiple</v>
          </cell>
          <cell r="D23">
            <v>-4.9399999999999977</v>
          </cell>
          <cell r="E23">
            <v>4.9400000000000013</v>
          </cell>
          <cell r="AE23">
            <v>-613.06740333953474</v>
          </cell>
          <cell r="AF23">
            <v>-4.9399999999999977</v>
          </cell>
          <cell r="AG23">
            <v>6170.9192177678297</v>
          </cell>
          <cell r="AH23">
            <v>6125.734033395348</v>
          </cell>
          <cell r="AI23">
            <v>4.9400000000000013</v>
          </cell>
          <cell r="AJ23">
            <v>613.06740333953474</v>
          </cell>
          <cell r="AK23">
            <v>6743.741436734882</v>
          </cell>
          <cell r="AN23" t="str">
            <v/>
          </cell>
        </row>
        <row r="24">
          <cell r="AE24">
            <v>-613.06740333953474</v>
          </cell>
          <cell r="AF24">
            <v>0</v>
          </cell>
          <cell r="AG24">
            <v>6165.9792177678301</v>
          </cell>
          <cell r="AH24">
            <v>6130.6740333953476</v>
          </cell>
          <cell r="AI24">
            <v>0</v>
          </cell>
          <cell r="AJ24" t="str">
            <v/>
          </cell>
          <cell r="AK24">
            <v>6130.6740333953476</v>
          </cell>
          <cell r="AN24" t="str">
            <v/>
          </cell>
        </row>
        <row r="25">
          <cell r="AE25">
            <v>-613.06740333953474</v>
          </cell>
          <cell r="AF25">
            <v>0</v>
          </cell>
          <cell r="AG25">
            <v>6165.9792177678301</v>
          </cell>
          <cell r="AH25">
            <v>6130.6740333953476</v>
          </cell>
          <cell r="AI25">
            <v>0</v>
          </cell>
          <cell r="AJ25" t="str">
            <v/>
          </cell>
          <cell r="AK25">
            <v>6130.6740333953476</v>
          </cell>
          <cell r="AN25" t="str">
            <v>Current
14.15</v>
          </cell>
        </row>
        <row r="26">
          <cell r="AE26">
            <v>-613.06740333953474</v>
          </cell>
          <cell r="AF26">
            <v>0</v>
          </cell>
          <cell r="AG26">
            <v>6165.9792177678301</v>
          </cell>
          <cell r="AH26">
            <v>6130.6740333953476</v>
          </cell>
          <cell r="AI26">
            <v>0</v>
          </cell>
          <cell r="AJ26" t="str">
            <v/>
          </cell>
          <cell r="AK26">
            <v>6130.6740333953476</v>
          </cell>
          <cell r="AN26" t="str">
            <v/>
          </cell>
        </row>
        <row r="27">
          <cell r="D27">
            <v>6187.9792177678301</v>
          </cell>
          <cell r="E27">
            <v>6152.6740333953476</v>
          </cell>
          <cell r="AG27">
            <v>0</v>
          </cell>
          <cell r="AH27">
            <v>6130.6740333953476</v>
          </cell>
          <cell r="AN27" t="str">
            <v/>
          </cell>
        </row>
        <row r="28">
          <cell r="D28" t="str">
            <v>BEAR</v>
          </cell>
          <cell r="E28" t="str">
            <v>BULL</v>
          </cell>
          <cell r="AN28" t="str">
            <v/>
          </cell>
        </row>
        <row r="30">
          <cell r="C30" t="str">
            <v>Select currency here:</v>
          </cell>
          <cell r="AE30" t="str">
            <v>-space1</v>
          </cell>
          <cell r="AF30" t="str">
            <v>-bear</v>
          </cell>
          <cell r="AG30" t="str">
            <v>bear_labels</v>
          </cell>
          <cell r="AH30" t="str">
            <v>+space1</v>
          </cell>
          <cell r="AI30" t="str">
            <v>+bull</v>
          </cell>
          <cell r="AJ30" t="str">
            <v>bull_labels</v>
          </cell>
          <cell r="AK30" t="str">
            <v>Bear 6187.98</v>
          </cell>
          <cell r="AL30" t="str">
            <v>Target  22.00</v>
          </cell>
          <cell r="AM30" t="str">
            <v>Bull 6152.67</v>
          </cell>
          <cell r="AN30" t="str">
            <v>Current
14.15</v>
          </cell>
          <cell r="AP30" t="str">
            <v/>
          </cell>
        </row>
        <row r="32">
          <cell r="E32" t="str">
            <v/>
          </cell>
          <cell r="AD32" t="str">
            <v>Global Expansion</v>
          </cell>
          <cell r="AE32">
            <v>0</v>
          </cell>
          <cell r="AF32">
            <v>6170.7696480537052</v>
          </cell>
          <cell r="AH32">
            <v>0</v>
          </cell>
          <cell r="AI32">
            <v>6125.839446330172</v>
          </cell>
          <cell r="AJ32">
            <v>613.06740333953474</v>
          </cell>
          <cell r="AK32">
            <v>6165.9792177678301</v>
          </cell>
          <cell r="AL32">
            <v>0</v>
          </cell>
          <cell r="AM32">
            <v>6130.6740333953476</v>
          </cell>
          <cell r="AN32">
            <v>-7.85</v>
          </cell>
          <cell r="AP32">
            <v>0</v>
          </cell>
        </row>
        <row r="33">
          <cell r="D33" t="str">
            <v>other currency</v>
          </cell>
          <cell r="AD33" t="str">
            <v>Margin Strength</v>
          </cell>
          <cell r="AE33">
            <v>6170.7696480537052</v>
          </cell>
          <cell r="AF33">
            <v>0.14956971412449871</v>
          </cell>
          <cell r="AH33">
            <v>6125.839446330172</v>
          </cell>
          <cell r="AI33">
            <v>-0.10541293482405914</v>
          </cell>
          <cell r="AJ33">
            <v>613.06740333953474</v>
          </cell>
          <cell r="AK33">
            <v>6165.9792177678301</v>
          </cell>
          <cell r="AL33">
            <v>0</v>
          </cell>
          <cell r="AM33">
            <v>6130.6740333953476</v>
          </cell>
          <cell r="AN33">
            <v>-7.85</v>
          </cell>
        </row>
        <row r="34">
          <cell r="AD34" t="str">
            <v>Multiple</v>
          </cell>
          <cell r="AE34">
            <v>6170.9192177678297</v>
          </cell>
          <cell r="AF34">
            <v>-4.9399999999999977</v>
          </cell>
          <cell r="AH34">
            <v>6125.734033395348</v>
          </cell>
          <cell r="AI34">
            <v>4.9400000000000013</v>
          </cell>
          <cell r="AJ34">
            <v>613.06740333953474</v>
          </cell>
          <cell r="AK34">
            <v>6165.9792177678301</v>
          </cell>
          <cell r="AL34">
            <v>0</v>
          </cell>
          <cell r="AM34">
            <v>6130.6740333953476</v>
          </cell>
          <cell r="AN34">
            <v>-7.85</v>
          </cell>
        </row>
        <row r="35">
          <cell r="AD35" t="str">
            <v/>
          </cell>
          <cell r="AE35">
            <v>6165.9792177678301</v>
          </cell>
          <cell r="AF35" t="str">
            <v/>
          </cell>
          <cell r="AH35">
            <v>6130.6740333953476</v>
          </cell>
          <cell r="AI35">
            <v>0</v>
          </cell>
          <cell r="AJ35" t="str">
            <v/>
          </cell>
          <cell r="AK35">
            <v>6165.9792177678301</v>
          </cell>
          <cell r="AL35">
            <v>0</v>
          </cell>
          <cell r="AM35">
            <v>6130.6740333953476</v>
          </cell>
          <cell r="AN35">
            <v>-7.85</v>
          </cell>
        </row>
        <row r="36">
          <cell r="AD36" t="str">
            <v/>
          </cell>
          <cell r="AE36">
            <v>6165.9792177678301</v>
          </cell>
          <cell r="AF36" t="str">
            <v/>
          </cell>
          <cell r="AH36">
            <v>6130.6740333953476</v>
          </cell>
          <cell r="AI36">
            <v>0</v>
          </cell>
          <cell r="AJ36" t="str">
            <v/>
          </cell>
          <cell r="AK36">
            <v>6165.9792177678301</v>
          </cell>
          <cell r="AL36">
            <v>0</v>
          </cell>
          <cell r="AM36">
            <v>6130.6740333953476</v>
          </cell>
          <cell r="AN36">
            <v>-7.85</v>
          </cell>
        </row>
        <row r="37">
          <cell r="AD37" t="str">
            <v/>
          </cell>
          <cell r="AE37">
            <v>6165.9792177678301</v>
          </cell>
          <cell r="AF37" t="str">
            <v/>
          </cell>
          <cell r="AH37">
            <v>6130.6740333953476</v>
          </cell>
          <cell r="AI37">
            <v>0</v>
          </cell>
          <cell r="AJ37" t="str">
            <v/>
          </cell>
          <cell r="AK37">
            <v>6165.9792177678301</v>
          </cell>
          <cell r="AL37">
            <v>0</v>
          </cell>
          <cell r="AM37">
            <v>6130.6740333953476</v>
          </cell>
          <cell r="AN37">
            <v>-7.85</v>
          </cell>
        </row>
        <row r="38">
          <cell r="H38" t="str">
            <v>click here for link to SmartChart FAQ</v>
          </cell>
          <cell r="AK38">
            <v>6165.9792177678301</v>
          </cell>
          <cell r="AL38">
            <v>0</v>
          </cell>
          <cell r="AM38">
            <v>6130.6740333953476</v>
          </cell>
          <cell r="AN38">
            <v>-7.85</v>
          </cell>
        </row>
        <row r="39">
          <cell r="AK39">
            <v>6165.9792177678301</v>
          </cell>
          <cell r="AL39">
            <v>0</v>
          </cell>
          <cell r="AM39">
            <v>6130.6740333953476</v>
          </cell>
          <cell r="AN39">
            <v>-7.85</v>
          </cell>
        </row>
        <row r="40">
          <cell r="G40" t="str">
            <v>Do not change the width of the exhibit or font sizes (they are optimized for export to Word).</v>
          </cell>
        </row>
        <row r="41">
          <cell r="AC41">
            <v>1</v>
          </cell>
          <cell r="AD41" t="str">
            <v>U.S. Dollars</v>
          </cell>
          <cell r="AE41">
            <v>1</v>
          </cell>
          <cell r="AG41" t="str">
            <v>All values are in U.S. Dollars</v>
          </cell>
        </row>
        <row r="42">
          <cell r="G42" t="str">
            <v>Do not delete any rows or columns (some gray cells are used for calculations).</v>
          </cell>
          <cell r="AC42">
            <v>2</v>
          </cell>
          <cell r="AD42" t="str">
            <v>Euros</v>
          </cell>
        </row>
        <row r="43">
          <cell r="AC43">
            <v>3</v>
          </cell>
          <cell r="AD43" t="str">
            <v>Japanese Yen</v>
          </cell>
        </row>
        <row r="44">
          <cell r="G44" t="str">
            <v>You can move the worksheet into another workbook (please use MOVE; do not COPY)</v>
          </cell>
          <cell r="AC44">
            <v>4</v>
          </cell>
          <cell r="AD44" t="str">
            <v>Other (input below)</v>
          </cell>
        </row>
        <row r="46">
          <cell r="G46" t="str">
            <v>Color palette may be affected after moving the worksheet to another workbook. See instructions in FAQ on the intranet</v>
          </cell>
        </row>
        <row r="49">
          <cell r="L49" t="str">
            <v>Bear</v>
          </cell>
          <cell r="M49" t="str">
            <v>Base</v>
          </cell>
          <cell r="N49" t="str">
            <v>Bull</v>
          </cell>
          <cell r="AK49" t="str">
            <v>s</v>
          </cell>
        </row>
        <row r="50">
          <cell r="J50" t="str">
            <v>Revenues</v>
          </cell>
          <cell r="L50">
            <v>212.3175238670191</v>
          </cell>
          <cell r="M50">
            <v>2022.5584557033394</v>
          </cell>
          <cell r="N50">
            <v>225.49813096701911</v>
          </cell>
        </row>
        <row r="51">
          <cell r="J51" t="str">
            <v>Gross Margin</v>
          </cell>
          <cell r="L51">
            <v>-23.812190517260888</v>
          </cell>
          <cell r="M51">
            <v>-23.812726947840115</v>
          </cell>
          <cell r="N51">
            <v>-23.813105010484797</v>
          </cell>
        </row>
        <row r="52">
          <cell r="J52" t="str">
            <v>Gross Profit</v>
          </cell>
          <cell r="L52">
            <v>-5055.7453284745443</v>
          </cell>
          <cell r="M52">
            <v>-48162.632241708801</v>
          </cell>
          <cell r="N52">
            <v>-5369.8106723856799</v>
          </cell>
        </row>
        <row r="53">
          <cell r="J53" t="str">
            <v>Expense Ratio</v>
          </cell>
          <cell r="L53">
            <v>6.6772102905653528</v>
          </cell>
          <cell r="M53">
            <v>0.90403084684786683</v>
          </cell>
          <cell r="N53">
            <v>7.2977144793772037</v>
          </cell>
        </row>
        <row r="54">
          <cell r="J54" t="str">
            <v>Expenses</v>
          </cell>
          <cell r="L54">
            <v>1417.6887552322148</v>
          </cell>
          <cell r="M54">
            <v>1828.4552335088038</v>
          </cell>
          <cell r="N54">
            <v>1645.6209754305123</v>
          </cell>
        </row>
        <row r="55">
          <cell r="J55" t="str">
            <v>Operating Margin</v>
          </cell>
          <cell r="L55">
            <v>2</v>
          </cell>
          <cell r="M55">
            <v>2</v>
          </cell>
          <cell r="N55">
            <v>2</v>
          </cell>
        </row>
        <row r="56">
          <cell r="J56" t="str">
            <v>Operating Profit</v>
          </cell>
          <cell r="L56">
            <v>-6473.4340837067593</v>
          </cell>
          <cell r="M56">
            <v>-49991.087475217602</v>
          </cell>
          <cell r="N56">
            <v>-7015.4316478161927</v>
          </cell>
        </row>
        <row r="57">
          <cell r="J57" t="str">
            <v>Other Expenses</v>
          </cell>
          <cell r="L57">
            <v>21</v>
          </cell>
          <cell r="M57">
            <v>21</v>
          </cell>
          <cell r="N57">
            <v>21</v>
          </cell>
        </row>
        <row r="58">
          <cell r="J58" t="str">
            <v>PBT</v>
          </cell>
          <cell r="L58">
            <v>-6494.4340837067593</v>
          </cell>
          <cell r="M58">
            <v>-50012.087475217602</v>
          </cell>
          <cell r="N58">
            <v>-7036.4316478161927</v>
          </cell>
        </row>
        <row r="59">
          <cell r="J59" t="str">
            <v>Taxes</v>
          </cell>
          <cell r="L59">
            <v>-1883.3858842749623</v>
          </cell>
          <cell r="M59">
            <v>-14503.505367813121</v>
          </cell>
          <cell r="N59">
            <v>-2040.5651778666981</v>
          </cell>
        </row>
        <row r="60">
          <cell r="J60" t="str">
            <v>Net Income</v>
          </cell>
          <cell r="L60">
            <v>-4611.048199431797</v>
          </cell>
          <cell r="M60">
            <v>-35508.58210740448</v>
          </cell>
          <cell r="N60">
            <v>-4995.8664699494948</v>
          </cell>
        </row>
        <row r="61">
          <cell r="J61" t="str">
            <v>EPS</v>
          </cell>
          <cell r="L61">
            <v>1.87</v>
          </cell>
          <cell r="M61">
            <v>2.4700000000000002</v>
          </cell>
          <cell r="N61">
            <v>2.74</v>
          </cell>
        </row>
        <row r="62">
          <cell r="L62">
            <v>-101.34818620303524</v>
          </cell>
          <cell r="M62">
            <v>-768.52777903632079</v>
          </cell>
          <cell r="N62">
            <v>-110.52020819742835</v>
          </cell>
        </row>
        <row r="63">
          <cell r="J63" t="str">
            <v>Tax Rate</v>
          </cell>
          <cell r="L63">
            <v>0.29000000000000031</v>
          </cell>
          <cell r="M63">
            <v>0.29000000000000031</v>
          </cell>
          <cell r="N63">
            <v>0.29000000000000031</v>
          </cell>
        </row>
        <row r="64">
          <cell r="J64" t="str">
            <v>Shares</v>
          </cell>
          <cell r="L64">
            <v>46.352354977810265</v>
          </cell>
          <cell r="M64">
            <v>46.352354977810265</v>
          </cell>
          <cell r="N64">
            <v>46.352354977810265</v>
          </cell>
        </row>
        <row r="66">
          <cell r="J66" t="str">
            <v>Revenues</v>
          </cell>
          <cell r="L66">
            <v>685.6410720059672</v>
          </cell>
          <cell r="M66">
            <v>0</v>
          </cell>
          <cell r="N66">
            <v>680.64882737001915</v>
          </cell>
        </row>
        <row r="67">
          <cell r="J67" t="str">
            <v>Gross Margin</v>
          </cell>
          <cell r="L67">
            <v>1.6618857124944302E-2</v>
          </cell>
          <cell r="M67">
            <v>0</v>
          </cell>
          <cell r="N67">
            <v>-1.1712548313784349E-2</v>
          </cell>
        </row>
        <row r="68">
          <cell r="J68" t="str">
            <v>Expenses</v>
          </cell>
          <cell r="L68">
            <v>-178.85565820979414</v>
          </cell>
          <cell r="M68">
            <v>0</v>
          </cell>
          <cell r="N68">
            <v>-198.0791530264415</v>
          </cell>
        </row>
        <row r="69">
          <cell r="J69" t="str">
            <v>Operating Profit</v>
          </cell>
          <cell r="L69">
            <v>506.80203265329806</v>
          </cell>
          <cell r="M69">
            <v>0</v>
          </cell>
          <cell r="N69">
            <v>482.55796179526385</v>
          </cell>
        </row>
        <row r="70">
          <cell r="J70" t="str">
            <v>Other</v>
          </cell>
          <cell r="L70">
            <v>-507.40203265329808</v>
          </cell>
          <cell r="M70">
            <v>0</v>
          </cell>
          <cell r="N70">
            <v>-482.28796179526387</v>
          </cell>
        </row>
        <row r="71">
          <cell r="J71" t="str">
            <v>TOTAL</v>
          </cell>
          <cell r="L71">
            <v>-0.60000000000002274</v>
          </cell>
          <cell r="M71">
            <v>0</v>
          </cell>
          <cell r="N71">
            <v>0.26999999999998181</v>
          </cell>
        </row>
        <row r="72">
          <cell r="L72">
            <v>-0.60000000000000009</v>
          </cell>
          <cell r="N72">
            <v>0.27</v>
          </cell>
        </row>
        <row r="74">
          <cell r="J74" t="str">
            <v>Multiple</v>
          </cell>
          <cell r="L74">
            <v>7</v>
          </cell>
          <cell r="M74">
            <v>9</v>
          </cell>
          <cell r="N74">
            <v>11</v>
          </cell>
        </row>
        <row r="75">
          <cell r="J75" t="str">
            <v>Target</v>
          </cell>
          <cell r="L75">
            <v>13.3143286066726</v>
          </cell>
          <cell r="M75">
            <v>22</v>
          </cell>
          <cell r="N75">
            <v>30.153107432493702</v>
          </cell>
        </row>
        <row r="77">
          <cell r="J77" t="str">
            <v>Drivers</v>
          </cell>
        </row>
        <row r="78">
          <cell r="J78" t="str">
            <v>Revenues</v>
          </cell>
          <cell r="L78">
            <v>6170.7696480537052</v>
          </cell>
          <cell r="N78">
            <v>6125.839446330172</v>
          </cell>
        </row>
        <row r="79">
          <cell r="J79" t="str">
            <v>Gross Margin</v>
          </cell>
          <cell r="L79">
            <v>0.14956971412449871</v>
          </cell>
          <cell r="N79">
            <v>-0.10541293482405914</v>
          </cell>
        </row>
        <row r="80">
          <cell r="J80" t="str">
            <v>Expenses</v>
          </cell>
          <cell r="L80">
            <v>-1609.7009238881474</v>
          </cell>
          <cell r="N80">
            <v>-1782.7123772379734</v>
          </cell>
        </row>
        <row r="81">
          <cell r="J81" t="str">
            <v>Operating Profit</v>
          </cell>
          <cell r="L81">
            <v>4561.2182938796823</v>
          </cell>
          <cell r="N81">
            <v>4343.0216561573743</v>
          </cell>
        </row>
        <row r="82">
          <cell r="J82" t="str">
            <v>Other</v>
          </cell>
          <cell r="L82">
            <v>-4566.6182938796828</v>
          </cell>
          <cell r="N82">
            <v>-4340.5916561573749</v>
          </cell>
        </row>
        <row r="83">
          <cell r="J83" t="str">
            <v>TOTAL</v>
          </cell>
          <cell r="L83">
            <v>-5.4000000000005457</v>
          </cell>
          <cell r="N83">
            <v>2.4299999999993815</v>
          </cell>
        </row>
        <row r="84">
          <cell r="J84" t="str">
            <v>Multiple</v>
          </cell>
          <cell r="L84">
            <v>-4.9399999999999977</v>
          </cell>
          <cell r="N84">
            <v>4.9400000000000013</v>
          </cell>
        </row>
        <row r="85">
          <cell r="J85" t="str">
            <v>TOTAL</v>
          </cell>
          <cell r="L85">
            <v>-10.340000000000543</v>
          </cell>
          <cell r="N85">
            <v>7.3699999999993828</v>
          </cell>
        </row>
        <row r="86">
          <cell r="J86" t="str">
            <v>Check</v>
          </cell>
          <cell r="L86">
            <v>-8.6856713933274001</v>
          </cell>
          <cell r="N86">
            <v>8.1531074324937016</v>
          </cell>
        </row>
      </sheetData>
      <sheetData sheetId="10"/>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000"/>
      <sheetName val="traffic"/>
      <sheetName val="SGA core info"/>
      <sheetName val="Sensitivity 2"/>
      <sheetName val="Sensitivity 2 summary table"/>
      <sheetName val="2 year comp"/>
      <sheetName val="Sensitivity 1 scrap "/>
      <sheetName val="Overlaps Summary"/>
      <sheetName val="Merchandise margins at Gap"/>
      <sheetName val="operating margins at Gap"/>
    </sheetNames>
    <sheetDataSet>
      <sheetData sheetId="0">
        <row r="1">
          <cell r="N1" t="str">
            <v>SmartCharts</v>
          </cell>
          <cell r="AW1" t="str">
            <v>.</v>
          </cell>
        </row>
        <row r="2">
          <cell r="AW2" t="str">
            <v>.</v>
          </cell>
        </row>
        <row r="3">
          <cell r="AW3" t="str">
            <v>.</v>
          </cell>
        </row>
        <row r="4">
          <cell r="AW4" t="str">
            <v>.</v>
          </cell>
        </row>
        <row r="5">
          <cell r="C5" t="str">
            <v>Define value axis here:</v>
          </cell>
        </row>
        <row r="6">
          <cell r="C6" t="str">
            <v>Gap, Inc. SG&amp;A per Sqaure Foot</v>
          </cell>
        </row>
        <row r="10">
          <cell r="C10" t="str">
            <v>Input your data here:</v>
          </cell>
          <cell r="AW10" t="str">
            <v>.</v>
          </cell>
        </row>
        <row r="11">
          <cell r="C11" t="str">
            <v>Q104</v>
          </cell>
          <cell r="D11">
            <v>113.55540448674371</v>
          </cell>
        </row>
        <row r="12">
          <cell r="C12" t="str">
            <v>Q204</v>
          </cell>
          <cell r="D12">
            <v>116.44808743169398</v>
          </cell>
          <cell r="AW12" t="str">
            <v>.</v>
          </cell>
        </row>
        <row r="13">
          <cell r="C13" t="str">
            <v>Q304</v>
          </cell>
          <cell r="D13">
            <v>117.67918088737201</v>
          </cell>
          <cell r="AW13" t="str">
            <v>.</v>
          </cell>
        </row>
        <row r="14">
          <cell r="C14" t="str">
            <v>Q404</v>
          </cell>
          <cell r="D14">
            <v>117.21691678035471</v>
          </cell>
          <cell r="AW14" t="str">
            <v>.</v>
          </cell>
        </row>
        <row r="15">
          <cell r="C15" t="str">
            <v>Q105</v>
          </cell>
          <cell r="D15">
            <v>117.46766507828454</v>
          </cell>
          <cell r="AW15" t="str">
            <v>.</v>
          </cell>
        </row>
        <row r="16">
          <cell r="C16" t="str">
            <v>Q205</v>
          </cell>
          <cell r="D16">
            <v>116.88346883468836</v>
          </cell>
          <cell r="AW16" t="str">
            <v>.</v>
          </cell>
        </row>
        <row r="17">
          <cell r="C17" t="str">
            <v>Q305</v>
          </cell>
          <cell r="D17">
            <v>113.89784946236558</v>
          </cell>
          <cell r="AW17" t="str">
            <v>.</v>
          </cell>
        </row>
        <row r="18">
          <cell r="C18" t="str">
            <v>Q405</v>
          </cell>
          <cell r="D18">
            <v>111.6</v>
          </cell>
          <cell r="AW18" t="str">
            <v>.</v>
          </cell>
        </row>
        <row r="19">
          <cell r="C19" t="str">
            <v>Q106</v>
          </cell>
          <cell r="D19">
            <v>110.34391534391536</v>
          </cell>
          <cell r="AW19" t="str">
            <v>.</v>
          </cell>
        </row>
        <row r="20">
          <cell r="C20" t="str">
            <v>Q206</v>
          </cell>
          <cell r="D20">
            <v>111.0761154855643</v>
          </cell>
          <cell r="AW20" t="str">
            <v>.</v>
          </cell>
        </row>
        <row r="21">
          <cell r="C21" t="str">
            <v>Q306</v>
          </cell>
          <cell r="D21">
            <v>114.17374265186153</v>
          </cell>
          <cell r="AW21" t="str">
            <v>.</v>
          </cell>
        </row>
        <row r="22">
          <cell r="C22" t="str">
            <v>Q406</v>
          </cell>
          <cell r="D22">
            <v>116.05962410887879</v>
          </cell>
          <cell r="AW22" t="str">
            <v>.</v>
          </cell>
        </row>
        <row r="23">
          <cell r="C23" t="str">
            <v>Q107</v>
          </cell>
          <cell r="D23">
            <v>116.37709137709138</v>
          </cell>
          <cell r="AW23" t="str">
            <v>.</v>
          </cell>
        </row>
        <row r="24">
          <cell r="C24" t="str">
            <v>Q207</v>
          </cell>
          <cell r="D24">
            <v>114.25463851567497</v>
          </cell>
          <cell r="AW24" t="str">
            <v>.</v>
          </cell>
        </row>
        <row r="25">
          <cell r="C25" t="str">
            <v>Q307</v>
          </cell>
          <cell r="D25">
            <v>111.47040101845958</v>
          </cell>
          <cell r="AW25" t="str">
            <v>.</v>
          </cell>
        </row>
        <row r="26">
          <cell r="C26" t="str">
            <v>Q407</v>
          </cell>
          <cell r="D26">
            <v>110.20925808497147</v>
          </cell>
          <cell r="AW26" t="str">
            <v>.</v>
          </cell>
        </row>
        <row r="27">
          <cell r="C27" t="str">
            <v>Q108</v>
          </cell>
          <cell r="D27">
            <v>107.58686039166139</v>
          </cell>
          <cell r="AW27" t="str">
            <v>.</v>
          </cell>
        </row>
        <row r="28">
          <cell r="C28" t="str">
            <v>Q208</v>
          </cell>
          <cell r="D28">
            <v>105.94833018273472</v>
          </cell>
          <cell r="AW28" t="str">
            <v>.</v>
          </cell>
        </row>
        <row r="29">
          <cell r="C29" t="str">
            <v>Q308</v>
          </cell>
          <cell r="D29">
            <v>103.60201511335012</v>
          </cell>
          <cell r="AW29" t="str">
            <v>.</v>
          </cell>
        </row>
        <row r="30">
          <cell r="C30" t="str">
            <v>Q408</v>
          </cell>
          <cell r="D30">
            <v>98.273471959672349</v>
          </cell>
          <cell r="AW30" t="str">
            <v>.</v>
          </cell>
        </row>
        <row r="31">
          <cell r="C31" t="str">
            <v>Q109</v>
          </cell>
          <cell r="D31">
            <v>96.616161616161619</v>
          </cell>
          <cell r="AW31" t="str">
            <v>.</v>
          </cell>
        </row>
        <row r="32">
          <cell r="C32" t="str">
            <v>Q209</v>
          </cell>
          <cell r="D32">
            <v>95.423514538558791</v>
          </cell>
          <cell r="AW32" t="str">
            <v>.</v>
          </cell>
        </row>
        <row r="33">
          <cell r="C33" t="str">
            <v>Q309E</v>
          </cell>
          <cell r="D33">
            <v>96.496514758303874</v>
          </cell>
          <cell r="AW33" t="str">
            <v>.</v>
          </cell>
        </row>
        <row r="34">
          <cell r="C34" t="str">
            <v>Q409E</v>
          </cell>
          <cell r="D34">
            <v>98.614359976164863</v>
          </cell>
          <cell r="AW34" t="str">
            <v>.</v>
          </cell>
        </row>
        <row r="35">
          <cell r="AW35" t="str">
            <v>.</v>
          </cell>
        </row>
        <row r="36">
          <cell r="AW36" t="str">
            <v>.</v>
          </cell>
        </row>
        <row r="37">
          <cell r="AW37" t="str">
            <v>.</v>
          </cell>
        </row>
        <row r="38">
          <cell r="AW38" t="str">
            <v>.</v>
          </cell>
        </row>
        <row r="39">
          <cell r="AW39" t="str">
            <v>.</v>
          </cell>
        </row>
        <row r="40">
          <cell r="AW40" t="str">
            <v>.</v>
          </cell>
        </row>
        <row r="41">
          <cell r="AW41" t="str">
            <v>.</v>
          </cell>
        </row>
        <row r="42">
          <cell r="AW42" t="str">
            <v>.</v>
          </cell>
        </row>
        <row r="43">
          <cell r="AW43" t="str">
            <v>.</v>
          </cell>
        </row>
        <row r="44">
          <cell r="AW44" t="str">
            <v>.</v>
          </cell>
        </row>
        <row r="45">
          <cell r="AW45" t="str">
            <v>.</v>
          </cell>
        </row>
        <row r="46">
          <cell r="AW46" t="str">
            <v>.</v>
          </cell>
        </row>
        <row r="47">
          <cell r="AW47" t="str">
            <v>.</v>
          </cell>
        </row>
        <row r="48">
          <cell r="AW48" t="str">
            <v>.</v>
          </cell>
        </row>
        <row r="49">
          <cell r="AW49" t="str">
            <v>.</v>
          </cell>
        </row>
        <row r="50">
          <cell r="AW50" t="str">
            <v>.</v>
          </cell>
        </row>
        <row r="51">
          <cell r="AW51" t="str">
            <v>.</v>
          </cell>
        </row>
        <row r="52">
          <cell r="AW52" t="str">
            <v>.</v>
          </cell>
        </row>
        <row r="53">
          <cell r="AW53" t="str">
            <v>.</v>
          </cell>
        </row>
        <row r="54">
          <cell r="AW54" t="str">
            <v>.</v>
          </cell>
        </row>
        <row r="55">
          <cell r="AW55" t="str">
            <v>.</v>
          </cell>
        </row>
        <row r="56">
          <cell r="AW56" t="str">
            <v>.</v>
          </cell>
        </row>
        <row r="57">
          <cell r="AW57" t="str">
            <v>.</v>
          </cell>
        </row>
        <row r="58">
          <cell r="AW58" t="str">
            <v>.</v>
          </cell>
        </row>
        <row r="59">
          <cell r="AW59" t="str">
            <v>.</v>
          </cell>
        </row>
        <row r="60">
          <cell r="AW60" t="str">
            <v>.</v>
          </cell>
        </row>
        <row r="61">
          <cell r="AW61" t="str">
            <v>.</v>
          </cell>
        </row>
        <row r="62">
          <cell r="AW62" t="str">
            <v>.</v>
          </cell>
        </row>
        <row r="63">
          <cell r="AW63" t="str">
            <v>.</v>
          </cell>
        </row>
        <row r="64">
          <cell r="AW64" t="str">
            <v>.</v>
          </cell>
        </row>
        <row r="65">
          <cell r="AW65" t="str">
            <v>.</v>
          </cell>
        </row>
        <row r="66">
          <cell r="AW66" t="str">
            <v>.</v>
          </cell>
        </row>
        <row r="67">
          <cell r="AW67" t="str">
            <v>.</v>
          </cell>
        </row>
        <row r="68">
          <cell r="AW68" t="str">
            <v>.</v>
          </cell>
        </row>
        <row r="69">
          <cell r="AW69" t="str">
            <v>.</v>
          </cell>
        </row>
        <row r="70">
          <cell r="AW70" t="str">
            <v>.</v>
          </cell>
        </row>
        <row r="71">
          <cell r="AW71" t="str">
            <v>.</v>
          </cell>
        </row>
        <row r="72">
          <cell r="AW72" t="str">
            <v>.</v>
          </cell>
        </row>
        <row r="73">
          <cell r="AW73" t="str">
            <v>.</v>
          </cell>
        </row>
        <row r="74">
          <cell r="AW74" t="str">
            <v>.</v>
          </cell>
        </row>
        <row r="75">
          <cell r="AW75" t="str">
            <v>.</v>
          </cell>
        </row>
        <row r="76">
          <cell r="AW76" t="str">
            <v>.</v>
          </cell>
        </row>
        <row r="77">
          <cell r="AW77" t="str">
            <v>.</v>
          </cell>
        </row>
        <row r="78">
          <cell r="AW78" t="str">
            <v>.</v>
          </cell>
        </row>
        <row r="79">
          <cell r="AW79" t="str">
            <v>.</v>
          </cell>
        </row>
        <row r="80">
          <cell r="AW80" t="str">
            <v>.</v>
          </cell>
        </row>
        <row r="81">
          <cell r="AW81" t="str">
            <v>.</v>
          </cell>
        </row>
        <row r="82">
          <cell r="AW82" t="str">
            <v>.</v>
          </cell>
        </row>
        <row r="83">
          <cell r="AW83" t="str">
            <v>.</v>
          </cell>
        </row>
        <row r="84">
          <cell r="AW84" t="str">
            <v>.</v>
          </cell>
        </row>
        <row r="85">
          <cell r="AW85" t="str">
            <v>.</v>
          </cell>
        </row>
        <row r="86">
          <cell r="AW86" t="str">
            <v>.</v>
          </cell>
        </row>
        <row r="87">
          <cell r="AW87" t="str">
            <v>.</v>
          </cell>
        </row>
        <row r="88">
          <cell r="AW88" t="str">
            <v>.</v>
          </cell>
        </row>
        <row r="89">
          <cell r="AW89" t="str">
            <v>.</v>
          </cell>
        </row>
        <row r="90">
          <cell r="AW90" t="str">
            <v>.</v>
          </cell>
        </row>
        <row r="91">
          <cell r="AW91" t="str">
            <v>.</v>
          </cell>
        </row>
        <row r="92">
          <cell r="AW92" t="str">
            <v>.</v>
          </cell>
        </row>
        <row r="93">
          <cell r="AW93" t="str">
            <v>.</v>
          </cell>
        </row>
        <row r="94">
          <cell r="AW94" t="str">
            <v>.</v>
          </cell>
        </row>
        <row r="95">
          <cell r="AW95" t="str">
            <v>.</v>
          </cell>
        </row>
        <row r="96">
          <cell r="AW96" t="str">
            <v>.</v>
          </cell>
        </row>
        <row r="97">
          <cell r="AW97" t="str">
            <v>.</v>
          </cell>
        </row>
        <row r="98">
          <cell r="AW98" t="str">
            <v>.</v>
          </cell>
        </row>
        <row r="99">
          <cell r="AW99" t="str">
            <v>.</v>
          </cell>
        </row>
        <row r="100">
          <cell r="AW100" t="str">
            <v>.</v>
          </cell>
        </row>
        <row r="101">
          <cell r="AW101" t="str">
            <v>.</v>
          </cell>
        </row>
        <row r="102">
          <cell r="AW102" t="str">
            <v>.</v>
          </cell>
        </row>
        <row r="103">
          <cell r="AW103" t="str">
            <v>.</v>
          </cell>
        </row>
        <row r="104">
          <cell r="AW104" t="str">
            <v>.</v>
          </cell>
        </row>
        <row r="105">
          <cell r="AW105" t="str">
            <v>.</v>
          </cell>
        </row>
        <row r="106">
          <cell r="AW106" t="str">
            <v>.</v>
          </cell>
        </row>
        <row r="107">
          <cell r="AW107" t="str">
            <v>.</v>
          </cell>
        </row>
        <row r="108">
          <cell r="AW108" t="str">
            <v>.</v>
          </cell>
        </row>
        <row r="109">
          <cell r="AW109" t="str">
            <v>.</v>
          </cell>
        </row>
        <row r="110">
          <cell r="AW110" t="str">
            <v>.</v>
          </cell>
        </row>
        <row r="111">
          <cell r="AW111" t="str">
            <v>.</v>
          </cell>
        </row>
        <row r="112">
          <cell r="AW112" t="str">
            <v>.</v>
          </cell>
        </row>
        <row r="113">
          <cell r="AW113" t="str">
            <v>.</v>
          </cell>
        </row>
        <row r="114">
          <cell r="AW114" t="str">
            <v>.</v>
          </cell>
        </row>
        <row r="115">
          <cell r="AW115" t="str">
            <v>.</v>
          </cell>
        </row>
        <row r="116">
          <cell r="AW116" t="str">
            <v>.</v>
          </cell>
        </row>
        <row r="117">
          <cell r="AW117" t="str">
            <v>.</v>
          </cell>
        </row>
        <row r="118">
          <cell r="AW118" t="str">
            <v>.</v>
          </cell>
        </row>
        <row r="119">
          <cell r="AW119" t="str">
            <v>.</v>
          </cell>
        </row>
        <row r="120">
          <cell r="AW120" t="str">
            <v>.</v>
          </cell>
        </row>
        <row r="121">
          <cell r="AW121" t="str">
            <v>.</v>
          </cell>
        </row>
        <row r="122">
          <cell r="AW122" t="str">
            <v>.</v>
          </cell>
        </row>
        <row r="123">
          <cell r="AW123" t="str">
            <v>.</v>
          </cell>
        </row>
        <row r="124">
          <cell r="AW124" t="str">
            <v>.</v>
          </cell>
        </row>
        <row r="125">
          <cell r="AW125" t="str">
            <v>.</v>
          </cell>
        </row>
        <row r="126">
          <cell r="AW126" t="str">
            <v>.</v>
          </cell>
        </row>
        <row r="127">
          <cell r="AW127" t="str">
            <v>.</v>
          </cell>
        </row>
        <row r="128">
          <cell r="AW128" t="str">
            <v>.</v>
          </cell>
        </row>
        <row r="129">
          <cell r="AW129" t="str">
            <v>.</v>
          </cell>
        </row>
        <row r="130">
          <cell r="AW130" t="str">
            <v>.</v>
          </cell>
        </row>
        <row r="131">
          <cell r="AW131" t="str">
            <v>.</v>
          </cell>
        </row>
        <row r="132">
          <cell r="AW132" t="str">
            <v>.</v>
          </cell>
        </row>
        <row r="133">
          <cell r="AW133" t="str">
            <v>.</v>
          </cell>
        </row>
        <row r="134">
          <cell r="AW134" t="str">
            <v>.</v>
          </cell>
        </row>
        <row r="135">
          <cell r="AW135" t="str">
            <v>.</v>
          </cell>
        </row>
        <row r="136">
          <cell r="AW136" t="str">
            <v>.</v>
          </cell>
        </row>
        <row r="137">
          <cell r="AW137" t="str">
            <v>.</v>
          </cell>
        </row>
        <row r="138">
          <cell r="AW138" t="str">
            <v>.</v>
          </cell>
        </row>
        <row r="139">
          <cell r="AW139" t="str">
            <v>.</v>
          </cell>
        </row>
        <row r="140">
          <cell r="AW140" t="str">
            <v>.</v>
          </cell>
        </row>
        <row r="141">
          <cell r="AW141" t="str">
            <v>.</v>
          </cell>
        </row>
        <row r="142">
          <cell r="AW142" t="str">
            <v>.</v>
          </cell>
        </row>
        <row r="143">
          <cell r="AW143" t="str">
            <v>.</v>
          </cell>
        </row>
        <row r="144">
          <cell r="AW144" t="str">
            <v>.</v>
          </cell>
        </row>
        <row r="145">
          <cell r="AW145" t="str">
            <v>.</v>
          </cell>
        </row>
        <row r="146">
          <cell r="AW146" t="str">
            <v>.</v>
          </cell>
        </row>
        <row r="147">
          <cell r="AW147" t="str">
            <v>.</v>
          </cell>
        </row>
        <row r="148">
          <cell r="AW148" t="str">
            <v>.</v>
          </cell>
        </row>
        <row r="149">
          <cell r="AW149" t="str">
            <v>.</v>
          </cell>
        </row>
        <row r="150">
          <cell r="AW150" t="str">
            <v>.</v>
          </cell>
        </row>
        <row r="151">
          <cell r="AW151" t="str">
            <v>.</v>
          </cell>
        </row>
        <row r="152">
          <cell r="AW152" t="str">
            <v>.</v>
          </cell>
        </row>
        <row r="153">
          <cell r="AW153" t="str">
            <v>.</v>
          </cell>
        </row>
        <row r="154">
          <cell r="AW154" t="str">
            <v>.</v>
          </cell>
        </row>
        <row r="155">
          <cell r="AW155" t="str">
            <v>.</v>
          </cell>
        </row>
        <row r="156">
          <cell r="AW156" t="str">
            <v>.</v>
          </cell>
        </row>
        <row r="157">
          <cell r="AW157" t="str">
            <v>.</v>
          </cell>
        </row>
        <row r="158">
          <cell r="AW158" t="str">
            <v>.</v>
          </cell>
        </row>
        <row r="159">
          <cell r="AW159" t="str">
            <v>.</v>
          </cell>
        </row>
        <row r="160">
          <cell r="AW160" t="str">
            <v>.</v>
          </cell>
        </row>
        <row r="161">
          <cell r="AW161" t="str">
            <v>.</v>
          </cell>
        </row>
        <row r="162">
          <cell r="AW162" t="str">
            <v>.</v>
          </cell>
        </row>
        <row r="163">
          <cell r="AW163" t="str">
            <v>.</v>
          </cell>
        </row>
        <row r="164">
          <cell r="AW164" t="str">
            <v>.</v>
          </cell>
        </row>
        <row r="165">
          <cell r="AW165" t="str">
            <v>.</v>
          </cell>
        </row>
        <row r="166">
          <cell r="AW166" t="str">
            <v>.</v>
          </cell>
        </row>
        <row r="167">
          <cell r="AW167" t="str">
            <v>.</v>
          </cell>
        </row>
        <row r="168">
          <cell r="AW168" t="str">
            <v>.</v>
          </cell>
        </row>
        <row r="169">
          <cell r="AW169" t="str">
            <v>.</v>
          </cell>
        </row>
        <row r="170">
          <cell r="AW170" t="str">
            <v>.</v>
          </cell>
        </row>
        <row r="171">
          <cell r="AW171" t="str">
            <v>.</v>
          </cell>
        </row>
        <row r="172">
          <cell r="AW172" t="str">
            <v>.</v>
          </cell>
        </row>
        <row r="173">
          <cell r="AW173" t="str">
            <v>.</v>
          </cell>
        </row>
        <row r="174">
          <cell r="AW174" t="str">
            <v>.</v>
          </cell>
        </row>
        <row r="175">
          <cell r="AW175" t="str">
            <v>.</v>
          </cell>
        </row>
        <row r="176">
          <cell r="AW176" t="str">
            <v>.</v>
          </cell>
        </row>
        <row r="177">
          <cell r="AW177" t="str">
            <v>.</v>
          </cell>
        </row>
        <row r="178">
          <cell r="AW178" t="str">
            <v>.</v>
          </cell>
        </row>
        <row r="179">
          <cell r="AW179" t="str">
            <v>.</v>
          </cell>
        </row>
        <row r="180">
          <cell r="AW180" t="str">
            <v>.</v>
          </cell>
        </row>
        <row r="181">
          <cell r="AW181" t="str">
            <v>.</v>
          </cell>
        </row>
        <row r="182">
          <cell r="AW182" t="str">
            <v>.</v>
          </cell>
        </row>
        <row r="183">
          <cell r="AW183" t="str">
            <v>.</v>
          </cell>
        </row>
        <row r="184">
          <cell r="AW184" t="str">
            <v>.</v>
          </cell>
        </row>
        <row r="185">
          <cell r="AW185" t="str">
            <v>.</v>
          </cell>
        </row>
        <row r="186">
          <cell r="AW186" t="str">
            <v>.</v>
          </cell>
        </row>
        <row r="187">
          <cell r="AW187" t="str">
            <v>.</v>
          </cell>
        </row>
        <row r="188">
          <cell r="AW188" t="str">
            <v>.</v>
          </cell>
        </row>
        <row r="189">
          <cell r="AW189" t="str">
            <v>.</v>
          </cell>
        </row>
        <row r="190">
          <cell r="AW190" t="str">
            <v>.</v>
          </cell>
        </row>
        <row r="191">
          <cell r="AW191" t="str">
            <v>.</v>
          </cell>
        </row>
        <row r="192">
          <cell r="AW192" t="str">
            <v>.</v>
          </cell>
        </row>
        <row r="193">
          <cell r="AW193" t="str">
            <v>.</v>
          </cell>
        </row>
        <row r="194">
          <cell r="AW194" t="str">
            <v>.</v>
          </cell>
        </row>
        <row r="195">
          <cell r="AW195" t="str">
            <v>.</v>
          </cell>
        </row>
        <row r="196">
          <cell r="AW196" t="str">
            <v>.</v>
          </cell>
        </row>
        <row r="197">
          <cell r="AW197" t="str">
            <v>.</v>
          </cell>
        </row>
        <row r="198">
          <cell r="AW198" t="str">
            <v>.</v>
          </cell>
        </row>
        <row r="199">
          <cell r="AW199" t="str">
            <v>.</v>
          </cell>
        </row>
        <row r="200">
          <cell r="AW200" t="str">
            <v>.</v>
          </cell>
        </row>
        <row r="201">
          <cell r="AW201" t="str">
            <v>.</v>
          </cell>
        </row>
        <row r="202">
          <cell r="AW202" t="str">
            <v>.</v>
          </cell>
        </row>
        <row r="203">
          <cell r="AW203" t="str">
            <v>.</v>
          </cell>
        </row>
        <row r="204">
          <cell r="AW204" t="str">
            <v>.</v>
          </cell>
        </row>
        <row r="205">
          <cell r="AW205" t="str">
            <v>.</v>
          </cell>
        </row>
        <row r="206">
          <cell r="AW206" t="str">
            <v>.</v>
          </cell>
        </row>
        <row r="207">
          <cell r="AW207" t="str">
            <v>.</v>
          </cell>
        </row>
        <row r="208">
          <cell r="AW208" t="str">
            <v>.</v>
          </cell>
        </row>
        <row r="209">
          <cell r="AW209" t="str">
            <v>.</v>
          </cell>
        </row>
        <row r="210">
          <cell r="AW210" t="str">
            <v>.</v>
          </cell>
        </row>
        <row r="211">
          <cell r="AW211" t="str">
            <v>.</v>
          </cell>
        </row>
        <row r="212">
          <cell r="AW212" t="str">
            <v>.</v>
          </cell>
        </row>
        <row r="213">
          <cell r="AW213" t="str">
            <v>.</v>
          </cell>
        </row>
        <row r="214">
          <cell r="AW214" t="str">
            <v>.</v>
          </cell>
        </row>
        <row r="215">
          <cell r="AW215" t="str">
            <v>.</v>
          </cell>
        </row>
        <row r="216">
          <cell r="AW216" t="str">
            <v>.</v>
          </cell>
        </row>
        <row r="217">
          <cell r="AW217" t="str">
            <v>.</v>
          </cell>
        </row>
        <row r="218">
          <cell r="AW218" t="str">
            <v>.</v>
          </cell>
        </row>
        <row r="219">
          <cell r="AW219" t="str">
            <v>.</v>
          </cell>
        </row>
        <row r="220">
          <cell r="AW220" t="str">
            <v>.</v>
          </cell>
        </row>
        <row r="221">
          <cell r="AW221" t="str">
            <v>.</v>
          </cell>
        </row>
        <row r="222">
          <cell r="AW222" t="str">
            <v>.</v>
          </cell>
        </row>
        <row r="223">
          <cell r="AW223" t="str">
            <v>.</v>
          </cell>
        </row>
        <row r="224">
          <cell r="AW224" t="str">
            <v>.</v>
          </cell>
        </row>
        <row r="225">
          <cell r="AW225" t="str">
            <v>.</v>
          </cell>
        </row>
        <row r="226">
          <cell r="AW226" t="str">
            <v>.</v>
          </cell>
        </row>
        <row r="227">
          <cell r="AW227" t="str">
            <v>.</v>
          </cell>
        </row>
        <row r="228">
          <cell r="AW228" t="str">
            <v>.</v>
          </cell>
        </row>
        <row r="229">
          <cell r="AW229" t="str">
            <v>.</v>
          </cell>
        </row>
        <row r="230">
          <cell r="AW230" t="str">
            <v>.</v>
          </cell>
        </row>
        <row r="231">
          <cell r="AW231" t="str">
            <v>.</v>
          </cell>
        </row>
        <row r="232">
          <cell r="AW232" t="str">
            <v>.</v>
          </cell>
        </row>
        <row r="233">
          <cell r="AW233" t="str">
            <v>.</v>
          </cell>
        </row>
        <row r="234">
          <cell r="AW234" t="str">
            <v>.</v>
          </cell>
        </row>
        <row r="235">
          <cell r="AW235" t="str">
            <v>.</v>
          </cell>
        </row>
        <row r="236">
          <cell r="AW236" t="str">
            <v>.</v>
          </cell>
        </row>
        <row r="237">
          <cell r="AW237" t="str">
            <v>.</v>
          </cell>
        </row>
        <row r="238">
          <cell r="AW238" t="str">
            <v>.</v>
          </cell>
        </row>
        <row r="239">
          <cell r="AW239" t="str">
            <v>.</v>
          </cell>
        </row>
        <row r="240">
          <cell r="AW240" t="str">
            <v>.</v>
          </cell>
        </row>
        <row r="241">
          <cell r="AW241" t="str">
            <v>.</v>
          </cell>
        </row>
        <row r="242">
          <cell r="AW242" t="str">
            <v>.</v>
          </cell>
        </row>
        <row r="243">
          <cell r="AW243" t="str">
            <v>.</v>
          </cell>
        </row>
        <row r="244">
          <cell r="AW244" t="str">
            <v>.</v>
          </cell>
        </row>
        <row r="245">
          <cell r="AW245" t="str">
            <v>.</v>
          </cell>
        </row>
        <row r="246">
          <cell r="AW246" t="str">
            <v>.</v>
          </cell>
        </row>
        <row r="247">
          <cell r="AW247" t="str">
            <v>.</v>
          </cell>
        </row>
        <row r="248">
          <cell r="AW248" t="str">
            <v>.</v>
          </cell>
        </row>
        <row r="249">
          <cell r="AW249" t="str">
            <v>.</v>
          </cell>
        </row>
        <row r="250">
          <cell r="AW250" t="str">
            <v>.</v>
          </cell>
        </row>
        <row r="251">
          <cell r="AW251" t="str">
            <v>.</v>
          </cell>
        </row>
        <row r="252">
          <cell r="AW252" t="str">
            <v>.</v>
          </cell>
        </row>
        <row r="253">
          <cell r="AW253" t="str">
            <v>.</v>
          </cell>
        </row>
        <row r="254">
          <cell r="AW254" t="str">
            <v>.</v>
          </cell>
        </row>
        <row r="255">
          <cell r="AW255" t="str">
            <v>.</v>
          </cell>
        </row>
        <row r="256">
          <cell r="AW256" t="str">
            <v>.</v>
          </cell>
        </row>
        <row r="257">
          <cell r="AW257" t="str">
            <v>.</v>
          </cell>
        </row>
        <row r="258">
          <cell r="AW258" t="str">
            <v>.</v>
          </cell>
        </row>
        <row r="259">
          <cell r="AW259" t="str">
            <v>.</v>
          </cell>
        </row>
        <row r="260">
          <cell r="AW260" t="str">
            <v>.</v>
          </cell>
        </row>
        <row r="261">
          <cell r="AW261" t="str">
            <v>.</v>
          </cell>
        </row>
        <row r="262">
          <cell r="AW262" t="str">
            <v>.</v>
          </cell>
        </row>
        <row r="263">
          <cell r="AW263" t="str">
            <v>.</v>
          </cell>
        </row>
        <row r="264">
          <cell r="AW264" t="str">
            <v>.</v>
          </cell>
        </row>
        <row r="265">
          <cell r="AW265" t="str">
            <v>.</v>
          </cell>
        </row>
        <row r="266">
          <cell r="AW266" t="str">
            <v>.</v>
          </cell>
        </row>
        <row r="267">
          <cell r="AW267" t="str">
            <v>.</v>
          </cell>
        </row>
        <row r="268">
          <cell r="AW268" t="str">
            <v>.</v>
          </cell>
        </row>
        <row r="269">
          <cell r="AW269" t="str">
            <v>.</v>
          </cell>
        </row>
        <row r="270">
          <cell r="AW270" t="str">
            <v>.</v>
          </cell>
        </row>
        <row r="271">
          <cell r="AW271" t="str">
            <v>.</v>
          </cell>
        </row>
        <row r="272">
          <cell r="AW272" t="str">
            <v>.</v>
          </cell>
        </row>
        <row r="273">
          <cell r="AW273" t="str">
            <v>.</v>
          </cell>
        </row>
        <row r="274">
          <cell r="AW274" t="str">
            <v>.</v>
          </cell>
        </row>
        <row r="275">
          <cell r="AW275" t="str">
            <v>.</v>
          </cell>
        </row>
        <row r="276">
          <cell r="AW276" t="str">
            <v>.</v>
          </cell>
        </row>
        <row r="277">
          <cell r="AW277" t="str">
            <v>.</v>
          </cell>
        </row>
        <row r="278">
          <cell r="AW278" t="str">
            <v>.</v>
          </cell>
        </row>
        <row r="279">
          <cell r="AW279" t="str">
            <v>.</v>
          </cell>
        </row>
        <row r="280">
          <cell r="AW280" t="str">
            <v>.</v>
          </cell>
        </row>
        <row r="281">
          <cell r="AW281" t="str">
            <v>.</v>
          </cell>
        </row>
        <row r="282">
          <cell r="AW282" t="str">
            <v>.</v>
          </cell>
        </row>
        <row r="283">
          <cell r="AW283" t="str">
            <v>.</v>
          </cell>
        </row>
        <row r="284">
          <cell r="AW284" t="str">
            <v>.</v>
          </cell>
        </row>
        <row r="285">
          <cell r="AW285" t="str">
            <v>.</v>
          </cell>
        </row>
        <row r="286">
          <cell r="AW286" t="str">
            <v>.</v>
          </cell>
        </row>
        <row r="287">
          <cell r="AW287" t="str">
            <v>.</v>
          </cell>
        </row>
        <row r="288">
          <cell r="AW288" t="str">
            <v>.</v>
          </cell>
        </row>
        <row r="289">
          <cell r="AW289" t="str">
            <v>.</v>
          </cell>
        </row>
        <row r="290">
          <cell r="AW290" t="str">
            <v>.</v>
          </cell>
        </row>
        <row r="291">
          <cell r="AW291" t="str">
            <v>.</v>
          </cell>
        </row>
        <row r="292">
          <cell r="AW292" t="str">
            <v>.</v>
          </cell>
        </row>
        <row r="293">
          <cell r="AW293" t="str">
            <v>.</v>
          </cell>
        </row>
        <row r="294">
          <cell r="AW294" t="str">
            <v>.</v>
          </cell>
        </row>
        <row r="295">
          <cell r="AW295" t="str">
            <v>.</v>
          </cell>
        </row>
        <row r="296">
          <cell r="AW296" t="str">
            <v>.</v>
          </cell>
        </row>
        <row r="297">
          <cell r="AW297" t="str">
            <v>.</v>
          </cell>
        </row>
        <row r="298">
          <cell r="AW298" t="str">
            <v>.</v>
          </cell>
        </row>
        <row r="299">
          <cell r="AW299" t="str">
            <v>.</v>
          </cell>
        </row>
        <row r="300">
          <cell r="AW300" t="str">
            <v>.</v>
          </cell>
        </row>
        <row r="301">
          <cell r="AW301" t="str">
            <v>.</v>
          </cell>
        </row>
        <row r="302">
          <cell r="AW302" t="str">
            <v>.</v>
          </cell>
        </row>
        <row r="303">
          <cell r="AW303" t="str">
            <v>.</v>
          </cell>
        </row>
        <row r="304">
          <cell r="AW304" t="str">
            <v>.</v>
          </cell>
        </row>
        <row r="305">
          <cell r="AW305" t="str">
            <v>.</v>
          </cell>
        </row>
        <row r="306">
          <cell r="AW306" t="str">
            <v>.</v>
          </cell>
        </row>
        <row r="307">
          <cell r="AW307" t="str">
            <v>.</v>
          </cell>
        </row>
        <row r="308">
          <cell r="AW308" t="str">
            <v>.</v>
          </cell>
        </row>
        <row r="309">
          <cell r="AW309" t="str">
            <v>.</v>
          </cell>
        </row>
        <row r="310">
          <cell r="AW310" t="str">
            <v>.</v>
          </cell>
        </row>
        <row r="311">
          <cell r="AW311" t="str">
            <v>.</v>
          </cell>
        </row>
        <row r="312">
          <cell r="AW312" t="str">
            <v>.</v>
          </cell>
        </row>
        <row r="313">
          <cell r="AW313" t="str">
            <v>.</v>
          </cell>
        </row>
        <row r="314">
          <cell r="AW314" t="str">
            <v>.</v>
          </cell>
        </row>
        <row r="315">
          <cell r="AW315" t="str">
            <v>.</v>
          </cell>
        </row>
        <row r="316">
          <cell r="AW316" t="str">
            <v>.</v>
          </cell>
        </row>
        <row r="317">
          <cell r="AW317" t="str">
            <v>.</v>
          </cell>
        </row>
        <row r="318">
          <cell r="AW318" t="str">
            <v>.</v>
          </cell>
        </row>
        <row r="319">
          <cell r="AW319" t="str">
            <v>.</v>
          </cell>
        </row>
        <row r="320">
          <cell r="AW320" t="str">
            <v>.</v>
          </cell>
        </row>
        <row r="321">
          <cell r="AW321" t="str">
            <v>.</v>
          </cell>
        </row>
        <row r="322">
          <cell r="AW322" t="str">
            <v>.</v>
          </cell>
        </row>
        <row r="323">
          <cell r="AW323" t="str">
            <v>.</v>
          </cell>
        </row>
        <row r="324">
          <cell r="AW324" t="str">
            <v>.</v>
          </cell>
        </row>
        <row r="325">
          <cell r="AW325" t="str">
            <v>.</v>
          </cell>
        </row>
        <row r="326">
          <cell r="AW326" t="str">
            <v>.</v>
          </cell>
        </row>
        <row r="327">
          <cell r="AW327" t="str">
            <v>.</v>
          </cell>
        </row>
        <row r="328">
          <cell r="AW328" t="str">
            <v>.</v>
          </cell>
        </row>
        <row r="329">
          <cell r="AW329" t="str">
            <v>.</v>
          </cell>
        </row>
        <row r="330">
          <cell r="AW330" t="str">
            <v>.</v>
          </cell>
        </row>
        <row r="331">
          <cell r="AW331" t="str">
            <v>.</v>
          </cell>
        </row>
        <row r="332">
          <cell r="AW332" t="str">
            <v>.</v>
          </cell>
        </row>
        <row r="333">
          <cell r="AW333" t="str">
            <v>.</v>
          </cell>
        </row>
        <row r="334">
          <cell r="AW334" t="str">
            <v>.</v>
          </cell>
        </row>
        <row r="335">
          <cell r="AW335" t="str">
            <v>.</v>
          </cell>
        </row>
        <row r="336">
          <cell r="AW336" t="str">
            <v>.</v>
          </cell>
        </row>
        <row r="337">
          <cell r="AW337" t="str">
            <v>.</v>
          </cell>
        </row>
        <row r="338">
          <cell r="AW338" t="str">
            <v>.</v>
          </cell>
        </row>
        <row r="339">
          <cell r="AW339" t="str">
            <v>.</v>
          </cell>
        </row>
        <row r="340">
          <cell r="AW340" t="str">
            <v>.</v>
          </cell>
        </row>
        <row r="341">
          <cell r="AW341" t="str">
            <v>.</v>
          </cell>
        </row>
        <row r="342">
          <cell r="AW342" t="str">
            <v>.</v>
          </cell>
        </row>
        <row r="343">
          <cell r="AW343" t="str">
            <v>.</v>
          </cell>
        </row>
        <row r="344">
          <cell r="AW344" t="str">
            <v>.</v>
          </cell>
        </row>
        <row r="345">
          <cell r="AW345" t="str">
            <v>.</v>
          </cell>
        </row>
        <row r="346">
          <cell r="AW346" t="str">
            <v>.</v>
          </cell>
        </row>
        <row r="347">
          <cell r="AW347" t="str">
            <v>.</v>
          </cell>
        </row>
        <row r="348">
          <cell r="AW348" t="str">
            <v>.</v>
          </cell>
        </row>
        <row r="349">
          <cell r="AW349" t="str">
            <v>.</v>
          </cell>
        </row>
        <row r="350">
          <cell r="AW350" t="str">
            <v>.</v>
          </cell>
        </row>
        <row r="351">
          <cell r="AW351" t="str">
            <v>.</v>
          </cell>
        </row>
        <row r="352">
          <cell r="AW352" t="str">
            <v>.</v>
          </cell>
        </row>
        <row r="353">
          <cell r="AW353" t="str">
            <v>.</v>
          </cell>
        </row>
        <row r="354">
          <cell r="AW354" t="str">
            <v>.</v>
          </cell>
        </row>
        <row r="355">
          <cell r="AW355" t="str">
            <v>.</v>
          </cell>
        </row>
        <row r="356">
          <cell r="AW356" t="str">
            <v>.</v>
          </cell>
        </row>
        <row r="357">
          <cell r="AW357" t="str">
            <v>.</v>
          </cell>
        </row>
        <row r="358">
          <cell r="AW358" t="str">
            <v>.</v>
          </cell>
        </row>
        <row r="359">
          <cell r="AW359" t="str">
            <v>.</v>
          </cell>
        </row>
        <row r="360">
          <cell r="AW360" t="str">
            <v>.</v>
          </cell>
        </row>
        <row r="361">
          <cell r="AW361" t="str">
            <v>.</v>
          </cell>
        </row>
        <row r="362">
          <cell r="AW362" t="str">
            <v>.</v>
          </cell>
        </row>
        <row r="363">
          <cell r="AW363" t="str">
            <v>.</v>
          </cell>
        </row>
        <row r="364">
          <cell r="AW364" t="str">
            <v>.</v>
          </cell>
        </row>
        <row r="365">
          <cell r="AW365" t="str">
            <v>.</v>
          </cell>
        </row>
        <row r="366">
          <cell r="AW366" t="str">
            <v>.</v>
          </cell>
        </row>
        <row r="367">
          <cell r="AW367" t="str">
            <v>.</v>
          </cell>
        </row>
        <row r="368">
          <cell r="AW368" t="str">
            <v>.</v>
          </cell>
        </row>
        <row r="369">
          <cell r="AW369" t="str">
            <v>.</v>
          </cell>
        </row>
        <row r="370">
          <cell r="AW370" t="str">
            <v>.</v>
          </cell>
        </row>
        <row r="371">
          <cell r="AW371" t="str">
            <v>.</v>
          </cell>
        </row>
        <row r="372">
          <cell r="AW372" t="str">
            <v>.</v>
          </cell>
        </row>
        <row r="373">
          <cell r="AW373" t="str">
            <v>.</v>
          </cell>
        </row>
        <row r="374">
          <cell r="AW374" t="str">
            <v>.</v>
          </cell>
        </row>
        <row r="375">
          <cell r="AW375" t="str">
            <v>.</v>
          </cell>
        </row>
        <row r="376">
          <cell r="AW376" t="str">
            <v>.</v>
          </cell>
        </row>
        <row r="377">
          <cell r="AW377" t="str">
            <v>.</v>
          </cell>
        </row>
        <row r="378">
          <cell r="AW378" t="str">
            <v>.</v>
          </cell>
        </row>
        <row r="379">
          <cell r="AW379" t="str">
            <v>.</v>
          </cell>
        </row>
        <row r="380">
          <cell r="AW380" t="str">
            <v>.</v>
          </cell>
        </row>
        <row r="381">
          <cell r="AW381" t="str">
            <v>.</v>
          </cell>
        </row>
        <row r="382">
          <cell r="AW382" t="str">
            <v>.</v>
          </cell>
        </row>
        <row r="383">
          <cell r="AW383" t="str">
            <v>.</v>
          </cell>
        </row>
        <row r="384">
          <cell r="AW384" t="str">
            <v>.</v>
          </cell>
        </row>
        <row r="385">
          <cell r="AW385" t="str">
            <v>.</v>
          </cell>
        </row>
        <row r="386">
          <cell r="AW386" t="str">
            <v>.</v>
          </cell>
        </row>
        <row r="387">
          <cell r="AW387" t="str">
            <v>.</v>
          </cell>
        </row>
        <row r="388">
          <cell r="AW388" t="str">
            <v>.</v>
          </cell>
        </row>
        <row r="389">
          <cell r="AW389" t="str">
            <v>.</v>
          </cell>
        </row>
        <row r="390">
          <cell r="AW390" t="str">
            <v>.</v>
          </cell>
        </row>
        <row r="391">
          <cell r="AW391" t="str">
            <v>.</v>
          </cell>
        </row>
        <row r="392">
          <cell r="AW392" t="str">
            <v>.</v>
          </cell>
        </row>
        <row r="393">
          <cell r="AW393" t="str">
            <v>.</v>
          </cell>
        </row>
        <row r="394">
          <cell r="AW394" t="str">
            <v>.</v>
          </cell>
        </row>
        <row r="395">
          <cell r="AW395" t="str">
            <v>.</v>
          </cell>
        </row>
        <row r="396">
          <cell r="AW396" t="str">
            <v>.</v>
          </cell>
        </row>
        <row r="397">
          <cell r="AW397" t="str">
            <v>.</v>
          </cell>
        </row>
        <row r="398">
          <cell r="AW398" t="str">
            <v>.</v>
          </cell>
        </row>
        <row r="399">
          <cell r="AW399" t="str">
            <v>.</v>
          </cell>
        </row>
        <row r="400">
          <cell r="AW400" t="str">
            <v>.</v>
          </cell>
        </row>
        <row r="401">
          <cell r="AW401" t="str">
            <v>.</v>
          </cell>
        </row>
        <row r="402">
          <cell r="AW402" t="str">
            <v>.</v>
          </cell>
        </row>
        <row r="403">
          <cell r="AW403" t="str">
            <v>.</v>
          </cell>
        </row>
        <row r="404">
          <cell r="AW404" t="str">
            <v>.</v>
          </cell>
        </row>
        <row r="405">
          <cell r="AW405" t="str">
            <v>.</v>
          </cell>
        </row>
        <row r="406">
          <cell r="AW406" t="str">
            <v>.</v>
          </cell>
        </row>
        <row r="407">
          <cell r="AW407" t="str">
            <v>.</v>
          </cell>
        </row>
        <row r="408">
          <cell r="AW408" t="str">
            <v>.</v>
          </cell>
        </row>
        <row r="409">
          <cell r="AW409" t="str">
            <v>.</v>
          </cell>
        </row>
        <row r="410">
          <cell r="AW410" t="str">
            <v>.</v>
          </cell>
        </row>
        <row r="411">
          <cell r="AW411" t="str">
            <v>.</v>
          </cell>
        </row>
        <row r="412">
          <cell r="AW412" t="str">
            <v>.</v>
          </cell>
        </row>
        <row r="413">
          <cell r="AW413" t="str">
            <v>.</v>
          </cell>
        </row>
        <row r="414">
          <cell r="AW414" t="str">
            <v>.</v>
          </cell>
        </row>
        <row r="415">
          <cell r="AW415" t="str">
            <v>.</v>
          </cell>
        </row>
        <row r="416">
          <cell r="AW416" t="str">
            <v>.</v>
          </cell>
        </row>
        <row r="417">
          <cell r="AW417" t="str">
            <v>.</v>
          </cell>
        </row>
        <row r="418">
          <cell r="AW418" t="str">
            <v>.</v>
          </cell>
        </row>
        <row r="419">
          <cell r="AW419" t="str">
            <v>.</v>
          </cell>
        </row>
        <row r="420">
          <cell r="AW420" t="str">
            <v>.</v>
          </cell>
        </row>
        <row r="421">
          <cell r="AW421" t="str">
            <v>.</v>
          </cell>
        </row>
        <row r="422">
          <cell r="AW422" t="str">
            <v>.</v>
          </cell>
        </row>
        <row r="423">
          <cell r="AW423" t="str">
            <v>.</v>
          </cell>
        </row>
        <row r="424">
          <cell r="AW424" t="str">
            <v>.</v>
          </cell>
        </row>
        <row r="425">
          <cell r="AW425" t="str">
            <v>.</v>
          </cell>
        </row>
        <row r="426">
          <cell r="AW426" t="str">
            <v>.</v>
          </cell>
        </row>
        <row r="427">
          <cell r="AW427" t="str">
            <v>.</v>
          </cell>
        </row>
        <row r="428">
          <cell r="AW428" t="str">
            <v>.</v>
          </cell>
        </row>
        <row r="429">
          <cell r="AW429" t="str">
            <v>.</v>
          </cell>
        </row>
        <row r="430">
          <cell r="AW430" t="str">
            <v>.</v>
          </cell>
        </row>
        <row r="431">
          <cell r="AW431" t="str">
            <v>.</v>
          </cell>
        </row>
        <row r="432">
          <cell r="AW432" t="str">
            <v>.</v>
          </cell>
        </row>
        <row r="433">
          <cell r="AW433" t="str">
            <v>.</v>
          </cell>
        </row>
        <row r="434">
          <cell r="AW434" t="str">
            <v>.</v>
          </cell>
        </row>
        <row r="435">
          <cell r="AW435" t="str">
            <v>.</v>
          </cell>
        </row>
        <row r="436">
          <cell r="AW436" t="str">
            <v>.</v>
          </cell>
        </row>
        <row r="437">
          <cell r="AW437" t="str">
            <v>.</v>
          </cell>
        </row>
        <row r="438">
          <cell r="AW438" t="str">
            <v>.</v>
          </cell>
        </row>
        <row r="439">
          <cell r="AW439" t="str">
            <v>.</v>
          </cell>
        </row>
        <row r="440">
          <cell r="AW440" t="str">
            <v>.</v>
          </cell>
        </row>
        <row r="441">
          <cell r="AW441" t="str">
            <v>.</v>
          </cell>
        </row>
        <row r="442">
          <cell r="AW442" t="str">
            <v>.</v>
          </cell>
        </row>
        <row r="443">
          <cell r="AW443" t="str">
            <v>.</v>
          </cell>
        </row>
        <row r="444">
          <cell r="AW444" t="str">
            <v>.</v>
          </cell>
        </row>
        <row r="445">
          <cell r="AW445" t="str">
            <v>.</v>
          </cell>
        </row>
        <row r="446">
          <cell r="AW446" t="str">
            <v>.</v>
          </cell>
        </row>
        <row r="447">
          <cell r="AW447" t="str">
            <v>.</v>
          </cell>
        </row>
        <row r="448">
          <cell r="AW448" t="str">
            <v>.</v>
          </cell>
        </row>
        <row r="449">
          <cell r="AW449" t="str">
            <v>.</v>
          </cell>
        </row>
        <row r="450">
          <cell r="AW450" t="str">
            <v>.</v>
          </cell>
        </row>
        <row r="451">
          <cell r="AW451" t="str">
            <v>.</v>
          </cell>
        </row>
        <row r="452">
          <cell r="AW452" t="str">
            <v>.</v>
          </cell>
        </row>
        <row r="453">
          <cell r="AW453" t="str">
            <v>.</v>
          </cell>
        </row>
        <row r="454">
          <cell r="AW454" t="str">
            <v>.</v>
          </cell>
        </row>
        <row r="455">
          <cell r="AW455" t="str">
            <v>.</v>
          </cell>
        </row>
        <row r="456">
          <cell r="AW456" t="str">
            <v>.</v>
          </cell>
        </row>
        <row r="457">
          <cell r="AW457" t="str">
            <v>.</v>
          </cell>
        </row>
        <row r="458">
          <cell r="AW458" t="str">
            <v>.</v>
          </cell>
        </row>
        <row r="459">
          <cell r="AW459" t="str">
            <v>.</v>
          </cell>
        </row>
        <row r="460">
          <cell r="AW460" t="str">
            <v>.</v>
          </cell>
        </row>
        <row r="461">
          <cell r="AW461" t="str">
            <v>.</v>
          </cell>
        </row>
        <row r="462">
          <cell r="AW462" t="str">
            <v>.</v>
          </cell>
        </row>
        <row r="463">
          <cell r="AW463" t="str">
            <v>.</v>
          </cell>
        </row>
        <row r="464">
          <cell r="AW464" t="str">
            <v>.</v>
          </cell>
        </row>
        <row r="465">
          <cell r="AW465" t="str">
            <v>.</v>
          </cell>
        </row>
        <row r="466">
          <cell r="AW466" t="str">
            <v>.</v>
          </cell>
        </row>
        <row r="467">
          <cell r="AW467" t="str">
            <v>.</v>
          </cell>
        </row>
        <row r="468">
          <cell r="AW468" t="str">
            <v>.</v>
          </cell>
        </row>
        <row r="469">
          <cell r="AW469" t="str">
            <v>.</v>
          </cell>
        </row>
        <row r="470">
          <cell r="AW470" t="str">
            <v>.</v>
          </cell>
        </row>
        <row r="471">
          <cell r="AW471" t="str">
            <v>.</v>
          </cell>
        </row>
        <row r="472">
          <cell r="AW472" t="str">
            <v>.</v>
          </cell>
        </row>
        <row r="473">
          <cell r="AW473" t="str">
            <v>.</v>
          </cell>
        </row>
        <row r="474">
          <cell r="AW474" t="str">
            <v>.</v>
          </cell>
        </row>
        <row r="475">
          <cell r="AW475" t="str">
            <v>.</v>
          </cell>
        </row>
        <row r="476">
          <cell r="AW476" t="str">
            <v>.</v>
          </cell>
        </row>
        <row r="477">
          <cell r="AW477" t="str">
            <v>.</v>
          </cell>
        </row>
        <row r="478">
          <cell r="AW478" t="str">
            <v>.</v>
          </cell>
        </row>
        <row r="479">
          <cell r="AW479" t="str">
            <v>.</v>
          </cell>
        </row>
        <row r="480">
          <cell r="AW480" t="str">
            <v>.</v>
          </cell>
        </row>
        <row r="481">
          <cell r="AW481" t="str">
            <v>.</v>
          </cell>
        </row>
        <row r="482">
          <cell r="AW482" t="str">
            <v>.</v>
          </cell>
        </row>
        <row r="483">
          <cell r="AW483" t="str">
            <v>.</v>
          </cell>
        </row>
        <row r="484">
          <cell r="AW484" t="str">
            <v>.</v>
          </cell>
        </row>
        <row r="485">
          <cell r="AW485" t="str">
            <v>.</v>
          </cell>
        </row>
        <row r="486">
          <cell r="AW486" t="str">
            <v>.</v>
          </cell>
        </row>
        <row r="487">
          <cell r="AW487" t="str">
            <v>.</v>
          </cell>
        </row>
        <row r="488">
          <cell r="AW488" t="str">
            <v>.</v>
          </cell>
        </row>
        <row r="489">
          <cell r="AW489" t="str">
            <v>.</v>
          </cell>
        </row>
        <row r="490">
          <cell r="AW490" t="str">
            <v>.</v>
          </cell>
        </row>
        <row r="491">
          <cell r="AW491" t="str">
            <v>.</v>
          </cell>
        </row>
        <row r="492">
          <cell r="AW492" t="str">
            <v>.</v>
          </cell>
        </row>
        <row r="493">
          <cell r="AW493" t="str">
            <v>.</v>
          </cell>
        </row>
        <row r="494">
          <cell r="AW494" t="str">
            <v>.</v>
          </cell>
        </row>
        <row r="495">
          <cell r="AW495" t="str">
            <v>.</v>
          </cell>
        </row>
        <row r="496">
          <cell r="AW496" t="str">
            <v>.</v>
          </cell>
        </row>
        <row r="497">
          <cell r="AW497" t="str">
            <v>.</v>
          </cell>
        </row>
        <row r="498">
          <cell r="AW498" t="str">
            <v>.</v>
          </cell>
        </row>
        <row r="499">
          <cell r="AW499" t="str">
            <v>.</v>
          </cell>
        </row>
        <row r="500">
          <cell r="AW500" t="str">
            <v>.</v>
          </cell>
        </row>
        <row r="501">
          <cell r="AW501" t="str">
            <v>.</v>
          </cell>
        </row>
        <row r="502">
          <cell r="AW502" t="str">
            <v>.</v>
          </cell>
        </row>
        <row r="503">
          <cell r="AW503" t="str">
            <v>.</v>
          </cell>
        </row>
        <row r="504">
          <cell r="AW504" t="str">
            <v>.</v>
          </cell>
        </row>
        <row r="505">
          <cell r="AW505" t="str">
            <v>.</v>
          </cell>
        </row>
        <row r="506">
          <cell r="AW506" t="str">
            <v>.</v>
          </cell>
        </row>
        <row r="507">
          <cell r="AW507" t="str">
            <v>.</v>
          </cell>
        </row>
        <row r="508">
          <cell r="AW508" t="str">
            <v>.</v>
          </cell>
        </row>
        <row r="509">
          <cell r="AW509" t="str">
            <v>.</v>
          </cell>
        </row>
        <row r="510">
          <cell r="AW510" t="str">
            <v>.</v>
          </cell>
        </row>
        <row r="511">
          <cell r="AW511" t="str">
            <v>.</v>
          </cell>
        </row>
        <row r="512">
          <cell r="AW512" t="str">
            <v>.</v>
          </cell>
        </row>
        <row r="513">
          <cell r="AW513" t="str">
            <v>.</v>
          </cell>
        </row>
        <row r="514">
          <cell r="AW514" t="str">
            <v>.</v>
          </cell>
        </row>
        <row r="515">
          <cell r="AW515" t="str">
            <v>.</v>
          </cell>
        </row>
        <row r="516">
          <cell r="AW516" t="str">
            <v>.</v>
          </cell>
        </row>
        <row r="517">
          <cell r="AW517" t="str">
            <v>.</v>
          </cell>
        </row>
        <row r="518">
          <cell r="AW518" t="str">
            <v>.</v>
          </cell>
        </row>
        <row r="519">
          <cell r="AW519" t="str">
            <v>.</v>
          </cell>
        </row>
        <row r="520">
          <cell r="AW520" t="str">
            <v>.</v>
          </cell>
        </row>
        <row r="521">
          <cell r="AW521" t="str">
            <v>.</v>
          </cell>
        </row>
        <row r="522">
          <cell r="AW522" t="str">
            <v>.</v>
          </cell>
        </row>
        <row r="523">
          <cell r="AW523" t="str">
            <v>.</v>
          </cell>
        </row>
        <row r="524">
          <cell r="AW524" t="str">
            <v>.</v>
          </cell>
        </row>
        <row r="525">
          <cell r="AW525" t="str">
            <v>.</v>
          </cell>
        </row>
        <row r="526">
          <cell r="AW526" t="str">
            <v>.</v>
          </cell>
        </row>
        <row r="527">
          <cell r="AW527" t="str">
            <v>.</v>
          </cell>
        </row>
        <row r="528">
          <cell r="AW528" t="str">
            <v>.</v>
          </cell>
        </row>
        <row r="529">
          <cell r="AW529" t="str">
            <v>.</v>
          </cell>
        </row>
        <row r="530">
          <cell r="AW530" t="str">
            <v>.</v>
          </cell>
        </row>
        <row r="531">
          <cell r="AW531" t="str">
            <v>.</v>
          </cell>
        </row>
        <row r="532">
          <cell r="AW532" t="str">
            <v>.</v>
          </cell>
        </row>
        <row r="533">
          <cell r="AW533" t="str">
            <v>.</v>
          </cell>
        </row>
        <row r="534">
          <cell r="AW534" t="str">
            <v>.</v>
          </cell>
        </row>
        <row r="535">
          <cell r="AW535" t="str">
            <v>.</v>
          </cell>
        </row>
        <row r="536">
          <cell r="AW536" t="str">
            <v>.</v>
          </cell>
        </row>
        <row r="537">
          <cell r="AW537" t="str">
            <v>.</v>
          </cell>
        </row>
        <row r="538">
          <cell r="AW538" t="str">
            <v>.</v>
          </cell>
        </row>
        <row r="539">
          <cell r="AW539" t="str">
            <v>.</v>
          </cell>
        </row>
        <row r="540">
          <cell r="AW540" t="str">
            <v>.</v>
          </cell>
        </row>
        <row r="541">
          <cell r="AW541" t="str">
            <v>.</v>
          </cell>
        </row>
        <row r="542">
          <cell r="AW542" t="str">
            <v>.</v>
          </cell>
        </row>
        <row r="543">
          <cell r="AW543" t="str">
            <v>.</v>
          </cell>
        </row>
        <row r="544">
          <cell r="AW544" t="str">
            <v>.</v>
          </cell>
        </row>
        <row r="545">
          <cell r="AW545" t="str">
            <v>.</v>
          </cell>
        </row>
        <row r="546">
          <cell r="AW546" t="str">
            <v>.</v>
          </cell>
        </row>
        <row r="547">
          <cell r="AW547" t="str">
            <v>.</v>
          </cell>
        </row>
        <row r="548">
          <cell r="AW548" t="str">
            <v>.</v>
          </cell>
        </row>
        <row r="549">
          <cell r="AW549" t="str">
            <v>.</v>
          </cell>
        </row>
        <row r="550">
          <cell r="AW550" t="str">
            <v>.</v>
          </cell>
        </row>
        <row r="551">
          <cell r="AW551" t="str">
            <v>.</v>
          </cell>
        </row>
        <row r="552">
          <cell r="AW552" t="str">
            <v>.</v>
          </cell>
        </row>
        <row r="553">
          <cell r="AW553" t="str">
            <v>.</v>
          </cell>
        </row>
        <row r="554">
          <cell r="AW554" t="str">
            <v>.</v>
          </cell>
        </row>
        <row r="555">
          <cell r="AW555" t="str">
            <v>.</v>
          </cell>
        </row>
        <row r="556">
          <cell r="AW556" t="str">
            <v>.</v>
          </cell>
        </row>
        <row r="557">
          <cell r="AW557" t="str">
            <v>.</v>
          </cell>
        </row>
        <row r="558">
          <cell r="AW558" t="str">
            <v>.</v>
          </cell>
        </row>
        <row r="559">
          <cell r="AW559" t="str">
            <v>.</v>
          </cell>
        </row>
        <row r="560">
          <cell r="AW560" t="str">
            <v>.</v>
          </cell>
        </row>
        <row r="561">
          <cell r="AW561" t="str">
            <v>.</v>
          </cell>
        </row>
        <row r="562">
          <cell r="AW562" t="str">
            <v>.</v>
          </cell>
        </row>
        <row r="563">
          <cell r="AW563" t="str">
            <v>.</v>
          </cell>
        </row>
        <row r="564">
          <cell r="AW564" t="str">
            <v>.</v>
          </cell>
        </row>
        <row r="565">
          <cell r="AW565" t="str">
            <v>.</v>
          </cell>
        </row>
        <row r="566">
          <cell r="AW566" t="str">
            <v>.</v>
          </cell>
        </row>
        <row r="567">
          <cell r="AW567" t="str">
            <v>.</v>
          </cell>
        </row>
        <row r="568">
          <cell r="AW568" t="str">
            <v>.</v>
          </cell>
        </row>
        <row r="569">
          <cell r="AW569" t="str">
            <v>.</v>
          </cell>
        </row>
        <row r="570">
          <cell r="AW570" t="str">
            <v>.</v>
          </cell>
        </row>
        <row r="571">
          <cell r="AW571" t="str">
            <v>.</v>
          </cell>
        </row>
        <row r="572">
          <cell r="AW572" t="str">
            <v>.</v>
          </cell>
        </row>
        <row r="573">
          <cell r="AW573" t="str">
            <v>.</v>
          </cell>
        </row>
        <row r="574">
          <cell r="AW574" t="str">
            <v>.</v>
          </cell>
        </row>
        <row r="575">
          <cell r="AW575" t="str">
            <v>.</v>
          </cell>
        </row>
        <row r="576">
          <cell r="AW576" t="str">
            <v>.</v>
          </cell>
        </row>
        <row r="577">
          <cell r="AW577" t="str">
            <v>.</v>
          </cell>
        </row>
        <row r="578">
          <cell r="AW578" t="str">
            <v>.</v>
          </cell>
        </row>
        <row r="579">
          <cell r="AW579" t="str">
            <v>.</v>
          </cell>
        </row>
        <row r="580">
          <cell r="AW580" t="str">
            <v>.</v>
          </cell>
        </row>
        <row r="581">
          <cell r="AW581" t="str">
            <v>.</v>
          </cell>
        </row>
        <row r="582">
          <cell r="AW582" t="str">
            <v>.</v>
          </cell>
        </row>
        <row r="583">
          <cell r="AW583" t="str">
            <v>.</v>
          </cell>
        </row>
        <row r="584">
          <cell r="AW584" t="str">
            <v>.</v>
          </cell>
        </row>
        <row r="585">
          <cell r="AW585" t="str">
            <v>.</v>
          </cell>
        </row>
        <row r="586">
          <cell r="AW586" t="str">
            <v>.</v>
          </cell>
        </row>
        <row r="587">
          <cell r="AW587" t="str">
            <v>.</v>
          </cell>
        </row>
        <row r="588">
          <cell r="AW588" t="str">
            <v>.</v>
          </cell>
        </row>
        <row r="589">
          <cell r="AW589" t="str">
            <v>.</v>
          </cell>
        </row>
        <row r="590">
          <cell r="AW590" t="str">
            <v>.</v>
          </cell>
        </row>
        <row r="591">
          <cell r="AW591" t="str">
            <v>.</v>
          </cell>
        </row>
        <row r="592">
          <cell r="AW592" t="str">
            <v>.</v>
          </cell>
        </row>
        <row r="593">
          <cell r="AW593" t="str">
            <v>.</v>
          </cell>
        </row>
        <row r="594">
          <cell r="AW594" t="str">
            <v>.</v>
          </cell>
        </row>
        <row r="595">
          <cell r="AW595" t="str">
            <v>.</v>
          </cell>
        </row>
        <row r="596">
          <cell r="AW596" t="str">
            <v>.</v>
          </cell>
        </row>
        <row r="597">
          <cell r="AW597" t="str">
            <v>.</v>
          </cell>
        </row>
        <row r="598">
          <cell r="AW598" t="str">
            <v>.</v>
          </cell>
        </row>
        <row r="599">
          <cell r="AW599" t="str">
            <v>.</v>
          </cell>
        </row>
        <row r="600">
          <cell r="AW600" t="str">
            <v>.</v>
          </cell>
        </row>
        <row r="601">
          <cell r="AW601" t="str">
            <v>.</v>
          </cell>
        </row>
        <row r="602">
          <cell r="AW602" t="str">
            <v>.</v>
          </cell>
        </row>
        <row r="603">
          <cell r="AW603" t="str">
            <v>.</v>
          </cell>
        </row>
        <row r="604">
          <cell r="AW604" t="str">
            <v>.</v>
          </cell>
        </row>
        <row r="605">
          <cell r="AW605" t="str">
            <v>.</v>
          </cell>
        </row>
        <row r="606">
          <cell r="AW606" t="str">
            <v>.</v>
          </cell>
        </row>
        <row r="607">
          <cell r="AW607" t="str">
            <v>.</v>
          </cell>
        </row>
        <row r="608">
          <cell r="AW608" t="str">
            <v>.</v>
          </cell>
        </row>
        <row r="609">
          <cell r="AW609" t="str">
            <v>.</v>
          </cell>
        </row>
        <row r="610">
          <cell r="AW610" t="str">
            <v>.</v>
          </cell>
        </row>
        <row r="611">
          <cell r="AW611" t="str">
            <v>.</v>
          </cell>
        </row>
        <row r="612">
          <cell r="AW612" t="str">
            <v>.</v>
          </cell>
        </row>
        <row r="613">
          <cell r="AW613" t="str">
            <v>.</v>
          </cell>
        </row>
        <row r="614">
          <cell r="AW614" t="str">
            <v>.</v>
          </cell>
        </row>
        <row r="615">
          <cell r="AW615" t="str">
            <v>.</v>
          </cell>
        </row>
        <row r="616">
          <cell r="AW616" t="str">
            <v>.</v>
          </cell>
        </row>
        <row r="617">
          <cell r="AW617" t="str">
            <v>.</v>
          </cell>
        </row>
        <row r="618">
          <cell r="AW618" t="str">
            <v>.</v>
          </cell>
        </row>
        <row r="619">
          <cell r="AW619" t="str">
            <v>.</v>
          </cell>
        </row>
        <row r="620">
          <cell r="AW620" t="str">
            <v>.</v>
          </cell>
        </row>
        <row r="621">
          <cell r="AW621" t="str">
            <v>.</v>
          </cell>
        </row>
        <row r="622">
          <cell r="AW622" t="str">
            <v>.</v>
          </cell>
        </row>
        <row r="623">
          <cell r="AW623" t="str">
            <v>.</v>
          </cell>
        </row>
        <row r="624">
          <cell r="AW624" t="str">
            <v>.</v>
          </cell>
        </row>
        <row r="625">
          <cell r="AW625" t="str">
            <v>.</v>
          </cell>
        </row>
        <row r="626">
          <cell r="AW626" t="str">
            <v>.</v>
          </cell>
        </row>
        <row r="627">
          <cell r="AW627" t="str">
            <v>.</v>
          </cell>
        </row>
        <row r="628">
          <cell r="AW628" t="str">
            <v>.</v>
          </cell>
        </row>
        <row r="629">
          <cell r="AW629" t="str">
            <v>.</v>
          </cell>
        </row>
        <row r="630">
          <cell r="AW630" t="str">
            <v>.</v>
          </cell>
        </row>
        <row r="631">
          <cell r="AW631" t="str">
            <v>.</v>
          </cell>
        </row>
        <row r="632">
          <cell r="AW632" t="str">
            <v>.</v>
          </cell>
        </row>
        <row r="633">
          <cell r="AW633" t="str">
            <v>.</v>
          </cell>
        </row>
        <row r="634">
          <cell r="AW634" t="str">
            <v>.</v>
          </cell>
        </row>
        <row r="635">
          <cell r="AW635" t="str">
            <v>.</v>
          </cell>
        </row>
        <row r="636">
          <cell r="AW636" t="str">
            <v>.</v>
          </cell>
        </row>
        <row r="637">
          <cell r="AW637" t="str">
            <v>.</v>
          </cell>
        </row>
        <row r="638">
          <cell r="AW638" t="str">
            <v>.</v>
          </cell>
        </row>
        <row r="639">
          <cell r="AW639" t="str">
            <v>.</v>
          </cell>
        </row>
        <row r="640">
          <cell r="AW640" t="str">
            <v>.</v>
          </cell>
        </row>
        <row r="641">
          <cell r="AW641" t="str">
            <v>.</v>
          </cell>
        </row>
        <row r="642">
          <cell r="AW642" t="str">
            <v>.</v>
          </cell>
        </row>
        <row r="643">
          <cell r="AW643" t="str">
            <v>.</v>
          </cell>
        </row>
        <row r="644">
          <cell r="AW644" t="str">
            <v>.</v>
          </cell>
        </row>
        <row r="645">
          <cell r="AW645" t="str">
            <v>.</v>
          </cell>
        </row>
        <row r="646">
          <cell r="AW646" t="str">
            <v>.</v>
          </cell>
        </row>
        <row r="647">
          <cell r="AW647" t="str">
            <v>.</v>
          </cell>
        </row>
        <row r="648">
          <cell r="AW648" t="str">
            <v>.</v>
          </cell>
        </row>
        <row r="649">
          <cell r="AW649" t="str">
            <v>.</v>
          </cell>
        </row>
        <row r="650">
          <cell r="AW650" t="str">
            <v>.</v>
          </cell>
        </row>
        <row r="651">
          <cell r="AW651" t="str">
            <v>.</v>
          </cell>
        </row>
        <row r="652">
          <cell r="AW652" t="str">
            <v>.</v>
          </cell>
        </row>
        <row r="653">
          <cell r="AW653" t="str">
            <v>.</v>
          </cell>
        </row>
        <row r="654">
          <cell r="AW654" t="str">
            <v>.</v>
          </cell>
        </row>
        <row r="655">
          <cell r="AW655" t="str">
            <v>.</v>
          </cell>
        </row>
        <row r="656">
          <cell r="AW656" t="str">
            <v>.</v>
          </cell>
        </row>
        <row r="657">
          <cell r="AW657" t="str">
            <v>.</v>
          </cell>
        </row>
        <row r="658">
          <cell r="AW658" t="str">
            <v>.</v>
          </cell>
        </row>
        <row r="659">
          <cell r="AW659" t="str">
            <v>.</v>
          </cell>
        </row>
        <row r="660">
          <cell r="AW660" t="str">
            <v>.</v>
          </cell>
        </row>
        <row r="661">
          <cell r="AW661" t="str">
            <v>.</v>
          </cell>
        </row>
        <row r="662">
          <cell r="AW662" t="str">
            <v>.</v>
          </cell>
        </row>
        <row r="663">
          <cell r="AW663" t="str">
            <v>.</v>
          </cell>
        </row>
        <row r="664">
          <cell r="AW664" t="str">
            <v>.</v>
          </cell>
        </row>
        <row r="665">
          <cell r="AW665" t="str">
            <v>.</v>
          </cell>
        </row>
        <row r="666">
          <cell r="AW666" t="str">
            <v>.</v>
          </cell>
        </row>
        <row r="667">
          <cell r="AW667" t="str">
            <v>.</v>
          </cell>
        </row>
        <row r="668">
          <cell r="AW668" t="str">
            <v>.</v>
          </cell>
        </row>
        <row r="669">
          <cell r="AW669" t="str">
            <v>.</v>
          </cell>
        </row>
        <row r="670">
          <cell r="AW670" t="str">
            <v>.</v>
          </cell>
        </row>
        <row r="671">
          <cell r="AW671" t="str">
            <v>.</v>
          </cell>
        </row>
        <row r="672">
          <cell r="AW672" t="str">
            <v>.</v>
          </cell>
        </row>
        <row r="673">
          <cell r="AW673" t="str">
            <v>.</v>
          </cell>
        </row>
        <row r="674">
          <cell r="AW674" t="str">
            <v>.</v>
          </cell>
        </row>
        <row r="675">
          <cell r="AW675" t="str">
            <v>.</v>
          </cell>
        </row>
        <row r="676">
          <cell r="AW676" t="str">
            <v>.</v>
          </cell>
        </row>
        <row r="677">
          <cell r="AW677" t="str">
            <v>.</v>
          </cell>
        </row>
        <row r="678">
          <cell r="AW678" t="str">
            <v>.</v>
          </cell>
        </row>
        <row r="679">
          <cell r="AW679" t="str">
            <v>.</v>
          </cell>
        </row>
        <row r="680">
          <cell r="AW680" t="str">
            <v>.</v>
          </cell>
        </row>
        <row r="681">
          <cell r="AW681" t="str">
            <v>.</v>
          </cell>
        </row>
        <row r="682">
          <cell r="AW682" t="str">
            <v>.</v>
          </cell>
        </row>
        <row r="683">
          <cell r="AW683" t="str">
            <v>.</v>
          </cell>
        </row>
        <row r="684">
          <cell r="AW684" t="str">
            <v>.</v>
          </cell>
        </row>
        <row r="685">
          <cell r="AW685" t="str">
            <v>.</v>
          </cell>
        </row>
        <row r="686">
          <cell r="AW686" t="str">
            <v>.</v>
          </cell>
        </row>
        <row r="687">
          <cell r="AW687" t="str">
            <v>.</v>
          </cell>
        </row>
        <row r="688">
          <cell r="AW688" t="str">
            <v>.</v>
          </cell>
        </row>
        <row r="689">
          <cell r="AW689" t="str">
            <v>.</v>
          </cell>
        </row>
        <row r="690">
          <cell r="AW690" t="str">
            <v>.</v>
          </cell>
        </row>
        <row r="691">
          <cell r="AW691" t="str">
            <v>.</v>
          </cell>
        </row>
        <row r="692">
          <cell r="AW692" t="str">
            <v>.</v>
          </cell>
        </row>
        <row r="693">
          <cell r="AW693" t="str">
            <v>.</v>
          </cell>
        </row>
        <row r="694">
          <cell r="AW694" t="str">
            <v>.</v>
          </cell>
        </row>
        <row r="695">
          <cell r="AW695" t="str">
            <v>.</v>
          </cell>
        </row>
        <row r="696">
          <cell r="AW696" t="str">
            <v>.</v>
          </cell>
        </row>
        <row r="697">
          <cell r="AW697" t="str">
            <v>.</v>
          </cell>
        </row>
        <row r="698">
          <cell r="AW698" t="str">
            <v>.</v>
          </cell>
        </row>
        <row r="699">
          <cell r="AW699" t="str">
            <v>.</v>
          </cell>
        </row>
        <row r="700">
          <cell r="AW700" t="str">
            <v>.</v>
          </cell>
        </row>
        <row r="701">
          <cell r="AW701" t="str">
            <v>.</v>
          </cell>
        </row>
        <row r="702">
          <cell r="AW702" t="str">
            <v>.</v>
          </cell>
        </row>
        <row r="703">
          <cell r="AW703" t="str">
            <v>.</v>
          </cell>
        </row>
        <row r="704">
          <cell r="AW704" t="str">
            <v>.</v>
          </cell>
        </row>
        <row r="705">
          <cell r="AW705" t="str">
            <v>.</v>
          </cell>
        </row>
        <row r="706">
          <cell r="AW706" t="str">
            <v>.</v>
          </cell>
        </row>
        <row r="707">
          <cell r="AW707" t="str">
            <v>.</v>
          </cell>
        </row>
        <row r="708">
          <cell r="AW708" t="str">
            <v>.</v>
          </cell>
        </row>
        <row r="709">
          <cell r="AW709" t="str">
            <v>.</v>
          </cell>
        </row>
        <row r="710">
          <cell r="AW710" t="str">
            <v>.</v>
          </cell>
        </row>
        <row r="711">
          <cell r="AW711" t="str">
            <v>.</v>
          </cell>
        </row>
        <row r="712">
          <cell r="AW712" t="str">
            <v>.</v>
          </cell>
        </row>
        <row r="713">
          <cell r="AW713" t="str">
            <v>.</v>
          </cell>
        </row>
        <row r="714">
          <cell r="AW714" t="str">
            <v>.</v>
          </cell>
        </row>
        <row r="715">
          <cell r="AW715" t="str">
            <v>.</v>
          </cell>
        </row>
        <row r="716">
          <cell r="AW716" t="str">
            <v>.</v>
          </cell>
        </row>
        <row r="717">
          <cell r="AW717" t="str">
            <v>.</v>
          </cell>
        </row>
        <row r="718">
          <cell r="AW718" t="str">
            <v>.</v>
          </cell>
        </row>
        <row r="719">
          <cell r="AW719" t="str">
            <v>.</v>
          </cell>
        </row>
        <row r="720">
          <cell r="AW720" t="str">
            <v>.</v>
          </cell>
        </row>
        <row r="721">
          <cell r="AW721" t="str">
            <v>.</v>
          </cell>
        </row>
        <row r="722">
          <cell r="AW722" t="str">
            <v>.</v>
          </cell>
        </row>
        <row r="723">
          <cell r="AW723" t="str">
            <v>.</v>
          </cell>
        </row>
        <row r="724">
          <cell r="AW724" t="str">
            <v>.</v>
          </cell>
        </row>
        <row r="725">
          <cell r="AW725" t="str">
            <v>.</v>
          </cell>
        </row>
        <row r="726">
          <cell r="AW726" t="str">
            <v>.</v>
          </cell>
        </row>
        <row r="727">
          <cell r="AW727" t="str">
            <v>.</v>
          </cell>
        </row>
        <row r="728">
          <cell r="AW728" t="str">
            <v>.</v>
          </cell>
        </row>
        <row r="729">
          <cell r="AW729" t="str">
            <v>.</v>
          </cell>
        </row>
        <row r="730">
          <cell r="AW730" t="str">
            <v>.</v>
          </cell>
        </row>
        <row r="731">
          <cell r="AW731" t="str">
            <v>.</v>
          </cell>
        </row>
        <row r="732">
          <cell r="AW732" t="str">
            <v>.</v>
          </cell>
        </row>
        <row r="733">
          <cell r="AW733" t="str">
            <v>.</v>
          </cell>
        </row>
        <row r="734">
          <cell r="AW734" t="str">
            <v>.</v>
          </cell>
        </row>
        <row r="735">
          <cell r="AW735" t="str">
            <v>.</v>
          </cell>
        </row>
        <row r="736">
          <cell r="AW736" t="str">
            <v>.</v>
          </cell>
        </row>
        <row r="737">
          <cell r="AW737" t="str">
            <v>.</v>
          </cell>
        </row>
        <row r="738">
          <cell r="AW738" t="str">
            <v>.</v>
          </cell>
        </row>
        <row r="739">
          <cell r="AW739" t="str">
            <v>.</v>
          </cell>
        </row>
        <row r="740">
          <cell r="AW740" t="str">
            <v>.</v>
          </cell>
        </row>
        <row r="741">
          <cell r="AW741" t="str">
            <v>.</v>
          </cell>
        </row>
        <row r="742">
          <cell r="AW742" t="str">
            <v>.</v>
          </cell>
        </row>
        <row r="743">
          <cell r="AW743" t="str">
            <v>.</v>
          </cell>
        </row>
        <row r="744">
          <cell r="AW744" t="str">
            <v>.</v>
          </cell>
        </row>
        <row r="745">
          <cell r="AW745" t="str">
            <v>.</v>
          </cell>
        </row>
        <row r="746">
          <cell r="AW746" t="str">
            <v>.</v>
          </cell>
        </row>
        <row r="747">
          <cell r="AW747" t="str">
            <v>.</v>
          </cell>
        </row>
        <row r="748">
          <cell r="AW748" t="str">
            <v>.</v>
          </cell>
        </row>
        <row r="749">
          <cell r="AW749" t="str">
            <v>.</v>
          </cell>
        </row>
        <row r="750">
          <cell r="AW750" t="str">
            <v>.</v>
          </cell>
        </row>
        <row r="751">
          <cell r="AW751" t="str">
            <v>.</v>
          </cell>
        </row>
        <row r="752">
          <cell r="AW752" t="str">
            <v>.</v>
          </cell>
        </row>
        <row r="753">
          <cell r="AW753" t="str">
            <v>.</v>
          </cell>
        </row>
        <row r="754">
          <cell r="AW754" t="str">
            <v>.</v>
          </cell>
        </row>
        <row r="755">
          <cell r="AW755" t="str">
            <v>.</v>
          </cell>
        </row>
        <row r="756">
          <cell r="AW756" t="str">
            <v>.</v>
          </cell>
        </row>
        <row r="757">
          <cell r="AW757" t="str">
            <v>.</v>
          </cell>
        </row>
        <row r="758">
          <cell r="AW758" t="str">
            <v>.</v>
          </cell>
        </row>
        <row r="759">
          <cell r="AW759" t="str">
            <v>.</v>
          </cell>
        </row>
        <row r="760">
          <cell r="AW760" t="str">
            <v>.</v>
          </cell>
        </row>
        <row r="761">
          <cell r="AW761" t="str">
            <v>.</v>
          </cell>
        </row>
        <row r="762">
          <cell r="AW762" t="str">
            <v>.</v>
          </cell>
        </row>
        <row r="763">
          <cell r="AW763" t="str">
            <v>.</v>
          </cell>
        </row>
        <row r="764">
          <cell r="AW764" t="str">
            <v>.</v>
          </cell>
        </row>
        <row r="765">
          <cell r="AW765" t="str">
            <v>.</v>
          </cell>
        </row>
        <row r="766">
          <cell r="AW766" t="str">
            <v>.</v>
          </cell>
        </row>
        <row r="767">
          <cell r="AW767" t="str">
            <v>.</v>
          </cell>
        </row>
        <row r="768">
          <cell r="AW768" t="str">
            <v>.</v>
          </cell>
        </row>
        <row r="769">
          <cell r="AW769" t="str">
            <v>.</v>
          </cell>
        </row>
        <row r="770">
          <cell r="AW770" t="str">
            <v>.</v>
          </cell>
        </row>
        <row r="771">
          <cell r="AW771" t="str">
            <v>.</v>
          </cell>
        </row>
        <row r="772">
          <cell r="AW772" t="str">
            <v>.</v>
          </cell>
        </row>
        <row r="773">
          <cell r="AW773" t="str">
            <v>.</v>
          </cell>
        </row>
        <row r="774">
          <cell r="AW774" t="str">
            <v>.</v>
          </cell>
        </row>
        <row r="775">
          <cell r="AW775" t="str">
            <v>.</v>
          </cell>
        </row>
        <row r="776">
          <cell r="AW776" t="str">
            <v>.</v>
          </cell>
        </row>
        <row r="777">
          <cell r="AW777" t="str">
            <v>.</v>
          </cell>
        </row>
        <row r="778">
          <cell r="AW778" t="str">
            <v>.</v>
          </cell>
        </row>
        <row r="779">
          <cell r="AW779" t="str">
            <v>.</v>
          </cell>
        </row>
        <row r="780">
          <cell r="AW780" t="str">
            <v>.</v>
          </cell>
        </row>
        <row r="781">
          <cell r="AW781" t="str">
            <v>.</v>
          </cell>
        </row>
        <row r="782">
          <cell r="AW782" t="str">
            <v>.</v>
          </cell>
        </row>
        <row r="783">
          <cell r="AW783" t="str">
            <v>.</v>
          </cell>
        </row>
        <row r="784">
          <cell r="AW784" t="str">
            <v>.</v>
          </cell>
        </row>
        <row r="785">
          <cell r="AW785" t="str">
            <v>.</v>
          </cell>
        </row>
        <row r="786">
          <cell r="AW786" t="str">
            <v>.</v>
          </cell>
        </row>
        <row r="787">
          <cell r="AW787" t="str">
            <v>.</v>
          </cell>
        </row>
        <row r="788">
          <cell r="AW788" t="str">
            <v>.</v>
          </cell>
        </row>
        <row r="789">
          <cell r="AW789" t="str">
            <v>.</v>
          </cell>
        </row>
        <row r="790">
          <cell r="AW790" t="str">
            <v>.</v>
          </cell>
        </row>
        <row r="791">
          <cell r="AW791" t="str">
            <v>.</v>
          </cell>
        </row>
        <row r="792">
          <cell r="AW792" t="str">
            <v>.</v>
          </cell>
        </row>
        <row r="793">
          <cell r="AW793" t="str">
            <v>.</v>
          </cell>
        </row>
        <row r="794">
          <cell r="AW794" t="str">
            <v>.</v>
          </cell>
        </row>
        <row r="795">
          <cell r="AW795" t="str">
            <v>.</v>
          </cell>
        </row>
        <row r="796">
          <cell r="AW796" t="str">
            <v>.</v>
          </cell>
        </row>
        <row r="797">
          <cell r="AW797" t="str">
            <v>.</v>
          </cell>
        </row>
        <row r="798">
          <cell r="AW798" t="str">
            <v>.</v>
          </cell>
        </row>
        <row r="799">
          <cell r="AW799" t="str">
            <v>.</v>
          </cell>
        </row>
        <row r="800">
          <cell r="AW800" t="str">
            <v>.</v>
          </cell>
        </row>
        <row r="801">
          <cell r="AW801" t="str">
            <v>.</v>
          </cell>
        </row>
        <row r="802">
          <cell r="AW802" t="str">
            <v>.</v>
          </cell>
        </row>
        <row r="803">
          <cell r="AW803" t="str">
            <v>.</v>
          </cell>
        </row>
        <row r="804">
          <cell r="AW804" t="str">
            <v>.</v>
          </cell>
        </row>
        <row r="805">
          <cell r="AW805" t="str">
            <v>.</v>
          </cell>
        </row>
        <row r="806">
          <cell r="AW806" t="str">
            <v>.</v>
          </cell>
        </row>
        <row r="807">
          <cell r="AW807" t="str">
            <v>.</v>
          </cell>
        </row>
        <row r="808">
          <cell r="AW808" t="str">
            <v>.</v>
          </cell>
        </row>
        <row r="809">
          <cell r="AW809" t="str">
            <v>.</v>
          </cell>
        </row>
        <row r="810">
          <cell r="AW810" t="str">
            <v>.</v>
          </cell>
        </row>
        <row r="811">
          <cell r="AW811" t="str">
            <v>.</v>
          </cell>
        </row>
        <row r="812">
          <cell r="AW812" t="str">
            <v>.</v>
          </cell>
        </row>
        <row r="813">
          <cell r="AW813" t="str">
            <v>.</v>
          </cell>
        </row>
        <row r="814">
          <cell r="AW814" t="str">
            <v>.</v>
          </cell>
        </row>
        <row r="815">
          <cell r="AW815" t="str">
            <v>.</v>
          </cell>
        </row>
        <row r="816">
          <cell r="AW816" t="str">
            <v>.</v>
          </cell>
        </row>
        <row r="817">
          <cell r="AW817" t="str">
            <v>.</v>
          </cell>
        </row>
        <row r="818">
          <cell r="AW818" t="str">
            <v>.</v>
          </cell>
        </row>
        <row r="819">
          <cell r="AW819" t="str">
            <v>.</v>
          </cell>
        </row>
        <row r="820">
          <cell r="AW820" t="str">
            <v>.</v>
          </cell>
        </row>
        <row r="821">
          <cell r="AW821" t="str">
            <v>.</v>
          </cell>
        </row>
        <row r="822">
          <cell r="AW822" t="str">
            <v>.</v>
          </cell>
        </row>
        <row r="823">
          <cell r="AW823" t="str">
            <v>.</v>
          </cell>
        </row>
        <row r="824">
          <cell r="AW824" t="str">
            <v>.</v>
          </cell>
        </row>
        <row r="825">
          <cell r="AW825" t="str">
            <v>.</v>
          </cell>
        </row>
        <row r="826">
          <cell r="AW826" t="str">
            <v>.</v>
          </cell>
        </row>
        <row r="827">
          <cell r="AW827" t="str">
            <v>.</v>
          </cell>
        </row>
        <row r="828">
          <cell r="AW828" t="str">
            <v>.</v>
          </cell>
        </row>
        <row r="829">
          <cell r="AW829" t="str">
            <v>.</v>
          </cell>
        </row>
        <row r="830">
          <cell r="AW830" t="str">
            <v>.</v>
          </cell>
        </row>
        <row r="831">
          <cell r="AW831" t="str">
            <v>.</v>
          </cell>
        </row>
        <row r="832">
          <cell r="AW832" t="str">
            <v>.</v>
          </cell>
        </row>
        <row r="833">
          <cell r="AW833" t="str">
            <v>.</v>
          </cell>
        </row>
        <row r="834">
          <cell r="AW834" t="str">
            <v>.</v>
          </cell>
        </row>
        <row r="835">
          <cell r="AW835" t="str">
            <v>.</v>
          </cell>
        </row>
        <row r="836">
          <cell r="AW836" t="str">
            <v>.</v>
          </cell>
        </row>
        <row r="837">
          <cell r="AW837" t="str">
            <v>.</v>
          </cell>
        </row>
        <row r="838">
          <cell r="AW838" t="str">
            <v>.</v>
          </cell>
        </row>
        <row r="839">
          <cell r="AW839" t="str">
            <v>.</v>
          </cell>
        </row>
        <row r="840">
          <cell r="AW840" t="str">
            <v>.</v>
          </cell>
        </row>
        <row r="841">
          <cell r="AW841" t="str">
            <v>.</v>
          </cell>
        </row>
        <row r="842">
          <cell r="AW842" t="str">
            <v>.</v>
          </cell>
        </row>
        <row r="843">
          <cell r="AW843" t="str">
            <v>.</v>
          </cell>
        </row>
        <row r="844">
          <cell r="AW844" t="str">
            <v>.</v>
          </cell>
        </row>
        <row r="845">
          <cell r="AW845" t="str">
            <v>.</v>
          </cell>
        </row>
        <row r="846">
          <cell r="AW846" t="str">
            <v>.</v>
          </cell>
        </row>
        <row r="847">
          <cell r="AW847" t="str">
            <v>.</v>
          </cell>
        </row>
        <row r="848">
          <cell r="AW848" t="str">
            <v>.</v>
          </cell>
        </row>
        <row r="849">
          <cell r="AW849" t="str">
            <v>.</v>
          </cell>
        </row>
        <row r="850">
          <cell r="AW850" t="str">
            <v>.</v>
          </cell>
        </row>
        <row r="851">
          <cell r="AW851" t="str">
            <v>.</v>
          </cell>
        </row>
        <row r="852">
          <cell r="AW852" t="str">
            <v>.</v>
          </cell>
        </row>
        <row r="853">
          <cell r="AW853" t="str">
            <v>.</v>
          </cell>
        </row>
        <row r="854">
          <cell r="AW854" t="str">
            <v>.</v>
          </cell>
        </row>
        <row r="855">
          <cell r="AW855" t="str">
            <v>.</v>
          </cell>
        </row>
        <row r="856">
          <cell r="AW856" t="str">
            <v>.</v>
          </cell>
        </row>
        <row r="857">
          <cell r="AW857" t="str">
            <v>.</v>
          </cell>
        </row>
        <row r="858">
          <cell r="AW858" t="str">
            <v>.</v>
          </cell>
        </row>
        <row r="859">
          <cell r="AW859" t="str">
            <v>.</v>
          </cell>
        </row>
        <row r="860">
          <cell r="AW860" t="str">
            <v>.</v>
          </cell>
        </row>
        <row r="861">
          <cell r="AW861" t="str">
            <v>.</v>
          </cell>
        </row>
        <row r="862">
          <cell r="AW862" t="str">
            <v>.</v>
          </cell>
        </row>
        <row r="863">
          <cell r="AW863" t="str">
            <v>.</v>
          </cell>
        </row>
        <row r="864">
          <cell r="AW864" t="str">
            <v>.</v>
          </cell>
        </row>
        <row r="865">
          <cell r="AW865" t="str">
            <v>.</v>
          </cell>
        </row>
        <row r="866">
          <cell r="AW866" t="str">
            <v>.</v>
          </cell>
        </row>
        <row r="867">
          <cell r="AW867" t="str">
            <v>.</v>
          </cell>
        </row>
        <row r="868">
          <cell r="AW868" t="str">
            <v>.</v>
          </cell>
        </row>
        <row r="869">
          <cell r="AW869" t="str">
            <v>.</v>
          </cell>
        </row>
        <row r="870">
          <cell r="AW870" t="str">
            <v>.</v>
          </cell>
        </row>
        <row r="871">
          <cell r="AW871" t="str">
            <v>.</v>
          </cell>
        </row>
        <row r="872">
          <cell r="AW872" t="str">
            <v>.</v>
          </cell>
        </row>
        <row r="873">
          <cell r="AW873" t="str">
            <v>.</v>
          </cell>
        </row>
        <row r="874">
          <cell r="AW874" t="str">
            <v>.</v>
          </cell>
        </row>
        <row r="875">
          <cell r="AW875" t="str">
            <v>.</v>
          </cell>
        </row>
        <row r="876">
          <cell r="AW876" t="str">
            <v>.</v>
          </cell>
        </row>
        <row r="877">
          <cell r="AW877" t="str">
            <v>.</v>
          </cell>
        </row>
        <row r="878">
          <cell r="AW878" t="str">
            <v>.</v>
          </cell>
        </row>
        <row r="879">
          <cell r="AW879" t="str">
            <v>.</v>
          </cell>
        </row>
        <row r="880">
          <cell r="AW880" t="str">
            <v>.</v>
          </cell>
        </row>
        <row r="881">
          <cell r="AW881" t="str">
            <v>.</v>
          </cell>
        </row>
        <row r="882">
          <cell r="AW882" t="str">
            <v>.</v>
          </cell>
        </row>
        <row r="883">
          <cell r="AW883" t="str">
            <v>.</v>
          </cell>
        </row>
        <row r="884">
          <cell r="AW884" t="str">
            <v>.</v>
          </cell>
        </row>
        <row r="885">
          <cell r="AW885" t="str">
            <v>.</v>
          </cell>
        </row>
        <row r="886">
          <cell r="AW886" t="str">
            <v>.</v>
          </cell>
        </row>
        <row r="887">
          <cell r="AW887" t="str">
            <v>.</v>
          </cell>
        </row>
        <row r="888">
          <cell r="AW888" t="str">
            <v>.</v>
          </cell>
        </row>
        <row r="889">
          <cell r="AW889" t="str">
            <v>.</v>
          </cell>
        </row>
        <row r="890">
          <cell r="AW890" t="str">
            <v>.</v>
          </cell>
        </row>
        <row r="891">
          <cell r="AW891" t="str">
            <v>.</v>
          </cell>
        </row>
        <row r="892">
          <cell r="AW892" t="str">
            <v>.</v>
          </cell>
        </row>
        <row r="893">
          <cell r="AW893" t="str">
            <v>.</v>
          </cell>
        </row>
        <row r="894">
          <cell r="AW894" t="str">
            <v>.</v>
          </cell>
        </row>
        <row r="895">
          <cell r="AW895" t="str">
            <v>.</v>
          </cell>
        </row>
        <row r="896">
          <cell r="AW896" t="str">
            <v>.</v>
          </cell>
        </row>
        <row r="897">
          <cell r="AW897" t="str">
            <v>.</v>
          </cell>
        </row>
        <row r="898">
          <cell r="AW898" t="str">
            <v>.</v>
          </cell>
        </row>
        <row r="899">
          <cell r="AW899" t="str">
            <v>.</v>
          </cell>
        </row>
        <row r="900">
          <cell r="AW900" t="str">
            <v>.</v>
          </cell>
        </row>
        <row r="901">
          <cell r="AW901" t="str">
            <v>.</v>
          </cell>
        </row>
        <row r="902">
          <cell r="AW902" t="str">
            <v>.</v>
          </cell>
        </row>
        <row r="903">
          <cell r="AW903" t="str">
            <v>.</v>
          </cell>
        </row>
        <row r="904">
          <cell r="AW904" t="str">
            <v>.</v>
          </cell>
        </row>
        <row r="905">
          <cell r="AW905" t="str">
            <v>.</v>
          </cell>
        </row>
        <row r="906">
          <cell r="AW906" t="str">
            <v>.</v>
          </cell>
        </row>
        <row r="907">
          <cell r="AW907" t="str">
            <v>.</v>
          </cell>
        </row>
        <row r="908">
          <cell r="AW908" t="str">
            <v>.</v>
          </cell>
        </row>
        <row r="909">
          <cell r="AW909" t="str">
            <v>.</v>
          </cell>
        </row>
        <row r="910">
          <cell r="AW910" t="str">
            <v>.</v>
          </cell>
        </row>
        <row r="911">
          <cell r="AW911" t="str">
            <v>.</v>
          </cell>
        </row>
        <row r="912">
          <cell r="AW912" t="str">
            <v>.</v>
          </cell>
        </row>
        <row r="913">
          <cell r="AW913" t="str">
            <v>.</v>
          </cell>
        </row>
        <row r="914">
          <cell r="AW914" t="str">
            <v>.</v>
          </cell>
        </row>
        <row r="915">
          <cell r="AW915" t="str">
            <v>.</v>
          </cell>
        </row>
        <row r="916">
          <cell r="AW916" t="str">
            <v>.</v>
          </cell>
        </row>
        <row r="917">
          <cell r="AW917" t="str">
            <v>.</v>
          </cell>
        </row>
        <row r="918">
          <cell r="AW918" t="str">
            <v>.</v>
          </cell>
        </row>
        <row r="919">
          <cell r="AW919" t="str">
            <v>.</v>
          </cell>
        </row>
        <row r="920">
          <cell r="AW920" t="str">
            <v>.</v>
          </cell>
        </row>
        <row r="921">
          <cell r="AW921" t="str">
            <v>.</v>
          </cell>
        </row>
        <row r="922">
          <cell r="AW922" t="str">
            <v>.</v>
          </cell>
        </row>
        <row r="923">
          <cell r="AW923" t="str">
            <v>.</v>
          </cell>
        </row>
        <row r="924">
          <cell r="AW924" t="str">
            <v>.</v>
          </cell>
        </row>
        <row r="925">
          <cell r="AW925" t="str">
            <v>.</v>
          </cell>
        </row>
        <row r="926">
          <cell r="AW926" t="str">
            <v>.</v>
          </cell>
        </row>
        <row r="927">
          <cell r="AW927" t="str">
            <v>.</v>
          </cell>
        </row>
        <row r="928">
          <cell r="AW928" t="str">
            <v>.</v>
          </cell>
        </row>
        <row r="929">
          <cell r="AW929" t="str">
            <v>.</v>
          </cell>
        </row>
        <row r="930">
          <cell r="AW930" t="str">
            <v>.</v>
          </cell>
        </row>
        <row r="931">
          <cell r="AW931" t="str">
            <v>.</v>
          </cell>
        </row>
        <row r="932">
          <cell r="AW932" t="str">
            <v>.</v>
          </cell>
        </row>
        <row r="933">
          <cell r="AW933" t="str">
            <v>.</v>
          </cell>
        </row>
        <row r="934">
          <cell r="AW934" t="str">
            <v>.</v>
          </cell>
        </row>
        <row r="935">
          <cell r="AW935" t="str">
            <v>.</v>
          </cell>
        </row>
        <row r="936">
          <cell r="AW936" t="str">
            <v>.</v>
          </cell>
        </row>
        <row r="937">
          <cell r="AW937" t="str">
            <v>.</v>
          </cell>
        </row>
        <row r="938">
          <cell r="AW938" t="str">
            <v>.</v>
          </cell>
        </row>
        <row r="939">
          <cell r="AW939" t="str">
            <v>.</v>
          </cell>
        </row>
        <row r="940">
          <cell r="AW940" t="str">
            <v>.</v>
          </cell>
        </row>
        <row r="941">
          <cell r="AW941" t="str">
            <v>.</v>
          </cell>
        </row>
        <row r="942">
          <cell r="AW942" t="str">
            <v>.</v>
          </cell>
        </row>
        <row r="943">
          <cell r="AW943" t="str">
            <v>.</v>
          </cell>
        </row>
        <row r="944">
          <cell r="AW944" t="str">
            <v>.</v>
          </cell>
        </row>
        <row r="945">
          <cell r="AW945" t="str">
            <v>.</v>
          </cell>
        </row>
        <row r="946">
          <cell r="AW946" t="str">
            <v>.</v>
          </cell>
        </row>
        <row r="947">
          <cell r="AW947" t="str">
            <v>.</v>
          </cell>
        </row>
        <row r="948">
          <cell r="AW948" t="str">
            <v>.</v>
          </cell>
        </row>
        <row r="949">
          <cell r="AW949" t="str">
            <v>.</v>
          </cell>
        </row>
        <row r="950">
          <cell r="AW950" t="str">
            <v>.</v>
          </cell>
        </row>
        <row r="951">
          <cell r="AW951" t="str">
            <v>.</v>
          </cell>
        </row>
        <row r="952">
          <cell r="AW952" t="str">
            <v>.</v>
          </cell>
        </row>
        <row r="953">
          <cell r="AW953" t="str">
            <v>.</v>
          </cell>
        </row>
        <row r="954">
          <cell r="AW954" t="str">
            <v>.</v>
          </cell>
        </row>
        <row r="955">
          <cell r="AW955" t="str">
            <v>.</v>
          </cell>
        </row>
        <row r="956">
          <cell r="AW956" t="str">
            <v>.</v>
          </cell>
        </row>
        <row r="957">
          <cell r="AW957" t="str">
            <v>.</v>
          </cell>
        </row>
        <row r="958">
          <cell r="AW958" t="str">
            <v>.</v>
          </cell>
        </row>
        <row r="959">
          <cell r="AW959" t="str">
            <v>.</v>
          </cell>
        </row>
        <row r="960">
          <cell r="AW960" t="str">
            <v>.</v>
          </cell>
        </row>
        <row r="961">
          <cell r="AW961" t="str">
            <v>.</v>
          </cell>
        </row>
        <row r="962">
          <cell r="AW962" t="str">
            <v>.</v>
          </cell>
        </row>
        <row r="963">
          <cell r="AW963" t="str">
            <v>.</v>
          </cell>
        </row>
        <row r="964">
          <cell r="AW964" t="str">
            <v>.</v>
          </cell>
        </row>
        <row r="965">
          <cell r="AW965" t="str">
            <v>.</v>
          </cell>
        </row>
        <row r="966">
          <cell r="AW966" t="str">
            <v>.</v>
          </cell>
        </row>
        <row r="967">
          <cell r="AW967" t="str">
            <v>.</v>
          </cell>
        </row>
        <row r="968">
          <cell r="AW968" t="str">
            <v>.</v>
          </cell>
        </row>
        <row r="969">
          <cell r="AW969" t="str">
            <v>.</v>
          </cell>
        </row>
        <row r="970">
          <cell r="AW970" t="str">
            <v>.</v>
          </cell>
        </row>
        <row r="971">
          <cell r="AW971" t="str">
            <v>.</v>
          </cell>
        </row>
        <row r="972">
          <cell r="AW972" t="str">
            <v>.</v>
          </cell>
        </row>
        <row r="973">
          <cell r="AW973" t="str">
            <v>.</v>
          </cell>
        </row>
        <row r="974">
          <cell r="AW974" t="str">
            <v>.</v>
          </cell>
        </row>
        <row r="975">
          <cell r="AW975" t="str">
            <v>.</v>
          </cell>
        </row>
        <row r="976">
          <cell r="AW976" t="str">
            <v>.</v>
          </cell>
        </row>
        <row r="977">
          <cell r="AW977" t="str">
            <v>.</v>
          </cell>
        </row>
        <row r="978">
          <cell r="AW978" t="str">
            <v>.</v>
          </cell>
        </row>
        <row r="979">
          <cell r="AW979" t="str">
            <v>.</v>
          </cell>
        </row>
        <row r="980">
          <cell r="AW980" t="str">
            <v>.</v>
          </cell>
        </row>
        <row r="981">
          <cell r="AW981" t="str">
            <v>.</v>
          </cell>
        </row>
        <row r="982">
          <cell r="AW982" t="str">
            <v>.</v>
          </cell>
        </row>
        <row r="983">
          <cell r="AW983" t="str">
            <v>.</v>
          </cell>
        </row>
        <row r="984">
          <cell r="AW984" t="str">
            <v>.</v>
          </cell>
        </row>
        <row r="985">
          <cell r="AW985" t="str">
            <v>.</v>
          </cell>
        </row>
        <row r="986">
          <cell r="AW986" t="str">
            <v>.</v>
          </cell>
        </row>
        <row r="987">
          <cell r="AW987" t="str">
            <v>.</v>
          </cell>
        </row>
        <row r="988">
          <cell r="AW988" t="str">
            <v>.</v>
          </cell>
        </row>
        <row r="989">
          <cell r="AW989" t="str">
            <v>.</v>
          </cell>
        </row>
        <row r="990">
          <cell r="AW990" t="str">
            <v>.</v>
          </cell>
        </row>
        <row r="991">
          <cell r="AW991" t="str">
            <v>.</v>
          </cell>
        </row>
        <row r="992">
          <cell r="AW992" t="str">
            <v>.</v>
          </cell>
        </row>
        <row r="993">
          <cell r="AW993" t="str">
            <v>.</v>
          </cell>
        </row>
        <row r="994">
          <cell r="AW994" t="str">
            <v>.</v>
          </cell>
        </row>
        <row r="995">
          <cell r="AW995" t="str">
            <v>.</v>
          </cell>
        </row>
        <row r="996">
          <cell r="A996" t="str">
            <v>.</v>
          </cell>
          <cell r="B996" t="str">
            <v>.</v>
          </cell>
          <cell r="C996" t="str">
            <v>.</v>
          </cell>
          <cell r="D996" t="str">
            <v>.</v>
          </cell>
          <cell r="E996" t="str">
            <v>.</v>
          </cell>
          <cell r="F996" t="str">
            <v>.</v>
          </cell>
          <cell r="O996" t="str">
            <v>.</v>
          </cell>
          <cell r="P996" t="str">
            <v>.</v>
          </cell>
          <cell r="Q996" t="str">
            <v>.</v>
          </cell>
          <cell r="R996" t="str">
            <v>.</v>
          </cell>
          <cell r="S996" t="str">
            <v>.</v>
          </cell>
          <cell r="T996" t="str">
            <v>.</v>
          </cell>
          <cell r="U996" t="str">
            <v>.</v>
          </cell>
          <cell r="V996" t="str">
            <v>.</v>
          </cell>
          <cell r="W996" t="str">
            <v>.</v>
          </cell>
          <cell r="X996" t="str">
            <v>.</v>
          </cell>
          <cell r="Y996" t="str">
            <v>.</v>
          </cell>
          <cell r="Z996" t="str">
            <v>.</v>
          </cell>
          <cell r="AA996" t="str">
            <v>.</v>
          </cell>
          <cell r="AB996" t="str">
            <v>.</v>
          </cell>
          <cell r="AC996" t="str">
            <v>.</v>
          </cell>
          <cell r="AD996" t="str">
            <v>.</v>
          </cell>
          <cell r="AE996" t="str">
            <v>.</v>
          </cell>
          <cell r="AF996" t="str">
            <v>.</v>
          </cell>
          <cell r="AG996" t="str">
            <v>.</v>
          </cell>
          <cell r="AH996" t="str">
            <v>.</v>
          </cell>
          <cell r="AI996" t="str">
            <v>.</v>
          </cell>
          <cell r="AJ996" t="str">
            <v>.</v>
          </cell>
          <cell r="AK996" t="str">
            <v>.</v>
          </cell>
          <cell r="AL996" t="str">
            <v>.</v>
          </cell>
          <cell r="AM996" t="str">
            <v>.</v>
          </cell>
          <cell r="AN996" t="str">
            <v>.</v>
          </cell>
          <cell r="AO996" t="str">
            <v>.</v>
          </cell>
          <cell r="AP996" t="str">
            <v>.</v>
          </cell>
          <cell r="AQ996" t="str">
            <v>.</v>
          </cell>
          <cell r="AR996" t="str">
            <v>.</v>
          </cell>
          <cell r="AS996" t="str">
            <v>.</v>
          </cell>
          <cell r="AT996" t="str">
            <v>.</v>
          </cell>
          <cell r="AU996" t="str">
            <v>.</v>
          </cell>
          <cell r="AV996" t="str">
            <v>.</v>
          </cell>
          <cell r="AW996" t="str">
            <v>.</v>
          </cell>
        </row>
      </sheetData>
      <sheetData sheetId="1"/>
      <sheetData sheetId="2"/>
      <sheetData sheetId="3"/>
      <sheetData sheetId="4"/>
      <sheetData sheetId="5"/>
      <sheetData sheetId="6"/>
      <sheetData sheetId="7"/>
      <sheetData sheetId="8"/>
      <sheetData sheetId="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Cache"/>
      <sheetName val="MS vs Street"/>
      <sheetName val="Quarterly Data -ModelLinked"/>
      <sheetName val="Summary Cheat Sheet"/>
      <sheetName val="Coverage Universe Comp"/>
      <sheetName val="EBITDA"/>
      <sheetName val="__FDSCACHE__"/>
      <sheetName val="MS vs Consensus Estimates"/>
      <sheetName val="Revenue Growth"/>
      <sheetName val="Operating Margin"/>
      <sheetName val="EPS"/>
      <sheetName val="EPS Growth"/>
      <sheetName val="Relative Risk Reward Chart"/>
      <sheetName val="Earnings Snapshot"/>
      <sheetName val="For 2010 report - Q data"/>
      <sheetName val="For 2010 Report - misc calc"/>
      <sheetName val="GPS Report"/>
      <sheetName val="CHSG&amp;A Growth less Sales Growth"/>
    </sheetNames>
    <sheetDataSet>
      <sheetData sheetId="0"/>
      <sheetData sheetId="1"/>
      <sheetData sheetId="2"/>
      <sheetData sheetId="3"/>
      <sheetData sheetId="4">
        <row r="1">
          <cell r="C1" t="str">
            <v>KSS.N</v>
          </cell>
          <cell r="D1" t="str">
            <v>JCP.N</v>
          </cell>
          <cell r="E1" t="str">
            <v>M.N</v>
          </cell>
          <cell r="F1" t="str">
            <v>JWN.N</v>
          </cell>
          <cell r="G1" t="str">
            <v>SKS.N</v>
          </cell>
          <cell r="H1" t="str">
            <v>ROST.O</v>
          </cell>
          <cell r="I1" t="str">
            <v>TJX.N</v>
          </cell>
          <cell r="M1" t="str">
            <v>ANF.N</v>
          </cell>
          <cell r="N1" t="str">
            <v>ARO.N</v>
          </cell>
          <cell r="O1" t="str">
            <v>AEO.N</v>
          </cell>
          <cell r="P1" t="str">
            <v>COH.N</v>
          </cell>
          <cell r="Q1" t="str">
            <v>GPS.N</v>
          </cell>
          <cell r="R1" t="str">
            <v>LTD.N</v>
          </cell>
          <cell r="S1" t="str">
            <v>URBN.O</v>
          </cell>
        </row>
        <row r="2">
          <cell r="C2" t="str">
            <v>Base Case - Dept Stores</v>
          </cell>
          <cell r="M2" t="str">
            <v>Base Case - Specialty</v>
          </cell>
        </row>
        <row r="3">
          <cell r="B3">
            <v>40284</v>
          </cell>
          <cell r="C3" t="str">
            <v>KSS</v>
          </cell>
          <cell r="D3" t="str">
            <v>JCP</v>
          </cell>
          <cell r="E3" t="str">
            <v>M</v>
          </cell>
          <cell r="F3" t="str">
            <v>JWN</v>
          </cell>
          <cell r="G3" t="str">
            <v>SKS</v>
          </cell>
          <cell r="H3" t="str">
            <v>ROST</v>
          </cell>
          <cell r="I3" t="str">
            <v>TJX</v>
          </cell>
          <cell r="J3" t="str">
            <v>Average</v>
          </cell>
          <cell r="K3" t="str">
            <v>Total</v>
          </cell>
          <cell r="M3" t="str">
            <v>ANF</v>
          </cell>
          <cell r="N3" t="str">
            <v>ARO</v>
          </cell>
          <cell r="O3" t="str">
            <v>AEO</v>
          </cell>
          <cell r="P3" t="str">
            <v>COH</v>
          </cell>
          <cell r="Q3" t="str">
            <v>GPS</v>
          </cell>
          <cell r="R3" t="str">
            <v>LTD</v>
          </cell>
          <cell r="S3" t="str">
            <v>URBN</v>
          </cell>
          <cell r="T3" t="str">
            <v>Average</v>
          </cell>
          <cell r="U3" t="str">
            <v>Total</v>
          </cell>
        </row>
        <row r="4">
          <cell r="B4" t="str">
            <v>Current Price</v>
          </cell>
          <cell r="C4" t="str">
            <v>#Calc</v>
          </cell>
          <cell r="D4" t="str">
            <v>#Calc</v>
          </cell>
          <cell r="E4" t="str">
            <v>#Calc</v>
          </cell>
          <cell r="F4" t="str">
            <v>#Calc</v>
          </cell>
          <cell r="G4" t="str">
            <v>#Calc</v>
          </cell>
          <cell r="H4" t="str">
            <v>#Calc</v>
          </cell>
          <cell r="I4" t="str">
            <v>#Calc</v>
          </cell>
          <cell r="M4" t="str">
            <v>#Calc</v>
          </cell>
          <cell r="N4" t="str">
            <v>#Calc</v>
          </cell>
          <cell r="O4" t="str">
            <v>#Calc</v>
          </cell>
          <cell r="P4" t="str">
            <v>#Calc</v>
          </cell>
          <cell r="Q4" t="str">
            <v>#Calc</v>
          </cell>
          <cell r="R4" t="str">
            <v>#Calc</v>
          </cell>
          <cell r="S4" t="str">
            <v>#Calc</v>
          </cell>
        </row>
        <row r="5">
          <cell r="B5" t="str">
            <v>Market Cap ($M)</v>
          </cell>
          <cell r="C5" t="e">
            <v>#VALUE!</v>
          </cell>
          <cell r="D5" t="e">
            <v>#VALUE!</v>
          </cell>
          <cell r="E5" t="e">
            <v>#VALUE!</v>
          </cell>
          <cell r="F5" t="e">
            <v>#VALUE!</v>
          </cell>
          <cell r="G5" t="e">
            <v>#VALUE!</v>
          </cell>
          <cell r="H5" t="e">
            <v>#VALUE!</v>
          </cell>
          <cell r="I5" t="e">
            <v>#VALUE!</v>
          </cell>
          <cell r="J5" t="e">
            <v>#VALUE!</v>
          </cell>
          <cell r="K5" t="e">
            <v>#VALUE!</v>
          </cell>
          <cell r="M5" t="e">
            <v>#VALUE!</v>
          </cell>
          <cell r="N5" t="e">
            <v>#VALUE!</v>
          </cell>
          <cell r="O5" t="e">
            <v>#VALUE!</v>
          </cell>
          <cell r="P5" t="e">
            <v>#VALUE!</v>
          </cell>
          <cell r="Q5" t="e">
            <v>#VALUE!</v>
          </cell>
          <cell r="R5" t="e">
            <v>#VALUE!</v>
          </cell>
          <cell r="S5" t="e">
            <v>#VALUE!</v>
          </cell>
          <cell r="T5" t="e">
            <v>#VALUE!</v>
          </cell>
          <cell r="U5" t="e">
            <v>#VALUE!</v>
          </cell>
        </row>
        <row r="6">
          <cell r="B6" t="str">
            <v>Shares Outstanding (Last Reported)</v>
          </cell>
          <cell r="C6">
            <v>307</v>
          </cell>
          <cell r="D6">
            <v>232.85</v>
          </cell>
          <cell r="E6">
            <v>422.35</v>
          </cell>
          <cell r="F6">
            <v>219.65</v>
          </cell>
          <cell r="G6">
            <v>146.84450000000001</v>
          </cell>
          <cell r="H6">
            <v>125.05625000000001</v>
          </cell>
          <cell r="I6">
            <v>427.38150000000002</v>
          </cell>
          <cell r="M6">
            <v>88.354749999999996</v>
          </cell>
          <cell r="N6">
            <v>101.02475</v>
          </cell>
          <cell r="O6">
            <v>209.096</v>
          </cell>
          <cell r="P6">
            <v>321.38099999999997</v>
          </cell>
          <cell r="Q6">
            <v>698.5</v>
          </cell>
          <cell r="R6">
            <v>326.76499999999999</v>
          </cell>
          <cell r="S6">
            <v>171.22537274999999</v>
          </cell>
        </row>
        <row r="7">
          <cell r="B7" t="str">
            <v>EV ($M)</v>
          </cell>
          <cell r="C7" t="e">
            <v>#VALUE!</v>
          </cell>
          <cell r="D7" t="e">
            <v>#VALUE!</v>
          </cell>
          <cell r="E7" t="e">
            <v>#VALUE!</v>
          </cell>
          <cell r="F7" t="e">
            <v>#VALUE!</v>
          </cell>
          <cell r="G7" t="e">
            <v>#VALUE!</v>
          </cell>
          <cell r="H7" t="e">
            <v>#VALUE!</v>
          </cell>
          <cell r="I7" t="e">
            <v>#VALUE!</v>
          </cell>
          <cell r="J7" t="e">
            <v>#VALUE!</v>
          </cell>
          <cell r="K7" t="e">
            <v>#VALUE!</v>
          </cell>
          <cell r="M7" t="e">
            <v>#VALUE!</v>
          </cell>
          <cell r="N7" t="e">
            <v>#VALUE!</v>
          </cell>
          <cell r="O7" t="e">
            <v>#VALUE!</v>
          </cell>
          <cell r="P7" t="e">
            <v>#VALUE!</v>
          </cell>
          <cell r="Q7" t="e">
            <v>#VALUE!</v>
          </cell>
          <cell r="R7" t="e">
            <v>#VALUE!</v>
          </cell>
          <cell r="S7" t="e">
            <v>#VALUE!</v>
          </cell>
          <cell r="T7" t="e">
            <v>#VALUE!</v>
          </cell>
          <cell r="U7" t="e">
            <v>#VALUE!</v>
          </cell>
        </row>
        <row r="9">
          <cell r="B9" t="str">
            <v>P/E (CY2010)</v>
          </cell>
          <cell r="C9" t="e">
            <v>#VALUE!</v>
          </cell>
          <cell r="D9" t="e">
            <v>#VALUE!</v>
          </cell>
          <cell r="E9" t="e">
            <v>#VALUE!</v>
          </cell>
          <cell r="F9" t="e">
            <v>#VALUE!</v>
          </cell>
          <cell r="G9" t="e">
            <v>#VALUE!</v>
          </cell>
          <cell r="H9" t="e">
            <v>#VALUE!</v>
          </cell>
          <cell r="I9" t="e">
            <v>#VALUE!</v>
          </cell>
          <cell r="J9" t="e">
            <v>#VALUE!</v>
          </cell>
          <cell r="M9" t="e">
            <v>#VALUE!</v>
          </cell>
          <cell r="N9" t="e">
            <v>#VALUE!</v>
          </cell>
          <cell r="O9" t="e">
            <v>#VALUE!</v>
          </cell>
          <cell r="P9" t="e">
            <v>#VALUE!</v>
          </cell>
          <cell r="Q9" t="e">
            <v>#VALUE!</v>
          </cell>
          <cell r="R9" t="e">
            <v>#VALUE!</v>
          </cell>
          <cell r="S9" t="e">
            <v>#VALUE!</v>
          </cell>
          <cell r="T9" t="e">
            <v>#VALUE!</v>
          </cell>
        </row>
        <row r="10">
          <cell r="B10" t="str">
            <v>EV/EBITDA (CY2009)</v>
          </cell>
          <cell r="C10" t="e">
            <v>#VALUE!</v>
          </cell>
          <cell r="D10" t="e">
            <v>#VALUE!</v>
          </cell>
          <cell r="E10" t="e">
            <v>#VALUE!</v>
          </cell>
          <cell r="F10" t="e">
            <v>#VALUE!</v>
          </cell>
          <cell r="G10" t="e">
            <v>#VALUE!</v>
          </cell>
          <cell r="H10" t="e">
            <v>#VALUE!</v>
          </cell>
          <cell r="I10" t="e">
            <v>#VALUE!</v>
          </cell>
          <cell r="J10" t="e">
            <v>#VALUE!</v>
          </cell>
          <cell r="M10" t="e">
            <v>#VALUE!</v>
          </cell>
          <cell r="N10" t="e">
            <v>#VALUE!</v>
          </cell>
          <cell r="O10" t="e">
            <v>#VALUE!</v>
          </cell>
          <cell r="P10" t="e">
            <v>#VALUE!</v>
          </cell>
          <cell r="Q10" t="e">
            <v>#VALUE!</v>
          </cell>
          <cell r="R10" t="e">
            <v>#VALUE!</v>
          </cell>
          <cell r="S10" t="e">
            <v>#VALUE!</v>
          </cell>
          <cell r="T10" t="e">
            <v>#VALUE!</v>
          </cell>
        </row>
        <row r="11">
          <cell r="D11" t="str">
            <v xml:space="preserve"> </v>
          </cell>
        </row>
        <row r="12">
          <cell r="B12" t="str">
            <v>Targets</v>
          </cell>
        </row>
        <row r="13">
          <cell r="A13" t="str">
            <v>mscalc:targetPrice</v>
          </cell>
          <cell r="B13" t="str">
            <v>Price</v>
          </cell>
          <cell r="C13">
            <v>68</v>
          </cell>
          <cell r="D13">
            <v>24</v>
          </cell>
          <cell r="E13">
            <v>19</v>
          </cell>
          <cell r="F13" t="str">
            <v>NA</v>
          </cell>
          <cell r="G13" t="str">
            <v>NA</v>
          </cell>
          <cell r="H13" t="str">
            <v>NA</v>
          </cell>
          <cell r="I13" t="str">
            <v>NA</v>
          </cell>
          <cell r="M13" t="str">
            <v>NA</v>
          </cell>
          <cell r="N13" t="str">
            <v>NA</v>
          </cell>
          <cell r="O13" t="str">
            <v>NA</v>
          </cell>
          <cell r="P13">
            <v>42</v>
          </cell>
          <cell r="Q13">
            <v>16</v>
          </cell>
          <cell r="R13" t="str">
            <v>NA</v>
          </cell>
          <cell r="S13" t="str">
            <v>NA</v>
          </cell>
        </row>
        <row r="14">
          <cell r="A14" t="str">
            <v>mstag:met_12monthIntrinsicValueEstimate</v>
          </cell>
          <cell r="B14" t="str">
            <v>Upside/Downside</v>
          </cell>
          <cell r="C14" t="str">
            <v>NA</v>
          </cell>
          <cell r="D14" t="str">
            <v>NA</v>
          </cell>
          <cell r="E14" t="str">
            <v>NA</v>
          </cell>
          <cell r="F14" t="str">
            <v>NA</v>
          </cell>
          <cell r="G14" t="str">
            <v>NA</v>
          </cell>
          <cell r="H14" t="str">
            <v>NA</v>
          </cell>
          <cell r="I14" t="str">
            <v>NA</v>
          </cell>
          <cell r="J14" t="e">
            <v>#DIV/0!</v>
          </cell>
          <cell r="M14" t="str">
            <v>NA</v>
          </cell>
          <cell r="N14" t="str">
            <v>NA</v>
          </cell>
          <cell r="O14" t="str">
            <v>NA</v>
          </cell>
          <cell r="P14" t="str">
            <v>NA</v>
          </cell>
          <cell r="Q14" t="str">
            <v>NA</v>
          </cell>
          <cell r="R14" t="str">
            <v>NA</v>
          </cell>
          <cell r="S14" t="str">
            <v>NA</v>
          </cell>
          <cell r="T14" t="e">
            <v>#DIV/0!</v>
          </cell>
        </row>
        <row r="15">
          <cell r="B15" t="str">
            <v>P/E (FY2)</v>
          </cell>
          <cell r="C15">
            <v>14.870279459655178</v>
          </cell>
          <cell r="D15">
            <v>12.352957473773571</v>
          </cell>
          <cell r="E15">
            <v>9.1099989074795964</v>
          </cell>
          <cell r="F15" t="str">
            <v>NA</v>
          </cell>
          <cell r="G15" t="str">
            <v>NA</v>
          </cell>
          <cell r="H15" t="str">
            <v>NA</v>
          </cell>
          <cell r="I15" t="str">
            <v>NA</v>
          </cell>
          <cell r="J15">
            <v>12.111078613636115</v>
          </cell>
          <cell r="M15" t="str">
            <v>NA</v>
          </cell>
          <cell r="N15" t="str">
            <v>NA</v>
          </cell>
          <cell r="O15" t="str">
            <v>NA</v>
          </cell>
          <cell r="P15">
            <v>17.331798540137708</v>
          </cell>
          <cell r="Q15">
            <v>9.0673458792338248</v>
          </cell>
          <cell r="R15" t="str">
            <v>NA</v>
          </cell>
          <cell r="S15" t="str">
            <v>NA</v>
          </cell>
          <cell r="T15">
            <v>13.199572209685766</v>
          </cell>
        </row>
        <row r="16">
          <cell r="B16" t="str">
            <v>EV/EBITDA</v>
          </cell>
          <cell r="C16">
            <v>6.8730446650247607</v>
          </cell>
          <cell r="D16">
            <v>4.1445790823667163</v>
          </cell>
          <cell r="E16">
            <v>4.9543727752284275</v>
          </cell>
          <cell r="F16" t="str">
            <v>NA</v>
          </cell>
          <cell r="G16" t="str">
            <v>NA</v>
          </cell>
          <cell r="H16" t="str">
            <v>NA</v>
          </cell>
          <cell r="I16" t="str">
            <v>NA</v>
          </cell>
          <cell r="J16">
            <v>5.3239988408733012</v>
          </cell>
          <cell r="M16" t="str">
            <v>NA</v>
          </cell>
          <cell r="N16" t="str">
            <v>NA</v>
          </cell>
          <cell r="O16" t="str">
            <v>NA</v>
          </cell>
          <cell r="P16">
            <v>9.3913558314434322</v>
          </cell>
          <cell r="Q16">
            <v>3.6693619326464884</v>
          </cell>
          <cell r="R16" t="str">
            <v>NA</v>
          </cell>
          <cell r="S16" t="str">
            <v>NA</v>
          </cell>
          <cell r="T16">
            <v>6.5303588820449603</v>
          </cell>
        </row>
        <row r="18">
          <cell r="B18" t="str">
            <v>FY Reference</v>
          </cell>
        </row>
        <row r="19">
          <cell r="B19" t="str">
            <v>FY(10)</v>
          </cell>
          <cell r="C19">
            <v>1999</v>
          </cell>
          <cell r="D19">
            <v>1999</v>
          </cell>
          <cell r="E19">
            <v>1999</v>
          </cell>
          <cell r="F19">
            <v>1999</v>
          </cell>
          <cell r="G19">
            <v>1999</v>
          </cell>
          <cell r="H19">
            <v>1999</v>
          </cell>
          <cell r="I19">
            <v>2000</v>
          </cell>
          <cell r="M19">
            <v>1999</v>
          </cell>
          <cell r="N19">
            <v>1999</v>
          </cell>
          <cell r="O19">
            <v>1999</v>
          </cell>
          <cell r="P19">
            <v>1999</v>
          </cell>
          <cell r="Q19">
            <v>1999</v>
          </cell>
          <cell r="R19">
            <v>1999</v>
          </cell>
          <cell r="S19">
            <v>1999</v>
          </cell>
        </row>
        <row r="20">
          <cell r="B20" t="str">
            <v>FY(9)</v>
          </cell>
          <cell r="C20">
            <v>2000</v>
          </cell>
          <cell r="D20">
            <v>2000</v>
          </cell>
          <cell r="E20">
            <v>2000</v>
          </cell>
          <cell r="F20">
            <v>2000</v>
          </cell>
          <cell r="G20">
            <v>2000</v>
          </cell>
          <cell r="H20">
            <v>2000</v>
          </cell>
          <cell r="I20">
            <v>2001</v>
          </cell>
          <cell r="M20">
            <v>2000</v>
          </cell>
          <cell r="N20">
            <v>2000</v>
          </cell>
          <cell r="O20">
            <v>2000</v>
          </cell>
          <cell r="P20">
            <v>2000</v>
          </cell>
          <cell r="Q20">
            <v>2000</v>
          </cell>
          <cell r="R20">
            <v>2000</v>
          </cell>
          <cell r="S20">
            <v>2000</v>
          </cell>
        </row>
        <row r="21">
          <cell r="B21" t="str">
            <v>FY(8)</v>
          </cell>
          <cell r="C21">
            <v>2001</v>
          </cell>
          <cell r="D21">
            <v>2001</v>
          </cell>
          <cell r="E21">
            <v>2001</v>
          </cell>
          <cell r="F21">
            <v>2001</v>
          </cell>
          <cell r="G21">
            <v>2001</v>
          </cell>
          <cell r="H21">
            <v>2001</v>
          </cell>
          <cell r="I21">
            <v>2002</v>
          </cell>
          <cell r="M21">
            <v>2001</v>
          </cell>
          <cell r="N21">
            <v>2001</v>
          </cell>
          <cell r="O21">
            <v>2001</v>
          </cell>
          <cell r="P21">
            <v>2001</v>
          </cell>
          <cell r="Q21">
            <v>2001</v>
          </cell>
          <cell r="R21">
            <v>2001</v>
          </cell>
          <cell r="S21">
            <v>2001</v>
          </cell>
        </row>
        <row r="22">
          <cell r="B22" t="str">
            <v>FY(7)</v>
          </cell>
          <cell r="C22">
            <v>2002</v>
          </cell>
          <cell r="D22">
            <v>2002</v>
          </cell>
          <cell r="E22">
            <v>2002</v>
          </cell>
          <cell r="F22">
            <v>2002</v>
          </cell>
          <cell r="G22">
            <v>2002</v>
          </cell>
          <cell r="H22">
            <v>2002</v>
          </cell>
          <cell r="I22">
            <v>2003</v>
          </cell>
          <cell r="M22">
            <v>2002</v>
          </cell>
          <cell r="N22">
            <v>2002</v>
          </cell>
          <cell r="O22">
            <v>2002</v>
          </cell>
          <cell r="P22">
            <v>2002</v>
          </cell>
          <cell r="Q22">
            <v>2002</v>
          </cell>
          <cell r="R22">
            <v>2002</v>
          </cell>
          <cell r="S22">
            <v>2002</v>
          </cell>
        </row>
        <row r="23">
          <cell r="B23" t="str">
            <v>FY(6)</v>
          </cell>
          <cell r="C23">
            <v>2003</v>
          </cell>
          <cell r="D23">
            <v>2003</v>
          </cell>
          <cell r="E23">
            <v>2003</v>
          </cell>
          <cell r="F23">
            <v>2003</v>
          </cell>
          <cell r="G23">
            <v>2003</v>
          </cell>
          <cell r="H23">
            <v>2003</v>
          </cell>
          <cell r="I23">
            <v>2004</v>
          </cell>
          <cell r="M23">
            <v>2003</v>
          </cell>
          <cell r="N23">
            <v>2003</v>
          </cell>
          <cell r="O23">
            <v>2003</v>
          </cell>
          <cell r="P23">
            <v>2003</v>
          </cell>
          <cell r="Q23">
            <v>2003</v>
          </cell>
          <cell r="R23">
            <v>2003</v>
          </cell>
          <cell r="S23">
            <v>2003</v>
          </cell>
        </row>
        <row r="24">
          <cell r="B24" t="str">
            <v>FY(5)</v>
          </cell>
          <cell r="C24">
            <v>2004</v>
          </cell>
          <cell r="D24">
            <v>2004</v>
          </cell>
          <cell r="E24">
            <v>2004</v>
          </cell>
          <cell r="F24">
            <v>2004</v>
          </cell>
          <cell r="G24">
            <v>2004</v>
          </cell>
          <cell r="H24">
            <v>2004</v>
          </cell>
          <cell r="I24">
            <v>2005</v>
          </cell>
          <cell r="M24">
            <v>2004</v>
          </cell>
          <cell r="N24">
            <v>2004</v>
          </cell>
          <cell r="O24">
            <v>2004</v>
          </cell>
          <cell r="P24">
            <v>2004</v>
          </cell>
          <cell r="Q24">
            <v>2004</v>
          </cell>
          <cell r="R24">
            <v>2004</v>
          </cell>
          <cell r="S24">
            <v>2004</v>
          </cell>
        </row>
        <row r="25">
          <cell r="B25" t="str">
            <v>FY(4)</v>
          </cell>
          <cell r="C25">
            <v>2005</v>
          </cell>
          <cell r="D25">
            <v>2005</v>
          </cell>
          <cell r="E25">
            <v>2005</v>
          </cell>
          <cell r="F25">
            <v>2005</v>
          </cell>
          <cell r="G25">
            <v>2005</v>
          </cell>
          <cell r="H25">
            <v>2005</v>
          </cell>
          <cell r="I25">
            <v>2006</v>
          </cell>
          <cell r="M25">
            <v>2005</v>
          </cell>
          <cell r="N25">
            <v>2005</v>
          </cell>
          <cell r="O25">
            <v>2005</v>
          </cell>
          <cell r="P25">
            <v>2005</v>
          </cell>
          <cell r="Q25">
            <v>2005</v>
          </cell>
          <cell r="R25">
            <v>2005</v>
          </cell>
          <cell r="S25">
            <v>2005</v>
          </cell>
        </row>
        <row r="26">
          <cell r="B26" t="str">
            <v>FY(3)</v>
          </cell>
          <cell r="C26">
            <v>2006</v>
          </cell>
          <cell r="D26">
            <v>2006</v>
          </cell>
          <cell r="E26">
            <v>2006</v>
          </cell>
          <cell r="F26">
            <v>2006</v>
          </cell>
          <cell r="G26">
            <v>2006</v>
          </cell>
          <cell r="H26">
            <v>2006</v>
          </cell>
          <cell r="I26">
            <v>2007</v>
          </cell>
          <cell r="M26">
            <v>2006</v>
          </cell>
          <cell r="N26">
            <v>2006</v>
          </cell>
          <cell r="O26">
            <v>2006</v>
          </cell>
          <cell r="P26">
            <v>2006</v>
          </cell>
          <cell r="Q26">
            <v>2006</v>
          </cell>
          <cell r="R26">
            <v>2006</v>
          </cell>
          <cell r="S26">
            <v>2006</v>
          </cell>
        </row>
        <row r="27">
          <cell r="B27" t="str">
            <v>FY(2)</v>
          </cell>
          <cell r="C27">
            <v>2007</v>
          </cell>
          <cell r="D27">
            <v>2007</v>
          </cell>
          <cell r="E27">
            <v>2007</v>
          </cell>
          <cell r="F27">
            <v>2007</v>
          </cell>
          <cell r="G27">
            <v>2007</v>
          </cell>
          <cell r="H27">
            <v>2007</v>
          </cell>
          <cell r="I27">
            <v>2008</v>
          </cell>
          <cell r="M27">
            <v>2007</v>
          </cell>
          <cell r="N27">
            <v>2007</v>
          </cell>
          <cell r="O27">
            <v>2007</v>
          </cell>
          <cell r="P27">
            <v>2007</v>
          </cell>
          <cell r="Q27">
            <v>2007</v>
          </cell>
          <cell r="R27">
            <v>2007</v>
          </cell>
          <cell r="S27">
            <v>2007</v>
          </cell>
        </row>
        <row r="28">
          <cell r="B28" t="str">
            <v>FY(1)</v>
          </cell>
          <cell r="C28">
            <v>2008</v>
          </cell>
          <cell r="D28">
            <v>2008</v>
          </cell>
          <cell r="E28">
            <v>2008</v>
          </cell>
          <cell r="F28">
            <v>2008</v>
          </cell>
          <cell r="G28">
            <v>2008</v>
          </cell>
          <cell r="H28">
            <v>2008</v>
          </cell>
          <cell r="I28">
            <v>2009</v>
          </cell>
          <cell r="M28">
            <v>2008</v>
          </cell>
          <cell r="N28">
            <v>2008</v>
          </cell>
          <cell r="O28">
            <v>2008</v>
          </cell>
          <cell r="P28">
            <v>2008</v>
          </cell>
          <cell r="Q28">
            <v>2008</v>
          </cell>
          <cell r="R28">
            <v>2008</v>
          </cell>
          <cell r="S28">
            <v>2008</v>
          </cell>
        </row>
        <row r="29">
          <cell r="A29" t="str">
            <v>mscalc:lastActualYearCalc</v>
          </cell>
          <cell r="B29" t="str">
            <v>FY0</v>
          </cell>
          <cell r="C29">
            <v>2009</v>
          </cell>
          <cell r="D29">
            <v>2009</v>
          </cell>
          <cell r="E29">
            <v>2009</v>
          </cell>
          <cell r="F29">
            <v>2009</v>
          </cell>
          <cell r="G29">
            <v>2009</v>
          </cell>
          <cell r="H29">
            <v>2009</v>
          </cell>
          <cell r="I29">
            <v>2010</v>
          </cell>
          <cell r="M29">
            <v>2009</v>
          </cell>
          <cell r="N29">
            <v>2009</v>
          </cell>
          <cell r="O29">
            <v>2009</v>
          </cell>
          <cell r="P29">
            <v>2009</v>
          </cell>
          <cell r="Q29">
            <v>2009</v>
          </cell>
          <cell r="R29">
            <v>2009</v>
          </cell>
          <cell r="S29">
            <v>2009</v>
          </cell>
        </row>
        <row r="30">
          <cell r="B30" t="str">
            <v>FY1</v>
          </cell>
          <cell r="C30">
            <v>2010</v>
          </cell>
          <cell r="D30">
            <v>2010</v>
          </cell>
          <cell r="E30">
            <v>2010</v>
          </cell>
          <cell r="F30">
            <v>2010</v>
          </cell>
          <cell r="G30">
            <v>2010</v>
          </cell>
          <cell r="H30">
            <v>2010</v>
          </cell>
          <cell r="I30">
            <v>2011</v>
          </cell>
          <cell r="M30">
            <v>2010</v>
          </cell>
          <cell r="N30">
            <v>2010</v>
          </cell>
          <cell r="O30">
            <v>2010</v>
          </cell>
          <cell r="P30">
            <v>2010</v>
          </cell>
          <cell r="Q30">
            <v>2010</v>
          </cell>
          <cell r="R30">
            <v>2010</v>
          </cell>
          <cell r="S30">
            <v>2010</v>
          </cell>
        </row>
        <row r="31">
          <cell r="B31" t="str">
            <v>FY2</v>
          </cell>
          <cell r="C31">
            <v>2011</v>
          </cell>
          <cell r="D31">
            <v>2011</v>
          </cell>
          <cell r="E31">
            <v>2011</v>
          </cell>
          <cell r="F31">
            <v>2011</v>
          </cell>
          <cell r="G31">
            <v>2011</v>
          </cell>
          <cell r="H31">
            <v>2011</v>
          </cell>
          <cell r="I31">
            <v>2012</v>
          </cell>
          <cell r="M31">
            <v>2011</v>
          </cell>
          <cell r="N31">
            <v>2011</v>
          </cell>
          <cell r="O31">
            <v>2011</v>
          </cell>
          <cell r="P31">
            <v>2011</v>
          </cell>
          <cell r="Q31">
            <v>2011</v>
          </cell>
          <cell r="R31">
            <v>2011</v>
          </cell>
          <cell r="S31">
            <v>2011</v>
          </cell>
        </row>
        <row r="32">
          <cell r="B32" t="str">
            <v>FQ(3)</v>
          </cell>
          <cell r="C32" t="str">
            <v>2009Q1</v>
          </cell>
          <cell r="D32" t="str">
            <v>2009Q1</v>
          </cell>
          <cell r="E32" t="str">
            <v>2009Q1</v>
          </cell>
          <cell r="F32" t="str">
            <v>2009Q1</v>
          </cell>
          <cell r="G32" t="str">
            <v>2009Q1</v>
          </cell>
          <cell r="H32" t="str">
            <v>2009Q1</v>
          </cell>
          <cell r="I32" t="str">
            <v>2010Q1</v>
          </cell>
          <cell r="M32" t="str">
            <v>2009Q1</v>
          </cell>
          <cell r="N32" t="str">
            <v>2009Q1</v>
          </cell>
          <cell r="O32" t="str">
            <v>2009Q1</v>
          </cell>
          <cell r="P32" t="str">
            <v>2009Q3</v>
          </cell>
          <cell r="Q32" t="str">
            <v>2009Q1</v>
          </cell>
          <cell r="R32" t="str">
            <v>2009Q1</v>
          </cell>
          <cell r="S32" t="str">
            <v>2009Q1</v>
          </cell>
        </row>
        <row r="33">
          <cell r="B33" t="str">
            <v>FQ(2)</v>
          </cell>
          <cell r="C33" t="str">
            <v>2009Q2</v>
          </cell>
          <cell r="D33" t="str">
            <v>2009Q2</v>
          </cell>
          <cell r="E33" t="str">
            <v>2009Q2</v>
          </cell>
          <cell r="F33" t="str">
            <v>2009Q2</v>
          </cell>
          <cell r="G33" t="str">
            <v>2009Q2</v>
          </cell>
          <cell r="H33" t="str">
            <v>2009Q2</v>
          </cell>
          <cell r="I33" t="str">
            <v>2010Q2</v>
          </cell>
          <cell r="M33" t="str">
            <v>2009Q2</v>
          </cell>
          <cell r="N33" t="str">
            <v>2009Q2</v>
          </cell>
          <cell r="O33" t="str">
            <v>2009Q2</v>
          </cell>
          <cell r="P33" t="str">
            <v>2009Q4</v>
          </cell>
          <cell r="Q33" t="str">
            <v>2009Q2</v>
          </cell>
          <cell r="R33" t="str">
            <v>2009Q2</v>
          </cell>
          <cell r="S33" t="str">
            <v>2009Q2</v>
          </cell>
        </row>
        <row r="34">
          <cell r="B34" t="str">
            <v>FQ(1)</v>
          </cell>
          <cell r="C34" t="str">
            <v>2009Q3</v>
          </cell>
          <cell r="D34" t="str">
            <v>2009Q3</v>
          </cell>
          <cell r="E34" t="str">
            <v>2009Q3</v>
          </cell>
          <cell r="F34" t="str">
            <v>2009Q3</v>
          </cell>
          <cell r="G34" t="str">
            <v>2009Q3</v>
          </cell>
          <cell r="H34" t="str">
            <v>2009Q3</v>
          </cell>
          <cell r="I34" t="str">
            <v>2010Q3</v>
          </cell>
          <cell r="M34" t="str">
            <v>2009Q3</v>
          </cell>
          <cell r="N34" t="str">
            <v>2009Q3</v>
          </cell>
          <cell r="O34" t="str">
            <v>2009Q3</v>
          </cell>
          <cell r="P34" t="str">
            <v>2010Q1</v>
          </cell>
          <cell r="Q34" t="str">
            <v>2009Q3</v>
          </cell>
          <cell r="R34" t="str">
            <v>2009Q3</v>
          </cell>
          <cell r="S34" t="str">
            <v>2009Q3</v>
          </cell>
        </row>
        <row r="35">
          <cell r="A35" t="str">
            <v>mscalc:lastActualPeriodCalc</v>
          </cell>
          <cell r="B35" t="str">
            <v>Last Reported Q</v>
          </cell>
          <cell r="C35" t="str">
            <v>2009FY</v>
          </cell>
          <cell r="D35" t="str">
            <v>2009FY</v>
          </cell>
          <cell r="E35" t="str">
            <v>2009FY</v>
          </cell>
          <cell r="F35" t="str">
            <v>2009FY</v>
          </cell>
          <cell r="G35" t="str">
            <v>2009FY</v>
          </cell>
          <cell r="H35" t="str">
            <v>2009FY</v>
          </cell>
          <cell r="I35" t="str">
            <v>2010FY</v>
          </cell>
          <cell r="M35" t="str">
            <v>2009FY</v>
          </cell>
          <cell r="N35" t="str">
            <v>2009FY</v>
          </cell>
          <cell r="O35" t="str">
            <v>2009FY</v>
          </cell>
          <cell r="P35" t="str">
            <v>2010Q2</v>
          </cell>
          <cell r="Q35" t="str">
            <v>2009FY</v>
          </cell>
          <cell r="R35" t="str">
            <v>2009FY</v>
          </cell>
          <cell r="S35" t="str">
            <v>2009FY</v>
          </cell>
        </row>
        <row r="36">
          <cell r="C36" t="str">
            <v>2009Q4</v>
          </cell>
          <cell r="D36" t="str">
            <v>2009Q4</v>
          </cell>
          <cell r="E36" t="str">
            <v>2009Q4</v>
          </cell>
          <cell r="F36" t="str">
            <v>2009Q4</v>
          </cell>
          <cell r="G36" t="str">
            <v>2009Q4</v>
          </cell>
          <cell r="H36" t="str">
            <v>2009Q4</v>
          </cell>
          <cell r="I36" t="str">
            <v>2010Q4</v>
          </cell>
          <cell r="M36" t="str">
            <v>2009Q4</v>
          </cell>
          <cell r="N36" t="str">
            <v>2009Q4</v>
          </cell>
          <cell r="O36" t="str">
            <v>2009Q4</v>
          </cell>
          <cell r="P36" t="str">
            <v>2010Q2</v>
          </cell>
          <cell r="Q36" t="str">
            <v>2009Q4</v>
          </cell>
          <cell r="R36" t="str">
            <v>2009Q4</v>
          </cell>
          <cell r="S36" t="str">
            <v>2009Q4</v>
          </cell>
        </row>
        <row r="38">
          <cell r="A38" t="str">
            <v>mstag:numberOfStores</v>
          </cell>
          <cell r="B38" t="str">
            <v>Number of Stores</v>
          </cell>
        </row>
        <row r="39">
          <cell r="B39" t="str">
            <v>FY(5)</v>
          </cell>
          <cell r="C39">
            <v>542</v>
          </cell>
          <cell r="D39">
            <v>1017</v>
          </cell>
          <cell r="E39">
            <v>459</v>
          </cell>
          <cell r="F39">
            <v>181</v>
          </cell>
          <cell r="G39">
            <v>386</v>
          </cell>
          <cell r="H39">
            <v>649</v>
          </cell>
          <cell r="I39">
            <v>2224</v>
          </cell>
          <cell r="J39">
            <v>779.71428571428567</v>
          </cell>
          <cell r="K39">
            <v>5458</v>
          </cell>
          <cell r="M39">
            <v>788</v>
          </cell>
          <cell r="N39">
            <v>561</v>
          </cell>
          <cell r="O39">
            <v>846</v>
          </cell>
          <cell r="P39">
            <v>350</v>
          </cell>
          <cell r="Q39">
            <v>2994</v>
          </cell>
          <cell r="R39">
            <v>3779</v>
          </cell>
          <cell r="S39">
            <v>142</v>
          </cell>
          <cell r="T39">
            <v>1351.4285714285713</v>
          </cell>
          <cell r="U39">
            <v>9460</v>
          </cell>
        </row>
        <row r="40">
          <cell r="B40" t="str">
            <v>FY(4)</v>
          </cell>
          <cell r="C40">
            <v>637</v>
          </cell>
          <cell r="D40">
            <v>1019</v>
          </cell>
          <cell r="E40">
            <v>868</v>
          </cell>
          <cell r="F40">
            <v>187</v>
          </cell>
          <cell r="G40">
            <v>163</v>
          </cell>
          <cell r="H40">
            <v>734</v>
          </cell>
          <cell r="I40">
            <v>2381</v>
          </cell>
          <cell r="J40">
            <v>855.57142857142856</v>
          </cell>
          <cell r="K40">
            <v>5989</v>
          </cell>
          <cell r="M40">
            <v>851</v>
          </cell>
          <cell r="N40">
            <v>671</v>
          </cell>
          <cell r="O40">
            <v>869</v>
          </cell>
          <cell r="P40">
            <v>378</v>
          </cell>
          <cell r="Q40">
            <v>3053</v>
          </cell>
          <cell r="R40">
            <v>3590</v>
          </cell>
          <cell r="S40">
            <v>175</v>
          </cell>
          <cell r="T40">
            <v>1369.5714285714287</v>
          </cell>
          <cell r="U40">
            <v>9587</v>
          </cell>
        </row>
        <row r="41">
          <cell r="B41" t="str">
            <v>FY(3)</v>
          </cell>
          <cell r="C41">
            <v>732</v>
          </cell>
          <cell r="D41">
            <v>1033</v>
          </cell>
          <cell r="E41">
            <v>858</v>
          </cell>
          <cell r="F41">
            <v>191</v>
          </cell>
          <cell r="G41">
            <v>166</v>
          </cell>
          <cell r="H41">
            <v>797</v>
          </cell>
          <cell r="I41">
            <v>2466</v>
          </cell>
          <cell r="J41">
            <v>891.85714285714289</v>
          </cell>
          <cell r="K41">
            <v>6243</v>
          </cell>
          <cell r="M41">
            <v>930</v>
          </cell>
          <cell r="N41">
            <v>742</v>
          </cell>
          <cell r="O41">
            <v>911</v>
          </cell>
          <cell r="P41">
            <v>422</v>
          </cell>
          <cell r="Q41">
            <v>3131</v>
          </cell>
          <cell r="R41">
            <v>3766</v>
          </cell>
          <cell r="S41">
            <v>207</v>
          </cell>
          <cell r="T41">
            <v>1444.1428571428571</v>
          </cell>
          <cell r="U41">
            <v>10109</v>
          </cell>
        </row>
        <row r="42">
          <cell r="B42" t="str">
            <v>FY(2)</v>
          </cell>
          <cell r="C42">
            <v>817</v>
          </cell>
          <cell r="D42">
            <v>1067</v>
          </cell>
          <cell r="E42">
            <v>853</v>
          </cell>
          <cell r="F42">
            <v>156</v>
          </cell>
          <cell r="G42">
            <v>177</v>
          </cell>
          <cell r="H42">
            <v>890</v>
          </cell>
          <cell r="I42">
            <v>2563</v>
          </cell>
          <cell r="J42">
            <v>931.85714285714289</v>
          </cell>
          <cell r="K42">
            <v>6523</v>
          </cell>
          <cell r="M42">
            <v>1035</v>
          </cell>
          <cell r="N42">
            <v>828</v>
          </cell>
          <cell r="O42">
            <v>987</v>
          </cell>
          <cell r="P42">
            <v>489</v>
          </cell>
          <cell r="Q42">
            <v>3167</v>
          </cell>
          <cell r="R42">
            <v>2926</v>
          </cell>
          <cell r="S42">
            <v>245</v>
          </cell>
          <cell r="T42">
            <v>1382.4285714285713</v>
          </cell>
          <cell r="U42">
            <v>9677</v>
          </cell>
        </row>
        <row r="43">
          <cell r="B43" t="str">
            <v>FY(1)</v>
          </cell>
          <cell r="C43">
            <v>929</v>
          </cell>
          <cell r="D43">
            <v>1093</v>
          </cell>
          <cell r="E43">
            <v>847</v>
          </cell>
          <cell r="F43">
            <v>169</v>
          </cell>
          <cell r="G43">
            <v>181</v>
          </cell>
          <cell r="H43">
            <v>956</v>
          </cell>
          <cell r="I43">
            <v>2652</v>
          </cell>
          <cell r="J43">
            <v>975.28571428571433</v>
          </cell>
          <cell r="K43">
            <v>6827</v>
          </cell>
          <cell r="M43">
            <v>1097</v>
          </cell>
          <cell r="N43">
            <v>914</v>
          </cell>
          <cell r="O43">
            <v>1098</v>
          </cell>
          <cell r="P43">
            <v>548</v>
          </cell>
          <cell r="Q43">
            <v>3149</v>
          </cell>
          <cell r="R43">
            <v>3014</v>
          </cell>
          <cell r="S43">
            <v>294</v>
          </cell>
          <cell r="T43">
            <v>1444.8571428571429</v>
          </cell>
          <cell r="U43">
            <v>10114</v>
          </cell>
        </row>
        <row r="44">
          <cell r="B44" t="str">
            <v>FY0</v>
          </cell>
          <cell r="C44">
            <v>1004</v>
          </cell>
          <cell r="D44">
            <v>1108</v>
          </cell>
          <cell r="E44">
            <v>850</v>
          </cell>
          <cell r="F44">
            <v>184</v>
          </cell>
          <cell r="G44">
            <v>108</v>
          </cell>
          <cell r="H44">
            <v>1005</v>
          </cell>
          <cell r="I44">
            <v>2743</v>
          </cell>
          <cell r="J44">
            <v>1000.2857142857143</v>
          </cell>
          <cell r="K44">
            <v>7002</v>
          </cell>
          <cell r="M44">
            <v>1096</v>
          </cell>
          <cell r="N44">
            <v>953</v>
          </cell>
          <cell r="O44">
            <v>1103</v>
          </cell>
          <cell r="P44">
            <v>624</v>
          </cell>
          <cell r="Q44">
            <v>3095</v>
          </cell>
          <cell r="R44">
            <v>2971</v>
          </cell>
          <cell r="S44">
            <v>327</v>
          </cell>
          <cell r="T44">
            <v>1452.7142857142858</v>
          </cell>
          <cell r="U44">
            <v>10169</v>
          </cell>
        </row>
        <row r="45">
          <cell r="B45" t="str">
            <v>FY1</v>
          </cell>
          <cell r="C45">
            <v>1058</v>
          </cell>
          <cell r="D45">
            <v>1110</v>
          </cell>
          <cell r="E45">
            <v>852</v>
          </cell>
          <cell r="F45">
            <v>203</v>
          </cell>
          <cell r="G45">
            <v>110</v>
          </cell>
          <cell r="H45">
            <v>1051</v>
          </cell>
          <cell r="I45">
            <v>2871</v>
          </cell>
          <cell r="J45">
            <v>1036.4285714285713</v>
          </cell>
          <cell r="K45">
            <v>7255</v>
          </cell>
          <cell r="M45">
            <v>1135</v>
          </cell>
          <cell r="N45">
            <v>1005</v>
          </cell>
          <cell r="O45">
            <v>1093.00001</v>
          </cell>
          <cell r="P45">
            <v>680</v>
          </cell>
          <cell r="Q45">
            <v>3050</v>
          </cell>
          <cell r="R45">
            <v>2945</v>
          </cell>
          <cell r="S45">
            <v>377</v>
          </cell>
          <cell r="T45">
            <v>1469.2857157142857</v>
          </cell>
          <cell r="U45">
            <v>10285.00001</v>
          </cell>
        </row>
        <row r="46">
          <cell r="B46" t="str">
            <v>FY2</v>
          </cell>
          <cell r="C46">
            <v>1088</v>
          </cell>
          <cell r="D46">
            <v>1115</v>
          </cell>
          <cell r="E46">
            <v>852</v>
          </cell>
          <cell r="F46">
            <v>219</v>
          </cell>
          <cell r="G46">
            <v>115</v>
          </cell>
          <cell r="H46">
            <v>1106</v>
          </cell>
          <cell r="I46">
            <v>3000.1950000000002</v>
          </cell>
          <cell r="J46">
            <v>1070.7421428571429</v>
          </cell>
          <cell r="K46">
            <v>7495.1949999999997</v>
          </cell>
          <cell r="M46">
            <v>1209</v>
          </cell>
          <cell r="N46">
            <v>1093</v>
          </cell>
          <cell r="O46">
            <v>1183.00001</v>
          </cell>
          <cell r="P46">
            <v>721</v>
          </cell>
          <cell r="Q46">
            <v>3073</v>
          </cell>
          <cell r="R46">
            <v>2977</v>
          </cell>
          <cell r="S46">
            <v>428</v>
          </cell>
          <cell r="T46">
            <v>1526.2857157142857</v>
          </cell>
          <cell r="U46">
            <v>10684.00001</v>
          </cell>
        </row>
        <row r="48">
          <cell r="A48" t="str">
            <v>mstag:floorspace</v>
          </cell>
          <cell r="B48" t="str">
            <v>Avg Selling Sq Ft (in thousands)</v>
          </cell>
        </row>
        <row r="49">
          <cell r="B49" t="str">
            <v>FY(5)</v>
          </cell>
          <cell r="C49">
            <v>49200.978000000003</v>
          </cell>
          <cell r="D49">
            <v>101300</v>
          </cell>
          <cell r="E49">
            <v>156400</v>
          </cell>
          <cell r="F49">
            <v>19304.5</v>
          </cell>
          <cell r="G49">
            <v>7500</v>
          </cell>
          <cell r="H49">
            <v>15253</v>
          </cell>
          <cell r="I49">
            <v>65507.999999999993</v>
          </cell>
          <cell r="J49">
            <v>59209.496857142854</v>
          </cell>
          <cell r="K49">
            <v>414466.478</v>
          </cell>
          <cell r="M49">
            <v>5590</v>
          </cell>
          <cell r="N49">
            <v>1978.4060000000002</v>
          </cell>
          <cell r="O49">
            <v>4540.0950000000003</v>
          </cell>
          <cell r="P49">
            <v>782.26300000000003</v>
          </cell>
          <cell r="Q49">
            <v>36600</v>
          </cell>
          <cell r="R49">
            <v>10311</v>
          </cell>
          <cell r="S49">
            <v>1749.8590000000002</v>
          </cell>
          <cell r="T49">
            <v>8793.0889999999999</v>
          </cell>
          <cell r="U49">
            <v>61551.623</v>
          </cell>
        </row>
        <row r="50">
          <cell r="B50" t="str">
            <v>FY(4)</v>
          </cell>
          <cell r="C50">
            <v>56625</v>
          </cell>
          <cell r="D50">
            <v>101400</v>
          </cell>
          <cell r="E50">
            <v>156400</v>
          </cell>
          <cell r="F50">
            <v>19770.5</v>
          </cell>
          <cell r="G50">
            <v>7500</v>
          </cell>
          <cell r="H50">
            <v>17319</v>
          </cell>
          <cell r="I50">
            <v>70575</v>
          </cell>
          <cell r="J50">
            <v>61369.928571428572</v>
          </cell>
          <cell r="K50">
            <v>429589.5</v>
          </cell>
          <cell r="M50">
            <v>6025</v>
          </cell>
          <cell r="N50">
            <v>2373.4749999999999</v>
          </cell>
          <cell r="O50">
            <v>4772.4870000000001</v>
          </cell>
          <cell r="P50">
            <v>904.83600000000001</v>
          </cell>
          <cell r="Q50">
            <v>37800</v>
          </cell>
          <cell r="R50">
            <v>10311</v>
          </cell>
          <cell r="S50">
            <v>2113.5439999999999</v>
          </cell>
          <cell r="T50">
            <v>9185.7631428571422</v>
          </cell>
          <cell r="U50">
            <v>64300.341999999997</v>
          </cell>
        </row>
        <row r="51">
          <cell r="B51" t="str">
            <v>FY(3)</v>
          </cell>
          <cell r="C51">
            <v>62357</v>
          </cell>
          <cell r="D51">
            <v>103100</v>
          </cell>
          <cell r="E51">
            <v>156400</v>
          </cell>
          <cell r="F51">
            <v>20120</v>
          </cell>
          <cell r="G51">
            <v>7500</v>
          </cell>
          <cell r="H51">
            <v>18642</v>
          </cell>
          <cell r="I51">
            <v>73987</v>
          </cell>
          <cell r="J51">
            <v>63158</v>
          </cell>
          <cell r="K51">
            <v>442106</v>
          </cell>
          <cell r="M51">
            <v>6693</v>
          </cell>
          <cell r="N51">
            <v>2626</v>
          </cell>
          <cell r="O51">
            <v>5173.0650000000005</v>
          </cell>
          <cell r="P51">
            <v>1038.7150000000001</v>
          </cell>
          <cell r="Q51">
            <v>39000</v>
          </cell>
          <cell r="R51">
            <v>10311</v>
          </cell>
          <cell r="S51">
            <v>2497.6379999999999</v>
          </cell>
          <cell r="T51">
            <v>9619.9168571428581</v>
          </cell>
          <cell r="U51">
            <v>67339.418000000005</v>
          </cell>
        </row>
        <row r="52">
          <cell r="B52" t="str">
            <v>FY(2)</v>
          </cell>
          <cell r="C52">
            <v>69889</v>
          </cell>
          <cell r="D52">
            <v>106600</v>
          </cell>
          <cell r="E52">
            <v>154961</v>
          </cell>
          <cell r="F52">
            <v>20336</v>
          </cell>
          <cell r="G52">
            <v>7539</v>
          </cell>
          <cell r="H52">
            <v>21100</v>
          </cell>
          <cell r="I52">
            <v>76420</v>
          </cell>
          <cell r="J52">
            <v>65263.571428571428</v>
          </cell>
          <cell r="K52">
            <v>456845</v>
          </cell>
          <cell r="M52">
            <v>7337</v>
          </cell>
          <cell r="N52">
            <v>2935.2140000000004</v>
          </cell>
          <cell r="O52">
            <v>5709.9319999999998</v>
          </cell>
          <cell r="P52">
            <v>1223.971</v>
          </cell>
          <cell r="Q52">
            <v>39600</v>
          </cell>
          <cell r="R52">
            <v>10311</v>
          </cell>
          <cell r="S52">
            <v>2886.54</v>
          </cell>
          <cell r="T52">
            <v>10000.522428571427</v>
          </cell>
          <cell r="U52">
            <v>70003.656999999992</v>
          </cell>
        </row>
        <row r="53">
          <cell r="B53" t="str">
            <v>FY(1)</v>
          </cell>
          <cell r="C53">
            <v>74992</v>
          </cell>
          <cell r="D53">
            <v>109197.56326148099</v>
          </cell>
          <cell r="E53">
            <v>154091</v>
          </cell>
          <cell r="F53">
            <v>21189</v>
          </cell>
          <cell r="G53">
            <v>7519.0955555555602</v>
          </cell>
          <cell r="H53">
            <v>22500</v>
          </cell>
          <cell r="I53">
            <v>79073.679282091311</v>
          </cell>
          <cell r="J53">
            <v>66937.476871303981</v>
          </cell>
          <cell r="K53">
            <v>468562.33809912787</v>
          </cell>
          <cell r="M53">
            <v>7760</v>
          </cell>
          <cell r="N53">
            <v>3284.614</v>
          </cell>
          <cell r="O53">
            <v>6328.1669999999995</v>
          </cell>
          <cell r="P53">
            <v>1466.11089781022</v>
          </cell>
          <cell r="Q53">
            <v>39500</v>
          </cell>
          <cell r="R53">
            <v>10898.300000000001</v>
          </cell>
          <cell r="S53">
            <v>3360.65564146934</v>
          </cell>
          <cell r="T53">
            <v>10371.121077039936</v>
          </cell>
          <cell r="U53">
            <v>72597.847539279552</v>
          </cell>
        </row>
        <row r="54">
          <cell r="B54" t="str">
            <v>FY0</v>
          </cell>
          <cell r="C54">
            <v>78396</v>
          </cell>
          <cell r="D54">
            <v>110696.15745079701</v>
          </cell>
          <cell r="E54">
            <v>154400</v>
          </cell>
          <cell r="F54">
            <v>22324.5</v>
          </cell>
          <cell r="G54">
            <v>7493.0555555555602</v>
          </cell>
          <cell r="H54">
            <v>23700</v>
          </cell>
          <cell r="I54">
            <v>81786.991806476799</v>
          </cell>
          <cell r="J54">
            <v>68399.529258975628</v>
          </cell>
          <cell r="K54">
            <v>478796.70481282938</v>
          </cell>
          <cell r="M54">
            <v>7847</v>
          </cell>
          <cell r="N54">
            <v>3428.3760000000002</v>
          </cell>
          <cell r="O54">
            <v>6403.8589999999995</v>
          </cell>
          <cell r="P54">
            <v>1690.6890000000001</v>
          </cell>
          <cell r="Q54">
            <v>38800</v>
          </cell>
          <cell r="R54">
            <v>10933</v>
          </cell>
          <cell r="S54">
            <v>3725.8392204614397</v>
          </cell>
          <cell r="T54">
            <v>10404.10903149449</v>
          </cell>
          <cell r="U54">
            <v>72828.763220461435</v>
          </cell>
        </row>
        <row r="55">
          <cell r="B55" t="str">
            <v>FY1</v>
          </cell>
          <cell r="C55">
            <v>80394.312948484498</v>
          </cell>
          <cell r="D55">
            <v>110895.97000937199</v>
          </cell>
          <cell r="E55">
            <v>154944.94117647098</v>
          </cell>
          <cell r="F55">
            <v>23264.098000000002</v>
          </cell>
          <cell r="G55">
            <v>7551.3888888888896</v>
          </cell>
          <cell r="H55">
            <v>24784.776119402999</v>
          </cell>
          <cell r="I55">
            <v>85603.5193133047</v>
          </cell>
          <cell r="J55">
            <v>69634.143779417718</v>
          </cell>
          <cell r="K55">
            <v>487439.00645592407</v>
          </cell>
          <cell r="M55">
            <v>8152.8011747302498</v>
          </cell>
          <cell r="N55">
            <v>3618.09221262458</v>
          </cell>
          <cell r="O55">
            <v>6280.8787298091502</v>
          </cell>
          <cell r="P55">
            <v>1842.77425430213</v>
          </cell>
          <cell r="Q55">
            <v>37816.534659180201</v>
          </cell>
          <cell r="R55">
            <v>10859.0659181791</v>
          </cell>
          <cell r="S55">
            <v>4200.5989247116004</v>
          </cell>
          <cell r="T55">
            <v>10395.820839076714</v>
          </cell>
          <cell r="U55">
            <v>72770.745873537002</v>
          </cell>
        </row>
        <row r="56">
          <cell r="B56" t="str">
            <v>FY2</v>
          </cell>
          <cell r="C56">
            <v>83743.799999999988</v>
          </cell>
          <cell r="D56">
            <v>111395.50140581101</v>
          </cell>
          <cell r="E56">
            <v>154854.22437271001</v>
          </cell>
          <cell r="F56">
            <v>24215.196</v>
          </cell>
          <cell r="G56">
            <v>7861.1111111111095</v>
          </cell>
          <cell r="H56">
            <v>26081.791044776099</v>
          </cell>
          <cell r="I56">
            <v>89455.677682403402</v>
          </cell>
          <cell r="J56">
            <v>71086.757373830231</v>
          </cell>
          <cell r="K56">
            <v>497607.3016168116</v>
          </cell>
          <cell r="M56">
            <v>8723.3097210784999</v>
          </cell>
          <cell r="N56">
            <v>3975.45267116279</v>
          </cell>
          <cell r="O56">
            <v>6672.4837929733894</v>
          </cell>
          <cell r="P56">
            <v>1947.45216540507</v>
          </cell>
          <cell r="Q56">
            <v>36516.200309858395</v>
          </cell>
          <cell r="R56">
            <v>11000.1225990071</v>
          </cell>
          <cell r="S56">
            <v>4686.6820919247102</v>
          </cell>
          <cell r="T56">
            <v>10503.100478772851</v>
          </cell>
          <cell r="U56">
            <v>73521.70335140996</v>
          </cell>
        </row>
        <row r="58">
          <cell r="B58" t="str">
            <v>Square Footage Growth</v>
          </cell>
        </row>
        <row r="59">
          <cell r="B59" t="str">
            <v>FY(4)</v>
          </cell>
          <cell r="C59">
            <v>0.15089175666386145</v>
          </cell>
          <cell r="D59">
            <v>9.8716683119448589E-4</v>
          </cell>
          <cell r="E59">
            <v>0</v>
          </cell>
          <cell r="F59">
            <v>2.4139449351187503E-2</v>
          </cell>
          <cell r="G59">
            <v>0</v>
          </cell>
          <cell r="H59">
            <v>0.13544876417753882</v>
          </cell>
          <cell r="I59">
            <v>7.7349331379373609E-2</v>
          </cell>
          <cell r="J59">
            <v>3.6487925568735591E-2</v>
          </cell>
          <cell r="K59">
            <v>3.6487925568735591E-2</v>
          </cell>
          <cell r="M59">
            <v>7.7817531305903298E-2</v>
          </cell>
          <cell r="N59">
            <v>0.19969055896514654</v>
          </cell>
          <cell r="O59">
            <v>5.1186594113118655E-2</v>
          </cell>
          <cell r="P59">
            <v>0.15669026912943607</v>
          </cell>
          <cell r="Q59">
            <v>3.2786885245901676E-2</v>
          </cell>
          <cell r="R59">
            <v>0</v>
          </cell>
          <cell r="S59">
            <v>0.20783674570351085</v>
          </cell>
          <cell r="T59">
            <v>4.4657132761551921E-2</v>
          </cell>
          <cell r="U59">
            <v>4.4657132761551921E-2</v>
          </cell>
        </row>
        <row r="60">
          <cell r="B60" t="str">
            <v>FY(3)</v>
          </cell>
          <cell r="C60">
            <v>0.10122737306843277</v>
          </cell>
          <cell r="D60">
            <v>1.6765285996055201E-2</v>
          </cell>
          <cell r="E60">
            <v>0</v>
          </cell>
          <cell r="F60">
            <v>1.7677853367390917E-2</v>
          </cell>
          <cell r="G60">
            <v>0</v>
          </cell>
          <cell r="H60">
            <v>7.6390091806686211E-2</v>
          </cell>
          <cell r="I60">
            <v>4.8345731491321375E-2</v>
          </cell>
          <cell r="J60">
            <v>2.9135954207446968E-2</v>
          </cell>
          <cell r="K60">
            <v>2.9135954207446968E-2</v>
          </cell>
          <cell r="M60">
            <v>0.11087136929460573</v>
          </cell>
          <cell r="N60">
            <v>0.10639463234287283</v>
          </cell>
          <cell r="O60">
            <v>8.3934854091797462E-2</v>
          </cell>
          <cell r="P60">
            <v>0.14795940921890827</v>
          </cell>
          <cell r="Q60">
            <v>3.1746031746031855E-2</v>
          </cell>
          <cell r="R60">
            <v>0</v>
          </cell>
          <cell r="S60">
            <v>0.18172983387145014</v>
          </cell>
          <cell r="T60">
            <v>4.7263761054334941E-2</v>
          </cell>
          <cell r="U60">
            <v>4.7263761054334719E-2</v>
          </cell>
        </row>
        <row r="61">
          <cell r="B61" t="str">
            <v>FY(2)</v>
          </cell>
          <cell r="C61">
            <v>0.1207883637763203</v>
          </cell>
          <cell r="D61">
            <v>3.3947623666343407E-2</v>
          </cell>
          <cell r="E61">
            <v>-9.200767263427112E-3</v>
          </cell>
          <cell r="F61">
            <v>1.0735586481113391E-2</v>
          </cell>
          <cell r="G61">
            <v>5.2000000000000934E-3</v>
          </cell>
          <cell r="H61">
            <v>0.13185280549297285</v>
          </cell>
          <cell r="I61">
            <v>3.2884155324583997E-2</v>
          </cell>
          <cell r="J61">
            <v>3.3338158722116429E-2</v>
          </cell>
          <cell r="K61">
            <v>3.3338158722116429E-2</v>
          </cell>
          <cell r="M61">
            <v>9.6219931271477765E-2</v>
          </cell>
          <cell r="N61">
            <v>0.1177509520182789</v>
          </cell>
          <cell r="O61">
            <v>0.1037812206109916</v>
          </cell>
          <cell r="P61">
            <v>0.17835113577834139</v>
          </cell>
          <cell r="Q61">
            <v>1.538461538461533E-2</v>
          </cell>
          <cell r="R61">
            <v>0</v>
          </cell>
          <cell r="S61">
            <v>0.15570791283604746</v>
          </cell>
          <cell r="T61">
            <v>3.9564330656970847E-2</v>
          </cell>
          <cell r="U61">
            <v>3.956433065697107E-2</v>
          </cell>
        </row>
        <row r="62">
          <cell r="B62" t="str">
            <v>FY(1)</v>
          </cell>
          <cell r="C62">
            <v>7.3015782168867727E-2</v>
          </cell>
          <cell r="D62">
            <v>2.4367385192129332E-2</v>
          </cell>
          <cell r="E62">
            <v>-5.614315860119623E-3</v>
          </cell>
          <cell r="F62">
            <v>4.1945318646734897E-2</v>
          </cell>
          <cell r="G62">
            <v>-2.6401969020347638E-3</v>
          </cell>
          <cell r="H62">
            <v>6.6350710900473953E-2</v>
          </cell>
          <cell r="I62">
            <v>3.4724931720639951E-2</v>
          </cell>
          <cell r="J62">
            <v>2.5648388620052476E-2</v>
          </cell>
          <cell r="K62">
            <v>2.5648388620052476E-2</v>
          </cell>
          <cell r="M62">
            <v>5.7652991685975152E-2</v>
          </cell>
          <cell r="N62">
            <v>0.11903731721094246</v>
          </cell>
          <cell r="O62">
            <v>0.10827361867006458</v>
          </cell>
          <cell r="P62">
            <v>0.19783140107912689</v>
          </cell>
          <cell r="Q62">
            <v>-2.525252525252486E-3</v>
          </cell>
          <cell r="R62">
            <v>5.6958587915818093E-2</v>
          </cell>
          <cell r="S62">
            <v>0.16425050110836503</v>
          </cell>
          <cell r="T62">
            <v>3.7057928834768772E-2</v>
          </cell>
          <cell r="U62">
            <v>3.7057928834768772E-2</v>
          </cell>
        </row>
        <row r="63">
          <cell r="B63" t="str">
            <v>FY0</v>
          </cell>
          <cell r="C63">
            <v>4.5391508427565563E-2</v>
          </cell>
          <cell r="D63">
            <v>1.3723696248858053E-2</v>
          </cell>
          <cell r="E63">
            <v>2.0053085514404323E-3</v>
          </cell>
          <cell r="F63">
            <v>5.3589126433526868E-2</v>
          </cell>
          <cell r="G63">
            <v>-3.4631824808716294E-3</v>
          </cell>
          <cell r="H63">
            <v>5.3333333333333233E-2</v>
          </cell>
          <cell r="I63">
            <v>3.4313725490196179E-2</v>
          </cell>
          <cell r="J63">
            <v>2.1842060023903098E-2</v>
          </cell>
          <cell r="K63">
            <v>2.1842060023903098E-2</v>
          </cell>
          <cell r="M63">
            <v>1.1211340206185527E-2</v>
          </cell>
          <cell r="N63">
            <v>4.3768308848467496E-2</v>
          </cell>
          <cell r="O63">
            <v>1.196112555183837E-2</v>
          </cell>
          <cell r="P63">
            <v>0.15317947811806687</v>
          </cell>
          <cell r="Q63">
            <v>-1.7721518987341756E-2</v>
          </cell>
          <cell r="R63">
            <v>3.1839828230089129E-3</v>
          </cell>
          <cell r="S63">
            <v>0.10866438515325982</v>
          </cell>
          <cell r="T63">
            <v>3.1807510691959084E-3</v>
          </cell>
          <cell r="U63">
            <v>3.1807510691959084E-3</v>
          </cell>
        </row>
        <row r="64">
          <cell r="B64" t="str">
            <v>FY1</v>
          </cell>
          <cell r="C64">
            <v>2.5489986076898008E-2</v>
          </cell>
          <cell r="D64">
            <v>1.8050541516203555E-3</v>
          </cell>
          <cell r="E64">
            <v>3.5294117647084455E-3</v>
          </cell>
          <cell r="F64">
            <v>4.2088199063808895E-2</v>
          </cell>
          <cell r="G64">
            <v>7.7849860982386332E-3</v>
          </cell>
          <cell r="H64">
            <v>4.5771144278607512E-2</v>
          </cell>
          <cell r="I64">
            <v>4.6664236237695444E-2</v>
          </cell>
          <cell r="J64">
            <v>1.8050044113133712E-2</v>
          </cell>
          <cell r="K64">
            <v>1.8050044113133934E-2</v>
          </cell>
          <cell r="M64">
            <v>3.897045682811906E-2</v>
          </cell>
          <cell r="N64">
            <v>5.5337049560660656E-2</v>
          </cell>
          <cell r="O64">
            <v>-1.9204087752533128E-2</v>
          </cell>
          <cell r="P64">
            <v>8.9954600936144935E-2</v>
          </cell>
          <cell r="Q64">
            <v>-2.5347044866489643E-2</v>
          </cell>
          <cell r="R64">
            <v>-6.7624697540382694E-3</v>
          </cell>
          <cell r="S64">
            <v>0.12742356182276771</v>
          </cell>
          <cell r="T64">
            <v>-7.9662683202252893E-4</v>
          </cell>
          <cell r="U64">
            <v>-7.9662683202252893E-4</v>
          </cell>
        </row>
        <row r="65">
          <cell r="A65" t="str">
            <v>mstag:comparableStoreSalesGrowth</v>
          </cell>
          <cell r="B65" t="str">
            <v>FY2</v>
          </cell>
          <cell r="C65">
            <v>4.16632337372147E-2</v>
          </cell>
          <cell r="D65">
            <v>4.5045045045082333E-3</v>
          </cell>
          <cell r="E65">
            <v>-5.8547767401873063E-4</v>
          </cell>
          <cell r="F65">
            <v>4.0882651027346784E-2</v>
          </cell>
          <cell r="G65">
            <v>4.1015265771564779E-2</v>
          </cell>
          <cell r="H65">
            <v>5.2331113225497994E-2</v>
          </cell>
          <cell r="I65">
            <v>4.4999999999999929E-2</v>
          </cell>
          <cell r="J65">
            <v>2.0860651335270264E-2</v>
          </cell>
          <cell r="K65">
            <v>2.0860651335270264E-2</v>
          </cell>
          <cell r="M65">
            <v>6.997699736828511E-2</v>
          </cell>
          <cell r="N65">
            <v>9.877041201196457E-2</v>
          </cell>
          <cell r="O65">
            <v>6.2348769974760909E-2</v>
          </cell>
          <cell r="P65">
            <v>5.6804522235189392E-2</v>
          </cell>
          <cell r="Q65">
            <v>-3.4385338610240401E-2</v>
          </cell>
          <cell r="R65">
            <v>1.2989761908697606E-2</v>
          </cell>
          <cell r="S65">
            <v>0.11571758597411974</v>
          </cell>
          <cell r="T65">
            <v>1.0319496782099646E-2</v>
          </cell>
          <cell r="U65">
            <v>1.0319496782099646E-2</v>
          </cell>
        </row>
        <row r="66">
          <cell r="B66" t="str">
            <v>4-Yr. Compounded</v>
          </cell>
          <cell r="C66">
            <v>6.5577468319250709E-2</v>
          </cell>
          <cell r="D66">
            <v>1.8390348330118655E-2</v>
          </cell>
          <cell r="E66">
            <v>-2.3340200577479653E-3</v>
          </cell>
          <cell r="F66">
            <v>3.696610404122036E-2</v>
          </cell>
          <cell r="G66">
            <v>1.7085791092168456E-3</v>
          </cell>
          <cell r="H66">
            <v>7.3799318905135358E-2</v>
          </cell>
          <cell r="I66">
            <v>3.7132038387335253E-2</v>
          </cell>
          <cell r="J66">
            <v>2.4704085493136851E-2</v>
          </cell>
          <cell r="K66">
            <v>2.4704085493136851E-2</v>
          </cell>
          <cell r="M66">
            <v>5.0561561442880043E-2</v>
          </cell>
          <cell r="N66">
            <v>8.3418450725379456E-2</v>
          </cell>
          <cell r="O66">
            <v>4.9707060147659243E-2</v>
          </cell>
          <cell r="P66">
            <v>0.15410130787375076</v>
          </cell>
          <cell r="Q66">
            <v>-7.6742053354557083E-3</v>
          </cell>
          <cell r="R66">
            <v>1.3031431848396169E-2</v>
          </cell>
          <cell r="S66">
            <v>0.13879468332198019</v>
          </cell>
          <cell r="T66">
            <v>1.9581312682365848E-2</v>
          </cell>
          <cell r="U66">
            <v>1.9581312682365848E-2</v>
          </cell>
        </row>
        <row r="67">
          <cell r="B67" t="str">
            <v>FY(4)</v>
          </cell>
          <cell r="C67">
            <v>5.4574854495884903E-3</v>
          </cell>
          <cell r="D67">
            <v>4.9000000000000002E-2</v>
          </cell>
          <cell r="E67">
            <v>2.5999999999999999E-2</v>
          </cell>
          <cell r="F67">
            <v>9.6205540192385405E-2</v>
          </cell>
          <cell r="G67">
            <v>5.2999999999999999E-2</v>
          </cell>
          <cell r="H67">
            <v>-0.01</v>
          </cell>
          <cell r="I67">
            <v>0.05</v>
          </cell>
          <cell r="J67">
            <v>3.8523289377424837E-2</v>
          </cell>
          <cell r="M67">
            <v>0.02</v>
          </cell>
          <cell r="N67">
            <v>8.6999999999999994E-2</v>
          </cell>
          <cell r="O67">
            <v>0.214</v>
          </cell>
          <cell r="P67">
            <v>0.182</v>
          </cell>
          <cell r="Q67">
            <v>0</v>
          </cell>
          <cell r="R67">
            <v>0.04</v>
          </cell>
          <cell r="S67">
            <v>0.216</v>
          </cell>
          <cell r="T67">
            <v>0.10842857142857143</v>
          </cell>
        </row>
        <row r="68">
          <cell r="A68" t="str">
            <v>mstag:comparableStoreSalesGrowth</v>
          </cell>
          <cell r="B68" t="str">
            <v>Comp Store Sales</v>
          </cell>
          <cell r="C68">
            <v>3.68908761248153E-2</v>
          </cell>
          <cell r="D68">
            <v>2.9000000000000001E-2</v>
          </cell>
          <cell r="E68">
            <v>1.2999999999999999E-2</v>
          </cell>
          <cell r="F68">
            <v>6.01637300954651E-2</v>
          </cell>
          <cell r="G68">
            <v>0.04</v>
          </cell>
          <cell r="H68">
            <v>0.06</v>
          </cell>
          <cell r="I68">
            <v>0.02</v>
          </cell>
          <cell r="J68">
            <v>3.700780088861149E-2</v>
          </cell>
          <cell r="M68">
            <v>0.26</v>
          </cell>
          <cell r="N68">
            <v>3.5000000000000003E-2</v>
          </cell>
          <cell r="O68">
            <v>0.155</v>
          </cell>
          <cell r="P68">
            <v>0.20699999999999999</v>
          </cell>
          <cell r="Q68">
            <v>-0.05</v>
          </cell>
          <cell r="R68">
            <v>-0.01</v>
          </cell>
          <cell r="S68">
            <v>0.109</v>
          </cell>
          <cell r="T68">
            <v>0.10085714285714285</v>
          </cell>
          <cell r="W68">
            <v>5.2356020942408377E-2</v>
          </cell>
        </row>
        <row r="69">
          <cell r="B69" t="str">
            <v>FY(5)</v>
          </cell>
          <cell r="C69">
            <v>5.4574854495884903E-3</v>
          </cell>
          <cell r="D69">
            <v>4.9000000000000002E-2</v>
          </cell>
          <cell r="E69">
            <v>2.5999999999999999E-2</v>
          </cell>
          <cell r="F69">
            <v>9.6205540192385405E-2</v>
          </cell>
          <cell r="G69">
            <v>5.2999999999999999E-2</v>
          </cell>
          <cell r="H69">
            <v>-0.01</v>
          </cell>
          <cell r="I69">
            <v>0.05</v>
          </cell>
          <cell r="J69">
            <v>3.8523289377424837E-2</v>
          </cell>
          <cell r="M69">
            <v>0.02</v>
          </cell>
          <cell r="N69">
            <v>8.6999999999999994E-2</v>
          </cell>
          <cell r="O69">
            <v>0.214</v>
          </cell>
          <cell r="P69">
            <v>0.16900000000000001</v>
          </cell>
          <cell r="Q69">
            <v>0</v>
          </cell>
          <cell r="R69">
            <v>0.04</v>
          </cell>
          <cell r="S69">
            <v>0.216</v>
          </cell>
          <cell r="T69">
            <v>0.10657142857142857</v>
          </cell>
        </row>
        <row r="70">
          <cell r="B70" t="str">
            <v>FY(4)</v>
          </cell>
          <cell r="C70">
            <v>3.68908761248153E-2</v>
          </cell>
          <cell r="D70">
            <v>2.9000000000000001E-2</v>
          </cell>
          <cell r="E70">
            <v>1.2999999999999999E-2</v>
          </cell>
          <cell r="F70">
            <v>6.01637300954651E-2</v>
          </cell>
          <cell r="G70">
            <v>0.04</v>
          </cell>
          <cell r="H70">
            <v>0.06</v>
          </cell>
          <cell r="I70">
            <v>0.02</v>
          </cell>
          <cell r="J70">
            <v>3.700780088861149E-2</v>
          </cell>
          <cell r="M70">
            <v>0.26</v>
          </cell>
          <cell r="N70">
            <v>3.5000000000000003E-2</v>
          </cell>
          <cell r="O70">
            <v>0.155</v>
          </cell>
          <cell r="P70">
            <v>0.182</v>
          </cell>
          <cell r="Q70">
            <v>-0.05</v>
          </cell>
          <cell r="R70">
            <v>-0.01</v>
          </cell>
          <cell r="S70">
            <v>0.109</v>
          </cell>
          <cell r="T70">
            <v>9.7285714285714295E-2</v>
          </cell>
        </row>
        <row r="71">
          <cell r="B71" t="str">
            <v>FY(3)</v>
          </cell>
          <cell r="C71">
            <v>5.8999999999999997E-2</v>
          </cell>
          <cell r="D71">
            <v>3.6999999999999998E-2</v>
          </cell>
          <cell r="E71">
            <v>4.3999999999999997E-2</v>
          </cell>
          <cell r="F71">
            <v>7.4999999999999997E-2</v>
          </cell>
          <cell r="G71">
            <v>4.9000000000000002E-2</v>
          </cell>
          <cell r="H71">
            <v>0.04</v>
          </cell>
          <cell r="I71">
            <v>0.04</v>
          </cell>
          <cell r="J71">
            <v>4.9142857142857141E-2</v>
          </cell>
          <cell r="M71">
            <v>0.01</v>
          </cell>
          <cell r="N71">
            <v>2.0075199121431499E-2</v>
          </cell>
          <cell r="O71">
            <v>0.12</v>
          </cell>
          <cell r="P71">
            <v>0.20699999999999999</v>
          </cell>
          <cell r="Q71">
            <v>-7.0000000000000007E-2</v>
          </cell>
          <cell r="R71">
            <v>7.0000000000000007E-2</v>
          </cell>
          <cell r="S71">
            <v>-6.2E-2</v>
          </cell>
          <cell r="T71">
            <v>4.2153599874490209E-2</v>
          </cell>
        </row>
        <row r="72">
          <cell r="B72" t="str">
            <v>FY(2)</v>
          </cell>
          <cell r="C72">
            <v>-7.9988102247825297E-3</v>
          </cell>
          <cell r="D72">
            <v>-1.0999999999999999E-2</v>
          </cell>
          <cell r="E72">
            <v>-1.2999999999999999E-2</v>
          </cell>
          <cell r="F72">
            <v>3.9E-2</v>
          </cell>
          <cell r="G72">
            <v>0.117894805327276</v>
          </cell>
          <cell r="H72">
            <v>0.01</v>
          </cell>
          <cell r="I72">
            <v>0.04</v>
          </cell>
          <cell r="J72">
            <v>2.4985142157499068E-2</v>
          </cell>
          <cell r="M72">
            <v>-0.01</v>
          </cell>
          <cell r="N72">
            <v>3.3000000000000002E-2</v>
          </cell>
          <cell r="O72">
            <v>0.01</v>
          </cell>
          <cell r="P72">
            <v>0.223</v>
          </cell>
          <cell r="Q72">
            <v>-0.04</v>
          </cell>
          <cell r="R72">
            <v>-0.02</v>
          </cell>
          <cell r="S72">
            <v>5.5E-2</v>
          </cell>
          <cell r="T72">
            <v>3.5857142857142858E-2</v>
          </cell>
        </row>
        <row r="73">
          <cell r="B73" t="str">
            <v>FY(1)</v>
          </cell>
          <cell r="C73">
            <v>-6.9000000000000006E-2</v>
          </cell>
          <cell r="D73">
            <v>-8.5000000000000006E-2</v>
          </cell>
          <cell r="E73">
            <v>-4.4999999999999998E-2</v>
          </cell>
          <cell r="F73">
            <v>-9.0392473766734996E-2</v>
          </cell>
          <cell r="G73">
            <v>-6.0999999999999999E-2</v>
          </cell>
          <cell r="H73">
            <v>0.02</v>
          </cell>
          <cell r="I73">
            <v>-7.2019165762476399E-3</v>
          </cell>
          <cell r="J73">
            <v>-4.8227770048997518E-2</v>
          </cell>
          <cell r="M73">
            <v>-0.13</v>
          </cell>
          <cell r="N73">
            <v>0.08</v>
          </cell>
          <cell r="O73">
            <v>-9.97396193878715E-2</v>
          </cell>
          <cell r="P73">
            <v>9.8000000000000004E-2</v>
          </cell>
          <cell r="Q73">
            <v>-0.12</v>
          </cell>
          <cell r="R73">
            <v>-8.4306869759510406E-2</v>
          </cell>
          <cell r="S73">
            <v>7.8E-2</v>
          </cell>
          <cell r="T73">
            <v>-2.5435212735340273E-2</v>
          </cell>
        </row>
        <row r="74">
          <cell r="B74" t="str">
            <v>FY0</v>
          </cell>
          <cell r="C74">
            <v>6.5541130581591696E-3</v>
          </cell>
          <cell r="D74">
            <v>-6.3078925007644296E-2</v>
          </cell>
          <cell r="E74">
            <v>-5.2999999999999999E-2</v>
          </cell>
          <cell r="F74">
            <v>-3.4224630661177001E-2</v>
          </cell>
          <cell r="G74">
            <v>-0.14699999999999999</v>
          </cell>
          <cell r="H74">
            <v>6.1429424489502199E-2</v>
          </cell>
          <cell r="I74">
            <v>5.67421533164396E-2</v>
          </cell>
          <cell r="J74">
            <v>-2.4653980686388625E-2</v>
          </cell>
          <cell r="M74">
            <v>-0.23</v>
          </cell>
          <cell r="N74">
            <v>0.102299627147601</v>
          </cell>
          <cell r="O74">
            <v>-3.6220023152869797E-2</v>
          </cell>
          <cell r="P74">
            <v>-6.8000000000000005E-2</v>
          </cell>
          <cell r="Q74">
            <v>-2.9938719447770702E-2</v>
          </cell>
          <cell r="R74">
            <v>-3.8209678879894897E-2</v>
          </cell>
          <cell r="S74">
            <v>-2.3256719605994101E-2</v>
          </cell>
          <cell r="T74">
            <v>-4.6189359134132642E-2</v>
          </cell>
        </row>
        <row r="75">
          <cell r="B75" t="str">
            <v>FY1</v>
          </cell>
          <cell r="C75">
            <v>5.2404169492854501E-2</v>
          </cell>
          <cell r="D75">
            <v>1.86033499008923E-2</v>
          </cell>
          <cell r="E75">
            <v>4.3679773152782701E-2</v>
          </cell>
          <cell r="F75">
            <v>3.97315603069179E-2</v>
          </cell>
          <cell r="G75">
            <v>4.2591937598611899E-2</v>
          </cell>
          <cell r="H75">
            <v>5.2923780943401597E-2</v>
          </cell>
          <cell r="I75">
            <v>3.8739178634559598E-2</v>
          </cell>
          <cell r="J75">
            <v>4.1239107147145793E-2</v>
          </cell>
          <cell r="M75">
            <v>-4.3817488406315802E-2</v>
          </cell>
          <cell r="N75">
            <v>3.6299681250220303E-2</v>
          </cell>
          <cell r="O75">
            <v>3.3506756084832397E-2</v>
          </cell>
          <cell r="P75">
            <v>2.1792814193442801E-2</v>
          </cell>
          <cell r="Q75">
            <v>6.4617414056954703E-3</v>
          </cell>
          <cell r="R75">
            <v>6.9899914522689399E-2</v>
          </cell>
          <cell r="S75">
            <v>6.5643552140244005E-2</v>
          </cell>
          <cell r="T75">
            <v>2.7112424455829794E-2</v>
          </cell>
        </row>
        <row r="76">
          <cell r="B76" t="str">
            <v>FY2</v>
          </cell>
          <cell r="C76">
            <v>0.04</v>
          </cell>
          <cell r="D76">
            <v>0.02</v>
          </cell>
          <cell r="E76">
            <v>0.01</v>
          </cell>
          <cell r="F76">
            <v>0.02</v>
          </cell>
          <cell r="G76">
            <v>0.02</v>
          </cell>
          <cell r="H76">
            <v>0.02</v>
          </cell>
          <cell r="I76">
            <v>0.02</v>
          </cell>
          <cell r="J76">
            <v>2.1428571428571429E-2</v>
          </cell>
          <cell r="M76">
            <v>1.04505589012915E-2</v>
          </cell>
          <cell r="N76">
            <v>0.03</v>
          </cell>
          <cell r="O76">
            <v>0.04</v>
          </cell>
          <cell r="P76">
            <v>0.04</v>
          </cell>
          <cell r="Q76">
            <v>-3.10077885527596E-2</v>
          </cell>
          <cell r="R76">
            <v>1.82099005897415E-2</v>
          </cell>
          <cell r="S76">
            <v>5.1020186507036699E-2</v>
          </cell>
          <cell r="T76">
            <v>2.2667551063615732E-2</v>
          </cell>
        </row>
        <row r="77">
          <cell r="B77" t="str">
            <v>FQ(3)</v>
          </cell>
          <cell r="C77">
            <v>-4.2000000000000003E-2</v>
          </cell>
          <cell r="D77">
            <v>-7.4999999999999997E-2</v>
          </cell>
          <cell r="E77">
            <v>-0.09</v>
          </cell>
          <cell r="F77">
            <v>-0.13200000000000001</v>
          </cell>
          <cell r="G77">
            <v>-0.27600000000000002</v>
          </cell>
          <cell r="H77">
            <v>0.03</v>
          </cell>
          <cell r="I77">
            <v>-3.9548952924792102E-2</v>
          </cell>
          <cell r="J77">
            <v>-8.9221278989256012E-2</v>
          </cell>
          <cell r="M77">
            <v>-0.3</v>
          </cell>
          <cell r="N77">
            <v>0.11</v>
          </cell>
          <cell r="O77">
            <v>-0.1</v>
          </cell>
          <cell r="P77">
            <v>-4.2000000000000003E-2</v>
          </cell>
          <cell r="Q77">
            <v>-0.08</v>
          </cell>
          <cell r="R77">
            <v>-7.0000000000000007E-2</v>
          </cell>
          <cell r="S77">
            <v>-9.6000000000000002E-2</v>
          </cell>
          <cell r="T77">
            <v>-8.2571428571428587E-2</v>
          </cell>
        </row>
        <row r="78">
          <cell r="B78" t="str">
            <v>FQ(2)</v>
          </cell>
          <cell r="C78">
            <v>-2.3E-2</v>
          </cell>
          <cell r="D78">
            <v>-9.5000000000000001E-2</v>
          </cell>
          <cell r="E78">
            <v>-9.5000000000000001E-2</v>
          </cell>
          <cell r="F78">
            <v>-9.8000000000000004E-2</v>
          </cell>
          <cell r="G78">
            <v>-0.155</v>
          </cell>
          <cell r="H78">
            <v>0.03</v>
          </cell>
          <cell r="I78">
            <v>-5.3891204011856202E-3</v>
          </cell>
          <cell r="J78">
            <v>-6.3055588628740791E-2</v>
          </cell>
          <cell r="M78">
            <v>-0.3</v>
          </cell>
          <cell r="N78">
            <v>0.12</v>
          </cell>
          <cell r="O78">
            <v>-0.1</v>
          </cell>
          <cell r="P78">
            <v>-6.0999999999999999E-2</v>
          </cell>
          <cell r="Q78">
            <v>-0.08</v>
          </cell>
          <cell r="R78">
            <v>-0.09</v>
          </cell>
          <cell r="S78">
            <v>-0.06</v>
          </cell>
          <cell r="T78">
            <v>-8.1571428571428559E-2</v>
          </cell>
        </row>
        <row r="79">
          <cell r="A79" t="str">
            <v>mstag:revenueNet</v>
          </cell>
          <cell r="B79" t="str">
            <v>FQ(1)</v>
          </cell>
          <cell r="C79">
            <v>2.4E-2</v>
          </cell>
          <cell r="D79">
            <v>-4.5999999999999999E-2</v>
          </cell>
          <cell r="E79">
            <v>-3.5999999999999997E-2</v>
          </cell>
          <cell r="F79">
            <v>-1.2E-2</v>
          </cell>
          <cell r="G79">
            <v>-0.10100000000000001</v>
          </cell>
          <cell r="H79">
            <v>0.08</v>
          </cell>
          <cell r="I79">
            <v>7.6835872094774701E-2</v>
          </cell>
          <cell r="J79">
            <v>-2.0234468436036118E-3</v>
          </cell>
          <cell r="M79">
            <v>-0.22</v>
          </cell>
          <cell r="N79">
            <v>0.1</v>
          </cell>
          <cell r="O79">
            <v>-0.04</v>
          </cell>
          <cell r="P79">
            <v>-1.0999999999999999E-2</v>
          </cell>
          <cell r="Q79">
            <v>0</v>
          </cell>
          <cell r="R79">
            <v>-0.02</v>
          </cell>
          <cell r="S79">
            <v>-0.02</v>
          </cell>
          <cell r="T79">
            <v>-3.0142857142857141E-2</v>
          </cell>
        </row>
        <row r="80">
          <cell r="B80" t="str">
            <v>Last Reported Q</v>
          </cell>
          <cell r="C80">
            <v>6.5541130581591696E-3</v>
          </cell>
          <cell r="D80">
            <v>-6.3078925007644296E-2</v>
          </cell>
          <cell r="E80">
            <v>-5.2999999999999999E-2</v>
          </cell>
          <cell r="F80">
            <v>-3.4224630661177001E-2</v>
          </cell>
          <cell r="G80">
            <v>-0.14699999999999999</v>
          </cell>
          <cell r="H80">
            <v>6.1429424489502199E-2</v>
          </cell>
          <cell r="I80">
            <v>5.67421533164396E-2</v>
          </cell>
          <cell r="J80">
            <v>-2.4653980686388625E-2</v>
          </cell>
          <cell r="K80">
            <v>29178.162</v>
          </cell>
          <cell r="M80">
            <v>-0.23</v>
          </cell>
          <cell r="N80">
            <v>0.102299627147601</v>
          </cell>
          <cell r="O80">
            <v>-3.6220023152869797E-2</v>
          </cell>
          <cell r="P80">
            <v>3.2000000000000001E-2</v>
          </cell>
          <cell r="Q80">
            <v>-2.9938719447770702E-2</v>
          </cell>
          <cell r="R80">
            <v>-3.8209678879894897E-2</v>
          </cell>
          <cell r="S80">
            <v>-2.3256719605994101E-2</v>
          </cell>
          <cell r="T80">
            <v>-3.1903644848418358E-2</v>
          </cell>
          <cell r="U80">
            <v>11475.175999999999</v>
          </cell>
        </row>
        <row r="81">
          <cell r="B81" t="str">
            <v>FY(9)</v>
          </cell>
          <cell r="C81">
            <v>4556.9799999999996</v>
          </cell>
          <cell r="D81">
            <v>31743</v>
          </cell>
          <cell r="E81">
            <v>16029</v>
          </cell>
          <cell r="F81">
            <v>5149</v>
          </cell>
          <cell r="G81" t="str">
            <v>NA</v>
          </cell>
          <cell r="H81">
            <v>2468.6379999999999</v>
          </cell>
          <cell r="I81">
            <v>8795.3469999999998</v>
          </cell>
          <cell r="K81">
            <v>68741.964999999997</v>
          </cell>
          <cell r="M81">
            <v>1030.8579999999999</v>
          </cell>
          <cell r="N81" t="str">
            <v>NA</v>
          </cell>
          <cell r="O81">
            <v>832.10400000000004</v>
          </cell>
          <cell r="P81">
            <v>549</v>
          </cell>
          <cell r="Q81" t="str">
            <v>NA</v>
          </cell>
          <cell r="R81">
            <v>9766</v>
          </cell>
          <cell r="S81">
            <v>278.113</v>
          </cell>
          <cell r="U81">
            <v>12456.074999999999</v>
          </cell>
        </row>
        <row r="82">
          <cell r="A82" t="str">
            <v>mstag:revenueNet</v>
          </cell>
          <cell r="B82" t="str">
            <v>Revenue</v>
          </cell>
          <cell r="C82">
            <v>6152.2</v>
          </cell>
          <cell r="D82">
            <v>31846</v>
          </cell>
          <cell r="E82">
            <v>16638</v>
          </cell>
          <cell r="F82">
            <v>5528.5370000000003</v>
          </cell>
          <cell r="G82" t="str">
            <v>NA</v>
          </cell>
          <cell r="H82">
            <v>2709.0390000000002</v>
          </cell>
          <cell r="I82">
            <v>9579.0059999999994</v>
          </cell>
          <cell r="K82">
            <v>72452.781999999992</v>
          </cell>
          <cell r="M82">
            <v>1237.604</v>
          </cell>
          <cell r="N82" t="str">
            <v>NA</v>
          </cell>
          <cell r="O82">
            <v>1058.454</v>
          </cell>
          <cell r="P82">
            <v>600.49099999999999</v>
          </cell>
          <cell r="Q82">
            <v>13673.38</v>
          </cell>
          <cell r="R82">
            <v>9080</v>
          </cell>
          <cell r="S82">
            <v>295.33300000000003</v>
          </cell>
          <cell r="U82">
            <v>25945.261999999999</v>
          </cell>
        </row>
        <row r="83">
          <cell r="B83" t="str">
            <v>FY(10)</v>
          </cell>
          <cell r="C83">
            <v>4556.9799999999996</v>
          </cell>
          <cell r="D83">
            <v>31743</v>
          </cell>
          <cell r="E83">
            <v>16029</v>
          </cell>
          <cell r="F83">
            <v>5149</v>
          </cell>
          <cell r="G83" t="str">
            <v>NA</v>
          </cell>
          <cell r="H83">
            <v>2468.6379999999999</v>
          </cell>
          <cell r="I83">
            <v>8795.3469999999998</v>
          </cell>
          <cell r="K83">
            <v>68741.964999999997</v>
          </cell>
          <cell r="M83">
            <v>1030.8579999999999</v>
          </cell>
          <cell r="N83">
            <v>232.10029573498414</v>
          </cell>
          <cell r="O83">
            <v>832.10400000000004</v>
          </cell>
          <cell r="P83">
            <v>507.78100000000001</v>
          </cell>
          <cell r="Q83">
            <v>11635</v>
          </cell>
          <cell r="R83">
            <v>9766</v>
          </cell>
          <cell r="S83">
            <v>278.113</v>
          </cell>
          <cell r="U83">
            <v>24281.956295734984</v>
          </cell>
        </row>
        <row r="84">
          <cell r="B84" t="str">
            <v>FY(9)</v>
          </cell>
          <cell r="C84">
            <v>6152.2</v>
          </cell>
          <cell r="D84">
            <v>31846</v>
          </cell>
          <cell r="E84">
            <v>16638</v>
          </cell>
          <cell r="F84">
            <v>5528.5370000000003</v>
          </cell>
          <cell r="G84" t="str">
            <v>NA</v>
          </cell>
          <cell r="H84">
            <v>2709.0390000000002</v>
          </cell>
          <cell r="I84">
            <v>9579.0059999999994</v>
          </cell>
          <cell r="K84">
            <v>72452.781999999992</v>
          </cell>
          <cell r="M84">
            <v>1237.604</v>
          </cell>
          <cell r="N84">
            <v>309.60581176788753</v>
          </cell>
          <cell r="O84">
            <v>1058.454</v>
          </cell>
          <cell r="P84">
            <v>549</v>
          </cell>
          <cell r="Q84">
            <v>13673.38</v>
          </cell>
          <cell r="R84">
            <v>9080</v>
          </cell>
          <cell r="S84">
            <v>295.33300000000003</v>
          </cell>
          <cell r="U84">
            <v>26203.376811767885</v>
          </cell>
        </row>
        <row r="85">
          <cell r="B85" t="str">
            <v>FY(8)</v>
          </cell>
          <cell r="C85">
            <v>7488.6459999999997</v>
          </cell>
          <cell r="D85">
            <v>17840</v>
          </cell>
          <cell r="E85">
            <v>15785</v>
          </cell>
          <cell r="F85">
            <v>5634.13</v>
          </cell>
          <cell r="G85" t="str">
            <v>NA</v>
          </cell>
          <cell r="H85">
            <v>2986.596</v>
          </cell>
          <cell r="I85">
            <v>10708.998</v>
          </cell>
          <cell r="K85">
            <v>60443.369999999995</v>
          </cell>
          <cell r="M85">
            <v>1364.8530000000001</v>
          </cell>
          <cell r="N85">
            <v>412.99283302035195</v>
          </cell>
          <cell r="O85">
            <v>1271.248</v>
          </cell>
          <cell r="P85">
            <v>600.49099999999999</v>
          </cell>
          <cell r="Q85">
            <v>13847.873</v>
          </cell>
          <cell r="R85">
            <v>8423</v>
          </cell>
          <cell r="S85">
            <v>348.95800000000003</v>
          </cell>
          <cell r="U85">
            <v>26269.41583302035</v>
          </cell>
        </row>
        <row r="86">
          <cell r="B86" t="str">
            <v>FY(7)</v>
          </cell>
          <cell r="C86">
            <v>9120.2870000000003</v>
          </cell>
          <cell r="D86">
            <v>17384</v>
          </cell>
          <cell r="E86">
            <v>15571</v>
          </cell>
          <cell r="F86">
            <v>5944.6559999999999</v>
          </cell>
          <cell r="G86" t="str">
            <v>NA</v>
          </cell>
          <cell r="H86">
            <v>3531.3490000000002</v>
          </cell>
          <cell r="I86">
            <v>11981.207</v>
          </cell>
          <cell r="K86">
            <v>63532.499000000003</v>
          </cell>
          <cell r="M86">
            <v>1595.7570000000001</v>
          </cell>
          <cell r="N86">
            <v>550.904</v>
          </cell>
          <cell r="O86">
            <v>1382.923</v>
          </cell>
          <cell r="P86">
            <v>719.4</v>
          </cell>
          <cell r="Q86">
            <v>14455.105</v>
          </cell>
          <cell r="R86">
            <v>8444.6380000000008</v>
          </cell>
          <cell r="S86">
            <v>422.75400000000002</v>
          </cell>
          <cell r="U86">
            <v>27571.481</v>
          </cell>
        </row>
        <row r="87">
          <cell r="B87" t="str">
            <v>FY(6)</v>
          </cell>
          <cell r="C87">
            <v>10282.093999999999</v>
          </cell>
          <cell r="D87">
            <v>17513</v>
          </cell>
          <cell r="E87">
            <v>15412</v>
          </cell>
          <cell r="F87">
            <v>6448.5720000000001</v>
          </cell>
          <cell r="G87">
            <v>2441.989</v>
          </cell>
          <cell r="H87">
            <v>3920.5830000000001</v>
          </cell>
          <cell r="I87">
            <v>13327.938</v>
          </cell>
          <cell r="K87">
            <v>69346.175999999992</v>
          </cell>
          <cell r="M87">
            <v>1707.809</v>
          </cell>
          <cell r="N87">
            <v>734.86800000000005</v>
          </cell>
          <cell r="O87">
            <v>1435.4359999999999</v>
          </cell>
          <cell r="P87">
            <v>926.40599999999995</v>
          </cell>
          <cell r="Q87">
            <v>15853.771000000001</v>
          </cell>
          <cell r="R87">
            <v>8933.973</v>
          </cell>
          <cell r="S87">
            <v>548.36099999999999</v>
          </cell>
          <cell r="U87">
            <v>30140.624</v>
          </cell>
        </row>
        <row r="88">
          <cell r="B88" t="str">
            <v>FY(5)</v>
          </cell>
          <cell r="C88">
            <v>11700.7</v>
          </cell>
          <cell r="D88">
            <v>18096</v>
          </cell>
          <cell r="E88">
            <v>15776</v>
          </cell>
          <cell r="F88">
            <v>7131.4129999999996</v>
          </cell>
          <cell r="G88">
            <v>2766.9769999999999</v>
          </cell>
          <cell r="H88">
            <v>4239.99</v>
          </cell>
          <cell r="I88">
            <v>14913.483</v>
          </cell>
          <cell r="K88">
            <v>74624.562999999995</v>
          </cell>
          <cell r="M88">
            <v>2021.2539999999999</v>
          </cell>
          <cell r="N88">
            <v>964.21199999999999</v>
          </cell>
          <cell r="O88">
            <v>1881.241</v>
          </cell>
          <cell r="P88">
            <v>1272.3</v>
          </cell>
          <cell r="Q88">
            <v>16267</v>
          </cell>
          <cell r="R88">
            <v>9408.3119999999999</v>
          </cell>
          <cell r="S88">
            <v>827.75</v>
          </cell>
          <cell r="U88">
            <v>32642.069000000003</v>
          </cell>
        </row>
        <row r="89">
          <cell r="B89" t="str">
            <v>FY(4)</v>
          </cell>
          <cell r="C89">
            <v>13402.2</v>
          </cell>
          <cell r="D89">
            <v>18781</v>
          </cell>
          <cell r="E89">
            <v>22390</v>
          </cell>
          <cell r="F89">
            <v>7722.6120000000001</v>
          </cell>
          <cell r="G89">
            <v>2778.3330000000001</v>
          </cell>
          <cell r="H89">
            <v>4944.1790000000001</v>
          </cell>
          <cell r="I89">
            <v>15955.942999999999</v>
          </cell>
          <cell r="K89">
            <v>85974.266999999993</v>
          </cell>
          <cell r="M89">
            <v>2768.1640000000002</v>
          </cell>
          <cell r="N89">
            <v>1204.347</v>
          </cell>
          <cell r="O89">
            <v>2321.962</v>
          </cell>
          <cell r="P89">
            <v>1651.704</v>
          </cell>
          <cell r="Q89">
            <v>16023</v>
          </cell>
          <cell r="R89">
            <v>9669.5</v>
          </cell>
          <cell r="S89">
            <v>1092.107</v>
          </cell>
          <cell r="U89">
            <v>34730.784</v>
          </cell>
        </row>
        <row r="90">
          <cell r="B90" t="str">
            <v>FY(3)</v>
          </cell>
          <cell r="C90">
            <v>15585.300999999999</v>
          </cell>
          <cell r="D90">
            <v>19903.088</v>
          </cell>
          <cell r="E90">
            <v>26970</v>
          </cell>
          <cell r="F90">
            <v>8560.6980000000003</v>
          </cell>
          <cell r="G90">
            <v>2940.0030000000002</v>
          </cell>
          <cell r="H90">
            <v>5570.21</v>
          </cell>
          <cell r="I90">
            <v>17404.636999999999</v>
          </cell>
          <cell r="K90">
            <v>96933.937000000005</v>
          </cell>
          <cell r="M90">
            <v>3284.1759999999999</v>
          </cell>
          <cell r="N90">
            <v>1413.2080000000001</v>
          </cell>
          <cell r="O90">
            <v>2794.4090000000001</v>
          </cell>
          <cell r="P90">
            <v>2035.085</v>
          </cell>
          <cell r="Q90">
            <v>15923</v>
          </cell>
          <cell r="R90">
            <v>10670.652</v>
          </cell>
          <cell r="S90">
            <v>1224.7170000000001</v>
          </cell>
          <cell r="U90">
            <v>37345.246999999996</v>
          </cell>
        </row>
        <row r="91">
          <cell r="B91" t="str">
            <v>FY(2)</v>
          </cell>
          <cell r="C91">
            <v>16473.7</v>
          </cell>
          <cell r="D91">
            <v>19860.93</v>
          </cell>
          <cell r="E91">
            <v>26313</v>
          </cell>
          <cell r="F91">
            <v>8827.8140000000003</v>
          </cell>
          <cell r="G91">
            <v>3264.6329999999998</v>
          </cell>
          <cell r="H91">
            <v>5975.2120000000004</v>
          </cell>
          <cell r="I91">
            <v>18336.725999999999</v>
          </cell>
          <cell r="K91">
            <v>99052.014999999999</v>
          </cell>
          <cell r="M91">
            <v>3699.6559999999999</v>
          </cell>
          <cell r="N91">
            <v>1583.183</v>
          </cell>
          <cell r="O91">
            <v>3055.4189999999999</v>
          </cell>
          <cell r="P91">
            <v>2612.4560000000001</v>
          </cell>
          <cell r="Q91">
            <v>15763</v>
          </cell>
          <cell r="R91">
            <v>10086.293</v>
          </cell>
          <cell r="S91">
            <v>1507.7239999999999</v>
          </cell>
          <cell r="U91">
            <v>38307.731</v>
          </cell>
        </row>
        <row r="92">
          <cell r="B92" t="str">
            <v>FY(1)</v>
          </cell>
          <cell r="C92">
            <v>16388.900000000001</v>
          </cell>
          <cell r="D92">
            <v>18486.4729787059</v>
          </cell>
          <cell r="E92">
            <v>24892</v>
          </cell>
          <cell r="F92">
            <v>8291</v>
          </cell>
          <cell r="G92">
            <v>3036.8879999999999</v>
          </cell>
          <cell r="H92">
            <v>6486.1390000000001</v>
          </cell>
          <cell r="I92">
            <v>18999.505000000001</v>
          </cell>
          <cell r="K92">
            <v>96580.904978705905</v>
          </cell>
          <cell r="M92">
            <v>3484.0569999999998</v>
          </cell>
          <cell r="N92">
            <v>1885.5309999999999</v>
          </cell>
          <cell r="O92">
            <v>2988.817</v>
          </cell>
          <cell r="P92">
            <v>3180.7570000000001</v>
          </cell>
          <cell r="Q92">
            <v>14526</v>
          </cell>
          <cell r="R92">
            <v>9042.7009999999991</v>
          </cell>
          <cell r="S92">
            <v>1834.6179999999999</v>
          </cell>
          <cell r="U92">
            <v>36942.481</v>
          </cell>
        </row>
        <row r="93">
          <cell r="B93" t="str">
            <v>FY0</v>
          </cell>
          <cell r="C93">
            <v>17177</v>
          </cell>
          <cell r="D93">
            <v>17557.479531695401</v>
          </cell>
          <cell r="E93">
            <v>23489</v>
          </cell>
          <cell r="F93">
            <v>8258</v>
          </cell>
          <cell r="G93">
            <v>2625.71</v>
          </cell>
          <cell r="H93">
            <v>7184.2129999999997</v>
          </cell>
          <cell r="I93">
            <v>20288.444</v>
          </cell>
          <cell r="K93">
            <v>96579.84653169541</v>
          </cell>
          <cell r="M93">
            <v>2928.625</v>
          </cell>
          <cell r="N93">
            <v>2230.105</v>
          </cell>
          <cell r="O93">
            <v>2990.558</v>
          </cell>
          <cell r="P93">
            <v>3230.4679999999998</v>
          </cell>
          <cell r="Q93">
            <v>14197</v>
          </cell>
          <cell r="R93">
            <v>8632.5365000000002</v>
          </cell>
          <cell r="S93">
            <v>1937.8150000000001</v>
          </cell>
          <cell r="U93">
            <v>36147.107500000006</v>
          </cell>
        </row>
        <row r="94">
          <cell r="B94" t="str">
            <v>FY1</v>
          </cell>
          <cell r="C94">
            <v>18498.109536433902</v>
          </cell>
          <cell r="D94">
            <v>17806.182108049401</v>
          </cell>
          <cell r="E94">
            <v>24544.575112720999</v>
          </cell>
          <cell r="F94">
            <v>8931.4666703660005</v>
          </cell>
          <cell r="G94">
            <v>2737.49293223829</v>
          </cell>
          <cell r="H94">
            <v>7803.8611769138997</v>
          </cell>
          <cell r="I94">
            <v>22056.154446994798</v>
          </cell>
          <cell r="K94">
            <v>102377.8419837173</v>
          </cell>
          <cell r="M94">
            <v>3162.7476001191799</v>
          </cell>
          <cell r="N94">
            <v>2430.26432838644</v>
          </cell>
          <cell r="O94">
            <v>2988.9123471029702</v>
          </cell>
          <cell r="P94">
            <v>3476.1003261498299</v>
          </cell>
          <cell r="Q94">
            <v>14057.709404797301</v>
          </cell>
          <cell r="R94">
            <v>9110.7464272638808</v>
          </cell>
          <cell r="S94">
            <v>2261.5106702375401</v>
          </cell>
          <cell r="U94">
            <v>37487.991104057146</v>
          </cell>
        </row>
        <row r="95">
          <cell r="B95" t="str">
            <v>FY2</v>
          </cell>
          <cell r="C95">
            <v>20039.552621656901</v>
          </cell>
          <cell r="D95">
            <v>18198.430040241499</v>
          </cell>
          <cell r="E95">
            <v>24750.731353234001</v>
          </cell>
          <cell r="F95">
            <v>9352.2268005773403</v>
          </cell>
          <cell r="G95">
            <v>2932.27969354073</v>
          </cell>
          <cell r="H95">
            <v>8161.2515621648599</v>
          </cell>
          <cell r="I95">
            <v>23509.655025051801</v>
          </cell>
          <cell r="K95">
            <v>106944.12709646713</v>
          </cell>
          <cell r="M95">
            <v>3416.94856393808</v>
          </cell>
          <cell r="N95">
            <v>2750.6661824206799</v>
          </cell>
          <cell r="O95">
            <v>3305.3180742735199</v>
          </cell>
          <cell r="P95">
            <v>3717.3890173600098</v>
          </cell>
          <cell r="Q95">
            <v>13508.772793591699</v>
          </cell>
          <cell r="R95">
            <v>9454.1724434505995</v>
          </cell>
          <cell r="S95">
            <v>2580.1207421026002</v>
          </cell>
          <cell r="U95">
            <v>38733.387817137183</v>
          </cell>
        </row>
        <row r="96">
          <cell r="B96" t="str">
            <v>FQ(3)</v>
          </cell>
          <cell r="C96">
            <v>3638</v>
          </cell>
          <cell r="D96">
            <v>3884.4351206486299</v>
          </cell>
          <cell r="E96">
            <v>5199</v>
          </cell>
          <cell r="F96">
            <v>1706</v>
          </cell>
          <cell r="G96">
            <v>621.26599999999996</v>
          </cell>
          <cell r="H96">
            <v>1691.5989999999999</v>
          </cell>
          <cell r="I96">
            <v>4354.2240000000002</v>
          </cell>
          <cell r="K96">
            <v>21094.524120648632</v>
          </cell>
          <cell r="M96">
            <v>601.72900000000004</v>
          </cell>
          <cell r="N96">
            <v>408.024</v>
          </cell>
          <cell r="O96">
            <v>612</v>
          </cell>
          <cell r="P96">
            <v>739.93899999999996</v>
          </cell>
          <cell r="Q96">
            <v>3127</v>
          </cell>
          <cell r="R96">
            <v>1725.2370000000001</v>
          </cell>
          <cell r="S96">
            <v>384.79599999999999</v>
          </cell>
          <cell r="U96">
            <v>7598.7250000000004</v>
          </cell>
        </row>
        <row r="97">
          <cell r="B97" t="str">
            <v>FQ(2)</v>
          </cell>
          <cell r="C97">
            <v>3806</v>
          </cell>
          <cell r="D97">
            <v>3942.65022008711</v>
          </cell>
          <cell r="E97">
            <v>5164</v>
          </cell>
          <cell r="F97">
            <v>2145</v>
          </cell>
          <cell r="G97">
            <v>561.69600000000003</v>
          </cell>
          <cell r="H97">
            <v>1768.636</v>
          </cell>
          <cell r="I97">
            <v>4747.5280000000002</v>
          </cell>
          <cell r="K97">
            <v>22135.510220087112</v>
          </cell>
          <cell r="M97">
            <v>637.221</v>
          </cell>
          <cell r="N97">
            <v>453.02</v>
          </cell>
          <cell r="O97">
            <v>657.596</v>
          </cell>
          <cell r="P97">
            <v>777.74400000000003</v>
          </cell>
          <cell r="Q97">
            <v>3245</v>
          </cell>
          <cell r="R97">
            <v>2066.61</v>
          </cell>
          <cell r="S97">
            <v>458.62599999999998</v>
          </cell>
          <cell r="U97">
            <v>8295.8170000000009</v>
          </cell>
        </row>
        <row r="98">
          <cell r="B98" t="str">
            <v>FQ(1)</v>
          </cell>
          <cell r="C98">
            <v>4051</v>
          </cell>
          <cell r="D98">
            <v>4180.3941909596297</v>
          </cell>
          <cell r="E98">
            <v>5277</v>
          </cell>
          <cell r="F98">
            <v>1868</v>
          </cell>
          <cell r="G98">
            <v>631.43399999999997</v>
          </cell>
          <cell r="H98">
            <v>1744.1389999999999</v>
          </cell>
          <cell r="I98">
            <v>5244.9459999999999</v>
          </cell>
          <cell r="K98">
            <v>22996.913190959629</v>
          </cell>
          <cell r="M98">
            <v>753.68399999999997</v>
          </cell>
          <cell r="N98">
            <v>567.83799999999997</v>
          </cell>
          <cell r="O98">
            <v>748.96199999999999</v>
          </cell>
          <cell r="P98">
            <v>761.43700000000001</v>
          </cell>
          <cell r="Q98">
            <v>3589</v>
          </cell>
          <cell r="R98">
            <v>1777.2895000000001</v>
          </cell>
          <cell r="S98">
            <v>505.9</v>
          </cell>
          <cell r="U98">
            <v>8704.1105000000007</v>
          </cell>
        </row>
        <row r="99">
          <cell r="B99" t="str">
            <v>Last Reported Q</v>
          </cell>
          <cell r="C99">
            <v>17177</v>
          </cell>
          <cell r="D99">
            <v>17557.479531695401</v>
          </cell>
          <cell r="E99">
            <v>23489</v>
          </cell>
          <cell r="F99">
            <v>8258</v>
          </cell>
          <cell r="G99">
            <v>2625.71</v>
          </cell>
          <cell r="H99">
            <v>7184.2129999999997</v>
          </cell>
          <cell r="I99">
            <v>20288.444</v>
          </cell>
          <cell r="K99">
            <v>96579.84653169541</v>
          </cell>
          <cell r="M99">
            <v>2928.625</v>
          </cell>
          <cell r="N99">
            <v>2230.105</v>
          </cell>
          <cell r="O99">
            <v>2990.558</v>
          </cell>
          <cell r="P99">
            <v>1065.0050000000001</v>
          </cell>
          <cell r="Q99">
            <v>14197</v>
          </cell>
          <cell r="R99">
            <v>8632.5365000000002</v>
          </cell>
          <cell r="S99">
            <v>1937.8150000000001</v>
          </cell>
          <cell r="U99">
            <v>33981.644500000002</v>
          </cell>
          <cell r="AA99" t="str">
            <v>Avg</v>
          </cell>
        </row>
        <row r="100">
          <cell r="B100" t="str">
            <v>LTM</v>
          </cell>
          <cell r="C100">
            <v>28672</v>
          </cell>
          <cell r="D100">
            <v>29564.959063390772</v>
          </cell>
          <cell r="E100">
            <v>39129</v>
          </cell>
          <cell r="F100">
            <v>13977</v>
          </cell>
          <cell r="G100">
            <v>4440.1059999999998</v>
          </cell>
          <cell r="H100">
            <v>12388.587</v>
          </cell>
          <cell r="I100">
            <v>34635.142</v>
          </cell>
          <cell r="K100">
            <v>162806.79406339076</v>
          </cell>
          <cell r="M100">
            <v>4921.259</v>
          </cell>
          <cell r="N100">
            <v>3658.9870000000001</v>
          </cell>
          <cell r="O100">
            <v>5009.116</v>
          </cell>
          <cell r="P100">
            <v>3344.125</v>
          </cell>
          <cell r="Q100">
            <v>24158</v>
          </cell>
          <cell r="R100">
            <v>14201.673000000001</v>
          </cell>
          <cell r="S100">
            <v>3287.1370000000002</v>
          </cell>
          <cell r="U100">
            <v>58580.297000000006</v>
          </cell>
          <cell r="X100" t="str">
            <v>% Chg Sales</v>
          </cell>
          <cell r="Y100" t="str">
            <v>GM</v>
          </cell>
          <cell r="Z100" t="str">
            <v>SG&amp;A</v>
          </cell>
          <cell r="AA100" t="str">
            <v>% Chg EPS</v>
          </cell>
          <cell r="AB100" t="str">
            <v>Y/Y Stock Return</v>
          </cell>
        </row>
        <row r="101">
          <cell r="B101" t="str">
            <v>FY1</v>
          </cell>
          <cell r="C101">
            <v>4.3222849199793689E-2</v>
          </cell>
          <cell r="D101">
            <v>-5.2735424999238778E-2</v>
          </cell>
          <cell r="E101">
            <v>-6.3459608302113168E-2</v>
          </cell>
          <cell r="F101">
            <v>-2.5871558510100034E-2</v>
          </cell>
          <cell r="G101">
            <v>-0.15055978898799161</v>
          </cell>
          <cell r="H101">
            <v>9.870750403746964E-2</v>
          </cell>
          <cell r="I101">
            <v>5.1592050593949557E-2</v>
          </cell>
          <cell r="K101">
            <v>-9.2860793391353891E-3</v>
          </cell>
          <cell r="M101">
            <v>-0.16119630832569265</v>
          </cell>
          <cell r="N101">
            <v>0.15716657972563697</v>
          </cell>
          <cell r="O101">
            <v>-1.2369922577250447E-2</v>
          </cell>
          <cell r="P101">
            <v>8.0404128485095816E-2</v>
          </cell>
          <cell r="Q101">
            <v>-1.7904211109190493E-2</v>
          </cell>
          <cell r="R101">
            <v>-6.1916819776748011E-2</v>
          </cell>
          <cell r="S101">
            <v>5.6907951718232486E-2</v>
          </cell>
          <cell r="U101">
            <v>-2.070623056639842E-2</v>
          </cell>
          <cell r="W101" t="str">
            <v>Dept Stores</v>
          </cell>
          <cell r="X101">
            <v>-3.5409089577638664E-2</v>
          </cell>
          <cell r="Y101">
            <v>157.63350500292728</v>
          </cell>
          <cell r="Z101">
            <v>140.95424200297856</v>
          </cell>
          <cell r="AA101">
            <v>-0.27193440625115911</v>
          </cell>
          <cell r="AB101">
            <v>0.55000000000000004</v>
          </cell>
        </row>
        <row r="102">
          <cell r="B102" t="str">
            <v>Revenue Growth</v>
          </cell>
          <cell r="C102">
            <v>6.2837928325937487E-2</v>
          </cell>
          <cell r="D102">
            <v>-2.2980410921283889E-3</v>
          </cell>
          <cell r="E102">
            <v>-1.7603372549021334E-2</v>
          </cell>
          <cell r="F102">
            <v>1.0432109608290219E-2</v>
          </cell>
          <cell r="G102">
            <v>1.6315182620068924E-2</v>
          </cell>
          <cell r="H102">
            <v>4.2812256217959366E-2</v>
          </cell>
          <cell r="I102">
            <v>6.590000000000007E-2</v>
          </cell>
          <cell r="K102">
            <v>2.4788718789983566E-2</v>
          </cell>
          <cell r="M102">
            <v>0.11024888457662718</v>
          </cell>
          <cell r="N102">
            <v>0.10712689289907362</v>
          </cell>
          <cell r="O102">
            <v>7.1732264728360029E-2</v>
          </cell>
          <cell r="P102">
            <v>7.0465151392704151E-2</v>
          </cell>
          <cell r="Q102">
            <v>-1.1298021641825362E-2</v>
          </cell>
          <cell r="R102">
            <v>7.6674865314052543E-3</v>
          </cell>
          <cell r="S102">
            <v>0.16454681980554886</v>
          </cell>
          <cell r="U102">
            <v>3.4225307407317107E-2</v>
          </cell>
          <cell r="W102" t="str">
            <v>Off-Price</v>
          </cell>
          <cell r="X102">
            <v>6.358301225388252E-2</v>
          </cell>
          <cell r="Y102">
            <v>182.45939169460684</v>
          </cell>
          <cell r="Z102">
            <v>-27.013836931441965</v>
          </cell>
          <cell r="AA102">
            <v>0.40811766300825936</v>
          </cell>
          <cell r="AB102">
            <v>0.61</v>
          </cell>
        </row>
        <row r="103">
          <cell r="B103" t="str">
            <v>FY(5)</v>
          </cell>
          <cell r="C103">
            <v>0.13796858888860597</v>
          </cell>
          <cell r="D103">
            <v>3.3289556329583636E-2</v>
          </cell>
          <cell r="E103">
            <v>2.361796003114458E-2</v>
          </cell>
          <cell r="F103">
            <v>0.10589026531765477</v>
          </cell>
          <cell r="G103">
            <v>0.13308331855712696</v>
          </cell>
          <cell r="H103">
            <v>8.1469261076732691E-2</v>
          </cell>
          <cell r="I103">
            <v>0.11896401378817933</v>
          </cell>
          <cell r="K103">
            <v>7.6116482616143122E-2</v>
          </cell>
          <cell r="M103">
            <v>0.18353633222450516</v>
          </cell>
          <cell r="N103">
            <v>0.31208870164437674</v>
          </cell>
          <cell r="O103">
            <v>0.31057114354105653</v>
          </cell>
          <cell r="P103">
            <v>0.37337193411959779</v>
          </cell>
          <cell r="Q103">
            <v>2.6065028944848523E-2</v>
          </cell>
          <cell r="R103">
            <v>5.3093847496517022E-2</v>
          </cell>
          <cell r="S103">
            <v>0.50949830494874737</v>
          </cell>
          <cell r="U103">
            <v>8.2992475537334798E-2</v>
          </cell>
          <cell r="W103" t="str">
            <v>Specialty</v>
          </cell>
          <cell r="X103">
            <v>-2.070623056639842E-2</v>
          </cell>
          <cell r="Y103">
            <v>78.241077287845656</v>
          </cell>
          <cell r="Z103">
            <v>115.90085133750428</v>
          </cell>
          <cell r="AA103">
            <v>-1.7056810027645159E-2</v>
          </cell>
          <cell r="AB103">
            <v>0.76</v>
          </cell>
        </row>
        <row r="104">
          <cell r="B104" t="str">
            <v>FY(4)</v>
          </cell>
          <cell r="C104">
            <v>0.14541865016622935</v>
          </cell>
          <cell r="D104">
            <v>3.7853669319186656E-2</v>
          </cell>
          <cell r="E104">
            <v>0.41924442190669375</v>
          </cell>
          <cell r="F104">
            <v>8.2900681814389365E-2</v>
          </cell>
          <cell r="G104">
            <v>4.1041179597807176E-3</v>
          </cell>
          <cell r="H104">
            <v>0.16608270302524297</v>
          </cell>
          <cell r="I104">
            <v>6.990050546877602E-2</v>
          </cell>
          <cell r="K104">
            <v>0.15209072648103805</v>
          </cell>
          <cell r="M104">
            <v>0.36952802567119236</v>
          </cell>
          <cell r="N104">
            <v>0.24904792721932512</v>
          </cell>
          <cell r="O104">
            <v>0.23427141977024735</v>
          </cell>
          <cell r="P104">
            <v>0.29820325394954028</v>
          </cell>
          <cell r="Q104">
            <v>-1.4999692629249384E-2</v>
          </cell>
          <cell r="R104">
            <v>2.7761409272991866E-2</v>
          </cell>
          <cell r="S104">
            <v>0.31936816671700385</v>
          </cell>
          <cell r="U104">
            <v>6.3988437742717785E-2</v>
          </cell>
        </row>
        <row r="105">
          <cell r="A105" t="str">
            <v>mstag:costOfSalesWithoutDepreciation</v>
          </cell>
          <cell r="B105" t="str">
            <v>FY(3)</v>
          </cell>
          <cell r="C105">
            <v>0.16289124173643121</v>
          </cell>
          <cell r="D105">
            <v>5.9745913423140395E-2</v>
          </cell>
          <cell r="E105">
            <v>0.20455560518088434</v>
          </cell>
          <cell r="F105">
            <v>0.10852364459071628</v>
          </cell>
          <cell r="G105">
            <v>5.8189569068934466E-2</v>
          </cell>
          <cell r="H105">
            <v>0.12661980887018864</v>
          </cell>
          <cell r="I105">
            <v>9.07933802470966E-2</v>
          </cell>
          <cell r="K105">
            <v>0.12747616679302443</v>
          </cell>
          <cell r="M105">
            <v>0.18640947573915412</v>
          </cell>
          <cell r="N105">
            <v>0.17342260992886604</v>
          </cell>
          <cell r="O105">
            <v>0.20346887675164371</v>
          </cell>
          <cell r="P105">
            <v>0.23211241239350389</v>
          </cell>
          <cell r="Q105">
            <v>-6.2410285215003247E-3</v>
          </cell>
          <cell r="R105">
            <v>0.10353710119447745</v>
          </cell>
          <cell r="S105">
            <v>0.12142583098542548</v>
          </cell>
          <cell r="U105">
            <v>7.5277972417783445E-2</v>
          </cell>
        </row>
        <row r="106">
          <cell r="B106" t="str">
            <v>FY(2)</v>
          </cell>
          <cell r="C106">
            <v>5.7002363958193802E-2</v>
          </cell>
          <cell r="D106">
            <v>-2.1181637743851178E-3</v>
          </cell>
          <cell r="E106">
            <v>-2.4360400444938812E-2</v>
          </cell>
          <cell r="F106">
            <v>3.1202595863094373E-2</v>
          </cell>
          <cell r="G106">
            <v>0.11041825467525013</v>
          </cell>
          <cell r="H106">
            <v>7.270856933580605E-2</v>
          </cell>
          <cell r="I106">
            <v>5.3554061483729987E-2</v>
          </cell>
          <cell r="K106">
            <v>2.1850737373846574E-2</v>
          </cell>
          <cell r="M106">
            <v>0.12650966330671687</v>
          </cell>
          <cell r="N106">
            <v>0.12027599617324558</v>
          </cell>
          <cell r="O106">
            <v>9.3404365645830545E-2</v>
          </cell>
          <cell r="P106">
            <v>0.283708542886415</v>
          </cell>
          <cell r="Q106">
            <v>-1.0048357721534895E-2</v>
          </cell>
          <cell r="R106">
            <v>-5.476319535113694E-2</v>
          </cell>
          <cell r="S106">
            <v>0.23107950653089637</v>
          </cell>
          <cell r="U106">
            <v>2.577259697867329E-2</v>
          </cell>
        </row>
        <row r="107">
          <cell r="B107" t="str">
            <v>FY(1)</v>
          </cell>
          <cell r="C107">
            <v>-5.147598900064887E-3</v>
          </cell>
          <cell r="D107">
            <v>-6.9204061506389691E-2</v>
          </cell>
          <cell r="E107">
            <v>-5.4003724394785846E-2</v>
          </cell>
          <cell r="F107">
            <v>-6.0809391770148324E-2</v>
          </cell>
          <cell r="G107">
            <v>-6.9761287103328296E-2</v>
          </cell>
          <cell r="H107">
            <v>8.5507761063540411E-2</v>
          </cell>
          <cell r="I107">
            <v>3.6144893041429649E-2</v>
          </cell>
          <cell r="K107">
            <v>-2.4947599716109714E-2</v>
          </cell>
          <cell r="M107">
            <v>-5.8275418038866378E-2</v>
          </cell>
          <cell r="N107">
            <v>0.1909747641302364</v>
          </cell>
          <cell r="O107">
            <v>-2.1797992353912776E-2</v>
          </cell>
          <cell r="P107">
            <v>0.21753514700343279</v>
          </cell>
          <cell r="Q107">
            <v>-7.8474909598426734E-2</v>
          </cell>
          <cell r="R107">
            <v>-0.10346635775899038</v>
          </cell>
          <cell r="S107">
            <v>0.21681289148411786</v>
          </cell>
          <cell r="U107">
            <v>-3.5639020228057872E-2</v>
          </cell>
          <cell r="X107" t="str">
            <v>2010 vs. 2009</v>
          </cell>
          <cell r="Y107" t="str">
            <v>2008 vs. 2007</v>
          </cell>
          <cell r="AE107" t="str">
            <v>2009 vs. 2008</v>
          </cell>
          <cell r="AL107" t="str">
            <v>2008 vs. 2007</v>
          </cell>
        </row>
        <row r="108">
          <cell r="B108" t="str">
            <v>FY0</v>
          </cell>
          <cell r="C108">
            <v>4.8087425025474362E-2</v>
          </cell>
          <cell r="D108">
            <v>-5.0252606220807183E-2</v>
          </cell>
          <cell r="E108">
            <v>-5.6363490278000916E-2</v>
          </cell>
          <cell r="F108">
            <v>-3.9802195151369402E-3</v>
          </cell>
          <cell r="G108">
            <v>-0.13539452228728877</v>
          </cell>
          <cell r="H108">
            <v>0.10762550725477826</v>
          </cell>
          <cell r="I108">
            <v>6.7840662164619481E-2</v>
          </cell>
          <cell r="K108">
            <v>-1.095917470150809E-5</v>
          </cell>
          <cell r="L108" t="str">
            <v>GM</v>
          </cell>
          <cell r="M108">
            <v>-0.1594210427670959</v>
          </cell>
          <cell r="N108">
            <v>0.1827463987598188</v>
          </cell>
          <cell r="O108">
            <v>5.8250471674914372E-4</v>
          </cell>
          <cell r="P108">
            <v>1.5628669527411265E-2</v>
          </cell>
          <cell r="Q108">
            <v>-2.2649043095139709E-2</v>
          </cell>
          <cell r="R108">
            <v>-4.5358626808516544E-2</v>
          </cell>
          <cell r="S108">
            <v>5.6249856918443086E-2</v>
          </cell>
          <cell r="T108" t="str">
            <v>SG&amp;A</v>
          </cell>
          <cell r="U108">
            <v>-2.1530051000093753E-2</v>
          </cell>
          <cell r="V108" t="str">
            <v>Y/Y Stock Return</v>
          </cell>
          <cell r="X108" t="str">
            <v>% Chg Sales</v>
          </cell>
          <cell r="Y108" t="str">
            <v>GM</v>
          </cell>
          <cell r="Z108" t="str">
            <v>SG&amp;A</v>
          </cell>
          <cell r="AA108" t="str">
            <v>% Chg NI</v>
          </cell>
          <cell r="AB108" t="str">
            <v>Y/Y Stock Return</v>
          </cell>
          <cell r="AC108" t="str">
            <v>Y/Y Stock Return</v>
          </cell>
          <cell r="AE108" t="str">
            <v>% Chg Sales</v>
          </cell>
          <cell r="AF108" t="str">
            <v>GM</v>
          </cell>
          <cell r="AG108" t="str">
            <v>SG&amp;A</v>
          </cell>
          <cell r="AH108" t="str">
            <v>% Chg NI</v>
          </cell>
          <cell r="AI108" t="str">
            <v>Y/Y Stock Return</v>
          </cell>
          <cell r="AL108" t="str">
            <v>% Chg Sales</v>
          </cell>
          <cell r="AM108" t="str">
            <v>GM</v>
          </cell>
          <cell r="AN108" t="str">
            <v>SG&amp;A</v>
          </cell>
          <cell r="AO108" t="str">
            <v>% Chg NI</v>
          </cell>
          <cell r="AP108" t="str">
            <v>Y/Y Stock Return</v>
          </cell>
        </row>
        <row r="109">
          <cell r="A109" t="str">
            <v>mstag:costOfSalesWithDepreciation</v>
          </cell>
          <cell r="B109" t="str">
            <v>FY1</v>
          </cell>
          <cell r="C109">
            <v>7.6911540806537948E-2</v>
          </cell>
          <cell r="D109">
            <v>1.4165050052032502E-2</v>
          </cell>
          <cell r="E109">
            <v>4.4939125238239175E-2</v>
          </cell>
          <cell r="F109">
            <v>8.1553241749334093E-2</v>
          </cell>
          <cell r="G109">
            <v>4.2572459349391245E-2</v>
          </cell>
          <cell r="H109">
            <v>8.6251364890475912E-2</v>
          </cell>
          <cell r="I109">
            <v>8.7128931474232285E-2</v>
          </cell>
          <cell r="K109">
            <v>6.003318145798775E-2</v>
          </cell>
          <cell r="L109">
            <v>57.00435109266364</v>
          </cell>
          <cell r="M109">
            <v>7.9942840110693636E-2</v>
          </cell>
          <cell r="N109">
            <v>8.975332030843397E-2</v>
          </cell>
          <cell r="O109">
            <v>-5.5028288935698999E-4</v>
          </cell>
          <cell r="P109">
            <v>7.6036142797213824E-2</v>
          </cell>
          <cell r="Q109">
            <v>-9.811269648707488E-3</v>
          </cell>
          <cell r="R109">
            <v>5.5396224187859611E-2</v>
          </cell>
          <cell r="S109">
            <v>0.16704157529874619</v>
          </cell>
          <cell r="T109">
            <v>137.26157467508881</v>
          </cell>
          <cell r="U109">
            <v>3.709518400765921E-2</v>
          </cell>
          <cell r="V109">
            <v>0.55000000000000004</v>
          </cell>
          <cell r="W109" t="str">
            <v>Dept Stores</v>
          </cell>
          <cell r="X109">
            <v>4.9620645014408327E-2</v>
          </cell>
          <cell r="Y109">
            <v>48.304398643647801</v>
          </cell>
          <cell r="Z109">
            <v>-60.114503171233572</v>
          </cell>
          <cell r="AA109">
            <v>0.30030313020429822</v>
          </cell>
          <cell r="AB109">
            <v>0.55000000000000004</v>
          </cell>
          <cell r="AC109">
            <v>0.55000000000000004</v>
          </cell>
          <cell r="AD109" t="str">
            <v>Dept Stores</v>
          </cell>
          <cell r="AE109">
            <v>-2.31697200211336E-2</v>
          </cell>
          <cell r="AF109">
            <v>114.94818829006145</v>
          </cell>
          <cell r="AG109">
            <v>141.27383060223303</v>
          </cell>
          <cell r="AH109">
            <v>-6.0407618341568714E-2</v>
          </cell>
          <cell r="AI109">
            <v>0.55000000000000004</v>
          </cell>
          <cell r="AK109" t="str">
            <v>Dept Stores</v>
          </cell>
          <cell r="AL109">
            <v>-4.7807622171526565E-2</v>
          </cell>
          <cell r="AM109">
            <v>-108.66064553076941</v>
          </cell>
          <cell r="AN109">
            <v>179.20699165687495</v>
          </cell>
          <cell r="AO109">
            <v>-0.37489659665696418</v>
          </cell>
          <cell r="AP109">
            <v>0.55000000000000004</v>
          </cell>
        </row>
        <row r="110">
          <cell r="B110" t="str">
            <v>FY2</v>
          </cell>
          <cell r="C110">
            <v>8.3329763086707365E-2</v>
          </cell>
          <cell r="D110">
            <v>2.2028749892138766E-2</v>
          </cell>
          <cell r="E110">
            <v>8.3992588816970137E-3</v>
          </cell>
          <cell r="F110">
            <v>4.7109858407398342E-2</v>
          </cell>
          <cell r="G110">
            <v>7.115516500828889E-2</v>
          </cell>
          <cell r="H110">
            <v>4.5796609799803267E-2</v>
          </cell>
          <cell r="I110">
            <v>6.5900000000002068E-2</v>
          </cell>
          <cell r="K110">
            <v>4.4602279402178313E-2</v>
          </cell>
          <cell r="L110" t="e">
            <v>#REF!</v>
          </cell>
          <cell r="M110">
            <v>8.0373458763930872E-2</v>
          </cell>
          <cell r="N110">
            <v>0.13183827384199343</v>
          </cell>
          <cell r="O110">
            <v>0.10585982137523331</v>
          </cell>
          <cell r="P110">
            <v>6.9413615422726949E-2</v>
          </cell>
          <cell r="Q110">
            <v>-3.9048794892450389E-2</v>
          </cell>
          <cell r="R110">
            <v>3.769460811235148E-2</v>
          </cell>
          <cell r="S110">
            <v>0.14088373583998814</v>
          </cell>
          <cell r="T110" t="e">
            <v>#REF!</v>
          </cell>
          <cell r="U110">
            <v>3.3221217686035365E-2</v>
          </cell>
          <cell r="V110">
            <v>0.76</v>
          </cell>
          <cell r="W110" t="str">
            <v>Specialty</v>
          </cell>
          <cell r="X110">
            <v>3.709518400765921E-2</v>
          </cell>
          <cell r="Y110">
            <v>94.718936271333448</v>
          </cell>
          <cell r="Z110">
            <v>-64.14043276116</v>
          </cell>
          <cell r="AA110">
            <v>0.15150826686137386</v>
          </cell>
          <cell r="AB110">
            <v>0.76</v>
          </cell>
          <cell r="AC110">
            <v>0.76</v>
          </cell>
          <cell r="AD110" t="str">
            <v>Specialty</v>
          </cell>
          <cell r="AE110">
            <v>-2.1530051000093753E-2</v>
          </cell>
          <cell r="AF110">
            <v>40.030898769839546</v>
          </cell>
          <cell r="AG110">
            <v>144.76387005440017</v>
          </cell>
          <cell r="AH110">
            <v>-3.4655015148206236E-2</v>
          </cell>
          <cell r="AI110">
            <v>0.76</v>
          </cell>
          <cell r="AK110" t="str">
            <v>Specialty</v>
          </cell>
          <cell r="AL110">
            <v>-3.5639020228057872E-2</v>
          </cell>
          <cell r="AM110">
            <v>0</v>
          </cell>
          <cell r="AN110">
            <v>62.129127811416666</v>
          </cell>
          <cell r="AO110">
            <v>-7.2139784257026163E-2</v>
          </cell>
          <cell r="AP110">
            <v>0.76</v>
          </cell>
        </row>
        <row r="111">
          <cell r="B111" t="str">
            <v>10-Yr. Compounded</v>
          </cell>
          <cell r="C111">
            <v>0.14189722963753648</v>
          </cell>
          <cell r="D111">
            <v>-5.749986698751286E-2</v>
          </cell>
          <cell r="E111">
            <v>3.8952780979517598E-2</v>
          </cell>
          <cell r="F111">
            <v>4.8371481992315113E-2</v>
          </cell>
          <cell r="G111" t="str">
            <v>NA</v>
          </cell>
          <cell r="H111">
            <v>0.11273610285110758</v>
          </cell>
          <cell r="I111">
            <v>8.7175298300664394E-2</v>
          </cell>
          <cell r="K111">
            <v>3.458566556673115E-2</v>
          </cell>
          <cell r="L111" t="e">
            <v>#REF!</v>
          </cell>
          <cell r="M111">
            <v>0.11006009826696972</v>
          </cell>
          <cell r="N111">
            <v>0.25390594587671522</v>
          </cell>
          <cell r="O111">
            <v>0.1364686551863461</v>
          </cell>
          <cell r="P111">
            <v>0.20325839306934901</v>
          </cell>
          <cell r="Q111">
            <v>2.0100638670918158E-2</v>
          </cell>
          <cell r="R111">
            <v>-1.226107165265633E-2</v>
          </cell>
          <cell r="S111">
            <v>0.21425276852939179</v>
          </cell>
          <cell r="T111" t="e">
            <v>#REF!</v>
          </cell>
          <cell r="U111">
            <v>4.0588417934013465E-2</v>
          </cell>
          <cell r="V111">
            <v>0.61</v>
          </cell>
          <cell r="W111" t="str">
            <v>Off-Price</v>
          </cell>
          <cell r="X111">
            <v>8.6899444196777198E-2</v>
          </cell>
          <cell r="Y111">
            <v>53.999551334442401</v>
          </cell>
          <cell r="Z111">
            <v>-26.34788368614624</v>
          </cell>
          <cell r="AA111">
            <v>0.16785798184105638</v>
          </cell>
          <cell r="AB111">
            <v>0.61</v>
          </cell>
          <cell r="AC111">
            <v>0.61</v>
          </cell>
          <cell r="AD111" t="str">
            <v>Off-Price</v>
          </cell>
          <cell r="AE111">
            <v>7.7965971744720308E-2</v>
          </cell>
          <cell r="AF111">
            <v>219.75066107665336</v>
          </cell>
          <cell r="AG111">
            <v>-20.315851925331586</v>
          </cell>
          <cell r="AH111">
            <v>0.39582196945041037</v>
          </cell>
          <cell r="AI111">
            <v>0.61</v>
          </cell>
          <cell r="AK111" t="str">
            <v>Off-Price</v>
          </cell>
          <cell r="AL111">
            <v>4.8276941147184615E-2</v>
          </cell>
          <cell r="AM111">
            <v>-216.83583107443198</v>
          </cell>
          <cell r="AN111">
            <v>17.44038581543747</v>
          </cell>
          <cell r="AO111">
            <v>1.9813150853928985E-2</v>
          </cell>
          <cell r="AP111">
            <v>0.61</v>
          </cell>
        </row>
        <row r="112">
          <cell r="B112" t="str">
            <v>5-Yr. Compounded</v>
          </cell>
          <cell r="C112">
            <v>6.6572177277572031E-2</v>
          </cell>
          <cell r="D112">
            <v>-1.0603386337421306E-2</v>
          </cell>
          <cell r="E112">
            <v>1.8545149635570857E-2</v>
          </cell>
          <cell r="F112">
            <v>2.9512711519935175E-2</v>
          </cell>
          <cell r="G112">
            <v>-2.9573372874684978E-3</v>
          </cell>
          <cell r="H112">
            <v>9.5577412654757277E-2</v>
          </cell>
          <cell r="I112">
            <v>6.6894468863567313E-2</v>
          </cell>
          <cell r="K112">
            <v>3.554147519379014E-2</v>
          </cell>
          <cell r="M112">
            <v>2.7009695794492306E-2</v>
          </cell>
          <cell r="N112">
            <v>0.150748388636057</v>
          </cell>
          <cell r="O112">
            <v>5.1796240644010894E-2</v>
          </cell>
          <cell r="P112">
            <v>0.1604649194425094</v>
          </cell>
          <cell r="Q112">
            <v>-2.5831357941118904E-2</v>
          </cell>
          <cell r="R112">
            <v>-1.1833814857948877E-2</v>
          </cell>
          <cell r="S112">
            <v>0.15671585931487209</v>
          </cell>
          <cell r="U112">
            <v>1.5396158985442998E-2</v>
          </cell>
        </row>
        <row r="113">
          <cell r="B113" t="str">
            <v>FY2</v>
          </cell>
          <cell r="C113">
            <v>6867.7744825180016</v>
          </cell>
          <cell r="D113">
            <v>7056.233101154201</v>
          </cell>
          <cell r="E113">
            <v>9364.9520392895975</v>
          </cell>
          <cell r="F113">
            <v>2869.9035458410099</v>
          </cell>
          <cell r="G113">
            <v>972.76116919244009</v>
          </cell>
          <cell r="H113">
            <v>1872.43915372229</v>
          </cell>
          <cell r="I113">
            <v>5542.9003991096997</v>
          </cell>
          <cell r="K113">
            <v>34546.963890827239</v>
          </cell>
          <cell r="M113">
            <v>2161.51789129181</v>
          </cell>
          <cell r="N113">
            <v>889.90785494402007</v>
          </cell>
          <cell r="O113">
            <v>1256.3330848648402</v>
          </cell>
          <cell r="P113">
            <v>2702.2788492776199</v>
          </cell>
          <cell r="Q113">
            <v>5740.2146486659603</v>
          </cell>
          <cell r="R113">
            <v>3045.5004101906898</v>
          </cell>
          <cell r="S113">
            <v>913.91993482507019</v>
          </cell>
          <cell r="U113">
            <v>16709.67267406001</v>
          </cell>
        </row>
        <row r="114">
          <cell r="A114" t="str">
            <v>mstag:costOfSalesWithoutDepreciation</v>
          </cell>
          <cell r="B114" t="str">
            <v>Gross Profit</v>
          </cell>
          <cell r="C114">
            <v>1822</v>
          </cell>
          <cell r="D114">
            <v>1996</v>
          </cell>
          <cell r="E114">
            <v>3122</v>
          </cell>
          <cell r="F114">
            <v>736</v>
          </cell>
          <cell r="G114">
            <v>173.73799999999994</v>
          </cell>
          <cell r="H114">
            <v>412.76600000000008</v>
          </cell>
          <cell r="I114">
            <v>1219.3129999999992</v>
          </cell>
          <cell r="K114">
            <v>9481.8169999999991</v>
          </cell>
          <cell r="M114">
            <v>642.61400000000003</v>
          </cell>
          <cell r="N114">
            <v>243.51700000000005</v>
          </cell>
          <cell r="O114">
            <v>311.62400000000002</v>
          </cell>
          <cell r="P114">
            <v>558.19299999999998</v>
          </cell>
          <cell r="Q114">
            <v>1389</v>
          </cell>
          <cell r="R114">
            <v>1024.6599999999999</v>
          </cell>
          <cell r="S114">
            <v>172.892</v>
          </cell>
          <cell r="U114">
            <v>4342.5</v>
          </cell>
        </row>
        <row r="115">
          <cell r="B115" t="str">
            <v>FY(5)</v>
          </cell>
          <cell r="C115">
            <v>4113.6750000000011</v>
          </cell>
          <cell r="D115">
            <v>6774</v>
          </cell>
          <cell r="E115">
            <v>6430</v>
          </cell>
          <cell r="F115">
            <v>2572.0249999999996</v>
          </cell>
          <cell r="G115">
            <v>1085.6799999999998</v>
          </cell>
          <cell r="H115">
            <v>953.38599999999997</v>
          </cell>
          <cell r="I115">
            <v>3566.2219999999998</v>
          </cell>
          <cell r="K115">
            <v>25494.988000000005</v>
          </cell>
          <cell r="M115">
            <v>1341.2249999999999</v>
          </cell>
          <cell r="N115">
            <v>324.60699999999997</v>
          </cell>
          <cell r="O115">
            <v>877.80799999999999</v>
          </cell>
          <cell r="P115">
            <v>955.01900000000001</v>
          </cell>
          <cell r="Q115">
            <v>6381</v>
          </cell>
          <cell r="R115">
            <v>3455.0739999999996</v>
          </cell>
          <cell r="S115">
            <v>338.75</v>
          </cell>
          <cell r="U115">
            <v>13673.483</v>
          </cell>
        </row>
        <row r="116">
          <cell r="B116" t="str">
            <v>FY(4)</v>
          </cell>
          <cell r="C116">
            <v>4760.6000000000004</v>
          </cell>
          <cell r="D116">
            <v>7190</v>
          </cell>
          <cell r="E116">
            <v>9118</v>
          </cell>
          <cell r="F116">
            <v>2834.5889999999999</v>
          </cell>
          <cell r="G116">
            <v>1023.5</v>
          </cell>
          <cell r="H116">
            <v>1091.5880000000002</v>
          </cell>
          <cell r="I116">
            <v>3748.271999999999</v>
          </cell>
          <cell r="K116">
            <v>29766.548999999999</v>
          </cell>
          <cell r="M116">
            <v>1854.1850000000002</v>
          </cell>
          <cell r="N116">
            <v>362.47500000000002</v>
          </cell>
          <cell r="O116">
            <v>1075.961</v>
          </cell>
          <cell r="P116">
            <v>1267.5509999999999</v>
          </cell>
          <cell r="Q116">
            <v>5870</v>
          </cell>
          <cell r="R116">
            <v>3450.1480000000001</v>
          </cell>
          <cell r="S116">
            <v>448.60599999999999</v>
          </cell>
          <cell r="U116">
            <v>14328.925999999999</v>
          </cell>
        </row>
        <row r="117">
          <cell r="B117" t="str">
            <v>FY(3)</v>
          </cell>
          <cell r="C117">
            <v>5667.5829999999987</v>
          </cell>
          <cell r="D117">
            <v>7809</v>
          </cell>
          <cell r="E117">
            <v>10951</v>
          </cell>
          <cell r="F117">
            <v>3206.7490000000007</v>
          </cell>
          <cell r="G117">
            <v>1135.7090000000001</v>
          </cell>
          <cell r="H117">
            <v>1252.683</v>
          </cell>
          <cell r="I117">
            <v>4190.9339999999993</v>
          </cell>
          <cell r="K117">
            <v>34213.657999999996</v>
          </cell>
          <cell r="M117">
            <v>2200.6669999999999</v>
          </cell>
          <cell r="N117">
            <v>448.01700000000005</v>
          </cell>
          <cell r="O117">
            <v>1340.4290000000001</v>
          </cell>
          <cell r="P117">
            <v>1581.571412546203</v>
          </cell>
          <cell r="Q117">
            <v>5657</v>
          </cell>
          <cell r="R117">
            <v>4013.5119999999997</v>
          </cell>
          <cell r="S117">
            <v>451.92100000000005</v>
          </cell>
          <cell r="U117">
            <v>15693.117412546204</v>
          </cell>
        </row>
        <row r="118">
          <cell r="A118" t="str">
            <v>mstag:costOfSalesWithDepreciation</v>
          </cell>
          <cell r="B118" t="str">
            <v>FY(2)</v>
          </cell>
          <cell r="C118">
            <v>6014.1</v>
          </cell>
          <cell r="D118">
            <v>7665</v>
          </cell>
          <cell r="E118">
            <v>10636</v>
          </cell>
          <cell r="F118">
            <v>3301.6360000000004</v>
          </cell>
          <cell r="G118">
            <v>1273.6319999999998</v>
          </cell>
          <cell r="H118">
            <v>1356.9920000000002</v>
          </cell>
          <cell r="I118">
            <v>4491.1141962548991</v>
          </cell>
          <cell r="K118">
            <v>34738.474196254901</v>
          </cell>
          <cell r="M118">
            <v>2488.1660000000002</v>
          </cell>
          <cell r="N118">
            <v>545.50299999999993</v>
          </cell>
          <cell r="O118">
            <v>1423.1379999999999</v>
          </cell>
          <cell r="P118">
            <v>2022.9860000000001</v>
          </cell>
          <cell r="Q118">
            <v>5694</v>
          </cell>
          <cell r="R118">
            <v>3463.5389999999998</v>
          </cell>
          <cell r="S118">
            <v>576.77199999999993</v>
          </cell>
          <cell r="U118">
            <v>16214.103999999999</v>
          </cell>
        </row>
        <row r="119">
          <cell r="B119" t="str">
            <v>FY(1)</v>
          </cell>
          <cell r="C119">
            <v>6055.2870000000021</v>
          </cell>
          <cell r="D119">
            <v>6916</v>
          </cell>
          <cell r="E119">
            <v>9883</v>
          </cell>
          <cell r="F119">
            <v>2861.5169999999998</v>
          </cell>
          <cell r="G119">
            <v>974.39399999999978</v>
          </cell>
          <cell r="H119">
            <v>1529.5630000000001</v>
          </cell>
          <cell r="I119">
            <v>4577.4170000000013</v>
          </cell>
          <cell r="K119">
            <v>32797.178000000007</v>
          </cell>
          <cell r="M119">
            <v>2331.0949999999998</v>
          </cell>
          <cell r="N119">
            <v>654.18200000000002</v>
          </cell>
          <cell r="O119">
            <v>1174.0509999999999</v>
          </cell>
          <cell r="P119">
            <v>2407.1030000000001</v>
          </cell>
          <cell r="Q119">
            <v>5447</v>
          </cell>
          <cell r="R119">
            <v>3006.3959999999988</v>
          </cell>
          <cell r="S119">
            <v>713.47799999999984</v>
          </cell>
          <cell r="U119">
            <v>15733.304999999998</v>
          </cell>
        </row>
        <row r="120">
          <cell r="B120" t="str">
            <v>FY0</v>
          </cell>
          <cell r="C120">
            <v>6497</v>
          </cell>
          <cell r="D120">
            <v>6910</v>
          </cell>
          <cell r="E120">
            <v>9516</v>
          </cell>
          <cell r="F120">
            <v>2930</v>
          </cell>
          <cell r="G120">
            <v>957.61300000000006</v>
          </cell>
          <cell r="H120">
            <v>1856.9349999999995</v>
          </cell>
          <cell r="I120">
            <v>5320.0149999999994</v>
          </cell>
          <cell r="K120">
            <v>33987.563000000002</v>
          </cell>
          <cell r="M120">
            <v>1883.596</v>
          </cell>
          <cell r="N120">
            <v>849.54700000000003</v>
          </cell>
          <cell r="O120">
            <v>1158.087</v>
          </cell>
          <cell r="P120">
            <v>2322.6099999999997</v>
          </cell>
          <cell r="Q120">
            <v>5724</v>
          </cell>
          <cell r="R120">
            <v>3028.0910000000003</v>
          </cell>
          <cell r="S120">
            <v>786.14499999999998</v>
          </cell>
          <cell r="U120">
            <v>15752.076000000001</v>
          </cell>
        </row>
        <row r="121">
          <cell r="B121" t="str">
            <v>FY1</v>
          </cell>
          <cell r="C121">
            <v>7101.2509991962015</v>
          </cell>
          <cell r="D121">
            <v>7052.195963943901</v>
          </cell>
          <cell r="E121">
            <v>9999.5034685626979</v>
          </cell>
          <cell r="F121">
            <v>3248.4832725953502</v>
          </cell>
          <cell r="G121">
            <v>1042.28930686739</v>
          </cell>
          <cell r="H121">
            <v>2065.3716729641901</v>
          </cell>
          <cell r="I121">
            <v>5885.310704664098</v>
          </cell>
          <cell r="J121">
            <v>0.33274507332440401</v>
          </cell>
          <cell r="K121">
            <v>36394.405388793828</v>
          </cell>
          <cell r="M121">
            <v>2032.8679729421399</v>
          </cell>
          <cell r="N121">
            <v>929.96868914735001</v>
          </cell>
          <cell r="O121">
            <v>1266.9787359654401</v>
          </cell>
          <cell r="P121">
            <v>2515.6925399197899</v>
          </cell>
          <cell r="Q121">
            <v>5761.9927510824509</v>
          </cell>
          <cell r="R121">
            <v>3280.7318835615306</v>
          </cell>
          <cell r="S121">
            <v>934.6473444801602</v>
          </cell>
          <cell r="T121">
            <v>0.45872835288662239</v>
          </cell>
          <cell r="U121">
            <v>16722.87991709886</v>
          </cell>
        </row>
        <row r="122">
          <cell r="B122" t="str">
            <v>FY2</v>
          </cell>
          <cell r="C122">
            <v>7753.115220443502</v>
          </cell>
          <cell r="D122">
            <v>7243.9438851044997</v>
          </cell>
          <cell r="E122">
            <v>10108.242618236802</v>
          </cell>
          <cell r="F122">
            <v>3410.8710864067007</v>
          </cell>
          <cell r="G122">
            <v>1152.43096073528</v>
          </cell>
          <cell r="H122">
            <v>2159.9586935625002</v>
          </cell>
          <cell r="I122">
            <v>6237.8881975639015</v>
          </cell>
          <cell r="J122">
            <v>0.33578685815822862</v>
          </cell>
          <cell r="K122">
            <v>38066.45066205319</v>
          </cell>
          <cell r="M122">
            <v>2223.0728258744202</v>
          </cell>
          <cell r="N122">
            <v>1021.1927511121598</v>
          </cell>
          <cell r="O122">
            <v>1425.8441936296099</v>
          </cell>
          <cell r="P122">
            <v>2690.3158544076095</v>
          </cell>
          <cell r="Q122">
            <v>5577.5201963543695</v>
          </cell>
          <cell r="R122">
            <v>3451.6686484513293</v>
          </cell>
          <cell r="S122">
            <v>1074.0643162897602</v>
          </cell>
          <cell r="T122">
            <v>0.48614174132266724</v>
          </cell>
          <cell r="U122">
            <v>17463.678786119261</v>
          </cell>
        </row>
        <row r="123">
          <cell r="B123" t="str">
            <v>FQ(3)</v>
          </cell>
          <cell r="C123">
            <v>1368</v>
          </cell>
          <cell r="D123">
            <v>1574</v>
          </cell>
          <cell r="E123">
            <v>1980</v>
          </cell>
          <cell r="F123">
            <v>599</v>
          </cell>
          <cell r="G123">
            <v>238.40799999999996</v>
          </cell>
          <cell r="H123">
            <v>422.88999999999987</v>
          </cell>
          <cell r="I123">
            <v>1080.8780000000002</v>
          </cell>
          <cell r="J123">
            <v>0.3337732364602749</v>
          </cell>
          <cell r="K123">
            <v>7263.1760000000013</v>
          </cell>
          <cell r="M123">
            <v>381.45200000000006</v>
          </cell>
          <cell r="N123">
            <v>150.29000000000002</v>
          </cell>
          <cell r="O123">
            <v>220.93900000000002</v>
          </cell>
          <cell r="P123">
            <v>525.06299999999999</v>
          </cell>
          <cell r="Q123">
            <v>1239</v>
          </cell>
          <cell r="R123">
            <v>548.35599999999999</v>
          </cell>
          <cell r="S123">
            <v>143.30499999999998</v>
          </cell>
          <cell r="T123">
            <v>0.47718374728426216</v>
          </cell>
          <cell r="U123">
            <v>3208.4050000000002</v>
          </cell>
        </row>
        <row r="124">
          <cell r="B124" t="str">
            <v>FQ(2)</v>
          </cell>
          <cell r="C124">
            <v>1520</v>
          </cell>
          <cell r="D124">
            <v>1520</v>
          </cell>
          <cell r="E124">
            <v>2143</v>
          </cell>
          <cell r="F124">
            <v>727</v>
          </cell>
          <cell r="G124">
            <v>168.17600000000004</v>
          </cell>
          <cell r="H124">
            <v>457.5</v>
          </cell>
          <cell r="I124">
            <v>1213.2260000000001</v>
          </cell>
          <cell r="J124">
            <v>0.34123040841955765</v>
          </cell>
          <cell r="K124">
            <v>7748.902</v>
          </cell>
          <cell r="M124">
            <v>424.51499999999999</v>
          </cell>
          <cell r="N124">
            <v>165.69200000000001</v>
          </cell>
          <cell r="O124">
            <v>248.83300000000003</v>
          </cell>
          <cell r="P124">
            <v>547.31799999999998</v>
          </cell>
          <cell r="Q124">
            <v>1288</v>
          </cell>
          <cell r="R124">
            <v>668.00900000000001</v>
          </cell>
          <cell r="S124">
            <v>187.09099999999995</v>
          </cell>
          <cell r="T124">
            <v>0.47674238848644357</v>
          </cell>
          <cell r="U124">
            <v>3529.4580000000001</v>
          </cell>
        </row>
        <row r="125">
          <cell r="B125" t="str">
            <v>FQ(1)</v>
          </cell>
          <cell r="C125">
            <v>1539</v>
          </cell>
          <cell r="D125">
            <v>1695.9999999999995</v>
          </cell>
          <cell r="E125">
            <v>2121</v>
          </cell>
          <cell r="F125">
            <v>658</v>
          </cell>
          <cell r="G125">
            <v>254.63499999999999</v>
          </cell>
          <cell r="H125">
            <v>459.28699999999981</v>
          </cell>
          <cell r="I125">
            <v>1442.7669999999998</v>
          </cell>
          <cell r="J125">
            <v>0.34162562690306364</v>
          </cell>
          <cell r="K125">
            <v>8170.6890000000003</v>
          </cell>
          <cell r="M125">
            <v>483.08699999999999</v>
          </cell>
          <cell r="N125">
            <v>222.91699999999997</v>
          </cell>
          <cell r="O125">
            <v>300.12799999999999</v>
          </cell>
          <cell r="P125">
            <v>550.178</v>
          </cell>
          <cell r="Q125">
            <v>1524</v>
          </cell>
          <cell r="R125">
            <v>562.74800000000005</v>
          </cell>
          <cell r="S125">
            <v>210.08799999999997</v>
          </cell>
          <cell r="T125">
            <v>0.47485611668511796</v>
          </cell>
          <cell r="U125">
            <v>3853.1459999999997</v>
          </cell>
        </row>
        <row r="126">
          <cell r="B126" t="str">
            <v>Last Reported Q</v>
          </cell>
          <cell r="C126">
            <v>6497</v>
          </cell>
          <cell r="D126">
            <v>6910</v>
          </cell>
          <cell r="E126">
            <v>9516</v>
          </cell>
          <cell r="F126">
            <v>2930</v>
          </cell>
          <cell r="G126">
            <v>957.61300000000006</v>
          </cell>
          <cell r="H126">
            <v>1856.9349999999995</v>
          </cell>
          <cell r="I126">
            <v>5320.0149999999994</v>
          </cell>
          <cell r="J126">
            <v>0.32606283340050934</v>
          </cell>
          <cell r="K126">
            <v>33987.563000000002</v>
          </cell>
          <cell r="M126">
            <v>1883.596</v>
          </cell>
          <cell r="N126">
            <v>849.54700000000003</v>
          </cell>
          <cell r="O126">
            <v>1158.087</v>
          </cell>
          <cell r="P126">
            <v>770.93900000000008</v>
          </cell>
          <cell r="Q126">
            <v>5724</v>
          </cell>
          <cell r="R126">
            <v>3028.0910000000003</v>
          </cell>
          <cell r="S126">
            <v>786.14499999999998</v>
          </cell>
          <cell r="T126">
            <v>0.46031035398215553</v>
          </cell>
          <cell r="U126">
            <v>14200.405000000001</v>
          </cell>
        </row>
        <row r="127">
          <cell r="B127" t="str">
            <v>LTM</v>
          </cell>
          <cell r="C127">
            <v>10924</v>
          </cell>
          <cell r="D127">
            <v>11700</v>
          </cell>
          <cell r="E127">
            <v>15760</v>
          </cell>
          <cell r="F127">
            <v>4914</v>
          </cell>
          <cell r="G127">
            <v>1618.8320000000001</v>
          </cell>
          <cell r="H127">
            <v>3196.6119999999992</v>
          </cell>
          <cell r="I127">
            <v>9056.8859999999986</v>
          </cell>
          <cell r="J127">
            <v>0.34253549494913577</v>
          </cell>
          <cell r="K127">
            <v>57170.33</v>
          </cell>
          <cell r="M127">
            <v>3172.65</v>
          </cell>
          <cell r="N127">
            <v>1388.4459999999999</v>
          </cell>
          <cell r="O127">
            <v>1927.9870000000001</v>
          </cell>
          <cell r="P127">
            <v>2393.4979999999996</v>
          </cell>
          <cell r="Q127">
            <v>9775</v>
          </cell>
          <cell r="R127">
            <v>4807.2040000000006</v>
          </cell>
          <cell r="S127">
            <v>1326.6289999999999</v>
          </cell>
          <cell r="T127">
            <v>0.4681344617109402</v>
          </cell>
          <cell r="U127">
            <v>24791.414000000001</v>
          </cell>
        </row>
        <row r="128">
          <cell r="B128" t="str">
            <v>FY2</v>
          </cell>
          <cell r="C128">
            <v>0.37793932721135309</v>
          </cell>
          <cell r="D128">
            <v>0.40387478302889063</v>
          </cell>
          <cell r="E128">
            <v>0.40891438601937197</v>
          </cell>
          <cell r="F128">
            <v>0.3516713781024392</v>
          </cell>
          <cell r="G128">
            <v>0.37153492972519664</v>
          </cell>
          <cell r="H128">
            <v>0.2519609544743126</v>
          </cell>
          <cell r="I128">
            <v>0.26027414700690904</v>
          </cell>
          <cell r="J128">
            <v>0.34659570079549618</v>
          </cell>
          <cell r="K128">
            <v>0.35233383234608834</v>
          </cell>
          <cell r="M128">
            <v>0.65560315511496348</v>
          </cell>
          <cell r="N128">
            <v>0.36839869294545086</v>
          </cell>
          <cell r="O128">
            <v>0.39712283400869647</v>
          </cell>
          <cell r="P128">
            <v>0.72327915689366484</v>
          </cell>
          <cell r="Q128">
            <v>0.40697041666330491</v>
          </cell>
          <cell r="R128">
            <v>0.35628857516161133</v>
          </cell>
          <cell r="S128">
            <v>0.40473278102974558</v>
          </cell>
          <cell r="T128">
            <v>0.47319937311677679</v>
          </cell>
          <cell r="U128">
            <v>0.44531795350216397</v>
          </cell>
        </row>
        <row r="129">
          <cell r="B129" t="str">
            <v>Gross Margin</v>
          </cell>
          <cell r="C129">
            <v>0.34804202483285579</v>
          </cell>
          <cell r="D129">
            <v>0.34657460701020493</v>
          </cell>
          <cell r="E129">
            <v>0.39349634484497104</v>
          </cell>
          <cell r="F129">
            <v>0.31986093003042154</v>
          </cell>
          <cell r="G129">
            <v>0.20794369872113266</v>
          </cell>
          <cell r="H129">
            <v>0.23802730158144345</v>
          </cell>
          <cell r="I129">
            <v>0.22663705094307168</v>
          </cell>
          <cell r="J129">
            <v>0.29722599399487154</v>
          </cell>
          <cell r="K129">
            <v>0.32495497751431268</v>
          </cell>
          <cell r="M129">
            <v>0.6439308385648651</v>
          </cell>
          <cell r="N129">
            <v>0.35291449341103193</v>
          </cell>
          <cell r="O129">
            <v>0.34406978028044605</v>
          </cell>
          <cell r="P129">
            <v>0.74175613165738463</v>
          </cell>
          <cell r="Q129">
            <v>0.34027437530622245</v>
          </cell>
          <cell r="R129">
            <v>0.3425693941564012</v>
          </cell>
          <cell r="S129">
            <v>0.34028633398808844</v>
          </cell>
          <cell r="T129">
            <v>0.44368590676634856</v>
          </cell>
          <cell r="U129">
            <v>1.0309375029018297E-2</v>
          </cell>
        </row>
        <row r="130">
          <cell r="B130" t="str">
            <v>FY(5)</v>
          </cell>
          <cell r="C130">
            <v>0.35157511943729869</v>
          </cell>
          <cell r="D130">
            <v>0.37433687002652521</v>
          </cell>
          <cell r="E130">
            <v>0.40758113590263689</v>
          </cell>
          <cell r="F130">
            <v>0.36066134439275915</v>
          </cell>
          <cell r="G130">
            <v>0.39237044615838867</v>
          </cell>
          <cell r="H130">
            <v>0.22485571899933726</v>
          </cell>
          <cell r="I130">
            <v>0.23912737219065458</v>
          </cell>
          <cell r="J130">
            <v>0.33578685815822862</v>
          </cell>
          <cell r="K130">
            <v>0.34164338087983182</v>
          </cell>
          <cell r="M130">
            <v>0.66356083896432605</v>
          </cell>
          <cell r="N130">
            <v>0.33665521690250688</v>
          </cell>
          <cell r="O130">
            <v>0.46661113594696269</v>
          </cell>
          <cell r="P130">
            <v>0.75062406665094716</v>
          </cell>
          <cell r="Q130">
            <v>0.39226655191491977</v>
          </cell>
          <cell r="R130">
            <v>0.3672363331488156</v>
          </cell>
          <cell r="S130">
            <v>0.40924192086982786</v>
          </cell>
          <cell r="T130">
            <v>0.48374229491404369</v>
          </cell>
          <cell r="U130">
            <v>0.41889143117735578</v>
          </cell>
        </row>
        <row r="131">
          <cell r="B131" t="str">
            <v>FY(4)</v>
          </cell>
          <cell r="C131">
            <v>0.35521033860112522</v>
          </cell>
          <cell r="D131">
            <v>0.3828337149246579</v>
          </cell>
          <cell r="E131">
            <v>0.4072353729343457</v>
          </cell>
          <cell r="F131">
            <v>0.36705055232607825</v>
          </cell>
          <cell r="G131">
            <v>0.36838636693297744</v>
          </cell>
          <cell r="H131">
            <v>0.22078245953473774</v>
          </cell>
          <cell r="I131">
            <v>0.23491384996800246</v>
          </cell>
          <cell r="J131">
            <v>0.3337732364602749</v>
          </cell>
          <cell r="K131">
            <v>0.34622626093456549</v>
          </cell>
          <cell r="M131">
            <v>0.66982483696775197</v>
          </cell>
          <cell r="N131">
            <v>0.30097222810369439</v>
          </cell>
          <cell r="O131">
            <v>0.46338441369841538</v>
          </cell>
          <cell r="P131">
            <v>0.76742019151131191</v>
          </cell>
          <cell r="Q131">
            <v>0.36634837421207017</v>
          </cell>
          <cell r="R131">
            <v>0.35680728062464451</v>
          </cell>
          <cell r="S131">
            <v>0.41077110576161496</v>
          </cell>
          <cell r="T131">
            <v>0.47650406155421482</v>
          </cell>
          <cell r="U131">
            <v>0.41257133728970818</v>
          </cell>
        </row>
        <row r="132">
          <cell r="B132" t="str">
            <v>FY(3)</v>
          </cell>
          <cell r="C132">
            <v>0.3636492487376406</v>
          </cell>
          <cell r="D132">
            <v>0.39235117686260546</v>
          </cell>
          <cell r="E132">
            <v>0.40604375231738971</v>
          </cell>
          <cell r="F132">
            <v>0.37458966546886718</v>
          </cell>
          <cell r="G132">
            <v>0.38629518405253327</v>
          </cell>
          <cell r="H132">
            <v>0.2248897258810709</v>
          </cell>
          <cell r="I132">
            <v>0.24079410561679623</v>
          </cell>
          <cell r="J132">
            <v>0.34123040841955765</v>
          </cell>
          <cell r="K132">
            <v>0.35295851028933234</v>
          </cell>
          <cell r="M132">
            <v>0.67008193227159563</v>
          </cell>
          <cell r="N132">
            <v>0.31702127358463866</v>
          </cell>
          <cell r="O132">
            <v>0.47968246595255026</v>
          </cell>
          <cell r="P132">
            <v>0.77715250839458938</v>
          </cell>
          <cell r="Q132">
            <v>0.35527224769201782</v>
          </cell>
          <cell r="R132">
            <v>0.37612621984111183</v>
          </cell>
          <cell r="S132">
            <v>0.36900034865197429</v>
          </cell>
          <cell r="T132">
            <v>0.47776242805549679</v>
          </cell>
          <cell r="U132">
            <v>0.42021726118309527</v>
          </cell>
        </row>
        <row r="133">
          <cell r="B133" t="str">
            <v>FY(2)</v>
          </cell>
          <cell r="C133">
            <v>0.36507281302925271</v>
          </cell>
          <cell r="D133">
            <v>0.38593358921258974</v>
          </cell>
          <cell r="E133">
            <v>0.40421084634971305</v>
          </cell>
          <cell r="F133">
            <v>0.37400380207376371</v>
          </cell>
          <cell r="G133">
            <v>0.39013022290713839</v>
          </cell>
          <cell r="H133">
            <v>0.22710357389829852</v>
          </cell>
          <cell r="I133">
            <v>0.24492454085068946</v>
          </cell>
          <cell r="J133">
            <v>0.34162562690306364</v>
          </cell>
          <cell r="K133">
            <v>0.35070941460660748</v>
          </cell>
          <cell r="M133">
            <v>0.67253982532430046</v>
          </cell>
          <cell r="N133">
            <v>0.34456092567946972</v>
          </cell>
          <cell r="O133">
            <v>0.46577507045678512</v>
          </cell>
          <cell r="P133">
            <v>0.77436175001607688</v>
          </cell>
          <cell r="Q133">
            <v>0.36122565501490833</v>
          </cell>
          <cell r="R133">
            <v>0.34339067881529911</v>
          </cell>
          <cell r="S133">
            <v>0.38254481589468625</v>
          </cell>
          <cell r="T133">
            <v>0.47777124588593223</v>
          </cell>
          <cell r="U133">
            <v>0.42325931546298057</v>
          </cell>
        </row>
        <row r="134">
          <cell r="B134" t="str">
            <v>FY(1)</v>
          </cell>
          <cell r="C134">
            <v>0.36947488849160109</v>
          </cell>
          <cell r="D134">
            <v>0.37411138446832803</v>
          </cell>
          <cell r="E134">
            <v>0.39703519202956772</v>
          </cell>
          <cell r="F134">
            <v>0.34513532746351461</v>
          </cell>
          <cell r="G134">
            <v>0.32085279404442962</v>
          </cell>
          <cell r="H134">
            <v>0.23582026225463254</v>
          </cell>
          <cell r="I134">
            <v>0.24092296088766529</v>
          </cell>
          <cell r="J134">
            <v>0.32619325851996273</v>
          </cell>
          <cell r="K134">
            <v>0.33958242581420323</v>
          </cell>
          <cell r="M134">
            <v>0.66907487449258152</v>
          </cell>
          <cell r="N134">
            <v>0.34694841930469456</v>
          </cell>
          <cell r="O134">
            <v>0.3928146152808954</v>
          </cell>
          <cell r="P134">
            <v>0.75677047948019927</v>
          </cell>
          <cell r="Q134">
            <v>0.37498278948093072</v>
          </cell>
          <cell r="R134">
            <v>0.33246659377546589</v>
          </cell>
          <cell r="S134">
            <v>0.38889730723235022</v>
          </cell>
          <cell r="T134">
            <v>0.46599358272101676</v>
          </cell>
          <cell r="U134">
            <v>0.42588652884466527</v>
          </cell>
        </row>
        <row r="135">
          <cell r="B135" t="str">
            <v>FY0</v>
          </cell>
          <cell r="C135">
            <v>0.37823834196891193</v>
          </cell>
          <cell r="D135">
            <v>0.39356446279921992</v>
          </cell>
          <cell r="E135">
            <v>0.4051258035676274</v>
          </cell>
          <cell r="F135">
            <v>0.3548074594332768</v>
          </cell>
          <cell r="G135">
            <v>0.36470630800811971</v>
          </cell>
          <cell r="H135">
            <v>0.25847437986596439</v>
          </cell>
          <cell r="I135">
            <v>0.26221897549166412</v>
          </cell>
          <cell r="J135">
            <v>0.34530510444782631</v>
          </cell>
          <cell r="K135">
            <v>0.3519115449085542</v>
          </cell>
          <cell r="M135">
            <v>0.6431673566946946</v>
          </cell>
          <cell r="N135">
            <v>0.38094484340423435</v>
          </cell>
          <cell r="O135">
            <v>0.38724779790259878</v>
          </cell>
          <cell r="P135">
            <v>0.71897013064360948</v>
          </cell>
          <cell r="Q135">
            <v>0.40318377121927168</v>
          </cell>
          <cell r="R135">
            <v>0.35077650699768259</v>
          </cell>
          <cell r="S135">
            <v>0.40568630132391376</v>
          </cell>
          <cell r="T135">
            <v>0.46999667259800076</v>
          </cell>
          <cell r="U135">
            <v>0.43577694287156998</v>
          </cell>
        </row>
        <row r="136">
          <cell r="A136" t="str">
            <v>Gross Margin Y/Y bps</v>
          </cell>
          <cell r="B136" t="str">
            <v>FY1</v>
          </cell>
          <cell r="C136">
            <v>0.38389063407855639</v>
          </cell>
          <cell r="D136">
            <v>0.39605323146481297</v>
          </cell>
          <cell r="E136">
            <v>0.40740177504153008</v>
          </cell>
          <cell r="F136">
            <v>0.36371218664159571</v>
          </cell>
          <cell r="G136">
            <v>0.38074593530189327</v>
          </cell>
          <cell r="H136">
            <v>0.26466022730826666</v>
          </cell>
          <cell r="I136">
            <v>0.26683303831625033</v>
          </cell>
          <cell r="J136">
            <v>0.351899575450415</v>
          </cell>
          <cell r="K136">
            <v>0.35549103872088045</v>
          </cell>
          <cell r="M136">
            <v>0.64275377929795485</v>
          </cell>
          <cell r="N136">
            <v>0.38266153944036096</v>
          </cell>
          <cell r="O136">
            <v>0.42389290445183864</v>
          </cell>
          <cell r="P136">
            <v>0.72371114291347305</v>
          </cell>
          <cell r="Q136">
            <v>0.40988133878454813</v>
          </cell>
          <cell r="R136">
            <v>0.36009474193507907</v>
          </cell>
          <cell r="S136">
            <v>0.41328451675268396</v>
          </cell>
          <cell r="T136">
            <v>0.47946856622513412</v>
          </cell>
          <cell r="U136">
            <v>0.44608631790058828</v>
          </cell>
        </row>
        <row r="137">
          <cell r="B137" t="str">
            <v>FY2</v>
          </cell>
          <cell r="C137">
            <v>0.38689063407855973</v>
          </cell>
          <cell r="D137">
            <v>0.39805323146481542</v>
          </cell>
          <cell r="E137">
            <v>0.40840177504152941</v>
          </cell>
          <cell r="F137">
            <v>0.36471218664159616</v>
          </cell>
          <cell r="G137">
            <v>0.39301536046301189</v>
          </cell>
          <cell r="H137">
            <v>0.26466022730826688</v>
          </cell>
          <cell r="I137">
            <v>0.26533303831625055</v>
          </cell>
          <cell r="J137">
            <v>0.35443806475914713</v>
          </cell>
          <cell r="K137">
            <v>0.35594708840548112</v>
          </cell>
          <cell r="M137">
            <v>0.65060178234357102</v>
          </cell>
          <cell r="N137">
            <v>0.37125288326098349</v>
          </cell>
          <cell r="O137">
            <v>0.43137881486428442</v>
          </cell>
          <cell r="P137">
            <v>0.72371114291347427</v>
          </cell>
          <cell r="Q137">
            <v>0.41288133878454431</v>
          </cell>
          <cell r="R137">
            <v>0.36509474193507874</v>
          </cell>
          <cell r="S137">
            <v>0.41628451675268513</v>
          </cell>
          <cell r="T137">
            <v>0.48160074583637452</v>
          </cell>
          <cell r="U137">
            <v>0.45086886973497936</v>
          </cell>
        </row>
        <row r="138">
          <cell r="B138" t="str">
            <v>FQ(3)</v>
          </cell>
          <cell r="C138">
            <v>0.3760307861462342</v>
          </cell>
          <cell r="D138">
            <v>0.4052069222711514</v>
          </cell>
          <cell r="E138">
            <v>0.38084246970571262</v>
          </cell>
          <cell r="F138">
            <v>0.35111371629542792</v>
          </cell>
          <cell r="G138">
            <v>0.38374544880936662</v>
          </cell>
          <cell r="H138">
            <v>0.24999423622265082</v>
          </cell>
          <cell r="I138">
            <v>0.24823665479773208</v>
          </cell>
          <cell r="J138">
            <v>0.34216717632118215</v>
          </cell>
          <cell r="K138">
            <v>0.34431570764330982</v>
          </cell>
          <cell r="M138">
            <v>0.63392656827242833</v>
          </cell>
          <cell r="N138">
            <v>0.36833617630335475</v>
          </cell>
          <cell r="O138">
            <v>0.36101143790849677</v>
          </cell>
          <cell r="P138">
            <v>0.7096030889032745</v>
          </cell>
          <cell r="Q138">
            <v>0.39622641509433965</v>
          </cell>
          <cell r="R138">
            <v>0.31784386724838382</v>
          </cell>
          <cell r="S138">
            <v>0.37241811245439138</v>
          </cell>
          <cell r="T138">
            <v>0.45133795231209556</v>
          </cell>
          <cell r="U138">
            <v>0.42222938716692604</v>
          </cell>
        </row>
        <row r="139">
          <cell r="B139" t="str">
            <v>FQ(2)</v>
          </cell>
          <cell r="C139">
            <v>0.39936941671045717</v>
          </cell>
          <cell r="D139">
            <v>0.3855274790180136</v>
          </cell>
          <cell r="E139">
            <v>0.41498838109992253</v>
          </cell>
          <cell r="F139">
            <v>0.33892773892773892</v>
          </cell>
          <cell r="G139">
            <v>0.29940750868797361</v>
          </cell>
          <cell r="H139">
            <v>0.25867391594426442</v>
          </cell>
          <cell r="I139">
            <v>0.25554899307597556</v>
          </cell>
          <cell r="J139">
            <v>0.33606334763776363</v>
          </cell>
          <cell r="K139">
            <v>0.35006656376812012</v>
          </cell>
          <cell r="M139">
            <v>0.66619744170389861</v>
          </cell>
          <cell r="N139">
            <v>0.36574985651847602</v>
          </cell>
          <cell r="O139">
            <v>0.37839798295610072</v>
          </cell>
          <cell r="P139">
            <v>0.70372513320578489</v>
          </cell>
          <cell r="Q139">
            <v>0.39691833590138675</v>
          </cell>
          <cell r="R139">
            <v>0.32323902429582746</v>
          </cell>
          <cell r="S139">
            <v>0.40793805846157866</v>
          </cell>
          <cell r="T139">
            <v>0.46316654757757902</v>
          </cell>
          <cell r="U139">
            <v>0.4254503203240862</v>
          </cell>
        </row>
        <row r="140">
          <cell r="A140" t="str">
            <v>mstag:sellingGeneralAndAdministrativeExpenses</v>
          </cell>
          <cell r="B140" t="str">
            <v>FQ(1)</v>
          </cell>
          <cell r="C140">
            <v>0.37990619600098741</v>
          </cell>
          <cell r="D140">
            <v>0.40570336732064843</v>
          </cell>
          <cell r="E140">
            <v>0.40193291642978968</v>
          </cell>
          <cell r="F140">
            <v>0.35224839400428265</v>
          </cell>
          <cell r="G140">
            <v>0.40326463256650735</v>
          </cell>
          <cell r="H140">
            <v>0.26333164959902844</v>
          </cell>
          <cell r="I140">
            <v>0.27507756991206389</v>
          </cell>
          <cell r="J140">
            <v>0.35449496083332965</v>
          </cell>
          <cell r="K140">
            <v>0.35529503164850834</v>
          </cell>
          <cell r="M140">
            <v>0.64096756730937632</v>
          </cell>
          <cell r="N140">
            <v>0.39257147284965077</v>
          </cell>
          <cell r="O140">
            <v>0.40072527044095696</v>
          </cell>
          <cell r="P140">
            <v>0.72255222690780718</v>
          </cell>
          <cell r="Q140">
            <v>0.42463081638339373</v>
          </cell>
          <cell r="R140">
            <v>0.31663271515417157</v>
          </cell>
          <cell r="S140">
            <v>0.41527574619490015</v>
          </cell>
          <cell r="T140">
            <v>0.47333654503432243</v>
          </cell>
          <cell r="U140">
            <v>0.44268119068571099</v>
          </cell>
        </row>
        <row r="141">
          <cell r="B141" t="str">
            <v>Last Reported Q</v>
          </cell>
          <cell r="C141">
            <v>0.37823834196891193</v>
          </cell>
          <cell r="D141">
            <v>0.39356446279921992</v>
          </cell>
          <cell r="E141">
            <v>0.4051258035676274</v>
          </cell>
          <cell r="F141">
            <v>0.3548074594332768</v>
          </cell>
          <cell r="G141">
            <v>0.36470630800811971</v>
          </cell>
          <cell r="H141">
            <v>0.25847437986596439</v>
          </cell>
          <cell r="I141">
            <v>0.26221897549166412</v>
          </cell>
          <cell r="J141">
            <v>0.34530510444782631</v>
          </cell>
          <cell r="K141">
            <v>0.3519115449085542</v>
          </cell>
          <cell r="M141">
            <v>0.6431673566946946</v>
          </cell>
          <cell r="N141">
            <v>0.38094484340423435</v>
          </cell>
          <cell r="O141">
            <v>0.38724779790259878</v>
          </cell>
          <cell r="P141">
            <v>0.72388298646485227</v>
          </cell>
          <cell r="Q141">
            <v>0.40318377121927168</v>
          </cell>
          <cell r="R141">
            <v>0.35077650699768259</v>
          </cell>
          <cell r="S141">
            <v>0.40568630132391376</v>
          </cell>
          <cell r="T141">
            <v>0.47069850914389255</v>
          </cell>
          <cell r="U141">
            <v>0.41788457294937564</v>
          </cell>
        </row>
        <row r="142">
          <cell r="B142" t="str">
            <v>LTM</v>
          </cell>
          <cell r="C142">
            <v>0.38099888392857145</v>
          </cell>
          <cell r="D142">
            <v>0.39573875190944169</v>
          </cell>
          <cell r="E142">
            <v>0.40277032380076161</v>
          </cell>
          <cell r="F142">
            <v>0.35157759175788794</v>
          </cell>
          <cell r="G142">
            <v>0.36459309755217562</v>
          </cell>
          <cell r="H142">
            <v>0.25802878084482106</v>
          </cell>
          <cell r="I142">
            <v>0.26149412062465338</v>
          </cell>
          <cell r="J142">
            <v>0.34502879291690175</v>
          </cell>
          <cell r="K142">
            <v>0.35115444861434991</v>
          </cell>
          <cell r="M142">
            <v>0.64468259036965947</v>
          </cell>
          <cell r="N142">
            <v>0.37946185651930436</v>
          </cell>
          <cell r="O142">
            <v>0.38489565823590433</v>
          </cell>
          <cell r="P142">
            <v>0.71573221694763189</v>
          </cell>
          <cell r="Q142">
            <v>0.4046278665452438</v>
          </cell>
          <cell r="R142">
            <v>0.33849561245354687</v>
          </cell>
          <cell r="S142">
            <v>0.40358190121068876</v>
          </cell>
          <cell r="T142">
            <v>0.46735395746885416</v>
          </cell>
          <cell r="U142">
            <v>0.42320396566101393</v>
          </cell>
        </row>
        <row r="143">
          <cell r="B143" t="str">
            <v>FY0</v>
          </cell>
          <cell r="C143">
            <v>3936.0219999999999</v>
          </cell>
          <cell r="D143">
            <v>5805</v>
          </cell>
          <cell r="E143">
            <v>8458</v>
          </cell>
          <cell r="F143">
            <v>2387.9659999999999</v>
          </cell>
          <cell r="G143">
            <v>763.44408199055204</v>
          </cell>
          <cell r="H143">
            <v>1038.6748406189799</v>
          </cell>
          <cell r="I143">
            <v>3142.6860000000001</v>
          </cell>
          <cell r="J143">
            <v>3647.3989889442191</v>
          </cell>
          <cell r="K143">
            <v>25531.792922609533</v>
          </cell>
          <cell r="M143">
            <v>1899.1166546239299</v>
          </cell>
          <cell r="N143">
            <v>405.88299999999998</v>
          </cell>
          <cell r="O143">
            <v>734.04100000000005</v>
          </cell>
          <cell r="P143">
            <v>1322.3320000000001</v>
          </cell>
          <cell r="Q143">
            <v>3899</v>
          </cell>
          <cell r="R143">
            <v>2288.8490000000002</v>
          </cell>
          <cell r="S143">
            <v>414.04300000000001</v>
          </cell>
          <cell r="T143">
            <v>1566.1806649462758</v>
          </cell>
          <cell r="U143">
            <v>10963.26465462393</v>
          </cell>
        </row>
        <row r="144">
          <cell r="B144" t="str">
            <v>Gross Margin Y/Y bps</v>
          </cell>
          <cell r="C144">
            <v>4113.7056954443497</v>
          </cell>
          <cell r="D144">
            <v>6287.7702622184797</v>
          </cell>
          <cell r="E144">
            <v>8138.20603779462</v>
          </cell>
          <cell r="F144">
            <v>2407.8401552619498</v>
          </cell>
          <cell r="G144">
            <v>662.84608804704499</v>
          </cell>
          <cell r="H144">
            <v>1126.7119614783401</v>
          </cell>
          <cell r="I144">
            <v>3237.4964959774902</v>
          </cell>
          <cell r="J144">
            <v>3710.6538137460398</v>
          </cell>
          <cell r="K144">
            <v>25974.576696222277</v>
          </cell>
          <cell r="M144">
            <v>1786.39824222727</v>
          </cell>
          <cell r="N144">
            <v>463.14226890431502</v>
          </cell>
          <cell r="O144">
            <v>740.46848990890896</v>
          </cell>
          <cell r="P144">
            <v>1438.1228808739399</v>
          </cell>
          <cell r="Q144">
            <v>3932.69367470526</v>
          </cell>
          <cell r="R144">
            <v>2141.0715781598301</v>
          </cell>
          <cell r="S144">
            <v>446.30350135266099</v>
          </cell>
          <cell r="T144">
            <v>1564.0286623045977</v>
          </cell>
          <cell r="U144">
            <v>10948.200636132184</v>
          </cell>
        </row>
        <row r="145">
          <cell r="B145" t="str">
            <v>FY(1)</v>
          </cell>
          <cell r="C145">
            <v>44.020754623483867</v>
          </cell>
          <cell r="D145">
            <v>-118.22204744261711</v>
          </cell>
          <cell r="E145">
            <v>-71.756543201453297</v>
          </cell>
          <cell r="F145">
            <v>-288.68474610249109</v>
          </cell>
          <cell r="G145">
            <v>-692.77428862708769</v>
          </cell>
          <cell r="H145">
            <v>87.166883563340178</v>
          </cell>
          <cell r="I145">
            <v>-40.015799630241652</v>
          </cell>
          <cell r="J145">
            <v>-154.32368383100953</v>
          </cell>
          <cell r="K145">
            <v>-111.26988792404258</v>
          </cell>
          <cell r="M145">
            <v>-34.64950831718938</v>
          </cell>
          <cell r="N145">
            <v>23.874936252248347</v>
          </cell>
          <cell r="O145">
            <v>-729.60455175889729</v>
          </cell>
          <cell r="P145">
            <v>-175.91270535877612</v>
          </cell>
          <cell r="Q145">
            <v>137.57134466022393</v>
          </cell>
          <cell r="R145">
            <v>-109.2408503983322</v>
          </cell>
          <cell r="S145">
            <v>63.524913376639681</v>
          </cell>
          <cell r="T145">
            <v>-117.77663164915472</v>
          </cell>
          <cell r="U145">
            <v>26.27213381684701</v>
          </cell>
        </row>
        <row r="146">
          <cell r="A146" t="str">
            <v>Gross Margin Y/Y bps</v>
          </cell>
          <cell r="B146" t="str">
            <v>FY0</v>
          </cell>
          <cell r="C146">
            <v>87.634534773108342</v>
          </cell>
          <cell r="D146">
            <v>194.53078330891881</v>
          </cell>
          <cell r="E146">
            <v>80.906115380596773</v>
          </cell>
          <cell r="F146">
            <v>96.72131969762188</v>
          </cell>
          <cell r="G146">
            <v>438.53513963690085</v>
          </cell>
          <cell r="H146">
            <v>226.54117611331847</v>
          </cell>
          <cell r="I146">
            <v>212.96014603998825</v>
          </cell>
          <cell r="J146">
            <v>191.11845927863621</v>
          </cell>
          <cell r="K146">
            <v>123.2911909435097</v>
          </cell>
          <cell r="M146">
            <v>-259.07517797886914</v>
          </cell>
          <cell r="N146">
            <v>339.96424099539792</v>
          </cell>
          <cell r="O146">
            <v>-55.668173782966178</v>
          </cell>
          <cell r="P146">
            <v>-378.00348836589779</v>
          </cell>
          <cell r="Q146">
            <v>282.0098173834096</v>
          </cell>
          <cell r="R146">
            <v>183.09913222216701</v>
          </cell>
          <cell r="S146">
            <v>167.88994091563535</v>
          </cell>
          <cell r="T146">
            <v>40.030898769839546</v>
          </cell>
          <cell r="U146">
            <v>98.904140269047147</v>
          </cell>
        </row>
        <row r="147">
          <cell r="B147" t="str">
            <v>FY1</v>
          </cell>
          <cell r="C147">
            <v>56.522921096444634</v>
          </cell>
          <cell r="D147">
            <v>24.887686655930551</v>
          </cell>
          <cell r="E147">
            <v>22.759714739026826</v>
          </cell>
          <cell r="F147">
            <v>89.047272083189185</v>
          </cell>
          <cell r="G147">
            <v>160.39627293773563</v>
          </cell>
          <cell r="H147">
            <v>61.858474423022727</v>
          </cell>
          <cell r="I147">
            <v>46.140628245862068</v>
          </cell>
          <cell r="J147">
            <v>65.94471002588736</v>
          </cell>
          <cell r="K147">
            <v>35.794938123262511</v>
          </cell>
          <cell r="M147">
            <v>-4.1357739673975047</v>
          </cell>
          <cell r="N147">
            <v>17.166960361266192</v>
          </cell>
          <cell r="O147">
            <v>366.45106549239858</v>
          </cell>
          <cell r="P147">
            <v>47.410122698635647</v>
          </cell>
          <cell r="Q147">
            <v>66.975675652764522</v>
          </cell>
          <cell r="R147">
            <v>93.18234937396474</v>
          </cell>
          <cell r="S147">
            <v>75.982154287702059</v>
          </cell>
          <cell r="T147">
            <v>94.718936271333448</v>
          </cell>
          <cell r="U147">
            <v>103.09375029018297</v>
          </cell>
        </row>
        <row r="148">
          <cell r="B148" t="str">
            <v>FY2</v>
          </cell>
          <cell r="C148">
            <v>30.000000000033332</v>
          </cell>
          <cell r="D148">
            <v>20.000000000024443</v>
          </cell>
          <cell r="E148">
            <v>9.9999999999933475</v>
          </cell>
          <cell r="F148">
            <v>10.00000000000445</v>
          </cell>
          <cell r="G148">
            <v>122.69425161118619</v>
          </cell>
          <cell r="H148">
            <v>2.2204460492503131E-12</v>
          </cell>
          <cell r="I148">
            <v>-14.999999999997794</v>
          </cell>
          <cell r="J148">
            <v>25.384893087320886</v>
          </cell>
          <cell r="K148">
            <v>4.5604968460066786</v>
          </cell>
          <cell r="M148">
            <v>78.4800304561617</v>
          </cell>
          <cell r="N148">
            <v>-114.08656179377475</v>
          </cell>
          <cell r="O148">
            <v>74.859104124457843</v>
          </cell>
          <cell r="P148">
            <v>1.2212453270876722E-11</v>
          </cell>
          <cell r="Q148">
            <v>29.999999999961723</v>
          </cell>
          <cell r="R148">
            <v>49.999999999996717</v>
          </cell>
          <cell r="S148">
            <v>30.000000000011685</v>
          </cell>
          <cell r="T148">
            <v>21.321796112403877</v>
          </cell>
          <cell r="U148">
            <v>47.825518343910801</v>
          </cell>
        </row>
        <row r="149">
          <cell r="B149" t="str">
            <v>Last Reported Q</v>
          </cell>
          <cell r="C149">
            <v>1027</v>
          </cell>
          <cell r="D149">
            <v>1586</v>
          </cell>
          <cell r="E149">
            <v>2033</v>
          </cell>
          <cell r="F149">
            <v>581</v>
          </cell>
          <cell r="G149">
            <v>162.55199999999999</v>
          </cell>
          <cell r="H149">
            <v>286.51100000000002</v>
          </cell>
          <cell r="I149">
            <v>864.09699999999998</v>
          </cell>
          <cell r="J149">
            <v>934.30857142857144</v>
          </cell>
          <cell r="K149">
            <v>6540.16</v>
          </cell>
          <cell r="M149">
            <v>448.09300000000002</v>
          </cell>
          <cell r="N149">
            <v>117.236</v>
          </cell>
          <cell r="O149">
            <v>193.26900000000001</v>
          </cell>
          <cell r="P149">
            <v>1322.3320000000001</v>
          </cell>
          <cell r="Q149">
            <v>1024</v>
          </cell>
          <cell r="R149">
            <v>503.863</v>
          </cell>
          <cell r="S149">
            <v>114.327</v>
          </cell>
          <cell r="T149">
            <v>531.87428571428575</v>
          </cell>
          <cell r="U149">
            <v>3723.12</v>
          </cell>
        </row>
        <row r="150">
          <cell r="A150" t="str">
            <v>mstag:sellingGeneralAndAdministrativeExpenses</v>
          </cell>
          <cell r="B150" t="str">
            <v>SG&amp;A</v>
          </cell>
          <cell r="C150">
            <v>4056</v>
          </cell>
          <cell r="D150">
            <v>6115</v>
          </cell>
          <cell r="E150">
            <v>8106</v>
          </cell>
          <cell r="F150">
            <v>2398</v>
          </cell>
          <cell r="G150">
            <v>667.96800000000007</v>
          </cell>
          <cell r="H150">
            <v>1100.011</v>
          </cell>
          <cell r="I150">
            <v>3229.5609999999997</v>
          </cell>
          <cell r="J150">
            <v>3667.5057142857145</v>
          </cell>
          <cell r="K150">
            <v>25672.54</v>
          </cell>
          <cell r="M150">
            <v>1803.8050000000001</v>
          </cell>
          <cell r="N150">
            <v>442.11900000000003</v>
          </cell>
          <cell r="O150">
            <v>733.92599999999993</v>
          </cell>
          <cell r="P150">
            <v>2317.0330000000004</v>
          </cell>
          <cell r="Q150">
            <v>3814</v>
          </cell>
          <cell r="R150">
            <v>2140.2979999999998</v>
          </cell>
          <cell r="S150">
            <v>429.86</v>
          </cell>
          <cell r="T150">
            <v>1668.7201428571429</v>
          </cell>
          <cell r="U150">
            <v>11681.041000000001</v>
          </cell>
        </row>
        <row r="151">
          <cell r="B151" t="str">
            <v>FY(5)</v>
          </cell>
          <cell r="C151">
            <v>2582.971</v>
          </cell>
          <cell r="D151">
            <v>5505</v>
          </cell>
          <cell r="E151">
            <v>4931</v>
          </cell>
          <cell r="F151">
            <v>2020.2329999999999</v>
          </cell>
          <cell r="G151">
            <v>796.57399999999996</v>
          </cell>
          <cell r="H151">
            <v>657.66800000000001</v>
          </cell>
          <cell r="I151">
            <v>2520.8139999999999</v>
          </cell>
          <cell r="J151">
            <v>2716.3228571428567</v>
          </cell>
          <cell r="K151">
            <v>19014.259999999998</v>
          </cell>
          <cell r="M151">
            <v>957.18</v>
          </cell>
          <cell r="N151">
            <v>183.977</v>
          </cell>
          <cell r="O151">
            <v>446.82900000000001</v>
          </cell>
          <cell r="P151">
            <v>578.82000000000005</v>
          </cell>
          <cell r="Q151">
            <v>4296</v>
          </cell>
          <cell r="R151">
            <v>2367.2660000000001</v>
          </cell>
          <cell r="S151">
            <v>190.38399999999999</v>
          </cell>
          <cell r="T151">
            <v>1288.6365714285714</v>
          </cell>
          <cell r="U151">
            <v>9020.4560000000001</v>
          </cell>
        </row>
        <row r="152">
          <cell r="B152" t="str">
            <v>FY(4)</v>
          </cell>
          <cell r="C152">
            <v>2963.5</v>
          </cell>
          <cell r="D152">
            <v>5614</v>
          </cell>
          <cell r="E152">
            <v>6980</v>
          </cell>
          <cell r="F152">
            <v>2100.6660000000002</v>
          </cell>
          <cell r="G152">
            <v>801.57593271205303</v>
          </cell>
          <cell r="H152">
            <v>766.14400000000001</v>
          </cell>
          <cell r="I152">
            <v>2689.3210009596</v>
          </cell>
          <cell r="J152">
            <v>3130.7438476673792</v>
          </cell>
          <cell r="K152">
            <v>21915.206933671656</v>
          </cell>
          <cell r="M152">
            <v>1268.431</v>
          </cell>
          <cell r="N152">
            <v>227.04400000000001</v>
          </cell>
          <cell r="O152">
            <v>542.29499999999996</v>
          </cell>
          <cell r="P152">
            <v>731.89099999999996</v>
          </cell>
          <cell r="Q152">
            <v>4185</v>
          </cell>
          <cell r="R152">
            <v>2493.951</v>
          </cell>
          <cell r="S152">
            <v>242.50700000000001</v>
          </cell>
          <cell r="T152">
            <v>1384.4455714285716</v>
          </cell>
          <cell r="U152">
            <v>9691.1190000000006</v>
          </cell>
        </row>
        <row r="153">
          <cell r="B153" t="str">
            <v>FY(3)</v>
          </cell>
          <cell r="C153">
            <v>3415.4940000000001</v>
          </cell>
          <cell r="D153">
            <v>5937</v>
          </cell>
          <cell r="E153">
            <v>8678</v>
          </cell>
          <cell r="F153">
            <v>2296.8629999999998</v>
          </cell>
          <cell r="G153">
            <v>749.86758829015298</v>
          </cell>
          <cell r="H153">
            <v>863.03300000000002</v>
          </cell>
          <cell r="I153">
            <v>2916.56</v>
          </cell>
          <cell r="J153">
            <v>3550.9739411843075</v>
          </cell>
          <cell r="K153">
            <v>24856.817588290152</v>
          </cell>
          <cell r="M153">
            <v>1512.6610000000001</v>
          </cell>
          <cell r="N153">
            <v>289.73599999999999</v>
          </cell>
          <cell r="O153">
            <v>665.60699999999997</v>
          </cell>
          <cell r="P153">
            <v>866.86556379972797</v>
          </cell>
          <cell r="Q153">
            <v>4477</v>
          </cell>
          <cell r="R153">
            <v>2837.4270000000001</v>
          </cell>
          <cell r="S153">
            <v>287.93200000000002</v>
          </cell>
          <cell r="T153">
            <v>1562.4612233999612</v>
          </cell>
          <cell r="U153">
            <v>10937.228563799728</v>
          </cell>
        </row>
        <row r="154">
          <cell r="B154" t="str">
            <v>FY(2)</v>
          </cell>
          <cell r="C154">
            <v>3696.9</v>
          </cell>
          <cell r="D154">
            <v>5829</v>
          </cell>
          <cell r="E154">
            <v>8554</v>
          </cell>
          <cell r="F154">
            <v>2359.7800000000002</v>
          </cell>
          <cell r="G154">
            <v>807.92702269720496</v>
          </cell>
          <cell r="H154">
            <v>935.90099999999995</v>
          </cell>
          <cell r="I154">
            <v>3033.4039100715199</v>
          </cell>
          <cell r="J154">
            <v>3602.4159903955324</v>
          </cell>
          <cell r="K154">
            <v>25216.911932768726</v>
          </cell>
          <cell r="M154">
            <v>1720.9580000000001</v>
          </cell>
          <cell r="N154">
            <v>345.80500000000001</v>
          </cell>
          <cell r="O154">
            <v>715.18</v>
          </cell>
          <cell r="P154">
            <v>1029.5889999999999</v>
          </cell>
          <cell r="Q154">
            <v>4345</v>
          </cell>
          <cell r="R154">
            <v>2602.4180000000001</v>
          </cell>
          <cell r="S154">
            <v>351.827</v>
          </cell>
          <cell r="T154">
            <v>1587.253857142857</v>
          </cell>
          <cell r="U154">
            <v>11110.776999999998</v>
          </cell>
        </row>
        <row r="155">
          <cell r="B155" t="str">
            <v>FY(1)</v>
          </cell>
          <cell r="C155">
            <v>3936.0219999999999</v>
          </cell>
          <cell r="D155">
            <v>5805</v>
          </cell>
          <cell r="E155">
            <v>8458</v>
          </cell>
          <cell r="F155">
            <v>2387.9659999999999</v>
          </cell>
          <cell r="G155">
            <v>763.44408199055204</v>
          </cell>
          <cell r="H155">
            <v>1038.6748406189799</v>
          </cell>
          <cell r="I155">
            <v>3142.6860000000001</v>
          </cell>
          <cell r="J155">
            <v>3647.3989889442191</v>
          </cell>
          <cell r="K155">
            <v>25531.792922609533</v>
          </cell>
          <cell r="M155">
            <v>1840.15625086369</v>
          </cell>
          <cell r="N155">
            <v>405.88299999999998</v>
          </cell>
          <cell r="O155">
            <v>734.04100000000005</v>
          </cell>
          <cell r="P155">
            <v>1227.874</v>
          </cell>
          <cell r="Q155">
            <v>3899</v>
          </cell>
          <cell r="R155">
            <v>2288.8490000000002</v>
          </cell>
          <cell r="S155">
            <v>414.04300000000001</v>
          </cell>
          <cell r="T155">
            <v>1544.2637501233842</v>
          </cell>
          <cell r="U155">
            <v>10809.846250863689</v>
          </cell>
        </row>
        <row r="156">
          <cell r="B156" t="str">
            <v>FY0</v>
          </cell>
          <cell r="C156">
            <v>4144</v>
          </cell>
          <cell r="D156">
            <v>6242</v>
          </cell>
          <cell r="E156">
            <v>8062</v>
          </cell>
          <cell r="F156">
            <v>2465</v>
          </cell>
          <cell r="G156">
            <v>663.38400000000001</v>
          </cell>
          <cell r="H156">
            <v>1130.8130000000001</v>
          </cell>
          <cell r="I156">
            <v>3328.944</v>
          </cell>
          <cell r="J156">
            <v>3719.4487142857142</v>
          </cell>
          <cell r="K156">
            <v>26036.141</v>
          </cell>
          <cell r="M156">
            <v>1746.019</v>
          </cell>
          <cell r="N156">
            <v>463.56200000000001</v>
          </cell>
          <cell r="O156">
            <v>756.25599999999997</v>
          </cell>
          <cell r="P156">
            <v>1322.3320000000001</v>
          </cell>
          <cell r="Q156">
            <v>3913</v>
          </cell>
          <cell r="R156">
            <v>2166.4029999999998</v>
          </cell>
          <cell r="S156">
            <v>447.161</v>
          </cell>
          <cell r="T156">
            <v>1544.9618571428571</v>
          </cell>
          <cell r="U156">
            <v>10814.733</v>
          </cell>
        </row>
        <row r="157">
          <cell r="B157" t="str">
            <v>FY1</v>
          </cell>
          <cell r="C157">
            <v>4394.4091829754097</v>
          </cell>
          <cell r="D157">
            <v>6246.8233738916697</v>
          </cell>
          <cell r="E157">
            <v>8248.0658741166299</v>
          </cell>
          <cell r="F157">
            <v>2590.3075410872998</v>
          </cell>
          <cell r="G157">
            <v>695.74853440064305</v>
          </cell>
          <cell r="H157">
            <v>1211.18901626811</v>
          </cell>
          <cell r="I157">
            <v>3551.2590335353202</v>
          </cell>
          <cell r="J157">
            <v>3848.2575080392967</v>
          </cell>
          <cell r="K157">
            <v>26937.802556275077</v>
          </cell>
          <cell r="M157">
            <v>1792.8121806045201</v>
          </cell>
          <cell r="N157">
            <v>504.30645509643699</v>
          </cell>
          <cell r="O157">
            <v>728.64913129426805</v>
          </cell>
          <cell r="P157">
            <v>1421.66648658546</v>
          </cell>
          <cell r="Q157">
            <v>3985.1203682867199</v>
          </cell>
          <cell r="R157">
            <v>2225.6272843379302</v>
          </cell>
          <cell r="S157">
            <v>506.13870145797398</v>
          </cell>
          <cell r="T157">
            <v>1594.9029439519013</v>
          </cell>
          <cell r="U157">
            <v>11164.320607663309</v>
          </cell>
        </row>
        <row r="158">
          <cell r="B158" t="str">
            <v>FY2</v>
          </cell>
          <cell r="C158">
            <v>4720.5151538554701</v>
          </cell>
          <cell r="D158">
            <v>6372.0902312446397</v>
          </cell>
          <cell r="E158">
            <v>8292.5927833133792</v>
          </cell>
          <cell r="F158">
            <v>2676.5791025920498</v>
          </cell>
          <cell r="G158">
            <v>736.52206639947497</v>
          </cell>
          <cell r="H158">
            <v>1266.65736703995</v>
          </cell>
          <cell r="I158">
            <v>3773.5321763327702</v>
          </cell>
          <cell r="J158">
            <v>3976.9269829682466</v>
          </cell>
          <cell r="K158">
            <v>27838.488880777728</v>
          </cell>
          <cell r="M158">
            <v>1906.1941041853299</v>
          </cell>
          <cell r="N158">
            <v>594.038263854913</v>
          </cell>
          <cell r="O158">
            <v>789.28825485253299</v>
          </cell>
          <cell r="P158">
            <v>1512.91471930996</v>
          </cell>
          <cell r="Q158">
            <v>3815.9974476101902</v>
          </cell>
          <cell r="R158">
            <v>2291.5018855364201</v>
          </cell>
          <cell r="S158">
            <v>564.28679678784999</v>
          </cell>
          <cell r="T158">
            <v>1639.1744960195995</v>
          </cell>
          <cell r="U158">
            <v>11474.221472137197</v>
          </cell>
        </row>
        <row r="159">
          <cell r="B159" t="str">
            <v>FQ(3)</v>
          </cell>
          <cell r="C159">
            <v>961</v>
          </cell>
          <cell r="D159">
            <v>1474</v>
          </cell>
          <cell r="E159">
            <v>1956</v>
          </cell>
          <cell r="F159">
            <v>539</v>
          </cell>
          <cell r="G159">
            <v>155.434</v>
          </cell>
          <cell r="H159">
            <v>272.02999999999997</v>
          </cell>
          <cell r="I159">
            <v>735.05700000000002</v>
          </cell>
          <cell r="J159">
            <v>870.36014285714282</v>
          </cell>
          <cell r="K159">
            <v>6092.5209999999997</v>
          </cell>
          <cell r="M159">
            <v>416.65499999999997</v>
          </cell>
          <cell r="N159">
            <v>94.146000000000001</v>
          </cell>
          <cell r="O159">
            <v>158.69200000000001</v>
          </cell>
          <cell r="P159">
            <v>326.32100000000003</v>
          </cell>
          <cell r="Q159">
            <v>886</v>
          </cell>
          <cell r="R159">
            <v>483.14400000000001</v>
          </cell>
          <cell r="S159">
            <v>97.185000000000002</v>
          </cell>
          <cell r="T159">
            <v>351.73471428571423</v>
          </cell>
          <cell r="U159">
            <v>2462.1429999999996</v>
          </cell>
        </row>
        <row r="160">
          <cell r="B160" t="str">
            <v>FQ(2)</v>
          </cell>
          <cell r="C160">
            <v>966</v>
          </cell>
          <cell r="D160">
            <v>1460</v>
          </cell>
          <cell r="E160">
            <v>1861</v>
          </cell>
          <cell r="F160">
            <v>608</v>
          </cell>
          <cell r="G160">
            <v>154.941</v>
          </cell>
          <cell r="H160">
            <v>286.15800000000002</v>
          </cell>
          <cell r="I160">
            <v>790.87599999999998</v>
          </cell>
          <cell r="J160">
            <v>875.28214285714296</v>
          </cell>
          <cell r="K160">
            <v>6126.9750000000004</v>
          </cell>
          <cell r="M160">
            <v>418.96199999999999</v>
          </cell>
          <cell r="N160">
            <v>100.682</v>
          </cell>
          <cell r="O160">
            <v>167.17500000000001</v>
          </cell>
          <cell r="P160">
            <v>327.63099999999997</v>
          </cell>
          <cell r="Q160">
            <v>913</v>
          </cell>
          <cell r="R160">
            <v>519.36599999999999</v>
          </cell>
          <cell r="S160">
            <v>108.65</v>
          </cell>
          <cell r="T160">
            <v>365.06657142857142</v>
          </cell>
          <cell r="U160">
            <v>2555.4659999999999</v>
          </cell>
        </row>
        <row r="161">
          <cell r="B161" t="str">
            <v>FQ(1)</v>
          </cell>
          <cell r="C161">
            <v>1027</v>
          </cell>
          <cell r="D161">
            <v>1586</v>
          </cell>
          <cell r="E161">
            <v>2033</v>
          </cell>
          <cell r="F161">
            <v>581</v>
          </cell>
          <cell r="G161">
            <v>162.55199999999999</v>
          </cell>
          <cell r="H161">
            <v>286.51100000000002</v>
          </cell>
          <cell r="I161">
            <v>864.09699999999998</v>
          </cell>
          <cell r="J161">
            <v>934.30857142857144</v>
          </cell>
          <cell r="K161">
            <v>6540.16</v>
          </cell>
          <cell r="M161">
            <v>437.22899999999998</v>
          </cell>
          <cell r="N161">
            <v>117.236</v>
          </cell>
          <cell r="O161">
            <v>193.26900000000001</v>
          </cell>
          <cell r="P161">
            <v>326.93099999999998</v>
          </cell>
          <cell r="Q161">
            <v>1024</v>
          </cell>
          <cell r="R161">
            <v>503.863</v>
          </cell>
          <cell r="S161">
            <v>114.327</v>
          </cell>
          <cell r="T161">
            <v>388.12214285714282</v>
          </cell>
          <cell r="U161">
            <v>2716.8549999999996</v>
          </cell>
        </row>
        <row r="162">
          <cell r="B162" t="str">
            <v>Last Reported Q</v>
          </cell>
          <cell r="C162">
            <v>4144</v>
          </cell>
          <cell r="D162">
            <v>6242</v>
          </cell>
          <cell r="E162">
            <v>8062</v>
          </cell>
          <cell r="F162">
            <v>2465</v>
          </cell>
          <cell r="G162">
            <v>663.38400000000001</v>
          </cell>
          <cell r="H162">
            <v>1130.8130000000001</v>
          </cell>
          <cell r="I162">
            <v>3328.944</v>
          </cell>
          <cell r="J162">
            <v>3719.4487142857142</v>
          </cell>
          <cell r="K162">
            <v>26036.141</v>
          </cell>
          <cell r="M162">
            <v>1746.019</v>
          </cell>
          <cell r="N162">
            <v>463.56200000000001</v>
          </cell>
          <cell r="O162">
            <v>756.25599999999997</v>
          </cell>
          <cell r="P162">
            <v>390.10199999999998</v>
          </cell>
          <cell r="Q162">
            <v>3913</v>
          </cell>
          <cell r="R162">
            <v>2166.4029999999998</v>
          </cell>
          <cell r="S162">
            <v>447.161</v>
          </cell>
          <cell r="T162">
            <v>1411.786142857143</v>
          </cell>
          <cell r="U162">
            <v>9882.5030000000006</v>
          </cell>
        </row>
        <row r="163">
          <cell r="B163" t="str">
            <v>LTM</v>
          </cell>
          <cell r="C163">
            <v>7098</v>
          </cell>
          <cell r="D163">
            <v>10762</v>
          </cell>
          <cell r="E163">
            <v>13912</v>
          </cell>
          <cell r="F163">
            <v>4193</v>
          </cell>
          <cell r="G163">
            <v>1136.3110000000001</v>
          </cell>
          <cell r="H163">
            <v>1975.5120000000002</v>
          </cell>
          <cell r="I163">
            <v>5718.9740000000002</v>
          </cell>
          <cell r="J163">
            <v>6399.399571428572</v>
          </cell>
          <cell r="K163">
            <v>44795.797000000006</v>
          </cell>
          <cell r="M163">
            <v>3018.8649999999998</v>
          </cell>
          <cell r="N163">
            <v>775.62599999999998</v>
          </cell>
          <cell r="O163">
            <v>1275.3919999999998</v>
          </cell>
          <cell r="P163">
            <v>1370.9850000000001</v>
          </cell>
          <cell r="Q163">
            <v>6736</v>
          </cell>
          <cell r="R163">
            <v>3672.7759999999998</v>
          </cell>
          <cell r="S163">
            <v>767.32300000000009</v>
          </cell>
          <cell r="T163">
            <v>2516.7095714285715</v>
          </cell>
          <cell r="U163">
            <v>17616.967000000001</v>
          </cell>
        </row>
        <row r="164">
          <cell r="B164" t="str">
            <v>Expense Ratio Y/Y bps</v>
          </cell>
        </row>
        <row r="165">
          <cell r="B165" t="str">
            <v>Expense Ratio</v>
          </cell>
          <cell r="C165">
            <v>157.51646442021732</v>
          </cell>
          <cell r="D165">
            <v>205.22599143587615</v>
          </cell>
          <cell r="E165">
            <v>147.01424492728543</v>
          </cell>
          <cell r="F165">
            <v>207.07126584412094</v>
          </cell>
          <cell r="G165">
            <v>42.49542357614655</v>
          </cell>
          <cell r="H165">
            <v>35.070234436621604</v>
          </cell>
          <cell r="I165">
            <v>-0.18946280574666519</v>
          </cell>
          <cell r="J165">
            <v>113.45773740493142</v>
          </cell>
          <cell r="K165">
            <v>97.851665616149333</v>
          </cell>
          <cell r="M165">
            <v>610.51345563298059</v>
          </cell>
          <cell r="N165">
            <v>-31.619890153258833</v>
          </cell>
          <cell r="O165">
            <v>115.26462868643839</v>
          </cell>
          <cell r="P165">
            <v>232.99399044565573</v>
          </cell>
          <cell r="Q165">
            <v>-72.302435491419232</v>
          </cell>
          <cell r="R165">
            <v>-48.996741320501137</v>
          </cell>
          <cell r="S165">
            <v>-76.662439658733987</v>
          </cell>
          <cell r="T165">
            <v>104.17008116302362</v>
          </cell>
          <cell r="U165">
            <v>38.080667608011986</v>
          </cell>
        </row>
        <row r="166">
          <cell r="B166" t="str">
            <v>FY(5)</v>
          </cell>
          <cell r="C166">
            <v>0.22075354465972119</v>
          </cell>
          <cell r="D166">
            <v>0.30421087533156499</v>
          </cell>
          <cell r="E166">
            <v>0.31256338742393508</v>
          </cell>
          <cell r="F166">
            <v>0.28328649595809413</v>
          </cell>
          <cell r="G166">
            <v>0.28788602145952064</v>
          </cell>
          <cell r="H166">
            <v>0.15511074318571508</v>
          </cell>
          <cell r="I166">
            <v>0.16902919324747948</v>
          </cell>
          <cell r="J166">
            <v>0.24754860875229007</v>
          </cell>
          <cell r="K166">
            <v>0.25479894602531877</v>
          </cell>
          <cell r="M166">
            <v>0.47355750440073341</v>
          </cell>
          <cell r="N166">
            <v>0.19080554898715221</v>
          </cell>
          <cell r="O166">
            <v>0.2375182127117153</v>
          </cell>
          <cell r="P166">
            <v>0.45493987267153979</v>
          </cell>
          <cell r="Q166">
            <v>0.26409294891498125</v>
          </cell>
          <cell r="R166">
            <v>0.25161431721226934</v>
          </cell>
          <cell r="S166">
            <v>0.23000181214134702</v>
          </cell>
          <cell r="T166">
            <v>0.30036145957710547</v>
          </cell>
          <cell r="U166">
            <v>0.27634449274646161</v>
          </cell>
        </row>
        <row r="167">
          <cell r="B167" t="str">
            <v>FY(4)</v>
          </cell>
          <cell r="C167">
            <v>0.22112041306651145</v>
          </cell>
          <cell r="D167">
            <v>0.2989191203876258</v>
          </cell>
          <cell r="E167">
            <v>0.311746315319339</v>
          </cell>
          <cell r="F167">
            <v>0.27201496074126219</v>
          </cell>
          <cell r="G167">
            <v>0.28850966846380655</v>
          </cell>
          <cell r="H167">
            <v>0.15495879093374249</v>
          </cell>
          <cell r="I167">
            <v>0.16854666633990859</v>
          </cell>
          <cell r="J167">
            <v>0.24511656217888514</v>
          </cell>
          <cell r="K167">
            <v>0.25490426029071767</v>
          </cell>
          <cell r="M167">
            <v>0.45822104470688874</v>
          </cell>
          <cell r="N167">
            <v>0.18852041811869835</v>
          </cell>
          <cell r="O167">
            <v>0.23355033372639172</v>
          </cell>
          <cell r="P167">
            <v>0.44311268847202645</v>
          </cell>
          <cell r="Q167">
            <v>0.26118704362478934</v>
          </cell>
          <cell r="R167">
            <v>0.25791933398831379</v>
          </cell>
          <cell r="S167">
            <v>0.22205424926312167</v>
          </cell>
          <cell r="T167">
            <v>0.29493787312860426</v>
          </cell>
          <cell r="U167">
            <v>0.2790354228686574</v>
          </cell>
        </row>
        <row r="168">
          <cell r="B168" t="str">
            <v>FY(3)</v>
          </cell>
          <cell r="C168">
            <v>0.21914841426546719</v>
          </cell>
          <cell r="D168">
            <v>0.29829542028855022</v>
          </cell>
          <cell r="E168">
            <v>0.32176492398961809</v>
          </cell>
          <cell r="F168">
            <v>0.2683032388246846</v>
          </cell>
          <cell r="G168">
            <v>0.2550567425577977</v>
          </cell>
          <cell r="H168">
            <v>0.15493724653110028</v>
          </cell>
          <cell r="I168">
            <v>0.16757373336772263</v>
          </cell>
          <cell r="J168">
            <v>0.24072567426070579</v>
          </cell>
          <cell r="K168">
            <v>0.25643049645543803</v>
          </cell>
          <cell r="M168">
            <v>0.46059072351786268</v>
          </cell>
          <cell r="N168">
            <v>0.20502006781733473</v>
          </cell>
          <cell r="O168">
            <v>0.23819240490565266</v>
          </cell>
          <cell r="P168">
            <v>0.42596037207277726</v>
          </cell>
          <cell r="Q168">
            <v>0.28116560949569802</v>
          </cell>
          <cell r="R168">
            <v>0.26590943083890284</v>
          </cell>
          <cell r="S168">
            <v>0.23510084370511716</v>
          </cell>
          <cell r="T168">
            <v>0.30170563605047784</v>
          </cell>
          <cell r="U168">
            <v>0.29286802049534522</v>
          </cell>
        </row>
        <row r="169">
          <cell r="B169" t="str">
            <v>FY(2)</v>
          </cell>
          <cell r="C169">
            <v>0.22441224497228915</v>
          </cell>
          <cell r="D169">
            <v>0.29349078819571894</v>
          </cell>
          <cell r="E169">
            <v>0.32508645916467144</v>
          </cell>
          <cell r="F169">
            <v>0.26731193022417554</v>
          </cell>
          <cell r="G169">
            <v>0.24747866688145498</v>
          </cell>
          <cell r="H169">
            <v>0.15663059319066835</v>
          </cell>
          <cell r="I169">
            <v>0.16542778193181926</v>
          </cell>
          <cell r="J169">
            <v>0.23997692350868541</v>
          </cell>
          <cell r="K169">
            <v>0.25458252346273547</v>
          </cell>
          <cell r="M169">
            <v>0.46516703174565421</v>
          </cell>
          <cell r="N169">
            <v>0.21842389666892584</v>
          </cell>
          <cell r="O169">
            <v>0.23406936986383864</v>
          </cell>
          <cell r="P169">
            <v>0.39410769023478287</v>
          </cell>
          <cell r="Q169">
            <v>0.27564549895324492</v>
          </cell>
          <cell r="R169">
            <v>0.25801530849837501</v>
          </cell>
          <cell r="S169">
            <v>0.23334973775041057</v>
          </cell>
          <cell r="T169">
            <v>0.29696836195931881</v>
          </cell>
          <cell r="U169">
            <v>0.29004007050169583</v>
          </cell>
        </row>
        <row r="170">
          <cell r="B170" t="str">
            <v>FY(1)</v>
          </cell>
          <cell r="C170">
            <v>0.24016389141431088</v>
          </cell>
          <cell r="D170">
            <v>0.31401338733930656</v>
          </cell>
          <cell r="E170">
            <v>0.33978788365739998</v>
          </cell>
          <cell r="F170">
            <v>0.28801905680858764</v>
          </cell>
          <cell r="G170">
            <v>0.2513902659533549</v>
          </cell>
          <cell r="H170">
            <v>0.16013761663433052</v>
          </cell>
          <cell r="I170">
            <v>0.16540883565124459</v>
          </cell>
          <cell r="J170">
            <v>0.25127441963693359</v>
          </cell>
          <cell r="K170">
            <v>0.2643565301882268</v>
          </cell>
          <cell r="M170">
            <v>0.528164794911131</v>
          </cell>
          <cell r="N170">
            <v>0.21526190765359995</v>
          </cell>
          <cell r="O170">
            <v>0.24559583273248248</v>
          </cell>
          <cell r="P170">
            <v>0.38603200433104445</v>
          </cell>
          <cell r="Q170">
            <v>0.26841525540410299</v>
          </cell>
          <cell r="R170">
            <v>0.25311563436632489</v>
          </cell>
          <cell r="S170">
            <v>0.22568349378453717</v>
          </cell>
          <cell r="T170">
            <v>0.30318127474046047</v>
          </cell>
          <cell r="U170">
            <v>0.29261289329386647</v>
          </cell>
        </row>
        <row r="171">
          <cell r="B171" t="str">
            <v>FY0</v>
          </cell>
          <cell r="C171">
            <v>0.2412528380974559</v>
          </cell>
          <cell r="D171">
            <v>0.35551799953585106</v>
          </cell>
          <cell r="E171">
            <v>0.34322448805824002</v>
          </cell>
          <cell r="F171">
            <v>0.2984984257689513</v>
          </cell>
          <cell r="G171">
            <v>0.25264937864425241</v>
          </cell>
          <cell r="H171">
            <v>0.15740248792734851</v>
          </cell>
          <cell r="I171">
            <v>0.16408079397316028</v>
          </cell>
          <cell r="J171">
            <v>0.25894663028646564</v>
          </cell>
          <cell r="K171">
            <v>0.26958151141248193</v>
          </cell>
          <cell r="M171">
            <v>0.59619070382858852</v>
          </cell>
          <cell r="N171">
            <v>0.20786554893155254</v>
          </cell>
          <cell r="O171">
            <v>0.25288123487322434</v>
          </cell>
          <cell r="P171">
            <v>0.40933140337561003</v>
          </cell>
          <cell r="Q171">
            <v>0.2756216101993379</v>
          </cell>
          <cell r="R171">
            <v>0.25095787315813839</v>
          </cell>
          <cell r="S171">
            <v>0.23075525785485199</v>
          </cell>
          <cell r="T171">
            <v>0.31765766174590049</v>
          </cell>
          <cell r="U171">
            <v>0.29918667766155282</v>
          </cell>
        </row>
        <row r="172">
          <cell r="B172" t="str">
            <v>FY1</v>
          </cell>
          <cell r="C172">
            <v>0.23755990709862407</v>
          </cell>
          <cell r="D172">
            <v>0.35082328912427285</v>
          </cell>
          <cell r="E172">
            <v>0.33604435343603933</v>
          </cell>
          <cell r="F172">
            <v>0.2900204005330686</v>
          </cell>
          <cell r="G172">
            <v>0.25415537194894949</v>
          </cell>
          <cell r="H172">
            <v>0.15520381370329353</v>
          </cell>
          <cell r="I172">
            <v>0.16100989145998601</v>
          </cell>
          <cell r="J172">
            <v>0.25497386104346204</v>
          </cell>
          <cell r="K172">
            <v>0.26312141410989504</v>
          </cell>
          <cell r="M172">
            <v>0.56685275187212625</v>
          </cell>
          <cell r="N172">
            <v>0.20751094817380147</v>
          </cell>
          <cell r="O172">
            <v>0.24378404137562537</v>
          </cell>
          <cell r="P172">
            <v>0.40898315733024737</v>
          </cell>
          <cell r="Q172">
            <v>0.2834829098776766</v>
          </cell>
          <cell r="R172">
            <v>0.2442859432107283</v>
          </cell>
          <cell r="S172">
            <v>0.22380557744828644</v>
          </cell>
          <cell r="T172">
            <v>0.31124361846978449</v>
          </cell>
          <cell r="U172">
            <v>0.29781058624011059</v>
          </cell>
        </row>
        <row r="173">
          <cell r="B173" t="str">
            <v>FY2</v>
          </cell>
          <cell r="C173">
            <v>0.23555990709862318</v>
          </cell>
          <cell r="D173">
            <v>0.35014505191680151</v>
          </cell>
          <cell r="E173">
            <v>0.33504435343603878</v>
          </cell>
          <cell r="F173">
            <v>0.28619698384846876</v>
          </cell>
          <cell r="G173">
            <v>0.25117728981375714</v>
          </cell>
          <cell r="H173">
            <v>0.15520381370329375</v>
          </cell>
          <cell r="I173">
            <v>0.16050989145998562</v>
          </cell>
          <cell r="J173">
            <v>0.25340532732528126</v>
          </cell>
          <cell r="K173">
            <v>0.26030872041871445</v>
          </cell>
          <cell r="M173">
            <v>0.55786444206476882</v>
          </cell>
          <cell r="N173">
            <v>0.21596159783087132</v>
          </cell>
          <cell r="O173">
            <v>0.23879343443399517</v>
          </cell>
          <cell r="P173">
            <v>0.4069831573302467</v>
          </cell>
          <cell r="Q173">
            <v>0.28248290987767782</v>
          </cell>
          <cell r="R173">
            <v>0.24237995437917609</v>
          </cell>
          <cell r="S173">
            <v>0.21870557744828625</v>
          </cell>
          <cell r="T173">
            <v>0.30902443905214605</v>
          </cell>
          <cell r="U173">
            <v>0.29623593800541625</v>
          </cell>
        </row>
        <row r="174">
          <cell r="B174" t="str">
            <v>FQ(3)</v>
          </cell>
          <cell r="C174">
            <v>0.26415612974161629</v>
          </cell>
          <cell r="D174">
            <v>0.37946315338480124</v>
          </cell>
          <cell r="E174">
            <v>0.37622619734564339</v>
          </cell>
          <cell r="F174">
            <v>0.31594372801875731</v>
          </cell>
          <cell r="G174">
            <v>0.25018912993790099</v>
          </cell>
          <cell r="H174">
            <v>0.16081234382380219</v>
          </cell>
          <cell r="I174">
            <v>0.16881469579883809</v>
          </cell>
          <cell r="J174">
            <v>0.27365791115019422</v>
          </cell>
          <cell r="K174">
            <v>0.28882002576376026</v>
          </cell>
          <cell r="M174">
            <v>0.69242964856272504</v>
          </cell>
          <cell r="N174">
            <v>0.23073642726898419</v>
          </cell>
          <cell r="O174">
            <v>0.25930065359477128</v>
          </cell>
          <cell r="P174">
            <v>0.44101067790723297</v>
          </cell>
          <cell r="Q174">
            <v>0.28333866325551649</v>
          </cell>
          <cell r="R174">
            <v>0.28004500251269826</v>
          </cell>
          <cell r="S174">
            <v>0.25256239669851038</v>
          </cell>
          <cell r="T174">
            <v>0.34848906711434841</v>
          </cell>
          <cell r="U174">
            <v>0.3240205429200293</v>
          </cell>
        </row>
        <row r="175">
          <cell r="B175" t="str">
            <v>FQ(2)</v>
          </cell>
          <cell r="C175">
            <v>0.25380977404098792</v>
          </cell>
          <cell r="D175">
            <v>0.37030928905677624</v>
          </cell>
          <cell r="E175">
            <v>0.3603795507358637</v>
          </cell>
          <cell r="F175">
            <v>0.28344988344988348</v>
          </cell>
          <cell r="G175">
            <v>0.27584494103572038</v>
          </cell>
          <cell r="H175">
            <v>0.1617958698115384</v>
          </cell>
          <cell r="I175">
            <v>0.16658690585921768</v>
          </cell>
          <cell r="J175">
            <v>0.26745374485571255</v>
          </cell>
          <cell r="K175">
            <v>0.27679393603676727</v>
          </cell>
          <cell r="M175">
            <v>0.65748303963617016</v>
          </cell>
          <cell r="N175">
            <v>0.22224625844333584</v>
          </cell>
          <cell r="O175">
            <v>0.254221436870054</v>
          </cell>
          <cell r="P175">
            <v>0.42125815178259163</v>
          </cell>
          <cell r="Q175">
            <v>0.28135593220338984</v>
          </cell>
          <cell r="R175">
            <v>0.25131301987312554</v>
          </cell>
          <cell r="S175">
            <v>0.23690327194707672</v>
          </cell>
          <cell r="T175">
            <v>0.33211158725082057</v>
          </cell>
          <cell r="U175">
            <v>0.30804271598565874</v>
          </cell>
        </row>
        <row r="176">
          <cell r="B176" t="str">
            <v>FQ(1)</v>
          </cell>
          <cell r="C176">
            <v>0.2535176499629721</v>
          </cell>
          <cell r="D176">
            <v>0.37939005929867253</v>
          </cell>
          <cell r="E176">
            <v>0.38525677468258479</v>
          </cell>
          <cell r="F176">
            <v>0.31102783725910066</v>
          </cell>
          <cell r="G176">
            <v>0.25743308089206474</v>
          </cell>
          <cell r="H176">
            <v>0.16427073759602878</v>
          </cell>
          <cell r="I176">
            <v>0.16474850265379282</v>
          </cell>
          <cell r="J176">
            <v>0.27366352033503094</v>
          </cell>
          <cell r="K176">
            <v>0.28439295072744886</v>
          </cell>
          <cell r="M176">
            <v>0.58012243858168677</v>
          </cell>
          <cell r="N176">
            <v>0.20646029325265305</v>
          </cell>
          <cell r="O176">
            <v>0.25804914000977353</v>
          </cell>
          <cell r="P176">
            <v>0.42936053803532004</v>
          </cell>
          <cell r="Q176">
            <v>0.2853162440791307</v>
          </cell>
          <cell r="R176">
            <v>0.28350080276736006</v>
          </cell>
          <cell r="S176">
            <v>0.22598734927851355</v>
          </cell>
          <cell r="T176">
            <v>0.32411382942920541</v>
          </cell>
          <cell r="U176">
            <v>0.31213470922732417</v>
          </cell>
        </row>
        <row r="177">
          <cell r="B177" t="str">
            <v>Last Reported Q</v>
          </cell>
          <cell r="C177">
            <v>0.2412528380974559</v>
          </cell>
          <cell r="D177">
            <v>0.35551799953585106</v>
          </cell>
          <cell r="E177">
            <v>0.34322448805824002</v>
          </cell>
          <cell r="F177">
            <v>0.2984984257689513</v>
          </cell>
          <cell r="G177">
            <v>0.25264937864425241</v>
          </cell>
          <cell r="H177">
            <v>0.15740248792734851</v>
          </cell>
          <cell r="I177">
            <v>0.16408079397316028</v>
          </cell>
          <cell r="J177">
            <v>0.25894663028646564</v>
          </cell>
          <cell r="K177">
            <v>0.26958151141248193</v>
          </cell>
          <cell r="M177">
            <v>0.59619070382858852</v>
          </cell>
          <cell r="N177">
            <v>0.20786554893155254</v>
          </cell>
          <cell r="O177">
            <v>0.25288123487322434</v>
          </cell>
          <cell r="P177">
            <v>0.3662912380693048</v>
          </cell>
          <cell r="Q177">
            <v>0.2756216101993379</v>
          </cell>
          <cell r="R177">
            <v>0.25095787315813839</v>
          </cell>
          <cell r="S177">
            <v>0.23075525785485199</v>
          </cell>
          <cell r="T177">
            <v>0.31150906670214262</v>
          </cell>
          <cell r="U177">
            <v>0.29081885663302726</v>
          </cell>
        </row>
        <row r="178">
          <cell r="B178" t="str">
            <v>LTM</v>
          </cell>
          <cell r="C178">
            <v>0.24755859375</v>
          </cell>
          <cell r="D178">
            <v>0.3640120041067873</v>
          </cell>
          <cell r="E178">
            <v>0.35554192542615454</v>
          </cell>
          <cell r="F178">
            <v>0.29999284538885312</v>
          </cell>
          <cell r="G178">
            <v>0.2559197911040863</v>
          </cell>
          <cell r="H178">
            <v>0.15946225344343146</v>
          </cell>
          <cell r="I178">
            <v>0.16512055876658455</v>
          </cell>
          <cell r="J178">
            <v>0.26394399599798529</v>
          </cell>
          <cell r="K178">
            <v>0.27514697563885587</v>
          </cell>
          <cell r="M178">
            <v>0.61343347301981055</v>
          </cell>
          <cell r="N178">
            <v>0.21197834263964316</v>
          </cell>
          <cell r="O178">
            <v>0.25461418741350766</v>
          </cell>
          <cell r="P178">
            <v>0.40996822786229586</v>
          </cell>
          <cell r="Q178">
            <v>0.27883102905869689</v>
          </cell>
          <cell r="R178">
            <v>0.25861572787938431</v>
          </cell>
          <cell r="S178">
            <v>0.23343201089580387</v>
          </cell>
          <cell r="T178">
            <v>0.32298185696702031</v>
          </cell>
          <cell r="U178">
            <v>0.30073195088102744</v>
          </cell>
        </row>
        <row r="179">
          <cell r="B179" t="str">
            <v>FY(1)</v>
          </cell>
          <cell r="C179">
            <v>1980.6181424947576</v>
          </cell>
          <cell r="D179">
            <v>1984.4633176922603</v>
          </cell>
          <cell r="E179">
            <v>2202.7236417983245</v>
          </cell>
          <cell r="F179">
            <v>1246.211643382778</v>
          </cell>
          <cell r="G179">
            <v>173.8130453674847</v>
          </cell>
          <cell r="H179">
            <v>482.08061137554455</v>
          </cell>
          <cell r="I179">
            <v>1671.8902989417663</v>
          </cell>
          <cell r="J179">
            <v>1391.6858144361308</v>
          </cell>
          <cell r="K179">
            <v>9741.8007010529163</v>
          </cell>
          <cell r="M179">
            <v>789.86515194133233</v>
          </cell>
          <cell r="N179">
            <v>215.33854842049243</v>
          </cell>
          <cell r="O179">
            <v>627.84877745647373</v>
          </cell>
          <cell r="P179">
            <v>1211.6714117526039</v>
          </cell>
          <cell r="Q179">
            <v>1644.5986291646034</v>
          </cell>
          <cell r="R179">
            <v>1068.359336648728</v>
          </cell>
          <cell r="S179">
            <v>255.22575446775724</v>
          </cell>
          <cell r="T179">
            <v>830.4153728359986</v>
          </cell>
          <cell r="U179">
            <v>5812.9076098519899</v>
          </cell>
        </row>
        <row r="180">
          <cell r="B180" t="str">
            <v>Expense Ratio Y/Y bps</v>
          </cell>
          <cell r="C180">
            <v>1705.1856268015219</v>
          </cell>
          <cell r="D180">
            <v>1232.8094973777047</v>
          </cell>
          <cell r="E180">
            <v>1553.8230857746548</v>
          </cell>
          <cell r="F180">
            <v>802.61653937056747</v>
          </cell>
          <cell r="G180">
            <v>-82.354512381842142</v>
          </cell>
          <cell r="H180">
            <v>551.23890722468843</v>
          </cell>
          <cell r="I180">
            <v>1684.3207963303021</v>
          </cell>
          <cell r="J180">
            <v>1063.9485629282283</v>
          </cell>
          <cell r="K180">
            <v>7447.6399404975982</v>
          </cell>
          <cell r="M180">
            <v>536.74816545626607</v>
          </cell>
          <cell r="N180">
            <v>272.88205450139014</v>
          </cell>
          <cell r="O180">
            <v>354.55073316454383</v>
          </cell>
          <cell r="P180">
            <v>1042.1427565666907</v>
          </cell>
          <cell r="Q180">
            <v>1921.1686440084529</v>
          </cell>
          <cell r="R180">
            <v>834.83801786001254</v>
          </cell>
          <cell r="S180">
            <v>323.59547798093331</v>
          </cell>
          <cell r="T180">
            <v>755.13226421975571</v>
          </cell>
          <cell r="U180">
            <v>5285.9258495382901</v>
          </cell>
        </row>
        <row r="181">
          <cell r="B181" t="str">
            <v>FY(1)</v>
          </cell>
          <cell r="C181">
            <v>157.51646442021732</v>
          </cell>
          <cell r="D181">
            <v>205.22599143587615</v>
          </cell>
          <cell r="E181">
            <v>147.01424492728543</v>
          </cell>
          <cell r="F181">
            <v>207.07126584412094</v>
          </cell>
          <cell r="G181">
            <v>39.115990718999186</v>
          </cell>
          <cell r="H181">
            <v>35.070234436621604</v>
          </cell>
          <cell r="I181">
            <v>-0.18946280574666519</v>
          </cell>
          <cell r="J181">
            <v>112.9749612824818</v>
          </cell>
          <cell r="K181">
            <v>97.740067254913356</v>
          </cell>
          <cell r="M181">
            <v>629.97763165476783</v>
          </cell>
          <cell r="N181">
            <v>-31.619890153258833</v>
          </cell>
          <cell r="O181">
            <v>115.26462868643839</v>
          </cell>
          <cell r="P181">
            <v>-80.75685903738416</v>
          </cell>
          <cell r="Q181">
            <v>-72.302435491419232</v>
          </cell>
          <cell r="R181">
            <v>-48.996741320501137</v>
          </cell>
          <cell r="S181">
            <v>-76.662439658733987</v>
          </cell>
          <cell r="T181">
            <v>62.129127811416666</v>
          </cell>
          <cell r="U181">
            <v>25.72822792170637</v>
          </cell>
        </row>
        <row r="182">
          <cell r="B182" t="str">
            <v>FY0</v>
          </cell>
          <cell r="C182">
            <v>10.8894668314502</v>
          </cell>
          <cell r="D182">
            <v>415.04612196544497</v>
          </cell>
          <cell r="E182">
            <v>34.36604400840038</v>
          </cell>
          <cell r="F182">
            <v>104.79368960363666</v>
          </cell>
          <cell r="G182">
            <v>12.591126908975125</v>
          </cell>
          <cell r="H182">
            <v>-27.351287069820039</v>
          </cell>
          <cell r="I182">
            <v>-13.280416780843129</v>
          </cell>
          <cell r="J182">
            <v>76.722106495320517</v>
          </cell>
          <cell r="K182">
            <v>52.249812242551322</v>
          </cell>
          <cell r="M182">
            <v>680.25908917457525</v>
          </cell>
          <cell r="N182">
            <v>-73.963587220474139</v>
          </cell>
          <cell r="O182">
            <v>72.854021407418585</v>
          </cell>
          <cell r="P182">
            <v>232.99399044565573</v>
          </cell>
          <cell r="Q182">
            <v>72.06354795234904</v>
          </cell>
          <cell r="R182">
            <v>-21.577612081865038</v>
          </cell>
          <cell r="S182">
            <v>50.717640703148156</v>
          </cell>
          <cell r="T182">
            <v>144.76387005440017</v>
          </cell>
          <cell r="U182">
            <v>65.737843676863534</v>
          </cell>
        </row>
        <row r="183">
          <cell r="B183" t="str">
            <v>FY1</v>
          </cell>
          <cell r="C183">
            <v>-36.929309988318337</v>
          </cell>
          <cell r="D183">
            <v>-46.947104115782068</v>
          </cell>
          <cell r="E183">
            <v>-71.801346222006842</v>
          </cell>
          <cell r="F183">
            <v>-84.780252358827028</v>
          </cell>
          <cell r="G183">
            <v>15.059933046970841</v>
          </cell>
          <cell r="H183">
            <v>-21.986742240549805</v>
          </cell>
          <cell r="I183">
            <v>-30.709025131742674</v>
          </cell>
          <cell r="J183">
            <v>-39.727692430036043</v>
          </cell>
          <cell r="K183">
            <v>-64.600973025868981</v>
          </cell>
          <cell r="M183">
            <v>-293.37951956462274</v>
          </cell>
          <cell r="N183">
            <v>-3.5460075775106681</v>
          </cell>
          <cell r="O183">
            <v>-90.971934975989655</v>
          </cell>
          <cell r="P183">
            <v>-3.4824604536265458</v>
          </cell>
          <cell r="Q183">
            <v>78.612996783387075</v>
          </cell>
          <cell r="R183">
            <v>-66.719299474100879</v>
          </cell>
          <cell r="S183">
            <v>-69.496804065655454</v>
          </cell>
          <cell r="T183">
            <v>-64.14043276116</v>
          </cell>
          <cell r="U183">
            <v>-13.760914214422382</v>
          </cell>
        </row>
        <row r="184">
          <cell r="B184" t="str">
            <v>FY2</v>
          </cell>
          <cell r="C184">
            <v>-20.0000000000089</v>
          </cell>
          <cell r="D184">
            <v>-6.7823720747134386</v>
          </cell>
          <cell r="E184">
            <v>-10.00000000000556</v>
          </cell>
          <cell r="F184">
            <v>-38.234166845998452</v>
          </cell>
          <cell r="G184">
            <v>-29.780821351923503</v>
          </cell>
          <cell r="H184">
            <v>2.2204460492503131E-12</v>
          </cell>
          <cell r="I184">
            <v>-5.0000000000038902</v>
          </cell>
          <cell r="J184">
            <v>-15.685337181807757</v>
          </cell>
          <cell r="K184">
            <v>-28.126936911805899</v>
          </cell>
          <cell r="M184">
            <v>-89.883098073574303</v>
          </cell>
          <cell r="N184">
            <v>84.506496570698474</v>
          </cell>
          <cell r="O184">
            <v>-49.906069416301989</v>
          </cell>
          <cell r="P184">
            <v>-20.000000000006679</v>
          </cell>
          <cell r="Q184">
            <v>-9.9999999999877964</v>
          </cell>
          <cell r="R184">
            <v>-19.059888315522134</v>
          </cell>
          <cell r="S184">
            <v>-51.000000000001876</v>
          </cell>
          <cell r="T184">
            <v>-22.191794176384395</v>
          </cell>
          <cell r="U184">
            <v>-15.746482346943314</v>
          </cell>
        </row>
        <row r="185">
          <cell r="B185" t="str">
            <v>FQ(1)</v>
          </cell>
          <cell r="C185">
            <v>399</v>
          </cell>
          <cell r="D185">
            <v>67.000000000000114</v>
          </cell>
          <cell r="E185">
            <v>282.00000000000017</v>
          </cell>
          <cell r="F185">
            <v>205.99999999999991</v>
          </cell>
          <cell r="G185">
            <v>-67.604999999999734</v>
          </cell>
          <cell r="H185">
            <v>171.34199999999998</v>
          </cell>
          <cell r="I185">
            <v>422.35000000000019</v>
          </cell>
          <cell r="J185">
            <v>211.44100000000009</v>
          </cell>
          <cell r="K185">
            <v>1480.0870000000007</v>
          </cell>
          <cell r="M185">
            <v>2.8660000000000005</v>
          </cell>
          <cell r="N185">
            <v>65.00999999999992</v>
          </cell>
          <cell r="O185">
            <v>46.316999999999979</v>
          </cell>
          <cell r="P185">
            <v>198.7420000000003</v>
          </cell>
          <cell r="Q185">
            <v>375.00000000000028</v>
          </cell>
          <cell r="R185">
            <v>148.643</v>
          </cell>
          <cell r="S185">
            <v>78.440999999999988</v>
          </cell>
          <cell r="T185">
            <v>130.71700000000007</v>
          </cell>
          <cell r="U185">
            <v>915.01900000000046</v>
          </cell>
        </row>
        <row r="186">
          <cell r="B186" t="str">
            <v>Operating Income</v>
          </cell>
          <cell r="C186">
            <v>338.99999999999983</v>
          </cell>
          <cell r="D186">
            <v>107.0000000000002</v>
          </cell>
          <cell r="E186">
            <v>88.000000000000256</v>
          </cell>
          <cell r="F186">
            <v>171.99999999999989</v>
          </cell>
          <cell r="G186">
            <v>15.793999999999976</v>
          </cell>
          <cell r="H186">
            <v>172.77600000000004</v>
          </cell>
          <cell r="I186">
            <v>578.6699999999995</v>
          </cell>
          <cell r="J186">
            <v>210.4628571428571</v>
          </cell>
          <cell r="K186">
            <v>1473.2399999999998</v>
          </cell>
          <cell r="M186">
            <v>40.445999999999977</v>
          </cell>
          <cell r="N186">
            <v>105.68100000000014</v>
          </cell>
          <cell r="O186">
            <v>70.301999999999992</v>
          </cell>
          <cell r="P186">
            <v>1042.1427565666907</v>
          </cell>
          <cell r="Q186">
            <v>499.99999999999989</v>
          </cell>
          <cell r="R186">
            <v>58.885000000000019</v>
          </cell>
          <cell r="S186">
            <v>95.76100000000018</v>
          </cell>
          <cell r="T186">
            <v>273.31682236667012</v>
          </cell>
          <cell r="U186">
            <v>1913.2177565666907</v>
          </cell>
        </row>
        <row r="187">
          <cell r="B187" t="str">
            <v>FY(10)</v>
          </cell>
          <cell r="C187">
            <v>485.50638863045646</v>
          </cell>
          <cell r="D187">
            <v>454.83386963538283</v>
          </cell>
          <cell r="E187">
            <v>1723.0596260973161</v>
          </cell>
          <cell r="F187">
            <v>738.45824411134856</v>
          </cell>
          <cell r="G187">
            <v>66.281727613653899</v>
          </cell>
          <cell r="H187">
            <v>287.05417646869847</v>
          </cell>
          <cell r="I187">
            <v>975.25368491205768</v>
          </cell>
          <cell r="J187">
            <v>867.71846902713219</v>
          </cell>
          <cell r="K187">
            <v>3470.8738761085287</v>
          </cell>
          <cell r="M187">
            <v>253.55646844534496</v>
          </cell>
          <cell r="N187">
            <v>394.35079233689953</v>
          </cell>
          <cell r="O187">
            <v>175.22153552145889</v>
          </cell>
          <cell r="P187">
            <v>26.474000000000014</v>
          </cell>
          <cell r="Q187">
            <v>1956.3945388687653</v>
          </cell>
          <cell r="R187">
            <v>1144.2814089708986</v>
          </cell>
          <cell r="S187">
            <v>39.337540426959102</v>
          </cell>
          <cell r="T187">
            <v>327.77419067293232</v>
          </cell>
          <cell r="U187">
            <v>1638.8709533646615</v>
          </cell>
        </row>
        <row r="188">
          <cell r="B188" t="str">
            <v>FY(9)</v>
          </cell>
          <cell r="C188">
            <v>693.91973802158805</v>
          </cell>
          <cell r="D188">
            <v>756.13092473995562</v>
          </cell>
          <cell r="E188">
            <v>1827.1086449770082</v>
          </cell>
          <cell r="F188">
            <v>266.29261150659278</v>
          </cell>
          <cell r="H188">
            <v>291.78555250618194</v>
          </cell>
          <cell r="I188">
            <v>1008.5619151459657</v>
          </cell>
          <cell r="J188">
            <v>807.29989781621543</v>
          </cell>
          <cell r="K188">
            <v>4843.7993868972926</v>
          </cell>
          <cell r="M188">
            <v>268.56767956932532</v>
          </cell>
          <cell r="O188">
            <v>166.83186574975571</v>
          </cell>
          <cell r="P188">
            <v>59.872573637159007</v>
          </cell>
          <cell r="R188">
            <v>1122.5496622628291</v>
          </cell>
          <cell r="S188">
            <v>24.391951260244909</v>
          </cell>
          <cell r="T188">
            <v>328.44274649586282</v>
          </cell>
          <cell r="U188">
            <v>1642.2137324793141</v>
          </cell>
        </row>
        <row r="189">
          <cell r="B189" t="str">
            <v>FY(8)</v>
          </cell>
          <cell r="C189">
            <v>912.830461606629</v>
          </cell>
          <cell r="D189">
            <v>799.96102171577115</v>
          </cell>
          <cell r="E189">
            <v>1432.933359721186</v>
          </cell>
          <cell r="F189">
            <v>290.62577110649232</v>
          </cell>
          <cell r="H189">
            <v>301.69612923432788</v>
          </cell>
          <cell r="I189">
            <v>1043.2810810232318</v>
          </cell>
          <cell r="J189">
            <v>796.88797073460637</v>
          </cell>
          <cell r="K189">
            <v>4781.3278244076382</v>
          </cell>
          <cell r="M189">
            <v>289.74730211917876</v>
          </cell>
          <cell r="O189">
            <v>159.35718223413812</v>
          </cell>
          <cell r="P189">
            <v>113.7959941939974</v>
          </cell>
          <cell r="Q189">
            <v>600.1907159357828</v>
          </cell>
          <cell r="R189">
            <v>966.11037711634867</v>
          </cell>
          <cell r="S189">
            <v>36.60963094345874</v>
          </cell>
          <cell r="T189">
            <v>360.96853375715074</v>
          </cell>
          <cell r="U189">
            <v>2165.8112025429045</v>
          </cell>
        </row>
        <row r="190">
          <cell r="B190" t="str">
            <v>FY(7)</v>
          </cell>
          <cell r="C190">
            <v>1156.5458318605124</v>
          </cell>
          <cell r="D190">
            <v>952.02102914901707</v>
          </cell>
          <cell r="E190">
            <v>1479.0339278923957</v>
          </cell>
          <cell r="F190">
            <v>365.97286870857812</v>
          </cell>
          <cell r="G190" t="str">
            <v>NA</v>
          </cell>
          <cell r="H190">
            <v>374.54772447620013</v>
          </cell>
          <cell r="I190">
            <v>1146.9885114400181</v>
          </cell>
          <cell r="J190">
            <v>912.51831558778701</v>
          </cell>
          <cell r="K190">
            <v>5475.1098935267219</v>
          </cell>
          <cell r="M190">
            <v>347.89566377000904</v>
          </cell>
          <cell r="N190" t="str">
            <v>NA</v>
          </cell>
          <cell r="O190">
            <v>169.11954156440302</v>
          </cell>
          <cell r="P190">
            <v>132.64145750097384</v>
          </cell>
          <cell r="Q190">
            <v>1262.4916241331193</v>
          </cell>
          <cell r="R190">
            <v>1071.3813754740067</v>
          </cell>
          <cell r="S190">
            <v>58.974819103510981</v>
          </cell>
          <cell r="T190">
            <v>507.08408025767045</v>
          </cell>
          <cell r="U190">
            <v>3042.5044815460228</v>
          </cell>
        </row>
        <row r="191">
          <cell r="B191" t="str">
            <v>FY(6)</v>
          </cell>
          <cell r="C191">
            <v>1110.9592223864277</v>
          </cell>
          <cell r="D191">
            <v>887.96830557822909</v>
          </cell>
          <cell r="E191">
            <v>1475.978670652361</v>
          </cell>
          <cell r="F191">
            <v>532.23532413226133</v>
          </cell>
          <cell r="G191" t="str">
            <v>NA</v>
          </cell>
          <cell r="H191">
            <v>421.06482424252988</v>
          </cell>
          <cell r="I191">
            <v>1219.1001386003595</v>
          </cell>
          <cell r="J191">
            <v>941.21774759869459</v>
          </cell>
          <cell r="K191">
            <v>5647.3064855921675</v>
          </cell>
          <cell r="M191">
            <v>369.2668365757271</v>
          </cell>
          <cell r="N191">
            <v>97.254885945739034</v>
          </cell>
          <cell r="O191">
            <v>158.77767171943319</v>
          </cell>
          <cell r="P191">
            <v>223.20367713801565</v>
          </cell>
          <cell r="Q191">
            <v>2114.0535915546652</v>
          </cell>
          <cell r="R191">
            <v>1185.4625330413942</v>
          </cell>
          <cell r="S191">
            <v>94.58352886198692</v>
          </cell>
          <cell r="T191">
            <v>606.08610354813743</v>
          </cell>
          <cell r="U191">
            <v>4242.6027248369619</v>
          </cell>
        </row>
        <row r="192">
          <cell r="B192" t="str">
            <v>FY(5)</v>
          </cell>
          <cell r="C192">
            <v>1327.2810663472981</v>
          </cell>
          <cell r="D192">
            <v>1363.3222942359873</v>
          </cell>
          <cell r="E192">
            <v>1534.031924074967</v>
          </cell>
          <cell r="F192">
            <v>779.85642988208429</v>
          </cell>
          <cell r="G192">
            <v>56.136268401386211</v>
          </cell>
          <cell r="H192">
            <v>336.38059571826591</v>
          </cell>
          <cell r="I192">
            <v>1301.661646187174</v>
          </cell>
          <cell r="J192">
            <v>956.95288926388037</v>
          </cell>
          <cell r="K192">
            <v>6698.6702248471629</v>
          </cell>
          <cell r="M192">
            <v>429.36043175478039</v>
          </cell>
          <cell r="N192">
            <v>151.96385778846152</v>
          </cell>
          <cell r="O192">
            <v>404.77580086465468</v>
          </cell>
          <cell r="P192">
            <v>397.9131168529151</v>
          </cell>
          <cell r="Q192">
            <v>2280.1902642154814</v>
          </cell>
          <cell r="R192">
            <v>1230.245379450329</v>
          </cell>
          <cell r="S192">
            <v>165.51726670602028</v>
          </cell>
          <cell r="T192">
            <v>722.85230251894893</v>
          </cell>
          <cell r="U192">
            <v>5059.9661176326426</v>
          </cell>
        </row>
        <row r="193">
          <cell r="B193" t="str">
            <v>FY(4)</v>
          </cell>
          <cell r="C193">
            <v>1565.4378204279326</v>
          </cell>
          <cell r="D193">
            <v>1738.7575625986995</v>
          </cell>
          <cell r="E193">
            <v>2215.3327716330614</v>
          </cell>
          <cell r="F193">
            <v>960.91185864544013</v>
          </cell>
          <cell r="G193">
            <v>-26.280904432310574</v>
          </cell>
          <cell r="H193">
            <v>369.61270424936185</v>
          </cell>
          <cell r="I193">
            <v>1321.0695433166463</v>
          </cell>
          <cell r="J193">
            <v>1163.5487652055474</v>
          </cell>
          <cell r="K193">
            <v>8144.8413564388311</v>
          </cell>
          <cell r="M193">
            <v>645.09067297176182</v>
          </cell>
          <cell r="N193">
            <v>148.87318131466253</v>
          </cell>
          <cell r="O193">
            <v>500.32993354617793</v>
          </cell>
          <cell r="P193">
            <v>574.46943808753178</v>
          </cell>
          <cell r="Q193">
            <v>1878.3884391216775</v>
          </cell>
          <cell r="R193">
            <v>1072.0481055115672</v>
          </cell>
          <cell r="S193">
            <v>219.24526081544155</v>
          </cell>
          <cell r="T193">
            <v>719.77786162411724</v>
          </cell>
          <cell r="U193">
            <v>5038.4450313688203</v>
          </cell>
        </row>
        <row r="194">
          <cell r="B194" t="str">
            <v>FY(3)</v>
          </cell>
          <cell r="C194">
            <v>1986.8854496897454</v>
          </cell>
          <cell r="D194">
            <v>2015.8491990278244</v>
          </cell>
          <cell r="E194">
            <v>2395.6367130314761</v>
          </cell>
          <cell r="F194">
            <v>1180.6253732754576</v>
          </cell>
          <cell r="G194">
            <v>105.98450218643146</v>
          </cell>
          <cell r="H194">
            <v>428.50716111120238</v>
          </cell>
          <cell r="I194">
            <v>1532.0897485636781</v>
          </cell>
          <cell r="J194">
            <v>1377.9397352694025</v>
          </cell>
          <cell r="K194">
            <v>9645.5781468858168</v>
          </cell>
          <cell r="M194">
            <v>751.22542850829609</v>
          </cell>
          <cell r="N194">
            <v>174.35257387578639</v>
          </cell>
          <cell r="O194">
            <v>624.34594845746699</v>
          </cell>
          <cell r="P194">
            <v>746.30143442651263</v>
          </cell>
          <cell r="Q194">
            <v>1451.1546513463388</v>
          </cell>
          <cell r="R194">
            <v>1270.23310915313</v>
          </cell>
          <cell r="S194">
            <v>182.36046176901246</v>
          </cell>
          <cell r="T194">
            <v>742.85337250522048</v>
          </cell>
          <cell r="U194">
            <v>5199.9736075365436</v>
          </cell>
        </row>
        <row r="195">
          <cell r="B195" t="str">
            <v>FY(2)</v>
          </cell>
          <cell r="C195">
            <v>1980.6181424947576</v>
          </cell>
          <cell r="D195">
            <v>1984.4633176922603</v>
          </cell>
          <cell r="E195">
            <v>2202.7236417983245</v>
          </cell>
          <cell r="F195">
            <v>1246.211643382778</v>
          </cell>
          <cell r="G195">
            <v>173.8130453674847</v>
          </cell>
          <cell r="H195">
            <v>482.08061137554455</v>
          </cell>
          <cell r="I195">
            <v>1671.8902989417663</v>
          </cell>
          <cell r="J195">
            <v>1391.6858144361308</v>
          </cell>
          <cell r="K195">
            <v>9741.8007010529163</v>
          </cell>
          <cell r="M195">
            <v>828.27815194133564</v>
          </cell>
          <cell r="N195">
            <v>215.33854842049243</v>
          </cell>
          <cell r="O195">
            <v>627.84877745647373</v>
          </cell>
          <cell r="P195">
            <v>1024.8933082993212</v>
          </cell>
          <cell r="Q195">
            <v>1644.5986291646034</v>
          </cell>
          <cell r="R195">
            <v>1068.359336648728</v>
          </cell>
          <cell r="S195">
            <v>255.22575446775724</v>
          </cell>
          <cell r="T195">
            <v>809.22035805695862</v>
          </cell>
          <cell r="U195">
            <v>5664.5425063987104</v>
          </cell>
        </row>
        <row r="196">
          <cell r="B196" t="str">
            <v>FY(1)</v>
          </cell>
          <cell r="C196">
            <v>1705.1856268015219</v>
          </cell>
          <cell r="D196">
            <v>1232.8094973777047</v>
          </cell>
          <cell r="E196">
            <v>1553.8230857746548</v>
          </cell>
          <cell r="F196">
            <v>798.68184271838584</v>
          </cell>
          <cell r="G196">
            <v>-78.277512381842001</v>
          </cell>
          <cell r="H196">
            <v>551.23890722468843</v>
          </cell>
          <cell r="I196">
            <v>1685.8577701460415</v>
          </cell>
          <cell r="J196">
            <v>1064.1884596658795</v>
          </cell>
          <cell r="K196">
            <v>7449.3192176611565</v>
          </cell>
          <cell r="M196">
            <v>565.02656921650953</v>
          </cell>
          <cell r="N196">
            <v>269.98135982676371</v>
          </cell>
          <cell r="O196">
            <v>354.04039646842591</v>
          </cell>
          <cell r="P196">
            <v>1211.6714117526039</v>
          </cell>
          <cell r="Q196">
            <v>1921.1686440084529</v>
          </cell>
          <cell r="R196">
            <v>834.83801786001254</v>
          </cell>
          <cell r="S196">
            <v>313.79271877126615</v>
          </cell>
          <cell r="T196">
            <v>781.50273112914783</v>
          </cell>
          <cell r="U196">
            <v>5470.5191179040348</v>
          </cell>
        </row>
        <row r="197">
          <cell r="B197" t="str">
            <v>FY0</v>
          </cell>
          <cell r="C197">
            <v>1917.1194702536768</v>
          </cell>
          <cell r="D197">
            <v>781.47518758588342</v>
          </cell>
          <cell r="E197">
            <v>1586.9995350025417</v>
          </cell>
          <cell r="F197">
            <v>853.57339587430897</v>
          </cell>
          <cell r="G197">
            <v>17.50706678990792</v>
          </cell>
          <cell r="H197">
            <v>781.03306781757033</v>
          </cell>
          <cell r="I197">
            <v>2201.0009309468269</v>
          </cell>
          <cell r="J197">
            <v>1162.6726648958168</v>
          </cell>
          <cell r="K197">
            <v>8138.7086542707166</v>
          </cell>
          <cell r="M197">
            <v>237.83213091594212</v>
          </cell>
          <cell r="N197">
            <v>403.73291383466682</v>
          </cell>
          <cell r="O197">
            <v>325.08544655232197</v>
          </cell>
          <cell r="P197">
            <v>1042.1427565666907</v>
          </cell>
          <cell r="Q197">
            <v>2237.9224510405411</v>
          </cell>
          <cell r="R197">
            <v>1023.0921257582751</v>
          </cell>
          <cell r="S197">
            <v>351.1769179604114</v>
          </cell>
          <cell r="T197">
            <v>802.99782037554985</v>
          </cell>
          <cell r="U197">
            <v>5620.9847426288488</v>
          </cell>
        </row>
        <row r="198">
          <cell r="B198" t="str">
            <v>FY1</v>
          </cell>
          <cell r="C198">
            <v>2251.8113812011547</v>
          </cell>
          <cell r="D198">
            <v>950.1012154893956</v>
          </cell>
          <cell r="E198">
            <v>1883.6398911998326</v>
          </cell>
          <cell r="F198">
            <v>1089.9505033320954</v>
          </cell>
          <cell r="G198">
            <v>73.509240114675933</v>
          </cell>
          <cell r="H198">
            <v>906.45911066223948</v>
          </cell>
          <cell r="I198">
            <v>2509.6654245613058</v>
          </cell>
          <cell r="J198">
            <v>1380.7338237943857</v>
          </cell>
          <cell r="K198">
            <v>9665.1367665606995</v>
          </cell>
          <cell r="M198">
            <v>349.32531972063566</v>
          </cell>
          <cell r="N198">
            <v>436.51131068441123</v>
          </cell>
          <cell r="O198">
            <v>451.53609929285483</v>
          </cell>
          <cell r="P198">
            <v>1133.0035071318157</v>
          </cell>
          <cell r="Q198">
            <v>2229.3598641723124</v>
          </cell>
          <cell r="R198">
            <v>1190.1195104238896</v>
          </cell>
          <cell r="S198">
            <v>442.80259153562491</v>
          </cell>
          <cell r="T198">
            <v>890.37974328022062</v>
          </cell>
          <cell r="U198">
            <v>6232.6582029615447</v>
          </cell>
        </row>
        <row r="199">
          <cell r="B199" t="str">
            <v>FY2</v>
          </cell>
          <cell r="C199">
            <v>2531.3005039312252</v>
          </cell>
          <cell r="D199">
            <v>1018.6683833273149</v>
          </cell>
          <cell r="E199">
            <v>1947.6346240361752</v>
          </cell>
          <cell r="F199">
            <v>1181.9016384231893</v>
          </cell>
          <cell r="G199">
            <v>122.76616566210181</v>
          </cell>
          <cell r="H199">
            <v>980.82856053693729</v>
          </cell>
          <cell r="I199">
            <v>2623.3346912949105</v>
          </cell>
          <cell r="J199">
            <v>1486.6335096016935</v>
          </cell>
          <cell r="K199">
            <v>10406.434567211854</v>
          </cell>
          <cell r="M199">
            <v>443.37392089506665</v>
          </cell>
          <cell r="N199">
            <v>431.7260319132667</v>
          </cell>
          <cell r="O199">
            <v>538.59539119682017</v>
          </cell>
          <cell r="P199">
            <v>1211.6901871378634</v>
          </cell>
          <cell r="Q199">
            <v>2165.2817026002863</v>
          </cell>
          <cell r="R199">
            <v>1262.8606520739111</v>
          </cell>
          <cell r="S199">
            <v>521.64599501463044</v>
          </cell>
          <cell r="T199">
            <v>939.31055440454918</v>
          </cell>
          <cell r="U199">
            <v>6575.1738808318441</v>
          </cell>
        </row>
        <row r="200">
          <cell r="B200" t="str">
            <v>FQ(3)</v>
          </cell>
          <cell r="C200">
            <v>250.99999999999989</v>
          </cell>
          <cell r="D200">
            <v>106.00000000000014</v>
          </cell>
          <cell r="E200">
            <v>23.999999999999979</v>
          </cell>
          <cell r="F200">
            <v>146.00000000000006</v>
          </cell>
          <cell r="G200">
            <v>2.3769999999999976</v>
          </cell>
          <cell r="H200">
            <v>150.86000000000007</v>
          </cell>
          <cell r="I200">
            <v>345.8210000000002</v>
          </cell>
          <cell r="J200">
            <v>146.57971428571432</v>
          </cell>
          <cell r="K200">
            <v>1026.0580000000002</v>
          </cell>
          <cell r="M200">
            <v>-33.879000000000005</v>
          </cell>
          <cell r="N200">
            <v>56.14400000000019</v>
          </cell>
          <cell r="O200">
            <v>27.352999999999973</v>
          </cell>
          <cell r="P200">
            <v>198.7420000000003</v>
          </cell>
          <cell r="Q200">
            <v>352.99999999999955</v>
          </cell>
          <cell r="R200">
            <v>65.212000000000018</v>
          </cell>
          <cell r="S200">
            <v>46.119999999999983</v>
          </cell>
          <cell r="T200">
            <v>101.81314285714286</v>
          </cell>
          <cell r="U200">
            <v>712.69200000000001</v>
          </cell>
        </row>
        <row r="201">
          <cell r="B201" t="str">
            <v>FQ(2)</v>
          </cell>
          <cell r="C201">
            <v>399</v>
          </cell>
          <cell r="D201">
            <v>67.000000000000114</v>
          </cell>
          <cell r="E201">
            <v>282.00000000000017</v>
          </cell>
          <cell r="F201">
            <v>205.99999999999991</v>
          </cell>
          <cell r="G201">
            <v>-67.604999999999734</v>
          </cell>
          <cell r="H201">
            <v>171.34199999999998</v>
          </cell>
          <cell r="I201">
            <v>422.35000000000019</v>
          </cell>
          <cell r="J201">
            <v>211.44100000000009</v>
          </cell>
          <cell r="K201">
            <v>1480.0870000000007</v>
          </cell>
          <cell r="M201">
            <v>8.8859999999999726</v>
          </cell>
          <cell r="N201">
            <v>65.00999999999992</v>
          </cell>
          <cell r="O201">
            <v>46.316999999999979</v>
          </cell>
          <cell r="P201">
            <v>219.68699999999981</v>
          </cell>
          <cell r="Q201">
            <v>375.00000000000028</v>
          </cell>
          <cell r="R201">
            <v>148.643</v>
          </cell>
          <cell r="S201">
            <v>78.440999999999988</v>
          </cell>
          <cell r="T201">
            <v>134.56914285714285</v>
          </cell>
          <cell r="U201">
            <v>941.98400000000004</v>
          </cell>
        </row>
        <row r="202">
          <cell r="B202" t="str">
            <v>FQ(1)</v>
          </cell>
          <cell r="C202">
            <v>338.99999999999983</v>
          </cell>
          <cell r="D202">
            <v>106.99999999999997</v>
          </cell>
          <cell r="E202">
            <v>88.000000000000256</v>
          </cell>
          <cell r="F202">
            <v>171.99999999999989</v>
          </cell>
          <cell r="G202">
            <v>15.793999999999976</v>
          </cell>
          <cell r="H202">
            <v>172.77600000000004</v>
          </cell>
          <cell r="I202">
            <v>578.6699999999995</v>
          </cell>
          <cell r="J202">
            <v>210.46285714285705</v>
          </cell>
          <cell r="K202">
            <v>1473.2399999999993</v>
          </cell>
          <cell r="M202">
            <v>45.396999999999963</v>
          </cell>
          <cell r="N202">
            <v>105.68100000000014</v>
          </cell>
          <cell r="O202">
            <v>70.301999999999992</v>
          </cell>
          <cell r="P202">
            <v>223.24699999999987</v>
          </cell>
          <cell r="Q202">
            <v>499.99999999999989</v>
          </cell>
          <cell r="R202">
            <v>58.885000000000019</v>
          </cell>
          <cell r="S202">
            <v>95.76100000000018</v>
          </cell>
          <cell r="T202">
            <v>157.03899999999999</v>
          </cell>
          <cell r="U202">
            <v>1099.2729999999999</v>
          </cell>
        </row>
        <row r="203">
          <cell r="B203" t="str">
            <v>Last Reported Q</v>
          </cell>
          <cell r="C203">
            <v>1917.1194702536768</v>
          </cell>
          <cell r="D203">
            <v>781.47518758588342</v>
          </cell>
          <cell r="E203">
            <v>1586.9995350025417</v>
          </cell>
          <cell r="F203">
            <v>853.57339587430897</v>
          </cell>
          <cell r="G203">
            <v>17.50706678990792</v>
          </cell>
          <cell r="H203">
            <v>781.03306781757033</v>
          </cell>
          <cell r="I203">
            <v>2201.0009309468269</v>
          </cell>
          <cell r="J203">
            <v>1162.6726648958168</v>
          </cell>
          <cell r="K203">
            <v>8138.7086542707166</v>
          </cell>
          <cell r="M203">
            <v>237.83213091594212</v>
          </cell>
          <cell r="N203">
            <v>403.73291383466682</v>
          </cell>
          <cell r="O203">
            <v>325.08544655232197</v>
          </cell>
          <cell r="P203">
            <v>380.83699999999959</v>
          </cell>
          <cell r="Q203">
            <v>2237.9224510405411</v>
          </cell>
          <cell r="R203">
            <v>1023.0921257582751</v>
          </cell>
          <cell r="S203">
            <v>351.1769179604114</v>
          </cell>
          <cell r="T203">
            <v>708.52556943745117</v>
          </cell>
          <cell r="U203">
            <v>4959.6789860621584</v>
          </cell>
        </row>
        <row r="204">
          <cell r="B204" t="str">
            <v>LTM</v>
          </cell>
          <cell r="C204">
            <v>3643.2917986624552</v>
          </cell>
          <cell r="D204">
            <v>2040.2485263565161</v>
          </cell>
          <cell r="E204">
            <v>5284.3343101031896</v>
          </cell>
          <cell r="F204">
            <v>1706.526191413946</v>
          </cell>
          <cell r="G204">
            <v>160.88197181609078</v>
          </cell>
          <cell r="H204">
            <v>1446.3537456975037</v>
          </cell>
          <cell r="I204">
            <v>3755.293062116757</v>
          </cell>
          <cell r="J204">
            <v>2576.7042294523512</v>
          </cell>
          <cell r="K204">
            <v>18036.929606166457</v>
          </cell>
          <cell r="M204">
            <v>676.34837726324224</v>
          </cell>
          <cell r="N204">
            <v>726.79863290245214</v>
          </cell>
          <cell r="O204">
            <v>579.50627913168728</v>
          </cell>
          <cell r="P204">
            <v>1195.8315056032586</v>
          </cell>
          <cell r="Q204">
            <v>3324.8616619452255</v>
          </cell>
          <cell r="R204">
            <v>2730.3149800887913</v>
          </cell>
          <cell r="S204">
            <v>662.80864971036158</v>
          </cell>
          <cell r="T204">
            <v>1413.7814409492883</v>
          </cell>
          <cell r="U204">
            <v>9896.4700866450185</v>
          </cell>
        </row>
        <row r="205">
          <cell r="B205" t="str">
            <v>FQ(1)</v>
          </cell>
          <cell r="C205">
            <v>0.104834471886495</v>
          </cell>
          <cell r="D205">
            <v>1.6993645456715101E-2</v>
          </cell>
          <cell r="E205">
            <v>5.4608830364058898E-2</v>
          </cell>
          <cell r="F205">
            <v>9.6037296037295994E-2</v>
          </cell>
          <cell r="G205">
            <v>-0.120358699367629</v>
          </cell>
          <cell r="H205">
            <v>9.6878046132726006E-2</v>
          </cell>
          <cell r="I205">
            <v>8.8962087216757899E-2</v>
          </cell>
          <cell r="J205">
            <v>4.8279382532345698E-2</v>
          </cell>
          <cell r="K205">
            <v>6.6864824225143879E-2</v>
          </cell>
          <cell r="M205">
            <v>4.4197088790501804E-3</v>
          </cell>
          <cell r="N205">
            <v>0.14350359807513999</v>
          </cell>
          <cell r="O205">
            <v>7.0433822590161704E-2</v>
          </cell>
          <cell r="P205">
            <v>0.26859241099604197</v>
          </cell>
          <cell r="Q205">
            <v>0.115562403697997</v>
          </cell>
          <cell r="R205">
            <v>7.1926004422701903E-2</v>
          </cell>
          <cell r="S205">
            <v>0.17103478651450199</v>
          </cell>
          <cell r="T205">
            <v>0.12078181931079925</v>
          </cell>
          <cell r="U205">
            <v>0.11065320313208579</v>
          </cell>
        </row>
        <row r="206">
          <cell r="B206" t="str">
            <v>Operating Margin</v>
          </cell>
          <cell r="C206">
            <v>8.3683041224388993E-2</v>
          </cell>
          <cell r="D206">
            <v>2.5601796602830601E-2</v>
          </cell>
          <cell r="E206">
            <v>1.6676141747204901E-2</v>
          </cell>
          <cell r="F206">
            <v>9.2077087794432494E-2</v>
          </cell>
          <cell r="G206">
            <v>2.50129071288527E-2</v>
          </cell>
          <cell r="H206">
            <v>9.9060912002999796E-2</v>
          </cell>
          <cell r="I206">
            <v>0.110329067258271</v>
          </cell>
          <cell r="J206">
            <v>6.4634421965568636E-2</v>
          </cell>
          <cell r="K206">
            <v>6.4065296636237681E-2</v>
          </cell>
          <cell r="M206">
            <v>5.2842888890921202E-2</v>
          </cell>
          <cell r="N206">
            <v>0.18611117959699799</v>
          </cell>
          <cell r="O206">
            <v>9.3865910420021306E-2</v>
          </cell>
          <cell r="P206">
            <v>0.32259807451016098</v>
          </cell>
          <cell r="Q206">
            <v>0.139314572304263</v>
          </cell>
          <cell r="R206">
            <v>3.3131912386811499E-2</v>
          </cell>
          <cell r="S206">
            <v>0.18928839691638699</v>
          </cell>
          <cell r="T206">
            <v>0.145307562146509</v>
          </cell>
          <cell r="U206">
            <v>0.17105426560082906</v>
          </cell>
        </row>
        <row r="207">
          <cell r="B207" t="str">
            <v>FY(10)</v>
          </cell>
          <cell r="C207">
            <v>0.10654125948116</v>
          </cell>
          <cell r="D207">
            <v>4.1285515537297798E-2</v>
          </cell>
          <cell r="E207">
            <v>0.107496389425249</v>
          </cell>
          <cell r="F207">
            <v>7.5295932389064305E-2</v>
          </cell>
          <cell r="G207" t="str">
            <v>NA</v>
          </cell>
          <cell r="H207">
            <v>0.11628038475819399</v>
          </cell>
          <cell r="I207">
            <v>0.11088291171594</v>
          </cell>
          <cell r="J207">
            <v>9.2963732217817521E-2</v>
          </cell>
          <cell r="K207">
            <v>5.049133925846503E-2</v>
          </cell>
          <cell r="M207">
            <v>0.24596643615836999</v>
          </cell>
          <cell r="N207" t="str">
            <v>NA</v>
          </cell>
          <cell r="O207">
            <v>0.210576485056506</v>
          </cell>
          <cell r="P207">
            <v>5.21366494610866E-2</v>
          </cell>
          <cell r="Q207" t="str">
            <v>NA</v>
          </cell>
          <cell r="R207">
            <v>0.117169916953809</v>
          </cell>
          <cell r="S207">
            <v>0.141444450374341</v>
          </cell>
          <cell r="T207">
            <v>0.15345878760082252</v>
          </cell>
          <cell r="U207">
            <v>6.7493365584078646E-2</v>
          </cell>
        </row>
        <row r="208">
          <cell r="B208" t="str">
            <v>FY(9)</v>
          </cell>
          <cell r="C208">
            <v>0.11279212932310199</v>
          </cell>
          <cell r="D208">
            <v>2.3743356300318898E-2</v>
          </cell>
          <cell r="E208">
            <v>0.10981540118866499</v>
          </cell>
          <cell r="F208">
            <v>4.8166922190552901E-2</v>
          </cell>
          <cell r="G208" t="str">
            <v>NA</v>
          </cell>
          <cell r="H208">
            <v>0.107708140232083</v>
          </cell>
          <cell r="I208">
            <v>0.105288786242118</v>
          </cell>
          <cell r="J208">
            <v>8.4585789246139964E-2</v>
          </cell>
          <cell r="K208">
            <v>6.6854567253156583E-2</v>
          </cell>
          <cell r="M208">
            <v>0.217006150246222</v>
          </cell>
          <cell r="N208" t="str">
            <v>NA</v>
          </cell>
          <cell r="O208">
            <v>0.15761843759838001</v>
          </cell>
          <cell r="P208">
            <v>0.109057511178796</v>
          </cell>
          <cell r="Q208">
            <v>0.119617483966938</v>
          </cell>
          <cell r="R208">
            <v>0.123628817429827</v>
          </cell>
          <cell r="S208">
            <v>8.2591350307093706E-2</v>
          </cell>
          <cell r="T208">
            <v>0.1349199584545428</v>
          </cell>
          <cell r="U208">
            <v>6.2671835934588374E-2</v>
          </cell>
        </row>
        <row r="209">
          <cell r="B209" t="str">
            <v>FY(8)</v>
          </cell>
          <cell r="C209">
            <v>0.121895261387256</v>
          </cell>
          <cell r="D209">
            <v>4.4840864445951298E-2</v>
          </cell>
          <cell r="E209">
            <v>9.0778166596210699E-2</v>
          </cell>
          <cell r="F209">
            <v>5.1583078684107803E-2</v>
          </cell>
          <cell r="G209" t="str">
            <v>NA</v>
          </cell>
          <cell r="H209">
            <v>0.101016719112437</v>
          </cell>
          <cell r="I209">
            <v>9.7420980097599405E-2</v>
          </cell>
          <cell r="J209">
            <v>8.4589178387260364E-2</v>
          </cell>
          <cell r="K209">
            <v>7.9104256172474144E-2</v>
          </cell>
          <cell r="M209">
            <v>0.21229194801138199</v>
          </cell>
          <cell r="N209" t="str">
            <v>NA</v>
          </cell>
          <cell r="O209">
            <v>0.125354912836943</v>
          </cell>
          <cell r="P209">
            <v>0.18950491213689699</v>
          </cell>
          <cell r="Q209">
            <v>4.3341725905182898E-2</v>
          </cell>
          <cell r="R209">
            <v>0.11469908311959499</v>
          </cell>
          <cell r="S209">
            <v>0.104911281424867</v>
          </cell>
          <cell r="T209">
            <v>0.13168397723914449</v>
          </cell>
          <cell r="U209">
            <v>8.2446112098941496E-2</v>
          </cell>
        </row>
        <row r="210">
          <cell r="B210" t="str">
            <v>FY(7)</v>
          </cell>
          <cell r="C210">
            <v>0.126810245320187</v>
          </cell>
          <cell r="D210">
            <v>5.4764210144329098E-2</v>
          </cell>
          <cell r="E210">
            <v>9.4986444537434697E-2</v>
          </cell>
          <cell r="F210">
            <v>6.1563338351046402E-2</v>
          </cell>
          <cell r="G210" t="str">
            <v>NA</v>
          </cell>
          <cell r="H210">
            <v>0.106063638704699</v>
          </cell>
          <cell r="I210">
            <v>9.5732300713944604E-2</v>
          </cell>
          <cell r="J210">
            <v>8.9986696295273463E-2</v>
          </cell>
          <cell r="K210">
            <v>8.6178097504502726E-2</v>
          </cell>
          <cell r="M210">
            <v>0.21801293290269699</v>
          </cell>
          <cell r="N210">
            <v>0.11287410012405499</v>
          </cell>
          <cell r="O210">
            <v>0.122291365147881</v>
          </cell>
          <cell r="P210">
            <v>0.18437789477477601</v>
          </cell>
          <cell r="Q210">
            <v>8.7338806887471199E-2</v>
          </cell>
          <cell r="R210">
            <v>0.12687120223199699</v>
          </cell>
          <cell r="S210">
            <v>0.13950150466586</v>
          </cell>
          <cell r="T210">
            <v>0.14160968667639101</v>
          </cell>
          <cell r="U210">
            <v>0.11034969363981655</v>
          </cell>
        </row>
        <row r="211">
          <cell r="B211" t="str">
            <v>FY(6)</v>
          </cell>
          <cell r="C211">
            <v>0.108047954277254</v>
          </cell>
          <cell r="D211">
            <v>5.0703380664547999E-2</v>
          </cell>
          <cell r="E211">
            <v>9.5768146292003697E-2</v>
          </cell>
          <cell r="F211">
            <v>8.2535377465315002E-2</v>
          </cell>
          <cell r="G211">
            <v>1.9157145659343199E-2</v>
          </cell>
          <cell r="H211">
            <v>0.107398523189671</v>
          </cell>
          <cell r="I211">
            <v>9.1469523537726499E-2</v>
          </cell>
          <cell r="J211">
            <v>7.929715015512305E-2</v>
          </cell>
          <cell r="K211">
            <v>8.1436451313366839E-2</v>
          </cell>
          <cell r="M211">
            <v>0.216222561525163</v>
          </cell>
          <cell r="N211">
            <v>0.13234334049889099</v>
          </cell>
          <cell r="O211">
            <v>0.110612853320826</v>
          </cell>
          <cell r="P211">
            <v>0.240935051303657</v>
          </cell>
          <cell r="Q211">
            <v>0.13334704983153001</v>
          </cell>
          <cell r="R211">
            <v>0.13269152851048399</v>
          </cell>
          <cell r="S211">
            <v>0.17248405496012101</v>
          </cell>
          <cell r="T211">
            <v>0.16266234856438172</v>
          </cell>
          <cell r="U211">
            <v>0.14076028169944199</v>
          </cell>
        </row>
        <row r="212">
          <cell r="A212">
            <v>2000</v>
          </cell>
          <cell r="B212" t="str">
            <v>FY(5)</v>
          </cell>
          <cell r="C212">
            <v>0.113436039411941</v>
          </cell>
          <cell r="D212">
            <v>7.5338323067859606E-2</v>
          </cell>
          <cell r="E212">
            <v>9.7238331901303696E-2</v>
          </cell>
          <cell r="F212">
            <v>0.109355106748422</v>
          </cell>
          <cell r="G212">
            <v>2.0287941822930301E-2</v>
          </cell>
          <cell r="H212">
            <v>7.93352332713676E-2</v>
          </cell>
          <cell r="I212">
            <v>8.7280861632871007E-2</v>
          </cell>
          <cell r="J212">
            <v>8.3181691122385035E-2</v>
          </cell>
          <cell r="K212">
            <v>8.9764950782320344E-2</v>
          </cell>
          <cell r="M212">
            <v>0.21242279879459999</v>
          </cell>
          <cell r="N212">
            <v>0.157604196782929</v>
          </cell>
          <cell r="O212">
            <v>0.21516424576365001</v>
          </cell>
          <cell r="P212">
            <v>0.31275101536816402</v>
          </cell>
          <cell r="Q212">
            <v>0.14017275860425901</v>
          </cell>
          <cell r="R212">
            <v>0.130761541438074</v>
          </cell>
          <cell r="S212">
            <v>0.19996045509637</v>
          </cell>
          <cell r="T212">
            <v>0.19554814454972089</v>
          </cell>
          <cell r="U212">
            <v>0.1550136456617576</v>
          </cell>
        </row>
        <row r="213">
          <cell r="A213">
            <v>2001</v>
          </cell>
          <cell r="B213" t="str">
            <v>FY(4)</v>
          </cell>
          <cell r="C213">
            <v>0.11680454107743</v>
          </cell>
          <cell r="D213">
            <v>9.2580669964256401E-2</v>
          </cell>
          <cell r="E213">
            <v>9.8942955410141198E-2</v>
          </cell>
          <cell r="F213">
            <v>0.124428348678587</v>
          </cell>
          <cell r="G213">
            <v>-9.4592348837632401E-3</v>
          </cell>
          <cell r="H213">
            <v>7.4757144563204897E-2</v>
          </cell>
          <cell r="I213">
            <v>8.2794827188631001E-2</v>
          </cell>
          <cell r="J213">
            <v>8.2978464571212468E-2</v>
          </cell>
          <cell r="K213">
            <v>9.473580456857901E-2</v>
          </cell>
          <cell r="M213">
            <v>0.233039181555631</v>
          </cell>
          <cell r="N213">
            <v>0.12361319562772401</v>
          </cell>
          <cell r="O213">
            <v>0.21547722725271901</v>
          </cell>
          <cell r="P213">
            <v>0.34780410902167203</v>
          </cell>
          <cell r="Q213">
            <v>0.117230758230149</v>
          </cell>
          <cell r="R213">
            <v>0.110869032060765</v>
          </cell>
          <cell r="S213">
            <v>0.20075437737826199</v>
          </cell>
          <cell r="T213">
            <v>0.19268398301813172</v>
          </cell>
          <cell r="U213">
            <v>0.14507144530249649</v>
          </cell>
        </row>
        <row r="214">
          <cell r="A214">
            <v>2002</v>
          </cell>
          <cell r="B214" t="str">
            <v>FY(3)</v>
          </cell>
          <cell r="C214">
            <v>0.12748457342528999</v>
          </cell>
          <cell r="D214">
            <v>0.10128323800949</v>
          </cell>
          <cell r="E214">
            <v>8.8825981202501902E-2</v>
          </cell>
          <cell r="F214">
            <v>0.13791227926454799</v>
          </cell>
          <cell r="G214">
            <v>3.6049113618738297E-2</v>
          </cell>
          <cell r="H214">
            <v>7.69283673526137E-2</v>
          </cell>
          <cell r="I214">
            <v>8.8027676105148195E-2</v>
          </cell>
          <cell r="J214">
            <v>9.3787318425475719E-2</v>
          </cell>
          <cell r="K214">
            <v>9.9506720199405665E-2</v>
          </cell>
          <cell r="M214">
            <v>0.22874091659773901</v>
          </cell>
          <cell r="N214">
            <v>0.123373610873832</v>
          </cell>
          <cell r="O214">
            <v>0.22342683138276001</v>
          </cell>
          <cell r="P214">
            <v>0.366717574168407</v>
          </cell>
          <cell r="Q214">
            <v>9.1135756537482807E-2</v>
          </cell>
          <cell r="R214">
            <v>0.119039877708797</v>
          </cell>
          <cell r="S214">
            <v>0.148900082034472</v>
          </cell>
          <cell r="T214">
            <v>0.18590494990049855</v>
          </cell>
          <cell r="U214">
            <v>0.13924057343994925</v>
          </cell>
        </row>
        <row r="215">
          <cell r="B215" t="str">
            <v>FY(2)</v>
          </cell>
          <cell r="C215">
            <v>0.120229101082013</v>
          </cell>
          <cell r="D215">
            <v>9.9917945317377396E-2</v>
          </cell>
          <cell r="E215">
            <v>8.3712371899757707E-2</v>
          </cell>
          <cell r="F215">
            <v>0.141168769910963</v>
          </cell>
          <cell r="G215">
            <v>5.3241220488638302E-2</v>
          </cell>
          <cell r="H215">
            <v>8.0680084886619E-2</v>
          </cell>
          <cell r="I215">
            <v>9.1177143561056995E-2</v>
          </cell>
          <cell r="J215">
            <v>9.5732376735203628E-2</v>
          </cell>
          <cell r="K215">
            <v>9.8350353610200822E-2</v>
          </cell>
          <cell r="M215">
            <v>0.22387977475239201</v>
          </cell>
          <cell r="N215">
            <v>0.13601620812028201</v>
          </cell>
          <cell r="O215">
            <v>0.20548696511230499</v>
          </cell>
          <cell r="P215">
            <v>0.39231026600996199</v>
          </cell>
          <cell r="Q215">
            <v>0.104332844583176</v>
          </cell>
          <cell r="R215">
            <v>0.10592190179769</v>
          </cell>
          <cell r="S215">
            <v>0.16927882985729301</v>
          </cell>
          <cell r="T215">
            <v>0.19103239860472856</v>
          </cell>
          <cell r="U215">
            <v>0.14786943414630094</v>
          </cell>
        </row>
        <row r="216">
          <cell r="B216" t="str">
            <v>FY(1)</v>
          </cell>
          <cell r="C216">
            <v>0.10404515414710699</v>
          </cell>
          <cell r="D216">
            <v>6.6687112181850305E-2</v>
          </cell>
          <cell r="E216">
            <v>6.2422589015533297E-2</v>
          </cell>
          <cell r="F216">
            <v>9.6331183538582305E-2</v>
          </cell>
          <cell r="G216">
            <v>-2.5775567746272501E-2</v>
          </cell>
          <cell r="H216">
            <v>8.4987217699881004E-2</v>
          </cell>
          <cell r="I216">
            <v>8.8731668016932094E-2</v>
          </cell>
          <cell r="J216">
            <v>6.8204193836230512E-2</v>
          </cell>
          <cell r="K216">
            <v>7.7130352208892403E-2</v>
          </cell>
          <cell r="M216">
            <v>0.162174892436177</v>
          </cell>
          <cell r="N216">
            <v>0.143185850472235</v>
          </cell>
          <cell r="O216">
            <v>0.11845502634267201</v>
          </cell>
          <cell r="P216">
            <v>0.380938063408366</v>
          </cell>
          <cell r="Q216">
            <v>0.13225723833184999</v>
          </cell>
          <cell r="R216">
            <v>9.2321754071047202E-2</v>
          </cell>
          <cell r="S216">
            <v>0.17103981252296999</v>
          </cell>
          <cell r="T216">
            <v>0.17148180536933103</v>
          </cell>
          <cell r="U216">
            <v>0.14808207163736606</v>
          </cell>
        </row>
        <row r="217">
          <cell r="B217" t="str">
            <v>FY0</v>
          </cell>
          <cell r="C217">
            <v>0.11160967981915799</v>
          </cell>
          <cell r="D217">
            <v>4.4509531460659599E-2</v>
          </cell>
          <cell r="E217">
            <v>6.7563520584211403E-2</v>
          </cell>
          <cell r="F217">
            <v>0.10336321093174</v>
          </cell>
          <cell r="G217">
            <v>6.6675553621336403E-3</v>
          </cell>
          <cell r="H217">
            <v>0.108715188123956</v>
          </cell>
          <cell r="I217">
            <v>0.10848544772318799</v>
          </cell>
          <cell r="J217">
            <v>7.8702019143578092E-2</v>
          </cell>
          <cell r="K217">
            <v>8.426922330633202E-2</v>
          </cell>
          <cell r="M217">
            <v>8.1209485992895E-2</v>
          </cell>
          <cell r="N217">
            <v>0.18103762550851499</v>
          </cell>
          <cell r="O217">
            <v>0.108703943060901</v>
          </cell>
          <cell r="P217">
            <v>0.32259807451016098</v>
          </cell>
          <cell r="Q217">
            <v>0.15763347545541601</v>
          </cell>
          <cell r="R217">
            <v>0.11851581812115999</v>
          </cell>
          <cell r="S217">
            <v>0.181223139443348</v>
          </cell>
          <cell r="T217">
            <v>0.16441736601319942</v>
          </cell>
          <cell r="U217">
            <v>0.15550303001779184</v>
          </cell>
        </row>
        <row r="218">
          <cell r="B218" t="str">
            <v>FY1</v>
          </cell>
          <cell r="C218">
            <v>0.12173197357092</v>
          </cell>
          <cell r="D218">
            <v>5.3357941063620601E-2</v>
          </cell>
          <cell r="E218">
            <v>7.6743634084078194E-2</v>
          </cell>
          <cell r="F218">
            <v>0.122034884477426</v>
          </cell>
          <cell r="G218">
            <v>2.6852759782130899E-2</v>
          </cell>
          <cell r="H218">
            <v>0.11615520703313</v>
          </cell>
          <cell r="I218">
            <v>0.11378526708237</v>
          </cell>
          <cell r="J218">
            <v>9.0094523870525106E-2</v>
          </cell>
          <cell r="K218">
            <v>9.4406529570118233E-2</v>
          </cell>
          <cell r="M218">
            <v>0.110449951715234</v>
          </cell>
          <cell r="N218">
            <v>0.17961474625858101</v>
          </cell>
          <cell r="O218">
            <v>0.151070371712476</v>
          </cell>
          <cell r="P218">
            <v>0.32594096856426003</v>
          </cell>
          <cell r="Q218">
            <v>0.15858628173175399</v>
          </cell>
          <cell r="R218">
            <v>0.13062810165174399</v>
          </cell>
          <cell r="S218">
            <v>0.195799470399631</v>
          </cell>
          <cell r="T218">
            <v>0.17886998457624004</v>
          </cell>
          <cell r="U218">
            <v>0.16625746057347451</v>
          </cell>
        </row>
        <row r="219">
          <cell r="B219" t="str">
            <v>FY2</v>
          </cell>
          <cell r="C219">
            <v>0.12631522029067799</v>
          </cell>
          <cell r="D219">
            <v>5.5975618834963901E-2</v>
          </cell>
          <cell r="E219">
            <v>7.8689982782334703E-2</v>
          </cell>
          <cell r="F219">
            <v>0.12637649445693799</v>
          </cell>
          <cell r="G219">
            <v>4.1867140413833298E-2</v>
          </cell>
          <cell r="H219">
            <v>0.12018114538755401</v>
          </cell>
          <cell r="I219">
            <v>0.111585418352566</v>
          </cell>
          <cell r="J219">
            <v>9.442728864555254E-2</v>
          </cell>
          <cell r="K219">
            <v>9.7307209378827392E-2</v>
          </cell>
          <cell r="M219">
            <v>0.12975727102665899</v>
          </cell>
          <cell r="N219">
            <v>0.156953262694106</v>
          </cell>
          <cell r="O219">
            <v>0.162948127561127</v>
          </cell>
          <cell r="P219">
            <v>0.32595194677751899</v>
          </cell>
          <cell r="Q219">
            <v>0.16028707682665699</v>
          </cell>
          <cell r="R219">
            <v>0.13357706976761999</v>
          </cell>
          <cell r="S219">
            <v>0.202178908336487</v>
          </cell>
          <cell r="T219">
            <v>0.18166480899859641</v>
          </cell>
          <cell r="U219">
            <v>0.16975468068720617</v>
          </cell>
        </row>
        <row r="220">
          <cell r="B220" t="str">
            <v>FQ(3)</v>
          </cell>
          <cell r="C220">
            <v>6.8993952721275398E-2</v>
          </cell>
          <cell r="D220">
            <v>2.72883950195312E-2</v>
          </cell>
          <cell r="E220">
            <v>4.6162723600692403E-3</v>
          </cell>
          <cell r="F220">
            <v>8.5580304806565102E-2</v>
          </cell>
          <cell r="G220">
            <v>3.82605840332482E-3</v>
          </cell>
          <cell r="H220">
            <v>8.9181892398848703E-2</v>
          </cell>
          <cell r="I220">
            <v>7.9421958998893996E-2</v>
          </cell>
          <cell r="J220">
            <v>5.1272690672644061E-2</v>
          </cell>
          <cell r="K220">
            <v>4.864096455229492E-2</v>
          </cell>
          <cell r="M220">
            <v>-5.6302754229894197E-2</v>
          </cell>
          <cell r="N220">
            <v>0.137599749034371</v>
          </cell>
          <cell r="O220">
            <v>4.4694444444444398E-2</v>
          </cell>
          <cell r="P220">
            <v>0.26859241099604197</v>
          </cell>
          <cell r="Q220">
            <v>0.11288775183882301</v>
          </cell>
          <cell r="R220">
            <v>3.7798864735685597E-2</v>
          </cell>
          <cell r="S220">
            <v>0.119855715755881</v>
          </cell>
          <cell r="T220">
            <v>9.5018026082193244E-2</v>
          </cell>
          <cell r="U220">
            <v>9.3790997831873113E-2</v>
          </cell>
        </row>
        <row r="221">
          <cell r="B221" t="str">
            <v>FQ(2)</v>
          </cell>
          <cell r="C221">
            <v>0.104834471886495</v>
          </cell>
          <cell r="D221">
            <v>1.6993645456715101E-2</v>
          </cell>
          <cell r="E221">
            <v>5.4608830364058898E-2</v>
          </cell>
          <cell r="F221">
            <v>9.6037296037295994E-2</v>
          </cell>
          <cell r="G221">
            <v>-0.120358699367629</v>
          </cell>
          <cell r="H221">
            <v>9.6878046132726006E-2</v>
          </cell>
          <cell r="I221">
            <v>8.8962087216757899E-2</v>
          </cell>
          <cell r="J221">
            <v>4.8279382532345698E-2</v>
          </cell>
          <cell r="K221">
            <v>6.6864824225143879E-2</v>
          </cell>
          <cell r="M221">
            <v>1.39449264854736E-2</v>
          </cell>
          <cell r="N221">
            <v>0.14350359807513999</v>
          </cell>
          <cell r="O221">
            <v>7.0433822590161704E-2</v>
          </cell>
          <cell r="P221">
            <v>0.28246698142319299</v>
          </cell>
          <cell r="Q221">
            <v>0.115562403697997</v>
          </cell>
          <cell r="R221">
            <v>7.1926004422701903E-2</v>
          </cell>
          <cell r="S221">
            <v>0.17103478651450199</v>
          </cell>
          <cell r="T221">
            <v>0.12412464617273845</v>
          </cell>
          <cell r="U221">
            <v>0.1135492742908866</v>
          </cell>
        </row>
        <row r="222">
          <cell r="B222" t="str">
            <v>FQ(1)</v>
          </cell>
          <cell r="C222">
            <v>8.3683041224388993E-2</v>
          </cell>
          <cell r="D222">
            <v>2.5595672348649401E-2</v>
          </cell>
          <cell r="E222">
            <v>1.6676141747204901E-2</v>
          </cell>
          <cell r="F222">
            <v>9.2077087794432494E-2</v>
          </cell>
          <cell r="G222">
            <v>2.50129071288527E-2</v>
          </cell>
          <cell r="H222">
            <v>9.9060912002999796E-2</v>
          </cell>
          <cell r="I222">
            <v>0.110329067258271</v>
          </cell>
          <cell r="J222">
            <v>6.4633547072114189E-2</v>
          </cell>
          <cell r="K222">
            <v>6.4062510814675261E-2</v>
          </cell>
          <cell r="M222">
            <v>6.0233466545661002E-2</v>
          </cell>
          <cell r="N222">
            <v>0.18611117959699799</v>
          </cell>
          <cell r="O222">
            <v>9.3865910420021306E-2</v>
          </cell>
          <cell r="P222">
            <v>0.29319168887248698</v>
          </cell>
          <cell r="Q222">
            <v>0.139314572304263</v>
          </cell>
          <cell r="R222">
            <v>3.3131912386811499E-2</v>
          </cell>
          <cell r="S222">
            <v>0.18928839691638699</v>
          </cell>
          <cell r="T222">
            <v>0.14216244672037553</v>
          </cell>
          <cell r="U222">
            <v>0.1262935483183491</v>
          </cell>
        </row>
        <row r="223">
          <cell r="B223" t="str">
            <v>Last Reported Q</v>
          </cell>
          <cell r="C223">
            <v>0.11160967981915799</v>
          </cell>
          <cell r="D223">
            <v>4.4509531460659599E-2</v>
          </cell>
          <cell r="E223">
            <v>6.7563520584211403E-2</v>
          </cell>
          <cell r="F223">
            <v>0.10336321093174</v>
          </cell>
          <cell r="G223">
            <v>6.6675553621336403E-3</v>
          </cell>
          <cell r="H223">
            <v>0.108715188123956</v>
          </cell>
          <cell r="I223">
            <v>0.10848544772318799</v>
          </cell>
          <cell r="J223">
            <v>7.8702019143578092E-2</v>
          </cell>
          <cell r="K223">
            <v>8.426922330633202E-2</v>
          </cell>
          <cell r="M223">
            <v>8.1209485992895E-2</v>
          </cell>
          <cell r="N223">
            <v>0.18103762550851499</v>
          </cell>
          <cell r="O223">
            <v>0.108703943060901</v>
          </cell>
          <cell r="P223">
            <v>0.35759174839554703</v>
          </cell>
          <cell r="Q223">
            <v>0.15763347545541601</v>
          </cell>
          <cell r="R223">
            <v>0.11851581812115999</v>
          </cell>
          <cell r="S223">
            <v>0.181223139443348</v>
          </cell>
          <cell r="T223">
            <v>0.16941646228254031</v>
          </cell>
          <cell r="U223">
            <v>0.14595170595884957</v>
          </cell>
        </row>
        <row r="224">
          <cell r="A224" t="str">
            <v>mscalc:ebitdaAsif</v>
          </cell>
          <cell r="B224" t="str">
            <v>LTM</v>
          </cell>
          <cell r="C224">
            <v>0.127067933826118</v>
          </cell>
          <cell r="D224">
            <v>6.9009009009008998E-2</v>
          </cell>
          <cell r="E224">
            <v>0.135049050834501</v>
          </cell>
          <cell r="F224">
            <v>0.12209531311540001</v>
          </cell>
          <cell r="G224">
            <v>3.6233813295468799E-2</v>
          </cell>
          <cell r="H224">
            <v>0.116748887156986</v>
          </cell>
          <cell r="I224">
            <v>0.108424358765925</v>
          </cell>
          <cell r="J224">
            <v>0.1020897665719154</v>
          </cell>
          <cell r="K224">
            <v>0.1107873274572532</v>
          </cell>
          <cell r="M224">
            <v>0.13743401378859399</v>
          </cell>
          <cell r="N224">
            <v>0.198633838519364</v>
          </cell>
          <cell r="O224">
            <v>0.115690329218107</v>
          </cell>
          <cell r="P224">
            <v>0.35759174839554703</v>
          </cell>
          <cell r="Q224">
            <v>0.137629839471199</v>
          </cell>
          <cell r="R224">
            <v>0.192253052164262</v>
          </cell>
          <cell r="S224">
            <v>0.20163706280278601</v>
          </cell>
          <cell r="T224">
            <v>0.19155284062283701</v>
          </cell>
          <cell r="U224">
            <v>0.16893854407472564</v>
          </cell>
        </row>
        <row r="225">
          <cell r="B225" t="str">
            <v>FY(2)</v>
          </cell>
          <cell r="C225">
            <v>2202.471</v>
          </cell>
          <cell r="D225">
            <v>2295</v>
          </cell>
          <cell r="E225">
            <v>3489</v>
          </cell>
          <cell r="F225">
            <v>1432.931</v>
          </cell>
          <cell r="G225">
            <v>194.42413565663199</v>
          </cell>
          <cell r="H225">
            <v>497.78500000000003</v>
          </cell>
          <cell r="I225">
            <v>1627.4839999999999</v>
          </cell>
          <cell r="J225">
            <v>1677.0135908080904</v>
          </cell>
          <cell r="K225">
            <v>11739.095135656633</v>
          </cell>
          <cell r="M225">
            <v>804.245</v>
          </cell>
          <cell r="N225">
            <v>188.31</v>
          </cell>
          <cell r="O225">
            <v>674.822</v>
          </cell>
          <cell r="P225">
            <v>1074.2840000000001</v>
          </cell>
          <cell r="Q225">
            <v>1710</v>
          </cell>
          <cell r="R225">
            <v>1492.085</v>
          </cell>
          <cell r="S225">
            <v>219.702</v>
          </cell>
          <cell r="T225">
            <v>880.49257142857152</v>
          </cell>
          <cell r="U225">
            <v>6163.4480000000003</v>
          </cell>
        </row>
        <row r="226">
          <cell r="B226" t="str">
            <v>Operating Margin Y/Y bps</v>
          </cell>
          <cell r="C226">
            <v>2256.6999999999998</v>
          </cell>
          <cell r="D226">
            <v>2308</v>
          </cell>
          <cell r="E226">
            <v>3355</v>
          </cell>
          <cell r="F226">
            <v>1481.8019999999999</v>
          </cell>
          <cell r="G226">
            <v>270.53497730279503</v>
          </cell>
          <cell r="H226">
            <v>541.79</v>
          </cell>
          <cell r="I226">
            <v>1827.10628618338</v>
          </cell>
          <cell r="J226">
            <v>1720.1333233551682</v>
          </cell>
          <cell r="K226">
            <v>12040.933263486177</v>
          </cell>
          <cell r="M226">
            <v>924.21299999999997</v>
          </cell>
          <cell r="N226">
            <v>236.45400000000001</v>
          </cell>
          <cell r="O226">
            <v>707.95799999999997</v>
          </cell>
          <cell r="P226">
            <v>1279.933</v>
          </cell>
          <cell r="Q226">
            <v>1896</v>
          </cell>
          <cell r="R226">
            <v>1213.1210000000001</v>
          </cell>
          <cell r="S226">
            <v>294.96199999999999</v>
          </cell>
          <cell r="T226">
            <v>936.09157142857134</v>
          </cell>
          <cell r="U226">
            <v>6552.6409999999996</v>
          </cell>
        </row>
        <row r="227">
          <cell r="B227" t="str">
            <v>FY(10)</v>
          </cell>
          <cell r="C227">
            <v>2077.9659999999999</v>
          </cell>
          <cell r="D227">
            <v>1597.80967741935</v>
          </cell>
          <cell r="E227">
            <v>2676</v>
          </cell>
          <cell r="F227">
            <v>1081.5509999999999</v>
          </cell>
          <cell r="G227">
            <v>20.883918009447999</v>
          </cell>
          <cell r="H227">
            <v>632.69015938101995</v>
          </cell>
          <cell r="I227">
            <v>1836.4380000000001</v>
          </cell>
          <cell r="J227">
            <v>1417.6198221156883</v>
          </cell>
          <cell r="K227">
            <v>9923.3387548098181</v>
          </cell>
          <cell r="M227">
            <v>696.773345376066</v>
          </cell>
          <cell r="N227">
            <v>294.072</v>
          </cell>
          <cell r="O227">
            <v>440.01</v>
          </cell>
          <cell r="P227">
            <v>1123.2919999999999</v>
          </cell>
          <cell r="Q227">
            <v>2116</v>
          </cell>
          <cell r="R227">
            <v>1060.547</v>
          </cell>
          <cell r="S227">
            <v>381.38400000000001</v>
          </cell>
          <cell r="T227">
            <v>873.15404933943807</v>
          </cell>
          <cell r="U227">
            <v>6112.0783453760669</v>
          </cell>
        </row>
        <row r="228">
          <cell r="B228" t="str">
            <v>FY(9)</v>
          </cell>
          <cell r="C228">
            <v>62.508698419419943</v>
          </cell>
          <cell r="D228">
            <v>1147.6229306386499</v>
          </cell>
          <cell r="E228">
            <v>23.190117634159929</v>
          </cell>
          <cell r="F228">
            <v>1067.8591081142599</v>
          </cell>
          <cell r="G228">
            <v>80.279486002775201</v>
          </cell>
          <cell r="H228">
            <v>-85.722445261109954</v>
          </cell>
          <cell r="I228">
            <v>-55.94125473822001</v>
          </cell>
          <cell r="J228">
            <v>-13.991220986437522</v>
          </cell>
          <cell r="K228">
            <v>163.63227994691553</v>
          </cell>
          <cell r="M228">
            <v>-289.60285912147998</v>
          </cell>
          <cell r="N228">
            <v>413.98299847029898</v>
          </cell>
          <cell r="O228">
            <v>-529.58047458125986</v>
          </cell>
          <cell r="P228">
            <v>569.20861717709397</v>
          </cell>
          <cell r="Q228">
            <v>2316.3087515114398</v>
          </cell>
          <cell r="R228">
            <v>64.589004760179918</v>
          </cell>
          <cell r="S228">
            <v>-588.53100067247294</v>
          </cell>
          <cell r="T228">
            <v>-154.78334248758779</v>
          </cell>
          <cell r="U228">
            <v>-48.215296494902724</v>
          </cell>
        </row>
        <row r="229">
          <cell r="A229">
            <v>2000</v>
          </cell>
          <cell r="B229" t="str">
            <v>FY(8)</v>
          </cell>
          <cell r="C229">
            <v>91.03132064154002</v>
          </cell>
          <cell r="D229">
            <v>210.97508145632401</v>
          </cell>
          <cell r="E229">
            <v>-190.37234592454294</v>
          </cell>
          <cell r="F229">
            <v>34.161564935549016</v>
          </cell>
          <cell r="G229">
            <v>120.232444262407</v>
          </cell>
          <cell r="H229">
            <v>-66.914211196460045</v>
          </cell>
          <cell r="I229">
            <v>-78.678061445185961</v>
          </cell>
          <cell r="J229">
            <v>3.3891411204012435E-2</v>
          </cell>
          <cell r="K229">
            <v>122.49688919317562</v>
          </cell>
          <cell r="M229">
            <v>-47.14202234840009</v>
          </cell>
          <cell r="N229">
            <v>424.20883851481801</v>
          </cell>
          <cell r="O229">
            <v>-322.63524761437014</v>
          </cell>
          <cell r="P229">
            <v>804.47400958100991</v>
          </cell>
          <cell r="Q229">
            <v>2331.5571745024199</v>
          </cell>
          <cell r="R229">
            <v>-89.297343102320013</v>
          </cell>
          <cell r="S229">
            <v>223.19931117773291</v>
          </cell>
          <cell r="T229">
            <v>113.71974153873052</v>
          </cell>
          <cell r="U229">
            <v>197.74276164353122</v>
          </cell>
        </row>
        <row r="230">
          <cell r="A230">
            <v>2001</v>
          </cell>
          <cell r="B230" t="str">
            <v>FY(7)</v>
          </cell>
          <cell r="C230">
            <v>49.149839329310083</v>
          </cell>
          <cell r="D230">
            <v>99.233456983777998</v>
          </cell>
          <cell r="E230">
            <v>42.082779412239979</v>
          </cell>
          <cell r="F230">
            <v>99.802596669385991</v>
          </cell>
          <cell r="G230">
            <v>-65.959999999999994</v>
          </cell>
          <cell r="H230">
            <v>50.469195922620003</v>
          </cell>
          <cell r="I230">
            <v>-16.886793836548009</v>
          </cell>
          <cell r="J230">
            <v>53.975179080130999</v>
          </cell>
          <cell r="K230">
            <v>70.738413320285829</v>
          </cell>
          <cell r="M230">
            <v>57.209848913150061</v>
          </cell>
          <cell r="N230">
            <v>128.65899999999999</v>
          </cell>
          <cell r="O230">
            <v>-30.635476890620016</v>
          </cell>
          <cell r="P230">
            <v>-51.270173621209835</v>
          </cell>
          <cell r="Q230">
            <v>439.97080982288298</v>
          </cell>
          <cell r="R230">
            <v>121.72119112402</v>
          </cell>
          <cell r="S230">
            <v>345.90223240993009</v>
          </cell>
          <cell r="T230">
            <v>147.14973862635887</v>
          </cell>
          <cell r="U230">
            <v>279.03581540875052</v>
          </cell>
        </row>
        <row r="231">
          <cell r="A231">
            <v>2002</v>
          </cell>
          <cell r="B231" t="str">
            <v>FY(6)</v>
          </cell>
          <cell r="C231">
            <v>-187.62291042933003</v>
          </cell>
          <cell r="D231">
            <v>-40.608294797810984</v>
          </cell>
          <cell r="E231">
            <v>7.8170175456900024</v>
          </cell>
          <cell r="F231">
            <v>209.720391142686</v>
          </cell>
          <cell r="G231">
            <v>35.716999999999999</v>
          </cell>
          <cell r="H231">
            <v>13.348844849720015</v>
          </cell>
          <cell r="I231">
            <v>-42.627771762181048</v>
          </cell>
          <cell r="J231">
            <v>-6.6621205752043409</v>
          </cell>
          <cell r="K231">
            <v>-47.416461911358873</v>
          </cell>
          <cell r="M231">
            <v>-17.903713775339892</v>
          </cell>
          <cell r="N231">
            <v>67.896000000000001</v>
          </cell>
          <cell r="O231">
            <v>-116.78511827054996</v>
          </cell>
          <cell r="P231">
            <v>565.57156528880989</v>
          </cell>
          <cell r="Q231">
            <v>460.0824294405881</v>
          </cell>
          <cell r="R231">
            <v>58.203262784869978</v>
          </cell>
          <cell r="S231">
            <v>329.82550294261006</v>
          </cell>
          <cell r="T231">
            <v>213.16565473516471</v>
          </cell>
          <cell r="U231">
            <v>304.10588059625445</v>
          </cell>
        </row>
        <row r="232">
          <cell r="B232" t="str">
            <v>FY(5)</v>
          </cell>
          <cell r="C232">
            <v>53.880851346869981</v>
          </cell>
          <cell r="D232">
            <v>246.34942403311607</v>
          </cell>
          <cell r="E232">
            <v>14.701856092999982</v>
          </cell>
          <cell r="F232">
            <v>268.19729283106994</v>
          </cell>
          <cell r="G232">
            <v>-31.690999999999999</v>
          </cell>
          <cell r="H232">
            <v>-280.63289918303394</v>
          </cell>
          <cell r="I232">
            <v>-41.886619048554927</v>
          </cell>
          <cell r="J232">
            <v>43.434984345411188</v>
          </cell>
          <cell r="K232">
            <v>83.28499468953504</v>
          </cell>
          <cell r="M232">
            <v>-37.997627305630111</v>
          </cell>
          <cell r="N232">
            <v>252.60856284038013</v>
          </cell>
          <cell r="O232">
            <v>1045.51392442824</v>
          </cell>
          <cell r="P232">
            <v>718.15964064507023</v>
          </cell>
          <cell r="Q232">
            <v>68.257087727290056</v>
          </cell>
          <cell r="R232">
            <v>-19.29987072409989</v>
          </cell>
          <cell r="S232">
            <v>274.76400136248998</v>
          </cell>
          <cell r="T232">
            <v>328.85795985339149</v>
          </cell>
          <cell r="U232">
            <v>142.53363962315606</v>
          </cell>
        </row>
        <row r="233">
          <cell r="B233" t="str">
            <v>FY(4)</v>
          </cell>
          <cell r="C233">
            <v>33.68501665489007</v>
          </cell>
          <cell r="D233">
            <v>172.42346896396796</v>
          </cell>
          <cell r="E233">
            <v>17.046235088375024</v>
          </cell>
          <cell r="F233">
            <v>150.73241930165003</v>
          </cell>
          <cell r="G233">
            <v>-297.4717670669354</v>
          </cell>
          <cell r="H233">
            <v>-45.780887081627029</v>
          </cell>
          <cell r="I233">
            <v>-44.860344442400056</v>
          </cell>
          <cell r="J233">
            <v>-2.0322655117256292</v>
          </cell>
          <cell r="K233">
            <v>49.708537862586667</v>
          </cell>
          <cell r="M233">
            <v>206.16382761031005</v>
          </cell>
          <cell r="N233">
            <v>-339.91001155204992</v>
          </cell>
          <cell r="O233">
            <v>3.1298148906899748</v>
          </cell>
          <cell r="P233">
            <v>350.53093653508006</v>
          </cell>
          <cell r="Q233">
            <v>-229.42000374110012</v>
          </cell>
          <cell r="R233">
            <v>-198.92509377309005</v>
          </cell>
          <cell r="S233">
            <v>7.9392228189198448</v>
          </cell>
          <cell r="T233">
            <v>-28.64161531589145</v>
          </cell>
          <cell r="U233">
            <v>-99.422003592611048</v>
          </cell>
        </row>
        <row r="234">
          <cell r="B234" t="str">
            <v>FY(3)</v>
          </cell>
          <cell r="C234">
            <v>106.80032347859984</v>
          </cell>
          <cell r="D234">
            <v>87.025680452336019</v>
          </cell>
          <cell r="E234">
            <v>-101.16974207639295</v>
          </cell>
          <cell r="F234">
            <v>134.83930585960994</v>
          </cell>
          <cell r="G234">
            <v>455.08348502501536</v>
          </cell>
          <cell r="H234">
            <v>21.712227894088027</v>
          </cell>
          <cell r="I234">
            <v>52.328489165171938</v>
          </cell>
          <cell r="J234">
            <v>108.08853854263261</v>
          </cell>
          <cell r="K234">
            <v>47.709156308266557</v>
          </cell>
          <cell r="M234">
            <v>-42.98264957891984</v>
          </cell>
          <cell r="N234">
            <v>-2.3958475389200542</v>
          </cell>
          <cell r="O234">
            <v>79.496041300410042</v>
          </cell>
          <cell r="P234">
            <v>189.13465146734976</v>
          </cell>
          <cell r="Q234">
            <v>-260.95001692666193</v>
          </cell>
          <cell r="R234">
            <v>81.708456480319995</v>
          </cell>
          <cell r="S234">
            <v>-518.54295343789988</v>
          </cell>
          <cell r="T234">
            <v>-67.790331176331705</v>
          </cell>
          <cell r="U234">
            <v>-58.30871862547243</v>
          </cell>
        </row>
        <row r="235">
          <cell r="B235" t="str">
            <v>FY(2)</v>
          </cell>
          <cell r="C235">
            <v>-72.55472343276989</v>
          </cell>
          <cell r="D235">
            <v>-13.652926921126074</v>
          </cell>
          <cell r="E235">
            <v>-51.136093027441959</v>
          </cell>
          <cell r="F235">
            <v>32.564906464150056</v>
          </cell>
          <cell r="G235">
            <v>171.92106869900005</v>
          </cell>
          <cell r="H235">
            <v>37.517175340053001</v>
          </cell>
          <cell r="I235">
            <v>31.494674559087997</v>
          </cell>
          <cell r="J235">
            <v>19.450583097279029</v>
          </cell>
          <cell r="K235">
            <v>-11.563665892048435</v>
          </cell>
          <cell r="M235">
            <v>-48.611418453470002</v>
          </cell>
          <cell r="N235">
            <v>126.42597246450005</v>
          </cell>
          <cell r="O235">
            <v>-179.39866270455019</v>
          </cell>
          <cell r="P235">
            <v>255.92691841554992</v>
          </cell>
          <cell r="Q235">
            <v>131.97088045693195</v>
          </cell>
          <cell r="R235">
            <v>-131.17975911106998</v>
          </cell>
          <cell r="S235">
            <v>203.78747822821009</v>
          </cell>
          <cell r="T235">
            <v>51.274487042300265</v>
          </cell>
          <cell r="U235">
            <v>86.288607063516878</v>
          </cell>
        </row>
        <row r="236">
          <cell r="B236" t="str">
            <v>FY(1)</v>
          </cell>
          <cell r="C236">
            <v>-161.83946934906004</v>
          </cell>
          <cell r="D236">
            <v>-332.30833135527092</v>
          </cell>
          <cell r="E236">
            <v>-212.89782884224408</v>
          </cell>
          <cell r="F236">
            <v>-448.37586372380696</v>
          </cell>
          <cell r="G236">
            <v>-790.16788234910803</v>
          </cell>
          <cell r="H236">
            <v>43.071328132620046</v>
          </cell>
          <cell r="I236">
            <v>-24.454755441249006</v>
          </cell>
          <cell r="J236">
            <v>-275.28182898973131</v>
          </cell>
          <cell r="K236">
            <v>-212.2000140130842</v>
          </cell>
          <cell r="M236">
            <v>-617.04882316215014</v>
          </cell>
          <cell r="N236">
            <v>71.696423519529986</v>
          </cell>
          <cell r="O236">
            <v>-870.31938769632984</v>
          </cell>
          <cell r="P236">
            <v>-113.72202601595993</v>
          </cell>
          <cell r="Q236">
            <v>279.24393748673992</v>
          </cell>
          <cell r="R236">
            <v>-136.00147726642794</v>
          </cell>
          <cell r="S236">
            <v>17.609826656769801</v>
          </cell>
          <cell r="T236">
            <v>-195.50593235397542</v>
          </cell>
          <cell r="U236">
            <v>2.1263749106512075</v>
          </cell>
        </row>
        <row r="237">
          <cell r="B237" t="str">
            <v>FY0</v>
          </cell>
          <cell r="C237">
            <v>75.645256720510005</v>
          </cell>
          <cell r="D237">
            <v>-221.77580721190708</v>
          </cell>
          <cell r="E237">
            <v>51.409315686781056</v>
          </cell>
          <cell r="F237">
            <v>70.320273931576978</v>
          </cell>
          <cell r="G237">
            <v>324.43123108406144</v>
          </cell>
          <cell r="H237">
            <v>237.27970424074999</v>
          </cell>
          <cell r="I237">
            <v>197.53779706255901</v>
          </cell>
          <cell r="J237">
            <v>104.97825307347591</v>
          </cell>
          <cell r="K237">
            <v>71.388710974396176</v>
          </cell>
          <cell r="M237">
            <v>-809.65406443281995</v>
          </cell>
          <cell r="N237">
            <v>378.51775036279986</v>
          </cell>
          <cell r="O237">
            <v>-97.510832817710025</v>
          </cell>
          <cell r="P237">
            <v>-583.39988898205024</v>
          </cell>
          <cell r="Q237">
            <v>253.76237123566014</v>
          </cell>
          <cell r="R237">
            <v>261.94064050112792</v>
          </cell>
          <cell r="S237">
            <v>101.83326920378016</v>
          </cell>
          <cell r="T237">
            <v>-70.644393561316008</v>
          </cell>
          <cell r="U237">
            <v>74.20958380425779</v>
          </cell>
        </row>
        <row r="238">
          <cell r="B238" t="str">
            <v>FY1</v>
          </cell>
          <cell r="C238">
            <v>101.22293751762004</v>
          </cell>
          <cell r="D238">
            <v>88.484096029610015</v>
          </cell>
          <cell r="E238">
            <v>91.801134998667905</v>
          </cell>
          <cell r="F238">
            <v>186.71673545685996</v>
          </cell>
          <cell r="G238">
            <v>201.85204419997257</v>
          </cell>
          <cell r="H238">
            <v>74.400189091739932</v>
          </cell>
          <cell r="I238">
            <v>52.998193591820012</v>
          </cell>
          <cell r="J238">
            <v>113.92504726947006</v>
          </cell>
          <cell r="K238">
            <v>101.37306263786213</v>
          </cell>
          <cell r="M238">
            <v>292.40465722339002</v>
          </cell>
          <cell r="N238">
            <v>-14.228792499339782</v>
          </cell>
          <cell r="O238">
            <v>423.66428651575001</v>
          </cell>
          <cell r="P238">
            <v>33.428940540990439</v>
          </cell>
          <cell r="Q238">
            <v>9.5280627633798076</v>
          </cell>
          <cell r="R238">
            <v>121.12283530583994</v>
          </cell>
          <cell r="S238">
            <v>145.76330956282996</v>
          </cell>
          <cell r="T238">
            <v>144.52618563040576</v>
          </cell>
          <cell r="U238">
            <v>107.54430555682676</v>
          </cell>
        </row>
        <row r="239">
          <cell r="B239" t="str">
            <v>FY2</v>
          </cell>
          <cell r="C239">
            <v>45.832467197579888</v>
          </cell>
          <cell r="D239">
            <v>26.176777713433005</v>
          </cell>
          <cell r="E239">
            <v>19.463486982565087</v>
          </cell>
          <cell r="F239">
            <v>43.416099795119955</v>
          </cell>
          <cell r="G239">
            <v>150.143806317024</v>
          </cell>
          <cell r="H239">
            <v>40.259383544240109</v>
          </cell>
          <cell r="I239">
            <v>-21.998487298039993</v>
          </cell>
          <cell r="J239">
            <v>43.327647750274579</v>
          </cell>
          <cell r="K239">
            <v>29.006798087091585</v>
          </cell>
          <cell r="M239">
            <v>193.07319311424988</v>
          </cell>
          <cell r="N239">
            <v>-226.61483564475006</v>
          </cell>
          <cell r="O239">
            <v>118.77755848651</v>
          </cell>
          <cell r="P239">
            <v>0.10978213258960867</v>
          </cell>
          <cell r="Q239">
            <v>17.007950949030072</v>
          </cell>
          <cell r="R239">
            <v>29.489681158759996</v>
          </cell>
          <cell r="S239">
            <v>63.794379368559973</v>
          </cell>
          <cell r="T239">
            <v>27.948244223564213</v>
          </cell>
          <cell r="U239">
            <v>34.972201137316581</v>
          </cell>
        </row>
        <row r="240">
          <cell r="B240" t="str">
            <v>FY1</v>
          </cell>
          <cell r="C240">
            <v>0.13117500179456759</v>
          </cell>
          <cell r="D240">
            <v>6.5535084047614267E-2</v>
          </cell>
          <cell r="E240">
            <v>0.10804999268238555</v>
          </cell>
          <cell r="F240">
            <v>0.13221807124923712</v>
          </cell>
          <cell r="G240">
            <v>3.1162078748501736E-2</v>
          </cell>
          <cell r="H240">
            <v>0.12228683052740648</v>
          </cell>
          <cell r="I240">
            <v>0.1153049316705531</v>
          </cell>
          <cell r="J240">
            <v>0.10081885581718085</v>
          </cell>
          <cell r="K240">
            <v>0.10694626695883833</v>
          </cell>
          <cell r="M240">
            <v>0.12962426004451924</v>
          </cell>
          <cell r="N240">
            <v>0.18973740063040617</v>
          </cell>
          <cell r="O240">
            <v>0.13377350142150843</v>
          </cell>
          <cell r="P240">
            <v>0.35011759997554609</v>
          </cell>
          <cell r="Q240">
            <v>0.16236654871799841</v>
          </cell>
          <cell r="R240">
            <v>0.13396830763081341</v>
          </cell>
          <cell r="S240">
            <v>0.21679103616775808</v>
          </cell>
          <cell r="T240">
            <v>0.18805409351264998</v>
          </cell>
          <cell r="U240">
            <v>0.1733366804761057</v>
          </cell>
        </row>
        <row r="241">
          <cell r="A241" t="str">
            <v>mscalc:ebitdaAsif</v>
          </cell>
          <cell r="B241" t="str">
            <v>EBITDA</v>
          </cell>
          <cell r="C241">
            <v>0.13801265994185535</v>
          </cell>
          <cell r="D241">
            <v>7.4867910171283802E-2</v>
          </cell>
          <cell r="E241">
            <v>0.1136629993270056</v>
          </cell>
          <cell r="F241">
            <v>0.14093185001476541</v>
          </cell>
          <cell r="G241">
            <v>4.5921397918058639E-2</v>
          </cell>
          <cell r="H241">
            <v>0.1175957634752702</v>
          </cell>
          <cell r="I241">
            <v>0.11813013251826068</v>
          </cell>
          <cell r="J241">
            <v>0.10701753048092852</v>
          </cell>
          <cell r="K241">
            <v>0.11299195340745029</v>
          </cell>
          <cell r="M241">
            <v>0.14313028905740297</v>
          </cell>
          <cell r="N241">
            <v>0.17561141951556042</v>
          </cell>
          <cell r="O241">
            <v>0.15127350142150642</v>
          </cell>
          <cell r="P241">
            <v>0.35199628077742695</v>
          </cell>
          <cell r="Q241">
            <v>0.16530301615151075</v>
          </cell>
          <cell r="R241">
            <v>0.14404459148537194</v>
          </cell>
          <cell r="S241">
            <v>0.22707900481134527</v>
          </cell>
          <cell r="T241">
            <v>0.19406258617430353</v>
          </cell>
          <cell r="U241">
            <v>0.18029940089007807</v>
          </cell>
        </row>
        <row r="242">
          <cell r="B242" t="str">
            <v>FY(2)</v>
          </cell>
          <cell r="C242">
            <v>2256.6999999999998</v>
          </cell>
          <cell r="D242">
            <v>2308</v>
          </cell>
          <cell r="E242">
            <v>3355</v>
          </cell>
          <cell r="F242">
            <v>1481.8019999999999</v>
          </cell>
          <cell r="G242">
            <v>270.53497730279503</v>
          </cell>
          <cell r="H242">
            <v>541.79</v>
          </cell>
          <cell r="I242">
            <v>1827.10628618338</v>
          </cell>
          <cell r="J242">
            <v>1720.1333233551682</v>
          </cell>
          <cell r="K242">
            <v>12040.933263486177</v>
          </cell>
          <cell r="M242">
            <v>962.62599999999998</v>
          </cell>
          <cell r="N242">
            <v>236.45400000000001</v>
          </cell>
          <cell r="O242">
            <v>707.95799999999997</v>
          </cell>
          <cell r="P242">
            <v>1074.2840000000001</v>
          </cell>
          <cell r="Q242">
            <v>1896</v>
          </cell>
          <cell r="R242">
            <v>1213.1210000000001</v>
          </cell>
          <cell r="S242">
            <v>294.96199999999999</v>
          </cell>
          <cell r="T242">
            <v>912.20071428571441</v>
          </cell>
          <cell r="U242">
            <v>6385.4050000000007</v>
          </cell>
        </row>
        <row r="243">
          <cell r="B243" t="str">
            <v>FY(1)</v>
          </cell>
          <cell r="C243">
            <v>2077.9659999999999</v>
          </cell>
          <cell r="D243">
            <v>1597.80967741935</v>
          </cell>
          <cell r="E243">
            <v>2676</v>
          </cell>
          <cell r="F243">
            <v>1081.5509999999999</v>
          </cell>
          <cell r="G243">
            <v>24.9609180094481</v>
          </cell>
          <cell r="H243">
            <v>632.69015938101995</v>
          </cell>
          <cell r="I243">
            <v>1836.4380000000001</v>
          </cell>
          <cell r="J243">
            <v>1418.2022506871167</v>
          </cell>
          <cell r="K243">
            <v>9927.4157548098174</v>
          </cell>
          <cell r="M243">
            <v>725.05174913631095</v>
          </cell>
          <cell r="N243">
            <v>294.072</v>
          </cell>
          <cell r="O243">
            <v>440.01</v>
          </cell>
          <cell r="P243">
            <v>1279.933</v>
          </cell>
          <cell r="Q243">
            <v>2116</v>
          </cell>
          <cell r="R243">
            <v>1060.547</v>
          </cell>
          <cell r="S243">
            <v>381.38400000000001</v>
          </cell>
          <cell r="T243">
            <v>899.57110701947306</v>
          </cell>
          <cell r="U243">
            <v>6296.9977491363115</v>
          </cell>
        </row>
        <row r="244">
          <cell r="B244" t="str">
            <v>FY0</v>
          </cell>
          <cell r="C244">
            <v>2301</v>
          </cell>
          <cell r="D244">
            <v>1158</v>
          </cell>
          <cell r="E244">
            <v>2664</v>
          </cell>
          <cell r="F244">
            <v>1147</v>
          </cell>
          <cell r="G244">
            <v>115.125</v>
          </cell>
          <cell r="H244">
            <v>885.16499999999996</v>
          </cell>
          <cell r="I244">
            <v>2426.2710000000002</v>
          </cell>
          <cell r="J244">
            <v>1528.0801428571431</v>
          </cell>
          <cell r="K244">
            <v>10696.561000000002</v>
          </cell>
          <cell r="M244">
            <v>387.79300000000001</v>
          </cell>
          <cell r="N244">
            <v>438.83600000000001</v>
          </cell>
          <cell r="O244">
            <v>401.83100000000002</v>
          </cell>
          <cell r="P244">
            <v>1123.2919999999999</v>
          </cell>
          <cell r="Q244">
            <v>2384</v>
          </cell>
          <cell r="R244">
            <v>1218.6880000000001</v>
          </cell>
          <cell r="S244">
            <v>430.70760552622602</v>
          </cell>
          <cell r="T244">
            <v>912.1639436466038</v>
          </cell>
          <cell r="U244">
            <v>6385.1476055262265</v>
          </cell>
        </row>
        <row r="245">
          <cell r="B245" t="str">
            <v>FY1</v>
          </cell>
          <cell r="C245">
            <v>2686.84181622079</v>
          </cell>
          <cell r="D245">
            <v>1347.8740241831399</v>
          </cell>
          <cell r="E245">
            <v>2960.5821133261602</v>
          </cell>
          <cell r="F245">
            <v>1374.02006461376</v>
          </cell>
          <cell r="G245">
            <v>161.96668774929</v>
          </cell>
          <cell r="H245">
            <v>1041.9889630135999</v>
          </cell>
          <cell r="I245">
            <v>2767.47676537285</v>
          </cell>
          <cell r="J245">
            <v>1762.9643477827988</v>
          </cell>
          <cell r="K245">
            <v>12340.750434479591</v>
          </cell>
          <cell r="M245">
            <v>506.856434846556</v>
          </cell>
          <cell r="N245">
            <v>482.94581708179197</v>
          </cell>
          <cell r="O245">
            <v>538.32960467117198</v>
          </cell>
          <cell r="P245">
            <v>1229.7363768574801</v>
          </cell>
          <cell r="Q245">
            <v>2324.7604263346402</v>
          </cell>
          <cell r="R245">
            <v>1405.9915882274099</v>
          </cell>
          <cell r="S245">
            <v>533.82068847242601</v>
          </cell>
          <cell r="T245">
            <v>1003.2058480702109</v>
          </cell>
          <cell r="U245">
            <v>7022.4409364914764</v>
          </cell>
        </row>
        <row r="246">
          <cell r="B246" t="str">
            <v>FY2</v>
          </cell>
          <cell r="C246">
            <v>3008.6000665880301</v>
          </cell>
          <cell r="D246">
            <v>1441.20570650286</v>
          </cell>
          <cell r="E246">
            <v>3034.9502716429602</v>
          </cell>
          <cell r="F246">
            <v>1490.9045633425301</v>
          </cell>
          <cell r="G246">
            <v>234.34480855729399</v>
          </cell>
          <cell r="H246">
            <v>1101.5944246275301</v>
          </cell>
          <cell r="I246">
            <v>2899.7095667612998</v>
          </cell>
          <cell r="J246">
            <v>1887.3299154317865</v>
          </cell>
          <cell r="K246">
            <v>13211.309408022506</v>
          </cell>
          <cell r="M246">
            <v>606.38347910348796</v>
          </cell>
          <cell r="N246">
            <v>494.18589722787698</v>
          </cell>
          <cell r="O246">
            <v>636.55593877707702</v>
          </cell>
          <cell r="P246">
            <v>1322.4822084172999</v>
          </cell>
          <cell r="Q246">
            <v>2344.0587649516701</v>
          </cell>
          <cell r="R246">
            <v>1533.4490512956399</v>
          </cell>
          <cell r="S246">
            <v>628.90968806985495</v>
          </cell>
          <cell r="T246">
            <v>1080.8607182632725</v>
          </cell>
          <cell r="U246">
            <v>7566.0250278429075</v>
          </cell>
        </row>
        <row r="247">
          <cell r="B247" t="str">
            <v>FQ(3)</v>
          </cell>
          <cell r="C247">
            <v>392</v>
          </cell>
          <cell r="D247">
            <v>226</v>
          </cell>
          <cell r="E247">
            <v>327</v>
          </cell>
          <cell r="F247">
            <v>223</v>
          </cell>
          <cell r="G247">
            <v>35.716999999999999</v>
          </cell>
          <cell r="H247">
            <v>188.416</v>
          </cell>
          <cell r="I247">
            <v>449.96800000000002</v>
          </cell>
          <cell r="J247">
            <v>263.15728571428571</v>
          </cell>
          <cell r="K247">
            <v>1842.1010000000001</v>
          </cell>
          <cell r="M247">
            <v>25.797000000000001</v>
          </cell>
          <cell r="N247">
            <v>67.896000000000001</v>
          </cell>
          <cell r="O247">
            <v>62.247</v>
          </cell>
          <cell r="P247">
            <v>229.47300000000001</v>
          </cell>
          <cell r="Q247">
            <v>496</v>
          </cell>
          <cell r="R247">
            <v>150.21199999999999</v>
          </cell>
          <cell r="S247">
            <v>68.209999999999994</v>
          </cell>
          <cell r="T247">
            <v>157.11928571428572</v>
          </cell>
          <cell r="U247">
            <v>1099.835</v>
          </cell>
        </row>
        <row r="248">
          <cell r="B248" t="str">
            <v>FQ(2)</v>
          </cell>
          <cell r="C248">
            <v>543</v>
          </cell>
          <cell r="D248">
            <v>188</v>
          </cell>
          <cell r="E248">
            <v>583</v>
          </cell>
          <cell r="F248">
            <v>284</v>
          </cell>
          <cell r="G248">
            <v>-31.690999999999999</v>
          </cell>
          <cell r="H248">
            <v>209.28800000000001</v>
          </cell>
          <cell r="I248">
            <v>527.60299999999995</v>
          </cell>
          <cell r="J248">
            <v>329.02857142857141</v>
          </cell>
          <cell r="K248">
            <v>2303.1999999999998</v>
          </cell>
          <cell r="M248">
            <v>67.600999999999999</v>
          </cell>
          <cell r="N248">
            <v>77.688999999999993</v>
          </cell>
          <cell r="O248">
            <v>81.658000000000001</v>
          </cell>
          <cell r="P248">
            <v>250.87799999999999</v>
          </cell>
          <cell r="Q248">
            <v>516</v>
          </cell>
          <cell r="R248">
            <v>236.643</v>
          </cell>
          <cell r="S248">
            <v>101.444</v>
          </cell>
          <cell r="T248">
            <v>190.27328571428572</v>
          </cell>
          <cell r="U248">
            <v>1331.913</v>
          </cell>
        </row>
        <row r="249">
          <cell r="B249" t="str">
            <v>FQ(1)</v>
          </cell>
          <cell r="C249">
            <v>489</v>
          </cell>
          <cell r="D249">
            <v>230</v>
          </cell>
          <cell r="E249">
            <v>389</v>
          </cell>
          <cell r="F249">
            <v>251</v>
          </cell>
          <cell r="G249">
            <v>48.911000000000001</v>
          </cell>
          <cell r="H249">
            <v>212.46199999999999</v>
          </cell>
          <cell r="I249">
            <v>688.21</v>
          </cell>
          <cell r="J249">
            <v>329.79757142857142</v>
          </cell>
          <cell r="K249">
            <v>2308.5830000000001</v>
          </cell>
          <cell r="M249">
            <v>105.699</v>
          </cell>
          <cell r="N249">
            <v>118.661</v>
          </cell>
          <cell r="O249">
            <v>106.85899999999999</v>
          </cell>
          <cell r="P249">
            <v>256.62700000000001</v>
          </cell>
          <cell r="Q249">
            <v>647</v>
          </cell>
          <cell r="R249">
            <v>147.88499999999999</v>
          </cell>
          <cell r="S249">
            <v>119.389</v>
          </cell>
          <cell r="T249">
            <v>214.58857142857141</v>
          </cell>
          <cell r="U249">
            <v>1502.12</v>
          </cell>
        </row>
        <row r="250">
          <cell r="B250" t="str">
            <v>Last Reported Q</v>
          </cell>
          <cell r="C250">
            <v>2301</v>
          </cell>
          <cell r="D250">
            <v>1158</v>
          </cell>
          <cell r="E250">
            <v>2664</v>
          </cell>
          <cell r="F250">
            <v>1147</v>
          </cell>
          <cell r="G250">
            <v>115.125</v>
          </cell>
          <cell r="H250">
            <v>885.16499999999996</v>
          </cell>
          <cell r="I250">
            <v>2426.2710000000002</v>
          </cell>
          <cell r="J250">
            <v>1528.0801428571431</v>
          </cell>
          <cell r="K250">
            <v>10696.561000000002</v>
          </cell>
          <cell r="M250">
            <v>387.79300000000001</v>
          </cell>
          <cell r="N250">
            <v>438.83600000000001</v>
          </cell>
          <cell r="O250">
            <v>401.83100000000002</v>
          </cell>
          <cell r="P250">
            <v>408.89</v>
          </cell>
          <cell r="Q250">
            <v>2384</v>
          </cell>
          <cell r="R250">
            <v>1218.6880000000001</v>
          </cell>
          <cell r="S250">
            <v>430.70760552622602</v>
          </cell>
          <cell r="T250">
            <v>810.10651507517525</v>
          </cell>
          <cell r="U250">
            <v>5670.7456055262264</v>
          </cell>
        </row>
        <row r="251">
          <cell r="B251" t="str">
            <v>LTM</v>
          </cell>
          <cell r="C251">
            <v>3725</v>
          </cell>
          <cell r="D251">
            <v>1802</v>
          </cell>
          <cell r="E251">
            <v>3963</v>
          </cell>
          <cell r="F251">
            <v>1905</v>
          </cell>
          <cell r="G251">
            <v>168.06200000000001</v>
          </cell>
          <cell r="H251">
            <v>1495.3309999999999</v>
          </cell>
          <cell r="I251">
            <v>4092.0520000000001</v>
          </cell>
          <cell r="J251">
            <v>2450.0635714285713</v>
          </cell>
          <cell r="K251">
            <v>17150.445</v>
          </cell>
          <cell r="M251">
            <v>586.89</v>
          </cell>
          <cell r="N251">
            <v>703.08199999999999</v>
          </cell>
          <cell r="O251">
            <v>652.59500000000003</v>
          </cell>
          <cell r="P251">
            <v>1145.8679999999999</v>
          </cell>
          <cell r="Q251">
            <v>4043</v>
          </cell>
          <cell r="R251">
            <v>1753.4280000000001</v>
          </cell>
          <cell r="S251">
            <v>719.75060552622608</v>
          </cell>
          <cell r="T251">
            <v>1372.0876579323178</v>
          </cell>
          <cell r="U251">
            <v>9604.613605526225</v>
          </cell>
        </row>
        <row r="252">
          <cell r="B252" t="str">
            <v>FY1</v>
          </cell>
          <cell r="C252">
            <v>7.9293440159680317E-2</v>
          </cell>
          <cell r="D252">
            <v>-0.28175242217070839</v>
          </cell>
          <cell r="E252">
            <v>-5.8706764560482072E-2</v>
          </cell>
          <cell r="F252">
            <v>-1.2659497227352157E-2</v>
          </cell>
          <cell r="G252">
            <v>2.8440816501221811</v>
          </cell>
          <cell r="H252">
            <v>0.37739008200740787</v>
          </cell>
          <cell r="I252">
            <v>0.25447263704823664</v>
          </cell>
          <cell r="J252">
            <v>3.1167021448063714E-2</v>
          </cell>
          <cell r="K252">
            <v>3.1167021448063714E-2</v>
          </cell>
          <cell r="M252">
            <v>-0.44755096954652773</v>
          </cell>
          <cell r="N252">
            <v>0.40776067925643722</v>
          </cell>
          <cell r="O252">
            <v>-0.10256876684475125</v>
          </cell>
          <cell r="P252">
            <v>8.7859867401067548E-2</v>
          </cell>
          <cell r="Q252">
            <v>9.4663871224688112E-2</v>
          </cell>
          <cell r="R252">
            <v>7.1548102236515865E-2</v>
          </cell>
          <cell r="S252">
            <v>0.10220319930856303</v>
          </cell>
          <cell r="T252">
            <v>2.8925996516275365E-2</v>
          </cell>
          <cell r="U252">
            <v>2.8925996516275365E-2</v>
          </cell>
        </row>
        <row r="253">
          <cell r="B253" t="str">
            <v>EBITDA Margin</v>
          </cell>
          <cell r="C253">
            <v>0.11823966128147112</v>
          </cell>
          <cell r="D253">
            <v>0.13978431130046953</v>
          </cell>
          <cell r="E253">
            <v>3.3430400435524144E-2</v>
          </cell>
          <cell r="F253">
            <v>7.7024231074919403E-2</v>
          </cell>
          <cell r="G253">
            <v>0.49767331916214141</v>
          </cell>
          <cell r="H253">
            <v>2.8087481082974541E-3</v>
          </cell>
          <cell r="I253">
            <v>9.2016676363640526E-2</v>
          </cell>
          <cell r="J253">
            <v>8.2720158998771387E-2</v>
          </cell>
          <cell r="K253">
            <v>8.2720158998771609E-2</v>
          </cell>
          <cell r="M253">
            <v>0.22592980450213873</v>
          </cell>
          <cell r="N253">
            <v>2.4701111113993424E-2</v>
          </cell>
          <cell r="O253">
            <v>0.21193428107274648</v>
          </cell>
          <cell r="P253">
            <v>7.6209113790322691E-2</v>
          </cell>
          <cell r="Q253">
            <v>6.5830701459941299E-3</v>
          </cell>
          <cell r="R253">
            <v>8.3458125413556905E-2</v>
          </cell>
          <cell r="S253">
            <v>0.21981119502112567</v>
          </cell>
          <cell r="T253">
            <v>7.5768860916895386E-2</v>
          </cell>
          <cell r="U253">
            <v>7.5768860916895386E-2</v>
          </cell>
        </row>
        <row r="254">
          <cell r="B254" t="str">
            <v>FY(2)</v>
          </cell>
          <cell r="C254">
            <v>0.13698804761528982</v>
          </cell>
          <cell r="D254">
            <v>0.11620805269441058</v>
          </cell>
          <cell r="E254">
            <v>0.12750351537262949</v>
          </cell>
          <cell r="F254">
            <v>0.16785605133955017</v>
          </cell>
          <cell r="G254">
            <v>8.2868419605755084E-2</v>
          </cell>
          <cell r="H254">
            <v>9.0672933445708689E-2</v>
          </cell>
          <cell r="I254">
            <v>9.9641903695533218E-2</v>
          </cell>
          <cell r="J254">
            <v>0.11739127482412529</v>
          </cell>
          <cell r="K254">
            <v>0.12156171950147786</v>
          </cell>
          <cell r="M254">
            <v>0.26019338014128879</v>
          </cell>
          <cell r="N254">
            <v>0.14935354914750854</v>
          </cell>
          <cell r="O254">
            <v>0.23170570059294651</v>
          </cell>
          <cell r="P254">
            <v>0.41121611234792088</v>
          </cell>
          <cell r="Q254">
            <v>0.12028167227050689</v>
          </cell>
          <cell r="R254">
            <v>0.12027421769325956</v>
          </cell>
          <cell r="S254">
            <v>0.19563394891903294</v>
          </cell>
          <cell r="T254">
            <v>0.21266551158749486</v>
          </cell>
          <cell r="U254">
            <v>0.16668711075578976</v>
          </cell>
        </row>
        <row r="255">
          <cell r="A255" t="str">
            <v>mscalc:netIncomeBeforeOperatingLeaseAdjustment</v>
          </cell>
          <cell r="B255" t="str">
            <v>FY(1)</v>
          </cell>
          <cell r="C255">
            <v>0.1267910598026713</v>
          </cell>
          <cell r="D255">
            <v>8.6431288394483163E-2</v>
          </cell>
          <cell r="E255">
            <v>0.10750441909047083</v>
          </cell>
          <cell r="F255">
            <v>0.13044879990350983</v>
          </cell>
          <cell r="G255">
            <v>8.2192422010453139E-3</v>
          </cell>
          <cell r="H255">
            <v>9.7544958469286569E-2</v>
          </cell>
          <cell r="I255">
            <v>9.6657149752059329E-2</v>
          </cell>
          <cell r="J255">
            <v>9.3370988230503743E-2</v>
          </cell>
          <cell r="K255">
            <v>0.10278859736299435</v>
          </cell>
          <cell r="M255">
            <v>0.20810559331730538</v>
          </cell>
          <cell r="N255">
            <v>0.15596243180303057</v>
          </cell>
          <cell r="O255">
            <v>0.14721878254841297</v>
          </cell>
          <cell r="P255">
            <v>0.40239886291219351</v>
          </cell>
          <cell r="Q255">
            <v>0.1456698334021754</v>
          </cell>
          <cell r="R255">
            <v>0.11728210409699492</v>
          </cell>
          <cell r="S255">
            <v>0.20788196779929119</v>
          </cell>
          <cell r="T255">
            <v>0.19778851083991483</v>
          </cell>
          <cell r="U255">
            <v>0.17045411078742415</v>
          </cell>
        </row>
        <row r="256">
          <cell r="B256" t="str">
            <v>FY0</v>
          </cell>
          <cell r="C256">
            <v>0.13395819991849567</v>
          </cell>
          <cell r="D256">
            <v>6.5954797094283174E-2</v>
          </cell>
          <cell r="E256">
            <v>0.1134147899016561</v>
          </cell>
          <cell r="F256">
            <v>0.1388956163720029</v>
          </cell>
          <cell r="G256">
            <v>4.3845283751823318E-2</v>
          </cell>
          <cell r="H256">
            <v>0.12320973779591446</v>
          </cell>
          <cell r="I256">
            <v>0.1195888161753558</v>
          </cell>
          <cell r="J256">
            <v>0.10555246300136163</v>
          </cell>
          <cell r="K256">
            <v>0.1107535514305215</v>
          </cell>
          <cell r="M256">
            <v>0.13241469973110248</v>
          </cell>
          <cell r="N256">
            <v>0.19677817860594007</v>
          </cell>
          <cell r="O256">
            <v>0.13436656302937447</v>
          </cell>
          <cell r="P256">
            <v>0.34771803961531267</v>
          </cell>
          <cell r="Q256">
            <v>0.1679228005916743</v>
          </cell>
          <cell r="R256">
            <v>0.14117380216116088</v>
          </cell>
          <cell r="S256">
            <v>0.22226456371027473</v>
          </cell>
          <cell r="T256">
            <v>0.19180552106354851</v>
          </cell>
          <cell r="U256">
            <v>0.17664338994555029</v>
          </cell>
        </row>
        <row r="257">
          <cell r="B257" t="str">
            <v>FY1</v>
          </cell>
          <cell r="C257">
            <v>0.14524953541489105</v>
          </cell>
          <cell r="D257">
            <v>7.5696969513404266E-2</v>
          </cell>
          <cell r="E257">
            <v>0.12062063000600672</v>
          </cell>
          <cell r="F257">
            <v>0.15384036187165825</v>
          </cell>
          <cell r="G257">
            <v>5.9166066089843448E-2</v>
          </cell>
          <cell r="H257">
            <v>0.13352223205816469</v>
          </cell>
          <cell r="I257">
            <v>0.1254741288661009</v>
          </cell>
          <cell r="J257">
            <v>0.11622427483143848</v>
          </cell>
          <cell r="K257">
            <v>0.12054122450092597</v>
          </cell>
          <cell r="M257">
            <v>0.16025826241318036</v>
          </cell>
          <cell r="N257">
            <v>0.19872151824836315</v>
          </cell>
          <cell r="O257">
            <v>0.18010886307621324</v>
          </cell>
          <cell r="P257">
            <v>0.35376895413704895</v>
          </cell>
          <cell r="Q257">
            <v>0.16537263357722404</v>
          </cell>
          <cell r="R257">
            <v>0.1543223268754341</v>
          </cell>
          <cell r="S257">
            <v>0.23604606226171623</v>
          </cell>
          <cell r="T257">
            <v>0.20694266008416859</v>
          </cell>
          <cell r="U257">
            <v>0.18732508010362472</v>
          </cell>
        </row>
        <row r="258">
          <cell r="B258" t="str">
            <v>FY2</v>
          </cell>
          <cell r="C258">
            <v>0.15013309545326939</v>
          </cell>
          <cell r="D258">
            <v>7.9193958122540042E-2</v>
          </cell>
          <cell r="E258">
            <v>0.12262063000600606</v>
          </cell>
          <cell r="F258">
            <v>0.15941706666592947</v>
          </cell>
          <cell r="G258">
            <v>7.9918982174010306E-2</v>
          </cell>
          <cell r="H258">
            <v>0.13497861403200276</v>
          </cell>
          <cell r="I258">
            <v>0.12334122145439311</v>
          </cell>
          <cell r="J258">
            <v>0.121371938272593</v>
          </cell>
          <cell r="K258">
            <v>0.1235346883153805</v>
          </cell>
          <cell r="M258">
            <v>0.17746344955354632</v>
          </cell>
          <cell r="N258">
            <v>0.17966044021851338</v>
          </cell>
          <cell r="O258">
            <v>0.19258538043028928</v>
          </cell>
          <cell r="P258">
            <v>0.35575566674388343</v>
          </cell>
          <cell r="Q258">
            <v>0.17352122215451327</v>
          </cell>
          <cell r="R258">
            <v>0.16219812579766729</v>
          </cell>
          <cell r="S258">
            <v>0.24375203757221914</v>
          </cell>
          <cell r="T258">
            <v>0.21213376035294743</v>
          </cell>
          <cell r="U258">
            <v>0.19533599961776127</v>
          </cell>
        </row>
        <row r="259">
          <cell r="B259" t="str">
            <v>FQ(3)</v>
          </cell>
          <cell r="C259">
            <v>0.10775151181968114</v>
          </cell>
          <cell r="D259">
            <v>5.8180917683151347E-2</v>
          </cell>
          <cell r="E259">
            <v>6.2896710905943454E-2</v>
          </cell>
          <cell r="F259">
            <v>0.13071512309495897</v>
          </cell>
          <cell r="G259">
            <v>5.7490672272424374E-2</v>
          </cell>
          <cell r="H259">
            <v>0.11138337159102128</v>
          </cell>
          <cell r="I259">
            <v>0.10334057228107695</v>
          </cell>
          <cell r="J259">
            <v>9.0251268521179637E-2</v>
          </cell>
          <cell r="K259">
            <v>8.7326027810072149E-2</v>
          </cell>
          <cell r="M259">
            <v>4.2871458746379182E-2</v>
          </cell>
          <cell r="N259">
            <v>0.1664019763543321</v>
          </cell>
          <cell r="O259">
            <v>0.10171078431372549</v>
          </cell>
          <cell r="P259">
            <v>0.3101242129418777</v>
          </cell>
          <cell r="Q259">
            <v>0.15861848417013111</v>
          </cell>
          <cell r="R259">
            <v>8.7067457978237187E-2</v>
          </cell>
          <cell r="S259">
            <v>0.17726275740912067</v>
          </cell>
          <cell r="T259">
            <v>0.14915101884482906</v>
          </cell>
          <cell r="U259">
            <v>0.14473941352003131</v>
          </cell>
        </row>
        <row r="260">
          <cell r="B260" t="str">
            <v>FQ(2)</v>
          </cell>
          <cell r="C260">
            <v>0.14266946925906462</v>
          </cell>
          <cell r="D260">
            <v>4.7683661878543789E-2</v>
          </cell>
          <cell r="E260">
            <v>0.11289697908597986</v>
          </cell>
          <cell r="F260">
            <v>0.1324009324009324</v>
          </cell>
          <cell r="G260">
            <v>-5.6420198826411437E-2</v>
          </cell>
          <cell r="H260">
            <v>0.11833299785823652</v>
          </cell>
          <cell r="I260">
            <v>0.11113215130063475</v>
          </cell>
          <cell r="J260">
            <v>8.69565704224258E-2</v>
          </cell>
          <cell r="K260">
            <v>0.1040500073004839</v>
          </cell>
          <cell r="M260">
            <v>0.10608721307050457</v>
          </cell>
          <cell r="N260">
            <v>0.17149132488631846</v>
          </cell>
          <cell r="O260">
            <v>0.12417654608604675</v>
          </cell>
          <cell r="P260">
            <v>0.32257143738813798</v>
          </cell>
          <cell r="Q260">
            <v>0.15901386748844376</v>
          </cell>
          <cell r="R260">
            <v>0.11450781714982507</v>
          </cell>
          <cell r="S260">
            <v>0.22119112305015418</v>
          </cell>
          <cell r="T260">
            <v>0.17414847558849011</v>
          </cell>
          <cell r="U260">
            <v>0.16055236030399414</v>
          </cell>
        </row>
        <row r="261">
          <cell r="B261" t="str">
            <v>FQ(1)</v>
          </cell>
          <cell r="C261">
            <v>0.12071093557146384</v>
          </cell>
          <cell r="D261">
            <v>5.5018734955040782E-2</v>
          </cell>
          <cell r="E261">
            <v>7.3716126587075992E-2</v>
          </cell>
          <cell r="F261">
            <v>0.13436830835117772</v>
          </cell>
          <cell r="G261">
            <v>7.7460193781139441E-2</v>
          </cell>
          <cell r="H261">
            <v>0.12181483241874644</v>
          </cell>
          <cell r="I261">
            <v>0.1312139343283992</v>
          </cell>
          <cell r="J261">
            <v>0.10204329514186336</v>
          </cell>
          <cell r="K261">
            <v>0.10038664671341772</v>
          </cell>
          <cell r="M261">
            <v>0.14024312576623624</v>
          </cell>
          <cell r="N261">
            <v>0.208969811812524</v>
          </cell>
          <cell r="O261">
            <v>0.14267613043118341</v>
          </cell>
          <cell r="P261">
            <v>0.33702985276523206</v>
          </cell>
          <cell r="Q261">
            <v>0.18027305656171635</v>
          </cell>
          <cell r="R261">
            <v>8.3208166142882178E-2</v>
          </cell>
          <cell r="S261">
            <v>0.23599327930421032</v>
          </cell>
          <cell r="T261">
            <v>0.18977048896914067</v>
          </cell>
          <cell r="U261">
            <v>0.17257593409458666</v>
          </cell>
        </row>
        <row r="262">
          <cell r="B262" t="str">
            <v>Last Reported Q</v>
          </cell>
          <cell r="C262">
            <v>0.13395819991849567</v>
          </cell>
          <cell r="D262">
            <v>6.5954797094283174E-2</v>
          </cell>
          <cell r="E262">
            <v>0.1134147899016561</v>
          </cell>
          <cell r="F262">
            <v>0.1388956163720029</v>
          </cell>
          <cell r="G262">
            <v>4.3845283751823318E-2</v>
          </cell>
          <cell r="H262">
            <v>0.12320973779591446</v>
          </cell>
          <cell r="I262">
            <v>0.1195888161753558</v>
          </cell>
          <cell r="J262">
            <v>0.10555246300136163</v>
          </cell>
          <cell r="K262">
            <v>0.1107535514305215</v>
          </cell>
          <cell r="M262">
            <v>0.13241469973110248</v>
          </cell>
          <cell r="N262">
            <v>0.19677817860594007</v>
          </cell>
          <cell r="O262">
            <v>0.13436656302937447</v>
          </cell>
          <cell r="P262">
            <v>0.38393246980061119</v>
          </cell>
          <cell r="Q262">
            <v>0.1679228005916743</v>
          </cell>
          <cell r="R262">
            <v>0.14117380216116088</v>
          </cell>
          <cell r="S262">
            <v>0.22226456371027473</v>
          </cell>
          <cell r="T262">
            <v>0.19697901109001972</v>
          </cell>
          <cell r="U262">
            <v>0.16687672680250146</v>
          </cell>
        </row>
        <row r="263">
          <cell r="B263" t="str">
            <v>LTM</v>
          </cell>
          <cell r="C263">
            <v>0.12991768973214285</v>
          </cell>
          <cell r="D263">
            <v>6.0950532559043924E-2</v>
          </cell>
          <cell r="E263">
            <v>0.10128038028061029</v>
          </cell>
          <cell r="F263">
            <v>0.13629534234814339</v>
          </cell>
          <cell r="G263">
            <v>3.7850898154233259E-2</v>
          </cell>
          <cell r="H263">
            <v>0.1207023044678138</v>
          </cell>
          <cell r="I263">
            <v>0.1181474006949358</v>
          </cell>
          <cell r="J263">
            <v>0.10073493546241762</v>
          </cell>
          <cell r="K263">
            <v>0.10534231755292885</v>
          </cell>
          <cell r="M263">
            <v>0.11925606841663891</v>
          </cell>
          <cell r="N263">
            <v>0.19215209018233734</v>
          </cell>
          <cell r="O263">
            <v>0.13028147082239661</v>
          </cell>
          <cell r="P263">
            <v>0.34265106717003696</v>
          </cell>
          <cell r="Q263">
            <v>0.16735656925242157</v>
          </cell>
          <cell r="R263">
            <v>0.12346629865368679</v>
          </cell>
          <cell r="S263">
            <v>0.2189597225568104</v>
          </cell>
          <cell r="T263">
            <v>0.18487475529347552</v>
          </cell>
          <cell r="U263">
            <v>0.16395638290338857</v>
          </cell>
        </row>
        <row r="264">
          <cell r="B264" t="str">
            <v>Last Reported Q</v>
          </cell>
          <cell r="C264">
            <v>193</v>
          </cell>
          <cell r="D264">
            <v>27</v>
          </cell>
          <cell r="E264">
            <v>-2</v>
          </cell>
          <cell r="F264">
            <v>83</v>
          </cell>
          <cell r="G264">
            <v>2.2584630489110999</v>
          </cell>
          <cell r="H264">
            <v>105.08</v>
          </cell>
          <cell r="I264">
            <v>347.79899999999998</v>
          </cell>
          <cell r="J264">
            <v>108.01963757841587</v>
          </cell>
          <cell r="K264">
            <v>756.13746304891106</v>
          </cell>
          <cell r="M264">
            <v>26.331</v>
          </cell>
          <cell r="N264">
            <v>62.628999999999998</v>
          </cell>
          <cell r="O264">
            <v>44.501489999999997</v>
          </cell>
          <cell r="P264">
            <v>622.12800000000004</v>
          </cell>
          <cell r="Q264">
            <v>307</v>
          </cell>
          <cell r="R264">
            <v>6.0990000000000002</v>
          </cell>
          <cell r="S264">
            <v>62.392000000000003</v>
          </cell>
          <cell r="T264">
            <v>161.58292714285716</v>
          </cell>
          <cell r="U264">
            <v>1131.0804900000001</v>
          </cell>
        </row>
        <row r="265">
          <cell r="B265" t="str">
            <v>EBITDA Growth, Y/Y</v>
          </cell>
          <cell r="C265">
            <v>895</v>
          </cell>
          <cell r="D265">
            <v>259.38200000000001</v>
          </cell>
          <cell r="E265">
            <v>917</v>
          </cell>
          <cell r="F265">
            <v>324</v>
          </cell>
          <cell r="G265">
            <v>-129.12349297410259</v>
          </cell>
          <cell r="H265">
            <v>397.26099999999997</v>
          </cell>
          <cell r="I265">
            <v>1054.4956247570569</v>
          </cell>
          <cell r="J265">
            <v>531.14501882613627</v>
          </cell>
          <cell r="K265">
            <v>3718.0151317829541</v>
          </cell>
          <cell r="M265">
            <v>99.525280000000024</v>
          </cell>
          <cell r="N265">
            <v>202.98999999999998</v>
          </cell>
          <cell r="O265">
            <v>127.42749000000001</v>
          </cell>
          <cell r="P265">
            <v>1107.99</v>
          </cell>
          <cell r="Q265">
            <v>993</v>
          </cell>
          <cell r="R265">
            <v>287.89599999999996</v>
          </cell>
          <cell r="S265">
            <v>182.76300000000001</v>
          </cell>
          <cell r="T265">
            <v>428.79882428571426</v>
          </cell>
          <cell r="U265">
            <v>3001.59177</v>
          </cell>
        </row>
        <row r="266">
          <cell r="B266" t="str">
            <v>FY(2)</v>
          </cell>
        </row>
        <row r="267">
          <cell r="A267" t="str">
            <v>mstag:adjEpsForConsensus</v>
          </cell>
          <cell r="B267" t="str">
            <v>FY(1)</v>
          </cell>
          <cell r="C267">
            <v>-7.9201488899720784E-2</v>
          </cell>
          <cell r="D267">
            <v>-0.30770811203667681</v>
          </cell>
          <cell r="E267">
            <v>-0.20238450074515646</v>
          </cell>
          <cell r="F267">
            <v>-0.2701109864880733</v>
          </cell>
          <cell r="G267">
            <v>-0.90773496921431085</v>
          </cell>
          <cell r="H267">
            <v>0.16777747721630143</v>
          </cell>
          <cell r="I267">
            <v>5.1073732749904455E-3</v>
          </cell>
          <cell r="J267">
            <v>-0.17552771553726221</v>
          </cell>
          <cell r="K267">
            <v>-0.17552771553726221</v>
          </cell>
          <cell r="M267">
            <v>-0.24679808239512446</v>
          </cell>
          <cell r="N267">
            <v>0.24367530259585379</v>
          </cell>
          <cell r="O267">
            <v>-0.37848007932673966</v>
          </cell>
          <cell r="P267">
            <v>0.19142889589717416</v>
          </cell>
          <cell r="Q267">
            <v>0.11603375527426163</v>
          </cell>
          <cell r="R267">
            <v>-0.12576981191488734</v>
          </cell>
          <cell r="S267">
            <v>0.29299367376136587</v>
          </cell>
          <cell r="T267">
            <v>-1.3845206508230845E-2</v>
          </cell>
          <cell r="U267">
            <v>-1.3845206508230734E-2</v>
          </cell>
        </row>
        <row r="268">
          <cell r="B268" t="str">
            <v>FY0</v>
          </cell>
          <cell r="C268">
            <v>0.10733284375201535</v>
          </cell>
          <cell r="D268">
            <v>-0.27525786308272593</v>
          </cell>
          <cell r="E268">
            <v>-4.484304932735439E-3</v>
          </cell>
          <cell r="F268">
            <v>6.0514021067892276E-2</v>
          </cell>
          <cell r="G268">
            <v>3.6122101741780241</v>
          </cell>
          <cell r="H268">
            <v>0.39904973528588439</v>
          </cell>
          <cell r="I268">
            <v>0.32118318178996508</v>
          </cell>
          <cell r="J268">
            <v>7.747688463813307E-2</v>
          </cell>
          <cell r="K268">
            <v>7.747688463813307E-2</v>
          </cell>
          <cell r="M268">
            <v>-0.4651512799438895</v>
          </cell>
          <cell r="N268">
            <v>0.49227400092494356</v>
          </cell>
          <cell r="O268">
            <v>-8.6768482534487767E-2</v>
          </cell>
          <cell r="P268">
            <v>-0.12238218719261096</v>
          </cell>
          <cell r="Q268">
            <v>0.12665406427221182</v>
          </cell>
          <cell r="R268">
            <v>0.14911267487438096</v>
          </cell>
          <cell r="S268">
            <v>0.12932793595490644</v>
          </cell>
          <cell r="T268">
            <v>1.3998711751485926E-2</v>
          </cell>
          <cell r="U268">
            <v>1.3998711751485926E-2</v>
          </cell>
        </row>
        <row r="269">
          <cell r="B269" t="str">
            <v>FY1</v>
          </cell>
          <cell r="C269">
            <v>0.16768440513724037</v>
          </cell>
          <cell r="D269">
            <v>0.16396720568492218</v>
          </cell>
          <cell r="E269">
            <v>0.11132962211942954</v>
          </cell>
          <cell r="F269">
            <v>0.1979250781288231</v>
          </cell>
          <cell r="G269">
            <v>0.40687676655192195</v>
          </cell>
          <cell r="H269">
            <v>0.17716918655120795</v>
          </cell>
          <cell r="I269">
            <v>0.14062970104034123</v>
          </cell>
          <cell r="J269">
            <v>0.15371196728365222</v>
          </cell>
          <cell r="K269">
            <v>0.153711967283652</v>
          </cell>
          <cell r="M269">
            <v>0.30702832399387292</v>
          </cell>
          <cell r="N269">
            <v>0.10051549344582478</v>
          </cell>
          <cell r="O269">
            <v>0.3396915735002326</v>
          </cell>
          <cell r="P269">
            <v>9.4761092269401104E-2</v>
          </cell>
          <cell r="Q269">
            <v>-2.48488144569462E-2</v>
          </cell>
          <cell r="R269">
            <v>0.1536928140979561</v>
          </cell>
          <cell r="S269">
            <v>0.23940390562692615</v>
          </cell>
          <cell r="T269">
            <v>9.9808707697482735E-2</v>
          </cell>
          <cell r="U269">
            <v>9.9808707697482957E-2</v>
          </cell>
        </row>
        <row r="270">
          <cell r="B270" t="str">
            <v>FY2</v>
          </cell>
          <cell r="C270">
            <v>0.11975332839646402</v>
          </cell>
          <cell r="D270">
            <v>6.9243624140826077E-2</v>
          </cell>
          <cell r="E270">
            <v>2.5119437823411195E-2</v>
          </cell>
          <cell r="F270">
            <v>8.5067534120490729E-2</v>
          </cell>
          <cell r="G270">
            <v>0.4468704139954931</v>
          </cell>
          <cell r="H270">
            <v>5.720354411580475E-2</v>
          </cell>
          <cell r="I270">
            <v>4.7780997854424578E-2</v>
          </cell>
          <cell r="J270">
            <v>7.0543438842309403E-2</v>
          </cell>
          <cell r="K270">
            <v>7.0543438842309403E-2</v>
          </cell>
          <cell r="M270">
            <v>0.19636141008461783</v>
          </cell>
          <cell r="N270">
            <v>2.3273998342098423E-2</v>
          </cell>
          <cell r="O270">
            <v>0.18246504233387761</v>
          </cell>
          <cell r="P270">
            <v>7.5419279534387984E-2</v>
          </cell>
          <cell r="Q270">
            <v>8.3012160730286944E-3</v>
          </cell>
          <cell r="R270">
            <v>9.0653076544306099E-2</v>
          </cell>
          <cell r="S270">
            <v>0.17812910149573691</v>
          </cell>
          <cell r="T270">
            <v>7.7406716021881428E-2</v>
          </cell>
          <cell r="U270">
            <v>7.7406716021881428E-2</v>
          </cell>
        </row>
        <row r="271">
          <cell r="B271" t="str">
            <v>FY1</v>
          </cell>
          <cell r="C271">
            <v>3.11</v>
          </cell>
          <cell r="D271">
            <v>1.03510445527076</v>
          </cell>
          <cell r="E271">
            <v>1.14784510187135</v>
          </cell>
          <cell r="F271">
            <v>1.8136411490884501</v>
          </cell>
          <cell r="G271">
            <v>-0.472295447628726</v>
          </cell>
          <cell r="H271">
            <v>3.3862868587624302</v>
          </cell>
          <cell r="I271">
            <v>2.6945205236563301</v>
          </cell>
          <cell r="M271">
            <v>1.0080029976226801</v>
          </cell>
          <cell r="N271">
            <v>3.19697659901902</v>
          </cell>
          <cell r="O271">
            <v>0.73983220363332802</v>
          </cell>
          <cell r="P271">
            <v>2.1342367427798301</v>
          </cell>
          <cell r="Q271">
            <v>1.5442144348621401</v>
          </cell>
          <cell r="R271">
            <v>1.1090965137337101</v>
          </cell>
          <cell r="S271">
            <v>1.24056550686542</v>
          </cell>
        </row>
        <row r="272">
          <cell r="A272" t="str">
            <v>mscalc:netIncomeBeforeOperatingLeaseAdjustment</v>
          </cell>
          <cell r="B272" t="str">
            <v>Net Income</v>
          </cell>
          <cell r="C272">
            <v>3.6141121475309599</v>
          </cell>
          <cell r="D272">
            <v>1.5303898670656499</v>
          </cell>
          <cell r="E272">
            <v>1.3294495544969001</v>
          </cell>
          <cell r="F272">
            <v>2.03885624205917</v>
          </cell>
          <cell r="G272">
            <v>-0.23101098907579101</v>
          </cell>
          <cell r="H272">
            <v>3.5442519215475099</v>
          </cell>
          <cell r="I272">
            <v>3.1175626704531201</v>
          </cell>
          <cell r="M272">
            <v>1.5590303512307999</v>
          </cell>
          <cell r="N272">
            <v>3.4587188109684202</v>
          </cell>
          <cell r="O272">
            <v>0.93491756401208104</v>
          </cell>
          <cell r="P272">
            <v>2.3560769521099698</v>
          </cell>
          <cell r="Q272">
            <v>1.64332942576824</v>
          </cell>
          <cell r="R272">
            <v>1.2755329709446399</v>
          </cell>
          <cell r="S272">
            <v>1.5606882755392599</v>
          </cell>
        </row>
        <row r="273">
          <cell r="B273" t="str">
            <v>FY(10)</v>
          </cell>
          <cell r="C273">
            <v>264.01</v>
          </cell>
          <cell r="D273">
            <v>384.12799999999999</v>
          </cell>
          <cell r="E273">
            <v>825</v>
          </cell>
          <cell r="F273">
            <v>202.291</v>
          </cell>
          <cell r="G273" t="str">
            <v>NA</v>
          </cell>
          <cell r="H273">
            <v>159.10599999999999</v>
          </cell>
          <cell r="I273">
            <v>526.822</v>
          </cell>
          <cell r="J273">
            <v>393.55950000000001</v>
          </cell>
          <cell r="K273">
            <v>2361.357</v>
          </cell>
          <cell r="M273">
            <v>149.60400000000001</v>
          </cell>
          <cell r="N273" t="str">
            <v>NA</v>
          </cell>
          <cell r="O273">
            <v>90.66</v>
          </cell>
          <cell r="P273">
            <v>21.001124000000001</v>
          </cell>
          <cell r="Q273" t="str">
            <v>NA</v>
          </cell>
          <cell r="R273">
            <v>446.56</v>
          </cell>
          <cell r="S273">
            <v>18.68</v>
          </cell>
          <cell r="T273">
            <v>145.30102479999999</v>
          </cell>
          <cell r="U273">
            <v>726.50512399999991</v>
          </cell>
        </row>
        <row r="274">
          <cell r="B274" t="str">
            <v>FY(9)</v>
          </cell>
          <cell r="C274">
            <v>368.71199999999999</v>
          </cell>
          <cell r="D274">
            <v>-88.56</v>
          </cell>
          <cell r="E274">
            <v>901</v>
          </cell>
          <cell r="F274">
            <v>134.77500000000001</v>
          </cell>
          <cell r="G274" t="str">
            <v>NA</v>
          </cell>
          <cell r="H274">
            <v>150.28800000000001</v>
          </cell>
          <cell r="I274">
            <v>538.06600000000003</v>
          </cell>
          <cell r="J274">
            <v>334.04683333333338</v>
          </cell>
          <cell r="K274">
            <v>2004.2810000000002</v>
          </cell>
          <cell r="M274">
            <v>156.85300000000001</v>
          </cell>
          <cell r="N274" t="str">
            <v>NA</v>
          </cell>
          <cell r="O274">
            <v>91.152000000000001</v>
          </cell>
          <cell r="P274">
            <v>38.685000000000002</v>
          </cell>
          <cell r="Q274">
            <v>877.41700000000003</v>
          </cell>
          <cell r="R274">
            <v>412.46089999999998</v>
          </cell>
          <cell r="S274">
            <v>10.494999999999999</v>
          </cell>
          <cell r="T274">
            <v>264.5104833333333</v>
          </cell>
          <cell r="U274">
            <v>1587.0628999999999</v>
          </cell>
        </row>
        <row r="275">
          <cell r="B275" t="str">
            <v>FY(8)</v>
          </cell>
          <cell r="C275">
            <v>491.98899999999998</v>
          </cell>
          <cell r="D275">
            <v>183</v>
          </cell>
          <cell r="E275">
            <v>746</v>
          </cell>
          <cell r="F275">
            <v>124.688</v>
          </cell>
          <cell r="G275" t="str">
            <v>NA</v>
          </cell>
          <cell r="H275">
            <v>155.04499999999999</v>
          </cell>
          <cell r="I275">
            <v>540.39700000000005</v>
          </cell>
          <cell r="J275">
            <v>373.51983333333334</v>
          </cell>
          <cell r="K275">
            <v>2241.1190000000001</v>
          </cell>
          <cell r="M275">
            <v>166.6</v>
          </cell>
          <cell r="N275" t="str">
            <v>NA</v>
          </cell>
          <cell r="O275">
            <v>101.666</v>
          </cell>
          <cell r="P275">
            <v>70.602440000000001</v>
          </cell>
          <cell r="Q275">
            <v>-7.7640000000000002</v>
          </cell>
          <cell r="R275">
            <v>405.77499999999998</v>
          </cell>
          <cell r="S275">
            <v>15.007</v>
          </cell>
          <cell r="T275">
            <v>125.31440666666664</v>
          </cell>
          <cell r="U275">
            <v>751.88643999999988</v>
          </cell>
        </row>
        <row r="276">
          <cell r="B276" t="str">
            <v>FY(7)</v>
          </cell>
          <cell r="C276">
            <v>635.47</v>
          </cell>
          <cell r="D276">
            <v>283</v>
          </cell>
          <cell r="E276">
            <v>706</v>
          </cell>
          <cell r="F276">
            <v>106.34099999999999</v>
          </cell>
          <cell r="G276" t="str">
            <v>NA</v>
          </cell>
          <cell r="H276">
            <v>200.07599999999999</v>
          </cell>
          <cell r="I276">
            <v>578.38800000000003</v>
          </cell>
          <cell r="J276">
            <v>418.21250000000003</v>
          </cell>
          <cell r="K276">
            <v>2509.2750000000001</v>
          </cell>
          <cell r="M276">
            <v>194.75399999999999</v>
          </cell>
          <cell r="N276">
            <v>33.71546</v>
          </cell>
          <cell r="O276">
            <v>99.644000000000005</v>
          </cell>
          <cell r="P276">
            <v>78.97</v>
          </cell>
          <cell r="Q276">
            <v>477.72370245564099</v>
          </cell>
          <cell r="R276">
            <v>517.41099999999994</v>
          </cell>
          <cell r="S276">
            <v>27.413</v>
          </cell>
          <cell r="T276">
            <v>204.23302320794872</v>
          </cell>
          <cell r="U276">
            <v>1429.6311624556411</v>
          </cell>
        </row>
        <row r="277">
          <cell r="B277" t="str">
            <v>FY(6)</v>
          </cell>
          <cell r="C277">
            <v>580.86199999999997</v>
          </cell>
          <cell r="D277">
            <v>360</v>
          </cell>
          <cell r="E277">
            <v>714</v>
          </cell>
          <cell r="F277">
            <v>242.88900000000001</v>
          </cell>
          <cell r="G277">
            <v>-69.899950647510195</v>
          </cell>
          <cell r="H277">
            <v>227.57400000000001</v>
          </cell>
          <cell r="I277">
            <v>609.41200000000003</v>
          </cell>
          <cell r="J277">
            <v>380.69100705035572</v>
          </cell>
          <cell r="K277">
            <v>2664.8370493524899</v>
          </cell>
          <cell r="M277">
            <v>204.83</v>
          </cell>
          <cell r="N277">
            <v>54.253999999999998</v>
          </cell>
          <cell r="O277">
            <v>83.108000000000004</v>
          </cell>
          <cell r="P277">
            <v>122.383</v>
          </cell>
          <cell r="Q277">
            <v>1042.69954791705</v>
          </cell>
          <cell r="R277">
            <v>583.65</v>
          </cell>
          <cell r="S277">
            <v>48.375999999999998</v>
          </cell>
          <cell r="T277">
            <v>305.61436398815005</v>
          </cell>
          <cell r="U277">
            <v>2139.3005479170502</v>
          </cell>
        </row>
        <row r="278">
          <cell r="B278" t="str">
            <v>FY(5)</v>
          </cell>
          <cell r="C278">
            <v>703.51288799999998</v>
          </cell>
          <cell r="D278">
            <v>657.37</v>
          </cell>
          <cell r="E278">
            <v>786.546594982079</v>
          </cell>
          <cell r="F278">
            <v>393.47500000000002</v>
          </cell>
          <cell r="G278">
            <v>-69.191530595781302</v>
          </cell>
          <cell r="H278">
            <v>185.72</v>
          </cell>
          <cell r="I278">
            <v>628.96199999999999</v>
          </cell>
          <cell r="J278">
            <v>469.4849931980425</v>
          </cell>
          <cell r="K278">
            <v>3286.3949523862975</v>
          </cell>
          <cell r="M278">
            <v>241.95355390734301</v>
          </cell>
          <cell r="N278">
            <v>86.960999999999999</v>
          </cell>
          <cell r="O278">
            <v>224.232</v>
          </cell>
          <cell r="P278">
            <v>220.239</v>
          </cell>
          <cell r="Q278">
            <v>1214.12078310316</v>
          </cell>
          <cell r="R278">
            <v>674.27200000000005</v>
          </cell>
          <cell r="S278">
            <v>90.489000000000004</v>
          </cell>
          <cell r="T278">
            <v>393.18104814435759</v>
          </cell>
          <cell r="U278">
            <v>2752.2673370105031</v>
          </cell>
        </row>
        <row r="279">
          <cell r="B279" t="str">
            <v>FY(4)</v>
          </cell>
          <cell r="C279">
            <v>831.621966099166</v>
          </cell>
          <cell r="D279">
            <v>928.03159479553904</v>
          </cell>
          <cell r="E279">
            <v>1089.0546208098101</v>
          </cell>
          <cell r="F279">
            <v>551.18021775831903</v>
          </cell>
          <cell r="G279">
            <v>-113.296092527064</v>
          </cell>
          <cell r="H279">
            <v>199.63200000000001</v>
          </cell>
          <cell r="I279">
            <v>642.13399999999695</v>
          </cell>
          <cell r="J279">
            <v>589.76547241939534</v>
          </cell>
          <cell r="K279">
            <v>4128.3583069357674</v>
          </cell>
          <cell r="M279">
            <v>363.59381999999999</v>
          </cell>
          <cell r="N279">
            <v>83.953999999999994</v>
          </cell>
          <cell r="O279">
            <v>293.71100000000001</v>
          </cell>
          <cell r="P279">
            <v>336.64699999999999</v>
          </cell>
          <cell r="Q279">
            <v>1076.3882618510199</v>
          </cell>
          <cell r="R279">
            <v>546.83600000000001</v>
          </cell>
          <cell r="S279">
            <v>129.832005188067</v>
          </cell>
          <cell r="T279">
            <v>404.42315529129809</v>
          </cell>
          <cell r="U279">
            <v>2830.9620870390868</v>
          </cell>
        </row>
        <row r="280">
          <cell r="B280" t="str">
            <v>FY(3)</v>
          </cell>
          <cell r="C280">
            <v>1108.5977755399999</v>
          </cell>
          <cell r="D280">
            <v>1134</v>
          </cell>
          <cell r="E280">
            <v>1137.6065454545501</v>
          </cell>
          <cell r="F280">
            <v>677.99900000000002</v>
          </cell>
          <cell r="G280">
            <v>29.8422306591854</v>
          </cell>
          <cell r="H280">
            <v>241.63399999999999</v>
          </cell>
          <cell r="I280">
            <v>784.33473025389503</v>
          </cell>
          <cell r="J280">
            <v>730.57346884394724</v>
          </cell>
          <cell r="K280">
            <v>5114.0142819076309</v>
          </cell>
          <cell r="M280">
            <v>446.524</v>
          </cell>
          <cell r="N280">
            <v>100.86799999999999</v>
          </cell>
          <cell r="O280">
            <v>387.35899999999998</v>
          </cell>
          <cell r="P280">
            <v>464.00954749822699</v>
          </cell>
          <cell r="Q280">
            <v>780.95348837209303</v>
          </cell>
          <cell r="R280">
            <v>675.04899999999998</v>
          </cell>
          <cell r="S280">
            <v>108.90600000000001</v>
          </cell>
          <cell r="T280">
            <v>423.38129083861713</v>
          </cell>
          <cell r="U280">
            <v>2963.6690358703199</v>
          </cell>
        </row>
        <row r="281">
          <cell r="B281" t="str">
            <v>FY(2)</v>
          </cell>
          <cell r="C281">
            <v>1083.8209999999999</v>
          </cell>
          <cell r="D281">
            <v>1073</v>
          </cell>
          <cell r="E281">
            <v>968.870454545455</v>
          </cell>
          <cell r="F281">
            <v>694.02599999999995</v>
          </cell>
          <cell r="G281">
            <v>63.374305710902703</v>
          </cell>
          <cell r="H281">
            <v>261.05099999999999</v>
          </cell>
          <cell r="I281">
            <v>902.52825069543098</v>
          </cell>
          <cell r="J281">
            <v>720.95300156454118</v>
          </cell>
          <cell r="K281">
            <v>5046.671010951788</v>
          </cell>
          <cell r="M281">
            <v>499.12700000000001</v>
          </cell>
          <cell r="N281">
            <v>125.371</v>
          </cell>
          <cell r="O281">
            <v>400.01900000000001</v>
          </cell>
          <cell r="P281">
            <v>636.529</v>
          </cell>
          <cell r="Q281">
            <v>888.19060546964795</v>
          </cell>
          <cell r="R281">
            <v>461.45582675721101</v>
          </cell>
          <cell r="S281">
            <v>152.53</v>
          </cell>
          <cell r="T281">
            <v>451.88891888955135</v>
          </cell>
          <cell r="U281">
            <v>3163.2224322268594</v>
          </cell>
        </row>
        <row r="282">
          <cell r="B282" t="str">
            <v>FY(1)</v>
          </cell>
          <cell r="C282">
            <v>885.62900000000002</v>
          </cell>
          <cell r="D282">
            <v>562.53838064516106</v>
          </cell>
          <cell r="E282">
            <v>545</v>
          </cell>
          <cell r="F282">
            <v>394.55099999999999</v>
          </cell>
          <cell r="G282">
            <v>-109.755122537465</v>
          </cell>
          <cell r="H282">
            <v>302.774720000005</v>
          </cell>
          <cell r="I282">
            <v>883.85870191995605</v>
          </cell>
          <cell r="J282">
            <v>494.9423828610939</v>
          </cell>
          <cell r="K282">
            <v>3464.5966800276574</v>
          </cell>
          <cell r="M282">
            <v>318.97024840902799</v>
          </cell>
          <cell r="N282">
            <v>149.422</v>
          </cell>
          <cell r="O282">
            <v>204.88800000000001</v>
          </cell>
          <cell r="P282">
            <v>742.00199999999995</v>
          </cell>
          <cell r="Q282">
            <v>967</v>
          </cell>
          <cell r="R282">
            <v>353.38200000000001</v>
          </cell>
          <cell r="S282">
            <v>199.364</v>
          </cell>
          <cell r="T282">
            <v>419.28974977271827</v>
          </cell>
          <cell r="U282">
            <v>2935.028248409028</v>
          </cell>
        </row>
        <row r="283">
          <cell r="B283" t="str">
            <v>FY0</v>
          </cell>
          <cell r="C283">
            <v>990.1</v>
          </cell>
          <cell r="D283">
            <v>249.58199999999999</v>
          </cell>
          <cell r="E283">
            <v>576</v>
          </cell>
          <cell r="F283">
            <v>427.8</v>
          </cell>
          <cell r="G283">
            <v>-47.731873116743998</v>
          </cell>
          <cell r="H283">
            <v>442.75700000000001</v>
          </cell>
          <cell r="I283">
            <v>1213.5719999999999</v>
          </cell>
          <cell r="J283">
            <v>550.29701812617952</v>
          </cell>
          <cell r="K283">
            <v>3852.0791268832563</v>
          </cell>
          <cell r="M283">
            <v>95.928809999999999</v>
          </cell>
          <cell r="N283">
            <v>231.32900000000001</v>
          </cell>
          <cell r="O283">
            <v>159.06599</v>
          </cell>
          <cell r="P283">
            <v>622.12800000000004</v>
          </cell>
          <cell r="Q283">
            <v>1099.8</v>
          </cell>
          <cell r="R283">
            <v>405.17</v>
          </cell>
          <cell r="S283">
            <v>219.893</v>
          </cell>
          <cell r="T283">
            <v>404.75925714285717</v>
          </cell>
          <cell r="U283">
            <v>2833.3148000000001</v>
          </cell>
        </row>
        <row r="284">
          <cell r="B284" t="str">
            <v>FY1</v>
          </cell>
          <cell r="C284">
            <v>1190.2064623122999</v>
          </cell>
          <cell r="D284">
            <v>371.94239455885997</v>
          </cell>
          <cell r="E284">
            <v>780.85661388894903</v>
          </cell>
          <cell r="F284">
            <v>574.20119639689005</v>
          </cell>
          <cell r="G284">
            <v>-14.812477877415599</v>
          </cell>
          <cell r="H284">
            <v>520.84207533519498</v>
          </cell>
          <cell r="I284">
            <v>1413.51496786962</v>
          </cell>
          <cell r="J284">
            <v>690.96446178348549</v>
          </cell>
          <cell r="K284">
            <v>4836.7512324843983</v>
          </cell>
          <cell r="M284">
            <v>155.41382199654501</v>
          </cell>
          <cell r="N284">
            <v>257.42391448394397</v>
          </cell>
          <cell r="O284">
            <v>248.62981426116701</v>
          </cell>
          <cell r="P284">
            <v>691.98393385513396</v>
          </cell>
          <cell r="Q284">
            <v>1083.8921535054101</v>
          </cell>
          <cell r="R284">
            <v>546.01826939091302</v>
          </cell>
          <cell r="S284">
            <v>279.22350732756701</v>
          </cell>
          <cell r="T284">
            <v>466.08363068866856</v>
          </cell>
          <cell r="U284">
            <v>3262.5854148206799</v>
          </cell>
        </row>
        <row r="285">
          <cell r="B285" t="str">
            <v>FY2</v>
          </cell>
          <cell r="C285">
            <v>1377.4147410483899</v>
          </cell>
          <cell r="D285">
            <v>461.162423782784</v>
          </cell>
          <cell r="E285">
            <v>888.32831729053999</v>
          </cell>
          <cell r="F285">
            <v>631.87045905384298</v>
          </cell>
          <cell r="G285">
            <v>21.642644285581799</v>
          </cell>
          <cell r="H285">
            <v>560.83917130142299</v>
          </cell>
          <cell r="I285">
            <v>1528.2089011232599</v>
          </cell>
          <cell r="J285">
            <v>781.35237969797447</v>
          </cell>
          <cell r="K285">
            <v>5469.4666578858214</v>
          </cell>
          <cell r="M285">
            <v>204.14473111967499</v>
          </cell>
          <cell r="N285">
            <v>256.17082013345799</v>
          </cell>
          <cell r="O285">
            <v>305.99673004238099</v>
          </cell>
          <cell r="P285">
            <v>736.84328923360295</v>
          </cell>
          <cell r="Q285">
            <v>1074.52887673393</v>
          </cell>
          <cell r="R285">
            <v>630.31680483250398</v>
          </cell>
          <cell r="S285">
            <v>334.56420596740901</v>
          </cell>
          <cell r="T285">
            <v>506.08077972327999</v>
          </cell>
          <cell r="U285">
            <v>3542.5654580629598</v>
          </cell>
        </row>
        <row r="286">
          <cell r="B286" t="str">
            <v>FQ(3)</v>
          </cell>
          <cell r="C286">
            <v>137</v>
          </cell>
          <cell r="D286">
            <v>25</v>
          </cell>
          <cell r="E286">
            <v>-68</v>
          </cell>
          <cell r="F286">
            <v>68</v>
          </cell>
          <cell r="G286">
            <v>-4.7939999999999996</v>
          </cell>
          <cell r="H286">
            <v>91.387</v>
          </cell>
          <cell r="I286">
            <v>209.214</v>
          </cell>
          <cell r="J286">
            <v>65.400999999999996</v>
          </cell>
          <cell r="K286">
            <v>457.80700000000002</v>
          </cell>
          <cell r="M286">
            <v>-23.105</v>
          </cell>
          <cell r="N286">
            <v>33.174999999999997</v>
          </cell>
          <cell r="O286">
            <v>15.680999999999999</v>
          </cell>
          <cell r="P286">
            <v>123.145</v>
          </cell>
          <cell r="Q286">
            <v>215</v>
          </cell>
          <cell r="R286">
            <v>2.601</v>
          </cell>
          <cell r="S286">
            <v>30.805</v>
          </cell>
          <cell r="T286">
            <v>56.757428571428569</v>
          </cell>
          <cell r="U286">
            <v>397.30199999999996</v>
          </cell>
        </row>
        <row r="287">
          <cell r="B287" t="str">
            <v>FQ(2)</v>
          </cell>
          <cell r="C287">
            <v>229.1</v>
          </cell>
          <cell r="D287">
            <v>-0.61799999999999999</v>
          </cell>
          <cell r="E287">
            <v>84</v>
          </cell>
          <cell r="F287">
            <v>105</v>
          </cell>
          <cell r="G287">
            <v>-54.902999999999999</v>
          </cell>
          <cell r="H287">
            <v>103.407</v>
          </cell>
          <cell r="I287">
            <v>261.56099999999998</v>
          </cell>
          <cell r="J287">
            <v>103.9352857142857</v>
          </cell>
          <cell r="K287">
            <v>727.54699999999991</v>
          </cell>
          <cell r="M287">
            <v>6.8895899999999903</v>
          </cell>
          <cell r="N287">
            <v>38.960999999999999</v>
          </cell>
          <cell r="O287">
            <v>28.571999999999999</v>
          </cell>
          <cell r="P287">
            <v>136.26599999999999</v>
          </cell>
          <cell r="Q287">
            <v>228</v>
          </cell>
          <cell r="R287">
            <v>60.262999999999998</v>
          </cell>
          <cell r="S287">
            <v>49.021000000000001</v>
          </cell>
          <cell r="T287">
            <v>78.281798571428567</v>
          </cell>
          <cell r="U287">
            <v>547.97258999999997</v>
          </cell>
        </row>
        <row r="288">
          <cell r="B288" t="str">
            <v>FQ(1)</v>
          </cell>
          <cell r="C288">
            <v>193</v>
          </cell>
          <cell r="D288">
            <v>27</v>
          </cell>
          <cell r="E288">
            <v>-12</v>
          </cell>
          <cell r="F288">
            <v>83</v>
          </cell>
          <cell r="G288">
            <v>1.8857268832559799</v>
          </cell>
          <cell r="H288">
            <v>105.08</v>
          </cell>
          <cell r="I288">
            <v>347.79899999999998</v>
          </cell>
          <cell r="J288">
            <v>106.53781812617942</v>
          </cell>
          <cell r="K288">
            <v>745.76472688325589</v>
          </cell>
          <cell r="M288">
            <v>30.623000000000001</v>
          </cell>
          <cell r="N288">
            <v>62.628999999999998</v>
          </cell>
          <cell r="O288">
            <v>44.501489999999997</v>
          </cell>
          <cell r="P288">
            <v>140.827</v>
          </cell>
          <cell r="Q288">
            <v>307</v>
          </cell>
          <cell r="R288">
            <v>6.0990000000000002</v>
          </cell>
          <cell r="S288">
            <v>62.392000000000003</v>
          </cell>
          <cell r="T288">
            <v>93.438784285714306</v>
          </cell>
          <cell r="U288">
            <v>654.07149000000015</v>
          </cell>
        </row>
        <row r="289">
          <cell r="B289" t="str">
            <v>Last Reported Q</v>
          </cell>
          <cell r="C289">
            <v>990.1</v>
          </cell>
          <cell r="D289">
            <v>249.58199999999999</v>
          </cell>
          <cell r="E289">
            <v>576</v>
          </cell>
          <cell r="F289">
            <v>427.8</v>
          </cell>
          <cell r="G289">
            <v>-47.731873116743998</v>
          </cell>
          <cell r="H289">
            <v>442.75700000000001</v>
          </cell>
          <cell r="I289">
            <v>1213.5719999999999</v>
          </cell>
          <cell r="J289">
            <v>550.29701812617952</v>
          </cell>
          <cell r="K289">
            <v>3852.0791268832563</v>
          </cell>
          <cell r="M289">
            <v>95.928809999999999</v>
          </cell>
          <cell r="N289">
            <v>231.32900000000001</v>
          </cell>
          <cell r="O289">
            <v>159.06599</v>
          </cell>
          <cell r="P289">
            <v>240.95</v>
          </cell>
          <cell r="Q289">
            <v>1099.8</v>
          </cell>
          <cell r="R289">
            <v>405.17</v>
          </cell>
          <cell r="S289">
            <v>219.893</v>
          </cell>
          <cell r="T289">
            <v>350.3052571428571</v>
          </cell>
          <cell r="U289">
            <v>2452.1367999999998</v>
          </cell>
        </row>
        <row r="290">
          <cell r="B290" t="str">
            <v>LTM</v>
          </cell>
          <cell r="C290">
            <v>1549.2</v>
          </cell>
          <cell r="D290">
            <v>300.964</v>
          </cell>
          <cell r="E290">
            <v>580</v>
          </cell>
          <cell r="F290">
            <v>683.8</v>
          </cell>
          <cell r="G290">
            <v>-105.54314623348802</v>
          </cell>
          <cell r="H290">
            <v>742.63099999999997</v>
          </cell>
          <cell r="I290">
            <v>2032.1459999999997</v>
          </cell>
          <cell r="J290">
            <v>826.17112196664436</v>
          </cell>
          <cell r="K290">
            <v>5783.1978537665109</v>
          </cell>
          <cell r="M290">
            <v>110.3364</v>
          </cell>
          <cell r="N290">
            <v>366.09399999999999</v>
          </cell>
          <cell r="O290">
            <v>247.82048</v>
          </cell>
          <cell r="P290">
            <v>641.18799999999999</v>
          </cell>
          <cell r="Q290">
            <v>1849.8</v>
          </cell>
          <cell r="R290">
            <v>474.13300000000004</v>
          </cell>
          <cell r="S290">
            <v>362.11099999999999</v>
          </cell>
          <cell r="T290">
            <v>578.78326857142849</v>
          </cell>
          <cell r="U290">
            <v>4051.4828799999996</v>
          </cell>
        </row>
        <row r="291">
          <cell r="B291" t="str">
            <v>FQ(3)</v>
          </cell>
          <cell r="C291">
            <v>6.4183381088825209E-2</v>
          </cell>
          <cell r="D291">
            <v>3.6115991111283878E-2</v>
          </cell>
          <cell r="E291">
            <v>0.10436097806906983</v>
          </cell>
          <cell r="F291">
            <v>2.9552368535419381E-2</v>
          </cell>
          <cell r="G291">
            <v>-8.5798356710030096E-2</v>
          </cell>
          <cell r="H291">
            <v>5.6159579081397279E-2</v>
          </cell>
          <cell r="I291">
            <v>4.3851399344251564E-2</v>
          </cell>
          <cell r="J291">
            <v>3.5489334360031009E-2</v>
          </cell>
          <cell r="K291">
            <v>5.8316995678285438E-2</v>
          </cell>
          <cell r="M291">
            <v>9.7305990751085966E-2</v>
          </cell>
          <cell r="N291">
            <v>9.8874375558863026E-2</v>
          </cell>
          <cell r="O291">
            <v>4.2699569393839017E-2</v>
          </cell>
          <cell r="P291">
            <v>0.19376130355109239</v>
          </cell>
          <cell r="Q291">
            <v>5.9529642332190102E-2</v>
          </cell>
          <cell r="R291">
            <v>7.3194762331742616E-2</v>
          </cell>
          <cell r="S291">
            <v>7.9800739256570843E-2</v>
          </cell>
          <cell r="T291">
            <v>9.2166626167912005E-2</v>
          </cell>
          <cell r="U291">
            <v>7.7996182250806484E-2</v>
          </cell>
        </row>
        <row r="292">
          <cell r="A292" t="str">
            <v>mstag:adjEpsForConsensus</v>
          </cell>
          <cell r="B292" t="str">
            <v>EPS</v>
          </cell>
          <cell r="C292">
            <v>3.7658053875755909E-2</v>
          </cell>
          <cell r="D292">
            <v>6.4359422215875383E-3</v>
          </cell>
          <cell r="E292">
            <v>9.6172340834775917E-3</v>
          </cell>
          <cell r="F292">
            <v>3.9859320046893319E-2</v>
          </cell>
          <cell r="G292">
            <v>-7.7165014663606243E-3</v>
          </cell>
          <cell r="H292">
            <v>5.4024032882497568E-2</v>
          </cell>
          <cell r="I292">
            <v>4.8048515648253277E-2</v>
          </cell>
          <cell r="J292">
            <v>2.6846656756014938E-2</v>
          </cell>
          <cell r="K292">
            <v>2.7296515280776795E-2</v>
          </cell>
          <cell r="M292">
            <v>-4.3768051544101315E-2</v>
          </cell>
          <cell r="N292">
            <v>8.1306491774993619E-2</v>
          </cell>
          <cell r="O292">
            <v>2.5622549019607841E-2</v>
          </cell>
          <cell r="P292">
            <v>0.22588351439616103</v>
          </cell>
          <cell r="Q292">
            <v>6.8755996162456035E-2</v>
          </cell>
          <cell r="R292">
            <v>1.507618953222079E-3</v>
          </cell>
          <cell r="S292">
            <v>8.0055405981351163E-2</v>
          </cell>
          <cell r="T292">
            <v>6.2766217820527201E-2</v>
          </cell>
          <cell r="U292">
            <v>6.2249080363126458E-2</v>
          </cell>
        </row>
        <row r="293">
          <cell r="B293" t="str">
            <v>FY(10)</v>
          </cell>
          <cell r="C293">
            <v>0.77521446372088398</v>
          </cell>
          <cell r="D293">
            <v>1.4</v>
          </cell>
          <cell r="E293">
            <v>1.8784153005464499</v>
          </cell>
          <cell r="F293">
            <v>1.4613761964962999</v>
          </cell>
          <cell r="G293" t="str">
            <v>NA</v>
          </cell>
          <cell r="H293">
            <v>1.6372326095779799</v>
          </cell>
          <cell r="I293">
            <v>1.6577637227997</v>
          </cell>
          <cell r="J293">
            <v>1.8959747286601904E-2</v>
          </cell>
          <cell r="K293">
            <v>3.092076908075473E-2</v>
          </cell>
          <cell r="M293">
            <v>1.3898421605150499</v>
          </cell>
          <cell r="N293" t="str">
            <v>NA</v>
          </cell>
          <cell r="O293">
            <v>0.41371261553099398</v>
          </cell>
          <cell r="P293" t="str">
            <v>NA</v>
          </cell>
          <cell r="Q293" t="str">
            <v>NA</v>
          </cell>
          <cell r="R293">
            <v>0.81070495076287297</v>
          </cell>
          <cell r="S293">
            <v>0.13085369962356699</v>
          </cell>
          <cell r="T293">
            <v>7.2375282624266277E-2</v>
          </cell>
          <cell r="U293">
            <v>6.4194610152069412E-2</v>
          </cell>
        </row>
        <row r="294">
          <cell r="B294" t="str">
            <v>FY(9)</v>
          </cell>
          <cell r="C294">
            <v>1.07237890611166</v>
          </cell>
          <cell r="D294">
            <v>-0.44</v>
          </cell>
          <cell r="E294">
            <v>2.10016098088076</v>
          </cell>
          <cell r="F294">
            <v>0.92919013844067999</v>
          </cell>
          <cell r="G294" t="str">
            <v>NA</v>
          </cell>
          <cell r="H294">
            <v>0.90120980436249298</v>
          </cell>
          <cell r="I294">
            <v>0.93027911866000801</v>
          </cell>
          <cell r="J294">
            <v>3.2613120775195285E-2</v>
          </cell>
          <cell r="K294">
            <v>3.28813844777502E-2</v>
          </cell>
          <cell r="M294">
            <v>1.53542621089314</v>
          </cell>
          <cell r="N294" t="str">
            <v>NA</v>
          </cell>
          <cell r="O294">
            <v>0.42122774912660099</v>
          </cell>
          <cell r="P294">
            <v>0.13003536181999101</v>
          </cell>
          <cell r="Q294">
            <v>0.999041521977453</v>
          </cell>
          <cell r="R294">
            <v>0.78378468838372195</v>
          </cell>
          <cell r="S294">
            <v>7.5941413026930193E-2</v>
          </cell>
          <cell r="T294">
            <v>8.699911328383772E-2</v>
          </cell>
          <cell r="U294">
            <v>0.10112604374923474</v>
          </cell>
        </row>
        <row r="295">
          <cell r="B295" t="str">
            <v>FY(8)</v>
          </cell>
          <cell r="C295">
            <v>1.4191983074683301</v>
          </cell>
          <cell r="D295">
            <v>0.56999999999999995</v>
          </cell>
          <cell r="E295">
            <v>1.60143363650378</v>
          </cell>
          <cell r="F295">
            <v>0.46398124546486302</v>
          </cell>
          <cell r="G295" t="str">
            <v>NA</v>
          </cell>
          <cell r="H295">
            <v>0.95576405027709099</v>
          </cell>
          <cell r="I295">
            <v>0.97136844341894002</v>
          </cell>
          <cell r="J295">
            <v>2.9910983539014519E-2</v>
          </cell>
          <cell r="K295">
            <v>3.8970939552062538E-2</v>
          </cell>
          <cell r="M295">
            <v>1.6249853692793901</v>
          </cell>
          <cell r="N295" t="str">
            <v>NA</v>
          </cell>
          <cell r="O295">
            <v>0.45921469255751202</v>
          </cell>
          <cell r="P295">
            <v>0.195661357058865</v>
          </cell>
          <cell r="Q295">
            <v>-8.90735342104753E-3</v>
          </cell>
          <cell r="R295">
            <v>0.78103307517848597</v>
          </cell>
          <cell r="S295">
            <v>0.107571157241721</v>
          </cell>
          <cell r="T295">
            <v>8.142679641502977E-2</v>
          </cell>
          <cell r="U295">
            <v>7.8553207218398979E-2</v>
          </cell>
        </row>
        <row r="296">
          <cell r="B296" t="str">
            <v>FY(7)</v>
          </cell>
          <cell r="C296">
            <v>1.8429396202147099</v>
          </cell>
          <cell r="D296">
            <v>0.94</v>
          </cell>
          <cell r="E296">
            <v>1.70938972591492</v>
          </cell>
          <cell r="F296">
            <v>0.370127283723937</v>
          </cell>
          <cell r="G296" t="str">
            <v>NA</v>
          </cell>
          <cell r="H296">
            <v>1.2544579038447099</v>
          </cell>
          <cell r="I296">
            <v>1.07558342936518</v>
          </cell>
          <cell r="M296">
            <v>1.9353280798163599</v>
          </cell>
          <cell r="N296">
            <v>0.40010402540755902</v>
          </cell>
          <cell r="O296">
            <v>0.45635198695666102</v>
          </cell>
          <cell r="P296">
            <v>0.21405208526080999</v>
          </cell>
          <cell r="Q296">
            <v>0.51707348651642404</v>
          </cell>
          <cell r="R296">
            <v>0.97464618533151604</v>
          </cell>
          <cell r="S296">
            <v>0.176735357727373</v>
          </cell>
        </row>
        <row r="297">
          <cell r="B297" t="str">
            <v>FY(6)</v>
          </cell>
          <cell r="C297">
            <v>1.6897901951429499</v>
          </cell>
          <cell r="D297">
            <v>1.2</v>
          </cell>
          <cell r="E297">
            <v>1.8506172802885601</v>
          </cell>
          <cell r="F297">
            <v>0.88174338254112505</v>
          </cell>
          <cell r="G297">
            <v>-0.499913824862043</v>
          </cell>
          <cell r="H297">
            <v>1.4667904170775601</v>
          </cell>
          <cell r="I297">
            <v>1.1603136408820001</v>
          </cell>
          <cell r="M297">
            <v>2.0569391444065102</v>
          </cell>
          <cell r="N297">
            <v>0.62053859923024501</v>
          </cell>
          <cell r="O297">
            <v>0.383656247547559</v>
          </cell>
          <cell r="P297">
            <v>0.32926625843458401</v>
          </cell>
          <cell r="Q297">
            <v>1.0553914221029499</v>
          </cell>
          <cell r="R297">
            <v>1.1101679803131399</v>
          </cell>
          <cell r="S297">
            <v>0.29924111670925502</v>
          </cell>
        </row>
        <row r="298">
          <cell r="A298" t="str">
            <v>mscalc:totalCashIncludingShorttermInvestmentsForCac</v>
          </cell>
          <cell r="B298" t="str">
            <v>FY(5)</v>
          </cell>
          <cell r="C298">
            <v>2.04119863603426</v>
          </cell>
          <cell r="D298">
            <v>2.2599999999999998</v>
          </cell>
          <cell r="E298">
            <v>2.20692086134141</v>
          </cell>
          <cell r="F298">
            <v>1.3831814139226799</v>
          </cell>
          <cell r="G298">
            <v>-0.49610332398208501</v>
          </cell>
          <cell r="H298">
            <v>1.2040334606671801</v>
          </cell>
          <cell r="I298">
            <v>1.2268856649054201</v>
          </cell>
          <cell r="M298">
            <v>2.5439339071322</v>
          </cell>
          <cell r="N298">
            <v>1.0125578552091501</v>
          </cell>
          <cell r="O298">
            <v>0.99496818508559404</v>
          </cell>
          <cell r="P298">
            <v>0.57122145046919004</v>
          </cell>
          <cell r="Q298">
            <v>1.22494717770251</v>
          </cell>
          <cell r="R298">
            <v>1.4087813785758301</v>
          </cell>
          <cell r="S298">
            <v>0.540867507514041</v>
          </cell>
        </row>
        <row r="299">
          <cell r="B299" t="str">
            <v>FY(4)</v>
          </cell>
          <cell r="C299">
            <v>2.4284486808766101</v>
          </cell>
          <cell r="D299">
            <v>3.6336397603584198</v>
          </cell>
          <cell r="E299">
            <v>2.5058780966631602</v>
          </cell>
          <cell r="F299">
            <v>1.98426148320344</v>
          </cell>
          <cell r="G299">
            <v>-0.81891959260101599</v>
          </cell>
          <cell r="H299">
            <v>1.3624223480615401</v>
          </cell>
          <cell r="I299">
            <v>1.2668460007154301</v>
          </cell>
          <cell r="J299">
            <v>934.86214260037673</v>
          </cell>
          <cell r="K299">
            <v>6544.0349982026373</v>
          </cell>
          <cell r="M299">
            <v>3.9858565461900199</v>
          </cell>
          <cell r="N299">
            <v>1.0005780312375301</v>
          </cell>
          <cell r="O299">
            <v>1.26039453978226</v>
          </cell>
          <cell r="P299">
            <v>0.86277489742203195</v>
          </cell>
          <cell r="Q299">
            <v>1.1929264385604199</v>
          </cell>
          <cell r="R299">
            <v>1.3287632730684</v>
          </cell>
          <cell r="S299">
            <v>0.76400511877328903</v>
          </cell>
          <cell r="T299">
            <v>742.61106636551267</v>
          </cell>
          <cell r="U299">
            <v>5198.2774645585887</v>
          </cell>
        </row>
        <row r="300">
          <cell r="B300" t="str">
            <v>FY(3)</v>
          </cell>
          <cell r="C300">
            <v>3.31</v>
          </cell>
          <cell r="D300">
            <v>4.8837209302325597</v>
          </cell>
          <cell r="E300">
            <v>2.0770614304446702</v>
          </cell>
          <cell r="F300">
            <v>2.55149905494669</v>
          </cell>
          <cell r="G300">
            <v>0.21962195068579499</v>
          </cell>
          <cell r="H300">
            <v>1.7017917007071</v>
          </cell>
          <cell r="I300">
            <v>1.6338775120122</v>
          </cell>
          <cell r="J300">
            <v>747.65958469519319</v>
          </cell>
          <cell r="K300">
            <v>5233.6170928663523</v>
          </cell>
          <cell r="M300">
            <v>4.8529942397565504</v>
          </cell>
          <cell r="N300">
            <v>1.2508897900467499</v>
          </cell>
          <cell r="O300">
            <v>1.6960864158610001</v>
          </cell>
          <cell r="P300">
            <v>1.1943771412713899</v>
          </cell>
          <cell r="Q300">
            <v>0.93175389657940999</v>
          </cell>
          <cell r="R300">
            <v>1.67714662290667</v>
          </cell>
          <cell r="S300">
            <v>0.64679793670709995</v>
          </cell>
          <cell r="T300">
            <v>742.61106636551267</v>
          </cell>
          <cell r="U300">
            <v>5198.2774645585887</v>
          </cell>
        </row>
        <row r="301">
          <cell r="B301" t="str">
            <v>FY(2)</v>
          </cell>
          <cell r="C301">
            <v>3.39</v>
          </cell>
          <cell r="D301">
            <v>4.7651826357277702</v>
          </cell>
          <cell r="E301">
            <v>2.1292197011621501</v>
          </cell>
          <cell r="F301">
            <v>2.7888518417687198</v>
          </cell>
          <cell r="G301">
            <v>0.41278125259495102</v>
          </cell>
          <cell r="H301">
            <v>1.9036822857226201</v>
          </cell>
          <cell r="I301">
            <v>1.92828963541067</v>
          </cell>
          <cell r="J301">
            <v>741.50341404003791</v>
          </cell>
          <cell r="K301">
            <v>5190.5238982802657</v>
          </cell>
          <cell r="M301">
            <v>5.45356904821739</v>
          </cell>
          <cell r="N301">
            <v>1.11670185002093</v>
          </cell>
          <cell r="O301">
            <v>1.8159569638641699</v>
          </cell>
          <cell r="P301">
            <v>1.6868129829656899</v>
          </cell>
          <cell r="Q301">
            <v>1.11882277420426</v>
          </cell>
          <cell r="R301">
            <v>1.2136220796667601</v>
          </cell>
          <cell r="S301">
            <v>0.89916095308231403</v>
          </cell>
          <cell r="T301">
            <v>755.60655281196853</v>
          </cell>
          <cell r="U301">
            <v>5289.2458696837793</v>
          </cell>
        </row>
        <row r="302">
          <cell r="B302" t="str">
            <v>FY(1)</v>
          </cell>
          <cell r="C302">
            <v>2.89</v>
          </cell>
          <cell r="D302">
            <v>2.52400843811626</v>
          </cell>
          <cell r="E302">
            <v>1.29323129857033</v>
          </cell>
          <cell r="F302">
            <v>1.80139710078758</v>
          </cell>
          <cell r="G302">
            <v>-0.79312003221084204</v>
          </cell>
          <cell r="H302">
            <v>2.3067627390142502</v>
          </cell>
          <cell r="I302">
            <v>1.9985273245524799</v>
          </cell>
          <cell r="J302">
            <v>1191.4163447597857</v>
          </cell>
          <cell r="K302">
            <v>8339.9144133185</v>
          </cell>
          <cell r="M302">
            <v>3.5722553046670802</v>
          </cell>
          <cell r="N302">
            <v>1.4741130973521199</v>
          </cell>
          <cell r="O302">
            <v>0.98702199612683195</v>
          </cell>
          <cell r="P302">
            <v>2.0596348737991299</v>
          </cell>
          <cell r="Q302">
            <v>1.34492350486787</v>
          </cell>
          <cell r="R302">
            <v>1.0476755183056099</v>
          </cell>
          <cell r="S302">
            <v>1.16684752728228</v>
          </cell>
          <cell r="T302">
            <v>1087.3847737330791</v>
          </cell>
          <cell r="U302">
            <v>7611.693416131553</v>
          </cell>
        </row>
        <row r="303">
          <cell r="B303" t="str">
            <v>FY0</v>
          </cell>
          <cell r="C303">
            <v>3.2250814332247599</v>
          </cell>
          <cell r="D303">
            <v>1.07185741893923</v>
          </cell>
          <cell r="E303">
            <v>1.3637977980347999</v>
          </cell>
          <cell r="F303">
            <v>1.9476439790575899</v>
          </cell>
          <cell r="G303">
            <v>-0.32505046574263302</v>
          </cell>
          <cell r="H303">
            <v>3.5404627917437099</v>
          </cell>
          <cell r="I303">
            <v>2.83955201617291</v>
          </cell>
          <cell r="J303">
            <v>1563.6266665338462</v>
          </cell>
          <cell r="K303">
            <v>10945.386665736924</v>
          </cell>
          <cell r="M303">
            <v>1.0857232916170301</v>
          </cell>
          <cell r="N303">
            <v>2.2898250181267499</v>
          </cell>
          <cell r="O303">
            <v>0.76073186478937904</v>
          </cell>
          <cell r="P303">
            <v>1.9105951722867101</v>
          </cell>
          <cell r="Q303">
            <v>1.57451682176092</v>
          </cell>
          <cell r="R303">
            <v>1.2399430783590699</v>
          </cell>
          <cell r="S303">
            <v>1.2842313990523899</v>
          </cell>
          <cell r="T303">
            <v>1157.569772525901</v>
          </cell>
          <cell r="U303">
            <v>8102.9884076813069</v>
          </cell>
        </row>
        <row r="304">
          <cell r="B304" t="str">
            <v>FY1</v>
          </cell>
          <cell r="C304">
            <v>3.84</v>
          </cell>
          <cell r="D304">
            <v>1.5673931502691101</v>
          </cell>
          <cell r="E304">
            <v>1.8332979923671699</v>
          </cell>
          <cell r="F304">
            <v>2.5862513892318302</v>
          </cell>
          <cell r="G304">
            <v>-9.7405174087837498E-2</v>
          </cell>
          <cell r="H304">
            <v>4.2896851724700404</v>
          </cell>
          <cell r="I304">
            <v>3.4390463814732599</v>
          </cell>
          <cell r="J304">
            <v>741.43169975432386</v>
          </cell>
          <cell r="K304">
            <v>5190.0218982802671</v>
          </cell>
          <cell r="M304">
            <v>1.7864819853377301</v>
          </cell>
          <cell r="N304">
            <v>2.7325550569536099</v>
          </cell>
          <cell r="O304">
            <v>1.15945960309165</v>
          </cell>
          <cell r="P304">
            <v>2.1782807832683999</v>
          </cell>
          <cell r="Q304">
            <v>1.6516746689870401</v>
          </cell>
          <cell r="R304">
            <v>1.69537580939143</v>
          </cell>
          <cell r="S304">
            <v>1.61941939902598</v>
          </cell>
          <cell r="T304">
            <v>699.77055281196863</v>
          </cell>
          <cell r="U304">
            <v>4898.3938696837804</v>
          </cell>
        </row>
        <row r="305">
          <cell r="B305" t="str">
            <v>FY2</v>
          </cell>
          <cell r="C305">
            <v>4.5728797622460302</v>
          </cell>
          <cell r="D305">
            <v>1.94285457963845</v>
          </cell>
          <cell r="E305">
            <v>2.0856204477039402</v>
          </cell>
          <cell r="F305">
            <v>2.9116860600686101</v>
          </cell>
          <cell r="G305">
            <v>0.13182592432298201</v>
          </cell>
          <cell r="H305">
            <v>4.8723869135682998</v>
          </cell>
          <cell r="I305">
            <v>3.8781326293192002</v>
          </cell>
          <cell r="J305">
            <v>698.08827118289616</v>
          </cell>
          <cell r="K305">
            <v>4886.617898280273</v>
          </cell>
          <cell r="M305">
            <v>2.4574533255178199</v>
          </cell>
          <cell r="N305">
            <v>2.98453685978743</v>
          </cell>
          <cell r="O305">
            <v>1.4121827801328699</v>
          </cell>
          <cell r="P305">
            <v>2.4232914952671898</v>
          </cell>
          <cell r="Q305">
            <v>1.7645736925778299</v>
          </cell>
          <cell r="R305">
            <v>1.98791893284279</v>
          </cell>
          <cell r="S305">
            <v>1.9456738520825001</v>
          </cell>
          <cell r="T305">
            <v>646.65298138339688</v>
          </cell>
          <cell r="U305">
            <v>4526.5708696837783</v>
          </cell>
        </row>
        <row r="306">
          <cell r="B306" t="str">
            <v>FQ(3)</v>
          </cell>
          <cell r="C306">
            <v>0.45</v>
          </cell>
          <cell r="D306">
            <v>0.112258643915582</v>
          </cell>
          <cell r="E306">
            <v>-0.16136687233032701</v>
          </cell>
          <cell r="F306">
            <v>0.31278748850046001</v>
          </cell>
          <cell r="G306">
            <v>-3.4664526345474199E-2</v>
          </cell>
          <cell r="H306">
            <v>0.72206156569008495</v>
          </cell>
          <cell r="I306">
            <v>0.48651822379909199</v>
          </cell>
          <cell r="J306">
            <v>951.39055689718236</v>
          </cell>
          <cell r="K306">
            <v>6659.7338982802767</v>
          </cell>
          <cell r="M306">
            <v>-0.26346397254181902</v>
          </cell>
          <cell r="N306">
            <v>0.32625264296602202</v>
          </cell>
          <cell r="O306">
            <v>7.5649103171463603E-2</v>
          </cell>
          <cell r="P306">
            <v>0.38320548925643</v>
          </cell>
          <cell r="Q306">
            <v>0.30846484935437601</v>
          </cell>
          <cell r="R306">
            <v>8.04553257961238E-3</v>
          </cell>
          <cell r="S306">
            <v>0.18086892567228299</v>
          </cell>
          <cell r="T306">
            <v>817.61028571428574</v>
          </cell>
          <cell r="U306">
            <v>5723.2719999999999</v>
          </cell>
        </row>
        <row r="307">
          <cell r="B307" t="str">
            <v>FQ(2)</v>
          </cell>
          <cell r="C307">
            <v>0.75</v>
          </cell>
          <cell r="D307">
            <v>-2.64328485885372E-3</v>
          </cell>
          <cell r="E307">
            <v>0.19900497512437801</v>
          </cell>
          <cell r="F307">
            <v>0.479890310786106</v>
          </cell>
          <cell r="G307">
            <v>-0.396913067052232</v>
          </cell>
          <cell r="H307">
            <v>0.82292412739340104</v>
          </cell>
          <cell r="I307">
            <v>0.60764125235507704</v>
          </cell>
          <cell r="J307">
            <v>951.70144671342098</v>
          </cell>
          <cell r="K307">
            <v>6661.9101269939465</v>
          </cell>
          <cell r="M307">
            <v>7.8399485650561193E-2</v>
          </cell>
          <cell r="N307">
            <v>0.38030953043325499</v>
          </cell>
          <cell r="O307">
            <v>0.13669832308686</v>
          </cell>
          <cell r="P307">
            <v>0.42515100838658099</v>
          </cell>
          <cell r="Q307">
            <v>0.32571428571428601</v>
          </cell>
          <cell r="R307">
            <v>0.18502780191404899</v>
          </cell>
          <cell r="S307">
            <v>0.28714391088612501</v>
          </cell>
          <cell r="T307">
            <v>844.17771428571439</v>
          </cell>
          <cell r="U307">
            <v>5909.2440000000006</v>
          </cell>
        </row>
        <row r="308">
          <cell r="B308" t="str">
            <v>FQ(1)</v>
          </cell>
          <cell r="C308">
            <v>0.63</v>
          </cell>
          <cell r="D308">
            <v>0.11363636363636399</v>
          </cell>
          <cell r="E308">
            <v>-2.8449502133712699E-2</v>
          </cell>
          <cell r="F308">
            <v>0.37607612143180802</v>
          </cell>
          <cell r="G308">
            <v>1.23689909433279E-2</v>
          </cell>
          <cell r="H308">
            <v>0.843013927219047</v>
          </cell>
          <cell r="I308">
            <v>0.81243984937817104</v>
          </cell>
          <cell r="J308">
            <v>951.70144671342098</v>
          </cell>
          <cell r="K308">
            <v>6661.9101269939465</v>
          </cell>
          <cell r="M308">
            <v>0.34512566212104101</v>
          </cell>
          <cell r="N308">
            <v>0.61409108068224705</v>
          </cell>
          <cell r="O308">
            <v>0.21252615894514101</v>
          </cell>
          <cell r="P308">
            <v>0.43855628046027101</v>
          </cell>
          <cell r="Q308">
            <v>0.43607954545454503</v>
          </cell>
          <cell r="R308">
            <v>1.8579840918299399E-2</v>
          </cell>
          <cell r="S308">
            <v>0.36392078850375198</v>
          </cell>
          <cell r="T308">
            <v>844.17771428571439</v>
          </cell>
          <cell r="U308">
            <v>5909.2440000000006</v>
          </cell>
        </row>
        <row r="309">
          <cell r="B309" t="str">
            <v>Last Reported Q</v>
          </cell>
          <cell r="C309">
            <v>3.2250814332247599</v>
          </cell>
          <cell r="D309">
            <v>1.07185741893923</v>
          </cell>
          <cell r="E309">
            <v>1.3637977980347999</v>
          </cell>
          <cell r="F309">
            <v>1.9476439790575899</v>
          </cell>
          <cell r="G309">
            <v>-0.32505046574263302</v>
          </cell>
          <cell r="H309">
            <v>3.5404627917437099</v>
          </cell>
          <cell r="I309">
            <v>2.83955201617291</v>
          </cell>
          <cell r="M309">
            <v>1.0857232916170301</v>
          </cell>
          <cell r="N309">
            <v>2.2898250181267499</v>
          </cell>
          <cell r="O309">
            <v>0.76073186478937904</v>
          </cell>
          <cell r="P309">
            <v>0.74973318273326695</v>
          </cell>
          <cell r="Q309">
            <v>1.57451682176092</v>
          </cell>
          <cell r="R309">
            <v>1.2399430783590699</v>
          </cell>
          <cell r="S309">
            <v>1.2842313990523899</v>
          </cell>
        </row>
        <row r="310">
          <cell r="A310" t="str">
            <v>mstag:shortTermBorrowings</v>
          </cell>
          <cell r="B310" t="str">
            <v>LTM</v>
          </cell>
          <cell r="C310">
            <v>5.0550814332247604</v>
          </cell>
          <cell r="D310">
            <v>1.2951091416323224</v>
          </cell>
          <cell r="E310">
            <v>1.3729863986951383</v>
          </cell>
          <cell r="F310">
            <v>3.116397899775964</v>
          </cell>
          <cell r="G310">
            <v>-0.74425906819701138</v>
          </cell>
          <cell r="H310">
            <v>5.928462412046243</v>
          </cell>
          <cell r="I310">
            <v>4.7461513417052501</v>
          </cell>
          <cell r="M310">
            <v>1.2457844668468132</v>
          </cell>
          <cell r="N310">
            <v>3.6104782722082742</v>
          </cell>
          <cell r="O310">
            <v>1.1856054499928437</v>
          </cell>
          <cell r="P310">
            <v>1.996645960836549</v>
          </cell>
          <cell r="Q310">
            <v>2.6447755022841273</v>
          </cell>
          <cell r="R310">
            <v>1.4515962537710307</v>
          </cell>
          <cell r="S310">
            <v>2.11616502411455</v>
          </cell>
        </row>
        <row r="311">
          <cell r="B311" t="str">
            <v>FY(2)</v>
          </cell>
          <cell r="C311">
            <v>18.841000000000001</v>
          </cell>
          <cell r="D311">
            <v>434</v>
          </cell>
          <cell r="E311">
            <v>650</v>
          </cell>
          <cell r="F311">
            <v>6.8</v>
          </cell>
          <cell r="G311">
            <v>236.667</v>
          </cell>
          <cell r="H311">
            <v>0</v>
          </cell>
          <cell r="I311">
            <v>1.8540000000000001</v>
          </cell>
          <cell r="J311">
            <v>192.59457142857141</v>
          </cell>
          <cell r="K311">
            <v>1348.1619999999998</v>
          </cell>
          <cell r="M311">
            <v>0</v>
          </cell>
          <cell r="N311">
            <v>0</v>
          </cell>
          <cell r="O311">
            <v>0</v>
          </cell>
          <cell r="P311">
            <v>0.23499999999999999</v>
          </cell>
          <cell r="Q311">
            <v>325</v>
          </cell>
          <cell r="R311">
            <v>18</v>
          </cell>
          <cell r="S311" t="str">
            <v>NA</v>
          </cell>
          <cell r="T311">
            <v>57.205833333333338</v>
          </cell>
          <cell r="U311">
            <v>343.23500000000001</v>
          </cell>
        </row>
        <row r="312">
          <cell r="B312" t="str">
            <v>EPS Y/Y Δ</v>
          </cell>
          <cell r="C312">
            <v>12.701000000000001</v>
          </cell>
          <cell r="D312">
            <v>203</v>
          </cell>
          <cell r="E312">
            <v>666</v>
          </cell>
          <cell r="F312">
            <v>261</v>
          </cell>
          <cell r="G312">
            <v>319.24200000000002</v>
          </cell>
          <cell r="H312">
            <v>0</v>
          </cell>
          <cell r="I312">
            <v>2.008</v>
          </cell>
          <cell r="J312">
            <v>209.13585714285713</v>
          </cell>
          <cell r="K312">
            <v>1463.951</v>
          </cell>
          <cell r="M312">
            <v>0</v>
          </cell>
          <cell r="N312">
            <v>0</v>
          </cell>
          <cell r="O312">
            <v>0</v>
          </cell>
          <cell r="P312">
            <v>0.28499999999999998</v>
          </cell>
          <cell r="Q312">
            <v>138</v>
          </cell>
          <cell r="R312">
            <v>0</v>
          </cell>
          <cell r="S312" t="str">
            <v>NA</v>
          </cell>
          <cell r="T312">
            <v>23.047499999999999</v>
          </cell>
          <cell r="U312">
            <v>138.285</v>
          </cell>
        </row>
        <row r="313">
          <cell r="B313" t="str">
            <v>FY(10)</v>
          </cell>
          <cell r="C313">
            <v>17</v>
          </cell>
          <cell r="D313">
            <v>0</v>
          </cell>
          <cell r="E313">
            <v>966</v>
          </cell>
          <cell r="F313">
            <v>299</v>
          </cell>
          <cell r="G313">
            <v>4.673</v>
          </cell>
          <cell r="H313">
            <v>0</v>
          </cell>
          <cell r="I313">
            <v>395.02699999999999</v>
          </cell>
          <cell r="J313">
            <v>240.24285714285716</v>
          </cell>
          <cell r="K313">
            <v>1681.7</v>
          </cell>
          <cell r="M313">
            <v>0</v>
          </cell>
          <cell r="N313">
            <v>0</v>
          </cell>
          <cell r="O313">
            <v>75</v>
          </cell>
          <cell r="P313">
            <v>8.0039999999999996</v>
          </cell>
          <cell r="Q313">
            <v>50</v>
          </cell>
          <cell r="R313">
            <v>0</v>
          </cell>
          <cell r="S313" t="str">
            <v>NA</v>
          </cell>
          <cell r="T313">
            <v>22.167333333333335</v>
          </cell>
          <cell r="U313">
            <v>133.00400000000002</v>
          </cell>
        </row>
        <row r="314">
          <cell r="B314" t="str">
            <v>FY(9)</v>
          </cell>
          <cell r="C314">
            <v>0.38333191174535419</v>
          </cell>
          <cell r="D314">
            <v>-1.3142857142857143</v>
          </cell>
          <cell r="E314">
            <v>0.11804933673070162</v>
          </cell>
          <cell r="F314">
            <v>-0.36416773403833624</v>
          </cell>
          <cell r="G314">
            <v>4.8470000000000004</v>
          </cell>
          <cell r="H314">
            <v>-0.44955298404739652</v>
          </cell>
          <cell r="I314">
            <v>-0.43883491605853564</v>
          </cell>
          <cell r="J314">
            <v>-0.34424334999232115</v>
          </cell>
          <cell r="K314">
            <v>799.84699999999998</v>
          </cell>
          <cell r="M314">
            <v>0.10474862147233988</v>
          </cell>
          <cell r="N314">
            <v>0</v>
          </cell>
          <cell r="O314">
            <v>1.8165106195665359E-2</v>
          </cell>
          <cell r="P314">
            <v>0.70399999999999996</v>
          </cell>
          <cell r="Q314">
            <v>0</v>
          </cell>
          <cell r="R314">
            <v>-3.3205992332745793E-2</v>
          </cell>
          <cell r="S314">
            <v>-0.41964642004471842</v>
          </cell>
          <cell r="T314">
            <v>-8.2484671177364743E-2</v>
          </cell>
          <cell r="U314">
            <v>50.704000000000001</v>
          </cell>
        </row>
        <row r="315">
          <cell r="B315" t="str">
            <v>FY(8)</v>
          </cell>
          <cell r="C315">
            <v>0.32341124893457951</v>
          </cell>
          <cell r="D315">
            <v>-2.2954545454545454</v>
          </cell>
          <cell r="E315">
            <v>-0.23747100765952955</v>
          </cell>
          <cell r="F315">
            <v>-0.50066060080717933</v>
          </cell>
          <cell r="G315">
            <v>4.8470000000000004</v>
          </cell>
          <cell r="H315">
            <v>6.0534456738616127E-2</v>
          </cell>
          <cell r="I315">
            <v>4.4168813353693048E-2</v>
          </cell>
          <cell r="J315">
            <v>-0.43424527248239436</v>
          </cell>
          <cell r="K315">
            <v>786.84699999999998</v>
          </cell>
          <cell r="M315">
            <v>5.832853298378593E-2</v>
          </cell>
          <cell r="N315">
            <v>0</v>
          </cell>
          <cell r="O315">
            <v>9.0181483792735495E-2</v>
          </cell>
          <cell r="P315">
            <v>0.50467806849125085</v>
          </cell>
          <cell r="Q315">
            <v>-1.0089158991143998</v>
          </cell>
          <cell r="R315">
            <v>-3.5106748651982933E-3</v>
          </cell>
          <cell r="S315">
            <v>0.41650191844039486</v>
          </cell>
          <cell r="T315">
            <v>9.5439049547615031E-3</v>
          </cell>
          <cell r="U315">
            <v>50</v>
          </cell>
        </row>
        <row r="316">
          <cell r="B316" t="str">
            <v>FY(7)</v>
          </cell>
          <cell r="C316">
            <v>0.29857794398182502</v>
          </cell>
          <cell r="D316">
            <v>0.64912280701754388</v>
          </cell>
          <cell r="E316">
            <v>6.7412153054826396E-2</v>
          </cell>
          <cell r="F316">
            <v>-0.20227964526215647</v>
          </cell>
          <cell r="G316">
            <v>4.673</v>
          </cell>
          <cell r="H316">
            <v>0.31251840188069724</v>
          </cell>
          <cell r="I316">
            <v>0.10728677326538727</v>
          </cell>
          <cell r="J316">
            <v>0.20543973898968723</v>
          </cell>
          <cell r="K316">
            <v>1681.7</v>
          </cell>
          <cell r="M316">
            <v>0.19098184907018156</v>
          </cell>
          <cell r="N316">
            <v>0</v>
          </cell>
          <cell r="O316">
            <v>-6.2339155241477595E-3</v>
          </cell>
          <cell r="P316">
            <v>9.3992643608273196E-2</v>
          </cell>
          <cell r="Q316">
            <v>-59.050181919874326</v>
          </cell>
          <cell r="R316">
            <v>0.24789361207114635</v>
          </cell>
          <cell r="S316">
            <v>0.64296231684330118</v>
          </cell>
          <cell r="T316">
            <v>-9.6467642356342616</v>
          </cell>
          <cell r="U316">
            <v>125.33499999999999</v>
          </cell>
        </row>
        <row r="317">
          <cell r="B317" t="str">
            <v>FY(6)</v>
          </cell>
          <cell r="C317">
            <v>-8.3100620005075121E-2</v>
          </cell>
          <cell r="D317">
            <v>0.27659574468085113</v>
          </cell>
          <cell r="E317">
            <v>8.2618698493727383E-2</v>
          </cell>
          <cell r="F317">
            <v>1.3822706979871873</v>
          </cell>
          <cell r="G317">
            <v>4.6859999999999999</v>
          </cell>
          <cell r="H317">
            <v>0.16926236630347291</v>
          </cell>
          <cell r="I317">
            <v>7.8776047681237138E-2</v>
          </cell>
          <cell r="J317">
            <v>0.3177371558569001</v>
          </cell>
          <cell r="K317">
            <v>1907.1309999999999</v>
          </cell>
          <cell r="M317">
            <v>6.2837441288863927E-2</v>
          </cell>
          <cell r="N317">
            <v>0.55094315434128438</v>
          </cell>
          <cell r="O317">
            <v>-0.15929751921077051</v>
          </cell>
          <cell r="P317">
            <v>0.53825298190107462</v>
          </cell>
          <cell r="Q317">
            <v>1.0410859377324253</v>
          </cell>
          <cell r="R317">
            <v>0.13904717119015597</v>
          </cell>
          <cell r="S317">
            <v>0.69315931207639814</v>
          </cell>
          <cell r="T317">
            <v>0.40943263990277595</v>
          </cell>
          <cell r="U317">
            <v>77.399000000000001</v>
          </cell>
        </row>
        <row r="318">
          <cell r="B318" t="str">
            <v>FY(5)</v>
          </cell>
          <cell r="C318">
            <v>0.20795980583943563</v>
          </cell>
          <cell r="D318">
            <v>0.8833333333333333</v>
          </cell>
          <cell r="E318">
            <v>0.19253228900861274</v>
          </cell>
          <cell r="F318">
            <v>0.56868930497266024</v>
          </cell>
          <cell r="G318">
            <v>-7.6223154680900018E-3</v>
          </cell>
          <cell r="H318">
            <v>-0.17913735551524679</v>
          </cell>
          <cell r="I318">
            <v>5.7374163051996829E-2</v>
          </cell>
          <cell r="J318">
            <v>0.2461613178889574</v>
          </cell>
          <cell r="K318">
            <v>1301.9349999999999</v>
          </cell>
          <cell r="M318">
            <v>0.2367570105561887</v>
          </cell>
          <cell r="N318">
            <v>0.63174032439753192</v>
          </cell>
          <cell r="O318">
            <v>1.5933845504816269</v>
          </cell>
          <cell r="P318">
            <v>0.73483141936535756</v>
          </cell>
          <cell r="Q318">
            <v>0.1606567497599205</v>
          </cell>
          <cell r="R318">
            <v>0.2689803737434957</v>
          </cell>
          <cell r="S318">
            <v>0.80746387215080495</v>
          </cell>
          <cell r="T318">
            <v>0.6334020429221322</v>
          </cell>
          <cell r="U318">
            <v>77.489999999999995</v>
          </cell>
        </row>
        <row r="319">
          <cell r="B319" t="str">
            <v>FY(4)</v>
          </cell>
          <cell r="C319">
            <v>0.18971698197619724</v>
          </cell>
          <cell r="D319">
            <v>0.60780520369841606</v>
          </cell>
          <cell r="E319">
            <v>0.13546350508465355</v>
          </cell>
          <cell r="F319">
            <v>0.43456343703759504</v>
          </cell>
          <cell r="G319">
            <v>0.65070370024488766</v>
          </cell>
          <cell r="H319">
            <v>0.13154857615551108</v>
          </cell>
          <cell r="I319">
            <v>3.2570545856928312E-2</v>
          </cell>
          <cell r="J319">
            <v>0.3117674214363127</v>
          </cell>
          <cell r="K319">
            <v>1063.2470000000001</v>
          </cell>
          <cell r="M319">
            <v>0.5668082158169403</v>
          </cell>
          <cell r="N319">
            <v>-1.1831248861474242E-2</v>
          </cell>
          <cell r="O319">
            <v>0.26676868534628784</v>
          </cell>
          <cell r="P319">
            <v>0.51040353388929227</v>
          </cell>
          <cell r="Q319">
            <v>-2.6140506076472336E-2</v>
          </cell>
          <cell r="R319">
            <v>-5.6799519587859892E-2</v>
          </cell>
          <cell r="S319">
            <v>0.41255503087039358</v>
          </cell>
          <cell r="T319">
            <v>0.23739488448530108</v>
          </cell>
          <cell r="U319">
            <v>58.003999999999998</v>
          </cell>
        </row>
        <row r="320">
          <cell r="B320" t="str">
            <v>FY(3)</v>
          </cell>
          <cell r="C320">
            <v>0.3630100673180261</v>
          </cell>
          <cell r="D320">
            <v>0.34403002287459361</v>
          </cell>
          <cell r="E320">
            <v>-0.17112431238754366</v>
          </cell>
          <cell r="F320">
            <v>0.28586835784741838</v>
          </cell>
          <cell r="G320">
            <v>-1.2681849996875048</v>
          </cell>
          <cell r="H320">
            <v>0.24909262030853796</v>
          </cell>
          <cell r="I320">
            <v>0.2897207009293119</v>
          </cell>
          <cell r="J320">
            <v>1.3201779600405647E-2</v>
          </cell>
          <cell r="K320">
            <v>1063.2470000000001</v>
          </cell>
          <cell r="M320">
            <v>0.21755366343914351</v>
          </cell>
          <cell r="N320">
            <v>0.25016715437938464</v>
          </cell>
          <cell r="O320">
            <v>0.34567896188602032</v>
          </cell>
          <cell r="P320">
            <v>0.38434387096817968</v>
          </cell>
          <cell r="Q320">
            <v>-0.21893432280382974</v>
          </cell>
          <cell r="R320">
            <v>0.26218616731765776</v>
          </cell>
          <cell r="S320">
            <v>-0.15341151411967069</v>
          </cell>
          <cell r="T320">
            <v>0.15536914015241221</v>
          </cell>
          <cell r="U320">
            <v>58.003999999999998</v>
          </cell>
        </row>
        <row r="321">
          <cell r="B321" t="str">
            <v>FY(2)</v>
          </cell>
          <cell r="C321">
            <v>2.4169184290030232E-2</v>
          </cell>
          <cell r="D321">
            <v>-2.427212697002834E-2</v>
          </cell>
          <cell r="E321">
            <v>2.51115686579928E-2</v>
          </cell>
          <cell r="F321">
            <v>9.3024838226714035E-2</v>
          </cell>
          <cell r="G321">
            <v>0.87950817896842159</v>
          </cell>
          <cell r="H321">
            <v>0.11863413420786695</v>
          </cell>
          <cell r="I321">
            <v>0.18019228567255752</v>
          </cell>
          <cell r="J321">
            <v>0.18519543757907925</v>
          </cell>
          <cell r="M321">
            <v>0.12375345586459363</v>
          </cell>
          <cell r="N321">
            <v>-0.10727399095711287</v>
          </cell>
          <cell r="O321">
            <v>7.0674788078129103E-2</v>
          </cell>
          <cell r="P321">
            <v>0.41229509899202532</v>
          </cell>
          <cell r="Q321">
            <v>0.20077069525719637</v>
          </cell>
          <cell r="R321">
            <v>-0.27637687540793165</v>
          </cell>
          <cell r="S321">
            <v>0.39017288406950468</v>
          </cell>
          <cell r="T321">
            <v>0.11628800798520066</v>
          </cell>
        </row>
        <row r="322">
          <cell r="A322" t="str">
            <v>mstag:longTermDebt</v>
          </cell>
          <cell r="B322" t="str">
            <v>FY(1)</v>
          </cell>
          <cell r="C322">
            <v>-0.14749262536873153</v>
          </cell>
          <cell r="D322">
            <v>-0.47032283312877121</v>
          </cell>
          <cell r="E322">
            <v>-0.39262665197749624</v>
          </cell>
          <cell r="F322">
            <v>-0.3540721404385847</v>
          </cell>
          <cell r="G322">
            <v>-2.9214051685363369</v>
          </cell>
          <cell r="H322">
            <v>0.21173725065084814</v>
          </cell>
          <cell r="I322">
            <v>3.6424864736075424E-2</v>
          </cell>
          <cell r="J322">
            <v>-0.57682247200899972</v>
          </cell>
          <cell r="M322">
            <v>-0.34496927185056092</v>
          </cell>
          <cell r="N322">
            <v>0.32005968945470187</v>
          </cell>
          <cell r="O322">
            <v>-0.45647280427474968</v>
          </cell>
          <cell r="P322">
            <v>0.22102147339295364</v>
          </cell>
          <cell r="Q322">
            <v>0.20208806602495155</v>
          </cell>
          <cell r="R322">
            <v>-0.13673660371004148</v>
          </cell>
          <cell r="S322">
            <v>0.29770707155636522</v>
          </cell>
          <cell r="T322">
            <v>1.4671088656231457E-2</v>
          </cell>
        </row>
        <row r="323">
          <cell r="B323" t="str">
            <v>FY0</v>
          </cell>
          <cell r="C323">
            <v>0.11594513260372308</v>
          </cell>
          <cell r="D323">
            <v>-0.57533524739751352</v>
          </cell>
          <cell r="E323">
            <v>5.4566031260209424E-2</v>
          </cell>
          <cell r="F323">
            <v>8.1185252383314088E-2</v>
          </cell>
          <cell r="G323">
            <v>-0.59016233036436283</v>
          </cell>
          <cell r="H323">
            <v>0.53481878819347384</v>
          </cell>
          <cell r="I323">
            <v>0.42082221308070245</v>
          </cell>
          <cell r="J323">
            <v>5.9771199656495034E-3</v>
          </cell>
          <cell r="K323">
            <v>13906.364000000001</v>
          </cell>
          <cell r="M323">
            <v>-0.69606783417787799</v>
          </cell>
          <cell r="N323">
            <v>0.55335775948253563</v>
          </cell>
          <cell r="O323">
            <v>-0.22926554040886304</v>
          </cell>
          <cell r="P323">
            <v>-7.2362195556296083E-2</v>
          </cell>
          <cell r="Q323">
            <v>0.17071105982016865</v>
          </cell>
          <cell r="R323">
            <v>0.18351823316861648</v>
          </cell>
          <cell r="S323">
            <v>0.10059915201046898</v>
          </cell>
          <cell r="T323">
            <v>1.4986620483932336E-3</v>
          </cell>
          <cell r="U323">
            <v>1855.865</v>
          </cell>
        </row>
        <row r="324">
          <cell r="B324" t="str">
            <v>FY1</v>
          </cell>
          <cell r="C324">
            <v>0.19066760933238913</v>
          </cell>
          <cell r="D324">
            <v>0.46231497079181483</v>
          </cell>
          <cell r="E324">
            <v>0.34425938728520356</v>
          </cell>
          <cell r="F324">
            <v>0.32788713801956981</v>
          </cell>
          <cell r="G324">
            <v>-0.70033830326838997</v>
          </cell>
          <cell r="H324">
            <v>0.21161707516698169</v>
          </cell>
          <cell r="I324">
            <v>0.21112286793334967</v>
          </cell>
          <cell r="J324">
            <v>0.1496472493229884</v>
          </cell>
          <cell r="K324">
            <v>18116.307000000001</v>
          </cell>
          <cell r="M324">
            <v>0.64543028516687695</v>
          </cell>
          <cell r="N324">
            <v>0.19334666855419669</v>
          </cell>
          <cell r="O324">
            <v>0.52413702745666524</v>
          </cell>
          <cell r="P324">
            <v>0.14010587635962057</v>
          </cell>
          <cell r="Q324">
            <v>4.9004142832737463E-2</v>
          </cell>
          <cell r="R324">
            <v>0.36730132131152016</v>
          </cell>
          <cell r="S324">
            <v>0.2610028069870578</v>
          </cell>
          <cell r="T324">
            <v>0.31147544695266788</v>
          </cell>
          <cell r="U324">
            <v>2957.2190000000001</v>
          </cell>
        </row>
        <row r="325">
          <cell r="B325" t="str">
            <v>FY2</v>
          </cell>
          <cell r="C325">
            <v>0.19085410475157039</v>
          </cell>
          <cell r="D325">
            <v>0.23954515132650411</v>
          </cell>
          <cell r="E325">
            <v>0.13763308332158775</v>
          </cell>
          <cell r="F325">
            <v>0.1258325745872062</v>
          </cell>
          <cell r="G325">
            <v>-2.353377020856251</v>
          </cell>
          <cell r="H325">
            <v>0.13583788032694577</v>
          </cell>
          <cell r="I325">
            <v>0.12767674498703308</v>
          </cell>
          <cell r="J325">
            <v>-0.19942821165077196</v>
          </cell>
          <cell r="K325">
            <v>17655.983</v>
          </cell>
          <cell r="M325">
            <v>0.37558248316354792</v>
          </cell>
          <cell r="N325">
            <v>9.221472123410468E-2</v>
          </cell>
          <cell r="O325">
            <v>0.21796634946775573</v>
          </cell>
          <cell r="P325">
            <v>0.11247893929962682</v>
          </cell>
          <cell r="Q325">
            <v>6.8354274428650053E-2</v>
          </cell>
          <cell r="R325">
            <v>0.17255355528304417</v>
          </cell>
          <cell r="S325">
            <v>0.20146384145623419</v>
          </cell>
          <cell r="T325">
            <v>0.17723059490470908</v>
          </cell>
          <cell r="U325">
            <v>3022.1860000000001</v>
          </cell>
        </row>
        <row r="326">
          <cell r="B326" t="str">
            <v>FY1</v>
          </cell>
          <cell r="C326">
            <v>2054</v>
          </cell>
          <cell r="D326">
            <v>2999</v>
          </cell>
          <cell r="E326">
            <v>8618.2000000000007</v>
          </cell>
          <cell r="F326">
            <v>2259</v>
          </cell>
          <cell r="G326">
            <v>499.60599999999999</v>
          </cell>
          <cell r="H326">
            <v>150</v>
          </cell>
          <cell r="I326">
            <v>774.7</v>
          </cell>
          <cell r="J326">
            <v>2479.2151428571428</v>
          </cell>
          <cell r="K326">
            <v>17354.506000000001</v>
          </cell>
          <cell r="M326">
            <v>50.582000000000001</v>
          </cell>
          <cell r="N326" t="str">
            <v>NA</v>
          </cell>
          <cell r="O326">
            <v>0</v>
          </cell>
          <cell r="P326">
            <v>24.428999999999998</v>
          </cell>
          <cell r="Q326">
            <v>0</v>
          </cell>
          <cell r="R326">
            <v>2880.2820000000002</v>
          </cell>
          <cell r="S326">
            <v>0</v>
          </cell>
          <cell r="T326">
            <v>492.54883333333333</v>
          </cell>
          <cell r="U326">
            <v>2955.2930000000001</v>
          </cell>
        </row>
        <row r="327">
          <cell r="B327" t="str">
            <v>Net Income Margin</v>
          </cell>
          <cell r="C327">
            <v>2037</v>
          </cell>
          <cell r="D327">
            <v>2597</v>
          </cell>
          <cell r="E327">
            <v>8355.4</v>
          </cell>
          <cell r="F327">
            <v>1909</v>
          </cell>
          <cell r="G327">
            <v>476.60599999999999</v>
          </cell>
          <cell r="H327">
            <v>150</v>
          </cell>
          <cell r="I327">
            <v>774.7</v>
          </cell>
          <cell r="J327">
            <v>2328.5294285714285</v>
          </cell>
          <cell r="K327">
            <v>16299.706</v>
          </cell>
          <cell r="M327">
            <v>50.582000000000001</v>
          </cell>
          <cell r="N327" t="str">
            <v>NA</v>
          </cell>
          <cell r="O327">
            <v>0</v>
          </cell>
          <cell r="P327">
            <v>25.132999999999999</v>
          </cell>
          <cell r="Q327">
            <v>0</v>
          </cell>
          <cell r="R327">
            <v>2878.2820000000002</v>
          </cell>
          <cell r="S327">
            <v>0</v>
          </cell>
          <cell r="T327">
            <v>492.33283333333338</v>
          </cell>
          <cell r="U327">
            <v>2953.9970000000003</v>
          </cell>
        </row>
        <row r="328">
          <cell r="B328" t="str">
            <v>FY(10)</v>
          </cell>
          <cell r="C328">
            <v>5.7935299255208496E-2</v>
          </cell>
          <cell r="D328">
            <v>1.2101187663421857E-2</v>
          </cell>
          <cell r="E328">
            <v>5.1469212053153662E-2</v>
          </cell>
          <cell r="F328">
            <v>3.92874344532919E-2</v>
          </cell>
          <cell r="G328">
            <v>635.4</v>
          </cell>
          <cell r="H328">
            <v>6.4450923950777714E-2</v>
          </cell>
          <cell r="I328">
            <v>5.9897807329261712E-2</v>
          </cell>
          <cell r="J328">
            <v>4.752364411751922E-2</v>
          </cell>
          <cell r="K328">
            <v>3.4351025607138229E-2</v>
          </cell>
          <cell r="M328">
            <v>0.14512571081565068</v>
          </cell>
          <cell r="N328" t="str">
            <v>NA</v>
          </cell>
          <cell r="O328">
            <v>0.10895272706296327</v>
          </cell>
          <cell r="P328">
            <v>4.1358625076558596E-2</v>
          </cell>
          <cell r="Q328">
            <v>0</v>
          </cell>
          <cell r="R328">
            <v>4.572598812205611E-2</v>
          </cell>
          <cell r="S328">
            <v>6.7166942933268137E-2</v>
          </cell>
          <cell r="T328">
            <v>8.1665998802099363E-2</v>
          </cell>
          <cell r="U328">
            <v>2.9919546644090092E-2</v>
          </cell>
        </row>
        <row r="329">
          <cell r="B329" t="str">
            <v>FY(9)</v>
          </cell>
          <cell r="C329">
            <v>5.9931731738239978E-2</v>
          </cell>
          <cell r="D329">
            <v>-2.7808829994347799E-3</v>
          </cell>
          <cell r="E329">
            <v>5.4153143406659457E-2</v>
          </cell>
          <cell r="F329">
            <v>2.4378058788428116E-2</v>
          </cell>
          <cell r="G329">
            <v>631.94000000000005</v>
          </cell>
          <cell r="H329">
            <v>5.5476499230908083E-2</v>
          </cell>
          <cell r="I329">
            <v>5.6171381456489332E-2</v>
          </cell>
          <cell r="J329">
            <v>4.1221655270215034E-2</v>
          </cell>
          <cell r="K329">
            <v>2.7663271784373999E-2</v>
          </cell>
          <cell r="M329">
            <v>0.12673924777230844</v>
          </cell>
          <cell r="N329" t="str">
            <v>NA</v>
          </cell>
          <cell r="O329">
            <v>8.6118055201265253E-2</v>
          </cell>
          <cell r="P329">
            <v>7.0464480874316948E-2</v>
          </cell>
          <cell r="Q329">
            <v>6.4169722482663394E-2</v>
          </cell>
          <cell r="R329">
            <v>4.5425209251101321E-2</v>
          </cell>
          <cell r="S329">
            <v>3.5536157490019732E-2</v>
          </cell>
          <cell r="T329">
            <v>7.1408812178612516E-2</v>
          </cell>
          <cell r="U329">
            <v>6.0567113597635745E-2</v>
          </cell>
        </row>
        <row r="330">
          <cell r="B330" t="str">
            <v>FY(8)</v>
          </cell>
          <cell r="C330">
            <v>6.5697991332478528E-2</v>
          </cell>
          <cell r="D330">
            <v>1.0257847533632286E-2</v>
          </cell>
          <cell r="E330">
            <v>4.7260057016154579E-2</v>
          </cell>
          <cell r="F330">
            <v>2.2130834751771789E-2</v>
          </cell>
          <cell r="G330">
            <v>598.07899999999995</v>
          </cell>
          <cell r="H330">
            <v>5.1913616706109562E-2</v>
          </cell>
          <cell r="I330">
            <v>5.0461957318509172E-2</v>
          </cell>
          <cell r="J330">
            <v>4.1287050776442652E-2</v>
          </cell>
          <cell r="K330">
            <v>3.7077995485691816E-2</v>
          </cell>
          <cell r="M330">
            <v>0.1220644274511614</v>
          </cell>
          <cell r="N330" t="str">
            <v>NA</v>
          </cell>
          <cell r="O330">
            <v>7.9973380489094179E-2</v>
          </cell>
          <cell r="P330">
            <v>0.11757451818595117</v>
          </cell>
          <cell r="Q330">
            <v>-5.6066372070281121E-4</v>
          </cell>
          <cell r="R330">
            <v>4.8174640864300129E-2</v>
          </cell>
          <cell r="S330">
            <v>4.3005175407928746E-2</v>
          </cell>
          <cell r="T330">
            <v>6.8371913112955471E-2</v>
          </cell>
          <cell r="U330">
            <v>2.8622122577042136E-2</v>
          </cell>
        </row>
        <row r="331">
          <cell r="B331" t="str">
            <v>FY(7)</v>
          </cell>
          <cell r="C331">
            <v>6.9676535398502257E-2</v>
          </cell>
          <cell r="D331">
            <v>1.6279337321675105E-2</v>
          </cell>
          <cell r="E331">
            <v>4.5340697450388545E-2</v>
          </cell>
          <cell r="F331">
            <v>1.7888503556807996E-2</v>
          </cell>
          <cell r="G331">
            <v>514.60599999999999</v>
          </cell>
          <cell r="H331">
            <v>5.6657101861073485E-2</v>
          </cell>
          <cell r="I331">
            <v>4.8274602049693326E-2</v>
          </cell>
          <cell r="J331">
            <v>4.2352796273023442E-2</v>
          </cell>
          <cell r="K331">
            <v>3.9495927902977658E-2</v>
          </cell>
          <cell r="M331">
            <v>0.12204489781338887</v>
          </cell>
          <cell r="N331">
            <v>6.1200245414809118E-2</v>
          </cell>
          <cell r="O331">
            <v>7.2053180111980211E-2</v>
          </cell>
          <cell r="P331">
            <v>0.10977203224909647</v>
          </cell>
          <cell r="Q331">
            <v>3.3048788124032377E-2</v>
          </cell>
          <cell r="R331">
            <v>6.1270950868468239E-2</v>
          </cell>
          <cell r="S331">
            <v>6.4843857184083406E-2</v>
          </cell>
          <cell r="T331">
            <v>7.489056453797982E-2</v>
          </cell>
          <cell r="U331">
            <v>5.1851808847542182E-2</v>
          </cell>
        </row>
        <row r="332">
          <cell r="B332" t="str">
            <v>FY(6)</v>
          </cell>
          <cell r="C332">
            <v>5.6492578262754653E-2</v>
          </cell>
          <cell r="D332">
            <v>2.0556158282418774E-2</v>
          </cell>
          <cell r="E332">
            <v>4.632753698416818E-2</v>
          </cell>
          <cell r="F332">
            <v>3.7665548279526076E-2</v>
          </cell>
          <cell r="G332">
            <v>-2.8624187351994703E-2</v>
          </cell>
          <cell r="H332">
            <v>5.8045958981100515E-2</v>
          </cell>
          <cell r="I332">
            <v>4.5724402379422838E-2</v>
          </cell>
          <cell r="J332">
            <v>3.3741142259628043E-2</v>
          </cell>
          <cell r="K332">
            <v>3.842803169640515E-2</v>
          </cell>
          <cell r="M332">
            <v>0.11993729978001054</v>
          </cell>
          <cell r="N332">
            <v>7.382822493291312E-2</v>
          </cell>
          <cell r="O332">
            <v>5.7897391454582448E-2</v>
          </cell>
          <cell r="P332">
            <v>0.13210514612383772</v>
          </cell>
          <cell r="Q332">
            <v>6.5769812615373971E-2</v>
          </cell>
          <cell r="R332">
            <v>6.5329277355102813E-2</v>
          </cell>
          <cell r="S332">
            <v>8.8219257022290054E-2</v>
          </cell>
          <cell r="T332">
            <v>8.6155201326301528E-2</v>
          </cell>
          <cell r="U332">
            <v>7.0977314468242264E-2</v>
          </cell>
        </row>
        <row r="333">
          <cell r="B333" t="str">
            <v>FY(5)</v>
          </cell>
          <cell r="C333">
            <v>6.0125709402001584E-2</v>
          </cell>
          <cell r="D333">
            <v>3.632681255526083E-2</v>
          </cell>
          <cell r="E333">
            <v>4.9857162460831578E-2</v>
          </cell>
          <cell r="F333">
            <v>5.5174900121476633E-2</v>
          </cell>
          <cell r="G333">
            <v>-2.5006182052030538E-2</v>
          </cell>
          <cell r="H333">
            <v>4.3801990099033253E-2</v>
          </cell>
          <cell r="I333">
            <v>4.2174051494208296E-2</v>
          </cell>
          <cell r="J333">
            <v>3.749349201154023E-2</v>
          </cell>
          <cell r="K333">
            <v>4.4039051222133092E-2</v>
          </cell>
          <cell r="M333">
            <v>0.11970467536853013</v>
          </cell>
          <cell r="N333">
            <v>9.0188672200719341E-2</v>
          </cell>
          <cell r="O333">
            <v>0.11919365992980166</v>
          </cell>
          <cell r="P333">
            <v>0.17310304173543978</v>
          </cell>
          <cell r="Q333">
            <v>7.4637043284143362E-2</v>
          </cell>
          <cell r="R333">
            <v>7.1667691292550684E-2</v>
          </cell>
          <cell r="S333">
            <v>0.10931923890063426</v>
          </cell>
          <cell r="T333">
            <v>0.10825914610168845</v>
          </cell>
          <cell r="U333">
            <v>8.4316571263007345E-2</v>
          </cell>
        </row>
        <row r="334">
          <cell r="B334" t="str">
            <v>FY(4)</v>
          </cell>
          <cell r="C334">
            <v>6.2051153250896565E-2</v>
          </cell>
          <cell r="D334">
            <v>4.9413321697222672E-2</v>
          </cell>
          <cell r="E334">
            <v>4.8640224243403758E-2</v>
          </cell>
          <cell r="F334">
            <v>7.137225303541328E-2</v>
          </cell>
          <cell r="G334">
            <v>-4.0778442514653214E-2</v>
          </cell>
          <cell r="H334">
            <v>4.0377178900683007E-2</v>
          </cell>
          <cell r="I334">
            <v>4.0244189892129661E-2</v>
          </cell>
          <cell r="J334">
            <v>3.8759982643585107E-2</v>
          </cell>
          <cell r="K334">
            <v>4.8018534510282804E-2</v>
          </cell>
          <cell r="M334">
            <v>0.1313483666430168</v>
          </cell>
          <cell r="N334">
            <v>6.9709145287861388E-2</v>
          </cell>
          <cell r="O334">
            <v>0.12649259548605879</v>
          </cell>
          <cell r="P334">
            <v>0.20381799644488358</v>
          </cell>
          <cell r="Q334">
            <v>6.7177698424203958E-2</v>
          </cell>
          <cell r="R334">
            <v>5.6552665598014376E-2</v>
          </cell>
          <cell r="S334">
            <v>0.11888212893797678</v>
          </cell>
          <cell r="T334">
            <v>0.11056865668885939</v>
          </cell>
          <cell r="U334">
            <v>8.1511609039378055E-2</v>
          </cell>
        </row>
        <row r="335">
          <cell r="B335" t="str">
            <v>FY(3)</v>
          </cell>
          <cell r="C335">
            <v>7.1130982682978017E-2</v>
          </cell>
          <cell r="D335">
            <v>5.6976083309283464E-2</v>
          </cell>
          <cell r="E335">
            <v>4.2180442916371901E-2</v>
          </cell>
          <cell r="F335">
            <v>7.9199032602248087E-2</v>
          </cell>
          <cell r="G335">
            <v>1.0150408234000237E-2</v>
          </cell>
          <cell r="H335">
            <v>4.3379693045684092E-2</v>
          </cell>
          <cell r="I335">
            <v>4.5064699151949855E-2</v>
          </cell>
          <cell r="J335">
            <v>4.9725905991787958E-2</v>
          </cell>
          <cell r="K335">
            <v>5.275772799682768E-2</v>
          </cell>
          <cell r="M335">
            <v>0.1359622626801974</v>
          </cell>
          <cell r="N335">
            <v>7.1375197423167711E-2</v>
          </cell>
          <cell r="O335">
            <v>0.13861929302403478</v>
          </cell>
          <cell r="P335">
            <v>0.22800499610494254</v>
          </cell>
          <cell r="Q335">
            <v>4.9045625094020787E-2</v>
          </cell>
          <cell r="R335">
            <v>6.3262207407757273E-2</v>
          </cell>
          <cell r="S335">
            <v>8.8923400263081182E-2</v>
          </cell>
          <cell r="T335">
            <v>0.11074185457102881</v>
          </cell>
          <cell r="U335">
            <v>7.9358667406064287E-2</v>
          </cell>
        </row>
        <row r="336">
          <cell r="B336" t="str">
            <v>FY(2)</v>
          </cell>
          <cell r="C336">
            <v>6.5790988059755848E-2</v>
          </cell>
          <cell r="D336">
            <v>5.4025667478813932E-2</v>
          </cell>
          <cell r="E336">
            <v>3.6820980296638731E-2</v>
          </cell>
          <cell r="F336">
            <v>7.8618104096891933E-2</v>
          </cell>
          <cell r="G336">
            <v>1.9412382865364255E-2</v>
          </cell>
          <cell r="H336">
            <v>4.3688993796370736E-2</v>
          </cell>
          <cell r="I336">
            <v>4.9219705344096379E-2</v>
          </cell>
          <cell r="J336">
            <v>4.965383170541883E-2</v>
          </cell>
          <cell r="K336">
            <v>5.0949705676878843E-2</v>
          </cell>
          <cell r="M336">
            <v>0.13491173233403322</v>
          </cell>
          <cell r="N336">
            <v>7.9189203016960127E-2</v>
          </cell>
          <cell r="O336">
            <v>0.13092116007657215</v>
          </cell>
          <cell r="P336">
            <v>0.24365156772018359</v>
          </cell>
          <cell r="Q336">
            <v>5.6346546055297084E-2</v>
          </cell>
          <cell r="R336">
            <v>4.5750785423069804E-2</v>
          </cell>
          <cell r="S336">
            <v>0.10116573059790784</v>
          </cell>
          <cell r="T336">
            <v>0.11313381788914624</v>
          </cell>
          <cell r="U336">
            <v>8.2573996153070497E-2</v>
          </cell>
          <cell r="W336">
            <v>1.9679625000000001</v>
          </cell>
        </row>
        <row r="337">
          <cell r="B337" t="str">
            <v>FY(1)</v>
          </cell>
          <cell r="C337">
            <v>5.4038343024852185E-2</v>
          </cell>
          <cell r="D337">
            <v>3.0429729959475491E-2</v>
          </cell>
          <cell r="E337">
            <v>2.1894584605495742E-2</v>
          </cell>
          <cell r="F337">
            <v>4.7587866361114457E-2</v>
          </cell>
          <cell r="G337">
            <v>-3.6140655347666757E-2</v>
          </cell>
          <cell r="H337">
            <v>4.6680270034300066E-2</v>
          </cell>
          <cell r="I337">
            <v>4.6520091019211077E-2</v>
          </cell>
          <cell r="J337">
            <v>3.0144318522397469E-2</v>
          </cell>
          <cell r="K337">
            <v>3.5872481012592806E-2</v>
          </cell>
          <cell r="M337">
            <v>9.1551386331804568E-2</v>
          </cell>
          <cell r="N337">
            <v>7.9246641927393405E-2</v>
          </cell>
          <cell r="O337">
            <v>6.8551537280469158E-2</v>
          </cell>
          <cell r="P337">
            <v>0.23327843026046943</v>
          </cell>
          <cell r="Q337">
            <v>6.6570287759878832E-2</v>
          </cell>
          <cell r="R337">
            <v>3.9079252979834236E-2</v>
          </cell>
          <cell r="S337">
            <v>0.10866785347140387</v>
          </cell>
          <cell r="T337">
            <v>9.8135055715893357E-2</v>
          </cell>
          <cell r="U337">
            <v>7.944859600547749E-2</v>
          </cell>
          <cell r="W337">
            <v>0.15743700000000002</v>
          </cell>
          <cell r="X337">
            <v>2.3615550000000005</v>
          </cell>
        </row>
        <row r="338">
          <cell r="B338" t="str">
            <v>FY0</v>
          </cell>
          <cell r="C338">
            <v>5.7641031612039359E-2</v>
          </cell>
          <cell r="D338">
            <v>1.421513831466786E-2</v>
          </cell>
          <cell r="E338">
            <v>2.4522116735493208E-2</v>
          </cell>
          <cell r="F338">
            <v>5.1804310971179462E-2</v>
          </cell>
          <cell r="G338">
            <v>-1.8178653818107862E-2</v>
          </cell>
          <cell r="H338">
            <v>6.1629158266883234E-2</v>
          </cell>
          <cell r="I338">
            <v>5.9815922798219512E-2</v>
          </cell>
          <cell r="J338">
            <v>3.5921289268624972E-2</v>
          </cell>
          <cell r="K338">
            <v>3.9884916628223133E-2</v>
          </cell>
          <cell r="M338">
            <v>3.27555798369542E-2</v>
          </cell>
          <cell r="N338">
            <v>0.10373009342609429</v>
          </cell>
          <cell r="O338">
            <v>5.3189401442807663E-2</v>
          </cell>
          <cell r="P338">
            <v>0.19258138449289702</v>
          </cell>
          <cell r="Q338">
            <v>7.7467070507853772E-2</v>
          </cell>
          <cell r="R338">
            <v>4.6935220024844376E-2</v>
          </cell>
          <cell r="S338">
            <v>0.1134747124983551</v>
          </cell>
          <cell r="T338">
            <v>8.8590494604258052E-2</v>
          </cell>
          <cell r="U338">
            <v>7.8382891355829779E-2</v>
          </cell>
          <cell r="X338">
            <v>1.5527607462809245</v>
          </cell>
        </row>
        <row r="339">
          <cell r="B339" t="str">
            <v>FY1</v>
          </cell>
          <cell r="C339">
            <v>6.4342059385477615E-2</v>
          </cell>
          <cell r="D339">
            <v>2.0888385410296403E-2</v>
          </cell>
          <cell r="E339">
            <v>3.1813816711141418E-2</v>
          </cell>
          <cell r="F339">
            <v>6.4289686967320903E-2</v>
          </cell>
          <cell r="G339">
            <v>-5.4109647929955719E-3</v>
          </cell>
          <cell r="H339">
            <v>6.6741586443900089E-2</v>
          </cell>
          <cell r="I339">
            <v>6.408709964679335E-2</v>
          </cell>
          <cell r="J339">
            <v>4.3821667110276318E-2</v>
          </cell>
          <cell r="K339">
            <v>4.7244121762731239E-2</v>
          </cell>
          <cell r="M339">
            <v>4.9138863306919793E-2</v>
          </cell>
          <cell r="N339">
            <v>0.10592424514367912</v>
          </cell>
          <cell r="O339">
            <v>8.3184043353480633E-2</v>
          </cell>
          <cell r="P339">
            <v>0.19906903395437484</v>
          </cell>
          <cell r="Q339">
            <v>7.7103041633192648E-2</v>
          </cell>
          <cell r="R339">
            <v>5.9931233269422908E-2</v>
          </cell>
          <cell r="S339">
            <v>0.12346769396327388</v>
          </cell>
          <cell r="T339">
            <v>9.9688307803477691E-2</v>
          </cell>
          <cell r="U339">
            <v>8.7030148021657691E-2</v>
          </cell>
          <cell r="X339">
            <v>1.1645705597106935</v>
          </cell>
        </row>
        <row r="340">
          <cell r="B340" t="str">
            <v>FY2</v>
          </cell>
          <cell r="C340">
            <v>6.8734804965646143E-2</v>
          </cell>
          <cell r="D340">
            <v>2.5340780647728017E-2</v>
          </cell>
          <cell r="E340">
            <v>3.5890992658464148E-2</v>
          </cell>
          <cell r="F340">
            <v>6.7563637252128633E-2</v>
          </cell>
          <cell r="G340">
            <v>7.3808253466599869E-3</v>
          </cell>
          <cell r="H340">
            <v>6.8719750522266018E-2</v>
          </cell>
          <cell r="I340">
            <v>6.5003459195586075E-2</v>
          </cell>
          <cell r="J340">
            <v>4.8376321512639861E-2</v>
          </cell>
          <cell r="K340">
            <v>5.1143216615833258E-2</v>
          </cell>
          <cell r="M340">
            <v>5.9744748069720834E-2</v>
          </cell>
          <cell r="N340">
            <v>9.3130464819987338E-2</v>
          </cell>
          <cell r="O340">
            <v>9.2577090363576101E-2</v>
          </cell>
          <cell r="P340">
            <v>0.19821527577355608</v>
          </cell>
          <cell r="Q340">
            <v>7.9543041633187123E-2</v>
          </cell>
          <cell r="R340">
            <v>6.6670753955747591E-2</v>
          </cell>
          <cell r="S340">
            <v>0.12966998036485877</v>
          </cell>
          <cell r="T340">
            <v>0.10279305071151912</v>
          </cell>
          <cell r="U340">
            <v>9.1460253226173738E-2</v>
          </cell>
        </row>
        <row r="341">
          <cell r="B341" t="str">
            <v>FQ(3)</v>
          </cell>
          <cell r="C341">
            <v>3.7658053875755909E-2</v>
          </cell>
          <cell r="D341">
            <v>6.4359422215875383E-3</v>
          </cell>
          <cell r="E341">
            <v>-1.3079438353529526E-2</v>
          </cell>
          <cell r="F341">
            <v>3.9859320046893319E-2</v>
          </cell>
          <cell r="G341">
            <v>-7.7165014663606243E-3</v>
          </cell>
          <cell r="H341">
            <v>5.4024032882497568E-2</v>
          </cell>
          <cell r="I341">
            <v>4.8048515648253277E-2</v>
          </cell>
          <cell r="J341">
            <v>2.3604274979299639E-2</v>
          </cell>
          <cell r="K341">
            <v>2.1702646496389557E-2</v>
          </cell>
          <cell r="M341">
            <v>-3.8397684007252429E-2</v>
          </cell>
          <cell r="N341">
            <v>8.1306491774993619E-2</v>
          </cell>
          <cell r="O341">
            <v>2.5622549019607841E-2</v>
          </cell>
          <cell r="P341">
            <v>0.16642588105235703</v>
          </cell>
          <cell r="Q341">
            <v>6.8755996162456035E-2</v>
          </cell>
          <cell r="R341">
            <v>1.507618953222079E-3</v>
          </cell>
          <cell r="S341">
            <v>8.0055405981351163E-2</v>
          </cell>
          <cell r="T341">
            <v>5.5039465562390762E-2</v>
          </cell>
          <cell r="U341">
            <v>5.2285350502880412E-2</v>
          </cell>
        </row>
        <row r="342">
          <cell r="B342" t="str">
            <v>FQ(2)</v>
          </cell>
          <cell r="C342">
            <v>6.0194429847609039E-2</v>
          </cell>
          <cell r="D342">
            <v>-1.5674735660074499E-4</v>
          </cell>
          <cell r="E342">
            <v>1.6266460108443067E-2</v>
          </cell>
          <cell r="F342">
            <v>4.8951048951048952E-2</v>
          </cell>
          <cell r="G342">
            <v>-9.774504358229362E-2</v>
          </cell>
          <cell r="H342">
            <v>5.846708989300229E-2</v>
          </cell>
          <cell r="I342">
            <v>5.5094145837581147E-2</v>
          </cell>
          <cell r="J342">
            <v>2.0153054814112874E-2</v>
          </cell>
          <cell r="K342">
            <v>3.2867866733868163E-2</v>
          </cell>
          <cell r="M342">
            <v>1.08119318101569E-2</v>
          </cell>
          <cell r="N342">
            <v>8.6002825482318662E-2</v>
          </cell>
          <cell r="O342">
            <v>4.3449169398840623E-2</v>
          </cell>
          <cell r="P342">
            <v>0.17520675183607973</v>
          </cell>
          <cell r="Q342">
            <v>7.0261941448382131E-2</v>
          </cell>
          <cell r="R342">
            <v>2.9160315686075262E-2</v>
          </cell>
          <cell r="S342">
            <v>0.10688665710186514</v>
          </cell>
          <cell r="T342">
            <v>7.4539941823388342E-2</v>
          </cell>
          <cell r="U342">
            <v>6.6054083642394706E-2</v>
          </cell>
        </row>
        <row r="343">
          <cell r="B343" t="str">
            <v>FQ(1)</v>
          </cell>
          <cell r="C343">
            <v>4.7642557393236237E-2</v>
          </cell>
          <cell r="D343">
            <v>6.4587210599395695E-3</v>
          </cell>
          <cell r="E343">
            <v>-2.2740193291642978E-3</v>
          </cell>
          <cell r="F343">
            <v>4.4432548179871523E-2</v>
          </cell>
          <cell r="G343">
            <v>2.9864196151236392E-3</v>
          </cell>
          <cell r="H343">
            <v>6.024749174234393E-2</v>
          </cell>
          <cell r="I343">
            <v>6.6311264215112978E-2</v>
          </cell>
          <cell r="J343">
            <v>3.2257854696637653E-2</v>
          </cell>
          <cell r="K343">
            <v>3.2428905596618297E-2</v>
          </cell>
          <cell r="M343">
            <v>4.0631086768459994E-2</v>
          </cell>
          <cell r="N343">
            <v>0.11029378097274223</v>
          </cell>
          <cell r="O343">
            <v>5.9417553894590108E-2</v>
          </cell>
          <cell r="P343">
            <v>0.18494898461724343</v>
          </cell>
          <cell r="Q343">
            <v>8.5539147394817494E-2</v>
          </cell>
          <cell r="R343">
            <v>3.4316300186323051E-3</v>
          </cell>
          <cell r="S343">
            <v>0.12332872109112474</v>
          </cell>
          <cell r="T343">
            <v>8.67987006796586E-2</v>
          </cell>
          <cell r="U343">
            <v>7.5145127121260702E-2</v>
          </cell>
        </row>
        <row r="344">
          <cell r="B344" t="str">
            <v>Last Reported Q</v>
          </cell>
          <cell r="C344">
            <v>5.7641031612039359E-2</v>
          </cell>
          <cell r="D344">
            <v>1.421513831466786E-2</v>
          </cell>
          <cell r="E344">
            <v>2.4522116735493208E-2</v>
          </cell>
          <cell r="F344">
            <v>5.1804310971179462E-2</v>
          </cell>
          <cell r="G344">
            <v>-1.8178653818107862E-2</v>
          </cell>
          <cell r="H344">
            <v>6.1629158266883234E-2</v>
          </cell>
          <cell r="I344">
            <v>5.9815922798219512E-2</v>
          </cell>
          <cell r="J344">
            <v>3.5921289268624972E-2</v>
          </cell>
          <cell r="K344">
            <v>3.9884916628223133E-2</v>
          </cell>
          <cell r="M344">
            <v>3.27555798369542E-2</v>
          </cell>
          <cell r="N344">
            <v>0.10373009342609429</v>
          </cell>
          <cell r="O344">
            <v>5.3189401442807663E-2</v>
          </cell>
          <cell r="P344">
            <v>0.22624306928136484</v>
          </cell>
          <cell r="Q344">
            <v>7.7467070507853772E-2</v>
          </cell>
          <cell r="R344">
            <v>4.6935220024844376E-2</v>
          </cell>
          <cell r="S344">
            <v>0.1134747124983551</v>
          </cell>
          <cell r="T344">
            <v>9.3399306716896321E-2</v>
          </cell>
          <cell r="U344">
            <v>7.2160627776563305E-2</v>
          </cell>
        </row>
        <row r="345">
          <cell r="B345" t="str">
            <v>LTM</v>
          </cell>
          <cell r="C345">
            <v>5.4031808035714286E-2</v>
          </cell>
          <cell r="D345">
            <v>1.0179753652108822E-2</v>
          </cell>
          <cell r="E345">
            <v>1.4822765723632088E-2</v>
          </cell>
          <cell r="F345">
            <v>4.8923231022393932E-2</v>
          </cell>
          <cell r="G345">
            <v>-2.3770411389612774E-2</v>
          </cell>
          <cell r="H345">
            <v>5.9944770133995101E-2</v>
          </cell>
          <cell r="I345">
            <v>5.8672951304775935E-2</v>
          </cell>
          <cell r="J345">
            <v>3.1829266926143913E-2</v>
          </cell>
          <cell r="K345">
            <v>3.5521845921950616E-2</v>
          </cell>
          <cell r="M345">
            <v>2.2420360318365685E-2</v>
          </cell>
          <cell r="N345">
            <v>0.10005337542877304</v>
          </cell>
          <cell r="O345">
            <v>4.9473895194281789E-2</v>
          </cell>
          <cell r="P345">
            <v>0.19173565581430119</v>
          </cell>
          <cell r="Q345">
            <v>7.6570908187763881E-2</v>
          </cell>
          <cell r="R345">
            <v>3.3385714485891907E-2</v>
          </cell>
          <cell r="S345">
            <v>0.11015999637374407</v>
          </cell>
          <cell r="T345">
            <v>8.3399986543303078E-2</v>
          </cell>
          <cell r="U345">
            <v>6.9161187079676278E-2</v>
          </cell>
        </row>
        <row r="346">
          <cell r="B346" t="str">
            <v>Unadjusted Net Debt</v>
          </cell>
        </row>
        <row r="347">
          <cell r="B347" t="str">
            <v>FY(2)</v>
          </cell>
          <cell r="C347">
            <v>438.44063685600293</v>
          </cell>
          <cell r="D347">
            <v>640.86940520445978</v>
          </cell>
          <cell r="E347">
            <v>7286.125</v>
          </cell>
          <cell r="F347">
            <v>228.000703241682</v>
          </cell>
          <cell r="G347">
            <v>408.79410000000001</v>
          </cell>
          <cell r="H347">
            <v>-222.63499999999999</v>
          </cell>
          <cell r="I347">
            <v>-69.103843504782958</v>
          </cell>
          <cell r="J347">
            <v>1244.3558573996229</v>
          </cell>
          <cell r="K347">
            <v>8710.4910017973598</v>
          </cell>
          <cell r="M347">
            <v>-648.52</v>
          </cell>
          <cell r="N347">
            <v>-111.926</v>
          </cell>
          <cell r="O347">
            <v>-619.93899999999906</v>
          </cell>
          <cell r="P347">
            <v>-695.80499999999995</v>
          </cell>
          <cell r="Q347">
            <v>-1387.99470245564</v>
          </cell>
          <cell r="R347">
            <v>664.67723789704996</v>
          </cell>
          <cell r="S347">
            <v>-199.67</v>
          </cell>
          <cell r="T347">
            <v>-428.45392350836988</v>
          </cell>
          <cell r="U347">
            <v>-2999.1774645585892</v>
          </cell>
        </row>
        <row r="348">
          <cell r="A348" t="str">
            <v>mscalc:totalCashIncludingShorttermInvestmentsForCac</v>
          </cell>
          <cell r="B348" t="str">
            <v>Cash &amp; ST Inv. (Unadjusted Cash on Hand)</v>
          </cell>
          <cell r="C348">
            <v>1400.9176368560052</v>
          </cell>
          <cell r="D348">
            <v>1175.8694052044598</v>
          </cell>
          <cell r="E348">
            <v>9170.1249999999964</v>
          </cell>
          <cell r="F348">
            <v>2139.5977032416822</v>
          </cell>
          <cell r="G348">
            <v>471.42610004233597</v>
          </cell>
          <cell r="H348">
            <v>-113.678</v>
          </cell>
          <cell r="I348">
            <v>102.38306178916901</v>
          </cell>
          <cell r="J348">
            <v>2049.5201295905213</v>
          </cell>
          <cell r="K348">
            <v>14346.640907133649</v>
          </cell>
          <cell r="M348">
            <v>-648.52</v>
          </cell>
          <cell r="N348">
            <v>-111.926</v>
          </cell>
          <cell r="O348">
            <v>-619.93899999999906</v>
          </cell>
          <cell r="P348">
            <v>-696.04</v>
          </cell>
          <cell r="Q348">
            <v>-1712.99470245564</v>
          </cell>
          <cell r="R348">
            <v>1886.3162378970501</v>
          </cell>
          <cell r="S348">
            <v>-199.67</v>
          </cell>
          <cell r="T348">
            <v>-300.39620922265561</v>
          </cell>
          <cell r="U348">
            <v>-2102.7734645585892</v>
          </cell>
        </row>
        <row r="349">
          <cell r="B349" t="str">
            <v>FY(2)</v>
          </cell>
          <cell r="C349">
            <v>663.65836314399496</v>
          </cell>
          <cell r="D349">
            <v>2532.1305947955402</v>
          </cell>
          <cell r="E349">
            <v>582.87500000000398</v>
          </cell>
          <cell r="F349">
            <v>357.40229675831802</v>
          </cell>
          <cell r="G349">
            <v>101.16189995766401</v>
          </cell>
          <cell r="H349">
            <v>263.678</v>
          </cell>
          <cell r="I349">
            <v>732.71093821083105</v>
          </cell>
          <cell r="J349">
            <v>747.65958469519319</v>
          </cell>
          <cell r="K349">
            <v>5233.6170928663523</v>
          </cell>
          <cell r="M349">
            <v>522.13461840902801</v>
          </cell>
          <cell r="N349">
            <v>228.53</v>
          </cell>
          <cell r="O349">
            <v>483.85199999999901</v>
          </cell>
          <cell r="P349">
            <v>698.90499999999997</v>
          </cell>
          <cell r="Q349">
            <v>1715</v>
          </cell>
          <cell r="R349">
            <v>1173.3968696837801</v>
          </cell>
          <cell r="S349">
            <v>365.983</v>
          </cell>
          <cell r="T349">
            <v>741.11449829897253</v>
          </cell>
          <cell r="U349">
            <v>5187.8014880928076</v>
          </cell>
        </row>
        <row r="350">
          <cell r="B350" t="str">
            <v>FY(1)</v>
          </cell>
          <cell r="C350">
            <v>676.15936314399596</v>
          </cell>
          <cell r="D350">
            <v>2351.6269754406999</v>
          </cell>
          <cell r="E350">
            <v>1305.875</v>
          </cell>
          <cell r="F350">
            <v>71.919296758318097</v>
          </cell>
          <cell r="G350">
            <v>14.0472478064653</v>
          </cell>
          <cell r="H350">
            <v>322.15537499999999</v>
          </cell>
          <cell r="I350">
            <v>452.817640130786</v>
          </cell>
          <cell r="J350">
            <v>742.08584261146666</v>
          </cell>
          <cell r="K350">
            <v>5194.6008982802668</v>
          </cell>
          <cell r="M350">
            <v>522.13461840902801</v>
          </cell>
          <cell r="N350">
            <v>228.53</v>
          </cell>
          <cell r="O350">
            <v>483.85199999999901</v>
          </cell>
          <cell r="P350">
            <v>698.90499999999997</v>
          </cell>
          <cell r="Q350">
            <v>1715</v>
          </cell>
          <cell r="R350">
            <v>1173.3968696837801</v>
          </cell>
          <cell r="S350">
            <v>365.983</v>
          </cell>
          <cell r="T350">
            <v>741.11449829897253</v>
          </cell>
          <cell r="U350">
            <v>5187.8014880928076</v>
          </cell>
        </row>
        <row r="351">
          <cell r="B351" t="str">
            <v>FY0</v>
          </cell>
          <cell r="C351">
            <v>2265.757363144</v>
          </cell>
          <cell r="D351">
            <v>3007.2089754407002</v>
          </cell>
          <cell r="E351">
            <v>1686.375</v>
          </cell>
          <cell r="F351">
            <v>794.71929675831802</v>
          </cell>
          <cell r="G351">
            <v>164.16725116241</v>
          </cell>
          <cell r="H351">
            <v>770.00937499999998</v>
          </cell>
          <cell r="I351">
            <v>1745.38064013079</v>
          </cell>
          <cell r="J351">
            <v>1490.5168430908884</v>
          </cell>
          <cell r="K351">
            <v>10433.617901636218</v>
          </cell>
          <cell r="M351">
            <v>727.57220840902801</v>
          </cell>
          <cell r="N351">
            <v>346.87931378455897</v>
          </cell>
          <cell r="O351">
            <v>698.63491999999906</v>
          </cell>
          <cell r="P351">
            <v>800.36199999999997</v>
          </cell>
          <cell r="Q351">
            <v>2574.8000000000002</v>
          </cell>
          <cell r="R351">
            <v>1804.384</v>
          </cell>
          <cell r="S351">
            <v>501.53600000000102</v>
          </cell>
          <cell r="T351">
            <v>1064.8812060276553</v>
          </cell>
          <cell r="U351">
            <v>7454.168442193587</v>
          </cell>
        </row>
        <row r="352">
          <cell r="B352" t="str">
            <v>FY1</v>
          </cell>
          <cell r="C352">
            <v>2856.51614066414</v>
          </cell>
          <cell r="D352">
            <v>2894.3353540059602</v>
          </cell>
          <cell r="E352">
            <v>2642.7166360280198</v>
          </cell>
          <cell r="F352">
            <v>803.77325799983203</v>
          </cell>
          <cell r="G352">
            <v>168.64782983552701</v>
          </cell>
          <cell r="H352">
            <v>877.70577551911504</v>
          </cell>
          <cell r="I352">
            <v>2246.3475460263999</v>
          </cell>
          <cell r="J352">
            <v>1784.2917914398563</v>
          </cell>
          <cell r="K352">
            <v>12490.042540078994</v>
          </cell>
          <cell r="M352">
            <v>655.20583485722204</v>
          </cell>
          <cell r="N352">
            <v>418.99402043374801</v>
          </cell>
          <cell r="O352">
            <v>788.63650584369498</v>
          </cell>
          <cell r="P352">
            <v>954.40471939409099</v>
          </cell>
          <cell r="Q352">
            <v>2478.3974420773002</v>
          </cell>
          <cell r="R352">
            <v>1753.2076471989801</v>
          </cell>
          <cell r="S352">
            <v>727.98320368492102</v>
          </cell>
          <cell r="T352">
            <v>1110.9756247842795</v>
          </cell>
          <cell r="U352">
            <v>7776.8293734899571</v>
          </cell>
        </row>
        <row r="353">
          <cell r="B353" t="str">
            <v>FY2</v>
          </cell>
          <cell r="C353">
            <v>2958.2194660018799</v>
          </cell>
          <cell r="D353">
            <v>2984.7676295696201</v>
          </cell>
          <cell r="E353">
            <v>3421.2931870386501</v>
          </cell>
          <cell r="F353">
            <v>776.76218468146806</v>
          </cell>
          <cell r="G353">
            <v>155.83245585719601</v>
          </cell>
          <cell r="H353">
            <v>1014.8548907238001</v>
          </cell>
          <cell r="I353">
            <v>2770.0936741191899</v>
          </cell>
          <cell r="J353">
            <v>2011.689069713115</v>
          </cell>
          <cell r="K353">
            <v>14081.823487991805</v>
          </cell>
          <cell r="M353">
            <v>545.06647740002302</v>
          </cell>
          <cell r="N353">
            <v>465.93234996454299</v>
          </cell>
          <cell r="O353">
            <v>950.79550408930095</v>
          </cell>
          <cell r="P353">
            <v>1107.9918350544999</v>
          </cell>
          <cell r="Q353">
            <v>2368.83194985604</v>
          </cell>
          <cell r="R353">
            <v>2087.7913938627498</v>
          </cell>
          <cell r="S353">
            <v>921.75489727911997</v>
          </cell>
          <cell r="T353">
            <v>1206.8806296437538</v>
          </cell>
          <cell r="U353">
            <v>8448.1644075062759</v>
          </cell>
        </row>
        <row r="354">
          <cell r="B354" t="str">
            <v>FQ(3)</v>
          </cell>
          <cell r="C354">
            <v>893.65736314399498</v>
          </cell>
          <cell r="D354">
            <v>2137.6269754406999</v>
          </cell>
          <cell r="E354">
            <v>294.87500000000398</v>
          </cell>
          <cell r="F354">
            <v>77.619296758318498</v>
          </cell>
          <cell r="G354">
            <v>13.828247806465299</v>
          </cell>
          <cell r="H354">
            <v>460.35537499999998</v>
          </cell>
          <cell r="I354">
            <v>1012.23464013079</v>
          </cell>
          <cell r="J354">
            <v>698.59955689718186</v>
          </cell>
          <cell r="K354">
            <v>4890.1968982802728</v>
          </cell>
          <cell r="M354">
            <v>463.72861840902902</v>
          </cell>
          <cell r="N354">
            <v>247.74700000000001</v>
          </cell>
          <cell r="O354">
            <v>449.33199999999999</v>
          </cell>
          <cell r="P354">
            <v>551.26700000000005</v>
          </cell>
          <cell r="Q354">
            <v>1708</v>
          </cell>
          <cell r="R354">
            <v>935.99786968377805</v>
          </cell>
          <cell r="S354">
            <v>297.625</v>
          </cell>
          <cell r="T354">
            <v>664.81392687040102</v>
          </cell>
          <cell r="U354">
            <v>4653.6974880928074</v>
          </cell>
        </row>
        <row r="355">
          <cell r="B355" t="str">
            <v>FQ(2)</v>
          </cell>
          <cell r="C355">
            <v>1353.757363144</v>
          </cell>
          <cell r="D355">
            <v>2312.0089754406999</v>
          </cell>
          <cell r="E355">
            <v>514.87500000000398</v>
          </cell>
          <cell r="F355">
            <v>518.619296758318</v>
          </cell>
          <cell r="G355">
            <v>16.548247806465302</v>
          </cell>
          <cell r="H355">
            <v>521.561375</v>
          </cell>
          <cell r="I355">
            <v>1426.59264013079</v>
          </cell>
          <cell r="J355">
            <v>951.99469975432532</v>
          </cell>
          <cell r="K355">
            <v>6663.9628982802769</v>
          </cell>
          <cell r="M355">
            <v>441.27420840902897</v>
          </cell>
          <cell r="N355">
            <v>245.45400000000001</v>
          </cell>
          <cell r="O355">
            <v>529.78800000000001</v>
          </cell>
          <cell r="P355">
            <v>800.36199999999997</v>
          </cell>
          <cell r="Q355">
            <v>2131</v>
          </cell>
          <cell r="R355">
            <v>1550.31486968378</v>
          </cell>
          <cell r="S355">
            <v>288.76</v>
          </cell>
          <cell r="T355">
            <v>855.27901115611553</v>
          </cell>
          <cell r="U355">
            <v>5986.9530780928089</v>
          </cell>
        </row>
        <row r="356">
          <cell r="B356" t="str">
            <v>FQ(1)</v>
          </cell>
          <cell r="C356">
            <v>1530.757363144</v>
          </cell>
          <cell r="D356">
            <v>2129.0089754406999</v>
          </cell>
          <cell r="E356">
            <v>488.87500000000398</v>
          </cell>
          <cell r="F356">
            <v>483.619296758318</v>
          </cell>
          <cell r="G356">
            <v>11.527851162409601</v>
          </cell>
          <cell r="H356">
            <v>577.14337499999999</v>
          </cell>
          <cell r="I356">
            <v>1445.3386401307901</v>
          </cell>
          <cell r="J356">
            <v>952.32435737660296</v>
          </cell>
          <cell r="K356">
            <v>6666.2705016362206</v>
          </cell>
          <cell r="M356">
            <v>526.36420840902895</v>
          </cell>
          <cell r="N356">
            <v>285.53031378455898</v>
          </cell>
          <cell r="O356">
            <v>515.90300000000002</v>
          </cell>
          <cell r="P356">
            <v>994.68</v>
          </cell>
          <cell r="Q356">
            <v>2398</v>
          </cell>
          <cell r="R356">
            <v>968.16886968377798</v>
          </cell>
          <cell r="S356">
            <v>418.39499999999998</v>
          </cell>
          <cell r="T356">
            <v>872.43448455390956</v>
          </cell>
          <cell r="U356">
            <v>6107.0413918773666</v>
          </cell>
        </row>
        <row r="357">
          <cell r="B357" t="str">
            <v>Last Reported Q</v>
          </cell>
          <cell r="C357">
            <v>2265.757363144</v>
          </cell>
          <cell r="D357">
            <v>3007.2089754407002</v>
          </cell>
          <cell r="E357">
            <v>1686.375</v>
          </cell>
          <cell r="F357">
            <v>794.71929675831802</v>
          </cell>
          <cell r="G357">
            <v>164.16725116241</v>
          </cell>
          <cell r="H357">
            <v>770.00937499999998</v>
          </cell>
          <cell r="I357">
            <v>1745.38064013079</v>
          </cell>
          <cell r="J357">
            <v>1490.5168430908884</v>
          </cell>
          <cell r="K357">
            <v>10433.617901636218</v>
          </cell>
          <cell r="M357">
            <v>727.57220840902801</v>
          </cell>
          <cell r="N357">
            <v>346.87931378455897</v>
          </cell>
          <cell r="O357">
            <v>698.63491999999906</v>
          </cell>
          <cell r="P357">
            <v>1103.1769999999999</v>
          </cell>
          <cell r="Q357">
            <v>2574.8000000000002</v>
          </cell>
          <cell r="R357">
            <v>1804.384</v>
          </cell>
          <cell r="S357">
            <v>501.53600000000102</v>
          </cell>
          <cell r="T357">
            <v>1108.1404917419411</v>
          </cell>
          <cell r="U357">
            <v>7756.9834421935875</v>
          </cell>
        </row>
        <row r="358">
          <cell r="A358" t="str">
            <v>mscalc:shareholdersEquityExcludingAdjustments2</v>
          </cell>
          <cell r="B358" t="str">
            <v>LTM</v>
          </cell>
          <cell r="C358">
            <v>2265.757363144</v>
          </cell>
          <cell r="D358">
            <v>3007.2089754407002</v>
          </cell>
          <cell r="E358">
            <v>1686.375</v>
          </cell>
          <cell r="F358">
            <v>794.71929675831802</v>
          </cell>
          <cell r="G358">
            <v>164.16725116241</v>
          </cell>
          <cell r="H358">
            <v>770.00937499999998</v>
          </cell>
          <cell r="I358">
            <v>1745.38064013079</v>
          </cell>
          <cell r="J358">
            <v>1490.5168430908884</v>
          </cell>
          <cell r="K358">
            <v>10433.617901636218</v>
          </cell>
          <cell r="M358">
            <v>727.57220840902801</v>
          </cell>
          <cell r="N358">
            <v>346.87931378455897</v>
          </cell>
          <cell r="O358">
            <v>698.63491999999906</v>
          </cell>
          <cell r="P358">
            <v>1103.1769999999999</v>
          </cell>
          <cell r="Q358">
            <v>2574.8000000000002</v>
          </cell>
          <cell r="R358">
            <v>1804.384</v>
          </cell>
          <cell r="S358">
            <v>501.53600000000102</v>
          </cell>
          <cell r="T358">
            <v>1108.1404917419411</v>
          </cell>
          <cell r="U358">
            <v>7756.9834421935875</v>
          </cell>
        </row>
        <row r="359">
          <cell r="B359" t="str">
            <v>FY(2)</v>
          </cell>
          <cell r="C359">
            <v>5603.3950000000004</v>
          </cell>
          <cell r="D359">
            <v>4288</v>
          </cell>
          <cell r="E359">
            <v>12254</v>
          </cell>
          <cell r="F359">
            <v>2168.5210000000002</v>
          </cell>
          <cell r="G359">
            <v>1096.1389999999999</v>
          </cell>
          <cell r="H359">
            <v>909.83</v>
          </cell>
          <cell r="I359">
            <v>2290.1210000000001</v>
          </cell>
          <cell r="J359">
            <v>4087.1437142857144</v>
          </cell>
          <cell r="K359">
            <v>28610.006000000001</v>
          </cell>
          <cell r="M359">
            <v>1405.297</v>
          </cell>
          <cell r="N359">
            <v>312.11599999999999</v>
          </cell>
          <cell r="O359">
            <v>1417.3119999999999</v>
          </cell>
          <cell r="P359">
            <v>1910.354</v>
          </cell>
          <cell r="Q359">
            <v>5174</v>
          </cell>
          <cell r="R359">
            <v>2955</v>
          </cell>
          <cell r="S359">
            <v>675.28300000000002</v>
          </cell>
          <cell r="T359">
            <v>1978.4802857142856</v>
          </cell>
          <cell r="U359">
            <v>13849.361999999999</v>
          </cell>
        </row>
        <row r="360">
          <cell r="A360" t="str">
            <v>mstag:shortTermBorrowings</v>
          </cell>
          <cell r="B360" t="str">
            <v>ST. Debt</v>
          </cell>
          <cell r="C360">
            <v>6101.6030000000001</v>
          </cell>
          <cell r="D360">
            <v>5312</v>
          </cell>
          <cell r="E360">
            <v>9907</v>
          </cell>
          <cell r="F360">
            <v>1115</v>
          </cell>
          <cell r="G360">
            <v>1175.3088999576601</v>
          </cell>
          <cell r="H360">
            <v>970.649</v>
          </cell>
          <cell r="I360">
            <v>2131.2449999999999</v>
          </cell>
          <cell r="J360">
            <v>3816.11512856538</v>
          </cell>
          <cell r="K360">
            <v>26712.805899957661</v>
          </cell>
          <cell r="M360">
            <v>1618.3130000000001</v>
          </cell>
          <cell r="N360">
            <v>197.27600000000001</v>
          </cell>
          <cell r="O360">
            <v>1340.4639999999999</v>
          </cell>
          <cell r="P360">
            <v>1490.375</v>
          </cell>
          <cell r="Q360">
            <v>4274</v>
          </cell>
          <cell r="R360">
            <v>2219.23776210295</v>
          </cell>
          <cell r="S360">
            <v>853.43100000000004</v>
          </cell>
          <cell r="T360">
            <v>1713.2995374432787</v>
          </cell>
          <cell r="U360">
            <v>11993.09676210295</v>
          </cell>
        </row>
        <row r="361">
          <cell r="B361" t="str">
            <v>FY(2)</v>
          </cell>
          <cell r="C361">
            <v>12.701000000000001</v>
          </cell>
          <cell r="D361">
            <v>203</v>
          </cell>
          <cell r="E361">
            <v>666</v>
          </cell>
          <cell r="F361">
            <v>261</v>
          </cell>
          <cell r="G361">
            <v>319.24200000000002</v>
          </cell>
          <cell r="H361">
            <v>0</v>
          </cell>
          <cell r="I361">
            <v>2.008</v>
          </cell>
          <cell r="J361">
            <v>209.13585714285713</v>
          </cell>
          <cell r="K361">
            <v>1463.951</v>
          </cell>
          <cell r="M361">
            <v>0</v>
          </cell>
          <cell r="N361">
            <v>0</v>
          </cell>
          <cell r="O361">
            <v>0</v>
          </cell>
          <cell r="P361">
            <v>0.23499999999999999</v>
          </cell>
          <cell r="Q361">
            <v>138</v>
          </cell>
          <cell r="R361">
            <v>0</v>
          </cell>
          <cell r="S361" t="str">
            <v>NA</v>
          </cell>
          <cell r="T361">
            <v>23.03916666666667</v>
          </cell>
          <cell r="U361">
            <v>138.23500000000001</v>
          </cell>
        </row>
        <row r="362">
          <cell r="B362" t="str">
            <v>FY(1)</v>
          </cell>
          <cell r="C362">
            <v>17</v>
          </cell>
          <cell r="D362">
            <v>0</v>
          </cell>
          <cell r="E362">
            <v>966</v>
          </cell>
          <cell r="F362">
            <v>299</v>
          </cell>
          <cell r="G362">
            <v>4.673</v>
          </cell>
          <cell r="H362">
            <v>0</v>
          </cell>
          <cell r="I362">
            <v>395.02699999999999</v>
          </cell>
          <cell r="J362">
            <v>240.24285714285716</v>
          </cell>
          <cell r="K362">
            <v>1681.7</v>
          </cell>
          <cell r="M362">
            <v>0</v>
          </cell>
          <cell r="N362">
            <v>0</v>
          </cell>
          <cell r="O362">
            <v>75</v>
          </cell>
          <cell r="P362">
            <v>0.28499999999999998</v>
          </cell>
          <cell r="Q362">
            <v>50</v>
          </cell>
          <cell r="R362">
            <v>0</v>
          </cell>
          <cell r="S362" t="str">
            <v>NA</v>
          </cell>
          <cell r="T362">
            <v>20.880833333333332</v>
          </cell>
          <cell r="U362">
            <v>125.285</v>
          </cell>
        </row>
        <row r="363">
          <cell r="B363" t="str">
            <v>FY0</v>
          </cell>
          <cell r="C363">
            <v>16</v>
          </cell>
          <cell r="D363">
            <v>393</v>
          </cell>
          <cell r="E363">
            <v>242</v>
          </cell>
          <cell r="F363">
            <v>356</v>
          </cell>
          <cell r="G363">
            <v>27.856999999999999</v>
          </cell>
          <cell r="H363">
            <v>0</v>
          </cell>
          <cell r="I363">
            <v>0</v>
          </cell>
          <cell r="J363">
            <v>147.83671428571429</v>
          </cell>
          <cell r="K363">
            <v>1034.857</v>
          </cell>
          <cell r="M363">
            <v>11.61</v>
          </cell>
          <cell r="N363">
            <v>0</v>
          </cell>
          <cell r="O363">
            <v>30</v>
          </cell>
          <cell r="P363">
            <v>8.0039999999999996</v>
          </cell>
          <cell r="Q363">
            <v>0</v>
          </cell>
          <cell r="R363">
            <v>0</v>
          </cell>
          <cell r="S363" t="str">
            <v>NA</v>
          </cell>
          <cell r="T363">
            <v>8.2690000000000001</v>
          </cell>
          <cell r="U363">
            <v>49.613999999999997</v>
          </cell>
        </row>
        <row r="364">
          <cell r="B364" t="str">
            <v>FY1</v>
          </cell>
          <cell r="C364">
            <v>16</v>
          </cell>
          <cell r="D364">
            <v>393</v>
          </cell>
          <cell r="E364">
            <v>242</v>
          </cell>
          <cell r="F364">
            <v>6</v>
          </cell>
          <cell r="G364">
            <v>27.856999999999999</v>
          </cell>
          <cell r="H364">
            <v>0</v>
          </cell>
          <cell r="I364">
            <v>0</v>
          </cell>
          <cell r="J364">
            <v>97.83671428571428</v>
          </cell>
          <cell r="K364">
            <v>684.85699999999997</v>
          </cell>
          <cell r="M364">
            <v>11.61</v>
          </cell>
          <cell r="N364">
            <v>0</v>
          </cell>
          <cell r="O364">
            <v>30</v>
          </cell>
          <cell r="P364">
            <v>0.73699999999999999</v>
          </cell>
          <cell r="Q364">
            <v>0</v>
          </cell>
          <cell r="R364">
            <v>0</v>
          </cell>
          <cell r="S364" t="str">
            <v>NA</v>
          </cell>
          <cell r="T364">
            <v>7.0578333333333338</v>
          </cell>
          <cell r="U364">
            <v>42.347000000000001</v>
          </cell>
        </row>
        <row r="365">
          <cell r="B365" t="str">
            <v>FY2</v>
          </cell>
          <cell r="C365">
            <v>16</v>
          </cell>
          <cell r="D365">
            <v>393</v>
          </cell>
          <cell r="E365">
            <v>242</v>
          </cell>
          <cell r="F365">
            <v>6</v>
          </cell>
          <cell r="G365">
            <v>27.856999999999999</v>
          </cell>
          <cell r="H365">
            <v>0</v>
          </cell>
          <cell r="I365">
            <v>0</v>
          </cell>
          <cell r="J365">
            <v>97.83671428571428</v>
          </cell>
          <cell r="K365">
            <v>684.85699999999997</v>
          </cell>
          <cell r="M365">
            <v>11.61</v>
          </cell>
          <cell r="N365">
            <v>0</v>
          </cell>
          <cell r="O365">
            <v>30</v>
          </cell>
          <cell r="P365">
            <v>0</v>
          </cell>
          <cell r="Q365">
            <v>0</v>
          </cell>
          <cell r="R365">
            <v>0</v>
          </cell>
          <cell r="S365" t="str">
            <v>NA</v>
          </cell>
          <cell r="T365">
            <v>6.9349999999999996</v>
          </cell>
          <cell r="U365">
            <v>41.61</v>
          </cell>
        </row>
        <row r="366">
          <cell r="B366" t="str">
            <v>FQ(3)</v>
          </cell>
          <cell r="C366">
            <v>17</v>
          </cell>
          <cell r="D366">
            <v>506</v>
          </cell>
          <cell r="E366">
            <v>135</v>
          </cell>
          <cell r="F366">
            <v>500</v>
          </cell>
          <cell r="G366">
            <v>4.6859999999999999</v>
          </cell>
          <cell r="H366">
            <v>0</v>
          </cell>
          <cell r="I366">
            <v>744.44500000000005</v>
          </cell>
          <cell r="J366">
            <v>272.44728571428567</v>
          </cell>
          <cell r="K366">
            <v>1907.1309999999999</v>
          </cell>
          <cell r="M366">
            <v>0</v>
          </cell>
          <cell r="N366">
            <v>0</v>
          </cell>
          <cell r="O366">
            <v>75</v>
          </cell>
          <cell r="P366">
            <v>2.4900000000000002</v>
          </cell>
          <cell r="Q366">
            <v>0</v>
          </cell>
          <cell r="R366">
            <v>0</v>
          </cell>
          <cell r="S366" t="str">
            <v>NA</v>
          </cell>
          <cell r="T366">
            <v>12.914999999999999</v>
          </cell>
          <cell r="U366">
            <v>77.489999999999995</v>
          </cell>
        </row>
        <row r="367">
          <cell r="B367" t="str">
            <v>FQ(2)</v>
          </cell>
          <cell r="C367">
            <v>16</v>
          </cell>
          <cell r="D367">
            <v>393</v>
          </cell>
          <cell r="E367">
            <v>92</v>
          </cell>
          <cell r="F367">
            <v>375</v>
          </cell>
          <cell r="G367">
            <v>4.7290000000000001</v>
          </cell>
          <cell r="H367">
            <v>0</v>
          </cell>
          <cell r="I367">
            <v>421.20600000000002</v>
          </cell>
          <cell r="J367">
            <v>185.99071428571429</v>
          </cell>
          <cell r="K367">
            <v>1301.9349999999999</v>
          </cell>
          <cell r="M367">
            <v>0</v>
          </cell>
          <cell r="N367">
            <v>0</v>
          </cell>
          <cell r="O367">
            <v>75</v>
          </cell>
          <cell r="P367">
            <v>8.0039999999999996</v>
          </cell>
          <cell r="Q367">
            <v>0</v>
          </cell>
          <cell r="R367">
            <v>0</v>
          </cell>
          <cell r="S367" t="str">
            <v>NA</v>
          </cell>
          <cell r="T367">
            <v>13.834000000000001</v>
          </cell>
          <cell r="U367">
            <v>83.004000000000005</v>
          </cell>
        </row>
        <row r="368">
          <cell r="B368" t="str">
            <v>FQ(1)</v>
          </cell>
          <cell r="C368">
            <v>17</v>
          </cell>
          <cell r="D368">
            <v>393</v>
          </cell>
          <cell r="E368">
            <v>92</v>
          </cell>
          <cell r="F368">
            <v>356</v>
          </cell>
          <cell r="G368">
            <v>4.8470000000000004</v>
          </cell>
          <cell r="H368">
            <v>0</v>
          </cell>
          <cell r="I368">
            <v>202.667</v>
          </cell>
          <cell r="J368">
            <v>152.2162857142857</v>
          </cell>
          <cell r="K368">
            <v>1065.5139999999999</v>
          </cell>
          <cell r="M368">
            <v>0</v>
          </cell>
          <cell r="N368">
            <v>0</v>
          </cell>
          <cell r="O368">
            <v>50</v>
          </cell>
          <cell r="P368">
            <v>0.70399999999999996</v>
          </cell>
          <cell r="Q368">
            <v>0</v>
          </cell>
          <cell r="R368">
            <v>0</v>
          </cell>
          <cell r="S368" t="str">
            <v>NA</v>
          </cell>
          <cell r="T368">
            <v>8.4506666666666668</v>
          </cell>
          <cell r="U368">
            <v>50.704000000000001</v>
          </cell>
        </row>
        <row r="369">
          <cell r="B369" t="str">
            <v>Last Reported Q</v>
          </cell>
          <cell r="C369">
            <v>16</v>
          </cell>
          <cell r="D369">
            <v>393</v>
          </cell>
          <cell r="E369">
            <v>242</v>
          </cell>
          <cell r="F369">
            <v>356</v>
          </cell>
          <cell r="G369">
            <v>27.856999999999999</v>
          </cell>
          <cell r="H369">
            <v>0</v>
          </cell>
          <cell r="I369">
            <v>0</v>
          </cell>
          <cell r="J369">
            <v>147.83671428571429</v>
          </cell>
          <cell r="K369">
            <v>1034.857</v>
          </cell>
          <cell r="M369">
            <v>11.61</v>
          </cell>
          <cell r="N369">
            <v>0</v>
          </cell>
          <cell r="O369">
            <v>30</v>
          </cell>
          <cell r="P369">
            <v>0.73699999999999999</v>
          </cell>
          <cell r="Q369">
            <v>0</v>
          </cell>
          <cell r="R369">
            <v>0</v>
          </cell>
          <cell r="S369" t="str">
            <v>NA</v>
          </cell>
          <cell r="T369">
            <v>7.0578333333333338</v>
          </cell>
          <cell r="U369">
            <v>42.347000000000001</v>
          </cell>
        </row>
        <row r="370">
          <cell r="B370" t="str">
            <v>LTM</v>
          </cell>
          <cell r="C370">
            <v>16</v>
          </cell>
          <cell r="D370">
            <v>393</v>
          </cell>
          <cell r="E370">
            <v>242</v>
          </cell>
          <cell r="F370">
            <v>356</v>
          </cell>
          <cell r="G370">
            <v>27.856999999999999</v>
          </cell>
          <cell r="H370">
            <v>0</v>
          </cell>
          <cell r="I370">
            <v>0</v>
          </cell>
          <cell r="J370">
            <v>147.83671428571429</v>
          </cell>
          <cell r="K370">
            <v>1034.857</v>
          </cell>
          <cell r="M370">
            <v>11.61</v>
          </cell>
          <cell r="N370">
            <v>0</v>
          </cell>
          <cell r="O370">
            <v>30</v>
          </cell>
          <cell r="P370">
            <v>0.73699999999999999</v>
          </cell>
          <cell r="Q370">
            <v>0</v>
          </cell>
          <cell r="R370">
            <v>0</v>
          </cell>
          <cell r="S370" t="str">
            <v>NA</v>
          </cell>
          <cell r="T370">
            <v>7.0578333333333338</v>
          </cell>
          <cell r="U370">
            <v>42.347000000000001</v>
          </cell>
        </row>
        <row r="371">
          <cell r="B371" t="str">
            <v>FY(2)</v>
          </cell>
          <cell r="C371">
            <v>6662.2930000000006</v>
          </cell>
          <cell r="D371">
            <v>7732</v>
          </cell>
          <cell r="E371">
            <v>20751</v>
          </cell>
          <cell r="F371">
            <v>2798.973</v>
          </cell>
          <cell r="G371">
            <v>1782.8159999999998</v>
          </cell>
          <cell r="H371">
            <v>1059.83</v>
          </cell>
          <cell r="I371">
            <v>3077.62</v>
          </cell>
          <cell r="J371">
            <v>6266.3617142857156</v>
          </cell>
          <cell r="K371">
            <v>43864.532000000007</v>
          </cell>
          <cell r="M371">
            <v>1405.297</v>
          </cell>
          <cell r="N371">
            <v>312.11599999999999</v>
          </cell>
          <cell r="O371">
            <v>1417.3119999999999</v>
          </cell>
          <cell r="P371">
            <v>1913.454</v>
          </cell>
          <cell r="Q371">
            <v>5687</v>
          </cell>
          <cell r="R371">
            <v>4638</v>
          </cell>
          <cell r="S371">
            <v>675.28300000000002</v>
          </cell>
          <cell r="T371">
            <v>2292.6374285714287</v>
          </cell>
          <cell r="U371">
            <v>16048.462</v>
          </cell>
        </row>
        <row r="372">
          <cell r="A372" t="str">
            <v>mstag:longTermDebt</v>
          </cell>
          <cell r="B372" t="str">
            <v>LT. Debt</v>
          </cell>
          <cell r="C372">
            <v>8166.1790000000001</v>
          </cell>
          <cell r="D372">
            <v>9020</v>
          </cell>
          <cell r="E372">
            <v>19660</v>
          </cell>
          <cell r="F372">
            <v>3612</v>
          </cell>
          <cell r="G372">
            <v>1747.89689995766</v>
          </cell>
          <cell r="H372">
            <v>1120.6489999999999</v>
          </cell>
          <cell r="I372">
            <v>2966.3389999999999</v>
          </cell>
          <cell r="J372">
            <v>6613.2948428510945</v>
          </cell>
          <cell r="K372">
            <v>46293.063899957662</v>
          </cell>
          <cell r="M372">
            <v>1618.3130000000001</v>
          </cell>
          <cell r="N372">
            <v>197.27600000000001</v>
          </cell>
          <cell r="O372">
            <v>1340.4639999999999</v>
          </cell>
          <cell r="P372">
            <v>1493.24</v>
          </cell>
          <cell r="Q372">
            <v>4462</v>
          </cell>
          <cell r="R372">
            <v>5123.8767621029501</v>
          </cell>
          <cell r="S372">
            <v>853.43100000000004</v>
          </cell>
          <cell r="T372">
            <v>2155.5143945861355</v>
          </cell>
          <cell r="U372">
            <v>15088.600762102949</v>
          </cell>
        </row>
        <row r="373">
          <cell r="B373" t="str">
            <v>FY(2)</v>
          </cell>
          <cell r="C373">
            <v>2051.875</v>
          </cell>
          <cell r="D373">
            <v>3505</v>
          </cell>
          <cell r="E373">
            <v>9087</v>
          </cell>
          <cell r="F373">
            <v>2236</v>
          </cell>
          <cell r="G373">
            <v>253.346</v>
          </cell>
          <cell r="H373">
            <v>150</v>
          </cell>
          <cell r="I373">
            <v>833.08600000000001</v>
          </cell>
          <cell r="J373">
            <v>2588.0438571428572</v>
          </cell>
          <cell r="K373">
            <v>18116.307000000001</v>
          </cell>
          <cell r="M373">
            <v>0</v>
          </cell>
          <cell r="N373" t="str">
            <v>NA</v>
          </cell>
          <cell r="O373">
            <v>0</v>
          </cell>
          <cell r="P373">
            <v>2.8650000000000002</v>
          </cell>
          <cell r="Q373">
            <v>50</v>
          </cell>
          <cell r="R373">
            <v>2904.6390000000001</v>
          </cell>
          <cell r="S373">
            <v>0</v>
          </cell>
          <cell r="T373">
            <v>492.91733333333332</v>
          </cell>
          <cell r="U373">
            <v>2957.5039999999999</v>
          </cell>
        </row>
        <row r="374">
          <cell r="B374" t="str">
            <v>FY(1)</v>
          </cell>
          <cell r="C374">
            <v>2053</v>
          </cell>
          <cell r="D374">
            <v>3505</v>
          </cell>
          <cell r="E374">
            <v>8733</v>
          </cell>
          <cell r="F374">
            <v>2214</v>
          </cell>
          <cell r="G374">
            <v>635.4</v>
          </cell>
          <cell r="H374">
            <v>150</v>
          </cell>
          <cell r="I374">
            <v>383.78199999999998</v>
          </cell>
          <cell r="J374">
            <v>2524.883142857143</v>
          </cell>
          <cell r="K374">
            <v>17674.182000000001</v>
          </cell>
          <cell r="M374">
            <v>100</v>
          </cell>
          <cell r="N374" t="str">
            <v>NA</v>
          </cell>
          <cell r="O374">
            <v>0</v>
          </cell>
          <cell r="P374">
            <v>2.58</v>
          </cell>
          <cell r="Q374">
            <v>0</v>
          </cell>
          <cell r="R374">
            <v>2897.114</v>
          </cell>
          <cell r="S374">
            <v>0</v>
          </cell>
          <cell r="T374">
            <v>499.94900000000001</v>
          </cell>
          <cell r="U374">
            <v>2999.694</v>
          </cell>
        </row>
        <row r="375">
          <cell r="B375" t="str">
            <v>FY0</v>
          </cell>
          <cell r="C375">
            <v>2052</v>
          </cell>
          <cell r="D375">
            <v>2999</v>
          </cell>
          <cell r="E375">
            <v>8456</v>
          </cell>
          <cell r="F375">
            <v>2257</v>
          </cell>
          <cell r="G375">
            <v>493.33</v>
          </cell>
          <cell r="H375">
            <v>150</v>
          </cell>
          <cell r="I375">
            <v>774.3</v>
          </cell>
          <cell r="J375">
            <v>2454.5185714285717</v>
          </cell>
          <cell r="K375">
            <v>17181.63</v>
          </cell>
          <cell r="M375">
            <v>71.212999999999994</v>
          </cell>
          <cell r="N375" t="str">
            <v>NA</v>
          </cell>
          <cell r="O375">
            <v>0</v>
          </cell>
          <cell r="P375">
            <v>25.071999999999999</v>
          </cell>
          <cell r="Q375">
            <v>0</v>
          </cell>
          <cell r="R375">
            <v>2722.8130000000001</v>
          </cell>
          <cell r="S375">
            <v>0</v>
          </cell>
          <cell r="T375">
            <v>469.84966666666668</v>
          </cell>
          <cell r="U375">
            <v>2819.098</v>
          </cell>
        </row>
        <row r="376">
          <cell r="B376" t="str">
            <v>FY1</v>
          </cell>
          <cell r="C376">
            <v>2052</v>
          </cell>
          <cell r="D376">
            <v>2606</v>
          </cell>
          <cell r="E376">
            <v>8218</v>
          </cell>
          <cell r="F376">
            <v>2382</v>
          </cell>
          <cell r="G376">
            <v>470.33</v>
          </cell>
          <cell r="H376">
            <v>150</v>
          </cell>
          <cell r="I376">
            <v>774.3</v>
          </cell>
          <cell r="J376">
            <v>2378.9471428571428</v>
          </cell>
          <cell r="K376">
            <v>16652.63</v>
          </cell>
          <cell r="M376">
            <v>71.212999999999994</v>
          </cell>
          <cell r="N376" t="str">
            <v>NA</v>
          </cell>
          <cell r="O376">
            <v>0</v>
          </cell>
          <cell r="P376">
            <v>24.338999999999999</v>
          </cell>
          <cell r="Q376">
            <v>0</v>
          </cell>
          <cell r="R376">
            <v>2722.8130000000001</v>
          </cell>
          <cell r="S376">
            <v>0</v>
          </cell>
          <cell r="T376">
            <v>469.72750000000002</v>
          </cell>
          <cell r="U376">
            <v>2818.3650000000002</v>
          </cell>
        </row>
        <row r="377">
          <cell r="B377" t="str">
            <v>FY2</v>
          </cell>
          <cell r="C377">
            <v>1636</v>
          </cell>
          <cell r="D377">
            <v>2606</v>
          </cell>
          <cell r="E377">
            <v>7556</v>
          </cell>
          <cell r="F377">
            <v>2382</v>
          </cell>
          <cell r="G377">
            <v>378.33</v>
          </cell>
          <cell r="H377">
            <v>150</v>
          </cell>
          <cell r="I377">
            <v>774.3</v>
          </cell>
          <cell r="J377">
            <v>2211.8042857142855</v>
          </cell>
          <cell r="K377">
            <v>15482.63</v>
          </cell>
          <cell r="M377">
            <v>71.212999999999994</v>
          </cell>
          <cell r="N377" t="str">
            <v>NA</v>
          </cell>
          <cell r="O377">
            <v>0</v>
          </cell>
          <cell r="P377">
            <v>25.076000000000001</v>
          </cell>
          <cell r="Q377">
            <v>0</v>
          </cell>
          <cell r="R377">
            <v>2722.8130000000001</v>
          </cell>
          <cell r="S377">
            <v>0</v>
          </cell>
          <cell r="T377">
            <v>469.85033333333331</v>
          </cell>
          <cell r="U377">
            <v>2819.1019999999999</v>
          </cell>
        </row>
        <row r="378">
          <cell r="B378" t="str">
            <v>FQ(3)</v>
          </cell>
          <cell r="C378">
            <v>2056</v>
          </cell>
          <cell r="D378">
            <v>2999</v>
          </cell>
          <cell r="E378">
            <v>8719</v>
          </cell>
          <cell r="F378">
            <v>2002</v>
          </cell>
          <cell r="G378">
            <v>631.94000000000005</v>
          </cell>
          <cell r="H378">
            <v>150</v>
          </cell>
          <cell r="I378">
            <v>391.93099999999998</v>
          </cell>
          <cell r="J378">
            <v>2421.4101428571425</v>
          </cell>
          <cell r="K378">
            <v>16949.870999999999</v>
          </cell>
          <cell r="M378">
            <v>100</v>
          </cell>
          <cell r="N378" t="str">
            <v>NA</v>
          </cell>
          <cell r="O378">
            <v>0</v>
          </cell>
          <cell r="P378">
            <v>24.986000000000001</v>
          </cell>
          <cell r="Q378">
            <v>0</v>
          </cell>
          <cell r="R378">
            <v>2897.297</v>
          </cell>
          <cell r="S378">
            <v>0</v>
          </cell>
          <cell r="T378">
            <v>503.7138333333333</v>
          </cell>
          <cell r="U378">
            <v>3022.2829999999999</v>
          </cell>
        </row>
        <row r="379">
          <cell r="B379" t="str">
            <v>FQ(2)</v>
          </cell>
          <cell r="C379">
            <v>2053</v>
          </cell>
          <cell r="D379">
            <v>2999</v>
          </cell>
          <cell r="E379">
            <v>8632</v>
          </cell>
          <cell r="F379">
            <v>2260</v>
          </cell>
          <cell r="G379">
            <v>598.07899999999995</v>
          </cell>
          <cell r="H379">
            <v>150</v>
          </cell>
          <cell r="I379">
            <v>791.33199999999999</v>
          </cell>
          <cell r="J379">
            <v>2497.6301428571428</v>
          </cell>
          <cell r="K379">
            <v>17483.411</v>
          </cell>
          <cell r="M379">
            <v>36.729999999999997</v>
          </cell>
          <cell r="N379" t="str">
            <v>NA</v>
          </cell>
          <cell r="O379">
            <v>0</v>
          </cell>
          <cell r="P379">
            <v>25.071999999999999</v>
          </cell>
          <cell r="Q379">
            <v>0</v>
          </cell>
          <cell r="R379">
            <v>3251</v>
          </cell>
          <cell r="S379">
            <v>0</v>
          </cell>
          <cell r="T379">
            <v>552.13366666666673</v>
          </cell>
          <cell r="U379">
            <v>3312.8020000000001</v>
          </cell>
        </row>
        <row r="380">
          <cell r="B380" t="str">
            <v>FQ(1)</v>
          </cell>
          <cell r="C380">
            <v>2054</v>
          </cell>
          <cell r="D380">
            <v>2999</v>
          </cell>
          <cell r="E380">
            <v>8618</v>
          </cell>
          <cell r="F380">
            <v>2259</v>
          </cell>
          <cell r="G380">
            <v>514.60599999999999</v>
          </cell>
          <cell r="H380">
            <v>150</v>
          </cell>
          <cell r="I380">
            <v>790.75699999999995</v>
          </cell>
          <cell r="J380">
            <v>2483.6232857142859</v>
          </cell>
          <cell r="K380">
            <v>17385.363000000001</v>
          </cell>
          <cell r="M380">
            <v>50.582000000000001</v>
          </cell>
          <cell r="N380" t="str">
            <v>NA</v>
          </cell>
          <cell r="O380">
            <v>0</v>
          </cell>
          <cell r="P380">
            <v>24.428999999999998</v>
          </cell>
          <cell r="Q380">
            <v>0</v>
          </cell>
          <cell r="R380">
            <v>2880.2820000000002</v>
          </cell>
          <cell r="S380">
            <v>0</v>
          </cell>
          <cell r="T380">
            <v>492.54883333333333</v>
          </cell>
          <cell r="U380">
            <v>2955.2930000000001</v>
          </cell>
        </row>
        <row r="381">
          <cell r="B381" t="str">
            <v>Last Reported Q</v>
          </cell>
          <cell r="C381">
            <v>2052</v>
          </cell>
          <cell r="D381">
            <v>2999</v>
          </cell>
          <cell r="E381">
            <v>8456</v>
          </cell>
          <cell r="F381">
            <v>2257</v>
          </cell>
          <cell r="G381">
            <v>493.33</v>
          </cell>
          <cell r="H381">
            <v>150</v>
          </cell>
          <cell r="I381">
            <v>774.3</v>
          </cell>
          <cell r="J381">
            <v>2454.5185714285717</v>
          </cell>
          <cell r="K381">
            <v>17181.63</v>
          </cell>
          <cell r="M381">
            <v>71.212999999999994</v>
          </cell>
          <cell r="N381" t="str">
            <v>NA</v>
          </cell>
          <cell r="O381">
            <v>0</v>
          </cell>
          <cell r="P381">
            <v>24.338999999999999</v>
          </cell>
          <cell r="Q381">
            <v>0</v>
          </cell>
          <cell r="R381">
            <v>2722.8130000000001</v>
          </cell>
          <cell r="S381">
            <v>0</v>
          </cell>
          <cell r="T381">
            <v>469.72750000000002</v>
          </cell>
          <cell r="U381">
            <v>2818.3650000000002</v>
          </cell>
        </row>
        <row r="382">
          <cell r="B382" t="str">
            <v>LTM</v>
          </cell>
          <cell r="C382">
            <v>2052</v>
          </cell>
          <cell r="D382">
            <v>2999</v>
          </cell>
          <cell r="E382">
            <v>8456</v>
          </cell>
          <cell r="F382">
            <v>2257</v>
          </cell>
          <cell r="G382">
            <v>493.33</v>
          </cell>
          <cell r="H382">
            <v>150</v>
          </cell>
          <cell r="I382">
            <v>774.3</v>
          </cell>
          <cell r="J382">
            <v>2454.5185714285717</v>
          </cell>
          <cell r="K382">
            <v>17181.63</v>
          </cell>
          <cell r="M382">
            <v>71.212999999999994</v>
          </cell>
          <cell r="N382" t="str">
            <v>NA</v>
          </cell>
          <cell r="O382">
            <v>0</v>
          </cell>
          <cell r="P382">
            <v>24.338999999999999</v>
          </cell>
          <cell r="Q382">
            <v>0</v>
          </cell>
          <cell r="R382">
            <v>2722.8130000000001</v>
          </cell>
          <cell r="S382">
            <v>0</v>
          </cell>
          <cell r="T382">
            <v>469.72750000000002</v>
          </cell>
          <cell r="U382">
            <v>2818.3650000000002</v>
          </cell>
        </row>
        <row r="383">
          <cell r="B383" t="str">
            <v>FY(2)</v>
          </cell>
          <cell r="C383" t="e">
            <v>#VALUE!</v>
          </cell>
          <cell r="D383" t="e">
            <v>#VALUE!</v>
          </cell>
          <cell r="E383" t="e">
            <v>#VALUE!</v>
          </cell>
          <cell r="F383" t="e">
            <v>#VALUE!</v>
          </cell>
          <cell r="G383" t="e">
            <v>#VALUE!</v>
          </cell>
          <cell r="H383" t="e">
            <v>#VALUE!</v>
          </cell>
          <cell r="I383" t="e">
            <v>#VALUE!</v>
          </cell>
          <cell r="J383" t="e">
            <v>#VALUE!</v>
          </cell>
          <cell r="K383" t="e">
            <v>#VALUE!</v>
          </cell>
          <cell r="M383" t="e">
            <v>#VALUE!</v>
          </cell>
          <cell r="N383" t="e">
            <v>#VALUE!</v>
          </cell>
          <cell r="O383" t="e">
            <v>#VALUE!</v>
          </cell>
          <cell r="P383" t="e">
            <v>#VALUE!</v>
          </cell>
          <cell r="Q383" t="e">
            <v>#VALUE!</v>
          </cell>
          <cell r="R383" t="e">
            <v>#VALUE!</v>
          </cell>
          <cell r="S383" t="e">
            <v>#VALUE!</v>
          </cell>
          <cell r="T383" t="e">
            <v>#VALUE!</v>
          </cell>
          <cell r="U383" t="e">
            <v>#VALUE!</v>
          </cell>
        </row>
        <row r="384">
          <cell r="B384" t="str">
            <v>Unadjusted Debt</v>
          </cell>
          <cell r="C384" t="e">
            <v>#VALUE!</v>
          </cell>
          <cell r="D384" t="e">
            <v>#VALUE!</v>
          </cell>
          <cell r="E384" t="e">
            <v>#VALUE!</v>
          </cell>
          <cell r="F384" t="e">
            <v>#VALUE!</v>
          </cell>
          <cell r="G384" t="e">
            <v>#VALUE!</v>
          </cell>
          <cell r="H384" t="e">
            <v>#VALUE!</v>
          </cell>
          <cell r="I384" t="e">
            <v>#VALUE!</v>
          </cell>
          <cell r="J384" t="e">
            <v>#VALUE!</v>
          </cell>
          <cell r="K384" t="e">
            <v>#VALUE!</v>
          </cell>
          <cell r="M384" t="e">
            <v>#VALUE!</v>
          </cell>
          <cell r="N384" t="e">
            <v>#VALUE!</v>
          </cell>
          <cell r="O384" t="e">
            <v>#VALUE!</v>
          </cell>
          <cell r="P384" t="e">
            <v>#VALUE!</v>
          </cell>
          <cell r="Q384" t="e">
            <v>#VALUE!</v>
          </cell>
          <cell r="R384" t="e">
            <v>#VALUE!</v>
          </cell>
          <cell r="S384" t="e">
            <v>#VALUE!</v>
          </cell>
          <cell r="T384" t="e">
            <v>#VALUE!</v>
          </cell>
          <cell r="U384" t="e">
            <v>#VALUE!</v>
          </cell>
        </row>
        <row r="385">
          <cell r="B385" t="str">
            <v>FY(2)</v>
          </cell>
          <cell r="C385">
            <v>2064.576</v>
          </cell>
          <cell r="D385">
            <v>3708</v>
          </cell>
          <cell r="E385">
            <v>9753</v>
          </cell>
          <cell r="F385">
            <v>2497</v>
          </cell>
          <cell r="G385">
            <v>572.58799999999997</v>
          </cell>
          <cell r="H385">
            <v>150</v>
          </cell>
          <cell r="I385">
            <v>835.09400000000005</v>
          </cell>
          <cell r="J385">
            <v>2797.1797142857145</v>
          </cell>
          <cell r="K385">
            <v>19580.258000000002</v>
          </cell>
          <cell r="M385">
            <v>0</v>
          </cell>
          <cell r="N385">
            <v>0</v>
          </cell>
          <cell r="O385">
            <v>0</v>
          </cell>
          <cell r="P385">
            <v>3.1</v>
          </cell>
          <cell r="Q385">
            <v>188</v>
          </cell>
          <cell r="R385">
            <v>2904.6390000000001</v>
          </cell>
          <cell r="S385">
            <v>0</v>
          </cell>
          <cell r="T385">
            <v>442.24842857142858</v>
          </cell>
          <cell r="U385">
            <v>3095.739</v>
          </cell>
        </row>
        <row r="386">
          <cell r="B386" t="str">
            <v>FY(1)</v>
          </cell>
          <cell r="C386">
            <v>2070</v>
          </cell>
          <cell r="D386">
            <v>3505</v>
          </cell>
          <cell r="E386">
            <v>9699</v>
          </cell>
          <cell r="F386">
            <v>2513</v>
          </cell>
          <cell r="G386">
            <v>640.07299999999998</v>
          </cell>
          <cell r="H386">
            <v>150</v>
          </cell>
          <cell r="I386">
            <v>778.80899999999997</v>
          </cell>
          <cell r="J386">
            <v>2765.1260000000002</v>
          </cell>
          <cell r="K386">
            <v>19355.882000000001</v>
          </cell>
          <cell r="M386">
            <v>100</v>
          </cell>
          <cell r="N386">
            <v>0</v>
          </cell>
          <cell r="O386">
            <v>75</v>
          </cell>
          <cell r="P386">
            <v>2.8650000000000002</v>
          </cell>
          <cell r="Q386">
            <v>50</v>
          </cell>
          <cell r="R386">
            <v>2897.114</v>
          </cell>
          <cell r="S386">
            <v>0</v>
          </cell>
          <cell r="T386">
            <v>446.42557142857146</v>
          </cell>
          <cell r="U386">
            <v>3124.9790000000003</v>
          </cell>
        </row>
        <row r="387">
          <cell r="B387" t="str">
            <v>FY0</v>
          </cell>
          <cell r="C387">
            <v>2068</v>
          </cell>
          <cell r="D387">
            <v>3392</v>
          </cell>
          <cell r="E387">
            <v>8698</v>
          </cell>
          <cell r="F387">
            <v>2613</v>
          </cell>
          <cell r="G387">
            <v>521.18700000000001</v>
          </cell>
          <cell r="H387">
            <v>150</v>
          </cell>
          <cell r="I387">
            <v>774.3</v>
          </cell>
          <cell r="J387">
            <v>2602.3552857142859</v>
          </cell>
          <cell r="K387">
            <v>18216.487000000001</v>
          </cell>
          <cell r="M387">
            <v>82.822999999999993</v>
          </cell>
          <cell r="N387">
            <v>0</v>
          </cell>
          <cell r="O387">
            <v>30</v>
          </cell>
          <cell r="P387">
            <v>33.076000000000001</v>
          </cell>
          <cell r="Q387">
            <v>0</v>
          </cell>
          <cell r="R387">
            <v>2722.8130000000001</v>
          </cell>
          <cell r="S387">
            <v>0</v>
          </cell>
          <cell r="T387">
            <v>409.81599999999997</v>
          </cell>
          <cell r="U387">
            <v>2868.712</v>
          </cell>
        </row>
        <row r="388">
          <cell r="B388" t="str">
            <v>FY1</v>
          </cell>
          <cell r="C388">
            <v>2068</v>
          </cell>
          <cell r="D388">
            <v>2999</v>
          </cell>
          <cell r="E388">
            <v>8460</v>
          </cell>
          <cell r="F388">
            <v>2388</v>
          </cell>
          <cell r="G388">
            <v>498.18700000000001</v>
          </cell>
          <cell r="H388">
            <v>150</v>
          </cell>
          <cell r="I388">
            <v>774.3</v>
          </cell>
          <cell r="J388">
            <v>2476.7838571428574</v>
          </cell>
          <cell r="K388">
            <v>17337.487000000001</v>
          </cell>
          <cell r="M388">
            <v>82.822999999999993</v>
          </cell>
          <cell r="N388">
            <v>0</v>
          </cell>
          <cell r="O388">
            <v>30</v>
          </cell>
          <cell r="P388">
            <v>25.075999999999997</v>
          </cell>
          <cell r="Q388">
            <v>0</v>
          </cell>
          <cell r="R388">
            <v>2722.8130000000001</v>
          </cell>
          <cell r="S388">
            <v>0</v>
          </cell>
          <cell r="T388">
            <v>408.67314285714286</v>
          </cell>
          <cell r="U388">
            <v>2860.712</v>
          </cell>
        </row>
        <row r="389">
          <cell r="B389" t="str">
            <v>FY2</v>
          </cell>
          <cell r="C389">
            <v>1652</v>
          </cell>
          <cell r="D389">
            <v>2999</v>
          </cell>
          <cell r="E389">
            <v>7798</v>
          </cell>
          <cell r="F389">
            <v>2388</v>
          </cell>
          <cell r="G389">
            <v>406.18700000000001</v>
          </cell>
          <cell r="H389">
            <v>150</v>
          </cell>
          <cell r="I389">
            <v>774.3</v>
          </cell>
          <cell r="J389">
            <v>2309.6410000000001</v>
          </cell>
          <cell r="K389">
            <v>16167.486999999999</v>
          </cell>
          <cell r="M389">
            <v>82.822999999999993</v>
          </cell>
          <cell r="N389">
            <v>0</v>
          </cell>
          <cell r="O389">
            <v>30</v>
          </cell>
          <cell r="P389">
            <v>25.076000000000001</v>
          </cell>
          <cell r="Q389">
            <v>0</v>
          </cell>
          <cell r="R389">
            <v>2722.8130000000001</v>
          </cell>
          <cell r="S389">
            <v>0</v>
          </cell>
          <cell r="T389">
            <v>408.67314285714286</v>
          </cell>
          <cell r="U389">
            <v>2860.712</v>
          </cell>
        </row>
        <row r="390">
          <cell r="B390" t="str">
            <v>FQ(3)</v>
          </cell>
          <cell r="C390">
            <v>2073</v>
          </cell>
          <cell r="D390">
            <v>3505</v>
          </cell>
          <cell r="E390">
            <v>8854</v>
          </cell>
          <cell r="F390">
            <v>2502</v>
          </cell>
          <cell r="G390">
            <v>636.62600000000009</v>
          </cell>
          <cell r="H390">
            <v>150</v>
          </cell>
          <cell r="I390">
            <v>1136.376</v>
          </cell>
          <cell r="J390">
            <v>2693.8574285714285</v>
          </cell>
          <cell r="K390">
            <v>18857.002</v>
          </cell>
          <cell r="M390">
            <v>100</v>
          </cell>
          <cell r="N390">
            <v>0</v>
          </cell>
          <cell r="O390">
            <v>75</v>
          </cell>
          <cell r="P390">
            <v>27.475999999999999</v>
          </cell>
          <cell r="Q390">
            <v>0</v>
          </cell>
          <cell r="R390">
            <v>2897.297</v>
          </cell>
          <cell r="S390">
            <v>0</v>
          </cell>
          <cell r="T390">
            <v>442.82471428571432</v>
          </cell>
          <cell r="U390">
            <v>3099.7730000000001</v>
          </cell>
        </row>
        <row r="391">
          <cell r="B391" t="str">
            <v>FQ(2)</v>
          </cell>
          <cell r="C391">
            <v>2069</v>
          </cell>
          <cell r="D391">
            <v>3392</v>
          </cell>
          <cell r="E391">
            <v>8724</v>
          </cell>
          <cell r="F391">
            <v>2635</v>
          </cell>
          <cell r="G391">
            <v>602.80799999999999</v>
          </cell>
          <cell r="H391">
            <v>150</v>
          </cell>
          <cell r="I391">
            <v>1212.538</v>
          </cell>
          <cell r="J391">
            <v>2683.6208571428574</v>
          </cell>
          <cell r="K391">
            <v>18785.346000000001</v>
          </cell>
          <cell r="M391">
            <v>36.729999999999997</v>
          </cell>
          <cell r="N391">
            <v>0</v>
          </cell>
          <cell r="O391">
            <v>75</v>
          </cell>
          <cell r="P391">
            <v>33.076000000000001</v>
          </cell>
          <cell r="Q391">
            <v>0</v>
          </cell>
          <cell r="R391">
            <v>3251</v>
          </cell>
          <cell r="S391">
            <v>0</v>
          </cell>
          <cell r="T391">
            <v>485.11514285714287</v>
          </cell>
          <cell r="U391">
            <v>3395.806</v>
          </cell>
        </row>
        <row r="392">
          <cell r="B392" t="str">
            <v>FQ(1)</v>
          </cell>
          <cell r="C392">
            <v>2071</v>
          </cell>
          <cell r="D392">
            <v>3392</v>
          </cell>
          <cell r="E392">
            <v>8710</v>
          </cell>
          <cell r="F392">
            <v>2615</v>
          </cell>
          <cell r="G392">
            <v>519.45299999999997</v>
          </cell>
          <cell r="H392">
            <v>150</v>
          </cell>
          <cell r="I392">
            <v>993.42399999999998</v>
          </cell>
          <cell r="J392">
            <v>2635.8395714285716</v>
          </cell>
          <cell r="K392">
            <v>18450.877</v>
          </cell>
          <cell r="M392">
            <v>50.582000000000001</v>
          </cell>
          <cell r="N392">
            <v>0</v>
          </cell>
          <cell r="O392">
            <v>50</v>
          </cell>
          <cell r="P392">
            <v>25.132999999999999</v>
          </cell>
          <cell r="Q392">
            <v>0</v>
          </cell>
          <cell r="R392">
            <v>2880.2820000000002</v>
          </cell>
          <cell r="S392">
            <v>0</v>
          </cell>
          <cell r="T392">
            <v>429.42814285714292</v>
          </cell>
          <cell r="U392">
            <v>3005.9970000000003</v>
          </cell>
        </row>
        <row r="393">
          <cell r="B393" t="str">
            <v>Last Reported Q</v>
          </cell>
          <cell r="C393">
            <v>2068</v>
          </cell>
          <cell r="D393">
            <v>3392</v>
          </cell>
          <cell r="E393">
            <v>8698</v>
          </cell>
          <cell r="F393">
            <v>2613</v>
          </cell>
          <cell r="G393">
            <v>521.18700000000001</v>
          </cell>
          <cell r="H393">
            <v>150</v>
          </cell>
          <cell r="I393">
            <v>774.3</v>
          </cell>
          <cell r="J393">
            <v>2602.3552857142859</v>
          </cell>
          <cell r="K393">
            <v>18216.487000000001</v>
          </cell>
          <cell r="M393">
            <v>82.822999999999993</v>
          </cell>
          <cell r="N393">
            <v>0</v>
          </cell>
          <cell r="O393">
            <v>30</v>
          </cell>
          <cell r="P393">
            <v>25.075999999999997</v>
          </cell>
          <cell r="Q393">
            <v>0</v>
          </cell>
          <cell r="R393">
            <v>2722.8130000000001</v>
          </cell>
          <cell r="S393">
            <v>0</v>
          </cell>
          <cell r="T393">
            <v>408.67314285714286</v>
          </cell>
          <cell r="U393">
            <v>2860.712</v>
          </cell>
        </row>
        <row r="394">
          <cell r="B394" t="str">
            <v>LTM</v>
          </cell>
          <cell r="C394">
            <v>2068</v>
          </cell>
          <cell r="D394">
            <v>3392</v>
          </cell>
          <cell r="E394">
            <v>8698</v>
          </cell>
          <cell r="F394">
            <v>2613</v>
          </cell>
          <cell r="G394">
            <v>521.18700000000001</v>
          </cell>
          <cell r="H394">
            <v>150</v>
          </cell>
          <cell r="I394">
            <v>774.3</v>
          </cell>
          <cell r="J394">
            <v>2602.3552857142859</v>
          </cell>
          <cell r="K394">
            <v>18216.487000000001</v>
          </cell>
          <cell r="M394">
            <v>82.822999999999993</v>
          </cell>
          <cell r="N394">
            <v>0</v>
          </cell>
          <cell r="O394">
            <v>30</v>
          </cell>
          <cell r="P394">
            <v>25.075999999999997</v>
          </cell>
          <cell r="Q394">
            <v>0</v>
          </cell>
          <cell r="R394">
            <v>2722.8130000000001</v>
          </cell>
          <cell r="S394">
            <v>0</v>
          </cell>
          <cell r="T394">
            <v>408.67314285714286</v>
          </cell>
          <cell r="U394">
            <v>2860.712</v>
          </cell>
        </row>
        <row r="396">
          <cell r="B396" t="str">
            <v>Unadjusted Net Debt</v>
          </cell>
        </row>
        <row r="397">
          <cell r="B397" t="str">
            <v>FY(2)</v>
          </cell>
          <cell r="C397">
            <v>1400.9176368560052</v>
          </cell>
          <cell r="D397">
            <v>1175.8694052044598</v>
          </cell>
          <cell r="E397">
            <v>9170.1249999999964</v>
          </cell>
          <cell r="F397">
            <v>2139.5977032416822</v>
          </cell>
          <cell r="G397">
            <v>471.42610004233597</v>
          </cell>
          <cell r="H397">
            <v>-113.678</v>
          </cell>
          <cell r="I397">
            <v>102.38306178916901</v>
          </cell>
          <cell r="J397">
            <v>2049.5201295905213</v>
          </cell>
          <cell r="K397">
            <v>14346.640907133649</v>
          </cell>
          <cell r="M397">
            <v>-522.13461840902801</v>
          </cell>
          <cell r="N397">
            <v>-228.53</v>
          </cell>
          <cell r="O397">
            <v>-483.85199999999901</v>
          </cell>
          <cell r="P397">
            <v>-695.80499999999995</v>
          </cell>
          <cell r="Q397">
            <v>-1527</v>
          </cell>
          <cell r="R397">
            <v>1731.24213031622</v>
          </cell>
          <cell r="S397">
            <v>-365.983</v>
          </cell>
          <cell r="T397">
            <v>-298.8660697275439</v>
          </cell>
          <cell r="U397">
            <v>-2092.0624880928071</v>
          </cell>
        </row>
        <row r="398">
          <cell r="B398" t="str">
            <v>FY(1)</v>
          </cell>
          <cell r="C398">
            <v>1393.840636856004</v>
          </cell>
          <cell r="D398">
            <v>1153.3730245593001</v>
          </cell>
          <cell r="E398">
            <v>8393.125</v>
          </cell>
          <cell r="F398">
            <v>2441.0807032416819</v>
          </cell>
          <cell r="G398">
            <v>626.02575219353469</v>
          </cell>
          <cell r="H398">
            <v>-172.15537499999999</v>
          </cell>
          <cell r="I398">
            <v>325.99135986921397</v>
          </cell>
          <cell r="J398">
            <v>2023.0401573885335</v>
          </cell>
          <cell r="K398">
            <v>14161.281101719735</v>
          </cell>
          <cell r="M398">
            <v>-422.13461840902801</v>
          </cell>
          <cell r="N398">
            <v>-228.53</v>
          </cell>
          <cell r="O398">
            <v>-408.85199999999901</v>
          </cell>
          <cell r="P398">
            <v>-696.04</v>
          </cell>
          <cell r="Q398">
            <v>-1665</v>
          </cell>
          <cell r="R398">
            <v>1723.7171303162199</v>
          </cell>
          <cell r="S398">
            <v>-365.983</v>
          </cell>
          <cell r="T398">
            <v>-294.68892687040096</v>
          </cell>
          <cell r="U398">
            <v>-2062.8224880928069</v>
          </cell>
        </row>
        <row r="399">
          <cell r="B399" t="str">
            <v>FY0</v>
          </cell>
          <cell r="C399">
            <v>-197.75736314400001</v>
          </cell>
          <cell r="D399">
            <v>384.79102455929979</v>
          </cell>
          <cell r="E399">
            <v>7011.625</v>
          </cell>
          <cell r="F399">
            <v>1818.280703241682</v>
          </cell>
          <cell r="G399">
            <v>357.01974883758999</v>
          </cell>
          <cell r="H399">
            <v>-620.00937499999998</v>
          </cell>
          <cell r="I399">
            <v>-971.08064013079002</v>
          </cell>
          <cell r="J399">
            <v>1111.8384426233977</v>
          </cell>
          <cell r="K399">
            <v>7782.8690983637835</v>
          </cell>
          <cell r="M399">
            <v>-644.74920840902803</v>
          </cell>
          <cell r="N399">
            <v>-346.87931378455897</v>
          </cell>
          <cell r="O399">
            <v>-668.63491999999906</v>
          </cell>
          <cell r="P399">
            <v>-767.28599999999994</v>
          </cell>
          <cell r="Q399">
            <v>-2574.8000000000002</v>
          </cell>
          <cell r="R399">
            <v>918.42900000000009</v>
          </cell>
          <cell r="S399">
            <v>-501.53600000000102</v>
          </cell>
          <cell r="T399">
            <v>-655.06520602765534</v>
          </cell>
          <cell r="U399">
            <v>-4585.4564421935875</v>
          </cell>
        </row>
        <row r="400">
          <cell r="B400" t="str">
            <v>FY1</v>
          </cell>
          <cell r="C400">
            <v>-788.51614066414004</v>
          </cell>
          <cell r="D400">
            <v>104.6646459940398</v>
          </cell>
          <cell r="E400">
            <v>5817.2833639719802</v>
          </cell>
          <cell r="F400">
            <v>1584.2267420001681</v>
          </cell>
          <cell r="G400">
            <v>329.53917016447303</v>
          </cell>
          <cell r="H400">
            <v>-727.70577551911504</v>
          </cell>
          <cell r="I400">
            <v>-1472.0475460263999</v>
          </cell>
          <cell r="J400">
            <v>692.49206570300078</v>
          </cell>
          <cell r="K400">
            <v>4847.4444599210055</v>
          </cell>
          <cell r="M400">
            <v>-572.38283485722206</v>
          </cell>
          <cell r="N400">
            <v>-418.99402043374801</v>
          </cell>
          <cell r="O400">
            <v>-758.63650584369498</v>
          </cell>
          <cell r="P400">
            <v>-929.32871939409097</v>
          </cell>
          <cell r="Q400">
            <v>-2478.3974420773002</v>
          </cell>
          <cell r="R400">
            <v>969.60535280101999</v>
          </cell>
          <cell r="S400">
            <v>-727.98320368492102</v>
          </cell>
          <cell r="T400">
            <v>-702.3024819271368</v>
          </cell>
          <cell r="U400">
            <v>-4916.1173734899576</v>
          </cell>
        </row>
        <row r="401">
          <cell r="B401" t="str">
            <v>FY2</v>
          </cell>
          <cell r="C401">
            <v>-1306.2194660018799</v>
          </cell>
          <cell r="D401">
            <v>14.232370430379888</v>
          </cell>
          <cell r="E401">
            <v>4376.7068129613499</v>
          </cell>
          <cell r="F401">
            <v>1611.2378153185318</v>
          </cell>
          <cell r="G401">
            <v>250.354544142804</v>
          </cell>
          <cell r="H401">
            <v>-864.85489072380005</v>
          </cell>
          <cell r="I401">
            <v>-1995.79367411919</v>
          </cell>
          <cell r="J401">
            <v>297.95193028688522</v>
          </cell>
          <cell r="K401">
            <v>2085.6635120081964</v>
          </cell>
          <cell r="M401">
            <v>-462.24347740002304</v>
          </cell>
          <cell r="N401">
            <v>-465.93234996454299</v>
          </cell>
          <cell r="O401">
            <v>-920.79550408930095</v>
          </cell>
          <cell r="P401">
            <v>-1082.9158350544999</v>
          </cell>
          <cell r="Q401">
            <v>-2368.83194985604</v>
          </cell>
          <cell r="R401">
            <v>635.02160613725027</v>
          </cell>
          <cell r="S401">
            <v>-921.75489727911997</v>
          </cell>
          <cell r="T401">
            <v>-798.20748678661107</v>
          </cell>
          <cell r="U401">
            <v>-5587.4524075062773</v>
          </cell>
        </row>
        <row r="402">
          <cell r="B402" t="str">
            <v>FQ(3)</v>
          </cell>
          <cell r="C402">
            <v>1179.3426368560049</v>
          </cell>
          <cell r="D402">
            <v>1367.3730245593001</v>
          </cell>
          <cell r="E402">
            <v>8559.1249999999964</v>
          </cell>
          <cell r="F402">
            <v>2424.3807032416817</v>
          </cell>
          <cell r="G402">
            <v>622.79775219353473</v>
          </cell>
          <cell r="H402">
            <v>-310.35537499999998</v>
          </cell>
          <cell r="I402">
            <v>124.14135986920996</v>
          </cell>
          <cell r="J402">
            <v>1995.2578716742471</v>
          </cell>
          <cell r="K402">
            <v>13966.80510171973</v>
          </cell>
          <cell r="M402">
            <v>-363.72861840902902</v>
          </cell>
          <cell r="N402">
            <v>-247.74700000000001</v>
          </cell>
          <cell r="O402">
            <v>-374.33199999999999</v>
          </cell>
          <cell r="P402">
            <v>-523.79100000000005</v>
          </cell>
          <cell r="Q402">
            <v>-1708</v>
          </cell>
          <cell r="R402">
            <v>1961.2991303162221</v>
          </cell>
          <cell r="S402">
            <v>-297.625</v>
          </cell>
          <cell r="T402">
            <v>-221.98921258468667</v>
          </cell>
          <cell r="U402">
            <v>-1553.9244880928068</v>
          </cell>
        </row>
        <row r="403">
          <cell r="B403" t="str">
            <v>FQ(2)</v>
          </cell>
          <cell r="C403">
            <v>715.24263685599999</v>
          </cell>
          <cell r="D403">
            <v>1079.9910245593001</v>
          </cell>
          <cell r="E403">
            <v>8209.1249999999964</v>
          </cell>
          <cell r="F403">
            <v>2116.3807032416821</v>
          </cell>
          <cell r="G403">
            <v>586.25975219353472</v>
          </cell>
          <cell r="H403">
            <v>-371.561375</v>
          </cell>
          <cell r="I403">
            <v>-214.05464013078995</v>
          </cell>
          <cell r="J403">
            <v>1731.626157388532</v>
          </cell>
          <cell r="K403">
            <v>12121.383101719724</v>
          </cell>
          <cell r="M403">
            <v>-404.54420840902895</v>
          </cell>
          <cell r="N403">
            <v>-245.45400000000001</v>
          </cell>
          <cell r="O403">
            <v>-454.78800000000001</v>
          </cell>
          <cell r="P403">
            <v>-767.28599999999994</v>
          </cell>
          <cell r="Q403">
            <v>-2131</v>
          </cell>
          <cell r="R403">
            <v>1700.68513031622</v>
          </cell>
          <cell r="S403">
            <v>-288.76</v>
          </cell>
          <cell r="T403">
            <v>-370.16386829897277</v>
          </cell>
          <cell r="U403">
            <v>-2591.1470780928094</v>
          </cell>
        </row>
        <row r="404">
          <cell r="B404" t="str">
            <v>FQ(1)</v>
          </cell>
          <cell r="C404">
            <v>540.24263685599999</v>
          </cell>
          <cell r="D404">
            <v>1262.9910245593001</v>
          </cell>
          <cell r="E404">
            <v>8221.1249999999964</v>
          </cell>
          <cell r="F404">
            <v>2131.3807032416821</v>
          </cell>
          <cell r="G404">
            <v>507.92514883759037</v>
          </cell>
          <cell r="H404">
            <v>-427.14337499999999</v>
          </cell>
          <cell r="I404">
            <v>-451.91464013079008</v>
          </cell>
          <cell r="J404">
            <v>1683.5152140519683</v>
          </cell>
          <cell r="K404">
            <v>11784.606498363779</v>
          </cell>
          <cell r="M404">
            <v>-475.78220840902895</v>
          </cell>
          <cell r="N404">
            <v>-285.53031378455898</v>
          </cell>
          <cell r="O404">
            <v>-465.90300000000002</v>
          </cell>
          <cell r="P404">
            <v>-969.54699999999991</v>
          </cell>
          <cell r="Q404">
            <v>-2398</v>
          </cell>
          <cell r="R404">
            <v>1912.1131303162222</v>
          </cell>
          <cell r="S404">
            <v>-418.39499999999998</v>
          </cell>
          <cell r="T404">
            <v>-443.00634169676653</v>
          </cell>
          <cell r="U404">
            <v>-3101.0443918773658</v>
          </cell>
        </row>
        <row r="405">
          <cell r="B405" t="str">
            <v>Last Reported Q</v>
          </cell>
          <cell r="C405">
            <v>-197.75736314400001</v>
          </cell>
          <cell r="D405">
            <v>384.79102455929979</v>
          </cell>
          <cell r="E405">
            <v>7011.625</v>
          </cell>
          <cell r="F405">
            <v>1818.280703241682</v>
          </cell>
          <cell r="G405">
            <v>357.01974883758999</v>
          </cell>
          <cell r="H405">
            <v>-620.00937499999998</v>
          </cell>
          <cell r="I405">
            <v>-971.08064013079002</v>
          </cell>
          <cell r="J405">
            <v>1111.8384426233977</v>
          </cell>
          <cell r="K405">
            <v>7782.8690983637835</v>
          </cell>
          <cell r="M405">
            <v>-644.74920840902803</v>
          </cell>
          <cell r="N405">
            <v>-346.87931378455897</v>
          </cell>
          <cell r="O405">
            <v>-668.63491999999906</v>
          </cell>
          <cell r="P405">
            <v>-1078.1009999999999</v>
          </cell>
          <cell r="Q405">
            <v>-2574.8000000000002</v>
          </cell>
          <cell r="R405">
            <v>918.42900000000009</v>
          </cell>
          <cell r="S405">
            <v>-501.53600000000102</v>
          </cell>
          <cell r="T405">
            <v>-699.46734888479818</v>
          </cell>
          <cell r="U405">
            <v>-4896.2714421935871</v>
          </cell>
        </row>
        <row r="406">
          <cell r="B406" t="str">
            <v>LTM</v>
          </cell>
          <cell r="C406">
            <v>-197.75736314400001</v>
          </cell>
          <cell r="D406">
            <v>384.79102455929979</v>
          </cell>
          <cell r="E406">
            <v>7011.625</v>
          </cell>
          <cell r="F406">
            <v>1818.280703241682</v>
          </cell>
          <cell r="G406">
            <v>357.01974883758999</v>
          </cell>
          <cell r="H406">
            <v>-620.00937499999998</v>
          </cell>
          <cell r="I406">
            <v>-971.08064013079002</v>
          </cell>
          <cell r="J406">
            <v>1111.8384426233977</v>
          </cell>
          <cell r="K406">
            <v>7782.8690983637835</v>
          </cell>
          <cell r="M406">
            <v>-644.74920840902803</v>
          </cell>
          <cell r="N406">
            <v>-346.87931378455897</v>
          </cell>
          <cell r="O406">
            <v>-668.63491999999906</v>
          </cell>
          <cell r="P406">
            <v>-1078.1009999999999</v>
          </cell>
          <cell r="Q406">
            <v>-2574.8000000000002</v>
          </cell>
          <cell r="R406">
            <v>918.42900000000009</v>
          </cell>
          <cell r="S406">
            <v>-501.53600000000102</v>
          </cell>
          <cell r="T406">
            <v>-699.46734888479818</v>
          </cell>
          <cell r="U406">
            <v>-4896.2714421935871</v>
          </cell>
        </row>
        <row r="408">
          <cell r="A408" t="str">
            <v>mscalc:shareholdersEquityExcludingAdjustments2</v>
          </cell>
          <cell r="B408" t="str">
            <v>Shareholders' Equity</v>
          </cell>
        </row>
        <row r="409">
          <cell r="B409" t="str">
            <v>FY(2)</v>
          </cell>
          <cell r="C409">
            <v>6101.6030000000001</v>
          </cell>
          <cell r="D409">
            <v>5312</v>
          </cell>
          <cell r="E409">
            <v>9907</v>
          </cell>
          <cell r="F409">
            <v>1115</v>
          </cell>
          <cell r="G409">
            <v>1175.3088999576601</v>
          </cell>
          <cell r="H409">
            <v>970.649</v>
          </cell>
          <cell r="I409">
            <v>2131.2449999999999</v>
          </cell>
          <cell r="J409">
            <v>3816.11512856538</v>
          </cell>
          <cell r="K409">
            <v>26712.805899957661</v>
          </cell>
          <cell r="M409">
            <v>1618.3130000000001</v>
          </cell>
          <cell r="N409">
            <v>197.27600000000001</v>
          </cell>
          <cell r="O409">
            <v>1340.4639999999999</v>
          </cell>
          <cell r="P409">
            <v>1910.354</v>
          </cell>
          <cell r="Q409">
            <v>4274</v>
          </cell>
          <cell r="R409">
            <v>2219.23776210295</v>
          </cell>
          <cell r="S409">
            <v>853.43100000000004</v>
          </cell>
          <cell r="T409">
            <v>1773.2965374432786</v>
          </cell>
          <cell r="U409">
            <v>12413.07576210295</v>
          </cell>
        </row>
        <row r="410">
          <cell r="B410" t="str">
            <v>FY(1)</v>
          </cell>
          <cell r="C410">
            <v>6739</v>
          </cell>
          <cell r="D410">
            <v>4155</v>
          </cell>
          <cell r="E410">
            <v>4646</v>
          </cell>
          <cell r="F410">
            <v>1210</v>
          </cell>
          <cell r="G410">
            <v>969.39424780646596</v>
          </cell>
          <cell r="H410">
            <v>996.36900000000003</v>
          </cell>
          <cell r="I410">
            <v>2134.5569999999998</v>
          </cell>
          <cell r="J410">
            <v>2978.6171782580668</v>
          </cell>
          <cell r="K410">
            <v>20850.320247806467</v>
          </cell>
          <cell r="M410">
            <v>1845.578</v>
          </cell>
          <cell r="N410">
            <v>355.06</v>
          </cell>
          <cell r="O410">
            <v>1409.0309999999999</v>
          </cell>
          <cell r="P410">
            <v>1490.375</v>
          </cell>
          <cell r="Q410">
            <v>4387</v>
          </cell>
          <cell r="R410">
            <v>1874</v>
          </cell>
          <cell r="S410">
            <v>1053.7750000000001</v>
          </cell>
          <cell r="T410">
            <v>1773.5455714285713</v>
          </cell>
          <cell r="U410">
            <v>12414.819</v>
          </cell>
        </row>
        <row r="411">
          <cell r="B411" t="str">
            <v>FY0</v>
          </cell>
          <cell r="C411">
            <v>7853</v>
          </cell>
          <cell r="D411">
            <v>4774</v>
          </cell>
          <cell r="E411">
            <v>4701</v>
          </cell>
          <cell r="F411">
            <v>1572</v>
          </cell>
          <cell r="G411">
            <v>1088.4762511624101</v>
          </cell>
          <cell r="H411">
            <v>1157.2929999999999</v>
          </cell>
          <cell r="I411">
            <v>2889.2759999999998</v>
          </cell>
          <cell r="J411">
            <v>3433.5778930232013</v>
          </cell>
          <cell r="K411">
            <v>24035.04525116241</v>
          </cell>
          <cell r="M411">
            <v>1830.9169999999999</v>
          </cell>
          <cell r="N411">
            <v>434.48899999999998</v>
          </cell>
          <cell r="O411">
            <v>1578.5170000000001</v>
          </cell>
          <cell r="P411">
            <v>1696.0419999999999</v>
          </cell>
          <cell r="Q411">
            <v>4891</v>
          </cell>
          <cell r="R411">
            <v>2184</v>
          </cell>
          <cell r="S411">
            <v>1296.7750000000001</v>
          </cell>
          <cell r="T411">
            <v>1987.3914285714286</v>
          </cell>
          <cell r="U411">
            <v>13911.74</v>
          </cell>
        </row>
        <row r="412">
          <cell r="B412" t="str">
            <v>FY1</v>
          </cell>
          <cell r="C412">
            <v>8743.2064623123206</v>
          </cell>
          <cell r="D412">
            <v>4957.1669827170499</v>
          </cell>
          <cell r="E412">
            <v>5396.9706138889496</v>
          </cell>
          <cell r="F412">
            <v>2006.10798487689</v>
          </cell>
          <cell r="G412">
            <v>1073.6637732849899</v>
          </cell>
          <cell r="H412">
            <v>1220.4279908261001</v>
          </cell>
          <cell r="I412">
            <v>3405.5016296878398</v>
          </cell>
          <cell r="J412">
            <v>3829.0064910848769</v>
          </cell>
          <cell r="K412">
            <v>26803.045437594137</v>
          </cell>
          <cell r="M412">
            <v>1722.9869249752701</v>
          </cell>
          <cell r="N412">
            <v>516.91291448393997</v>
          </cell>
          <cell r="O412">
            <v>1653.0837178745001</v>
          </cell>
          <cell r="P412">
            <v>1912.53454591285</v>
          </cell>
          <cell r="Q412">
            <v>4712.3968391781</v>
          </cell>
          <cell r="R412">
            <v>2011.9392668427699</v>
          </cell>
          <cell r="S412">
            <v>1587.9007739159299</v>
          </cell>
          <cell r="T412">
            <v>2016.8221404547658</v>
          </cell>
          <cell r="U412">
            <v>14117.75498318336</v>
          </cell>
        </row>
        <row r="413">
          <cell r="B413" t="str">
            <v>FY2</v>
          </cell>
          <cell r="C413">
            <v>9520.6212033606007</v>
          </cell>
          <cell r="D413">
            <v>5110.6210396290498</v>
          </cell>
          <cell r="E413">
            <v>6188.3885193436599</v>
          </cell>
          <cell r="F413">
            <v>2284.9148605284499</v>
          </cell>
          <cell r="G413">
            <v>1070.3064175705799</v>
          </cell>
          <cell r="H413">
            <v>1369.67472339298</v>
          </cell>
          <cell r="I413">
            <v>4020.41295026936</v>
          </cell>
          <cell r="J413">
            <v>4223.5628162992407</v>
          </cell>
          <cell r="K413">
            <v>29564.939714094682</v>
          </cell>
          <cell r="M413">
            <v>1671.9507421953499</v>
          </cell>
          <cell r="N413">
            <v>568.14707851062997</v>
          </cell>
          <cell r="O413">
            <v>1772.59744765189</v>
          </cell>
          <cell r="P413">
            <v>2075.2400173670699</v>
          </cell>
          <cell r="Q413">
            <v>4390.0381761579001</v>
          </cell>
          <cell r="R413">
            <v>2201.0343082925201</v>
          </cell>
          <cell r="S413">
            <v>1900.71093984038</v>
          </cell>
          <cell r="T413">
            <v>2082.8169585736773</v>
          </cell>
          <cell r="U413">
            <v>14579.718710015743</v>
          </cell>
        </row>
        <row r="414">
          <cell r="B414" t="str">
            <v>FQ(3)</v>
          </cell>
          <cell r="C414">
            <v>6885</v>
          </cell>
          <cell r="D414">
            <v>4196</v>
          </cell>
          <cell r="E414">
            <v>4555</v>
          </cell>
          <cell r="F414">
            <v>1274</v>
          </cell>
          <cell r="G414">
            <v>991.83624780646505</v>
          </cell>
          <cell r="H414">
            <v>1035.758</v>
          </cell>
          <cell r="I414">
            <v>2335.4740000000002</v>
          </cell>
          <cell r="J414">
            <v>3039.0097496866388</v>
          </cell>
          <cell r="K414">
            <v>21273.06824780647</v>
          </cell>
          <cell r="M414">
            <v>1771.4059999999999</v>
          </cell>
          <cell r="N414">
            <v>397.149</v>
          </cell>
          <cell r="O414">
            <v>1433.47</v>
          </cell>
          <cell r="P414">
            <v>1541.914</v>
          </cell>
          <cell r="Q414">
            <v>4540</v>
          </cell>
          <cell r="R414">
            <v>1839.2148696837801</v>
          </cell>
          <cell r="S414">
            <v>1091.626</v>
          </cell>
          <cell r="T414">
            <v>1802.1114099548254</v>
          </cell>
          <cell r="U414">
            <v>12614.779869683778</v>
          </cell>
        </row>
        <row r="415">
          <cell r="B415" t="str">
            <v>FQ(2)</v>
          </cell>
          <cell r="C415">
            <v>7136</v>
          </cell>
          <cell r="D415">
            <v>4536</v>
          </cell>
          <cell r="E415">
            <v>4549</v>
          </cell>
          <cell r="F415">
            <v>1357</v>
          </cell>
          <cell r="G415">
            <v>962.96024780646496</v>
          </cell>
          <cell r="H415">
            <v>1069.422</v>
          </cell>
          <cell r="I415">
            <v>2831.9119999999998</v>
          </cell>
          <cell r="J415">
            <v>3206.0420354009234</v>
          </cell>
          <cell r="K415">
            <v>22442.294247806465</v>
          </cell>
          <cell r="M415">
            <v>1756.258</v>
          </cell>
          <cell r="N415">
            <v>429.57600000000002</v>
          </cell>
          <cell r="O415">
            <v>1469.857</v>
          </cell>
          <cell r="P415">
            <v>1696.0419999999999</v>
          </cell>
          <cell r="Q415">
            <v>4745</v>
          </cell>
          <cell r="R415">
            <v>1876</v>
          </cell>
          <cell r="S415">
            <v>1148.2149999999999</v>
          </cell>
          <cell r="T415">
            <v>1874.421142857143</v>
          </cell>
          <cell r="U415">
            <v>13120.948</v>
          </cell>
        </row>
        <row r="416">
          <cell r="B416" t="str">
            <v>FQ(1)</v>
          </cell>
          <cell r="C416">
            <v>7395</v>
          </cell>
          <cell r="D416">
            <v>4588</v>
          </cell>
          <cell r="E416">
            <v>4494</v>
          </cell>
          <cell r="F416">
            <v>1430</v>
          </cell>
          <cell r="G416">
            <v>1069.4598511624099</v>
          </cell>
          <cell r="H416">
            <v>1107.193</v>
          </cell>
          <cell r="I416">
            <v>2940.5070000000001</v>
          </cell>
          <cell r="J416">
            <v>3289.1656930232016</v>
          </cell>
          <cell r="K416">
            <v>23024.159851162411</v>
          </cell>
          <cell r="M416">
            <v>1782.376</v>
          </cell>
          <cell r="N416">
            <v>448.44900000000001</v>
          </cell>
          <cell r="O416">
            <v>1523.3050000000001</v>
          </cell>
          <cell r="P416">
            <v>1840.981</v>
          </cell>
          <cell r="Q416">
            <v>4981</v>
          </cell>
          <cell r="R416">
            <v>1865</v>
          </cell>
          <cell r="S416">
            <v>1215.26</v>
          </cell>
          <cell r="T416">
            <v>1950.910142857143</v>
          </cell>
          <cell r="U416">
            <v>13656.371000000001</v>
          </cell>
        </row>
        <row r="417">
          <cell r="B417" t="str">
            <v>Last Reported Q</v>
          </cell>
          <cell r="C417">
            <v>7853</v>
          </cell>
          <cell r="D417">
            <v>4774</v>
          </cell>
          <cell r="E417">
            <v>4701</v>
          </cell>
          <cell r="F417">
            <v>1572</v>
          </cell>
          <cell r="G417">
            <v>1088.4762511624101</v>
          </cell>
          <cell r="H417">
            <v>1157.2929999999999</v>
          </cell>
          <cell r="I417">
            <v>2889.2759999999998</v>
          </cell>
          <cell r="J417">
            <v>3433.5778930232013</v>
          </cell>
          <cell r="K417">
            <v>24035.04525116241</v>
          </cell>
          <cell r="M417">
            <v>1830.9169999999999</v>
          </cell>
          <cell r="N417">
            <v>434.48899999999998</v>
          </cell>
          <cell r="O417">
            <v>1578.5170000000001</v>
          </cell>
          <cell r="P417">
            <v>1865.566</v>
          </cell>
          <cell r="Q417">
            <v>4891</v>
          </cell>
          <cell r="R417">
            <v>2184</v>
          </cell>
          <cell r="S417">
            <v>1296.7750000000001</v>
          </cell>
          <cell r="T417">
            <v>2011.6091428571428</v>
          </cell>
          <cell r="U417">
            <v>14081.263999999999</v>
          </cell>
        </row>
        <row r="418">
          <cell r="B418" t="str">
            <v>LTM</v>
          </cell>
          <cell r="C418">
            <v>7853</v>
          </cell>
          <cell r="D418">
            <v>4774</v>
          </cell>
          <cell r="E418">
            <v>4701</v>
          </cell>
          <cell r="F418">
            <v>1572</v>
          </cell>
          <cell r="G418">
            <v>1088.4762511624101</v>
          </cell>
          <cell r="H418">
            <v>1157.2929999999999</v>
          </cell>
          <cell r="I418">
            <v>2889.2759999999998</v>
          </cell>
          <cell r="J418">
            <v>3433.5778930232013</v>
          </cell>
          <cell r="K418">
            <v>24035.04525116241</v>
          </cell>
          <cell r="M418">
            <v>1830.9169999999999</v>
          </cell>
          <cell r="N418">
            <v>434.48899999999998</v>
          </cell>
          <cell r="O418">
            <v>1578.5170000000001</v>
          </cell>
          <cell r="P418">
            <v>1865.566</v>
          </cell>
          <cell r="Q418">
            <v>4891</v>
          </cell>
          <cell r="R418">
            <v>2184</v>
          </cell>
          <cell r="S418">
            <v>1296.7750000000001</v>
          </cell>
          <cell r="T418">
            <v>2011.6091428571428</v>
          </cell>
          <cell r="U418">
            <v>14081.263999999999</v>
          </cell>
        </row>
        <row r="419">
          <cell r="B419" t="str">
            <v>FY1</v>
          </cell>
          <cell r="C419">
            <v>1.4809307600267818</v>
          </cell>
          <cell r="D419">
            <v>1.6952981091780144</v>
          </cell>
          <cell r="E419">
            <v>3.4410419583047971</v>
          </cell>
          <cell r="F419">
            <v>2.4186860774510537</v>
          </cell>
          <cell r="G419">
            <v>6.3385571555919507</v>
          </cell>
          <cell r="H419">
            <v>1.900098027765555</v>
          </cell>
          <cell r="I419">
            <v>2.2013545974281428</v>
          </cell>
          <cell r="J419">
            <v>2.7822809551066134</v>
          </cell>
          <cell r="K419">
            <v>2.3066225639221698</v>
          </cell>
          <cell r="M419">
            <v>2.6669756192435479</v>
          </cell>
          <cell r="N419">
            <v>0.77306828247647918</v>
          </cell>
          <cell r="O419">
            <v>1.8005922814156723</v>
          </cell>
          <cell r="P419">
            <v>0.13348743351882905</v>
          </cell>
          <cell r="Q419">
            <v>1.5560441034066363</v>
          </cell>
          <cell r="R419">
            <v>3.1519676961742058</v>
          </cell>
          <cell r="S419">
            <v>0.84923530832250471</v>
          </cell>
          <cell r="T419">
            <v>1.5616243892225536</v>
          </cell>
          <cell r="U419">
            <v>1.6332140081940278</v>
          </cell>
        </row>
        <row r="420">
          <cell r="B420" t="str">
            <v>Total Capitalization</v>
          </cell>
          <cell r="C420">
            <v>1.1181009497855385</v>
          </cell>
          <cell r="D420">
            <v>1.1713922360269251</v>
          </cell>
          <cell r="E420">
            <v>2.9385369993289423</v>
          </cell>
          <cell r="F420">
            <v>2.0884778637610841</v>
          </cell>
          <cell r="G420">
            <v>4.7694258543874373</v>
          </cell>
          <cell r="H420">
            <v>1.8604840886408607</v>
          </cell>
          <cell r="I420">
            <v>1.9928163212591523</v>
          </cell>
          <cell r="J420">
            <v>2.2770334733128488</v>
          </cell>
          <cell r="K420">
            <v>1.9437264725656025</v>
          </cell>
          <cell r="M420">
            <v>2.8344898287836364</v>
          </cell>
          <cell r="N420">
            <v>0.78610647369306275</v>
          </cell>
          <cell r="O420">
            <v>1.6718605411603178</v>
          </cell>
          <cell r="P420">
            <v>9.0088846790629187E-2</v>
          </cell>
          <cell r="Q420">
            <v>1.5147230801771487</v>
          </cell>
          <cell r="R420">
            <v>2.9339800205554445</v>
          </cell>
          <cell r="S420">
            <v>0.61862510334400245</v>
          </cell>
          <cell r="T420">
            <v>1.49283912778632</v>
          </cell>
          <cell r="U420">
            <v>1.5665265365502281</v>
          </cell>
        </row>
        <row r="421">
          <cell r="B421" t="str">
            <v>FY(2)</v>
          </cell>
          <cell r="C421">
            <v>8166.1790000000001</v>
          </cell>
          <cell r="D421">
            <v>9020</v>
          </cell>
          <cell r="E421">
            <v>19660</v>
          </cell>
          <cell r="F421">
            <v>3612</v>
          </cell>
          <cell r="G421">
            <v>1747.89689995766</v>
          </cell>
          <cell r="H421">
            <v>1120.6489999999999</v>
          </cell>
          <cell r="I421">
            <v>2966.3389999999999</v>
          </cell>
          <cell r="J421">
            <v>6613.2948428510945</v>
          </cell>
          <cell r="K421">
            <v>46293.063899957662</v>
          </cell>
          <cell r="M421">
            <v>1618.3130000000001</v>
          </cell>
          <cell r="N421">
            <v>197.27600000000001</v>
          </cell>
          <cell r="O421">
            <v>1340.4639999999999</v>
          </cell>
          <cell r="P421">
            <v>1913.454</v>
          </cell>
          <cell r="Q421">
            <v>4462</v>
          </cell>
          <cell r="R421">
            <v>5123.8767621029501</v>
          </cell>
          <cell r="S421">
            <v>853.43100000000004</v>
          </cell>
          <cell r="T421">
            <v>2215.5449660147069</v>
          </cell>
          <cell r="U421">
            <v>15508.814762102949</v>
          </cell>
        </row>
        <row r="422">
          <cell r="B422" t="str">
            <v>FY(1)</v>
          </cell>
          <cell r="C422">
            <v>8809</v>
          </cell>
          <cell r="D422">
            <v>7660</v>
          </cell>
          <cell r="E422">
            <v>14345</v>
          </cell>
          <cell r="F422">
            <v>3723</v>
          </cell>
          <cell r="G422">
            <v>1609.4672478064658</v>
          </cell>
          <cell r="H422">
            <v>1146.3690000000001</v>
          </cell>
          <cell r="I422">
            <v>2913.366</v>
          </cell>
          <cell r="J422">
            <v>5743.743178258067</v>
          </cell>
          <cell r="K422">
            <v>40206.202247806468</v>
          </cell>
          <cell r="M422">
            <v>1945.578</v>
          </cell>
          <cell r="N422">
            <v>355.06</v>
          </cell>
          <cell r="O422">
            <v>1484.0309999999999</v>
          </cell>
          <cell r="P422">
            <v>1493.24</v>
          </cell>
          <cell r="Q422">
            <v>4437</v>
          </cell>
          <cell r="R422">
            <v>4771.1139999999996</v>
          </cell>
          <cell r="S422">
            <v>1053.7750000000001</v>
          </cell>
          <cell r="T422">
            <v>2219.9711428571427</v>
          </cell>
          <cell r="U422">
            <v>15539.797999999999</v>
          </cell>
        </row>
        <row r="423">
          <cell r="B423" t="str">
            <v>FY0</v>
          </cell>
          <cell r="C423">
            <v>9921</v>
          </cell>
          <cell r="D423">
            <v>8166</v>
          </cell>
          <cell r="E423">
            <v>13399</v>
          </cell>
          <cell r="F423">
            <v>4185</v>
          </cell>
          <cell r="G423">
            <v>1609.6632511624102</v>
          </cell>
          <cell r="H423">
            <v>1307.2929999999999</v>
          </cell>
          <cell r="I423">
            <v>3663.576</v>
          </cell>
          <cell r="J423">
            <v>6035.9331787374877</v>
          </cell>
          <cell r="K423">
            <v>42251.532251162411</v>
          </cell>
          <cell r="M423">
            <v>1913.74</v>
          </cell>
          <cell r="N423">
            <v>434.48899999999998</v>
          </cell>
          <cell r="O423">
            <v>1608.5170000000001</v>
          </cell>
          <cell r="P423">
            <v>1729.1179999999999</v>
          </cell>
          <cell r="Q423">
            <v>4891</v>
          </cell>
          <cell r="R423">
            <v>4906.8130000000001</v>
          </cell>
          <cell r="S423">
            <v>1296.7750000000001</v>
          </cell>
          <cell r="T423">
            <v>2397.2074285714289</v>
          </cell>
          <cell r="U423">
            <v>16780.452000000001</v>
          </cell>
        </row>
        <row r="424">
          <cell r="B424" t="str">
            <v>FY1</v>
          </cell>
          <cell r="C424">
            <v>10811.206462312321</v>
          </cell>
          <cell r="D424">
            <v>7956.1669827170499</v>
          </cell>
          <cell r="E424">
            <v>13856.970613888949</v>
          </cell>
          <cell r="F424">
            <v>4394.1079848768895</v>
          </cell>
          <cell r="G424">
            <v>1571.8507732849898</v>
          </cell>
          <cell r="H424">
            <v>1370.4279908261001</v>
          </cell>
          <cell r="I424">
            <v>4179.8016296878395</v>
          </cell>
          <cell r="J424">
            <v>6305.7903482277343</v>
          </cell>
          <cell r="K424">
            <v>44140.532437594142</v>
          </cell>
          <cell r="M424">
            <v>1805.8099249752702</v>
          </cell>
          <cell r="N424">
            <v>516.91291448393997</v>
          </cell>
          <cell r="O424">
            <v>1683.0837178745001</v>
          </cell>
          <cell r="P424">
            <v>1937.6105459128501</v>
          </cell>
          <cell r="Q424">
            <v>4712.3968391781</v>
          </cell>
          <cell r="R424">
            <v>4734.75226684277</v>
          </cell>
          <cell r="S424">
            <v>1587.9007739159299</v>
          </cell>
          <cell r="T424">
            <v>2425.4952833119087</v>
          </cell>
          <cell r="U424">
            <v>16978.46698318336</v>
          </cell>
        </row>
        <row r="425">
          <cell r="B425" t="str">
            <v>FY2</v>
          </cell>
          <cell r="C425">
            <v>11172.621203360601</v>
          </cell>
          <cell r="D425">
            <v>8109.6210396290498</v>
          </cell>
          <cell r="E425">
            <v>13986.38851934366</v>
          </cell>
          <cell r="F425">
            <v>4672.9148605284499</v>
          </cell>
          <cell r="G425">
            <v>1476.4934175705798</v>
          </cell>
          <cell r="H425">
            <v>1519.67472339298</v>
          </cell>
          <cell r="I425">
            <v>4794.7129502693597</v>
          </cell>
          <cell r="J425">
            <v>6533.2038162992394</v>
          </cell>
          <cell r="K425">
            <v>45732.426714094676</v>
          </cell>
          <cell r="M425">
            <v>1754.77374219535</v>
          </cell>
          <cell r="N425">
            <v>568.14707851062997</v>
          </cell>
          <cell r="O425">
            <v>1802.59744765189</v>
          </cell>
          <cell r="P425">
            <v>2100.3160173670699</v>
          </cell>
          <cell r="Q425">
            <v>4390.0381761579001</v>
          </cell>
          <cell r="R425">
            <v>4923.8473082925202</v>
          </cell>
          <cell r="S425">
            <v>1900.71093984038</v>
          </cell>
          <cell r="T425">
            <v>2491.4901014308198</v>
          </cell>
          <cell r="U425">
            <v>17440.430710015738</v>
          </cell>
        </row>
        <row r="426">
          <cell r="B426" t="str">
            <v>FQ(3)</v>
          </cell>
          <cell r="C426">
            <v>8958</v>
          </cell>
          <cell r="D426">
            <v>7701</v>
          </cell>
          <cell r="E426">
            <v>13409</v>
          </cell>
          <cell r="F426">
            <v>3776</v>
          </cell>
          <cell r="G426">
            <v>1628.4622478064653</v>
          </cell>
          <cell r="H426">
            <v>1185.758</v>
          </cell>
          <cell r="I426">
            <v>3471.8500000000004</v>
          </cell>
          <cell r="J426">
            <v>5732.8671782580659</v>
          </cell>
          <cell r="K426">
            <v>40130.070247806463</v>
          </cell>
          <cell r="M426">
            <v>1871.4059999999999</v>
          </cell>
          <cell r="N426">
            <v>397.149</v>
          </cell>
          <cell r="O426">
            <v>1508.47</v>
          </cell>
          <cell r="P426">
            <v>1569.3899999999999</v>
          </cell>
          <cell r="Q426">
            <v>4540</v>
          </cell>
          <cell r="R426">
            <v>4736.5118696837799</v>
          </cell>
          <cell r="S426">
            <v>1091.626</v>
          </cell>
          <cell r="T426">
            <v>2244.9361242405398</v>
          </cell>
          <cell r="U426">
            <v>15714.552869683779</v>
          </cell>
        </row>
        <row r="427">
          <cell r="B427" t="str">
            <v>FQ(2)</v>
          </cell>
          <cell r="C427">
            <v>9205</v>
          </cell>
          <cell r="D427">
            <v>7928</v>
          </cell>
          <cell r="E427">
            <v>13273</v>
          </cell>
          <cell r="F427">
            <v>3992</v>
          </cell>
          <cell r="G427">
            <v>1565.7682478064648</v>
          </cell>
          <cell r="H427">
            <v>1219.422</v>
          </cell>
          <cell r="I427">
            <v>4044.45</v>
          </cell>
          <cell r="J427">
            <v>5889.6628925437808</v>
          </cell>
          <cell r="K427">
            <v>41227.640247806463</v>
          </cell>
          <cell r="M427">
            <v>1792.9880000000001</v>
          </cell>
          <cell r="N427">
            <v>429.57600000000002</v>
          </cell>
          <cell r="O427">
            <v>1544.857</v>
          </cell>
          <cell r="P427">
            <v>1729.1179999999999</v>
          </cell>
          <cell r="Q427">
            <v>4745</v>
          </cell>
          <cell r="R427">
            <v>5127</v>
          </cell>
          <cell r="S427">
            <v>1148.2149999999999</v>
          </cell>
          <cell r="T427">
            <v>2359.5362857142859</v>
          </cell>
          <cell r="U427">
            <v>16516.754000000001</v>
          </cell>
        </row>
        <row r="428">
          <cell r="B428" t="str">
            <v>FQ(1)</v>
          </cell>
          <cell r="C428">
            <v>9466</v>
          </cell>
          <cell r="D428">
            <v>7980</v>
          </cell>
          <cell r="E428">
            <v>13204</v>
          </cell>
          <cell r="F428">
            <v>4045</v>
          </cell>
          <cell r="G428">
            <v>1588.9128511624099</v>
          </cell>
          <cell r="H428">
            <v>1257.193</v>
          </cell>
          <cell r="I428">
            <v>3933.931</v>
          </cell>
          <cell r="J428">
            <v>5925.0052644517718</v>
          </cell>
          <cell r="K428">
            <v>41475.036851162404</v>
          </cell>
          <cell r="M428">
            <v>1832.9580000000001</v>
          </cell>
          <cell r="N428">
            <v>448.44900000000001</v>
          </cell>
          <cell r="O428">
            <v>1573.3050000000001</v>
          </cell>
          <cell r="P428">
            <v>1866.114</v>
          </cell>
          <cell r="Q428">
            <v>4981</v>
          </cell>
          <cell r="R428">
            <v>4745.2820000000002</v>
          </cell>
          <cell r="S428">
            <v>1215.26</v>
          </cell>
          <cell r="T428">
            <v>2380.3382857142856</v>
          </cell>
          <cell r="U428">
            <v>16662.367999999999</v>
          </cell>
        </row>
        <row r="429">
          <cell r="B429" t="str">
            <v>Last Reported Q</v>
          </cell>
          <cell r="C429">
            <v>9921</v>
          </cell>
          <cell r="D429">
            <v>8166</v>
          </cell>
          <cell r="E429">
            <v>13399</v>
          </cell>
          <cell r="F429">
            <v>4185</v>
          </cell>
          <cell r="G429">
            <v>1609.6632511624102</v>
          </cell>
          <cell r="H429">
            <v>1307.2929999999999</v>
          </cell>
          <cell r="I429">
            <v>3663.576</v>
          </cell>
          <cell r="J429">
            <v>6035.9331787374877</v>
          </cell>
          <cell r="K429">
            <v>42251.532251162411</v>
          </cell>
          <cell r="M429">
            <v>1913.74</v>
          </cell>
          <cell r="N429">
            <v>434.48899999999998</v>
          </cell>
          <cell r="O429">
            <v>1608.5170000000001</v>
          </cell>
          <cell r="P429">
            <v>1890.6420000000001</v>
          </cell>
          <cell r="Q429">
            <v>4891</v>
          </cell>
          <cell r="R429">
            <v>4906.8130000000001</v>
          </cell>
          <cell r="S429">
            <v>1296.7750000000001</v>
          </cell>
          <cell r="T429">
            <v>2420.2822857142855</v>
          </cell>
          <cell r="U429">
            <v>16941.975999999999</v>
          </cell>
        </row>
        <row r="430">
          <cell r="B430" t="str">
            <v>LTM</v>
          </cell>
          <cell r="C430">
            <v>9921</v>
          </cell>
          <cell r="D430">
            <v>8166</v>
          </cell>
          <cell r="E430">
            <v>13399</v>
          </cell>
          <cell r="F430">
            <v>4185</v>
          </cell>
          <cell r="G430">
            <v>1609.6632511624102</v>
          </cell>
          <cell r="H430">
            <v>1307.2929999999999</v>
          </cell>
          <cell r="I430">
            <v>3663.576</v>
          </cell>
          <cell r="J430">
            <v>6035.9331787374877</v>
          </cell>
          <cell r="K430">
            <v>42251.532251162411</v>
          </cell>
          <cell r="M430">
            <v>1913.74</v>
          </cell>
          <cell r="N430">
            <v>434.48899999999998</v>
          </cell>
          <cell r="O430">
            <v>1608.5170000000001</v>
          </cell>
          <cell r="P430">
            <v>1890.6420000000001</v>
          </cell>
          <cell r="Q430">
            <v>4891</v>
          </cell>
          <cell r="R430">
            <v>4906.8130000000001</v>
          </cell>
          <cell r="S430">
            <v>1296.7750000000001</v>
          </cell>
          <cell r="T430">
            <v>2420.2822857142855</v>
          </cell>
          <cell r="U430">
            <v>16941.975999999999</v>
          </cell>
        </row>
        <row r="431">
          <cell r="B431" t="str">
            <v>FY(2)</v>
          </cell>
          <cell r="C431">
            <v>6.5809269699786982E-2</v>
          </cell>
          <cell r="D431">
            <v>8.2885334351326931E-2</v>
          </cell>
          <cell r="E431">
            <v>0.35112163269240038</v>
          </cell>
          <cell r="F431">
            <v>8.1458700473953122E-2</v>
          </cell>
          <cell r="G431">
            <v>0.22929685396586078</v>
          </cell>
          <cell r="H431">
            <v>-0.21006670881179057</v>
          </cell>
          <cell r="I431">
            <v>-2.2453663384297919E-2</v>
          </cell>
          <cell r="J431">
            <v>8.2578774141034234E-2</v>
          </cell>
          <cell r="K431">
            <v>0.19857708733327781</v>
          </cell>
          <cell r="M431">
            <v>-0.46148251935356011</v>
          </cell>
          <cell r="N431">
            <v>-0.35860385241384618</v>
          </cell>
          <cell r="O431">
            <v>-0.43740474927186046</v>
          </cell>
          <cell r="P431">
            <v>-0.36363821654453149</v>
          </cell>
          <cell r="Q431">
            <v>-0.24406448082567961</v>
          </cell>
          <cell r="R431">
            <v>0.14331117677814789</v>
          </cell>
          <cell r="S431">
            <v>-0.29568343938763447</v>
          </cell>
          <cell r="T431">
            <v>-0.28822372585985206</v>
          </cell>
          <cell r="U431">
            <v>-0.18688254765837309</v>
          </cell>
        </row>
        <row r="432">
          <cell r="B432" t="str">
            <v>Unadjusted Cash/Market Cap</v>
          </cell>
          <cell r="C432">
            <v>0.17155117918135337</v>
          </cell>
          <cell r="D432">
            <v>0.13036246177433036</v>
          </cell>
          <cell r="E432">
            <v>0.46643565615462851</v>
          </cell>
          <cell r="F432">
            <v>0.59235816811785225</v>
          </cell>
          <cell r="G432">
            <v>0.26971047322857289</v>
          </cell>
          <cell r="H432">
            <v>-0.10143943375668921</v>
          </cell>
          <cell r="I432">
            <v>3.451495658087933E-2</v>
          </cell>
          <cell r="J432">
            <v>0.22335620875441822</v>
          </cell>
          <cell r="K432">
            <v>0.30990908137205347</v>
          </cell>
          <cell r="M432">
            <v>-0.40073829969851316</v>
          </cell>
          <cell r="N432">
            <v>-0.56735740789553724</v>
          </cell>
          <cell r="O432">
            <v>-0.46248090213537929</v>
          </cell>
          <cell r="P432">
            <v>-0.46612734724491706</v>
          </cell>
          <cell r="Q432">
            <v>-0.38390737392551322</v>
          </cell>
          <cell r="R432">
            <v>0.36814239012315064</v>
          </cell>
          <cell r="S432">
            <v>-0.23396150362478041</v>
          </cell>
          <cell r="T432">
            <v>-0.30663292062878422</v>
          </cell>
          <cell r="U432">
            <v>-0.13936172728752871</v>
          </cell>
        </row>
        <row r="433">
          <cell r="B433" t="str">
            <v>FY(2)</v>
          </cell>
          <cell r="C433" t="e">
            <v>#VALUE!</v>
          </cell>
          <cell r="D433" t="e">
            <v>#VALUE!</v>
          </cell>
          <cell r="E433" t="e">
            <v>#VALUE!</v>
          </cell>
          <cell r="F433" t="e">
            <v>#VALUE!</v>
          </cell>
          <cell r="G433" t="e">
            <v>#VALUE!</v>
          </cell>
          <cell r="H433" t="e">
            <v>#VALUE!</v>
          </cell>
          <cell r="I433" t="e">
            <v>#VALUE!</v>
          </cell>
          <cell r="J433" t="e">
            <v>#VALUE!</v>
          </cell>
          <cell r="K433" t="e">
            <v>#VALUE!</v>
          </cell>
          <cell r="M433" t="e">
            <v>#VALUE!</v>
          </cell>
          <cell r="N433" t="e">
            <v>#VALUE!</v>
          </cell>
          <cell r="O433" t="e">
            <v>#VALUE!</v>
          </cell>
          <cell r="P433" t="e">
            <v>#VALUE!</v>
          </cell>
          <cell r="Q433" t="e">
            <v>#VALUE!</v>
          </cell>
          <cell r="R433" t="e">
            <v>#VALUE!</v>
          </cell>
          <cell r="S433" t="e">
            <v>#VALUE!</v>
          </cell>
          <cell r="T433" t="e">
            <v>#VALUE!</v>
          </cell>
          <cell r="U433" t="e">
            <v>#VALUE!</v>
          </cell>
        </row>
        <row r="434">
          <cell r="B434" t="str">
            <v>FY(1)</v>
          </cell>
          <cell r="C434" t="e">
            <v>#VALUE!</v>
          </cell>
          <cell r="D434" t="e">
            <v>#VALUE!</v>
          </cell>
          <cell r="E434" t="e">
            <v>#VALUE!</v>
          </cell>
          <cell r="F434" t="e">
            <v>#VALUE!</v>
          </cell>
          <cell r="G434" t="e">
            <v>#VALUE!</v>
          </cell>
          <cell r="H434" t="e">
            <v>#VALUE!</v>
          </cell>
          <cell r="I434" t="e">
            <v>#VALUE!</v>
          </cell>
          <cell r="J434" t="e">
            <v>#VALUE!</v>
          </cell>
          <cell r="K434" t="e">
            <v>#VALUE!</v>
          </cell>
          <cell r="M434" t="e">
            <v>#VALUE!</v>
          </cell>
          <cell r="N434" t="e">
            <v>#VALUE!</v>
          </cell>
          <cell r="O434" t="e">
            <v>#VALUE!</v>
          </cell>
          <cell r="P434" t="e">
            <v>#VALUE!</v>
          </cell>
          <cell r="Q434" t="e">
            <v>#VALUE!</v>
          </cell>
          <cell r="R434" t="e">
            <v>#VALUE!</v>
          </cell>
          <cell r="S434" t="e">
            <v>#VALUE!</v>
          </cell>
          <cell r="T434" t="e">
            <v>#VALUE!</v>
          </cell>
          <cell r="U434" t="e">
            <v>#VALUE!</v>
          </cell>
        </row>
        <row r="435">
          <cell r="B435" t="str">
            <v>FY0</v>
          </cell>
          <cell r="C435" t="e">
            <v>#VALUE!</v>
          </cell>
          <cell r="D435" t="e">
            <v>#VALUE!</v>
          </cell>
          <cell r="E435" t="e">
            <v>#VALUE!</v>
          </cell>
          <cell r="F435" t="e">
            <v>#VALUE!</v>
          </cell>
          <cell r="G435" t="e">
            <v>#VALUE!</v>
          </cell>
          <cell r="H435" t="e">
            <v>#VALUE!</v>
          </cell>
          <cell r="I435" t="e">
            <v>#VALUE!</v>
          </cell>
          <cell r="J435" t="e">
            <v>#VALUE!</v>
          </cell>
          <cell r="K435" t="e">
            <v>#VALUE!</v>
          </cell>
          <cell r="M435" t="e">
            <v>#VALUE!</v>
          </cell>
          <cell r="N435" t="e">
            <v>#VALUE!</v>
          </cell>
          <cell r="O435" t="e">
            <v>#VALUE!</v>
          </cell>
          <cell r="P435" t="e">
            <v>#VALUE!</v>
          </cell>
          <cell r="Q435" t="e">
            <v>#VALUE!</v>
          </cell>
          <cell r="R435" t="e">
            <v>#VALUE!</v>
          </cell>
          <cell r="S435" t="e">
            <v>#VALUE!</v>
          </cell>
          <cell r="T435" t="e">
            <v>#VALUE!</v>
          </cell>
          <cell r="U435" t="e">
            <v>#VALUE!</v>
          </cell>
        </row>
        <row r="436">
          <cell r="B436" t="str">
            <v>FY1</v>
          </cell>
          <cell r="C436" t="e">
            <v>#VALUE!</v>
          </cell>
          <cell r="D436" t="e">
            <v>#VALUE!</v>
          </cell>
          <cell r="E436" t="e">
            <v>#VALUE!</v>
          </cell>
          <cell r="F436" t="e">
            <v>#VALUE!</v>
          </cell>
          <cell r="G436" t="e">
            <v>#VALUE!</v>
          </cell>
          <cell r="H436" t="e">
            <v>#VALUE!</v>
          </cell>
          <cell r="I436" t="e">
            <v>#VALUE!</v>
          </cell>
          <cell r="J436" t="e">
            <v>#VALUE!</v>
          </cell>
          <cell r="K436" t="e">
            <v>#VALUE!</v>
          </cell>
          <cell r="M436" t="e">
            <v>#VALUE!</v>
          </cell>
          <cell r="N436" t="e">
            <v>#VALUE!</v>
          </cell>
          <cell r="O436" t="e">
            <v>#VALUE!</v>
          </cell>
          <cell r="P436" t="e">
            <v>#VALUE!</v>
          </cell>
          <cell r="Q436" t="e">
            <v>#VALUE!</v>
          </cell>
          <cell r="R436" t="e">
            <v>#VALUE!</v>
          </cell>
          <cell r="S436" t="e">
            <v>#VALUE!</v>
          </cell>
          <cell r="T436" t="e">
            <v>#VALUE!</v>
          </cell>
          <cell r="U436" t="e">
            <v>#VALUE!</v>
          </cell>
        </row>
        <row r="437">
          <cell r="B437" t="str">
            <v>FY2</v>
          </cell>
          <cell r="C437" t="e">
            <v>#VALUE!</v>
          </cell>
          <cell r="D437" t="e">
            <v>#VALUE!</v>
          </cell>
          <cell r="E437" t="e">
            <v>#VALUE!</v>
          </cell>
          <cell r="F437" t="e">
            <v>#VALUE!</v>
          </cell>
          <cell r="G437" t="e">
            <v>#VALUE!</v>
          </cell>
          <cell r="H437" t="e">
            <v>#VALUE!</v>
          </cell>
          <cell r="I437" t="e">
            <v>#VALUE!</v>
          </cell>
          <cell r="J437" t="e">
            <v>#VALUE!</v>
          </cell>
          <cell r="K437" t="e">
            <v>#VALUE!</v>
          </cell>
          <cell r="M437" t="e">
            <v>#VALUE!</v>
          </cell>
          <cell r="N437" t="e">
            <v>#VALUE!</v>
          </cell>
          <cell r="O437" t="e">
            <v>#VALUE!</v>
          </cell>
          <cell r="P437" t="e">
            <v>#VALUE!</v>
          </cell>
          <cell r="Q437" t="e">
            <v>#VALUE!</v>
          </cell>
          <cell r="R437" t="e">
            <v>#VALUE!</v>
          </cell>
          <cell r="S437" t="e">
            <v>#VALUE!</v>
          </cell>
          <cell r="T437" t="e">
            <v>#VALUE!</v>
          </cell>
          <cell r="U437" t="e">
            <v>#VALUE!</v>
          </cell>
        </row>
        <row r="438">
          <cell r="B438" t="str">
            <v>FQ(3)</v>
          </cell>
          <cell r="C438" t="e">
            <v>#VALUE!</v>
          </cell>
          <cell r="D438" t="e">
            <v>#VALUE!</v>
          </cell>
          <cell r="E438" t="e">
            <v>#VALUE!</v>
          </cell>
          <cell r="F438" t="e">
            <v>#VALUE!</v>
          </cell>
          <cell r="G438" t="e">
            <v>#VALUE!</v>
          </cell>
          <cell r="H438" t="e">
            <v>#VALUE!</v>
          </cell>
          <cell r="I438" t="e">
            <v>#VALUE!</v>
          </cell>
          <cell r="J438" t="e">
            <v>#VALUE!</v>
          </cell>
          <cell r="K438" t="e">
            <v>#VALUE!</v>
          </cell>
          <cell r="M438" t="e">
            <v>#VALUE!</v>
          </cell>
          <cell r="N438" t="e">
            <v>#VALUE!</v>
          </cell>
          <cell r="O438" t="e">
            <v>#VALUE!</v>
          </cell>
          <cell r="P438" t="e">
            <v>#VALUE!</v>
          </cell>
          <cell r="Q438" t="e">
            <v>#VALUE!</v>
          </cell>
          <cell r="R438" t="e">
            <v>#VALUE!</v>
          </cell>
          <cell r="S438" t="e">
            <v>#VALUE!</v>
          </cell>
          <cell r="T438" t="e">
            <v>#VALUE!</v>
          </cell>
          <cell r="U438" t="e">
            <v>#VALUE!</v>
          </cell>
        </row>
        <row r="439">
          <cell r="B439" t="str">
            <v>FQ(2)</v>
          </cell>
          <cell r="C439" t="e">
            <v>#VALUE!</v>
          </cell>
          <cell r="D439" t="e">
            <v>#VALUE!</v>
          </cell>
          <cell r="E439" t="e">
            <v>#VALUE!</v>
          </cell>
          <cell r="F439" t="e">
            <v>#VALUE!</v>
          </cell>
          <cell r="G439" t="e">
            <v>#VALUE!</v>
          </cell>
          <cell r="H439" t="e">
            <v>#VALUE!</v>
          </cell>
          <cell r="I439" t="e">
            <v>#VALUE!</v>
          </cell>
          <cell r="J439" t="e">
            <v>#VALUE!</v>
          </cell>
          <cell r="K439" t="e">
            <v>#VALUE!</v>
          </cell>
          <cell r="M439" t="e">
            <v>#VALUE!</v>
          </cell>
          <cell r="N439" t="e">
            <v>#VALUE!</v>
          </cell>
          <cell r="O439" t="e">
            <v>#VALUE!</v>
          </cell>
          <cell r="P439" t="e">
            <v>#VALUE!</v>
          </cell>
          <cell r="Q439" t="e">
            <v>#VALUE!</v>
          </cell>
          <cell r="R439" t="e">
            <v>#VALUE!</v>
          </cell>
          <cell r="S439" t="e">
            <v>#VALUE!</v>
          </cell>
          <cell r="T439" t="e">
            <v>#VALUE!</v>
          </cell>
          <cell r="U439" t="e">
            <v>#VALUE!</v>
          </cell>
        </row>
        <row r="440">
          <cell r="B440" t="str">
            <v>FQ(1)</v>
          </cell>
          <cell r="C440" t="e">
            <v>#VALUE!</v>
          </cell>
          <cell r="D440" t="e">
            <v>#VALUE!</v>
          </cell>
          <cell r="E440" t="e">
            <v>#VALUE!</v>
          </cell>
          <cell r="F440" t="e">
            <v>#VALUE!</v>
          </cell>
          <cell r="G440" t="e">
            <v>#VALUE!</v>
          </cell>
          <cell r="H440" t="e">
            <v>#VALUE!</v>
          </cell>
          <cell r="I440" t="e">
            <v>#VALUE!</v>
          </cell>
          <cell r="J440" t="e">
            <v>#VALUE!</v>
          </cell>
          <cell r="K440" t="e">
            <v>#VALUE!</v>
          </cell>
          <cell r="M440" t="e">
            <v>#VALUE!</v>
          </cell>
          <cell r="N440" t="e">
            <v>#VALUE!</v>
          </cell>
          <cell r="O440" t="e">
            <v>#VALUE!</v>
          </cell>
          <cell r="P440" t="e">
            <v>#VALUE!</v>
          </cell>
          <cell r="Q440" t="e">
            <v>#VALUE!</v>
          </cell>
          <cell r="R440" t="e">
            <v>#VALUE!</v>
          </cell>
          <cell r="S440" t="e">
            <v>#VALUE!</v>
          </cell>
          <cell r="T440" t="e">
            <v>#VALUE!</v>
          </cell>
          <cell r="U440" t="e">
            <v>#VALUE!</v>
          </cell>
        </row>
        <row r="441">
          <cell r="A441" t="str">
            <v>mscalc:bookValuePerShareReported</v>
          </cell>
          <cell r="B441" t="str">
            <v>Last Reported Q</v>
          </cell>
          <cell r="C441" t="e">
            <v>#VALUE!</v>
          </cell>
          <cell r="D441" t="e">
            <v>#VALUE!</v>
          </cell>
          <cell r="E441" t="e">
            <v>#VALUE!</v>
          </cell>
          <cell r="F441" t="e">
            <v>#VALUE!</v>
          </cell>
          <cell r="G441" t="e">
            <v>#VALUE!</v>
          </cell>
          <cell r="H441" t="e">
            <v>#VALUE!</v>
          </cell>
          <cell r="I441" t="e">
            <v>#VALUE!</v>
          </cell>
          <cell r="J441" t="e">
            <v>#VALUE!</v>
          </cell>
          <cell r="K441" t="e">
            <v>#VALUE!</v>
          </cell>
          <cell r="M441" t="e">
            <v>#VALUE!</v>
          </cell>
          <cell r="N441" t="e">
            <v>#VALUE!</v>
          </cell>
          <cell r="O441" t="e">
            <v>#VALUE!</v>
          </cell>
          <cell r="P441" t="e">
            <v>#VALUE!</v>
          </cell>
          <cell r="Q441" t="e">
            <v>#VALUE!</v>
          </cell>
          <cell r="R441" t="e">
            <v>#VALUE!</v>
          </cell>
          <cell r="S441" t="e">
            <v>#VALUE!</v>
          </cell>
          <cell r="T441" t="e">
            <v>#VALUE!</v>
          </cell>
          <cell r="U441" t="e">
            <v>#VALUE!</v>
          </cell>
        </row>
        <row r="442">
          <cell r="B442" t="str">
            <v>LTM</v>
          </cell>
          <cell r="C442" t="e">
            <v>#VALUE!</v>
          </cell>
          <cell r="D442" t="e">
            <v>#VALUE!</v>
          </cell>
          <cell r="E442" t="e">
            <v>#VALUE!</v>
          </cell>
          <cell r="F442" t="e">
            <v>#VALUE!</v>
          </cell>
          <cell r="G442" t="e">
            <v>#VALUE!</v>
          </cell>
          <cell r="H442" t="e">
            <v>#VALUE!</v>
          </cell>
          <cell r="I442" t="e">
            <v>#VALUE!</v>
          </cell>
          <cell r="J442" t="e">
            <v>#VALUE!</v>
          </cell>
          <cell r="K442" t="e">
            <v>#VALUE!</v>
          </cell>
          <cell r="M442" t="e">
            <v>#VALUE!</v>
          </cell>
          <cell r="N442" t="e">
            <v>#VALUE!</v>
          </cell>
          <cell r="O442" t="e">
            <v>#VALUE!</v>
          </cell>
          <cell r="P442" t="e">
            <v>#VALUE!</v>
          </cell>
          <cell r="Q442" t="e">
            <v>#VALUE!</v>
          </cell>
          <cell r="R442" t="e">
            <v>#VALUE!</v>
          </cell>
          <cell r="S442" t="e">
            <v>#VALUE!</v>
          </cell>
          <cell r="T442" t="e">
            <v>#VALUE!</v>
          </cell>
          <cell r="U442" t="e">
            <v>#VALUE!</v>
          </cell>
        </row>
        <row r="443">
          <cell r="B443" t="str">
            <v>LTM Cash to Sales</v>
          </cell>
          <cell r="C443">
            <v>7.9023345533761155E-2</v>
          </cell>
          <cell r="D443">
            <v>0.10171530997194646</v>
          </cell>
          <cell r="E443">
            <v>4.3097830253775969E-2</v>
          </cell>
          <cell r="F443">
            <v>5.6859075392310082E-2</v>
          </cell>
          <cell r="G443">
            <v>3.6973723411650533E-2</v>
          </cell>
          <cell r="H443">
            <v>6.2154737662979645E-2</v>
          </cell>
          <cell r="I443">
            <v>5.039334442834939E-2</v>
          </cell>
          <cell r="J443">
            <v>6.1459623807824756E-2</v>
          </cell>
          <cell r="K443">
            <v>6.408588758018148E-2</v>
          </cell>
          <cell r="M443">
            <v>0.14784269805938441</v>
          </cell>
          <cell r="N443">
            <v>9.4802007709936922E-2</v>
          </cell>
          <cell r="O443">
            <v>0.13947269737814</v>
          </cell>
          <cell r="P443">
            <v>0.32988509699846741</v>
          </cell>
          <cell r="Q443">
            <v>0.10658167066810167</v>
          </cell>
          <cell r="R443">
            <v>0.12705432662757407</v>
          </cell>
          <cell r="S443">
            <v>0.15257532618810868</v>
          </cell>
          <cell r="T443">
            <v>0.15688768908995904</v>
          </cell>
          <cell r="U443">
            <v>0.13241625323602554</v>
          </cell>
        </row>
        <row r="444">
          <cell r="B444" t="str">
            <v>FY2</v>
          </cell>
          <cell r="C444">
            <v>28.941094679444198</v>
          </cell>
          <cell r="D444">
            <v>21.266051315025202</v>
          </cell>
          <cell r="E444">
            <v>13.083380297252999</v>
          </cell>
          <cell r="F444">
            <v>8.1142551074679794</v>
          </cell>
          <cell r="G444">
            <v>6.3740220739144702</v>
          </cell>
          <cell r="H444">
            <v>11.257598977178199</v>
          </cell>
          <cell r="I444">
            <v>9.1456806254300105</v>
          </cell>
          <cell r="M444">
            <v>20.9365909688578</v>
          </cell>
          <cell r="N444">
            <v>8.6045504321921999</v>
          </cell>
          <cell r="O444">
            <v>7.6901666904003703</v>
          </cell>
          <cell r="P444">
            <v>7.6203246194170697</v>
          </cell>
          <cell r="Q444">
            <v>7.6048157398120697</v>
          </cell>
          <cell r="R444">
            <v>6.9148812185110096</v>
          </cell>
          <cell r="S444">
            <v>9.2979721334564491</v>
          </cell>
        </row>
        <row r="446">
          <cell r="A446" t="str">
            <v>Free Cash Flow</v>
          </cell>
          <cell r="B446" t="str">
            <v>Unadjusted Net Debt/EBITDA</v>
          </cell>
        </row>
        <row r="447">
          <cell r="B447" t="str">
            <v>FY(2)</v>
          </cell>
          <cell r="C447">
            <v>0.62078151143528393</v>
          </cell>
          <cell r="D447">
            <v>0.50947547885808486</v>
          </cell>
          <cell r="E447">
            <v>2.7332712369597605</v>
          </cell>
          <cell r="F447">
            <v>1.4439160584488901</v>
          </cell>
          <cell r="G447">
            <v>1.7425698693100762</v>
          </cell>
          <cell r="H447">
            <v>-0.20981930268185092</v>
          </cell>
          <cell r="I447">
            <v>5.6035635454484554E-2</v>
          </cell>
          <cell r="J447">
            <v>0.98517578396924699</v>
          </cell>
          <cell r="K447">
            <v>1.1914891141070827</v>
          </cell>
          <cell r="M447">
            <v>-0.54240651967537545</v>
          </cell>
          <cell r="N447">
            <v>-0.9664881964356703</v>
          </cell>
          <cell r="O447">
            <v>-0.68344732314628698</v>
          </cell>
          <cell r="P447">
            <v>-0.64769185801892226</v>
          </cell>
          <cell r="Q447">
            <v>-0.805379746835443</v>
          </cell>
          <cell r="R447">
            <v>1.427097651690326</v>
          </cell>
          <cell r="S447">
            <v>-1.240780168292865</v>
          </cell>
          <cell r="T447">
            <v>-0.49415659438774812</v>
          </cell>
          <cell r="U447">
            <v>-0.32763191811526549</v>
          </cell>
        </row>
        <row r="448">
          <cell r="A448" t="str">
            <v>mstag:interestExpense</v>
          </cell>
          <cell r="B448" t="str">
            <v>FY(1)</v>
          </cell>
          <cell r="C448">
            <v>0.67077162805166402</v>
          </cell>
          <cell r="D448">
            <v>0.72184631302404723</v>
          </cell>
          <cell r="E448">
            <v>3.1364443198804186</v>
          </cell>
          <cell r="F448">
            <v>2.257018580946883</v>
          </cell>
          <cell r="G448">
            <v>25.080237511960661</v>
          </cell>
          <cell r="H448">
            <v>-0.27210060477062714</v>
          </cell>
          <cell r="I448">
            <v>0.1775128590615169</v>
          </cell>
          <cell r="J448">
            <v>4.5388186583077941</v>
          </cell>
          <cell r="K448">
            <v>1.4264821229894211</v>
          </cell>
          <cell r="M448">
            <v>-0.58221308880625289</v>
          </cell>
          <cell r="N448">
            <v>-0.77712260942898337</v>
          </cell>
          <cell r="O448">
            <v>-0.9291879730006114</v>
          </cell>
          <cell r="P448">
            <v>-0.5438097150397716</v>
          </cell>
          <cell r="Q448">
            <v>-0.78686200378071836</v>
          </cell>
          <cell r="R448">
            <v>1.6253095151051484</v>
          </cell>
          <cell r="S448">
            <v>-0.95961812766135968</v>
          </cell>
          <cell r="T448">
            <v>-0.42192914323036412</v>
          </cell>
          <cell r="U448">
            <v>-0.32758825241373812</v>
          </cell>
        </row>
        <row r="449">
          <cell r="A449">
            <v>0.38</v>
          </cell>
          <cell r="B449" t="str">
            <v>FY0</v>
          </cell>
          <cell r="C449">
            <v>-8.5944095238591922E-2</v>
          </cell>
          <cell r="D449">
            <v>0.33228931309093246</v>
          </cell>
          <cell r="E449">
            <v>2.6319913663663663</v>
          </cell>
          <cell r="F449">
            <v>1.5852490873946661</v>
          </cell>
          <cell r="G449">
            <v>3.1011487412602823</v>
          </cell>
          <cell r="H449">
            <v>-0.70044497353600743</v>
          </cell>
          <cell r="I449">
            <v>-0.40023585169619963</v>
          </cell>
          <cell r="J449">
            <v>0.92343622680592119</v>
          </cell>
          <cell r="K449">
            <v>0.72760479731418182</v>
          </cell>
          <cell r="M449">
            <v>-1.6626117758933967</v>
          </cell>
          <cell r="N449">
            <v>-0.79045318475366411</v>
          </cell>
          <cell r="O449">
            <v>-1.6639704751499984</v>
          </cell>
          <cell r="P449">
            <v>-0.68306905061195133</v>
          </cell>
          <cell r="Q449">
            <v>-1.0800335570469799</v>
          </cell>
          <cell r="R449">
            <v>0.75362110728915033</v>
          </cell>
          <cell r="S449">
            <v>-1.164446584097903</v>
          </cell>
          <cell r="T449">
            <v>-0.89870907432353486</v>
          </cell>
          <cell r="U449">
            <v>-0.71814415664016296</v>
          </cell>
        </row>
        <row r="450">
          <cell r="A450" t="str">
            <v>mstag:otherInterestIncomeExpense</v>
          </cell>
          <cell r="B450" t="str">
            <v>FY1</v>
          </cell>
          <cell r="C450">
            <v>-0.29347322790041919</v>
          </cell>
          <cell r="D450">
            <v>7.7651652985500877E-2</v>
          </cell>
          <cell r="E450">
            <v>1.9649120143593546</v>
          </cell>
          <cell r="F450">
            <v>1.1529866140968601</v>
          </cell>
          <cell r="G450">
            <v>2.0346107878341644</v>
          </cell>
          <cell r="H450">
            <v>-0.69838146213609853</v>
          </cell>
          <cell r="I450">
            <v>-0.53190963134538816</v>
          </cell>
          <cell r="J450">
            <v>0.52948524969913913</v>
          </cell>
          <cell r="K450">
            <v>0.39279981275510029</v>
          </cell>
          <cell r="M450">
            <v>-1.1292800002243304</v>
          </cell>
          <cell r="N450">
            <v>-0.86757976902155665</v>
          </cell>
          <cell r="O450">
            <v>-1.4092416602410212</v>
          </cell>
          <cell r="P450">
            <v>-0.75571377482459823</v>
          </cell>
          <cell r="Q450">
            <v>-1.0660872466694959</v>
          </cell>
          <cell r="R450">
            <v>0.68962386469426917</v>
          </cell>
          <cell r="S450">
            <v>-1.3637223498551692</v>
          </cell>
          <cell r="T450">
            <v>-0.84314299087741451</v>
          </cell>
          <cell r="U450">
            <v>-0.70005820169220656</v>
          </cell>
        </row>
        <row r="451">
          <cell r="B451" t="str">
            <v>FY2</v>
          </cell>
          <cell r="C451">
            <v>-0.43416188163660691</v>
          </cell>
          <cell r="D451">
            <v>9.8753220072346718E-3</v>
          </cell>
          <cell r="E451">
            <v>1.4421016561144622</v>
          </cell>
          <cell r="F451">
            <v>1.0807115726483665</v>
          </cell>
          <cell r="G451">
            <v>1.0683170055444</v>
          </cell>
          <cell r="H451">
            <v>-0.7850937435673967</v>
          </cell>
          <cell r="I451">
            <v>-0.68827364540108127</v>
          </cell>
          <cell r="J451">
            <v>0.24192518367276833</v>
          </cell>
          <cell r="K451">
            <v>0.15786955309226858</v>
          </cell>
          <cell r="M451">
            <v>-0.7622956319381099</v>
          </cell>
          <cell r="N451">
            <v>-0.94282809885546814</v>
          </cell>
          <cell r="O451">
            <v>-1.4465272382161611</v>
          </cell>
          <cell r="P451">
            <v>-0.81885096688786108</v>
          </cell>
          <cell r="Q451">
            <v>-1.0105684999347193</v>
          </cell>
          <cell r="R451">
            <v>0.41411327334332276</v>
          </cell>
          <cell r="S451">
            <v>-1.4656395262537882</v>
          </cell>
          <cell r="T451">
            <v>-0.86179952696325501</v>
          </cell>
          <cell r="U451">
            <v>-0.73849245633532801</v>
          </cell>
        </row>
        <row r="452">
          <cell r="B452" t="str">
            <v>FQ(3)</v>
          </cell>
          <cell r="C452">
            <v>3.0085271348367471</v>
          </cell>
          <cell r="D452">
            <v>6.0503231175190271</v>
          </cell>
          <cell r="E452">
            <v>26.174694189602434</v>
          </cell>
          <cell r="F452">
            <v>10.871662346375254</v>
          </cell>
          <cell r="G452">
            <v>17.437011848518488</v>
          </cell>
          <cell r="H452">
            <v>-1.647181635317595</v>
          </cell>
          <cell r="I452">
            <v>0.27588930739343676</v>
          </cell>
          <cell r="J452">
            <v>8.8815609012753978</v>
          </cell>
          <cell r="K452">
            <v>7.5819974592705446</v>
          </cell>
          <cell r="M452">
            <v>-14.099647959415011</v>
          </cell>
          <cell r="N452">
            <v>-3.6489189348415225</v>
          </cell>
          <cell r="O452">
            <v>-6.013655276559513</v>
          </cell>
          <cell r="P452">
            <v>-2.2825822645801468</v>
          </cell>
          <cell r="Q452">
            <v>-3.443548387096774</v>
          </cell>
          <cell r="R452">
            <v>13.056873820441924</v>
          </cell>
          <cell r="S452">
            <v>-4.36336314323413</v>
          </cell>
          <cell r="T452">
            <v>-2.9706917350407389</v>
          </cell>
          <cell r="U452">
            <v>-1.4128705561223336</v>
          </cell>
        </row>
        <row r="453">
          <cell r="B453" t="str">
            <v>FQ(2)</v>
          </cell>
          <cell r="C453">
            <v>1.3172055927366482</v>
          </cell>
          <cell r="D453">
            <v>5.744633109357979</v>
          </cell>
          <cell r="E453">
            <v>14.080831903945105</v>
          </cell>
          <cell r="F453">
            <v>7.4520447297242329</v>
          </cell>
          <cell r="G453">
            <v>-18.499250645089607</v>
          </cell>
          <cell r="H453">
            <v>-1.7753591940292801</v>
          </cell>
          <cell r="I453">
            <v>-0.40571156746794457</v>
          </cell>
          <cell r="J453">
            <v>1.1306277041681621</v>
          </cell>
          <cell r="K453">
            <v>5.2628443477421527</v>
          </cell>
          <cell r="M453">
            <v>-5.9842932561504849</v>
          </cell>
          <cell r="N453">
            <v>-3.1594434218486533</v>
          </cell>
          <cell r="O453">
            <v>-5.5694236939430306</v>
          </cell>
          <cell r="P453">
            <v>-3.0584028890536437</v>
          </cell>
          <cell r="Q453">
            <v>-4.1298449612403099</v>
          </cell>
          <cell r="R453">
            <v>7.1867121795963538</v>
          </cell>
          <cell r="S453">
            <v>-2.8464965892512124</v>
          </cell>
          <cell r="T453">
            <v>-2.508741804555854</v>
          </cell>
          <cell r="U453">
            <v>-1.9454326807327575</v>
          </cell>
        </row>
        <row r="454">
          <cell r="B454" t="str">
            <v>FQ(1)</v>
          </cell>
          <cell r="C454">
            <v>1.104790668417178</v>
          </cell>
          <cell r="D454">
            <v>5.49126532417087</v>
          </cell>
          <cell r="E454">
            <v>21.133997429305904</v>
          </cell>
          <cell r="F454">
            <v>8.4915565866202467</v>
          </cell>
          <cell r="G454">
            <v>10.384681336255451</v>
          </cell>
          <cell r="H454">
            <v>-2.0104459856350783</v>
          </cell>
          <cell r="I454">
            <v>-0.65665224296477831</v>
          </cell>
          <cell r="J454">
            <v>6.2770275880242554</v>
          </cell>
          <cell r="K454">
            <v>5.1046925747801914</v>
          </cell>
          <cell r="M454">
            <v>-4.5012933746679629</v>
          </cell>
          <cell r="N454">
            <v>-2.4062692357603508</v>
          </cell>
          <cell r="O454">
            <v>-4.3599790377974719</v>
          </cell>
          <cell r="P454">
            <v>-3.778039723022129</v>
          </cell>
          <cell r="Q454">
            <v>-3.7063369397217927</v>
          </cell>
          <cell r="R454">
            <v>12.929730062658297</v>
          </cell>
          <cell r="S454">
            <v>-3.5044685858831217</v>
          </cell>
          <cell r="T454">
            <v>-1.3323795477420757</v>
          </cell>
          <cell r="U454">
            <v>-2.0644451787323024</v>
          </cell>
        </row>
        <row r="455">
          <cell r="B455" t="str">
            <v>Last Reported Q</v>
          </cell>
          <cell r="C455">
            <v>-8.5944095238591922E-2</v>
          </cell>
          <cell r="D455">
            <v>0.33228931309093246</v>
          </cell>
          <cell r="E455">
            <v>2.6319913663663663</v>
          </cell>
          <cell r="F455">
            <v>1.5852490873946661</v>
          </cell>
          <cell r="G455">
            <v>3.1011487412602823</v>
          </cell>
          <cell r="H455">
            <v>-0.70044497353600743</v>
          </cell>
          <cell r="I455">
            <v>-0.40023585169619963</v>
          </cell>
          <cell r="J455">
            <v>0.92343622680592119</v>
          </cell>
          <cell r="K455">
            <v>0.72760479731418182</v>
          </cell>
          <cell r="M455">
            <v>-1.6626117758933967</v>
          </cell>
          <cell r="N455">
            <v>-0.79045318475366411</v>
          </cell>
          <cell r="O455">
            <v>-1.6639704751499984</v>
          </cell>
          <cell r="P455">
            <v>-2.6366528895301915</v>
          </cell>
          <cell r="Q455">
            <v>-1.0800335570469799</v>
          </cell>
          <cell r="R455">
            <v>0.75362110728915033</v>
          </cell>
          <cell r="S455">
            <v>-1.164446584097903</v>
          </cell>
          <cell r="T455">
            <v>-1.1777924798832833</v>
          </cell>
          <cell r="U455">
            <v>-0.86342639624357287</v>
          </cell>
        </row>
        <row r="456">
          <cell r="B456" t="str">
            <v>LTM</v>
          </cell>
          <cell r="C456">
            <v>-5.3089225005100674E-2</v>
          </cell>
          <cell r="D456">
            <v>0.21353552972214196</v>
          </cell>
          <cell r="E456">
            <v>1.7692720161493818</v>
          </cell>
          <cell r="F456">
            <v>0.95447805944445252</v>
          </cell>
          <cell r="G456">
            <v>2.1243335723577608</v>
          </cell>
          <cell r="H456">
            <v>-0.4146301889013202</v>
          </cell>
          <cell r="I456">
            <v>-0.23730896873519447</v>
          </cell>
          <cell r="J456">
            <v>0.62237011357601735</v>
          </cell>
          <cell r="K456">
            <v>0.45379983425291787</v>
          </cell>
          <cell r="M456">
            <v>-1.098586120753511</v>
          </cell>
          <cell r="N456">
            <v>-0.49336964078807161</v>
          </cell>
          <cell r="O456">
            <v>-1.0245786743692473</v>
          </cell>
          <cell r="P456">
            <v>-0.94085968017258526</v>
          </cell>
          <cell r="Q456">
            <v>-0.6368538214197379</v>
          </cell>
          <cell r="R456">
            <v>0.52379054058678198</v>
          </cell>
          <cell r="S456">
            <v>-0.69681914283811763</v>
          </cell>
          <cell r="T456">
            <v>-0.62389664853635551</v>
          </cell>
          <cell r="U456">
            <v>-0.50978328158630037</v>
          </cell>
        </row>
        <row r="457">
          <cell r="B457" t="str">
            <v>FY1</v>
          </cell>
          <cell r="C457">
            <v>3.8862183909618229E-2</v>
          </cell>
          <cell r="D457">
            <v>-2.7339277114496467E-3</v>
          </cell>
          <cell r="E457">
            <v>3.5223782244625912E-2</v>
          </cell>
          <cell r="F457">
            <v>2.6424387208056593E-2</v>
          </cell>
          <cell r="G457">
            <v>-1.8071537178470622E-2</v>
          </cell>
          <cell r="H457">
            <v>5.3285963374375404E-2</v>
          </cell>
          <cell r="I457">
            <v>4.6996767941554794E-2</v>
          </cell>
          <cell r="J457">
            <v>2.5712517112615813E-2</v>
          </cell>
          <cell r="K457">
            <v>3.0552783656178185E-2</v>
          </cell>
          <cell r="M457">
            <v>1.7558553174681878E-2</v>
          </cell>
          <cell r="N457">
            <v>9.4733747506953347E-2</v>
          </cell>
          <cell r="O457">
            <v>3.927450676946953E-2</v>
          </cell>
          <cell r="P457">
            <v>0.18632383464964566</v>
          </cell>
          <cell r="Q457">
            <v>7.601987728838501E-2</v>
          </cell>
          <cell r="R457">
            <v>3.9489732823429061E-2</v>
          </cell>
          <cell r="S457">
            <v>7.0273028870299736E-2</v>
          </cell>
          <cell r="T457">
            <v>7.4810468726123444E-2</v>
          </cell>
          <cell r="U457">
            <v>7.1133632257864343E-2</v>
          </cell>
        </row>
        <row r="458">
          <cell r="A458" t="str">
            <v>mstag:rentalPaymentOnCapitalizedOperatingLeasesLessee</v>
          </cell>
          <cell r="B458" t="str">
            <v>Rent Payments</v>
          </cell>
          <cell r="C458">
            <v>4.0399164926698122E-2</v>
          </cell>
          <cell r="D458">
            <v>1.6931586348310497E-2</v>
          </cell>
          <cell r="E458">
            <v>2.9456136212050146E-2</v>
          </cell>
          <cell r="F458">
            <v>2.0077868758461886E-2</v>
          </cell>
          <cell r="G458">
            <v>2.2569207819594437E-4</v>
          </cell>
          <cell r="H458">
            <v>4.4593896192770086E-2</v>
          </cell>
          <cell r="I458">
            <v>4.9015164653234404E-2</v>
          </cell>
          <cell r="J458">
            <v>2.8671358452817299E-2</v>
          </cell>
          <cell r="K458">
            <v>3.3086860119727286E-2</v>
          </cell>
          <cell r="M458">
            <v>1.3331044461962222E-2</v>
          </cell>
          <cell r="N458">
            <v>8.085394256907405E-2</v>
          </cell>
          <cell r="O458">
            <v>5.1174560505937175E-2</v>
          </cell>
          <cell r="P458">
            <v>0.18148861674681205</v>
          </cell>
          <cell r="Q458">
            <v>7.2415679205012184E-2</v>
          </cell>
          <cell r="R458">
            <v>4.2100436438037216E-2</v>
          </cell>
          <cell r="S458">
            <v>7.2374325816125115E-2</v>
          </cell>
          <cell r="T458">
            <v>7.3391229391851429E-2</v>
          </cell>
          <cell r="U458">
            <v>6.9928491080842994E-2</v>
          </cell>
        </row>
        <row r="459">
          <cell r="B459" t="str">
            <v>FY(2)</v>
          </cell>
          <cell r="C459">
            <v>413.3</v>
          </cell>
          <cell r="D459">
            <v>210</v>
          </cell>
          <cell r="E459">
            <v>221</v>
          </cell>
          <cell r="F459">
            <v>81</v>
          </cell>
          <cell r="G459">
            <v>87.075000000000003</v>
          </cell>
          <cell r="H459">
            <v>301.58199999999999</v>
          </cell>
          <cell r="I459">
            <v>886.9</v>
          </cell>
          <cell r="J459">
            <v>314.40814285714288</v>
          </cell>
          <cell r="K459">
            <v>2200.857</v>
          </cell>
          <cell r="M459">
            <v>231.65299999999999</v>
          </cell>
          <cell r="N459">
            <v>77.64</v>
          </cell>
          <cell r="O459">
            <v>167.05099999999999</v>
          </cell>
          <cell r="P459">
            <v>107.458</v>
          </cell>
          <cell r="Q459">
            <v>970</v>
          </cell>
          <cell r="R459">
            <v>441</v>
          </cell>
          <cell r="S459">
            <v>100.02</v>
          </cell>
          <cell r="T459">
            <v>299.26028571428571</v>
          </cell>
          <cell r="U459">
            <v>2094.8220000000001</v>
          </cell>
        </row>
        <row r="460">
          <cell r="B460" t="str">
            <v>FY(1)</v>
          </cell>
          <cell r="C460">
            <v>445</v>
          </cell>
          <cell r="D460">
            <v>217</v>
          </cell>
          <cell r="E460">
            <v>230</v>
          </cell>
          <cell r="F460">
            <v>76</v>
          </cell>
          <cell r="G460">
            <v>83.682000000000002</v>
          </cell>
          <cell r="H460">
            <v>325.89999999999998</v>
          </cell>
          <cell r="I460">
            <v>928.3</v>
          </cell>
          <cell r="J460">
            <v>329.41171428571425</v>
          </cell>
          <cell r="K460">
            <v>2305.8819999999996</v>
          </cell>
          <cell r="M460">
            <v>280.61399999999998</v>
          </cell>
          <cell r="N460">
            <v>88.031000000000006</v>
          </cell>
          <cell r="O460">
            <v>197.82</v>
          </cell>
          <cell r="P460">
            <v>132.96899999999999</v>
          </cell>
          <cell r="Q460">
            <v>992</v>
          </cell>
          <cell r="R460">
            <v>391</v>
          </cell>
          <cell r="S460">
            <v>112.907</v>
          </cell>
          <cell r="T460">
            <v>313.62014285714292</v>
          </cell>
          <cell r="U460">
            <v>2195.3410000000003</v>
          </cell>
        </row>
        <row r="461">
          <cell r="B461" t="str">
            <v>FY0</v>
          </cell>
          <cell r="C461">
            <v>496</v>
          </cell>
          <cell r="D461">
            <v>231</v>
          </cell>
          <cell r="E461">
            <v>230</v>
          </cell>
          <cell r="F461">
            <v>89</v>
          </cell>
          <cell r="G461">
            <v>88.454999999999998</v>
          </cell>
          <cell r="H461">
            <v>336.5</v>
          </cell>
          <cell r="I461">
            <v>949</v>
          </cell>
          <cell r="J461">
            <v>345.70785714285711</v>
          </cell>
          <cell r="K461">
            <v>2419.9549999999999</v>
          </cell>
          <cell r="M461">
            <v>301.13799999999998</v>
          </cell>
          <cell r="N461">
            <v>97.888999999999996</v>
          </cell>
          <cell r="O461">
            <v>229.428</v>
          </cell>
          <cell r="P461">
            <v>151.267</v>
          </cell>
          <cell r="Q461">
            <v>973</v>
          </cell>
          <cell r="R461">
            <v>407</v>
          </cell>
          <cell r="S461">
            <v>127.434109734499</v>
          </cell>
          <cell r="T461">
            <v>326.73658710492839</v>
          </cell>
          <cell r="U461">
            <v>2287.1561097344988</v>
          </cell>
        </row>
        <row r="462">
          <cell r="B462" t="str">
            <v>FY1</v>
          </cell>
          <cell r="C462">
            <v>518.56303309414204</v>
          </cell>
          <cell r="D462">
            <v>236.036967509025</v>
          </cell>
          <cell r="E462">
            <v>235.41176470588201</v>
          </cell>
          <cell r="F462">
            <v>94.618556360602398</v>
          </cell>
          <cell r="G462">
            <v>90.912720945319705</v>
          </cell>
          <cell r="H462">
            <v>357.93168758199101</v>
          </cell>
          <cell r="I462">
            <v>970.16158569428001</v>
          </cell>
          <cell r="J462">
            <v>357.66233084160604</v>
          </cell>
          <cell r="K462">
            <v>2503.6363158912422</v>
          </cell>
          <cell r="M462">
            <v>318.11697719272098</v>
          </cell>
          <cell r="N462">
            <v>105.26366844444399</v>
          </cell>
          <cell r="O462">
            <v>234.19916455511199</v>
          </cell>
          <cell r="P462">
            <v>166.354913589744</v>
          </cell>
          <cell r="Q462">
            <v>967.79732534490495</v>
          </cell>
          <cell r="R462">
            <v>457.30408312233999</v>
          </cell>
          <cell r="S462">
            <v>146.22090008927199</v>
          </cell>
          <cell r="T462">
            <v>342.17957604836266</v>
          </cell>
          <cell r="U462">
            <v>2395.2570323385385</v>
          </cell>
        </row>
        <row r="463">
          <cell r="B463" t="str">
            <v>FY2</v>
          </cell>
          <cell r="C463">
            <v>552.77130938437199</v>
          </cell>
          <cell r="D463">
            <v>241.82093644258001</v>
          </cell>
          <cell r="E463">
            <v>239.98217166756399</v>
          </cell>
          <cell r="F463">
            <v>100.17534986731199</v>
          </cell>
          <cell r="G463">
            <v>96.459784775814597</v>
          </cell>
          <cell r="H463">
            <v>383.82128500347801</v>
          </cell>
          <cell r="I463">
            <v>986.94424197336195</v>
          </cell>
          <cell r="J463">
            <v>371.7107255877832</v>
          </cell>
          <cell r="K463">
            <v>2601.9750791144825</v>
          </cell>
          <cell r="M463">
            <v>353.83675694878099</v>
          </cell>
          <cell r="N463">
            <v>117.765877715481</v>
          </cell>
          <cell r="O463">
            <v>253.48517768534199</v>
          </cell>
          <cell r="P463">
            <v>179.71223459268501</v>
          </cell>
          <cell r="Q463">
            <v>953.87523311373502</v>
          </cell>
          <cell r="R463">
            <v>472.39043594442302</v>
          </cell>
          <cell r="S463">
            <v>166.065647668351</v>
          </cell>
          <cell r="T463">
            <v>356.73305195268546</v>
          </cell>
          <cell r="U463">
            <v>2497.1313636687983</v>
          </cell>
        </row>
        <row r="464">
          <cell r="B464" t="str">
            <v>FY1</v>
          </cell>
          <cell r="C464">
            <v>2.1678220019136387</v>
          </cell>
          <cell r="D464">
            <v>-0.20556202869745732</v>
          </cell>
          <cell r="E464">
            <v>1.946659427655937</v>
          </cell>
          <cell r="F464">
            <v>0.97354893957990185</v>
          </cell>
          <cell r="G464">
            <v>-0.32022714107024319</v>
          </cell>
          <cell r="H464">
            <v>3.0324798233633263</v>
          </cell>
          <cell r="I464">
            <v>2.1899111206141724</v>
          </cell>
          <cell r="M464">
            <v>0.59076362179338449</v>
          </cell>
          <cell r="N464">
            <v>3.0549856965789917</v>
          </cell>
          <cell r="O464">
            <v>0.55397571895375231</v>
          </cell>
          <cell r="P464">
            <v>2.0205286121042589</v>
          </cell>
          <cell r="Q464">
            <v>1.5531511857589593</v>
          </cell>
          <cell r="R464">
            <v>1.0250297702777731</v>
          </cell>
          <cell r="S464">
            <v>0.79672676486813154</v>
          </cell>
        </row>
        <row r="465">
          <cell r="B465" t="str">
            <v>Adjusted Net Debt/EBITDAR (includes Rent capitalized at 8x)</v>
          </cell>
          <cell r="C465">
            <v>2.4259351333438075</v>
          </cell>
          <cell r="D465">
            <v>1.2413658361277</v>
          </cell>
          <cell r="E465">
            <v>1.6008639174988561</v>
          </cell>
          <cell r="F465">
            <v>0.76128900106267405</v>
          </cell>
          <cell r="G465">
            <v>3.6556641974695874E-3</v>
          </cell>
          <cell r="H465">
            <v>2.7280154257731373</v>
          </cell>
          <cell r="I465">
            <v>2.5010561968072311</v>
          </cell>
          <cell r="M465">
            <v>0.51679513609987526</v>
          </cell>
          <cell r="N465">
            <v>3.0815192419646067</v>
          </cell>
          <cell r="O465">
            <v>0.75955113998499157</v>
          </cell>
          <cell r="P465">
            <v>2.1733260926685545</v>
          </cell>
          <cell r="Q465">
            <v>1.5555110393579679</v>
          </cell>
          <cell r="R465">
            <v>1.119845743374736</v>
          </cell>
          <cell r="S465">
            <v>0.95223954907340669</v>
          </cell>
        </row>
        <row r="466">
          <cell r="B466" t="str">
            <v>FY(2)</v>
          </cell>
          <cell r="C466">
            <v>1.7630403134292154</v>
          </cell>
          <cell r="D466">
            <v>1.1341816541717473</v>
          </cell>
          <cell r="E466">
            <v>3.0587597874720349</v>
          </cell>
          <cell r="F466">
            <v>1.7837177731034912</v>
          </cell>
          <cell r="G466">
            <v>3.2662010966582922</v>
          </cell>
          <cell r="H466">
            <v>2.7259358859435694</v>
          </cell>
          <cell r="I466">
            <v>2.6520141454465453</v>
          </cell>
          <cell r="J466">
            <v>2.3405500937464141</v>
          </cell>
          <cell r="K466">
            <v>2.2436432720862096</v>
          </cell>
          <cell r="M466">
            <v>1.1145547912933007</v>
          </cell>
          <cell r="N466">
            <v>1.2499124465924214</v>
          </cell>
          <cell r="O466">
            <v>0.97433969250602104</v>
          </cell>
          <cell r="P466">
            <v>0.13865886124043997</v>
          </cell>
          <cell r="Q466">
            <v>2.1748080949057922</v>
          </cell>
          <cell r="R466">
            <v>3.1794784845342146</v>
          </cell>
          <cell r="S466">
            <v>1.0992323700826874</v>
          </cell>
          <cell r="T466">
            <v>1.418712105879268</v>
          </cell>
          <cell r="U466">
            <v>1.7294953910912045</v>
          </cell>
        </row>
        <row r="467">
          <cell r="B467" t="str">
            <v>FY(1)</v>
          </cell>
          <cell r="C467">
            <v>1.9634987696449357</v>
          </cell>
          <cell r="D467">
            <v>1.5921080102834659</v>
          </cell>
          <cell r="E467">
            <v>3.5213781830695114</v>
          </cell>
          <cell r="F467">
            <v>2.6340789332320407</v>
          </cell>
          <cell r="G467">
            <v>11.924217205587883</v>
          </cell>
          <cell r="H467">
            <v>2.5402353666684365</v>
          </cell>
          <cell r="I467">
            <v>2.8040238749093813</v>
          </cell>
          <cell r="J467">
            <v>3.8542200490565222</v>
          </cell>
          <cell r="K467">
            <v>2.6655393954503377</v>
          </cell>
          <cell r="M467">
            <v>1.8125081650204506</v>
          </cell>
          <cell r="N467">
            <v>1.2449993849825833</v>
          </cell>
          <cell r="O467">
            <v>1.8401580358402727</v>
          </cell>
          <cell r="P467">
            <v>0.26025301117841149</v>
          </cell>
          <cell r="Q467">
            <v>2.0176962676962678</v>
          </cell>
          <cell r="R467">
            <v>3.3424457701446935</v>
          </cell>
          <cell r="S467">
            <v>1.0869568735825657</v>
          </cell>
          <cell r="T467">
            <v>1.6578596440636062</v>
          </cell>
          <cell r="U467">
            <v>1.8251633583838809</v>
          </cell>
        </row>
        <row r="468">
          <cell r="B468" t="str">
            <v>FY0</v>
          </cell>
          <cell r="C468">
            <v>1.3479594697375761</v>
          </cell>
          <cell r="D468">
            <v>1.6074809392075593</v>
          </cell>
          <cell r="E468">
            <v>3.0586126468555634</v>
          </cell>
          <cell r="F468">
            <v>2.047152672525633</v>
          </cell>
          <cell r="G468">
            <v>5.2296873407878488</v>
          </cell>
          <cell r="H468">
            <v>1.696038296095902</v>
          </cell>
          <cell r="I468">
            <v>1.9615963754819123</v>
          </cell>
          <cell r="J468">
            <v>2.4212182486702849</v>
          </cell>
          <cell r="K468">
            <v>2.0693383134945118</v>
          </cell>
          <cell r="M468">
            <v>2.5610036296682419</v>
          </cell>
          <cell r="N468">
            <v>0.81276759274384647</v>
          </cell>
          <cell r="O468">
            <v>1.8483523878471451</v>
          </cell>
          <cell r="P468">
            <v>0.34745351137138419</v>
          </cell>
          <cell r="Q468">
            <v>1.5517426273458446</v>
          </cell>
          <cell r="R468">
            <v>2.567792220893554</v>
          </cell>
          <cell r="S468">
            <v>0.92796661441807282</v>
          </cell>
          <cell r="T468">
            <v>1.5167255120411556</v>
          </cell>
          <cell r="U468">
            <v>1.5811015026553612</v>
          </cell>
        </row>
        <row r="469">
          <cell r="A469" t="str">
            <v>mstag:capitalExpenditures</v>
          </cell>
          <cell r="B469" t="str">
            <v>FY1</v>
          </cell>
          <cell r="C469">
            <v>1.0482258192150369</v>
          </cell>
          <cell r="D469">
            <v>1.2582527657927727</v>
          </cell>
          <cell r="E469">
            <v>2.4094468811563323</v>
          </cell>
          <cell r="F469">
            <v>1.5941125062690669</v>
          </cell>
          <cell r="G469">
            <v>4.17922891856856</v>
          </cell>
          <cell r="H469">
            <v>1.5256205587282161</v>
          </cell>
          <cell r="I469">
            <v>1.6826788867179201</v>
          </cell>
          <cell r="J469">
            <v>1.9567951909211292</v>
          </cell>
          <cell r="K469">
            <v>1.6758209958676464</v>
          </cell>
          <cell r="M469">
            <v>2.391050370712593</v>
          </cell>
          <cell r="N469">
            <v>0.71932761632238529</v>
          </cell>
          <cell r="O469">
            <v>1.4432560378481065</v>
          </cell>
          <cell r="P469">
            <v>0.28759622817734298</v>
          </cell>
          <cell r="Q469">
            <v>1.5987513531074025</v>
          </cell>
          <cell r="R469">
            <v>2.4837915361158127</v>
          </cell>
          <cell r="S469">
            <v>0.64964261665766232</v>
          </cell>
          <cell r="T469">
            <v>1.3676308227059006</v>
          </cell>
          <cell r="U469">
            <v>1.5126774008222057</v>
          </cell>
        </row>
        <row r="470">
          <cell r="B470" t="str">
            <v>FY2</v>
          </cell>
          <cell r="C470">
            <v>0.87493009858381077</v>
          </cell>
          <cell r="D470">
            <v>1.1579138512985476</v>
          </cell>
          <cell r="E470">
            <v>1.9226546792326706</v>
          </cell>
          <cell r="F470">
            <v>1.5163541404967966</v>
          </cell>
          <cell r="G470">
            <v>3.0895363696481981</v>
          </cell>
          <cell r="H470">
            <v>1.4849145427793713</v>
          </cell>
          <cell r="I470">
            <v>1.5179536310666246</v>
          </cell>
          <cell r="J470">
            <v>1.6520367590151455</v>
          </cell>
          <cell r="K470">
            <v>1.4482420880717608</v>
          </cell>
          <cell r="M470">
            <v>2.4665701567877596</v>
          </cell>
          <cell r="N470">
            <v>0.77815718698320846</v>
          </cell>
          <cell r="O470">
            <v>1.2438592969656144</v>
          </cell>
          <cell r="P470">
            <v>0.23617584483676721</v>
          </cell>
          <cell r="Q470">
            <v>1.5955958846176646</v>
          </cell>
          <cell r="R470">
            <v>2.200647221162388</v>
          </cell>
          <cell r="S470">
            <v>0.51167660904846224</v>
          </cell>
          <cell r="T470">
            <v>1.2903831714859808</v>
          </cell>
          <cell r="U470">
            <v>1.4299289350190132</v>
          </cell>
        </row>
        <row r="471">
          <cell r="B471" t="str">
            <v>FY1</v>
          </cell>
          <cell r="C471">
            <v>647.25003538475005</v>
          </cell>
          <cell r="D471">
            <v>597.63773739153396</v>
          </cell>
          <cell r="E471">
            <v>398.916049323469</v>
          </cell>
          <cell r="F471">
            <v>361</v>
          </cell>
          <cell r="G471">
            <v>66.837014679888597</v>
          </cell>
          <cell r="H471">
            <v>164.974553241579</v>
          </cell>
          <cell r="I471">
            <v>465.40417961601298</v>
          </cell>
          <cell r="J471">
            <v>386.00279566246201</v>
          </cell>
          <cell r="K471">
            <v>2702.0195696372339</v>
          </cell>
          <cell r="M471">
            <v>185.09325427162901</v>
          </cell>
          <cell r="N471">
            <v>49.858069962182</v>
          </cell>
          <cell r="O471">
            <v>129.30167913915301</v>
          </cell>
          <cell r="P471">
            <v>107.320766852448</v>
          </cell>
          <cell r="Q471">
            <v>350.99767742648697</v>
          </cell>
          <cell r="R471">
            <v>225.261</v>
          </cell>
          <cell r="S471">
            <v>119.233752219984</v>
          </cell>
          <cell r="T471">
            <v>166.72374283884042</v>
          </cell>
          <cell r="U471">
            <v>1167.0661998718829</v>
          </cell>
          <cell r="W471">
            <v>3869.0857695091167</v>
          </cell>
        </row>
        <row r="472">
          <cell r="B472" t="str">
            <v>Adjusted Net Debt/Cap (includes Rent capitalized at 8x)</v>
          </cell>
          <cell r="C472">
            <v>746.07111004947603</v>
          </cell>
          <cell r="D472">
            <v>394.57224859306899</v>
          </cell>
          <cell r="E472">
            <v>618.35365471548903</v>
          </cell>
          <cell r="F472">
            <v>465.162968324612</v>
          </cell>
          <cell r="G472">
            <v>45.8188964183229</v>
          </cell>
          <cell r="H472">
            <v>200.649569914437</v>
          </cell>
          <cell r="I472">
            <v>517.37070757901802</v>
          </cell>
          <cell r="J472">
            <v>426.85702222777485</v>
          </cell>
          <cell r="K472">
            <v>2987.9991555944239</v>
          </cell>
          <cell r="M472">
            <v>246.71197020712299</v>
          </cell>
          <cell r="N472">
            <v>67.516321371336403</v>
          </cell>
          <cell r="O472">
            <v>135.41319328435799</v>
          </cell>
          <cell r="P472">
            <v>137.30003618500299</v>
          </cell>
          <cell r="Q472">
            <v>423.142401533449</v>
          </cell>
          <cell r="R472">
            <v>252.161501557756</v>
          </cell>
          <cell r="S472">
            <v>148.570424497277</v>
          </cell>
          <cell r="T472">
            <v>201.5451212337575</v>
          </cell>
          <cell r="U472">
            <v>1410.8158486363025</v>
          </cell>
          <cell r="W472">
            <v>4398.8150042307261</v>
          </cell>
          <cell r="X472">
            <v>0.13691328295077265</v>
          </cell>
        </row>
        <row r="473">
          <cell r="B473" t="str">
            <v>FY(2)</v>
          </cell>
          <cell r="C473">
            <v>0.43550302523316747</v>
          </cell>
          <cell r="D473">
            <v>0.34964680059462472</v>
          </cell>
          <cell r="E473">
            <v>0.52473300112136523</v>
          </cell>
          <cell r="F473">
            <v>0.7142928672679153</v>
          </cell>
          <cell r="G473">
            <v>0.4984460608672418</v>
          </cell>
          <cell r="H473">
            <v>0.70313158045244917</v>
          </cell>
          <cell r="I473">
            <v>0.77154204302150575</v>
          </cell>
          <cell r="J473">
            <v>0.57104219693689562</v>
          </cell>
          <cell r="K473">
            <v>0.54466525719550296</v>
          </cell>
          <cell r="M473">
            <v>0.38342940939156683</v>
          </cell>
          <cell r="N473">
            <v>0.4797066456825303</v>
          </cell>
          <cell r="O473">
            <v>0.31848964014715719</v>
          </cell>
          <cell r="P473">
            <v>5.9088361908869382E-2</v>
          </cell>
          <cell r="Q473">
            <v>0.50998199967272129</v>
          </cell>
          <cell r="R473">
            <v>0.60787298235139131</v>
          </cell>
          <cell r="S473">
            <v>0.26256613636624776</v>
          </cell>
          <cell r="T473">
            <v>0.37444788221721204</v>
          </cell>
          <cell r="U473">
            <v>0.45453050790622207</v>
          </cell>
        </row>
        <row r="474">
          <cell r="B474" t="str">
            <v>FY(1)</v>
          </cell>
          <cell r="C474">
            <v>0.42366442772181695</v>
          </cell>
          <cell r="D474">
            <v>0.41016752157869452</v>
          </cell>
          <cell r="E474">
            <v>0.68775045575596683</v>
          </cell>
          <cell r="F474">
            <v>0.71590113352887597</v>
          </cell>
          <cell r="G474">
            <v>0.57198793761492206</v>
          </cell>
          <cell r="H474">
            <v>0.70963308161370375</v>
          </cell>
          <cell r="I474">
            <v>0.78410355528262954</v>
          </cell>
          <cell r="J474">
            <v>0.61474401615665852</v>
          </cell>
          <cell r="K474">
            <v>0.60997299068920097</v>
          </cell>
          <cell r="M474">
            <v>0.43497953260620403</v>
          </cell>
          <cell r="N474">
            <v>0.44908374146140695</v>
          </cell>
          <cell r="O474">
            <v>0.38274031326642549</v>
          </cell>
          <cell r="P474">
            <v>0.14380647260531124</v>
          </cell>
          <cell r="Q474">
            <v>0.50682938656752607</v>
          </cell>
          <cell r="R474">
            <v>0.61421029375145364</v>
          </cell>
          <cell r="S474">
            <v>0.27453474165713265</v>
          </cell>
          <cell r="T474">
            <v>0.40088349741649426</v>
          </cell>
          <cell r="U474">
            <v>0.46823935768246799</v>
          </cell>
          <cell r="W474">
            <v>0.10583919863895908</v>
          </cell>
        </row>
        <row r="475">
          <cell r="B475" t="str">
            <v>FY0</v>
          </cell>
          <cell r="C475">
            <v>0.32437098274976922</v>
          </cell>
          <cell r="D475">
            <v>0.31866099855600216</v>
          </cell>
          <cell r="E475">
            <v>0.65312992870384889</v>
          </cell>
          <cell r="F475">
            <v>0.61679852898467369</v>
          </cell>
          <cell r="G475">
            <v>0.49446934556739103</v>
          </cell>
          <cell r="H475">
            <v>0.64162547041683271</v>
          </cell>
          <cell r="I475">
            <v>0.69619172996255518</v>
          </cell>
          <cell r="J475">
            <v>0.53503528356301033</v>
          </cell>
          <cell r="K475">
            <v>0.53035963604257441</v>
          </cell>
          <cell r="M475">
            <v>0.40814676439653425</v>
          </cell>
          <cell r="N475">
            <v>0.35827227984819415</v>
          </cell>
          <cell r="O475">
            <v>0.3387947354498817</v>
          </cell>
          <cell r="P475">
            <v>0.1506674822931261</v>
          </cell>
          <cell r="Q475">
            <v>0.41098224852071003</v>
          </cell>
          <cell r="R475">
            <v>0.51139588766764599</v>
          </cell>
          <cell r="S475">
            <v>0.22361029785419212</v>
          </cell>
          <cell r="T475">
            <v>0.34312424229004063</v>
          </cell>
          <cell r="U475">
            <v>0.39089769547383957</v>
          </cell>
        </row>
        <row r="476">
          <cell r="B476" t="str">
            <v>FY1</v>
          </cell>
          <cell r="C476">
            <v>0.27761167517410235</v>
          </cell>
          <cell r="D476">
            <v>0.28675163494379724</v>
          </cell>
          <cell r="E476">
            <v>0.58794038590017261</v>
          </cell>
          <cell r="F476">
            <v>0.53853754106956986</v>
          </cell>
          <cell r="G476">
            <v>0.49605191308167351</v>
          </cell>
          <cell r="H476">
            <v>0.6363634999736747</v>
          </cell>
          <cell r="I476">
            <v>0.64872711884527645</v>
          </cell>
          <cell r="J476">
            <v>0.49599768128403809</v>
          </cell>
          <cell r="K476">
            <v>0.48136100917699715</v>
          </cell>
          <cell r="M476">
            <v>0.45338273009338498</v>
          </cell>
          <cell r="N476">
            <v>0.3113380398102033</v>
          </cell>
          <cell r="O476">
            <v>0.31348272554407308</v>
          </cell>
          <cell r="P476">
            <v>0.12284434737617074</v>
          </cell>
          <cell r="Q476">
            <v>0.42264761699012438</v>
          </cell>
          <cell r="R476">
            <v>0.55140427089044997</v>
          </cell>
          <cell r="S476">
            <v>0.1602020261661532</v>
          </cell>
          <cell r="T476">
            <v>0.33361453669579422</v>
          </cell>
          <cell r="U476">
            <v>0.39418186587584914</v>
          </cell>
        </row>
        <row r="477">
          <cell r="B477" t="str">
            <v>FY2</v>
          </cell>
          <cell r="C477">
            <v>0.24658198099063369</v>
          </cell>
          <cell r="D477">
            <v>0.27605661840184514</v>
          </cell>
          <cell r="E477">
            <v>0.50433224175968594</v>
          </cell>
          <cell r="F477">
            <v>0.5135949170173888</v>
          </cell>
          <cell r="G477">
            <v>0.48846420448934763</v>
          </cell>
          <cell r="H477">
            <v>0.6169160063040503</v>
          </cell>
          <cell r="I477">
            <v>0.59472351294919445</v>
          </cell>
          <cell r="J477">
            <v>0.46295278313030652</v>
          </cell>
          <cell r="K477">
            <v>0.43649769110271114</v>
          </cell>
          <cell r="M477">
            <v>0.51651231294961675</v>
          </cell>
          <cell r="N477">
            <v>0.31530347483637128</v>
          </cell>
          <cell r="O477">
            <v>0.28902023877853833</v>
          </cell>
          <cell r="P477">
            <v>0.10027717592566783</v>
          </cell>
          <cell r="Q477">
            <v>0.43774664231019594</v>
          </cell>
          <cell r="R477">
            <v>0.50719980535825493</v>
          </cell>
          <cell r="S477">
            <v>0.12596486252548919</v>
          </cell>
          <cell r="T477">
            <v>0.32743207324059054</v>
          </cell>
          <cell r="U477">
            <v>0.38456886671914609</v>
          </cell>
        </row>
        <row r="478">
          <cell r="B478" t="str">
            <v>FY1</v>
          </cell>
          <cell r="C478">
            <v>3.7856912119302158E-2</v>
          </cell>
          <cell r="D478">
            <v>3.4128142880679689E-2</v>
          </cell>
          <cell r="E478">
            <v>1.7111780644585135E-2</v>
          </cell>
          <cell r="F478">
            <v>4.46975854382725E-2</v>
          </cell>
          <cell r="G478">
            <v>2.5944116217902227E-2</v>
          </cell>
          <cell r="H478">
            <v>2.3149873315251059E-2</v>
          </cell>
          <cell r="I478">
            <v>2.3293819102922865E-2</v>
          </cell>
          <cell r="J478">
            <v>2.945460424555937E-2</v>
          </cell>
          <cell r="K478">
            <v>2.8240168758070814E-2</v>
          </cell>
          <cell r="M478">
            <v>6.2329427377884772E-2</v>
          </cell>
          <cell r="N478">
            <v>2.2851036467750125E-2</v>
          </cell>
          <cell r="O478">
            <v>4.3803673426332575E-2</v>
          </cell>
          <cell r="P478">
            <v>3.0749077335192904E-2</v>
          </cell>
          <cell r="Q478">
            <v>2.4603922708742794E-2</v>
          </cell>
          <cell r="R478">
            <v>2.6555011119058704E-2</v>
          </cell>
          <cell r="S478">
            <v>6.1491685262025593E-2</v>
          </cell>
          <cell r="T478">
            <v>3.8911976242426781E-2</v>
          </cell>
          <cell r="U478">
            <v>3.2167174429495293E-2</v>
          </cell>
        </row>
        <row r="479">
          <cell r="B479" t="str">
            <v>FY2</v>
          </cell>
          <cell r="C479">
            <v>4.1056912119301993E-2</v>
          </cell>
          <cell r="D479">
            <v>2.2583973489152562E-2</v>
          </cell>
          <cell r="E479">
            <v>2.6999999999999975E-2</v>
          </cell>
          <cell r="F479">
            <v>5.7000000000000009E-2</v>
          </cell>
          <cell r="G479">
            <v>1.749999999999996E-2</v>
          </cell>
          <cell r="H479">
            <v>2.7000000000000017E-2</v>
          </cell>
          <cell r="I479">
            <v>2.4293819102922845E-2</v>
          </cell>
          <cell r="J479">
            <v>3.0919243530196767E-2</v>
          </cell>
          <cell r="K479">
            <v>3.0473682053923909E-2</v>
          </cell>
          <cell r="M479">
            <v>7.4829427377884575E-2</v>
          </cell>
          <cell r="N479">
            <v>2.7949999999999978E-2</v>
          </cell>
          <cell r="O479">
            <v>4.2803673426332609E-2</v>
          </cell>
          <cell r="P479">
            <v>3.6749077335192643E-2</v>
          </cell>
          <cell r="Q479">
            <v>3.0000000000000072E-2</v>
          </cell>
          <cell r="R479">
            <v>2.9499999999999988E-2</v>
          </cell>
          <cell r="S479">
            <v>6.5794955109565761E-2</v>
          </cell>
          <cell r="T479">
            <v>4.3946733321282232E-2</v>
          </cell>
          <cell r="U479">
            <v>3.7598679443819762E-2</v>
          </cell>
        </row>
        <row r="480">
          <cell r="B480" t="str">
            <v>Unadjusted Net Debt/Cap</v>
          </cell>
        </row>
        <row r="481">
          <cell r="A481" t="str">
            <v>mstag:averageDilutedSharesOutstanding</v>
          </cell>
          <cell r="B481" t="str">
            <v>FY(2)</v>
          </cell>
          <cell r="C481">
            <v>0.17155117918135337</v>
          </cell>
          <cell r="D481">
            <v>0.13036246177433036</v>
          </cell>
          <cell r="E481">
            <v>0.46643565615462851</v>
          </cell>
          <cell r="F481">
            <v>0.59235816811785225</v>
          </cell>
          <cell r="G481">
            <v>0.26971047322857289</v>
          </cell>
          <cell r="H481">
            <v>-0.10143943375668921</v>
          </cell>
          <cell r="I481">
            <v>3.451495658087933E-2</v>
          </cell>
          <cell r="J481">
            <v>0.22335620875441822</v>
          </cell>
          <cell r="K481">
            <v>0.30990908137205347</v>
          </cell>
          <cell r="M481">
            <v>-0.32264130511775407</v>
          </cell>
          <cell r="N481">
            <v>-1.1584277864514689</v>
          </cell>
          <cell r="O481">
            <v>-0.36095859344226999</v>
          </cell>
          <cell r="P481">
            <v>-0.36363821654453149</v>
          </cell>
          <cell r="Q481">
            <v>-0.34222321828776331</v>
          </cell>
          <cell r="R481">
            <v>0.33787739453859944</v>
          </cell>
          <cell r="S481">
            <v>-0.42883724636203746</v>
          </cell>
          <cell r="T481">
            <v>-0.37697842452388947</v>
          </cell>
          <cell r="U481">
            <v>-0.13489505937003851</v>
          </cell>
        </row>
        <row r="482">
          <cell r="B482" t="str">
            <v>FY(1)</v>
          </cell>
          <cell r="C482">
            <v>0.15822915618753594</v>
          </cell>
          <cell r="D482">
            <v>0.15057089093463449</v>
          </cell>
          <cell r="E482">
            <v>0.58509062391077027</v>
          </cell>
          <cell r="F482">
            <v>0.6556757193772984</v>
          </cell>
          <cell r="G482">
            <v>0.38896458007874457</v>
          </cell>
          <cell r="H482">
            <v>-0.15017448570224767</v>
          </cell>
          <cell r="I482">
            <v>0.11189509312225583</v>
          </cell>
          <cell r="J482">
            <v>0.27146451112985603</v>
          </cell>
          <cell r="K482">
            <v>0.35221633255581436</v>
          </cell>
          <cell r="M482">
            <v>-0.21697131567535613</v>
          </cell>
          <cell r="N482">
            <v>-0.64363769503745849</v>
          </cell>
          <cell r="O482">
            <v>-0.27550098347002122</v>
          </cell>
          <cell r="P482">
            <v>-0.46612734724491706</v>
          </cell>
          <cell r="Q482">
            <v>-0.37525354969574037</v>
          </cell>
          <cell r="R482">
            <v>0.36128189984901221</v>
          </cell>
          <cell r="S482">
            <v>-0.3473065882185476</v>
          </cell>
          <cell r="T482">
            <v>-0.28050222564186122</v>
          </cell>
          <cell r="U482">
            <v>-0.13274448535899933</v>
          </cell>
        </row>
        <row r="483">
          <cell r="B483" t="str">
            <v>FY0</v>
          </cell>
          <cell r="C483">
            <v>-1.9933208662836408E-2</v>
          </cell>
          <cell r="D483">
            <v>4.7121114935010998E-2</v>
          </cell>
          <cell r="E483">
            <v>0.52329464885439214</v>
          </cell>
          <cell r="F483">
            <v>0.43447567580446406</v>
          </cell>
          <cell r="G483">
            <v>0.22179778818940543</v>
          </cell>
          <cell r="H483">
            <v>-0.47426963580467424</v>
          </cell>
          <cell r="I483">
            <v>-0.26506359909847371</v>
          </cell>
          <cell r="J483">
            <v>6.6774683459612613E-2</v>
          </cell>
          <cell r="K483">
            <v>0.18420323911802425</v>
          </cell>
          <cell r="M483">
            <v>-0.33690533113642818</v>
          </cell>
          <cell r="N483">
            <v>-0.79836155526275465</v>
          </cell>
          <cell r="O483">
            <v>-0.41568408664627049</v>
          </cell>
          <cell r="P483">
            <v>-0.44374415164262937</v>
          </cell>
          <cell r="Q483">
            <v>-0.52643631159272131</v>
          </cell>
          <cell r="R483">
            <v>0.18717424120299675</v>
          </cell>
          <cell r="S483">
            <v>-0.38675637639528909</v>
          </cell>
          <cell r="T483">
            <v>-0.38867336735329949</v>
          </cell>
          <cell r="U483">
            <v>-0.27326179546257678</v>
          </cell>
        </row>
        <row r="484">
          <cell r="B484" t="str">
            <v>FY1</v>
          </cell>
          <cell r="C484">
            <v>-7.2935073750824544E-2</v>
          </cell>
          <cell r="D484">
            <v>1.3155159541196127E-2</v>
          </cell>
          <cell r="E484">
            <v>0.41980917229782333</v>
          </cell>
          <cell r="F484">
            <v>0.36053432174461086</v>
          </cell>
          <cell r="G484">
            <v>0.20965041705312365</v>
          </cell>
          <cell r="H484">
            <v>-0.53100621148321026</v>
          </cell>
          <cell r="I484">
            <v>-0.35218119816282695</v>
          </cell>
          <cell r="J484">
            <v>6.7180838914131912E-3</v>
          </cell>
          <cell r="K484">
            <v>0.10981844106149648</v>
          </cell>
          <cell r="M484">
            <v>-0.31696737676589115</v>
          </cell>
          <cell r="N484">
            <v>-0.81056984395921061</v>
          </cell>
          <cell r="O484">
            <v>-0.45074199089855554</v>
          </cell>
          <cell r="P484">
            <v>-0.47962616706148459</v>
          </cell>
          <cell r="Q484">
            <v>-0.5259313947145341</v>
          </cell>
          <cell r="R484">
            <v>0.20478481199346313</v>
          </cell>
          <cell r="S484">
            <v>-0.4584563567467998</v>
          </cell>
          <cell r="T484">
            <v>-0.40535833116471603</v>
          </cell>
          <cell r="U484">
            <v>-0.2895501330219753</v>
          </cell>
        </row>
        <row r="485">
          <cell r="B485" t="str">
            <v>FY2</v>
          </cell>
          <cell r="C485">
            <v>-0.11691253486773395</v>
          </cell>
          <cell r="D485">
            <v>1.754998212719309E-3</v>
          </cell>
          <cell r="E485">
            <v>0.3129261572355303</v>
          </cell>
          <cell r="F485">
            <v>0.34480358906781372</v>
          </cell>
          <cell r="G485">
            <v>0.16956021690549561</v>
          </cell>
          <cell r="H485">
            <v>-0.56910526799632311</v>
          </cell>
          <cell r="I485">
            <v>-0.41624883383416506</v>
          </cell>
          <cell r="J485">
            <v>-3.9031667896666164E-2</v>
          </cell>
          <cell r="K485">
            <v>4.5605791379651359E-2</v>
          </cell>
          <cell r="M485">
            <v>-0.2634205574684077</v>
          </cell>
          <cell r="N485">
            <v>-0.82009107779971702</v>
          </cell>
          <cell r="O485">
            <v>-0.51081593690746263</v>
          </cell>
          <cell r="P485">
            <v>-0.51559661788992583</v>
          </cell>
          <cell r="Q485">
            <v>-0.5395925627073267</v>
          </cell>
          <cell r="R485">
            <v>0.12896858216293094</v>
          </cell>
          <cell r="S485">
            <v>-0.48495269741359415</v>
          </cell>
          <cell r="T485">
            <v>-0.42935726686050046</v>
          </cell>
          <cell r="U485">
            <v>-0.32037353322343692</v>
          </cell>
        </row>
        <row r="486">
          <cell r="B486" t="str">
            <v>FQ(3)</v>
          </cell>
          <cell r="C486">
            <v>0.13165244885644173</v>
          </cell>
          <cell r="D486">
            <v>0.17755785281902353</v>
          </cell>
          <cell r="E486">
            <v>0.63831195465731949</v>
          </cell>
          <cell r="F486">
            <v>0.64204997437544531</v>
          </cell>
          <cell r="G486">
            <v>0.38244531184707647</v>
          </cell>
          <cell r="H486">
            <v>-0.26173584744947953</v>
          </cell>
          <cell r="I486">
            <v>3.5756544743929017E-2</v>
          </cell>
          <cell r="J486">
            <v>0.24943403426425087</v>
          </cell>
          <cell r="K486">
            <v>0.34803839154712585</v>
          </cell>
          <cell r="M486">
            <v>-0.1943611479331738</v>
          </cell>
          <cell r="N486">
            <v>-0.6238137323775208</v>
          </cell>
          <cell r="O486">
            <v>-0.24815342698230658</v>
          </cell>
          <cell r="P486">
            <v>-0.33375451608586781</v>
          </cell>
          <cell r="Q486">
            <v>-0.37621145374449338</v>
          </cell>
          <cell r="R486">
            <v>0.41408090685248566</v>
          </cell>
          <cell r="S486">
            <v>-0.27264374428604671</v>
          </cell>
          <cell r="T486">
            <v>-0.23355101636527478</v>
          </cell>
          <cell r="U486">
            <v>-9.8884422673623046E-2</v>
          </cell>
        </row>
        <row r="487">
          <cell r="B487" t="str">
            <v>FQ(2)</v>
          </cell>
          <cell r="C487">
            <v>7.7701535780119499E-2</v>
          </cell>
          <cell r="D487">
            <v>0.13622490218961908</v>
          </cell>
          <cell r="E487">
            <v>0.6184830106230691</v>
          </cell>
          <cell r="F487">
            <v>0.53015548678398849</v>
          </cell>
          <cell r="G487">
            <v>0.37442306868519326</v>
          </cell>
          <cell r="H487">
            <v>-0.30470286332377144</v>
          </cell>
          <cell r="I487">
            <v>-5.2925525134638815E-2</v>
          </cell>
          <cell r="J487">
            <v>0.19705137365765421</v>
          </cell>
          <cell r="K487">
            <v>0.29401108161568013</v>
          </cell>
          <cell r="M487">
            <v>-0.22562571997639078</v>
          </cell>
          <cell r="N487">
            <v>-0.57138666964634899</v>
          </cell>
          <cell r="O487">
            <v>-0.29438841264919668</v>
          </cell>
          <cell r="P487">
            <v>-0.44374415164262937</v>
          </cell>
          <cell r="Q487">
            <v>-0.44910432033719705</v>
          </cell>
          <cell r="R487">
            <v>0.33171155262653013</v>
          </cell>
          <cell r="S487">
            <v>-0.25148600218600176</v>
          </cell>
          <cell r="T487">
            <v>-0.27200338911589061</v>
          </cell>
          <cell r="U487">
            <v>-0.15687992193216713</v>
          </cell>
        </row>
        <row r="488">
          <cell r="B488" t="str">
            <v>FQ(1)</v>
          </cell>
          <cell r="C488">
            <v>5.707190332305092E-2</v>
          </cell>
          <cell r="D488">
            <v>0.15826955194978698</v>
          </cell>
          <cell r="E488">
            <v>0.6226238261132987</v>
          </cell>
          <cell r="F488">
            <v>0.52691735556036645</v>
          </cell>
          <cell r="G488">
            <v>0.31966834963038077</v>
          </cell>
          <cell r="H488">
            <v>-0.33975958743009227</v>
          </cell>
          <cell r="I488">
            <v>-0.11487609725000009</v>
          </cell>
          <cell r="J488">
            <v>0.17570218598525592</v>
          </cell>
          <cell r="K488">
            <v>0.28413733640922606</v>
          </cell>
          <cell r="M488">
            <v>-0.25957070942652749</v>
          </cell>
          <cell r="N488">
            <v>-0.6367063228696217</v>
          </cell>
          <cell r="O488">
            <v>-0.29613012098734831</v>
          </cell>
          <cell r="P488">
            <v>-0.51955400366751436</v>
          </cell>
          <cell r="Q488">
            <v>-0.48142943184099579</v>
          </cell>
          <cell r="R488">
            <v>0.40295036845359711</v>
          </cell>
          <cell r="S488">
            <v>-0.34428435067392987</v>
          </cell>
          <cell r="T488">
            <v>-0.30496065300176289</v>
          </cell>
          <cell r="U488">
            <v>-0.18611066517540401</v>
          </cell>
        </row>
        <row r="489">
          <cell r="B489" t="str">
            <v>Last Reported Q</v>
          </cell>
          <cell r="C489">
            <v>-1.9933208662836408E-2</v>
          </cell>
          <cell r="D489">
            <v>4.7121114935010998E-2</v>
          </cell>
          <cell r="E489">
            <v>0.52329464885439214</v>
          </cell>
          <cell r="F489">
            <v>0.43447567580446406</v>
          </cell>
          <cell r="G489">
            <v>0.22179778818940543</v>
          </cell>
          <cell r="H489">
            <v>-0.47426963580467424</v>
          </cell>
          <cell r="I489">
            <v>-0.26506359909847371</v>
          </cell>
          <cell r="J489">
            <v>6.6774683459612613E-2</v>
          </cell>
          <cell r="K489">
            <v>0.18420323911802425</v>
          </cell>
          <cell r="M489">
            <v>-0.33690533113642818</v>
          </cell>
          <cell r="N489">
            <v>-0.79836155526275465</v>
          </cell>
          <cell r="O489">
            <v>-0.41568408664627049</v>
          </cell>
          <cell r="P489">
            <v>-0.57023011231105614</v>
          </cell>
          <cell r="Q489">
            <v>-0.52643631159272131</v>
          </cell>
          <cell r="R489">
            <v>0.18717424120299675</v>
          </cell>
          <cell r="S489">
            <v>-0.38675637639528909</v>
          </cell>
          <cell r="T489">
            <v>-0.40674279030593186</v>
          </cell>
          <cell r="U489">
            <v>-0.28900238332255856</v>
          </cell>
        </row>
        <row r="490">
          <cell r="B490" t="str">
            <v>Last Reported Q</v>
          </cell>
          <cell r="C490">
            <v>308</v>
          </cell>
          <cell r="D490">
            <v>237.6</v>
          </cell>
          <cell r="E490">
            <v>421.8</v>
          </cell>
          <cell r="F490">
            <v>220.7</v>
          </cell>
          <cell r="G490">
            <v>152.45599999999999</v>
          </cell>
          <cell r="H490">
            <v>124.648</v>
          </cell>
          <cell r="I490">
            <v>428.09199999999998</v>
          </cell>
          <cell r="M490">
            <v>88.73</v>
          </cell>
          <cell r="N490">
            <v>67.991</v>
          </cell>
          <cell r="O490">
            <v>209.393</v>
          </cell>
          <cell r="P490">
            <v>325.62</v>
          </cell>
          <cell r="Q490">
            <v>704</v>
          </cell>
          <cell r="R490">
            <v>328.25900000000001</v>
          </cell>
          <cell r="S490">
            <v>171.44390200000001</v>
          </cell>
        </row>
        <row r="491">
          <cell r="A491" t="str">
            <v>mscalc:bookValuePerShareReported</v>
          </cell>
          <cell r="B491" t="str">
            <v>Book Value per Share</v>
          </cell>
          <cell r="C491">
            <v>306.25</v>
          </cell>
          <cell r="D491">
            <v>229.17499999999998</v>
          </cell>
          <cell r="E491">
            <v>421.67500000000001</v>
          </cell>
          <cell r="F491">
            <v>218.42500000000001</v>
          </cell>
          <cell r="G491">
            <v>141.69149999999999</v>
          </cell>
          <cell r="H491">
            <v>126.26124999999999</v>
          </cell>
          <cell r="I491">
            <v>430.21950000000004</v>
          </cell>
          <cell r="M491">
            <v>88.140749999999997</v>
          </cell>
          <cell r="N491">
            <v>67.879500000000007</v>
          </cell>
          <cell r="O491">
            <v>208.06475</v>
          </cell>
          <cell r="P491">
            <v>326.54150000000004</v>
          </cell>
          <cell r="Q491">
            <v>701.75</v>
          </cell>
          <cell r="R491">
            <v>325.17600000000004</v>
          </cell>
          <cell r="S491">
            <v>170.63794924999999</v>
          </cell>
        </row>
        <row r="492">
          <cell r="B492" t="str">
            <v>FY0</v>
          </cell>
          <cell r="C492">
            <v>25.581971111559898</v>
          </cell>
          <cell r="D492">
            <v>20.228813559321999</v>
          </cell>
          <cell r="E492">
            <v>11.1522311579247</v>
          </cell>
          <cell r="F492">
            <v>7.2103264093207899</v>
          </cell>
          <cell r="G492">
            <v>6.7769218044169897</v>
          </cell>
          <cell r="H492">
            <v>9.4449871466029904</v>
          </cell>
          <cell r="I492">
            <v>7.0575837962216603</v>
          </cell>
          <cell r="M492">
            <v>20.809422060578498</v>
          </cell>
          <cell r="N492">
            <v>4.6120452582064999</v>
          </cell>
          <cell r="O492">
            <v>7.5511172122354298</v>
          </cell>
          <cell r="P492">
            <v>5.2874668910592098</v>
          </cell>
          <cell r="Q492">
            <v>7.3282179704913402</v>
          </cell>
          <cell r="R492">
            <v>6.7554028004188202</v>
          </cell>
          <cell r="S492">
            <v>7.6960105991444303</v>
          </cell>
        </row>
        <row r="493">
          <cell r="B493" t="str">
            <v>FY1</v>
          </cell>
          <cell r="C493">
            <v>28.987791150450199</v>
          </cell>
          <cell r="D493">
            <v>21.004944842021398</v>
          </cell>
          <cell r="E493">
            <v>12.80328947854</v>
          </cell>
          <cell r="F493">
            <v>9.2014588952335803</v>
          </cell>
          <cell r="G493">
            <v>6.6846983827321198</v>
          </cell>
          <cell r="H493">
            <v>10.5554386780573</v>
          </cell>
          <cell r="I493">
            <v>8.6548957537455706</v>
          </cell>
          <cell r="M493">
            <v>20.5779707680969</v>
          </cell>
          <cell r="N493">
            <v>5.9700213393204598</v>
          </cell>
          <cell r="O493">
            <v>7.7959405771838099</v>
          </cell>
          <cell r="P493">
            <v>6.2311363676978297</v>
          </cell>
          <cell r="Q493">
            <v>7.5766202395493298</v>
          </cell>
          <cell r="R493">
            <v>6.3691260799745004</v>
          </cell>
          <cell r="S493">
            <v>9.4237637110883892</v>
          </cell>
        </row>
        <row r="494">
          <cell r="B494" t="str">
            <v>FY2</v>
          </cell>
          <cell r="C494">
            <v>32.626001118711997</v>
          </cell>
          <cell r="D494">
            <v>21.959758464535799</v>
          </cell>
          <cell r="E494">
            <v>14.6807784009291</v>
          </cell>
          <cell r="F494">
            <v>10.9850032291769</v>
          </cell>
          <cell r="G494">
            <v>6.7748104299086203</v>
          </cell>
          <cell r="H494">
            <v>12.462182566505399</v>
          </cell>
          <cell r="I494">
            <v>10.707882158953799</v>
          </cell>
          <cell r="J494">
            <v>298.12399999999997</v>
          </cell>
          <cell r="K494">
            <v>1788.7439999999999</v>
          </cell>
          <cell r="M494">
            <v>20.862967341691199</v>
          </cell>
          <cell r="N494">
            <v>7.2792140908088303</v>
          </cell>
          <cell r="O494">
            <v>8.2988766572300605</v>
          </cell>
          <cell r="P494">
            <v>7.06096060554367</v>
          </cell>
          <cell r="Q494">
            <v>7.5439922520262002</v>
          </cell>
          <cell r="R494">
            <v>7.1588926320260802</v>
          </cell>
          <cell r="S494">
            <v>11.3433691405353</v>
          </cell>
          <cell r="T494">
            <v>104.35733333333333</v>
          </cell>
          <cell r="U494">
            <v>626.14400000000001</v>
          </cell>
        </row>
        <row r="495">
          <cell r="A495" t="str">
            <v>mstag:cashDividendsPaid</v>
          </cell>
          <cell r="B495" t="str">
            <v>FY(1)</v>
          </cell>
          <cell r="C495" t="str">
            <v>NA</v>
          </cell>
          <cell r="D495">
            <v>174</v>
          </cell>
          <cell r="E495">
            <v>230</v>
          </cell>
          <cell r="F495">
            <v>134</v>
          </cell>
          <cell r="G495">
            <v>7.43</v>
          </cell>
          <cell r="H495">
            <v>40.637999999999998</v>
          </cell>
          <cell r="I495">
            <v>151.49199999999999</v>
          </cell>
          <cell r="J495">
            <v>122.92666666666666</v>
          </cell>
          <cell r="K495">
            <v>737.56</v>
          </cell>
          <cell r="M495">
            <v>61.33</v>
          </cell>
          <cell r="N495">
            <v>0</v>
          </cell>
          <cell r="O495">
            <v>80.796000000000006</v>
          </cell>
          <cell r="P495">
            <v>0</v>
          </cell>
          <cell r="Q495">
            <v>252</v>
          </cell>
          <cell r="R495">
            <v>227</v>
          </cell>
          <cell r="S495" t="str">
            <v>NA</v>
          </cell>
          <cell r="T495">
            <v>103.521</v>
          </cell>
          <cell r="U495">
            <v>621.12599999999998</v>
          </cell>
        </row>
        <row r="496">
          <cell r="A496" t="str">
            <v>Free Cash Flow</v>
          </cell>
          <cell r="B496" t="str">
            <v>Free Cash Flow (EBITDA less interest, taxes at 38%, and capex)</v>
          </cell>
          <cell r="C496" t="str">
            <v>NA</v>
          </cell>
          <cell r="D496">
            <v>178</v>
          </cell>
          <cell r="E496">
            <v>221</v>
          </cell>
          <cell r="F496">
            <v>138</v>
          </cell>
          <cell r="G496">
            <v>1.1830000000000001</v>
          </cell>
          <cell r="H496">
            <v>49.838000000000001</v>
          </cell>
          <cell r="I496">
            <v>176.749</v>
          </cell>
          <cell r="J496">
            <v>127.46166666666666</v>
          </cell>
          <cell r="K496">
            <v>764.77</v>
          </cell>
          <cell r="M496">
            <v>60.768999999999998</v>
          </cell>
          <cell r="N496">
            <v>0</v>
          </cell>
          <cell r="O496">
            <v>82.394000000000005</v>
          </cell>
          <cell r="P496">
            <v>0</v>
          </cell>
          <cell r="Q496">
            <v>243</v>
          </cell>
          <cell r="R496">
            <v>201</v>
          </cell>
          <cell r="S496" t="str">
            <v>NA</v>
          </cell>
          <cell r="T496">
            <v>97.860500000000002</v>
          </cell>
          <cell r="U496">
            <v>587.16300000000001</v>
          </cell>
        </row>
        <row r="497">
          <cell r="B497" t="str">
            <v>FY(2)</v>
          </cell>
          <cell r="C497">
            <v>1360.4659999999999</v>
          </cell>
          <cell r="D497">
            <v>1336.1</v>
          </cell>
          <cell r="E497">
            <v>1743.44</v>
          </cell>
          <cell r="F497">
            <v>872.57001999999989</v>
          </cell>
          <cell r="G497">
            <v>141.49700592773291</v>
          </cell>
          <cell r="H497">
            <v>333.41181999999998</v>
          </cell>
          <cell r="I497">
            <v>1133.7966574336956</v>
          </cell>
          <cell r="J497">
            <v>988.754500480204</v>
          </cell>
          <cell r="K497">
            <v>6921.2815033614279</v>
          </cell>
          <cell r="M497">
            <v>181.81038000000001</v>
          </cell>
          <cell r="N497">
            <v>60.234480000000005</v>
          </cell>
          <cell r="O497">
            <v>165.19883999999999</v>
          </cell>
          <cell r="P497">
            <v>525.18407999999999</v>
          </cell>
          <cell r="Q497">
            <v>437.09999999999991</v>
          </cell>
          <cell r="R497">
            <v>-78.407379999999989</v>
          </cell>
          <cell r="S497">
            <v>61.648059999999987</v>
          </cell>
          <cell r="T497">
            <v>193.25263714285711</v>
          </cell>
          <cell r="U497">
            <v>1352.7684599999998</v>
          </cell>
        </row>
        <row r="498">
          <cell r="A498" t="str">
            <v>mstag:interestExpense</v>
          </cell>
          <cell r="B498" t="str">
            <v>FY(1)</v>
          </cell>
          <cell r="C498">
            <v>205.23620000000005</v>
          </cell>
          <cell r="D498">
            <v>-117.85800000000302</v>
          </cell>
          <cell r="E498">
            <v>414.92000000000007</v>
          </cell>
          <cell r="F498">
            <v>26.341619999999921</v>
          </cell>
          <cell r="G498">
            <v>-139.16627083414218</v>
          </cell>
          <cell r="H498">
            <v>167.75255881623235</v>
          </cell>
          <cell r="I498">
            <v>546.79914000000008</v>
          </cell>
          <cell r="J498">
            <v>157.71789256886959</v>
          </cell>
          <cell r="K498">
            <v>1104.0252479820872</v>
          </cell>
          <cell r="M498">
            <v>74.873244464512823</v>
          </cell>
          <cell r="N498">
            <v>98.973440000000011</v>
          </cell>
          <cell r="O498">
            <v>-3.5592199999999821</v>
          </cell>
          <cell r="P498">
            <v>618.83845999999994</v>
          </cell>
          <cell r="Q498">
            <v>858.59999999999991</v>
          </cell>
          <cell r="R498">
            <v>73.380319999999983</v>
          </cell>
          <cell r="S498">
            <v>117.67098000000001</v>
          </cell>
          <cell r="T498">
            <v>262.68246063778753</v>
          </cell>
          <cell r="U498">
            <v>1838.7772244645128</v>
          </cell>
        </row>
        <row r="499">
          <cell r="A499">
            <v>0.38</v>
          </cell>
          <cell r="B499" t="str">
            <v>FY0</v>
          </cell>
          <cell r="C499">
            <v>683.11999999999989</v>
          </cell>
          <cell r="D499">
            <v>-43.240000000000009</v>
          </cell>
          <cell r="E499">
            <v>846.96</v>
          </cell>
          <cell r="F499">
            <v>265.58000000000004</v>
          </cell>
          <cell r="G499">
            <v>-33.877099999999992</v>
          </cell>
          <cell r="H499">
            <v>395.02296000000001</v>
          </cell>
          <cell r="I499">
            <v>1050.4924400000002</v>
          </cell>
          <cell r="J499">
            <v>452.00832857142865</v>
          </cell>
          <cell r="K499">
            <v>3164.0583000000006</v>
          </cell>
          <cell r="M499">
            <v>62.684879999999993</v>
          </cell>
          <cell r="N499">
            <v>218.12030000000001</v>
          </cell>
          <cell r="O499">
            <v>120.84016000000001</v>
          </cell>
          <cell r="P499">
            <v>559.41203999999993</v>
          </cell>
          <cell r="Q499">
            <v>1143.46</v>
          </cell>
          <cell r="R499">
            <v>406.55790000000002</v>
          </cell>
          <cell r="S499">
            <v>144.51503698254709</v>
          </cell>
          <cell r="T499">
            <v>379.37004528322097</v>
          </cell>
          <cell r="U499">
            <v>2655.5903169825469</v>
          </cell>
        </row>
        <row r="500">
          <cell r="A500" t="str">
            <v>mstag:otherInterestIncomeExpense</v>
          </cell>
          <cell r="B500" t="str">
            <v>FY1</v>
          </cell>
          <cell r="C500">
            <v>680.79069688994991</v>
          </cell>
          <cell r="D500">
            <v>177.03400258655063</v>
          </cell>
          <cell r="E500">
            <v>935.13459901374267</v>
          </cell>
          <cell r="F500">
            <v>318.122968079369</v>
          </cell>
          <cell r="G500">
            <v>-13.694872436350408</v>
          </cell>
          <cell r="H500">
            <v>433.88313836270947</v>
          </cell>
          <cell r="I500">
            <v>1220.086555265349</v>
          </cell>
          <cell r="J500">
            <v>535.90815539447431</v>
          </cell>
          <cell r="K500">
            <v>3751.3570877613201</v>
          </cell>
          <cell r="M500">
            <v>64.570561609984964</v>
          </cell>
          <cell r="N500">
            <v>220.1304458997646</v>
          </cell>
          <cell r="O500">
            <v>224.03654899880598</v>
          </cell>
          <cell r="P500">
            <v>652.95258730104558</v>
          </cell>
          <cell r="Q500">
            <v>853.00671725937082</v>
          </cell>
          <cell r="R500">
            <v>465.44580975535899</v>
          </cell>
          <cell r="S500">
            <v>178.370021577594</v>
          </cell>
          <cell r="T500">
            <v>379.78752748598924</v>
          </cell>
          <cell r="U500">
            <v>2658.5126924019246</v>
          </cell>
        </row>
        <row r="501">
          <cell r="B501" t="str">
            <v>FY2</v>
          </cell>
          <cell r="C501">
            <v>722.01096722923512</v>
          </cell>
          <cell r="D501">
            <v>253.32779521420207</v>
          </cell>
          <cell r="E501">
            <v>924.7982950086739</v>
          </cell>
          <cell r="F501">
            <v>312.27250743986087</v>
          </cell>
          <cell r="G501">
            <v>79.398365058291446</v>
          </cell>
          <cell r="H501">
            <v>432.05155555638959</v>
          </cell>
          <cell r="I501">
            <v>1284.6515781260714</v>
          </cell>
          <cell r="J501">
            <v>572.64443766181773</v>
          </cell>
          <cell r="K501">
            <v>4008.5110636327245</v>
          </cell>
          <cell r="M501">
            <v>109.05470063555117</v>
          </cell>
          <cell r="N501">
            <v>216.65298271796476</v>
          </cell>
          <cell r="O501">
            <v>279.80100799880029</v>
          </cell>
          <cell r="P501">
            <v>680.55099082875904</v>
          </cell>
          <cell r="Q501">
            <v>939.98306811354939</v>
          </cell>
          <cell r="R501">
            <v>520.64507838295549</v>
          </cell>
          <cell r="S501">
            <v>215.82651155609608</v>
          </cell>
          <cell r="T501">
            <v>423.21633431909657</v>
          </cell>
          <cell r="U501">
            <v>2962.5143402336762</v>
          </cell>
        </row>
        <row r="502">
          <cell r="B502" t="str">
            <v>Last Reported Q</v>
          </cell>
          <cell r="C502" t="str">
            <v>NA</v>
          </cell>
          <cell r="D502">
            <v>47</v>
          </cell>
          <cell r="E502">
            <v>21</v>
          </cell>
          <cell r="F502">
            <v>35</v>
          </cell>
          <cell r="G502">
            <v>0</v>
          </cell>
          <cell r="H502">
            <v>13.734999999999999</v>
          </cell>
          <cell r="I502">
            <v>50.8</v>
          </cell>
          <cell r="J502">
            <v>27.922499999999999</v>
          </cell>
          <cell r="K502">
            <v>167.535</v>
          </cell>
          <cell r="M502">
            <v>16.858699999999999</v>
          </cell>
          <cell r="N502">
            <v>0</v>
          </cell>
          <cell r="O502">
            <v>20.757000000000001</v>
          </cell>
          <cell r="P502">
            <v>0</v>
          </cell>
          <cell r="Q502">
            <v>60</v>
          </cell>
          <cell r="R502">
            <v>49.238849999999999</v>
          </cell>
          <cell r="S502" t="str">
            <v>NA</v>
          </cell>
          <cell r="T502">
            <v>24.475758333333335</v>
          </cell>
          <cell r="U502">
            <v>146.85455000000002</v>
          </cell>
        </row>
        <row r="503">
          <cell r="B503" t="str">
            <v>Free Cash Flow/Sales</v>
          </cell>
          <cell r="C503">
            <v>0</v>
          </cell>
          <cell r="D503">
            <v>180</v>
          </cell>
          <cell r="E503">
            <v>118</v>
          </cell>
          <cell r="F503">
            <v>138</v>
          </cell>
          <cell r="G503">
            <v>0.53700000000000003</v>
          </cell>
          <cell r="H503">
            <v>54.201000000000001</v>
          </cell>
          <cell r="I503">
            <v>193.01299999999998</v>
          </cell>
          <cell r="J503">
            <v>97.678714285714278</v>
          </cell>
          <cell r="K503">
            <v>683.75099999999998</v>
          </cell>
          <cell r="M503">
            <v>62.804699999999997</v>
          </cell>
          <cell r="N503">
            <v>0</v>
          </cell>
          <cell r="O503">
            <v>83.063000000000002</v>
          </cell>
          <cell r="P503">
            <v>0</v>
          </cell>
          <cell r="Q503">
            <v>238</v>
          </cell>
          <cell r="R503">
            <v>193.23885000000001</v>
          </cell>
          <cell r="S503">
            <v>0</v>
          </cell>
          <cell r="T503">
            <v>82.443792857142853</v>
          </cell>
          <cell r="U503">
            <v>577.10654999999997</v>
          </cell>
        </row>
        <row r="504">
          <cell r="B504" t="str">
            <v>FY(2)</v>
          </cell>
          <cell r="C504">
            <v>8.2584118928959477E-2</v>
          </cell>
          <cell r="D504">
            <v>6.7272781284662894E-2</v>
          </cell>
          <cell r="E504">
            <v>6.6257743320792012E-2</v>
          </cell>
          <cell r="F504">
            <v>9.8843271958380621E-2</v>
          </cell>
          <cell r="G504">
            <v>4.3342392828759901E-2</v>
          </cell>
          <cell r="H504">
            <v>5.5799161602969057E-2</v>
          </cell>
          <cell r="I504">
            <v>6.1832011747009565E-2</v>
          </cell>
          <cell r="J504">
            <v>6.7990211667361938E-2</v>
          </cell>
          <cell r="K504">
            <v>6.9875221653607225E-2</v>
          </cell>
          <cell r="M504">
            <v>4.914250946574493E-2</v>
          </cell>
          <cell r="N504">
            <v>3.8046441883218811E-2</v>
          </cell>
          <cell r="O504">
            <v>5.4067491234426439E-2</v>
          </cell>
          <cell r="P504">
            <v>0.20103078482470135</v>
          </cell>
          <cell r="Q504">
            <v>2.7729493116792483E-2</v>
          </cell>
          <cell r="R504">
            <v>-7.7736567835179878E-3</v>
          </cell>
          <cell r="S504">
            <v>4.0888159901944908E-2</v>
          </cell>
          <cell r="T504">
            <v>5.7590174806187271E-2</v>
          </cell>
          <cell r="U504">
            <v>3.5313197223818864E-2</v>
          </cell>
        </row>
        <row r="505">
          <cell r="B505" t="str">
            <v>FY(1)</v>
          </cell>
          <cell r="C505">
            <v>1.2522878289574043E-2</v>
          </cell>
          <cell r="D505">
            <v>-6.3753643074999028E-3</v>
          </cell>
          <cell r="E505">
            <v>1.6668809255985861E-2</v>
          </cell>
          <cell r="F505">
            <v>3.1771342419490917E-3</v>
          </cell>
          <cell r="G505">
            <v>-4.5825289188847984E-2</v>
          </cell>
          <cell r="H505">
            <v>2.5863238332732671E-2</v>
          </cell>
          <cell r="I505">
            <v>2.8779651890930846E-2</v>
          </cell>
          <cell r="J505">
            <v>4.9730083592606613E-3</v>
          </cell>
          <cell r="K505">
            <v>1.1431092390628375E-2</v>
          </cell>
          <cell r="M505">
            <v>2.1490246705066201E-2</v>
          </cell>
          <cell r="N505">
            <v>5.2491017119315468E-2</v>
          </cell>
          <cell r="O505">
            <v>-1.1908457426466667E-3</v>
          </cell>
          <cell r="P505">
            <v>0.19455697495910562</v>
          </cell>
          <cell r="Q505">
            <v>5.9107806691449806E-2</v>
          </cell>
          <cell r="R505">
            <v>8.1148674494490071E-3</v>
          </cell>
          <cell r="S505">
            <v>6.4139226803617985E-2</v>
          </cell>
          <cell r="T505">
            <v>5.6958470569336783E-2</v>
          </cell>
          <cell r="U505">
            <v>4.9774058879925059E-2</v>
          </cell>
        </row>
        <row r="506">
          <cell r="B506" t="str">
            <v>FY0</v>
          </cell>
          <cell r="C506">
            <v>3.9769459160505317E-2</v>
          </cell>
          <cell r="D506">
            <v>-2.4627680711198658E-3</v>
          </cell>
          <cell r="E506">
            <v>3.605772914981481E-2</v>
          </cell>
          <cell r="F506">
            <v>3.2160329377573266E-2</v>
          </cell>
          <cell r="G506">
            <v>-1.2902072201423611E-2</v>
          </cell>
          <cell r="H506">
            <v>5.4984861946604312E-2</v>
          </cell>
          <cell r="I506">
            <v>5.1777871186178707E-2</v>
          </cell>
          <cell r="J506">
            <v>2.8483630078304706E-2</v>
          </cell>
          <cell r="K506">
            <v>3.2761061584019244E-2</v>
          </cell>
          <cell r="M506">
            <v>2.1404201630457975E-2</v>
          </cell>
          <cell r="N506">
            <v>9.7807188450768023E-2</v>
          </cell>
          <cell r="O506">
            <v>4.040722835002699E-2</v>
          </cell>
          <cell r="P506">
            <v>0.1731674915213523</v>
          </cell>
          <cell r="Q506">
            <v>8.0542368105937873E-2</v>
          </cell>
          <cell r="R506">
            <v>4.7095995481745138E-2</v>
          </cell>
          <cell r="S506">
            <v>7.4576281524576432E-2</v>
          </cell>
          <cell r="T506">
            <v>7.6428679294980664E-2</v>
          </cell>
          <cell r="U506">
            <v>7.3466191367664663E-2</v>
          </cell>
        </row>
        <row r="507">
          <cell r="B507" t="str">
            <v>FY1</v>
          </cell>
          <cell r="C507">
            <v>3.6803257951795759E-2</v>
          </cell>
          <cell r="D507">
            <v>9.9422774355722929E-3</v>
          </cell>
          <cell r="E507">
            <v>3.8099441311130286E-2</v>
          </cell>
          <cell r="F507">
            <v>3.5618222607814165E-2</v>
          </cell>
          <cell r="G507">
            <v>-5.0027060435742943E-3</v>
          </cell>
          <cell r="H507">
            <v>5.5598520850968301E-2</v>
          </cell>
          <cell r="I507">
            <v>5.5317283808356203E-2</v>
          </cell>
          <cell r="J507">
            <v>3.2339471131723245E-2</v>
          </cell>
          <cell r="K507">
            <v>3.6642275467751659E-2</v>
          </cell>
          <cell r="M507">
            <v>2.0415970470597081E-2</v>
          </cell>
          <cell r="N507">
            <v>9.0578807962802529E-2</v>
          </cell>
          <cell r="O507">
            <v>7.4955877918586475E-2</v>
          </cell>
          <cell r="P507">
            <v>0.18784054717553669</v>
          </cell>
          <cell r="Q507">
            <v>6.0678926608646197E-2</v>
          </cell>
          <cell r="R507">
            <v>5.1087560549650884E-2</v>
          </cell>
          <cell r="S507">
            <v>7.8872067209330793E-2</v>
          </cell>
          <cell r="T507">
            <v>8.0632822556450101E-2</v>
          </cell>
          <cell r="U507">
            <v>7.0916381862729541E-2</v>
          </cell>
        </row>
        <row r="508">
          <cell r="B508" t="str">
            <v>FY2</v>
          </cell>
          <cell r="C508">
            <v>3.6029295706379805E-2</v>
          </cell>
          <cell r="D508">
            <v>1.3920310414361453E-2</v>
          </cell>
          <cell r="E508">
            <v>3.736448357061728E-2</v>
          </cell>
          <cell r="F508">
            <v>3.3390176917072134E-2</v>
          </cell>
          <cell r="G508">
            <v>2.7077350511000488E-2</v>
          </cell>
          <cell r="H508">
            <v>5.2939374833065829E-2</v>
          </cell>
          <cell r="I508">
            <v>5.4643574172277366E-2</v>
          </cell>
          <cell r="J508">
            <v>3.6480652303539196E-2</v>
          </cell>
          <cell r="K508">
            <v>3.7482292599545136E-2</v>
          </cell>
          <cell r="M508">
            <v>3.1915815703665182E-2</v>
          </cell>
          <cell r="N508">
            <v>7.8763822416031151E-2</v>
          </cell>
          <cell r="O508">
            <v>8.4651764735319185E-2</v>
          </cell>
          <cell r="P508">
            <v>0.18307230899177407</v>
          </cell>
          <cell r="Q508">
            <v>6.9583157735798123E-2</v>
          </cell>
          <cell r="R508">
            <v>5.5070402142244991E-2</v>
          </cell>
          <cell r="S508">
            <v>8.3649771901842876E-2</v>
          </cell>
          <cell r="T508">
            <v>8.3815291946667939E-2</v>
          </cell>
          <cell r="U508">
            <v>7.6484772109785409E-2</v>
          </cell>
        </row>
        <row r="509">
          <cell r="B509" t="str">
            <v>FY1</v>
          </cell>
          <cell r="D509">
            <v>0.78550963147963926</v>
          </cell>
          <cell r="E509">
            <v>0.1993717773958395</v>
          </cell>
          <cell r="F509">
            <v>0.63496384836295683</v>
          </cell>
          <cell r="G509">
            <v>3.7211925699959076E-3</v>
          </cell>
          <cell r="H509">
            <v>0.44083291573044459</v>
          </cell>
          <cell r="I509">
            <v>0.46264560175149388</v>
          </cell>
          <cell r="M509">
            <v>0.73000681957512381</v>
          </cell>
          <cell r="N509">
            <v>0</v>
          </cell>
          <cell r="O509">
            <v>0.39783823264566592</v>
          </cell>
          <cell r="P509">
            <v>0.29736306688131298</v>
          </cell>
          <cell r="Q509">
            <v>0.33916219577575579</v>
          </cell>
          <cell r="R509">
            <v>0.59587734423778893</v>
          </cell>
          <cell r="S509" t="e">
            <v>#VALUE!</v>
          </cell>
        </row>
        <row r="510">
          <cell r="B510" t="str">
            <v>Free Cash Flow/Share</v>
          </cell>
          <cell r="D510">
            <v>0.86406059462760387</v>
          </cell>
          <cell r="E510">
            <v>0.2309150600599611</v>
          </cell>
          <cell r="F510">
            <v>0.63496384836295727</v>
          </cell>
          <cell r="G510">
            <v>0</v>
          </cell>
          <cell r="H510">
            <v>0.47713743550384785</v>
          </cell>
          <cell r="I510">
            <v>0.53528137752412319</v>
          </cell>
          <cell r="M510">
            <v>0.78806017555813523</v>
          </cell>
          <cell r="N510">
            <v>0</v>
          </cell>
          <cell r="O510">
            <v>0.41521422924591944</v>
          </cell>
          <cell r="P510">
            <v>0.3270077479111474</v>
          </cell>
          <cell r="Q510">
            <v>0.38380166486551759</v>
          </cell>
          <cell r="R510">
            <v>0.62236453288448068</v>
          </cell>
          <cell r="S510" t="e">
            <v>#VALUE!</v>
          </cell>
        </row>
        <row r="511">
          <cell r="B511" t="str">
            <v>FY(2)</v>
          </cell>
          <cell r="C511">
            <v>4.2490893744343969</v>
          </cell>
          <cell r="D511">
            <v>5.9336071944043516</v>
          </cell>
          <cell r="E511">
            <v>3.8593027116768126</v>
          </cell>
          <cell r="F511">
            <v>3.5063074111764871</v>
          </cell>
          <cell r="G511">
            <v>0.92162447683014992</v>
          </cell>
          <cell r="H511">
            <v>2.4313646589537625</v>
          </cell>
          <cell r="I511">
            <v>2.4224043308428991</v>
          </cell>
          <cell r="M511">
            <v>1.9864993498901917</v>
          </cell>
          <cell r="N511">
            <v>0.53651925286588464</v>
          </cell>
          <cell r="O511">
            <v>0.74994933720719081</v>
          </cell>
          <cell r="P511">
            <v>1.3917469975301837</v>
          </cell>
          <cell r="Q511">
            <v>0.55059964786060023</v>
          </cell>
          <cell r="R511">
            <v>-0.2062102633864612</v>
          </cell>
          <cell r="S511">
            <v>0.36341394076755845</v>
          </cell>
        </row>
        <row r="512">
          <cell r="B512" t="str">
            <v>FY(1)</v>
          </cell>
          <cell r="C512">
            <v>0.66934487847434565</v>
          </cell>
          <cell r="D512">
            <v>-0.52880762759395628</v>
          </cell>
          <cell r="E512">
            <v>0.98456427596844054</v>
          </cell>
          <cell r="F512">
            <v>0.12026764068028728</v>
          </cell>
          <cell r="G512">
            <v>-1.0056528994258165</v>
          </cell>
          <cell r="H512">
            <v>1.2780636112935091</v>
          </cell>
          <cell r="I512">
            <v>1.23638882545138</v>
          </cell>
          <cell r="M512">
            <v>0.83853069698528215</v>
          </cell>
          <cell r="N512">
            <v>0.97641608460597462</v>
          </cell>
          <cell r="O512">
            <v>-1.71460916649805E-2</v>
          </cell>
          <cell r="P512">
            <v>1.7177598894128945</v>
          </cell>
          <cell r="Q512">
            <v>1.1941585535465924</v>
          </cell>
          <cell r="R512">
            <v>0.21755144514839858</v>
          </cell>
          <cell r="S512">
            <v>0.6887105598096076</v>
          </cell>
        </row>
        <row r="513">
          <cell r="B513" t="str">
            <v>FY0</v>
          </cell>
          <cell r="C513">
            <v>2.22514657980456</v>
          </cell>
          <cell r="D513">
            <v>-0.18569894782048532</v>
          </cell>
          <cell r="E513">
            <v>2.0053510121936782</v>
          </cell>
          <cell r="F513">
            <v>1.209105394946506</v>
          </cell>
          <cell r="G513">
            <v>-0.23070050291294525</v>
          </cell>
          <cell r="H513">
            <v>3.1587622369933528</v>
          </cell>
          <cell r="I513">
            <v>2.4579735903402469</v>
          </cell>
          <cell r="M513">
            <v>0.70946813838531597</v>
          </cell>
          <cell r="N513">
            <v>2.1590778497348424</v>
          </cell>
          <cell r="O513">
            <v>0.57791712897425107</v>
          </cell>
          <cell r="P513">
            <v>1.7179904182789754</v>
          </cell>
          <cell r="Q513">
            <v>1.6370221904080173</v>
          </cell>
          <cell r="R513">
            <v>1.2441904732759017</v>
          </cell>
          <cell r="S513">
            <v>0.84400480291871405</v>
          </cell>
        </row>
        <row r="514">
          <cell r="B514" t="str">
            <v>FY1</v>
          </cell>
          <cell r="C514">
            <v>2.1951450951174922</v>
          </cell>
          <cell r="D514">
            <v>0.74603456631500475</v>
          </cell>
          <cell r="E514">
            <v>2.1955124058266442</v>
          </cell>
          <cell r="F514">
            <v>1.4328531067238148</v>
          </cell>
          <cell r="G514">
            <v>-9.0055927496579119E-2</v>
          </cell>
          <cell r="H514">
            <v>3.5734863855257211</v>
          </cell>
          <cell r="I514">
            <v>2.9684399163408011</v>
          </cell>
          <cell r="M514">
            <v>0.74223864787224936</v>
          </cell>
          <cell r="N514">
            <v>2.3366848582764055</v>
          </cell>
          <cell r="O514">
            <v>1.0447714364107594</v>
          </cell>
          <cell r="P514">
            <v>2.0554148784630577</v>
          </cell>
          <cell r="Q514">
            <v>1.2998429620665346</v>
          </cell>
          <cell r="R514">
            <v>1.4451999331855581</v>
          </cell>
          <cell r="S514">
            <v>1.0344969730953626</v>
          </cell>
        </row>
        <row r="515">
          <cell r="B515" t="str">
            <v>FY2</v>
          </cell>
          <cell r="C515">
            <v>2.3970045054472342</v>
          </cell>
          <cell r="D515">
            <v>1.067257525113209</v>
          </cell>
          <cell r="E515">
            <v>2.1712447937658159</v>
          </cell>
          <cell r="F515">
            <v>1.4389650502363978</v>
          </cell>
          <cell r="G515">
            <v>0.48361756194990174</v>
          </cell>
          <cell r="H515">
            <v>3.7535223162014</v>
          </cell>
          <cell r="I515">
            <v>3.260057704660106</v>
          </cell>
          <cell r="M515">
            <v>1.3127786118715399</v>
          </cell>
          <cell r="N515">
            <v>2.5241314071906578</v>
          </cell>
          <cell r="O515">
            <v>1.291288849083452</v>
          </cell>
          <cell r="P515">
            <v>2.2381603419179101</v>
          </cell>
          <cell r="Q515">
            <v>1.5436247730291666</v>
          </cell>
          <cell r="R515">
            <v>1.6420317539906257</v>
          </cell>
          <cell r="S515">
            <v>1.2551492139054254</v>
          </cell>
        </row>
        <row r="517">
          <cell r="A517" t="str">
            <v>mstag:fundsUsedToRepurchaseCommonStock</v>
          </cell>
          <cell r="B517" t="str">
            <v>Capex</v>
          </cell>
        </row>
        <row r="518">
          <cell r="B518" t="str">
            <v>FY(5)</v>
          </cell>
          <cell r="C518">
            <v>889.59799999999996</v>
          </cell>
          <cell r="D518">
            <v>398</v>
          </cell>
          <cell r="E518">
            <v>548</v>
          </cell>
          <cell r="F518">
            <v>246.851</v>
          </cell>
          <cell r="G518">
            <v>96.013000000000005</v>
          </cell>
          <cell r="H518">
            <v>149.541</v>
          </cell>
          <cell r="I518">
            <v>429.13299999999998</v>
          </cell>
          <cell r="J518">
            <v>393.87657142857142</v>
          </cell>
          <cell r="K518">
            <v>2757.136</v>
          </cell>
          <cell r="M518">
            <v>185.065</v>
          </cell>
          <cell r="N518">
            <v>46.677</v>
          </cell>
          <cell r="O518">
            <v>97.287999999999997</v>
          </cell>
          <cell r="P518">
            <v>67.692999999999998</v>
          </cell>
          <cell r="Q518">
            <v>419</v>
          </cell>
          <cell r="R518">
            <v>431</v>
          </cell>
          <cell r="S518">
            <v>75.141000000000005</v>
          </cell>
          <cell r="T518">
            <v>188.8377142857143</v>
          </cell>
          <cell r="U518">
            <v>1321.864</v>
          </cell>
        </row>
        <row r="519">
          <cell r="B519" t="str">
            <v>FY(4)</v>
          </cell>
          <cell r="C519">
            <v>828.09500000000003</v>
          </cell>
          <cell r="D519">
            <v>535</v>
          </cell>
          <cell r="E519">
            <v>656</v>
          </cell>
          <cell r="F519">
            <v>271.65899999999999</v>
          </cell>
          <cell r="G519">
            <v>130.124</v>
          </cell>
          <cell r="H519">
            <v>175.851</v>
          </cell>
          <cell r="I519">
            <v>495.94799999999998</v>
          </cell>
          <cell r="J519">
            <v>441.81099999999998</v>
          </cell>
          <cell r="K519">
            <v>3092.6769999999997</v>
          </cell>
          <cell r="M519">
            <v>256.42200000000003</v>
          </cell>
          <cell r="N519">
            <v>58.289000000000001</v>
          </cell>
          <cell r="O519">
            <v>81.545000000000002</v>
          </cell>
          <cell r="P519">
            <v>94.591999999999999</v>
          </cell>
          <cell r="Q519">
            <v>600</v>
          </cell>
          <cell r="R519">
            <v>480</v>
          </cell>
          <cell r="S519">
            <v>127.73</v>
          </cell>
          <cell r="T519">
            <v>242.654</v>
          </cell>
          <cell r="U519">
            <v>1698.578</v>
          </cell>
        </row>
        <row r="520">
          <cell r="B520" t="str">
            <v>FY(3)</v>
          </cell>
          <cell r="C520">
            <v>1163.0920000000001</v>
          </cell>
          <cell r="D520">
            <v>772</v>
          </cell>
          <cell r="E520">
            <v>1392</v>
          </cell>
          <cell r="F520">
            <v>264.43700000000001</v>
          </cell>
          <cell r="G520">
            <v>123.679</v>
          </cell>
          <cell r="H520">
            <v>223.95500000000001</v>
          </cell>
          <cell r="I520">
            <v>378.01100000000002</v>
          </cell>
          <cell r="J520">
            <v>616.73914285714284</v>
          </cell>
          <cell r="K520">
            <v>4317.174</v>
          </cell>
          <cell r="M520">
            <v>403.476</v>
          </cell>
          <cell r="N520">
            <v>44.948999999999998</v>
          </cell>
          <cell r="O520">
            <v>225.93899999999999</v>
          </cell>
          <cell r="P520">
            <v>133.876</v>
          </cell>
          <cell r="Q520">
            <v>572</v>
          </cell>
          <cell r="R520">
            <v>548</v>
          </cell>
          <cell r="S520">
            <v>212.029</v>
          </cell>
          <cell r="T520">
            <v>305.75271428571432</v>
          </cell>
          <cell r="U520">
            <v>2140.2690000000002</v>
          </cell>
        </row>
        <row r="521">
          <cell r="B521" t="str">
            <v>FY(2)</v>
          </cell>
          <cell r="C521">
            <v>1541.683</v>
          </cell>
          <cell r="D521">
            <v>1243</v>
          </cell>
          <cell r="E521">
            <v>1105</v>
          </cell>
          <cell r="F521">
            <v>501</v>
          </cell>
          <cell r="G521">
            <v>136.726</v>
          </cell>
          <cell r="H521">
            <v>236.12100000000001</v>
          </cell>
          <cell r="I521">
            <v>526.98699999999997</v>
          </cell>
          <cell r="J521">
            <v>755.78814285714282</v>
          </cell>
          <cell r="K521">
            <v>5290.5169999999998</v>
          </cell>
          <cell r="M521">
            <v>403.34500000000003</v>
          </cell>
          <cell r="N521">
            <v>82.305999999999997</v>
          </cell>
          <cell r="O521">
            <v>250.40700000000001</v>
          </cell>
          <cell r="P521">
            <v>140.87200000000001</v>
          </cell>
          <cell r="Q521">
            <v>682</v>
          </cell>
          <cell r="R521">
            <v>749</v>
          </cell>
          <cell r="S521">
            <v>115.37</v>
          </cell>
          <cell r="T521">
            <v>346.18571428571431</v>
          </cell>
          <cell r="U521">
            <v>2423.3000000000002</v>
          </cell>
        </row>
        <row r="522">
          <cell r="A522" t="str">
            <v>mstag:capitalExpenditures</v>
          </cell>
          <cell r="B522" t="str">
            <v>FY(1)</v>
          </cell>
          <cell r="C522">
            <v>1014</v>
          </cell>
          <cell r="D522">
            <v>969</v>
          </cell>
          <cell r="E522">
            <v>897</v>
          </cell>
          <cell r="F522">
            <v>563</v>
          </cell>
          <cell r="G522">
            <v>127.30500000000001</v>
          </cell>
          <cell r="H522">
            <v>224.41800000000001</v>
          </cell>
          <cell r="I522">
            <v>582.93200000000002</v>
          </cell>
          <cell r="J522">
            <v>625.37928571428563</v>
          </cell>
          <cell r="K522">
            <v>4377.6549999999997</v>
          </cell>
          <cell r="M522">
            <v>367.60199999999998</v>
          </cell>
          <cell r="N522">
            <v>83.034999999999997</v>
          </cell>
          <cell r="O522">
            <v>265.33499999999998</v>
          </cell>
          <cell r="P522">
            <v>174.72</v>
          </cell>
          <cell r="Q522">
            <v>431</v>
          </cell>
          <cell r="R522">
            <v>479</v>
          </cell>
          <cell r="S522">
            <v>112.553</v>
          </cell>
          <cell r="T522">
            <v>273.32071428571425</v>
          </cell>
          <cell r="U522">
            <v>1913.2449999999999</v>
          </cell>
        </row>
        <row r="523">
          <cell r="B523" t="str">
            <v>FY0</v>
          </cell>
          <cell r="C523">
            <v>666</v>
          </cell>
          <cell r="D523">
            <v>600</v>
          </cell>
          <cell r="E523">
            <v>460</v>
          </cell>
          <cell r="F523">
            <v>360</v>
          </cell>
          <cell r="G523">
            <v>74.576999999999998</v>
          </cell>
          <cell r="H523">
            <v>158.48699999999999</v>
          </cell>
          <cell r="I523">
            <v>429.3</v>
          </cell>
          <cell r="J523">
            <v>392.62342857142863</v>
          </cell>
          <cell r="K523">
            <v>2748.3640000000005</v>
          </cell>
          <cell r="M523">
            <v>175.47200000000001</v>
          </cell>
          <cell r="N523">
            <v>53.883000000000003</v>
          </cell>
          <cell r="O523">
            <v>127.419</v>
          </cell>
          <cell r="P523">
            <v>137.029</v>
          </cell>
          <cell r="Q523">
            <v>334</v>
          </cell>
          <cell r="R523">
            <v>202</v>
          </cell>
          <cell r="S523">
            <v>119.162038443713</v>
          </cell>
          <cell r="T523">
            <v>164.13786263481614</v>
          </cell>
          <cell r="U523">
            <v>1148.965038443713</v>
          </cell>
        </row>
        <row r="524">
          <cell r="B524" t="str">
            <v>FY1</v>
          </cell>
          <cell r="C524">
            <v>907.58838587964101</v>
          </cell>
          <cell r="D524">
            <v>516.37928113343298</v>
          </cell>
          <cell r="E524">
            <v>565.12585635259802</v>
          </cell>
          <cell r="F524">
            <v>455.23699236309801</v>
          </cell>
          <cell r="G524">
            <v>77.761425590910207</v>
          </cell>
          <cell r="H524">
            <v>216.66670210473899</v>
          </cell>
          <cell r="I524">
            <v>471.33063965813898</v>
          </cell>
          <cell r="J524">
            <v>458.58418329750833</v>
          </cell>
          <cell r="K524">
            <v>3210.0892830825583</v>
          </cell>
          <cell r="M524">
            <v>252.64958018246</v>
          </cell>
          <cell r="N524">
            <v>79.400220215663794</v>
          </cell>
          <cell r="O524">
            <v>104.611932148604</v>
          </cell>
          <cell r="P524">
            <v>109.483966350592</v>
          </cell>
          <cell r="Q524">
            <v>588.34474706810602</v>
          </cell>
          <cell r="R524">
            <v>273.32239281791698</v>
          </cell>
          <cell r="S524">
            <v>148.61906341465499</v>
          </cell>
          <cell r="T524">
            <v>222.34741459971397</v>
          </cell>
          <cell r="U524">
            <v>1556.4319021979977</v>
          </cell>
          <cell r="W524">
            <v>4766.521185280556</v>
          </cell>
        </row>
        <row r="525">
          <cell r="B525" t="str">
            <v>FY2</v>
          </cell>
          <cell r="C525">
            <v>1083.4152741635201</v>
          </cell>
          <cell r="D525">
            <v>545.95290120724496</v>
          </cell>
          <cell r="E525">
            <v>705.395843567165</v>
          </cell>
          <cell r="F525">
            <v>533.07692763290902</v>
          </cell>
          <cell r="G525">
            <v>36.653496169259</v>
          </cell>
          <cell r="H525">
            <v>234.750554079805</v>
          </cell>
          <cell r="I525">
            <v>525.90098383666202</v>
          </cell>
          <cell r="J525">
            <v>523.59228295093794</v>
          </cell>
          <cell r="K525">
            <v>3665.1459806565654</v>
          </cell>
          <cell r="M525">
            <v>269.53895223304102</v>
          </cell>
          <cell r="N525">
            <v>89.868208191571199</v>
          </cell>
          <cell r="O525">
            <v>109.075496451026</v>
          </cell>
          <cell r="P525">
            <v>139.387978389967</v>
          </cell>
          <cell r="Q525">
            <v>513.33336615648602</v>
          </cell>
          <cell r="R525">
            <v>320.49644583297498</v>
          </cell>
          <cell r="S525">
            <v>169.55707228555099</v>
          </cell>
          <cell r="T525">
            <v>230.17964564865957</v>
          </cell>
          <cell r="U525">
            <v>1611.2575195406171</v>
          </cell>
          <cell r="W525">
            <v>5276.4035001971824</v>
          </cell>
          <cell r="X525">
            <v>0.10697158264840789</v>
          </cell>
        </row>
        <row r="526">
          <cell r="B526" t="str">
            <v>Last Reported Q</v>
          </cell>
          <cell r="C526" t="str">
            <v>NA</v>
          </cell>
          <cell r="D526" t="str">
            <v>NA</v>
          </cell>
          <cell r="E526">
            <v>0</v>
          </cell>
          <cell r="F526">
            <v>0</v>
          </cell>
          <cell r="G526" t="str">
            <v>NA</v>
          </cell>
          <cell r="H526">
            <v>75.445999999999998</v>
          </cell>
          <cell r="I526">
            <v>293.8</v>
          </cell>
          <cell r="J526">
            <v>92.311499999999995</v>
          </cell>
          <cell r="K526">
            <v>369.24599999999998</v>
          </cell>
          <cell r="M526">
            <v>0</v>
          </cell>
          <cell r="N526">
            <v>20</v>
          </cell>
          <cell r="O526">
            <v>3.5000000000000003E-2</v>
          </cell>
          <cell r="P526" t="str">
            <v>NA</v>
          </cell>
          <cell r="Q526">
            <v>61</v>
          </cell>
          <cell r="R526" t="str">
            <v>NA</v>
          </cell>
          <cell r="S526">
            <v>0</v>
          </cell>
          <cell r="T526">
            <v>16.207000000000001</v>
          </cell>
          <cell r="U526">
            <v>81.034999999999997</v>
          </cell>
        </row>
        <row r="527">
          <cell r="B527" t="str">
            <v>Capex/Sales</v>
          </cell>
          <cell r="C527">
            <v>0</v>
          </cell>
          <cell r="D527">
            <v>0</v>
          </cell>
          <cell r="E527">
            <v>1</v>
          </cell>
          <cell r="F527">
            <v>0</v>
          </cell>
          <cell r="G527">
            <v>0</v>
          </cell>
          <cell r="H527">
            <v>298.41300000000001</v>
          </cell>
          <cell r="I527">
            <v>614.49799999999993</v>
          </cell>
          <cell r="J527">
            <v>130.55871428571427</v>
          </cell>
          <cell r="K527">
            <v>913.91099999999994</v>
          </cell>
          <cell r="M527">
            <v>0</v>
          </cell>
          <cell r="N527">
            <v>33.474000000000004</v>
          </cell>
          <cell r="O527">
            <v>0.2479999999999998</v>
          </cell>
          <cell r="P527">
            <v>0</v>
          </cell>
          <cell r="Q527">
            <v>218</v>
          </cell>
          <cell r="R527">
            <v>0</v>
          </cell>
          <cell r="S527">
            <v>0</v>
          </cell>
          <cell r="T527">
            <v>35.960285714285718</v>
          </cell>
          <cell r="U527">
            <v>251.72200000000001</v>
          </cell>
          <cell r="W527">
            <v>0.14175826821147752</v>
          </cell>
        </row>
        <row r="528">
          <cell r="B528" t="str">
            <v>FY(2)</v>
          </cell>
          <cell r="C528">
            <v>9.3584501356707955E-2</v>
          </cell>
          <cell r="D528">
            <v>6.2585186091487152E-2</v>
          </cell>
          <cell r="E528">
            <v>4.1994451411849654E-2</v>
          </cell>
          <cell r="F528">
            <v>5.6752441770975236E-2</v>
          </cell>
          <cell r="G528">
            <v>4.188097100041567E-2</v>
          </cell>
          <cell r="H528">
            <v>3.9516756894985482E-2</v>
          </cell>
          <cell r="I528">
            <v>2.8739427092928149E-2</v>
          </cell>
          <cell r="J528">
            <v>5.2150533659907031E-2</v>
          </cell>
          <cell r="K528">
            <v>5.3411503037065926E-2</v>
          </cell>
          <cell r="M528">
            <v>0.10902229828935447</v>
          </cell>
          <cell r="N528">
            <v>5.1987672934840759E-2</v>
          </cell>
          <cell r="O528">
            <v>8.1955044463623491E-2</v>
          </cell>
          <cell r="P528">
            <v>5.3923204831009597E-2</v>
          </cell>
          <cell r="Q528">
            <v>4.3265875785066292E-2</v>
          </cell>
          <cell r="R528">
            <v>7.4259195127486383E-2</v>
          </cell>
          <cell r="S528">
            <v>7.6519309900220475E-2</v>
          </cell>
          <cell r="T528">
            <v>7.0133228761657368E-2</v>
          </cell>
          <cell r="U528">
            <v>6.3258771447465792E-2</v>
          </cell>
        </row>
        <row r="529">
          <cell r="B529" t="str">
            <v>FY(1)</v>
          </cell>
          <cell r="C529">
            <v>6.1871144494139323E-2</v>
          </cell>
          <cell r="D529">
            <v>5.2416704966716285E-2</v>
          </cell>
          <cell r="E529">
            <v>3.6035674112164552E-2</v>
          </cell>
          <cell r="F529">
            <v>6.7904957182487027E-2</v>
          </cell>
          <cell r="G529">
            <v>4.1919557125583824E-2</v>
          </cell>
          <cell r="H529">
            <v>3.4599628530933429E-2</v>
          </cell>
          <cell r="I529">
            <v>3.0681430910963207E-2</v>
          </cell>
          <cell r="J529">
            <v>4.6489871046141093E-2</v>
          </cell>
          <cell r="K529">
            <v>4.5326299240674772E-2</v>
          </cell>
          <cell r="M529">
            <v>0.10550975486336762</v>
          </cell>
          <cell r="N529">
            <v>4.4037992480632775E-2</v>
          </cell>
          <cell r="O529">
            <v>8.8775927064119339E-2</v>
          </cell>
          <cell r="P529">
            <v>5.4930320046454352E-2</v>
          </cell>
          <cell r="Q529">
            <v>2.9670934875395842E-2</v>
          </cell>
          <cell r="R529">
            <v>5.2970898849801627E-2</v>
          </cell>
          <cell r="S529">
            <v>6.1349556147383272E-2</v>
          </cell>
          <cell r="T529">
            <v>6.2463626332450693E-2</v>
          </cell>
          <cell r="U529">
            <v>5.1789835122335176E-2</v>
          </cell>
        </row>
        <row r="530">
          <cell r="B530" t="str">
            <v>FY0</v>
          </cell>
          <cell r="C530">
            <v>3.8772777551376841E-2</v>
          </cell>
          <cell r="D530">
            <v>3.4173469997037909E-2</v>
          </cell>
          <cell r="E530">
            <v>1.9583634892928605E-2</v>
          </cell>
          <cell r="F530">
            <v>4.359409057883265E-2</v>
          </cell>
          <cell r="G530">
            <v>2.8402603486295135E-2</v>
          </cell>
          <cell r="H530">
            <v>2.206045394255432E-2</v>
          </cell>
          <cell r="I530">
            <v>2.115982871825952E-2</v>
          </cell>
          <cell r="J530">
            <v>2.9678122738183571E-2</v>
          </cell>
          <cell r="K530">
            <v>2.8456909994136789E-2</v>
          </cell>
          <cell r="M530">
            <v>5.9916172265141496E-2</v>
          </cell>
          <cell r="N530">
            <v>2.4161642613240185E-2</v>
          </cell>
          <cell r="O530">
            <v>4.2607098742107656E-2</v>
          </cell>
          <cell r="P530">
            <v>4.2417693040141556E-2</v>
          </cell>
          <cell r="Q530">
            <v>2.3526097062759738E-2</v>
          </cell>
          <cell r="R530">
            <v>2.3399843139962396E-2</v>
          </cell>
          <cell r="S530">
            <v>6.149299001386252E-2</v>
          </cell>
          <cell r="T530">
            <v>3.9645933839602229E-2</v>
          </cell>
          <cell r="U530">
            <v>3.1785808544811306E-2</v>
          </cell>
        </row>
        <row r="531">
          <cell r="B531" t="str">
            <v>FY1</v>
          </cell>
          <cell r="C531">
            <v>4.906384536712001E-2</v>
          </cell>
          <cell r="D531">
            <v>2.9000000000000019E-2</v>
          </cell>
          <cell r="E531">
            <v>2.3024470937356083E-2</v>
          </cell>
          <cell r="F531">
            <v>5.0970015246604841E-2</v>
          </cell>
          <cell r="G531">
            <v>2.8406073555532135E-2</v>
          </cell>
          <cell r="H531">
            <v>2.7764038492343043E-2</v>
          </cell>
          <cell r="I531">
            <v>2.1369574682242889E-2</v>
          </cell>
          <cell r="J531">
            <v>3.2799716897314146E-2</v>
          </cell>
          <cell r="K531">
            <v>3.1355313033391612E-2</v>
          </cell>
          <cell r="M531">
            <v>7.9882941077226516E-2</v>
          </cell>
          <cell r="N531">
            <v>3.2671433838796095E-2</v>
          </cell>
          <cell r="O531">
            <v>3.500000000000001E-2</v>
          </cell>
          <cell r="P531">
            <v>3.1496204389433645E-2</v>
          </cell>
          <cell r="Q531">
            <v>4.1852106209232701E-2</v>
          </cell>
          <cell r="R531">
            <v>3.0000000000000061E-2</v>
          </cell>
          <cell r="S531">
            <v>6.5716719965351583E-2</v>
          </cell>
          <cell r="T531">
            <v>4.5231343640005806E-2</v>
          </cell>
          <cell r="U531">
            <v>4.1518146381270146E-2</v>
          </cell>
        </row>
        <row r="532">
          <cell r="B532" t="str">
            <v>FY2</v>
          </cell>
          <cell r="C532">
            <v>5.4063845367119855E-2</v>
          </cell>
          <cell r="D532">
            <v>0.03</v>
          </cell>
          <cell r="E532">
            <v>2.8499999999999838E-2</v>
          </cell>
          <cell r="F532">
            <v>5.7000000000000065E-2</v>
          </cell>
          <cell r="G532">
            <v>1.2499999999999957E-2</v>
          </cell>
          <cell r="H532">
            <v>2.8764038492343064E-2</v>
          </cell>
          <cell r="I532">
            <v>2.2369574682242845E-2</v>
          </cell>
          <cell r="J532">
            <v>3.3313922648815095E-2</v>
          </cell>
          <cell r="K532">
            <v>3.4271596581928084E-2</v>
          </cell>
          <cell r="M532">
            <v>7.8882941077226418E-2</v>
          </cell>
          <cell r="N532">
            <v>3.2671433838796143E-2</v>
          </cell>
          <cell r="O532">
            <v>3.2999999999999953E-2</v>
          </cell>
          <cell r="P532">
            <v>3.7496204389433692E-2</v>
          </cell>
          <cell r="Q532">
            <v>3.800000000000011E-2</v>
          </cell>
          <cell r="R532">
            <v>3.3899999999999965E-2</v>
          </cell>
          <cell r="S532">
            <v>6.5716719965351306E-2</v>
          </cell>
          <cell r="T532">
            <v>4.5666757038686799E-2</v>
          </cell>
          <cell r="U532">
            <v>4.1598672627023166E-2</v>
          </cell>
        </row>
        <row r="533">
          <cell r="B533" t="str">
            <v>FY1</v>
          </cell>
          <cell r="C533">
            <v>0</v>
          </cell>
          <cell r="D533">
            <v>182.945193171608</v>
          </cell>
          <cell r="E533">
            <v>85.1</v>
          </cell>
          <cell r="F533">
            <v>139.1936024</v>
          </cell>
          <cell r="G533">
            <v>0.54100000000000004</v>
          </cell>
          <cell r="H533">
            <v>355.01931090619053</v>
          </cell>
          <cell r="I533">
            <v>823.37161142857099</v>
          </cell>
          <cell r="J533">
            <v>226.59581684376707</v>
          </cell>
          <cell r="K533">
            <v>1586.1707179063694</v>
          </cell>
          <cell r="M533">
            <v>64.431664990000002</v>
          </cell>
          <cell r="N533">
            <v>88.472999999999999</v>
          </cell>
          <cell r="O533">
            <v>83.486885200000003</v>
          </cell>
          <cell r="P533">
            <v>95.706649923605795</v>
          </cell>
          <cell r="Q533">
            <v>492.82129880369598</v>
          </cell>
          <cell r="R533">
            <v>194.73504270000001</v>
          </cell>
          <cell r="S533">
            <v>0</v>
          </cell>
          <cell r="T533">
            <v>145.6649345167574</v>
          </cell>
          <cell r="U533">
            <v>1019.6545416173018</v>
          </cell>
        </row>
        <row r="534">
          <cell r="A534" t="str">
            <v>mstag:averageDilutedSharesOutstanding</v>
          </cell>
          <cell r="B534" t="str">
            <v>Shares</v>
          </cell>
          <cell r="C534">
            <v>0</v>
          </cell>
          <cell r="D534">
            <v>205.90563969975801</v>
          </cell>
          <cell r="E534">
            <v>97.307606309267598</v>
          </cell>
          <cell r="F534">
            <v>286.66186174613699</v>
          </cell>
          <cell r="G534">
            <v>0</v>
          </cell>
          <cell r="H534">
            <v>307.96242645149999</v>
          </cell>
          <cell r="I534">
            <v>923.40618542842799</v>
          </cell>
          <cell r="J534">
            <v>260.17767423358436</v>
          </cell>
          <cell r="K534">
            <v>1821.2437196350907</v>
          </cell>
          <cell r="M534">
            <v>265.18449312984052</v>
          </cell>
          <cell r="N534">
            <v>175.375337620886</v>
          </cell>
          <cell r="O534">
            <v>139.4917100024507</v>
          </cell>
          <cell r="P534">
            <v>102.025034707074</v>
          </cell>
          <cell r="Q534">
            <v>1424.371796259763</v>
          </cell>
          <cell r="R534">
            <v>200</v>
          </cell>
          <cell r="S534">
            <v>0</v>
          </cell>
          <cell r="T534">
            <v>329.49262453143058</v>
          </cell>
          <cell r="U534">
            <v>2306.4483717200142</v>
          </cell>
        </row>
        <row r="535">
          <cell r="B535" t="str">
            <v>FY(2)</v>
          </cell>
          <cell r="C535">
            <v>320.17824999999999</v>
          </cell>
          <cell r="D535">
            <v>225.17500000000001</v>
          </cell>
          <cell r="E535">
            <v>451.75</v>
          </cell>
          <cell r="F535">
            <v>248.85724999999999</v>
          </cell>
          <cell r="G535">
            <v>153.53</v>
          </cell>
          <cell r="H535">
            <v>137.12950000000001</v>
          </cell>
          <cell r="I535">
            <v>468.04599999999999</v>
          </cell>
          <cell r="J535">
            <v>49.120571428571417</v>
          </cell>
          <cell r="K535">
            <v>343.84399999999994</v>
          </cell>
          <cell r="M535">
            <v>91.522999999999996</v>
          </cell>
          <cell r="N535">
            <v>112.26900000000001</v>
          </cell>
          <cell r="O535">
            <v>220.28</v>
          </cell>
          <cell r="P535">
            <v>377.35599999999999</v>
          </cell>
          <cell r="Q535">
            <v>793.86175000000003</v>
          </cell>
          <cell r="R535">
            <v>380.23025000000001</v>
          </cell>
          <cell r="S535">
            <v>169.63592499999999</v>
          </cell>
          <cell r="T535">
            <v>36.599857142857147</v>
          </cell>
          <cell r="U535">
            <v>256.19900000000001</v>
          </cell>
        </row>
        <row r="536">
          <cell r="B536" t="str">
            <v>FY(1)</v>
          </cell>
          <cell r="C536">
            <v>306.6225</v>
          </cell>
          <cell r="D536">
            <v>222.875</v>
          </cell>
          <cell r="E536">
            <v>421.42500000000001</v>
          </cell>
          <cell r="F536">
            <v>219.02500000000001</v>
          </cell>
          <cell r="G536">
            <v>138.38399999999999</v>
          </cell>
          <cell r="H536">
            <v>131.25524999999999</v>
          </cell>
          <cell r="I536">
            <v>442.255</v>
          </cell>
          <cell r="J536">
            <v>44.920142857142864</v>
          </cell>
          <cell r="K536">
            <v>314.44100000000003</v>
          </cell>
          <cell r="M536">
            <v>89.290999999999997</v>
          </cell>
          <cell r="N536">
            <v>101.364</v>
          </cell>
          <cell r="O536">
            <v>207.58199999999999</v>
          </cell>
          <cell r="P536">
            <v>360.25900000000001</v>
          </cell>
          <cell r="Q536">
            <v>719</v>
          </cell>
          <cell r="R536">
            <v>337.30099999999999</v>
          </cell>
          <cell r="S536">
            <v>170.85694175</v>
          </cell>
          <cell r="T536">
            <v>26.853857142857144</v>
          </cell>
          <cell r="U536">
            <v>187.977</v>
          </cell>
        </row>
        <row r="537">
          <cell r="B537" t="str">
            <v>FY0</v>
          </cell>
          <cell r="C537">
            <v>307</v>
          </cell>
          <cell r="D537">
            <v>232.85</v>
          </cell>
          <cell r="E537">
            <v>422.35</v>
          </cell>
          <cell r="F537">
            <v>219.65</v>
          </cell>
          <cell r="G537">
            <v>146.84450000000001</v>
          </cell>
          <cell r="H537">
            <v>125.05625000000001</v>
          </cell>
          <cell r="I537">
            <v>427.38150000000002</v>
          </cell>
          <cell r="J537">
            <v>57.513714285714286</v>
          </cell>
          <cell r="K537">
            <v>402.596</v>
          </cell>
          <cell r="M537">
            <v>88.354749999999996</v>
          </cell>
          <cell r="N537">
            <v>101.02475</v>
          </cell>
          <cell r="O537">
            <v>209.096</v>
          </cell>
          <cell r="P537">
            <v>325.62</v>
          </cell>
          <cell r="Q537">
            <v>698.5</v>
          </cell>
          <cell r="R537">
            <v>326.76499999999999</v>
          </cell>
          <cell r="S537">
            <v>171.22537274999999</v>
          </cell>
          <cell r="T537">
            <v>22.394714285714286</v>
          </cell>
          <cell r="U537">
            <v>156.76300000000001</v>
          </cell>
        </row>
        <row r="538">
          <cell r="B538" t="str">
            <v>FY1</v>
          </cell>
          <cell r="C538">
            <v>310.13471428571398</v>
          </cell>
          <cell r="D538">
            <v>237.3</v>
          </cell>
          <cell r="E538">
            <v>425.93</v>
          </cell>
          <cell r="F538">
            <v>222.02064300000001</v>
          </cell>
          <cell r="G538">
            <v>152.07075</v>
          </cell>
          <cell r="H538">
            <v>121.417319545455</v>
          </cell>
          <cell r="I538">
            <v>411.01945454545398</v>
          </cell>
          <cell r="J538">
            <v>76.682999999999993</v>
          </cell>
          <cell r="K538">
            <v>536.78099999999995</v>
          </cell>
          <cell r="M538">
            <v>86.994340425531902</v>
          </cell>
          <cell r="N538">
            <v>94.206304765520699</v>
          </cell>
          <cell r="O538">
            <v>214.43594377777799</v>
          </cell>
          <cell r="P538">
            <v>317.67435087815102</v>
          </cell>
          <cell r="Q538">
            <v>656.23828581818202</v>
          </cell>
          <cell r="R538">
            <v>322.06326548148098</v>
          </cell>
          <cell r="S538">
            <v>172.42198500000001</v>
          </cell>
          <cell r="T538">
            <v>32.55565</v>
          </cell>
          <cell r="U538">
            <v>227.88954999999999</v>
          </cell>
        </row>
        <row r="539">
          <cell r="B539" t="str">
            <v>FY2</v>
          </cell>
          <cell r="C539">
            <v>301.21385487113298</v>
          </cell>
          <cell r="D539">
            <v>237.363325395462</v>
          </cell>
          <cell r="E539">
            <v>425.93</v>
          </cell>
          <cell r="F539">
            <v>217.01187766065601</v>
          </cell>
          <cell r="G539">
            <v>164.17593426128801</v>
          </cell>
          <cell r="H539">
            <v>115.105631233766</v>
          </cell>
          <cell r="I539">
            <v>394.05792611882902</v>
          </cell>
          <cell r="J539">
            <v>228.23742857142858</v>
          </cell>
          <cell r="K539">
            <v>1597.662</v>
          </cell>
          <cell r="M539">
            <v>83.071661626235098</v>
          </cell>
          <cell r="N539">
            <v>85.832687672587596</v>
          </cell>
          <cell r="O539">
            <v>216.68351600604399</v>
          </cell>
          <cell r="P539">
            <v>304.067129634504</v>
          </cell>
          <cell r="Q539">
            <v>608.94531141072105</v>
          </cell>
          <cell r="R539">
            <v>317.07369672823501</v>
          </cell>
          <cell r="S539">
            <v>171.952871551062</v>
          </cell>
          <cell r="T539">
            <v>118.40407857142857</v>
          </cell>
          <cell r="U539">
            <v>828.82854999999995</v>
          </cell>
        </row>
        <row r="540">
          <cell r="B540" t="str">
            <v>FQ(3)</v>
          </cell>
          <cell r="C540">
            <v>306</v>
          </cell>
          <cell r="D540">
            <v>222.7</v>
          </cell>
          <cell r="E540">
            <v>421.4</v>
          </cell>
          <cell r="F540">
            <v>217.4</v>
          </cell>
          <cell r="G540">
            <v>138.297</v>
          </cell>
          <cell r="H540">
            <v>126.56399999999999</v>
          </cell>
          <cell r="I540">
            <v>431.798</v>
          </cell>
          <cell r="M540">
            <v>87.697000000000003</v>
          </cell>
          <cell r="N540">
            <v>101.685</v>
          </cell>
          <cell r="O540">
            <v>207.286</v>
          </cell>
          <cell r="P540">
            <v>321.35500000000002</v>
          </cell>
          <cell r="Q540">
            <v>697</v>
          </cell>
          <cell r="R540">
            <v>323.28500000000003</v>
          </cell>
          <cell r="S540">
            <v>170.31670800000001</v>
          </cell>
        </row>
        <row r="541">
          <cell r="B541" t="str">
            <v>FQ(2)</v>
          </cell>
          <cell r="C541">
            <v>306</v>
          </cell>
          <cell r="D541">
            <v>233.8</v>
          </cell>
          <cell r="E541">
            <v>422.1</v>
          </cell>
          <cell r="F541">
            <v>218.8</v>
          </cell>
          <cell r="G541">
            <v>138.32499999999999</v>
          </cell>
          <cell r="H541">
            <v>125.658</v>
          </cell>
          <cell r="I541">
            <v>430.45299999999997</v>
          </cell>
          <cell r="M541">
            <v>87.878</v>
          </cell>
          <cell r="N541">
            <v>102.4455</v>
          </cell>
          <cell r="O541">
            <v>209.01499999999999</v>
          </cell>
          <cell r="P541">
            <v>320.512</v>
          </cell>
          <cell r="Q541">
            <v>700</v>
          </cell>
          <cell r="R541">
            <v>325.697</v>
          </cell>
          <cell r="S541">
            <v>170.71927400000001</v>
          </cell>
        </row>
        <row r="542">
          <cell r="B542" t="str">
            <v>FQ(1)</v>
          </cell>
          <cell r="C542">
            <v>308</v>
          </cell>
          <cell r="D542">
            <v>237.6</v>
          </cell>
          <cell r="E542">
            <v>421.8</v>
          </cell>
          <cell r="F542">
            <v>220.7</v>
          </cell>
          <cell r="G542">
            <v>152.45599999999999</v>
          </cell>
          <cell r="H542">
            <v>124.648</v>
          </cell>
          <cell r="I542">
            <v>428.09199999999998</v>
          </cell>
          <cell r="J542">
            <v>5.9822026995043656</v>
          </cell>
          <cell r="K542">
            <v>1.0740709902116266</v>
          </cell>
          <cell r="M542">
            <v>88.73</v>
          </cell>
          <cell r="N542">
            <v>101.98650000000001</v>
          </cell>
          <cell r="O542">
            <v>209.393</v>
          </cell>
          <cell r="P542">
            <v>321.11500000000001</v>
          </cell>
          <cell r="Q542">
            <v>704</v>
          </cell>
          <cell r="R542">
            <v>328.25900000000001</v>
          </cell>
          <cell r="S542">
            <v>171.44390200000001</v>
          </cell>
          <cell r="T542">
            <v>0.54803252730191898</v>
          </cell>
          <cell r="U542">
            <v>0.62421656550496152</v>
          </cell>
        </row>
        <row r="543">
          <cell r="B543" t="str">
            <v>Last Reported Q</v>
          </cell>
          <cell r="C543">
            <v>307</v>
          </cell>
          <cell r="D543">
            <v>232.85</v>
          </cell>
          <cell r="E543">
            <v>422.35</v>
          </cell>
          <cell r="F543">
            <v>219.65</v>
          </cell>
          <cell r="G543">
            <v>146.84450000000001</v>
          </cell>
          <cell r="H543">
            <v>125.05625000000001</v>
          </cell>
          <cell r="I543">
            <v>427.38150000000002</v>
          </cell>
          <cell r="J543">
            <v>1.2055641241313226</v>
          </cell>
          <cell r="K543">
            <v>1.345688514126187</v>
          </cell>
          <cell r="M543">
            <v>88.354749999999996</v>
          </cell>
          <cell r="N543">
            <v>101.02475</v>
          </cell>
          <cell r="O543">
            <v>209.096</v>
          </cell>
          <cell r="P543">
            <v>321.38099999999997</v>
          </cell>
          <cell r="Q543">
            <v>698.5</v>
          </cell>
          <cell r="R543">
            <v>326.76499999999999</v>
          </cell>
          <cell r="S543">
            <v>171.22537274999999</v>
          </cell>
          <cell r="T543">
            <v>0.98358433469455953</v>
          </cell>
          <cell r="U543">
            <v>1.0261221323087046</v>
          </cell>
        </row>
        <row r="544">
          <cell r="B544" t="str">
            <v>LTM</v>
          </cell>
          <cell r="C544">
            <v>306.75</v>
          </cell>
          <cell r="D544">
            <v>231.73750000000001</v>
          </cell>
          <cell r="E544">
            <v>421.91250000000002</v>
          </cell>
          <cell r="F544">
            <v>219.13750000000002</v>
          </cell>
          <cell r="G544">
            <v>143.980625</v>
          </cell>
          <cell r="H544">
            <v>125.4815625</v>
          </cell>
          <cell r="I544">
            <v>429.43112499999995</v>
          </cell>
          <cell r="J544">
            <v>0.53601675902895107</v>
          </cell>
          <cell r="K544">
            <v>0.53144082268673543</v>
          </cell>
          <cell r="M544">
            <v>88.164937500000008</v>
          </cell>
          <cell r="N544">
            <v>101.78543749999999</v>
          </cell>
          <cell r="O544">
            <v>208.69749999999999</v>
          </cell>
          <cell r="P544">
            <v>321.09074999999996</v>
          </cell>
          <cell r="Q544">
            <v>699.875</v>
          </cell>
          <cell r="R544">
            <v>326.00149999999996</v>
          </cell>
          <cell r="S544">
            <v>170.9263141875</v>
          </cell>
          <cell r="T544">
            <v>0.33995816525749134</v>
          </cell>
          <cell r="U544">
            <v>0.48329425673440402</v>
          </cell>
        </row>
        <row r="545">
          <cell r="B545" t="str">
            <v>FY1</v>
          </cell>
          <cell r="C545">
            <v>0</v>
          </cell>
          <cell r="D545">
            <v>0.75886991644161217</v>
          </cell>
          <cell r="E545">
            <v>0.13544901852545316</v>
          </cell>
          <cell r="F545">
            <v>0.3501044562658292</v>
          </cell>
          <cell r="G545">
            <v>-7.8789507472054546E-3</v>
          </cell>
          <cell r="H545">
            <v>0.83723039615621164</v>
          </cell>
          <cell r="I545">
            <v>0.71266152001253269</v>
          </cell>
          <cell r="J545">
            <v>0.39806233666491903</v>
          </cell>
          <cell r="K545">
            <v>0.42529092369424204</v>
          </cell>
          <cell r="M545">
            <v>0.72421096097612114</v>
          </cell>
          <cell r="N545">
            <v>0.40902156005660512</v>
          </cell>
          <cell r="O545">
            <v>0.53922669551942037</v>
          </cell>
          <cell r="P545">
            <v>0.13932993511019859</v>
          </cell>
          <cell r="Q545">
            <v>0.45705508052969995</v>
          </cell>
          <cell r="R545">
            <v>0.5372637429287398</v>
          </cell>
          <cell r="S545">
            <v>0</v>
          </cell>
          <cell r="T545">
            <v>0.40087256787439784</v>
          </cell>
          <cell r="U545">
            <v>0.36417724611131913</v>
          </cell>
        </row>
        <row r="546">
          <cell r="B546" t="str">
            <v>Dividends</v>
          </cell>
          <cell r="C546">
            <v>0</v>
          </cell>
          <cell r="D546">
            <v>0.56460161768085815</v>
          </cell>
          <cell r="E546">
            <v>0.17369223170512707</v>
          </cell>
          <cell r="F546">
            <v>0.65325836349800881</v>
          </cell>
          <cell r="G546">
            <v>0</v>
          </cell>
          <cell r="H546">
            <v>0.71527012076771046</v>
          </cell>
          <cell r="I546">
            <v>0.70968320578337618</v>
          </cell>
          <cell r="J546">
            <v>0.40235793420501148</v>
          </cell>
          <cell r="K546">
            <v>0.43866553937993219</v>
          </cell>
          <cell r="M546">
            <v>1.9999999999999738</v>
          </cell>
          <cell r="N546">
            <v>0.79999999999998717</v>
          </cell>
          <cell r="O546">
            <v>0.7000000000000085</v>
          </cell>
          <cell r="P546">
            <v>0.13879332235659583</v>
          </cell>
          <cell r="Q546">
            <v>1.3200000000000276</v>
          </cell>
          <cell r="R546">
            <v>0.48792508469895424</v>
          </cell>
          <cell r="S546">
            <v>0</v>
          </cell>
          <cell r="T546">
            <v>0.77810262957936394</v>
          </cell>
          <cell r="U546">
            <v>0.75795426630354901</v>
          </cell>
        </row>
        <row r="547">
          <cell r="B547" t="str">
            <v>FY(2)</v>
          </cell>
          <cell r="C547" t="str">
            <v>NA</v>
          </cell>
          <cell r="D547">
            <v>174</v>
          </cell>
          <cell r="E547">
            <v>230</v>
          </cell>
          <cell r="F547">
            <v>134</v>
          </cell>
          <cell r="G547">
            <v>7.43</v>
          </cell>
          <cell r="H547">
            <v>40.637999999999998</v>
          </cell>
          <cell r="I547">
            <v>151.49199999999999</v>
          </cell>
          <cell r="J547">
            <v>122.92666666666666</v>
          </cell>
          <cell r="K547">
            <v>737.56</v>
          </cell>
          <cell r="M547">
            <v>61.33</v>
          </cell>
          <cell r="N547">
            <v>0</v>
          </cell>
          <cell r="O547">
            <v>80.796000000000006</v>
          </cell>
          <cell r="P547">
            <v>0</v>
          </cell>
          <cell r="Q547">
            <v>252</v>
          </cell>
          <cell r="R547">
            <v>227</v>
          </cell>
          <cell r="S547" t="str">
            <v>NA</v>
          </cell>
          <cell r="T547">
            <v>103.521</v>
          </cell>
          <cell r="U547">
            <v>621.12599999999998</v>
          </cell>
        </row>
        <row r="548">
          <cell r="A548" t="str">
            <v>mstag:cashDividendsPaid</v>
          </cell>
          <cell r="B548" t="str">
            <v>FY(1)</v>
          </cell>
          <cell r="C548" t="str">
            <v>NA</v>
          </cell>
          <cell r="D548">
            <v>178</v>
          </cell>
          <cell r="E548">
            <v>221</v>
          </cell>
          <cell r="F548">
            <v>138</v>
          </cell>
          <cell r="G548">
            <v>1.1830000000000001</v>
          </cell>
          <cell r="H548">
            <v>49.838000000000001</v>
          </cell>
          <cell r="I548">
            <v>176.749</v>
          </cell>
          <cell r="J548">
            <v>127.46166666666666</v>
          </cell>
          <cell r="K548">
            <v>764.77</v>
          </cell>
          <cell r="M548">
            <v>60.768999999999998</v>
          </cell>
          <cell r="N548">
            <v>0</v>
          </cell>
          <cell r="O548">
            <v>82.394000000000005</v>
          </cell>
          <cell r="P548">
            <v>0</v>
          </cell>
          <cell r="Q548">
            <v>243</v>
          </cell>
          <cell r="R548">
            <v>201</v>
          </cell>
          <cell r="S548" t="str">
            <v>NA</v>
          </cell>
          <cell r="T548">
            <v>97.860500000000002</v>
          </cell>
          <cell r="U548">
            <v>587.16300000000001</v>
          </cell>
        </row>
        <row r="549">
          <cell r="B549" t="str">
            <v>FY0</v>
          </cell>
          <cell r="C549" t="str">
            <v>NA</v>
          </cell>
          <cell r="D549">
            <v>183</v>
          </cell>
          <cell r="E549">
            <v>84</v>
          </cell>
          <cell r="F549">
            <v>139</v>
          </cell>
          <cell r="G549">
            <v>0.78100000000000003</v>
          </cell>
          <cell r="H549">
            <v>55.201999999999998</v>
          </cell>
          <cell r="I549">
            <v>197.7</v>
          </cell>
          <cell r="J549">
            <v>109.94716666666666</v>
          </cell>
          <cell r="K549">
            <v>659.68299999999999</v>
          </cell>
          <cell r="M549">
            <v>61.5</v>
          </cell>
          <cell r="N549">
            <v>0</v>
          </cell>
          <cell r="O549">
            <v>82.984999999999999</v>
          </cell>
          <cell r="P549">
            <v>0</v>
          </cell>
          <cell r="Q549">
            <v>234</v>
          </cell>
          <cell r="R549">
            <v>193</v>
          </cell>
          <cell r="S549" t="str">
            <v>NA</v>
          </cell>
          <cell r="T549">
            <v>95.247500000000002</v>
          </cell>
          <cell r="U549">
            <v>571.48500000000001</v>
          </cell>
        </row>
        <row r="550">
          <cell r="B550" t="str">
            <v>FY1</v>
          </cell>
          <cell r="C550" t="str">
            <v>NA</v>
          </cell>
          <cell r="D550">
            <v>188.775411841813</v>
          </cell>
          <cell r="E550">
            <v>85.186000000000007</v>
          </cell>
          <cell r="F550">
            <v>142.09321152000001</v>
          </cell>
          <cell r="G550">
            <v>0</v>
          </cell>
          <cell r="H550">
            <v>77.707084509090905</v>
          </cell>
          <cell r="I550">
            <v>197.28933818181801</v>
          </cell>
          <cell r="J550">
            <v>115.17517434212033</v>
          </cell>
          <cell r="K550">
            <v>691.05104605272197</v>
          </cell>
          <cell r="M550">
            <v>64.343897021276604</v>
          </cell>
          <cell r="N550">
            <v>0</v>
          </cell>
          <cell r="O550">
            <v>90.0630963866667</v>
          </cell>
          <cell r="P550">
            <v>94.252655263445405</v>
          </cell>
          <cell r="Q550">
            <v>262.49531432727298</v>
          </cell>
          <cell r="R550">
            <v>518.07900254814797</v>
          </cell>
          <cell r="S550" t="str">
            <v>NA</v>
          </cell>
          <cell r="T550">
            <v>171.53899425780162</v>
          </cell>
          <cell r="U550">
            <v>1029.2339655468097</v>
          </cell>
        </row>
        <row r="551">
          <cell r="B551" t="str">
            <v>FY2</v>
          </cell>
          <cell r="C551" t="str">
            <v>NA</v>
          </cell>
          <cell r="D551">
            <v>207.70836687078599</v>
          </cell>
          <cell r="E551">
            <v>96.910411835832903</v>
          </cell>
          <cell r="F551">
            <v>151.06358340229599</v>
          </cell>
          <cell r="G551">
            <v>0</v>
          </cell>
          <cell r="H551">
            <v>81.592438734545496</v>
          </cell>
          <cell r="I551">
            <v>213.29758054177</v>
          </cell>
          <cell r="J551">
            <v>125.09539689753841</v>
          </cell>
          <cell r="K551">
            <v>750.57238138523041</v>
          </cell>
          <cell r="M551">
            <v>68.188106938637006</v>
          </cell>
          <cell r="N551">
            <v>0</v>
          </cell>
          <cell r="O551">
            <v>98.400875799278495</v>
          </cell>
          <cell r="P551">
            <v>99.137817779386296</v>
          </cell>
          <cell r="Q551">
            <v>262.348142727675</v>
          </cell>
          <cell r="R551">
            <v>200</v>
          </cell>
          <cell r="S551" t="str">
            <v>NA</v>
          </cell>
          <cell r="T551">
            <v>121.3458238741628</v>
          </cell>
          <cell r="U551">
            <v>728.07494324497679</v>
          </cell>
        </row>
        <row r="552">
          <cell r="B552" t="str">
            <v>FQ(3)</v>
          </cell>
          <cell r="C552" t="str">
            <v>NA</v>
          </cell>
          <cell r="D552">
            <v>89</v>
          </cell>
          <cell r="E552">
            <v>21</v>
          </cell>
          <cell r="F552">
            <v>35</v>
          </cell>
          <cell r="G552">
            <v>0.47099999999999997</v>
          </cell>
          <cell r="H552">
            <v>13.967000000000001</v>
          </cell>
          <cell r="I552">
            <v>45.408000000000001</v>
          </cell>
          <cell r="J552">
            <v>34.140999999999998</v>
          </cell>
          <cell r="K552">
            <v>204.846</v>
          </cell>
          <cell r="M552">
            <v>15.337999999999999</v>
          </cell>
          <cell r="N552">
            <v>0</v>
          </cell>
          <cell r="O552">
            <v>20.638999999999999</v>
          </cell>
          <cell r="P552">
            <v>0</v>
          </cell>
          <cell r="Q552">
            <v>59</v>
          </cell>
          <cell r="R552">
            <v>48</v>
          </cell>
          <cell r="S552" t="str">
            <v>NA</v>
          </cell>
          <cell r="T552">
            <v>23.829499999999999</v>
          </cell>
          <cell r="U552">
            <v>142.977</v>
          </cell>
        </row>
        <row r="553">
          <cell r="A553" t="str">
            <v>Modelware DuPont (Non-lease Adjusted)ROIC</v>
          </cell>
          <cell r="B553" t="str">
            <v>FQ(2)</v>
          </cell>
          <cell r="C553" t="str">
            <v>NA</v>
          </cell>
          <cell r="D553">
            <v>0</v>
          </cell>
          <cell r="E553">
            <v>21</v>
          </cell>
          <cell r="F553">
            <v>34</v>
          </cell>
          <cell r="G553">
            <v>7.0000000000000104E-2</v>
          </cell>
          <cell r="H553">
            <v>13.858000000000001</v>
          </cell>
          <cell r="I553">
            <v>51.192</v>
          </cell>
          <cell r="J553">
            <v>20.02</v>
          </cell>
          <cell r="K553">
            <v>120.12</v>
          </cell>
          <cell r="M553">
            <v>15.374000000000001</v>
          </cell>
          <cell r="N553">
            <v>0</v>
          </cell>
          <cell r="O553">
            <v>20.721</v>
          </cell>
          <cell r="P553">
            <v>0</v>
          </cell>
          <cell r="Q553">
            <v>59</v>
          </cell>
          <cell r="R553">
            <v>48</v>
          </cell>
          <cell r="S553" t="str">
            <v>NA</v>
          </cell>
          <cell r="T553">
            <v>23.849166666666665</v>
          </cell>
          <cell r="U553">
            <v>143.095</v>
          </cell>
        </row>
        <row r="554">
          <cell r="B554" t="str">
            <v>FQ(1)</v>
          </cell>
          <cell r="C554" t="str">
            <v>NA</v>
          </cell>
          <cell r="D554">
            <v>47</v>
          </cell>
          <cell r="E554">
            <v>21</v>
          </cell>
          <cell r="F554">
            <v>35</v>
          </cell>
          <cell r="G554">
            <v>0.24</v>
          </cell>
          <cell r="H554">
            <v>13.734999999999999</v>
          </cell>
          <cell r="I554">
            <v>50.802999999999997</v>
          </cell>
          <cell r="J554">
            <v>27.962999999999997</v>
          </cell>
          <cell r="K554">
            <v>167.77799999999999</v>
          </cell>
          <cell r="M554">
            <v>15.391999999999999</v>
          </cell>
          <cell r="N554">
            <v>0</v>
          </cell>
          <cell r="O554">
            <v>20.757000000000001</v>
          </cell>
          <cell r="P554">
            <v>23.843</v>
          </cell>
          <cell r="Q554">
            <v>60</v>
          </cell>
          <cell r="R554">
            <v>49</v>
          </cell>
          <cell r="S554" t="str">
            <v>NA</v>
          </cell>
          <cell r="T554">
            <v>28.165333333333336</v>
          </cell>
          <cell r="U554">
            <v>168.99200000000002</v>
          </cell>
        </row>
        <row r="555">
          <cell r="B555" t="str">
            <v>Last Reported Q</v>
          </cell>
          <cell r="C555" t="str">
            <v>NA</v>
          </cell>
          <cell r="D555">
            <v>183</v>
          </cell>
          <cell r="E555">
            <v>84</v>
          </cell>
          <cell r="F555">
            <v>139</v>
          </cell>
          <cell r="G555">
            <v>0.78100000000000003</v>
          </cell>
          <cell r="H555">
            <v>55.201999999999998</v>
          </cell>
          <cell r="I555">
            <v>197.7</v>
          </cell>
          <cell r="J555">
            <v>109.94716666666666</v>
          </cell>
          <cell r="K555">
            <v>659.68299999999999</v>
          </cell>
          <cell r="M555">
            <v>61.5</v>
          </cell>
          <cell r="N555">
            <v>0</v>
          </cell>
          <cell r="O555">
            <v>82.984999999999999</v>
          </cell>
          <cell r="P555">
            <v>23.882999999999999</v>
          </cell>
          <cell r="Q555">
            <v>234</v>
          </cell>
          <cell r="R555">
            <v>193</v>
          </cell>
          <cell r="S555" t="str">
            <v>NA</v>
          </cell>
          <cell r="T555">
            <v>99.228000000000009</v>
          </cell>
          <cell r="U555">
            <v>595.36800000000005</v>
          </cell>
        </row>
        <row r="556">
          <cell r="B556" t="str">
            <v>LTM</v>
          </cell>
          <cell r="C556">
            <v>0</v>
          </cell>
          <cell r="D556">
            <v>319</v>
          </cell>
          <cell r="E556">
            <v>147</v>
          </cell>
          <cell r="F556">
            <v>243</v>
          </cell>
          <cell r="G556">
            <v>1.5620000000000001</v>
          </cell>
          <cell r="H556">
            <v>96.762</v>
          </cell>
          <cell r="I556">
            <v>345.10299999999995</v>
          </cell>
          <cell r="J556">
            <v>164.63242857142859</v>
          </cell>
          <cell r="K556">
            <v>1152.4270000000001</v>
          </cell>
          <cell r="M556">
            <v>107.604</v>
          </cell>
          <cell r="N556">
            <v>0</v>
          </cell>
          <cell r="O556">
            <v>145.102</v>
          </cell>
          <cell r="P556">
            <v>47.725999999999999</v>
          </cell>
          <cell r="Q556">
            <v>412</v>
          </cell>
          <cell r="R556">
            <v>338</v>
          </cell>
          <cell r="S556">
            <v>0</v>
          </cell>
          <cell r="T556">
            <v>150.06171428571429</v>
          </cell>
          <cell r="U556">
            <v>1050.432</v>
          </cell>
        </row>
        <row r="558">
          <cell r="A558" t="str">
            <v>Modelware DuPont (Non-lease Adjusted)ROE</v>
          </cell>
          <cell r="B558" t="str">
            <v>Dividends/Share</v>
          </cell>
        </row>
        <row r="559">
          <cell r="B559" t="str">
            <v>FY(2)</v>
          </cell>
          <cell r="D559">
            <v>0.77273231930720543</v>
          </cell>
          <cell r="E559">
            <v>0.50913115661317099</v>
          </cell>
          <cell r="F559">
            <v>0.53846130663261771</v>
          </cell>
          <cell r="G559">
            <v>4.8394450595974726E-2</v>
          </cell>
          <cell r="H559">
            <v>0.29634761302272666</v>
          </cell>
          <cell r="I559">
            <v>0.32366904107715905</v>
          </cell>
          <cell r="M559">
            <v>0.67010478240442295</v>
          </cell>
          <cell r="N559">
            <v>0</v>
          </cell>
          <cell r="O559">
            <v>0.3667877247140004</v>
          </cell>
          <cell r="P559">
            <v>0</v>
          </cell>
          <cell r="Q559">
            <v>0.31743562402395631</v>
          </cell>
          <cell r="R559">
            <v>0.59700668213536401</v>
          </cell>
          <cell r="S559" t="e">
            <v>#VALUE!</v>
          </cell>
        </row>
        <row r="560">
          <cell r="B560" t="str">
            <v>FY(1)</v>
          </cell>
          <cell r="D560">
            <v>0.79865395401009531</v>
          </cell>
          <cell r="E560">
            <v>0.52441122382393068</v>
          </cell>
          <cell r="F560">
            <v>0.63006506106608828</v>
          </cell>
          <cell r="G560">
            <v>8.5486761475315077E-3</v>
          </cell>
          <cell r="H560">
            <v>0.37970290712181043</v>
          </cell>
          <cell r="I560">
            <v>0.39965404574284064</v>
          </cell>
          <cell r="M560">
            <v>0.68057251010740161</v>
          </cell>
          <cell r="N560">
            <v>0</v>
          </cell>
          <cell r="O560">
            <v>0.39692266188783232</v>
          </cell>
          <cell r="P560">
            <v>0</v>
          </cell>
          <cell r="Q560">
            <v>0.33796940194714881</v>
          </cell>
          <cell r="R560">
            <v>0.59590691993204881</v>
          </cell>
          <cell r="S560" t="e">
            <v>#VALUE!</v>
          </cell>
        </row>
        <row r="561">
          <cell r="B561" t="str">
            <v>FY0</v>
          </cell>
          <cell r="D561">
            <v>0.78591367833369119</v>
          </cell>
          <cell r="E561">
            <v>0.19888717888007576</v>
          </cell>
          <cell r="F561">
            <v>0.63282494878215345</v>
          </cell>
          <cell r="G561">
            <v>5.3185512566013707E-3</v>
          </cell>
          <cell r="H561">
            <v>0.44141736218701583</v>
          </cell>
          <cell r="I561">
            <v>0.46258436549078513</v>
          </cell>
          <cell r="M561">
            <v>0.69605765394616592</v>
          </cell>
          <cell r="N561">
            <v>0</v>
          </cell>
          <cell r="O561">
            <v>0.39687511956230631</v>
          </cell>
          <cell r="P561">
            <v>0</v>
          </cell>
          <cell r="Q561">
            <v>0.33500357909806727</v>
          </cell>
          <cell r="R561">
            <v>0.59063853227854879</v>
          </cell>
          <cell r="S561" t="e">
            <v>#VALUE!</v>
          </cell>
        </row>
        <row r="562">
          <cell r="B562" t="str">
            <v>FY1</v>
          </cell>
          <cell r="D562">
            <v>0.79551374564607247</v>
          </cell>
          <cell r="E562">
            <v>0.2</v>
          </cell>
          <cell r="F562">
            <v>0.64</v>
          </cell>
          <cell r="G562">
            <v>0</v>
          </cell>
          <cell r="H562">
            <v>0.63999999999999757</v>
          </cell>
          <cell r="I562">
            <v>0.48000000000000026</v>
          </cell>
          <cell r="M562">
            <v>0.7396331382770317</v>
          </cell>
          <cell r="N562">
            <v>0</v>
          </cell>
          <cell r="O562">
            <v>0.41999999999999976</v>
          </cell>
          <cell r="P562">
            <v>0.29669583018868745</v>
          </cell>
          <cell r="Q562">
            <v>0.40000000000000024</v>
          </cell>
          <cell r="R562">
            <v>1.6086249444612246</v>
          </cell>
          <cell r="S562" t="e">
            <v>#VALUE!</v>
          </cell>
        </row>
        <row r="563">
          <cell r="A563" t="str">
            <v>Modelware DuPont (Lease Adjusted)ROIC</v>
          </cell>
          <cell r="B563" t="str">
            <v>FY2</v>
          </cell>
          <cell r="D563">
            <v>0.87506512021067695</v>
          </cell>
          <cell r="E563">
            <v>0.22752661666431784</v>
          </cell>
          <cell r="F563">
            <v>0.69610744366036903</v>
          </cell>
          <cell r="G563">
            <v>0</v>
          </cell>
          <cell r="H563">
            <v>0.70884836701725606</v>
          </cell>
          <cell r="I563">
            <v>0.54128483759377466</v>
          </cell>
          <cell r="M563">
            <v>0.82083475403966555</v>
          </cell>
          <cell r="N563">
            <v>0</v>
          </cell>
          <cell r="O563">
            <v>0.45412257292582325</v>
          </cell>
          <cell r="P563">
            <v>0.32603924632877068</v>
          </cell>
          <cell r="Q563">
            <v>0.43082381588570373</v>
          </cell>
          <cell r="R563">
            <v>0.63076818438024118</v>
          </cell>
          <cell r="S563" t="e">
            <v>#VALUE!</v>
          </cell>
        </row>
        <row r="564">
          <cell r="B564" t="str">
            <v>FQ(3)</v>
          </cell>
          <cell r="D564">
            <v>0.39964077233947015</v>
          </cell>
          <cell r="E564">
            <v>4.9833887043189369E-2</v>
          </cell>
          <cell r="F564">
            <v>0.16099356025758968</v>
          </cell>
          <cell r="G564">
            <v>3.4057137898869821E-3</v>
          </cell>
          <cell r="H564">
            <v>0.11035523529597675</v>
          </cell>
          <cell r="I564">
            <v>0.10516028328060806</v>
          </cell>
          <cell r="M564">
            <v>0.17489765898491394</v>
          </cell>
          <cell r="N564">
            <v>0</v>
          </cell>
          <cell r="O564">
            <v>9.9567746977605814E-2</v>
          </cell>
          <cell r="P564">
            <v>0</v>
          </cell>
          <cell r="Q564">
            <v>8.4648493543758974E-2</v>
          </cell>
          <cell r="R564">
            <v>0.14847580308396616</v>
          </cell>
          <cell r="S564" t="e">
            <v>#VALUE!</v>
          </cell>
        </row>
        <row r="565">
          <cell r="B565" t="str">
            <v>FQ(2)</v>
          </cell>
          <cell r="D565">
            <v>0</v>
          </cell>
          <cell r="E565">
            <v>4.9751243781094523E-2</v>
          </cell>
          <cell r="F565">
            <v>0.15539305301645337</v>
          </cell>
          <cell r="G565">
            <v>5.0605458160130209E-4</v>
          </cell>
          <cell r="H565">
            <v>0.11028346782536727</v>
          </cell>
          <cell r="I565">
            <v>0.11892587576343992</v>
          </cell>
          <cell r="M565">
            <v>0.17494708573249279</v>
          </cell>
          <cell r="N565">
            <v>0</v>
          </cell>
          <cell r="O565">
            <v>9.9136425615386464E-2</v>
          </cell>
          <cell r="P565">
            <v>0</v>
          </cell>
          <cell r="Q565">
            <v>8.4285714285714283E-2</v>
          </cell>
          <cell r="R565">
            <v>0.14737624233566782</v>
          </cell>
          <cell r="S565" t="e">
            <v>#VALUE!</v>
          </cell>
        </row>
        <row r="566">
          <cell r="B566" t="str">
            <v>FQ(1)</v>
          </cell>
          <cell r="D566">
            <v>0.19781144781144783</v>
          </cell>
          <cell r="E566">
            <v>4.9786628733997154E-2</v>
          </cell>
          <cell r="F566">
            <v>0.15858631626642503</v>
          </cell>
          <cell r="G566">
            <v>1.5742246943380386E-3</v>
          </cell>
          <cell r="H566">
            <v>0.11019029587317887</v>
          </cell>
          <cell r="I566">
            <v>0.1186730889621857</v>
          </cell>
          <cell r="M566">
            <v>0.17347007776400314</v>
          </cell>
          <cell r="N566">
            <v>0</v>
          </cell>
          <cell r="O566">
            <v>9.9129388279455388E-2</v>
          </cell>
          <cell r="P566">
            <v>7.4250657864005101E-2</v>
          </cell>
          <cell r="Q566">
            <v>8.5227272727272721E-2</v>
          </cell>
          <cell r="R566">
            <v>0.14927237333934484</v>
          </cell>
          <cell r="S566" t="e">
            <v>#VALUE!</v>
          </cell>
        </row>
        <row r="567">
          <cell r="B567" t="str">
            <v>Last Reported Q</v>
          </cell>
          <cell r="D567">
            <v>0.78591367833369119</v>
          </cell>
          <cell r="E567">
            <v>0.19888717888007576</v>
          </cell>
          <cell r="F567">
            <v>0.63282494878215345</v>
          </cell>
          <cell r="G567">
            <v>5.3185512566013707E-3</v>
          </cell>
          <cell r="H567">
            <v>0.44141736218701583</v>
          </cell>
          <cell r="I567">
            <v>0.46258436549078513</v>
          </cell>
          <cell r="M567">
            <v>0.69605765394616592</v>
          </cell>
          <cell r="N567">
            <v>0</v>
          </cell>
          <cell r="O567">
            <v>0.39687511956230631</v>
          </cell>
          <cell r="P567">
            <v>7.4313665089099853E-2</v>
          </cell>
          <cell r="Q567">
            <v>0.33500357909806727</v>
          </cell>
          <cell r="R567">
            <v>0.59063853227854879</v>
          </cell>
          <cell r="S567" t="e">
            <v>#VALUE!</v>
          </cell>
        </row>
        <row r="568">
          <cell r="A568" t="str">
            <v>Modelware DuPont (Lease Adjusted)ROE</v>
          </cell>
          <cell r="B568" t="str">
            <v>LTM</v>
          </cell>
          <cell r="C568">
            <v>0</v>
          </cell>
          <cell r="D568">
            <v>1.3765575273747235</v>
          </cell>
          <cell r="E568">
            <v>0.34841347435783482</v>
          </cell>
          <cell r="F568">
            <v>1.1088928184359135</v>
          </cell>
          <cell r="G568">
            <v>1.0848681897303892E-2</v>
          </cell>
          <cell r="H568">
            <v>0.77112524001285054</v>
          </cell>
          <cell r="I568">
            <v>0.80362828847117218</v>
          </cell>
          <cell r="M568">
            <v>1.22048518437389</v>
          </cell>
          <cell r="N568">
            <v>0</v>
          </cell>
          <cell r="O568">
            <v>0.69527426059248443</v>
          </cell>
          <cell r="P568">
            <v>0.14863710648780759</v>
          </cell>
          <cell r="Q568">
            <v>0.58867654938381853</v>
          </cell>
          <cell r="R568">
            <v>1.0368050453755582</v>
          </cell>
          <cell r="S568">
            <v>0</v>
          </cell>
        </row>
        <row r="569">
          <cell r="B569" t="str">
            <v>FY0</v>
          </cell>
        </row>
        <row r="570">
          <cell r="A570" t="str">
            <v>mstag:fundsUsedToRepurchaseCommonStock</v>
          </cell>
          <cell r="B570" t="str">
            <v>Repurchases</v>
          </cell>
        </row>
        <row r="571">
          <cell r="B571" t="str">
            <v>FY(2)</v>
          </cell>
          <cell r="C571" t="str">
            <v>NA</v>
          </cell>
          <cell r="D571" t="str">
            <v>NA</v>
          </cell>
          <cell r="E571">
            <v>3322</v>
          </cell>
          <cell r="F571">
            <v>1702</v>
          </cell>
          <cell r="G571" t="str">
            <v>NA</v>
          </cell>
          <cell r="H571">
            <v>200</v>
          </cell>
          <cell r="I571">
            <v>940.20799999999997</v>
          </cell>
          <cell r="J571">
            <v>1541.0519999999999</v>
          </cell>
          <cell r="K571">
            <v>6164.2079999999996</v>
          </cell>
          <cell r="M571">
            <v>287.916</v>
          </cell>
          <cell r="N571">
            <v>266.69200000000001</v>
          </cell>
          <cell r="O571">
            <v>450.601</v>
          </cell>
          <cell r="P571" t="str">
            <v>NA</v>
          </cell>
          <cell r="Q571">
            <v>1700</v>
          </cell>
          <cell r="R571" t="str">
            <v>NA</v>
          </cell>
          <cell r="S571">
            <v>0</v>
          </cell>
          <cell r="T571">
            <v>541.04179999999997</v>
          </cell>
          <cell r="U571">
            <v>2705.2089999999998</v>
          </cell>
        </row>
        <row r="572">
          <cell r="B572" t="str">
            <v>FY(1)</v>
          </cell>
          <cell r="C572" t="str">
            <v>NA</v>
          </cell>
          <cell r="D572" t="str">
            <v>NA</v>
          </cell>
          <cell r="E572">
            <v>1</v>
          </cell>
          <cell r="F572">
            <v>264</v>
          </cell>
          <cell r="G572" t="str">
            <v>NA</v>
          </cell>
          <cell r="H572">
            <v>300</v>
          </cell>
          <cell r="I572">
            <v>751.09699999999998</v>
          </cell>
          <cell r="J572">
            <v>329.02424999999999</v>
          </cell>
          <cell r="K572">
            <v>1316.097</v>
          </cell>
          <cell r="M572">
            <v>50</v>
          </cell>
          <cell r="N572">
            <v>6.681</v>
          </cell>
          <cell r="O572">
            <v>3.4319999999999999</v>
          </cell>
          <cell r="P572" t="str">
            <v>NA</v>
          </cell>
          <cell r="Q572">
            <v>705</v>
          </cell>
          <cell r="R572" t="str">
            <v>NA</v>
          </cell>
          <cell r="S572">
            <v>0</v>
          </cell>
          <cell r="T572">
            <v>153.02260000000001</v>
          </cell>
          <cell r="U572">
            <v>765.11300000000006</v>
          </cell>
        </row>
        <row r="573">
          <cell r="B573" t="str">
            <v>FY0</v>
          </cell>
          <cell r="C573" t="str">
            <v>NA</v>
          </cell>
          <cell r="D573" t="str">
            <v>NA</v>
          </cell>
          <cell r="E573">
            <v>1</v>
          </cell>
          <cell r="F573">
            <v>0</v>
          </cell>
          <cell r="G573" t="str">
            <v>NA</v>
          </cell>
          <cell r="H573">
            <v>300</v>
          </cell>
          <cell r="I573">
            <v>944.8</v>
          </cell>
          <cell r="J573">
            <v>311.45</v>
          </cell>
          <cell r="K573">
            <v>1245.8</v>
          </cell>
          <cell r="M573">
            <v>0</v>
          </cell>
          <cell r="N573">
            <v>174.25700000000001</v>
          </cell>
          <cell r="O573">
            <v>0.247</v>
          </cell>
          <cell r="P573" t="str">
            <v>NA</v>
          </cell>
          <cell r="Q573">
            <v>547</v>
          </cell>
          <cell r="R573" t="str">
            <v>NA</v>
          </cell>
          <cell r="S573">
            <v>0</v>
          </cell>
          <cell r="T573">
            <v>144.30080000000001</v>
          </cell>
          <cell r="U573">
            <v>721.50400000000002</v>
          </cell>
        </row>
        <row r="574">
          <cell r="B574" t="str">
            <v>FY1</v>
          </cell>
          <cell r="C574" t="str">
            <v>NA</v>
          </cell>
          <cell r="D574" t="str">
            <v>NA</v>
          </cell>
          <cell r="E574">
            <v>0</v>
          </cell>
          <cell r="F574">
            <v>0</v>
          </cell>
          <cell r="G574" t="str">
            <v>NA</v>
          </cell>
          <cell r="H574">
            <v>380</v>
          </cell>
          <cell r="I574">
            <v>700</v>
          </cell>
          <cell r="J574">
            <v>270</v>
          </cell>
          <cell r="K574">
            <v>1080</v>
          </cell>
          <cell r="M574">
            <v>200</v>
          </cell>
          <cell r="N574">
            <v>175</v>
          </cell>
          <cell r="O574">
            <v>54</v>
          </cell>
          <cell r="P574" t="str">
            <v>NA</v>
          </cell>
          <cell r="Q574">
            <v>1000</v>
          </cell>
          <cell r="R574" t="str">
            <v>NA</v>
          </cell>
          <cell r="S574">
            <v>0</v>
          </cell>
          <cell r="T574">
            <v>285.8</v>
          </cell>
          <cell r="U574">
            <v>1429</v>
          </cell>
        </row>
        <row r="575">
          <cell r="B575" t="str">
            <v>FY2</v>
          </cell>
          <cell r="C575" t="str">
            <v>NA</v>
          </cell>
          <cell r="D575" t="str">
            <v>NA</v>
          </cell>
          <cell r="E575">
            <v>0</v>
          </cell>
          <cell r="F575">
            <v>200</v>
          </cell>
          <cell r="G575" t="str">
            <v>NA</v>
          </cell>
          <cell r="H575">
            <v>380</v>
          </cell>
          <cell r="I575">
            <v>700</v>
          </cell>
          <cell r="J575">
            <v>320</v>
          </cell>
          <cell r="K575">
            <v>1280</v>
          </cell>
          <cell r="M575">
            <v>186.99280696096599</v>
          </cell>
          <cell r="N575">
            <v>204.936656106768</v>
          </cell>
          <cell r="O575">
            <v>88.082124465709697</v>
          </cell>
          <cell r="P575" t="str">
            <v>NA</v>
          </cell>
          <cell r="Q575">
            <v>1134.53939702649</v>
          </cell>
          <cell r="R575" t="str">
            <v>NA</v>
          </cell>
          <cell r="S575">
            <v>33.456420596740301</v>
          </cell>
          <cell r="T575">
            <v>329.6014810313348</v>
          </cell>
          <cell r="U575">
            <v>1648.0074051566739</v>
          </cell>
        </row>
        <row r="576">
          <cell r="B576" t="str">
            <v>FQ(3)</v>
          </cell>
          <cell r="C576" t="str">
            <v>NA</v>
          </cell>
          <cell r="D576" t="str">
            <v>NA</v>
          </cell>
          <cell r="E576">
            <v>0</v>
          </cell>
          <cell r="F576">
            <v>0</v>
          </cell>
          <cell r="G576" t="str">
            <v>NA</v>
          </cell>
          <cell r="H576">
            <v>77.171000000000006</v>
          </cell>
          <cell r="I576">
            <v>32.423999999999999</v>
          </cell>
          <cell r="J576">
            <v>27.39875</v>
          </cell>
          <cell r="K576">
            <v>109.595</v>
          </cell>
          <cell r="M576">
            <v>0</v>
          </cell>
          <cell r="N576">
            <v>0</v>
          </cell>
          <cell r="O576">
            <v>0</v>
          </cell>
          <cell r="P576" t="str">
            <v>NA</v>
          </cell>
          <cell r="Q576">
            <v>45</v>
          </cell>
          <cell r="R576" t="str">
            <v>NA</v>
          </cell>
          <cell r="S576">
            <v>0</v>
          </cell>
          <cell r="T576">
            <v>9</v>
          </cell>
          <cell r="U576">
            <v>45</v>
          </cell>
        </row>
        <row r="577">
          <cell r="B577" t="str">
            <v>FQ(2)</v>
          </cell>
          <cell r="C577" t="str">
            <v>NA</v>
          </cell>
          <cell r="D577" t="str">
            <v>NA</v>
          </cell>
          <cell r="E577">
            <v>1</v>
          </cell>
          <cell r="F577">
            <v>0</v>
          </cell>
          <cell r="G577" t="str">
            <v>NA</v>
          </cell>
          <cell r="H577">
            <v>77.2</v>
          </cell>
          <cell r="I577">
            <v>204.27600000000001</v>
          </cell>
          <cell r="J577">
            <v>70.619</v>
          </cell>
          <cell r="K577">
            <v>282.476</v>
          </cell>
          <cell r="M577">
            <v>0</v>
          </cell>
          <cell r="N577">
            <v>13.473000000000001</v>
          </cell>
          <cell r="O577">
            <v>0.19500000000000001</v>
          </cell>
          <cell r="P577" t="str">
            <v>NA</v>
          </cell>
          <cell r="Q577">
            <v>0</v>
          </cell>
          <cell r="R577" t="str">
            <v>NA</v>
          </cell>
          <cell r="S577">
            <v>0</v>
          </cell>
          <cell r="T577">
            <v>2.7336</v>
          </cell>
          <cell r="U577">
            <v>13.668000000000001</v>
          </cell>
        </row>
        <row r="578">
          <cell r="B578" t="str">
            <v>FQ(1)</v>
          </cell>
          <cell r="C578" t="str">
            <v>NA</v>
          </cell>
          <cell r="D578" t="str">
            <v>NA</v>
          </cell>
          <cell r="E578">
            <v>0</v>
          </cell>
          <cell r="F578">
            <v>0</v>
          </cell>
          <cell r="G578" t="str">
            <v>NA</v>
          </cell>
          <cell r="H578">
            <v>75.445999999999998</v>
          </cell>
          <cell r="I578">
            <v>293.80099999999999</v>
          </cell>
          <cell r="J578">
            <v>92.311749999999989</v>
          </cell>
          <cell r="K578">
            <v>369.24699999999996</v>
          </cell>
          <cell r="M578">
            <v>0</v>
          </cell>
          <cell r="N578">
            <v>49.567999999999998</v>
          </cell>
          <cell r="O578">
            <v>3.5000000000000003E-2</v>
          </cell>
          <cell r="P578" t="str">
            <v>NA</v>
          </cell>
          <cell r="Q578">
            <v>61</v>
          </cell>
          <cell r="R578" t="str">
            <v>NA</v>
          </cell>
          <cell r="S578">
            <v>0</v>
          </cell>
          <cell r="T578">
            <v>22.1206</v>
          </cell>
          <cell r="U578">
            <v>110.60299999999999</v>
          </cell>
        </row>
        <row r="579">
          <cell r="B579" t="str">
            <v>Last Reported Q</v>
          </cell>
          <cell r="C579" t="str">
            <v>NA</v>
          </cell>
          <cell r="D579" t="str">
            <v>NA</v>
          </cell>
          <cell r="E579">
            <v>1</v>
          </cell>
          <cell r="F579">
            <v>0</v>
          </cell>
          <cell r="G579" t="str">
            <v>NA</v>
          </cell>
          <cell r="H579">
            <v>300</v>
          </cell>
          <cell r="I579">
            <v>944.8</v>
          </cell>
          <cell r="J579">
            <v>311.45</v>
          </cell>
          <cell r="K579">
            <v>1245.8</v>
          </cell>
          <cell r="M579">
            <v>0</v>
          </cell>
          <cell r="N579">
            <v>174.25700000000001</v>
          </cell>
          <cell r="O579">
            <v>0.247</v>
          </cell>
          <cell r="P579" t="str">
            <v>NA</v>
          </cell>
          <cell r="Q579">
            <v>547</v>
          </cell>
          <cell r="R579" t="str">
            <v>NA</v>
          </cell>
          <cell r="S579">
            <v>0</v>
          </cell>
          <cell r="T579">
            <v>144.30080000000001</v>
          </cell>
          <cell r="U579">
            <v>721.50400000000002</v>
          </cell>
        </row>
        <row r="580">
          <cell r="B580" t="str">
            <v>LTM</v>
          </cell>
          <cell r="C580">
            <v>0</v>
          </cell>
          <cell r="D580">
            <v>0</v>
          </cell>
          <cell r="E580">
            <v>2</v>
          </cell>
          <cell r="F580">
            <v>0</v>
          </cell>
          <cell r="G580">
            <v>0</v>
          </cell>
          <cell r="H580">
            <v>529.81700000000001</v>
          </cell>
          <cell r="I580">
            <v>1475.3009999999999</v>
          </cell>
          <cell r="J580">
            <v>286.73114285714286</v>
          </cell>
          <cell r="K580">
            <v>2007.1179999999999</v>
          </cell>
          <cell r="M580">
            <v>0</v>
          </cell>
          <cell r="N580">
            <v>237.298</v>
          </cell>
          <cell r="O580">
            <v>0.47699999999999998</v>
          </cell>
          <cell r="P580">
            <v>0</v>
          </cell>
          <cell r="Q580">
            <v>653</v>
          </cell>
          <cell r="R580">
            <v>0</v>
          </cell>
          <cell r="S580">
            <v>0</v>
          </cell>
          <cell r="T580">
            <v>127.25357142857142</v>
          </cell>
          <cell r="U580">
            <v>890.77499999999998</v>
          </cell>
        </row>
        <row r="581">
          <cell r="B581" t="str">
            <v>EV/EBITDA</v>
          </cell>
        </row>
        <row r="582">
          <cell r="B582" t="str">
            <v>Repurchases &amp; Dividends</v>
          </cell>
          <cell r="C582" t="e">
            <v>#VALUE!</v>
          </cell>
          <cell r="D582" t="e">
            <v>#VALUE!</v>
          </cell>
          <cell r="E582" t="e">
            <v>#VALUE!</v>
          </cell>
          <cell r="F582" t="e">
            <v>#VALUE!</v>
          </cell>
          <cell r="G582" t="e">
            <v>#VALUE!</v>
          </cell>
          <cell r="H582" t="e">
            <v>#VALUE!</v>
          </cell>
          <cell r="I582" t="e">
            <v>#VALUE!</v>
          </cell>
          <cell r="J582" t="e">
            <v>#VALUE!</v>
          </cell>
          <cell r="M582" t="e">
            <v>#VALUE!</v>
          </cell>
          <cell r="N582" t="e">
            <v>#VALUE!</v>
          </cell>
          <cell r="O582" t="e">
            <v>#VALUE!</v>
          </cell>
          <cell r="P582" t="e">
            <v>#VALUE!</v>
          </cell>
          <cell r="Q582" t="e">
            <v>#VALUE!</v>
          </cell>
          <cell r="R582" t="e">
            <v>#VALUE!</v>
          </cell>
          <cell r="S582" t="e">
            <v>#VALUE!</v>
          </cell>
          <cell r="T582" t="e">
            <v>#VALUE!</v>
          </cell>
        </row>
        <row r="583">
          <cell r="B583" t="str">
            <v>FY(2)</v>
          </cell>
          <cell r="C583">
            <v>0</v>
          </cell>
          <cell r="D583">
            <v>174</v>
          </cell>
          <cell r="E583">
            <v>3552</v>
          </cell>
          <cell r="F583">
            <v>1836</v>
          </cell>
          <cell r="G583">
            <v>7.43</v>
          </cell>
          <cell r="H583">
            <v>240.63800000000001</v>
          </cell>
          <cell r="I583">
            <v>1091.7</v>
          </cell>
          <cell r="J583">
            <v>985.96685714285718</v>
          </cell>
          <cell r="K583">
            <v>6901.768</v>
          </cell>
          <cell r="M583">
            <v>349.24599999999998</v>
          </cell>
          <cell r="N583">
            <v>266.69200000000001</v>
          </cell>
          <cell r="O583">
            <v>531.39700000000005</v>
          </cell>
          <cell r="P583">
            <v>0</v>
          </cell>
          <cell r="Q583">
            <v>1952</v>
          </cell>
          <cell r="R583">
            <v>227</v>
          </cell>
          <cell r="S583">
            <v>0</v>
          </cell>
          <cell r="T583">
            <v>475.19071428571431</v>
          </cell>
          <cell r="U583">
            <v>3326.335</v>
          </cell>
        </row>
        <row r="584">
          <cell r="B584" t="str">
            <v>FY(1)</v>
          </cell>
          <cell r="C584">
            <v>0</v>
          </cell>
          <cell r="D584">
            <v>178</v>
          </cell>
          <cell r="E584">
            <v>222</v>
          </cell>
          <cell r="F584">
            <v>402</v>
          </cell>
          <cell r="G584">
            <v>1.1830000000000001</v>
          </cell>
          <cell r="H584">
            <v>349.83800000000002</v>
          </cell>
          <cell r="I584">
            <v>927.846</v>
          </cell>
          <cell r="J584">
            <v>297.26671428571433</v>
          </cell>
          <cell r="K584">
            <v>2080.8670000000002</v>
          </cell>
          <cell r="M584">
            <v>110.76900000000001</v>
          </cell>
          <cell r="N584">
            <v>6.681</v>
          </cell>
          <cell r="O584">
            <v>85.826000000000008</v>
          </cell>
          <cell r="P584">
            <v>0</v>
          </cell>
          <cell r="Q584">
            <v>948</v>
          </cell>
          <cell r="R584">
            <v>201</v>
          </cell>
          <cell r="S584">
            <v>0</v>
          </cell>
          <cell r="T584">
            <v>193.18228571428571</v>
          </cell>
          <cell r="U584">
            <v>1352.2760000000001</v>
          </cell>
        </row>
        <row r="585">
          <cell r="B585" t="str">
            <v>FY0</v>
          </cell>
          <cell r="C585">
            <v>0</v>
          </cell>
          <cell r="D585">
            <v>183</v>
          </cell>
          <cell r="E585">
            <v>85</v>
          </cell>
          <cell r="F585">
            <v>139</v>
          </cell>
          <cell r="G585">
            <v>0.78100000000000003</v>
          </cell>
          <cell r="H585">
            <v>355.202</v>
          </cell>
          <cell r="I585">
            <v>1142.5</v>
          </cell>
          <cell r="J585">
            <v>272.21185714285713</v>
          </cell>
          <cell r="K585">
            <v>1905.4829999999999</v>
          </cell>
          <cell r="M585">
            <v>61.5</v>
          </cell>
          <cell r="N585">
            <v>174.25700000000001</v>
          </cell>
          <cell r="O585">
            <v>83.231999999999999</v>
          </cell>
          <cell r="P585">
            <v>0</v>
          </cell>
          <cell r="Q585">
            <v>781</v>
          </cell>
          <cell r="R585">
            <v>193</v>
          </cell>
          <cell r="S585">
            <v>0</v>
          </cell>
          <cell r="T585">
            <v>184.7127142857143</v>
          </cell>
          <cell r="U585">
            <v>1292.989</v>
          </cell>
        </row>
        <row r="586">
          <cell r="B586" t="str">
            <v>FY1</v>
          </cell>
          <cell r="C586">
            <v>0</v>
          </cell>
          <cell r="D586">
            <v>188.775411841813</v>
          </cell>
          <cell r="E586">
            <v>85.186000000000007</v>
          </cell>
          <cell r="F586">
            <v>142.09321152000001</v>
          </cell>
          <cell r="G586">
            <v>0</v>
          </cell>
          <cell r="H586">
            <v>457.70708450909092</v>
          </cell>
          <cell r="I586">
            <v>897.28933818181804</v>
          </cell>
          <cell r="J586">
            <v>253.00729229324602</v>
          </cell>
          <cell r="K586">
            <v>1771.0510460527221</v>
          </cell>
          <cell r="M586">
            <v>264.34389702127658</v>
          </cell>
          <cell r="N586">
            <v>175</v>
          </cell>
          <cell r="O586">
            <v>144.0630963866667</v>
          </cell>
          <cell r="P586">
            <v>94.252655263445405</v>
          </cell>
          <cell r="Q586">
            <v>1262.495314327273</v>
          </cell>
          <cell r="R586">
            <v>518.07900254814797</v>
          </cell>
          <cell r="S586">
            <v>0</v>
          </cell>
          <cell r="T586">
            <v>351.17628079240137</v>
          </cell>
          <cell r="U586">
            <v>2458.2339655468095</v>
          </cell>
        </row>
        <row r="587">
          <cell r="B587" t="str">
            <v>FY2</v>
          </cell>
          <cell r="C587">
            <v>0</v>
          </cell>
          <cell r="D587">
            <v>207.70836687078599</v>
          </cell>
          <cell r="E587">
            <v>96.910411835832903</v>
          </cell>
          <cell r="F587">
            <v>351.06358340229599</v>
          </cell>
          <cell r="G587">
            <v>0</v>
          </cell>
          <cell r="H587">
            <v>461.59243873454551</v>
          </cell>
          <cell r="I587">
            <v>913.29758054177</v>
          </cell>
          <cell r="J587">
            <v>290.08176876931867</v>
          </cell>
          <cell r="K587">
            <v>2030.5723813852305</v>
          </cell>
          <cell r="M587">
            <v>255.18091389960301</v>
          </cell>
          <cell r="N587">
            <v>204.936656106768</v>
          </cell>
          <cell r="O587">
            <v>186.48300026498819</v>
          </cell>
          <cell r="P587">
            <v>99.137817779386296</v>
          </cell>
          <cell r="Q587">
            <v>1396.8875397541649</v>
          </cell>
          <cell r="R587">
            <v>200</v>
          </cell>
          <cell r="S587">
            <v>33.456420596740301</v>
          </cell>
          <cell r="T587">
            <v>339.44033548595007</v>
          </cell>
          <cell r="U587">
            <v>2376.0823484016505</v>
          </cell>
        </row>
        <row r="588">
          <cell r="B588" t="str">
            <v>FQ(3)</v>
          </cell>
          <cell r="C588">
            <v>0</v>
          </cell>
          <cell r="D588">
            <v>89</v>
          </cell>
          <cell r="E588">
            <v>21</v>
          </cell>
          <cell r="F588">
            <v>35</v>
          </cell>
          <cell r="G588">
            <v>0.47099999999999997</v>
          </cell>
          <cell r="H588">
            <v>91.138000000000005</v>
          </cell>
          <cell r="I588">
            <v>77.831999999999994</v>
          </cell>
          <cell r="J588">
            <v>44.920142857142864</v>
          </cell>
          <cell r="K588">
            <v>314.44100000000003</v>
          </cell>
          <cell r="M588">
            <v>15.337999999999999</v>
          </cell>
          <cell r="N588">
            <v>0</v>
          </cell>
          <cell r="O588">
            <v>20.638999999999999</v>
          </cell>
          <cell r="P588">
            <v>0</v>
          </cell>
          <cell r="Q588">
            <v>104</v>
          </cell>
          <cell r="R588">
            <v>48</v>
          </cell>
          <cell r="S588">
            <v>0</v>
          </cell>
          <cell r="T588">
            <v>26.853857142857144</v>
          </cell>
          <cell r="U588">
            <v>187.977</v>
          </cell>
        </row>
        <row r="589">
          <cell r="B589" t="str">
            <v>FQ(2)</v>
          </cell>
          <cell r="C589">
            <v>0</v>
          </cell>
          <cell r="D589">
            <v>0</v>
          </cell>
          <cell r="E589">
            <v>22</v>
          </cell>
          <cell r="F589">
            <v>34</v>
          </cell>
          <cell r="G589">
            <v>7.0000000000000104E-2</v>
          </cell>
          <cell r="H589">
            <v>91.058000000000007</v>
          </cell>
          <cell r="I589">
            <v>255.46800000000002</v>
          </cell>
          <cell r="J589">
            <v>57.513714285714286</v>
          </cell>
          <cell r="K589">
            <v>402.596</v>
          </cell>
          <cell r="M589">
            <v>15.374000000000001</v>
          </cell>
          <cell r="N589">
            <v>13.473000000000001</v>
          </cell>
          <cell r="O589">
            <v>20.916</v>
          </cell>
          <cell r="P589">
            <v>0</v>
          </cell>
          <cell r="Q589">
            <v>59</v>
          </cell>
          <cell r="R589">
            <v>48</v>
          </cell>
          <cell r="S589">
            <v>0</v>
          </cell>
          <cell r="T589">
            <v>22.394714285714286</v>
          </cell>
          <cell r="U589">
            <v>156.76300000000001</v>
          </cell>
        </row>
        <row r="590">
          <cell r="B590" t="str">
            <v>FQ(1)</v>
          </cell>
          <cell r="C590">
            <v>0</v>
          </cell>
          <cell r="D590">
            <v>47</v>
          </cell>
          <cell r="E590">
            <v>21</v>
          </cell>
          <cell r="F590">
            <v>35</v>
          </cell>
          <cell r="G590">
            <v>0.24</v>
          </cell>
          <cell r="H590">
            <v>89.180999999999997</v>
          </cell>
          <cell r="I590">
            <v>344.60399999999998</v>
          </cell>
          <cell r="J590">
            <v>76.717857142857142</v>
          </cell>
          <cell r="K590">
            <v>537.02499999999998</v>
          </cell>
          <cell r="M590">
            <v>15.391999999999999</v>
          </cell>
          <cell r="N590">
            <v>49.567999999999998</v>
          </cell>
          <cell r="O590">
            <v>20.792000000000002</v>
          </cell>
          <cell r="P590">
            <v>23.843</v>
          </cell>
          <cell r="Q590">
            <v>121</v>
          </cell>
          <cell r="R590">
            <v>49</v>
          </cell>
          <cell r="S590">
            <v>0</v>
          </cell>
          <cell r="T590">
            <v>39.942142857142862</v>
          </cell>
          <cell r="U590">
            <v>279.59500000000003</v>
          </cell>
        </row>
        <row r="591">
          <cell r="B591" t="str">
            <v>Last Reported Q</v>
          </cell>
          <cell r="C591">
            <v>0</v>
          </cell>
          <cell r="D591">
            <v>183</v>
          </cell>
          <cell r="E591">
            <v>85</v>
          </cell>
          <cell r="F591">
            <v>139</v>
          </cell>
          <cell r="G591">
            <v>0.78100000000000003</v>
          </cell>
          <cell r="H591">
            <v>355.202</v>
          </cell>
          <cell r="I591">
            <v>1142.5</v>
          </cell>
          <cell r="J591">
            <v>272.21185714285713</v>
          </cell>
          <cell r="K591">
            <v>1905.4829999999999</v>
          </cell>
          <cell r="M591">
            <v>61.5</v>
          </cell>
          <cell r="N591">
            <v>174.25700000000001</v>
          </cell>
          <cell r="O591">
            <v>83.231999999999999</v>
          </cell>
          <cell r="P591">
            <v>23.882999999999999</v>
          </cell>
          <cell r="Q591">
            <v>781</v>
          </cell>
          <cell r="R591">
            <v>193</v>
          </cell>
          <cell r="S591">
            <v>0</v>
          </cell>
          <cell r="T591">
            <v>188.12457142857144</v>
          </cell>
          <cell r="U591">
            <v>1316.8720000000001</v>
          </cell>
        </row>
        <row r="592">
          <cell r="B592" t="str">
            <v>LTM</v>
          </cell>
          <cell r="C592">
            <v>0</v>
          </cell>
          <cell r="D592">
            <v>319</v>
          </cell>
          <cell r="E592">
            <v>149</v>
          </cell>
          <cell r="F592">
            <v>243</v>
          </cell>
          <cell r="G592">
            <v>1.5620000000000001</v>
          </cell>
          <cell r="H592">
            <v>626.57899999999995</v>
          </cell>
          <cell r="I592">
            <v>1820.404</v>
          </cell>
          <cell r="J592">
            <v>451.36357142857145</v>
          </cell>
          <cell r="K592">
            <v>3159.5450000000001</v>
          </cell>
          <cell r="M592">
            <v>107.604</v>
          </cell>
          <cell r="N592">
            <v>237.298</v>
          </cell>
          <cell r="O592">
            <v>145.57900000000001</v>
          </cell>
          <cell r="P592">
            <v>47.725999999999999</v>
          </cell>
          <cell r="Q592">
            <v>1065</v>
          </cell>
          <cell r="R592">
            <v>338</v>
          </cell>
          <cell r="S592">
            <v>0</v>
          </cell>
          <cell r="T592">
            <v>277.31528571428572</v>
          </cell>
          <cell r="U592">
            <v>1941.2069999999999</v>
          </cell>
        </row>
        <row r="593">
          <cell r="B593" t="str">
            <v>FY1</v>
          </cell>
          <cell r="C593" t="str">
            <v/>
          </cell>
          <cell r="D593" t="str">
            <v/>
          </cell>
          <cell r="E593" t="str">
            <v/>
          </cell>
          <cell r="F593" t="str">
            <v/>
          </cell>
          <cell r="G593" t="str">
            <v/>
          </cell>
          <cell r="H593" t="str">
            <v/>
          </cell>
          <cell r="I593" t="str">
            <v/>
          </cell>
          <cell r="J593" t="e">
            <v>#NUM!</v>
          </cell>
          <cell r="M593" t="str">
            <v/>
          </cell>
          <cell r="N593" t="str">
            <v/>
          </cell>
          <cell r="O593" t="str">
            <v/>
          </cell>
          <cell r="P593" t="str">
            <v/>
          </cell>
          <cell r="Q593" t="str">
            <v/>
          </cell>
          <cell r="R593" t="str">
            <v/>
          </cell>
          <cell r="S593" t="str">
            <v/>
          </cell>
          <cell r="T593" t="e">
            <v>#NUM!</v>
          </cell>
        </row>
        <row r="594">
          <cell r="B594" t="str">
            <v>Total Payout Ratio</v>
          </cell>
          <cell r="C594" t="str">
            <v/>
          </cell>
          <cell r="D594" t="str">
            <v/>
          </cell>
          <cell r="E594" t="str">
            <v/>
          </cell>
          <cell r="F594" t="str">
            <v/>
          </cell>
          <cell r="G594" t="str">
            <v/>
          </cell>
          <cell r="H594" t="str">
            <v/>
          </cell>
          <cell r="I594" t="str">
            <v/>
          </cell>
          <cell r="J594" t="e">
            <v>#NUM!</v>
          </cell>
          <cell r="M594" t="str">
            <v/>
          </cell>
          <cell r="N594" t="str">
            <v/>
          </cell>
          <cell r="O594" t="str">
            <v/>
          </cell>
          <cell r="P594" t="str">
            <v/>
          </cell>
          <cell r="Q594" t="str">
            <v/>
          </cell>
          <cell r="R594" t="str">
            <v/>
          </cell>
          <cell r="S594" t="str">
            <v/>
          </cell>
          <cell r="T594" t="e">
            <v>#NUM!</v>
          </cell>
        </row>
        <row r="595">
          <cell r="B595" t="str">
            <v>FY(2)</v>
          </cell>
          <cell r="C595">
            <v>0</v>
          </cell>
          <cell r="D595">
            <v>0.16216216216216217</v>
          </cell>
          <cell r="E595">
            <v>3.6661247985587697</v>
          </cell>
          <cell r="F595">
            <v>2.6454340327307624</v>
          </cell>
          <cell r="G595">
            <v>0.11723994317024553</v>
          </cell>
          <cell r="H595">
            <v>0.92180455160102825</v>
          </cell>
          <cell r="I595">
            <v>1.2096020253757214</v>
          </cell>
          <cell r="J595">
            <v>1.2460525019426698</v>
          </cell>
          <cell r="K595">
            <v>1.3675882547173104</v>
          </cell>
          <cell r="M595">
            <v>0.69971370012041023</v>
          </cell>
          <cell r="N595">
            <v>2.1272224039052094</v>
          </cell>
          <cell r="O595">
            <v>1.328429399603519</v>
          </cell>
          <cell r="P595">
            <v>0</v>
          </cell>
          <cell r="Q595">
            <v>2.1977264654447031</v>
          </cell>
          <cell r="R595">
            <v>0.49192140793886452</v>
          </cell>
          <cell r="S595">
            <v>0</v>
          </cell>
          <cell r="T595">
            <v>0.97785905385895788</v>
          </cell>
          <cell r="U595">
            <v>1.051565317099219</v>
          </cell>
        </row>
        <row r="596">
          <cell r="B596" t="str">
            <v>FY(1)</v>
          </cell>
          <cell r="C596">
            <v>0</v>
          </cell>
          <cell r="D596">
            <v>0.31642285419859939</v>
          </cell>
          <cell r="E596">
            <v>0.40733944954128443</v>
          </cell>
          <cell r="F596">
            <v>1.0188796885573728</v>
          </cell>
          <cell r="G596">
            <v>-1.0778540196118701E-2</v>
          </cell>
          <cell r="H596">
            <v>1.1554399257639285</v>
          </cell>
          <cell r="I596">
            <v>1.0497673417532609</v>
          </cell>
          <cell r="J596">
            <v>0.56243867423118965</v>
          </cell>
          <cell r="K596">
            <v>0.60060872654977804</v>
          </cell>
          <cell r="M596">
            <v>0.34727063277060433</v>
          </cell>
          <cell r="N596">
            <v>4.4712291362717677E-2</v>
          </cell>
          <cell r="O596">
            <v>0.41889227285150915</v>
          </cell>
          <cell r="P596">
            <v>0</v>
          </cell>
          <cell r="Q596">
            <v>0.98035160289555323</v>
          </cell>
          <cell r="R596">
            <v>0.56878958181231642</v>
          </cell>
          <cell r="S596">
            <v>0</v>
          </cell>
          <cell r="T596">
            <v>0.33714519738467158</v>
          </cell>
          <cell r="U596">
            <v>0.46073696249193502</v>
          </cell>
        </row>
        <row r="597">
          <cell r="B597" t="str">
            <v>FY0</v>
          </cell>
          <cell r="C597">
            <v>0</v>
          </cell>
          <cell r="D597">
            <v>0.73322595379474487</v>
          </cell>
          <cell r="E597">
            <v>0.14756944444444445</v>
          </cell>
          <cell r="F597">
            <v>0.32491818606825618</v>
          </cell>
          <cell r="G597">
            <v>-1.6362232382747848E-2</v>
          </cell>
          <cell r="H597">
            <v>0.80225044437467952</v>
          </cell>
          <cell r="I597">
            <v>0.94143569561591744</v>
          </cell>
          <cell r="J597">
            <v>0.41900535598789918</v>
          </cell>
          <cell r="K597">
            <v>0.49466351475021214</v>
          </cell>
          <cell r="M597">
            <v>0.6411004160272602</v>
          </cell>
          <cell r="N597">
            <v>0.75328644484694962</v>
          </cell>
          <cell r="O597">
            <v>0.52325453102828579</v>
          </cell>
          <cell r="P597">
            <v>0</v>
          </cell>
          <cell r="Q597">
            <v>0.7101291143844336</v>
          </cell>
          <cell r="R597">
            <v>0.47634326332156873</v>
          </cell>
          <cell r="S597">
            <v>0</v>
          </cell>
          <cell r="T597">
            <v>0.44344482422978537</v>
          </cell>
          <cell r="U597">
            <v>0.45635204390278128</v>
          </cell>
        </row>
        <row r="598">
          <cell r="B598" t="str">
            <v>FY1</v>
          </cell>
          <cell r="C598">
            <v>0</v>
          </cell>
          <cell r="D598">
            <v>0.50753937868714571</v>
          </cell>
          <cell r="E598">
            <v>0.10909301206497163</v>
          </cell>
          <cell r="F598">
            <v>0.24746240936388547</v>
          </cell>
          <cell r="G598">
            <v>0</v>
          </cell>
          <cell r="H598">
            <v>0.87878285220050112</v>
          </cell>
          <cell r="I598">
            <v>0.63479295131495372</v>
          </cell>
          <cell r="J598">
            <v>0.33966722909020824</v>
          </cell>
          <cell r="K598">
            <v>0.36616541991203905</v>
          </cell>
          <cell r="M598">
            <v>1.7009033921522962</v>
          </cell>
          <cell r="N598">
            <v>0.67981251994719039</v>
          </cell>
          <cell r="O598">
            <v>0.57942808192479767</v>
          </cell>
          <cell r="P598">
            <v>0.13620642135194008</v>
          </cell>
          <cell r="Q598">
            <v>1.1647794572958605</v>
          </cell>
          <cell r="R598">
            <v>0.94883089374659302</v>
          </cell>
          <cell r="S598">
            <v>0</v>
          </cell>
          <cell r="T598">
            <v>0.74428010948838252</v>
          </cell>
          <cell r="U598">
            <v>0.75346194903587538</v>
          </cell>
        </row>
        <row r="599">
          <cell r="B599" t="str">
            <v>FY2</v>
          </cell>
          <cell r="C599">
            <v>0</v>
          </cell>
          <cell r="D599">
            <v>0.45040175903104468</v>
          </cell>
          <cell r="E599">
            <v>0.10909301206497171</v>
          </cell>
          <cell r="F599">
            <v>0.55559423355219895</v>
          </cell>
          <cell r="G599">
            <v>0</v>
          </cell>
          <cell r="H599">
            <v>0.82303887166694112</v>
          </cell>
          <cell r="I599">
            <v>0.59762613597557279</v>
          </cell>
          <cell r="J599">
            <v>0.36225057318438986</v>
          </cell>
          <cell r="K599">
            <v>0.37125601240434875</v>
          </cell>
          <cell r="M599">
            <v>1.2500000000000455</v>
          </cell>
          <cell r="N599">
            <v>0.80000000000000626</v>
          </cell>
          <cell r="O599">
            <v>0.60942808192479714</v>
          </cell>
          <cell r="P599">
            <v>0.13454396508448954</v>
          </cell>
          <cell r="Q599">
            <v>1.300000000000052</v>
          </cell>
          <cell r="R599">
            <v>0.31730075807378577</v>
          </cell>
          <cell r="S599">
            <v>9.9999999999998201E-2</v>
          </cell>
          <cell r="T599">
            <v>0.64446754358331049</v>
          </cell>
          <cell r="U599">
            <v>0.6707236257254281</v>
          </cell>
        </row>
        <row r="600">
          <cell r="B600" t="str">
            <v>FQ(3)</v>
          </cell>
          <cell r="C600">
            <v>0</v>
          </cell>
          <cell r="D600">
            <v>3.56</v>
          </cell>
          <cell r="E600">
            <v>-0.30882352941176472</v>
          </cell>
          <cell r="F600">
            <v>0.51470588235294112</v>
          </cell>
          <cell r="G600">
            <v>-9.8247809762202751E-2</v>
          </cell>
          <cell r="H600">
            <v>0.99727532362371019</v>
          </cell>
          <cell r="I600">
            <v>0.37202099285898649</v>
          </cell>
          <cell r="J600">
            <v>0.71956155138023858</v>
          </cell>
          <cell r="K600">
            <v>0.68684183509644903</v>
          </cell>
          <cell r="M600">
            <v>-0.66383899588833584</v>
          </cell>
          <cell r="N600">
            <v>0</v>
          </cell>
          <cell r="O600">
            <v>1.3161788151265863</v>
          </cell>
          <cell r="P600">
            <v>0</v>
          </cell>
          <cell r="Q600">
            <v>0.48372093023255813</v>
          </cell>
          <cell r="R600">
            <v>18.45444059976932</v>
          </cell>
          <cell r="S600">
            <v>0</v>
          </cell>
          <cell r="T600">
            <v>2.7986430498914467</v>
          </cell>
          <cell r="U600">
            <v>0.47313378739598599</v>
          </cell>
        </row>
        <row r="601">
          <cell r="B601" t="str">
            <v>FQ(2)</v>
          </cell>
          <cell r="C601">
            <v>0</v>
          </cell>
          <cell r="D601">
            <v>0</v>
          </cell>
          <cell r="E601">
            <v>0.26190476190476192</v>
          </cell>
          <cell r="F601">
            <v>0.32380952380952382</v>
          </cell>
          <cell r="G601">
            <v>-1.2749758665282426E-3</v>
          </cell>
          <cell r="H601">
            <v>0.88057868422834051</v>
          </cell>
          <cell r="I601">
            <v>0.97670524275408044</v>
          </cell>
          <cell r="J601">
            <v>0.34881760526145406</v>
          </cell>
          <cell r="K601">
            <v>0.55336081380309454</v>
          </cell>
          <cell r="M601">
            <v>2.2314825700803707</v>
          </cell>
          <cell r="N601">
            <v>0.34580734580734585</v>
          </cell>
          <cell r="O601">
            <v>0.7320453590928182</v>
          </cell>
          <cell r="P601">
            <v>0</v>
          </cell>
          <cell r="Q601">
            <v>0.25877192982456143</v>
          </cell>
          <cell r="R601">
            <v>0.79650863714053399</v>
          </cell>
          <cell r="S601">
            <v>0</v>
          </cell>
          <cell r="T601">
            <v>0.6235165488493758</v>
          </cell>
          <cell r="U601">
            <v>0.28607817774243055</v>
          </cell>
        </row>
        <row r="602">
          <cell r="B602" t="str">
            <v>FQ(1)</v>
          </cell>
          <cell r="C602">
            <v>0</v>
          </cell>
          <cell r="D602">
            <v>1.7407407407407407</v>
          </cell>
          <cell r="E602">
            <v>-1.75</v>
          </cell>
          <cell r="F602">
            <v>0.42168674698795183</v>
          </cell>
          <cell r="G602">
            <v>0.12727187703110288</v>
          </cell>
          <cell r="H602">
            <v>0.84869623144271034</v>
          </cell>
          <cell r="I602">
            <v>0.99081365961374246</v>
          </cell>
          <cell r="J602">
            <v>0.33988703654517832</v>
          </cell>
          <cell r="K602">
            <v>0.72009975886680333</v>
          </cell>
          <cell r="M602">
            <v>0.50262874310159023</v>
          </cell>
          <cell r="N602">
            <v>0.79145443803988569</v>
          </cell>
          <cell r="O602">
            <v>0.4672203110502593</v>
          </cell>
          <cell r="P602">
            <v>0.16930702209093426</v>
          </cell>
          <cell r="Q602">
            <v>0.39413680781758959</v>
          </cell>
          <cell r="R602">
            <v>8.0341039514674542</v>
          </cell>
          <cell r="S602">
            <v>0</v>
          </cell>
          <cell r="T602">
            <v>1.4798358962239591</v>
          </cell>
          <cell r="U602">
            <v>0.42746856310768105</v>
          </cell>
        </row>
        <row r="603">
          <cell r="B603" t="str">
            <v>Last Reported Q</v>
          </cell>
          <cell r="C603">
            <v>0</v>
          </cell>
          <cell r="D603">
            <v>0.73322595379474487</v>
          </cell>
          <cell r="E603">
            <v>0.14756944444444445</v>
          </cell>
          <cell r="F603">
            <v>0.32491818606825618</v>
          </cell>
          <cell r="G603">
            <v>-1.6362232382747848E-2</v>
          </cell>
          <cell r="H603">
            <v>0.80225044437467952</v>
          </cell>
          <cell r="I603">
            <v>0.94143569561591744</v>
          </cell>
          <cell r="J603">
            <v>0.41900535598789918</v>
          </cell>
          <cell r="K603">
            <v>0.49466351475021214</v>
          </cell>
          <cell r="M603">
            <v>0.6411004160272602</v>
          </cell>
          <cell r="N603">
            <v>0.75328644484694962</v>
          </cell>
          <cell r="O603">
            <v>0.52325453102828579</v>
          </cell>
          <cell r="P603">
            <v>9.9120149408590999E-2</v>
          </cell>
          <cell r="Q603">
            <v>0.7101291143844336</v>
          </cell>
          <cell r="R603">
            <v>0.47634326332156873</v>
          </cell>
          <cell r="S603">
            <v>0</v>
          </cell>
          <cell r="T603">
            <v>0.45760484557386988</v>
          </cell>
          <cell r="U603">
            <v>0.53703039732530433</v>
          </cell>
        </row>
        <row r="604">
          <cell r="B604" t="str">
            <v>LTM</v>
          </cell>
          <cell r="C604">
            <v>0</v>
          </cell>
          <cell r="D604">
            <v>1.0599274331813773</v>
          </cell>
          <cell r="E604">
            <v>0.25689655172413794</v>
          </cell>
          <cell r="F604">
            <v>0.35536706639368237</v>
          </cell>
          <cell r="G604">
            <v>-1.4799634611464611E-2</v>
          </cell>
          <cell r="H604">
            <v>0.84372858122001371</v>
          </cell>
          <cell r="I604">
            <v>0.89580374638436422</v>
          </cell>
          <cell r="J604">
            <v>0.48527482061315869</v>
          </cell>
          <cell r="K604">
            <v>0.54633181846653156</v>
          </cell>
          <cell r="M604">
            <v>0.97523573362915594</v>
          </cell>
          <cell r="N604">
            <v>0.64818871655913513</v>
          </cell>
          <cell r="O604">
            <v>0.58743732559956308</v>
          </cell>
          <cell r="P604">
            <v>7.4433707430581988E-2</v>
          </cell>
          <cell r="Q604">
            <v>0.57573791761271487</v>
          </cell>
          <cell r="R604">
            <v>0.71288014122619592</v>
          </cell>
          <cell r="S604">
            <v>0</v>
          </cell>
          <cell r="T604">
            <v>0.51055907743676376</v>
          </cell>
          <cell r="U604">
            <v>0.47913493836607302</v>
          </cell>
        </row>
        <row r="606">
          <cell r="A606" t="str">
            <v>Modelware DuPont (Non-lease Adjusted)ROIC</v>
          </cell>
          <cell r="B606" t="str">
            <v>Unadjusted ROIC</v>
          </cell>
        </row>
        <row r="607">
          <cell r="B607" t="str">
            <v>FY0</v>
          </cell>
        </row>
        <row r="608">
          <cell r="B608" t="str">
            <v>FY1</v>
          </cell>
          <cell r="C608">
            <v>1606.99</v>
          </cell>
          <cell r="D608">
            <v>3135</v>
          </cell>
          <cell r="E608">
            <v>3215</v>
          </cell>
          <cell r="F608">
            <v>901.32299999999998</v>
          </cell>
          <cell r="G608">
            <v>1438.452</v>
          </cell>
          <cell r="H608">
            <v>841.49099999999999</v>
          </cell>
          <cell r="I608">
            <v>1941.6980000000001</v>
          </cell>
          <cell r="M608">
            <v>170.703</v>
          </cell>
          <cell r="N608">
            <v>61.807000000000002</v>
          </cell>
          <cell r="O608">
            <v>134.40100000000001</v>
          </cell>
          <cell r="P608">
            <v>161.91300000000001</v>
          </cell>
          <cell r="Q608">
            <v>1703.855</v>
          </cell>
          <cell r="R608">
            <v>943.42600000000004</v>
          </cell>
          <cell r="S608">
            <v>63.247</v>
          </cell>
        </row>
        <row r="609">
          <cell r="B609" t="str">
            <v>FY2</v>
          </cell>
          <cell r="C609">
            <v>1946.9770000000001</v>
          </cell>
          <cell r="D609">
            <v>3142</v>
          </cell>
          <cell r="E609">
            <v>3120</v>
          </cell>
          <cell r="F609">
            <v>917.18200000000002</v>
          </cell>
          <cell r="G609">
            <v>1516.271</v>
          </cell>
          <cell r="H609">
            <v>853.11199999999997</v>
          </cell>
          <cell r="I609">
            <v>2352.0320000000002</v>
          </cell>
          <cell r="M609">
            <v>211.19800000000001</v>
          </cell>
          <cell r="N609">
            <v>81.238</v>
          </cell>
          <cell r="O609">
            <v>170.57599999999999</v>
          </cell>
          <cell r="P609">
            <v>184.41900000000001</v>
          </cell>
          <cell r="Q609">
            <v>1814</v>
          </cell>
          <cell r="R609">
            <v>1142</v>
          </cell>
          <cell r="S609">
            <v>98.995999999999995</v>
          </cell>
        </row>
        <row r="610">
          <cell r="B610" t="str">
            <v>FY(3)</v>
          </cell>
          <cell r="C610">
            <v>2237.5680000000002</v>
          </cell>
          <cell r="D610">
            <v>3210</v>
          </cell>
          <cell r="E610">
            <v>5459</v>
          </cell>
          <cell r="F610">
            <v>955.97799999999995</v>
          </cell>
          <cell r="G610">
            <v>807.21100000000001</v>
          </cell>
          <cell r="H610">
            <v>938.09100000000001</v>
          </cell>
          <cell r="I610">
            <v>2365.8609999999999</v>
          </cell>
          <cell r="M610">
            <v>362.536</v>
          </cell>
          <cell r="N610">
            <v>91.908000000000001</v>
          </cell>
          <cell r="O610">
            <v>210.739</v>
          </cell>
          <cell r="P610">
            <v>233.494</v>
          </cell>
          <cell r="Q610">
            <v>1696</v>
          </cell>
          <cell r="R610">
            <v>1159.69</v>
          </cell>
          <cell r="S610">
            <v>140.37700000000001</v>
          </cell>
        </row>
        <row r="611">
          <cell r="A611" t="str">
            <v>Modelware DuPont (Non-lease Adjusted)ROE</v>
          </cell>
          <cell r="B611" t="str">
            <v>Unadjusted ROE</v>
          </cell>
          <cell r="C611">
            <v>2578.3780000000002</v>
          </cell>
          <cell r="D611">
            <v>3400</v>
          </cell>
          <cell r="E611">
            <v>5317</v>
          </cell>
          <cell r="F611">
            <v>997.28899999999999</v>
          </cell>
          <cell r="G611">
            <v>785.30200000000002</v>
          </cell>
          <cell r="H611">
            <v>1051.729</v>
          </cell>
          <cell r="I611">
            <v>2581.9690000000001</v>
          </cell>
          <cell r="M611">
            <v>427.447</v>
          </cell>
          <cell r="N611">
            <v>101.476</v>
          </cell>
          <cell r="O611">
            <v>263.64400000000001</v>
          </cell>
          <cell r="P611">
            <v>291.19200000000001</v>
          </cell>
          <cell r="Q611">
            <v>1796</v>
          </cell>
          <cell r="R611">
            <v>1770</v>
          </cell>
          <cell r="S611">
            <v>154.387</v>
          </cell>
        </row>
        <row r="612">
          <cell r="B612" t="str">
            <v>FY0</v>
          </cell>
          <cell r="C612">
            <v>2855.7330000000002</v>
          </cell>
          <cell r="D612">
            <v>3641</v>
          </cell>
          <cell r="E612">
            <v>5060</v>
          </cell>
          <cell r="F612">
            <v>956</v>
          </cell>
          <cell r="G612">
            <v>857.173</v>
          </cell>
          <cell r="H612">
            <v>1025.2950000000001</v>
          </cell>
          <cell r="I612">
            <v>2737.3780000000002</v>
          </cell>
          <cell r="M612">
            <v>333.15300000000002</v>
          </cell>
          <cell r="N612">
            <v>136.488</v>
          </cell>
          <cell r="O612">
            <v>286.48500000000001</v>
          </cell>
          <cell r="P612">
            <v>318.49</v>
          </cell>
          <cell r="Q612">
            <v>1575</v>
          </cell>
          <cell r="R612">
            <v>1250.625</v>
          </cell>
          <cell r="S612">
            <v>171.92500000000001</v>
          </cell>
        </row>
        <row r="613">
          <cell r="B613" t="str">
            <v>FY1</v>
          </cell>
          <cell r="C613">
            <v>2799</v>
          </cell>
          <cell r="D613">
            <v>3259</v>
          </cell>
          <cell r="E613">
            <v>4769</v>
          </cell>
          <cell r="F613">
            <v>900</v>
          </cell>
          <cell r="G613">
            <v>728.84100000000001</v>
          </cell>
          <cell r="H613">
            <v>881.05799999999999</v>
          </cell>
          <cell r="I613">
            <v>2619.3359999999998</v>
          </cell>
          <cell r="M613">
            <v>372.42200000000003</v>
          </cell>
          <cell r="N613">
            <v>126.36</v>
          </cell>
          <cell r="O613">
            <v>294.928</v>
          </cell>
          <cell r="P613">
            <v>326.14800000000002</v>
          </cell>
          <cell r="Q613">
            <v>1506</v>
          </cell>
          <cell r="R613">
            <v>1181.865</v>
          </cell>
          <cell r="S613">
            <v>169.69800000000001</v>
          </cell>
        </row>
        <row r="614">
          <cell r="B614" t="str">
            <v>FY2</v>
          </cell>
          <cell r="C614">
            <v>2940.0436170483199</v>
          </cell>
          <cell r="D614">
            <v>2918.8564274536802</v>
          </cell>
          <cell r="E614">
            <v>4731.2153421261601</v>
          </cell>
          <cell r="F614">
            <v>839.35617027476405</v>
          </cell>
          <cell r="G614">
            <v>585.00673201635198</v>
          </cell>
          <cell r="H614">
            <v>864.04781667707402</v>
          </cell>
          <cell r="I614">
            <v>2616.37292347927</v>
          </cell>
          <cell r="M614">
            <v>287.47271947598</v>
          </cell>
          <cell r="N614">
            <v>124.497120668248</v>
          </cell>
          <cell r="O614">
            <v>314.06161596097701</v>
          </cell>
          <cell r="P614">
            <v>346.15462013569299</v>
          </cell>
          <cell r="Q614">
            <v>1484.11506380842</v>
          </cell>
          <cell r="R614">
            <v>1032.0259323569901</v>
          </cell>
          <cell r="S614">
            <v>173.71380577112001</v>
          </cell>
        </row>
        <row r="615">
          <cell r="B615" t="str">
            <v>FY2</v>
          </cell>
          <cell r="C615">
            <v>3047.8533847793501</v>
          </cell>
          <cell r="D615">
            <v>2899.7434629710201</v>
          </cell>
          <cell r="E615">
            <v>4616.6879030365199</v>
          </cell>
          <cell r="F615">
            <v>859.99964804245894</v>
          </cell>
          <cell r="G615">
            <v>574.46682556849896</v>
          </cell>
          <cell r="H615">
            <v>905.12218771622202</v>
          </cell>
          <cell r="I615">
            <v>2755.9473532789998</v>
          </cell>
          <cell r="M615">
            <v>306.71986794402397</v>
          </cell>
          <cell r="N615">
            <v>137.961510175505</v>
          </cell>
          <cell r="O615">
            <v>324.52754417494299</v>
          </cell>
          <cell r="P615">
            <v>370.54645784883797</v>
          </cell>
          <cell r="Q615">
            <v>1426.10530468362</v>
          </cell>
          <cell r="R615">
            <v>1008.9558266789099</v>
          </cell>
          <cell r="S615">
            <v>180.024105564092</v>
          </cell>
        </row>
        <row r="616">
          <cell r="A616" t="str">
            <v>Modelware DuPont (Lease Adjusted)ROIC</v>
          </cell>
          <cell r="B616" t="str">
            <v>Lease Adjusted ROIC</v>
          </cell>
          <cell r="C616">
            <v>2799</v>
          </cell>
          <cell r="D616">
            <v>3259</v>
          </cell>
          <cell r="E616">
            <v>4769</v>
          </cell>
          <cell r="F616">
            <v>900</v>
          </cell>
          <cell r="G616">
            <v>728.84100000000001</v>
          </cell>
          <cell r="H616">
            <v>881.05799999999999</v>
          </cell>
          <cell r="I616">
            <v>2619.3359999999998</v>
          </cell>
          <cell r="M616">
            <v>372.42200000000003</v>
          </cell>
          <cell r="N616">
            <v>126.36</v>
          </cell>
          <cell r="O616">
            <v>294.928</v>
          </cell>
          <cell r="P616">
            <v>401.79700000000003</v>
          </cell>
          <cell r="Q616">
            <v>1506</v>
          </cell>
          <cell r="R616">
            <v>1181.865</v>
          </cell>
          <cell r="S616">
            <v>169.69800000000001</v>
          </cell>
        </row>
        <row r="617">
          <cell r="B617" t="str">
            <v>FY0</v>
          </cell>
          <cell r="C617">
            <v>2804</v>
          </cell>
          <cell r="D617">
            <v>3237</v>
          </cell>
          <cell r="E617">
            <v>5026</v>
          </cell>
          <cell r="F617">
            <v>1004</v>
          </cell>
          <cell r="G617">
            <v>779.47400000000005</v>
          </cell>
          <cell r="H617">
            <v>917.66099999999994</v>
          </cell>
          <cell r="I617">
            <v>2817.7</v>
          </cell>
          <cell r="M617">
            <v>274.74200000000002</v>
          </cell>
          <cell r="N617">
            <v>128.929</v>
          </cell>
          <cell r="O617">
            <v>279.233</v>
          </cell>
          <cell r="P617">
            <v>383.08100000000002</v>
          </cell>
          <cell r="Q617">
            <v>1393</v>
          </cell>
          <cell r="R617">
            <v>1213.425</v>
          </cell>
          <cell r="S617">
            <v>189.881</v>
          </cell>
        </row>
        <row r="618">
          <cell r="B618" t="str">
            <v>FY1</v>
          </cell>
          <cell r="C618">
            <v>2724</v>
          </cell>
          <cell r="D618">
            <v>3258</v>
          </cell>
          <cell r="E618">
            <v>4634</v>
          </cell>
          <cell r="F618">
            <v>929</v>
          </cell>
          <cell r="G618">
            <v>670.26300000000003</v>
          </cell>
          <cell r="H618">
            <v>926.24400000000003</v>
          </cell>
          <cell r="I618">
            <v>3100.1750000000002</v>
          </cell>
          <cell r="M618">
            <v>325.596</v>
          </cell>
          <cell r="N618">
            <v>200.99299999999999</v>
          </cell>
          <cell r="O618">
            <v>352.81900000000002</v>
          </cell>
          <cell r="P618">
            <v>357.67</v>
          </cell>
          <cell r="Q618">
            <v>1473</v>
          </cell>
          <cell r="R618">
            <v>1091.412</v>
          </cell>
          <cell r="S618">
            <v>217.05</v>
          </cell>
        </row>
        <row r="619">
          <cell r="B619" t="str">
            <v>FY2</v>
          </cell>
          <cell r="C619">
            <v>3807</v>
          </cell>
          <cell r="D619">
            <v>4018</v>
          </cell>
          <cell r="E619">
            <v>6406</v>
          </cell>
          <cell r="F619">
            <v>1193</v>
          </cell>
          <cell r="G619">
            <v>799.11</v>
          </cell>
          <cell r="H619">
            <v>1014.638</v>
          </cell>
          <cell r="I619">
            <v>3267.7</v>
          </cell>
          <cell r="M619">
            <v>347.18</v>
          </cell>
          <cell r="N619">
            <v>221.51599999999999</v>
          </cell>
          <cell r="O619">
            <v>425.41500000000002</v>
          </cell>
          <cell r="P619">
            <v>326.14800000000002</v>
          </cell>
          <cell r="Q619">
            <v>1999</v>
          </cell>
          <cell r="R619">
            <v>1426.4559999999999</v>
          </cell>
          <cell r="S619">
            <v>234.52099999999999</v>
          </cell>
        </row>
        <row r="621">
          <cell r="A621" t="str">
            <v>Modelware DuPont (Lease Adjusted)ROE</v>
          </cell>
          <cell r="B621" t="str">
            <v>Lease Adjusted ROE</v>
          </cell>
        </row>
        <row r="622">
          <cell r="B622" t="str">
            <v>FY0</v>
          </cell>
          <cell r="C622">
            <v>3.5163894967177245</v>
          </cell>
          <cell r="D622">
            <v>3.1008902077151335E-2</v>
          </cell>
          <cell r="E622">
            <v>3.8273809523809522E-2</v>
          </cell>
          <cell r="F622">
            <v>4.7891764080765141E-2</v>
          </cell>
          <cell r="G622">
            <v>4.1769775016315805E-2</v>
          </cell>
          <cell r="H622">
            <v>6.3170257488176562E-2</v>
          </cell>
          <cell r="I622">
            <v>3.2099487518598119E-2</v>
          </cell>
          <cell r="M622">
            <v>3.4031698564593302E-2</v>
          </cell>
          <cell r="N622">
            <v>3.8349685946680118E-2</v>
          </cell>
          <cell r="O622">
            <v>3.1702109943703226E-2</v>
          </cell>
          <cell r="P622">
            <v>0.20698026111422885</v>
          </cell>
          <cell r="Q622">
            <v>4.6680958904109587E-2</v>
          </cell>
          <cell r="R622">
            <v>5.8824417009602198E-2</v>
          </cell>
          <cell r="S622">
            <v>4.3658244310008247E-2</v>
          </cell>
        </row>
        <row r="623">
          <cell r="B623" t="str">
            <v>FY1</v>
          </cell>
          <cell r="C623">
            <v>3.5922084870848709</v>
          </cell>
          <cell r="D623">
            <v>3.1016781836130308E-2</v>
          </cell>
          <cell r="E623">
            <v>3.7454981992797121E-2</v>
          </cell>
          <cell r="F623">
            <v>4.7511305654122094E-2</v>
          </cell>
          <cell r="G623">
            <v>4.4652013683553426E-2</v>
          </cell>
          <cell r="H623">
            <v>5.5930767717825999E-2</v>
          </cell>
          <cell r="I623">
            <v>3.5904500213714365E-2</v>
          </cell>
          <cell r="M623">
            <v>3.7781395348837211E-2</v>
          </cell>
          <cell r="N623">
            <v>4.1062350195056017E-2</v>
          </cell>
          <cell r="O623">
            <v>3.7571019989669815E-2</v>
          </cell>
          <cell r="P623">
            <v>0.20381483495351646</v>
          </cell>
          <cell r="Q623">
            <v>4.9562841530054642E-2</v>
          </cell>
          <cell r="R623">
            <v>7.2273906714764885E-2</v>
          </cell>
          <cell r="S623">
            <v>5.6573701081058525E-2</v>
          </cell>
        </row>
        <row r="624">
          <cell r="B624" t="str">
            <v>FY2</v>
          </cell>
          <cell r="C624">
            <v>3.5126656200941917</v>
          </cell>
          <cell r="D624">
            <v>3.1656804733727811E-2</v>
          </cell>
          <cell r="E624">
            <v>3.4441640378548896E-2</v>
          </cell>
          <cell r="F624">
            <v>4.8353759388988643E-2</v>
          </cell>
          <cell r="G624">
            <v>0.10639396335837617</v>
          </cell>
          <cell r="H624">
            <v>5.4165425255499743E-2</v>
          </cell>
          <cell r="I624">
            <v>3.3522649663478565E-2</v>
          </cell>
          <cell r="M624">
            <v>6.0171950207468877E-2</v>
          </cell>
          <cell r="N624">
            <v>3.872296948566975E-2</v>
          </cell>
          <cell r="O624">
            <v>4.4157061087856289E-2</v>
          </cell>
          <cell r="P624">
            <v>0.22479120836803163</v>
          </cell>
          <cell r="Q624">
            <v>4.4867724867724869E-2</v>
          </cell>
          <cell r="R624">
            <v>7.5638533785546566E-2</v>
          </cell>
          <cell r="S624">
            <v>6.6417827118810877E-2</v>
          </cell>
        </row>
        <row r="625">
          <cell r="B625" t="str">
            <v>FY(2)</v>
          </cell>
          <cell r="C625">
            <v>3.5223743169398909</v>
          </cell>
          <cell r="D625">
            <v>3.2977691561590687E-2</v>
          </cell>
          <cell r="E625">
            <v>3.3996163682864448E-2</v>
          </cell>
          <cell r="F625">
            <v>4.9567047713717692E-2</v>
          </cell>
          <cell r="G625">
            <v>0.10470693333333334</v>
          </cell>
          <cell r="H625">
            <v>5.6417176268640706E-2</v>
          </cell>
          <cell r="I625">
            <v>3.4897603633070678E-2</v>
          </cell>
          <cell r="M625">
            <v>6.3864784102793962E-2</v>
          </cell>
          <cell r="N625">
            <v>3.8642802741812643E-2</v>
          </cell>
          <cell r="O625">
            <v>5.0964756870443342E-2</v>
          </cell>
          <cell r="P625">
            <v>0.23790759748392731</v>
          </cell>
          <cell r="Q625">
            <v>4.6051282051282054E-2</v>
          </cell>
          <cell r="R625">
            <v>0.11363440844751772</v>
          </cell>
          <cell r="S625">
            <v>6.1813201112411009E-2</v>
          </cell>
        </row>
        <row r="626">
          <cell r="B626" t="str">
            <v>Valuation</v>
          </cell>
          <cell r="C626">
            <v>3.495389228886169</v>
          </cell>
          <cell r="D626">
            <v>3.4155722326454037E-2</v>
          </cell>
          <cell r="E626">
            <v>3.2653377301385511E-2</v>
          </cell>
          <cell r="F626">
            <v>4.7010228166797799E-2</v>
          </cell>
          <cell r="G626">
            <v>0.11369850112747049</v>
          </cell>
          <cell r="H626">
            <v>4.8592180094786733E-2</v>
          </cell>
          <cell r="I626">
            <v>3.5820177963883801E-2</v>
          </cell>
          <cell r="M626">
            <v>4.5407250919994549E-2</v>
          </cell>
          <cell r="N626">
            <v>4.6500187039173288E-2</v>
          </cell>
          <cell r="O626">
            <v>5.0173101886327197E-2</v>
          </cell>
          <cell r="P626">
            <v>0.21723459014982835</v>
          </cell>
          <cell r="Q626">
            <v>3.9772727272727272E-2</v>
          </cell>
          <cell r="R626">
            <v>0.12129036950829211</v>
          </cell>
          <cell r="S626">
            <v>5.9560927615761435E-2</v>
          </cell>
        </row>
        <row r="627">
          <cell r="B627" t="str">
            <v>FY0</v>
          </cell>
          <cell r="C627">
            <v>3.0129171151776104</v>
          </cell>
          <cell r="D627">
            <v>2.9844988318980185E-2</v>
          </cell>
          <cell r="E627">
            <v>3.0949244277731991E-2</v>
          </cell>
          <cell r="F627">
            <v>4.247486903582047E-2</v>
          </cell>
          <cell r="G627">
            <v>9.6932003937825792E-2</v>
          </cell>
          <cell r="H627">
            <v>3.9158133333333331E-2</v>
          </cell>
          <cell r="I627">
            <v>3.3125257655656222E-2</v>
          </cell>
          <cell r="M627">
            <v>4.6425081027175269E-2</v>
          </cell>
          <cell r="N627">
            <v>3.8470273828218472E-2</v>
          </cell>
          <cell r="O627">
            <v>4.6605596849767082E-2</v>
          </cell>
          <cell r="P627">
            <v>0.19290833500424975</v>
          </cell>
          <cell r="Q627">
            <v>3.8126582278481015E-2</v>
          </cell>
          <cell r="R627">
            <v>0.10844489507537872</v>
          </cell>
          <cell r="S627">
            <v>5.0495503885011242E-2</v>
          </cell>
        </row>
        <row r="628">
          <cell r="B628" t="str">
            <v>P/E</v>
          </cell>
          <cell r="C628">
            <v>2.9283302958648605</v>
          </cell>
          <cell r="D628">
            <v>2.6344405470617231E-2</v>
          </cell>
          <cell r="E628">
            <v>3.0595667073588382E-2</v>
          </cell>
          <cell r="F628">
            <v>3.7598825043664401E-2</v>
          </cell>
          <cell r="G628">
            <v>7.7172013017913738E-2</v>
          </cell>
          <cell r="H628">
            <v>3.6531643939030634E-2</v>
          </cell>
          <cell r="I628">
            <v>3.1966778372598967E-2</v>
          </cell>
          <cell r="M628">
            <v>3.6368491137515113E-2</v>
          </cell>
          <cell r="N628">
            <v>3.6506160063337061E-2</v>
          </cell>
          <cell r="O628">
            <v>4.8375056091979202E-2</v>
          </cell>
          <cell r="P628">
            <v>0.18771998345874799</v>
          </cell>
          <cell r="Q628">
            <v>3.8166062114152112E-2</v>
          </cell>
          <cell r="R628">
            <v>9.5052702931567076E-2</v>
          </cell>
          <cell r="S628">
            <v>4.6624074602340408E-2</v>
          </cell>
        </row>
        <row r="629">
          <cell r="B629" t="str">
            <v>Price/ Peak EPS</v>
          </cell>
          <cell r="C629" t="e">
            <v>#VALUE!</v>
          </cell>
          <cell r="D629" t="e">
            <v>#VALUE!</v>
          </cell>
          <cell r="E629" t="e">
            <v>#VALUE!</v>
          </cell>
          <cell r="F629" t="e">
            <v>#VALUE!</v>
          </cell>
          <cell r="G629" t="e">
            <v>#VALUE!</v>
          </cell>
          <cell r="H629" t="e">
            <v>#VALUE!</v>
          </cell>
          <cell r="I629" t="e">
            <v>#VALUE!</v>
          </cell>
          <cell r="J629" t="e">
            <v>#VALUE!</v>
          </cell>
          <cell r="M629" t="e">
            <v>#VALUE!</v>
          </cell>
          <cell r="N629" t="e">
            <v>#VALUE!</v>
          </cell>
          <cell r="O629" t="e">
            <v>#VALUE!</v>
          </cell>
          <cell r="P629" t="e">
            <v>#VALUE!</v>
          </cell>
          <cell r="Q629" t="e">
            <v>#VALUE!</v>
          </cell>
          <cell r="R629" t="e">
            <v>#VALUE!</v>
          </cell>
          <cell r="S629" t="e">
            <v>#VALUE!</v>
          </cell>
          <cell r="T629" t="e">
            <v>#VALUE!</v>
          </cell>
        </row>
        <row r="630">
          <cell r="B630" t="str">
            <v>LTM</v>
          </cell>
          <cell r="C630" t="e">
            <v>#VALUE!</v>
          </cell>
          <cell r="D630" t="e">
            <v>#VALUE!</v>
          </cell>
          <cell r="E630" t="e">
            <v>#VALUE!</v>
          </cell>
          <cell r="F630" t="e">
            <v>#VALUE!</v>
          </cell>
          <cell r="G630" t="e">
            <v>#VALUE!</v>
          </cell>
          <cell r="H630" t="e">
            <v>#VALUE!</v>
          </cell>
          <cell r="I630" t="e">
            <v>#VALUE!</v>
          </cell>
          <cell r="J630" t="e">
            <v>#VALUE!</v>
          </cell>
          <cell r="M630" t="e">
            <v>#VALUE!</v>
          </cell>
          <cell r="N630" t="e">
            <v>#VALUE!</v>
          </cell>
          <cell r="O630" t="e">
            <v>#VALUE!</v>
          </cell>
          <cell r="P630" t="e">
            <v>#VALUE!</v>
          </cell>
          <cell r="Q630" t="e">
            <v>#VALUE!</v>
          </cell>
          <cell r="R630" t="e">
            <v>#VALUE!</v>
          </cell>
          <cell r="S630" t="e">
            <v>#VALUE!</v>
          </cell>
          <cell r="T630" t="e">
            <v>#VALUE!</v>
          </cell>
        </row>
        <row r="631">
          <cell r="B631" t="str">
            <v>FY1</v>
          </cell>
          <cell r="C631" t="e">
            <v>#VALUE!</v>
          </cell>
          <cell r="D631" t="e">
            <v>#VALUE!</v>
          </cell>
          <cell r="E631" t="e">
            <v>#VALUE!</v>
          </cell>
          <cell r="F631" t="e">
            <v>#VALUE!</v>
          </cell>
          <cell r="G631" t="e">
            <v>#VALUE!</v>
          </cell>
          <cell r="H631" t="e">
            <v>#VALUE!</v>
          </cell>
          <cell r="I631" t="e">
            <v>#VALUE!</v>
          </cell>
          <cell r="J631" t="e">
            <v>#VALUE!</v>
          </cell>
          <cell r="M631" t="e">
            <v>#VALUE!</v>
          </cell>
          <cell r="N631" t="e">
            <v>#VALUE!</v>
          </cell>
          <cell r="O631" t="e">
            <v>#VALUE!</v>
          </cell>
          <cell r="P631" t="e">
            <v>#VALUE!</v>
          </cell>
          <cell r="Q631" t="e">
            <v>#VALUE!</v>
          </cell>
          <cell r="R631" t="e">
            <v>#VALUE!</v>
          </cell>
          <cell r="S631" t="e">
            <v>#VALUE!</v>
          </cell>
          <cell r="T631" t="e">
            <v>#VALUE!</v>
          </cell>
        </row>
        <row r="632">
          <cell r="B632" t="str">
            <v>FY2</v>
          </cell>
          <cell r="C632" t="e">
            <v>#VALUE!</v>
          </cell>
          <cell r="D632" t="e">
            <v>#VALUE!</v>
          </cell>
          <cell r="E632" t="e">
            <v>#VALUE!</v>
          </cell>
          <cell r="F632" t="e">
            <v>#VALUE!</v>
          </cell>
          <cell r="G632" t="e">
            <v>#VALUE!</v>
          </cell>
          <cell r="H632" t="e">
            <v>#VALUE!</v>
          </cell>
          <cell r="I632" t="e">
            <v>#VALUE!</v>
          </cell>
          <cell r="J632" t="e">
            <v>#VALUE!</v>
          </cell>
          <cell r="M632" t="e">
            <v>#VALUE!</v>
          </cell>
          <cell r="N632" t="e">
            <v>#VALUE!</v>
          </cell>
          <cell r="O632" t="e">
            <v>#VALUE!</v>
          </cell>
          <cell r="P632" t="e">
            <v>#VALUE!</v>
          </cell>
          <cell r="Q632" t="e">
            <v>#VALUE!</v>
          </cell>
          <cell r="R632" t="e">
            <v>#VALUE!</v>
          </cell>
          <cell r="S632" t="e">
            <v>#VALUE!</v>
          </cell>
          <cell r="T632" t="e">
            <v>#VALUE!</v>
          </cell>
        </row>
        <row r="633">
          <cell r="B633" t="str">
            <v>FY(4)</v>
          </cell>
          <cell r="C633">
            <v>2.1561601875422998E-2</v>
          </cell>
          <cell r="D633">
            <v>2.5411280152276561E-4</v>
          </cell>
          <cell r="E633">
            <v>-2.1393938601879214E-2</v>
          </cell>
          <cell r="F633">
            <v>-7.9441305607669266E-3</v>
          </cell>
          <cell r="G633">
            <v>6.900297322912996E-2</v>
          </cell>
          <cell r="H633">
            <v>-0.11460282193254578</v>
          </cell>
          <cell r="I633">
            <v>0.11853811351074239</v>
          </cell>
          <cell r="J633">
            <v>9.3451300459465991E-3</v>
          </cell>
          <cell r="M633">
            <v>0.11018247523340219</v>
          </cell>
          <cell r="N633">
            <v>7.0734979476689386E-2</v>
          </cell>
          <cell r="O633">
            <v>0.18512679617819217</v>
          </cell>
          <cell r="P633">
            <v>-1.5293372148977302E-2</v>
          </cell>
          <cell r="Q633">
            <v>6.1735720379371806E-2</v>
          </cell>
          <cell r="R633">
            <v>0.22863787503354716</v>
          </cell>
          <cell r="S633">
            <v>0.29583087856992751</v>
          </cell>
          <cell r="T633">
            <v>0.13385076467459328</v>
          </cell>
        </row>
        <row r="634">
          <cell r="B634" t="str">
            <v>EV/EBITDA</v>
          </cell>
          <cell r="C634">
            <v>-2.2143165486263161E-2</v>
          </cell>
          <cell r="D634">
            <v>2.0634729321014289E-2</v>
          </cell>
          <cell r="E634">
            <v>-8.0452357841947819E-2</v>
          </cell>
          <cell r="F634">
            <v>1.7731647726112465E-2</v>
          </cell>
          <cell r="G634">
            <v>1.3827360645453717</v>
          </cell>
          <cell r="H634">
            <v>-3.1562993578642007E-2</v>
          </cell>
          <cell r="I634">
            <v>-6.6338496178983353E-2</v>
          </cell>
          <cell r="J634">
            <v>0.1743722040723803</v>
          </cell>
          <cell r="M634">
            <v>0.59263440780571308</v>
          </cell>
          <cell r="N634">
            <v>-5.697142755525797E-2</v>
          </cell>
          <cell r="O634">
            <v>0.17529577583992428</v>
          </cell>
          <cell r="P634">
            <v>0.10291877634569246</v>
          </cell>
          <cell r="Q634">
            <v>-9.473057874380908E-2</v>
          </cell>
          <cell r="R634">
            <v>4.655382867374902E-2</v>
          </cell>
          <cell r="S634">
            <v>0.17400533904698468</v>
          </cell>
          <cell r="T634">
            <v>0.13424373163042808</v>
          </cell>
        </row>
        <row r="635">
          <cell r="B635" t="str">
            <v>LTM</v>
          </cell>
          <cell r="C635" t="e">
            <v>#VALUE!</v>
          </cell>
          <cell r="D635" t="e">
            <v>#VALUE!</v>
          </cell>
          <cell r="E635" t="e">
            <v>#VALUE!</v>
          </cell>
          <cell r="F635" t="e">
            <v>#VALUE!</v>
          </cell>
          <cell r="G635" t="e">
            <v>#VALUE!</v>
          </cell>
          <cell r="H635" t="e">
            <v>#VALUE!</v>
          </cell>
          <cell r="I635" t="e">
            <v>#VALUE!</v>
          </cell>
          <cell r="J635" t="e">
            <v>#VALUE!</v>
          </cell>
          <cell r="M635" t="e">
            <v>#VALUE!</v>
          </cell>
          <cell r="N635" t="e">
            <v>#VALUE!</v>
          </cell>
          <cell r="O635" t="e">
            <v>#VALUE!</v>
          </cell>
          <cell r="P635" t="e">
            <v>#VALUE!</v>
          </cell>
          <cell r="Q635" t="e">
            <v>#VALUE!</v>
          </cell>
          <cell r="R635" t="e">
            <v>#VALUE!</v>
          </cell>
          <cell r="S635" t="e">
            <v>#VALUE!</v>
          </cell>
          <cell r="T635" t="e">
            <v>#VALUE!</v>
          </cell>
        </row>
        <row r="636">
          <cell r="B636" t="str">
            <v>FY1</v>
          </cell>
          <cell r="C636" t="e">
            <v>#VALUE!</v>
          </cell>
          <cell r="D636" t="e">
            <v>#VALUE!</v>
          </cell>
          <cell r="E636" t="e">
            <v>#VALUE!</v>
          </cell>
          <cell r="F636" t="e">
            <v>#VALUE!</v>
          </cell>
          <cell r="G636" t="e">
            <v>#VALUE!</v>
          </cell>
          <cell r="H636" t="e">
            <v>#VALUE!</v>
          </cell>
          <cell r="I636" t="e">
            <v>#VALUE!</v>
          </cell>
          <cell r="J636" t="e">
            <v>#VALUE!</v>
          </cell>
          <cell r="M636" t="e">
            <v>#VALUE!</v>
          </cell>
          <cell r="N636" t="e">
            <v>#VALUE!</v>
          </cell>
          <cell r="O636" t="e">
            <v>#VALUE!</v>
          </cell>
          <cell r="P636" t="e">
            <v>#VALUE!</v>
          </cell>
          <cell r="Q636" t="e">
            <v>#VALUE!</v>
          </cell>
          <cell r="R636" t="e">
            <v>#VALUE!</v>
          </cell>
          <cell r="S636" t="e">
            <v>#VALUE!</v>
          </cell>
          <cell r="T636" t="e">
            <v>#VALUE!</v>
          </cell>
        </row>
        <row r="637">
          <cell r="B637" t="str">
            <v>FY2</v>
          </cell>
          <cell r="C637" t="e">
            <v>#VALUE!</v>
          </cell>
          <cell r="D637" t="e">
            <v>#VALUE!</v>
          </cell>
          <cell r="E637" t="e">
            <v>#VALUE!</v>
          </cell>
          <cell r="F637" t="e">
            <v>#VALUE!</v>
          </cell>
          <cell r="G637" t="e">
            <v>#VALUE!</v>
          </cell>
          <cell r="H637" t="e">
            <v>#VALUE!</v>
          </cell>
          <cell r="I637" t="e">
            <v>#VALUE!</v>
          </cell>
          <cell r="J637" t="e">
            <v>#VALUE!</v>
          </cell>
          <cell r="M637" t="e">
            <v>#VALUE!</v>
          </cell>
          <cell r="N637" t="e">
            <v>#VALUE!</v>
          </cell>
          <cell r="O637" t="e">
            <v>#VALUE!</v>
          </cell>
          <cell r="P637" t="e">
            <v>#VALUE!</v>
          </cell>
          <cell r="Q637" t="e">
            <v>#VALUE!</v>
          </cell>
          <cell r="R637" t="e">
            <v>#VALUE!</v>
          </cell>
          <cell r="S637" t="e">
            <v>#VALUE!</v>
          </cell>
          <cell r="T637" t="e">
            <v>#VALUE!</v>
          </cell>
        </row>
        <row r="638">
          <cell r="B638" t="str">
            <v>FY1</v>
          </cell>
          <cell r="C638">
            <v>-2.8074724952320329E-2</v>
          </cell>
          <cell r="D638">
            <v>-0.11729215005712457</v>
          </cell>
          <cell r="E638">
            <v>-1.1424421254705996E-2</v>
          </cell>
          <cell r="F638">
            <v>-0.11479832905532772</v>
          </cell>
          <cell r="G638">
            <v>-0.20385414638272126</v>
          </cell>
          <cell r="H638">
            <v>-6.7073917235653813E-2</v>
          </cell>
          <cell r="I638">
            <v>-3.4972687461026997E-2</v>
          </cell>
          <cell r="J638">
            <v>-8.2498625199840095E-2</v>
          </cell>
          <cell r="M638">
            <v>-0.21661975955999857</v>
          </cell>
          <cell r="N638">
            <v>-5.1055362216858136E-2</v>
          </cell>
          <cell r="O638">
            <v>3.7966668422163119E-2</v>
          </cell>
          <cell r="P638">
            <v>-2.6895424427293202E-2</v>
          </cell>
          <cell r="Q638">
            <v>1.0354936978806961E-3</v>
          </cell>
          <cell r="R638">
            <v>-0.12349306193254084</v>
          </cell>
          <cell r="S638">
            <v>-7.666879196783305E-2</v>
          </cell>
          <cell r="T638">
            <v>-6.5104319712068565E-2</v>
          </cell>
        </row>
        <row r="639">
          <cell r="B639" t="str">
            <v>FCF Yield</v>
          </cell>
          <cell r="C639">
            <v>-1.717080001305693E-2</v>
          </cell>
          <cell r="D639">
            <v>-8.3364925020563696E-3</v>
          </cell>
          <cell r="E639">
            <v>-2.6487959627819579E-2</v>
          </cell>
          <cell r="F639">
            <v>-1.6931885456709206E-2</v>
          </cell>
          <cell r="G639">
            <v>-5.6563156961221495E-2</v>
          </cell>
          <cell r="H639">
            <v>-2.0621464663999056E-3</v>
          </cell>
          <cell r="I639">
            <v>7.9871148560513028E-3</v>
          </cell>
          <cell r="J639">
            <v>-1.708076088160174E-2</v>
          </cell>
          <cell r="M639">
            <v>-2.6007948492032806E-2</v>
          </cell>
          <cell r="N639">
            <v>3.5756463590146836E-2</v>
          </cell>
          <cell r="O639">
            <v>-3.1064536814966459E-2</v>
          </cell>
          <cell r="P639">
            <v>1.2895585404308463E-2</v>
          </cell>
          <cell r="Q639">
            <v>-1.0981203497142378E-3</v>
          </cell>
          <cell r="R639">
            <v>-3.4797680849844359E-2</v>
          </cell>
          <cell r="S639">
            <v>-8.0801684127954743E-2</v>
          </cell>
          <cell r="T639">
            <v>-1.7873988805722472E-2</v>
          </cell>
        </row>
        <row r="640">
          <cell r="B640" t="str">
            <v>FY0</v>
          </cell>
          <cell r="C640" t="e">
            <v>#VALUE!</v>
          </cell>
          <cell r="D640" t="e">
            <v>#VALUE!</v>
          </cell>
          <cell r="E640" t="e">
            <v>#VALUE!</v>
          </cell>
          <cell r="F640" t="e">
            <v>#VALUE!</v>
          </cell>
          <cell r="G640" t="e">
            <v>#VALUE!</v>
          </cell>
          <cell r="H640" t="e">
            <v>#VALUE!</v>
          </cell>
          <cell r="I640" t="e">
            <v>#VALUE!</v>
          </cell>
          <cell r="J640" t="e">
            <v>#VALUE!</v>
          </cell>
          <cell r="M640" t="e">
            <v>#VALUE!</v>
          </cell>
          <cell r="N640" t="e">
            <v>#VALUE!</v>
          </cell>
          <cell r="O640" t="e">
            <v>#VALUE!</v>
          </cell>
          <cell r="P640" t="e">
            <v>#VALUE!</v>
          </cell>
          <cell r="Q640" t="e">
            <v>#VALUE!</v>
          </cell>
          <cell r="R640" t="e">
            <v>#VALUE!</v>
          </cell>
          <cell r="S640" t="e">
            <v>#VALUE!</v>
          </cell>
          <cell r="T640" t="e">
            <v>#VALUE!</v>
          </cell>
        </row>
        <row r="641">
          <cell r="B641" t="str">
            <v>FY1</v>
          </cell>
          <cell r="C641" t="e">
            <v>#VALUE!</v>
          </cell>
          <cell r="D641" t="e">
            <v>#VALUE!</v>
          </cell>
          <cell r="E641" t="e">
            <v>#VALUE!</v>
          </cell>
          <cell r="F641" t="e">
            <v>#VALUE!</v>
          </cell>
          <cell r="G641" t="e">
            <v>#VALUE!</v>
          </cell>
          <cell r="H641" t="e">
            <v>#VALUE!</v>
          </cell>
          <cell r="I641" t="e">
            <v>#VALUE!</v>
          </cell>
          <cell r="J641" t="e">
            <v>#VALUE!</v>
          </cell>
          <cell r="M641" t="e">
            <v>#VALUE!</v>
          </cell>
          <cell r="N641" t="e">
            <v>#VALUE!</v>
          </cell>
          <cell r="O641" t="e">
            <v>#VALUE!</v>
          </cell>
          <cell r="P641" t="e">
            <v>#VALUE!</v>
          </cell>
          <cell r="Q641" t="e">
            <v>#VALUE!</v>
          </cell>
          <cell r="R641" t="e">
            <v>#VALUE!</v>
          </cell>
          <cell r="S641" t="e">
            <v>#VALUE!</v>
          </cell>
          <cell r="T641" t="e">
            <v>#VALUE!</v>
          </cell>
        </row>
        <row r="642">
          <cell r="B642" t="str">
            <v>FY2</v>
          </cell>
          <cell r="C642" t="e">
            <v>#VALUE!</v>
          </cell>
          <cell r="D642" t="e">
            <v>#VALUE!</v>
          </cell>
          <cell r="E642" t="e">
            <v>#VALUE!</v>
          </cell>
          <cell r="F642" t="e">
            <v>#VALUE!</v>
          </cell>
          <cell r="G642" t="e">
            <v>#VALUE!</v>
          </cell>
          <cell r="H642" t="e">
            <v>#VALUE!</v>
          </cell>
          <cell r="I642" t="e">
            <v>#VALUE!</v>
          </cell>
          <cell r="J642" t="e">
            <v>#VALUE!</v>
          </cell>
          <cell r="M642" t="e">
            <v>#VALUE!</v>
          </cell>
          <cell r="N642" t="e">
            <v>#VALUE!</v>
          </cell>
          <cell r="O642" t="e">
            <v>#VALUE!</v>
          </cell>
          <cell r="P642" t="e">
            <v>#VALUE!</v>
          </cell>
          <cell r="Q642" t="e">
            <v>#VALUE!</v>
          </cell>
          <cell r="R642" t="e">
            <v>#VALUE!</v>
          </cell>
          <cell r="S642" t="e">
            <v>#VALUE!</v>
          </cell>
          <cell r="T642" t="e">
            <v>#VALUE!</v>
          </cell>
        </row>
        <row r="643">
          <cell r="B643" t="str">
            <v>FY(4)</v>
          </cell>
          <cell r="C643">
            <v>-1.6104116425834508E-2</v>
          </cell>
          <cell r="D643">
            <v>4.8745887198477236E-2</v>
          </cell>
          <cell r="E643">
            <v>4.739393860187921E-2</v>
          </cell>
          <cell r="F643">
            <v>0.10414967075315233</v>
          </cell>
          <cell r="G643">
            <v>-1.6002973229129962E-2</v>
          </cell>
          <cell r="H643">
            <v>0.10460282193254579</v>
          </cell>
          <cell r="I643">
            <v>-6.8538113510742391E-2</v>
          </cell>
          <cell r="J643">
            <v>2.9178159331478239E-2</v>
          </cell>
          <cell r="M643">
            <v>-9.0182475233402185E-2</v>
          </cell>
          <cell r="N643">
            <v>1.6265020523310608E-2</v>
          </cell>
          <cell r="O643">
            <v>2.887320382180783E-2</v>
          </cell>
          <cell r="P643">
            <v>0.1972933721489773</v>
          </cell>
          <cell r="Q643">
            <v>-6.1735720379371806E-2</v>
          </cell>
          <cell r="R643">
            <v>-0.18863787503354715</v>
          </cell>
          <cell r="S643">
            <v>-7.9830878569927516E-2</v>
          </cell>
          <cell r="T643">
            <v>-2.5422193246021844E-2</v>
          </cell>
        </row>
        <row r="644">
          <cell r="B644" t="str">
            <v>Dividend Yield</v>
          </cell>
          <cell r="C644">
            <v>5.9034041611078461E-2</v>
          </cell>
          <cell r="D644">
            <v>8.3652706789857124E-3</v>
          </cell>
          <cell r="E644">
            <v>9.3452357841947817E-2</v>
          </cell>
          <cell r="F644">
            <v>4.2432082369352635E-2</v>
          </cell>
          <cell r="G644">
            <v>-1.3427360645453716</v>
          </cell>
          <cell r="H644">
            <v>9.1562993578642005E-2</v>
          </cell>
          <cell r="I644">
            <v>8.6338496178983357E-2</v>
          </cell>
          <cell r="J644">
            <v>-0.1373644031837688</v>
          </cell>
          <cell r="M644">
            <v>-0.33263440780571307</v>
          </cell>
          <cell r="N644">
            <v>9.1971427555257973E-2</v>
          </cell>
          <cell r="O644">
            <v>-2.0295775839924285E-2</v>
          </cell>
          <cell r="P644">
            <v>0.10408122365430753</v>
          </cell>
          <cell r="Q644">
            <v>4.4730578743809077E-2</v>
          </cell>
          <cell r="R644">
            <v>-5.6553828673749022E-2</v>
          </cell>
          <cell r="S644">
            <v>-6.5005339046984675E-2</v>
          </cell>
          <cell r="T644">
            <v>-3.3386588773285208E-2</v>
          </cell>
        </row>
        <row r="645">
          <cell r="B645" t="str">
            <v>FY0</v>
          </cell>
          <cell r="C645" t="str">
            <v/>
          </cell>
          <cell r="D645" t="str">
            <v/>
          </cell>
          <cell r="E645" t="str">
            <v/>
          </cell>
          <cell r="F645" t="str">
            <v/>
          </cell>
          <cell r="G645" t="str">
            <v/>
          </cell>
          <cell r="H645" t="str">
            <v/>
          </cell>
          <cell r="I645" t="str">
            <v/>
          </cell>
          <cell r="J645" t="e">
            <v>#NUM!</v>
          </cell>
          <cell r="M645" t="str">
            <v/>
          </cell>
          <cell r="N645" t="str">
            <v/>
          </cell>
          <cell r="O645" t="str">
            <v/>
          </cell>
          <cell r="P645" t="str">
            <v/>
          </cell>
          <cell r="Q645" t="str">
            <v/>
          </cell>
          <cell r="R645" t="str">
            <v/>
          </cell>
          <cell r="S645" t="str">
            <v/>
          </cell>
          <cell r="T645" t="e">
            <v>#NUM!</v>
          </cell>
        </row>
        <row r="646">
          <cell r="B646" t="str">
            <v>FY1</v>
          </cell>
          <cell r="C646" t="str">
            <v/>
          </cell>
          <cell r="D646" t="str">
            <v/>
          </cell>
          <cell r="E646" t="str">
            <v/>
          </cell>
          <cell r="F646" t="str">
            <v/>
          </cell>
          <cell r="G646" t="str">
            <v/>
          </cell>
          <cell r="H646" t="str">
            <v/>
          </cell>
          <cell r="I646" t="str">
            <v/>
          </cell>
          <cell r="J646" t="e">
            <v>#NUM!</v>
          </cell>
          <cell r="M646" t="str">
            <v/>
          </cell>
          <cell r="N646" t="str">
            <v/>
          </cell>
          <cell r="O646" t="str">
            <v/>
          </cell>
          <cell r="P646" t="str">
            <v/>
          </cell>
          <cell r="Q646" t="str">
            <v/>
          </cell>
          <cell r="R646" t="str">
            <v/>
          </cell>
          <cell r="S646" t="str">
            <v/>
          </cell>
          <cell r="T646" t="e">
            <v>#NUM!</v>
          </cell>
        </row>
        <row r="647">
          <cell r="B647" t="str">
            <v>FY2</v>
          </cell>
          <cell r="C647" t="str">
            <v/>
          </cell>
          <cell r="D647" t="str">
            <v/>
          </cell>
          <cell r="E647" t="str">
            <v/>
          </cell>
          <cell r="F647" t="str">
            <v/>
          </cell>
          <cell r="G647" t="str">
            <v/>
          </cell>
          <cell r="H647" t="str">
            <v/>
          </cell>
          <cell r="I647" t="str">
            <v/>
          </cell>
          <cell r="J647" t="e">
            <v>#NUM!</v>
          </cell>
          <cell r="M647" t="str">
            <v/>
          </cell>
          <cell r="N647" t="str">
            <v/>
          </cell>
          <cell r="O647" t="str">
            <v/>
          </cell>
          <cell r="P647" t="str">
            <v/>
          </cell>
          <cell r="Q647" t="str">
            <v/>
          </cell>
          <cell r="R647" t="str">
            <v/>
          </cell>
          <cell r="S647" t="str">
            <v/>
          </cell>
          <cell r="T647" t="e">
            <v>#NUM!</v>
          </cell>
        </row>
        <row r="648">
          <cell r="B648" t="str">
            <v>FY1</v>
          </cell>
          <cell r="C648">
            <v>3.2045591556247421E-2</v>
          </cell>
          <cell r="D648">
            <v>5.1981526084222462E-2</v>
          </cell>
          <cell r="E648">
            <v>-4.4125390416967503E-2</v>
          </cell>
          <cell r="F648">
            <v>5.4178625789718916E-2</v>
          </cell>
          <cell r="G648">
            <v>5.2904749737220258E-2</v>
          </cell>
          <cell r="H648">
            <v>0.12167763905476112</v>
          </cell>
          <cell r="I648">
            <v>7.3259545141423105E-2</v>
          </cell>
          <cell r="J648">
            <v>4.8846040992375106E-2</v>
          </cell>
          <cell r="M648">
            <v>2.1177557729705754E-3</v>
          </cell>
          <cell r="N648">
            <v>0.14143994216824063</v>
          </cell>
          <cell r="O648">
            <v>-8.2462858476940015E-2</v>
          </cell>
          <cell r="P648">
            <v>6.3903958320594201E-2</v>
          </cell>
          <cell r="Q648">
            <v>-2.9552812927526595E-2</v>
          </cell>
          <cell r="R648">
            <v>8.4541000412301337E-2</v>
          </cell>
          <cell r="S648">
            <v>5.9908180705699046E-2</v>
          </cell>
          <cell r="T648">
            <v>3.4270737996477021E-2</v>
          </cell>
        </row>
        <row r="649">
          <cell r="B649" t="str">
            <v>P/Sales</v>
          </cell>
          <cell r="C649">
            <v>4.2170800013056932E-2</v>
          </cell>
          <cell r="D649">
            <v>-1.6635074979436306E-3</v>
          </cell>
          <cell r="E649">
            <v>1.6487959627819578E-2</v>
          </cell>
          <cell r="F649">
            <v>-3.0681145432907946E-3</v>
          </cell>
          <cell r="G649">
            <v>2.6563156961221496E-2</v>
          </cell>
          <cell r="H649">
            <v>2.2062146466399906E-2</v>
          </cell>
          <cell r="I649">
            <v>1.2012885143948698E-2</v>
          </cell>
          <cell r="J649">
            <v>1.6366475167316027E-2</v>
          </cell>
          <cell r="M649">
            <v>-4.4652141651022992E-2</v>
          </cell>
          <cell r="N649">
            <v>4.2435364098531644E-3</v>
          </cell>
          <cell r="O649">
            <v>4.1064536814966461E-2</v>
          </cell>
          <cell r="P649">
            <v>2.7104414595691538E-2</v>
          </cell>
          <cell r="Q649">
            <v>-9.9569220345095619E-3</v>
          </cell>
          <cell r="R649">
            <v>2.2843379017423959E-2</v>
          </cell>
          <cell r="S649">
            <v>0.13265176300151366</v>
          </cell>
          <cell r="T649">
            <v>2.4756938021988032E-2</v>
          </cell>
        </row>
        <row r="650">
          <cell r="B650" t="str">
            <v>FY0</v>
          </cell>
          <cell r="C650" t="e">
            <v>#VALUE!</v>
          </cell>
          <cell r="D650" t="e">
            <v>#VALUE!</v>
          </cell>
          <cell r="E650" t="e">
            <v>#VALUE!</v>
          </cell>
          <cell r="F650" t="e">
            <v>#VALUE!</v>
          </cell>
          <cell r="G650" t="e">
            <v>#VALUE!</v>
          </cell>
          <cell r="H650" t="e">
            <v>#VALUE!</v>
          </cell>
          <cell r="I650" t="e">
            <v>#VALUE!</v>
          </cell>
          <cell r="J650" t="e">
            <v>#VALUE!</v>
          </cell>
          <cell r="M650" t="e">
            <v>#VALUE!</v>
          </cell>
          <cell r="N650" t="e">
            <v>#VALUE!</v>
          </cell>
          <cell r="O650" t="e">
            <v>#VALUE!</v>
          </cell>
          <cell r="P650" t="e">
            <v>#VALUE!</v>
          </cell>
          <cell r="Q650" t="e">
            <v>#VALUE!</v>
          </cell>
          <cell r="R650" t="e">
            <v>#VALUE!</v>
          </cell>
          <cell r="S650" t="e">
            <v>#VALUE!</v>
          </cell>
          <cell r="T650" t="e">
            <v>#VALUE!</v>
          </cell>
        </row>
        <row r="651">
          <cell r="B651" t="str">
            <v>FY1</v>
          </cell>
          <cell r="C651" t="e">
            <v>#VALUE!</v>
          </cell>
          <cell r="D651" t="e">
            <v>#VALUE!</v>
          </cell>
          <cell r="E651" t="e">
            <v>#VALUE!</v>
          </cell>
          <cell r="F651" t="e">
            <v>#VALUE!</v>
          </cell>
          <cell r="G651" t="e">
            <v>#VALUE!</v>
          </cell>
          <cell r="H651" t="e">
            <v>#VALUE!</v>
          </cell>
          <cell r="I651" t="e">
            <v>#VALUE!</v>
          </cell>
          <cell r="J651" t="e">
            <v>#VALUE!</v>
          </cell>
          <cell r="M651" t="e">
            <v>#VALUE!</v>
          </cell>
          <cell r="N651" t="e">
            <v>#VALUE!</v>
          </cell>
          <cell r="O651" t="e">
            <v>#VALUE!</v>
          </cell>
          <cell r="P651" t="e">
            <v>#VALUE!</v>
          </cell>
          <cell r="Q651" t="e">
            <v>#VALUE!</v>
          </cell>
          <cell r="R651" t="e">
            <v>#VALUE!</v>
          </cell>
          <cell r="S651" t="e">
            <v>#VALUE!</v>
          </cell>
          <cell r="T651" t="e">
            <v>#VALUE!</v>
          </cell>
        </row>
        <row r="652">
          <cell r="B652" t="str">
            <v>FY2</v>
          </cell>
          <cell r="C652" t="e">
            <v>#VALUE!</v>
          </cell>
          <cell r="D652" t="e">
            <v>#VALUE!</v>
          </cell>
          <cell r="E652" t="e">
            <v>#VALUE!</v>
          </cell>
          <cell r="F652" t="e">
            <v>#VALUE!</v>
          </cell>
          <cell r="G652" t="e">
            <v>#VALUE!</v>
          </cell>
          <cell r="H652" t="e">
            <v>#VALUE!</v>
          </cell>
          <cell r="I652" t="e">
            <v>#VALUE!</v>
          </cell>
          <cell r="J652" t="e">
            <v>#VALUE!</v>
          </cell>
          <cell r="K652">
            <v>56.223660362650925</v>
          </cell>
          <cell r="M652" t="e">
            <v>#VALUE!</v>
          </cell>
          <cell r="N652" t="e">
            <v>#VALUE!</v>
          </cell>
          <cell r="O652" t="e">
            <v>#VALUE!</v>
          </cell>
          <cell r="P652" t="e">
            <v>#VALUE!</v>
          </cell>
          <cell r="Q652" t="e">
            <v>#VALUE!</v>
          </cell>
          <cell r="R652" t="e">
            <v>#VALUE!</v>
          </cell>
          <cell r="S652" t="e">
            <v>#VALUE!</v>
          </cell>
          <cell r="T652" t="e">
            <v>#VALUE!</v>
          </cell>
          <cell r="U652">
            <v>153.15566538025266</v>
          </cell>
        </row>
        <row r="653">
          <cell r="B653" t="str">
            <v>FY(1)</v>
          </cell>
          <cell r="C653">
            <v>52.896736253201503</v>
          </cell>
          <cell r="D653">
            <v>54.68105065666041</v>
          </cell>
          <cell r="E653">
            <v>55.200986054555663</v>
          </cell>
          <cell r="F653">
            <v>116.0395357985838</v>
          </cell>
          <cell r="G653">
            <v>107.16633806833863</v>
          </cell>
          <cell r="H653">
            <v>44.355497630331755</v>
          </cell>
          <cell r="I653">
            <v>39.693848600778857</v>
          </cell>
          <cell r="K653">
            <v>55.197959773596573</v>
          </cell>
          <cell r="M653">
            <v>242.96088319476624</v>
          </cell>
          <cell r="N653">
            <v>117.81253428199783</v>
          </cell>
          <cell r="O653">
            <v>125.25192944504418</v>
          </cell>
          <cell r="P653">
            <v>837.50417641254148</v>
          </cell>
          <cell r="Q653">
            <v>109.72222222222223</v>
          </cell>
          <cell r="R653">
            <v>252.39239646978953</v>
          </cell>
          <cell r="S653">
            <v>121.88537141352623</v>
          </cell>
          <cell r="U653">
            <v>161.87029690248212</v>
          </cell>
        </row>
        <row r="654">
          <cell r="B654" t="str">
            <v>Current Price/Book Value</v>
          </cell>
          <cell r="C654">
            <v>52.485891828461703</v>
          </cell>
          <cell r="D654">
            <v>53.160526907542184</v>
          </cell>
          <cell r="E654">
            <v>54.889643132953907</v>
          </cell>
          <cell r="F654">
            <v>112.69838123554675</v>
          </cell>
          <cell r="G654">
            <v>101.53403110118391</v>
          </cell>
          <cell r="H654">
            <v>46.163326249732442</v>
          </cell>
          <cell r="I654">
            <v>39.743768451555518</v>
          </cell>
          <cell r="K654">
            <v>54.489639577494366</v>
          </cell>
          <cell r="M654">
            <v>236.73855081325479</v>
          </cell>
          <cell r="N654">
            <v>123.57098885896485</v>
          </cell>
          <cell r="O654">
            <v>115.9958326004987</v>
          </cell>
          <cell r="P654">
            <v>782.12610361811073</v>
          </cell>
          <cell r="Q654">
            <v>98.708860759493675</v>
          </cell>
          <cell r="R654">
            <v>210.0189020305919</v>
          </cell>
          <cell r="S654">
            <v>123.20304255242671</v>
          </cell>
          <cell r="U654">
            <v>150.00822074468337</v>
          </cell>
        </row>
        <row r="655">
          <cell r="B655" t="str">
            <v>FY0</v>
          </cell>
          <cell r="C655" t="e">
            <v>#VALUE!</v>
          </cell>
          <cell r="D655" t="e">
            <v>#VALUE!</v>
          </cell>
          <cell r="E655" t="e">
            <v>#VALUE!</v>
          </cell>
          <cell r="F655" t="e">
            <v>#VALUE!</v>
          </cell>
          <cell r="G655" t="e">
            <v>#VALUE!</v>
          </cell>
          <cell r="H655" t="e">
            <v>#VALUE!</v>
          </cell>
          <cell r="I655" t="e">
            <v>#VALUE!</v>
          </cell>
          <cell r="J655" t="e">
            <v>#VALUE!</v>
          </cell>
          <cell r="K655">
            <v>54.172660862097118</v>
          </cell>
          <cell r="M655" t="e">
            <v>#VALUE!</v>
          </cell>
          <cell r="N655" t="e">
            <v>#VALUE!</v>
          </cell>
          <cell r="O655" t="e">
            <v>#VALUE!</v>
          </cell>
          <cell r="P655" t="e">
            <v>#VALUE!</v>
          </cell>
          <cell r="Q655" t="e">
            <v>#VALUE!</v>
          </cell>
          <cell r="R655" t="e">
            <v>#VALUE!</v>
          </cell>
          <cell r="S655" t="e">
            <v>#VALUE!</v>
          </cell>
          <cell r="T655" t="e">
            <v>#VALUE!</v>
          </cell>
          <cell r="U655">
            <v>149.72934531906631</v>
          </cell>
        </row>
        <row r="656">
          <cell r="B656" t="str">
            <v>FY1</v>
          </cell>
          <cell r="C656" t="e">
            <v>#VALUE!</v>
          </cell>
          <cell r="D656" t="e">
            <v>#VALUE!</v>
          </cell>
          <cell r="E656" t="e">
            <v>#VALUE!</v>
          </cell>
          <cell r="F656" t="e">
            <v>#VALUE!</v>
          </cell>
          <cell r="G656" t="e">
            <v>#VALUE!</v>
          </cell>
          <cell r="H656" t="e">
            <v>#VALUE!</v>
          </cell>
          <cell r="I656" t="e">
            <v>#VALUE!</v>
          </cell>
          <cell r="J656" t="e">
            <v>#VALUE!</v>
          </cell>
          <cell r="K656">
            <v>53.715653746568783</v>
          </cell>
          <cell r="M656" t="e">
            <v>#VALUE!</v>
          </cell>
          <cell r="N656" t="e">
            <v>#VALUE!</v>
          </cell>
          <cell r="O656" t="e">
            <v>#VALUE!</v>
          </cell>
          <cell r="P656" t="e">
            <v>#VALUE!</v>
          </cell>
          <cell r="Q656" t="e">
            <v>#VALUE!</v>
          </cell>
          <cell r="R656" t="e">
            <v>#VALUE!</v>
          </cell>
          <cell r="S656" t="e">
            <v>#VALUE!</v>
          </cell>
          <cell r="T656" t="e">
            <v>#VALUE!</v>
          </cell>
          <cell r="U656">
            <v>154.80379580954013</v>
          </cell>
        </row>
        <row r="657">
          <cell r="B657" t="str">
            <v>FY2</v>
          </cell>
          <cell r="C657" t="e">
            <v>#VALUE!</v>
          </cell>
          <cell r="D657" t="e">
            <v>#VALUE!</v>
          </cell>
          <cell r="E657" t="e">
            <v>#VALUE!</v>
          </cell>
          <cell r="F657" t="e">
            <v>#VALUE!</v>
          </cell>
          <cell r="G657" t="e">
            <v>#VALUE!</v>
          </cell>
          <cell r="H657" t="e">
            <v>#VALUE!</v>
          </cell>
          <cell r="I657" t="e">
            <v>#VALUE!</v>
          </cell>
          <cell r="J657" t="e">
            <v>#VALUE!</v>
          </cell>
          <cell r="M657" t="e">
            <v>#VALUE!</v>
          </cell>
          <cell r="N657" t="e">
            <v>#VALUE!</v>
          </cell>
          <cell r="O657" t="e">
            <v>#VALUE!</v>
          </cell>
          <cell r="P657" t="e">
            <v>#VALUE!</v>
          </cell>
          <cell r="Q657" t="e">
            <v>#VALUE!</v>
          </cell>
          <cell r="R657" t="e">
            <v>#VALUE!</v>
          </cell>
          <cell r="S657" t="e">
            <v>#VALUE!</v>
          </cell>
          <cell r="T657" t="e">
            <v>#VALUE!</v>
          </cell>
        </row>
        <row r="658">
          <cell r="B658" t="str">
            <v>FQ(2)</v>
          </cell>
          <cell r="C658">
            <v>12.814700234691701</v>
          </cell>
          <cell r="D658">
            <v>13.498469709167473</v>
          </cell>
          <cell r="E658">
            <v>12.693797820768248</v>
          </cell>
          <cell r="F658">
            <v>25.437727122563594</v>
          </cell>
          <cell r="G658">
            <v>20.671901141774427</v>
          </cell>
          <cell r="H658">
            <v>12.090222222222222</v>
          </cell>
          <cell r="I658">
            <v>9.2958492215560344</v>
          </cell>
          <cell r="M658">
            <v>53.777736225380202</v>
          </cell>
          <cell r="N658">
            <v>28.662728710283766</v>
          </cell>
          <cell r="O658">
            <v>25.077087883426593</v>
          </cell>
          <cell r="P658">
            <v>203.27393151549455</v>
          </cell>
          <cell r="Q658">
            <v>22.430379746835442</v>
          </cell>
          <cell r="R658">
            <v>44.332051787893519</v>
          </cell>
          <cell r="S658">
            <v>28.918464242741916</v>
          </cell>
        </row>
        <row r="659">
          <cell r="B659" t="str">
            <v>FQ(1)</v>
          </cell>
          <cell r="C659">
            <v>12.881374013228077</v>
          </cell>
          <cell r="D659">
            <v>13.370261720070904</v>
          </cell>
          <cell r="E659">
            <v>12.077279010454861</v>
          </cell>
          <cell r="F659">
            <v>28.694133748643164</v>
          </cell>
          <cell r="G659">
            <v>20.606334745343176</v>
          </cell>
          <cell r="H659">
            <v>12.718133333333334</v>
          </cell>
          <cell r="I659">
            <v>10.001760474286144</v>
          </cell>
          <cell r="M659">
            <v>53.785838942907006</v>
          </cell>
          <cell r="N659">
            <v>30.652612453091901</v>
          </cell>
          <cell r="O659">
            <v>26.417602443171933</v>
          </cell>
          <cell r="P659">
            <v>193.01066015097985</v>
          </cell>
          <cell r="Q659">
            <v>23.11392405063291</v>
          </cell>
          <cell r="R659">
            <v>47.655689419450738</v>
          </cell>
          <cell r="S659">
            <v>32.33000092580037</v>
          </cell>
        </row>
        <row r="660">
          <cell r="B660" t="str">
            <v>mstag:propertyPlantAndEquipmentNet</v>
          </cell>
          <cell r="C660">
            <v>13.694794111371881</v>
          </cell>
          <cell r="D660">
            <v>14.524133621940035</v>
          </cell>
          <cell r="E660">
            <v>13.193502540706465</v>
          </cell>
          <cell r="F660">
            <v>27.41988767756855</v>
          </cell>
          <cell r="G660">
            <v>21.618557551100253</v>
          </cell>
          <cell r="H660">
            <v>12.733822222222223</v>
          </cell>
          <cell r="I660">
            <v>10.927744956920218</v>
          </cell>
          <cell r="M660">
            <v>55.858015457491895</v>
          </cell>
          <cell r="N660">
            <v>35.692474062401246</v>
          </cell>
          <cell r="O660">
            <v>30.54107137185223</v>
          </cell>
          <cell r="P660">
            <v>782.12610361811073</v>
          </cell>
          <cell r="Q660">
            <v>25.924050632911392</v>
          </cell>
          <cell r="R660">
            <v>46.233173981263128</v>
          </cell>
          <cell r="S660">
            <v>34.019254632710343</v>
          </cell>
        </row>
        <row r="661">
          <cell r="B661" t="str">
            <v>Assets</v>
          </cell>
        </row>
        <row r="662">
          <cell r="B662" t="str">
            <v>FY(5)</v>
          </cell>
        </row>
        <row r="663">
          <cell r="B663" t="str">
            <v>FY(4)</v>
          </cell>
        </row>
        <row r="664">
          <cell r="B664" t="str">
            <v>FY(3)</v>
          </cell>
        </row>
        <row r="665">
          <cell r="B665" t="str">
            <v>FY(2)</v>
          </cell>
        </row>
        <row r="666">
          <cell r="B666" t="str">
            <v>FY(1)</v>
          </cell>
        </row>
        <row r="667">
          <cell r="B667" t="str">
            <v>FY0</v>
          </cell>
        </row>
        <row r="668">
          <cell r="B668" t="str">
            <v>FY1</v>
          </cell>
        </row>
        <row r="669">
          <cell r="B669" t="str">
            <v>FY2</v>
          </cell>
        </row>
        <row r="671">
          <cell r="A671" t="str">
            <v>mstag:inventories</v>
          </cell>
        </row>
        <row r="672">
          <cell r="B672" t="str">
            <v>Inventory</v>
          </cell>
        </row>
        <row r="673">
          <cell r="B673" t="str">
            <v>FY(5)</v>
          </cell>
          <cell r="C673">
            <v>1946.9770000000001</v>
          </cell>
          <cell r="D673">
            <v>3142</v>
          </cell>
          <cell r="E673">
            <v>3120</v>
          </cell>
          <cell r="F673">
            <v>917.18200000000002</v>
          </cell>
          <cell r="G673">
            <v>1516.271</v>
          </cell>
          <cell r="H673">
            <v>853.11199999999997</v>
          </cell>
          <cell r="I673">
            <v>2352.0320000000002</v>
          </cell>
          <cell r="M673">
            <v>211.19800000000001</v>
          </cell>
          <cell r="N673">
            <v>81.238</v>
          </cell>
          <cell r="O673">
            <v>170.57599999999999</v>
          </cell>
          <cell r="P673">
            <v>161.91300000000001</v>
          </cell>
          <cell r="Q673">
            <v>1814</v>
          </cell>
          <cell r="R673">
            <v>1142</v>
          </cell>
          <cell r="S673">
            <v>98.995999999999995</v>
          </cell>
        </row>
        <row r="674">
          <cell r="B674" t="str">
            <v>FY(4)</v>
          </cell>
          <cell r="C674">
            <v>2237.5680000000002</v>
          </cell>
          <cell r="D674">
            <v>3210</v>
          </cell>
          <cell r="E674">
            <v>5459</v>
          </cell>
          <cell r="F674">
            <v>955.97799999999995</v>
          </cell>
          <cell r="G674">
            <v>807.21100000000001</v>
          </cell>
          <cell r="H674">
            <v>938.09100000000001</v>
          </cell>
          <cell r="I674">
            <v>2365.8609999999999</v>
          </cell>
          <cell r="M674">
            <v>362.536</v>
          </cell>
          <cell r="N674">
            <v>91.908000000000001</v>
          </cell>
          <cell r="O674">
            <v>210.739</v>
          </cell>
          <cell r="P674">
            <v>184.41900000000001</v>
          </cell>
          <cell r="Q674">
            <v>1696</v>
          </cell>
          <cell r="R674">
            <v>1159.69</v>
          </cell>
          <cell r="S674">
            <v>140.37700000000001</v>
          </cell>
        </row>
        <row r="675">
          <cell r="B675" t="str">
            <v>FY(3)</v>
          </cell>
          <cell r="C675">
            <v>2578.3780000000002</v>
          </cell>
          <cell r="D675">
            <v>3400</v>
          </cell>
          <cell r="E675">
            <v>5317</v>
          </cell>
          <cell r="F675">
            <v>997.28899999999999</v>
          </cell>
          <cell r="G675">
            <v>785.30200000000002</v>
          </cell>
          <cell r="H675">
            <v>1051.729</v>
          </cell>
          <cell r="I675">
            <v>2581.9690000000001</v>
          </cell>
          <cell r="M675">
            <v>427.447</v>
          </cell>
          <cell r="N675">
            <v>101.476</v>
          </cell>
          <cell r="O675">
            <v>263.64400000000001</v>
          </cell>
          <cell r="P675">
            <v>233.494</v>
          </cell>
          <cell r="Q675">
            <v>1796</v>
          </cell>
          <cell r="R675">
            <v>1770</v>
          </cell>
          <cell r="S675">
            <v>154.387</v>
          </cell>
        </row>
        <row r="676">
          <cell r="B676" t="str">
            <v>FY(2)</v>
          </cell>
          <cell r="C676">
            <v>2855.7330000000002</v>
          </cell>
          <cell r="D676">
            <v>3641</v>
          </cell>
          <cell r="E676">
            <v>5060</v>
          </cell>
          <cell r="F676">
            <v>956</v>
          </cell>
          <cell r="G676">
            <v>857.173</v>
          </cell>
          <cell r="H676">
            <v>1025.2950000000001</v>
          </cell>
          <cell r="I676">
            <v>2737.3780000000002</v>
          </cell>
          <cell r="M676">
            <v>333.15300000000002</v>
          </cell>
          <cell r="N676">
            <v>136.488</v>
          </cell>
          <cell r="O676">
            <v>286.48500000000001</v>
          </cell>
          <cell r="P676">
            <v>291.19200000000001</v>
          </cell>
          <cell r="Q676">
            <v>1575</v>
          </cell>
          <cell r="R676">
            <v>1250.625</v>
          </cell>
          <cell r="S676">
            <v>171.92500000000001</v>
          </cell>
        </row>
        <row r="677">
          <cell r="B677" t="str">
            <v>FY(1)</v>
          </cell>
          <cell r="C677">
            <v>2799</v>
          </cell>
          <cell r="D677">
            <v>3259</v>
          </cell>
          <cell r="E677">
            <v>4769</v>
          </cell>
          <cell r="F677">
            <v>900</v>
          </cell>
          <cell r="G677">
            <v>728.84100000000001</v>
          </cell>
          <cell r="H677">
            <v>881.05799999999999</v>
          </cell>
          <cell r="I677">
            <v>2619.3359999999998</v>
          </cell>
          <cell r="M677">
            <v>372.42200000000003</v>
          </cell>
          <cell r="N677">
            <v>126.36</v>
          </cell>
          <cell r="O677">
            <v>294.928</v>
          </cell>
          <cell r="P677">
            <v>318.49</v>
          </cell>
          <cell r="Q677">
            <v>1506</v>
          </cell>
          <cell r="R677">
            <v>1181.865</v>
          </cell>
          <cell r="S677">
            <v>169.69800000000001</v>
          </cell>
        </row>
        <row r="678">
          <cell r="B678" t="str">
            <v>FY0</v>
          </cell>
          <cell r="C678">
            <v>2923</v>
          </cell>
          <cell r="D678">
            <v>3024</v>
          </cell>
          <cell r="E678">
            <v>4615</v>
          </cell>
          <cell r="F678">
            <v>898</v>
          </cell>
          <cell r="G678">
            <v>649.19600000000003</v>
          </cell>
          <cell r="H678">
            <v>872.49800000000005</v>
          </cell>
          <cell r="I678">
            <v>2532.3000000000002</v>
          </cell>
          <cell r="M678">
            <v>310.64499999999998</v>
          </cell>
          <cell r="N678">
            <v>132.91499999999999</v>
          </cell>
          <cell r="O678">
            <v>326.45400000000001</v>
          </cell>
          <cell r="P678">
            <v>326.14800000000002</v>
          </cell>
          <cell r="Q678">
            <v>1477</v>
          </cell>
          <cell r="R678">
            <v>1036.5530000000001</v>
          </cell>
          <cell r="S678">
            <v>186.13</v>
          </cell>
        </row>
        <row r="679">
          <cell r="B679" t="str">
            <v>FY1</v>
          </cell>
          <cell r="C679">
            <v>3123.9971107842498</v>
          </cell>
          <cell r="D679">
            <v>3252.61217088179</v>
          </cell>
          <cell r="E679">
            <v>4721.2360639694298</v>
          </cell>
          <cell r="F679">
            <v>914.11790804880604</v>
          </cell>
          <cell r="G679">
            <v>669.12691891221596</v>
          </cell>
          <cell r="H679">
            <v>834.78757252013304</v>
          </cell>
          <cell r="I679">
            <v>2625.2613280778201</v>
          </cell>
          <cell r="M679">
            <v>258.51078977779201</v>
          </cell>
          <cell r="N679">
            <v>145.12914927307301</v>
          </cell>
          <cell r="O679">
            <v>328.46417729998097</v>
          </cell>
          <cell r="P679">
            <v>343.01583673532502</v>
          </cell>
          <cell r="Q679">
            <v>1540.78859277573</v>
          </cell>
          <cell r="R679">
            <v>1056.0597821485901</v>
          </cell>
          <cell r="S679">
            <v>206.454753751087</v>
          </cell>
        </row>
        <row r="680">
          <cell r="B680" t="str">
            <v>FY2</v>
          </cell>
          <cell r="C680">
            <v>3334.1784300244799</v>
          </cell>
          <cell r="D680">
            <v>3343.2669776559701</v>
          </cell>
          <cell r="E680">
            <v>4712.7406133039703</v>
          </cell>
          <cell r="F680">
            <v>971.95523796844395</v>
          </cell>
          <cell r="G680">
            <v>697.66154527773404</v>
          </cell>
          <cell r="H680">
            <v>872.19591833105596</v>
          </cell>
          <cell r="I680">
            <v>2780.3311198893398</v>
          </cell>
          <cell r="M680">
            <v>269.88188642931402</v>
          </cell>
          <cell r="N680">
            <v>164.92922352314</v>
          </cell>
          <cell r="O680">
            <v>353.36622884730599</v>
          </cell>
          <cell r="P680">
            <v>366.82580611037599</v>
          </cell>
          <cell r="Q680">
            <v>1462.23084953795</v>
          </cell>
          <cell r="R680">
            <v>1070.8595931551099</v>
          </cell>
          <cell r="S680">
            <v>230.21031860692699</v>
          </cell>
        </row>
        <row r="681">
          <cell r="B681" t="str">
            <v>FQ(3)</v>
          </cell>
          <cell r="C681">
            <v>2804</v>
          </cell>
          <cell r="D681">
            <v>3237</v>
          </cell>
          <cell r="E681">
            <v>5026</v>
          </cell>
          <cell r="F681">
            <v>1004</v>
          </cell>
          <cell r="G681">
            <v>779.47400000000005</v>
          </cell>
          <cell r="H681">
            <v>917.66099999999994</v>
          </cell>
          <cell r="I681">
            <v>2817.7</v>
          </cell>
          <cell r="M681">
            <v>274.74200000000002</v>
          </cell>
          <cell r="N681">
            <v>128.929</v>
          </cell>
          <cell r="O681">
            <v>279.233</v>
          </cell>
          <cell r="P681">
            <v>357.67</v>
          </cell>
          <cell r="Q681">
            <v>1393</v>
          </cell>
          <cell r="R681">
            <v>1213.425</v>
          </cell>
          <cell r="S681">
            <v>189.881</v>
          </cell>
        </row>
        <row r="682">
          <cell r="B682" t="str">
            <v>FQ(2)</v>
          </cell>
          <cell r="C682">
            <v>2724</v>
          </cell>
          <cell r="D682">
            <v>3258</v>
          </cell>
          <cell r="E682">
            <v>4634</v>
          </cell>
          <cell r="F682">
            <v>929</v>
          </cell>
          <cell r="G682">
            <v>670.26300000000003</v>
          </cell>
          <cell r="H682">
            <v>926.24400000000003</v>
          </cell>
          <cell r="I682">
            <v>3100.1750000000002</v>
          </cell>
          <cell r="M682">
            <v>325.596</v>
          </cell>
          <cell r="N682">
            <v>200.99299999999999</v>
          </cell>
          <cell r="O682">
            <v>352.81900000000002</v>
          </cell>
          <cell r="P682">
            <v>326.14800000000002</v>
          </cell>
          <cell r="Q682">
            <v>1473</v>
          </cell>
          <cell r="R682">
            <v>1091</v>
          </cell>
          <cell r="S682">
            <v>217.05</v>
          </cell>
        </row>
        <row r="683">
          <cell r="B683" t="str">
            <v>FQ(1)</v>
          </cell>
          <cell r="C683">
            <v>3807</v>
          </cell>
          <cell r="D683">
            <v>4018</v>
          </cell>
          <cell r="E683">
            <v>6406</v>
          </cell>
          <cell r="F683">
            <v>1193</v>
          </cell>
          <cell r="G683">
            <v>799.11</v>
          </cell>
          <cell r="H683">
            <v>1014.638</v>
          </cell>
          <cell r="I683">
            <v>3267.6669999999999</v>
          </cell>
          <cell r="M683">
            <v>347.18</v>
          </cell>
          <cell r="N683">
            <v>221.51599999999999</v>
          </cell>
          <cell r="O683">
            <v>425.41500000000002</v>
          </cell>
          <cell r="P683">
            <v>337.54500000000002</v>
          </cell>
          <cell r="Q683">
            <v>1999</v>
          </cell>
          <cell r="R683">
            <v>1426.4559999999999</v>
          </cell>
          <cell r="S683">
            <v>234.52099999999999</v>
          </cell>
        </row>
        <row r="684">
          <cell r="B684" t="str">
            <v>Last Reported Q</v>
          </cell>
          <cell r="C684">
            <v>2923</v>
          </cell>
          <cell r="D684">
            <v>3024</v>
          </cell>
          <cell r="E684">
            <v>4615</v>
          </cell>
          <cell r="F684">
            <v>898</v>
          </cell>
          <cell r="G684">
            <v>649.19600000000003</v>
          </cell>
          <cell r="H684">
            <v>872.49800000000005</v>
          </cell>
          <cell r="I684">
            <v>2532.3000000000002</v>
          </cell>
          <cell r="M684">
            <v>310.64499999999998</v>
          </cell>
          <cell r="N684">
            <v>132.91499999999999</v>
          </cell>
          <cell r="O684">
            <v>326.45400000000001</v>
          </cell>
          <cell r="P684">
            <v>269.2</v>
          </cell>
          <cell r="Q684">
            <v>1477</v>
          </cell>
          <cell r="R684">
            <v>1036.5530000000001</v>
          </cell>
          <cell r="S684">
            <v>186.13</v>
          </cell>
        </row>
        <row r="686">
          <cell r="B686" t="str">
            <v>Inventory/Store</v>
          </cell>
        </row>
        <row r="687">
          <cell r="B687" t="str">
            <v>FY(5)</v>
          </cell>
          <cell r="C687">
            <v>3.5922084870848709</v>
          </cell>
          <cell r="D687">
            <v>3.1016781836130308E-2</v>
          </cell>
          <cell r="E687">
            <v>1.9948849104859334E-2</v>
          </cell>
          <cell r="F687">
            <v>4.7511305654122094E-2</v>
          </cell>
          <cell r="G687">
            <v>0.20216946666666666</v>
          </cell>
          <cell r="H687">
            <v>5.5930767717825999E-2</v>
          </cell>
          <cell r="I687">
            <v>3.5904500213714365E-2</v>
          </cell>
          <cell r="M687">
            <v>3.7781395348837211E-2</v>
          </cell>
          <cell r="N687">
            <v>4.1062350195056017E-2</v>
          </cell>
          <cell r="O687">
            <v>3.7571019989669815E-2</v>
          </cell>
          <cell r="P687">
            <v>0.20698026111422885</v>
          </cell>
          <cell r="Q687">
            <v>4.9562841530054642E-2</v>
          </cell>
          <cell r="R687">
            <v>0.11075550383086025</v>
          </cell>
          <cell r="S687">
            <v>5.6573701081058525E-2</v>
          </cell>
        </row>
        <row r="688">
          <cell r="B688" t="str">
            <v>FY(4)</v>
          </cell>
          <cell r="C688">
            <v>3.5126656200941917</v>
          </cell>
          <cell r="D688">
            <v>3.1656804733727811E-2</v>
          </cell>
          <cell r="E688">
            <v>3.4904092071611256E-2</v>
          </cell>
          <cell r="F688">
            <v>4.8353759388988643E-2</v>
          </cell>
          <cell r="G688">
            <v>0.10762813333333333</v>
          </cell>
          <cell r="H688">
            <v>5.4165425255499743E-2</v>
          </cell>
          <cell r="I688">
            <v>3.3522649663478565E-2</v>
          </cell>
          <cell r="M688">
            <v>6.0171950207468877E-2</v>
          </cell>
          <cell r="N688">
            <v>3.872296948566975E-2</v>
          </cell>
          <cell r="O688">
            <v>4.4157061087856289E-2</v>
          </cell>
          <cell r="P688">
            <v>0.20381483495351646</v>
          </cell>
          <cell r="Q688">
            <v>4.4867724867724869E-2</v>
          </cell>
          <cell r="R688">
            <v>0.11247114731839783</v>
          </cell>
          <cell r="S688">
            <v>6.6417827118810877E-2</v>
          </cell>
        </row>
        <row r="689">
          <cell r="B689" t="str">
            <v>FY(3)</v>
          </cell>
          <cell r="C689">
            <v>3.5223743169398909</v>
          </cell>
          <cell r="D689">
            <v>3.2977691561590687E-2</v>
          </cell>
          <cell r="E689">
            <v>3.3996163682864448E-2</v>
          </cell>
          <cell r="F689">
            <v>4.9567047713717692E-2</v>
          </cell>
          <cell r="G689">
            <v>0.10470693333333334</v>
          </cell>
          <cell r="H689">
            <v>5.6417176268640706E-2</v>
          </cell>
          <cell r="I689">
            <v>3.4897603633070678E-2</v>
          </cell>
          <cell r="M689">
            <v>6.3864784102793962E-2</v>
          </cell>
          <cell r="N689">
            <v>3.8642802741812643E-2</v>
          </cell>
          <cell r="O689">
            <v>5.0964756870443342E-2</v>
          </cell>
          <cell r="P689">
            <v>0.22479120836803163</v>
          </cell>
          <cell r="Q689">
            <v>4.6051282051282054E-2</v>
          </cell>
          <cell r="R689">
            <v>0.17166133255746291</v>
          </cell>
          <cell r="S689">
            <v>6.1813201112411009E-2</v>
          </cell>
        </row>
        <row r="690">
          <cell r="B690" t="str">
            <v>FY(2)</v>
          </cell>
          <cell r="C690">
            <v>3.495389228886169</v>
          </cell>
          <cell r="D690">
            <v>3.4155722326454037E-2</v>
          </cell>
          <cell r="E690">
            <v>3.2653377301385511E-2</v>
          </cell>
          <cell r="F690">
            <v>4.7010228166797799E-2</v>
          </cell>
          <cell r="G690">
            <v>0.11369850112747049</v>
          </cell>
          <cell r="H690">
            <v>4.8592180094786733E-2</v>
          </cell>
          <cell r="I690">
            <v>3.5820177963883801E-2</v>
          </cell>
          <cell r="M690">
            <v>4.5407250919994549E-2</v>
          </cell>
          <cell r="N690">
            <v>4.6500187039173288E-2</v>
          </cell>
          <cell r="O690">
            <v>5.0173101886327197E-2</v>
          </cell>
          <cell r="P690">
            <v>0.23790759748392731</v>
          </cell>
          <cell r="Q690">
            <v>3.9772727272727272E-2</v>
          </cell>
          <cell r="R690">
            <v>0.12129036950829211</v>
          </cell>
          <cell r="S690">
            <v>5.9560927615761435E-2</v>
          </cell>
        </row>
        <row r="691">
          <cell r="B691" t="str">
            <v>FY(1)</v>
          </cell>
          <cell r="C691">
            <v>3.0129171151776104</v>
          </cell>
          <cell r="D691">
            <v>2.9844988318980185E-2</v>
          </cell>
          <cell r="E691">
            <v>3.0949244277731991E-2</v>
          </cell>
          <cell r="F691">
            <v>4.247486903582047E-2</v>
          </cell>
          <cell r="G691">
            <v>9.6932003937825792E-2</v>
          </cell>
          <cell r="H691">
            <v>3.9158133333333331E-2</v>
          </cell>
          <cell r="I691">
            <v>3.3125257655656222E-2</v>
          </cell>
          <cell r="M691">
            <v>4.7992525773195877E-2</v>
          </cell>
          <cell r="N691">
            <v>3.8470273828218472E-2</v>
          </cell>
          <cell r="O691">
            <v>4.6605596849767082E-2</v>
          </cell>
          <cell r="P691">
            <v>0.21723459014982835</v>
          </cell>
          <cell r="Q691">
            <v>3.8126582278481015E-2</v>
          </cell>
          <cell r="R691">
            <v>0.10844489507537872</v>
          </cell>
          <cell r="S691">
            <v>5.0495503885011242E-2</v>
          </cell>
        </row>
        <row r="692">
          <cell r="B692" t="str">
            <v>FY0</v>
          </cell>
          <cell r="C692">
            <v>2.9113545816733066</v>
          </cell>
          <cell r="D692">
            <v>2.7318021416815018E-2</v>
          </cell>
          <cell r="E692">
            <v>2.9889896373056994E-2</v>
          </cell>
          <cell r="F692">
            <v>4.0224865058567941E-2</v>
          </cell>
          <cell r="G692">
            <v>8.6639688600556014E-2</v>
          </cell>
          <cell r="H692">
            <v>3.6814261603375531E-2</v>
          </cell>
          <cell r="I692">
            <v>3.0962136448200613E-2</v>
          </cell>
          <cell r="M692">
            <v>3.9587740537785139E-2</v>
          </cell>
          <cell r="N692">
            <v>3.8769084837835754E-2</v>
          </cell>
          <cell r="O692">
            <v>5.0977699540230355E-2</v>
          </cell>
          <cell r="P692">
            <v>0.19290833500424975</v>
          </cell>
          <cell r="Q692">
            <v>3.8067010309278351E-2</v>
          </cell>
          <cell r="R692">
            <v>9.4809567364858696E-2</v>
          </cell>
          <cell r="S692">
            <v>4.995653032417971E-2</v>
          </cell>
        </row>
        <row r="693">
          <cell r="B693" t="str">
            <v>FY1</v>
          </cell>
          <cell r="C693">
            <v>2.9527382899662098</v>
          </cell>
          <cell r="D693">
            <v>2.9330300917219145E-2</v>
          </cell>
          <cell r="E693">
            <v>3.0470411154580945E-2</v>
          </cell>
          <cell r="F693">
            <v>3.9293073303284999E-2</v>
          </cell>
          <cell r="G693">
            <v>8.8609781426668283E-2</v>
          </cell>
          <cell r="H693">
            <v>3.3681465125949293E-2</v>
          </cell>
          <cell r="I693">
            <v>3.0667679893737684E-2</v>
          </cell>
          <cell r="M693">
            <v>3.1708217119172578E-2</v>
          </cell>
          <cell r="N693">
            <v>4.0112064796655827E-2</v>
          </cell>
          <cell r="O693">
            <v>5.2295895435949875E-2</v>
          </cell>
          <cell r="P693">
            <v>0.18614099688799227</v>
          </cell>
          <cell r="Q693">
            <v>4.0743780641510838E-2</v>
          </cell>
          <cell r="R693">
            <v>9.7251438577294805E-2</v>
          </cell>
          <cell r="S693">
            <v>4.9148885064112975E-2</v>
          </cell>
        </row>
        <row r="694">
          <cell r="B694" t="str">
            <v>FY2</v>
          </cell>
          <cell r="C694">
            <v>3.0645022334783825</v>
          </cell>
          <cell r="D694">
            <v>3.0012585207337347E-2</v>
          </cell>
          <cell r="E694">
            <v>3.0433400395724029E-2</v>
          </cell>
          <cell r="F694">
            <v>4.0138235427392123E-2</v>
          </cell>
          <cell r="G694">
            <v>8.8748465123669365E-2</v>
          </cell>
          <cell r="H694">
            <v>3.3440798480200512E-2</v>
          </cell>
          <cell r="I694">
            <v>3.1080543928809247E-2</v>
          </cell>
          <cell r="M694">
            <v>3.0938014934536497E-2</v>
          </cell>
          <cell r="N694">
            <v>4.1486904049822193E-2</v>
          </cell>
          <cell r="O694">
            <v>5.2958724188948397E-2</v>
          </cell>
          <cell r="P694">
            <v>0.18836190825466373</v>
          </cell>
          <cell r="Q694">
            <v>4.0043346162256285E-2</v>
          </cell>
          <cell r="R694">
            <v>9.7349787106169941E-2</v>
          </cell>
          <cell r="S694">
            <v>4.9120105458739363E-2</v>
          </cell>
        </row>
        <row r="696">
          <cell r="B696" t="str">
            <v>Inventory/Store Y/Y ∆</v>
          </cell>
        </row>
        <row r="697">
          <cell r="B697" t="str">
            <v>FY(5)</v>
          </cell>
        </row>
        <row r="698">
          <cell r="B698" t="str">
            <v>FY(4)</v>
          </cell>
          <cell r="C698">
            <v>-2.2143165486263161E-2</v>
          </cell>
          <cell r="D698">
            <v>2.0634729321014289E-2</v>
          </cell>
          <cell r="E698">
            <v>0.7496794871794874</v>
          </cell>
          <cell r="F698">
            <v>1.7731647726112465E-2</v>
          </cell>
          <cell r="G698">
            <v>-0.46763408388078387</v>
          </cell>
          <cell r="H698">
            <v>-3.1562993578642007E-2</v>
          </cell>
          <cell r="I698">
            <v>-6.6338496178983353E-2</v>
          </cell>
          <cell r="J698">
            <v>2.8623875014563111E-2</v>
          </cell>
          <cell r="M698">
            <v>0.59263440780571308</v>
          </cell>
          <cell r="N698">
            <v>-5.697142755525797E-2</v>
          </cell>
          <cell r="O698">
            <v>0.17529577583992428</v>
          </cell>
          <cell r="P698">
            <v>-1.5293372148977302E-2</v>
          </cell>
          <cell r="Q698">
            <v>-9.473057874380908E-2</v>
          </cell>
          <cell r="R698">
            <v>1.5490367775831793E-2</v>
          </cell>
          <cell r="S698">
            <v>0.17400533904698468</v>
          </cell>
          <cell r="T698">
            <v>0.11291864457434421</v>
          </cell>
        </row>
        <row r="699">
          <cell r="B699" t="str">
            <v>FY(3)</v>
          </cell>
          <cell r="C699">
            <v>2.7639114836779388E-3</v>
          </cell>
          <cell r="D699">
            <v>4.1725210076416053E-2</v>
          </cell>
          <cell r="E699">
            <v>-2.6012090126396936E-2</v>
          </cell>
          <cell r="F699">
            <v>2.5091913018977063E-2</v>
          </cell>
          <cell r="G699">
            <v>-2.7141602381533403E-2</v>
          </cell>
          <cell r="H699">
            <v>4.1571740691029202E-2</v>
          </cell>
          <cell r="I699">
            <v>4.1015670998407527E-2</v>
          </cell>
          <cell r="J699">
            <v>1.4144964822939634E-2</v>
          </cell>
          <cell r="M699">
            <v>6.1371351312238254E-2</v>
          </cell>
          <cell r="N699">
            <v>-2.0702633326397102E-3</v>
          </cell>
          <cell r="O699">
            <v>0.15417003792535566</v>
          </cell>
          <cell r="P699">
            <v>0.10291877634569246</v>
          </cell>
          <cell r="Q699">
            <v>2.6378809869376019E-2</v>
          </cell>
          <cell r="R699">
            <v>0.52626995145254329</v>
          </cell>
          <cell r="S699">
            <v>-6.9328163930490017E-2</v>
          </cell>
          <cell r="T699">
            <v>0.11424435709172513</v>
          </cell>
        </row>
        <row r="700">
          <cell r="B700" t="str">
            <v>FY(2)</v>
          </cell>
          <cell r="C700">
            <v>-7.661050650961343E-3</v>
          </cell>
          <cell r="D700">
            <v>3.5722050546297401E-2</v>
          </cell>
          <cell r="E700">
            <v>-3.9498173794114355E-2</v>
          </cell>
          <cell r="F700">
            <v>-5.1583050935113395E-2</v>
          </cell>
          <cell r="G700">
            <v>8.5873661923729472E-2</v>
          </cell>
          <cell r="H700">
            <v>-0.13869882704858927</v>
          </cell>
          <cell r="I700">
            <v>2.643660981749596E-2</v>
          </cell>
          <cell r="J700">
            <v>-1.2772682877322219E-2</v>
          </cell>
          <cell r="M700">
            <v>-0.28900956046592086</v>
          </cell>
          <cell r="N700">
            <v>0.2033337061459759</v>
          </cell>
          <cell r="O700">
            <v>-1.5533380962232335E-2</v>
          </cell>
          <cell r="P700">
            <v>5.8349208632845428E-2</v>
          </cell>
          <cell r="Q700">
            <v>-0.13633832759667952</v>
          </cell>
          <cell r="R700">
            <v>-0.29343220338983056</v>
          </cell>
          <cell r="S700">
            <v>-3.6436771694668968E-2</v>
          </cell>
          <cell r="T700">
            <v>-7.2723904190072991E-2</v>
          </cell>
        </row>
        <row r="701">
          <cell r="B701" t="str">
            <v>FY(1)</v>
          </cell>
          <cell r="C701">
            <v>-0.13803101231799064</v>
          </cell>
          <cell r="D701">
            <v>-0.1262082519079134</v>
          </cell>
          <cell r="E701">
            <v>-5.2188568671615254E-2</v>
          </cell>
          <cell r="F701">
            <v>-9.6476007622965487E-2</v>
          </cell>
          <cell r="G701">
            <v>-0.14746454019518973</v>
          </cell>
          <cell r="H701">
            <v>-0.19414742748834901</v>
          </cell>
          <cell r="I701">
            <v>-7.5234699027591945E-2</v>
          </cell>
          <cell r="J701">
            <v>-0.11853578674737364</v>
          </cell>
          <cell r="M701">
            <v>5.6935286783964534E-2</v>
          </cell>
          <cell r="N701">
            <v>-0.17268561101034174</v>
          </cell>
          <cell r="O701">
            <v>-7.1103936221497688E-2</v>
          </cell>
          <cell r="P701">
            <v>-8.689511202136202E-2</v>
          </cell>
          <cell r="Q701">
            <v>-4.1388788426763079E-2</v>
          </cell>
          <cell r="R701">
            <v>-0.10590679610416398</v>
          </cell>
          <cell r="S701">
            <v>-0.15220420657705191</v>
          </cell>
          <cell r="T701">
            <v>-8.1892737653887979E-2</v>
          </cell>
        </row>
        <row r="702">
          <cell r="B702" t="str">
            <v>FY0</v>
          </cell>
          <cell r="C702">
            <v>-3.3709036665058312E-2</v>
          </cell>
          <cell r="D702">
            <v>-8.4669723276725839E-2</v>
          </cell>
          <cell r="E702">
            <v>-3.4228554828952595E-2</v>
          </cell>
          <cell r="F702">
            <v>-5.2972593637782062E-2</v>
          </cell>
          <cell r="G702">
            <v>-0.1061807753801467</v>
          </cell>
          <cell r="H702">
            <v>-5.9856574622840331E-2</v>
          </cell>
          <cell r="I702">
            <v>-6.5301264368769374E-2</v>
          </cell>
          <cell r="J702">
            <v>-6.2416931825753599E-2</v>
          </cell>
          <cell r="M702">
            <v>-0.17512696195924871</v>
          </cell>
          <cell r="N702">
            <v>7.767322139467181E-3</v>
          </cell>
          <cell r="O702">
            <v>9.3810679102699357E-2</v>
          </cell>
          <cell r="P702">
            <v>-0.1119814994877224</v>
          </cell>
          <cell r="Q702">
            <v>-1.5624786079051489E-3</v>
          </cell>
          <cell r="R702">
            <v>-0.12573508140740297</v>
          </cell>
          <cell r="S702">
            <v>-1.0673694078959683E-2</v>
          </cell>
          <cell r="T702">
            <v>-4.6214530614153197E-2</v>
          </cell>
        </row>
        <row r="703">
          <cell r="B703" t="str">
            <v>FY1</v>
          </cell>
          <cell r="C703">
            <v>1.4214588821783947E-2</v>
          </cell>
          <cell r="D703">
            <v>7.3661246167905592E-2</v>
          </cell>
          <cell r="E703">
            <v>1.9421772972328943E-2</v>
          </cell>
          <cell r="F703">
            <v>-2.3164571314937654E-2</v>
          </cell>
          <cell r="G703">
            <v>2.2738918594169766E-2</v>
          </cell>
          <cell r="H703">
            <v>-8.5097360125755972E-2</v>
          </cell>
          <cell r="I703">
            <v>-9.5102143534426808E-3</v>
          </cell>
          <cell r="J703">
            <v>1.7520543945788486E-3</v>
          </cell>
          <cell r="M703">
            <v>-0.19903948322314147</v>
          </cell>
          <cell r="N703">
            <v>3.464048647105078E-2</v>
          </cell>
          <cell r="O703">
            <v>2.5858285242535084E-2</v>
          </cell>
          <cell r="P703">
            <v>-3.5080589525115169E-2</v>
          </cell>
          <cell r="Q703">
            <v>7.0317324909018541E-2</v>
          </cell>
          <cell r="R703">
            <v>2.5755535863158041E-2</v>
          </cell>
          <cell r="S703">
            <v>-1.6166960652105655E-2</v>
          </cell>
          <cell r="T703">
            <v>-1.3387914416371407E-2</v>
          </cell>
        </row>
        <row r="704">
          <cell r="B704" t="str">
            <v>FY2</v>
          </cell>
          <cell r="C704">
            <v>3.7850948013903318E-2</v>
          </cell>
          <cell r="D704">
            <v>2.3262096493447348E-2</v>
          </cell>
          <cell r="E704">
            <v>-1.214645863134356E-3</v>
          </cell>
          <cell r="F704">
            <v>2.1509188593717532E-2</v>
          </cell>
          <cell r="G704">
            <v>1.5651059597281414E-3</v>
          </cell>
          <cell r="H704">
            <v>-7.1453734227067134E-3</v>
          </cell>
          <cell r="I704">
            <v>1.3462512863774423E-2</v>
          </cell>
          <cell r="J704">
            <v>1.2755690376961384E-2</v>
          </cell>
          <cell r="M704">
            <v>-2.4290302470849845E-2</v>
          </cell>
          <cell r="N704">
            <v>3.427495592999219E-2</v>
          </cell>
          <cell r="O704">
            <v>1.2674584639445152E-2</v>
          </cell>
          <cell r="P704">
            <v>1.1931339166555865E-2</v>
          </cell>
          <cell r="Q704">
            <v>-1.7191199938400681E-2</v>
          </cell>
          <cell r="R704">
            <v>1.0112809672935263E-3</v>
          </cell>
          <cell r="S704">
            <v>-5.8555967924944774E-4</v>
          </cell>
          <cell r="T704">
            <v>2.5464426592552514E-3</v>
          </cell>
        </row>
        <row r="706">
          <cell r="B706" t="str">
            <v>Sales Y/Y ∆ - Inventory Y/Y ∆</v>
          </cell>
        </row>
        <row r="707">
          <cell r="B707" t="str">
            <v>FY(5)</v>
          </cell>
        </row>
        <row r="708">
          <cell r="B708" t="str">
            <v>FY(4)</v>
          </cell>
          <cell r="C708">
            <v>1.4747710638552139E-2</v>
          </cell>
          <cell r="D708">
            <v>8.3652706789857124E-3</v>
          </cell>
          <cell r="E708">
            <v>-0.73667948717948739</v>
          </cell>
          <cell r="F708">
            <v>4.2432082369352635E-2</v>
          </cell>
          <cell r="G708">
            <v>0.5076340838807839</v>
          </cell>
          <cell r="H708">
            <v>9.1562993578642005E-2</v>
          </cell>
          <cell r="I708">
            <v>8.6338496178983357E-2</v>
          </cell>
          <cell r="J708">
            <v>2.0573071636874668E-3</v>
          </cell>
          <cell r="M708">
            <v>-0.33263440780571307</v>
          </cell>
          <cell r="N708">
            <v>9.1971427555257973E-2</v>
          </cell>
          <cell r="O708">
            <v>-2.0295775839924285E-2</v>
          </cell>
          <cell r="P708">
            <v>0.1972933721489773</v>
          </cell>
          <cell r="Q708">
            <v>4.4730578743809077E-2</v>
          </cell>
          <cell r="R708">
            <v>-2.5490367775831795E-2</v>
          </cell>
          <cell r="S708">
            <v>-6.5005339046984675E-2</v>
          </cell>
          <cell r="T708">
            <v>-1.5632930288629925E-2</v>
          </cell>
        </row>
        <row r="709">
          <cell r="B709" t="str">
            <v>FY(3)</v>
          </cell>
          <cell r="C709">
            <v>5.6236088516322058E-2</v>
          </cell>
          <cell r="D709">
            <v>-4.7252100764160546E-3</v>
          </cell>
          <cell r="E709">
            <v>7.0012090126396934E-2</v>
          </cell>
          <cell r="F709">
            <v>4.9908086981022934E-2</v>
          </cell>
          <cell r="G709">
            <v>7.6141602381533405E-2</v>
          </cell>
          <cell r="H709">
            <v>-1.5717406910292012E-3</v>
          </cell>
          <cell r="I709">
            <v>-1.0156709984075266E-3</v>
          </cell>
          <cell r="J709">
            <v>3.4997892319917505E-2</v>
          </cell>
          <cell r="M709">
            <v>-5.1371351312238252E-2</v>
          </cell>
          <cell r="N709">
            <v>2.2145462454071209E-2</v>
          </cell>
          <cell r="O709">
            <v>-3.4170037925355667E-2</v>
          </cell>
          <cell r="P709">
            <v>0.10408122365430753</v>
          </cell>
          <cell r="Q709">
            <v>-9.6378809869376025E-2</v>
          </cell>
          <cell r="R709">
            <v>-0.45626995145254329</v>
          </cell>
          <cell r="S709">
            <v>7.328163930490017E-3</v>
          </cell>
          <cell r="T709">
            <v>-7.209075721723493E-2</v>
          </cell>
        </row>
        <row r="710">
          <cell r="B710" t="str">
            <v>FY(2)</v>
          </cell>
          <cell r="C710">
            <v>-3.3775957382118672E-4</v>
          </cell>
          <cell r="D710">
            <v>-4.6722050546297397E-2</v>
          </cell>
          <cell r="E710">
            <v>2.6498173794114357E-2</v>
          </cell>
          <cell r="F710">
            <v>9.0583050935113402E-2</v>
          </cell>
          <cell r="G710">
            <v>3.2021143403546531E-2</v>
          </cell>
          <cell r="H710">
            <v>0.14869882704858928</v>
          </cell>
          <cell r="I710">
            <v>1.3563390182504041E-2</v>
          </cell>
          <cell r="J710">
            <v>3.7757825034821287E-2</v>
          </cell>
          <cell r="M710">
            <v>0.27900956046592085</v>
          </cell>
          <cell r="N710">
            <v>-0.1703337061459759</v>
          </cell>
          <cell r="O710">
            <v>2.5533380962232337E-2</v>
          </cell>
          <cell r="P710">
            <v>0.16465079136715458</v>
          </cell>
          <cell r="Q710">
            <v>9.6338327596679513E-2</v>
          </cell>
          <cell r="R710">
            <v>0.27343220338983054</v>
          </cell>
          <cell r="S710">
            <v>9.1436771694668961E-2</v>
          </cell>
          <cell r="T710">
            <v>0.10858104704721584</v>
          </cell>
        </row>
        <row r="711">
          <cell r="B711" t="str">
            <v>FY(1)</v>
          </cell>
          <cell r="C711">
            <v>6.9031012317990637E-2</v>
          </cell>
          <cell r="D711">
            <v>4.1208251907913399E-2</v>
          </cell>
          <cell r="E711">
            <v>7.1885686716152558E-3</v>
          </cell>
          <cell r="F711">
            <v>6.0835338562304914E-3</v>
          </cell>
          <cell r="G711">
            <v>8.6464540195189732E-2</v>
          </cell>
          <cell r="H711">
            <v>0.214147427488349</v>
          </cell>
          <cell r="I711">
            <v>6.8032782451344309E-2</v>
          </cell>
          <cell r="J711">
            <v>7.0308016698376122E-2</v>
          </cell>
          <cell r="M711">
            <v>-0.18693528678396454</v>
          </cell>
          <cell r="N711">
            <v>0.25268561101034176</v>
          </cell>
          <cell r="O711">
            <v>-2.8635683166373813E-2</v>
          </cell>
          <cell r="P711">
            <v>0.18489511202136202</v>
          </cell>
          <cell r="Q711">
            <v>-7.8611211573236917E-2</v>
          </cell>
          <cell r="R711">
            <v>2.1599926344653575E-2</v>
          </cell>
          <cell r="S711">
            <v>0.23020420657705193</v>
          </cell>
          <cell r="T711">
            <v>5.6457524918547719E-2</v>
          </cell>
        </row>
        <row r="712">
          <cell r="B712" t="str">
            <v>FY0</v>
          </cell>
          <cell r="C712">
            <v>4.0263149723217484E-2</v>
          </cell>
          <cell r="D712">
            <v>2.1590798269081543E-2</v>
          </cell>
          <cell r="E712">
            <v>-1.8771445171047403E-2</v>
          </cell>
          <cell r="F712">
            <v>1.8747962976605061E-2</v>
          </cell>
          <cell r="G712">
            <v>-4.0819224619853295E-2</v>
          </cell>
          <cell r="H712">
            <v>0.12128599911234253</v>
          </cell>
          <cell r="I712">
            <v>0.12204341768520897</v>
          </cell>
          <cell r="J712">
            <v>3.7762951139364988E-2</v>
          </cell>
          <cell r="M712">
            <v>-5.4873038040751304E-2</v>
          </cell>
          <cell r="N712">
            <v>9.4532305008133824E-2</v>
          </cell>
          <cell r="O712">
            <v>-0.13003070225556915</v>
          </cell>
          <cell r="P712">
            <v>4.3981499487722397E-2</v>
          </cell>
          <cell r="Q712">
            <v>-2.8376240839865553E-2</v>
          </cell>
          <cell r="R712">
            <v>8.7525402527508067E-2</v>
          </cell>
          <cell r="S712">
            <v>-1.2583025527034417E-2</v>
          </cell>
          <cell r="T712">
            <v>2.5171480020552993E-5</v>
          </cell>
        </row>
        <row r="713">
          <cell r="B713" t="str">
            <v>FY1</v>
          </cell>
          <cell r="C713">
            <v>3.8189580671070554E-2</v>
          </cell>
          <cell r="D713">
            <v>-5.5057896267013295E-2</v>
          </cell>
          <cell r="E713">
            <v>2.4258000180453758E-2</v>
          </cell>
          <cell r="F713">
            <v>6.2896131621855561E-2</v>
          </cell>
          <cell r="G713">
            <v>1.9853019004442134E-2</v>
          </cell>
          <cell r="H713">
            <v>0.13802114106915758</v>
          </cell>
          <cell r="I713">
            <v>4.8249392988002279E-2</v>
          </cell>
          <cell r="J713">
            <v>3.9487052752566934E-2</v>
          </cell>
          <cell r="M713">
            <v>0.15522199481682566</v>
          </cell>
          <cell r="N713">
            <v>1.6591947791695233E-3</v>
          </cell>
          <cell r="O713">
            <v>7.6484708422973127E-3</v>
          </cell>
          <cell r="P713">
            <v>5.6873403718557966E-2</v>
          </cell>
          <cell r="Q713">
            <v>-6.3855583503323071E-2</v>
          </cell>
          <cell r="R713">
            <v>4.4144378659531358E-2</v>
          </cell>
          <cell r="S713">
            <v>8.181051279234966E-2</v>
          </cell>
          <cell r="T713">
            <v>4.0500338872201204E-2</v>
          </cell>
        </row>
        <row r="714">
          <cell r="B714" t="str">
            <v>FY2</v>
          </cell>
          <cell r="C714">
            <v>2.1490519860966825E-3</v>
          </cell>
          <cell r="D714">
            <v>-3.262096493447348E-3</v>
          </cell>
          <cell r="E714">
            <v>1.1214645863134356E-2</v>
          </cell>
          <cell r="F714">
            <v>-1.5091885937175316E-3</v>
          </cell>
          <cell r="G714">
            <v>1.8434894040271859E-2</v>
          </cell>
          <cell r="H714">
            <v>2.7145373422706714E-2</v>
          </cell>
          <cell r="I714">
            <v>6.5374871362255775E-3</v>
          </cell>
          <cell r="J714">
            <v>8.6728810516100447E-3</v>
          </cell>
          <cell r="M714">
            <v>3.4740861372141343E-2</v>
          </cell>
          <cell r="N714">
            <v>-4.2749559299921913E-3</v>
          </cell>
          <cell r="O714">
            <v>2.7325415360554849E-2</v>
          </cell>
          <cell r="P714">
            <v>2.8068660833444135E-2</v>
          </cell>
          <cell r="Q714">
            <v>-1.3816588614358919E-2</v>
          </cell>
          <cell r="R714">
            <v>1.7198619622447973E-2</v>
          </cell>
          <cell r="S714">
            <v>5.1605746186286147E-2</v>
          </cell>
          <cell r="T714">
            <v>2.0121108404360481E-2</v>
          </cell>
        </row>
        <row r="716">
          <cell r="B716" t="str">
            <v>SG&amp;A per Sq Foot</v>
          </cell>
          <cell r="M716">
            <v>2008</v>
          </cell>
          <cell r="N716">
            <v>2009</v>
          </cell>
          <cell r="O716" t="str">
            <v>2010E</v>
          </cell>
          <cell r="Z716">
            <v>2008</v>
          </cell>
          <cell r="AA716">
            <v>2009</v>
          </cell>
          <cell r="AB716" t="str">
            <v>2010E</v>
          </cell>
        </row>
        <row r="717">
          <cell r="B717" t="str">
            <v>FY(2)</v>
          </cell>
          <cell r="C717">
            <v>52.896736253201503</v>
          </cell>
          <cell r="D717">
            <v>54.68105065666041</v>
          </cell>
          <cell r="E717">
            <v>55.200986054555663</v>
          </cell>
          <cell r="F717">
            <v>116.0395357985838</v>
          </cell>
          <cell r="G717">
            <v>107.16633806833863</v>
          </cell>
          <cell r="H717">
            <v>44.355497630331755</v>
          </cell>
          <cell r="I717">
            <v>39.693848600778857</v>
          </cell>
          <cell r="K717">
            <v>55.197959773596573</v>
          </cell>
          <cell r="M717">
            <v>234.55881150333923</v>
          </cell>
          <cell r="N717">
            <v>117.81253428199783</v>
          </cell>
          <cell r="O717">
            <v>125.25192944504418</v>
          </cell>
          <cell r="P717">
            <v>841.18741375408399</v>
          </cell>
          <cell r="Q717">
            <v>109.72222222222223</v>
          </cell>
          <cell r="R717">
            <v>252.39239646978953</v>
          </cell>
          <cell r="S717">
            <v>121.88537141352623</v>
          </cell>
          <cell r="U717">
            <v>158.71709387982401</v>
          </cell>
        </row>
        <row r="718">
          <cell r="B718" t="str">
            <v>FY(1)</v>
          </cell>
          <cell r="C718">
            <v>52.485891828461703</v>
          </cell>
          <cell r="D718">
            <v>53.160526907542184</v>
          </cell>
          <cell r="E718">
            <v>54.889643132953907</v>
          </cell>
          <cell r="F718">
            <v>112.69838123554675</v>
          </cell>
          <cell r="G718">
            <v>101.53403110118391</v>
          </cell>
          <cell r="H718">
            <v>46.163326249732442</v>
          </cell>
          <cell r="I718">
            <v>39.743768451555518</v>
          </cell>
          <cell r="K718">
            <v>54.489639577494366</v>
          </cell>
          <cell r="M718">
            <v>237.13353748243429</v>
          </cell>
          <cell r="N718">
            <v>123.57098885896485</v>
          </cell>
          <cell r="O718">
            <v>115.9958326004987</v>
          </cell>
          <cell r="P718">
            <v>837.50417641254148</v>
          </cell>
          <cell r="Q718">
            <v>98.708860759493675</v>
          </cell>
          <cell r="R718">
            <v>210.0189020305919</v>
          </cell>
          <cell r="S718">
            <v>123.20304255242671</v>
          </cell>
          <cell r="U718">
            <v>148.90036849942348</v>
          </cell>
        </row>
        <row r="719">
          <cell r="B719" t="str">
            <v>FY0</v>
          </cell>
          <cell r="C719">
            <v>52.859839787744271</v>
          </cell>
          <cell r="D719">
            <v>56.388587858386025</v>
          </cell>
          <cell r="E719">
            <v>52.215025906735754</v>
          </cell>
          <cell r="F719">
            <v>110.41680664740532</v>
          </cell>
          <cell r="G719">
            <v>88.533175162187149</v>
          </cell>
          <cell r="H719">
            <v>47.713628691983125</v>
          </cell>
          <cell r="I719">
            <v>40.702609626197031</v>
          </cell>
          <cell r="K719">
            <v>54.378279420653108</v>
          </cell>
          <cell r="M719">
            <v>222.50783739008537</v>
          </cell>
          <cell r="N719">
            <v>135.2132904908913</v>
          </cell>
          <cell r="O719">
            <v>118.09379313317174</v>
          </cell>
          <cell r="P719">
            <v>782.12610361811073</v>
          </cell>
          <cell r="Q719">
            <v>100.85051546391753</v>
          </cell>
          <cell r="R719">
            <v>198.15265709320406</v>
          </cell>
          <cell r="S719">
            <v>120.01618254064644</v>
          </cell>
          <cell r="U719">
            <v>148.49535433222312</v>
          </cell>
        </row>
        <row r="720">
          <cell r="B720" t="str">
            <v>FY1</v>
          </cell>
          <cell r="C720">
            <v>54.660697029543407</v>
          </cell>
          <cell r="D720">
            <v>56.330481381458142</v>
          </cell>
          <cell r="E720">
            <v>53.23223728048459</v>
          </cell>
          <cell r="F720">
            <v>111.3435621311129</v>
          </cell>
          <cell r="G720">
            <v>92.135174686125254</v>
          </cell>
          <cell r="H720">
            <v>48.868265359069312</v>
          </cell>
          <cell r="I720">
            <v>41.484965361504422</v>
          </cell>
          <cell r="K720">
            <v>55.26394523108582</v>
          </cell>
          <cell r="M720">
            <v>219.90137404078646</v>
          </cell>
          <cell r="N720">
            <v>139.38463296672333</v>
          </cell>
          <cell r="O720">
            <v>116.01069892276183</v>
          </cell>
          <cell r="P720">
            <v>771.48163062645665</v>
          </cell>
          <cell r="Q720">
            <v>105.38036877790195</v>
          </cell>
          <cell r="R720">
            <v>204.95568413596428</v>
          </cell>
          <cell r="S720">
            <v>120.49203233387102</v>
          </cell>
          <cell r="U720">
            <v>153.41770204011613</v>
          </cell>
        </row>
        <row r="721">
          <cell r="B721" t="str">
            <v>FY2</v>
          </cell>
          <cell r="C721">
            <v>56.368533000120259</v>
          </cell>
          <cell r="D721">
            <v>57.202401810027098</v>
          </cell>
          <cell r="E721">
            <v>53.550962635377644</v>
          </cell>
          <cell r="F721">
            <v>110.53303481797337</v>
          </cell>
          <cell r="G721">
            <v>93.691852969544541</v>
          </cell>
          <cell r="H721">
            <v>48.564815386543323</v>
          </cell>
          <cell r="I721">
            <v>42.183260739804915</v>
          </cell>
          <cell r="K721">
            <v>55.944695325662821</v>
          </cell>
          <cell r="M721">
            <v>218.51730193407133</v>
          </cell>
          <cell r="N721">
            <v>149.42657176224444</v>
          </cell>
          <cell r="O721">
            <v>118.29002202803564</v>
          </cell>
          <cell r="P721">
            <v>776.86874480702522</v>
          </cell>
          <cell r="Q721">
            <v>104.50149290532764</v>
          </cell>
          <cell r="R721">
            <v>208.31603147252716</v>
          </cell>
          <cell r="S721">
            <v>120.40219193875612</v>
          </cell>
          <cell r="U721">
            <v>156.06577308599788</v>
          </cell>
        </row>
        <row r="722">
          <cell r="B722" t="str">
            <v>FQ(3)</v>
          </cell>
          <cell r="C722">
            <v>12.258278483596103</v>
          </cell>
          <cell r="D722">
            <v>13.315728693249119</v>
          </cell>
          <cell r="E722">
            <v>12.66839378238342</v>
          </cell>
          <cell r="F722">
            <v>24.143877802414387</v>
          </cell>
          <cell r="G722">
            <v>20.743740500463378</v>
          </cell>
          <cell r="H722">
            <v>11.478059071729957</v>
          </cell>
          <cell r="I722">
            <v>8.9874561194191038</v>
          </cell>
          <cell r="M722">
            <v>53.097362049190771</v>
          </cell>
          <cell r="N722">
            <v>27.460815266470188</v>
          </cell>
          <cell r="O722">
            <v>24.780683022533758</v>
          </cell>
          <cell r="P722">
            <v>193.01066015097985</v>
          </cell>
          <cell r="Q722">
            <v>22.835051546391753</v>
          </cell>
          <cell r="R722">
            <v>44.191347297173692</v>
          </cell>
          <cell r="S722">
            <v>26.084056302344624</v>
          </cell>
        </row>
        <row r="723">
          <cell r="B723" t="str">
            <v>FQ(2)</v>
          </cell>
          <cell r="C723">
            <v>12.322057247818766</v>
          </cell>
          <cell r="D723">
            <v>13.189256371874976</v>
          </cell>
          <cell r="E723">
            <v>12.053108808290155</v>
          </cell>
          <cell r="F723">
            <v>27.234652511814375</v>
          </cell>
          <cell r="G723">
            <v>20.677946246524549</v>
          </cell>
          <cell r="H723">
            <v>12.074177215189874</v>
          </cell>
          <cell r="I723">
            <v>9.6699485154235703</v>
          </cell>
          <cell r="M723">
            <v>53.391359755320508</v>
          </cell>
          <cell r="N723">
            <v>29.367257266997552</v>
          </cell>
          <cell r="O723">
            <v>26.105353037910426</v>
          </cell>
          <cell r="P723">
            <v>193.78549218691313</v>
          </cell>
          <cell r="Q723">
            <v>23.530927835051546</v>
          </cell>
          <cell r="R723">
            <v>47.504436110857036</v>
          </cell>
          <cell r="S723">
            <v>29.161215385602134</v>
          </cell>
        </row>
        <row r="724">
          <cell r="B724" t="str">
            <v>FQ(1)</v>
          </cell>
          <cell r="C724">
            <v>13.100158171335272</v>
          </cell>
          <cell r="D724">
            <v>14.327507264242268</v>
          </cell>
          <cell r="E724">
            <v>13.167098445595855</v>
          </cell>
          <cell r="F724">
            <v>26.025218929875248</v>
          </cell>
          <cell r="G724">
            <v>21.69368674698794</v>
          </cell>
          <cell r="H724">
            <v>12.089071729957807</v>
          </cell>
          <cell r="I724">
            <v>10.565213133704855</v>
          </cell>
          <cell r="M724">
            <v>55.719255766534978</v>
          </cell>
          <cell r="N724">
            <v>34.195782492935429</v>
          </cell>
          <cell r="O724">
            <v>30.180083602715179</v>
          </cell>
          <cell r="P724">
            <v>193.37145980129992</v>
          </cell>
          <cell r="Q724">
            <v>26.391752577319586</v>
          </cell>
          <cell r="R724">
            <v>46.086435562059819</v>
          </cell>
          <cell r="S724">
            <v>30.684898954346391</v>
          </cell>
        </row>
        <row r="725">
          <cell r="B725" t="str">
            <v>Last Reported Q</v>
          </cell>
          <cell r="C725">
            <v>52.859839787744271</v>
          </cell>
          <cell r="D725">
            <v>56.388587858386025</v>
          </cell>
          <cell r="E725">
            <v>52.215025906735754</v>
          </cell>
          <cell r="F725">
            <v>110.41680664740532</v>
          </cell>
          <cell r="G725">
            <v>88.533175162187149</v>
          </cell>
          <cell r="H725">
            <v>47.713628691983125</v>
          </cell>
          <cell r="I725">
            <v>40.702609626197031</v>
          </cell>
          <cell r="M725">
            <v>222.50783739008537</v>
          </cell>
          <cell r="N725">
            <v>135.2132904908913</v>
          </cell>
          <cell r="O725">
            <v>118.09379313317174</v>
          </cell>
          <cell r="P725">
            <v>230.7355167035451</v>
          </cell>
          <cell r="Q725">
            <v>100.85051546391753</v>
          </cell>
          <cell r="R725">
            <v>198.15265709320406</v>
          </cell>
          <cell r="S725">
            <v>120.01618254064644</v>
          </cell>
        </row>
        <row r="727">
          <cell r="A727" t="str">
            <v>mstag:tradeAndOtherPayables</v>
          </cell>
        </row>
        <row r="728">
          <cell r="A728" t="str">
            <v>mstag:tradePayablesCurrent</v>
          </cell>
        </row>
        <row r="729">
          <cell r="B729" t="str">
            <v>Accounts Payable</v>
          </cell>
        </row>
        <row r="730">
          <cell r="B730" t="str">
            <v>FY(5)</v>
          </cell>
          <cell r="C730">
            <v>704.65499999999997</v>
          </cell>
          <cell r="D730">
            <v>2770</v>
          </cell>
          <cell r="E730">
            <v>2707</v>
          </cell>
          <cell r="F730">
            <v>482.39400000000001</v>
          </cell>
          <cell r="G730">
            <v>378.39400000000001</v>
          </cell>
          <cell r="H730">
            <v>711.56100000000004</v>
          </cell>
          <cell r="I730">
            <v>1276.0350000000001</v>
          </cell>
          <cell r="J730">
            <v>1290.0055714285716</v>
          </cell>
          <cell r="M730">
            <v>137.33699999999999</v>
          </cell>
          <cell r="N730">
            <v>44.857999999999997</v>
          </cell>
          <cell r="O730">
            <v>108.929</v>
          </cell>
          <cell r="P730">
            <v>44.771000000000001</v>
          </cell>
          <cell r="Q730">
            <v>1240</v>
          </cell>
          <cell r="R730">
            <v>496</v>
          </cell>
          <cell r="S730">
            <v>39.101999999999997</v>
          </cell>
          <cell r="T730">
            <v>301.57099999999997</v>
          </cell>
        </row>
        <row r="731">
          <cell r="B731" t="str">
            <v>FY(4)</v>
          </cell>
          <cell r="C731">
            <v>829.971</v>
          </cell>
          <cell r="D731">
            <v>2733</v>
          </cell>
          <cell r="E731">
            <v>5246</v>
          </cell>
          <cell r="F731">
            <v>540.01900000000001</v>
          </cell>
          <cell r="G731">
            <v>190.06399999999999</v>
          </cell>
          <cell r="H731">
            <v>803.39700000000005</v>
          </cell>
          <cell r="I731">
            <v>1313.472</v>
          </cell>
          <cell r="J731">
            <v>1665.1318571428571</v>
          </cell>
          <cell r="M731">
            <v>145.31299999999999</v>
          </cell>
          <cell r="N731">
            <v>57.164999999999999</v>
          </cell>
          <cell r="O731">
            <v>139.197</v>
          </cell>
          <cell r="P731">
            <v>64.984999999999999</v>
          </cell>
          <cell r="Q731">
            <v>1132</v>
          </cell>
          <cell r="R731">
            <v>534.96</v>
          </cell>
          <cell r="S731">
            <v>41.290999999999997</v>
          </cell>
          <cell r="T731">
            <v>302.13014285714286</v>
          </cell>
        </row>
        <row r="732">
          <cell r="B732" t="str">
            <v>FY(3)</v>
          </cell>
          <cell r="C732">
            <v>934.37599999999998</v>
          </cell>
          <cell r="D732">
            <v>3058</v>
          </cell>
          <cell r="E732">
            <v>4604</v>
          </cell>
          <cell r="F732">
            <v>576.79600000000005</v>
          </cell>
          <cell r="G732">
            <v>231.03800000000001</v>
          </cell>
          <cell r="H732">
            <v>1049.68</v>
          </cell>
          <cell r="I732">
            <v>1372.3520000000001</v>
          </cell>
          <cell r="J732">
            <v>1689.4631428571431</v>
          </cell>
          <cell r="M732">
            <v>128.31</v>
          </cell>
          <cell r="N732">
            <v>63.917999999999999</v>
          </cell>
          <cell r="O732">
            <v>171.15</v>
          </cell>
          <cell r="P732">
            <v>79.819000000000003</v>
          </cell>
          <cell r="Q732">
            <v>1109</v>
          </cell>
          <cell r="R732">
            <v>593</v>
          </cell>
          <cell r="S732">
            <v>58</v>
          </cell>
          <cell r="T732">
            <v>314.7424285714286</v>
          </cell>
        </row>
        <row r="733">
          <cell r="B733" t="str">
            <v>FY(2)</v>
          </cell>
          <cell r="C733">
            <v>835.98500000000001</v>
          </cell>
          <cell r="D733">
            <v>3135</v>
          </cell>
          <cell r="E733">
            <v>4127</v>
          </cell>
          <cell r="F733">
            <v>556</v>
          </cell>
          <cell r="G733">
            <v>176.84399999999999</v>
          </cell>
          <cell r="H733">
            <v>988.78700000000003</v>
          </cell>
          <cell r="I733">
            <v>1516.7539999999999</v>
          </cell>
          <cell r="J733">
            <v>1619.4814285714285</v>
          </cell>
          <cell r="M733">
            <v>151.798</v>
          </cell>
          <cell r="N733">
            <v>99.369</v>
          </cell>
          <cell r="O733">
            <v>157.928</v>
          </cell>
          <cell r="P733">
            <v>109.309</v>
          </cell>
          <cell r="Q733">
            <v>1006</v>
          </cell>
          <cell r="R733">
            <v>516.76099999999997</v>
          </cell>
          <cell r="S733">
            <v>74.02</v>
          </cell>
          <cell r="T733">
            <v>302.16928571428571</v>
          </cell>
        </row>
        <row r="734">
          <cell r="B734" t="str">
            <v>FY(1)</v>
          </cell>
          <cell r="C734">
            <v>881</v>
          </cell>
          <cell r="D734">
            <v>2794</v>
          </cell>
          <cell r="E734">
            <v>3910</v>
          </cell>
          <cell r="F734">
            <v>563</v>
          </cell>
          <cell r="G734">
            <v>90.207999999999998</v>
          </cell>
          <cell r="H734">
            <v>946.13900000000001</v>
          </cell>
          <cell r="I734">
            <v>1276.098</v>
          </cell>
          <cell r="J734">
            <v>1494.3492857142858</v>
          </cell>
          <cell r="M734">
            <v>149.75299999999999</v>
          </cell>
          <cell r="N734">
            <v>77.247</v>
          </cell>
          <cell r="O734">
            <v>152.06800000000001</v>
          </cell>
          <cell r="P734">
            <v>134.726</v>
          </cell>
          <cell r="Q734">
            <v>975</v>
          </cell>
          <cell r="R734">
            <v>493.90300000000002</v>
          </cell>
          <cell r="S734">
            <v>62.954999999999998</v>
          </cell>
          <cell r="T734">
            <v>292.23599999999999</v>
          </cell>
        </row>
        <row r="735">
          <cell r="B735" t="str">
            <v>FY0</v>
          </cell>
          <cell r="C735">
            <v>1188</v>
          </cell>
          <cell r="D735">
            <v>2856</v>
          </cell>
          <cell r="E735">
            <v>3938</v>
          </cell>
          <cell r="F735">
            <v>726</v>
          </cell>
          <cell r="G735">
            <v>101.739</v>
          </cell>
          <cell r="H735">
            <v>1136.115</v>
          </cell>
          <cell r="I735">
            <v>1507.9</v>
          </cell>
          <cell r="J735">
            <v>1636.2505714285712</v>
          </cell>
          <cell r="M735">
            <v>150.13399999999999</v>
          </cell>
          <cell r="N735">
            <v>90.85</v>
          </cell>
          <cell r="O735">
            <v>158.52600000000001</v>
          </cell>
          <cell r="P735">
            <v>103.029</v>
          </cell>
          <cell r="Q735">
            <v>1027</v>
          </cell>
          <cell r="R735">
            <v>488.45499999999998</v>
          </cell>
          <cell r="S735">
            <v>78.040999999999997</v>
          </cell>
          <cell r="T735">
            <v>299.43357142857138</v>
          </cell>
        </row>
        <row r="736">
          <cell r="B736" t="str">
            <v>FY1</v>
          </cell>
          <cell r="C736">
            <v>1269.6916071199801</v>
          </cell>
          <cell r="D736">
            <v>2892.1602847367799</v>
          </cell>
          <cell r="E736">
            <v>4118.1697470886402</v>
          </cell>
          <cell r="F736">
            <v>753.68267523087604</v>
          </cell>
          <cell r="G736">
            <v>108.63976761920701</v>
          </cell>
          <cell r="H736">
            <v>1173.2217283637401</v>
          </cell>
          <cell r="I736">
            <v>1593.30915259626</v>
          </cell>
          <cell r="J736">
            <v>1701.2678518222117</v>
          </cell>
          <cell r="M736">
            <v>141.50169895792101</v>
          </cell>
          <cell r="N736">
            <v>99.821948445322505</v>
          </cell>
          <cell r="O736">
            <v>135.073519008745</v>
          </cell>
          <cell r="P736">
            <v>104.31901523977101</v>
          </cell>
          <cell r="Q736">
            <v>1024.01699386411</v>
          </cell>
          <cell r="R736">
            <v>549.30521832310706</v>
          </cell>
          <cell r="S736">
            <v>107.28236147298099</v>
          </cell>
          <cell r="T736">
            <v>308.76010790170818</v>
          </cell>
        </row>
        <row r="737">
          <cell r="B737" t="str">
            <v>FY2</v>
          </cell>
          <cell r="C737">
            <v>1402.4585315177301</v>
          </cell>
          <cell r="D737">
            <v>2916.0701545976799</v>
          </cell>
          <cell r="E737">
            <v>4185.8680136579596</v>
          </cell>
          <cell r="F737">
            <v>796.08710155634799</v>
          </cell>
          <cell r="G737">
            <v>111.626232365036</v>
          </cell>
          <cell r="H737">
            <v>1227.77340097977</v>
          </cell>
          <cell r="I737">
            <v>1701.7828263164299</v>
          </cell>
          <cell r="J737">
            <v>1763.0951801415647</v>
          </cell>
          <cell r="M737">
            <v>146.245428790235</v>
          </cell>
          <cell r="N737">
            <v>110.33197556911</v>
          </cell>
          <cell r="O737">
            <v>142.28219595082501</v>
          </cell>
          <cell r="P737">
            <v>111.560175244902</v>
          </cell>
          <cell r="Q737">
            <v>989.89255577830295</v>
          </cell>
          <cell r="R737">
            <v>566.37945329844604</v>
          </cell>
          <cell r="S737">
            <v>125.897043188971</v>
          </cell>
          <cell r="T737">
            <v>313.22697540297031</v>
          </cell>
        </row>
        <row r="740">
          <cell r="A740" t="str">
            <v>Productivity Ratios</v>
          </cell>
        </row>
        <row r="741">
          <cell r="B741" t="str">
            <v>Sales/Ave. Sq. Ft.</v>
          </cell>
        </row>
        <row r="742">
          <cell r="B742" t="str">
            <v>FY(5)</v>
          </cell>
        </row>
        <row r="743">
          <cell r="B743" t="str">
            <v>FY(4)</v>
          </cell>
          <cell r="C743">
            <v>253.2875245433593</v>
          </cell>
          <cell r="D743">
            <v>185.30833744449927</v>
          </cell>
          <cell r="E743">
            <v>143.15856777493607</v>
          </cell>
          <cell r="F743">
            <v>395.27124760076777</v>
          </cell>
          <cell r="H743">
            <v>303.58461255065697</v>
          </cell>
          <cell r="I743">
            <v>234.50310472285295</v>
          </cell>
          <cell r="J743">
            <v>252.51889910617868</v>
          </cell>
          <cell r="M743">
            <v>476.65329315540254</v>
          </cell>
          <cell r="N743">
            <v>553.48342475357208</v>
          </cell>
          <cell r="O743">
            <v>498.67201169342724</v>
          </cell>
          <cell r="P743">
            <v>1958.0403995260501</v>
          </cell>
          <cell r="Q743">
            <v>430.72580645161293</v>
          </cell>
          <cell r="R743">
            <v>937.78488992338282</v>
          </cell>
          <cell r="S743">
            <v>565.36012422209126</v>
          </cell>
          <cell r="T743">
            <v>774.38856424650555</v>
          </cell>
          <cell r="V743">
            <v>577.11325836658148</v>
          </cell>
        </row>
        <row r="744">
          <cell r="B744" t="str">
            <v>FY(3)</v>
          </cell>
          <cell r="C744">
            <v>261.97745877527694</v>
          </cell>
          <cell r="D744">
            <v>194.6512273838631</v>
          </cell>
          <cell r="E744">
            <v>172.44245524296676</v>
          </cell>
          <cell r="F744">
            <v>429.20986199721739</v>
          </cell>
          <cell r="G744">
            <v>392.00040000000001</v>
          </cell>
          <cell r="H744">
            <v>309.79171880648482</v>
          </cell>
          <cell r="I744">
            <v>240.79131445331413</v>
          </cell>
          <cell r="J744">
            <v>285.83777666558899</v>
          </cell>
          <cell r="M744">
            <v>516.46107878597263</v>
          </cell>
          <cell r="N744">
            <v>565.34256096890169</v>
          </cell>
          <cell r="O744">
            <v>561.94145885517469</v>
          </cell>
          <cell r="P744">
            <v>2094.1925372681239</v>
          </cell>
          <cell r="Q744">
            <v>414.66145833333337</v>
          </cell>
          <cell r="R744">
            <v>1034.880418970032</v>
          </cell>
          <cell r="S744">
            <v>531.19438790314507</v>
          </cell>
          <cell r="T744">
            <v>816.95341444066901</v>
          </cell>
          <cell r="V744">
            <v>604.08022730275991</v>
          </cell>
        </row>
        <row r="745">
          <cell r="B745" t="str">
            <v>FY(2)</v>
          </cell>
          <cell r="C745">
            <v>249.13721398000695</v>
          </cell>
          <cell r="D745">
            <v>189.42231759656653</v>
          </cell>
          <cell r="E745">
            <v>169.01924133080252</v>
          </cell>
          <cell r="F745">
            <v>436.41556258651377</v>
          </cell>
          <cell r="G745">
            <v>434.15559545182526</v>
          </cell>
          <cell r="H745">
            <v>300.70011574656536</v>
          </cell>
          <cell r="I745">
            <v>243.82809310736866</v>
          </cell>
          <cell r="J745">
            <v>288.95401997137844</v>
          </cell>
          <cell r="K745">
            <v>1.0902139465754468E-2</v>
          </cell>
          <cell r="M745">
            <v>527.39215965787605</v>
          </cell>
          <cell r="N745">
            <v>569.36596937287436</v>
          </cell>
          <cell r="O745">
            <v>561.50323297893033</v>
          </cell>
          <cell r="P745">
            <v>2309.1635339591971</v>
          </cell>
          <cell r="Q745">
            <v>401.09414758269719</v>
          </cell>
          <cell r="R745">
            <v>978.20706042090967</v>
          </cell>
          <cell r="S745">
            <v>560.0572640800508</v>
          </cell>
          <cell r="T745">
            <v>843.82619543607655</v>
          </cell>
          <cell r="V745">
            <v>599.60330568222309</v>
          </cell>
          <cell r="W745">
            <v>-7.4111374916646655E-3</v>
          </cell>
        </row>
        <row r="746">
          <cell r="B746" t="str">
            <v>FY(1)</v>
          </cell>
          <cell r="C746">
            <v>226.23946549236962</v>
          </cell>
          <cell r="D746">
            <v>171.33161931310519</v>
          </cell>
          <cell r="E746">
            <v>161.08616025782069</v>
          </cell>
          <cell r="F746">
            <v>399.32570740517758</v>
          </cell>
          <cell r="G746">
            <v>403.35618655037223</v>
          </cell>
          <cell r="H746">
            <v>297.52931192660554</v>
          </cell>
          <cell r="I746">
            <v>244.3765571400719</v>
          </cell>
          <cell r="J746">
            <v>271.89214401221756</v>
          </cell>
          <cell r="K746">
            <v>-5.9047027485033432E-2</v>
          </cell>
          <cell r="M746">
            <v>461.55620321918263</v>
          </cell>
          <cell r="N746">
            <v>606.29683007311451</v>
          </cell>
          <cell r="O746">
            <v>496.5596312175204</v>
          </cell>
          <cell r="P746">
            <v>2364.8030958382346</v>
          </cell>
          <cell r="Q746">
            <v>367.28192161820476</v>
          </cell>
          <cell r="R746">
            <v>852.71093341128631</v>
          </cell>
          <cell r="S746">
            <v>587.34129849293402</v>
          </cell>
          <cell r="T746">
            <v>819.50713055292533</v>
          </cell>
          <cell r="V746">
            <v>561.95780300537376</v>
          </cell>
          <cell r="W746">
            <v>-6.2784014564457147E-2</v>
          </cell>
        </row>
        <row r="747">
          <cell r="B747" t="str">
            <v>FY0</v>
          </cell>
          <cell r="C747">
            <v>223.96797663441728</v>
          </cell>
          <cell r="D747">
            <v>159.69059484575871</v>
          </cell>
          <cell r="E747">
            <v>152.28321085542203</v>
          </cell>
          <cell r="F747">
            <v>379.56036632309514</v>
          </cell>
          <cell r="G747">
            <v>349.81129360689715</v>
          </cell>
          <cell r="H747">
            <v>311.00489177489175</v>
          </cell>
          <cell r="I747">
            <v>252.24865546942056</v>
          </cell>
          <cell r="J747">
            <v>261.22385564427179</v>
          </cell>
          <cell r="K747">
            <v>-3.923720711646006E-2</v>
          </cell>
          <cell r="M747">
            <v>375.29634138527587</v>
          </cell>
          <cell r="N747">
            <v>664.41481366723326</v>
          </cell>
          <cell r="O747">
            <v>469.76938312881236</v>
          </cell>
          <cell r="P747">
            <v>2046.6726460811669</v>
          </cell>
          <cell r="Q747">
            <v>362.6309067688378</v>
          </cell>
          <cell r="R747">
            <v>790.84035307104932</v>
          </cell>
          <cell r="S747">
            <v>546.90366330753955</v>
          </cell>
          <cell r="T747">
            <v>750.93258677284496</v>
          </cell>
          <cell r="V747">
            <v>534.97591022145798</v>
          </cell>
          <cell r="W747">
            <v>-4.801409045237115E-2</v>
          </cell>
        </row>
        <row r="748">
          <cell r="B748" t="str">
            <v>FY1</v>
          </cell>
          <cell r="C748">
            <v>232.98788437346485</v>
          </cell>
          <cell r="D748">
            <v>160.71132410829935</v>
          </cell>
          <cell r="E748">
            <v>158.68741877190834</v>
          </cell>
          <cell r="F748">
            <v>391.8289687419649</v>
          </cell>
          <cell r="G748">
            <v>363.92077385737963</v>
          </cell>
          <cell r="H748">
            <v>321.90975401001765</v>
          </cell>
          <cell r="I748">
            <v>263.52932791049108</v>
          </cell>
          <cell r="J748">
            <v>270.51077882478938</v>
          </cell>
          <cell r="K748">
            <v>3.5551589105875081E-2</v>
          </cell>
          <cell r="M748">
            <v>395.34836284270295</v>
          </cell>
          <cell r="N748">
            <v>689.78224411268457</v>
          </cell>
          <cell r="O748">
            <v>471.26119763265149</v>
          </cell>
          <cell r="P748">
            <v>1967.531611892407</v>
          </cell>
          <cell r="Q748">
            <v>366.96280945963935</v>
          </cell>
          <cell r="R748">
            <v>836.15261274183558</v>
          </cell>
          <cell r="S748">
            <v>570.6246939212491</v>
          </cell>
          <cell r="T748">
            <v>756.80907608616712</v>
          </cell>
          <cell r="V748">
            <v>555.02198678512718</v>
          </cell>
          <cell r="W748">
            <v>3.7470989217759376E-2</v>
          </cell>
        </row>
        <row r="749">
          <cell r="B749" t="str">
            <v>FY2</v>
          </cell>
          <cell r="C749">
            <v>244.17915207720719</v>
          </cell>
          <cell r="D749">
            <v>163.73484708508263</v>
          </cell>
          <cell r="E749">
            <v>159.78565538973211</v>
          </cell>
          <cell r="F749">
            <v>393.94969944487127</v>
          </cell>
          <cell r="G749">
            <v>380.50669178144102</v>
          </cell>
          <cell r="H749">
            <v>320.88863145898</v>
          </cell>
          <cell r="I749">
            <v>268.59091585605967</v>
          </cell>
          <cell r="J749">
            <v>275.94794187048194</v>
          </cell>
          <cell r="K749">
            <v>2.0099616988697555E-2</v>
          </cell>
          <cell r="M749">
            <v>404.94502377164315</v>
          </cell>
          <cell r="N749">
            <v>724.47485977030351</v>
          </cell>
          <cell r="O749">
            <v>510.34132156188548</v>
          </cell>
          <cell r="P749">
            <v>1961.5656721886198</v>
          </cell>
          <cell r="Q749">
            <v>363.46766466263972</v>
          </cell>
          <cell r="R749">
            <v>865.00671660501121</v>
          </cell>
          <cell r="S749">
            <v>580.63219499255422</v>
          </cell>
          <cell r="T749">
            <v>772.91906479323666</v>
          </cell>
          <cell r="V749">
            <v>574.8112968940062</v>
          </cell>
          <cell r="W749">
            <v>3.5655002108124334E-2</v>
          </cell>
        </row>
        <row r="751">
          <cell r="B751" t="str">
            <v>Gross Profit/Ave. Sq. Ft.</v>
          </cell>
        </row>
        <row r="752">
          <cell r="B752" t="str">
            <v>FY(5)</v>
          </cell>
        </row>
        <row r="753">
          <cell r="B753" t="str">
            <v>FY(4)</v>
          </cell>
          <cell r="C753">
            <v>89.970347356487451</v>
          </cell>
          <cell r="D753">
            <v>70.94227923038973</v>
          </cell>
          <cell r="E753">
            <v>58.29923273657289</v>
          </cell>
          <cell r="F753">
            <v>145.08452975047985</v>
          </cell>
          <cell r="G753">
            <v>136.46666666666664</v>
          </cell>
          <cell r="H753">
            <v>67.026157435834463</v>
          </cell>
          <cell r="I753">
            <v>55.088027159895049</v>
          </cell>
          <cell r="J753">
            <v>88.98246290518945</v>
          </cell>
          <cell r="M753">
            <v>319.27421437795954</v>
          </cell>
          <cell r="N753">
            <v>166.58313956654604</v>
          </cell>
          <cell r="O753">
            <v>231.0768377663681</v>
          </cell>
          <cell r="P753">
            <v>1502.6397383911672</v>
          </cell>
          <cell r="Q753">
            <v>157.7956989247312</v>
          </cell>
          <cell r="R753">
            <v>334.6084763844438</v>
          </cell>
          <cell r="S753">
            <v>232.23360338023238</v>
          </cell>
          <cell r="T753">
            <v>420.60167268449266</v>
          </cell>
        </row>
        <row r="754">
          <cell r="B754" t="str">
            <v>FY(3)</v>
          </cell>
          <cell r="C754">
            <v>95.267906069825671</v>
          </cell>
          <cell r="D754">
            <v>76.371638141809285</v>
          </cell>
          <cell r="E754">
            <v>70.019181585677757</v>
          </cell>
          <cell r="F754">
            <v>160.77757862147632</v>
          </cell>
          <cell r="G754">
            <v>151.42786666666669</v>
          </cell>
          <cell r="H754">
            <v>69.66897472261617</v>
          </cell>
          <cell r="I754">
            <v>57.98112920407852</v>
          </cell>
          <cell r="J754">
            <v>97.359182144592936</v>
          </cell>
          <cell r="M754">
            <v>346.07123761597734</v>
          </cell>
          <cell r="N754">
            <v>179.22561868996246</v>
          </cell>
          <cell r="O754">
            <v>269.55346470462376</v>
          </cell>
          <cell r="P754">
            <v>1627.5069833991522</v>
          </cell>
          <cell r="Q754">
            <v>147.31770833333331</v>
          </cell>
          <cell r="R754">
            <v>389.24565997478419</v>
          </cell>
          <cell r="S754">
            <v>196.01091433823262</v>
          </cell>
          <cell r="T754">
            <v>450.70451243658084</v>
          </cell>
        </row>
        <row r="755">
          <cell r="B755" t="str">
            <v>FY(2)</v>
          </cell>
          <cell r="C755">
            <v>90.953223537951999</v>
          </cell>
          <cell r="D755">
            <v>73.104434907010017</v>
          </cell>
          <cell r="E755">
            <v>68.319410587710081</v>
          </cell>
          <cell r="F755">
            <v>163.22107969151674</v>
          </cell>
          <cell r="G755">
            <v>169.377219230002</v>
          </cell>
          <cell r="H755">
            <v>68.290070957677031</v>
          </cell>
          <cell r="I755">
            <v>59.719483750821425</v>
          </cell>
          <cell r="J755">
            <v>98.997846094669882</v>
          </cell>
          <cell r="M755">
            <v>354.69223093371352</v>
          </cell>
          <cell r="N755">
            <v>196.18126545750619</v>
          </cell>
          <cell r="O755">
            <v>261.53420790247395</v>
          </cell>
          <cell r="P755">
            <v>1788.1279152299524</v>
          </cell>
          <cell r="Q755">
            <v>144.88549618320613</v>
          </cell>
          <cell r="R755">
            <v>335.9071864998545</v>
          </cell>
          <cell r="S755">
            <v>214.24700297798475</v>
          </cell>
          <cell r="T755">
            <v>470.79647216924167</v>
          </cell>
        </row>
        <row r="756">
          <cell r="B756" t="str">
            <v>FY(1)</v>
          </cell>
          <cell r="C756">
            <v>83.589801285192706</v>
          </cell>
          <cell r="D756">
            <v>64.097109304426311</v>
          </cell>
          <cell r="E756">
            <v>63.956874571269559</v>
          </cell>
          <cell r="F756">
            <v>137.8214087898856</v>
          </cell>
          <cell r="G756">
            <v>129.41795944979313</v>
          </cell>
          <cell r="H756">
            <v>70.163440366972495</v>
          </cell>
          <cell r="I756">
            <v>58.875923717719836</v>
          </cell>
          <cell r="J756">
            <v>86.846073926465664</v>
          </cell>
          <cell r="M756">
            <v>308.81565874014706</v>
          </cell>
          <cell r="N756">
            <v>210.35372682331408</v>
          </cell>
          <cell r="O756">
            <v>195.05588050073356</v>
          </cell>
          <cell r="P756">
            <v>1789.6131727137602</v>
          </cell>
          <cell r="Q756">
            <v>137.724399494311</v>
          </cell>
          <cell r="R756">
            <v>283.49789950634846</v>
          </cell>
          <cell r="S756">
            <v>228.41544941025407</v>
          </cell>
          <cell r="T756">
            <v>450.49659816983831</v>
          </cell>
        </row>
        <row r="757">
          <cell r="B757" t="str">
            <v>FY0</v>
          </cell>
          <cell r="C757">
            <v>84.713276136334002</v>
          </cell>
          <cell r="D757">
            <v>62.848543174558898</v>
          </cell>
          <cell r="E757">
            <v>61.69385816766129</v>
          </cell>
          <cell r="F757">
            <v>134.67084927666127</v>
          </cell>
          <cell r="G757">
            <v>127.57838539091584</v>
          </cell>
          <cell r="H757">
            <v>80.386796536796524</v>
          </cell>
          <cell r="I757">
            <v>66.144384006341227</v>
          </cell>
          <cell r="J757">
            <v>88.290870384181289</v>
          </cell>
          <cell r="M757">
            <v>241.37835586595756</v>
          </cell>
          <cell r="N757">
            <v>253.1053971479177</v>
          </cell>
          <cell r="O757">
            <v>181.91715913869484</v>
          </cell>
          <cell r="P757">
            <v>1471.4964997376783</v>
          </cell>
          <cell r="Q757">
            <v>146.20689655172413</v>
          </cell>
          <cell r="R757">
            <v>277.40821664307668</v>
          </cell>
          <cell r="S757">
            <v>221.87132434773477</v>
          </cell>
          <cell r="T757">
            <v>399.05483563325481</v>
          </cell>
        </row>
        <row r="758">
          <cell r="B758" t="str">
            <v>FY1</v>
          </cell>
          <cell r="C758">
            <v>89.441866664750805</v>
          </cell>
          <cell r="D758">
            <v>63.650239246080858</v>
          </cell>
          <cell r="E758">
            <v>64.649536084434075</v>
          </cell>
          <cell r="F758">
            <v>142.51297101066149</v>
          </cell>
          <cell r="G758">
            <v>138.56135541811679</v>
          </cell>
          <cell r="H758">
            <v>85.196708669039481</v>
          </cell>
          <cell r="I758">
            <v>70.318331251795755</v>
          </cell>
          <cell r="J758">
            <v>93.475858334982746</v>
          </cell>
          <cell r="M758">
            <v>254.11165435640649</v>
          </cell>
          <cell r="N758">
            <v>263.95313541078667</v>
          </cell>
          <cell r="O758">
            <v>199.76427781995659</v>
          </cell>
          <cell r="P758">
            <v>1423.9245515610419</v>
          </cell>
          <cell r="Q758">
            <v>150.411207625456</v>
          </cell>
          <cell r="R758">
            <v>301.09415930361337</v>
          </cell>
          <cell r="S758">
            <v>235.83035087439166</v>
          </cell>
          <cell r="T758">
            <v>404.15561956452171</v>
          </cell>
        </row>
        <row r="759">
          <cell r="B759" t="str">
            <v>FY2</v>
          </cell>
          <cell r="C759">
            <v>94.470626975915735</v>
          </cell>
          <cell r="D759">
            <v>65.17518498561455</v>
          </cell>
          <cell r="E759">
            <v>65.256745287340706</v>
          </cell>
          <cell r="F759">
            <v>143.6782563113386</v>
          </cell>
          <cell r="G759">
            <v>149.54497462907122</v>
          </cell>
          <cell r="H759">
            <v>84.926458142572343</v>
          </cell>
          <cell r="I759">
            <v>71.266043768232706</v>
          </cell>
          <cell r="J759">
            <v>96.331184300012268</v>
          </cell>
          <cell r="M759">
            <v>263.45795421699074</v>
          </cell>
          <cell r="N759">
            <v>268.96338053982186</v>
          </cell>
          <cell r="O759">
            <v>220.15043447163885</v>
          </cell>
          <cell r="P759">
            <v>1419.6069345194633</v>
          </cell>
          <cell r="Q759">
            <v>150.06901599080251</v>
          </cell>
          <cell r="R759">
            <v>315.80940397101631</v>
          </cell>
          <cell r="S759">
            <v>241.70819270352629</v>
          </cell>
          <cell r="T759">
            <v>411.39504520189433</v>
          </cell>
        </row>
        <row r="760">
          <cell r="L760">
            <v>2006</v>
          </cell>
          <cell r="M760">
            <v>2007</v>
          </cell>
          <cell r="N760">
            <v>2008</v>
          </cell>
          <cell r="O760">
            <v>2009</v>
          </cell>
          <cell r="P760" t="str">
            <v>2010E</v>
          </cell>
          <cell r="Q760" t="str">
            <v>2011E</v>
          </cell>
          <cell r="Y760">
            <v>2006</v>
          </cell>
          <cell r="Z760">
            <v>2007</v>
          </cell>
          <cell r="AA760">
            <v>2008</v>
          </cell>
          <cell r="AB760">
            <v>2009</v>
          </cell>
          <cell r="AC760" t="str">
            <v>2010E</v>
          </cell>
          <cell r="AD760" t="str">
            <v>2011E</v>
          </cell>
        </row>
        <row r="761">
          <cell r="B761" t="str">
            <v>SG&amp;A/Ave. Sq. Ft.</v>
          </cell>
        </row>
        <row r="762">
          <cell r="B762" t="str">
            <v>FY(5)</v>
          </cell>
        </row>
        <row r="763">
          <cell r="B763" t="str">
            <v>FY(4)</v>
          </cell>
          <cell r="C763">
            <v>56.00704205162176</v>
          </cell>
          <cell r="D763">
            <v>55.392205229403061</v>
          </cell>
          <cell r="E763">
            <v>44.629156010230183</v>
          </cell>
          <cell r="F763">
            <v>107.51969289827257</v>
          </cell>
          <cell r="G763">
            <v>106.87679102827374</v>
          </cell>
          <cell r="H763">
            <v>47.043104506938469</v>
          </cell>
          <cell r="I763">
            <v>39.524716547395336</v>
          </cell>
          <cell r="J763">
            <v>65.284672610305023</v>
          </cell>
          <cell r="M763">
            <v>218.41256995264743</v>
          </cell>
          <cell r="N763">
            <v>104.34292665631251</v>
          </cell>
          <cell r="O763">
            <v>116.46501475101104</v>
          </cell>
          <cell r="P763">
            <v>867.63254557082882</v>
          </cell>
          <cell r="Q763">
            <v>112.5</v>
          </cell>
          <cell r="R763">
            <v>241.87285423334305</v>
          </cell>
          <cell r="S763">
            <v>125.54061794744167</v>
          </cell>
          <cell r="T763">
            <v>255.25236130165493</v>
          </cell>
        </row>
        <row r="764">
          <cell r="B764" t="str">
            <v>FY(3)</v>
          </cell>
          <cell r="C764">
            <v>57.411944663898744</v>
          </cell>
          <cell r="D764">
            <v>58.063569682151588</v>
          </cell>
          <cell r="E764">
            <v>55.485933503836314</v>
          </cell>
          <cell r="F764">
            <v>115.15839610934933</v>
          </cell>
          <cell r="G764">
            <v>99.98234510535373</v>
          </cell>
          <cell r="H764">
            <v>47.998275910013625</v>
          </cell>
          <cell r="I764">
            <v>40.350299525463122</v>
          </cell>
          <cell r="J764">
            <v>67.778680642866632</v>
          </cell>
          <cell r="M764">
            <v>237.877181946847</v>
          </cell>
          <cell r="N764">
            <v>115.90657018986992</v>
          </cell>
          <cell r="O764">
            <v>133.85018750090495</v>
          </cell>
          <cell r="P764">
            <v>892.04303236676367</v>
          </cell>
          <cell r="Q764">
            <v>116.58854166666667</v>
          </cell>
          <cell r="R764">
            <v>275.18446319464653</v>
          </cell>
          <cell r="S764">
            <v>124.8842487674527</v>
          </cell>
          <cell r="T764">
            <v>270.90488937616448</v>
          </cell>
        </row>
        <row r="765">
          <cell r="B765" t="str">
            <v>FY(2)</v>
          </cell>
          <cell r="C765">
            <v>55.909441495394944</v>
          </cell>
          <cell r="D765">
            <v>55.593705293276109</v>
          </cell>
          <cell r="E765">
            <v>54.945866694929677</v>
          </cell>
          <cell r="F765">
            <v>116.65908641487049</v>
          </cell>
          <cell r="G765">
            <v>107.44424798154198</v>
          </cell>
          <cell r="H765">
            <v>47.098837501887168</v>
          </cell>
          <cell r="I765">
            <v>40.335940615417101</v>
          </cell>
          <cell r="J765">
            <v>68.283875142473917</v>
          </cell>
          <cell r="M765">
            <v>245.32544547398433</v>
          </cell>
          <cell r="N765">
            <v>124.36313366110349</v>
          </cell>
          <cell r="O765">
            <v>131.4307079198864</v>
          </cell>
          <cell r="P765">
            <v>910.05910674304778</v>
          </cell>
          <cell r="Q765">
            <v>110.55979643765903</v>
          </cell>
          <cell r="R765">
            <v>252.39239646978956</v>
          </cell>
          <cell r="S765">
            <v>130.68921569829229</v>
          </cell>
          <cell r="T765">
            <v>272.11711462910898</v>
          </cell>
        </row>
        <row r="766">
          <cell r="B766" t="str">
            <v>FY(1)</v>
          </cell>
          <cell r="C766">
            <v>54.334550424141192</v>
          </cell>
          <cell r="D766">
            <v>53.800422138836723</v>
          </cell>
          <cell r="E766">
            <v>54.735125480501665</v>
          </cell>
          <cell r="F766">
            <v>115.01341360626128</v>
          </cell>
          <cell r="G766">
            <v>101.39981901082912</v>
          </cell>
          <cell r="H766">
            <v>47.645634890778894</v>
          </cell>
          <cell r="I766">
            <v>40.422041776999137</v>
          </cell>
          <cell r="J766">
            <v>66.764429618335427</v>
          </cell>
          <cell r="M766">
            <v>243.77773741321985</v>
          </cell>
          <cell r="N766">
            <v>130.51261224586915</v>
          </cell>
          <cell r="O766">
            <v>121.95297613020131</v>
          </cell>
          <cell r="P766">
            <v>912.8896789346926</v>
          </cell>
          <cell r="Q766">
            <v>98.584070796460168</v>
          </cell>
          <cell r="R766">
            <v>215.83446884149876</v>
          </cell>
          <cell r="S766">
            <v>132.55323628783208</v>
          </cell>
          <cell r="T766">
            <v>265.15782580711056</v>
          </cell>
        </row>
        <row r="767">
          <cell r="B767" t="str">
            <v>FY0</v>
          </cell>
          <cell r="C767">
            <v>54.032910005997856</v>
          </cell>
          <cell r="D767">
            <v>56.772880824254223</v>
          </cell>
          <cell r="E767">
            <v>52.267327085717248</v>
          </cell>
          <cell r="F767">
            <v>113.29817183173039</v>
          </cell>
          <cell r="G767">
            <v>88.379605972524715</v>
          </cell>
          <cell r="H767">
            <v>48.952943722943722</v>
          </cell>
          <cell r="I767">
            <v>41.389159668084687</v>
          </cell>
          <cell r="J767">
            <v>65.013285587321832</v>
          </cell>
          <cell r="M767">
            <v>223.74818991478182</v>
          </cell>
          <cell r="N767">
            <v>138.10894996119467</v>
          </cell>
          <cell r="O767">
            <v>118.79586171124691</v>
          </cell>
          <cell r="P767">
            <v>837.76738647087723</v>
          </cell>
          <cell r="Q767">
            <v>99.94891443167306</v>
          </cell>
          <cell r="R767">
            <v>198.46761301434174</v>
          </cell>
          <cell r="S767">
            <v>126.20089584829444</v>
          </cell>
          <cell r="T767">
            <v>249.00540162177285</v>
          </cell>
        </row>
        <row r="768">
          <cell r="B768" t="str">
            <v>FY1</v>
          </cell>
          <cell r="C768">
            <v>55.348580166865275</v>
          </cell>
          <cell r="D768">
            <v>56.381275323190636</v>
          </cell>
          <cell r="E768">
            <v>53.326011039639944</v>
          </cell>
          <cell r="F768">
            <v>113.63839445500386</v>
          </cell>
          <cell r="G768">
            <v>92.492419639671866</v>
          </cell>
          <cell r="H768">
            <v>49.961621490643836</v>
          </cell>
          <cell r="I768">
            <v>42.430828483391224</v>
          </cell>
          <cell r="J768">
            <v>66.225590085486672</v>
          </cell>
          <cell r="M768">
            <v>224.104307425526</v>
          </cell>
          <cell r="N768">
            <v>143.13736750927575</v>
          </cell>
          <cell r="O768">
            <v>114.88595930240508</v>
          </cell>
          <cell r="P768">
            <v>804.68729077882745</v>
          </cell>
          <cell r="Q768">
            <v>104.02768504250595</v>
          </cell>
          <cell r="R768">
            <v>204.26032967175414</v>
          </cell>
          <cell r="S768">
            <v>127.70898912929687</v>
          </cell>
          <cell r="T768">
            <v>246.11598983708447</v>
          </cell>
        </row>
        <row r="769">
          <cell r="B769" t="str">
            <v>FY2</v>
          </cell>
          <cell r="C769">
            <v>57.518818378727502</v>
          </cell>
          <cell r="D769">
            <v>57.330946533195807</v>
          </cell>
          <cell r="E769">
            <v>53.535281598406499</v>
          </cell>
          <cell r="F769">
            <v>112.74721576913295</v>
          </cell>
          <cell r="G769">
            <v>95.574639597660976</v>
          </cell>
          <cell r="H769">
            <v>49.803139376464415</v>
          </cell>
          <cell r="I769">
            <v>43.111498751194262</v>
          </cell>
          <cell r="J769">
            <v>67.088791429254613</v>
          </cell>
          <cell r="M769">
            <v>225.90442975327224</v>
          </cell>
          <cell r="N769">
            <v>156.45874830429116</v>
          </cell>
          <cell r="O769">
            <v>121.86615690934654</v>
          </cell>
          <cell r="P769">
            <v>798.32419057795209</v>
          </cell>
          <cell r="Q769">
            <v>102.67340356034649</v>
          </cell>
          <cell r="R769">
            <v>209.66028850840351</v>
          </cell>
          <cell r="S769">
            <v>126.98749949091251</v>
          </cell>
          <cell r="T769">
            <v>248.83924530064638</v>
          </cell>
        </row>
        <row r="771">
          <cell r="B771" t="str">
            <v>Capex/Ave. Sq. Ft.</v>
          </cell>
        </row>
        <row r="772">
          <cell r="B772" t="str">
            <v>FY(5)</v>
          </cell>
        </row>
        <row r="773">
          <cell r="B773" t="str">
            <v>FY(4)</v>
          </cell>
          <cell r="C773">
            <v>15.650127041585197</v>
          </cell>
          <cell r="D773">
            <v>5.2787370498273312</v>
          </cell>
          <cell r="E773">
            <v>4.1943734015345262</v>
          </cell>
          <cell r="F773">
            <v>13.904491362763915</v>
          </cell>
          <cell r="G773">
            <v>17.349866666666664</v>
          </cell>
          <cell r="H773">
            <v>10.797678988087929</v>
          </cell>
          <cell r="I773">
            <v>7.2889045655959963</v>
          </cell>
          <cell r="J773">
            <v>10.637739868008794</v>
          </cell>
          <cell r="M773">
            <v>44.15359448988378</v>
          </cell>
          <cell r="N773">
            <v>26.787956747898207</v>
          </cell>
          <cell r="O773">
            <v>17.51286592697922</v>
          </cell>
          <cell r="P773">
            <v>112.13568379804623</v>
          </cell>
          <cell r="Q773">
            <v>16.129032258064516</v>
          </cell>
          <cell r="R773">
            <v>46.552225778295025</v>
          </cell>
          <cell r="S773">
            <v>66.123052655909831</v>
          </cell>
          <cell r="T773">
            <v>47.056344522153829</v>
          </cell>
        </row>
        <row r="774">
          <cell r="B774" t="str">
            <v>FY(3)</v>
          </cell>
          <cell r="C774">
            <v>19.550721957943221</v>
          </cell>
          <cell r="D774">
            <v>7.5501222493887532</v>
          </cell>
          <cell r="E774">
            <v>8.9002557544757028</v>
          </cell>
          <cell r="F774">
            <v>13.258144169664458</v>
          </cell>
          <cell r="G774">
            <v>16.490533333333335</v>
          </cell>
          <cell r="H774">
            <v>12.45543783543283</v>
          </cell>
          <cell r="I774">
            <v>5.2297422559178761</v>
          </cell>
          <cell r="J774">
            <v>11.919279650879451</v>
          </cell>
          <cell r="M774">
            <v>63.449598993552442</v>
          </cell>
          <cell r="N774">
            <v>17.981488056245905</v>
          </cell>
          <cell r="O774">
            <v>45.435185497999505</v>
          </cell>
          <cell r="P774">
            <v>137.7643293126859</v>
          </cell>
          <cell r="Q774">
            <v>14.895833333333334</v>
          </cell>
          <cell r="R774">
            <v>53.147124430220153</v>
          </cell>
          <cell r="S774">
            <v>91.962971749976475</v>
          </cell>
          <cell r="T774">
            <v>60.662361624859102</v>
          </cell>
        </row>
        <row r="775">
          <cell r="B775" t="str">
            <v>FY(2)</v>
          </cell>
          <cell r="C775">
            <v>23.315381939718403</v>
          </cell>
          <cell r="D775">
            <v>11.855030996661897</v>
          </cell>
          <cell r="E775">
            <v>7.0978703177340767</v>
          </cell>
          <cell r="F775">
            <v>24.767648803638519</v>
          </cell>
          <cell r="G775">
            <v>18.18285790278609</v>
          </cell>
          <cell r="H775">
            <v>11.882693372251019</v>
          </cell>
          <cell r="I775">
            <v>7.0074797050669178</v>
          </cell>
          <cell r="J775">
            <v>14.872709005408135</v>
          </cell>
          <cell r="M775">
            <v>57.497505345687813</v>
          </cell>
          <cell r="N775">
            <v>29.600011795985552</v>
          </cell>
          <cell r="O775">
            <v>46.018022425256582</v>
          </cell>
          <cell r="P775">
            <v>124.51749822997978</v>
          </cell>
          <cell r="Q775">
            <v>17.353689567430024</v>
          </cell>
          <cell r="R775">
            <v>72.640868974881201</v>
          </cell>
          <cell r="S775">
            <v>42.855195352011023</v>
          </cell>
          <cell r="T775">
            <v>55.783255955890283</v>
          </cell>
        </row>
        <row r="776">
          <cell r="B776" t="str">
            <v>FY(1)</v>
          </cell>
          <cell r="C776">
            <v>13.997694659755247</v>
          </cell>
          <cell r="D776">
            <v>8.980638941004786</v>
          </cell>
          <cell r="E776">
            <v>5.8048483750307396</v>
          </cell>
          <cell r="F776">
            <v>27.116195063214931</v>
          </cell>
          <cell r="G776">
            <v>16.908512704055976</v>
          </cell>
          <cell r="H776">
            <v>10.294403669724771</v>
          </cell>
          <cell r="I776">
            <v>7.4978224541521676</v>
          </cell>
          <cell r="J776">
            <v>12.942873695276946</v>
          </cell>
          <cell r="M776">
            <v>48.698681857322647</v>
          </cell>
          <cell r="N776">
            <v>26.700095243791303</v>
          </cell>
          <cell r="O776">
            <v>44.082541603952585</v>
          </cell>
          <cell r="P776">
            <v>129.89939090124025</v>
          </cell>
          <cell r="Q776">
            <v>10.897597977243993</v>
          </cell>
          <cell r="R776">
            <v>45.168864601849187</v>
          </cell>
          <cell r="S776">
            <v>36.033127969569257</v>
          </cell>
          <cell r="T776">
            <v>48.782900022138456</v>
          </cell>
        </row>
        <row r="777">
          <cell r="B777" t="str">
            <v>FY0</v>
          </cell>
          <cell r="C777">
            <v>8.6838605366782282</v>
          </cell>
          <cell r="D777">
            <v>5.4571817517706718</v>
          </cell>
          <cell r="E777">
            <v>2.9822588017154472</v>
          </cell>
          <cell r="F777">
            <v>16.54658898962391</v>
          </cell>
          <cell r="G777">
            <v>9.9355514673446681</v>
          </cell>
          <cell r="H777">
            <v>6.8609090909090904</v>
          </cell>
          <cell r="I777">
            <v>5.3375383441441961</v>
          </cell>
          <cell r="J777">
            <v>7.9719841403123155</v>
          </cell>
          <cell r="M777">
            <v>22.486320240917536</v>
          </cell>
          <cell r="N777">
            <v>16.053353274770263</v>
          </cell>
          <cell r="O777">
            <v>20.015510492988312</v>
          </cell>
          <cell r="P777">
            <v>86.815132055125204</v>
          </cell>
          <cell r="Q777">
            <v>8.5312899106002558</v>
          </cell>
          <cell r="R777">
            <v>18.505540210615035</v>
          </cell>
          <cell r="S777">
            <v>33.63074150631536</v>
          </cell>
          <cell r="T777">
            <v>29.433983955904569</v>
          </cell>
        </row>
        <row r="778">
          <cell r="B778" t="str">
            <v>FY1</v>
          </cell>
          <cell r="C778">
            <v>11.431281531312116</v>
          </cell>
          <cell r="D778">
            <v>4.6606283991406849</v>
          </cell>
          <cell r="E778">
            <v>3.6536938616378576</v>
          </cell>
          <cell r="F778">
            <v>19.971528510839402</v>
          </cell>
          <cell r="G778">
            <v>10.337560270578901</v>
          </cell>
          <cell r="H778">
            <v>8.9375148013948102</v>
          </cell>
          <cell r="I778">
            <v>5.631509653744514</v>
          </cell>
          <cell r="J778">
            <v>9.2319595755211843</v>
          </cell>
          <cell r="M778">
            <v>31.581589973941607</v>
          </cell>
          <cell r="N778">
            <v>22.536174951703867</v>
          </cell>
          <cell r="O778">
            <v>16.494141917142809</v>
          </cell>
          <cell r="P778">
            <v>61.969777790835089</v>
          </cell>
          <cell r="Q778">
            <v>15.358166476343248</v>
          </cell>
          <cell r="R778">
            <v>25.08457838225512</v>
          </cell>
          <cell r="S778">
            <v>37.499583215737189</v>
          </cell>
          <cell r="T778">
            <v>30.074858958279851</v>
          </cell>
        </row>
        <row r="779">
          <cell r="B779" t="str">
            <v>FY2</v>
          </cell>
          <cell r="C779">
            <v>13.201263919776572</v>
          </cell>
          <cell r="D779">
            <v>4.9120454125524784</v>
          </cell>
          <cell r="E779">
            <v>4.5538911786073388</v>
          </cell>
          <cell r="F779">
            <v>22.455132868357687</v>
          </cell>
          <cell r="G779">
            <v>4.7563336472679971</v>
          </cell>
          <cell r="H779">
            <v>9.2300529470413881</v>
          </cell>
          <cell r="I779">
            <v>6.0082645512141291</v>
          </cell>
          <cell r="J779">
            <v>9.3024263606882265</v>
          </cell>
          <cell r="M779">
            <v>31.943254449694578</v>
          </cell>
          <cell r="N779">
            <v>23.669632448856579</v>
          </cell>
          <cell r="O779">
            <v>16.841263611542193</v>
          </cell>
          <cell r="P779">
            <v>73.551267367681376</v>
          </cell>
          <cell r="Q779">
            <v>13.81177125718035</v>
          </cell>
          <cell r="R779">
            <v>29.323727692909848</v>
          </cell>
          <cell r="S779">
            <v>38.157243361192954</v>
          </cell>
          <cell r="T779">
            <v>32.47116574129398</v>
          </cell>
        </row>
        <row r="781">
          <cell r="B781" t="str">
            <v>Inventories/Ave. Sq. Ft.</v>
          </cell>
        </row>
        <row r="782">
          <cell r="B782" t="str">
            <v>FY(5)</v>
          </cell>
        </row>
        <row r="783">
          <cell r="B783" t="str">
            <v>FY(4)</v>
          </cell>
          <cell r="C783">
            <v>42.287688567357257</v>
          </cell>
          <cell r="D783">
            <v>31.672422298963983</v>
          </cell>
          <cell r="E783">
            <v>34.904092071611259</v>
          </cell>
          <cell r="F783">
            <v>48.93041586692258</v>
          </cell>
          <cell r="G783">
            <v>107.62813333333334</v>
          </cell>
          <cell r="H783">
            <v>57.601068402308734</v>
          </cell>
          <cell r="I783">
            <v>34.770853082310062</v>
          </cell>
          <cell r="J783">
            <v>51.113524803258166</v>
          </cell>
          <cell r="M783">
            <v>62.425484287559186</v>
          </cell>
          <cell r="N783">
            <v>42.238287306109697</v>
          </cell>
          <cell r="O783">
            <v>45.258984028274867</v>
          </cell>
          <cell r="P783">
            <v>218.62261787838176</v>
          </cell>
          <cell r="Q783">
            <v>45.591397849462368</v>
          </cell>
          <cell r="R783">
            <v>112.47114731839783</v>
          </cell>
          <cell r="S783">
            <v>72.670130452349909</v>
          </cell>
          <cell r="T783">
            <v>85.611149874362226</v>
          </cell>
        </row>
        <row r="784">
          <cell r="B784" t="str">
            <v>FY(3)</v>
          </cell>
          <cell r="C784">
            <v>43.340639760636066</v>
          </cell>
          <cell r="D784">
            <v>33.251833740831295</v>
          </cell>
          <cell r="E784">
            <v>33.996163682864449</v>
          </cell>
          <cell r="F784">
            <v>50.001328637144184</v>
          </cell>
          <cell r="G784">
            <v>104.70693333333334</v>
          </cell>
          <cell r="H784">
            <v>58.492756041266929</v>
          </cell>
          <cell r="I784">
            <v>35.721268383115891</v>
          </cell>
          <cell r="J784">
            <v>51.358703368456027</v>
          </cell>
          <cell r="M784">
            <v>67.219216857996543</v>
          </cell>
          <cell r="N784">
            <v>40.594662439556153</v>
          </cell>
          <cell r="O784">
            <v>53.017469518031781</v>
          </cell>
          <cell r="P784">
            <v>240.27566037629057</v>
          </cell>
          <cell r="Q784">
            <v>46.770833333333329</v>
          </cell>
          <cell r="R784">
            <v>171.66133255746291</v>
          </cell>
          <cell r="S784">
            <v>66.962006704571621</v>
          </cell>
          <cell r="T784">
            <v>98.071597398177559</v>
          </cell>
        </row>
        <row r="785">
          <cell r="B785" t="str">
            <v>FY(2)</v>
          </cell>
          <cell r="C785">
            <v>43.188194728006899</v>
          </cell>
          <cell r="D785">
            <v>34.725798760133522</v>
          </cell>
          <cell r="E785">
            <v>32.502464984375045</v>
          </cell>
          <cell r="F785">
            <v>47.261222068420011</v>
          </cell>
          <cell r="G785">
            <v>113.99335062171687</v>
          </cell>
          <cell r="H785">
            <v>51.597554224749636</v>
          </cell>
          <cell r="I785">
            <v>36.399609060748503</v>
          </cell>
          <cell r="J785">
            <v>51.381170635450069</v>
          </cell>
          <cell r="M785">
            <v>47.49151817533857</v>
          </cell>
          <cell r="N785">
            <v>49.085685247861349</v>
          </cell>
          <cell r="O785">
            <v>52.648181378713971</v>
          </cell>
          <cell r="P785">
            <v>257.38613311789618</v>
          </cell>
          <cell r="Q785">
            <v>40.07633587786259</v>
          </cell>
          <cell r="R785">
            <v>121.29036950829212</v>
          </cell>
          <cell r="S785">
            <v>63.863044646740875</v>
          </cell>
          <cell r="T785">
            <v>90.26303827895795</v>
          </cell>
        </row>
        <row r="786">
          <cell r="B786" t="str">
            <v>FY(1)</v>
          </cell>
          <cell r="C786">
            <v>38.638606856661674</v>
          </cell>
          <cell r="D786">
            <v>30.204233548745712</v>
          </cell>
          <cell r="E786">
            <v>30.862120290436561</v>
          </cell>
          <cell r="F786">
            <v>43.347381095725467</v>
          </cell>
          <cell r="G786">
            <v>96.803875006770056</v>
          </cell>
          <cell r="H786">
            <v>40.415504587155958</v>
          </cell>
          <cell r="I786">
            <v>33.690578447862052</v>
          </cell>
          <cell r="J786">
            <v>44.851757119051065</v>
          </cell>
          <cell r="M786">
            <v>49.337219315095716</v>
          </cell>
          <cell r="N786">
            <v>40.631348648226286</v>
          </cell>
          <cell r="O786">
            <v>48.999098611832324</v>
          </cell>
          <cell r="P786">
            <v>236.7883299458334</v>
          </cell>
          <cell r="Q786">
            <v>38.078381795195952</v>
          </cell>
          <cell r="R786">
            <v>111.44780827278598</v>
          </cell>
          <cell r="S786">
            <v>54.327736712304102</v>
          </cell>
          <cell r="T786">
            <v>82.801417614467681</v>
          </cell>
        </row>
        <row r="787">
          <cell r="B787" t="str">
            <v>FY0</v>
          </cell>
          <cell r="C787">
            <v>38.112499022087775</v>
          </cell>
          <cell r="D787">
            <v>27.504196028924184</v>
          </cell>
          <cell r="E787">
            <v>29.919835586775626</v>
          </cell>
          <cell r="F787">
            <v>41.274546979672976</v>
          </cell>
          <cell r="G787">
            <v>86.489403842931324</v>
          </cell>
          <cell r="H787">
            <v>37.770476190476195</v>
          </cell>
          <cell r="I787">
            <v>31.484389352146167</v>
          </cell>
          <cell r="J787">
            <v>41.793621000430612</v>
          </cell>
          <cell r="M787">
            <v>39.808419299032487</v>
          </cell>
          <cell r="N787">
            <v>39.599343958504335</v>
          </cell>
          <cell r="O787">
            <v>51.280762386127712</v>
          </cell>
          <cell r="P787">
            <v>206.63203912686348</v>
          </cell>
          <cell r="Q787">
            <v>37.726692209450832</v>
          </cell>
          <cell r="R787">
            <v>94.960263474919032</v>
          </cell>
          <cell r="S787">
            <v>52.530906640433855</v>
          </cell>
          <cell r="T787">
            <v>74.648346727904524</v>
          </cell>
        </row>
        <row r="788">
          <cell r="B788" t="str">
            <v>FY1</v>
          </cell>
          <cell r="C788">
            <v>39.347452029995708</v>
          </cell>
          <cell r="D788">
            <v>29.356748438334701</v>
          </cell>
          <cell r="E788">
            <v>30.52408774498835</v>
          </cell>
          <cell r="F788">
            <v>40.102918192343012</v>
          </cell>
          <cell r="G788">
            <v>88.953357019349212</v>
          </cell>
          <cell r="H788">
            <v>34.435038762035724</v>
          </cell>
          <cell r="I788">
            <v>31.366907365486593</v>
          </cell>
          <cell r="J788">
            <v>42.012358507504757</v>
          </cell>
          <cell r="M788">
            <v>32.314250277819518</v>
          </cell>
          <cell r="N788">
            <v>41.192025535021067</v>
          </cell>
          <cell r="O788">
            <v>51.788879564784338</v>
          </cell>
          <cell r="P788">
            <v>194.15276857213092</v>
          </cell>
          <cell r="Q788">
            <v>40.220785229448175</v>
          </cell>
          <cell r="R788">
            <v>96.921492997836197</v>
          </cell>
          <cell r="S788">
            <v>52.092692826174805</v>
          </cell>
          <cell r="T788">
            <v>72.668985000459287</v>
          </cell>
        </row>
        <row r="789">
          <cell r="B789" t="str">
            <v>FY2</v>
          </cell>
          <cell r="C789">
            <v>40.626498868924216</v>
          </cell>
          <cell r="D789">
            <v>30.080029219039286</v>
          </cell>
          <cell r="E789">
            <v>30.424488748700757</v>
          </cell>
          <cell r="F789">
            <v>40.942278457992401</v>
          </cell>
          <cell r="G789">
            <v>90.531911795975219</v>
          </cell>
          <cell r="H789">
            <v>34.293484579602911</v>
          </cell>
          <cell r="I789">
            <v>31.764467878342945</v>
          </cell>
          <cell r="J789">
            <v>42.666165649796817</v>
          </cell>
          <cell r="M789">
            <v>31.98389582712926</v>
          </cell>
          <cell r="N789">
            <v>43.439322753006394</v>
          </cell>
          <cell r="O789">
            <v>54.5597682803675</v>
          </cell>
          <cell r="P789">
            <v>193.56405949949226</v>
          </cell>
          <cell r="Q789">
            <v>39.34285076815766</v>
          </cell>
          <cell r="R789">
            <v>97.977982331153342</v>
          </cell>
          <cell r="S789">
            <v>51.806692772736874</v>
          </cell>
          <cell r="T789">
            <v>73.239224604577615</v>
          </cell>
        </row>
        <row r="791">
          <cell r="A791" t="str">
            <v>Turnover Ratios</v>
          </cell>
        </row>
        <row r="792">
          <cell r="B792" t="str">
            <v>Inventory Turnover</v>
          </cell>
          <cell r="C792" t="str">
            <v>COGS/ Average Inventory</v>
          </cell>
        </row>
        <row r="793">
          <cell r="B793" t="str">
            <v>FY(5)</v>
          </cell>
        </row>
        <row r="794">
          <cell r="B794" t="str">
            <v>FY(4)</v>
          </cell>
          <cell r="C794">
            <v>3.5887445581823387</v>
          </cell>
          <cell r="D794">
            <v>3.5071104387291983</v>
          </cell>
          <cell r="E794">
            <v>2.4632516703786194</v>
          </cell>
          <cell r="F794">
            <v>5.0049716705396659</v>
          </cell>
          <cell r="G794">
            <v>2.2038539088848883</v>
          </cell>
          <cell r="H794">
            <v>3.8723010121518526</v>
          </cell>
          <cell r="I794">
            <v>4.9345555526362066</v>
          </cell>
          <cell r="J794">
            <v>3.65354125878611</v>
          </cell>
          <cell r="M794">
            <v>2.3139206793057574</v>
          </cell>
          <cell r="N794">
            <v>8.706738923592436</v>
          </cell>
          <cell r="O794">
            <v>5.2531435569993015</v>
          </cell>
          <cell r="P794">
            <v>1.8384352724131579</v>
          </cell>
          <cell r="Q794">
            <v>5.8150057273768612</v>
          </cell>
          <cell r="R794">
            <v>4.2457406756346234</v>
          </cell>
          <cell r="S794">
            <v>4.366211613358483</v>
          </cell>
          <cell r="T794">
            <v>4.648456635525803</v>
          </cell>
        </row>
        <row r="795">
          <cell r="B795" t="str">
            <v>FY(3)</v>
          </cell>
          <cell r="C795">
            <v>3.6501712975682681</v>
          </cell>
          <cell r="D795">
            <v>3.4353324811816504</v>
          </cell>
          <cell r="E795">
            <v>3.0874048376216634</v>
          </cell>
          <cell r="F795">
            <v>5.4819834648124264</v>
          </cell>
          <cell r="G795">
            <v>2.1970428773649524</v>
          </cell>
          <cell r="H795">
            <v>4.1574165729428252</v>
          </cell>
          <cell r="I795">
            <v>4.9681673333211762</v>
          </cell>
          <cell r="J795">
            <v>3.8539312664018519</v>
          </cell>
          <cell r="M795">
            <v>2.8490901919537208</v>
          </cell>
          <cell r="N795">
            <v>8.1120757761678242</v>
          </cell>
          <cell r="O795">
            <v>5.2859602020616983</v>
          </cell>
          <cell r="P795">
            <v>1.7287047394205184</v>
          </cell>
          <cell r="Q795">
            <v>6.0907742509641052</v>
          </cell>
          <cell r="R795">
            <v>4.4077897786054212</v>
          </cell>
          <cell r="S795">
            <v>4.736546617960725</v>
          </cell>
          <cell r="T795">
            <v>4.7444202224477161</v>
          </cell>
        </row>
        <row r="796">
          <cell r="B796" t="str">
            <v>FY(2)</v>
          </cell>
          <cell r="C796">
            <v>3.6994142782691952</v>
          </cell>
          <cell r="D796">
            <v>3.5350521739130434</v>
          </cell>
          <cell r="E796">
            <v>3.1899481127276426</v>
          </cell>
          <cell r="F796">
            <v>5.954933189655172</v>
          </cell>
          <cell r="G796">
            <v>2.5106978879127166</v>
          </cell>
          <cell r="H796">
            <v>4.8450837803911453</v>
          </cell>
          <cell r="I796">
            <v>5.1694422378141152</v>
          </cell>
          <cell r="J796">
            <v>4.1292245229547193</v>
          </cell>
          <cell r="M796">
            <v>3.4340502427098456</v>
          </cell>
          <cell r="N796">
            <v>7.8956659362064769</v>
          </cell>
          <cell r="O796">
            <v>5.6148761723594065</v>
          </cell>
          <cell r="P796">
            <v>1.9336965828087429</v>
          </cell>
          <cell r="Q796">
            <v>6.5361895488477764</v>
          </cell>
          <cell r="R796">
            <v>5.4452466402739583</v>
          </cell>
          <cell r="S796">
            <v>5.4501716804781868</v>
          </cell>
          <cell r="T796">
            <v>5.1871281148120563</v>
          </cell>
        </row>
        <row r="797">
          <cell r="B797" t="str">
            <v>FY(1)</v>
          </cell>
          <cell r="C797">
            <v>3.6118885005242918</v>
          </cell>
          <cell r="D797">
            <v>3.6831045611032631</v>
          </cell>
          <cell r="E797">
            <v>3.198849104859335</v>
          </cell>
          <cell r="F797">
            <v>6.0394694104560624</v>
          </cell>
          <cell r="G797">
            <v>2.9933797133168416</v>
          </cell>
          <cell r="H797">
            <v>5.6531710421566235</v>
          </cell>
          <cell r="I797">
            <v>5.5990322297615744</v>
          </cell>
          <cell r="J797">
            <v>4.3969849374539987</v>
          </cell>
          <cell r="M797">
            <v>3.3758386805393905</v>
          </cell>
          <cell r="N797">
            <v>9.4984013113489549</v>
          </cell>
          <cell r="O797">
            <v>5.8410639509995459</v>
          </cell>
          <cell r="P797">
            <v>2.4002742624542766</v>
          </cell>
          <cell r="Q797">
            <v>6.0871605766007377</v>
          </cell>
          <cell r="R797">
            <v>5.4419906437830923</v>
          </cell>
          <cell r="S797">
            <v>6.3015839113279464</v>
          </cell>
          <cell r="T797">
            <v>5.5637590481505637</v>
          </cell>
        </row>
        <row r="798">
          <cell r="B798" t="str">
            <v>FY0</v>
          </cell>
          <cell r="C798">
            <v>3.5323317687561731</v>
          </cell>
          <cell r="D798">
            <v>3.392747310751735</v>
          </cell>
          <cell r="E798">
            <v>2.9932833540756003</v>
          </cell>
          <cell r="F798">
            <v>5.8804120596511433</v>
          </cell>
          <cell r="G798">
            <v>2.5306349090500406</v>
          </cell>
          <cell r="H798">
            <v>6.2406407993436952</v>
          </cell>
          <cell r="I798">
            <v>5.8044599173301963</v>
          </cell>
          <cell r="J798">
            <v>4.3392157312797979</v>
          </cell>
          <cell r="M798">
            <v>3.6722072190744006</v>
          </cell>
          <cell r="N798">
            <v>9.9304948772299113</v>
          </cell>
          <cell r="O798">
            <v>5.5960303546763486</v>
          </cell>
          <cell r="P798">
            <v>2.7134102297852838</v>
          </cell>
          <cell r="Q798">
            <v>5.615370155671922</v>
          </cell>
          <cell r="R798">
            <v>5.3564095066318336</v>
          </cell>
          <cell r="S798">
            <v>5.8671152610791442</v>
          </cell>
          <cell r="T798">
            <v>5.5358625148784055</v>
          </cell>
        </row>
        <row r="799">
          <cell r="B799" t="str">
            <v>FY1</v>
          </cell>
          <cell r="C799">
            <v>3.5294359731233071</v>
          </cell>
          <cell r="D799">
            <v>3.2608196426672098</v>
          </cell>
          <cell r="E799">
            <v>3.0835504775409524</v>
          </cell>
          <cell r="F799">
            <v>6.0262598083973495</v>
          </cell>
          <cell r="G799">
            <v>2.4805647249526515</v>
          </cell>
          <cell r="H799">
            <v>6.7235442342658001</v>
          </cell>
          <cell r="I799">
            <v>5.9830051554892743</v>
          </cell>
          <cell r="J799">
            <v>4.4410257166337912</v>
          </cell>
          <cell r="M799">
            <v>4.276666494651332</v>
          </cell>
          <cell r="N799">
            <v>9.6775044370445986</v>
          </cell>
          <cell r="O799">
            <v>5.0509147014061533</v>
          </cell>
          <cell r="P799">
            <v>2.7059775822106986</v>
          </cell>
          <cell r="Q799">
            <v>5.5249170463734361</v>
          </cell>
          <cell r="R799">
            <v>5.4821208658836831</v>
          </cell>
          <cell r="S799">
            <v>6.0772587951321562</v>
          </cell>
          <cell r="T799">
            <v>5.542194274671723</v>
          </cell>
        </row>
        <row r="800">
          <cell r="B800" t="str">
            <v>FY2</v>
          </cell>
          <cell r="C800">
            <v>4.0032845383298508</v>
          </cell>
          <cell r="D800">
            <v>3.3294959588521795</v>
          </cell>
          <cell r="E800">
            <v>3.0070600124608067</v>
          </cell>
          <cell r="F800">
            <v>6.0136541557279175</v>
          </cell>
          <cell r="G800">
            <v>2.409865145409928</v>
          </cell>
          <cell r="H800">
            <v>6.7058911884400656</v>
          </cell>
          <cell r="I800">
            <v>6.1706576678799614</v>
          </cell>
          <cell r="J800">
            <v>4.5199869524429586</v>
          </cell>
          <cell r="M800">
            <v>4.3842209929167737</v>
          </cell>
          <cell r="N800">
            <v>11.770801651037218</v>
          </cell>
          <cell r="O800">
            <v>5.9420682003315219</v>
          </cell>
          <cell r="P800">
            <v>2.8352770417443303</v>
          </cell>
          <cell r="Q800">
            <v>5.5555946367844902</v>
          </cell>
          <cell r="R800">
            <v>5.2554780722033101</v>
          </cell>
          <cell r="S800">
            <v>7.170138296630852</v>
          </cell>
          <cell r="T800">
            <v>6.1305112702355</v>
          </cell>
        </row>
        <row r="802">
          <cell r="B802" t="str">
            <v>Receivables Turnover</v>
          </cell>
        </row>
        <row r="803">
          <cell r="B803" t="str">
            <v>FY(5)</v>
          </cell>
        </row>
        <row r="804">
          <cell r="B804" t="str">
            <v>FY(4)</v>
          </cell>
        </row>
        <row r="805">
          <cell r="B805" t="str">
            <v>FY(3)</v>
          </cell>
        </row>
        <row r="806">
          <cell r="B806" t="str">
            <v>FY(2)</v>
          </cell>
        </row>
        <row r="807">
          <cell r="B807" t="str">
            <v>FY(1)</v>
          </cell>
        </row>
        <row r="808">
          <cell r="B808" t="str">
            <v>FY0</v>
          </cell>
        </row>
        <row r="809">
          <cell r="B809" t="str">
            <v>FY1</v>
          </cell>
        </row>
        <row r="810">
          <cell r="B810" t="str">
            <v>FY2</v>
          </cell>
        </row>
        <row r="812">
          <cell r="B812" t="str">
            <v>A/P Turnover</v>
          </cell>
          <cell r="C812" t="str">
            <v>COGS/ Average Accounts Payable</v>
          </cell>
        </row>
        <row r="813">
          <cell r="B813" t="str">
            <v>FY(5)</v>
          </cell>
        </row>
        <row r="814">
          <cell r="B814" t="str">
            <v>FY(4)</v>
          </cell>
          <cell r="C814">
            <v>9.7958054736398239</v>
          </cell>
          <cell r="D814">
            <v>4.0031082714557069</v>
          </cell>
          <cell r="E814">
            <v>2.6948223350253806</v>
          </cell>
          <cell r="F814">
            <v>8.753505280641825</v>
          </cell>
          <cell r="G814">
            <v>8.3344795322748411</v>
          </cell>
          <cell r="H814">
            <v>4.1580473990017675</v>
          </cell>
          <cell r="I814">
            <v>9.0904474753371769</v>
          </cell>
          <cell r="J814">
            <v>6.6900308239109316</v>
          </cell>
          <cell r="M814">
            <v>6.6805714431900833</v>
          </cell>
          <cell r="N814">
            <v>13.905701048041426</v>
          </cell>
          <cell r="O814">
            <v>8.0297280141261229</v>
          </cell>
          <cell r="P814">
            <v>5.3058340929808567</v>
          </cell>
          <cell r="Q814">
            <v>9.0611334225792053</v>
          </cell>
          <cell r="R814">
            <v>11.027610908188233</v>
          </cell>
          <cell r="S814">
            <v>12.961920012891399</v>
          </cell>
          <cell r="T814">
            <v>9.5674998488567606</v>
          </cell>
        </row>
        <row r="815">
          <cell r="B815" t="str">
            <v>FY(3)</v>
          </cell>
          <cell r="C815">
            <v>11.204175871474803</v>
          </cell>
          <cell r="D815">
            <v>3.9057284030356856</v>
          </cell>
          <cell r="E815">
            <v>3.669453670828084</v>
          </cell>
          <cell r="F815">
            <v>9.4526269513663532</v>
          </cell>
          <cell r="G815">
            <v>8.8471371622184858</v>
          </cell>
          <cell r="H815">
            <v>4.2360528769904047</v>
          </cell>
          <cell r="I815">
            <v>9.1472607789399216</v>
          </cell>
          <cell r="J815">
            <v>7.2089193878362483</v>
          </cell>
          <cell r="M815">
            <v>7.7363659731246521</v>
          </cell>
          <cell r="N815">
            <v>11.822018899238763</v>
          </cell>
          <cell r="O815">
            <v>8.8366891739952234</v>
          </cell>
          <cell r="P815">
            <v>4.7958376068461268</v>
          </cell>
          <cell r="Q815">
            <v>9.7078014184397166</v>
          </cell>
          <cell r="R815">
            <v>11.997430077286912</v>
          </cell>
          <cell r="S815">
            <v>11.707256476291473</v>
          </cell>
          <cell r="T815">
            <v>9.5147713750318381</v>
          </cell>
        </row>
        <row r="816">
          <cell r="B816" t="str">
            <v>FY(2)</v>
          </cell>
          <cell r="C816">
            <v>12.183682443352737</v>
          </cell>
          <cell r="D816">
            <v>4.1139922415247092</v>
          </cell>
          <cell r="E816">
            <v>3.9012069180042306</v>
          </cell>
          <cell r="F816">
            <v>9.8769937444146549</v>
          </cell>
          <cell r="G816">
            <v>14.910961161122177</v>
          </cell>
          <cell r="H816">
            <v>4.7735365590208625</v>
          </cell>
          <cell r="I816">
            <v>9.9150343833078871</v>
          </cell>
          <cell r="J816">
            <v>8.5250582072496091</v>
          </cell>
          <cell r="M816">
            <v>8.035058746281722</v>
          </cell>
          <cell r="N816">
            <v>11.75069076414368</v>
          </cell>
          <cell r="O816">
            <v>10.530981044916709</v>
          </cell>
          <cell r="P816">
            <v>4.8310283360993305</v>
          </cell>
          <cell r="Q816">
            <v>10.165572942958102</v>
          </cell>
          <cell r="R816">
            <v>13.105748300127441</v>
          </cell>
          <cell r="S816">
            <v>13.593020624201497</v>
          </cell>
          <cell r="T816">
            <v>10.287442965532639</v>
          </cell>
        </row>
        <row r="817">
          <cell r="B817" t="str">
            <v>FY(1)</v>
          </cell>
          <cell r="C817">
            <v>9.9889927501208309</v>
          </cell>
          <cell r="D817">
            <v>4.095742647329522</v>
          </cell>
          <cell r="E817">
            <v>3.8249235474006116</v>
          </cell>
          <cell r="F817">
            <v>8.424333591931731</v>
          </cell>
          <cell r="G817">
            <v>21.490244702964883</v>
          </cell>
          <cell r="H817">
            <v>4.7607794246042996</v>
          </cell>
          <cell r="I817">
            <v>10.360702845332504</v>
          </cell>
          <cell r="J817">
            <v>8.9922456442406258</v>
          </cell>
          <cell r="M817">
            <v>7.6893096399643879</v>
          </cell>
          <cell r="N817">
            <v>14.650457771405796</v>
          </cell>
          <cell r="O817">
            <v>11.685776286728011</v>
          </cell>
          <cell r="P817">
            <v>6.5079935227440009</v>
          </cell>
          <cell r="Q817">
            <v>9.06993006993007</v>
          </cell>
          <cell r="R817">
            <v>12.289419946699677</v>
          </cell>
          <cell r="S817">
            <v>15.90314618854436</v>
          </cell>
          <cell r="T817">
            <v>11.11371906085947</v>
          </cell>
        </row>
        <row r="818">
          <cell r="B818" t="str">
            <v>FY0</v>
          </cell>
          <cell r="C818">
            <v>8.691082289624811</v>
          </cell>
          <cell r="D818">
            <v>3.7046564480701401</v>
          </cell>
          <cell r="E818">
            <v>3.4688941367079806</v>
          </cell>
          <cell r="F818">
            <v>7.2015440731826743</v>
          </cell>
          <cell r="G818">
            <v>15.85803566469516</v>
          </cell>
          <cell r="H818">
            <v>4.6136866352743597</v>
          </cell>
          <cell r="I818">
            <v>9.6532857111354655</v>
          </cell>
          <cell r="J818">
            <v>7.598740708384371</v>
          </cell>
          <cell r="M818">
            <v>7.1666740644860711</v>
          </cell>
          <cell r="N818">
            <v>14.480976475633927</v>
          </cell>
          <cell r="O818">
            <v>12.482792929544404</v>
          </cell>
          <cell r="P818">
            <v>8.7568525693402997</v>
          </cell>
          <cell r="Q818">
            <v>8.2622426097376138</v>
          </cell>
          <cell r="R818">
            <v>10.801041321580231</v>
          </cell>
          <cell r="S818">
            <v>12.428762254756602</v>
          </cell>
          <cell r="T818">
            <v>10.625620317868449</v>
          </cell>
        </row>
        <row r="819">
          <cell r="B819" t="str">
            <v>FY1</v>
          </cell>
          <cell r="C819">
            <v>8.5301034342688062</v>
          </cell>
          <cell r="D819">
            <v>3.703016351168654</v>
          </cell>
          <cell r="E819">
            <v>3.503132346751415</v>
          </cell>
          <cell r="F819">
            <v>7.3339711264105985</v>
          </cell>
          <cell r="G819">
            <v>15.392331322057588</v>
          </cell>
          <cell r="H819">
            <v>4.7800925822942011</v>
          </cell>
          <cell r="I819">
            <v>9.8151091658853993</v>
          </cell>
          <cell r="J819">
            <v>7.5796794755480947</v>
          </cell>
          <cell r="M819">
            <v>7.8532817061926741</v>
          </cell>
          <cell r="N819">
            <v>14.27806448321237</v>
          </cell>
          <cell r="O819">
            <v>12.416788393118456</v>
          </cell>
          <cell r="P819">
            <v>8.897641167486471</v>
          </cell>
          <cell r="Q819">
            <v>8.2384202956759669</v>
          </cell>
          <cell r="R819">
            <v>10.451007694188212</v>
          </cell>
          <cell r="S819">
            <v>11.380621952277288</v>
          </cell>
          <cell r="T819">
            <v>10.502260813164492</v>
          </cell>
        </row>
        <row r="820">
          <cell r="B820" t="str">
            <v>FY2</v>
          </cell>
          <cell r="C820">
            <v>8.7606422044558485</v>
          </cell>
          <cell r="D820">
            <v>3.7565921169164573</v>
          </cell>
          <cell r="E820">
            <v>3.4980770266096792</v>
          </cell>
          <cell r="F820">
            <v>7.4631980628191394</v>
          </cell>
          <cell r="G820">
            <v>15.944717429726143</v>
          </cell>
          <cell r="H820">
            <v>4.8879482678263715</v>
          </cell>
          <cell r="I820">
            <v>10.14921913677626</v>
          </cell>
          <cell r="J820">
            <v>7.7800563207328421</v>
          </cell>
          <cell r="M820">
            <v>8.1635080695484721</v>
          </cell>
          <cell r="N820">
            <v>15.675178681317171</v>
          </cell>
          <cell r="O820">
            <v>13.209480413793205</v>
          </cell>
          <cell r="P820">
            <v>9.2064498885710986</v>
          </cell>
          <cell r="Q820">
            <v>8.0122358239186706</v>
          </cell>
          <cell r="R820">
            <v>10.598025334503671</v>
          </cell>
          <cell r="S820">
            <v>11.962603629636121</v>
          </cell>
          <cell r="T820">
            <v>10.975354548755488</v>
          </cell>
        </row>
        <row r="823">
          <cell r="A823" t="str">
            <v>DuPont Analysis: ROE</v>
          </cell>
        </row>
        <row r="825">
          <cell r="B825" t="str">
            <v>Net Profit/ Sales</v>
          </cell>
        </row>
        <row r="826">
          <cell r="B826" t="str">
            <v>FY(5)</v>
          </cell>
          <cell r="C826">
            <v>6.0125709402001584E-2</v>
          </cell>
        </row>
        <row r="827">
          <cell r="B827" t="str">
            <v>FY(4)</v>
          </cell>
        </row>
        <row r="828">
          <cell r="B828" t="str">
            <v>FY(3)</v>
          </cell>
        </row>
        <row r="829">
          <cell r="B829" t="str">
            <v>FY(2)</v>
          </cell>
        </row>
        <row r="830">
          <cell r="B830" t="str">
            <v>FY(1)</v>
          </cell>
        </row>
        <row r="831">
          <cell r="B831" t="str">
            <v>FY0</v>
          </cell>
        </row>
        <row r="832">
          <cell r="B832" t="str">
            <v>FY1</v>
          </cell>
        </row>
        <row r="833">
          <cell r="B833" t="str">
            <v>FY2</v>
          </cell>
        </row>
        <row r="835">
          <cell r="B835" t="str">
            <v>Sales/ Assets</v>
          </cell>
        </row>
        <row r="836">
          <cell r="B836" t="str">
            <v>FY(5)</v>
          </cell>
        </row>
        <row r="837">
          <cell r="B837" t="str">
            <v>FY(4)</v>
          </cell>
        </row>
        <row r="838">
          <cell r="B838" t="str">
            <v>FY(3)</v>
          </cell>
        </row>
        <row r="839">
          <cell r="B839" t="str">
            <v>FY(2)</v>
          </cell>
        </row>
        <row r="840">
          <cell r="B840" t="str">
            <v>FY(1)</v>
          </cell>
        </row>
        <row r="841">
          <cell r="B841" t="str">
            <v>FY0</v>
          </cell>
        </row>
        <row r="842">
          <cell r="B842" t="str">
            <v>FY1</v>
          </cell>
        </row>
        <row r="843">
          <cell r="B843" t="str">
            <v>FY2</v>
          </cell>
        </row>
        <row r="845">
          <cell r="B845" t="str">
            <v>Assets/ Equity</v>
          </cell>
        </row>
        <row r="846">
          <cell r="B846" t="str">
            <v>FY(5)</v>
          </cell>
        </row>
        <row r="847">
          <cell r="B847" t="str">
            <v>FY(4)</v>
          </cell>
        </row>
        <row r="848">
          <cell r="B848" t="str">
            <v>FY(3)</v>
          </cell>
        </row>
        <row r="849">
          <cell r="B849" t="str">
            <v>FY(2)</v>
          </cell>
        </row>
        <row r="850">
          <cell r="B850" t="str">
            <v>FY(1)</v>
          </cell>
        </row>
        <row r="851">
          <cell r="B851" t="str">
            <v>FY0</v>
          </cell>
        </row>
        <row r="852">
          <cell r="B852" t="str">
            <v>FY1</v>
          </cell>
        </row>
        <row r="853">
          <cell r="B853" t="str">
            <v>FY2</v>
          </cell>
        </row>
      </sheetData>
      <sheetData sheetId="5"/>
      <sheetData sheetId="6"/>
      <sheetData sheetId="7"/>
      <sheetData sheetId="8" refreshError="1"/>
      <sheetData sheetId="9" refreshError="1"/>
      <sheetData sheetId="10" refreshError="1"/>
      <sheetData sheetId="11" refreshError="1"/>
      <sheetData sheetId="12">
        <row r="1">
          <cell r="R1" t="str">
            <v>SmartCharts</v>
          </cell>
          <cell r="AO1" t="str">
            <v>SmartCharts</v>
          </cell>
          <cell r="CA1" t="str">
            <v>.</v>
          </cell>
        </row>
        <row r="2">
          <cell r="CA2" t="str">
            <v>.</v>
          </cell>
        </row>
        <row r="3">
          <cell r="CA3" t="str">
            <v>.</v>
          </cell>
        </row>
        <row r="4">
          <cell r="CA4" t="str">
            <v>.</v>
          </cell>
        </row>
        <row r="10">
          <cell r="B10" t="str">
            <v>Input your data here:</v>
          </cell>
          <cell r="C10">
            <v>40286</v>
          </cell>
          <cell r="AG10" t="str">
            <v>Base</v>
          </cell>
          <cell r="AJ10" t="str">
            <v>up</v>
          </cell>
          <cell r="AK10" t="str">
            <v>dn</v>
          </cell>
          <cell r="AO10" t="str">
            <v>PT</v>
          </cell>
          <cell r="AP10" t="str">
            <v>BEAR</v>
          </cell>
          <cell r="AQ10" t="str">
            <v>BASE</v>
          </cell>
          <cell r="AR10" t="str">
            <v>BULL</v>
          </cell>
          <cell r="CA10" t="str">
            <v>.</v>
          </cell>
        </row>
        <row r="11">
          <cell r="C11" t="str">
            <v>current
price</v>
          </cell>
          <cell r="D11" t="str">
            <v>Bear</v>
          </cell>
          <cell r="E11" t="str">
            <v>Base</v>
          </cell>
          <cell r="F11" t="str">
            <v>Bull</v>
          </cell>
          <cell r="G11" t="str">
            <v>price
target</v>
          </cell>
          <cell r="I11" t="str">
            <v>sortPT</v>
          </cell>
          <cell r="AC11" t="str">
            <v>Ticker</v>
          </cell>
          <cell r="AD11" t="str">
            <v>BearNeg</v>
          </cell>
          <cell r="AE11" t="str">
            <v>BearPos</v>
          </cell>
          <cell r="AF11" t="str">
            <v>BaseNeg</v>
          </cell>
          <cell r="AG11" t="str">
            <v>BasePos</v>
          </cell>
          <cell r="AH11" t="str">
            <v>BullPos</v>
          </cell>
          <cell r="AI11" t="str">
            <v>BullNeg</v>
          </cell>
          <cell r="AJ11" t="str">
            <v>PTPos</v>
          </cell>
          <cell r="AK11" t="str">
            <v>PTNeg</v>
          </cell>
          <cell r="AL11" t="str">
            <v>current
price</v>
          </cell>
          <cell r="AM11" t="str">
            <v>Legend+</v>
          </cell>
          <cell r="AN11" t="str">
            <v>Legend-</v>
          </cell>
          <cell r="AO11" t="str">
            <v>PT_label</v>
          </cell>
          <cell r="AP11" t="str">
            <v>Bear_label</v>
          </cell>
          <cell r="AQ11" t="str">
            <v>Base_label</v>
          </cell>
          <cell r="AR11" t="str">
            <v>Bull_label</v>
          </cell>
          <cell r="CA11" t="str">
            <v>.</v>
          </cell>
        </row>
        <row r="12">
          <cell r="B12" t="str">
            <v>PVH</v>
          </cell>
          <cell r="C12" t="str">
            <v>#Calc</v>
          </cell>
          <cell r="D12">
            <v>42</v>
          </cell>
          <cell r="E12">
            <v>65</v>
          </cell>
          <cell r="F12">
            <v>81</v>
          </cell>
          <cell r="G12">
            <v>65</v>
          </cell>
          <cell r="I12" t="e">
            <v>#VALUE!</v>
          </cell>
          <cell r="AC12" t="str">
            <v>PVH</v>
          </cell>
          <cell r="AD12" t="e">
            <v>#VALUE!</v>
          </cell>
          <cell r="AE12" t="e">
            <v>#VALUE!</v>
          </cell>
          <cell r="AF12" t="e">
            <v>#VALUE!</v>
          </cell>
          <cell r="AG12" t="e">
            <v>#VALUE!</v>
          </cell>
          <cell r="AH12" t="e">
            <v>#VALUE!</v>
          </cell>
          <cell r="AI12" t="e">
            <v>#VALUE!</v>
          </cell>
          <cell r="AJ12" t="e">
            <v>#VALUE!</v>
          </cell>
          <cell r="AK12" t="e">
            <v>#VALUE!</v>
          </cell>
          <cell r="AL12">
            <v>0</v>
          </cell>
          <cell r="AM12" t="e">
            <v>#N/A</v>
          </cell>
          <cell r="AN12" t="e">
            <v>#N/A</v>
          </cell>
          <cell r="AO12" t="e">
            <v>#N/A</v>
          </cell>
          <cell r="AP12" t="e">
            <v>#N/A</v>
          </cell>
          <cell r="AQ12" t="e">
            <v>#N/A</v>
          </cell>
          <cell r="AR12" t="e">
            <v>#N/A</v>
          </cell>
          <cell r="CA12" t="str">
            <v>.</v>
          </cell>
        </row>
        <row r="13">
          <cell r="B13" t="str">
            <v>JNY</v>
          </cell>
          <cell r="C13" t="str">
            <v>#Calc</v>
          </cell>
          <cell r="D13">
            <v>13</v>
          </cell>
          <cell r="E13">
            <v>21</v>
          </cell>
          <cell r="F13">
            <v>25</v>
          </cell>
          <cell r="G13">
            <v>21</v>
          </cell>
          <cell r="I13" t="e">
            <v>#VALUE!</v>
          </cell>
          <cell r="AC13" t="str">
            <v>JNY</v>
          </cell>
          <cell r="AD13" t="e">
            <v>#VALUE!</v>
          </cell>
          <cell r="AE13" t="e">
            <v>#VALUE!</v>
          </cell>
          <cell r="AF13" t="e">
            <v>#VALUE!</v>
          </cell>
          <cell r="AG13" t="e">
            <v>#VALUE!</v>
          </cell>
          <cell r="AH13" t="e">
            <v>#VALUE!</v>
          </cell>
          <cell r="AI13" t="e">
            <v>#VALUE!</v>
          </cell>
          <cell r="AJ13" t="e">
            <v>#VALUE!</v>
          </cell>
          <cell r="AK13" t="e">
            <v>#VALUE!</v>
          </cell>
          <cell r="AM13" t="e">
            <v>#N/A</v>
          </cell>
          <cell r="AN13" t="e">
            <v>#N/A</v>
          </cell>
          <cell r="AO13" t="e">
            <v>#N/A</v>
          </cell>
          <cell r="AP13" t="e">
            <v>#N/A</v>
          </cell>
          <cell r="AQ13" t="e">
            <v>#N/A</v>
          </cell>
          <cell r="AR13" t="e">
            <v>#N/A</v>
          </cell>
          <cell r="CA13" t="str">
            <v>.</v>
          </cell>
        </row>
        <row r="14">
          <cell r="B14" t="str">
            <v>WRC</v>
          </cell>
          <cell r="C14" t="str">
            <v>#Calc</v>
          </cell>
          <cell r="D14">
            <v>37</v>
          </cell>
          <cell r="E14">
            <v>48</v>
          </cell>
          <cell r="F14">
            <v>63</v>
          </cell>
          <cell r="G14">
            <v>48</v>
          </cell>
          <cell r="I14" t="e">
            <v>#VALUE!</v>
          </cell>
          <cell r="AC14" t="str">
            <v>WRC</v>
          </cell>
          <cell r="AD14" t="e">
            <v>#VALUE!</v>
          </cell>
          <cell r="AE14" t="e">
            <v>#VALUE!</v>
          </cell>
          <cell r="AF14" t="e">
            <v>#VALUE!</v>
          </cell>
          <cell r="AG14" t="e">
            <v>#VALUE!</v>
          </cell>
          <cell r="AH14" t="e">
            <v>#VALUE!</v>
          </cell>
          <cell r="AI14" t="e">
            <v>#VALUE!</v>
          </cell>
          <cell r="AJ14" t="e">
            <v>#VALUE!</v>
          </cell>
          <cell r="AK14" t="e">
            <v>#VALUE!</v>
          </cell>
          <cell r="AM14" t="e">
            <v>#N/A</v>
          </cell>
          <cell r="AN14" t="e">
            <v>#N/A</v>
          </cell>
          <cell r="AO14" t="e">
            <v>#N/A</v>
          </cell>
          <cell r="AP14" t="e">
            <v>#N/A</v>
          </cell>
          <cell r="AQ14" t="e">
            <v>#N/A</v>
          </cell>
          <cell r="AR14" t="e">
            <v>#N/A</v>
          </cell>
          <cell r="CA14" t="str">
            <v>.</v>
          </cell>
        </row>
        <row r="15">
          <cell r="B15" t="str">
            <v>GES</v>
          </cell>
          <cell r="C15" t="str">
            <v>#Calc</v>
          </cell>
          <cell r="D15">
            <v>39</v>
          </cell>
          <cell r="E15">
            <v>48</v>
          </cell>
          <cell r="F15">
            <v>52</v>
          </cell>
          <cell r="G15">
            <v>48</v>
          </cell>
          <cell r="I15" t="e">
            <v>#VALUE!</v>
          </cell>
          <cell r="AC15" t="str">
            <v>GES</v>
          </cell>
          <cell r="AD15" t="e">
            <v>#VALUE!</v>
          </cell>
          <cell r="AE15" t="e">
            <v>#VALUE!</v>
          </cell>
          <cell r="AF15" t="e">
            <v>#VALUE!</v>
          </cell>
          <cell r="AG15" t="e">
            <v>#VALUE!</v>
          </cell>
          <cell r="AH15" t="e">
            <v>#VALUE!</v>
          </cell>
          <cell r="AI15" t="e">
            <v>#VALUE!</v>
          </cell>
          <cell r="AJ15" t="e">
            <v>#VALUE!</v>
          </cell>
          <cell r="AK15" t="e">
            <v>#VALUE!</v>
          </cell>
          <cell r="AM15" t="e">
            <v>#N/A</v>
          </cell>
          <cell r="AN15" t="e">
            <v>#N/A</v>
          </cell>
          <cell r="AO15" t="e">
            <v>#N/A</v>
          </cell>
          <cell r="AP15" t="e">
            <v>#N/A</v>
          </cell>
          <cell r="AQ15" t="e">
            <v>#N/A</v>
          </cell>
          <cell r="AR15" t="e">
            <v>#N/A</v>
          </cell>
          <cell r="CA15" t="str">
            <v>.</v>
          </cell>
        </row>
        <row r="16">
          <cell r="B16" t="str">
            <v>RL</v>
          </cell>
          <cell r="C16" t="str">
            <v>#Calc</v>
          </cell>
          <cell r="D16">
            <v>60</v>
          </cell>
          <cell r="E16">
            <v>80</v>
          </cell>
          <cell r="F16">
            <v>107</v>
          </cell>
          <cell r="G16">
            <v>80</v>
          </cell>
          <cell r="I16" t="e">
            <v>#VALUE!</v>
          </cell>
          <cell r="AC16" t="str">
            <v>RL</v>
          </cell>
          <cell r="AD16" t="e">
            <v>#VALUE!</v>
          </cell>
          <cell r="AE16" t="e">
            <v>#VALUE!</v>
          </cell>
          <cell r="AF16" t="e">
            <v>#VALUE!</v>
          </cell>
          <cell r="AG16" t="e">
            <v>#VALUE!</v>
          </cell>
          <cell r="AH16" t="e">
            <v>#VALUE!</v>
          </cell>
          <cell r="AI16" t="e">
            <v>#VALUE!</v>
          </cell>
          <cell r="AJ16" t="e">
            <v>#VALUE!</v>
          </cell>
          <cell r="AK16" t="e">
            <v>#VALUE!</v>
          </cell>
          <cell r="AM16" t="e">
            <v>#N/A</v>
          </cell>
          <cell r="AN16" t="e">
            <v>#N/A</v>
          </cell>
          <cell r="AO16" t="e">
            <v>#N/A</v>
          </cell>
          <cell r="AP16" t="e">
            <v>#N/A</v>
          </cell>
          <cell r="AQ16" t="e">
            <v>#N/A</v>
          </cell>
          <cell r="AR16" t="e">
            <v>#N/A</v>
          </cell>
          <cell r="CA16" t="str">
            <v>.</v>
          </cell>
        </row>
        <row r="17">
          <cell r="B17" t="str">
            <v>UA</v>
          </cell>
          <cell r="C17" t="str">
            <v>#Calc</v>
          </cell>
          <cell r="D17">
            <v>21</v>
          </cell>
          <cell r="E17">
            <v>27</v>
          </cell>
          <cell r="F17">
            <v>35</v>
          </cell>
          <cell r="G17">
            <v>27</v>
          </cell>
          <cell r="I17" t="e">
            <v>#VALUE!</v>
          </cell>
          <cell r="AC17" t="str">
            <v>UA</v>
          </cell>
          <cell r="AD17" t="e">
            <v>#VALUE!</v>
          </cell>
          <cell r="AE17" t="e">
            <v>#VALUE!</v>
          </cell>
          <cell r="AF17" t="e">
            <v>#VALUE!</v>
          </cell>
          <cell r="AG17" t="e">
            <v>#VALUE!</v>
          </cell>
          <cell r="AH17" t="e">
            <v>#VALUE!</v>
          </cell>
          <cell r="AI17" t="e">
            <v>#VALUE!</v>
          </cell>
          <cell r="AJ17" t="e">
            <v>#VALUE!</v>
          </cell>
          <cell r="AK17" t="e">
            <v>#VALUE!</v>
          </cell>
          <cell r="AM17" t="e">
            <v>#N/A</v>
          </cell>
          <cell r="AN17" t="e">
            <v>#N/A</v>
          </cell>
          <cell r="AO17" t="e">
            <v>#N/A</v>
          </cell>
          <cell r="AP17" t="e">
            <v>#N/A</v>
          </cell>
          <cell r="AQ17" t="e">
            <v>#N/A</v>
          </cell>
          <cell r="AR17" t="e">
            <v>#N/A</v>
          </cell>
          <cell r="CA17" t="str">
            <v>.</v>
          </cell>
        </row>
        <row r="18">
          <cell r="B18" t="str">
            <v>LIZ</v>
          </cell>
          <cell r="C18" t="str">
            <v>#Calc</v>
          </cell>
          <cell r="D18">
            <v>2.5</v>
          </cell>
          <cell r="E18">
            <v>6</v>
          </cell>
          <cell r="F18">
            <v>12</v>
          </cell>
          <cell r="G18">
            <v>6</v>
          </cell>
          <cell r="I18" t="e">
            <v>#VALUE!</v>
          </cell>
          <cell r="AC18" t="str">
            <v>LIZ</v>
          </cell>
          <cell r="AD18" t="e">
            <v>#VALUE!</v>
          </cell>
          <cell r="AE18" t="e">
            <v>#VALUE!</v>
          </cell>
          <cell r="AF18" t="e">
            <v>#VALUE!</v>
          </cell>
          <cell r="AG18" t="e">
            <v>#VALUE!</v>
          </cell>
          <cell r="AH18" t="e">
            <v>#VALUE!</v>
          </cell>
          <cell r="AI18" t="e">
            <v>#VALUE!</v>
          </cell>
          <cell r="AJ18" t="e">
            <v>#VALUE!</v>
          </cell>
          <cell r="AK18" t="e">
            <v>#VALUE!</v>
          </cell>
          <cell r="AM18" t="e">
            <v>#N/A</v>
          </cell>
          <cell r="AN18" t="e">
            <v>#N/A</v>
          </cell>
          <cell r="AO18" t="e">
            <v>#N/A</v>
          </cell>
          <cell r="AP18" t="e">
            <v>#N/A</v>
          </cell>
          <cell r="AQ18" t="e">
            <v>#N/A</v>
          </cell>
          <cell r="AR18" t="e">
            <v>#N/A</v>
          </cell>
          <cell r="CA18" t="str">
            <v>.</v>
          </cell>
        </row>
        <row r="19">
          <cell r="I19" t="e">
            <v>#DIV/0!</v>
          </cell>
          <cell r="AC19">
            <v>0</v>
          </cell>
          <cell r="AD19" t="e">
            <v>#VALUE!</v>
          </cell>
          <cell r="AE19">
            <v>0</v>
          </cell>
          <cell r="AF19">
            <v>0</v>
          </cell>
          <cell r="AG19" t="e">
            <v>#VALUE!</v>
          </cell>
          <cell r="AH19" t="e">
            <v>#VALUE!</v>
          </cell>
          <cell r="AI19">
            <v>0</v>
          </cell>
          <cell r="AJ19" t="e">
            <v>#N/A</v>
          </cell>
          <cell r="AK19" t="e">
            <v>#N/A</v>
          </cell>
          <cell r="AM19">
            <v>1</v>
          </cell>
          <cell r="AN19">
            <v>-1</v>
          </cell>
          <cell r="AO19" t="e">
            <v>#VALUE!</v>
          </cell>
          <cell r="AP19" t="e">
            <v>#VALUE!</v>
          </cell>
          <cell r="AQ19" t="e">
            <v>#VALUE!</v>
          </cell>
          <cell r="AR19" t="e">
            <v>#VALUE!</v>
          </cell>
        </row>
        <row r="20">
          <cell r="I20" t="e">
            <v>#DIV/0!</v>
          </cell>
          <cell r="AC20" t="e">
            <v>#N/A</v>
          </cell>
          <cell r="AD20" t="e">
            <v>#VALUE!</v>
          </cell>
          <cell r="AE20">
            <v>0</v>
          </cell>
          <cell r="AF20">
            <v>0</v>
          </cell>
          <cell r="AG20" t="e">
            <v>#VALUE!</v>
          </cell>
          <cell r="AH20" t="e">
            <v>#VALUE!</v>
          </cell>
          <cell r="AI20">
            <v>0</v>
          </cell>
          <cell r="AJ20" t="e">
            <v>#N/A</v>
          </cell>
          <cell r="AK20" t="e">
            <v>#N/A</v>
          </cell>
          <cell r="AM20">
            <v>1</v>
          </cell>
          <cell r="AN20">
            <v>-1</v>
          </cell>
          <cell r="AO20" t="e">
            <v>#VALUE!</v>
          </cell>
          <cell r="AP20" t="e">
            <v>#VALUE!</v>
          </cell>
          <cell r="AQ20" t="e">
            <v>#VALUE!</v>
          </cell>
          <cell r="AR20" t="e">
            <v>#VALUE!</v>
          </cell>
          <cell r="CA20" t="str">
            <v>.</v>
          </cell>
        </row>
        <row r="21">
          <cell r="AD21" t="e">
            <v>#VALUE!</v>
          </cell>
          <cell r="AE21">
            <v>0</v>
          </cell>
          <cell r="AF21">
            <v>0</v>
          </cell>
          <cell r="AG21" t="e">
            <v>#VALUE!</v>
          </cell>
          <cell r="AH21" t="e">
            <v>#VALUE!</v>
          </cell>
          <cell r="AI21">
            <v>0</v>
          </cell>
          <cell r="AJ21" t="e">
            <v>#N/A</v>
          </cell>
          <cell r="AK21" t="e">
            <v>#N/A</v>
          </cell>
          <cell r="AM21">
            <v>2</v>
          </cell>
          <cell r="AN21">
            <v>-2</v>
          </cell>
          <cell r="AO21" t="e">
            <v>#VALUE!</v>
          </cell>
          <cell r="AP21" t="e">
            <v>#VALUE!</v>
          </cell>
          <cell r="AQ21" t="e">
            <v>#VALUE!</v>
          </cell>
          <cell r="AR21" t="e">
            <v>#VALUE!</v>
          </cell>
          <cell r="CA21" t="str">
            <v>.</v>
          </cell>
        </row>
        <row r="22">
          <cell r="B22" t="str">
            <v>GES</v>
          </cell>
          <cell r="C22" t="str">
            <v>#Calc</v>
          </cell>
          <cell r="D22">
            <v>39</v>
          </cell>
          <cell r="E22">
            <v>48</v>
          </cell>
          <cell r="F22">
            <v>52</v>
          </cell>
          <cell r="G22">
            <v>48</v>
          </cell>
          <cell r="CA22" t="str">
            <v>.</v>
          </cell>
        </row>
        <row r="23">
          <cell r="B23" t="str">
            <v>JNY</v>
          </cell>
          <cell r="C23" t="str">
            <v>#Calc</v>
          </cell>
          <cell r="D23">
            <v>13</v>
          </cell>
          <cell r="E23">
            <v>21</v>
          </cell>
          <cell r="F23">
            <v>25</v>
          </cell>
          <cell r="G23">
            <v>21</v>
          </cell>
          <cell r="AD23" t="e">
            <v>#VALUE!</v>
          </cell>
          <cell r="AE23" t="e">
            <v>#VALUE!</v>
          </cell>
          <cell r="AF23" t="e">
            <v>#VALUE!</v>
          </cell>
          <cell r="AG23" t="e">
            <v>#VALUE!</v>
          </cell>
          <cell r="CA23" t="str">
            <v>.</v>
          </cell>
        </row>
        <row r="24">
          <cell r="B24" t="str">
            <v>LIZ</v>
          </cell>
          <cell r="C24" t="str">
            <v>#Calc</v>
          </cell>
          <cell r="D24">
            <v>2.5</v>
          </cell>
          <cell r="E24">
            <v>6</v>
          </cell>
          <cell r="F24">
            <v>12</v>
          </cell>
          <cell r="G24">
            <v>6</v>
          </cell>
          <cell r="AD24" t="e">
            <v>#VALUE!</v>
          </cell>
          <cell r="AE24" t="e">
            <v>#VALUE!</v>
          </cell>
          <cell r="AF24" t="e">
            <v>#VALUE!</v>
          </cell>
          <cell r="AG24" t="e">
            <v>#VALUE!</v>
          </cell>
          <cell r="CA24" t="str">
            <v>.</v>
          </cell>
        </row>
        <row r="25">
          <cell r="B25" t="str">
            <v>PVH</v>
          </cell>
          <cell r="C25" t="str">
            <v>#Calc</v>
          </cell>
          <cell r="D25">
            <v>42</v>
          </cell>
          <cell r="E25">
            <v>65</v>
          </cell>
          <cell r="F25">
            <v>81</v>
          </cell>
          <cell r="G25">
            <v>65</v>
          </cell>
          <cell r="AD25" t="e">
            <v>#VALUE!</v>
          </cell>
          <cell r="AE25" t="e">
            <v>#VALUE!</v>
          </cell>
          <cell r="AF25" t="e">
            <v>#VALUE!</v>
          </cell>
          <cell r="AG25" t="e">
            <v>#VALUE!</v>
          </cell>
          <cell r="CA25" t="str">
            <v>.</v>
          </cell>
        </row>
        <row r="26">
          <cell r="B26" t="str">
            <v>RL</v>
          </cell>
          <cell r="C26" t="str">
            <v>#Calc</v>
          </cell>
          <cell r="D26">
            <v>60</v>
          </cell>
          <cell r="E26">
            <v>80</v>
          </cell>
          <cell r="F26">
            <v>107</v>
          </cell>
          <cell r="G26">
            <v>80</v>
          </cell>
          <cell r="AD26" t="e">
            <v>#VALUE!</v>
          </cell>
          <cell r="AE26" t="e">
            <v>#VALUE!</v>
          </cell>
          <cell r="AF26" t="e">
            <v>#VALUE!</v>
          </cell>
          <cell r="AG26" t="e">
            <v>#VALUE!</v>
          </cell>
          <cell r="CA26" t="str">
            <v>.</v>
          </cell>
        </row>
        <row r="27">
          <cell r="B27" t="str">
            <v>UA</v>
          </cell>
          <cell r="C27" t="str">
            <v>#Calc</v>
          </cell>
          <cell r="D27">
            <v>21</v>
          </cell>
          <cell r="E27">
            <v>27</v>
          </cell>
          <cell r="F27">
            <v>35</v>
          </cell>
          <cell r="G27">
            <v>27</v>
          </cell>
          <cell r="AD27" t="e">
            <v>#VALUE!</v>
          </cell>
          <cell r="AE27" t="e">
            <v>#VALUE!</v>
          </cell>
          <cell r="AF27" t="e">
            <v>#VALUE!</v>
          </cell>
          <cell r="AG27" t="e">
            <v>#VALUE!</v>
          </cell>
          <cell r="CA27" t="str">
            <v>.</v>
          </cell>
        </row>
        <row r="28">
          <cell r="B28" t="str">
            <v>WRC</v>
          </cell>
          <cell r="C28" t="str">
            <v>#Calc</v>
          </cell>
          <cell r="D28">
            <v>37</v>
          </cell>
          <cell r="E28">
            <v>48</v>
          </cell>
          <cell r="F28">
            <v>63</v>
          </cell>
          <cell r="G28">
            <v>48</v>
          </cell>
          <cell r="AD28" t="e">
            <v>#VALUE!</v>
          </cell>
          <cell r="AE28" t="e">
            <v>#VALUE!</v>
          </cell>
          <cell r="AF28" t="e">
            <v>#VALUE!</v>
          </cell>
          <cell r="AG28" t="e">
            <v>#VALUE!</v>
          </cell>
          <cell r="CA28" t="str">
            <v>.</v>
          </cell>
        </row>
        <row r="29">
          <cell r="AD29" t="e">
            <v>#VALUE!</v>
          </cell>
          <cell r="AE29" t="e">
            <v>#VALUE!</v>
          </cell>
          <cell r="AF29" t="e">
            <v>#VALUE!</v>
          </cell>
          <cell r="AG29" t="e">
            <v>#VALUE!</v>
          </cell>
          <cell r="CA29" t="str">
            <v>.</v>
          </cell>
        </row>
        <row r="30">
          <cell r="AD30" t="e">
            <v>#DIV/0!</v>
          </cell>
          <cell r="AE30" t="e">
            <v>#DIV/0!</v>
          </cell>
          <cell r="AF30" t="e">
            <v>#DIV/0!</v>
          </cell>
          <cell r="AG30" t="e">
            <v>#DIV/0!</v>
          </cell>
          <cell r="CA30" t="str">
            <v>.</v>
          </cell>
        </row>
        <row r="31">
          <cell r="B31" t="str">
            <v>GES</v>
          </cell>
          <cell r="D31" t="e">
            <v>#VALUE!</v>
          </cell>
          <cell r="E31" t="e">
            <v>#VALUE!</v>
          </cell>
          <cell r="F31" t="e">
            <v>#VALUE!</v>
          </cell>
          <cell r="G31" t="e">
            <v>#VALUE!</v>
          </cell>
          <cell r="AD31" t="e">
            <v>#DIV/0!</v>
          </cell>
          <cell r="AE31" t="e">
            <v>#DIV/0!</v>
          </cell>
          <cell r="AF31" t="e">
            <v>#DIV/0!</v>
          </cell>
          <cell r="AG31" t="e">
            <v>#DIV/0!</v>
          </cell>
          <cell r="CA31" t="str">
            <v>.</v>
          </cell>
        </row>
        <row r="32">
          <cell r="B32" t="str">
            <v>JNY</v>
          </cell>
          <cell r="D32" t="e">
            <v>#VALUE!</v>
          </cell>
          <cell r="E32" t="e">
            <v>#VALUE!</v>
          </cell>
          <cell r="F32" t="e">
            <v>#VALUE!</v>
          </cell>
          <cell r="G32" t="e">
            <v>#VALUE!</v>
          </cell>
          <cell r="CA32" t="str">
            <v>.</v>
          </cell>
        </row>
        <row r="33">
          <cell r="B33" t="str">
            <v>LIZ</v>
          </cell>
          <cell r="D33" t="e">
            <v>#VALUE!</v>
          </cell>
          <cell r="E33" t="e">
            <v>#VALUE!</v>
          </cell>
          <cell r="F33" t="e">
            <v>#VALUE!</v>
          </cell>
          <cell r="G33" t="e">
            <v>#VALUE!</v>
          </cell>
          <cell r="CA33" t="str">
            <v>.</v>
          </cell>
        </row>
        <row r="34">
          <cell r="B34" t="str">
            <v>PVH</v>
          </cell>
          <cell r="D34" t="e">
            <v>#VALUE!</v>
          </cell>
          <cell r="E34" t="e">
            <v>#VALUE!</v>
          </cell>
          <cell r="F34" t="e">
            <v>#VALUE!</v>
          </cell>
          <cell r="G34" t="e">
            <v>#VALUE!</v>
          </cell>
          <cell r="CA34" t="str">
            <v>.</v>
          </cell>
        </row>
        <row r="35">
          <cell r="B35" t="str">
            <v>RL</v>
          </cell>
          <cell r="D35" t="e">
            <v>#VALUE!</v>
          </cell>
          <cell r="E35" t="e">
            <v>#VALUE!</v>
          </cell>
          <cell r="F35" t="e">
            <v>#VALUE!</v>
          </cell>
          <cell r="G35" t="e">
            <v>#VALUE!</v>
          </cell>
        </row>
        <row r="36">
          <cell r="B36" t="str">
            <v>UA</v>
          </cell>
          <cell r="D36" t="e">
            <v>#VALUE!</v>
          </cell>
          <cell r="E36" t="e">
            <v>#VALUE!</v>
          </cell>
          <cell r="F36" t="e">
            <v>#VALUE!</v>
          </cell>
          <cell r="G36" t="e">
            <v>#VALUE!</v>
          </cell>
        </row>
        <row r="37">
          <cell r="B37" t="str">
            <v>WRC</v>
          </cell>
          <cell r="D37" t="e">
            <v>#VALUE!</v>
          </cell>
          <cell r="E37" t="e">
            <v>#VALUE!</v>
          </cell>
          <cell r="F37" t="e">
            <v>#VALUE!</v>
          </cell>
          <cell r="G37" t="e">
            <v>#VALUE!</v>
          </cell>
          <cell r="CA37" t="str">
            <v>.</v>
          </cell>
        </row>
        <row r="38">
          <cell r="D38" t="e">
            <v>#VALUE!</v>
          </cell>
          <cell r="E38" t="e">
            <v>#VALUE!</v>
          </cell>
          <cell r="F38" t="e">
            <v>#VALUE!</v>
          </cell>
          <cell r="G38" t="e">
            <v>#VALUE!</v>
          </cell>
          <cell r="I38" t="str">
            <v>click here for link to SmartChart FAQ</v>
          </cell>
          <cell r="CA38" t="str">
            <v>.</v>
          </cell>
        </row>
        <row r="39">
          <cell r="CA39" t="str">
            <v>.</v>
          </cell>
        </row>
        <row r="40">
          <cell r="I40" t="str">
            <v>Do not change the width of the exhibit or font sizes (they are optimized for export to Word).</v>
          </cell>
          <cell r="CA40" t="str">
            <v>.</v>
          </cell>
        </row>
        <row r="41">
          <cell r="CA41" t="str">
            <v>.</v>
          </cell>
        </row>
        <row r="42">
          <cell r="I42" t="str">
            <v>Do not delete any rows or columns (some gray cells are used for calculations).</v>
          </cell>
          <cell r="CA42" t="str">
            <v>.</v>
          </cell>
        </row>
        <row r="43">
          <cell r="B43" t="str">
            <v>Company Name</v>
          </cell>
          <cell r="C43" t="str">
            <v>Ticker</v>
          </cell>
          <cell r="D43" t="str">
            <v>Price</v>
          </cell>
          <cell r="E43" t="str">
            <v>Rating</v>
          </cell>
          <cell r="F43" t="str">
            <v>Price Target</v>
          </cell>
          <cell r="G43" t="str">
            <v>% to Price Target</v>
          </cell>
          <cell r="CA43" t="str">
            <v>.</v>
          </cell>
        </row>
        <row r="44">
          <cell r="B44" t="str">
            <v>Liz Claiborne</v>
          </cell>
          <cell r="C44" t="str">
            <v>PVH</v>
          </cell>
          <cell r="D44" t="str">
            <v>#Calc</v>
          </cell>
          <cell r="E44" t="str">
            <v>Underweight</v>
          </cell>
          <cell r="F44">
            <v>65</v>
          </cell>
          <cell r="G44" t="e">
            <v>#VALUE!</v>
          </cell>
          <cell r="I44" t="str">
            <v>You can move the worksheet into another workbook (please use MOVE; do not COPY)</v>
          </cell>
          <cell r="CA44" t="str">
            <v>.</v>
          </cell>
        </row>
        <row r="45">
          <cell r="B45" t="str">
            <v>Jones Apparel Group</v>
          </cell>
          <cell r="C45" t="str">
            <v>JNY</v>
          </cell>
          <cell r="D45" t="str">
            <v>#Calc</v>
          </cell>
          <cell r="E45" t="str">
            <v>Equal-Weight</v>
          </cell>
          <cell r="F45">
            <v>21</v>
          </cell>
          <cell r="G45" t="e">
            <v>#VALUE!</v>
          </cell>
          <cell r="CA45" t="str">
            <v>.</v>
          </cell>
        </row>
        <row r="46">
          <cell r="B46" t="str">
            <v>Under Armour</v>
          </cell>
          <cell r="C46" t="str">
            <v>WRC</v>
          </cell>
          <cell r="D46" t="str">
            <v>#Calc</v>
          </cell>
          <cell r="E46" t="str">
            <v>Underweight</v>
          </cell>
          <cell r="F46">
            <v>48</v>
          </cell>
          <cell r="G46" t="e">
            <v>#VALUE!</v>
          </cell>
          <cell r="I46" t="str">
            <v>Color palette may be affected after moving the worksheet to another workbook. See instructions in FAQ on the intranet</v>
          </cell>
          <cell r="CA46" t="str">
            <v>.</v>
          </cell>
        </row>
        <row r="47">
          <cell r="B47" t="str">
            <v>Polo Ralph Lauren</v>
          </cell>
          <cell r="C47" t="str">
            <v>GES</v>
          </cell>
          <cell r="D47" t="str">
            <v>#Calc</v>
          </cell>
          <cell r="E47" t="str">
            <v>Equal-Weight</v>
          </cell>
          <cell r="F47">
            <v>48</v>
          </cell>
          <cell r="G47" t="e">
            <v>#VALUE!</v>
          </cell>
          <cell r="CA47" t="str">
            <v>.</v>
          </cell>
        </row>
        <row r="48">
          <cell r="B48" t="str">
            <v>Phillips-Van Heusen</v>
          </cell>
          <cell r="C48" t="str">
            <v>RL</v>
          </cell>
          <cell r="D48" t="str">
            <v>#Calc</v>
          </cell>
          <cell r="E48" t="str">
            <v>Overweight</v>
          </cell>
          <cell r="F48">
            <v>80</v>
          </cell>
          <cell r="G48" t="e">
            <v>#VALUE!</v>
          </cell>
          <cell r="CA48" t="str">
            <v>.</v>
          </cell>
        </row>
        <row r="49">
          <cell r="B49" t="str">
            <v>Guess?</v>
          </cell>
          <cell r="C49" t="str">
            <v>UA</v>
          </cell>
          <cell r="D49" t="str">
            <v>#Calc</v>
          </cell>
          <cell r="E49" t="str">
            <v>Equal-Weight</v>
          </cell>
          <cell r="F49">
            <v>27</v>
          </cell>
          <cell r="G49" t="e">
            <v>#VALUE!</v>
          </cell>
          <cell r="CA49" t="str">
            <v>.</v>
          </cell>
        </row>
        <row r="50">
          <cell r="B50" t="str">
            <v>Warnaco</v>
          </cell>
          <cell r="C50" t="str">
            <v>LIZ</v>
          </cell>
          <cell r="D50" t="str">
            <v>#Calc</v>
          </cell>
          <cell r="E50" t="str">
            <v>Equal-Weight</v>
          </cell>
          <cell r="F50">
            <v>6</v>
          </cell>
          <cell r="G50" t="e">
            <v>#VALUE!</v>
          </cell>
          <cell r="CA50" t="str">
            <v>.</v>
          </cell>
        </row>
        <row r="51">
          <cell r="CA51" t="str">
            <v>.</v>
          </cell>
        </row>
        <row r="52">
          <cell r="CA52" t="str">
            <v>.</v>
          </cell>
        </row>
        <row r="53">
          <cell r="CA53" t="str">
            <v>.</v>
          </cell>
        </row>
        <row r="54">
          <cell r="CA54" t="str">
            <v>.</v>
          </cell>
        </row>
        <row r="55">
          <cell r="CA55" t="str">
            <v>.</v>
          </cell>
        </row>
        <row r="56">
          <cell r="CA56" t="str">
            <v>.</v>
          </cell>
        </row>
        <row r="57">
          <cell r="CA57" t="str">
            <v>.</v>
          </cell>
        </row>
        <row r="58">
          <cell r="CA58" t="str">
            <v>.</v>
          </cell>
        </row>
        <row r="59">
          <cell r="CA59" t="str">
            <v>.</v>
          </cell>
        </row>
        <row r="60">
          <cell r="CA60" t="str">
            <v>.</v>
          </cell>
        </row>
        <row r="61">
          <cell r="CA61" t="str">
            <v>.</v>
          </cell>
        </row>
        <row r="62">
          <cell r="CA62" t="str">
            <v>.</v>
          </cell>
        </row>
        <row r="63">
          <cell r="CA63" t="str">
            <v>.</v>
          </cell>
        </row>
        <row r="64">
          <cell r="CA64" t="str">
            <v>.</v>
          </cell>
        </row>
        <row r="65">
          <cell r="CA65" t="str">
            <v>.</v>
          </cell>
        </row>
        <row r="66">
          <cell r="CA66" t="str">
            <v>.</v>
          </cell>
        </row>
        <row r="67">
          <cell r="CA67" t="str">
            <v>.</v>
          </cell>
        </row>
        <row r="68">
          <cell r="CA68" t="str">
            <v>.</v>
          </cell>
        </row>
        <row r="69">
          <cell r="CA69" t="str">
            <v>.</v>
          </cell>
        </row>
        <row r="70">
          <cell r="CA70" t="str">
            <v>.</v>
          </cell>
        </row>
        <row r="71">
          <cell r="CA71" t="str">
            <v>.</v>
          </cell>
        </row>
        <row r="72">
          <cell r="CA72" t="str">
            <v>.</v>
          </cell>
        </row>
        <row r="73">
          <cell r="CA73" t="str">
            <v>.</v>
          </cell>
        </row>
        <row r="74">
          <cell r="CA74" t="str">
            <v>.</v>
          </cell>
        </row>
        <row r="75">
          <cell r="CA75" t="str">
            <v>.</v>
          </cell>
        </row>
        <row r="76">
          <cell r="CA76" t="str">
            <v>.</v>
          </cell>
        </row>
        <row r="77">
          <cell r="CA77" t="str">
            <v>.</v>
          </cell>
        </row>
        <row r="78">
          <cell r="CA78" t="str">
            <v>.</v>
          </cell>
        </row>
        <row r="79">
          <cell r="CA79" t="str">
            <v>.</v>
          </cell>
        </row>
        <row r="80">
          <cell r="CA80" t="str">
            <v>.</v>
          </cell>
        </row>
        <row r="81">
          <cell r="CA81" t="str">
            <v>.</v>
          </cell>
        </row>
        <row r="82">
          <cell r="CA82" t="str">
            <v>.</v>
          </cell>
        </row>
        <row r="83">
          <cell r="CA83" t="str">
            <v>.</v>
          </cell>
        </row>
        <row r="84">
          <cell r="CA84" t="str">
            <v>.</v>
          </cell>
        </row>
        <row r="85">
          <cell r="CA85" t="str">
            <v>.</v>
          </cell>
        </row>
        <row r="86">
          <cell r="CA86" t="str">
            <v>.</v>
          </cell>
        </row>
        <row r="87">
          <cell r="CA87" t="str">
            <v>.</v>
          </cell>
        </row>
        <row r="88">
          <cell r="CA88" t="str">
            <v>.</v>
          </cell>
        </row>
        <row r="89">
          <cell r="CA89" t="str">
            <v>.</v>
          </cell>
        </row>
        <row r="90">
          <cell r="CA90" t="str">
            <v>.</v>
          </cell>
        </row>
        <row r="91">
          <cell r="CA91" t="str">
            <v>.</v>
          </cell>
        </row>
        <row r="92">
          <cell r="CA92" t="str">
            <v>.</v>
          </cell>
        </row>
        <row r="93">
          <cell r="CA93" t="str">
            <v>.</v>
          </cell>
        </row>
        <row r="94">
          <cell r="CA94" t="str">
            <v>.</v>
          </cell>
        </row>
        <row r="95">
          <cell r="CA95" t="str">
            <v>.</v>
          </cell>
        </row>
        <row r="96">
          <cell r="CA96" t="str">
            <v>.</v>
          </cell>
        </row>
        <row r="97">
          <cell r="CA97" t="str">
            <v>.</v>
          </cell>
        </row>
        <row r="98">
          <cell r="CA98" t="str">
            <v>.</v>
          </cell>
        </row>
        <row r="99">
          <cell r="CA99" t="str">
            <v>.</v>
          </cell>
        </row>
        <row r="100">
          <cell r="CA100" t="str">
            <v>.</v>
          </cell>
        </row>
        <row r="101">
          <cell r="CA101" t="str">
            <v>.</v>
          </cell>
        </row>
        <row r="102">
          <cell r="CA102" t="str">
            <v>.</v>
          </cell>
        </row>
        <row r="103">
          <cell r="CA103" t="str">
            <v>.</v>
          </cell>
        </row>
        <row r="104">
          <cell r="CA104" t="str">
            <v>.</v>
          </cell>
        </row>
        <row r="105">
          <cell r="CA105" t="str">
            <v>.</v>
          </cell>
        </row>
        <row r="106">
          <cell r="CA106" t="str">
            <v>.</v>
          </cell>
        </row>
        <row r="107">
          <cell r="CA107" t="str">
            <v>.</v>
          </cell>
        </row>
        <row r="108">
          <cell r="CA108" t="str">
            <v>.</v>
          </cell>
        </row>
        <row r="109">
          <cell r="CA109" t="str">
            <v>.</v>
          </cell>
        </row>
        <row r="110">
          <cell r="CA110" t="str">
            <v>.</v>
          </cell>
        </row>
        <row r="111">
          <cell r="CA111" t="str">
            <v>.</v>
          </cell>
        </row>
        <row r="112">
          <cell r="CA112" t="str">
            <v>.</v>
          </cell>
        </row>
        <row r="113">
          <cell r="CA113" t="str">
            <v>.</v>
          </cell>
        </row>
        <row r="114">
          <cell r="CA114" t="str">
            <v>.</v>
          </cell>
        </row>
        <row r="115">
          <cell r="CA115" t="str">
            <v>.</v>
          </cell>
        </row>
        <row r="116">
          <cell r="CA116" t="str">
            <v>.</v>
          </cell>
        </row>
        <row r="117">
          <cell r="CA117" t="str">
            <v>.</v>
          </cell>
        </row>
        <row r="118">
          <cell r="CA118" t="str">
            <v>.</v>
          </cell>
        </row>
        <row r="119">
          <cell r="CA119" t="str">
            <v>.</v>
          </cell>
        </row>
        <row r="120">
          <cell r="CA120" t="str">
            <v>.</v>
          </cell>
        </row>
        <row r="121">
          <cell r="CA121" t="str">
            <v>.</v>
          </cell>
        </row>
        <row r="122">
          <cell r="CA122" t="str">
            <v>.</v>
          </cell>
        </row>
        <row r="123">
          <cell r="CA123" t="str">
            <v>.</v>
          </cell>
        </row>
        <row r="124">
          <cell r="CA124" t="str">
            <v>.</v>
          </cell>
        </row>
        <row r="125">
          <cell r="CA125" t="str">
            <v>.</v>
          </cell>
        </row>
        <row r="126">
          <cell r="CA126" t="str">
            <v>.</v>
          </cell>
        </row>
        <row r="127">
          <cell r="CA127" t="str">
            <v>.</v>
          </cell>
        </row>
        <row r="128">
          <cell r="CA128" t="str">
            <v>.</v>
          </cell>
        </row>
        <row r="129">
          <cell r="CA129" t="str">
            <v>.</v>
          </cell>
        </row>
        <row r="130">
          <cell r="CA130" t="str">
            <v>.</v>
          </cell>
        </row>
        <row r="131">
          <cell r="CA131" t="str">
            <v>.</v>
          </cell>
        </row>
        <row r="132">
          <cell r="CA132" t="str">
            <v>.</v>
          </cell>
        </row>
        <row r="133">
          <cell r="CA133" t="str">
            <v>.</v>
          </cell>
        </row>
        <row r="134">
          <cell r="CA134" t="str">
            <v>.</v>
          </cell>
        </row>
        <row r="135">
          <cell r="CA135" t="str">
            <v>.</v>
          </cell>
        </row>
        <row r="136">
          <cell r="CA136" t="str">
            <v>.</v>
          </cell>
        </row>
        <row r="137">
          <cell r="CA137" t="str">
            <v>.</v>
          </cell>
        </row>
        <row r="138">
          <cell r="CA138" t="str">
            <v>.</v>
          </cell>
        </row>
        <row r="139">
          <cell r="CA139" t="str">
            <v>.</v>
          </cell>
        </row>
        <row r="140">
          <cell r="CA140" t="str">
            <v>.</v>
          </cell>
        </row>
        <row r="141">
          <cell r="CA141" t="str">
            <v>.</v>
          </cell>
        </row>
        <row r="142">
          <cell r="CA142" t="str">
            <v>.</v>
          </cell>
        </row>
        <row r="143">
          <cell r="CA143" t="str">
            <v>.</v>
          </cell>
        </row>
        <row r="144">
          <cell r="CA144" t="str">
            <v>.</v>
          </cell>
        </row>
        <row r="145">
          <cell r="CA145" t="str">
            <v>.</v>
          </cell>
        </row>
        <row r="146">
          <cell r="CA146" t="str">
            <v>.</v>
          </cell>
        </row>
        <row r="147">
          <cell r="CA147" t="str">
            <v>.</v>
          </cell>
        </row>
        <row r="148">
          <cell r="CA148" t="str">
            <v>.</v>
          </cell>
        </row>
        <row r="149">
          <cell r="CA149" t="str">
            <v>.</v>
          </cell>
        </row>
        <row r="150">
          <cell r="CA150" t="str">
            <v>.</v>
          </cell>
        </row>
        <row r="151">
          <cell r="CA151" t="str">
            <v>.</v>
          </cell>
        </row>
        <row r="152">
          <cell r="CA152" t="str">
            <v>.</v>
          </cell>
        </row>
        <row r="153">
          <cell r="CA153" t="str">
            <v>.</v>
          </cell>
        </row>
        <row r="154">
          <cell r="CA154" t="str">
            <v>.</v>
          </cell>
        </row>
        <row r="155">
          <cell r="CA155" t="str">
            <v>.</v>
          </cell>
        </row>
        <row r="156">
          <cell r="CA156" t="str">
            <v>.</v>
          </cell>
        </row>
        <row r="157">
          <cell r="CA157" t="str">
            <v>.</v>
          </cell>
        </row>
        <row r="158">
          <cell r="CA158" t="str">
            <v>.</v>
          </cell>
        </row>
        <row r="159">
          <cell r="CA159" t="str">
            <v>.</v>
          </cell>
        </row>
        <row r="160">
          <cell r="CA160" t="str">
            <v>.</v>
          </cell>
        </row>
        <row r="161">
          <cell r="CA161" t="str">
            <v>.</v>
          </cell>
        </row>
        <row r="162">
          <cell r="CA162" t="str">
            <v>.</v>
          </cell>
        </row>
        <row r="163">
          <cell r="CA163" t="str">
            <v>.</v>
          </cell>
        </row>
        <row r="164">
          <cell r="CA164" t="str">
            <v>.</v>
          </cell>
        </row>
        <row r="165">
          <cell r="CA165" t="str">
            <v>.</v>
          </cell>
        </row>
        <row r="166">
          <cell r="CA166" t="str">
            <v>.</v>
          </cell>
        </row>
        <row r="167">
          <cell r="CA167" t="str">
            <v>.</v>
          </cell>
        </row>
        <row r="168">
          <cell r="CA168" t="str">
            <v>.</v>
          </cell>
        </row>
        <row r="169">
          <cell r="CA169" t="str">
            <v>.</v>
          </cell>
        </row>
        <row r="170">
          <cell r="CA170" t="str">
            <v>.</v>
          </cell>
        </row>
        <row r="171">
          <cell r="CA171" t="str">
            <v>.</v>
          </cell>
        </row>
        <row r="172">
          <cell r="CA172" t="str">
            <v>.</v>
          </cell>
        </row>
        <row r="173">
          <cell r="CA173" t="str">
            <v>.</v>
          </cell>
        </row>
        <row r="174">
          <cell r="CA174" t="str">
            <v>.</v>
          </cell>
        </row>
        <row r="175">
          <cell r="CA175" t="str">
            <v>.</v>
          </cell>
        </row>
        <row r="176">
          <cell r="CA176" t="str">
            <v>.</v>
          </cell>
        </row>
        <row r="177">
          <cell r="CA177" t="str">
            <v>.</v>
          </cell>
        </row>
        <row r="178">
          <cell r="CA178" t="str">
            <v>.</v>
          </cell>
        </row>
        <row r="179">
          <cell r="CA179" t="str">
            <v>.</v>
          </cell>
        </row>
        <row r="180">
          <cell r="CA180" t="str">
            <v>.</v>
          </cell>
        </row>
        <row r="181">
          <cell r="CA181" t="str">
            <v>.</v>
          </cell>
        </row>
        <row r="182">
          <cell r="CA182" t="str">
            <v>.</v>
          </cell>
        </row>
        <row r="183">
          <cell r="CA183" t="str">
            <v>.</v>
          </cell>
        </row>
        <row r="184">
          <cell r="CA184" t="str">
            <v>.</v>
          </cell>
        </row>
        <row r="185">
          <cell r="CA185" t="str">
            <v>.</v>
          </cell>
        </row>
        <row r="186">
          <cell r="CA186" t="str">
            <v>.</v>
          </cell>
        </row>
        <row r="187">
          <cell r="CA187" t="str">
            <v>.</v>
          </cell>
        </row>
        <row r="188">
          <cell r="CA188" t="str">
            <v>.</v>
          </cell>
        </row>
        <row r="189">
          <cell r="CA189" t="str">
            <v>.</v>
          </cell>
        </row>
        <row r="190">
          <cell r="CA190" t="str">
            <v>.</v>
          </cell>
        </row>
        <row r="191">
          <cell r="CA191" t="str">
            <v>.</v>
          </cell>
        </row>
        <row r="192">
          <cell r="CA192" t="str">
            <v>.</v>
          </cell>
        </row>
        <row r="193">
          <cell r="CA193" t="str">
            <v>.</v>
          </cell>
        </row>
        <row r="194">
          <cell r="CA194" t="str">
            <v>.</v>
          </cell>
        </row>
        <row r="195">
          <cell r="CA195" t="str">
            <v>.</v>
          </cell>
        </row>
        <row r="196">
          <cell r="CA196" t="str">
            <v>.</v>
          </cell>
        </row>
        <row r="197">
          <cell r="CA197" t="str">
            <v>.</v>
          </cell>
        </row>
        <row r="198">
          <cell r="CA198" t="str">
            <v>.</v>
          </cell>
        </row>
        <row r="199">
          <cell r="CA199" t="str">
            <v>.</v>
          </cell>
        </row>
        <row r="200">
          <cell r="CA200" t="str">
            <v>.</v>
          </cell>
        </row>
        <row r="201">
          <cell r="CA201" t="str">
            <v>.</v>
          </cell>
        </row>
        <row r="202">
          <cell r="CA202" t="str">
            <v>.</v>
          </cell>
        </row>
        <row r="203">
          <cell r="CA203" t="str">
            <v>.</v>
          </cell>
        </row>
        <row r="204">
          <cell r="CA204" t="str">
            <v>.</v>
          </cell>
        </row>
        <row r="205">
          <cell r="CA205" t="str">
            <v>.</v>
          </cell>
        </row>
        <row r="206">
          <cell r="CA206" t="str">
            <v>.</v>
          </cell>
        </row>
        <row r="207">
          <cell r="CA207" t="str">
            <v>.</v>
          </cell>
        </row>
        <row r="208">
          <cell r="CA208" t="str">
            <v>.</v>
          </cell>
        </row>
        <row r="209">
          <cell r="CA209" t="str">
            <v>.</v>
          </cell>
        </row>
        <row r="210">
          <cell r="CA210" t="str">
            <v>.</v>
          </cell>
        </row>
        <row r="211">
          <cell r="CA211" t="str">
            <v>.</v>
          </cell>
        </row>
        <row r="212">
          <cell r="CA212" t="str">
            <v>.</v>
          </cell>
        </row>
        <row r="213">
          <cell r="CA213" t="str">
            <v>.</v>
          </cell>
        </row>
        <row r="214">
          <cell r="CA214" t="str">
            <v>.</v>
          </cell>
        </row>
        <row r="215">
          <cell r="CA215" t="str">
            <v>.</v>
          </cell>
        </row>
        <row r="216">
          <cell r="CA216" t="str">
            <v>.</v>
          </cell>
        </row>
        <row r="217">
          <cell r="CA217" t="str">
            <v>.</v>
          </cell>
        </row>
        <row r="218">
          <cell r="CA218" t="str">
            <v>.</v>
          </cell>
        </row>
        <row r="219">
          <cell r="CA219" t="str">
            <v>.</v>
          </cell>
        </row>
        <row r="220">
          <cell r="CA220" t="str">
            <v>.</v>
          </cell>
        </row>
        <row r="221">
          <cell r="CA221" t="str">
            <v>.</v>
          </cell>
        </row>
        <row r="222">
          <cell r="CA222" t="str">
            <v>.</v>
          </cell>
        </row>
        <row r="223">
          <cell r="CA223" t="str">
            <v>.</v>
          </cell>
        </row>
        <row r="224">
          <cell r="CA224" t="str">
            <v>.</v>
          </cell>
        </row>
        <row r="225">
          <cell r="CA225" t="str">
            <v>.</v>
          </cell>
        </row>
        <row r="226">
          <cell r="CA226" t="str">
            <v>.</v>
          </cell>
        </row>
        <row r="227">
          <cell r="CA227" t="str">
            <v>.</v>
          </cell>
        </row>
        <row r="228">
          <cell r="CA228" t="str">
            <v>.</v>
          </cell>
        </row>
        <row r="229">
          <cell r="CA229" t="str">
            <v>.</v>
          </cell>
        </row>
        <row r="230">
          <cell r="CA230" t="str">
            <v>.</v>
          </cell>
        </row>
        <row r="231">
          <cell r="CA231" t="str">
            <v>.</v>
          </cell>
        </row>
        <row r="232">
          <cell r="CA232" t="str">
            <v>.</v>
          </cell>
        </row>
        <row r="233">
          <cell r="CA233" t="str">
            <v>.</v>
          </cell>
        </row>
        <row r="234">
          <cell r="CA234" t="str">
            <v>.</v>
          </cell>
        </row>
        <row r="235">
          <cell r="CA235" t="str">
            <v>.</v>
          </cell>
        </row>
        <row r="236">
          <cell r="CA236" t="str">
            <v>.</v>
          </cell>
        </row>
        <row r="237">
          <cell r="CA237" t="str">
            <v>.</v>
          </cell>
        </row>
        <row r="238">
          <cell r="CA238" t="str">
            <v>.</v>
          </cell>
        </row>
        <row r="239">
          <cell r="CA239" t="str">
            <v>.</v>
          </cell>
        </row>
        <row r="240">
          <cell r="CA240" t="str">
            <v>.</v>
          </cell>
        </row>
        <row r="241">
          <cell r="CA241" t="str">
            <v>.</v>
          </cell>
        </row>
        <row r="242">
          <cell r="CA242" t="str">
            <v>.</v>
          </cell>
        </row>
        <row r="243">
          <cell r="CA243" t="str">
            <v>.</v>
          </cell>
        </row>
        <row r="244">
          <cell r="CA244" t="str">
            <v>.</v>
          </cell>
        </row>
        <row r="245">
          <cell r="CA245" t="str">
            <v>.</v>
          </cell>
        </row>
        <row r="246">
          <cell r="CA246" t="str">
            <v>.</v>
          </cell>
        </row>
        <row r="247">
          <cell r="CA247" t="str">
            <v>.</v>
          </cell>
        </row>
        <row r="248">
          <cell r="CA248" t="str">
            <v>.</v>
          </cell>
        </row>
        <row r="249">
          <cell r="CA249" t="str">
            <v>.</v>
          </cell>
        </row>
        <row r="250">
          <cell r="CA250" t="str">
            <v>.</v>
          </cell>
        </row>
        <row r="251">
          <cell r="CA251" t="str">
            <v>.</v>
          </cell>
        </row>
        <row r="252">
          <cell r="CA252" t="str">
            <v>.</v>
          </cell>
        </row>
        <row r="253">
          <cell r="CA253" t="str">
            <v>.</v>
          </cell>
        </row>
        <row r="254">
          <cell r="CA254" t="str">
            <v>.</v>
          </cell>
        </row>
        <row r="255">
          <cell r="CA255" t="str">
            <v>.</v>
          </cell>
        </row>
        <row r="256">
          <cell r="CA256" t="str">
            <v>.</v>
          </cell>
        </row>
        <row r="257">
          <cell r="CA257" t="str">
            <v>.</v>
          </cell>
        </row>
        <row r="258">
          <cell r="CA258" t="str">
            <v>.</v>
          </cell>
        </row>
        <row r="259">
          <cell r="CA259" t="str">
            <v>.</v>
          </cell>
        </row>
        <row r="260">
          <cell r="CA260" t="str">
            <v>.</v>
          </cell>
        </row>
        <row r="261">
          <cell r="CA261" t="str">
            <v>.</v>
          </cell>
        </row>
        <row r="262">
          <cell r="CA262" t="str">
            <v>.</v>
          </cell>
        </row>
        <row r="263">
          <cell r="CA263" t="str">
            <v>.</v>
          </cell>
        </row>
        <row r="264">
          <cell r="CA264" t="str">
            <v>.</v>
          </cell>
        </row>
        <row r="265">
          <cell r="CA265" t="str">
            <v>.</v>
          </cell>
        </row>
        <row r="266">
          <cell r="CA266" t="str">
            <v>.</v>
          </cell>
        </row>
        <row r="267">
          <cell r="CA267" t="str">
            <v>.</v>
          </cell>
        </row>
        <row r="268">
          <cell r="CA268" t="str">
            <v>.</v>
          </cell>
        </row>
        <row r="269">
          <cell r="CA269" t="str">
            <v>.</v>
          </cell>
        </row>
        <row r="270">
          <cell r="CA270" t="str">
            <v>.</v>
          </cell>
        </row>
        <row r="271">
          <cell r="CA271" t="str">
            <v>.</v>
          </cell>
        </row>
        <row r="272">
          <cell r="CA272" t="str">
            <v>.</v>
          </cell>
        </row>
        <row r="273">
          <cell r="CA273" t="str">
            <v>.</v>
          </cell>
        </row>
        <row r="274">
          <cell r="CA274" t="str">
            <v>.</v>
          </cell>
        </row>
        <row r="275">
          <cell r="CA275" t="str">
            <v>.</v>
          </cell>
        </row>
        <row r="276">
          <cell r="CA276" t="str">
            <v>.</v>
          </cell>
        </row>
        <row r="277">
          <cell r="CA277" t="str">
            <v>.</v>
          </cell>
        </row>
        <row r="278">
          <cell r="CA278" t="str">
            <v>.</v>
          </cell>
        </row>
        <row r="279">
          <cell r="CA279" t="str">
            <v>.</v>
          </cell>
        </row>
        <row r="280">
          <cell r="CA280" t="str">
            <v>.</v>
          </cell>
        </row>
        <row r="281">
          <cell r="CA281" t="str">
            <v>.</v>
          </cell>
        </row>
        <row r="282">
          <cell r="CA282" t="str">
            <v>.</v>
          </cell>
        </row>
        <row r="283">
          <cell r="CA283" t="str">
            <v>.</v>
          </cell>
        </row>
        <row r="284">
          <cell r="CA284" t="str">
            <v>.</v>
          </cell>
        </row>
        <row r="285">
          <cell r="CA285" t="str">
            <v>.</v>
          </cell>
        </row>
        <row r="286">
          <cell r="CA286" t="str">
            <v>.</v>
          </cell>
        </row>
        <row r="287">
          <cell r="CA287" t="str">
            <v>.</v>
          </cell>
        </row>
        <row r="288">
          <cell r="CA288" t="str">
            <v>.</v>
          </cell>
        </row>
        <row r="289">
          <cell r="CA289" t="str">
            <v>.</v>
          </cell>
        </row>
        <row r="290">
          <cell r="CA290" t="str">
            <v>.</v>
          </cell>
        </row>
        <row r="291">
          <cell r="CA291" t="str">
            <v>.</v>
          </cell>
        </row>
        <row r="292">
          <cell r="CA292" t="str">
            <v>.</v>
          </cell>
        </row>
        <row r="293">
          <cell r="CA293" t="str">
            <v>.</v>
          </cell>
        </row>
        <row r="294">
          <cell r="CA294" t="str">
            <v>.</v>
          </cell>
        </row>
        <row r="295">
          <cell r="CA295" t="str">
            <v>.</v>
          </cell>
        </row>
        <row r="296">
          <cell r="CA296" t="str">
            <v>.</v>
          </cell>
        </row>
        <row r="297">
          <cell r="CA297" t="str">
            <v>.</v>
          </cell>
        </row>
        <row r="298">
          <cell r="CA298" t="str">
            <v>.</v>
          </cell>
        </row>
        <row r="299">
          <cell r="CA299" t="str">
            <v>.</v>
          </cell>
        </row>
        <row r="300">
          <cell r="CA300" t="str">
            <v>.</v>
          </cell>
        </row>
        <row r="301">
          <cell r="CA301" t="str">
            <v>.</v>
          </cell>
        </row>
        <row r="302">
          <cell r="CA302" t="str">
            <v>.</v>
          </cell>
        </row>
        <row r="303">
          <cell r="CA303" t="str">
            <v>.</v>
          </cell>
        </row>
        <row r="304">
          <cell r="CA304" t="str">
            <v>.</v>
          </cell>
        </row>
        <row r="305">
          <cell r="CA305" t="str">
            <v>.</v>
          </cell>
        </row>
        <row r="306">
          <cell r="CA306" t="str">
            <v>.</v>
          </cell>
        </row>
        <row r="307">
          <cell r="CA307" t="str">
            <v>.</v>
          </cell>
        </row>
        <row r="308">
          <cell r="CA308" t="str">
            <v>.</v>
          </cell>
        </row>
        <row r="309">
          <cell r="CA309" t="str">
            <v>.</v>
          </cell>
        </row>
        <row r="310">
          <cell r="CA310" t="str">
            <v>.</v>
          </cell>
        </row>
        <row r="311">
          <cell r="CA311" t="str">
            <v>.</v>
          </cell>
        </row>
        <row r="312">
          <cell r="CA312" t="str">
            <v>.</v>
          </cell>
        </row>
        <row r="313">
          <cell r="CA313" t="str">
            <v>.</v>
          </cell>
        </row>
        <row r="314">
          <cell r="CA314" t="str">
            <v>.</v>
          </cell>
        </row>
        <row r="315">
          <cell r="CA315" t="str">
            <v>.</v>
          </cell>
        </row>
        <row r="316">
          <cell r="CA316" t="str">
            <v>.</v>
          </cell>
        </row>
        <row r="317">
          <cell r="CA317" t="str">
            <v>.</v>
          </cell>
        </row>
        <row r="318">
          <cell r="CA318" t="str">
            <v>.</v>
          </cell>
        </row>
        <row r="319">
          <cell r="CA319" t="str">
            <v>.</v>
          </cell>
        </row>
        <row r="320">
          <cell r="CA320" t="str">
            <v>.</v>
          </cell>
        </row>
        <row r="321">
          <cell r="CA321" t="str">
            <v>.</v>
          </cell>
        </row>
        <row r="322">
          <cell r="CA322" t="str">
            <v>.</v>
          </cell>
        </row>
        <row r="323">
          <cell r="CA323" t="str">
            <v>.</v>
          </cell>
        </row>
        <row r="324">
          <cell r="CA324" t="str">
            <v>.</v>
          </cell>
        </row>
        <row r="325">
          <cell r="CA325" t="str">
            <v>.</v>
          </cell>
        </row>
        <row r="326">
          <cell r="CA326" t="str">
            <v>.</v>
          </cell>
        </row>
        <row r="327">
          <cell r="CA327" t="str">
            <v>.</v>
          </cell>
        </row>
        <row r="328">
          <cell r="CA328" t="str">
            <v>.</v>
          </cell>
        </row>
        <row r="329">
          <cell r="CA329" t="str">
            <v>.</v>
          </cell>
        </row>
        <row r="330">
          <cell r="CA330" t="str">
            <v>.</v>
          </cell>
        </row>
        <row r="331">
          <cell r="CA331" t="str">
            <v>.</v>
          </cell>
        </row>
        <row r="332">
          <cell r="CA332" t="str">
            <v>.</v>
          </cell>
        </row>
        <row r="333">
          <cell r="CA333" t="str">
            <v>.</v>
          </cell>
        </row>
        <row r="334">
          <cell r="CA334" t="str">
            <v>.</v>
          </cell>
        </row>
        <row r="335">
          <cell r="CA335" t="str">
            <v>.</v>
          </cell>
        </row>
        <row r="336">
          <cell r="CA336" t="str">
            <v>.</v>
          </cell>
        </row>
        <row r="337">
          <cell r="CA337" t="str">
            <v>.</v>
          </cell>
        </row>
        <row r="338">
          <cell r="CA338" t="str">
            <v>.</v>
          </cell>
        </row>
        <row r="339">
          <cell r="CA339" t="str">
            <v>.</v>
          </cell>
        </row>
        <row r="340">
          <cell r="CA340" t="str">
            <v>.</v>
          </cell>
        </row>
        <row r="341">
          <cell r="CA341" t="str">
            <v>.</v>
          </cell>
        </row>
        <row r="342">
          <cell r="CA342" t="str">
            <v>.</v>
          </cell>
        </row>
        <row r="343">
          <cell r="CA343" t="str">
            <v>.</v>
          </cell>
        </row>
        <row r="344">
          <cell r="CA344" t="str">
            <v>.</v>
          </cell>
        </row>
        <row r="345">
          <cell r="CA345" t="str">
            <v>.</v>
          </cell>
        </row>
        <row r="346">
          <cell r="CA346" t="str">
            <v>.</v>
          </cell>
        </row>
        <row r="347">
          <cell r="CA347" t="str">
            <v>.</v>
          </cell>
        </row>
        <row r="348">
          <cell r="CA348" t="str">
            <v>.</v>
          </cell>
        </row>
        <row r="349">
          <cell r="CA349" t="str">
            <v>.</v>
          </cell>
        </row>
        <row r="350">
          <cell r="CA350" t="str">
            <v>.</v>
          </cell>
        </row>
        <row r="351">
          <cell r="CA351" t="str">
            <v>.</v>
          </cell>
        </row>
        <row r="352">
          <cell r="CA352" t="str">
            <v>.</v>
          </cell>
        </row>
        <row r="353">
          <cell r="CA353" t="str">
            <v>.</v>
          </cell>
        </row>
        <row r="354">
          <cell r="CA354" t="str">
            <v>.</v>
          </cell>
        </row>
        <row r="355">
          <cell r="CA355" t="str">
            <v>.</v>
          </cell>
        </row>
        <row r="356">
          <cell r="CA356" t="str">
            <v>.</v>
          </cell>
        </row>
        <row r="357">
          <cell r="CA357" t="str">
            <v>.</v>
          </cell>
        </row>
        <row r="358">
          <cell r="CA358" t="str">
            <v>.</v>
          </cell>
        </row>
        <row r="359">
          <cell r="CA359" t="str">
            <v>.</v>
          </cell>
        </row>
        <row r="360">
          <cell r="CA360" t="str">
            <v>.</v>
          </cell>
        </row>
        <row r="361">
          <cell r="CA361" t="str">
            <v>.</v>
          </cell>
        </row>
        <row r="362">
          <cell r="CA362" t="str">
            <v>.</v>
          </cell>
        </row>
        <row r="363">
          <cell r="CA363" t="str">
            <v>.</v>
          </cell>
        </row>
        <row r="364">
          <cell r="CA364" t="str">
            <v>.</v>
          </cell>
        </row>
        <row r="365">
          <cell r="CA365" t="str">
            <v>.</v>
          </cell>
        </row>
        <row r="366">
          <cell r="CA366" t="str">
            <v>.</v>
          </cell>
        </row>
        <row r="367">
          <cell r="CA367" t="str">
            <v>.</v>
          </cell>
        </row>
        <row r="368">
          <cell r="CA368" t="str">
            <v>.</v>
          </cell>
        </row>
        <row r="369">
          <cell r="CA369" t="str">
            <v>.</v>
          </cell>
        </row>
        <row r="370">
          <cell r="CA370" t="str">
            <v>.</v>
          </cell>
        </row>
        <row r="371">
          <cell r="CA371" t="str">
            <v>.</v>
          </cell>
        </row>
        <row r="372">
          <cell r="CA372" t="str">
            <v>.</v>
          </cell>
        </row>
        <row r="373">
          <cell r="CA373" t="str">
            <v>.</v>
          </cell>
        </row>
        <row r="374">
          <cell r="CA374" t="str">
            <v>.</v>
          </cell>
        </row>
        <row r="375">
          <cell r="CA375" t="str">
            <v>.</v>
          </cell>
        </row>
        <row r="376">
          <cell r="CA376" t="str">
            <v>.</v>
          </cell>
        </row>
        <row r="377">
          <cell r="CA377" t="str">
            <v>.</v>
          </cell>
        </row>
        <row r="378">
          <cell r="CA378" t="str">
            <v>.</v>
          </cell>
        </row>
        <row r="379">
          <cell r="CA379" t="str">
            <v>.</v>
          </cell>
        </row>
        <row r="380">
          <cell r="CA380" t="str">
            <v>.</v>
          </cell>
        </row>
        <row r="381">
          <cell r="CA381" t="str">
            <v>.</v>
          </cell>
        </row>
        <row r="382">
          <cell r="CA382" t="str">
            <v>.</v>
          </cell>
        </row>
        <row r="383">
          <cell r="CA383" t="str">
            <v>.</v>
          </cell>
        </row>
        <row r="384">
          <cell r="CA384" t="str">
            <v>.</v>
          </cell>
        </row>
        <row r="385">
          <cell r="CA385" t="str">
            <v>.</v>
          </cell>
        </row>
        <row r="386">
          <cell r="CA386" t="str">
            <v>.</v>
          </cell>
        </row>
        <row r="387">
          <cell r="CA387" t="str">
            <v>.</v>
          </cell>
        </row>
        <row r="388">
          <cell r="CA388" t="str">
            <v>.</v>
          </cell>
        </row>
        <row r="389">
          <cell r="CA389" t="str">
            <v>.</v>
          </cell>
        </row>
        <row r="390">
          <cell r="CA390" t="str">
            <v>.</v>
          </cell>
        </row>
        <row r="391">
          <cell r="CA391" t="str">
            <v>.</v>
          </cell>
        </row>
        <row r="392">
          <cell r="CA392" t="str">
            <v>.</v>
          </cell>
        </row>
        <row r="393">
          <cell r="CA393" t="str">
            <v>.</v>
          </cell>
        </row>
        <row r="394">
          <cell r="CA394" t="str">
            <v>.</v>
          </cell>
        </row>
        <row r="395">
          <cell r="CA395" t="str">
            <v>.</v>
          </cell>
        </row>
        <row r="396">
          <cell r="CA396" t="str">
            <v>.</v>
          </cell>
        </row>
        <row r="397">
          <cell r="CA397" t="str">
            <v>.</v>
          </cell>
        </row>
        <row r="398">
          <cell r="CA398" t="str">
            <v>.</v>
          </cell>
        </row>
        <row r="399">
          <cell r="CA399" t="str">
            <v>.</v>
          </cell>
        </row>
        <row r="400">
          <cell r="CA400" t="str">
            <v>.</v>
          </cell>
        </row>
        <row r="401">
          <cell r="CA401" t="str">
            <v>.</v>
          </cell>
        </row>
        <row r="402">
          <cell r="CA402" t="str">
            <v>.</v>
          </cell>
        </row>
        <row r="403">
          <cell r="CA403" t="str">
            <v>.</v>
          </cell>
        </row>
        <row r="404">
          <cell r="CA404" t="str">
            <v>.</v>
          </cell>
        </row>
        <row r="405">
          <cell r="CA405" t="str">
            <v>.</v>
          </cell>
        </row>
        <row r="406">
          <cell r="CA406" t="str">
            <v>.</v>
          </cell>
        </row>
        <row r="407">
          <cell r="CA407" t="str">
            <v>.</v>
          </cell>
        </row>
        <row r="408">
          <cell r="CA408" t="str">
            <v>.</v>
          </cell>
        </row>
        <row r="409">
          <cell r="CA409" t="str">
            <v>.</v>
          </cell>
        </row>
        <row r="410">
          <cell r="CA410" t="str">
            <v>.</v>
          </cell>
        </row>
        <row r="411">
          <cell r="CA411" t="str">
            <v>.</v>
          </cell>
        </row>
        <row r="412">
          <cell r="CA412" t="str">
            <v>.</v>
          </cell>
        </row>
        <row r="413">
          <cell r="CA413" t="str">
            <v>.</v>
          </cell>
        </row>
        <row r="414">
          <cell r="CA414" t="str">
            <v>.</v>
          </cell>
        </row>
        <row r="415">
          <cell r="CA415" t="str">
            <v>.</v>
          </cell>
        </row>
        <row r="416">
          <cell r="CA416" t="str">
            <v>.</v>
          </cell>
        </row>
        <row r="417">
          <cell r="CA417" t="str">
            <v>.</v>
          </cell>
        </row>
        <row r="418">
          <cell r="CA418" t="str">
            <v>.</v>
          </cell>
        </row>
        <row r="419">
          <cell r="CA419" t="str">
            <v>.</v>
          </cell>
        </row>
        <row r="420">
          <cell r="CA420" t="str">
            <v>.</v>
          </cell>
        </row>
        <row r="421">
          <cell r="CA421" t="str">
            <v>.</v>
          </cell>
        </row>
        <row r="422">
          <cell r="CA422" t="str">
            <v>.</v>
          </cell>
        </row>
        <row r="423">
          <cell r="CA423" t="str">
            <v>.</v>
          </cell>
        </row>
        <row r="424">
          <cell r="CA424" t="str">
            <v>.</v>
          </cell>
        </row>
        <row r="425">
          <cell r="CA425" t="str">
            <v>.</v>
          </cell>
        </row>
        <row r="426">
          <cell r="CA426" t="str">
            <v>.</v>
          </cell>
        </row>
        <row r="427">
          <cell r="CA427" t="str">
            <v>.</v>
          </cell>
        </row>
        <row r="428">
          <cell r="CA428" t="str">
            <v>.</v>
          </cell>
        </row>
        <row r="429">
          <cell r="CA429" t="str">
            <v>.</v>
          </cell>
        </row>
        <row r="430">
          <cell r="CA430" t="str">
            <v>.</v>
          </cell>
        </row>
        <row r="431">
          <cell r="CA431" t="str">
            <v>.</v>
          </cell>
        </row>
        <row r="432">
          <cell r="CA432" t="str">
            <v>.</v>
          </cell>
        </row>
        <row r="433">
          <cell r="CA433" t="str">
            <v>.</v>
          </cell>
        </row>
        <row r="434">
          <cell r="CA434" t="str">
            <v>.</v>
          </cell>
        </row>
        <row r="435">
          <cell r="CA435" t="str">
            <v>.</v>
          </cell>
        </row>
        <row r="436">
          <cell r="CA436" t="str">
            <v>.</v>
          </cell>
        </row>
        <row r="437">
          <cell r="CA437" t="str">
            <v>.</v>
          </cell>
        </row>
        <row r="438">
          <cell r="CA438" t="str">
            <v>.</v>
          </cell>
        </row>
        <row r="439">
          <cell r="CA439" t="str">
            <v>.</v>
          </cell>
        </row>
        <row r="440">
          <cell r="CA440" t="str">
            <v>.</v>
          </cell>
        </row>
        <row r="441">
          <cell r="CA441" t="str">
            <v>.</v>
          </cell>
        </row>
        <row r="442">
          <cell r="CA442" t="str">
            <v>.</v>
          </cell>
        </row>
        <row r="443">
          <cell r="CA443" t="str">
            <v>.</v>
          </cell>
        </row>
        <row r="444">
          <cell r="CA444" t="str">
            <v>.</v>
          </cell>
        </row>
        <row r="445">
          <cell r="CA445" t="str">
            <v>.</v>
          </cell>
        </row>
        <row r="446">
          <cell r="CA446" t="str">
            <v>.</v>
          </cell>
        </row>
        <row r="447">
          <cell r="CA447" t="str">
            <v>.</v>
          </cell>
        </row>
        <row r="448">
          <cell r="CA448" t="str">
            <v>.</v>
          </cell>
        </row>
        <row r="449">
          <cell r="CA449" t="str">
            <v>.</v>
          </cell>
        </row>
        <row r="450">
          <cell r="CA450" t="str">
            <v>.</v>
          </cell>
        </row>
        <row r="451">
          <cell r="CA451" t="str">
            <v>.</v>
          </cell>
        </row>
        <row r="452">
          <cell r="CA452" t="str">
            <v>.</v>
          </cell>
        </row>
        <row r="453">
          <cell r="CA453" t="str">
            <v>.</v>
          </cell>
        </row>
        <row r="454">
          <cell r="CA454" t="str">
            <v>.</v>
          </cell>
        </row>
        <row r="455">
          <cell r="CA455" t="str">
            <v>.</v>
          </cell>
        </row>
        <row r="456">
          <cell r="CA456" t="str">
            <v>.</v>
          </cell>
        </row>
        <row r="457">
          <cell r="CA457" t="str">
            <v>.</v>
          </cell>
        </row>
        <row r="458">
          <cell r="CA458" t="str">
            <v>.</v>
          </cell>
        </row>
        <row r="459">
          <cell r="CA459" t="str">
            <v>.</v>
          </cell>
        </row>
        <row r="460">
          <cell r="CA460" t="str">
            <v>.</v>
          </cell>
        </row>
        <row r="461">
          <cell r="CA461" t="str">
            <v>.</v>
          </cell>
        </row>
        <row r="462">
          <cell r="CA462" t="str">
            <v>.</v>
          </cell>
        </row>
        <row r="463">
          <cell r="CA463" t="str">
            <v>.</v>
          </cell>
        </row>
        <row r="464">
          <cell r="CA464" t="str">
            <v>.</v>
          </cell>
        </row>
        <row r="465">
          <cell r="CA465" t="str">
            <v>.</v>
          </cell>
        </row>
        <row r="466">
          <cell r="CA466" t="str">
            <v>.</v>
          </cell>
        </row>
        <row r="467">
          <cell r="CA467" t="str">
            <v>.</v>
          </cell>
        </row>
        <row r="468">
          <cell r="CA468" t="str">
            <v>.</v>
          </cell>
        </row>
        <row r="469">
          <cell r="CA469" t="str">
            <v>.</v>
          </cell>
        </row>
        <row r="470">
          <cell r="CA470" t="str">
            <v>.</v>
          </cell>
        </row>
        <row r="471">
          <cell r="CA471" t="str">
            <v>.</v>
          </cell>
        </row>
        <row r="472">
          <cell r="CA472" t="str">
            <v>.</v>
          </cell>
        </row>
        <row r="473">
          <cell r="CA473" t="str">
            <v>.</v>
          </cell>
        </row>
        <row r="474">
          <cell r="CA474" t="str">
            <v>.</v>
          </cell>
        </row>
        <row r="475">
          <cell r="CA475" t="str">
            <v>.</v>
          </cell>
        </row>
        <row r="476">
          <cell r="CA476" t="str">
            <v>.</v>
          </cell>
        </row>
        <row r="477">
          <cell r="CA477" t="str">
            <v>.</v>
          </cell>
        </row>
        <row r="478">
          <cell r="CA478" t="str">
            <v>.</v>
          </cell>
        </row>
        <row r="479">
          <cell r="CA479" t="str">
            <v>.</v>
          </cell>
        </row>
        <row r="480">
          <cell r="CA480" t="str">
            <v>.</v>
          </cell>
        </row>
        <row r="481">
          <cell r="CA481" t="str">
            <v>.</v>
          </cell>
        </row>
        <row r="482">
          <cell r="CA482" t="str">
            <v>.</v>
          </cell>
        </row>
        <row r="483">
          <cell r="CA483" t="str">
            <v>.</v>
          </cell>
        </row>
        <row r="484">
          <cell r="CA484" t="str">
            <v>.</v>
          </cell>
        </row>
        <row r="485">
          <cell r="CA485" t="str">
            <v>.</v>
          </cell>
        </row>
        <row r="486">
          <cell r="CA486" t="str">
            <v>.</v>
          </cell>
        </row>
        <row r="487">
          <cell r="CA487" t="str">
            <v>.</v>
          </cell>
        </row>
        <row r="488">
          <cell r="CA488" t="str">
            <v>.</v>
          </cell>
        </row>
        <row r="489">
          <cell r="CA489" t="str">
            <v>.</v>
          </cell>
        </row>
        <row r="490">
          <cell r="CA490" t="str">
            <v>.</v>
          </cell>
        </row>
        <row r="491">
          <cell r="CA491" t="str">
            <v>.</v>
          </cell>
        </row>
        <row r="492">
          <cell r="CA492" t="str">
            <v>.</v>
          </cell>
        </row>
        <row r="493">
          <cell r="CA493" t="str">
            <v>.</v>
          </cell>
        </row>
        <row r="494">
          <cell r="CA494" t="str">
            <v>.</v>
          </cell>
        </row>
        <row r="495">
          <cell r="CA495" t="str">
            <v>.</v>
          </cell>
        </row>
        <row r="496">
          <cell r="CA496" t="str">
            <v>.</v>
          </cell>
        </row>
        <row r="497">
          <cell r="CA497" t="str">
            <v>.</v>
          </cell>
        </row>
        <row r="498">
          <cell r="CA498" t="str">
            <v>.</v>
          </cell>
        </row>
        <row r="499">
          <cell r="CA499" t="str">
            <v>.</v>
          </cell>
        </row>
        <row r="500">
          <cell r="CA500" t="str">
            <v>.</v>
          </cell>
        </row>
        <row r="501">
          <cell r="CA501" t="str">
            <v>.</v>
          </cell>
        </row>
        <row r="502">
          <cell r="CA502" t="str">
            <v>.</v>
          </cell>
        </row>
        <row r="503">
          <cell r="CA503" t="str">
            <v>.</v>
          </cell>
        </row>
        <row r="504">
          <cell r="CA504" t="str">
            <v>.</v>
          </cell>
        </row>
        <row r="505">
          <cell r="CA505" t="str">
            <v>.</v>
          </cell>
        </row>
        <row r="506">
          <cell r="CA506" t="str">
            <v>.</v>
          </cell>
        </row>
        <row r="507">
          <cell r="CA507" t="str">
            <v>.</v>
          </cell>
        </row>
        <row r="508">
          <cell r="CA508" t="str">
            <v>.</v>
          </cell>
        </row>
        <row r="509">
          <cell r="CA509" t="str">
            <v>.</v>
          </cell>
        </row>
        <row r="510">
          <cell r="CA510" t="str">
            <v>.</v>
          </cell>
        </row>
        <row r="511">
          <cell r="CA511" t="str">
            <v>.</v>
          </cell>
        </row>
        <row r="512">
          <cell r="CA512" t="str">
            <v>.</v>
          </cell>
        </row>
        <row r="513">
          <cell r="CA513" t="str">
            <v>.</v>
          </cell>
        </row>
        <row r="514">
          <cell r="CA514" t="str">
            <v>.</v>
          </cell>
        </row>
        <row r="515">
          <cell r="CA515" t="str">
            <v>.</v>
          </cell>
        </row>
        <row r="516">
          <cell r="CA516" t="str">
            <v>.</v>
          </cell>
        </row>
        <row r="517">
          <cell r="CA517" t="str">
            <v>.</v>
          </cell>
        </row>
        <row r="518">
          <cell r="CA518" t="str">
            <v>.</v>
          </cell>
        </row>
        <row r="519">
          <cell r="CA519" t="str">
            <v>.</v>
          </cell>
        </row>
        <row r="520">
          <cell r="CA520" t="str">
            <v>.</v>
          </cell>
        </row>
        <row r="521">
          <cell r="CA521" t="str">
            <v>.</v>
          </cell>
        </row>
        <row r="522">
          <cell r="CA522" t="str">
            <v>.</v>
          </cell>
        </row>
        <row r="523">
          <cell r="CA523" t="str">
            <v>.</v>
          </cell>
        </row>
        <row r="524">
          <cell r="CA524" t="str">
            <v>.</v>
          </cell>
        </row>
        <row r="525">
          <cell r="CA525" t="str">
            <v>.</v>
          </cell>
        </row>
        <row r="526">
          <cell r="CA526" t="str">
            <v>.</v>
          </cell>
        </row>
        <row r="527">
          <cell r="CA527" t="str">
            <v>.</v>
          </cell>
        </row>
        <row r="528">
          <cell r="CA528" t="str">
            <v>.</v>
          </cell>
        </row>
        <row r="529">
          <cell r="CA529" t="str">
            <v>.</v>
          </cell>
        </row>
        <row r="530">
          <cell r="CA530" t="str">
            <v>.</v>
          </cell>
        </row>
        <row r="531">
          <cell r="CA531" t="str">
            <v>.</v>
          </cell>
        </row>
        <row r="532">
          <cell r="CA532" t="str">
            <v>.</v>
          </cell>
        </row>
        <row r="533">
          <cell r="CA533" t="str">
            <v>.</v>
          </cell>
        </row>
        <row r="534">
          <cell r="CA534" t="str">
            <v>.</v>
          </cell>
        </row>
        <row r="535">
          <cell r="CA535" t="str">
            <v>.</v>
          </cell>
        </row>
        <row r="536">
          <cell r="CA536" t="str">
            <v>.</v>
          </cell>
        </row>
        <row r="537">
          <cell r="CA537" t="str">
            <v>.</v>
          </cell>
        </row>
        <row r="538">
          <cell r="CA538" t="str">
            <v>.</v>
          </cell>
        </row>
        <row r="539">
          <cell r="CA539" t="str">
            <v>.</v>
          </cell>
        </row>
        <row r="540">
          <cell r="CA540" t="str">
            <v>.</v>
          </cell>
        </row>
        <row r="541">
          <cell r="CA541" t="str">
            <v>.</v>
          </cell>
        </row>
        <row r="542">
          <cell r="CA542" t="str">
            <v>.</v>
          </cell>
        </row>
        <row r="543">
          <cell r="CA543" t="str">
            <v>.</v>
          </cell>
        </row>
        <row r="544">
          <cell r="CA544" t="str">
            <v>.</v>
          </cell>
        </row>
        <row r="545">
          <cell r="CA545" t="str">
            <v>.</v>
          </cell>
        </row>
        <row r="546">
          <cell r="CA546" t="str">
            <v>.</v>
          </cell>
        </row>
        <row r="547">
          <cell r="CA547" t="str">
            <v>.</v>
          </cell>
        </row>
        <row r="548">
          <cell r="CA548" t="str">
            <v>.</v>
          </cell>
        </row>
        <row r="549">
          <cell r="CA549" t="str">
            <v>.</v>
          </cell>
        </row>
        <row r="550">
          <cell r="CA550" t="str">
            <v>.</v>
          </cell>
        </row>
        <row r="551">
          <cell r="CA551" t="str">
            <v>.</v>
          </cell>
        </row>
        <row r="552">
          <cell r="CA552" t="str">
            <v>.</v>
          </cell>
        </row>
        <row r="553">
          <cell r="CA553" t="str">
            <v>.</v>
          </cell>
        </row>
        <row r="554">
          <cell r="CA554" t="str">
            <v>.</v>
          </cell>
        </row>
        <row r="555">
          <cell r="CA555" t="str">
            <v>.</v>
          </cell>
        </row>
        <row r="556">
          <cell r="CA556" t="str">
            <v>.</v>
          </cell>
        </row>
        <row r="557">
          <cell r="CA557" t="str">
            <v>.</v>
          </cell>
        </row>
        <row r="558">
          <cell r="CA558" t="str">
            <v>.</v>
          </cell>
        </row>
        <row r="559">
          <cell r="CA559" t="str">
            <v>.</v>
          </cell>
        </row>
        <row r="560">
          <cell r="CA560" t="str">
            <v>.</v>
          </cell>
        </row>
        <row r="561">
          <cell r="CA561" t="str">
            <v>.</v>
          </cell>
        </row>
        <row r="562">
          <cell r="CA562" t="str">
            <v>.</v>
          </cell>
        </row>
        <row r="563">
          <cell r="CA563" t="str">
            <v>.</v>
          </cell>
        </row>
        <row r="564">
          <cell r="CA564" t="str">
            <v>.</v>
          </cell>
        </row>
        <row r="565">
          <cell r="CA565" t="str">
            <v>.</v>
          </cell>
        </row>
        <row r="566">
          <cell r="CA566" t="str">
            <v>.</v>
          </cell>
        </row>
        <row r="567">
          <cell r="CA567" t="str">
            <v>.</v>
          </cell>
        </row>
        <row r="568">
          <cell r="CA568" t="str">
            <v>.</v>
          </cell>
        </row>
        <row r="569">
          <cell r="CA569" t="str">
            <v>.</v>
          </cell>
        </row>
        <row r="570">
          <cell r="CA570" t="str">
            <v>.</v>
          </cell>
        </row>
        <row r="571">
          <cell r="CA571" t="str">
            <v>.</v>
          </cell>
        </row>
        <row r="572">
          <cell r="CA572" t="str">
            <v>.</v>
          </cell>
        </row>
        <row r="573">
          <cell r="CA573" t="str">
            <v>.</v>
          </cell>
        </row>
        <row r="574">
          <cell r="CA574" t="str">
            <v>.</v>
          </cell>
        </row>
        <row r="575">
          <cell r="CA575" t="str">
            <v>.</v>
          </cell>
        </row>
        <row r="576">
          <cell r="CA576" t="str">
            <v>.</v>
          </cell>
        </row>
        <row r="577">
          <cell r="CA577" t="str">
            <v>.</v>
          </cell>
        </row>
        <row r="578">
          <cell r="CA578" t="str">
            <v>.</v>
          </cell>
        </row>
        <row r="579">
          <cell r="CA579" t="str">
            <v>.</v>
          </cell>
        </row>
        <row r="580">
          <cell r="CA580" t="str">
            <v>.</v>
          </cell>
        </row>
        <row r="581">
          <cell r="CA581" t="str">
            <v>.</v>
          </cell>
        </row>
        <row r="582">
          <cell r="CA582" t="str">
            <v>.</v>
          </cell>
        </row>
        <row r="583">
          <cell r="CA583" t="str">
            <v>.</v>
          </cell>
        </row>
        <row r="584">
          <cell r="CA584" t="str">
            <v>.</v>
          </cell>
        </row>
        <row r="585">
          <cell r="CA585" t="str">
            <v>.</v>
          </cell>
        </row>
        <row r="586">
          <cell r="CA586" t="str">
            <v>.</v>
          </cell>
        </row>
        <row r="587">
          <cell r="CA587" t="str">
            <v>.</v>
          </cell>
        </row>
        <row r="588">
          <cell r="CA588" t="str">
            <v>.</v>
          </cell>
        </row>
        <row r="589">
          <cell r="CA589" t="str">
            <v>.</v>
          </cell>
        </row>
        <row r="590">
          <cell r="CA590" t="str">
            <v>.</v>
          </cell>
        </row>
        <row r="591">
          <cell r="CA591" t="str">
            <v>.</v>
          </cell>
        </row>
        <row r="592">
          <cell r="CA592" t="str">
            <v>.</v>
          </cell>
        </row>
        <row r="593">
          <cell r="CA593" t="str">
            <v>.</v>
          </cell>
        </row>
        <row r="594">
          <cell r="CA594" t="str">
            <v>.</v>
          </cell>
        </row>
        <row r="595">
          <cell r="CA595" t="str">
            <v>.</v>
          </cell>
        </row>
        <row r="596">
          <cell r="CA596" t="str">
            <v>.</v>
          </cell>
        </row>
        <row r="597">
          <cell r="CA597" t="str">
            <v>.</v>
          </cell>
        </row>
        <row r="598">
          <cell r="CA598" t="str">
            <v>.</v>
          </cell>
        </row>
        <row r="599">
          <cell r="CA599" t="str">
            <v>.</v>
          </cell>
        </row>
        <row r="600">
          <cell r="CA600" t="str">
            <v>.</v>
          </cell>
        </row>
        <row r="601">
          <cell r="CA601" t="str">
            <v>.</v>
          </cell>
        </row>
        <row r="602">
          <cell r="CA602" t="str">
            <v>.</v>
          </cell>
        </row>
        <row r="603">
          <cell r="CA603" t="str">
            <v>.</v>
          </cell>
        </row>
        <row r="604">
          <cell r="CA604" t="str">
            <v>.</v>
          </cell>
        </row>
        <row r="605">
          <cell r="CA605" t="str">
            <v>.</v>
          </cell>
        </row>
        <row r="606">
          <cell r="CA606" t="str">
            <v>.</v>
          </cell>
        </row>
        <row r="607">
          <cell r="CA607" t="str">
            <v>.</v>
          </cell>
        </row>
        <row r="608">
          <cell r="CA608" t="str">
            <v>.</v>
          </cell>
        </row>
        <row r="609">
          <cell r="CA609" t="str">
            <v>.</v>
          </cell>
        </row>
        <row r="610">
          <cell r="CA610" t="str">
            <v>.</v>
          </cell>
        </row>
        <row r="611">
          <cell r="CA611" t="str">
            <v>.</v>
          </cell>
        </row>
        <row r="612">
          <cell r="CA612" t="str">
            <v>.</v>
          </cell>
        </row>
        <row r="613">
          <cell r="CA613" t="str">
            <v>.</v>
          </cell>
        </row>
        <row r="614">
          <cell r="CA614" t="str">
            <v>.</v>
          </cell>
        </row>
        <row r="615">
          <cell r="CA615" t="str">
            <v>.</v>
          </cell>
        </row>
        <row r="616">
          <cell r="CA616" t="str">
            <v>.</v>
          </cell>
        </row>
        <row r="617">
          <cell r="CA617" t="str">
            <v>.</v>
          </cell>
        </row>
        <row r="618">
          <cell r="CA618" t="str">
            <v>.</v>
          </cell>
        </row>
        <row r="619">
          <cell r="CA619" t="str">
            <v>.</v>
          </cell>
        </row>
        <row r="620">
          <cell r="CA620" t="str">
            <v>.</v>
          </cell>
        </row>
        <row r="621">
          <cell r="CA621" t="str">
            <v>.</v>
          </cell>
        </row>
        <row r="622">
          <cell r="CA622" t="str">
            <v>.</v>
          </cell>
        </row>
        <row r="623">
          <cell r="CA623" t="str">
            <v>.</v>
          </cell>
        </row>
        <row r="624">
          <cell r="CA624" t="str">
            <v>.</v>
          </cell>
        </row>
        <row r="625">
          <cell r="CA625" t="str">
            <v>.</v>
          </cell>
        </row>
        <row r="626">
          <cell r="CA626" t="str">
            <v>.</v>
          </cell>
        </row>
        <row r="627">
          <cell r="CA627" t="str">
            <v>.</v>
          </cell>
        </row>
        <row r="628">
          <cell r="CA628" t="str">
            <v>.</v>
          </cell>
        </row>
        <row r="629">
          <cell r="CA629" t="str">
            <v>.</v>
          </cell>
        </row>
        <row r="630">
          <cell r="CA630" t="str">
            <v>.</v>
          </cell>
        </row>
        <row r="631">
          <cell r="CA631" t="str">
            <v>.</v>
          </cell>
        </row>
        <row r="632">
          <cell r="CA632" t="str">
            <v>.</v>
          </cell>
        </row>
        <row r="633">
          <cell r="CA633" t="str">
            <v>.</v>
          </cell>
        </row>
        <row r="634">
          <cell r="CA634" t="str">
            <v>.</v>
          </cell>
        </row>
        <row r="635">
          <cell r="CA635" t="str">
            <v>.</v>
          </cell>
        </row>
        <row r="636">
          <cell r="CA636" t="str">
            <v>.</v>
          </cell>
        </row>
        <row r="637">
          <cell r="CA637" t="str">
            <v>.</v>
          </cell>
        </row>
        <row r="638">
          <cell r="CA638" t="str">
            <v>.</v>
          </cell>
        </row>
        <row r="639">
          <cell r="CA639" t="str">
            <v>.</v>
          </cell>
        </row>
        <row r="640">
          <cell r="CA640" t="str">
            <v>.</v>
          </cell>
        </row>
        <row r="641">
          <cell r="CA641" t="str">
            <v>.</v>
          </cell>
        </row>
        <row r="642">
          <cell r="CA642" t="str">
            <v>.</v>
          </cell>
        </row>
        <row r="643">
          <cell r="CA643" t="str">
            <v>.</v>
          </cell>
        </row>
        <row r="644">
          <cell r="CA644" t="str">
            <v>.</v>
          </cell>
        </row>
        <row r="645">
          <cell r="CA645" t="str">
            <v>.</v>
          </cell>
        </row>
        <row r="646">
          <cell r="CA646" t="str">
            <v>.</v>
          </cell>
        </row>
        <row r="647">
          <cell r="CA647" t="str">
            <v>.</v>
          </cell>
        </row>
        <row r="648">
          <cell r="CA648" t="str">
            <v>.</v>
          </cell>
        </row>
        <row r="649">
          <cell r="CA649" t="str">
            <v>.</v>
          </cell>
        </row>
        <row r="650">
          <cell r="CA650" t="str">
            <v>.</v>
          </cell>
        </row>
        <row r="651">
          <cell r="CA651" t="str">
            <v>.</v>
          </cell>
        </row>
        <row r="652">
          <cell r="CA652" t="str">
            <v>.</v>
          </cell>
        </row>
        <row r="653">
          <cell r="CA653" t="str">
            <v>.</v>
          </cell>
        </row>
        <row r="654">
          <cell r="CA654" t="str">
            <v>.</v>
          </cell>
        </row>
        <row r="655">
          <cell r="CA655" t="str">
            <v>.</v>
          </cell>
        </row>
        <row r="656">
          <cell r="CA656" t="str">
            <v>.</v>
          </cell>
        </row>
        <row r="657">
          <cell r="CA657" t="str">
            <v>.</v>
          </cell>
        </row>
        <row r="658">
          <cell r="CA658" t="str">
            <v>.</v>
          </cell>
        </row>
        <row r="659">
          <cell r="CA659" t="str">
            <v>.</v>
          </cell>
        </row>
        <row r="660">
          <cell r="CA660" t="str">
            <v>.</v>
          </cell>
        </row>
        <row r="661">
          <cell r="CA661" t="str">
            <v>.</v>
          </cell>
        </row>
        <row r="662">
          <cell r="CA662" t="str">
            <v>.</v>
          </cell>
        </row>
        <row r="663">
          <cell r="CA663" t="str">
            <v>.</v>
          </cell>
        </row>
        <row r="664">
          <cell r="CA664" t="str">
            <v>.</v>
          </cell>
        </row>
        <row r="665">
          <cell r="CA665" t="str">
            <v>.</v>
          </cell>
        </row>
        <row r="666">
          <cell r="CA666" t="str">
            <v>.</v>
          </cell>
        </row>
        <row r="667">
          <cell r="CA667" t="str">
            <v>.</v>
          </cell>
        </row>
        <row r="668">
          <cell r="CA668" t="str">
            <v>.</v>
          </cell>
        </row>
        <row r="669">
          <cell r="CA669" t="str">
            <v>.</v>
          </cell>
        </row>
        <row r="670">
          <cell r="CA670" t="str">
            <v>.</v>
          </cell>
        </row>
        <row r="671">
          <cell r="CA671" t="str">
            <v>.</v>
          </cell>
        </row>
        <row r="672">
          <cell r="CA672" t="str">
            <v>.</v>
          </cell>
        </row>
        <row r="673">
          <cell r="CA673" t="str">
            <v>.</v>
          </cell>
        </row>
        <row r="674">
          <cell r="CA674" t="str">
            <v>.</v>
          </cell>
        </row>
        <row r="675">
          <cell r="CA675" t="str">
            <v>.</v>
          </cell>
        </row>
        <row r="676">
          <cell r="CA676" t="str">
            <v>.</v>
          </cell>
        </row>
        <row r="677">
          <cell r="CA677" t="str">
            <v>.</v>
          </cell>
        </row>
        <row r="678">
          <cell r="CA678" t="str">
            <v>.</v>
          </cell>
        </row>
        <row r="679">
          <cell r="CA679" t="str">
            <v>.</v>
          </cell>
        </row>
        <row r="680">
          <cell r="CA680" t="str">
            <v>.</v>
          </cell>
        </row>
        <row r="681">
          <cell r="CA681" t="str">
            <v>.</v>
          </cell>
        </row>
        <row r="682">
          <cell r="CA682" t="str">
            <v>.</v>
          </cell>
        </row>
        <row r="683">
          <cell r="CA683" t="str">
            <v>.</v>
          </cell>
        </row>
        <row r="684">
          <cell r="CA684" t="str">
            <v>.</v>
          </cell>
        </row>
        <row r="685">
          <cell r="CA685" t="str">
            <v>.</v>
          </cell>
        </row>
        <row r="686">
          <cell r="CA686" t="str">
            <v>.</v>
          </cell>
        </row>
        <row r="687">
          <cell r="CA687" t="str">
            <v>.</v>
          </cell>
        </row>
        <row r="688">
          <cell r="CA688" t="str">
            <v>.</v>
          </cell>
        </row>
        <row r="689">
          <cell r="CA689" t="str">
            <v>.</v>
          </cell>
        </row>
        <row r="690">
          <cell r="CA690" t="str">
            <v>.</v>
          </cell>
        </row>
        <row r="691">
          <cell r="CA691" t="str">
            <v>.</v>
          </cell>
        </row>
        <row r="692">
          <cell r="CA692" t="str">
            <v>.</v>
          </cell>
        </row>
        <row r="693">
          <cell r="CA693" t="str">
            <v>.</v>
          </cell>
        </row>
        <row r="694">
          <cell r="CA694" t="str">
            <v>.</v>
          </cell>
        </row>
        <row r="695">
          <cell r="CA695" t="str">
            <v>.</v>
          </cell>
        </row>
        <row r="696">
          <cell r="CA696" t="str">
            <v>.</v>
          </cell>
        </row>
        <row r="697">
          <cell r="CA697" t="str">
            <v>.</v>
          </cell>
        </row>
        <row r="698">
          <cell r="CA698" t="str">
            <v>.</v>
          </cell>
        </row>
        <row r="699">
          <cell r="CA699" t="str">
            <v>.</v>
          </cell>
        </row>
        <row r="700">
          <cell r="CA700" t="str">
            <v>.</v>
          </cell>
        </row>
        <row r="701">
          <cell r="CA701" t="str">
            <v>.</v>
          </cell>
        </row>
        <row r="702">
          <cell r="CA702" t="str">
            <v>.</v>
          </cell>
        </row>
        <row r="703">
          <cell r="CA703" t="str">
            <v>.</v>
          </cell>
        </row>
        <row r="704">
          <cell r="CA704" t="str">
            <v>.</v>
          </cell>
        </row>
        <row r="705">
          <cell r="CA705" t="str">
            <v>.</v>
          </cell>
        </row>
        <row r="706">
          <cell r="CA706" t="str">
            <v>.</v>
          </cell>
        </row>
        <row r="707">
          <cell r="CA707" t="str">
            <v>.</v>
          </cell>
        </row>
        <row r="708">
          <cell r="CA708" t="str">
            <v>.</v>
          </cell>
        </row>
        <row r="709">
          <cell r="CA709" t="str">
            <v>.</v>
          </cell>
        </row>
        <row r="710">
          <cell r="CA710" t="str">
            <v>.</v>
          </cell>
        </row>
        <row r="711">
          <cell r="CA711" t="str">
            <v>.</v>
          </cell>
        </row>
        <row r="712">
          <cell r="CA712" t="str">
            <v>.</v>
          </cell>
        </row>
        <row r="713">
          <cell r="CA713" t="str">
            <v>.</v>
          </cell>
        </row>
        <row r="714">
          <cell r="CA714" t="str">
            <v>.</v>
          </cell>
        </row>
        <row r="715">
          <cell r="CA715" t="str">
            <v>.</v>
          </cell>
        </row>
        <row r="716">
          <cell r="CA716" t="str">
            <v>.</v>
          </cell>
        </row>
        <row r="717">
          <cell r="CA717" t="str">
            <v>.</v>
          </cell>
        </row>
        <row r="718">
          <cell r="CA718" t="str">
            <v>.</v>
          </cell>
        </row>
        <row r="719">
          <cell r="CA719" t="str">
            <v>.</v>
          </cell>
        </row>
        <row r="720">
          <cell r="CA720" t="str">
            <v>.</v>
          </cell>
        </row>
        <row r="721">
          <cell r="CA721" t="str">
            <v>.</v>
          </cell>
        </row>
        <row r="722">
          <cell r="CA722" t="str">
            <v>.</v>
          </cell>
        </row>
        <row r="723">
          <cell r="CA723" t="str">
            <v>.</v>
          </cell>
        </row>
        <row r="724">
          <cell r="CA724" t="str">
            <v>.</v>
          </cell>
        </row>
        <row r="725">
          <cell r="CA725" t="str">
            <v>.</v>
          </cell>
        </row>
        <row r="726">
          <cell r="CA726" t="str">
            <v>.</v>
          </cell>
        </row>
        <row r="727">
          <cell r="CA727" t="str">
            <v>.</v>
          </cell>
        </row>
        <row r="728">
          <cell r="CA728" t="str">
            <v>.</v>
          </cell>
        </row>
        <row r="729">
          <cell r="CA729" t="str">
            <v>.</v>
          </cell>
        </row>
        <row r="730">
          <cell r="CA730" t="str">
            <v>.</v>
          </cell>
        </row>
        <row r="731">
          <cell r="CA731" t="str">
            <v>.</v>
          </cell>
        </row>
        <row r="732">
          <cell r="CA732" t="str">
            <v>.</v>
          </cell>
        </row>
        <row r="733">
          <cell r="CA733" t="str">
            <v>.</v>
          </cell>
        </row>
        <row r="734">
          <cell r="CA734" t="str">
            <v>.</v>
          </cell>
        </row>
        <row r="735">
          <cell r="CA735" t="str">
            <v>.</v>
          </cell>
        </row>
        <row r="736">
          <cell r="CA736" t="str">
            <v>.</v>
          </cell>
        </row>
        <row r="737">
          <cell r="CA737" t="str">
            <v>.</v>
          </cell>
        </row>
        <row r="738">
          <cell r="CA738" t="str">
            <v>.</v>
          </cell>
        </row>
        <row r="739">
          <cell r="CA739" t="str">
            <v>.</v>
          </cell>
        </row>
        <row r="740">
          <cell r="CA740" t="str">
            <v>.</v>
          </cell>
        </row>
        <row r="741">
          <cell r="CA741" t="str">
            <v>.</v>
          </cell>
        </row>
        <row r="742">
          <cell r="CA742" t="str">
            <v>.</v>
          </cell>
        </row>
        <row r="743">
          <cell r="CA743" t="str">
            <v>.</v>
          </cell>
        </row>
        <row r="744">
          <cell r="CA744" t="str">
            <v>.</v>
          </cell>
        </row>
        <row r="745">
          <cell r="CA745" t="str">
            <v>.</v>
          </cell>
        </row>
        <row r="746">
          <cell r="CA746" t="str">
            <v>.</v>
          </cell>
        </row>
        <row r="747">
          <cell r="CA747" t="str">
            <v>.</v>
          </cell>
        </row>
        <row r="748">
          <cell r="CA748" t="str">
            <v>.</v>
          </cell>
        </row>
        <row r="749">
          <cell r="CA749" t="str">
            <v>.</v>
          </cell>
        </row>
        <row r="750">
          <cell r="CA750" t="str">
            <v>.</v>
          </cell>
        </row>
        <row r="751">
          <cell r="CA751" t="str">
            <v>.</v>
          </cell>
        </row>
        <row r="752">
          <cell r="CA752" t="str">
            <v>.</v>
          </cell>
        </row>
        <row r="753">
          <cell r="CA753" t="str">
            <v>.</v>
          </cell>
        </row>
        <row r="754">
          <cell r="CA754" t="str">
            <v>.</v>
          </cell>
        </row>
        <row r="755">
          <cell r="CA755" t="str">
            <v>.</v>
          </cell>
        </row>
        <row r="756">
          <cell r="CA756" t="str">
            <v>.</v>
          </cell>
        </row>
        <row r="757">
          <cell r="CA757" t="str">
            <v>.</v>
          </cell>
        </row>
        <row r="758">
          <cell r="CA758" t="str">
            <v>.</v>
          </cell>
        </row>
        <row r="759">
          <cell r="CA759" t="str">
            <v>.</v>
          </cell>
        </row>
        <row r="760">
          <cell r="CA760" t="str">
            <v>.</v>
          </cell>
        </row>
        <row r="761">
          <cell r="CA761" t="str">
            <v>.</v>
          </cell>
        </row>
        <row r="762">
          <cell r="CA762" t="str">
            <v>.</v>
          </cell>
        </row>
        <row r="763">
          <cell r="CA763" t="str">
            <v>.</v>
          </cell>
        </row>
        <row r="764">
          <cell r="CA764" t="str">
            <v>.</v>
          </cell>
        </row>
        <row r="765">
          <cell r="CA765" t="str">
            <v>.</v>
          </cell>
        </row>
        <row r="766">
          <cell r="CA766" t="str">
            <v>.</v>
          </cell>
        </row>
        <row r="767">
          <cell r="CA767" t="str">
            <v>.</v>
          </cell>
        </row>
        <row r="768">
          <cell r="CA768" t="str">
            <v>.</v>
          </cell>
        </row>
        <row r="769">
          <cell r="CA769" t="str">
            <v>.</v>
          </cell>
        </row>
        <row r="770">
          <cell r="CA770" t="str">
            <v>.</v>
          </cell>
        </row>
        <row r="771">
          <cell r="CA771" t="str">
            <v>.</v>
          </cell>
        </row>
        <row r="772">
          <cell r="CA772" t="str">
            <v>.</v>
          </cell>
        </row>
        <row r="773">
          <cell r="CA773" t="str">
            <v>.</v>
          </cell>
        </row>
        <row r="774">
          <cell r="CA774" t="str">
            <v>.</v>
          </cell>
        </row>
        <row r="775">
          <cell r="CA775" t="str">
            <v>.</v>
          </cell>
        </row>
        <row r="776">
          <cell r="CA776" t="str">
            <v>.</v>
          </cell>
        </row>
        <row r="777">
          <cell r="CA777" t="str">
            <v>.</v>
          </cell>
        </row>
        <row r="778">
          <cell r="CA778" t="str">
            <v>.</v>
          </cell>
        </row>
        <row r="779">
          <cell r="CA779" t="str">
            <v>.</v>
          </cell>
        </row>
        <row r="780">
          <cell r="CA780" t="str">
            <v>.</v>
          </cell>
        </row>
        <row r="781">
          <cell r="CA781" t="str">
            <v>.</v>
          </cell>
        </row>
        <row r="782">
          <cell r="CA782" t="str">
            <v>.</v>
          </cell>
        </row>
        <row r="783">
          <cell r="CA783" t="str">
            <v>.</v>
          </cell>
        </row>
        <row r="784">
          <cell r="CA784" t="str">
            <v>.</v>
          </cell>
        </row>
        <row r="785">
          <cell r="CA785" t="str">
            <v>.</v>
          </cell>
        </row>
        <row r="786">
          <cell r="CA786" t="str">
            <v>.</v>
          </cell>
        </row>
        <row r="787">
          <cell r="CA787" t="str">
            <v>.</v>
          </cell>
        </row>
        <row r="788">
          <cell r="CA788" t="str">
            <v>.</v>
          </cell>
        </row>
        <row r="789">
          <cell r="CA789" t="str">
            <v>.</v>
          </cell>
        </row>
        <row r="790">
          <cell r="CA790" t="str">
            <v>.</v>
          </cell>
        </row>
        <row r="791">
          <cell r="CA791" t="str">
            <v>.</v>
          </cell>
        </row>
        <row r="792">
          <cell r="CA792" t="str">
            <v>.</v>
          </cell>
        </row>
        <row r="793">
          <cell r="CA793" t="str">
            <v>.</v>
          </cell>
        </row>
        <row r="794">
          <cell r="CA794" t="str">
            <v>.</v>
          </cell>
        </row>
        <row r="795">
          <cell r="CA795" t="str">
            <v>.</v>
          </cell>
        </row>
        <row r="796">
          <cell r="CA796" t="str">
            <v>.</v>
          </cell>
        </row>
        <row r="797">
          <cell r="CA797" t="str">
            <v>.</v>
          </cell>
        </row>
        <row r="798">
          <cell r="CA798" t="str">
            <v>.</v>
          </cell>
        </row>
        <row r="799">
          <cell r="CA799" t="str">
            <v>.</v>
          </cell>
        </row>
        <row r="800">
          <cell r="CA800" t="str">
            <v>.</v>
          </cell>
        </row>
        <row r="801">
          <cell r="CA801" t="str">
            <v>.</v>
          </cell>
        </row>
        <row r="802">
          <cell r="CA802" t="str">
            <v>.</v>
          </cell>
        </row>
        <row r="803">
          <cell r="CA803" t="str">
            <v>.</v>
          </cell>
        </row>
        <row r="804">
          <cell r="CA804" t="str">
            <v>.</v>
          </cell>
        </row>
        <row r="805">
          <cell r="CA805" t="str">
            <v>.</v>
          </cell>
        </row>
        <row r="806">
          <cell r="CA806" t="str">
            <v>.</v>
          </cell>
        </row>
        <row r="807">
          <cell r="CA807" t="str">
            <v>.</v>
          </cell>
        </row>
        <row r="808">
          <cell r="CA808" t="str">
            <v>.</v>
          </cell>
        </row>
        <row r="809">
          <cell r="CA809" t="str">
            <v>.</v>
          </cell>
        </row>
        <row r="810">
          <cell r="CA810" t="str">
            <v>.</v>
          </cell>
        </row>
        <row r="811">
          <cell r="CA811" t="str">
            <v>.</v>
          </cell>
        </row>
        <row r="812">
          <cell r="CA812" t="str">
            <v>.</v>
          </cell>
        </row>
        <row r="813">
          <cell r="CA813" t="str">
            <v>.</v>
          </cell>
        </row>
        <row r="814">
          <cell r="CA814" t="str">
            <v>.</v>
          </cell>
        </row>
        <row r="815">
          <cell r="CA815" t="str">
            <v>.</v>
          </cell>
        </row>
        <row r="816">
          <cell r="CA816" t="str">
            <v>.</v>
          </cell>
        </row>
        <row r="817">
          <cell r="CA817" t="str">
            <v>.</v>
          </cell>
        </row>
        <row r="818">
          <cell r="CA818" t="str">
            <v>.</v>
          </cell>
        </row>
        <row r="819">
          <cell r="CA819" t="str">
            <v>.</v>
          </cell>
        </row>
        <row r="820">
          <cell r="CA820" t="str">
            <v>.</v>
          </cell>
        </row>
        <row r="821">
          <cell r="CA821" t="str">
            <v>.</v>
          </cell>
        </row>
        <row r="822">
          <cell r="CA822" t="str">
            <v>.</v>
          </cell>
        </row>
        <row r="823">
          <cell r="CA823" t="str">
            <v>.</v>
          </cell>
        </row>
        <row r="824">
          <cell r="CA824" t="str">
            <v>.</v>
          </cell>
        </row>
        <row r="825">
          <cell r="CA825" t="str">
            <v>.</v>
          </cell>
        </row>
        <row r="826">
          <cell r="CA826" t="str">
            <v>.</v>
          </cell>
        </row>
        <row r="827">
          <cell r="CA827" t="str">
            <v>.</v>
          </cell>
        </row>
        <row r="828">
          <cell r="CA828" t="str">
            <v>.</v>
          </cell>
        </row>
        <row r="829">
          <cell r="CA829" t="str">
            <v>.</v>
          </cell>
        </row>
        <row r="830">
          <cell r="CA830" t="str">
            <v>.</v>
          </cell>
        </row>
        <row r="831">
          <cell r="CA831" t="str">
            <v>.</v>
          </cell>
        </row>
        <row r="832">
          <cell r="CA832" t="str">
            <v>.</v>
          </cell>
        </row>
        <row r="833">
          <cell r="CA833" t="str">
            <v>.</v>
          </cell>
        </row>
        <row r="834">
          <cell r="CA834" t="str">
            <v>.</v>
          </cell>
        </row>
        <row r="835">
          <cell r="CA835" t="str">
            <v>.</v>
          </cell>
        </row>
        <row r="836">
          <cell r="CA836" t="str">
            <v>.</v>
          </cell>
        </row>
        <row r="837">
          <cell r="CA837" t="str">
            <v>.</v>
          </cell>
        </row>
        <row r="838">
          <cell r="CA838" t="str">
            <v>.</v>
          </cell>
        </row>
        <row r="839">
          <cell r="CA839" t="str">
            <v>.</v>
          </cell>
        </row>
        <row r="840">
          <cell r="CA840" t="str">
            <v>.</v>
          </cell>
        </row>
        <row r="841">
          <cell r="CA841" t="str">
            <v>.</v>
          </cell>
        </row>
        <row r="842">
          <cell r="CA842" t="str">
            <v>.</v>
          </cell>
        </row>
        <row r="843">
          <cell r="CA843" t="str">
            <v>.</v>
          </cell>
        </row>
        <row r="844">
          <cell r="CA844" t="str">
            <v>.</v>
          </cell>
        </row>
        <row r="845">
          <cell r="CA845" t="str">
            <v>.</v>
          </cell>
        </row>
        <row r="846">
          <cell r="CA846" t="str">
            <v>.</v>
          </cell>
        </row>
        <row r="847">
          <cell r="CA847" t="str">
            <v>.</v>
          </cell>
        </row>
        <row r="848">
          <cell r="CA848" t="str">
            <v>.</v>
          </cell>
        </row>
        <row r="849">
          <cell r="CA849" t="str">
            <v>.</v>
          </cell>
        </row>
        <row r="850">
          <cell r="CA850" t="str">
            <v>.</v>
          </cell>
        </row>
        <row r="851">
          <cell r="CA851" t="str">
            <v>.</v>
          </cell>
        </row>
        <row r="852">
          <cell r="CA852" t="str">
            <v>.</v>
          </cell>
        </row>
        <row r="853">
          <cell r="CA853" t="str">
            <v>.</v>
          </cell>
        </row>
        <row r="854">
          <cell r="CA854" t="str">
            <v>.</v>
          </cell>
        </row>
        <row r="855">
          <cell r="CA855" t="str">
            <v>.</v>
          </cell>
        </row>
        <row r="856">
          <cell r="CA856" t="str">
            <v>.</v>
          </cell>
        </row>
        <row r="857">
          <cell r="CA857" t="str">
            <v>.</v>
          </cell>
        </row>
        <row r="858">
          <cell r="CA858" t="str">
            <v>.</v>
          </cell>
        </row>
        <row r="859">
          <cell r="CA859" t="str">
            <v>.</v>
          </cell>
        </row>
        <row r="860">
          <cell r="CA860" t="str">
            <v>.</v>
          </cell>
        </row>
        <row r="861">
          <cell r="CA861" t="str">
            <v>.</v>
          </cell>
        </row>
        <row r="862">
          <cell r="CA862" t="str">
            <v>.</v>
          </cell>
        </row>
        <row r="863">
          <cell r="CA863" t="str">
            <v>.</v>
          </cell>
        </row>
        <row r="864">
          <cell r="CA864" t="str">
            <v>.</v>
          </cell>
        </row>
        <row r="865">
          <cell r="CA865" t="str">
            <v>.</v>
          </cell>
        </row>
        <row r="866">
          <cell r="CA866" t="str">
            <v>.</v>
          </cell>
        </row>
        <row r="867">
          <cell r="CA867" t="str">
            <v>.</v>
          </cell>
        </row>
        <row r="868">
          <cell r="CA868" t="str">
            <v>.</v>
          </cell>
        </row>
        <row r="869">
          <cell r="CA869" t="str">
            <v>.</v>
          </cell>
        </row>
        <row r="870">
          <cell r="CA870" t="str">
            <v>.</v>
          </cell>
        </row>
        <row r="871">
          <cell r="CA871" t="str">
            <v>.</v>
          </cell>
        </row>
        <row r="872">
          <cell r="CA872" t="str">
            <v>.</v>
          </cell>
        </row>
        <row r="873">
          <cell r="CA873" t="str">
            <v>.</v>
          </cell>
        </row>
        <row r="874">
          <cell r="CA874" t="str">
            <v>.</v>
          </cell>
        </row>
        <row r="875">
          <cell r="CA875" t="str">
            <v>.</v>
          </cell>
        </row>
        <row r="876">
          <cell r="CA876" t="str">
            <v>.</v>
          </cell>
        </row>
        <row r="877">
          <cell r="CA877" t="str">
            <v>.</v>
          </cell>
        </row>
        <row r="878">
          <cell r="CA878" t="str">
            <v>.</v>
          </cell>
        </row>
        <row r="879">
          <cell r="CA879" t="str">
            <v>.</v>
          </cell>
        </row>
        <row r="880">
          <cell r="CA880" t="str">
            <v>.</v>
          </cell>
        </row>
        <row r="881">
          <cell r="CA881" t="str">
            <v>.</v>
          </cell>
        </row>
        <row r="882">
          <cell r="CA882" t="str">
            <v>.</v>
          </cell>
        </row>
        <row r="883">
          <cell r="CA883" t="str">
            <v>.</v>
          </cell>
        </row>
        <row r="884">
          <cell r="CA884" t="str">
            <v>.</v>
          </cell>
        </row>
        <row r="885">
          <cell r="CA885" t="str">
            <v>.</v>
          </cell>
        </row>
        <row r="886">
          <cell r="CA886" t="str">
            <v>.</v>
          </cell>
        </row>
        <row r="887">
          <cell r="CA887" t="str">
            <v>.</v>
          </cell>
        </row>
        <row r="888">
          <cell r="CA888" t="str">
            <v>.</v>
          </cell>
        </row>
        <row r="889">
          <cell r="CA889" t="str">
            <v>.</v>
          </cell>
        </row>
        <row r="890">
          <cell r="CA890" t="str">
            <v>.</v>
          </cell>
        </row>
        <row r="891">
          <cell r="CA891" t="str">
            <v>.</v>
          </cell>
        </row>
        <row r="892">
          <cell r="CA892" t="str">
            <v>.</v>
          </cell>
        </row>
        <row r="893">
          <cell r="CA893" t="str">
            <v>.</v>
          </cell>
        </row>
        <row r="894">
          <cell r="CA894" t="str">
            <v>.</v>
          </cell>
        </row>
        <row r="895">
          <cell r="CA895" t="str">
            <v>.</v>
          </cell>
        </row>
        <row r="896">
          <cell r="CA896" t="str">
            <v>.</v>
          </cell>
        </row>
        <row r="897">
          <cell r="CA897" t="str">
            <v>.</v>
          </cell>
        </row>
        <row r="898">
          <cell r="CA898" t="str">
            <v>.</v>
          </cell>
        </row>
        <row r="899">
          <cell r="CA899" t="str">
            <v>.</v>
          </cell>
        </row>
        <row r="900">
          <cell r="CA900" t="str">
            <v>.</v>
          </cell>
        </row>
        <row r="901">
          <cell r="CA901" t="str">
            <v>.</v>
          </cell>
        </row>
        <row r="902">
          <cell r="CA902" t="str">
            <v>.</v>
          </cell>
        </row>
        <row r="903">
          <cell r="CA903" t="str">
            <v>.</v>
          </cell>
        </row>
        <row r="904">
          <cell r="CA904" t="str">
            <v>.</v>
          </cell>
        </row>
        <row r="905">
          <cell r="CA905" t="str">
            <v>.</v>
          </cell>
        </row>
        <row r="906">
          <cell r="CA906" t="str">
            <v>.</v>
          </cell>
        </row>
        <row r="907">
          <cell r="CA907" t="str">
            <v>.</v>
          </cell>
        </row>
        <row r="908">
          <cell r="CA908" t="str">
            <v>.</v>
          </cell>
        </row>
        <row r="909">
          <cell r="CA909" t="str">
            <v>.</v>
          </cell>
        </row>
        <row r="910">
          <cell r="CA910" t="str">
            <v>.</v>
          </cell>
        </row>
        <row r="911">
          <cell r="CA911" t="str">
            <v>.</v>
          </cell>
        </row>
        <row r="912">
          <cell r="CA912" t="str">
            <v>.</v>
          </cell>
        </row>
        <row r="913">
          <cell r="CA913" t="str">
            <v>.</v>
          </cell>
        </row>
        <row r="914">
          <cell r="CA914" t="str">
            <v>.</v>
          </cell>
        </row>
        <row r="915">
          <cell r="CA915" t="str">
            <v>.</v>
          </cell>
        </row>
        <row r="916">
          <cell r="CA916" t="str">
            <v>.</v>
          </cell>
        </row>
        <row r="917">
          <cell r="CA917" t="str">
            <v>.</v>
          </cell>
        </row>
        <row r="918">
          <cell r="CA918" t="str">
            <v>.</v>
          </cell>
        </row>
        <row r="919">
          <cell r="CA919" t="str">
            <v>.</v>
          </cell>
        </row>
        <row r="920">
          <cell r="CA920" t="str">
            <v>.</v>
          </cell>
        </row>
        <row r="921">
          <cell r="CA921" t="str">
            <v>.</v>
          </cell>
        </row>
        <row r="922">
          <cell r="CA922" t="str">
            <v>.</v>
          </cell>
        </row>
        <row r="923">
          <cell r="CA923" t="str">
            <v>.</v>
          </cell>
        </row>
        <row r="924">
          <cell r="CA924" t="str">
            <v>.</v>
          </cell>
        </row>
        <row r="925">
          <cell r="CA925" t="str">
            <v>.</v>
          </cell>
        </row>
        <row r="926">
          <cell r="CA926" t="str">
            <v>.</v>
          </cell>
        </row>
        <row r="927">
          <cell r="CA927" t="str">
            <v>.</v>
          </cell>
        </row>
        <row r="928">
          <cell r="CA928" t="str">
            <v>.</v>
          </cell>
        </row>
        <row r="929">
          <cell r="CA929" t="str">
            <v>.</v>
          </cell>
        </row>
        <row r="930">
          <cell r="CA930" t="str">
            <v>.</v>
          </cell>
        </row>
        <row r="931">
          <cell r="CA931" t="str">
            <v>.</v>
          </cell>
        </row>
        <row r="932">
          <cell r="CA932" t="str">
            <v>.</v>
          </cell>
        </row>
        <row r="933">
          <cell r="CA933" t="str">
            <v>.</v>
          </cell>
        </row>
        <row r="934">
          <cell r="CA934" t="str">
            <v>.</v>
          </cell>
        </row>
        <row r="935">
          <cell r="CA935" t="str">
            <v>.</v>
          </cell>
        </row>
        <row r="936">
          <cell r="CA936" t="str">
            <v>.</v>
          </cell>
        </row>
        <row r="937">
          <cell r="CA937" t="str">
            <v>.</v>
          </cell>
        </row>
        <row r="938">
          <cell r="CA938" t="str">
            <v>.</v>
          </cell>
        </row>
        <row r="939">
          <cell r="CA939" t="str">
            <v>.</v>
          </cell>
        </row>
        <row r="940">
          <cell r="CA940" t="str">
            <v>.</v>
          </cell>
        </row>
        <row r="941">
          <cell r="CA941" t="str">
            <v>.</v>
          </cell>
        </row>
        <row r="942">
          <cell r="CA942" t="str">
            <v>.</v>
          </cell>
        </row>
        <row r="943">
          <cell r="CA943" t="str">
            <v>.</v>
          </cell>
        </row>
        <row r="944">
          <cell r="CA944" t="str">
            <v>.</v>
          </cell>
        </row>
        <row r="945">
          <cell r="CA945" t="str">
            <v>.</v>
          </cell>
        </row>
        <row r="946">
          <cell r="CA946" t="str">
            <v>.</v>
          </cell>
        </row>
        <row r="947">
          <cell r="CA947" t="str">
            <v>.</v>
          </cell>
        </row>
        <row r="948">
          <cell r="CA948" t="str">
            <v>.</v>
          </cell>
        </row>
        <row r="949">
          <cell r="CA949" t="str">
            <v>.</v>
          </cell>
        </row>
        <row r="950">
          <cell r="CA950" t="str">
            <v>.</v>
          </cell>
        </row>
        <row r="951">
          <cell r="CA951" t="str">
            <v>.</v>
          </cell>
        </row>
        <row r="952">
          <cell r="CA952" t="str">
            <v>.</v>
          </cell>
        </row>
        <row r="953">
          <cell r="CA953" t="str">
            <v>.</v>
          </cell>
        </row>
        <row r="954">
          <cell r="CA954" t="str">
            <v>.</v>
          </cell>
        </row>
        <row r="955">
          <cell r="CA955" t="str">
            <v>.</v>
          </cell>
        </row>
        <row r="956">
          <cell r="CA956" t="str">
            <v>.</v>
          </cell>
        </row>
        <row r="957">
          <cell r="CA957" t="str">
            <v>.</v>
          </cell>
        </row>
        <row r="958">
          <cell r="CA958" t="str">
            <v>.</v>
          </cell>
        </row>
        <row r="959">
          <cell r="CA959" t="str">
            <v>.</v>
          </cell>
        </row>
        <row r="960">
          <cell r="CA960" t="str">
            <v>.</v>
          </cell>
        </row>
        <row r="961">
          <cell r="CA961" t="str">
            <v>.</v>
          </cell>
        </row>
        <row r="962">
          <cell r="CA962" t="str">
            <v>.</v>
          </cell>
        </row>
        <row r="963">
          <cell r="CA963" t="str">
            <v>.</v>
          </cell>
        </row>
        <row r="964">
          <cell r="CA964" t="str">
            <v>.</v>
          </cell>
        </row>
        <row r="965">
          <cell r="CA965" t="str">
            <v>.</v>
          </cell>
        </row>
        <row r="966">
          <cell r="CA966" t="str">
            <v>.</v>
          </cell>
        </row>
        <row r="967">
          <cell r="CA967" t="str">
            <v>.</v>
          </cell>
        </row>
        <row r="968">
          <cell r="CA968" t="str">
            <v>.</v>
          </cell>
        </row>
        <row r="969">
          <cell r="CA969" t="str">
            <v>.</v>
          </cell>
        </row>
        <row r="970">
          <cell r="CA970" t="str">
            <v>.</v>
          </cell>
        </row>
        <row r="971">
          <cell r="CA971" t="str">
            <v>.</v>
          </cell>
        </row>
        <row r="972">
          <cell r="CA972" t="str">
            <v>.</v>
          </cell>
        </row>
        <row r="973">
          <cell r="CA973" t="str">
            <v>.</v>
          </cell>
        </row>
        <row r="974">
          <cell r="CA974" t="str">
            <v>.</v>
          </cell>
        </row>
        <row r="975">
          <cell r="CA975" t="str">
            <v>.</v>
          </cell>
        </row>
        <row r="976">
          <cell r="CA976" t="str">
            <v>.</v>
          </cell>
        </row>
        <row r="977">
          <cell r="CA977" t="str">
            <v>.</v>
          </cell>
        </row>
        <row r="978">
          <cell r="CA978" t="str">
            <v>.</v>
          </cell>
        </row>
        <row r="979">
          <cell r="CA979" t="str">
            <v>.</v>
          </cell>
        </row>
        <row r="980">
          <cell r="CA980" t="str">
            <v>.</v>
          </cell>
        </row>
        <row r="981">
          <cell r="CA981" t="str">
            <v>.</v>
          </cell>
        </row>
        <row r="982">
          <cell r="CA982" t="str">
            <v>.</v>
          </cell>
        </row>
        <row r="983">
          <cell r="CA983" t="str">
            <v>.</v>
          </cell>
        </row>
        <row r="984">
          <cell r="CA984" t="str">
            <v>.</v>
          </cell>
        </row>
        <row r="985">
          <cell r="CA985" t="str">
            <v>.</v>
          </cell>
        </row>
        <row r="986">
          <cell r="CA986" t="str">
            <v>.</v>
          </cell>
        </row>
        <row r="987">
          <cell r="CA987" t="str">
            <v>.</v>
          </cell>
        </row>
        <row r="988">
          <cell r="CA988" t="str">
            <v>.</v>
          </cell>
        </row>
        <row r="989">
          <cell r="CA989" t="str">
            <v>.</v>
          </cell>
        </row>
        <row r="990">
          <cell r="CA990" t="str">
            <v>.</v>
          </cell>
        </row>
        <row r="991">
          <cell r="CA991" t="str">
            <v>.</v>
          </cell>
        </row>
        <row r="992">
          <cell r="CA992" t="str">
            <v>.</v>
          </cell>
        </row>
        <row r="993">
          <cell r="CA993" t="str">
            <v>.</v>
          </cell>
        </row>
        <row r="994">
          <cell r="CA994" t="str">
            <v>.</v>
          </cell>
        </row>
        <row r="995">
          <cell r="CA995" t="str">
            <v>.</v>
          </cell>
        </row>
        <row r="996">
          <cell r="CA996" t="str">
            <v>.</v>
          </cell>
        </row>
        <row r="997">
          <cell r="CA997" t="str">
            <v>.</v>
          </cell>
        </row>
        <row r="998">
          <cell r="CA998" t="str">
            <v>.</v>
          </cell>
        </row>
        <row r="999">
          <cell r="A999" t="str">
            <v>.</v>
          </cell>
          <cell r="B999" t="str">
            <v>.</v>
          </cell>
          <cell r="G999" t="str">
            <v>.</v>
          </cell>
          <cell r="I999" t="str">
            <v>.</v>
          </cell>
          <cell r="W999" t="str">
            <v>.</v>
          </cell>
          <cell r="AS999" t="str">
            <v>.</v>
          </cell>
          <cell r="AT999" t="str">
            <v>.</v>
          </cell>
          <cell r="AU999" t="str">
            <v>.</v>
          </cell>
          <cell r="AV999" t="str">
            <v>.</v>
          </cell>
          <cell r="AW999" t="str">
            <v>.</v>
          </cell>
          <cell r="AX999" t="str">
            <v>.</v>
          </cell>
          <cell r="AY999" t="str">
            <v>.</v>
          </cell>
          <cell r="AZ999" t="str">
            <v>.</v>
          </cell>
          <cell r="BA999" t="str">
            <v>.</v>
          </cell>
          <cell r="BB999" t="str">
            <v>.</v>
          </cell>
          <cell r="BC999" t="str">
            <v>.</v>
          </cell>
          <cell r="BD999" t="str">
            <v>.</v>
          </cell>
          <cell r="BE999" t="str">
            <v>.</v>
          </cell>
          <cell r="BF999" t="str">
            <v>.</v>
          </cell>
          <cell r="BG999" t="str">
            <v>.</v>
          </cell>
          <cell r="BH999" t="str">
            <v>.</v>
          </cell>
          <cell r="BI999" t="str">
            <v>.</v>
          </cell>
          <cell r="BJ999" t="str">
            <v>.</v>
          </cell>
          <cell r="BK999" t="str">
            <v>.</v>
          </cell>
          <cell r="BL999" t="str">
            <v>.</v>
          </cell>
          <cell r="BM999" t="str">
            <v>.</v>
          </cell>
          <cell r="BN999" t="str">
            <v>.</v>
          </cell>
          <cell r="BO999" t="str">
            <v>.</v>
          </cell>
          <cell r="BP999" t="str">
            <v>.</v>
          </cell>
          <cell r="BQ999" t="str">
            <v>.</v>
          </cell>
          <cell r="BR999" t="str">
            <v>.</v>
          </cell>
          <cell r="BS999" t="str">
            <v>.</v>
          </cell>
          <cell r="BT999" t="str">
            <v>.</v>
          </cell>
          <cell r="BU999" t="str">
            <v>.</v>
          </cell>
          <cell r="BV999" t="str">
            <v>.</v>
          </cell>
          <cell r="BW999" t="str">
            <v>.</v>
          </cell>
          <cell r="BX999" t="str">
            <v>.</v>
          </cell>
          <cell r="BY999" t="str">
            <v>.</v>
          </cell>
          <cell r="BZ999" t="str">
            <v>.</v>
          </cell>
          <cell r="CA999" t="str">
            <v>.</v>
          </cell>
        </row>
      </sheetData>
      <sheetData sheetId="13">
        <row r="1">
          <cell r="C1" t="str">
            <v>mstag:revenueNet</v>
          </cell>
          <cell r="G1" t="str">
            <v>Total Sales % Change</v>
          </cell>
          <cell r="K1" t="str">
            <v>Operating Margin</v>
          </cell>
          <cell r="O1" t="str">
            <v>mstag:adjEpsForConsensus</v>
          </cell>
        </row>
        <row r="2">
          <cell r="C2" t="str">
            <v>Sales</v>
          </cell>
          <cell r="G2" t="str">
            <v>Sales Growth</v>
          </cell>
          <cell r="K2" t="str">
            <v>Operating Margin</v>
          </cell>
          <cell r="O2" t="str">
            <v>EPS</v>
          </cell>
        </row>
        <row r="3">
          <cell r="A3" t="str">
            <v>Name</v>
          </cell>
          <cell r="B3" t="str">
            <v>Ticker</v>
          </cell>
          <cell r="C3" t="str">
            <v>MS</v>
          </cell>
          <cell r="D3" t="str">
            <v>Cons.</v>
          </cell>
          <cell r="E3" t="str">
            <v>MS vs C</v>
          </cell>
          <cell r="G3" t="str">
            <v>MS</v>
          </cell>
          <cell r="H3" t="str">
            <v>Cons.</v>
          </cell>
          <cell r="I3" t="str">
            <v>MS vs C</v>
          </cell>
          <cell r="K3" t="str">
            <v>MS</v>
          </cell>
          <cell r="L3" t="str">
            <v>Cons.</v>
          </cell>
          <cell r="M3" t="str">
            <v>MS vs C</v>
          </cell>
          <cell r="O3" t="str">
            <v>MS</v>
          </cell>
          <cell r="P3" t="str">
            <v>Cons.</v>
          </cell>
          <cell r="Q3" t="str">
            <v>MS vs C</v>
          </cell>
          <cell r="S3" t="str">
            <v>Name</v>
          </cell>
          <cell r="T3" t="str">
            <v>Ticker</v>
          </cell>
          <cell r="U3" t="str">
            <v>Release Date</v>
          </cell>
          <cell r="V3" t="str">
            <v>Release Time</v>
          </cell>
          <cell r="W3" t="str">
            <v>Conf Call Date</v>
          </cell>
          <cell r="X3" t="str">
            <v>Conf Call Time</v>
          </cell>
          <cell r="Y3" t="str">
            <v>Confirmed/Projected</v>
          </cell>
          <cell r="AB3" t="str">
            <v>UA</v>
          </cell>
          <cell r="AC3" t="str">
            <v>JNY</v>
          </cell>
          <cell r="AD3" t="str">
            <v>RL</v>
          </cell>
          <cell r="AE3" t="str">
            <v>WRC</v>
          </cell>
          <cell r="AF3" t="str">
            <v>LIZ</v>
          </cell>
          <cell r="AG3" t="str">
            <v>PVH</v>
          </cell>
          <cell r="AH3" t="str">
            <v>GES</v>
          </cell>
          <cell r="AI3" t="str">
            <v>Group Average</v>
          </cell>
        </row>
        <row r="4">
          <cell r="A4" t="str">
            <v>3Q09</v>
          </cell>
          <cell r="S4" t="str">
            <v>Under Armour</v>
          </cell>
          <cell r="T4" t="str">
            <v>UA</v>
          </cell>
          <cell r="U4" t="str">
            <v>7:00am</v>
          </cell>
          <cell r="V4">
            <v>0</v>
          </cell>
          <cell r="W4" t="str">
            <v>7:00am</v>
          </cell>
          <cell r="X4">
            <v>0</v>
          </cell>
          <cell r="Y4" t="str">
            <v>Confirmed</v>
          </cell>
          <cell r="AA4" t="str">
            <v>Sales</v>
          </cell>
          <cell r="AB4">
            <v>214.78640832525764</v>
          </cell>
          <cell r="AC4">
            <v>866.81399336316736</v>
          </cell>
          <cell r="AD4">
            <v>1269.2502193813905</v>
          </cell>
          <cell r="AE4">
            <v>597.08067638411103</v>
          </cell>
          <cell r="AF4">
            <v>628.96346254952391</v>
          </cell>
          <cell r="AG4">
            <v>599.47275927416752</v>
          </cell>
          <cell r="AH4">
            <v>512.7152527089213</v>
          </cell>
        </row>
        <row r="5">
          <cell r="A5" t="str">
            <v>Under Armour</v>
          </cell>
          <cell r="B5" t="str">
            <v>UA</v>
          </cell>
          <cell r="C5" t="e">
            <v>#N/A</v>
          </cell>
          <cell r="D5">
            <v>214.86</v>
          </cell>
          <cell r="E5" t="e">
            <v>#N/A</v>
          </cell>
          <cell r="G5" t="e">
            <v>#N/A</v>
          </cell>
          <cell r="H5">
            <v>7.4300000000000033E-2</v>
          </cell>
          <cell r="I5" t="e">
            <v>#N/A</v>
          </cell>
          <cell r="K5" t="e">
            <v>#N/A</v>
          </cell>
          <cell r="L5">
            <v>4.3015768407335002E-2</v>
          </cell>
          <cell r="M5" t="e">
            <v>#N/A</v>
          </cell>
          <cell r="O5" t="e">
            <v>#N/A</v>
          </cell>
          <cell r="P5">
            <v>0.10034075000000001</v>
          </cell>
          <cell r="Q5" t="e">
            <v>#N/A</v>
          </cell>
          <cell r="S5" t="str">
            <v>Jones Apparel Group</v>
          </cell>
          <cell r="T5" t="str">
            <v>JNY</v>
          </cell>
          <cell r="U5" t="str">
            <v>7:00am</v>
          </cell>
          <cell r="V5">
            <v>0</v>
          </cell>
          <cell r="W5" t="str">
            <v>7:00am</v>
          </cell>
          <cell r="X5">
            <v>0</v>
          </cell>
          <cell r="Y5" t="str">
            <v>Confirmed</v>
          </cell>
          <cell r="AA5" t="str">
            <v>Sales Growth</v>
          </cell>
          <cell r="AB5">
            <v>7.3932041626288303E-2</v>
          </cell>
          <cell r="AC5">
            <v>-2.8997430981105077E-2</v>
          </cell>
          <cell r="AD5">
            <v>3.663036538826403E-2</v>
          </cell>
          <cell r="AE5">
            <v>0.11013728215637064</v>
          </cell>
          <cell r="AF5">
            <v>-0.19329011492176262</v>
          </cell>
          <cell r="AG5">
            <v>7.5432137550643708E-2</v>
          </cell>
          <cell r="AH5">
            <v>0.16208996060507874</v>
          </cell>
          <cell r="AI5">
            <v>3.3704891631968249E-2</v>
          </cell>
        </row>
        <row r="6">
          <cell r="A6" t="str">
            <v>Jones Apparel</v>
          </cell>
          <cell r="B6" t="str">
            <v>JNY</v>
          </cell>
          <cell r="C6" t="e">
            <v>#N/A</v>
          </cell>
          <cell r="D6">
            <v>864.08680000000004</v>
          </cell>
          <cell r="E6" t="e">
            <v>#N/A</v>
          </cell>
          <cell r="G6" t="e">
            <v>#N/A</v>
          </cell>
          <cell r="H6">
            <v>-3.2052425226839709E-2</v>
          </cell>
          <cell r="I6" t="e">
            <v>#N/A</v>
          </cell>
          <cell r="K6" t="e">
            <v>#N/A</v>
          </cell>
          <cell r="L6">
            <v>6.2044600148966518E-2</v>
          </cell>
          <cell r="M6" t="e">
            <v>#N/A</v>
          </cell>
          <cell r="O6" t="e">
            <v>#N/A</v>
          </cell>
          <cell r="P6">
            <v>0.3370881</v>
          </cell>
          <cell r="Q6" t="e">
            <v>#N/A</v>
          </cell>
          <cell r="S6" t="str">
            <v>Polo Ralph Lauren</v>
          </cell>
          <cell r="T6" t="str">
            <v>RL</v>
          </cell>
          <cell r="U6" t="str">
            <v>8:00am</v>
          </cell>
          <cell r="V6">
            <v>0</v>
          </cell>
          <cell r="W6" t="str">
            <v>8:00am</v>
          </cell>
          <cell r="X6">
            <v>0</v>
          </cell>
          <cell r="Y6" t="str">
            <v>Confirmed</v>
          </cell>
        </row>
        <row r="7">
          <cell r="A7" t="str">
            <v>Ralph Lauren</v>
          </cell>
          <cell r="B7" t="str">
            <v>RL</v>
          </cell>
          <cell r="C7" t="e">
            <v>#N/A</v>
          </cell>
          <cell r="D7">
            <v>1236.9849999999999</v>
          </cell>
          <cell r="E7" t="e">
            <v>#N/A</v>
          </cell>
          <cell r="G7" t="e">
            <v>#N/A</v>
          </cell>
          <cell r="H7">
            <v>1.0278503756941948E-2</v>
          </cell>
          <cell r="I7" t="e">
            <v>#N/A</v>
          </cell>
          <cell r="K7" t="e">
            <v>#N/A</v>
          </cell>
          <cell r="L7">
            <v>7.646775021524109E-2</v>
          </cell>
          <cell r="M7" t="e">
            <v>#N/A</v>
          </cell>
          <cell r="O7" t="e">
            <v>#N/A</v>
          </cell>
          <cell r="P7">
            <v>0.61383189999999999</v>
          </cell>
          <cell r="Q7" t="e">
            <v>#N/A</v>
          </cell>
          <cell r="S7" t="str">
            <v>Warnaco</v>
          </cell>
          <cell r="T7" t="str">
            <v>WRC</v>
          </cell>
          <cell r="U7" t="str">
            <v>7:30am</v>
          </cell>
          <cell r="V7">
            <v>0</v>
          </cell>
          <cell r="W7" t="str">
            <v>7:30am</v>
          </cell>
          <cell r="X7">
            <v>0</v>
          </cell>
          <cell r="Y7" t="str">
            <v>Projected</v>
          </cell>
          <cell r="AA7" t="str">
            <v>Gross Profit</v>
          </cell>
          <cell r="AB7">
            <v>101.32656205948193</v>
          </cell>
          <cell r="AC7">
            <v>307.8665876663847</v>
          </cell>
          <cell r="AD7">
            <v>723.63931521014706</v>
          </cell>
          <cell r="AE7">
            <v>263.80059562174603</v>
          </cell>
          <cell r="AF7">
            <v>318.17316651223837</v>
          </cell>
          <cell r="AG7">
            <v>296.78759848752674</v>
          </cell>
          <cell r="AH7">
            <v>221.18263057082578</v>
          </cell>
        </row>
        <row r="8">
          <cell r="A8" t="str">
            <v>Warnaco</v>
          </cell>
          <cell r="B8" t="str">
            <v>WRC</v>
          </cell>
          <cell r="C8" t="e">
            <v>#N/A</v>
          </cell>
          <cell r="D8">
            <v>576.10699999999997</v>
          </cell>
          <cell r="E8" t="e">
            <v>#N/A</v>
          </cell>
          <cell r="G8" t="e">
            <v>#N/A</v>
          </cell>
          <cell r="H8">
            <v>7.1141446218605964E-2</v>
          </cell>
          <cell r="I8" t="e">
            <v>#N/A</v>
          </cell>
          <cell r="K8" t="e">
            <v>#N/A</v>
          </cell>
          <cell r="L8">
            <v>0.13685265063607979</v>
          </cell>
          <cell r="M8" t="e">
            <v>#N/A</v>
          </cell>
          <cell r="O8" t="e">
            <v>#N/A</v>
          </cell>
          <cell r="P8">
            <v>1.0554539999999999</v>
          </cell>
          <cell r="Q8" t="e">
            <v>#N/A</v>
          </cell>
          <cell r="S8" t="str">
            <v>Liz Claiborne</v>
          </cell>
          <cell r="T8" t="str">
            <v>LIZ</v>
          </cell>
          <cell r="U8" t="str">
            <v>7:00am</v>
          </cell>
          <cell r="V8">
            <v>0</v>
          </cell>
          <cell r="W8" t="str">
            <v>7:00am</v>
          </cell>
          <cell r="X8">
            <v>0</v>
          </cell>
          <cell r="Y8" t="str">
            <v>Projected</v>
          </cell>
          <cell r="AA8" t="str">
            <v>Gross Margin</v>
          </cell>
          <cell r="AB8">
            <v>0.47175500000000004</v>
          </cell>
          <cell r="AC8">
            <v>0.35517030184513698</v>
          </cell>
          <cell r="AD8">
            <v>0.57013132963083968</v>
          </cell>
          <cell r="AE8">
            <v>0.44181733902243908</v>
          </cell>
          <cell r="AF8">
            <v>0.5058690773904625</v>
          </cell>
          <cell r="AG8">
            <v>0.49508104229268507</v>
          </cell>
          <cell r="AH8">
            <v>0.43139467648409435</v>
          </cell>
          <cell r="AI8">
            <v>0.46731696666652262</v>
          </cell>
        </row>
        <row r="9">
          <cell r="A9" t="str">
            <v>Liz Claiborne</v>
          </cell>
          <cell r="B9" t="str">
            <v>LIZ</v>
          </cell>
          <cell r="C9" t="e">
            <v>#N/A</v>
          </cell>
          <cell r="D9">
            <v>833.25</v>
          </cell>
          <cell r="E9" t="e">
            <v>#N/A</v>
          </cell>
          <cell r="G9" t="e">
            <v>#N/A</v>
          </cell>
          <cell r="H9">
            <v>6.8728235844882191E-2</v>
          </cell>
          <cell r="I9" t="e">
            <v>#N/A</v>
          </cell>
          <cell r="K9" t="e">
            <v>#N/A</v>
          </cell>
          <cell r="L9" t="str">
            <v>NA</v>
          </cell>
          <cell r="M9" t="e">
            <v>#N/A</v>
          </cell>
          <cell r="O9" t="e">
            <v>#N/A</v>
          </cell>
          <cell r="P9">
            <v>-0.19700000000000001</v>
          </cell>
          <cell r="Q9" t="e">
            <v>#N/A</v>
          </cell>
          <cell r="S9" t="str">
            <v>Phillips-Van Heusen</v>
          </cell>
          <cell r="T9" t="str">
            <v>PVH</v>
          </cell>
          <cell r="U9" t="str">
            <v>4:00pm</v>
          </cell>
          <cell r="V9">
            <v>0</v>
          </cell>
          <cell r="W9" t="e">
            <v>#VALUE!</v>
          </cell>
          <cell r="X9">
            <v>0</v>
          </cell>
          <cell r="Y9" t="str">
            <v>Confirmed</v>
          </cell>
          <cell r="AA9" t="str">
            <v>Gross Margin ∆</v>
          </cell>
          <cell r="AB9">
            <v>190.00000000000017</v>
          </cell>
          <cell r="AC9">
            <v>260.26546935474846</v>
          </cell>
          <cell r="AD9">
            <v>520.00000000000045</v>
          </cell>
          <cell r="AE9">
            <v>201.9322496706244</v>
          </cell>
          <cell r="AF9">
            <v>580.13908824475823</v>
          </cell>
          <cell r="AG9">
            <v>59.999999999999496</v>
          </cell>
          <cell r="AH9">
            <v>290.76912018465293</v>
          </cell>
          <cell r="AI9">
            <v>300.44370392211198</v>
          </cell>
        </row>
        <row r="10">
          <cell r="A10" t="str">
            <v>Phillips Van Heusen</v>
          </cell>
          <cell r="B10" t="str">
            <v>PVH</v>
          </cell>
          <cell r="C10" t="e">
            <v>#N/A</v>
          </cell>
          <cell r="D10">
            <v>582.41770000000008</v>
          </cell>
          <cell r="E10" t="e">
            <v>#N/A</v>
          </cell>
          <cell r="G10" t="e">
            <v>#N/A</v>
          </cell>
          <cell r="H10">
            <v>4.4835986904067981E-2</v>
          </cell>
          <cell r="I10" t="e">
            <v>#N/A</v>
          </cell>
          <cell r="K10" t="e">
            <v>#N/A</v>
          </cell>
          <cell r="L10">
            <v>0.12305821062787069</v>
          </cell>
          <cell r="M10" t="e">
            <v>#N/A</v>
          </cell>
          <cell r="O10" t="e">
            <v>#N/A</v>
          </cell>
          <cell r="P10">
            <v>0.73555549999999992</v>
          </cell>
          <cell r="Q10" t="e">
            <v>#N/A</v>
          </cell>
          <cell r="S10" t="str">
            <v>Guess</v>
          </cell>
          <cell r="T10" t="str">
            <v>GES</v>
          </cell>
          <cell r="U10" t="str">
            <v>4:00pm</v>
          </cell>
          <cell r="V10">
            <v>0</v>
          </cell>
          <cell r="W10" t="str">
            <v>4:00pm</v>
          </cell>
          <cell r="X10">
            <v>0</v>
          </cell>
          <cell r="Y10" t="str">
            <v>Projected</v>
          </cell>
        </row>
        <row r="11">
          <cell r="A11" t="str">
            <v>Guess</v>
          </cell>
          <cell r="B11" t="str">
            <v>GES</v>
          </cell>
          <cell r="C11" t="e">
            <v>#N/A</v>
          </cell>
          <cell r="D11">
            <v>505.16060000000004</v>
          </cell>
          <cell r="E11" t="e">
            <v>#N/A</v>
          </cell>
          <cell r="G11" t="e">
            <v>#N/A</v>
          </cell>
          <cell r="H11">
            <v>0.14496703316628956</v>
          </cell>
          <cell r="I11" t="e">
            <v>#N/A</v>
          </cell>
          <cell r="K11" t="e">
            <v>#N/A</v>
          </cell>
          <cell r="L11">
            <v>0.13145639228395881</v>
          </cell>
          <cell r="M11" t="e">
            <v>#N/A</v>
          </cell>
          <cell r="O11" t="e">
            <v>#N/A</v>
          </cell>
          <cell r="P11">
            <v>0.48545459999999996</v>
          </cell>
          <cell r="Q11" t="e">
            <v>#N/A</v>
          </cell>
          <cell r="AA11" t="str">
            <v>SG&amp;A</v>
          </cell>
          <cell r="AB11">
            <v>91.201999999999998</v>
          </cell>
          <cell r="AC11">
            <v>242.72567459367625</v>
          </cell>
          <cell r="AD11">
            <v>617.58926113190068</v>
          </cell>
          <cell r="AE11">
            <v>179.21286391771531</v>
          </cell>
          <cell r="AF11">
            <v>349.54764148875796</v>
          </cell>
          <cell r="AG11">
            <v>225.35576</v>
          </cell>
          <cell r="AH11">
            <v>152.75932179216377</v>
          </cell>
        </row>
        <row r="12">
          <cell r="AA12" t="str">
            <v>SG&amp;A Growth</v>
          </cell>
          <cell r="AB12">
            <v>0.10340572258181591</v>
          </cell>
          <cell r="AC12">
            <v>-7.6710589627362324E-3</v>
          </cell>
          <cell r="AD12">
            <v>0.18607501657749315</v>
          </cell>
          <cell r="AE12">
            <v>0.18480010523413548</v>
          </cell>
          <cell r="AF12">
            <v>-0.11021486466988772</v>
          </cell>
          <cell r="AG12">
            <v>3.0000000000000027E-2</v>
          </cell>
          <cell r="AH12">
            <v>0.17989110746328296</v>
          </cell>
          <cell r="AI12">
            <v>8.0898004032014789E-2</v>
          </cell>
        </row>
        <row r="13">
          <cell r="A13" t="str">
            <v>4Q09</v>
          </cell>
          <cell r="AA13" t="str">
            <v>Expense Ratio</v>
          </cell>
          <cell r="AB13">
            <v>0.42461718463064951</v>
          </cell>
          <cell r="AC13">
            <v>0.28002048473158642</v>
          </cell>
          <cell r="AD13">
            <v>0.4865780219702483</v>
          </cell>
          <cell r="AE13">
            <v>0.30014849082542566</v>
          </cell>
          <cell r="AF13">
            <v>0.55575190341240999</v>
          </cell>
          <cell r="AG13">
            <v>0.37592327009630483</v>
          </cell>
          <cell r="AH13">
            <v>0.29794183220620568</v>
          </cell>
          <cell r="AI13">
            <v>0.3887115982675472</v>
          </cell>
        </row>
        <row r="14">
          <cell r="A14" t="str">
            <v>Under Armour</v>
          </cell>
          <cell r="B14" t="str">
            <v>UA</v>
          </cell>
          <cell r="C14" t="e">
            <v>#N/A</v>
          </cell>
          <cell r="D14">
            <v>187.67500000000001</v>
          </cell>
          <cell r="E14" t="e">
            <v>#N/A</v>
          </cell>
          <cell r="G14" t="e">
            <v>#N/A</v>
          </cell>
          <cell r="H14">
            <v>4.6832032753417963E-2</v>
          </cell>
          <cell r="I14" t="e">
            <v>#N/A</v>
          </cell>
          <cell r="K14" t="e">
            <v>#N/A</v>
          </cell>
          <cell r="L14">
            <v>2.0807481017716796E-2</v>
          </cell>
          <cell r="M14" t="e">
            <v>#N/A</v>
          </cell>
          <cell r="O14" t="e">
            <v>#N/A</v>
          </cell>
          <cell r="P14">
            <v>3.6795920000000003E-2</v>
          </cell>
          <cell r="Q14" t="e">
            <v>#N/A</v>
          </cell>
          <cell r="AA14" t="str">
            <v>Expense Ratio ∆</v>
          </cell>
          <cell r="AB14">
            <v>113.4218463064951</v>
          </cell>
          <cell r="AC14">
            <v>60.179853506112103</v>
          </cell>
          <cell r="AD14">
            <v>613.08502205465516</v>
          </cell>
          <cell r="AE14">
            <v>189.14527073854603</v>
          </cell>
          <cell r="AF14">
            <v>518.8806445593508</v>
          </cell>
          <cell r="AG14">
            <v>-165.81551180100129</v>
          </cell>
          <cell r="AH14">
            <v>44.950811788961317</v>
          </cell>
          <cell r="AI14">
            <v>196.2639910218742</v>
          </cell>
        </row>
        <row r="15">
          <cell r="A15" t="str">
            <v>Jones Apparel</v>
          </cell>
          <cell r="B15" t="str">
            <v>JNY</v>
          </cell>
          <cell r="C15" t="e">
            <v>#N/A</v>
          </cell>
          <cell r="D15">
            <v>798.6</v>
          </cell>
          <cell r="E15" t="e">
            <v>#N/A</v>
          </cell>
          <cell r="G15" t="e">
            <v>#N/A</v>
          </cell>
          <cell r="H15">
            <v>-5.8032554847841422E-2</v>
          </cell>
          <cell r="I15" t="e">
            <v>#N/A</v>
          </cell>
          <cell r="K15" t="e">
            <v>#N/A</v>
          </cell>
          <cell r="L15">
            <v>2.8737791134485349E-2</v>
          </cell>
          <cell r="M15" t="e">
            <v>#N/A</v>
          </cell>
          <cell r="O15" t="e">
            <v>#N/A</v>
          </cell>
          <cell r="P15">
            <v>8.1000000000000003E-2</v>
          </cell>
          <cell r="Q15" t="e">
            <v>#N/A</v>
          </cell>
        </row>
        <row r="16">
          <cell r="A16" t="str">
            <v>Ralph Lauren</v>
          </cell>
          <cell r="B16" t="str">
            <v>RL</v>
          </cell>
          <cell r="C16" t="e">
            <v>#N/A</v>
          </cell>
          <cell r="D16">
            <v>1108.462</v>
          </cell>
          <cell r="E16" t="e">
            <v>#N/A</v>
          </cell>
          <cell r="G16" t="e">
            <v>#N/A</v>
          </cell>
          <cell r="H16">
            <v>-0.10888174290537811</v>
          </cell>
          <cell r="I16" t="e">
            <v>#N/A</v>
          </cell>
          <cell r="K16" t="e">
            <v>#N/A</v>
          </cell>
          <cell r="L16">
            <v>0.112385900463886</v>
          </cell>
          <cell r="M16" t="e">
            <v>#N/A</v>
          </cell>
          <cell r="O16" t="e">
            <v>#N/A</v>
          </cell>
          <cell r="P16">
            <v>0.82237299999999991</v>
          </cell>
          <cell r="Q16" t="e">
            <v>#N/A</v>
          </cell>
          <cell r="AA16" t="str">
            <v>Operating Income</v>
          </cell>
          <cell r="AB16">
            <v>10.124562059481931</v>
          </cell>
          <cell r="AC16">
            <v>65.140913072708457</v>
          </cell>
          <cell r="AD16">
            <v>100.75005407824642</v>
          </cell>
          <cell r="AE16">
            <v>81.937834011523449</v>
          </cell>
          <cell r="AF16">
            <v>-31.374474976519593</v>
          </cell>
          <cell r="AG16">
            <v>71.431838487526733</v>
          </cell>
          <cell r="AH16">
            <v>68.423308778662005</v>
          </cell>
        </row>
        <row r="17">
          <cell r="A17" t="str">
            <v>Warnaco</v>
          </cell>
          <cell r="B17" t="str">
            <v>WRC</v>
          </cell>
          <cell r="C17" t="e">
            <v>#N/A</v>
          </cell>
          <cell r="D17">
            <v>0.10290132050622826</v>
          </cell>
          <cell r="E17" t="e">
            <v>#N/A</v>
          </cell>
          <cell r="G17" t="e">
            <v>#N/A</v>
          </cell>
          <cell r="H17">
            <v>-0.99976890544669572</v>
          </cell>
          <cell r="I17" t="e">
            <v>#N/A</v>
          </cell>
          <cell r="K17" t="e">
            <v>#N/A</v>
          </cell>
          <cell r="L17">
            <v>15</v>
          </cell>
          <cell r="M17" t="e">
            <v>#N/A</v>
          </cell>
          <cell r="O17" t="e">
            <v>#N/A</v>
          </cell>
          <cell r="P17">
            <v>6.2026000000000039</v>
          </cell>
          <cell r="Q17" t="e">
            <v>#N/A</v>
          </cell>
          <cell r="AA17" t="str">
            <v>Operating Margin</v>
          </cell>
          <cell r="AB17">
            <v>4.7137815369350543E-2</v>
          </cell>
          <cell r="AC17">
            <v>7.5149817113550565E-2</v>
          </cell>
          <cell r="AD17">
            <v>7.9377614074670144E-2</v>
          </cell>
          <cell r="AE17">
            <v>0.13723075834196249</v>
          </cell>
          <cell r="AF17">
            <v>-4.9882826021947498E-2</v>
          </cell>
          <cell r="AG17">
            <v>0.11915777219638023</v>
          </cell>
          <cell r="AH17">
            <v>0.13345284427788864</v>
          </cell>
          <cell r="AI17">
            <v>7.7374827907407878E-2</v>
          </cell>
        </row>
        <row r="18">
          <cell r="A18" t="str">
            <v>Liz Claiborne</v>
          </cell>
          <cell r="B18" t="str">
            <v>LIZ</v>
          </cell>
          <cell r="C18">
            <v>829.95670917128177</v>
          </cell>
          <cell r="D18">
            <v>586.43330000000003</v>
          </cell>
          <cell r="E18">
            <v>0.41526190475759428</v>
          </cell>
          <cell r="G18">
            <v>-9.9423699661363663E-2</v>
          </cell>
          <cell r="H18">
            <v>-0.35639741300499461</v>
          </cell>
          <cell r="I18">
            <v>2569.7371334363097</v>
          </cell>
          <cell r="K18">
            <v>-2.3757520567743219E-3</v>
          </cell>
          <cell r="L18">
            <v>-2.6772013117263294E-2</v>
          </cell>
          <cell r="M18">
            <v>243.9626106048897</v>
          </cell>
          <cell r="O18">
            <v>-9.6899689599035332E-2</v>
          </cell>
          <cell r="P18">
            <v>-0.28250000000000003</v>
          </cell>
          <cell r="Q18">
            <v>0.1856003104009647</v>
          </cell>
          <cell r="AA18" t="str">
            <v>Operating Margin ∆</v>
          </cell>
          <cell r="AB18">
            <v>76.578153693505413</v>
          </cell>
          <cell r="AC18">
            <v>200.08561584863631</v>
          </cell>
          <cell r="AD18">
            <v>-92.372176796585023</v>
          </cell>
          <cell r="AE18">
            <v>12.786978932077808</v>
          </cell>
          <cell r="AF18">
            <v>61.258443685408075</v>
          </cell>
          <cell r="AG18">
            <v>225.81551180100053</v>
          </cell>
          <cell r="AH18">
            <v>245.81830839569164</v>
          </cell>
          <cell r="AI18">
            <v>104.28154793710496</v>
          </cell>
        </row>
        <row r="19">
          <cell r="A19" t="str">
            <v>Phillips Van Heusen</v>
          </cell>
          <cell r="B19" t="str">
            <v>PVH</v>
          </cell>
          <cell r="C19" t="e">
            <v>#N/A</v>
          </cell>
          <cell r="D19">
            <v>576.50450000000001</v>
          </cell>
          <cell r="E19" t="e">
            <v>#N/A</v>
          </cell>
          <cell r="G19" t="e">
            <v>#N/A</v>
          </cell>
          <cell r="H19">
            <v>2.7115458278771154E-2</v>
          </cell>
          <cell r="I19" t="e">
            <v>#N/A</v>
          </cell>
          <cell r="K19" t="e">
            <v>#N/A</v>
          </cell>
          <cell r="L19">
            <v>0.12509456561050261</v>
          </cell>
          <cell r="M19" t="e">
            <v>#N/A</v>
          </cell>
          <cell r="O19" t="e">
            <v>#N/A</v>
          </cell>
          <cell r="P19">
            <v>0.68888879999999997</v>
          </cell>
          <cell r="Q19" t="e">
            <v>#N/A</v>
          </cell>
        </row>
        <row r="20">
          <cell r="A20" t="str">
            <v>Guess</v>
          </cell>
          <cell r="B20" t="str">
            <v>GES</v>
          </cell>
          <cell r="C20">
            <v>617.47692860256416</v>
          </cell>
          <cell r="D20">
            <v>590.62139999999999</v>
          </cell>
          <cell r="E20">
            <v>4.5469955207454671E-2</v>
          </cell>
          <cell r="G20">
            <v>0.10053456538856853</v>
          </cell>
          <cell r="H20">
            <v>5.2669720355748684E-2</v>
          </cell>
          <cell r="I20">
            <v>478.64845032819846</v>
          </cell>
          <cell r="K20">
            <v>0.1883119414517091</v>
          </cell>
          <cell r="L20">
            <v>0.18074387416371979</v>
          </cell>
          <cell r="M20">
            <v>75.680672879893109</v>
          </cell>
          <cell r="O20">
            <v>0.84066480668887278</v>
          </cell>
          <cell r="P20">
            <v>0.77545449999999994</v>
          </cell>
          <cell r="Q20">
            <v>6.5210306688872843E-2</v>
          </cell>
          <cell r="AA20" t="str">
            <v>EPS</v>
          </cell>
          <cell r="AB20">
            <v>0.10824466868765577</v>
          </cell>
          <cell r="AC20">
            <v>0.38370956721072103</v>
          </cell>
          <cell r="AD20">
            <v>0.63294858177896596</v>
          </cell>
          <cell r="AE20">
            <v>1.0792630922177753</v>
          </cell>
          <cell r="AF20">
            <v>-0.40562658531416712</v>
          </cell>
          <cell r="AG20">
            <v>0.55991220629973937</v>
          </cell>
          <cell r="AH20">
            <v>0.5042002207324322</v>
          </cell>
        </row>
        <row r="21">
          <cell r="AA21" t="str">
            <v>EPS Growth</v>
          </cell>
          <cell r="AB21">
            <v>0</v>
          </cell>
          <cell r="AC21">
            <v>0.36798361325009821</v>
          </cell>
          <cell r="AD21">
            <v>0.18607501657749315</v>
          </cell>
          <cell r="AE21">
            <v>0.11505908224347494</v>
          </cell>
          <cell r="AF21">
            <v>8.8453585105013444E-2</v>
          </cell>
          <cell r="AG21">
            <v>5.1789170036681265E-2</v>
          </cell>
          <cell r="AH21">
            <v>0.43586015999772165</v>
          </cell>
          <cell r="AI21">
            <v>0.17788866103006895</v>
          </cell>
        </row>
        <row r="22">
          <cell r="A22">
            <v>2009</v>
          </cell>
        </row>
        <row r="23">
          <cell r="A23" t="str">
            <v>Under Armour</v>
          </cell>
          <cell r="B23" t="str">
            <v>UA</v>
          </cell>
          <cell r="C23">
            <v>955.61670873865933</v>
          </cell>
          <cell r="D23">
            <v>953.822</v>
          </cell>
          <cell r="E23">
            <v>1.8815971309733559E-3</v>
          </cell>
          <cell r="G23">
            <v>0.11583890064310176</v>
          </cell>
          <cell r="H23">
            <v>0.31470985527222606</v>
          </cell>
          <cell r="I23">
            <v>-1988.709546291243</v>
          </cell>
          <cell r="K23">
            <v>9.9650993469039648E-2</v>
          </cell>
          <cell r="L23">
            <v>9.9845065431495614E-2</v>
          </cell>
          <cell r="M23">
            <v>-1.9407196245596614</v>
          </cell>
          <cell r="O23">
            <v>1.0485101164267066</v>
          </cell>
          <cell r="P23">
            <v>1.0471139999999999</v>
          </cell>
          <cell r="Q23">
            <v>1.3961164267066728E-3</v>
          </cell>
        </row>
        <row r="24">
          <cell r="A24" t="str">
            <v>Jones Apparel</v>
          </cell>
          <cell r="B24" t="str">
            <v>JNY</v>
          </cell>
          <cell r="C24">
            <v>3407.1067162675386</v>
          </cell>
          <cell r="D24">
            <v>3381.18</v>
          </cell>
          <cell r="E24">
            <v>7.6679491383300213E-3</v>
          </cell>
          <cell r="G24">
            <v>2.3032283289556199E-2</v>
          </cell>
          <cell r="H24">
            <v>1.5247417727600077E-2</v>
          </cell>
          <cell r="I24">
            <v>77.848655619561228</v>
          </cell>
          <cell r="K24">
            <v>7.1075925880296348E-2</v>
          </cell>
          <cell r="L24">
            <v>6.9552345630815277E-2</v>
          </cell>
          <cell r="M24">
            <v>15.235802494810713</v>
          </cell>
          <cell r="O24">
            <v>1.3645274997482593</v>
          </cell>
          <cell r="P24">
            <v>1.3541859999999999</v>
          </cell>
          <cell r="Q24">
            <v>1.0341499748259375E-2</v>
          </cell>
        </row>
        <row r="25">
          <cell r="A25" t="str">
            <v>Ralph Lauren</v>
          </cell>
          <cell r="B25" t="str">
            <v>RL</v>
          </cell>
          <cell r="C25">
            <v>4911.05021938139</v>
          </cell>
          <cell r="D25">
            <v>4875.2759999999998</v>
          </cell>
          <cell r="E25">
            <v>7.3378859743304936E-3</v>
          </cell>
          <cell r="G25">
            <v>-2.1488728729125883E-2</v>
          </cell>
          <cell r="H25">
            <v>-2.8616629141843819E-2</v>
          </cell>
          <cell r="I25">
            <v>71.279004127179363</v>
          </cell>
          <cell r="K25">
            <v>0.13230368761329642</v>
          </cell>
          <cell r="L25">
            <v>0.13159769826364703</v>
          </cell>
          <cell r="M25">
            <v>7.0598934964938298</v>
          </cell>
          <cell r="O25">
            <v>4.3340293193425694</v>
          </cell>
          <cell r="P25">
            <v>4.2647000000000004</v>
          </cell>
          <cell r="Q25">
            <v>6.9329319342569029E-2</v>
          </cell>
        </row>
        <row r="26">
          <cell r="A26" t="str">
            <v>Warnaco</v>
          </cell>
          <cell r="B26" t="str">
            <v>WRC</v>
          </cell>
          <cell r="C26">
            <v>2019.626</v>
          </cell>
          <cell r="D26">
            <v>2178.1950000000002</v>
          </cell>
          <cell r="E26">
            <v>-7.2798349091793946E-2</v>
          </cell>
          <cell r="G26">
            <v>-2.0953060548784763E-2</v>
          </cell>
          <cell r="H26">
            <v>5.591587169007517E-2</v>
          </cell>
          <cell r="I26">
            <v>-768.68932238859929</v>
          </cell>
          <cell r="K26">
            <v>0.11270849157220193</v>
          </cell>
          <cell r="L26">
            <v>0.11457160630705698</v>
          </cell>
          <cell r="M26">
            <v>-18.63114734855051</v>
          </cell>
          <cell r="O26">
            <v>2.8241511390163154</v>
          </cell>
          <cell r="P26">
            <v>3.2527269999999997</v>
          </cell>
          <cell r="Q26">
            <v>-0.42857586098368428</v>
          </cell>
        </row>
        <row r="27">
          <cell r="A27" t="str">
            <v>Liz Claiborne</v>
          </cell>
          <cell r="B27" t="str">
            <v>LIZ</v>
          </cell>
          <cell r="C27">
            <v>3011.8590000000004</v>
          </cell>
          <cell r="D27">
            <v>2703.2330000000002</v>
          </cell>
          <cell r="E27">
            <v>0.11416921885756803</v>
          </cell>
          <cell r="G27">
            <v>-0.24419076193253286</v>
          </cell>
          <cell r="H27">
            <v>-0.32163873738816018</v>
          </cell>
          <cell r="I27">
            <v>774.47975455627318</v>
          </cell>
          <cell r="K27">
            <v>-4.5223896603393245E-2</v>
          </cell>
          <cell r="L27">
            <v>4.7474017223080658E-3</v>
          </cell>
          <cell r="M27">
            <v>-499.71298325701309</v>
          </cell>
          <cell r="O27">
            <v>-1.4655063139449973</v>
          </cell>
          <cell r="P27">
            <v>-0.43044179999999999</v>
          </cell>
          <cell r="Q27">
            <v>-1.0350645139449974</v>
          </cell>
        </row>
        <row r="28">
          <cell r="A28" t="str">
            <v>Phillips Van Heusen</v>
          </cell>
          <cell r="B28" t="str">
            <v>PVH</v>
          </cell>
          <cell r="C28">
            <v>3749.1064498860405</v>
          </cell>
          <cell r="D28">
            <v>3066.89</v>
          </cell>
          <cell r="E28">
            <v>0.22244568598353398</v>
          </cell>
          <cell r="G28">
            <v>0.56295409943259211</v>
          </cell>
          <cell r="H28">
            <v>0.27854686498819592</v>
          </cell>
          <cell r="I28">
            <v>2844.0723444439618</v>
          </cell>
          <cell r="K28">
            <v>0.12811321863881991</v>
          </cell>
          <cell r="L28">
            <v>0.12899083436314965</v>
          </cell>
          <cell r="M28">
            <v>-8.7761572432973338</v>
          </cell>
          <cell r="O28">
            <v>3.6497830573148669</v>
          </cell>
          <cell r="P28">
            <v>3.4630000000000001</v>
          </cell>
          <cell r="Q28">
            <v>0.18678305731486677</v>
          </cell>
        </row>
        <row r="29">
          <cell r="A29" t="str">
            <v>Guess</v>
          </cell>
          <cell r="B29" t="str">
            <v>GES</v>
          </cell>
          <cell r="C29">
            <v>2339.5358472059361</v>
          </cell>
          <cell r="D29">
            <v>2363.75</v>
          </cell>
          <cell r="E29">
            <v>-1.0243956761105788E-2</v>
          </cell>
          <cell r="G29">
            <v>9.9165242576548573E-2</v>
          </cell>
          <cell r="H29">
            <v>0.11054158252938984</v>
          </cell>
          <cell r="I29">
            <v>-113.76339952841263</v>
          </cell>
          <cell r="K29">
            <v>0.1733295159390906</v>
          </cell>
          <cell r="L29">
            <v>0.17557652035959809</v>
          </cell>
          <cell r="M29">
            <v>-22.470044205074867</v>
          </cell>
          <cell r="O29">
            <v>2.9820721986947794</v>
          </cell>
          <cell r="P29">
            <v>3.0154540000000001</v>
          </cell>
          <cell r="Q29">
            <v>-3.3381801305220726E-2</v>
          </cell>
        </row>
        <row r="30">
          <cell r="A30" t="str">
            <v>Q2E2009E</v>
          </cell>
        </row>
        <row r="31">
          <cell r="A31" t="str">
            <v>Q3E2009E</v>
          </cell>
        </row>
        <row r="32">
          <cell r="A32" t="str">
            <v>Q4E2009E</v>
          </cell>
        </row>
      </sheetData>
      <sheetData sheetId="14"/>
      <sheetData sheetId="15">
        <row r="2">
          <cell r="A2" t="str">
            <v>Comps - 1H vs 2H</v>
          </cell>
        </row>
        <row r="4">
          <cell r="A4" t="str">
            <v>All</v>
          </cell>
        </row>
        <row r="5">
          <cell r="B5">
            <v>2005</v>
          </cell>
          <cell r="C5">
            <v>2006</v>
          </cell>
          <cell r="D5">
            <v>2007</v>
          </cell>
          <cell r="E5">
            <v>2008</v>
          </cell>
          <cell r="F5">
            <v>2009</v>
          </cell>
        </row>
        <row r="6">
          <cell r="A6" t="str">
            <v>1H Average</v>
          </cell>
          <cell r="B6">
            <v>7.343394807078546E-2</v>
          </cell>
          <cell r="C6">
            <v>3.6103699295473378E-2</v>
          </cell>
          <cell r="D6">
            <v>3.5750000000000004E-2</v>
          </cell>
          <cell r="E6">
            <v>-6.4642857142857158E-3</v>
          </cell>
          <cell r="F6">
            <v>-7.9104931190213501E-2</v>
          </cell>
          <cell r="I6" t="str">
            <v>adjust for COH, TJX</v>
          </cell>
        </row>
        <row r="7">
          <cell r="A7" t="str">
            <v>2H Average</v>
          </cell>
          <cell r="B7">
            <v>6.6390123171896021E-2</v>
          </cell>
          <cell r="C7">
            <v>5.727112891066783E-2</v>
          </cell>
          <cell r="D7">
            <v>1.8832722098564406E-2</v>
          </cell>
          <cell r="E7">
            <v>-7.3265786902211694E-2</v>
          </cell>
          <cell r="F7">
            <v>-3.1323701477169409E-3</v>
          </cell>
        </row>
        <row r="10">
          <cell r="A10" t="str">
            <v>Inventory performance - Gross Margin perf</v>
          </cell>
        </row>
        <row r="11">
          <cell r="B11">
            <v>2005</v>
          </cell>
          <cell r="C11">
            <v>2006</v>
          </cell>
          <cell r="D11">
            <v>2007</v>
          </cell>
          <cell r="E11">
            <v>2008</v>
          </cell>
          <cell r="F11">
            <v>2009</v>
          </cell>
        </row>
        <row r="12">
          <cell r="A12" t="str">
            <v>Avg. y/y inventory change</v>
          </cell>
          <cell r="B12">
            <v>5.7284524754549301E-2</v>
          </cell>
          <cell r="C12">
            <v>0.16859864286702</v>
          </cell>
          <cell r="D12">
            <v>-3.0164244389156207E-2</v>
          </cell>
          <cell r="E12">
            <v>-8.3614642141829371E-2</v>
          </cell>
          <cell r="F12">
            <v>-8.9823836642227775E-2</v>
          </cell>
          <cell r="G12" t="str">
            <v>inv</v>
          </cell>
        </row>
        <row r="13">
          <cell r="A13" t="str">
            <v>Avg. GM change, bps</v>
          </cell>
          <cell r="B13">
            <v>-46.259275288913322</v>
          </cell>
          <cell r="C13">
            <v>43.577692302823763</v>
          </cell>
          <cell r="D13">
            <v>2.0201815697073249</v>
          </cell>
          <cell r="E13">
            <v>-136.05015774008214</v>
          </cell>
          <cell r="F13">
            <v>115.57467902423799</v>
          </cell>
          <cell r="G13" t="str">
            <v>gm chg</v>
          </cell>
        </row>
        <row r="14">
          <cell r="B14">
            <v>2005</v>
          </cell>
          <cell r="C14">
            <v>2006</v>
          </cell>
          <cell r="D14">
            <v>2007</v>
          </cell>
          <cell r="E14">
            <v>2008</v>
          </cell>
          <cell r="F14">
            <v>2009</v>
          </cell>
        </row>
        <row r="15">
          <cell r="A15" t="str">
            <v>Avg. y/y inventory change - dept store</v>
          </cell>
          <cell r="B15">
            <v>6.4354638711914907E-4</v>
          </cell>
          <cell r="C15">
            <v>0.22375429462687266</v>
          </cell>
          <cell r="D15">
            <v>-7.9138376331201309E-3</v>
          </cell>
          <cell r="E15">
            <v>-0.11582389939374201</v>
          </cell>
          <cell r="F15">
            <v>-7.9383150790566556E-2</v>
          </cell>
          <cell r="G15" t="str">
            <v>inv</v>
          </cell>
        </row>
        <row r="16">
          <cell r="A16" t="str">
            <v>Avg. GM change, bps</v>
          </cell>
          <cell r="B16">
            <v>-20.136216979536993</v>
          </cell>
          <cell r="C16">
            <v>74.57171959282671</v>
          </cell>
          <cell r="D16">
            <v>3.9521848350601987</v>
          </cell>
          <cell r="E16">
            <v>-154.32368383100911</v>
          </cell>
          <cell r="F16">
            <v>191.11845927863604</v>
          </cell>
          <cell r="G16" t="str">
            <v>gm chg</v>
          </cell>
        </row>
        <row r="17">
          <cell r="B17">
            <v>2005</v>
          </cell>
          <cell r="C17">
            <v>2006</v>
          </cell>
          <cell r="D17">
            <v>2007</v>
          </cell>
          <cell r="E17">
            <v>2008</v>
          </cell>
          <cell r="F17">
            <v>2009</v>
          </cell>
        </row>
        <row r="18">
          <cell r="A18" t="str">
            <v>Avg. y/y inventory change - spec</v>
          </cell>
          <cell r="B18">
            <v>0.11392550312197945</v>
          </cell>
          <cell r="C18">
            <v>0.11344299110716731</v>
          </cell>
          <cell r="D18">
            <v>-5.2414651145192281E-2</v>
          </cell>
          <cell r="E18">
            <v>-5.140538488991675E-2</v>
          </cell>
          <cell r="F18">
            <v>-0.10026452249388899</v>
          </cell>
          <cell r="G18" t="str">
            <v>inv</v>
          </cell>
        </row>
        <row r="19">
          <cell r="A19" t="str">
            <v>Avg. GM change, bps</v>
          </cell>
          <cell r="B19">
            <v>-72.382333598289662</v>
          </cell>
          <cell r="C19">
            <v>12.583665012820811</v>
          </cell>
          <cell r="D19">
            <v>8.8178304354443071E-2</v>
          </cell>
          <cell r="E19">
            <v>-117.77663164915512</v>
          </cell>
          <cell r="F19">
            <v>40.030898769839915</v>
          </cell>
          <cell r="G19" t="str">
            <v>gm chg</v>
          </cell>
        </row>
        <row r="24">
          <cell r="A24" t="str">
            <v>Gross margins over past five years: peak (shaded), trough (outlined)</v>
          </cell>
        </row>
        <row r="25">
          <cell r="B25" t="str">
            <v>High</v>
          </cell>
          <cell r="C25" t="str">
            <v>Low</v>
          </cell>
        </row>
        <row r="27">
          <cell r="B27">
            <v>2005</v>
          </cell>
          <cell r="C27">
            <v>2006</v>
          </cell>
          <cell r="D27">
            <v>2007</v>
          </cell>
          <cell r="E27">
            <v>2008</v>
          </cell>
          <cell r="F27">
            <v>2009</v>
          </cell>
          <cell r="G27">
            <v>2010</v>
          </cell>
          <cell r="I27" t="str">
            <v>max</v>
          </cell>
          <cell r="J27" t="str">
            <v>min</v>
          </cell>
          <cell r="K27" t="str">
            <v>2010 vs peak</v>
          </cell>
        </row>
        <row r="28">
          <cell r="A28" t="str">
            <v>JCP</v>
          </cell>
          <cell r="B28">
            <v>0.3828337149246579</v>
          </cell>
          <cell r="C28">
            <v>0.39235117686260546</v>
          </cell>
          <cell r="D28">
            <v>0.38593358921258969</v>
          </cell>
          <cell r="E28">
            <v>0.37411138446832803</v>
          </cell>
          <cell r="F28">
            <v>0.39356446279921997</v>
          </cell>
          <cell r="G28">
            <v>0.39605323146481297</v>
          </cell>
          <cell r="I28">
            <v>0.39605323146481297</v>
          </cell>
          <cell r="J28">
            <v>0.37411138446832803</v>
          </cell>
          <cell r="K28">
            <v>0</v>
          </cell>
        </row>
        <row r="29">
          <cell r="A29" t="str">
            <v>JWN</v>
          </cell>
          <cell r="B29">
            <v>0.36705055232607831</v>
          </cell>
          <cell r="C29">
            <v>0.37458966546886718</v>
          </cell>
          <cell r="D29">
            <v>0.37400380207376371</v>
          </cell>
          <cell r="E29">
            <v>0.34513532746351461</v>
          </cell>
          <cell r="F29">
            <v>0.35480745943327685</v>
          </cell>
          <cell r="G29">
            <v>0.36371218664159566</v>
          </cell>
          <cell r="I29">
            <v>0.37458966546886718</v>
          </cell>
          <cell r="J29">
            <v>0.34513532746351461</v>
          </cell>
          <cell r="K29">
            <v>-108.77478827271526</v>
          </cell>
        </row>
        <row r="30">
          <cell r="A30" t="str">
            <v>KSS</v>
          </cell>
          <cell r="B30">
            <v>0.35521033860112516</v>
          </cell>
          <cell r="C30">
            <v>0.3636492487376406</v>
          </cell>
          <cell r="D30">
            <v>0.36507281302925265</v>
          </cell>
          <cell r="E30">
            <v>0.36947488849160115</v>
          </cell>
          <cell r="F30">
            <v>0.37823834196891193</v>
          </cell>
          <cell r="G30">
            <v>0.38389063407855639</v>
          </cell>
          <cell r="I30">
            <v>0.38389063407855639</v>
          </cell>
          <cell r="J30">
            <v>0.35521033860112516</v>
          </cell>
          <cell r="K30">
            <v>0</v>
          </cell>
        </row>
        <row r="31">
          <cell r="A31" t="str">
            <v>M</v>
          </cell>
          <cell r="B31">
            <v>0.40723537293434564</v>
          </cell>
          <cell r="C31">
            <v>0.40604375231738965</v>
          </cell>
          <cell r="D31">
            <v>0.40421084634971305</v>
          </cell>
          <cell r="E31">
            <v>0.39703519202956772</v>
          </cell>
          <cell r="F31">
            <v>0.4051258035676274</v>
          </cell>
          <cell r="G31">
            <v>0.40740177504153008</v>
          </cell>
          <cell r="I31">
            <v>0.40740177504153008</v>
          </cell>
          <cell r="J31">
            <v>0.39703519202956772</v>
          </cell>
          <cell r="K31">
            <v>0</v>
          </cell>
        </row>
        <row r="32">
          <cell r="A32" t="str">
            <v>SKS</v>
          </cell>
          <cell r="B32">
            <v>0.36838636693297744</v>
          </cell>
          <cell r="C32">
            <v>0.38629518405253327</v>
          </cell>
          <cell r="D32">
            <v>0.39013022290713839</v>
          </cell>
          <cell r="E32">
            <v>0.32085279404442968</v>
          </cell>
          <cell r="F32">
            <v>0.36470630800811976</v>
          </cell>
          <cell r="G32">
            <v>0.38074593530189327</v>
          </cell>
          <cell r="I32">
            <v>0.39013022290713839</v>
          </cell>
          <cell r="J32">
            <v>0.32085279404442968</v>
          </cell>
          <cell r="K32">
            <v>-93.842876052451231</v>
          </cell>
        </row>
        <row r="33">
          <cell r="A33" t="str">
            <v>Dept. store avg</v>
          </cell>
          <cell r="B33">
            <v>0.37614326914383689</v>
          </cell>
          <cell r="C33">
            <v>0.38458580548780724</v>
          </cell>
          <cell r="D33">
            <v>0.38387025471449154</v>
          </cell>
          <cell r="E33">
            <v>0.36132191729948826</v>
          </cell>
          <cell r="F33">
            <v>0.37928847515543118</v>
          </cell>
          <cell r="G33">
            <v>0.3863607525056777</v>
          </cell>
          <cell r="I33">
            <v>0.26466022730826666</v>
          </cell>
          <cell r="J33">
            <v>0.22078245953473774</v>
          </cell>
          <cell r="K33">
            <v>0</v>
          </cell>
        </row>
        <row r="34">
          <cell r="I34">
            <v>0.26683303831625027</v>
          </cell>
          <cell r="J34">
            <v>0.23491384996800246</v>
          </cell>
          <cell r="K34">
            <v>0</v>
          </cell>
        </row>
        <row r="35">
          <cell r="A35" t="str">
            <v>ROST</v>
          </cell>
          <cell r="B35">
            <v>0.22078245953473774</v>
          </cell>
          <cell r="C35">
            <v>0.22488972588107092</v>
          </cell>
          <cell r="D35">
            <v>0.22710357389829849</v>
          </cell>
          <cell r="E35">
            <v>0.2358202622546326</v>
          </cell>
          <cell r="F35">
            <v>0.25847437986596433</v>
          </cell>
          <cell r="G35">
            <v>0.26466022730826666</v>
          </cell>
          <cell r="I35">
            <v>0.67253982532430046</v>
          </cell>
          <cell r="J35">
            <v>0.64275377929795496</v>
          </cell>
          <cell r="K35">
            <v>-297.86046026345491</v>
          </cell>
        </row>
        <row r="36">
          <cell r="A36" t="str">
            <v>TJX</v>
          </cell>
          <cell r="B36">
            <v>0.23491384996800246</v>
          </cell>
          <cell r="C36">
            <v>0.24079410561679626</v>
          </cell>
          <cell r="D36">
            <v>0.24492454085068949</v>
          </cell>
          <cell r="E36">
            <v>0.24092296088766529</v>
          </cell>
          <cell r="F36">
            <v>0.26221897549166406</v>
          </cell>
          <cell r="G36">
            <v>0.26683303831625027</v>
          </cell>
          <cell r="I36">
            <v>0.38266153944036096</v>
          </cell>
          <cell r="J36">
            <v>0.30097222810369439</v>
          </cell>
          <cell r="K36">
            <v>0</v>
          </cell>
        </row>
        <row r="37">
          <cell r="A37" t="str">
            <v>Off-price avg</v>
          </cell>
          <cell r="B37">
            <v>0.2278481547513701</v>
          </cell>
          <cell r="C37">
            <v>0.23284191574893359</v>
          </cell>
          <cell r="D37">
            <v>0.23601405737449399</v>
          </cell>
          <cell r="E37">
            <v>0.23837161157114894</v>
          </cell>
          <cell r="F37">
            <v>0.2603466776788142</v>
          </cell>
          <cell r="G37">
            <v>0.26574663281225847</v>
          </cell>
          <cell r="I37">
            <v>0.47968246595255026</v>
          </cell>
          <cell r="J37">
            <v>0.38724779790259878</v>
          </cell>
          <cell r="K37">
            <v>-557.89561500711568</v>
          </cell>
        </row>
        <row r="38">
          <cell r="I38">
            <v>0.38266153944036096</v>
          </cell>
          <cell r="J38">
            <v>0.30097222810369439</v>
          </cell>
          <cell r="K38">
            <v>0</v>
          </cell>
        </row>
        <row r="39">
          <cell r="A39" t="str">
            <v>ANF</v>
          </cell>
          <cell r="B39">
            <v>0.66982483696775197</v>
          </cell>
          <cell r="C39">
            <v>0.67008193227159563</v>
          </cell>
          <cell r="D39">
            <v>0.67253982532430046</v>
          </cell>
          <cell r="E39">
            <v>0.66907487449258141</v>
          </cell>
          <cell r="F39">
            <v>0.6431673566946946</v>
          </cell>
          <cell r="G39">
            <v>0.64275377929795496</v>
          </cell>
          <cell r="I39">
            <v>0.77715250839458938</v>
          </cell>
          <cell r="J39">
            <v>0.7189701306436096</v>
          </cell>
          <cell r="K39">
            <v>-534.41365481116327</v>
          </cell>
        </row>
        <row r="40">
          <cell r="A40" t="str">
            <v>ARO</v>
          </cell>
          <cell r="B40">
            <v>0.30097222810369439</v>
          </cell>
          <cell r="C40">
            <v>0.31702127358463861</v>
          </cell>
          <cell r="D40">
            <v>0.34456092567946972</v>
          </cell>
          <cell r="E40">
            <v>0.34694841930469456</v>
          </cell>
          <cell r="F40">
            <v>0.38094484340423429</v>
          </cell>
          <cell r="G40">
            <v>0.38266153944036096</v>
          </cell>
          <cell r="I40">
            <v>0.40988133878454813</v>
          </cell>
          <cell r="J40">
            <v>0.35527224769201782</v>
          </cell>
          <cell r="K40">
            <v>0</v>
          </cell>
        </row>
        <row r="41">
          <cell r="A41" t="str">
            <v>AEO</v>
          </cell>
          <cell r="B41">
            <v>0.46338441369841543</v>
          </cell>
          <cell r="C41">
            <v>0.47968246595255026</v>
          </cell>
          <cell r="D41">
            <v>0.46577507045678512</v>
          </cell>
          <cell r="E41">
            <v>0.39281461528089534</v>
          </cell>
          <cell r="F41">
            <v>0.38724779790259878</v>
          </cell>
          <cell r="G41">
            <v>0.42389290445183869</v>
          </cell>
          <cell r="I41">
            <v>0.37612621984111183</v>
          </cell>
          <cell r="J41">
            <v>0.33246659377546584</v>
          </cell>
          <cell r="K41">
            <v>-160.31477906032765</v>
          </cell>
        </row>
        <row r="42">
          <cell r="A42" t="str">
            <v>COH</v>
          </cell>
          <cell r="B42">
            <v>0.76742019151131191</v>
          </cell>
          <cell r="C42">
            <v>0.77715250839458938</v>
          </cell>
          <cell r="D42">
            <v>0.77436175001607688</v>
          </cell>
          <cell r="E42">
            <v>0.75677047948019927</v>
          </cell>
          <cell r="F42">
            <v>0.7189701306436096</v>
          </cell>
          <cell r="G42">
            <v>0.72371114291347305</v>
          </cell>
          <cell r="I42">
            <v>0.41328451675268396</v>
          </cell>
          <cell r="J42">
            <v>0.36900034865197429</v>
          </cell>
          <cell r="K42">
            <v>0</v>
          </cell>
        </row>
        <row r="43">
          <cell r="A43" t="str">
            <v>GPS</v>
          </cell>
          <cell r="B43">
            <v>0.36634837421207012</v>
          </cell>
          <cell r="C43">
            <v>0.35527224769201782</v>
          </cell>
          <cell r="D43">
            <v>0.36122565501490833</v>
          </cell>
          <cell r="E43">
            <v>0.37498278948093078</v>
          </cell>
          <cell r="F43">
            <v>0.40318377121927162</v>
          </cell>
          <cell r="G43">
            <v>0.40988133878454813</v>
          </cell>
        </row>
        <row r="44">
          <cell r="A44" t="str">
            <v>LTD</v>
          </cell>
          <cell r="B44">
            <v>0.35680728062464451</v>
          </cell>
          <cell r="C44">
            <v>0.37612621984111183</v>
          </cell>
          <cell r="D44">
            <v>0.34339067881529917</v>
          </cell>
          <cell r="E44">
            <v>0.33246659377546584</v>
          </cell>
          <cell r="F44">
            <v>0.35077650699768259</v>
          </cell>
          <cell r="G44">
            <v>0.36009474193507907</v>
          </cell>
        </row>
        <row r="45">
          <cell r="A45" t="str">
            <v>URBN</v>
          </cell>
          <cell r="B45">
            <v>0.41077110576161491</v>
          </cell>
          <cell r="C45">
            <v>0.36900034865197429</v>
          </cell>
          <cell r="D45">
            <v>0.38254481589468625</v>
          </cell>
          <cell r="E45">
            <v>0.38889730723235016</v>
          </cell>
          <cell r="F45">
            <v>0.40568630132391381</v>
          </cell>
          <cell r="G45">
            <v>0.41328451675268396</v>
          </cell>
        </row>
        <row r="46">
          <cell r="A46" t="str">
            <v>Specialty avg</v>
          </cell>
          <cell r="B46">
            <v>0.47650406155421482</v>
          </cell>
          <cell r="C46">
            <v>0.47776242805549679</v>
          </cell>
          <cell r="D46">
            <v>0.47777124588593228</v>
          </cell>
          <cell r="E46">
            <v>0.46599358272101682</v>
          </cell>
          <cell r="F46">
            <v>0.46999667259800076</v>
          </cell>
          <cell r="G46">
            <v>0.47946856622513412</v>
          </cell>
        </row>
        <row r="57">
          <cell r="A57" t="str">
            <v>SG&amp;A Growth vs Sales Growth - Comps Growth</v>
          </cell>
        </row>
        <row r="58">
          <cell r="A58" t="str">
            <v>SG&amp;A growth</v>
          </cell>
          <cell r="B58">
            <v>2005</v>
          </cell>
          <cell r="C58">
            <v>2006</v>
          </cell>
          <cell r="D58">
            <v>2007</v>
          </cell>
          <cell r="E58">
            <v>2008</v>
          </cell>
          <cell r="F58">
            <v>2009</v>
          </cell>
          <cell r="G58">
            <v>2010</v>
          </cell>
        </row>
        <row r="59">
          <cell r="A59" t="str">
            <v>JCP</v>
          </cell>
          <cell r="B59">
            <v>1.9800181653042648E-2</v>
          </cell>
          <cell r="C59">
            <v>5.753473459209113E-2</v>
          </cell>
          <cell r="D59">
            <v>-1.8191005558362838E-2</v>
          </cell>
          <cell r="E59">
            <v>-4.1173443129182141E-3</v>
          </cell>
          <cell r="F59">
            <v>7.5279931093884533E-2</v>
          </cell>
          <cell r="G59">
            <v>7.7272891567914392E-4</v>
          </cell>
        </row>
        <row r="60">
          <cell r="A60" t="str">
            <v>JWN</v>
          </cell>
          <cell r="B60">
            <v>3.9813724456535526E-2</v>
          </cell>
          <cell r="C60">
            <v>9.3397522500006991E-2</v>
          </cell>
          <cell r="D60">
            <v>2.7392578486396646E-2</v>
          </cell>
          <cell r="E60">
            <v>1.1944333793828088E-2</v>
          </cell>
          <cell r="F60">
            <v>3.2259253272450383E-2</v>
          </cell>
          <cell r="G60">
            <v>5.0834702266653098E-2</v>
          </cell>
        </row>
        <row r="61">
          <cell r="A61" t="str">
            <v>KSS</v>
          </cell>
          <cell r="B61">
            <v>0.14732221151534408</v>
          </cell>
          <cell r="C61">
            <v>0.15252033069006243</v>
          </cell>
          <cell r="D61">
            <v>8.2391009909547508E-2</v>
          </cell>
          <cell r="E61">
            <v>6.4681760393843435E-2</v>
          </cell>
          <cell r="F61">
            <v>5.2839643680853365E-2</v>
          </cell>
          <cell r="G61">
            <v>6.0426926393679858E-2</v>
          </cell>
        </row>
        <row r="62">
          <cell r="A62" t="str">
            <v>M</v>
          </cell>
          <cell r="B62">
            <v>0.41553437436625429</v>
          </cell>
          <cell r="C62">
            <v>0.24326647564469916</v>
          </cell>
          <cell r="D62">
            <v>-1.4289006683567695E-2</v>
          </cell>
          <cell r="E62">
            <v>-1.1222819733458067E-2</v>
          </cell>
          <cell r="F62">
            <v>-4.6819579096713193E-2</v>
          </cell>
          <cell r="G62">
            <v>2.3079369153637952E-2</v>
          </cell>
        </row>
        <row r="63">
          <cell r="A63" t="str">
            <v>SKS</v>
          </cell>
          <cell r="B63">
            <v>6.2793070223896574E-3</v>
          </cell>
          <cell r="C63">
            <v>-6.4508354494813736E-2</v>
          </cell>
          <cell r="D63">
            <v>7.7426248732044733E-2</v>
          </cell>
          <cell r="E63">
            <v>-5.5058117202405166E-2</v>
          </cell>
          <cell r="F63">
            <v>-0.13106406133853599</v>
          </cell>
          <cell r="G63">
            <v>4.8787028931422949E-2</v>
          </cell>
        </row>
        <row r="64">
          <cell r="A64" t="str">
            <v>ROST</v>
          </cell>
          <cell r="B64">
            <v>0.16494036504740994</v>
          </cell>
          <cell r="C64">
            <v>0.12646317141425123</v>
          </cell>
          <cell r="D64">
            <v>8.4432460867660764E-2</v>
          </cell>
          <cell r="E64">
            <v>0.10981272658003349</v>
          </cell>
          <cell r="F64">
            <v>8.8707414272316543E-2</v>
          </cell>
          <cell r="G64">
            <v>7.1078079459742538E-2</v>
          </cell>
        </row>
        <row r="65">
          <cell r="A65" t="str">
            <v>TJX</v>
          </cell>
          <cell r="B65">
            <v>6.6846265118965631E-2</v>
          </cell>
          <cell r="C65">
            <v>8.4496792669717324E-2</v>
          </cell>
          <cell r="D65">
            <v>4.0062234300518362E-2</v>
          </cell>
          <cell r="E65">
            <v>3.6026224389584804E-2</v>
          </cell>
          <cell r="F65">
            <v>5.9267136455885217E-2</v>
          </cell>
          <cell r="G65">
            <v>6.6782449189689119E-2</v>
          </cell>
        </row>
        <row r="66">
          <cell r="A66" t="str">
            <v>ANF</v>
          </cell>
          <cell r="B66">
            <v>0.32517499320921894</v>
          </cell>
          <cell r="C66">
            <v>0.19254496302912805</v>
          </cell>
          <cell r="D66">
            <v>0.13770236688854931</v>
          </cell>
          <cell r="E66">
            <v>6.9262730911323844E-2</v>
          </cell>
          <cell r="F66">
            <v>-5.1157205166412423E-2</v>
          </cell>
          <cell r="G66">
            <v>2.6799926349323933E-2</v>
          </cell>
        </row>
        <row r="67">
          <cell r="A67" t="str">
            <v>ARO</v>
          </cell>
          <cell r="B67">
            <v>0.23408904373916317</v>
          </cell>
          <cell r="C67">
            <v>0.27612268987509014</v>
          </cell>
          <cell r="D67">
            <v>0.19351754700831103</v>
          </cell>
          <cell r="E67">
            <v>0.17373375168086058</v>
          </cell>
          <cell r="F67">
            <v>0.14210745461130436</v>
          </cell>
          <cell r="G67">
            <v>8.7894294822347341E-2</v>
          </cell>
        </row>
        <row r="68">
          <cell r="A68" t="str">
            <v>AEO</v>
          </cell>
          <cell r="B68">
            <v>0.21365220252042727</v>
          </cell>
          <cell r="C68">
            <v>0.22738915166099627</v>
          </cell>
          <cell r="D68">
            <v>7.4477882594383704E-2</v>
          </cell>
          <cell r="E68">
            <v>2.6372381778014153E-2</v>
          </cell>
          <cell r="F68">
            <v>3.0263977080299265E-2</v>
          </cell>
          <cell r="G68">
            <v>-3.6504660730932281E-2</v>
          </cell>
        </row>
        <row r="69">
          <cell r="A69" t="str">
            <v>COH</v>
          </cell>
          <cell r="B69">
            <v>0.26445354341591498</v>
          </cell>
          <cell r="C69">
            <v>0.18441894189124874</v>
          </cell>
          <cell r="D69">
            <v>0.18771473109049008</v>
          </cell>
          <cell r="E69">
            <v>0.19258655638317834</v>
          </cell>
          <cell r="F69">
            <v>7.6928088712685527E-2</v>
          </cell>
          <cell r="G69">
            <v>7.5120685716945523E-2</v>
          </cell>
        </row>
        <row r="70">
          <cell r="A70" t="str">
            <v>GPS</v>
          </cell>
          <cell r="B70">
            <v>-2.583798882681565E-2</v>
          </cell>
          <cell r="C70">
            <v>6.9772998805256892E-2</v>
          </cell>
          <cell r="D70">
            <v>-2.9484029484029506E-2</v>
          </cell>
          <cell r="E70">
            <v>-0.10264672036823941</v>
          </cell>
          <cell r="F70">
            <v>3.5906642728904536E-3</v>
          </cell>
          <cell r="G70">
            <v>1.8430965572890257E-2</v>
          </cell>
        </row>
        <row r="71">
          <cell r="A71" t="str">
            <v>LTD</v>
          </cell>
          <cell r="B71">
            <v>5.3515321049683484E-2</v>
          </cell>
          <cell r="C71">
            <v>0.13772363610993166</v>
          </cell>
          <cell r="D71">
            <v>-8.2824685886191962E-2</v>
          </cell>
          <cell r="E71">
            <v>-0.12049140453224649</v>
          </cell>
          <cell r="F71">
            <v>-5.3496757540580586E-2</v>
          </cell>
          <cell r="G71">
            <v>2.7337611856118382E-2</v>
          </cell>
        </row>
        <row r="72">
          <cell r="A72" t="str">
            <v>URBN</v>
          </cell>
          <cell r="B72">
            <v>0.27377825867719996</v>
          </cell>
          <cell r="C72">
            <v>0.18731418062159033</v>
          </cell>
          <cell r="D72">
            <v>0.2219100343136573</v>
          </cell>
          <cell r="E72">
            <v>0.17683691132289447</v>
          </cell>
          <cell r="F72">
            <v>7.9986861268032561E-2</v>
          </cell>
          <cell r="G72">
            <v>0.13189366124946944</v>
          </cell>
        </row>
        <row r="73">
          <cell r="A73" t="str">
            <v>Average</v>
          </cell>
          <cell r="B73">
            <v>0.15709727164033813</v>
          </cell>
          <cell r="C73">
            <v>0.14060408821494691</v>
          </cell>
          <cell r="D73">
            <v>7.0159883327100533E-2</v>
          </cell>
          <cell r="E73">
            <v>4.0551497934592416E-2</v>
          </cell>
          <cell r="F73">
            <v>2.5620915827025716E-2</v>
          </cell>
          <cell r="G73">
            <v>4.6623840653333373E-2</v>
          </cell>
        </row>
        <row r="75">
          <cell r="A75" t="str">
            <v>Total Sales</v>
          </cell>
          <cell r="B75">
            <v>2005</v>
          </cell>
          <cell r="C75">
            <v>2006</v>
          </cell>
          <cell r="D75">
            <v>2007</v>
          </cell>
          <cell r="E75">
            <v>2008</v>
          </cell>
          <cell r="F75">
            <v>2009</v>
          </cell>
          <cell r="G75">
            <v>2010</v>
          </cell>
        </row>
        <row r="76">
          <cell r="A76" t="str">
            <v>JCP</v>
          </cell>
          <cell r="B76">
            <v>3.7853669319186656E-2</v>
          </cell>
          <cell r="C76">
            <v>5.9745913423140395E-2</v>
          </cell>
          <cell r="D76">
            <v>-2.1181637743851178E-3</v>
          </cell>
          <cell r="E76">
            <v>-6.9204061506389691E-2</v>
          </cell>
          <cell r="F76">
            <v>-5.0252606220807183E-2</v>
          </cell>
          <cell r="G76">
            <v>1.4165050052032502E-2</v>
          </cell>
        </row>
        <row r="77">
          <cell r="A77" t="str">
            <v>JWN</v>
          </cell>
          <cell r="B77">
            <v>8.2900681814389365E-2</v>
          </cell>
          <cell r="C77">
            <v>0.10852364459071628</v>
          </cell>
          <cell r="D77">
            <v>3.1202595863094373E-2</v>
          </cell>
          <cell r="E77">
            <v>-6.0809391770148324E-2</v>
          </cell>
          <cell r="F77">
            <v>-3.9802195151369402E-3</v>
          </cell>
          <cell r="G77">
            <v>8.1553241749334093E-2</v>
          </cell>
        </row>
        <row r="78">
          <cell r="A78" t="str">
            <v>KSS</v>
          </cell>
          <cell r="B78">
            <v>0.14541865016622935</v>
          </cell>
          <cell r="C78">
            <v>0.16289124173643121</v>
          </cell>
          <cell r="D78">
            <v>5.7002363958193802E-2</v>
          </cell>
          <cell r="E78">
            <v>-5.147598900064887E-3</v>
          </cell>
          <cell r="F78">
            <v>4.8087425025474362E-2</v>
          </cell>
          <cell r="G78">
            <v>7.6911540806537948E-2</v>
          </cell>
        </row>
        <row r="79">
          <cell r="A79" t="str">
            <v>M</v>
          </cell>
          <cell r="B79">
            <v>0.41924442190669375</v>
          </cell>
          <cell r="C79">
            <v>0.20455560518088434</v>
          </cell>
          <cell r="D79">
            <v>-2.4360400444938812E-2</v>
          </cell>
          <cell r="E79">
            <v>-5.4003724394785846E-2</v>
          </cell>
          <cell r="F79">
            <v>-5.6363490278000916E-2</v>
          </cell>
          <cell r="G79">
            <v>4.4939125238239175E-2</v>
          </cell>
        </row>
        <row r="80">
          <cell r="A80" t="str">
            <v>SKS</v>
          </cell>
          <cell r="B80">
            <v>4.1041179597807176E-3</v>
          </cell>
          <cell r="C80">
            <v>5.8189569068934466E-2</v>
          </cell>
          <cell r="D80">
            <v>0.11041825467525013</v>
          </cell>
          <cell r="E80">
            <v>-6.9761287103328296E-2</v>
          </cell>
          <cell r="F80">
            <v>-0.13539452228728877</v>
          </cell>
          <cell r="G80">
            <v>4.2572459349391245E-2</v>
          </cell>
        </row>
        <row r="81">
          <cell r="A81" t="str">
            <v>ROST</v>
          </cell>
          <cell r="B81">
            <v>0.16608270302524297</v>
          </cell>
          <cell r="C81">
            <v>0.12661980887018864</v>
          </cell>
          <cell r="D81">
            <v>7.270856933580605E-2</v>
          </cell>
          <cell r="E81">
            <v>8.5507761063540411E-2</v>
          </cell>
          <cell r="F81">
            <v>0.10762550725477826</v>
          </cell>
          <cell r="G81">
            <v>8.6251364890475912E-2</v>
          </cell>
        </row>
        <row r="82">
          <cell r="A82" t="str">
            <v>TJX</v>
          </cell>
          <cell r="B82">
            <v>6.990050546877602E-2</v>
          </cell>
          <cell r="C82">
            <v>9.07933802470966E-2</v>
          </cell>
          <cell r="D82">
            <v>5.3554061483729987E-2</v>
          </cell>
          <cell r="E82">
            <v>3.6144893041429649E-2</v>
          </cell>
          <cell r="F82">
            <v>6.7840662164619481E-2</v>
          </cell>
          <cell r="G82">
            <v>8.7128931474232285E-2</v>
          </cell>
        </row>
        <row r="83">
          <cell r="A83" t="str">
            <v>ANF</v>
          </cell>
          <cell r="B83">
            <v>0.36952802567119236</v>
          </cell>
          <cell r="C83">
            <v>0.18640947573915412</v>
          </cell>
          <cell r="D83">
            <v>0.12650966330671687</v>
          </cell>
          <cell r="E83">
            <v>-5.8275418038866378E-2</v>
          </cell>
          <cell r="F83">
            <v>-0.1594210427670959</v>
          </cell>
          <cell r="G83">
            <v>7.9942840110693636E-2</v>
          </cell>
        </row>
        <row r="84">
          <cell r="A84" t="str">
            <v>ARO</v>
          </cell>
          <cell r="B84">
            <v>0.24904792721932512</v>
          </cell>
          <cell r="C84">
            <v>0.17342260992886604</v>
          </cell>
          <cell r="D84">
            <v>0.12027599617324558</v>
          </cell>
          <cell r="E84">
            <v>0.1909747641302364</v>
          </cell>
          <cell r="F84">
            <v>0.1827463987598188</v>
          </cell>
          <cell r="G84">
            <v>8.975332030843397E-2</v>
          </cell>
        </row>
        <row r="85">
          <cell r="A85" t="str">
            <v>AEO</v>
          </cell>
          <cell r="B85">
            <v>0.23427141977024735</v>
          </cell>
          <cell r="C85">
            <v>0.20346887675164371</v>
          </cell>
          <cell r="D85">
            <v>9.3404365645830545E-2</v>
          </cell>
          <cell r="E85">
            <v>-2.1797992353912776E-2</v>
          </cell>
          <cell r="F85">
            <v>5.8250471674914372E-4</v>
          </cell>
          <cell r="G85">
            <v>-5.5028288935698999E-4</v>
          </cell>
        </row>
        <row r="86">
          <cell r="A86" t="str">
            <v>COH</v>
          </cell>
          <cell r="B86">
            <v>0.29820325394954028</v>
          </cell>
          <cell r="C86">
            <v>0.23211241239350389</v>
          </cell>
          <cell r="D86">
            <v>0.283708542886415</v>
          </cell>
          <cell r="E86">
            <v>0.21753514700343279</v>
          </cell>
          <cell r="F86">
            <v>1.5628669527411265E-2</v>
          </cell>
          <cell r="G86">
            <v>7.6036142797213824E-2</v>
          </cell>
        </row>
        <row r="87">
          <cell r="A87" t="str">
            <v>GPS</v>
          </cell>
          <cell r="B87">
            <v>-1.4999692629249384E-2</v>
          </cell>
          <cell r="C87">
            <v>-6.2410285215003247E-3</v>
          </cell>
          <cell r="D87">
            <v>-1.0048357721534895E-2</v>
          </cell>
          <cell r="E87">
            <v>-7.8474909598426734E-2</v>
          </cell>
          <cell r="F87">
            <v>-2.2649043095139709E-2</v>
          </cell>
          <cell r="G87">
            <v>-9.811269648707488E-3</v>
          </cell>
          <cell r="M87">
            <v>2005</v>
          </cell>
          <cell r="N87">
            <v>2006</v>
          </cell>
          <cell r="O87">
            <v>2007</v>
          </cell>
          <cell r="P87">
            <v>2008</v>
          </cell>
          <cell r="Q87">
            <v>2009</v>
          </cell>
          <cell r="R87">
            <v>2010</v>
          </cell>
        </row>
        <row r="88">
          <cell r="A88" t="str">
            <v>LTD</v>
          </cell>
          <cell r="B88">
            <v>2.7761409272991866E-2</v>
          </cell>
          <cell r="C88">
            <v>0.10353710119447745</v>
          </cell>
          <cell r="D88">
            <v>-5.476319535113694E-2</v>
          </cell>
          <cell r="E88">
            <v>-0.10346635775899038</v>
          </cell>
          <cell r="F88">
            <v>-4.5358626808516544E-2</v>
          </cell>
          <cell r="G88">
            <v>5.5396224187859611E-2</v>
          </cell>
          <cell r="L88" t="str">
            <v>Avg - Dept Stores SG&amp;A growth</v>
          </cell>
          <cell r="M88">
            <v>0.12293377559713455</v>
          </cell>
          <cell r="N88">
            <v>9.9024381859430646E-2</v>
          </cell>
          <cell r="O88">
            <v>3.9889217150605352E-2</v>
          </cell>
          <cell r="P88">
            <v>2.1723823415501196E-2</v>
          </cell>
          <cell r="Q88">
            <v>1.8638534048591553E-2</v>
          </cell>
          <cell r="R88">
            <v>4.5965897758643522E-2</v>
          </cell>
        </row>
        <row r="89">
          <cell r="A89" t="str">
            <v>URBN</v>
          </cell>
          <cell r="B89">
            <v>0.31936816671700385</v>
          </cell>
          <cell r="C89">
            <v>0.12142583098542548</v>
          </cell>
          <cell r="D89">
            <v>0.23107950653089637</v>
          </cell>
          <cell r="E89">
            <v>0.21681289148411786</v>
          </cell>
          <cell r="F89">
            <v>5.6249856918443086E-2</v>
          </cell>
          <cell r="G89">
            <v>0.16704157529874619</v>
          </cell>
          <cell r="L89" t="str">
            <v>Avg - Dept Stores comps</v>
          </cell>
          <cell r="M89">
            <v>3.700780088861149E-2</v>
          </cell>
          <cell r="N89">
            <v>4.9142857142857134E-2</v>
          </cell>
          <cell r="O89">
            <v>2.4985142157499068E-2</v>
          </cell>
          <cell r="P89">
            <v>-4.8227770048997518E-2</v>
          </cell>
          <cell r="Q89">
            <v>-2.4653980686388615E-2</v>
          </cell>
          <cell r="R89">
            <v>4.1239107147145793E-2</v>
          </cell>
        </row>
        <row r="90">
          <cell r="A90" t="str">
            <v>Average</v>
          </cell>
          <cell r="B90">
            <v>0.17204894711652502</v>
          </cell>
          <cell r="C90">
            <v>0.13038960297064014</v>
          </cell>
          <cell r="D90">
            <v>7.7755271611941637E-2</v>
          </cell>
          <cell r="E90">
            <v>1.6145336806988844E-2</v>
          </cell>
          <cell r="F90">
            <v>3.815338139506027E-4</v>
          </cell>
          <cell r="G90">
            <v>6.3666447408937565E-2</v>
          </cell>
          <cell r="M90">
            <v>2005</v>
          </cell>
          <cell r="N90">
            <v>2006</v>
          </cell>
          <cell r="O90">
            <v>2007</v>
          </cell>
          <cell r="P90">
            <v>2008</v>
          </cell>
          <cell r="Q90">
            <v>2009</v>
          </cell>
          <cell r="R90">
            <v>2010</v>
          </cell>
        </row>
        <row r="91">
          <cell r="L91" t="str">
            <v>Avg - Specialty SG&amp;A growth</v>
          </cell>
          <cell r="M91">
            <v>0.19126076768354175</v>
          </cell>
          <cell r="N91">
            <v>0.18218379457046316</v>
          </cell>
          <cell r="O91">
            <v>0.10043054950359571</v>
          </cell>
          <cell r="P91">
            <v>5.937917245368364E-2</v>
          </cell>
          <cell r="Q91">
            <v>3.260329760545988E-2</v>
          </cell>
          <cell r="R91">
            <v>4.7281783548023225E-2</v>
          </cell>
        </row>
        <row r="92">
          <cell r="L92" t="str">
            <v>Avg - Specialty comps</v>
          </cell>
          <cell r="M92">
            <v>9.7285714285714295E-2</v>
          </cell>
          <cell r="N92">
            <v>4.2153599874490209E-2</v>
          </cell>
          <cell r="O92">
            <v>3.5857142857142858E-2</v>
          </cell>
          <cell r="P92">
            <v>-2.5435212735340273E-2</v>
          </cell>
          <cell r="Q92">
            <v>-4.6189359134132642E-2</v>
          </cell>
          <cell r="R92">
            <v>2.7112424455829794E-2</v>
          </cell>
        </row>
        <row r="93">
          <cell r="A93" t="str">
            <v>SG&amp;A growth less sales growth</v>
          </cell>
        </row>
        <row r="94">
          <cell r="B94">
            <v>2005</v>
          </cell>
          <cell r="C94">
            <v>2006</v>
          </cell>
          <cell r="D94">
            <v>2007</v>
          </cell>
          <cell r="E94">
            <v>2008</v>
          </cell>
          <cell r="F94">
            <v>2009</v>
          </cell>
          <cell r="G94">
            <v>2010</v>
          </cell>
        </row>
        <row r="95">
          <cell r="A95" t="str">
            <v>JCP</v>
          </cell>
          <cell r="B95">
            <v>-180.53487666144008</v>
          </cell>
          <cell r="C95">
            <v>-22.111788310492653</v>
          </cell>
          <cell r="D95">
            <v>-160.72841783977719</v>
          </cell>
          <cell r="E95">
            <v>650.86717193471475</v>
          </cell>
          <cell r="F95">
            <v>1255.3253731469172</v>
          </cell>
          <cell r="G95">
            <v>-133.92321136353357</v>
          </cell>
        </row>
        <row r="96">
          <cell r="A96" t="str">
            <v>JWN</v>
          </cell>
          <cell r="B96">
            <v>-430.86957357853839</v>
          </cell>
          <cell r="C96">
            <v>-151.26122090709293</v>
          </cell>
          <cell r="D96">
            <v>-38.100173766977278</v>
          </cell>
          <cell r="E96">
            <v>727.53725563976411</v>
          </cell>
          <cell r="F96">
            <v>362.39472787587323</v>
          </cell>
          <cell r="G96">
            <v>-307.18539482680995</v>
          </cell>
        </row>
        <row r="97">
          <cell r="A97" t="str">
            <v>KSS</v>
          </cell>
          <cell r="B97">
            <v>19.035613491147352</v>
          </cell>
          <cell r="C97">
            <v>-103.70911046368781</v>
          </cell>
          <cell r="D97">
            <v>253.88645951353706</v>
          </cell>
          <cell r="E97">
            <v>698.29359293908317</v>
          </cell>
          <cell r="F97">
            <v>47.522186553790036</v>
          </cell>
          <cell r="G97">
            <v>-164.8461441285809</v>
          </cell>
        </row>
        <row r="98">
          <cell r="A98" t="str">
            <v>M</v>
          </cell>
          <cell r="B98">
            <v>-37.100475404394651</v>
          </cell>
          <cell r="C98">
            <v>387.10870463814831</v>
          </cell>
          <cell r="D98">
            <v>100.71393761371117</v>
          </cell>
          <cell r="E98">
            <v>427.80904661327781</v>
          </cell>
          <cell r="F98">
            <v>95.439111812877229</v>
          </cell>
          <cell r="G98">
            <v>-218.59756084601224</v>
          </cell>
        </row>
        <row r="99">
          <cell r="A99" t="str">
            <v>SKS</v>
          </cell>
          <cell r="B99">
            <v>21.751890626089398</v>
          </cell>
          <cell r="C99">
            <v>-1226.9792356374819</v>
          </cell>
          <cell r="D99">
            <v>-329.92005943205396</v>
          </cell>
          <cell r="E99">
            <v>147.03169900923129</v>
          </cell>
          <cell r="F99">
            <v>43.304609487527792</v>
          </cell>
          <cell r="G99">
            <v>62.145695820317037</v>
          </cell>
        </row>
        <row r="100">
          <cell r="A100" t="str">
            <v>ROST</v>
          </cell>
          <cell r="B100">
            <v>-11.4233797783303</v>
          </cell>
          <cell r="C100">
            <v>-1.5663745593741396</v>
          </cell>
          <cell r="D100">
            <v>117.23891531854713</v>
          </cell>
          <cell r="E100">
            <v>243.04965516493081</v>
          </cell>
          <cell r="F100">
            <v>-189.18092982461721</v>
          </cell>
          <cell r="G100">
            <v>-151.73285430733375</v>
          </cell>
        </row>
        <row r="101">
          <cell r="A101" t="str">
            <v>TJX</v>
          </cell>
          <cell r="B101">
            <v>-30.542403498103887</v>
          </cell>
          <cell r="C101">
            <v>-62.96587577379276</v>
          </cell>
          <cell r="D101">
            <v>-134.91827183211623</v>
          </cell>
          <cell r="E101">
            <v>-1.1866865184484432</v>
          </cell>
          <cell r="F101">
            <v>-85.735257087342646</v>
          </cell>
          <cell r="G101">
            <v>-203.46482284543166</v>
          </cell>
        </row>
        <row r="102">
          <cell r="A102" t="str">
            <v>ANF</v>
          </cell>
          <cell r="B102">
            <v>-443.53032461973419</v>
          </cell>
          <cell r="C102">
            <v>61.354872899739291</v>
          </cell>
          <cell r="D102">
            <v>111.92703581832441</v>
          </cell>
          <cell r="E102">
            <v>1275.3814895019023</v>
          </cell>
          <cell r="F102">
            <v>1082.6383760068347</v>
          </cell>
          <cell r="G102">
            <v>-531.42913761369698</v>
          </cell>
        </row>
        <row r="103">
          <cell r="A103" t="str">
            <v>ARO</v>
          </cell>
          <cell r="B103">
            <v>-149.58883480161944</v>
          </cell>
          <cell r="C103">
            <v>1027.000799462241</v>
          </cell>
          <cell r="D103">
            <v>732.41550835065448</v>
          </cell>
          <cell r="E103">
            <v>-172.41012449375813</v>
          </cell>
          <cell r="F103">
            <v>-406.38944148514435</v>
          </cell>
          <cell r="G103">
            <v>-18.590254860866295</v>
          </cell>
        </row>
        <row r="104">
          <cell r="A104" t="str">
            <v>AEO</v>
          </cell>
          <cell r="B104">
            <v>-206.19217249820076</v>
          </cell>
          <cell r="C104">
            <v>239.20274909352557</v>
          </cell>
          <cell r="D104">
            <v>-189.2648305144684</v>
          </cell>
          <cell r="E104">
            <v>481.70374131926928</v>
          </cell>
          <cell r="F104">
            <v>296.8147236355012</v>
          </cell>
          <cell r="G104">
            <v>-359.54377841575291</v>
          </cell>
        </row>
        <row r="105">
          <cell r="A105" t="str">
            <v>COH</v>
          </cell>
          <cell r="B105">
            <v>-337.49710533625301</v>
          </cell>
          <cell r="C105">
            <v>-476.93470502255144</v>
          </cell>
          <cell r="D105">
            <v>-959.93811795924921</v>
          </cell>
          <cell r="E105">
            <v>-249.48590620254453</v>
          </cell>
          <cell r="F105">
            <v>612.99419185274257</v>
          </cell>
          <cell r="G105">
            <v>-9.1545708026830042</v>
          </cell>
        </row>
        <row r="106">
          <cell r="A106" t="str">
            <v>GPS</v>
          </cell>
          <cell r="B106">
            <v>-108.38296197566267</v>
          </cell>
          <cell r="C106">
            <v>760.14027326757218</v>
          </cell>
          <cell r="D106">
            <v>-194.3567176249461</v>
          </cell>
          <cell r="E106">
            <v>-241.71810769812674</v>
          </cell>
          <cell r="F106">
            <v>262.39707368030162</v>
          </cell>
          <cell r="G106">
            <v>282.42235221597747</v>
          </cell>
        </row>
        <row r="107">
          <cell r="A107" t="str">
            <v>LTD</v>
          </cell>
          <cell r="B107">
            <v>257.53911776691621</v>
          </cell>
          <cell r="C107">
            <v>341.86534915454206</v>
          </cell>
          <cell r="D107">
            <v>-280.6149053505502</v>
          </cell>
          <cell r="E107">
            <v>-170.25046773256113</v>
          </cell>
          <cell r="F107">
            <v>-81.381307320640417</v>
          </cell>
          <cell r="G107">
            <v>-280.58612331741227</v>
          </cell>
        </row>
        <row r="108">
          <cell r="A108" t="str">
            <v>URBN</v>
          </cell>
          <cell r="B108">
            <v>-455.89908039803896</v>
          </cell>
          <cell r="C108">
            <v>658.88349636164855</v>
          </cell>
          <cell r="D108">
            <v>-91.694722172390726</v>
          </cell>
          <cell r="E108">
            <v>-399.7598016122339</v>
          </cell>
          <cell r="F108">
            <v>237.37004349589475</v>
          </cell>
          <cell r="G108">
            <v>-351.4791404927675</v>
          </cell>
        </row>
        <row r="109">
          <cell r="A109" t="str">
            <v>Average</v>
          </cell>
          <cell r="B109">
            <v>-149.51675476186884</v>
          </cell>
          <cell r="C109">
            <v>102.14485244306739</v>
          </cell>
          <cell r="D109">
            <v>-75.953882848411084</v>
          </cell>
          <cell r="E109">
            <v>244.06161127603579</v>
          </cell>
          <cell r="F109">
            <v>252.39382013075115</v>
          </cell>
          <cell r="G109">
            <v>-170.42606755604191</v>
          </cell>
        </row>
        <row r="111">
          <cell r="A111" t="str">
            <v>Avg - Dept Stores</v>
          </cell>
          <cell r="B111">
            <v>-92.811886400510062</v>
          </cell>
          <cell r="C111">
            <v>-168.78355728768199</v>
          </cell>
          <cell r="D111">
            <v>-27.403944346447041</v>
          </cell>
          <cell r="E111">
            <v>413.34310496893619</v>
          </cell>
          <cell r="F111">
            <v>218.43854599500369</v>
          </cell>
          <cell r="G111">
            <v>-159.65775607105499</v>
          </cell>
        </row>
        <row r="113">
          <cell r="A113" t="str">
            <v>Avg - Spec</v>
          </cell>
          <cell r="B113">
            <v>-206.22162312322754</v>
          </cell>
          <cell r="C113">
            <v>373.07326217381677</v>
          </cell>
          <cell r="D113">
            <v>-124.50382135037511</v>
          </cell>
          <cell r="E113">
            <v>74.780117583135308</v>
          </cell>
          <cell r="F113">
            <v>286.34909426649858</v>
          </cell>
          <cell r="G113">
            <v>-181.19437904102878</v>
          </cell>
        </row>
        <row r="116">
          <cell r="A116" t="str">
            <v>2009 - in Order</v>
          </cell>
          <cell r="B116" t="str">
            <v>(hardcoded)</v>
          </cell>
        </row>
        <row r="117">
          <cell r="A117" t="str">
            <v>TJX</v>
          </cell>
          <cell r="B117">
            <v>-214.23431782687351</v>
          </cell>
        </row>
        <row r="118">
          <cell r="A118" t="str">
            <v>ARO</v>
          </cell>
          <cell r="B118">
            <v>-160.93243556556169</v>
          </cell>
        </row>
        <row r="119">
          <cell r="A119" t="str">
            <v>ROST</v>
          </cell>
          <cell r="B119">
            <v>-139.48426974530469</v>
          </cell>
        </row>
        <row r="120">
          <cell r="A120" t="str">
            <v>LTD</v>
          </cell>
          <cell r="B120">
            <v>-26.472566827170361</v>
          </cell>
        </row>
        <row r="121">
          <cell r="A121" t="str">
            <v>KSS</v>
          </cell>
          <cell r="B121">
            <v>19.20113782717614</v>
          </cell>
        </row>
        <row r="122">
          <cell r="A122" t="str">
            <v>SKS</v>
          </cell>
          <cell r="B122">
            <v>187.91141726734796</v>
          </cell>
        </row>
        <row r="123">
          <cell r="A123" t="str">
            <v>URBN</v>
          </cell>
          <cell r="B123">
            <v>210.07871886226326</v>
          </cell>
        </row>
        <row r="124">
          <cell r="A124" t="str">
            <v>AEO</v>
          </cell>
          <cell r="B124">
            <v>211.26231705635544</v>
          </cell>
        </row>
        <row r="125">
          <cell r="A125" t="str">
            <v>M</v>
          </cell>
          <cell r="B125">
            <v>256.49965099774573</v>
          </cell>
        </row>
        <row r="126">
          <cell r="A126" t="str">
            <v>GPS</v>
          </cell>
          <cell r="B126">
            <v>265.45830679659764</v>
          </cell>
        </row>
        <row r="127">
          <cell r="A127" t="str">
            <v>JWN</v>
          </cell>
          <cell r="B127">
            <v>341.94187585199984</v>
          </cell>
        </row>
        <row r="128">
          <cell r="A128" t="str">
            <v>COH</v>
          </cell>
          <cell r="B128">
            <v>612.99419185274257</v>
          </cell>
        </row>
        <row r="129">
          <cell r="A129" t="str">
            <v>ANF</v>
          </cell>
          <cell r="B129">
            <v>1018.4323376746818</v>
          </cell>
        </row>
        <row r="130">
          <cell r="A130" t="str">
            <v>JCP</v>
          </cell>
          <cell r="B130">
            <v>1358.9998352094078</v>
          </cell>
        </row>
        <row r="132">
          <cell r="A132" t="str">
            <v>2008 - in Order</v>
          </cell>
          <cell r="B132" t="str">
            <v>(hardcoded)</v>
          </cell>
        </row>
        <row r="133">
          <cell r="A133" t="str">
            <v>URBN</v>
          </cell>
          <cell r="B133">
            <v>-399.7598016122339</v>
          </cell>
        </row>
        <row r="134">
          <cell r="A134" t="str">
            <v>COH</v>
          </cell>
          <cell r="B134">
            <v>-249.48590620254453</v>
          </cell>
        </row>
        <row r="135">
          <cell r="A135" t="str">
            <v>GPS</v>
          </cell>
          <cell r="B135">
            <v>-241.71810769812674</v>
          </cell>
        </row>
        <row r="136">
          <cell r="A136" t="str">
            <v>ARO</v>
          </cell>
          <cell r="B136">
            <v>-172.41012449375813</v>
          </cell>
        </row>
        <row r="137">
          <cell r="A137" t="str">
            <v>LTD</v>
          </cell>
          <cell r="B137">
            <v>-170.25046773256113</v>
          </cell>
        </row>
        <row r="138">
          <cell r="A138" t="str">
            <v>TJX</v>
          </cell>
          <cell r="B138">
            <v>-1.1866865184484432</v>
          </cell>
        </row>
        <row r="139">
          <cell r="A139" t="str">
            <v>SKS</v>
          </cell>
          <cell r="B139">
            <v>159.52008591213817</v>
          </cell>
        </row>
        <row r="140">
          <cell r="A140" t="str">
            <v>ROST</v>
          </cell>
          <cell r="B140">
            <v>243.04965516493081</v>
          </cell>
        </row>
        <row r="141">
          <cell r="A141" t="str">
            <v>M</v>
          </cell>
          <cell r="B141">
            <v>427.80904661327781</v>
          </cell>
        </row>
        <row r="142">
          <cell r="A142" t="str">
            <v>AEO</v>
          </cell>
          <cell r="B142">
            <v>481.70374131926928</v>
          </cell>
        </row>
        <row r="143">
          <cell r="A143" t="str">
            <v>JCP</v>
          </cell>
          <cell r="B143">
            <v>650.86717193471475</v>
          </cell>
        </row>
        <row r="144">
          <cell r="A144" t="str">
            <v>KSS</v>
          </cell>
          <cell r="B144">
            <v>698.29359293908317</v>
          </cell>
        </row>
        <row r="145">
          <cell r="A145" t="str">
            <v>JWN</v>
          </cell>
          <cell r="B145">
            <v>727.53725563976411</v>
          </cell>
        </row>
        <row r="146">
          <cell r="A146" t="str">
            <v>ANF</v>
          </cell>
          <cell r="B146">
            <v>1212.4880986772769</v>
          </cell>
        </row>
        <row r="148">
          <cell r="A148" t="str">
            <v>2007 - in Order</v>
          </cell>
          <cell r="B148" t="str">
            <v>(hardcoded)</v>
          </cell>
        </row>
        <row r="149">
          <cell r="A149" t="str">
            <v>COH</v>
          </cell>
          <cell r="B149">
            <v>-959.93811795924921</v>
          </cell>
        </row>
        <row r="150">
          <cell r="A150" t="str">
            <v>SKS</v>
          </cell>
          <cell r="B150">
            <v>-329.92005943205396</v>
          </cell>
        </row>
        <row r="151">
          <cell r="A151" t="str">
            <v>LTD</v>
          </cell>
          <cell r="B151">
            <v>-280.6149053505502</v>
          </cell>
        </row>
        <row r="152">
          <cell r="A152" t="str">
            <v>GPS</v>
          </cell>
          <cell r="B152">
            <v>-194.3567176249461</v>
          </cell>
        </row>
        <row r="153">
          <cell r="A153" t="str">
            <v>AEO</v>
          </cell>
          <cell r="B153">
            <v>-189.2648305144684</v>
          </cell>
        </row>
        <row r="154">
          <cell r="A154" t="str">
            <v>JCP</v>
          </cell>
          <cell r="B154">
            <v>-160.72841783977719</v>
          </cell>
        </row>
        <row r="155">
          <cell r="A155" t="str">
            <v>TJX</v>
          </cell>
          <cell r="B155">
            <v>-134.91827183211623</v>
          </cell>
        </row>
        <row r="156">
          <cell r="A156" t="str">
            <v>URBN</v>
          </cell>
          <cell r="B156">
            <v>-91.694722172390726</v>
          </cell>
        </row>
        <row r="157">
          <cell r="A157" t="str">
            <v>JWN</v>
          </cell>
          <cell r="B157">
            <v>-38.100173766977278</v>
          </cell>
        </row>
        <row r="158">
          <cell r="A158" t="str">
            <v>M</v>
          </cell>
          <cell r="B158">
            <v>100.71393761371117</v>
          </cell>
        </row>
        <row r="159">
          <cell r="A159" t="str">
            <v>ROST</v>
          </cell>
          <cell r="B159">
            <v>117.23891531854713</v>
          </cell>
        </row>
        <row r="160">
          <cell r="A160" t="str">
            <v>ANF</v>
          </cell>
          <cell r="B160">
            <v>119.36625141564683</v>
          </cell>
        </row>
        <row r="161">
          <cell r="A161" t="str">
            <v>KSS</v>
          </cell>
          <cell r="B161">
            <v>253.88645951353706</v>
          </cell>
        </row>
        <row r="162">
          <cell r="A162" t="str">
            <v>ARO</v>
          </cell>
          <cell r="B162">
            <v>732.41550835065448</v>
          </cell>
        </row>
        <row r="165">
          <cell r="A165" t="str">
            <v>Operating margin per quarter - dept store and softines averages</v>
          </cell>
        </row>
        <row r="166">
          <cell r="B166" t="str">
            <v>1Q05</v>
          </cell>
          <cell r="C166" t="str">
            <v>2Q05</v>
          </cell>
          <cell r="D166" t="str">
            <v>3Q05</v>
          </cell>
          <cell r="E166" t="str">
            <v>4Q05</v>
          </cell>
          <cell r="F166" t="str">
            <v>1Q06</v>
          </cell>
          <cell r="G166" t="str">
            <v>2Q06</v>
          </cell>
          <cell r="H166" t="str">
            <v>3Q06</v>
          </cell>
          <cell r="I166" t="str">
            <v>4Q06</v>
          </cell>
          <cell r="J166" t="str">
            <v>1Q07</v>
          </cell>
          <cell r="K166" t="str">
            <v>2Q07</v>
          </cell>
          <cell r="L166" t="str">
            <v>3Q07</v>
          </cell>
          <cell r="M166" t="str">
            <v>4Q07</v>
          </cell>
          <cell r="N166" t="str">
            <v>1Q08</v>
          </cell>
          <cell r="O166" t="str">
            <v>2Q08</v>
          </cell>
          <cell r="P166" t="str">
            <v>3Q08</v>
          </cell>
          <cell r="Q166" t="str">
            <v>4Q08</v>
          </cell>
          <cell r="R166" t="str">
            <v>1Q09</v>
          </cell>
          <cell r="S166" t="str">
            <v>2Q09</v>
          </cell>
          <cell r="T166" t="str">
            <v>3Q09</v>
          </cell>
          <cell r="U166" t="str">
            <v>4Q09</v>
          </cell>
        </row>
        <row r="167">
          <cell r="A167" t="str">
            <v>Department Stores Average</v>
          </cell>
          <cell r="B167">
            <v>6.8895458045228869E-2</v>
          </cell>
          <cell r="C167">
            <v>5.0381614729388138E-2</v>
          </cell>
          <cell r="D167">
            <v>5.8850908929155663E-2</v>
          </cell>
          <cell r="E167">
            <v>9.61852868874606E-2</v>
          </cell>
          <cell r="F167">
            <v>7.2635663425478267E-2</v>
          </cell>
          <cell r="G167">
            <v>5.944892792875256E-2</v>
          </cell>
          <cell r="H167">
            <v>8.0497421892793006E-2</v>
          </cell>
          <cell r="I167">
            <v>0.1127214661643382</v>
          </cell>
          <cell r="J167">
            <v>8.4050034085017683E-2</v>
          </cell>
          <cell r="K167">
            <v>6.804467912976582E-2</v>
          </cell>
          <cell r="L167">
            <v>7.7674969272626404E-2</v>
          </cell>
          <cell r="M167">
            <v>0.11086515574020774</v>
          </cell>
          <cell r="N167">
            <v>6.8356473350861688E-2</v>
          </cell>
          <cell r="O167">
            <v>6.0966790403798217E-2</v>
          </cell>
          <cell r="P167">
            <v>4.9309735773725973E-2</v>
          </cell>
          <cell r="Q167">
            <v>5.6946938565969989E-2</v>
          </cell>
          <cell r="R167">
            <v>5.1272690672644061E-2</v>
          </cell>
          <cell r="S167">
            <v>4.8279382532345698E-2</v>
          </cell>
          <cell r="T167">
            <v>6.4633547072114189E-2</v>
          </cell>
          <cell r="U167">
            <v>0.1020897665719154</v>
          </cell>
        </row>
        <row r="168">
          <cell r="B168" t="str">
            <v>1Q05</v>
          </cell>
          <cell r="C168" t="str">
            <v>2Q05</v>
          </cell>
          <cell r="D168" t="str">
            <v>3Q05</v>
          </cell>
          <cell r="E168" t="str">
            <v>4Q05</v>
          </cell>
          <cell r="F168" t="str">
            <v>1Q06</v>
          </cell>
          <cell r="G168" t="str">
            <v>2Q06</v>
          </cell>
          <cell r="H168" t="str">
            <v>3Q06</v>
          </cell>
          <cell r="I168" t="str">
            <v>4Q06</v>
          </cell>
          <cell r="J168" t="str">
            <v>1Q07</v>
          </cell>
          <cell r="K168" t="str">
            <v>2Q07</v>
          </cell>
          <cell r="L168" t="str">
            <v>3Q07</v>
          </cell>
          <cell r="M168" t="str">
            <v>4Q07</v>
          </cell>
          <cell r="N168" t="str">
            <v>1Q08</v>
          </cell>
          <cell r="O168" t="str">
            <v>2Q08</v>
          </cell>
          <cell r="P168" t="str">
            <v>3Q08</v>
          </cell>
          <cell r="Q168" t="str">
            <v>4Q08</v>
          </cell>
          <cell r="R168" t="str">
            <v>1Q09</v>
          </cell>
          <cell r="S168" t="str">
            <v>2Q09</v>
          </cell>
          <cell r="T168" t="str">
            <v>3Q09</v>
          </cell>
          <cell r="U168" t="str">
            <v>4Q09</v>
          </cell>
        </row>
        <row r="169">
          <cell r="A169" t="str">
            <v>Specialty Stores</v>
          </cell>
          <cell r="B169">
            <v>0.15422920734198622</v>
          </cell>
          <cell r="C169">
            <v>0.14889808899378965</v>
          </cell>
          <cell r="D169">
            <v>0.1604035975191784</v>
          </cell>
          <cell r="E169">
            <v>0.21862254168681086</v>
          </cell>
          <cell r="F169">
            <v>0.14336442322773496</v>
          </cell>
          <cell r="G169">
            <v>0.13910215874741497</v>
          </cell>
          <cell r="H169">
            <v>0.16214181785163623</v>
          </cell>
          <cell r="I169">
            <v>0.21167570055926174</v>
          </cell>
          <cell r="J169">
            <v>0.14278819378862215</v>
          </cell>
          <cell r="K169">
            <v>0.14759061099706394</v>
          </cell>
          <cell r="L169">
            <v>0.16636766252483629</v>
          </cell>
          <cell r="M169">
            <v>0.21528973973658486</v>
          </cell>
          <cell r="N169">
            <v>0.13864206934579909</v>
          </cell>
          <cell r="O169">
            <v>0.15729483083185869</v>
          </cell>
          <cell r="P169">
            <v>0.14512414393148346</v>
          </cell>
          <cell r="Q169">
            <v>0.1573688038954609</v>
          </cell>
          <cell r="R169">
            <v>9.5018026082193244E-2</v>
          </cell>
          <cell r="S169">
            <v>0.12412464617273845</v>
          </cell>
          <cell r="T169">
            <v>0.14216244672037553</v>
          </cell>
          <cell r="U169">
            <v>0.19155284062283701</v>
          </cell>
        </row>
        <row r="171">
          <cell r="A171" t="str">
            <v>Group by quarter</v>
          </cell>
        </row>
        <row r="172">
          <cell r="B172" t="str">
            <v>1Q05</v>
          </cell>
          <cell r="C172" t="str">
            <v>1Q06</v>
          </cell>
          <cell r="D172" t="str">
            <v>1Q07</v>
          </cell>
          <cell r="E172" t="str">
            <v>1Q08</v>
          </cell>
          <cell r="F172" t="str">
            <v>1Q09</v>
          </cell>
          <cell r="G172" t="str">
            <v>2Q05</v>
          </cell>
          <cell r="H172" t="str">
            <v>2Q06</v>
          </cell>
          <cell r="I172" t="str">
            <v>2Q07</v>
          </cell>
          <cell r="J172" t="str">
            <v>2Q08</v>
          </cell>
          <cell r="K172" t="str">
            <v>2Q09</v>
          </cell>
          <cell r="L172" t="str">
            <v>3Q05</v>
          </cell>
          <cell r="M172" t="str">
            <v>3Q06</v>
          </cell>
          <cell r="N172" t="str">
            <v>3Q07</v>
          </cell>
          <cell r="O172" t="str">
            <v>3Q08</v>
          </cell>
          <cell r="P172" t="str">
            <v>3Q09</v>
          </cell>
          <cell r="Q172" t="str">
            <v>4Q05</v>
          </cell>
          <cell r="R172" t="str">
            <v>4Q06</v>
          </cell>
          <cell r="S172" t="str">
            <v>4Q07</v>
          </cell>
          <cell r="T172" t="str">
            <v>4Q08</v>
          </cell>
          <cell r="U172" t="str">
            <v>4Q09</v>
          </cell>
        </row>
        <row r="173">
          <cell r="A173" t="str">
            <v>Department Stores Average</v>
          </cell>
          <cell r="B173">
            <v>6.8895458045228869E-2</v>
          </cell>
          <cell r="C173">
            <v>7.2635663425478267E-2</v>
          </cell>
          <cell r="D173">
            <v>8.4050034085017683E-2</v>
          </cell>
          <cell r="E173">
            <v>6.8356473350861688E-2</v>
          </cell>
          <cell r="F173">
            <v>5.1272690672644061E-2</v>
          </cell>
          <cell r="G173">
            <v>5.0381614729388138E-2</v>
          </cell>
          <cell r="H173">
            <v>5.944892792875256E-2</v>
          </cell>
          <cell r="I173">
            <v>6.804467912976582E-2</v>
          </cell>
          <cell r="J173">
            <v>6.0966790403798217E-2</v>
          </cell>
          <cell r="K173">
            <v>4.8279382532345698E-2</v>
          </cell>
          <cell r="L173">
            <v>5.8850908929155663E-2</v>
          </cell>
          <cell r="M173">
            <v>8.0497421892793006E-2</v>
          </cell>
          <cell r="N173">
            <v>7.7674969272626404E-2</v>
          </cell>
          <cell r="O173">
            <v>4.9309735773725973E-2</v>
          </cell>
          <cell r="P173">
            <v>6.4633547072114189E-2</v>
          </cell>
          <cell r="Q173">
            <v>9.61852868874606E-2</v>
          </cell>
          <cell r="R173">
            <v>0.1127214661643382</v>
          </cell>
          <cell r="S173">
            <v>0.11086515574020774</v>
          </cell>
          <cell r="T173">
            <v>5.6946938565969989E-2</v>
          </cell>
          <cell r="U173">
            <v>0.1020897665719154</v>
          </cell>
        </row>
        <row r="174">
          <cell r="B174" t="str">
            <v>1Q05</v>
          </cell>
          <cell r="C174" t="str">
            <v>1Q06</v>
          </cell>
          <cell r="D174" t="str">
            <v>1Q07</v>
          </cell>
          <cell r="E174" t="str">
            <v>1Q08</v>
          </cell>
          <cell r="F174" t="str">
            <v>1Q09</v>
          </cell>
          <cell r="G174" t="str">
            <v>2Q05</v>
          </cell>
          <cell r="H174" t="str">
            <v>2Q06</v>
          </cell>
          <cell r="I174" t="str">
            <v>2Q07</v>
          </cell>
          <cell r="J174" t="str">
            <v>2Q08</v>
          </cell>
          <cell r="K174" t="str">
            <v>2Q09</v>
          </cell>
          <cell r="L174" t="str">
            <v>3Q05</v>
          </cell>
          <cell r="M174" t="str">
            <v>3Q06</v>
          </cell>
          <cell r="N174" t="str">
            <v>3Q07</v>
          </cell>
          <cell r="O174" t="str">
            <v>3Q08</v>
          </cell>
          <cell r="P174" t="str">
            <v>3Q09</v>
          </cell>
          <cell r="Q174" t="str">
            <v>4Q05</v>
          </cell>
          <cell r="R174" t="str">
            <v>4Q06</v>
          </cell>
          <cell r="S174" t="str">
            <v>4Q07</v>
          </cell>
          <cell r="T174" t="str">
            <v>4Q08</v>
          </cell>
          <cell r="U174" t="str">
            <v>4Q09</v>
          </cell>
        </row>
        <row r="175">
          <cell r="A175" t="str">
            <v>Specialty Stores</v>
          </cell>
          <cell r="B175">
            <v>0.15422920734198622</v>
          </cell>
          <cell r="C175">
            <v>0.14336442322773496</v>
          </cell>
          <cell r="D175">
            <v>0.14278819378862215</v>
          </cell>
          <cell r="E175">
            <v>0.13864206934579909</v>
          </cell>
          <cell r="F175">
            <v>9.5018026082193244E-2</v>
          </cell>
          <cell r="G175">
            <v>0.14889808899378965</v>
          </cell>
          <cell r="H175">
            <v>0.13910215874741497</v>
          </cell>
          <cell r="I175">
            <v>0.14759061099706394</v>
          </cell>
          <cell r="J175">
            <v>0.15729483083185869</v>
          </cell>
          <cell r="K175">
            <v>0.12412464617273845</v>
          </cell>
          <cell r="L175">
            <v>0.1604035975191784</v>
          </cell>
          <cell r="M175">
            <v>0.16214181785163623</v>
          </cell>
          <cell r="N175">
            <v>0.16636766252483629</v>
          </cell>
          <cell r="O175">
            <v>0.14512414393148346</v>
          </cell>
          <cell r="P175">
            <v>0.14216244672037553</v>
          </cell>
          <cell r="Q175">
            <v>0.21862254168681086</v>
          </cell>
          <cell r="R175">
            <v>0.21167570055926174</v>
          </cell>
          <cell r="S175">
            <v>0.21528973973658486</v>
          </cell>
          <cell r="T175">
            <v>0.1573688038954609</v>
          </cell>
          <cell r="U175">
            <v>0.19155284062283701</v>
          </cell>
        </row>
        <row r="177">
          <cell r="A177" t="str">
            <v>Teen retail comps - monthly</v>
          </cell>
        </row>
        <row r="178">
          <cell r="B178">
            <v>38353</v>
          </cell>
          <cell r="C178">
            <v>38384</v>
          </cell>
          <cell r="D178">
            <v>38415</v>
          </cell>
          <cell r="E178">
            <v>38446</v>
          </cell>
          <cell r="F178">
            <v>38477</v>
          </cell>
          <cell r="G178">
            <v>38508</v>
          </cell>
          <cell r="H178">
            <v>38539</v>
          </cell>
          <cell r="I178">
            <v>38570</v>
          </cell>
          <cell r="J178">
            <v>38601</v>
          </cell>
          <cell r="K178">
            <v>38632</v>
          </cell>
          <cell r="L178">
            <v>38663</v>
          </cell>
          <cell r="M178">
            <v>38694</v>
          </cell>
          <cell r="N178">
            <v>38725</v>
          </cell>
          <cell r="O178">
            <v>38756</v>
          </cell>
          <cell r="P178">
            <v>38787</v>
          </cell>
          <cell r="Q178">
            <v>38818</v>
          </cell>
          <cell r="R178">
            <v>38849</v>
          </cell>
          <cell r="S178">
            <v>38880</v>
          </cell>
          <cell r="T178">
            <v>38911</v>
          </cell>
          <cell r="U178">
            <v>38942</v>
          </cell>
          <cell r="V178">
            <v>38973</v>
          </cell>
          <cell r="W178">
            <v>39004</v>
          </cell>
          <cell r="X178">
            <v>39035</v>
          </cell>
          <cell r="Y178">
            <v>39066</v>
          </cell>
          <cell r="Z178">
            <v>39097</v>
          </cell>
          <cell r="AA178">
            <v>39128</v>
          </cell>
          <cell r="AB178">
            <v>39159</v>
          </cell>
          <cell r="AC178">
            <v>39190</v>
          </cell>
          <cell r="AD178">
            <v>39221</v>
          </cell>
          <cell r="AE178">
            <v>39252</v>
          </cell>
          <cell r="AF178">
            <v>39283</v>
          </cell>
          <cell r="AG178">
            <v>39314</v>
          </cell>
          <cell r="AH178">
            <v>39345</v>
          </cell>
          <cell r="AI178">
            <v>39376</v>
          </cell>
          <cell r="AJ178">
            <v>39407</v>
          </cell>
          <cell r="AK178">
            <v>39438</v>
          </cell>
          <cell r="AL178">
            <v>39469</v>
          </cell>
          <cell r="AM178">
            <v>39500</v>
          </cell>
          <cell r="AN178">
            <v>39531</v>
          </cell>
          <cell r="AO178">
            <v>39562</v>
          </cell>
          <cell r="AP178">
            <v>39593</v>
          </cell>
          <cell r="AQ178">
            <v>39624</v>
          </cell>
          <cell r="AR178">
            <v>39655</v>
          </cell>
          <cell r="AS178">
            <v>39686</v>
          </cell>
          <cell r="AT178">
            <v>39717</v>
          </cell>
          <cell r="AU178">
            <v>39748</v>
          </cell>
          <cell r="AV178">
            <v>39779</v>
          </cell>
          <cell r="AW178">
            <v>39810</v>
          </cell>
          <cell r="AX178">
            <v>39841</v>
          </cell>
          <cell r="AY178">
            <v>39872</v>
          </cell>
          <cell r="AZ178">
            <v>39903</v>
          </cell>
          <cell r="BA178">
            <v>39933</v>
          </cell>
          <cell r="BB178">
            <v>39964</v>
          </cell>
          <cell r="BC178">
            <v>39994</v>
          </cell>
          <cell r="BD178">
            <v>40024</v>
          </cell>
          <cell r="BE178">
            <v>40054</v>
          </cell>
          <cell r="BF178">
            <v>40084</v>
          </cell>
          <cell r="BG178">
            <v>40114</v>
          </cell>
          <cell r="BH178">
            <v>40144</v>
          </cell>
          <cell r="BI178">
            <v>40174</v>
          </cell>
          <cell r="IV178">
            <v>31</v>
          </cell>
        </row>
        <row r="179">
          <cell r="A179" t="str">
            <v>ARO</v>
          </cell>
          <cell r="B179">
            <v>9.0999999999999998E-2</v>
          </cell>
          <cell r="C179">
            <v>0</v>
          </cell>
          <cell r="D179">
            <v>0</v>
          </cell>
          <cell r="E179">
            <v>0</v>
          </cell>
          <cell r="F179">
            <v>0.13400000000000001</v>
          </cell>
          <cell r="G179">
            <v>6.8000000000000005E-2</v>
          </cell>
          <cell r="H179">
            <v>-5.7000000000000002E-2</v>
          </cell>
          <cell r="I179">
            <v>-4.9000000000000002E-2</v>
          </cell>
          <cell r="J179">
            <v>0.02</v>
          </cell>
          <cell r="K179">
            <v>-4.2000000000000003E-2</v>
          </cell>
          <cell r="L179">
            <v>1.2999999999999999E-2</v>
          </cell>
          <cell r="M179">
            <v>-4.2000000000000003E-2</v>
          </cell>
          <cell r="N179">
            <v>-2.5000000000000001E-2</v>
          </cell>
          <cell r="O179">
            <v>0</v>
          </cell>
          <cell r="P179">
            <v>0</v>
          </cell>
          <cell r="Q179">
            <v>0</v>
          </cell>
          <cell r="R179">
            <v>-5.3999999999999999E-2</v>
          </cell>
          <cell r="S179">
            <v>-9.2999999999999999E-2</v>
          </cell>
          <cell r="T179">
            <v>8.4000000000000005E-2</v>
          </cell>
          <cell r="U179">
            <v>-1.0999999999999999E-2</v>
          </cell>
          <cell r="V179">
            <v>5.2999999999999999E-2</v>
          </cell>
          <cell r="W179">
            <v>-1.9E-2</v>
          </cell>
          <cell r="X179">
            <v>3.3000000000000002E-2</v>
          </cell>
          <cell r="Y179">
            <v>8.5000000000000006E-2</v>
          </cell>
          <cell r="Z179">
            <v>5.6000000000000001E-2</v>
          </cell>
          <cell r="AA179">
            <v>0</v>
          </cell>
          <cell r="AB179">
            <v>0</v>
          </cell>
          <cell r="AC179">
            <v>0</v>
          </cell>
          <cell r="AD179">
            <v>2.3E-2</v>
          </cell>
          <cell r="AE179">
            <v>0.159</v>
          </cell>
          <cell r="AF179">
            <v>-0.14000000000000001</v>
          </cell>
          <cell r="AG179">
            <v>1.9E-2</v>
          </cell>
          <cell r="AH179">
            <v>2E-3</v>
          </cell>
          <cell r="AI179">
            <v>-0.11899999999999999</v>
          </cell>
          <cell r="AJ179">
            <v>1.7000000000000001E-2</v>
          </cell>
          <cell r="AK179">
            <v>1.2999999999999999E-2</v>
          </cell>
          <cell r="AL179">
            <v>0.03</v>
          </cell>
          <cell r="AM179">
            <v>0</v>
          </cell>
          <cell r="AN179">
            <v>0</v>
          </cell>
          <cell r="AO179">
            <v>0</v>
          </cell>
          <cell r="AP179">
            <v>7.0000000000000007E-2</v>
          </cell>
          <cell r="AQ179">
            <v>2.5000000000000001E-2</v>
          </cell>
          <cell r="AR179">
            <v>0.25</v>
          </cell>
          <cell r="AS179">
            <v>0.06</v>
          </cell>
          <cell r="AT179">
            <v>0.12</v>
          </cell>
          <cell r="AU179">
            <v>0.13</v>
          </cell>
          <cell r="AV179">
            <v>0.13</v>
          </cell>
          <cell r="AW179">
            <v>0.05</v>
          </cell>
          <cell r="AX179">
            <v>0.01</v>
          </cell>
          <cell r="AY179">
            <v>0</v>
          </cell>
          <cell r="AZ179">
            <v>0</v>
          </cell>
          <cell r="BA179">
            <v>0</v>
          </cell>
          <cell r="BB179">
            <v>0.11</v>
          </cell>
          <cell r="BC179">
            <v>0.03</v>
          </cell>
          <cell r="BD179">
            <v>0.2</v>
          </cell>
          <cell r="BE179">
            <v>0.19</v>
          </cell>
          <cell r="BF179">
            <v>0.12</v>
          </cell>
          <cell r="BG179">
            <v>0.06</v>
          </cell>
          <cell r="BH179">
            <v>0.19</v>
          </cell>
          <cell r="BI179">
            <v>0.12</v>
          </cell>
        </row>
        <row r="182">
          <cell r="A182" t="str">
            <v>URBN sales productivity by division</v>
          </cell>
        </row>
        <row r="183">
          <cell r="A183" t="str">
            <v>LTM Sales/Gross Average Sq. Ft.</v>
          </cell>
          <cell r="N183" t="str">
            <v>2000-2009</v>
          </cell>
        </row>
        <row r="184">
          <cell r="B184">
            <v>2000</v>
          </cell>
          <cell r="C184">
            <v>2001</v>
          </cell>
          <cell r="D184">
            <v>2002</v>
          </cell>
          <cell r="E184">
            <v>2003</v>
          </cell>
          <cell r="F184">
            <v>2004</v>
          </cell>
          <cell r="G184">
            <v>2005</v>
          </cell>
          <cell r="H184">
            <v>2006</v>
          </cell>
          <cell r="I184">
            <v>2007</v>
          </cell>
          <cell r="J184">
            <v>2008</v>
          </cell>
          <cell r="K184" t="str">
            <v>2009</v>
          </cell>
          <cell r="L184">
            <v>2010</v>
          </cell>
          <cell r="N184" t="str">
            <v>Max</v>
          </cell>
          <cell r="O184" t="str">
            <v>Min</v>
          </cell>
          <cell r="P184" t="str">
            <v>2010 vs max</v>
          </cell>
        </row>
        <row r="185">
          <cell r="A185" t="str">
            <v>Urban Outfitters (division)</v>
          </cell>
          <cell r="B185">
            <v>270.96178184451503</v>
          </cell>
          <cell r="C185">
            <v>264.44541967873494</v>
          </cell>
          <cell r="D185">
            <v>284.4972339992741</v>
          </cell>
          <cell r="E185">
            <v>318.46555482575133</v>
          </cell>
          <cell r="F185">
            <v>382.65593609442482</v>
          </cell>
          <cell r="G185">
            <v>421.72142644903295</v>
          </cell>
          <cell r="H185">
            <v>387.50814312663522</v>
          </cell>
          <cell r="I185">
            <v>387.49369418039146</v>
          </cell>
          <cell r="J185">
            <v>408.70311941571555</v>
          </cell>
          <cell r="K185">
            <v>368.97415400758092</v>
          </cell>
          <cell r="L185">
            <v>394.65492014811076</v>
          </cell>
          <cell r="N185">
            <v>421.72142644903295</v>
          </cell>
          <cell r="O185">
            <v>264.44541967873494</v>
          </cell>
          <cell r="P185">
            <v>-6.4181008133323503E-2</v>
          </cell>
        </row>
        <row r="186">
          <cell r="A186" t="str">
            <v>Anthropologie</v>
          </cell>
          <cell r="B186">
            <v>280.14666638523443</v>
          </cell>
          <cell r="C186">
            <v>307.40807612789365</v>
          </cell>
          <cell r="D186">
            <v>330.99998331831983</v>
          </cell>
          <cell r="E186">
            <v>348.37875117971998</v>
          </cell>
          <cell r="F186">
            <v>432.85046981315469</v>
          </cell>
          <cell r="G186">
            <v>442.81396763923766</v>
          </cell>
          <cell r="H186">
            <v>413.58764694304784</v>
          </cell>
          <cell r="I186">
            <v>459.54237922896903</v>
          </cell>
          <cell r="J186">
            <v>468.68309808032865</v>
          </cell>
          <cell r="K186">
            <v>454.35598884429891</v>
          </cell>
          <cell r="L186">
            <v>466.43259180928817</v>
          </cell>
          <cell r="N186">
            <v>468.68309808032865</v>
          </cell>
          <cell r="O186">
            <v>280.14666638523443</v>
          </cell>
          <cell r="P186">
            <v>-4.8017653725049847E-3</v>
          </cell>
        </row>
        <row r="187">
          <cell r="A187" t="str">
            <v>Free People (Retail)</v>
          </cell>
          <cell r="B187" t="str">
            <v>NM</v>
          </cell>
          <cell r="C187" t="str">
            <v>NM</v>
          </cell>
          <cell r="D187">
            <v>82.727272727267646</v>
          </cell>
          <cell r="E187">
            <v>394.54545454548133</v>
          </cell>
          <cell r="F187">
            <v>312.64762722782973</v>
          </cell>
          <cell r="G187">
            <v>306.08120521771826</v>
          </cell>
          <cell r="H187">
            <v>444.39894439894516</v>
          </cell>
          <cell r="I187">
            <v>408.45371602356954</v>
          </cell>
          <cell r="J187">
            <v>412.08895647215564</v>
          </cell>
          <cell r="K187">
            <v>406.20772163645915</v>
          </cell>
          <cell r="L187">
            <v>357.74086573642296</v>
          </cell>
          <cell r="N187">
            <v>444.39894439894516</v>
          </cell>
          <cell r="O187">
            <v>82.727272727267646</v>
          </cell>
          <cell r="P187">
            <v>-0.19500064020117847</v>
          </cell>
        </row>
        <row r="188">
          <cell r="A188" t="str">
            <v>Terrain</v>
          </cell>
          <cell r="B188" t="str">
            <v>NM</v>
          </cell>
          <cell r="C188" t="str">
            <v>NM</v>
          </cell>
          <cell r="D188" t="str">
            <v>NM</v>
          </cell>
          <cell r="E188" t="str">
            <v>NM</v>
          </cell>
          <cell r="F188" t="str">
            <v>NM</v>
          </cell>
          <cell r="G188" t="str">
            <v>NM</v>
          </cell>
          <cell r="H188" t="str">
            <v>NM</v>
          </cell>
          <cell r="I188" t="str">
            <v>NM</v>
          </cell>
          <cell r="J188">
            <v>297.68421052631578</v>
          </cell>
          <cell r="K188">
            <v>329.4736842105263</v>
          </cell>
          <cell r="L188">
            <v>152.85087719298247</v>
          </cell>
          <cell r="N188">
            <v>329.4736842105263</v>
          </cell>
          <cell r="O188">
            <v>297.68421052631578</v>
          </cell>
          <cell r="P188">
            <v>-0.5360756123535676</v>
          </cell>
        </row>
        <row r="190">
          <cell r="A190" t="str">
            <v>Urban Outfitters (division)</v>
          </cell>
          <cell r="C190">
            <v>-2.4049008393070559E-2</v>
          </cell>
          <cell r="D190">
            <v>7.5825908971686395E-2</v>
          </cell>
          <cell r="E190">
            <v>0.1193977190884179</v>
          </cell>
          <cell r="F190">
            <v>0.20156145710576245</v>
          </cell>
          <cell r="G190">
            <v>0.10209038112234659</v>
          </cell>
          <cell r="H190">
            <v>-8.1127685663210158E-2</v>
          </cell>
          <cell r="I190">
            <v>-3.7286819645099278E-5</v>
          </cell>
          <cell r="J190">
            <v>5.4734891312709699E-2</v>
          </cell>
          <cell r="K190">
            <v>-9.7207394611842912E-2</v>
          </cell>
          <cell r="L190">
            <v>6.9600447244340558E-2</v>
          </cell>
        </row>
        <row r="191">
          <cell r="A191" t="str">
            <v>Anthropologie</v>
          </cell>
          <cell r="C191">
            <v>9.731120521409875E-2</v>
          </cell>
          <cell r="D191">
            <v>7.6744591383510086E-2</v>
          </cell>
          <cell r="E191">
            <v>5.2503833043058279E-2</v>
          </cell>
          <cell r="F191">
            <v>0.24247092667789549</v>
          </cell>
          <cell r="G191">
            <v>2.3018336633396475E-2</v>
          </cell>
          <cell r="H191">
            <v>-6.6001352333132868E-2</v>
          </cell>
          <cell r="I191">
            <v>0.11111243922681591</v>
          </cell>
          <cell r="J191">
            <v>1.9890915973182155E-2</v>
          </cell>
          <cell r="K191">
            <v>-3.056886261679137E-2</v>
          </cell>
          <cell r="L191">
            <v>2.6579605554902797E-2</v>
          </cell>
        </row>
        <row r="192">
          <cell r="A192" t="str">
            <v>Free People (Retail)</v>
          </cell>
          <cell r="C192" t="e">
            <v>#VALUE!</v>
          </cell>
          <cell r="D192" t="e">
            <v>#VALUE!</v>
          </cell>
          <cell r="E192">
            <v>3.7692307692313856</v>
          </cell>
          <cell r="F192">
            <v>-0.20757513836269736</v>
          </cell>
          <cell r="G192">
            <v>-2.100262864085789E-2</v>
          </cell>
          <cell r="H192">
            <v>0.4518988321509001</v>
          </cell>
          <cell r="I192">
            <v>-8.0885044459302113E-2</v>
          </cell>
          <cell r="J192">
            <v>8.9000058170025653E-3</v>
          </cell>
          <cell r="K192">
            <v>-1.4271760364667485E-2</v>
          </cell>
          <cell r="L192">
            <v>-0.11931544704463359</v>
          </cell>
        </row>
        <row r="193">
          <cell r="A193" t="str">
            <v>Terrain</v>
          </cell>
          <cell r="C193" t="e">
            <v>#VALUE!</v>
          </cell>
          <cell r="D193" t="e">
            <v>#VALUE!</v>
          </cell>
          <cell r="E193" t="e">
            <v>#VALUE!</v>
          </cell>
          <cell r="F193" t="e">
            <v>#VALUE!</v>
          </cell>
          <cell r="G193" t="e">
            <v>#VALUE!</v>
          </cell>
          <cell r="H193" t="e">
            <v>#VALUE!</v>
          </cell>
          <cell r="I193" t="e">
            <v>#VALUE!</v>
          </cell>
          <cell r="J193" t="e">
            <v>#VALUE!</v>
          </cell>
          <cell r="K193">
            <v>0.10678925035360676</v>
          </cell>
          <cell r="L193">
            <v>-0.5360756123535676</v>
          </cell>
        </row>
        <row r="196">
          <cell r="A196" t="str">
            <v>GAP - Gap division sales productivity</v>
          </cell>
          <cell r="B196">
            <v>2000</v>
          </cell>
          <cell r="C196">
            <v>2001</v>
          </cell>
          <cell r="D196">
            <v>2002</v>
          </cell>
          <cell r="E196">
            <v>2003</v>
          </cell>
          <cell r="F196">
            <v>2004</v>
          </cell>
          <cell r="G196">
            <v>2005</v>
          </cell>
          <cell r="H196">
            <v>2006</v>
          </cell>
          <cell r="I196">
            <v>2007</v>
          </cell>
          <cell r="J196">
            <v>2008</v>
          </cell>
          <cell r="K196" t="str">
            <v>2009</v>
          </cell>
          <cell r="L196">
            <v>2010</v>
          </cell>
          <cell r="N196" t="str">
            <v>Max</v>
          </cell>
          <cell r="O196" t="str">
            <v>Min</v>
          </cell>
          <cell r="P196" t="str">
            <v>2010 vs max</v>
          </cell>
        </row>
        <row r="197">
          <cell r="A197" t="str">
            <v>Gap (division)</v>
          </cell>
          <cell r="B197" t="str">
            <v>NM</v>
          </cell>
          <cell r="C197">
            <v>395.07042253521126</v>
          </cell>
          <cell r="D197">
            <v>380.1398601398601</v>
          </cell>
          <cell r="E197">
            <v>414.12186379928318</v>
          </cell>
          <cell r="F197">
            <v>429.60747663551405</v>
          </cell>
          <cell r="G197">
            <v>420.11650485436894</v>
          </cell>
          <cell r="H197">
            <v>408.27037773359842</v>
          </cell>
          <cell r="I197">
            <v>392.63157894736844</v>
          </cell>
          <cell r="J197">
            <v>373.60995850622402</v>
          </cell>
          <cell r="K197">
            <v>354.94646680942179</v>
          </cell>
          <cell r="L197">
            <v>354.82623096253781</v>
          </cell>
          <cell r="N197">
            <v>429.60747663551405</v>
          </cell>
          <cell r="O197">
            <v>354.94646680942179</v>
          </cell>
          <cell r="P197">
            <v>-0.17406877147164235</v>
          </cell>
        </row>
        <row r="199">
          <cell r="A199" t="str">
            <v>VS calculations</v>
          </cell>
          <cell r="C199">
            <v>2001</v>
          </cell>
          <cell r="D199">
            <v>2002</v>
          </cell>
          <cell r="E199">
            <v>2003</v>
          </cell>
          <cell r="F199">
            <v>2004</v>
          </cell>
          <cell r="G199">
            <v>2005</v>
          </cell>
          <cell r="H199">
            <v>2006</v>
          </cell>
          <cell r="I199">
            <v>2007</v>
          </cell>
          <cell r="J199">
            <v>2008</v>
          </cell>
          <cell r="K199">
            <v>2009</v>
          </cell>
          <cell r="L199" t="str">
            <v>2010E</v>
          </cell>
          <cell r="N199" t="str">
            <v>Max</v>
          </cell>
          <cell r="O199" t="str">
            <v>Min</v>
          </cell>
          <cell r="P199" t="str">
            <v>2010 vs max</v>
          </cell>
        </row>
        <row r="200">
          <cell r="A200" t="str">
            <v>Victoria's Secret Stores</v>
          </cell>
          <cell r="C200">
            <v>550.8625136110951</v>
          </cell>
          <cell r="D200">
            <v>577.77050253724008</v>
          </cell>
          <cell r="E200">
            <v>601.54543032240872</v>
          </cell>
          <cell r="F200">
            <v>648.74439929144523</v>
          </cell>
          <cell r="G200">
            <v>652.34070550129047</v>
          </cell>
          <cell r="H200">
            <v>731.47827806059399</v>
          </cell>
          <cell r="I200">
            <v>682.69936370814185</v>
          </cell>
          <cell r="J200">
            <v>613.98471323961724</v>
          </cell>
          <cell r="K200">
            <v>578.92143670427492</v>
          </cell>
          <cell r="L200">
            <v>627.9275198661386</v>
          </cell>
          <cell r="N200">
            <v>731.47827806059399</v>
          </cell>
          <cell r="O200">
            <v>550.8625136110951</v>
          </cell>
          <cell r="P200">
            <v>-0.14156368179381196</v>
          </cell>
        </row>
        <row r="202">
          <cell r="A202" t="str">
            <v>AEO calculations</v>
          </cell>
          <cell r="B202">
            <v>2000</v>
          </cell>
          <cell r="C202">
            <v>2001</v>
          </cell>
          <cell r="D202">
            <v>2002</v>
          </cell>
          <cell r="E202">
            <v>2003</v>
          </cell>
          <cell r="F202">
            <v>2004</v>
          </cell>
          <cell r="G202">
            <v>2005</v>
          </cell>
          <cell r="H202">
            <v>2006</v>
          </cell>
          <cell r="I202">
            <v>2007</v>
          </cell>
          <cell r="J202">
            <v>2008</v>
          </cell>
          <cell r="K202" t="str">
            <v>2009</v>
          </cell>
          <cell r="L202">
            <v>2010</v>
          </cell>
          <cell r="N202" t="str">
            <v>Max</v>
          </cell>
          <cell r="O202" t="str">
            <v>Min</v>
          </cell>
          <cell r="P202" t="str">
            <v>2010 vs max</v>
          </cell>
        </row>
        <row r="203">
          <cell r="A203" t="str">
            <v>aerie</v>
          </cell>
          <cell r="B203" t="str">
            <v>NA</v>
          </cell>
          <cell r="C203" t="str">
            <v>NA</v>
          </cell>
          <cell r="D203" t="str">
            <v>NA</v>
          </cell>
          <cell r="E203" t="str">
            <v>NA</v>
          </cell>
          <cell r="F203" t="str">
            <v>NA</v>
          </cell>
          <cell r="G203" t="str">
            <v>NA</v>
          </cell>
          <cell r="H203" t="str">
            <v>NA</v>
          </cell>
          <cell r="I203">
            <v>65.076999999999998</v>
          </cell>
          <cell r="J203">
            <v>338.88775000000004</v>
          </cell>
          <cell r="K203">
            <v>514.66875000000005</v>
          </cell>
          <cell r="L203">
            <v>567.74511678832118</v>
          </cell>
          <cell r="N203">
            <v>514.66875000000005</v>
          </cell>
          <cell r="O203">
            <v>65.076999999999998</v>
          </cell>
          <cell r="P203">
            <v>0.10312723822521019</v>
          </cell>
        </row>
      </sheetData>
      <sheetData sheetId="16"/>
      <sheetData sheetId="1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s>
    <sheetDataSet>
      <sheetData sheetId="0" refreshError="1"/>
      <sheetData sheetId="1" refreshError="1"/>
      <sheetData sheetId="2" refreshError="1"/>
      <sheetData sheetId="3" refreshError="1"/>
      <sheetData sheetId="4" refreshError="1">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efreshError="1">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Analysis"/>
      <sheetName val="For Inv. Report"/>
      <sheetName val="Inv"/>
      <sheetName val="Debt"/>
      <sheetName val="  "/>
      <sheetName val="JCP"/>
      <sheetName val="JWN"/>
      <sheetName val="KSS"/>
      <sheetName val="M"/>
      <sheetName val="SKS"/>
      <sheetName val="CapEx"/>
      <sheetName val="__FDSCACHE__"/>
      <sheetName val="MW-Cache"/>
    </sheetNames>
    <sheetDataSet>
      <sheetData sheetId="0"/>
      <sheetData sheetId="1"/>
      <sheetData sheetId="2"/>
      <sheetData sheetId="3"/>
      <sheetData sheetId="4"/>
      <sheetData sheetId="5"/>
      <sheetData sheetId="6">
        <row r="54">
          <cell r="A54" t="str">
            <v>1 Yr Comps</v>
          </cell>
          <cell r="B54" t="str">
            <v>2007Q1</v>
          </cell>
          <cell r="C54" t="str">
            <v>2007Q2</v>
          </cell>
          <cell r="D54" t="str">
            <v>2007Q3</v>
          </cell>
          <cell r="E54" t="str">
            <v>2007Q4</v>
          </cell>
          <cell r="F54" t="str">
            <v>2008Q1</v>
          </cell>
          <cell r="G54" t="str">
            <v>2008Q2</v>
          </cell>
          <cell r="H54" t="str">
            <v>2008Q3</v>
          </cell>
          <cell r="I54" t="str">
            <v>2008Q4</v>
          </cell>
          <cell r="J54" t="str">
            <v>2009Q1</v>
          </cell>
          <cell r="K54" t="str">
            <v>2009Q2</v>
          </cell>
          <cell r="L54" t="str">
            <v>2009Q3</v>
          </cell>
          <cell r="M54" t="str">
            <v>2009Q4</v>
          </cell>
          <cell r="N54" t="str">
            <v>2010Q1</v>
          </cell>
          <cell r="O54" t="str">
            <v>2010Q2</v>
          </cell>
          <cell r="P54" t="str">
            <v>2010Q3</v>
          </cell>
          <cell r="Q54" t="str">
            <v>2010Q4</v>
          </cell>
          <cell r="R54" t="str">
            <v>2011Q1</v>
          </cell>
          <cell r="S54" t="str">
            <v>2011Q2</v>
          </cell>
          <cell r="T54" t="str">
            <v>2011Q3</v>
          </cell>
          <cell r="U54" t="str">
            <v>2011Q4e</v>
          </cell>
          <cell r="V54" t="str">
            <v>2012Q1e</v>
          </cell>
          <cell r="W54" t="str">
            <v>2012Q2e</v>
          </cell>
          <cell r="X54" t="str">
            <v>2012Q3e</v>
          </cell>
          <cell r="Y54" t="str">
            <v>2012Q4e</v>
          </cell>
        </row>
        <row r="55">
          <cell r="A55" t="str">
            <v>JCP</v>
          </cell>
          <cell r="B55">
            <v>2.1999999999999999E-2</v>
          </cell>
          <cell r="C55">
            <v>1.9E-2</v>
          </cell>
          <cell r="D55">
            <v>-3.5000000000000003E-2</v>
          </cell>
          <cell r="E55">
            <v>-3.5999999999999997E-2</v>
          </cell>
          <cell r="F55">
            <v>-7.3999999999999996E-2</v>
          </cell>
          <cell r="G55">
            <v>-4.2999999999999997E-2</v>
          </cell>
          <cell r="H55">
            <v>-0.10100000000000001</v>
          </cell>
          <cell r="I55">
            <v>-0.108</v>
          </cell>
          <cell r="J55">
            <v>-7.4999999999999997E-2</v>
          </cell>
          <cell r="K55">
            <v>-9.5000000000000001E-2</v>
          </cell>
          <cell r="L55">
            <v>-4.5999999999999999E-2</v>
          </cell>
          <cell r="M55">
            <v>-4.4999999999999998E-2</v>
          </cell>
          <cell r="N55">
            <v>1.6E-2</v>
          </cell>
          <cell r="O55">
            <v>8.9999999999999993E-3</v>
          </cell>
          <cell r="P55">
            <v>1.9E-2</v>
          </cell>
          <cell r="Q55">
            <v>4.4999999999999998E-2</v>
          </cell>
          <cell r="R55">
            <v>3.7999999999999999E-2</v>
          </cell>
          <cell r="S55">
            <v>1.4999999999999999E-2</v>
          </cell>
          <cell r="T55">
            <v>0</v>
          </cell>
          <cell r="U55">
            <v>0</v>
          </cell>
          <cell r="V55">
            <v>-2.1608157959071499E-2</v>
          </cell>
          <cell r="W55">
            <v>-1.1378008352056337E-2</v>
          </cell>
          <cell r="X55">
            <v>4.2433391807850905E-3</v>
          </cell>
          <cell r="Y55">
            <v>3.161220202750066E-3</v>
          </cell>
        </row>
        <row r="56">
          <cell r="A56" t="str">
            <v>M</v>
          </cell>
          <cell r="B56">
            <v>6.0000000000000001E-3</v>
          </cell>
          <cell r="C56">
            <v>-2.5999999999999999E-2</v>
          </cell>
          <cell r="D56">
            <v>-8.0000000000000002E-3</v>
          </cell>
          <cell r="E56">
            <v>-0.02</v>
          </cell>
          <cell r="F56">
            <v>-2.5999999999999999E-2</v>
          </cell>
          <cell r="G56">
            <v>-2.1000000000000001E-2</v>
          </cell>
          <cell r="H56">
            <v>-0.06</v>
          </cell>
          <cell r="I56">
            <v>-7.0000000000000007E-2</v>
          </cell>
          <cell r="J56">
            <v>-0.09</v>
          </cell>
          <cell r="K56">
            <v>-9.5000000000000001E-2</v>
          </cell>
          <cell r="L56">
            <v>-3.5999999999999997E-2</v>
          </cell>
          <cell r="M56">
            <v>-8.0000000000000002E-3</v>
          </cell>
          <cell r="N56">
            <v>5.5E-2</v>
          </cell>
          <cell r="O56">
            <v>4.9000000000000002E-2</v>
          </cell>
          <cell r="P56">
            <v>3.9E-2</v>
          </cell>
          <cell r="Q56">
            <v>4.2999999999999997E-2</v>
          </cell>
          <cell r="R56">
            <v>5.3999999999999999E-2</v>
          </cell>
          <cell r="S56">
            <v>6.4000000000000001E-2</v>
          </cell>
          <cell r="T56">
            <v>0.04</v>
          </cell>
          <cell r="U56">
            <v>5.1999999999999998E-2</v>
          </cell>
          <cell r="V56">
            <v>3.1230920582903131E-2</v>
          </cell>
          <cell r="W56">
            <v>2.9742596430138542E-2</v>
          </cell>
          <cell r="X56">
            <v>4.4925303944057193E-2</v>
          </cell>
          <cell r="Y56">
            <v>3.4620305559042677E-2</v>
          </cell>
        </row>
        <row r="57">
          <cell r="A57" t="str">
            <v>KSS</v>
          </cell>
          <cell r="B57">
            <v>3.9E-2</v>
          </cell>
          <cell r="C57">
            <v>1.2999999999999999E-2</v>
          </cell>
          <cell r="D57">
            <v>-2.5683781240196588E-2</v>
          </cell>
          <cell r="E57">
            <v>-0.04</v>
          </cell>
          <cell r="F57">
            <v>-6.7000000000000004E-2</v>
          </cell>
          <cell r="G57">
            <v>-4.5999999999999999E-2</v>
          </cell>
          <cell r="H57">
            <v>-6.7000000000000004E-2</v>
          </cell>
          <cell r="I57">
            <v>-9.0999999999999998E-2</v>
          </cell>
          <cell r="J57">
            <v>-4.2000000000000003E-2</v>
          </cell>
          <cell r="K57">
            <v>-2.3E-2</v>
          </cell>
          <cell r="L57">
            <v>2.4E-2</v>
          </cell>
          <cell r="M57">
            <v>4.4999999999999998E-2</v>
          </cell>
          <cell r="N57">
            <v>7.3999999999999996E-2</v>
          </cell>
          <cell r="O57">
            <v>4.5999999999999999E-2</v>
          </cell>
          <cell r="P57">
            <v>1.7999999999999999E-2</v>
          </cell>
          <cell r="Q57">
            <v>4.2999999999999997E-2</v>
          </cell>
          <cell r="R57">
            <v>1.2999999999999999E-2</v>
          </cell>
          <cell r="S57">
            <v>1.9E-2</v>
          </cell>
          <cell r="T57">
            <v>2.1000000000000001E-2</v>
          </cell>
          <cell r="U57">
            <v>-2.1000000000000001E-2</v>
          </cell>
          <cell r="V57">
            <v>-2.8459367930321836E-3</v>
          </cell>
          <cell r="W57">
            <v>3.7799915846087641E-3</v>
          </cell>
          <cell r="X57">
            <v>8.2509903068364102E-3</v>
          </cell>
          <cell r="Y57">
            <v>2.2272400277867151E-2</v>
          </cell>
        </row>
        <row r="58">
          <cell r="A58" t="str">
            <v>BONT</v>
          </cell>
          <cell r="B58">
            <v>-2.5000000000000001E-2</v>
          </cell>
          <cell r="C58">
            <v>-0.05</v>
          </cell>
          <cell r="D58">
            <v>-0.03</v>
          </cell>
          <cell r="E58">
            <v>-3.5999999999999997E-2</v>
          </cell>
          <cell r="F58">
            <v>-4.5999999999999999E-2</v>
          </cell>
          <cell r="G58">
            <v>-5.7000000000000002E-2</v>
          </cell>
          <cell r="H58">
            <v>-8.3000000000000004E-2</v>
          </cell>
          <cell r="I58">
            <v>-9.7000000000000003E-2</v>
          </cell>
          <cell r="J58">
            <v>-8.5999999999999993E-2</v>
          </cell>
          <cell r="K58">
            <v>-9.8000000000000004E-2</v>
          </cell>
          <cell r="L58">
            <v>-2.5999999999999999E-2</v>
          </cell>
          <cell r="M58">
            <v>-2.4E-2</v>
          </cell>
          <cell r="N58">
            <v>0.03</v>
          </cell>
          <cell r="O58">
            <v>2E-3</v>
          </cell>
          <cell r="P58">
            <v>-3.0000000000000001E-3</v>
          </cell>
          <cell r="Q58">
            <v>8.0000000000000002E-3</v>
          </cell>
          <cell r="R58">
            <v>-1.2E-2</v>
          </cell>
          <cell r="S58">
            <v>-1.4999999999999999E-2</v>
          </cell>
          <cell r="T58">
            <v>-5.8999999999999997E-2</v>
          </cell>
          <cell r="U58">
            <v>-0.03</v>
          </cell>
        </row>
        <row r="59">
          <cell r="A59" t="str">
            <v>DDS</v>
          </cell>
          <cell r="B59">
            <v>-0.05</v>
          </cell>
          <cell r="C59">
            <v>-0.03</v>
          </cell>
          <cell r="D59">
            <v>-0.06</v>
          </cell>
          <cell r="E59">
            <v>-0.05</v>
          </cell>
          <cell r="F59">
            <v>-0.06</v>
          </cell>
          <cell r="G59">
            <v>-0.04</v>
          </cell>
          <cell r="H59">
            <v>-0.09</v>
          </cell>
          <cell r="I59">
            <v>-0.08</v>
          </cell>
          <cell r="J59">
            <v>-0.13</v>
          </cell>
          <cell r="K59">
            <v>-0.13</v>
          </cell>
          <cell r="L59">
            <v>-0.09</v>
          </cell>
          <cell r="M59">
            <v>-0.08</v>
          </cell>
          <cell r="N59">
            <v>0.02</v>
          </cell>
          <cell r="O59">
            <v>0</v>
          </cell>
          <cell r="P59">
            <v>0.01</v>
          </cell>
          <cell r="Q59">
            <v>7.0000000000000007E-2</v>
          </cell>
          <cell r="R59">
            <v>0.02</v>
          </cell>
          <cell r="S59">
            <v>0.06</v>
          </cell>
          <cell r="T59">
            <v>0.05</v>
          </cell>
          <cell r="U59">
            <v>0.02</v>
          </cell>
        </row>
        <row r="60">
          <cell r="A60" t="str">
            <v>Spread</v>
          </cell>
          <cell r="B60">
            <v>-5.0000000000000044E-4</v>
          </cell>
          <cell r="C60">
            <v>2.5499999999999998E-2</v>
          </cell>
          <cell r="D60">
            <v>-1.8158109379901709E-2</v>
          </cell>
          <cell r="E60">
            <v>-5.9999999999999984E-3</v>
          </cell>
          <cell r="F60">
            <v>-2.7499999999999997E-2</v>
          </cell>
          <cell r="G60">
            <v>-9.4999999999999946E-3</v>
          </cell>
          <cell r="H60">
            <v>-3.7500000000000006E-2</v>
          </cell>
          <cell r="I60">
            <v>-2.7499999999999997E-2</v>
          </cell>
          <cell r="J60">
            <v>-8.9999999999999941E-3</v>
          </cell>
          <cell r="K60">
            <v>-3.6000000000000004E-2</v>
          </cell>
          <cell r="L60">
            <v>-0.04</v>
          </cell>
          <cell r="M60">
            <v>-6.3500000000000001E-2</v>
          </cell>
          <cell r="N60">
            <v>-4.8500000000000001E-2</v>
          </cell>
          <cell r="O60">
            <v>-3.85E-2</v>
          </cell>
          <cell r="P60">
            <v>-9.499999999999998E-3</v>
          </cell>
          <cell r="Q60">
            <v>2.0000000000000018E-3</v>
          </cell>
          <cell r="R60">
            <v>4.4999999999999971E-3</v>
          </cell>
          <cell r="S60">
            <v>-2.6500000000000003E-2</v>
          </cell>
          <cell r="T60">
            <v>-3.0499999999999999E-2</v>
          </cell>
          <cell r="U60">
            <v>-1.5499999999999998E-2</v>
          </cell>
          <cell r="V60">
            <v>-3.5800649854006973E-2</v>
          </cell>
          <cell r="W60">
            <v>-2.8139302359429991E-2</v>
          </cell>
          <cell r="X60">
            <v>-2.2344807944661711E-2</v>
          </cell>
          <cell r="Y60">
            <v>-2.5285132715704848E-2</v>
          </cell>
        </row>
        <row r="61">
          <cell r="G61" t="str">
            <v>2Q08</v>
          </cell>
          <cell r="H61" t="str">
            <v>3Q08</v>
          </cell>
          <cell r="I61" t="str">
            <v>4Q08</v>
          </cell>
          <cell r="J61" t="str">
            <v>1Q09</v>
          </cell>
          <cell r="K61" t="str">
            <v>2Q09</v>
          </cell>
          <cell r="L61" t="str">
            <v>3Q09</v>
          </cell>
          <cell r="M61" t="str">
            <v>4Q09</v>
          </cell>
          <cell r="N61" t="str">
            <v>1Q10</v>
          </cell>
          <cell r="O61" t="str">
            <v>2Q10</v>
          </cell>
          <cell r="P61" t="str">
            <v>3Q10</v>
          </cell>
          <cell r="Q61" t="str">
            <v>4Q10</v>
          </cell>
          <cell r="R61" t="str">
            <v>1Q11</v>
          </cell>
          <cell r="S61" t="str">
            <v>2Q11</v>
          </cell>
          <cell r="T61" t="str">
            <v xml:space="preserve">3Q11 </v>
          </cell>
          <cell r="U61" t="str">
            <v>4Q11e</v>
          </cell>
          <cell r="V61" t="str">
            <v>1Q12e</v>
          </cell>
          <cell r="W61" t="str">
            <v>2Q12e</v>
          </cell>
          <cell r="X61" t="str">
            <v>3Q12e</v>
          </cell>
          <cell r="Y61" t="str">
            <v>4Q11e</v>
          </cell>
        </row>
        <row r="62">
          <cell r="A62" t="str">
            <v>2 Yr Comps</v>
          </cell>
          <cell r="B62" t="str">
            <v>2007Q1</v>
          </cell>
          <cell r="C62" t="str">
            <v>2007Q2</v>
          </cell>
          <cell r="D62" t="str">
            <v>2007Q3</v>
          </cell>
          <cell r="E62" t="str">
            <v>2007Q4</v>
          </cell>
          <cell r="F62" t="str">
            <v>2008Q1</v>
          </cell>
          <cell r="G62" t="str">
            <v>2008Q2</v>
          </cell>
          <cell r="H62" t="str">
            <v>2008Q3</v>
          </cell>
          <cell r="I62" t="str">
            <v>2008Q4</v>
          </cell>
          <cell r="J62" t="str">
            <v>2009Q1</v>
          </cell>
          <cell r="K62" t="str">
            <v>2009Q2</v>
          </cell>
          <cell r="L62" t="str">
            <v>2009Q3</v>
          </cell>
          <cell r="M62" t="str">
            <v>2009Q4</v>
          </cell>
          <cell r="N62" t="str">
            <v>2010Q1</v>
          </cell>
          <cell r="O62" t="str">
            <v>2010Q2</v>
          </cell>
          <cell r="P62" t="str">
            <v>2010Q3</v>
          </cell>
          <cell r="Q62" t="str">
            <v>2010Q4</v>
          </cell>
          <cell r="R62" t="str">
            <v>2011Q1</v>
          </cell>
          <cell r="S62" t="str">
            <v>2011Q2</v>
          </cell>
          <cell r="T62" t="str">
            <v>2011Q3</v>
          </cell>
          <cell r="U62" t="str">
            <v>2011Q4e</v>
          </cell>
          <cell r="V62" t="str">
            <v>2012Q1e</v>
          </cell>
          <cell r="W62" t="str">
            <v>2012Q2e</v>
          </cell>
          <cell r="X62" t="str">
            <v>2012Q3e</v>
          </cell>
          <cell r="Y62" t="str">
            <v>2012Q4e</v>
          </cell>
        </row>
        <row r="63">
          <cell r="A63" t="str">
            <v>JCP</v>
          </cell>
          <cell r="F63">
            <v>-2.5999999999999999E-2</v>
          </cell>
          <cell r="G63">
            <v>-1.1999999999999999E-2</v>
          </cell>
          <cell r="H63">
            <v>-6.8000000000000005E-2</v>
          </cell>
          <cell r="I63">
            <v>-7.1999999999999995E-2</v>
          </cell>
          <cell r="J63">
            <v>-7.4499999999999997E-2</v>
          </cell>
          <cell r="K63">
            <v>-6.9000000000000006E-2</v>
          </cell>
          <cell r="L63">
            <v>-7.350000000000001E-2</v>
          </cell>
          <cell r="M63">
            <v>-7.6499999999999999E-2</v>
          </cell>
          <cell r="N63">
            <v>-2.9499999999999998E-2</v>
          </cell>
          <cell r="O63">
            <v>-4.3000000000000003E-2</v>
          </cell>
          <cell r="P63">
            <v>-1.35E-2</v>
          </cell>
          <cell r="Q63">
            <v>0</v>
          </cell>
          <cell r="R63">
            <v>2.7E-2</v>
          </cell>
          <cell r="S63">
            <v>1.2E-2</v>
          </cell>
          <cell r="T63">
            <v>9.4999999999999998E-3</v>
          </cell>
          <cell r="U63">
            <v>2.2499999999999999E-2</v>
          </cell>
          <cell r="V63">
            <v>8.1959210204642502E-3</v>
          </cell>
          <cell r="W63">
            <v>1.810995823971831E-3</v>
          </cell>
          <cell r="X63">
            <v>2.1216695903925453E-3</v>
          </cell>
          <cell r="Y63">
            <v>1.580610101375033E-3</v>
          </cell>
        </row>
        <row r="64">
          <cell r="A64" t="str">
            <v>M</v>
          </cell>
          <cell r="F64">
            <v>-9.9999999999999985E-3</v>
          </cell>
          <cell r="G64">
            <v>-2.35E-2</v>
          </cell>
          <cell r="H64">
            <v>-3.4000000000000002E-2</v>
          </cell>
          <cell r="I64">
            <v>-4.5000000000000005E-2</v>
          </cell>
          <cell r="J64">
            <v>-5.7999999999999996E-2</v>
          </cell>
          <cell r="K64">
            <v>-5.8000000000000003E-2</v>
          </cell>
          <cell r="L64">
            <v>-4.8000000000000001E-2</v>
          </cell>
          <cell r="M64">
            <v>-3.9000000000000007E-2</v>
          </cell>
          <cell r="N64">
            <v>-1.7499999999999998E-2</v>
          </cell>
          <cell r="O64">
            <v>-2.3E-2</v>
          </cell>
          <cell r="P64">
            <v>1.5000000000000013E-3</v>
          </cell>
          <cell r="Q64">
            <v>1.7499999999999998E-2</v>
          </cell>
          <cell r="R64">
            <v>5.45E-2</v>
          </cell>
          <cell r="S64">
            <v>5.6500000000000002E-2</v>
          </cell>
          <cell r="T64">
            <v>3.95E-2</v>
          </cell>
          <cell r="U64">
            <v>4.7500000000000001E-2</v>
          </cell>
          <cell r="V64">
            <v>4.2615460291451565E-2</v>
          </cell>
          <cell r="W64">
            <v>4.6871298215069274E-2</v>
          </cell>
          <cell r="X64">
            <v>4.2462651972028601E-2</v>
          </cell>
          <cell r="Y64">
            <v>4.3310152779521341E-2</v>
          </cell>
        </row>
        <row r="65">
          <cell r="A65" t="str">
            <v>KSS</v>
          </cell>
          <cell r="F65">
            <v>-1.4000000000000002E-2</v>
          </cell>
          <cell r="G65">
            <v>-1.6500000000000001E-2</v>
          </cell>
          <cell r="H65">
            <v>-4.6341890620098296E-2</v>
          </cell>
          <cell r="I65">
            <v>-6.5500000000000003E-2</v>
          </cell>
          <cell r="J65">
            <v>-5.4500000000000007E-2</v>
          </cell>
          <cell r="K65">
            <v>-3.4500000000000003E-2</v>
          </cell>
          <cell r="L65">
            <v>-2.1500000000000002E-2</v>
          </cell>
          <cell r="M65">
            <v>-2.3E-2</v>
          </cell>
          <cell r="N65">
            <v>1.5999999999999997E-2</v>
          </cell>
          <cell r="O65">
            <v>1.15E-2</v>
          </cell>
          <cell r="P65">
            <v>2.0999999999999998E-2</v>
          </cell>
          <cell r="Q65">
            <v>4.3999999999999997E-2</v>
          </cell>
          <cell r="R65">
            <v>4.3499999999999997E-2</v>
          </cell>
          <cell r="S65">
            <v>3.2500000000000001E-2</v>
          </cell>
          <cell r="T65">
            <v>1.95E-2</v>
          </cell>
          <cell r="U65">
            <v>1.0999999999999998E-2</v>
          </cell>
          <cell r="V65">
            <v>5.0770316034839079E-3</v>
          </cell>
          <cell r="W65">
            <v>1.1389995792304382E-2</v>
          </cell>
          <cell r="X65">
            <v>1.4625495153418206E-2</v>
          </cell>
          <cell r="Y65">
            <v>6.3620013893357467E-4</v>
          </cell>
        </row>
        <row r="68">
          <cell r="A68" t="str">
            <v>Spread</v>
          </cell>
          <cell r="F68">
            <v>-1.3999999999999999E-2</v>
          </cell>
          <cell r="G68">
            <v>8.0000000000000019E-3</v>
          </cell>
          <cell r="H68">
            <v>-2.7829054689950852E-2</v>
          </cell>
          <cell r="I68">
            <v>-1.6749999999999987E-2</v>
          </cell>
          <cell r="J68">
            <v>-1.8249999999999995E-2</v>
          </cell>
          <cell r="K68">
            <v>-2.2750000000000006E-2</v>
          </cell>
          <cell r="L68">
            <v>-3.8750000000000007E-2</v>
          </cell>
          <cell r="M68">
            <v>-4.5499999999999999E-2</v>
          </cell>
          <cell r="N68">
            <v>-2.8749999999999998E-2</v>
          </cell>
          <cell r="O68">
            <v>-3.7250000000000005E-2</v>
          </cell>
          <cell r="P68">
            <v>-2.4750000000000001E-2</v>
          </cell>
          <cell r="Q68">
            <v>-3.075E-2</v>
          </cell>
          <cell r="R68">
            <v>-2.2000000000000002E-2</v>
          </cell>
          <cell r="S68">
            <v>-3.2500000000000001E-2</v>
          </cell>
          <cell r="T68">
            <v>-1.9999999999999997E-2</v>
          </cell>
          <cell r="U68">
            <v>-6.7499999999999991E-3</v>
          </cell>
          <cell r="V68">
            <v>-1.5650324927003488E-2</v>
          </cell>
          <cell r="W68">
            <v>-2.7319651179714997E-2</v>
          </cell>
          <cell r="X68">
            <v>-2.6422403972330859E-2</v>
          </cell>
          <cell r="Y68">
            <v>-2.0392566357852426E-2</v>
          </cell>
        </row>
        <row r="90">
          <cell r="K90">
            <v>2000</v>
          </cell>
          <cell r="L90">
            <v>2001</v>
          </cell>
          <cell r="M90">
            <v>2002</v>
          </cell>
          <cell r="N90">
            <v>2003</v>
          </cell>
          <cell r="O90">
            <v>2004</v>
          </cell>
          <cell r="P90">
            <v>2005</v>
          </cell>
          <cell r="Q90">
            <v>2006</v>
          </cell>
          <cell r="R90">
            <v>2007</v>
          </cell>
          <cell r="S90">
            <v>2008</v>
          </cell>
          <cell r="T90">
            <v>2009</v>
          </cell>
          <cell r="U90">
            <v>2010</v>
          </cell>
          <cell r="V90" t="str">
            <v>1H11</v>
          </cell>
        </row>
        <row r="91">
          <cell r="C91" t="str">
            <v>2Q10</v>
          </cell>
          <cell r="D91" t="str">
            <v>3Q10</v>
          </cell>
          <cell r="E91" t="str">
            <v>4Q10</v>
          </cell>
          <cell r="F91" t="str">
            <v>1Q11</v>
          </cell>
          <cell r="G91" t="str">
            <v>2Q11</v>
          </cell>
          <cell r="H91" t="str">
            <v>3Q11</v>
          </cell>
          <cell r="J91" t="str">
            <v>JCP</v>
          </cell>
          <cell r="K91">
            <v>-2.4E-2</v>
          </cell>
          <cell r="L91">
            <v>3.125E-2</v>
          </cell>
          <cell r="M91">
            <v>2.8250000000000001E-2</v>
          </cell>
          <cell r="N91">
            <v>8.0000000000000002E-3</v>
          </cell>
          <cell r="O91">
            <v>4.9000000000000002E-2</v>
          </cell>
          <cell r="P91">
            <v>2.9000000000000001E-2</v>
          </cell>
          <cell r="Q91">
            <v>3.6999999999999998E-2</v>
          </cell>
          <cell r="R91">
            <v>-1.0999999999999999E-2</v>
          </cell>
          <cell r="S91">
            <v>-8.5000000000000006E-2</v>
          </cell>
          <cell r="T91">
            <v>-6.3078925007644338E-2</v>
          </cell>
          <cell r="U91">
            <v>0</v>
          </cell>
          <cell r="V91">
            <v>2.6499999999999999E-2</v>
          </cell>
        </row>
        <row r="92">
          <cell r="A92" t="str">
            <v>JCP</v>
          </cell>
          <cell r="C92">
            <v>-2.5000000000000001E-2</v>
          </cell>
          <cell r="D92">
            <v>-2.5000000000000001E-2</v>
          </cell>
          <cell r="E92">
            <v>-2.5000000000000001E-2</v>
          </cell>
          <cell r="F92">
            <v>-0.01</v>
          </cell>
          <cell r="G92">
            <v>-2.5000000000000001E-3</v>
          </cell>
          <cell r="H92">
            <v>2.5000000000000001E-3</v>
          </cell>
          <cell r="J92" t="str">
            <v>M</v>
          </cell>
          <cell r="K92">
            <v>0.02</v>
          </cell>
          <cell r="L92">
            <v>-5.2999999999999999E-2</v>
          </cell>
          <cell r="M92">
            <v>-0.03</v>
          </cell>
          <cell r="N92">
            <v>-9.0000000000000011E-3</v>
          </cell>
          <cell r="O92">
            <v>2.5999999999999999E-2</v>
          </cell>
          <cell r="P92">
            <v>1.2999999999999999E-2</v>
          </cell>
          <cell r="Q92">
            <v>4.3999999999999997E-2</v>
          </cell>
          <cell r="R92">
            <v>-1.2999999999999999E-2</v>
          </cell>
          <cell r="S92">
            <v>-4.4999999999999998E-2</v>
          </cell>
          <cell r="T92">
            <v>-5.2999999999999999E-2</v>
          </cell>
          <cell r="U92">
            <v>4.610434747830261E-2</v>
          </cell>
          <cell r="V92">
            <v>5.8999999999999997E-2</v>
          </cell>
        </row>
        <row r="93">
          <cell r="C93" t="str">
            <v>(LSD)</v>
          </cell>
          <cell r="D93" t="str">
            <v>(LSD)</v>
          </cell>
          <cell r="E93" t="str">
            <v>(LSD)</v>
          </cell>
          <cell r="F93">
            <v>-0.01</v>
          </cell>
          <cell r="G93" t="str">
            <v>Down slightly</v>
          </cell>
          <cell r="H93" t="str">
            <v>Up slightly</v>
          </cell>
          <cell r="J93" t="str">
            <v>KSS</v>
          </cell>
          <cell r="K93">
            <v>9.5515620428464607E-2</v>
          </cell>
          <cell r="L93">
            <v>6.8000000000000005E-2</v>
          </cell>
          <cell r="M93">
            <v>5.9056288469869427E-2</v>
          </cell>
          <cell r="N93">
            <v>-1.2342184383842436E-2</v>
          </cell>
          <cell r="O93">
            <v>5.4574854495884851E-3</v>
          </cell>
          <cell r="P93">
            <v>3.6890876124815335E-2</v>
          </cell>
          <cell r="Q93">
            <v>5.8999999999999997E-2</v>
          </cell>
          <cell r="R93">
            <v>-7.9988102247825314E-3</v>
          </cell>
          <cell r="S93">
            <v>-6.9000000000000006E-2</v>
          </cell>
          <cell r="T93">
            <v>6.5541130581591653E-3</v>
          </cell>
          <cell r="U93">
            <v>4.4736447175248759E-2</v>
          </cell>
          <cell r="V93">
            <v>1.6E-2</v>
          </cell>
        </row>
        <row r="94">
          <cell r="J94" t="str">
            <v>DDS</v>
          </cell>
          <cell r="L94">
            <v>-0.05</v>
          </cell>
          <cell r="M94">
            <v>-0.03</v>
          </cell>
          <cell r="N94">
            <v>-0.04</v>
          </cell>
          <cell r="O94">
            <v>-0.01</v>
          </cell>
          <cell r="P94">
            <v>0</v>
          </cell>
          <cell r="Q94">
            <v>0</v>
          </cell>
          <cell r="R94">
            <v>-0.06</v>
          </cell>
          <cell r="S94">
            <v>-7.0000000000000007E-2</v>
          </cell>
          <cell r="T94">
            <v>-0.1</v>
          </cell>
          <cell r="U94">
            <v>0.03</v>
          </cell>
          <cell r="V94">
            <v>0.04</v>
          </cell>
        </row>
        <row r="95">
          <cell r="J95" t="str">
            <v>Spread</v>
          </cell>
          <cell r="K95">
            <v>-8.1757810214232313E-2</v>
          </cell>
          <cell r="L95">
            <v>4.2916666666666665E-2</v>
          </cell>
          <cell r="M95">
            <v>2.8564570510043526E-2</v>
          </cell>
          <cell r="N95">
            <v>2.8447394794614146E-2</v>
          </cell>
          <cell r="O95">
            <v>4.1847504850137177E-2</v>
          </cell>
          <cell r="P95">
            <v>1.2369707958394892E-2</v>
          </cell>
          <cell r="Q95">
            <v>2.6666666666666644E-3</v>
          </cell>
          <cell r="R95">
            <v>1.5999603408260843E-2</v>
          </cell>
          <cell r="S95">
            <v>-2.3666666666666676E-2</v>
          </cell>
          <cell r="T95">
            <v>-1.4263629360364051E-2</v>
          </cell>
          <cell r="U95">
            <v>-4.0280264884517122E-2</v>
          </cell>
          <cell r="V95">
            <v>-1.1833333333333331E-2</v>
          </cell>
        </row>
        <row r="99">
          <cell r="K99" t="str">
            <v>2010Q3</v>
          </cell>
          <cell r="L99" t="str">
            <v>2010Q4</v>
          </cell>
          <cell r="M99" t="str">
            <v>2011Q1</v>
          </cell>
          <cell r="N99" t="str">
            <v>2011Q2</v>
          </cell>
        </row>
        <row r="100">
          <cell r="J100" t="str">
            <v>JCP</v>
          </cell>
          <cell r="K100">
            <v>1.9E-2</v>
          </cell>
          <cell r="L100">
            <v>4.4999999999999998E-2</v>
          </cell>
          <cell r="M100">
            <v>3.7999999999999999E-2</v>
          </cell>
          <cell r="N100">
            <v>1.4999999999999999E-2</v>
          </cell>
        </row>
        <row r="101">
          <cell r="J101" t="str">
            <v>KSS</v>
          </cell>
          <cell r="K101">
            <v>1.7999999999999999E-2</v>
          </cell>
          <cell r="L101">
            <v>4.2999999999999997E-2</v>
          </cell>
          <cell r="M101">
            <v>1.2999999999999999E-2</v>
          </cell>
          <cell r="N101">
            <v>1.9E-2</v>
          </cell>
        </row>
        <row r="102">
          <cell r="J102" t="str">
            <v>M</v>
          </cell>
          <cell r="K102">
            <v>3.9E-2</v>
          </cell>
          <cell r="L102">
            <v>4.2999999999999997E-2</v>
          </cell>
          <cell r="M102">
            <v>5.3999999999999999E-2</v>
          </cell>
          <cell r="N102">
            <v>6.4000000000000001E-2</v>
          </cell>
        </row>
        <row r="103">
          <cell r="J103" t="str">
            <v>DDS</v>
          </cell>
          <cell r="K103">
            <v>0.01</v>
          </cell>
          <cell r="L103">
            <v>7.0000000000000007E-2</v>
          </cell>
          <cell r="M103">
            <v>0.02</v>
          </cell>
          <cell r="N103">
            <v>3.6999999999999998E-2</v>
          </cell>
        </row>
        <row r="104">
          <cell r="J104" t="str">
            <v>Mid-Tier Avg</v>
          </cell>
          <cell r="K104">
            <v>2.233333333333333E-2</v>
          </cell>
          <cell r="L104">
            <v>5.1999999999999998E-2</v>
          </cell>
          <cell r="M104">
            <v>2.9000000000000001E-2</v>
          </cell>
          <cell r="N104">
            <v>0.04</v>
          </cell>
        </row>
        <row r="106">
          <cell r="K106" t="str">
            <v>2010Q3</v>
          </cell>
          <cell r="L106" t="str">
            <v>2010Q4</v>
          </cell>
          <cell r="M106" t="str">
            <v>2011Q1</v>
          </cell>
          <cell r="N106" t="str">
            <v>2011Q2</v>
          </cell>
          <cell r="O106" t="str">
            <v>2011Q3</v>
          </cell>
        </row>
        <row r="107">
          <cell r="J107" t="str">
            <v>JCP Comps</v>
          </cell>
          <cell r="K107">
            <v>1.9E-2</v>
          </cell>
          <cell r="L107">
            <v>4.4999999999999998E-2</v>
          </cell>
          <cell r="M107">
            <v>3.7999999999999999E-2</v>
          </cell>
          <cell r="N107">
            <v>1.4999999999999999E-2</v>
          </cell>
          <cell r="O107">
            <v>0</v>
          </cell>
        </row>
        <row r="108">
          <cell r="J108" t="str">
            <v>Inv/Sq Ft Growth</v>
          </cell>
          <cell r="K108">
            <v>5.4328650481654694E-2</v>
          </cell>
          <cell r="L108">
            <v>5.4855434578787277E-2</v>
          </cell>
          <cell r="M108">
            <v>6.4199331544402716E-2</v>
          </cell>
          <cell r="N108">
            <v>-0.9183550471876234</v>
          </cell>
          <cell r="O108">
            <v>-0.9182500174951681</v>
          </cell>
        </row>
        <row r="109">
          <cell r="J109" t="str">
            <v>Spread</v>
          </cell>
          <cell r="K109">
            <v>-353.28650481654694</v>
          </cell>
          <cell r="L109">
            <v>-98.554345787872776</v>
          </cell>
          <cell r="M109">
            <v>-261.99331544402719</v>
          </cell>
          <cell r="N109">
            <v>9333.550471876235</v>
          </cell>
          <cell r="O109">
            <v>9182.5001749516814</v>
          </cell>
        </row>
      </sheetData>
      <sheetData sheetId="7">
        <row r="20">
          <cell r="M20" t="str">
            <v>Valuation</v>
          </cell>
        </row>
        <row r="53">
          <cell r="B53" t="str">
            <v>2010Q1</v>
          </cell>
          <cell r="C53" t="str">
            <v>2010Q2</v>
          </cell>
          <cell r="D53" t="str">
            <v>2010Q3</v>
          </cell>
          <cell r="E53" t="str">
            <v>2010Q4</v>
          </cell>
          <cell r="F53" t="str">
            <v>2011Q1</v>
          </cell>
          <cell r="G53" t="str">
            <v>2011Q2E</v>
          </cell>
        </row>
        <row r="54">
          <cell r="A54" t="str">
            <v>JWN</v>
          </cell>
          <cell r="B54">
            <v>-1.2000000000000011E-2</v>
          </cell>
          <cell r="C54">
            <v>-1.3999999999999999E-2</v>
          </cell>
          <cell r="D54">
            <v>4.5999999999999999E-2</v>
          </cell>
          <cell r="E54">
            <v>0.13600000000000001</v>
          </cell>
          <cell r="F54">
            <v>0.185</v>
          </cell>
          <cell r="G54">
            <v>0.157</v>
          </cell>
        </row>
        <row r="55">
          <cell r="A55" t="str">
            <v>JCP</v>
          </cell>
          <cell r="B55">
            <v>-5.8999999999999997E-2</v>
          </cell>
          <cell r="C55">
            <v>-8.6000000000000007E-2</v>
          </cell>
          <cell r="D55">
            <v>-2.7E-2</v>
          </cell>
          <cell r="E55">
            <v>0</v>
          </cell>
          <cell r="F55">
            <v>5.3999999999999999E-2</v>
          </cell>
          <cell r="G55">
            <v>2.4E-2</v>
          </cell>
          <cell r="J55">
            <v>0.01</v>
          </cell>
        </row>
        <row r="56">
          <cell r="A56" t="str">
            <v>M</v>
          </cell>
          <cell r="B56">
            <v>-3.4999999999999996E-2</v>
          </cell>
          <cell r="C56">
            <v>-4.5999999999999999E-2</v>
          </cell>
          <cell r="D56">
            <v>3.0000000000000027E-3</v>
          </cell>
          <cell r="E56">
            <v>3.4999999999999996E-2</v>
          </cell>
          <cell r="F56">
            <v>0.109</v>
          </cell>
          <cell r="G56">
            <v>0.113</v>
          </cell>
          <cell r="J56" t="str">
            <v>+MSD</v>
          </cell>
        </row>
        <row r="57">
          <cell r="A57" t="str">
            <v>KSS</v>
          </cell>
          <cell r="B57">
            <v>3.1999999999999994E-2</v>
          </cell>
          <cell r="C57">
            <v>2.3E-2</v>
          </cell>
          <cell r="D57">
            <v>4.1999999999999996E-2</v>
          </cell>
          <cell r="E57">
            <v>8.7999999999999995E-2</v>
          </cell>
          <cell r="F57">
            <v>8.6999999999999994E-2</v>
          </cell>
          <cell r="G57">
            <v>6.5000000000000002E-2</v>
          </cell>
          <cell r="J57" t="str">
            <v>+LSD</v>
          </cell>
        </row>
        <row r="58">
          <cell r="A58" t="str">
            <v>Spread</v>
          </cell>
          <cell r="B58">
            <v>8.6666666666666593E-3</v>
          </cell>
          <cell r="C58">
            <v>2.2333333333333337E-2</v>
          </cell>
          <cell r="D58">
            <v>0.04</v>
          </cell>
          <cell r="E58">
            <v>9.5000000000000001E-2</v>
          </cell>
          <cell r="F58">
            <v>0.10166666666666667</v>
          </cell>
          <cell r="G58">
            <v>8.9666666666666658E-2</v>
          </cell>
          <cell r="J58" t="str">
            <v>+MSD</v>
          </cell>
        </row>
        <row r="60">
          <cell r="L60" t="str">
            <v>Feb '11</v>
          </cell>
          <cell r="M60" t="str">
            <v>Mar '11</v>
          </cell>
          <cell r="N60" t="str">
            <v>Apr '11</v>
          </cell>
          <cell r="O60" t="str">
            <v>May '11</v>
          </cell>
        </row>
        <row r="61">
          <cell r="J61" t="str">
            <v>JWN</v>
          </cell>
          <cell r="L61">
            <v>0.01</v>
          </cell>
          <cell r="M61">
            <v>0.05</v>
          </cell>
          <cell r="N61">
            <v>0.01</v>
          </cell>
          <cell r="O61">
            <v>0.05</v>
          </cell>
        </row>
      </sheetData>
      <sheetData sheetId="8"/>
      <sheetData sheetId="9"/>
      <sheetData sheetId="10"/>
      <sheetData sheetId="11"/>
      <sheetData sheetId="12"/>
      <sheetData sheetId="1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_FDSCACHE__"/>
      <sheetName val="Risk-Reward_View_Chart"/>
      <sheetName val="Bear_to_Bull_Data"/>
      <sheetName val="Comparative_Risk-Reward_Chart"/>
      <sheetName val="Comparative_Risk-Reward_Data"/>
      <sheetName val="Value_of_Growth_Chart"/>
      <sheetName val="Value_of_Growth_Data"/>
    </sheetNames>
    <sheetDataSet>
      <sheetData sheetId="0"/>
      <sheetData sheetId="1"/>
      <sheetData sheetId="2">
        <row r="1">
          <cell r="C1" t="str">
            <v>Please Enter
POSITIVE
Nos. Only</v>
          </cell>
        </row>
        <row r="2">
          <cell r="R2" t="str">
            <v>Old</v>
          </cell>
          <cell r="S2" t="str">
            <v>New</v>
          </cell>
        </row>
        <row r="3">
          <cell r="R3">
            <v>0.125</v>
          </cell>
          <cell r="S3">
            <v>0.14285714285714285</v>
          </cell>
        </row>
        <row r="4">
          <cell r="R4">
            <v>0.5</v>
          </cell>
          <cell r="S4">
            <v>0.5</v>
          </cell>
        </row>
        <row r="5">
          <cell r="A5" t="str">
            <v>X-Axis Labels</v>
          </cell>
          <cell r="B5" t="str">
            <v>Cases</v>
          </cell>
          <cell r="C5" t="str">
            <v>Positive
Increments</v>
          </cell>
          <cell r="D5" t="str">
            <v>Price Target</v>
          </cell>
          <cell r="E5" t="str">
            <v>Invisible</v>
          </cell>
          <cell r="F5" t="str">
            <v>Labels</v>
          </cell>
          <cell r="R5">
            <v>0.375</v>
          </cell>
          <cell r="S5">
            <v>0.35714285714285715</v>
          </cell>
        </row>
        <row r="6">
          <cell r="A6" t="str">
            <v>Bear
Case</v>
          </cell>
          <cell r="B6">
            <v>10</v>
          </cell>
          <cell r="D6">
            <v>16</v>
          </cell>
        </row>
        <row r="7">
          <cell r="A7" t="str">
            <v>Label</v>
          </cell>
          <cell r="D7">
            <v>16</v>
          </cell>
          <cell r="E7">
            <v>10</v>
          </cell>
          <cell r="F7">
            <v>0</v>
          </cell>
        </row>
        <row r="8">
          <cell r="A8" t="str">
            <v>Optional</v>
          </cell>
          <cell r="D8">
            <v>16</v>
          </cell>
          <cell r="E8">
            <v>10</v>
          </cell>
          <cell r="F8">
            <v>0</v>
          </cell>
        </row>
        <row r="9">
          <cell r="A9" t="str">
            <v>Optional</v>
          </cell>
          <cell r="D9">
            <v>16</v>
          </cell>
          <cell r="E9">
            <v>10</v>
          </cell>
          <cell r="F9">
            <v>0</v>
          </cell>
        </row>
        <row r="10">
          <cell r="A10" t="str">
            <v>Comps further decline</v>
          </cell>
          <cell r="C10">
            <v>2.85</v>
          </cell>
          <cell r="D10">
            <v>16</v>
          </cell>
          <cell r="E10">
            <v>10</v>
          </cell>
          <cell r="F10">
            <v>2.85</v>
          </cell>
        </row>
        <row r="11">
          <cell r="A11" t="str">
            <v>Increased gross margin pressure</v>
          </cell>
          <cell r="C11">
            <v>3.05</v>
          </cell>
          <cell r="D11">
            <v>16</v>
          </cell>
          <cell r="E11">
            <v>12.85</v>
          </cell>
          <cell r="F11">
            <v>3.05</v>
          </cell>
        </row>
        <row r="12">
          <cell r="A12" t="str">
            <v>Expense deleverage</v>
          </cell>
          <cell r="C12">
            <v>0.1</v>
          </cell>
          <cell r="D12">
            <v>16</v>
          </cell>
          <cell r="E12">
            <v>15.899999999999999</v>
          </cell>
          <cell r="F12">
            <v>0.1</v>
          </cell>
        </row>
        <row r="13">
          <cell r="A13" t="str">
            <v>Base
Case</v>
          </cell>
          <cell r="B13">
            <v>15.999999999999998</v>
          </cell>
          <cell r="D13">
            <v>16</v>
          </cell>
        </row>
        <row r="14">
          <cell r="A14" t="str">
            <v>Comps increase</v>
          </cell>
          <cell r="C14">
            <v>2.2000000000000002</v>
          </cell>
          <cell r="D14">
            <v>16</v>
          </cell>
          <cell r="E14">
            <v>15.999999999999998</v>
          </cell>
          <cell r="F14">
            <v>2.2000000000000002</v>
          </cell>
          <cell r="R14">
            <v>0.33333333333333331</v>
          </cell>
          <cell r="S14">
            <v>0.31818181818181818</v>
          </cell>
        </row>
        <row r="15">
          <cell r="A15" t="str">
            <v>Less pressure from gross margin</v>
          </cell>
          <cell r="C15">
            <v>1.5</v>
          </cell>
          <cell r="D15">
            <v>16</v>
          </cell>
          <cell r="E15">
            <v>18.2</v>
          </cell>
          <cell r="F15">
            <v>1.5</v>
          </cell>
          <cell r="R15">
            <v>0.5</v>
          </cell>
          <cell r="S15">
            <v>0.5</v>
          </cell>
        </row>
        <row r="16">
          <cell r="A16" t="str">
            <v>Less expense deleverage</v>
          </cell>
          <cell r="C16">
            <v>0.3</v>
          </cell>
          <cell r="D16">
            <v>16</v>
          </cell>
          <cell r="E16">
            <v>19.7</v>
          </cell>
          <cell r="F16">
            <v>0.3</v>
          </cell>
          <cell r="R16">
            <v>0.16666666666666666</v>
          </cell>
          <cell r="S16">
            <v>0.18181818181818182</v>
          </cell>
        </row>
        <row r="17">
          <cell r="A17" t="str">
            <v>Optional</v>
          </cell>
          <cell r="D17">
            <v>16</v>
          </cell>
          <cell r="E17">
            <v>20</v>
          </cell>
          <cell r="F17">
            <v>0</v>
          </cell>
        </row>
        <row r="18">
          <cell r="A18" t="str">
            <v>Optional</v>
          </cell>
          <cell r="D18">
            <v>16</v>
          </cell>
          <cell r="E18">
            <v>20</v>
          </cell>
          <cell r="F18">
            <v>0</v>
          </cell>
        </row>
        <row r="19">
          <cell r="A19" t="str">
            <v>Optional</v>
          </cell>
          <cell r="D19">
            <v>16</v>
          </cell>
          <cell r="E19">
            <v>20</v>
          </cell>
          <cell r="F19">
            <v>0</v>
          </cell>
        </row>
        <row r="20">
          <cell r="A20" t="str">
            <v>Bull
Case</v>
          </cell>
          <cell r="B20">
            <v>20</v>
          </cell>
          <cell r="D20">
            <v>16</v>
          </cell>
        </row>
      </sheetData>
      <sheetData sheetId="3" refreshError="1"/>
      <sheetData sheetId="4">
        <row r="2">
          <cell r="B2" t="str">
            <v>Stock B</v>
          </cell>
          <cell r="C2" t="str">
            <v>Stock B</v>
          </cell>
          <cell r="D2" t="str">
            <v>Stock B</v>
          </cell>
          <cell r="E2">
            <v>0</v>
          </cell>
          <cell r="F2">
            <v>0</v>
          </cell>
          <cell r="G2">
            <v>0</v>
          </cell>
        </row>
        <row r="3">
          <cell r="B3" t="str">
            <v>Stock C</v>
          </cell>
          <cell r="C3" t="str">
            <v>Stock C</v>
          </cell>
          <cell r="D3" t="str">
            <v>Stock C</v>
          </cell>
          <cell r="E3">
            <v>0</v>
          </cell>
          <cell r="F3">
            <v>-9.9999999999999978E-2</v>
          </cell>
          <cell r="G3">
            <v>-0.4</v>
          </cell>
        </row>
        <row r="4">
          <cell r="A4" t="str">
            <v>Stock D</v>
          </cell>
          <cell r="B4" t="str">
            <v>Stock D</v>
          </cell>
          <cell r="C4" t="str">
            <v>Stock D</v>
          </cell>
          <cell r="D4" t="str">
            <v>Stock D</v>
          </cell>
          <cell r="E4">
            <v>0</v>
          </cell>
          <cell r="F4">
            <v>0</v>
          </cell>
          <cell r="G4">
            <v>-0.30000000000000004</v>
          </cell>
        </row>
        <row r="5">
          <cell r="B5" t="str">
            <v>Current
Price</v>
          </cell>
          <cell r="C5" t="str">
            <v>Bear 
Case</v>
          </cell>
          <cell r="D5" t="str">
            <v>Base 
Case</v>
          </cell>
          <cell r="E5" t="str">
            <v>Bull 
Case</v>
          </cell>
          <cell r="F5" t="str">
            <v>Price Target</v>
          </cell>
          <cell r="G5" t="str">
            <v>Bear 
Case</v>
          </cell>
          <cell r="H5" t="str">
            <v>Base 
Case</v>
          </cell>
          <cell r="I5" t="str">
            <v>Bull 
Case</v>
          </cell>
          <cell r="J5" t="str">
            <v>Price 
Target</v>
          </cell>
          <cell r="K5" t="str">
            <v>+ Bear 
Data</v>
          </cell>
          <cell r="L5" t="str">
            <v>+ Base 
Data</v>
          </cell>
          <cell r="M5" t="str">
            <v>+ Bull 
Data</v>
          </cell>
          <cell r="N5" t="str">
            <v>- Bear 
Data</v>
          </cell>
          <cell r="O5" t="str">
            <v>- Base 
Data</v>
          </cell>
          <cell r="P5" t="str">
            <v>- Bull 
Data</v>
          </cell>
        </row>
        <row r="6">
          <cell r="A6" t="str">
            <v>Stock A</v>
          </cell>
          <cell r="B6">
            <v>50</v>
          </cell>
          <cell r="C6">
            <v>30</v>
          </cell>
          <cell r="D6">
            <v>40</v>
          </cell>
          <cell r="E6">
            <v>45</v>
          </cell>
          <cell r="F6">
            <v>50</v>
          </cell>
          <cell r="G6">
            <v>-0.4</v>
          </cell>
          <cell r="H6">
            <v>-0.19999999999999996</v>
          </cell>
          <cell r="I6">
            <v>-9.9999999999999978E-2</v>
          </cell>
          <cell r="J6">
            <v>0</v>
          </cell>
          <cell r="K6">
            <v>0</v>
          </cell>
          <cell r="L6">
            <v>0</v>
          </cell>
          <cell r="M6">
            <v>0</v>
          </cell>
          <cell r="N6">
            <v>-0.20000000000000007</v>
          </cell>
          <cell r="O6">
            <v>-9.9999999999999978E-2</v>
          </cell>
          <cell r="P6">
            <v>-9.9999999999999978E-2</v>
          </cell>
        </row>
        <row r="7">
          <cell r="A7" t="str">
            <v>Stock B</v>
          </cell>
          <cell r="B7">
            <v>100</v>
          </cell>
          <cell r="C7">
            <v>110</v>
          </cell>
          <cell r="D7">
            <v>120</v>
          </cell>
          <cell r="E7">
            <v>150</v>
          </cell>
          <cell r="F7">
            <v>115</v>
          </cell>
          <cell r="G7">
            <v>0.10000000000000009</v>
          </cell>
          <cell r="H7">
            <v>0.19999999999999996</v>
          </cell>
          <cell r="I7">
            <v>0.5</v>
          </cell>
          <cell r="J7">
            <v>0.14999999999999991</v>
          </cell>
          <cell r="K7">
            <v>0.10000000000000009</v>
          </cell>
          <cell r="L7">
            <v>9.9999999999999867E-2</v>
          </cell>
          <cell r="M7">
            <v>0.30000000000000004</v>
          </cell>
          <cell r="N7">
            <v>0</v>
          </cell>
          <cell r="O7">
            <v>0</v>
          </cell>
          <cell r="P7">
            <v>0</v>
          </cell>
        </row>
        <row r="8">
          <cell r="A8" t="str">
            <v>Stock C</v>
          </cell>
          <cell r="B8">
            <v>60</v>
          </cell>
          <cell r="C8">
            <v>30</v>
          </cell>
          <cell r="D8">
            <v>54</v>
          </cell>
          <cell r="E8">
            <v>78</v>
          </cell>
          <cell r="F8">
            <v>69</v>
          </cell>
          <cell r="G8">
            <v>-0.5</v>
          </cell>
          <cell r="H8">
            <v>-9.9999999999999978E-2</v>
          </cell>
          <cell r="I8">
            <v>0.30000000000000004</v>
          </cell>
          <cell r="J8">
            <v>0.14999999999999991</v>
          </cell>
          <cell r="K8">
            <v>0</v>
          </cell>
          <cell r="L8">
            <v>0</v>
          </cell>
          <cell r="M8">
            <v>0.30000000000000004</v>
          </cell>
          <cell r="N8">
            <v>-0.4</v>
          </cell>
          <cell r="O8">
            <v>-9.9999999999999978E-2</v>
          </cell>
          <cell r="P8">
            <v>0</v>
          </cell>
        </row>
        <row r="9">
          <cell r="A9" t="str">
            <v>Stock D</v>
          </cell>
          <cell r="B9">
            <v>80</v>
          </cell>
          <cell r="C9">
            <v>56</v>
          </cell>
          <cell r="D9">
            <v>90</v>
          </cell>
          <cell r="E9">
            <v>104</v>
          </cell>
          <cell r="F9">
            <v>85</v>
          </cell>
          <cell r="G9">
            <v>-0.30000000000000004</v>
          </cell>
          <cell r="H9">
            <v>0.125</v>
          </cell>
          <cell r="I9">
            <v>0.30000000000000004</v>
          </cell>
          <cell r="J9">
            <v>6.25E-2</v>
          </cell>
          <cell r="K9">
            <v>0</v>
          </cell>
          <cell r="L9">
            <v>0.125</v>
          </cell>
          <cell r="M9">
            <v>0.17500000000000004</v>
          </cell>
          <cell r="N9">
            <v>-0.30000000000000004</v>
          </cell>
          <cell r="O9">
            <v>0</v>
          </cell>
          <cell r="P9">
            <v>0</v>
          </cell>
        </row>
        <row r="10">
          <cell r="A10" t="str">
            <v>Stock E</v>
          </cell>
          <cell r="B10">
            <v>40</v>
          </cell>
          <cell r="C10">
            <v>20</v>
          </cell>
          <cell r="D10">
            <v>60</v>
          </cell>
          <cell r="E10">
            <v>70</v>
          </cell>
          <cell r="F10">
            <v>49</v>
          </cell>
          <cell r="G10">
            <v>-0.5</v>
          </cell>
          <cell r="H10">
            <v>0.5</v>
          </cell>
          <cell r="I10">
            <v>0.75</v>
          </cell>
          <cell r="J10">
            <v>0.22500000000000009</v>
          </cell>
          <cell r="K10">
            <v>0</v>
          </cell>
          <cell r="L10">
            <v>0.5</v>
          </cell>
          <cell r="M10">
            <v>0.25</v>
          </cell>
          <cell r="N10">
            <v>-0.5</v>
          </cell>
          <cell r="O10">
            <v>0</v>
          </cell>
          <cell r="P10">
            <v>0</v>
          </cell>
        </row>
        <row r="11">
          <cell r="A11" t="str">
            <v>Stock F</v>
          </cell>
          <cell r="B11">
            <v>20</v>
          </cell>
          <cell r="C11">
            <v>10</v>
          </cell>
          <cell r="D11">
            <v>30</v>
          </cell>
          <cell r="E11">
            <v>35</v>
          </cell>
          <cell r="F11">
            <v>23</v>
          </cell>
          <cell r="G11">
            <v>-0.5</v>
          </cell>
          <cell r="H11">
            <v>0.5</v>
          </cell>
          <cell r="I11">
            <v>0.75</v>
          </cell>
          <cell r="J11">
            <v>0.14999999999999991</v>
          </cell>
          <cell r="K11">
            <v>0</v>
          </cell>
          <cell r="L11">
            <v>0.5</v>
          </cell>
          <cell r="M11">
            <v>0.25</v>
          </cell>
          <cell r="N11">
            <v>-0.5</v>
          </cell>
          <cell r="O11">
            <v>0</v>
          </cell>
          <cell r="P11">
            <v>0</v>
          </cell>
        </row>
        <row r="12">
          <cell r="A12" t="str">
            <v>Stock G</v>
          </cell>
          <cell r="B12">
            <v>65</v>
          </cell>
          <cell r="C12">
            <v>35</v>
          </cell>
          <cell r="D12">
            <v>75</v>
          </cell>
          <cell r="E12">
            <v>85</v>
          </cell>
          <cell r="F12">
            <v>64</v>
          </cell>
          <cell r="G12">
            <v>-0.46153846153846156</v>
          </cell>
          <cell r="H12">
            <v>0.15384615384615374</v>
          </cell>
          <cell r="I12">
            <v>0.30769230769230771</v>
          </cell>
          <cell r="J12">
            <v>-1.538461538461533E-2</v>
          </cell>
          <cell r="K12">
            <v>0</v>
          </cell>
          <cell r="L12">
            <v>0.15384615384615374</v>
          </cell>
          <cell r="M12">
            <v>0.15384615384615397</v>
          </cell>
          <cell r="N12">
            <v>-0.46153846153846156</v>
          </cell>
          <cell r="O12">
            <v>0</v>
          </cell>
          <cell r="P12">
            <v>0</v>
          </cell>
        </row>
        <row r="13">
          <cell r="A13" t="str">
            <v>Stock H</v>
          </cell>
          <cell r="B13">
            <v>35</v>
          </cell>
          <cell r="C13">
            <v>20</v>
          </cell>
          <cell r="D13">
            <v>45</v>
          </cell>
          <cell r="E13">
            <v>50</v>
          </cell>
          <cell r="F13">
            <v>30</v>
          </cell>
          <cell r="G13">
            <v>-0.4285714285714286</v>
          </cell>
          <cell r="H13">
            <v>0.28571428571428581</v>
          </cell>
          <cell r="I13">
            <v>0.4285714285714286</v>
          </cell>
          <cell r="J13">
            <v>-0.1428571428571429</v>
          </cell>
          <cell r="K13">
            <v>0</v>
          </cell>
          <cell r="L13">
            <v>0.28571428571428581</v>
          </cell>
          <cell r="M13">
            <v>0.14285714285714279</v>
          </cell>
          <cell r="N13">
            <v>-0.4285714285714286</v>
          </cell>
          <cell r="O13">
            <v>0</v>
          </cell>
          <cell r="P13">
            <v>0</v>
          </cell>
        </row>
        <row r="14">
          <cell r="A14" t="str">
            <v>Stock I</v>
          </cell>
          <cell r="B14">
            <v>16</v>
          </cell>
          <cell r="C14">
            <v>10</v>
          </cell>
          <cell r="D14">
            <v>20</v>
          </cell>
          <cell r="E14">
            <v>23</v>
          </cell>
          <cell r="F14">
            <v>22</v>
          </cell>
          <cell r="G14">
            <v>-0.375</v>
          </cell>
          <cell r="H14">
            <v>0.25</v>
          </cell>
          <cell r="I14">
            <v>0.4375</v>
          </cell>
          <cell r="J14">
            <v>0.375</v>
          </cell>
          <cell r="K14">
            <v>0</v>
          </cell>
          <cell r="L14">
            <v>0.25</v>
          </cell>
          <cell r="M14">
            <v>0.1875</v>
          </cell>
          <cell r="N14">
            <v>-0.375</v>
          </cell>
          <cell r="O14">
            <v>0</v>
          </cell>
          <cell r="P14">
            <v>0</v>
          </cell>
        </row>
      </sheetData>
      <sheetData sheetId="5" refreshError="1"/>
      <sheetData sheetId="6">
        <row r="5">
          <cell r="A5" t="str">
            <v>X-Axis Labels</v>
          </cell>
          <cell r="B5" t="str">
            <v>Invisible</v>
          </cell>
          <cell r="C5" t="str">
            <v>Input
Bases</v>
          </cell>
          <cell r="D5" t="str">
            <v>Input
Increments</v>
          </cell>
          <cell r="E5" t="str">
            <v>Value
Gap</v>
          </cell>
          <cell r="F5" t="str">
            <v>+ Data</v>
          </cell>
          <cell r="G5" t="str">
            <v>- Data</v>
          </cell>
          <cell r="H5" t="str">
            <v>Increment
Labels</v>
          </cell>
        </row>
        <row r="6">
          <cell r="A6" t="str">
            <v>Current
Earnings</v>
          </cell>
          <cell r="C6">
            <v>26</v>
          </cell>
        </row>
        <row r="7">
          <cell r="A7" t="str">
            <v>Growth in
Explicit
Forecast
Period</v>
          </cell>
          <cell r="B7">
            <v>22</v>
          </cell>
          <cell r="D7">
            <v>-4</v>
          </cell>
          <cell r="F7">
            <v>0</v>
          </cell>
          <cell r="G7">
            <v>4</v>
          </cell>
          <cell r="H7">
            <v>4</v>
          </cell>
        </row>
        <row r="8">
          <cell r="A8" t="str">
            <v>Growth in
Terminal
Forecast
Period</v>
          </cell>
          <cell r="B8">
            <v>22</v>
          </cell>
          <cell r="D8">
            <v>8</v>
          </cell>
          <cell r="F8">
            <v>8</v>
          </cell>
          <cell r="G8">
            <v>0</v>
          </cell>
          <cell r="H8">
            <v>8</v>
          </cell>
        </row>
        <row r="9">
          <cell r="A9" t="str">
            <v>Estimated
Intrinsic
Value</v>
          </cell>
          <cell r="C9">
            <v>30</v>
          </cell>
        </row>
        <row r="10">
          <cell r="A10" t="str">
            <v>Value
Gap</v>
          </cell>
          <cell r="B10">
            <v>30</v>
          </cell>
          <cell r="E10">
            <v>10</v>
          </cell>
        </row>
        <row r="11">
          <cell r="A11" t="str">
            <v>Current
Price</v>
          </cell>
          <cell r="C11">
            <v>20</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wareTaxoPres"/>
      <sheetName val="Summary"/>
      <sheetName val="Balance Sheet"/>
      <sheetName val="Cash Flow"/>
      <sheetName val="Income"/>
      <sheetName val="May Co Acquisition"/>
      <sheetName val="Drivers"/>
      <sheetName val="__FDSCACHE__"/>
      <sheetName val="Trends"/>
      <sheetName val="Credit Income &amp; SG&amp;A Detail"/>
      <sheetName val="Variance-2Q12"/>
      <sheetName val="2012 Stores"/>
      <sheetName val="online"/>
      <sheetName val="PreFHT"/>
      <sheetName val="MainCode"/>
      <sheetName val="Debt"/>
      <sheetName val="CreditRatios"/>
      <sheetName val="Reported 2009"/>
      <sheetName val="Productivity"/>
      <sheetName val="MWA RR"/>
      <sheetName val="LEASES NEW"/>
      <sheetName val="RNOA - ROE"/>
      <sheetName val="Real Estate"/>
      <sheetName val="mwareValPrintout"/>
      <sheetName val="P Map"/>
      <sheetName val="Asset Sales"/>
      <sheetName val="Ledger"/>
      <sheetName val="Valuation "/>
      <sheetName val="MW-Cache"/>
      <sheetName val="LBO"/>
      <sheetName val="LINKED DATA"/>
      <sheetName val="mwareDates_38951_3819959"/>
      <sheetName val="mwareDates_38951_3889055"/>
      <sheetName val="mwareDates"/>
      <sheetName val="mwareSettings"/>
      <sheetName val="MacabacusCustomFormats"/>
      <sheetName val="Variance"/>
      <sheetName val="Disclosures"/>
      <sheetName val="Guidance"/>
      <sheetName val="Variance-1Q11"/>
      <sheetName val="Variance-2Q11"/>
      <sheetName val="LEASES"/>
      <sheetName val="Inv Turn"/>
      <sheetName val="msri"/>
      <sheetName val="Variance2"/>
      <sheetName val="NY UPLOAD shadow"/>
      <sheetName val="#REF"/>
      <sheetName val="M_working2"/>
      <sheetName val="Variance-1Q12"/>
      <sheetName val="Credit Income"/>
      <sheetName val="Variance-4Q11"/>
      <sheetName val="Variance-3Q11"/>
      <sheetName val="3Q EPS Cheat Sheet"/>
      <sheetName val="Shr Repo"/>
    </sheetNames>
    <sheetDataSet>
      <sheetData sheetId="0"/>
      <sheetData sheetId="1"/>
      <sheetData sheetId="2"/>
      <sheetData sheetId="3"/>
      <sheetData sheetId="4">
        <row r="1">
          <cell r="EX1" t="str">
            <v>Q1-07</v>
          </cell>
          <cell r="EY1" t="str">
            <v>Q2-07</v>
          </cell>
          <cell r="EZ1" t="str">
            <v>Q3-07</v>
          </cell>
          <cell r="FA1" t="str">
            <v>Q4-07</v>
          </cell>
          <cell r="FD1" t="str">
            <v>Q1-08</v>
          </cell>
          <cell r="FE1" t="str">
            <v>Q2-08</v>
          </cell>
          <cell r="FF1" t="str">
            <v>Q3-08</v>
          </cell>
          <cell r="FG1" t="str">
            <v>Q4-08</v>
          </cell>
          <cell r="FJ1" t="str">
            <v>Q1-09</v>
          </cell>
          <cell r="FK1" t="str">
            <v>Q2-09</v>
          </cell>
          <cell r="FL1" t="str">
            <v>Q3-09</v>
          </cell>
          <cell r="FM1" t="str">
            <v>Q4-09</v>
          </cell>
          <cell r="FP1" t="str">
            <v>Q1-10</v>
          </cell>
          <cell r="FQ1" t="str">
            <v>Q2-10</v>
          </cell>
          <cell r="FR1" t="str">
            <v>Q3-10</v>
          </cell>
          <cell r="FS1" t="str">
            <v>Q4-10</v>
          </cell>
          <cell r="FV1" t="str">
            <v>Q1-11</v>
          </cell>
          <cell r="FW1" t="str">
            <v>Q2-11</v>
          </cell>
          <cell r="FX1" t="str">
            <v>Q3-11</v>
          </cell>
          <cell r="FY1" t="str">
            <v>Q4-11</v>
          </cell>
          <cell r="GB1" t="str">
            <v>Q1-12</v>
          </cell>
          <cell r="GC1" t="str">
            <v>Q2-12</v>
          </cell>
          <cell r="GD1" t="str">
            <v>Q3-12</v>
          </cell>
          <cell r="GE1" t="str">
            <v>Q4-12</v>
          </cell>
          <cell r="GS1" t="str">
            <v>ElementName</v>
          </cell>
          <cell r="GT1" t="str">
            <v>ScaleOverride</v>
          </cell>
          <cell r="GU1" t="str">
            <v>UnitOverride</v>
          </cell>
          <cell r="GV1" t="str">
            <v>ReverseSign</v>
          </cell>
          <cell r="GW1" t="str">
            <v>IsDrivinFYssumption</v>
          </cell>
          <cell r="GX1" t="str">
            <v>SegmentID</v>
          </cell>
        </row>
        <row r="2">
          <cell r="A2" t="str">
            <v>Macy's Inc.</v>
          </cell>
          <cell r="F2" t="str">
            <v>Federated (Post-Bankruptcy)</v>
          </cell>
          <cell r="K2" t="str">
            <v>Combined Federated + Macy's;  Adjusted for Broadway</v>
          </cell>
          <cell r="R2" t="str">
            <v>Ex-Fingerhut</v>
          </cell>
          <cell r="X2" t="str">
            <v>Proforma -- May Department Stores</v>
          </cell>
          <cell r="AN2" t="str">
            <v>Macy's Inc.</v>
          </cell>
          <cell r="AO2" t="str">
            <v>Not Adjusted For Consistency</v>
          </cell>
          <cell r="DH2" t="str">
            <v>Adjusted -- Fingerhut Disposition</v>
          </cell>
          <cell r="EN2" t="str">
            <v>Proforma -- May Department Stores</v>
          </cell>
        </row>
        <row r="3">
          <cell r="A3" t="str">
            <v>Annual Income Statement: Base Case - 5/2/13</v>
          </cell>
          <cell r="E3" t="str">
            <v>RPT'D</v>
          </cell>
          <cell r="F3" t="str">
            <v>PFMA</v>
          </cell>
          <cell r="J3" t="str">
            <v>91P-94E</v>
          </cell>
          <cell r="K3" t="str">
            <v>PFMA</v>
          </cell>
          <cell r="L3" t="str">
            <v>FD+MCO</v>
          </cell>
          <cell r="AN3" t="str">
            <v>Quarterly Income Statement: Base Case - 5/2/13</v>
          </cell>
          <cell r="BY3" t="str">
            <v>1995A</v>
          </cell>
          <cell r="CJ3">
            <v>1996</v>
          </cell>
          <cell r="CR3">
            <v>1997</v>
          </cell>
          <cell r="CX3">
            <v>1998</v>
          </cell>
          <cell r="DD3">
            <v>1999</v>
          </cell>
          <cell r="DJ3">
            <v>2000</v>
          </cell>
          <cell r="DP3">
            <v>2001</v>
          </cell>
          <cell r="DV3">
            <v>2002</v>
          </cell>
          <cell r="EB3">
            <v>2003</v>
          </cell>
          <cell r="EH3">
            <v>2004</v>
          </cell>
          <cell r="EN3">
            <v>2005</v>
          </cell>
          <cell r="ET3">
            <v>2006</v>
          </cell>
          <cell r="EX3">
            <v>39447</v>
          </cell>
          <cell r="FD3">
            <v>39813</v>
          </cell>
          <cell r="FJ3">
            <v>40178</v>
          </cell>
          <cell r="FP3">
            <v>40543</v>
          </cell>
          <cell r="FV3">
            <v>40908</v>
          </cell>
          <cell r="FZ3" t="str">
            <v xml:space="preserve"> </v>
          </cell>
          <cell r="GB3">
            <v>41274</v>
          </cell>
          <cell r="GF3" t="str">
            <v xml:space="preserve"> </v>
          </cell>
        </row>
        <row r="4">
          <cell r="A4" t="str">
            <v>($ Millions)</v>
          </cell>
          <cell r="C4">
            <v>32873</v>
          </cell>
          <cell r="D4">
            <v>1990</v>
          </cell>
          <cell r="E4">
            <v>1991</v>
          </cell>
          <cell r="F4">
            <v>1991</v>
          </cell>
          <cell r="G4" t="str">
            <v>1992</v>
          </cell>
          <cell r="H4">
            <v>1993</v>
          </cell>
          <cell r="I4">
            <v>1994</v>
          </cell>
          <cell r="J4" t="str">
            <v>CAGR</v>
          </cell>
          <cell r="K4" t="str">
            <v>1994P</v>
          </cell>
          <cell r="L4">
            <v>1995</v>
          </cell>
          <cell r="N4">
            <v>1995</v>
          </cell>
          <cell r="O4">
            <v>1996</v>
          </cell>
          <cell r="P4">
            <v>1997</v>
          </cell>
          <cell r="Q4">
            <v>1998</v>
          </cell>
          <cell r="R4">
            <v>1999</v>
          </cell>
          <cell r="S4">
            <v>2000</v>
          </cell>
          <cell r="T4">
            <v>2001</v>
          </cell>
          <cell r="U4">
            <v>2002</v>
          </cell>
          <cell r="V4">
            <v>2003</v>
          </cell>
          <cell r="W4">
            <v>2004</v>
          </cell>
          <cell r="X4">
            <v>2005</v>
          </cell>
          <cell r="Y4">
            <v>2006</v>
          </cell>
          <cell r="Z4">
            <v>2007</v>
          </cell>
          <cell r="AA4">
            <v>2008</v>
          </cell>
          <cell r="AB4">
            <v>2009</v>
          </cell>
          <cell r="AC4">
            <v>2010</v>
          </cell>
          <cell r="AD4">
            <v>2011</v>
          </cell>
          <cell r="AE4" t="str">
            <v>2012E</v>
          </cell>
          <cell r="AF4" t="str">
            <v>2013E</v>
          </cell>
          <cell r="AG4" t="str">
            <v>2014E</v>
          </cell>
          <cell r="AH4" t="str">
            <v>2015E</v>
          </cell>
          <cell r="AI4" t="str">
            <v>2016E</v>
          </cell>
          <cell r="AJ4" t="str">
            <v>2017E</v>
          </cell>
          <cell r="AK4" t="str">
            <v>2018E</v>
          </cell>
          <cell r="AL4" t="str">
            <v>2019E</v>
          </cell>
          <cell r="AN4" t="str">
            <v>($ Millions)</v>
          </cell>
          <cell r="AO4" t="str">
            <v>Q1</v>
          </cell>
          <cell r="AP4" t="str">
            <v>Q2</v>
          </cell>
          <cell r="AQ4" t="str">
            <v>Q3</v>
          </cell>
          <cell r="AR4" t="str">
            <v>Q4</v>
          </cell>
          <cell r="AS4" t="str">
            <v>Year</v>
          </cell>
          <cell r="AU4" t="str">
            <v>Q1</v>
          </cell>
          <cell r="AV4" t="str">
            <v>Q2</v>
          </cell>
          <cell r="AW4" t="str">
            <v>Q3</v>
          </cell>
          <cell r="AX4" t="str">
            <v>Q4</v>
          </cell>
          <cell r="AY4" t="str">
            <v>Year</v>
          </cell>
          <cell r="BA4" t="str">
            <v>Q1</v>
          </cell>
          <cell r="BB4" t="str">
            <v>Q2</v>
          </cell>
          <cell r="BC4" t="str">
            <v>Q3</v>
          </cell>
          <cell r="BD4" t="str">
            <v>Q4</v>
          </cell>
          <cell r="BE4" t="str">
            <v>Year</v>
          </cell>
          <cell r="BG4" t="str">
            <v>Q1</v>
          </cell>
          <cell r="BH4" t="str">
            <v>Q2</v>
          </cell>
          <cell r="BI4" t="str">
            <v>Q3</v>
          </cell>
          <cell r="BJ4" t="str">
            <v>Q4</v>
          </cell>
          <cell r="BK4" t="str">
            <v>Year</v>
          </cell>
          <cell r="BM4" t="str">
            <v>Q1</v>
          </cell>
          <cell r="BN4" t="str">
            <v>Q2</v>
          </cell>
          <cell r="BO4" t="str">
            <v>Q3</v>
          </cell>
          <cell r="BP4" t="str">
            <v>Q4</v>
          </cell>
          <cell r="BQ4" t="str">
            <v>Year</v>
          </cell>
          <cell r="BS4" t="str">
            <v>Q1P</v>
          </cell>
          <cell r="BT4" t="str">
            <v>Q2P</v>
          </cell>
          <cell r="BU4" t="str">
            <v>Q3P</v>
          </cell>
          <cell r="BV4" t="str">
            <v>Q4P</v>
          </cell>
          <cell r="BW4" t="str">
            <v>Year P</v>
          </cell>
          <cell r="BY4" t="str">
            <v>Q1</v>
          </cell>
          <cell r="BZ4" t="str">
            <v>Q2</v>
          </cell>
          <cell r="CA4" t="str">
            <v>Q3</v>
          </cell>
          <cell r="CB4" t="str">
            <v>Q3</v>
          </cell>
          <cell r="CC4" t="str">
            <v>Q3</v>
          </cell>
          <cell r="CD4" t="str">
            <v>Q4</v>
          </cell>
          <cell r="CE4" t="str">
            <v>Q4</v>
          </cell>
          <cell r="CF4" t="str">
            <v>Year</v>
          </cell>
          <cell r="CG4" t="str">
            <v>Year</v>
          </cell>
          <cell r="CH4" t="str">
            <v>Year</v>
          </cell>
          <cell r="CJ4" t="str">
            <v>Q1</v>
          </cell>
          <cell r="CK4" t="str">
            <v>Q2</v>
          </cell>
          <cell r="CL4" t="str">
            <v>Q3</v>
          </cell>
          <cell r="CM4" t="str">
            <v>Q4</v>
          </cell>
          <cell r="CN4" t="str">
            <v>Year</v>
          </cell>
          <cell r="CP4" t="str">
            <v>Q1</v>
          </cell>
          <cell r="CQ4" t="str">
            <v>Q2</v>
          </cell>
          <cell r="CR4" t="str">
            <v>Q3</v>
          </cell>
          <cell r="CS4" t="str">
            <v>Q4</v>
          </cell>
          <cell r="CT4" t="str">
            <v>Year</v>
          </cell>
          <cell r="CV4" t="str">
            <v>Q1</v>
          </cell>
          <cell r="CW4" t="str">
            <v>Q2</v>
          </cell>
          <cell r="CX4" t="str">
            <v>Q3</v>
          </cell>
          <cell r="CY4" t="str">
            <v>Q4</v>
          </cell>
          <cell r="CZ4" t="str">
            <v>Year</v>
          </cell>
          <cell r="DB4" t="str">
            <v>Q1</v>
          </cell>
          <cell r="DC4" t="str">
            <v>Q2</v>
          </cell>
          <cell r="DD4" t="str">
            <v>Q3</v>
          </cell>
          <cell r="DE4" t="str">
            <v>Q4</v>
          </cell>
          <cell r="DF4" t="str">
            <v>Year</v>
          </cell>
          <cell r="DH4" t="str">
            <v>Q1</v>
          </cell>
          <cell r="DI4" t="str">
            <v>Q2</v>
          </cell>
          <cell r="DJ4" t="str">
            <v>Q3</v>
          </cell>
          <cell r="DK4" t="str">
            <v>Q4</v>
          </cell>
          <cell r="DL4">
            <v>2000</v>
          </cell>
          <cell r="DN4" t="str">
            <v>Q1A</v>
          </cell>
          <cell r="DO4" t="str">
            <v>Q2A</v>
          </cell>
          <cell r="DP4" t="str">
            <v>Q3A</v>
          </cell>
          <cell r="DQ4" t="str">
            <v>Q4A</v>
          </cell>
          <cell r="DR4">
            <v>2001</v>
          </cell>
          <cell r="DT4" t="str">
            <v>Q1A</v>
          </cell>
          <cell r="DU4" t="str">
            <v>Q2A</v>
          </cell>
          <cell r="DV4" t="str">
            <v>Q3A</v>
          </cell>
          <cell r="DW4" t="str">
            <v>Q4A</v>
          </cell>
          <cell r="DX4">
            <v>2002</v>
          </cell>
          <cell r="DZ4" t="str">
            <v>Q1A</v>
          </cell>
          <cell r="EA4" t="str">
            <v>Q2A</v>
          </cell>
          <cell r="EB4" t="str">
            <v>Q3A</v>
          </cell>
          <cell r="EC4" t="str">
            <v>Q4A</v>
          </cell>
          <cell r="ED4">
            <v>2003</v>
          </cell>
          <cell r="EF4" t="str">
            <v>Q1A</v>
          </cell>
          <cell r="EG4" t="str">
            <v>Q2A</v>
          </cell>
          <cell r="EH4" t="str">
            <v>Q3A</v>
          </cell>
          <cell r="EI4" t="str">
            <v>Q4A</v>
          </cell>
          <cell r="EJ4">
            <v>2004</v>
          </cell>
          <cell r="EL4" t="str">
            <v>Q1A</v>
          </cell>
          <cell r="EM4" t="str">
            <v>Q2A</v>
          </cell>
          <cell r="EN4" t="str">
            <v>Q3A</v>
          </cell>
          <cell r="EO4" t="str">
            <v>Q4A</v>
          </cell>
          <cell r="EP4">
            <v>2005</v>
          </cell>
          <cell r="ER4" t="str">
            <v>Q1A</v>
          </cell>
          <cell r="ES4" t="str">
            <v>Q2A</v>
          </cell>
          <cell r="ET4" t="str">
            <v>Q3A</v>
          </cell>
          <cell r="EU4" t="str">
            <v>Q4A</v>
          </cell>
          <cell r="EV4">
            <v>2006</v>
          </cell>
          <cell r="EX4">
            <v>1</v>
          </cell>
          <cell r="EY4">
            <v>2</v>
          </cell>
          <cell r="EZ4">
            <v>3</v>
          </cell>
          <cell r="FA4">
            <v>4</v>
          </cell>
          <cell r="FB4" t="str">
            <v>Year</v>
          </cell>
          <cell r="FD4">
            <v>1</v>
          </cell>
          <cell r="FE4">
            <v>2</v>
          </cell>
          <cell r="FF4">
            <v>3</v>
          </cell>
          <cell r="FG4">
            <v>4</v>
          </cell>
          <cell r="FH4" t="str">
            <v>Year</v>
          </cell>
          <cell r="FJ4">
            <v>1</v>
          </cell>
          <cell r="FK4">
            <v>2</v>
          </cell>
          <cell r="FL4">
            <v>3</v>
          </cell>
          <cell r="FM4">
            <v>4</v>
          </cell>
          <cell r="FN4" t="str">
            <v>Year</v>
          </cell>
          <cell r="FP4">
            <v>1</v>
          </cell>
          <cell r="FQ4">
            <v>2</v>
          </cell>
          <cell r="FR4">
            <v>3</v>
          </cell>
          <cell r="FS4">
            <v>4</v>
          </cell>
          <cell r="FT4" t="str">
            <v>Year</v>
          </cell>
          <cell r="FV4">
            <v>1</v>
          </cell>
          <cell r="FW4">
            <v>2</v>
          </cell>
          <cell r="FX4">
            <v>3</v>
          </cell>
          <cell r="FY4">
            <v>4</v>
          </cell>
          <cell r="FZ4" t="str">
            <v>Year</v>
          </cell>
          <cell r="GB4">
            <v>1</v>
          </cell>
          <cell r="GC4">
            <v>2</v>
          </cell>
          <cell r="GD4">
            <v>3</v>
          </cell>
          <cell r="GE4">
            <v>4</v>
          </cell>
          <cell r="GF4" t="str">
            <v>Year</v>
          </cell>
        </row>
        <row r="5">
          <cell r="A5" t="str">
            <v>R=Restated  O=Originally Reported</v>
          </cell>
          <cell r="N5" t="str">
            <v>R-1999</v>
          </cell>
          <cell r="O5" t="str">
            <v>R-2000</v>
          </cell>
          <cell r="P5" t="str">
            <v>R-2001</v>
          </cell>
          <cell r="Q5" t="str">
            <v>R-2001</v>
          </cell>
          <cell r="R5" t="str">
            <v>R-2001</v>
          </cell>
          <cell r="S5" t="str">
            <v>R-2001</v>
          </cell>
          <cell r="T5" t="str">
            <v>R-2005</v>
          </cell>
          <cell r="U5" t="str">
            <v>R-2005</v>
          </cell>
          <cell r="V5" t="str">
            <v>R-2005</v>
          </cell>
          <cell r="W5" t="str">
            <v>R-2005</v>
          </cell>
          <cell r="X5" t="str">
            <v>O-2005</v>
          </cell>
          <cell r="Y5" t="str">
            <v>O-Q406</v>
          </cell>
          <cell r="Z5" t="str">
            <v>O-Q407</v>
          </cell>
          <cell r="DH5" t="str">
            <v>R-2001</v>
          </cell>
          <cell r="DI5" t="str">
            <v>R-2001</v>
          </cell>
          <cell r="DJ5" t="str">
            <v>R-2001</v>
          </cell>
          <cell r="DK5" t="str">
            <v>R-Q401</v>
          </cell>
          <cell r="DL5" t="str">
            <v>R-2001</v>
          </cell>
          <cell r="DN5" t="str">
            <v>R-Q102</v>
          </cell>
          <cell r="DO5" t="str">
            <v>R-Q202</v>
          </cell>
          <cell r="DP5" t="str">
            <v>R-Q302</v>
          </cell>
          <cell r="DQ5" t="str">
            <v>O-Q402</v>
          </cell>
          <cell r="DR5" t="str">
            <v>R-2005</v>
          </cell>
          <cell r="DT5" t="str">
            <v>O-Q102</v>
          </cell>
          <cell r="DU5" t="str">
            <v>O-Q202</v>
          </cell>
          <cell r="DV5" t="str">
            <v>O-Q302</v>
          </cell>
          <cell r="DW5" t="str">
            <v>O-Q402</v>
          </cell>
          <cell r="DX5" t="str">
            <v>R-2005</v>
          </cell>
          <cell r="DZ5" t="str">
            <v>O-Q103</v>
          </cell>
          <cell r="EA5" t="str">
            <v>O-Q203</v>
          </cell>
          <cell r="EB5" t="str">
            <v>O-Q303</v>
          </cell>
          <cell r="EC5" t="str">
            <v>O-Q403</v>
          </cell>
          <cell r="ED5" t="str">
            <v>R-2005</v>
          </cell>
          <cell r="EF5" t="str">
            <v>R-Q105</v>
          </cell>
          <cell r="EG5" t="str">
            <v>R-Q205</v>
          </cell>
          <cell r="EH5" t="str">
            <v>R-Q305</v>
          </cell>
          <cell r="EI5" t="str">
            <v>R-Q405</v>
          </cell>
          <cell r="EJ5" t="str">
            <v>R-2005</v>
          </cell>
          <cell r="EL5" t="str">
            <v>O-Q105</v>
          </cell>
          <cell r="EM5" t="str">
            <v>O-Q205</v>
          </cell>
          <cell r="EN5" t="str">
            <v>R-2005</v>
          </cell>
          <cell r="EO5" t="str">
            <v>O-Q405</v>
          </cell>
          <cell r="EP5" t="str">
            <v>O-2005</v>
          </cell>
          <cell r="ER5" t="str">
            <v>O-Q106</v>
          </cell>
          <cell r="ES5" t="str">
            <v>O-Q206</v>
          </cell>
          <cell r="ET5" t="str">
            <v>O-Q306</v>
          </cell>
          <cell r="EU5" t="str">
            <v>O-Q406</v>
          </cell>
          <cell r="EV5" t="str">
            <v>O-Q406</v>
          </cell>
          <cell r="FB5" t="str">
            <v>O-Q407</v>
          </cell>
          <cell r="GE5" t="str">
            <v>53rd Week</v>
          </cell>
        </row>
        <row r="7">
          <cell r="A7" t="str">
            <v>Retail Revenues</v>
          </cell>
          <cell r="C7">
            <v>7577.5860000000002</v>
          </cell>
          <cell r="D7">
            <v>7141.9830000000002</v>
          </cell>
          <cell r="E7">
            <v>6932.3230000000003</v>
          </cell>
          <cell r="F7">
            <v>6932.3230000000003</v>
          </cell>
          <cell r="G7">
            <v>7079.9410000000007</v>
          </cell>
          <cell r="H7">
            <v>7229.4059999999999</v>
          </cell>
          <cell r="I7">
            <v>7707.476999999999</v>
          </cell>
          <cell r="J7">
            <v>3.5963567590107104E-2</v>
          </cell>
          <cell r="K7">
            <v>13701.5</v>
          </cell>
          <cell r="L7">
            <v>13998.034</v>
          </cell>
          <cell r="N7">
            <v>14614</v>
          </cell>
          <cell r="O7">
            <v>14833</v>
          </cell>
          <cell r="P7">
            <v>15220</v>
          </cell>
          <cell r="Q7">
            <v>15365</v>
          </cell>
          <cell r="R7">
            <v>16029</v>
          </cell>
          <cell r="S7">
            <v>16638</v>
          </cell>
          <cell r="T7">
            <v>15785</v>
          </cell>
          <cell r="U7">
            <v>15571</v>
          </cell>
          <cell r="V7">
            <v>15412</v>
          </cell>
          <cell r="W7">
            <v>15776</v>
          </cell>
          <cell r="X7">
            <v>22390</v>
          </cell>
          <cell r="Y7">
            <v>26970</v>
          </cell>
          <cell r="Z7">
            <v>26313</v>
          </cell>
          <cell r="AA7">
            <v>24892</v>
          </cell>
          <cell r="AB7">
            <v>23895</v>
          </cell>
          <cell r="AC7">
            <v>25003</v>
          </cell>
          <cell r="AD7">
            <v>26405</v>
          </cell>
          <cell r="AE7">
            <v>27697.820605365057</v>
          </cell>
          <cell r="AF7">
            <v>28358.892641397051</v>
          </cell>
          <cell r="AG7">
            <v>28905.408744504351</v>
          </cell>
          <cell r="AH7">
            <v>29204.897015558319</v>
          </cell>
          <cell r="AI7">
            <v>29496.945985713905</v>
          </cell>
          <cell r="AJ7">
            <v>29791.915445571045</v>
          </cell>
          <cell r="AK7">
            <v>30089.834600026756</v>
          </cell>
          <cell r="AL7">
            <v>30390.732946027023</v>
          </cell>
          <cell r="AN7" t="str">
            <v>Retail Revenues</v>
          </cell>
          <cell r="AO7">
            <v>1590.46</v>
          </cell>
          <cell r="AP7">
            <v>1525.692</v>
          </cell>
          <cell r="AQ7">
            <v>1767.327</v>
          </cell>
          <cell r="AR7">
            <v>2258.5039999999999</v>
          </cell>
          <cell r="AS7">
            <v>7141.9830000000002</v>
          </cell>
          <cell r="AU7">
            <v>1593.4190000000001</v>
          </cell>
          <cell r="AV7">
            <v>1495.7429999999999</v>
          </cell>
          <cell r="AW7">
            <v>1708.9010000000001</v>
          </cell>
          <cell r="AX7">
            <v>2134.2600000000002</v>
          </cell>
          <cell r="AY7">
            <v>6932.3230000000003</v>
          </cell>
          <cell r="BA7">
            <v>1571.7260000000001</v>
          </cell>
          <cell r="BB7">
            <v>1457.212</v>
          </cell>
          <cell r="BC7">
            <v>1788.9649999999999</v>
          </cell>
          <cell r="BD7">
            <v>2262.038</v>
          </cell>
          <cell r="BE7">
            <v>7079.9410000000007</v>
          </cell>
          <cell r="BG7">
            <v>1590.259</v>
          </cell>
          <cell r="BH7">
            <v>1502.288</v>
          </cell>
          <cell r="BI7">
            <v>1789.3150000000001</v>
          </cell>
          <cell r="BJ7">
            <v>2347.5439999999999</v>
          </cell>
          <cell r="BK7">
            <v>7229.4059999999999</v>
          </cell>
          <cell r="BM7">
            <v>1653.6310000000001</v>
          </cell>
          <cell r="BN7">
            <v>1596.1</v>
          </cell>
          <cell r="BO7">
            <v>1926.8109999999999</v>
          </cell>
          <cell r="BP7">
            <v>2530.9349999999999</v>
          </cell>
          <cell r="BQ7">
            <v>7707.476999999999</v>
          </cell>
          <cell r="BS7">
            <v>2938</v>
          </cell>
          <cell r="BT7">
            <v>2930.8</v>
          </cell>
          <cell r="BU7">
            <v>3352.6</v>
          </cell>
          <cell r="BV7">
            <v>4480.1000000000004</v>
          </cell>
          <cell r="BW7">
            <v>13701.5</v>
          </cell>
          <cell r="BY7">
            <v>2988.0059999999999</v>
          </cell>
          <cell r="BZ7">
            <v>3047</v>
          </cell>
          <cell r="CA7">
            <v>3333.5279999999998</v>
          </cell>
          <cell r="CB7">
            <v>414.8</v>
          </cell>
          <cell r="CC7">
            <v>3748.3690000000001</v>
          </cell>
          <cell r="CD7">
            <v>4629.5</v>
          </cell>
          <cell r="CE7">
            <v>5264.9</v>
          </cell>
          <cell r="CF7">
            <v>13998.034</v>
          </cell>
          <cell r="CG7">
            <v>14633.433999999999</v>
          </cell>
          <cell r="CH7">
            <v>15048.233999999999</v>
          </cell>
          <cell r="CJ7">
            <v>3300.7</v>
          </cell>
          <cell r="CK7">
            <v>3284.2280000000001</v>
          </cell>
          <cell r="CL7">
            <v>3609.1480000000001</v>
          </cell>
          <cell r="CM7">
            <v>5034.9579999999996</v>
          </cell>
          <cell r="CN7">
            <v>15229.034</v>
          </cell>
          <cell r="CP7">
            <v>3409.0909999999999</v>
          </cell>
          <cell r="CQ7">
            <v>3452.8290000000002</v>
          </cell>
          <cell r="CR7">
            <v>3746.2759999999998</v>
          </cell>
          <cell r="CS7">
            <v>5060.116</v>
          </cell>
          <cell r="CT7">
            <v>15668.312</v>
          </cell>
          <cell r="CV7">
            <v>3357</v>
          </cell>
          <cell r="CW7">
            <v>3426</v>
          </cell>
          <cell r="CX7">
            <v>3548</v>
          </cell>
          <cell r="CY7">
            <v>5034</v>
          </cell>
          <cell r="CZ7">
            <v>15365</v>
          </cell>
          <cell r="DB7">
            <v>3470</v>
          </cell>
          <cell r="DC7">
            <v>3609</v>
          </cell>
          <cell r="DD7">
            <v>3691</v>
          </cell>
          <cell r="DE7">
            <v>5259</v>
          </cell>
          <cell r="DF7">
            <v>16029</v>
          </cell>
          <cell r="DH7">
            <v>3573</v>
          </cell>
          <cell r="DI7">
            <v>3679</v>
          </cell>
          <cell r="DJ7">
            <v>3782</v>
          </cell>
          <cell r="DK7">
            <v>5604</v>
          </cell>
          <cell r="DL7">
            <v>16638</v>
          </cell>
          <cell r="DN7">
            <v>3556</v>
          </cell>
          <cell r="DO7">
            <v>3488</v>
          </cell>
          <cell r="DP7">
            <v>3475</v>
          </cell>
          <cell r="DQ7">
            <v>5132</v>
          </cell>
          <cell r="DR7">
            <v>15785</v>
          </cell>
          <cell r="DT7">
            <v>3453</v>
          </cell>
          <cell r="DU7">
            <v>3486</v>
          </cell>
          <cell r="DV7">
            <v>3479</v>
          </cell>
          <cell r="DW7">
            <v>5017</v>
          </cell>
          <cell r="DX7">
            <v>15571</v>
          </cell>
          <cell r="DZ7">
            <v>3291</v>
          </cell>
          <cell r="EA7">
            <v>3434</v>
          </cell>
          <cell r="EB7">
            <v>3486</v>
          </cell>
          <cell r="EC7">
            <v>5053</v>
          </cell>
          <cell r="ED7">
            <v>15412</v>
          </cell>
          <cell r="EF7">
            <v>3550</v>
          </cell>
          <cell r="EG7">
            <v>3581</v>
          </cell>
          <cell r="EH7">
            <v>3525</v>
          </cell>
          <cell r="EI7">
            <v>5120</v>
          </cell>
          <cell r="EJ7">
            <v>15776</v>
          </cell>
          <cell r="EL7">
            <v>3641</v>
          </cell>
          <cell r="EM7">
            <v>3623</v>
          </cell>
          <cell r="EN7">
            <v>5555</v>
          </cell>
          <cell r="EO7">
            <v>9571</v>
          </cell>
          <cell r="EP7">
            <v>22390</v>
          </cell>
          <cell r="ER7">
            <v>5930</v>
          </cell>
          <cell r="ES7">
            <v>5995</v>
          </cell>
          <cell r="ET7">
            <v>5886</v>
          </cell>
          <cell r="EU7">
            <v>9159</v>
          </cell>
          <cell r="EV7">
            <v>26970</v>
          </cell>
          <cell r="EX7">
            <v>5921</v>
          </cell>
          <cell r="EY7">
            <v>5892</v>
          </cell>
          <cell r="EZ7">
            <v>5906</v>
          </cell>
          <cell r="FA7">
            <v>8594</v>
          </cell>
          <cell r="FB7">
            <v>26313</v>
          </cell>
          <cell r="FD7">
            <v>5747</v>
          </cell>
          <cell r="FE7">
            <v>5718</v>
          </cell>
          <cell r="FF7">
            <v>5493</v>
          </cell>
          <cell r="FG7">
            <v>7934</v>
          </cell>
          <cell r="FH7">
            <v>24892</v>
          </cell>
          <cell r="FJ7">
            <v>5288</v>
          </cell>
          <cell r="FK7">
            <v>5285</v>
          </cell>
          <cell r="FL7">
            <v>5385</v>
          </cell>
          <cell r="FM7">
            <v>7937</v>
          </cell>
          <cell r="FN7">
            <v>23895</v>
          </cell>
          <cell r="FP7">
            <v>5574</v>
          </cell>
          <cell r="FQ7">
            <v>5537</v>
          </cell>
          <cell r="FR7">
            <v>5623</v>
          </cell>
          <cell r="FS7">
            <v>8269</v>
          </cell>
          <cell r="FT7">
            <v>25003</v>
          </cell>
          <cell r="FV7">
            <v>5889</v>
          </cell>
          <cell r="FW7">
            <v>5939</v>
          </cell>
          <cell r="FX7">
            <v>5853</v>
          </cell>
          <cell r="FY7">
            <v>8724</v>
          </cell>
          <cell r="FZ7">
            <v>26405</v>
          </cell>
          <cell r="GB7">
            <v>6143</v>
          </cell>
          <cell r="GC7">
            <v>6118</v>
          </cell>
          <cell r="GD7">
            <v>6069.6866469352608</v>
          </cell>
          <cell r="GE7">
            <v>9367.1339584297966</v>
          </cell>
          <cell r="GF7">
            <v>27697.820605365057</v>
          </cell>
        </row>
        <row r="8">
          <cell r="A8" t="str">
            <v>Direct-to-consumer</v>
          </cell>
          <cell r="AN8" t="str">
            <v>Direct-to-consumer</v>
          </cell>
          <cell r="CP8" t="str">
            <v>--</v>
          </cell>
          <cell r="CQ8" t="str">
            <v>--</v>
          </cell>
          <cell r="CR8" t="str">
            <v>--</v>
          </cell>
          <cell r="CS8" t="str">
            <v>--</v>
          </cell>
          <cell r="CT8" t="str">
            <v>--</v>
          </cell>
          <cell r="DB8">
            <v>130</v>
          </cell>
          <cell r="DC8">
            <v>397</v>
          </cell>
          <cell r="DD8">
            <v>446</v>
          </cell>
          <cell r="DE8">
            <v>714</v>
          </cell>
          <cell r="DF8">
            <v>1687</v>
          </cell>
        </row>
        <row r="9">
          <cell r="A9" t="str">
            <v>Total Revenues</v>
          </cell>
          <cell r="K9">
            <v>13701.5</v>
          </cell>
          <cell r="L9">
            <v>13998.034</v>
          </cell>
          <cell r="N9">
            <v>14614</v>
          </cell>
          <cell r="O9">
            <v>14833</v>
          </cell>
          <cell r="P9">
            <v>15220</v>
          </cell>
          <cell r="Q9">
            <v>15365</v>
          </cell>
          <cell r="R9">
            <v>16029</v>
          </cell>
          <cell r="S9">
            <v>16638</v>
          </cell>
          <cell r="T9">
            <v>15785</v>
          </cell>
          <cell r="U9">
            <v>15571</v>
          </cell>
          <cell r="V9">
            <v>15412</v>
          </cell>
          <cell r="W9">
            <v>15776</v>
          </cell>
          <cell r="X9">
            <v>22390</v>
          </cell>
          <cell r="Y9">
            <v>26970</v>
          </cell>
          <cell r="Z9">
            <v>26313</v>
          </cell>
          <cell r="AA9">
            <v>24892</v>
          </cell>
          <cell r="AB9">
            <v>23895</v>
          </cell>
          <cell r="AC9">
            <v>25003</v>
          </cell>
          <cell r="AD9">
            <v>26405</v>
          </cell>
          <cell r="AE9">
            <v>27697.820605365057</v>
          </cell>
          <cell r="AF9">
            <v>28358.892641397051</v>
          </cell>
          <cell r="AG9">
            <v>28905.408744504351</v>
          </cell>
          <cell r="AH9">
            <v>29204.897015558319</v>
          </cell>
          <cell r="AI9">
            <v>29496.945985713905</v>
          </cell>
          <cell r="AJ9">
            <v>29791.915445571045</v>
          </cell>
          <cell r="AK9">
            <v>30089.834600026756</v>
          </cell>
          <cell r="AL9">
            <v>30390.732946027023</v>
          </cell>
          <cell r="AN9" t="str">
            <v>Total Revenues</v>
          </cell>
          <cell r="AO9">
            <v>1590.46</v>
          </cell>
          <cell r="AP9">
            <v>1525.692</v>
          </cell>
          <cell r="AQ9">
            <v>1767.327</v>
          </cell>
          <cell r="AR9">
            <v>2258.5039999999999</v>
          </cell>
          <cell r="AS9">
            <v>7141.9830000000002</v>
          </cell>
          <cell r="AU9">
            <v>1593.4190000000001</v>
          </cell>
          <cell r="AV9">
            <v>1495.7429999999999</v>
          </cell>
          <cell r="AW9">
            <v>1708.9010000000001</v>
          </cell>
          <cell r="AX9">
            <v>2134.2600000000002</v>
          </cell>
          <cell r="AY9">
            <v>6932.3230000000003</v>
          </cell>
          <cell r="BA9">
            <v>1571.7260000000001</v>
          </cell>
          <cell r="BB9">
            <v>1457.212</v>
          </cell>
          <cell r="BC9">
            <v>1788.9649999999999</v>
          </cell>
          <cell r="BD9">
            <v>2262.038</v>
          </cell>
          <cell r="BE9">
            <v>7079.9410000000007</v>
          </cell>
          <cell r="BG9">
            <v>1590.259</v>
          </cell>
          <cell r="BH9">
            <v>1502.288</v>
          </cell>
          <cell r="BI9">
            <v>1789.3150000000001</v>
          </cell>
          <cell r="BJ9">
            <v>2347.5439999999999</v>
          </cell>
          <cell r="BK9">
            <v>7229.4059999999999</v>
          </cell>
          <cell r="BM9">
            <v>1653.6310000000001</v>
          </cell>
          <cell r="BN9">
            <v>1596.1</v>
          </cell>
          <cell r="BO9">
            <v>1926.8109999999999</v>
          </cell>
          <cell r="BP9">
            <v>2530.9349999999999</v>
          </cell>
          <cell r="BQ9">
            <v>7707.476999999999</v>
          </cell>
          <cell r="BS9">
            <v>2938</v>
          </cell>
          <cell r="BT9">
            <v>2930.8</v>
          </cell>
          <cell r="BU9">
            <v>3352.6</v>
          </cell>
          <cell r="BV9">
            <v>4480.1000000000004</v>
          </cell>
          <cell r="BW9">
            <v>13701.5</v>
          </cell>
          <cell r="BY9">
            <v>2988.0059999999999</v>
          </cell>
          <cell r="BZ9">
            <v>3047</v>
          </cell>
          <cell r="CA9">
            <v>3333.5279999999998</v>
          </cell>
          <cell r="CB9">
            <v>414.8</v>
          </cell>
          <cell r="CC9">
            <v>3748.3690000000001</v>
          </cell>
          <cell r="CD9">
            <v>4629.5</v>
          </cell>
          <cell r="CE9">
            <v>5264.9</v>
          </cell>
          <cell r="CF9">
            <v>13998.034</v>
          </cell>
          <cell r="CG9">
            <v>14633.433999999999</v>
          </cell>
          <cell r="CH9">
            <v>15048.233999999999</v>
          </cell>
          <cell r="CJ9">
            <v>3300.7</v>
          </cell>
          <cell r="CK9">
            <v>3284.2280000000001</v>
          </cell>
          <cell r="CL9">
            <v>3609.1480000000001</v>
          </cell>
          <cell r="CM9">
            <v>5034.9579999999996</v>
          </cell>
          <cell r="CN9">
            <v>15229.034</v>
          </cell>
          <cell r="CP9">
            <v>3409.0909999999999</v>
          </cell>
          <cell r="CQ9">
            <v>3452.8290000000002</v>
          </cell>
          <cell r="CR9">
            <v>3746.2759999999998</v>
          </cell>
          <cell r="CS9">
            <v>5060.116</v>
          </cell>
          <cell r="CT9">
            <v>15668.312</v>
          </cell>
          <cell r="CV9">
            <v>3357</v>
          </cell>
          <cell r="CW9">
            <v>3426</v>
          </cell>
          <cell r="CX9">
            <v>3548</v>
          </cell>
          <cell r="CY9">
            <v>5034</v>
          </cell>
          <cell r="CZ9">
            <v>15365</v>
          </cell>
          <cell r="DB9">
            <v>3600</v>
          </cell>
          <cell r="DC9">
            <v>4006</v>
          </cell>
          <cell r="DD9">
            <v>4137</v>
          </cell>
          <cell r="DE9">
            <v>5973</v>
          </cell>
          <cell r="DF9">
            <v>17716</v>
          </cell>
          <cell r="DH9">
            <v>3573</v>
          </cell>
          <cell r="DI9">
            <v>3679</v>
          </cell>
          <cell r="DJ9">
            <v>3782</v>
          </cell>
          <cell r="DK9">
            <v>5604</v>
          </cell>
          <cell r="DL9">
            <v>16638</v>
          </cell>
          <cell r="DN9">
            <v>3556</v>
          </cell>
          <cell r="DO9">
            <v>3488</v>
          </cell>
          <cell r="DP9">
            <v>3475</v>
          </cell>
          <cell r="DQ9">
            <v>5132</v>
          </cell>
          <cell r="DR9">
            <v>15785</v>
          </cell>
          <cell r="DT9">
            <v>3453</v>
          </cell>
          <cell r="DU9">
            <v>3486</v>
          </cell>
          <cell r="DV9">
            <v>3479</v>
          </cell>
          <cell r="DW9">
            <v>5017</v>
          </cell>
          <cell r="DX9">
            <v>15571</v>
          </cell>
          <cell r="DZ9">
            <v>3291</v>
          </cell>
          <cell r="EA9">
            <v>3434</v>
          </cell>
          <cell r="EB9">
            <v>3486</v>
          </cell>
          <cell r="EC9">
            <v>5053</v>
          </cell>
          <cell r="ED9">
            <v>15412</v>
          </cell>
          <cell r="EF9">
            <v>3550</v>
          </cell>
          <cell r="EG9">
            <v>3581</v>
          </cell>
          <cell r="EH9">
            <v>3525</v>
          </cell>
          <cell r="EI9">
            <v>5120</v>
          </cell>
          <cell r="EJ9">
            <v>15776</v>
          </cell>
          <cell r="EK9" t="str">
            <v>Total Revenues</v>
          </cell>
          <cell r="EL9">
            <v>3641</v>
          </cell>
          <cell r="EM9">
            <v>3623</v>
          </cell>
          <cell r="EN9">
            <v>5555</v>
          </cell>
          <cell r="EO9">
            <v>9571</v>
          </cell>
          <cell r="EP9">
            <v>22390</v>
          </cell>
          <cell r="ER9">
            <v>5930</v>
          </cell>
          <cell r="ES9">
            <v>5995</v>
          </cell>
          <cell r="ET9">
            <v>5886</v>
          </cell>
          <cell r="EU9">
            <v>9159</v>
          </cell>
          <cell r="EV9">
            <v>26970</v>
          </cell>
          <cell r="EX9">
            <v>5921</v>
          </cell>
          <cell r="EY9">
            <v>5892</v>
          </cell>
          <cell r="EZ9">
            <v>5906</v>
          </cell>
          <cell r="FA9">
            <v>8594</v>
          </cell>
          <cell r="FB9">
            <v>26313</v>
          </cell>
          <cell r="FD9">
            <v>5747</v>
          </cell>
          <cell r="FE9">
            <v>5718</v>
          </cell>
          <cell r="FF9">
            <v>5493</v>
          </cell>
          <cell r="FG9">
            <v>7934</v>
          </cell>
          <cell r="FH9">
            <v>24892</v>
          </cell>
          <cell r="FJ9">
            <v>5288</v>
          </cell>
          <cell r="FK9">
            <v>5285</v>
          </cell>
          <cell r="FL9">
            <v>5385</v>
          </cell>
          <cell r="FM9">
            <v>7937</v>
          </cell>
          <cell r="FN9">
            <v>23895</v>
          </cell>
          <cell r="FP9">
            <v>5574</v>
          </cell>
          <cell r="FQ9">
            <v>5537</v>
          </cell>
          <cell r="FR9">
            <v>5623</v>
          </cell>
          <cell r="FS9">
            <v>8269</v>
          </cell>
          <cell r="FT9">
            <v>25003</v>
          </cell>
          <cell r="FV9">
            <v>5889</v>
          </cell>
          <cell r="FW9">
            <v>5939</v>
          </cell>
          <cell r="FX9">
            <v>5853</v>
          </cell>
          <cell r="FY9">
            <v>8724</v>
          </cell>
          <cell r="FZ9">
            <v>26405</v>
          </cell>
          <cell r="GB9">
            <v>6143</v>
          </cell>
          <cell r="GC9">
            <v>6118</v>
          </cell>
          <cell r="GD9">
            <v>6069.6866469352608</v>
          </cell>
          <cell r="GE9">
            <v>9367.1339584297966</v>
          </cell>
          <cell r="GF9">
            <v>27697.820605365057</v>
          </cell>
          <cell r="GS9" t="str">
            <v>mstag:revenueNet</v>
          </cell>
          <cell r="GT9">
            <v>6</v>
          </cell>
          <cell r="GU9" t="str">
            <v>ISO4217:USD</v>
          </cell>
          <cell r="GV9" t="b">
            <v>0</v>
          </cell>
          <cell r="GW9" t="b">
            <v>0</v>
          </cell>
        </row>
        <row r="10">
          <cell r="A10" t="str">
            <v>Y/Y Growth</v>
          </cell>
          <cell r="C10" t="str">
            <v>--</v>
          </cell>
          <cell r="D10">
            <v>-5.7485721706094783E-2</v>
          </cell>
          <cell r="E10" t="str">
            <v>--</v>
          </cell>
          <cell r="F10">
            <v>-2.935599258637267E-2</v>
          </cell>
          <cell r="G10">
            <v>2.1294160701975429E-2</v>
          </cell>
          <cell r="H10">
            <v>2.1111051631644839E-2</v>
          </cell>
          <cell r="I10">
            <v>6.6128669492348191E-2</v>
          </cell>
          <cell r="K10" t="str">
            <v xml:space="preserve">--  </v>
          </cell>
          <cell r="L10">
            <v>2.164244790716352E-2</v>
          </cell>
          <cell r="N10" t="str">
            <v>NA</v>
          </cell>
          <cell r="O10">
            <v>1.4985630217599466E-2</v>
          </cell>
          <cell r="P10">
            <v>2.6090473943234604E-2</v>
          </cell>
          <cell r="Q10">
            <v>9.5269382391589552E-3</v>
          </cell>
          <cell r="R10">
            <v>4.3215099251545652E-2</v>
          </cell>
          <cell r="S10">
            <v>3.7993636533782515E-2</v>
          </cell>
          <cell r="T10">
            <v>-5.126818127178745E-2</v>
          </cell>
          <cell r="U10">
            <v>-1.3557174532784266E-2</v>
          </cell>
          <cell r="V10">
            <v>-1.0211290218996805E-2</v>
          </cell>
          <cell r="W10">
            <v>2.361796003114458E-2</v>
          </cell>
          <cell r="X10">
            <v>0.41924442190669375</v>
          </cell>
          <cell r="Y10">
            <v>0.20455560518088434</v>
          </cell>
          <cell r="Z10">
            <v>-2.4360400444938812E-2</v>
          </cell>
          <cell r="AA10">
            <v>-5.4003724394785846E-2</v>
          </cell>
          <cell r="AB10">
            <v>-4.0053029085650005E-2</v>
          </cell>
          <cell r="AC10">
            <v>4.6369533375183014E-2</v>
          </cell>
          <cell r="AD10">
            <v>5.60732712074552E-2</v>
          </cell>
          <cell r="AE10">
            <v>4.8961204520547419E-2</v>
          </cell>
          <cell r="AF10">
            <v>2.3867294306323394E-2</v>
          </cell>
          <cell r="AG10">
            <v>1.9271419022529823E-2</v>
          </cell>
          <cell r="AH10">
            <v>1.0360976857347159E-2</v>
          </cell>
          <cell r="AI10">
            <v>1.0000000000000009E-2</v>
          </cell>
          <cell r="AJ10">
            <v>1.0000000000000009E-2</v>
          </cell>
          <cell r="AK10">
            <v>1.0000000000000009E-2</v>
          </cell>
          <cell r="AL10">
            <v>1.0000000000000009E-2</v>
          </cell>
          <cell r="AN10" t="str">
            <v>Y/Y Growth</v>
          </cell>
          <cell r="AS10">
            <v>-5.7485721706094783E-2</v>
          </cell>
          <cell r="AU10">
            <v>1.86046804069262E-3</v>
          </cell>
          <cell r="AV10">
            <v>-1.9629781109162359E-2</v>
          </cell>
          <cell r="AW10">
            <v>-3.3058964187159479E-2</v>
          </cell>
          <cell r="AX10">
            <v>-5.5011636021012E-2</v>
          </cell>
          <cell r="AY10">
            <v>-2.935599258637267E-2</v>
          </cell>
          <cell r="BA10">
            <v>-1.3614121583839567E-2</v>
          </cell>
          <cell r="BB10">
            <v>-2.5760441466214368E-2</v>
          </cell>
          <cell r="BC10">
            <v>4.6851163408529795E-2</v>
          </cell>
          <cell r="BD10">
            <v>5.9869931498505169E-2</v>
          </cell>
          <cell r="BE10">
            <v>2.1294160701975429E-2</v>
          </cell>
          <cell r="BG10">
            <v>1.1791495464221979E-2</v>
          </cell>
          <cell r="BH10">
            <v>3.0933042000752087E-2</v>
          </cell>
          <cell r="BI10">
            <v>1.9564384993575601E-4</v>
          </cell>
          <cell r="BJ10">
            <v>3.7800425987538633E-2</v>
          </cell>
          <cell r="BK10">
            <v>2.1111051631644839E-2</v>
          </cell>
          <cell r="BM10">
            <v>3.9850112465956933E-2</v>
          </cell>
          <cell r="BN10">
            <v>6.2446082242552547E-2</v>
          </cell>
          <cell r="BO10">
            <v>7.6842814149548744E-2</v>
          </cell>
          <cell r="BP10">
            <v>7.8120367498969223E-2</v>
          </cell>
          <cell r="BQ10">
            <v>6.6128669492348191E-2</v>
          </cell>
          <cell r="BS10" t="str">
            <v xml:space="preserve"> --  </v>
          </cell>
          <cell r="BT10" t="str">
            <v xml:space="preserve"> --  </v>
          </cell>
          <cell r="BU10" t="str">
            <v xml:space="preserve"> --  </v>
          </cell>
          <cell r="BV10" t="str">
            <v xml:space="preserve"> --  </v>
          </cell>
          <cell r="BW10" t="str">
            <v xml:space="preserve"> --  </v>
          </cell>
          <cell r="BY10">
            <v>1.7020422055820328E-2</v>
          </cell>
          <cell r="BZ10">
            <v>3.9647877712569946E-2</v>
          </cell>
          <cell r="CA10">
            <v>-5.6887192030066203E-3</v>
          </cell>
          <cell r="CC10">
            <v>0.11804838036151044</v>
          </cell>
          <cell r="CD10">
            <v>3.3347469922546225E-2</v>
          </cell>
          <cell r="CE10">
            <v>0.1751746612798819</v>
          </cell>
          <cell r="CF10">
            <v>2.164244790716352E-2</v>
          </cell>
          <cell r="CG10">
            <v>6.8016932452651169E-2</v>
          </cell>
          <cell r="CH10">
            <v>9.8290990037587012E-2</v>
          </cell>
          <cell r="CJ10">
            <v>0.10464972292558983</v>
          </cell>
          <cell r="CK10">
            <v>7.7856252051197838E-2</v>
          </cell>
          <cell r="CL10">
            <v>-3.7141754186954423E-2</v>
          </cell>
          <cell r="CM10">
            <v>-4.3674523732644466E-2</v>
          </cell>
          <cell r="CN10">
            <v>1.2014698867654605E-2</v>
          </cell>
          <cell r="CP10">
            <v>3.2838791771442555E-2</v>
          </cell>
          <cell r="CQ10">
            <v>5.1336569811840205E-2</v>
          </cell>
          <cell r="CR10">
            <v>3.799456270565793E-2</v>
          </cell>
          <cell r="CS10">
            <v>4.9966653147852647E-3</v>
          </cell>
          <cell r="CT10">
            <v>2.8844771112862544E-2</v>
          </cell>
          <cell r="CV10">
            <v>-1.528002625919922E-2</v>
          </cell>
          <cell r="CW10">
            <v>-7.7701502159533975E-3</v>
          </cell>
          <cell r="CX10">
            <v>-5.2926159204500611E-2</v>
          </cell>
          <cell r="CY10">
            <v>-5.1611465033607473E-3</v>
          </cell>
          <cell r="CZ10">
            <v>-1.9358307391376894E-2</v>
          </cell>
          <cell r="DB10">
            <v>3.3661006851355424E-2</v>
          </cell>
          <cell r="DC10">
            <v>5.3415061295972066E-2</v>
          </cell>
          <cell r="DD10">
            <v>4.0304396843291901E-2</v>
          </cell>
          <cell r="DE10">
            <v>4.4696066746126251E-2</v>
          </cell>
          <cell r="DF10">
            <v>4.3215099251545652E-2</v>
          </cell>
          <cell r="DH10">
            <v>2.9682997118155585E-2</v>
          </cell>
          <cell r="DI10">
            <v>1.9395954558049322E-2</v>
          </cell>
          <cell r="DJ10">
            <v>2.4654565158493735E-2</v>
          </cell>
          <cell r="DK10">
            <v>6.560182544209936E-2</v>
          </cell>
          <cell r="DL10">
            <v>3.7993636533782515E-2</v>
          </cell>
          <cell r="DN10">
            <v>-4.7579065211307281E-3</v>
          </cell>
          <cell r="DO10">
            <v>-5.191628159826045E-2</v>
          </cell>
          <cell r="DP10">
            <v>-8.1173982020095181E-2</v>
          </cell>
          <cell r="DQ10">
            <v>-8.4225553176302648E-2</v>
          </cell>
          <cell r="DR10">
            <v>-5.126818127178745E-2</v>
          </cell>
          <cell r="DT10">
            <v>-2.8965129358830111E-2</v>
          </cell>
          <cell r="DU10">
            <v>-5.7339449541282672E-4</v>
          </cell>
          <cell r="DV10">
            <v>1.1510791366906581E-3</v>
          </cell>
          <cell r="DW10">
            <v>-2.2408417770849565E-2</v>
          </cell>
          <cell r="DX10">
            <v>-1.3557174532784266E-2</v>
          </cell>
          <cell r="DZ10">
            <v>-4.6915725456125101E-2</v>
          </cell>
          <cell r="EA10">
            <v>-1.4916810097532984E-2</v>
          </cell>
          <cell r="EB10">
            <v>2.012072434607548E-3</v>
          </cell>
          <cell r="EC10">
            <v>7.1756029499701057E-3</v>
          </cell>
          <cell r="ED10">
            <v>-1.0211290218996805E-2</v>
          </cell>
          <cell r="EF10">
            <v>7.8699483439683915E-2</v>
          </cell>
          <cell r="EG10">
            <v>4.2807221898660375E-2</v>
          </cell>
          <cell r="EH10">
            <v>1.1187607573149849E-2</v>
          </cell>
          <cell r="EI10">
            <v>1.3259449831783066E-2</v>
          </cell>
          <cell r="EJ10">
            <v>2.361796003114458E-2</v>
          </cell>
          <cell r="EK10" t="str">
            <v>Y/Y Growth</v>
          </cell>
          <cell r="EL10">
            <v>2.5633802816901419E-2</v>
          </cell>
          <cell r="EM10">
            <v>1.1728567439262871E-2</v>
          </cell>
          <cell r="EN10">
            <v>0.57588652482269498</v>
          </cell>
          <cell r="EO10">
            <v>0.86933593750000004</v>
          </cell>
          <cell r="EP10">
            <v>0.41924442190669375</v>
          </cell>
          <cell r="ER10">
            <v>0.62867344136226322</v>
          </cell>
          <cell r="ES10">
            <v>0.65470604471432514</v>
          </cell>
          <cell r="ET10">
            <v>5.9585958595859578E-2</v>
          </cell>
          <cell r="EU10">
            <v>-4.3046703583742518E-2</v>
          </cell>
          <cell r="EV10">
            <v>0.20455560518088434</v>
          </cell>
          <cell r="EX10">
            <v>-1.5177065767284503E-3</v>
          </cell>
          <cell r="EY10">
            <v>-1.7180984153461254E-2</v>
          </cell>
          <cell r="EZ10">
            <v>3.397893306150257E-3</v>
          </cell>
          <cell r="FA10">
            <v>-6.1687957200567745E-2</v>
          </cell>
          <cell r="FB10">
            <v>-2.4360400444938812E-2</v>
          </cell>
          <cell r="FD10">
            <v>-2.9386927883803371E-2</v>
          </cell>
          <cell r="FE10">
            <v>-2.9531568228105876E-2</v>
          </cell>
          <cell r="FF10">
            <v>-6.9928885878767333E-2</v>
          </cell>
          <cell r="FG10">
            <v>-7.6797765883174329E-2</v>
          </cell>
          <cell r="FH10">
            <v>-5.4003724394785846E-2</v>
          </cell>
          <cell r="FJ10">
            <v>-7.9867757090655966E-2</v>
          </cell>
          <cell r="FK10">
            <v>-7.5725778244141284E-2</v>
          </cell>
          <cell r="FL10">
            <v>-1.9661387220098359E-2</v>
          </cell>
          <cell r="FM10">
            <v>3.7811948575749987E-4</v>
          </cell>
          <cell r="FN10">
            <v>-4.0053029085650005E-2</v>
          </cell>
          <cell r="FP10">
            <v>5.4084720121028829E-2</v>
          </cell>
          <cell r="FQ10">
            <v>4.7682119205298079E-2</v>
          </cell>
          <cell r="FR10">
            <v>4.4196843082636939E-2</v>
          </cell>
          <cell r="FS10">
            <v>4.182940657679235E-2</v>
          </cell>
          <cell r="FT10">
            <v>4.6369533375183014E-2</v>
          </cell>
          <cell r="FV10">
            <v>5.6512378902045191E-2</v>
          </cell>
          <cell r="FW10">
            <v>7.2602492324363332E-2</v>
          </cell>
          <cell r="FX10">
            <v>4.0903432331495626E-2</v>
          </cell>
          <cell r="FY10">
            <v>5.5024791389527206E-2</v>
          </cell>
          <cell r="FZ10">
            <v>5.60732712074552E-2</v>
          </cell>
          <cell r="GB10">
            <v>4.313126167430803E-2</v>
          </cell>
          <cell r="GC10">
            <v>3.0139754167368249E-2</v>
          </cell>
          <cell r="GD10">
            <v>3.7021467099822347E-2</v>
          </cell>
          <cell r="GE10">
            <v>7.372007776590972E-2</v>
          </cell>
          <cell r="GF10">
            <v>4.8961204520547419E-2</v>
          </cell>
        </row>
        <row r="11">
          <cell r="A11" t="str">
            <v xml:space="preserve">  % Same-Store</v>
          </cell>
          <cell r="C11" t="str">
            <v>--</v>
          </cell>
          <cell r="D11">
            <v>-4.2999999999999997E-2</v>
          </cell>
          <cell r="E11" t="str">
            <v>--</v>
          </cell>
          <cell r="F11">
            <v>1.4E-2</v>
          </cell>
          <cell r="G11">
            <v>5.1999999999999998E-2</v>
          </cell>
          <cell r="H11">
            <v>1.9E-2</v>
          </cell>
          <cell r="I11">
            <v>3.1E-2</v>
          </cell>
          <cell r="K11">
            <v>3.0898675327518884E-2</v>
          </cell>
          <cell r="L11">
            <v>2.7118808112624956E-2</v>
          </cell>
          <cell r="N11">
            <v>2.7E-2</v>
          </cell>
          <cell r="O11">
            <v>3.1E-2</v>
          </cell>
          <cell r="P11">
            <v>2.7E-2</v>
          </cell>
          <cell r="Q11">
            <v>2.1999999999999999E-2</v>
          </cell>
          <cell r="R11">
            <v>4.4999999999999998E-2</v>
          </cell>
          <cell r="S11">
            <v>0.02</v>
          </cell>
          <cell r="T11">
            <v>-5.2999999999999999E-2</v>
          </cell>
          <cell r="U11">
            <v>-0.03</v>
          </cell>
          <cell r="V11">
            <v>-9.0000000000000011E-3</v>
          </cell>
          <cell r="W11">
            <v>2.5999999999999999E-2</v>
          </cell>
          <cell r="X11">
            <v>1.2999999999999999E-2</v>
          </cell>
          <cell r="Y11">
            <v>4.3999999999999997E-2</v>
          </cell>
          <cell r="Z11">
            <v>-1.2999999999999999E-2</v>
          </cell>
          <cell r="AA11">
            <v>-4.4999999999999998E-2</v>
          </cell>
          <cell r="AB11">
            <v>-5.2999999999999999E-2</v>
          </cell>
          <cell r="AC11">
            <v>4.610434747830261E-2</v>
          </cell>
          <cell r="AD11">
            <v>5.2999999999999999E-2</v>
          </cell>
          <cell r="AE11">
            <v>4.02253638971692E-2</v>
          </cell>
          <cell r="AF11">
            <v>3.5000000000000003E-2</v>
          </cell>
          <cell r="AG11">
            <v>0.02</v>
          </cell>
          <cell r="AH11">
            <v>0.01</v>
          </cell>
          <cell r="AI11">
            <v>0.01</v>
          </cell>
          <cell r="AJ11">
            <v>0.01</v>
          </cell>
          <cell r="AK11">
            <v>0.01</v>
          </cell>
          <cell r="AL11">
            <v>0.01</v>
          </cell>
          <cell r="AN11" t="str">
            <v xml:space="preserve">  % Same-Store</v>
          </cell>
          <cell r="AS11">
            <v>-4.2999999999999997E-2</v>
          </cell>
          <cell r="AU11">
            <v>2.9000000000000001E-2</v>
          </cell>
          <cell r="AV11">
            <v>1.4E-2</v>
          </cell>
          <cell r="AW11">
            <v>1.7999999999999999E-2</v>
          </cell>
          <cell r="AX11">
            <v>-1E-3</v>
          </cell>
          <cell r="AY11">
            <v>1.4E-2</v>
          </cell>
          <cell r="BA11">
            <v>4.3999999999999997E-2</v>
          </cell>
          <cell r="BB11">
            <v>1.7000000000000001E-2</v>
          </cell>
          <cell r="BC11">
            <v>5.7000000000000002E-2</v>
          </cell>
          <cell r="BD11">
            <v>7.4999999999999997E-2</v>
          </cell>
          <cell r="BE11">
            <v>5.1999999999999998E-2</v>
          </cell>
          <cell r="BG11">
            <v>0.02</v>
          </cell>
          <cell r="BH11">
            <v>0.04</v>
          </cell>
          <cell r="BI11">
            <v>0</v>
          </cell>
          <cell r="BJ11">
            <v>2.1000000000000001E-2</v>
          </cell>
          <cell r="BK11">
            <v>1.9E-2</v>
          </cell>
          <cell r="BM11">
            <v>2.1000000000000001E-2</v>
          </cell>
          <cell r="BN11">
            <v>2.1999999999999999E-2</v>
          </cell>
          <cell r="BO11">
            <v>3.4000000000000002E-2</v>
          </cell>
          <cell r="BP11">
            <v>4.1000000000000002E-2</v>
          </cell>
          <cell r="BQ11">
            <v>3.1E-2</v>
          </cell>
          <cell r="BS11">
            <v>3.9E-2</v>
          </cell>
          <cell r="BT11">
            <v>8.0000000000000002E-3</v>
          </cell>
          <cell r="BU11">
            <v>3.6999999999999998E-2</v>
          </cell>
          <cell r="BV11">
            <v>3.5999999999999997E-2</v>
          </cell>
          <cell r="BW11">
            <v>3.0898675327518884E-2</v>
          </cell>
          <cell r="BY11">
            <v>1.2999999999999999E-2</v>
          </cell>
          <cell r="BZ11">
            <v>6.2E-2</v>
          </cell>
          <cell r="CA11">
            <v>1.4999999999999999E-2</v>
          </cell>
          <cell r="CC11">
            <v>1.4999999999999999E-2</v>
          </cell>
          <cell r="CD11">
            <v>2.1999999999999999E-2</v>
          </cell>
          <cell r="CE11">
            <v>2.1999999999999999E-2</v>
          </cell>
          <cell r="CF11">
            <v>2.7118808112624956E-2</v>
          </cell>
          <cell r="CG11">
            <v>2.7118808112624956E-2</v>
          </cell>
          <cell r="CH11">
            <v>2.7118808112624956E-2</v>
          </cell>
          <cell r="CJ11">
            <v>4.5999999999999999E-2</v>
          </cell>
          <cell r="CK11">
            <v>8.0000000000000002E-3</v>
          </cell>
          <cell r="CL11">
            <v>2.5000000000000001E-2</v>
          </cell>
          <cell r="CM11">
            <v>0.04</v>
          </cell>
          <cell r="CN11">
            <v>3.0844572544785176E-2</v>
          </cell>
          <cell r="CP11">
            <v>2.5000000000000001E-2</v>
          </cell>
          <cell r="CQ11">
            <v>4.3999999999999997E-2</v>
          </cell>
          <cell r="CR11">
            <v>3.1E-2</v>
          </cell>
          <cell r="CS11">
            <v>1.4E-2</v>
          </cell>
          <cell r="CT11">
            <v>2.7069152758765591E-2</v>
          </cell>
          <cell r="CV11">
            <v>2.4E-2</v>
          </cell>
          <cell r="CW11">
            <v>3.0187969924812031E-2</v>
          </cell>
          <cell r="CX11">
            <v>-1.2999999999999999E-2</v>
          </cell>
          <cell r="CY11">
            <v>4.1000000000000002E-2</v>
          </cell>
          <cell r="CZ11">
            <v>4.4999999999999998E-2</v>
          </cell>
          <cell r="DB11">
            <v>0.04</v>
          </cell>
          <cell r="DC11">
            <v>5.8999999999999997E-2</v>
          </cell>
          <cell r="DD11">
            <v>3.9E-2</v>
          </cell>
          <cell r="DE11">
            <v>4.3999999999999997E-2</v>
          </cell>
          <cell r="DF11">
            <v>4.4999999999999998E-2</v>
          </cell>
          <cell r="DH11">
            <v>2.9000000000000001E-2</v>
          </cell>
          <cell r="DI11">
            <v>1.9E-2</v>
          </cell>
          <cell r="DJ11">
            <v>1.9E-2</v>
          </cell>
          <cell r="DK11">
            <v>1.6E-2</v>
          </cell>
          <cell r="DL11">
            <v>0.02</v>
          </cell>
          <cell r="DN11">
            <v>-1.4999999999999999E-2</v>
          </cell>
          <cell r="DO11">
            <v>-4.8000000000000001E-2</v>
          </cell>
          <cell r="DP11">
            <v>-8.5999999999999993E-2</v>
          </cell>
          <cell r="DQ11">
            <v>-0.06</v>
          </cell>
          <cell r="DR11">
            <v>-5.2999999999999999E-2</v>
          </cell>
          <cell r="DT11">
            <v>-2.9000000000000001E-2</v>
          </cell>
          <cell r="DU11">
            <v>-2.8000000000000001E-2</v>
          </cell>
          <cell r="DV11">
            <v>-0.02</v>
          </cell>
          <cell r="DW11">
            <v>-3.9E-2</v>
          </cell>
          <cell r="DX11">
            <v>-0.03</v>
          </cell>
          <cell r="DZ11">
            <v>-0.05</v>
          </cell>
          <cell r="EA11">
            <v>-1.2E-2</v>
          </cell>
          <cell r="EB11">
            <v>2E-3</v>
          </cell>
          <cell r="EC11">
            <v>1.3999999999999999E-2</v>
          </cell>
          <cell r="ED11">
            <v>-9.0000000000000011E-3</v>
          </cell>
          <cell r="EF11">
            <v>6.9000000000000006E-2</v>
          </cell>
          <cell r="EG11">
            <v>3.3000000000000002E-2</v>
          </cell>
          <cell r="EH11">
            <v>4.0000000000000001E-3</v>
          </cell>
          <cell r="EI11">
            <v>8.0000000000000002E-3</v>
          </cell>
          <cell r="EJ11">
            <v>2.5999999999999999E-2</v>
          </cell>
          <cell r="EK11" t="str">
            <v xml:space="preserve">  % Same-Store</v>
          </cell>
          <cell r="EL11">
            <v>2.5999999999999999E-2</v>
          </cell>
          <cell r="EM11">
            <v>1.0999999999999999E-2</v>
          </cell>
          <cell r="EN11">
            <v>6.0000000000000001E-3</v>
          </cell>
          <cell r="EO11">
            <v>1.0999999999999999E-2</v>
          </cell>
          <cell r="EP11">
            <v>1.2999999999999999E-2</v>
          </cell>
          <cell r="ER11">
            <v>0</v>
          </cell>
          <cell r="ES11">
            <v>4.5999999999999999E-2</v>
          </cell>
          <cell r="ET11">
            <v>5.8999999999999997E-2</v>
          </cell>
          <cell r="EU11">
            <v>6.0999999999999999E-2</v>
          </cell>
          <cell r="EV11">
            <v>4.3999999999999997E-2</v>
          </cell>
          <cell r="EX11">
            <v>6.0000000000000001E-3</v>
          </cell>
          <cell r="EY11">
            <v>-2.5999999999999999E-2</v>
          </cell>
          <cell r="EZ11">
            <v>-8.0000000000000002E-3</v>
          </cell>
          <cell r="FA11">
            <v>-0.02</v>
          </cell>
          <cell r="FB11">
            <v>-1.2999999999999999E-2</v>
          </cell>
          <cell r="FD11">
            <v>-2.5999999999999999E-2</v>
          </cell>
          <cell r="FE11">
            <v>-2.1000000000000001E-2</v>
          </cell>
          <cell r="FF11">
            <v>-0.06</v>
          </cell>
          <cell r="FG11">
            <v>-7.0000000000000007E-2</v>
          </cell>
          <cell r="FH11">
            <v>-4.4999999999999998E-2</v>
          </cell>
          <cell r="FJ11">
            <v>-0.09</v>
          </cell>
          <cell r="FK11">
            <v>-9.5000000000000001E-2</v>
          </cell>
          <cell r="FL11">
            <v>-3.5999999999999997E-2</v>
          </cell>
          <cell r="FM11">
            <v>-8.0000000000000002E-3</v>
          </cell>
          <cell r="FN11">
            <v>-5.2999999999999999E-2</v>
          </cell>
          <cell r="FP11">
            <v>5.5E-2</v>
          </cell>
          <cell r="FQ11">
            <v>4.9000000000000002E-2</v>
          </cell>
          <cell r="FR11">
            <v>3.9E-2</v>
          </cell>
          <cell r="FS11">
            <v>4.2999999999999997E-2</v>
          </cell>
          <cell r="FT11">
            <v>4.610434747830261E-2</v>
          </cell>
          <cell r="FV11">
            <v>5.3999999999999999E-2</v>
          </cell>
          <cell r="FW11">
            <v>6.4000000000000001E-2</v>
          </cell>
          <cell r="FX11">
            <v>0.04</v>
          </cell>
          <cell r="FY11">
            <v>5.1999999999999998E-2</v>
          </cell>
          <cell r="FZ11">
            <v>5.2999999999999999E-2</v>
          </cell>
          <cell r="GB11">
            <v>4.3999999999999997E-2</v>
          </cell>
          <cell r="GC11">
            <v>0.03</v>
          </cell>
          <cell r="GD11">
            <v>4.4170626829774157E-2</v>
          </cell>
          <cell r="GE11">
            <v>4.1872044415560798E-2</v>
          </cell>
          <cell r="GF11">
            <v>4.02253638971692E-2</v>
          </cell>
          <cell r="GS11" t="str">
            <v>mstag:comparableStoreSalesGrowth</v>
          </cell>
          <cell r="GT11">
            <v>0</v>
          </cell>
          <cell r="GU11" t="str">
            <v>ms_eqr_gcim_Decimal:ms_eqr_gcim_decimal</v>
          </cell>
          <cell r="GV11" t="b">
            <v>0</v>
          </cell>
          <cell r="GW11" t="b">
            <v>0</v>
          </cell>
        </row>
        <row r="13">
          <cell r="A13" t="str">
            <v>Cost of Goods Sold</v>
          </cell>
          <cell r="C13">
            <v>5447.1210000000001</v>
          </cell>
          <cell r="D13">
            <v>4394.9759999999997</v>
          </cell>
          <cell r="E13">
            <v>4202.223</v>
          </cell>
          <cell r="F13">
            <v>4173.2920000000004</v>
          </cell>
          <cell r="G13">
            <v>4220.8230000000003</v>
          </cell>
          <cell r="H13">
            <v>4371.2170000000006</v>
          </cell>
          <cell r="I13">
            <v>4738.326</v>
          </cell>
          <cell r="K13">
            <v>8409.8680000000004</v>
          </cell>
          <cell r="L13">
            <v>8578.85</v>
          </cell>
          <cell r="N13">
            <v>9038</v>
          </cell>
          <cell r="O13">
            <v>9018</v>
          </cell>
          <cell r="P13">
            <v>9200</v>
          </cell>
          <cell r="Q13">
            <v>9218</v>
          </cell>
          <cell r="R13">
            <v>9576</v>
          </cell>
          <cell r="S13">
            <v>9955</v>
          </cell>
          <cell r="T13">
            <v>9603</v>
          </cell>
          <cell r="U13">
            <v>9324</v>
          </cell>
          <cell r="V13">
            <v>9175</v>
          </cell>
          <cell r="W13">
            <v>9346</v>
          </cell>
          <cell r="X13">
            <v>13272</v>
          </cell>
          <cell r="Y13">
            <v>16019</v>
          </cell>
          <cell r="Z13">
            <v>15677</v>
          </cell>
          <cell r="AA13">
            <v>15009</v>
          </cell>
          <cell r="AB13">
            <v>14278</v>
          </cell>
          <cell r="AC13">
            <v>14824</v>
          </cell>
          <cell r="AD13">
            <v>15738</v>
          </cell>
          <cell r="AE13">
            <v>16473.116703251519</v>
          </cell>
          <cell r="AF13">
            <v>16781.208749826241</v>
          </cell>
          <cell r="AG13">
            <v>17061.248342231931</v>
          </cell>
          <cell r="AH13">
            <v>17267.224438478806</v>
          </cell>
          <cell r="AI13">
            <v>17498.890574835023</v>
          </cell>
          <cell r="AJ13">
            <v>17673.879480583375</v>
          </cell>
          <cell r="AK13">
            <v>17850.618275389206</v>
          </cell>
          <cell r="AL13">
            <v>18029.124458143102</v>
          </cell>
          <cell r="AN13" t="str">
            <v>Cost of Goods Sold</v>
          </cell>
          <cell r="AO13">
            <v>955.19299999999998</v>
          </cell>
          <cell r="AP13">
            <v>949.21100000000001</v>
          </cell>
          <cell r="AQ13">
            <v>1068.867</v>
          </cell>
          <cell r="AR13">
            <v>1421.7049999999999</v>
          </cell>
          <cell r="AS13">
            <v>4394.9759999999997</v>
          </cell>
          <cell r="AU13">
            <v>954.02099999999996</v>
          </cell>
          <cell r="AV13">
            <v>897.43100000000004</v>
          </cell>
          <cell r="AW13">
            <v>1031.549</v>
          </cell>
          <cell r="AX13">
            <v>1319.222</v>
          </cell>
          <cell r="AY13">
            <v>4202.223</v>
          </cell>
          <cell r="BA13">
            <v>924.86599999999999</v>
          </cell>
          <cell r="BB13">
            <v>867.78200000000004</v>
          </cell>
          <cell r="BC13">
            <v>1063.415</v>
          </cell>
          <cell r="BD13">
            <v>1364.76</v>
          </cell>
          <cell r="BE13">
            <v>4220.8230000000003</v>
          </cell>
          <cell r="BG13">
            <v>947.86799999999994</v>
          </cell>
          <cell r="BH13">
            <v>900.06400000000008</v>
          </cell>
          <cell r="BI13">
            <v>1077.3520000000001</v>
          </cell>
          <cell r="BJ13">
            <v>1445.933</v>
          </cell>
          <cell r="BK13">
            <v>4371.2170000000006</v>
          </cell>
          <cell r="BM13">
            <v>1002.9349999999999</v>
          </cell>
          <cell r="BN13">
            <v>974.73500000000001</v>
          </cell>
          <cell r="BO13">
            <v>1182.5509999999999</v>
          </cell>
          <cell r="BP13">
            <v>1578.105</v>
          </cell>
          <cell r="BQ13">
            <v>4738.326</v>
          </cell>
          <cell r="BS13">
            <v>1781.979</v>
          </cell>
          <cell r="BT13">
            <v>1814.82</v>
          </cell>
          <cell r="BU13">
            <v>2045.9162000000001</v>
          </cell>
          <cell r="BV13">
            <v>2767.1528000000003</v>
          </cell>
          <cell r="BW13">
            <v>8409.8680000000004</v>
          </cell>
          <cell r="BY13">
            <v>1822.16</v>
          </cell>
          <cell r="BZ13">
            <v>1862.915</v>
          </cell>
          <cell r="CA13">
            <v>2039.616</v>
          </cell>
          <cell r="CB13">
            <v>288.96100000000024</v>
          </cell>
          <cell r="CC13">
            <v>2328.5770000000002</v>
          </cell>
          <cell r="CD13">
            <v>2854.1590000000001</v>
          </cell>
          <cell r="CE13">
            <v>3304.3710000000001</v>
          </cell>
          <cell r="CF13">
            <v>8578.85</v>
          </cell>
          <cell r="CG13">
            <v>9029.0619999999999</v>
          </cell>
          <cell r="CH13">
            <v>9318.023000000001</v>
          </cell>
          <cell r="CJ13">
            <v>2014.6479999999999</v>
          </cell>
          <cell r="CK13">
            <v>1995.5730000000001</v>
          </cell>
          <cell r="CL13">
            <v>2189.9029999999998</v>
          </cell>
          <cell r="CM13">
            <v>3088.5619999999999</v>
          </cell>
          <cell r="CN13">
            <v>9288.6859999999997</v>
          </cell>
          <cell r="CP13">
            <v>2086.8649999999998</v>
          </cell>
          <cell r="CQ13">
            <v>2098.6709999999998</v>
          </cell>
          <cell r="CR13">
            <v>2286.9189999999999</v>
          </cell>
          <cell r="CS13">
            <v>3108.3119999999999</v>
          </cell>
          <cell r="CT13">
            <v>9580.7669999999998</v>
          </cell>
          <cell r="CV13">
            <v>2022</v>
          </cell>
          <cell r="CW13">
            <v>2017</v>
          </cell>
          <cell r="CX13">
            <v>2145</v>
          </cell>
          <cell r="CY13">
            <v>3034</v>
          </cell>
          <cell r="CZ13">
            <v>9218</v>
          </cell>
          <cell r="DB13">
            <v>2174</v>
          </cell>
          <cell r="DC13">
            <v>2319</v>
          </cell>
          <cell r="DD13">
            <v>2454</v>
          </cell>
          <cell r="DE13">
            <v>3496</v>
          </cell>
          <cell r="DF13">
            <v>10443</v>
          </cell>
          <cell r="DH13">
            <v>2152</v>
          </cell>
          <cell r="DI13">
            <v>2173</v>
          </cell>
          <cell r="DJ13">
            <v>2295</v>
          </cell>
          <cell r="DK13">
            <v>3335</v>
          </cell>
          <cell r="DL13">
            <v>9955</v>
          </cell>
          <cell r="DN13">
            <v>2158</v>
          </cell>
          <cell r="DO13">
            <v>2128</v>
          </cell>
          <cell r="DP13">
            <v>2134</v>
          </cell>
          <cell r="DQ13">
            <v>3111</v>
          </cell>
          <cell r="DR13">
            <v>9603</v>
          </cell>
          <cell r="DT13">
            <v>2078</v>
          </cell>
          <cell r="DU13">
            <v>2051</v>
          </cell>
          <cell r="DV13">
            <v>2112</v>
          </cell>
          <cell r="DW13">
            <v>3014</v>
          </cell>
          <cell r="DX13">
            <v>9324</v>
          </cell>
          <cell r="DZ13">
            <v>2002</v>
          </cell>
          <cell r="EA13">
            <v>2025</v>
          </cell>
          <cell r="EB13">
            <v>2091</v>
          </cell>
          <cell r="EC13">
            <v>2981</v>
          </cell>
          <cell r="ED13">
            <v>9175</v>
          </cell>
          <cell r="EF13">
            <v>2119</v>
          </cell>
          <cell r="EG13">
            <v>2098</v>
          </cell>
          <cell r="EH13">
            <v>2107</v>
          </cell>
          <cell r="EI13">
            <v>3022</v>
          </cell>
          <cell r="EJ13">
            <v>9346</v>
          </cell>
          <cell r="EK13" t="str">
            <v>Cost of Goods Sold</v>
          </cell>
          <cell r="EL13">
            <v>2176</v>
          </cell>
          <cell r="EM13">
            <v>2126</v>
          </cell>
          <cell r="EN13">
            <v>3312</v>
          </cell>
          <cell r="EO13">
            <v>5658</v>
          </cell>
          <cell r="EP13">
            <v>13272</v>
          </cell>
          <cell r="ER13">
            <v>3627</v>
          </cell>
          <cell r="ES13">
            <v>3470</v>
          </cell>
          <cell r="ET13">
            <v>3513</v>
          </cell>
          <cell r="EU13">
            <v>5409</v>
          </cell>
          <cell r="EV13">
            <v>16019</v>
          </cell>
          <cell r="EX13">
            <v>3564</v>
          </cell>
          <cell r="EY13">
            <v>3507</v>
          </cell>
          <cell r="EZ13">
            <v>3585</v>
          </cell>
          <cell r="FA13">
            <v>5021</v>
          </cell>
          <cell r="FB13">
            <v>15677</v>
          </cell>
          <cell r="FD13">
            <v>3527</v>
          </cell>
          <cell r="FE13">
            <v>3346</v>
          </cell>
          <cell r="FF13">
            <v>3324</v>
          </cell>
          <cell r="FG13">
            <v>4812</v>
          </cell>
          <cell r="FH13">
            <v>15009</v>
          </cell>
          <cell r="FJ13">
            <v>3279</v>
          </cell>
          <cell r="FK13">
            <v>3117</v>
          </cell>
          <cell r="FL13">
            <v>3241</v>
          </cell>
          <cell r="FM13">
            <v>4641</v>
          </cell>
          <cell r="FN13">
            <v>14278</v>
          </cell>
          <cell r="FP13">
            <v>3378</v>
          </cell>
          <cell r="FQ13">
            <v>3214</v>
          </cell>
          <cell r="FR13">
            <v>3377</v>
          </cell>
          <cell r="FS13">
            <v>4855</v>
          </cell>
          <cell r="FT13">
            <v>14824</v>
          </cell>
          <cell r="FV13">
            <v>3586</v>
          </cell>
          <cell r="FW13">
            <v>3457</v>
          </cell>
          <cell r="FX13">
            <v>3544</v>
          </cell>
          <cell r="FY13">
            <v>5151</v>
          </cell>
          <cell r="FZ13">
            <v>15738</v>
          </cell>
          <cell r="GB13">
            <v>3757</v>
          </cell>
          <cell r="GC13">
            <v>3555</v>
          </cell>
          <cell r="GD13">
            <v>3666.0995494313679</v>
          </cell>
          <cell r="GE13">
            <v>5495.0171538201503</v>
          </cell>
          <cell r="GF13">
            <v>16473.116703251519</v>
          </cell>
          <cell r="GS13" t="str">
            <v>mstag:costOfSalesWithoutDepreciation</v>
          </cell>
          <cell r="GT13">
            <v>6</v>
          </cell>
          <cell r="GU13" t="str">
            <v>ISO4217:USD</v>
          </cell>
          <cell r="GV13" t="b">
            <v>0</v>
          </cell>
          <cell r="GW13" t="b">
            <v>0</v>
          </cell>
        </row>
        <row r="14">
          <cell r="A14" t="str">
            <v>Gross Profit</v>
          </cell>
          <cell r="C14">
            <v>2130.4650000000001</v>
          </cell>
          <cell r="D14">
            <v>2747.0070000000005</v>
          </cell>
          <cell r="E14">
            <v>2730.1000000000004</v>
          </cell>
          <cell r="F14">
            <v>2759.0309999999999</v>
          </cell>
          <cell r="G14">
            <v>2859.1180000000004</v>
          </cell>
          <cell r="H14">
            <v>2858.1889999999994</v>
          </cell>
          <cell r="I14">
            <v>2969.1509999999989</v>
          </cell>
          <cell r="K14">
            <v>5291.6319999999996</v>
          </cell>
          <cell r="L14">
            <v>5419.1839999999993</v>
          </cell>
          <cell r="N14">
            <v>5576</v>
          </cell>
          <cell r="O14">
            <v>5815</v>
          </cell>
          <cell r="P14">
            <v>6020</v>
          </cell>
          <cell r="Q14">
            <v>6147</v>
          </cell>
          <cell r="R14">
            <v>6453</v>
          </cell>
          <cell r="S14">
            <v>6683</v>
          </cell>
          <cell r="T14">
            <v>6182</v>
          </cell>
          <cell r="U14">
            <v>6247</v>
          </cell>
          <cell r="V14">
            <v>6237</v>
          </cell>
          <cell r="W14">
            <v>6430</v>
          </cell>
          <cell r="X14">
            <v>9118</v>
          </cell>
          <cell r="Y14">
            <v>10951</v>
          </cell>
          <cell r="Z14">
            <v>10636</v>
          </cell>
          <cell r="AA14">
            <v>9883</v>
          </cell>
          <cell r="AB14">
            <v>9617</v>
          </cell>
          <cell r="AC14">
            <v>10179</v>
          </cell>
          <cell r="AD14">
            <v>10667</v>
          </cell>
          <cell r="AE14">
            <v>11224.703902113539</v>
          </cell>
          <cell r="AF14">
            <v>11577.68389157081</v>
          </cell>
          <cell r="AG14">
            <v>11844.16040227242</v>
          </cell>
          <cell r="AH14">
            <v>11937.672577079513</v>
          </cell>
          <cell r="AI14">
            <v>11998.055410878882</v>
          </cell>
          <cell r="AJ14">
            <v>12118.03596498767</v>
          </cell>
          <cell r="AK14">
            <v>12239.216324637549</v>
          </cell>
          <cell r="AL14">
            <v>12361.608487883921</v>
          </cell>
          <cell r="AN14" t="str">
            <v>Gross Profit</v>
          </cell>
          <cell r="AO14">
            <v>635.26700000000005</v>
          </cell>
          <cell r="AP14">
            <v>576.48099999999999</v>
          </cell>
          <cell r="AQ14">
            <v>698.46</v>
          </cell>
          <cell r="AR14">
            <v>836.79899999999998</v>
          </cell>
          <cell r="AS14">
            <v>2747.0070000000001</v>
          </cell>
          <cell r="AU14">
            <v>639.39800000000014</v>
          </cell>
          <cell r="AV14">
            <v>598.3119999999999</v>
          </cell>
          <cell r="AW14">
            <v>677.35200000000009</v>
          </cell>
          <cell r="AX14">
            <v>815.03800000000024</v>
          </cell>
          <cell r="AY14">
            <v>2730.1000000000004</v>
          </cell>
          <cell r="BA14">
            <v>646.86000000000013</v>
          </cell>
          <cell r="BB14">
            <v>589.42999999999995</v>
          </cell>
          <cell r="BC14">
            <v>725.55</v>
          </cell>
          <cell r="BD14">
            <v>897.27800000000002</v>
          </cell>
          <cell r="BE14">
            <v>2859.1179999999999</v>
          </cell>
          <cell r="BG14">
            <v>642.39100000000008</v>
          </cell>
          <cell r="BH14">
            <v>602.22399999999993</v>
          </cell>
          <cell r="BI14">
            <v>711.96299999999997</v>
          </cell>
          <cell r="BJ14">
            <v>901.61099999999988</v>
          </cell>
          <cell r="BK14">
            <v>2858.1889999999994</v>
          </cell>
          <cell r="BM14">
            <v>650.69600000000014</v>
          </cell>
          <cell r="BN14">
            <v>621.3649999999999</v>
          </cell>
          <cell r="BO14">
            <v>744.26</v>
          </cell>
          <cell r="BP14">
            <v>952.82999999999993</v>
          </cell>
          <cell r="BQ14">
            <v>2969.1509999999989</v>
          </cell>
          <cell r="BS14">
            <v>1156.021</v>
          </cell>
          <cell r="BT14">
            <v>1115.9800000000002</v>
          </cell>
          <cell r="BU14">
            <v>1306.6837999999998</v>
          </cell>
          <cell r="BV14">
            <v>1712.9472000000001</v>
          </cell>
          <cell r="BW14">
            <v>5291.6319999999996</v>
          </cell>
          <cell r="BY14">
            <v>1165.8459999999998</v>
          </cell>
          <cell r="BZ14">
            <v>1184.085</v>
          </cell>
          <cell r="CA14">
            <v>1293.9119999999998</v>
          </cell>
          <cell r="CB14">
            <v>125.83899999999977</v>
          </cell>
          <cell r="CC14">
            <v>1419.7919999999999</v>
          </cell>
          <cell r="CD14">
            <v>1775.3409999999999</v>
          </cell>
          <cell r="CE14">
            <v>1960.5289999999995</v>
          </cell>
          <cell r="CF14">
            <v>5419.1839999999993</v>
          </cell>
          <cell r="CG14">
            <v>5604.3719999999994</v>
          </cell>
          <cell r="CH14">
            <v>5730.2109999999975</v>
          </cell>
          <cell r="CJ14">
            <v>1286.0519999999999</v>
          </cell>
          <cell r="CK14">
            <v>1288.655</v>
          </cell>
          <cell r="CL14">
            <v>1419.2450000000003</v>
          </cell>
          <cell r="CM14">
            <v>1946.3959999999997</v>
          </cell>
          <cell r="CN14">
            <v>5940.348</v>
          </cell>
          <cell r="CP14">
            <v>1322.2260000000001</v>
          </cell>
          <cell r="CQ14">
            <v>1354.1580000000004</v>
          </cell>
          <cell r="CR14">
            <v>1459.357</v>
          </cell>
          <cell r="CS14">
            <v>1951.8040000000001</v>
          </cell>
          <cell r="CT14">
            <v>6087.5450000000001</v>
          </cell>
          <cell r="CV14">
            <v>1335</v>
          </cell>
          <cell r="CW14">
            <v>1409</v>
          </cell>
          <cell r="CX14">
            <v>1403</v>
          </cell>
          <cell r="CY14">
            <v>2000</v>
          </cell>
          <cell r="CZ14">
            <v>6147</v>
          </cell>
          <cell r="DB14">
            <v>1426</v>
          </cell>
          <cell r="DC14">
            <v>1687</v>
          </cell>
          <cell r="DD14">
            <v>1683</v>
          </cell>
          <cell r="DE14">
            <v>2477</v>
          </cell>
          <cell r="DF14">
            <v>7273</v>
          </cell>
          <cell r="DH14">
            <v>1421</v>
          </cell>
          <cell r="DI14">
            <v>1506</v>
          </cell>
          <cell r="DJ14">
            <v>1487</v>
          </cell>
          <cell r="DK14">
            <v>2269</v>
          </cell>
          <cell r="DL14">
            <v>6683</v>
          </cell>
          <cell r="DN14">
            <v>1398</v>
          </cell>
          <cell r="DO14">
            <v>1360</v>
          </cell>
          <cell r="DP14">
            <v>1341</v>
          </cell>
          <cell r="DQ14">
            <v>2021</v>
          </cell>
          <cell r="DR14">
            <v>6182</v>
          </cell>
          <cell r="DT14">
            <v>1375</v>
          </cell>
          <cell r="DU14">
            <v>1435</v>
          </cell>
          <cell r="DV14">
            <v>1367</v>
          </cell>
          <cell r="DW14">
            <v>2003</v>
          </cell>
          <cell r="DX14">
            <v>6247</v>
          </cell>
          <cell r="DZ14">
            <v>1289</v>
          </cell>
          <cell r="EA14">
            <v>1409</v>
          </cell>
          <cell r="EB14">
            <v>1395</v>
          </cell>
          <cell r="EC14">
            <v>2072</v>
          </cell>
          <cell r="ED14">
            <v>6237</v>
          </cell>
          <cell r="EF14">
            <v>1431</v>
          </cell>
          <cell r="EG14">
            <v>1483</v>
          </cell>
          <cell r="EH14">
            <v>1418</v>
          </cell>
          <cell r="EI14">
            <v>2098</v>
          </cell>
          <cell r="EJ14">
            <v>6430</v>
          </cell>
          <cell r="EK14" t="str">
            <v>Gross Profit</v>
          </cell>
          <cell r="EL14">
            <v>1465</v>
          </cell>
          <cell r="EM14">
            <v>1497</v>
          </cell>
          <cell r="EN14">
            <v>2243</v>
          </cell>
          <cell r="EO14">
            <v>3913</v>
          </cell>
          <cell r="EP14">
            <v>9118</v>
          </cell>
          <cell r="ER14">
            <v>2303</v>
          </cell>
          <cell r="ES14">
            <v>2525</v>
          </cell>
          <cell r="ET14">
            <v>2373</v>
          </cell>
          <cell r="EU14">
            <v>3750</v>
          </cell>
          <cell r="EV14">
            <v>10951</v>
          </cell>
          <cell r="EX14">
            <v>2357</v>
          </cell>
          <cell r="EY14">
            <v>2385</v>
          </cell>
          <cell r="EZ14">
            <v>2321</v>
          </cell>
          <cell r="FA14">
            <v>3573</v>
          </cell>
          <cell r="FB14">
            <v>10636</v>
          </cell>
          <cell r="FD14">
            <v>2220</v>
          </cell>
          <cell r="FE14">
            <v>2372</v>
          </cell>
          <cell r="FF14">
            <v>2169</v>
          </cell>
          <cell r="FG14">
            <v>3122</v>
          </cell>
          <cell r="FH14">
            <v>9883</v>
          </cell>
          <cell r="FJ14">
            <v>2009</v>
          </cell>
          <cell r="FK14">
            <v>2168</v>
          </cell>
          <cell r="FL14">
            <v>2144</v>
          </cell>
          <cell r="FM14">
            <v>3296</v>
          </cell>
          <cell r="FN14">
            <v>9617</v>
          </cell>
          <cell r="FP14">
            <v>2196</v>
          </cell>
          <cell r="FQ14">
            <v>2323</v>
          </cell>
          <cell r="FR14">
            <v>2246</v>
          </cell>
          <cell r="FS14">
            <v>3414</v>
          </cell>
          <cell r="FT14">
            <v>10179</v>
          </cell>
          <cell r="FV14">
            <v>2303</v>
          </cell>
          <cell r="FW14">
            <v>2482</v>
          </cell>
          <cell r="FX14">
            <v>2309</v>
          </cell>
          <cell r="FY14">
            <v>3573</v>
          </cell>
          <cell r="FZ14">
            <v>10667</v>
          </cell>
          <cell r="GB14">
            <v>2386</v>
          </cell>
          <cell r="GC14">
            <v>2563</v>
          </cell>
          <cell r="GD14">
            <v>2403.5870975038929</v>
          </cell>
          <cell r="GE14">
            <v>3872.1168046096464</v>
          </cell>
          <cell r="GF14">
            <v>11224.703902113539</v>
          </cell>
        </row>
        <row r="16">
          <cell r="A16" t="str">
            <v>SG&amp;A Expense</v>
          </cell>
          <cell r="C16">
            <v>1881.0170000000001</v>
          </cell>
          <cell r="D16">
            <v>2611.8339999999998</v>
          </cell>
          <cell r="E16">
            <v>2463.1280000000002</v>
          </cell>
          <cell r="F16">
            <v>2458.1280000000002</v>
          </cell>
          <cell r="G16">
            <v>2420.6839999999997</v>
          </cell>
          <cell r="H16">
            <v>2347.5460000000003</v>
          </cell>
          <cell r="I16">
            <v>2328.047</v>
          </cell>
          <cell r="K16">
            <v>4608.8310000000001</v>
          </cell>
          <cell r="L16">
            <v>4424.5330000000004</v>
          </cell>
          <cell r="N16">
            <v>4913</v>
          </cell>
          <cell r="O16">
            <v>4922</v>
          </cell>
          <cell r="P16">
            <v>4679</v>
          </cell>
          <cell r="Q16">
            <v>4692</v>
          </cell>
          <cell r="R16">
            <v>4760</v>
          </cell>
          <cell r="S16">
            <v>4912</v>
          </cell>
          <cell r="T16">
            <v>4806</v>
          </cell>
          <cell r="U16">
            <v>4836</v>
          </cell>
          <cell r="V16">
            <v>4837</v>
          </cell>
          <cell r="W16">
            <v>4931</v>
          </cell>
          <cell r="X16">
            <v>6980</v>
          </cell>
          <cell r="Y16">
            <v>8678</v>
          </cell>
          <cell r="Z16">
            <v>8554</v>
          </cell>
          <cell r="AA16">
            <v>8458</v>
          </cell>
          <cell r="AB16">
            <v>8163</v>
          </cell>
          <cell r="AC16">
            <v>8260</v>
          </cell>
          <cell r="AD16">
            <v>8281</v>
          </cell>
          <cell r="AE16">
            <v>8553.4072798862726</v>
          </cell>
          <cell r="AF16">
            <v>8800.0923077192638</v>
          </cell>
          <cell r="AG16">
            <v>8940.7771652737574</v>
          </cell>
          <cell r="AH16">
            <v>9004.2074535542979</v>
          </cell>
          <cell r="AI16">
            <v>9064.7525821041272</v>
          </cell>
          <cell r="AJ16">
            <v>9125.6081924795981</v>
          </cell>
          <cell r="AK16">
            <v>9186.7744398043687</v>
          </cell>
          <cell r="AL16">
            <v>9248.2514512563848</v>
          </cell>
          <cell r="AN16" t="str">
            <v>SG&amp;A Expense</v>
          </cell>
          <cell r="AO16">
            <v>608.81899999999996</v>
          </cell>
          <cell r="AP16">
            <v>616.54300000000001</v>
          </cell>
          <cell r="AQ16">
            <v>656.14200000000005</v>
          </cell>
          <cell r="AR16">
            <v>730.33</v>
          </cell>
          <cell r="AS16">
            <v>2611.8340000000003</v>
          </cell>
          <cell r="AU16">
            <v>597.87800000000004</v>
          </cell>
          <cell r="AV16">
            <v>589.803</v>
          </cell>
          <cell r="AW16">
            <v>624.08500000000004</v>
          </cell>
          <cell r="AX16">
            <v>651.36199999999997</v>
          </cell>
          <cell r="AY16">
            <v>2463.1280000000002</v>
          </cell>
          <cell r="BA16">
            <v>562.19899999999996</v>
          </cell>
          <cell r="BB16">
            <v>557.755</v>
          </cell>
          <cell r="BC16">
            <v>614.78200000000004</v>
          </cell>
          <cell r="BD16">
            <v>685.94799999999998</v>
          </cell>
          <cell r="BE16">
            <v>2420.6839999999997</v>
          </cell>
          <cell r="BG16">
            <v>555.61</v>
          </cell>
          <cell r="BH16">
            <v>540.18899999999996</v>
          </cell>
          <cell r="BI16">
            <v>604.58100000000002</v>
          </cell>
          <cell r="BJ16">
            <v>647.16600000000005</v>
          </cell>
          <cell r="BK16">
            <v>2347.5460000000003</v>
          </cell>
          <cell r="BM16">
            <v>542.08799999999997</v>
          </cell>
          <cell r="BN16">
            <v>534.79100000000005</v>
          </cell>
          <cell r="BO16">
            <v>611.56299999999999</v>
          </cell>
          <cell r="BP16">
            <v>639.6049999999999</v>
          </cell>
          <cell r="BQ16">
            <v>2328.047</v>
          </cell>
          <cell r="BS16">
            <v>1095.52</v>
          </cell>
          <cell r="BT16">
            <v>1083.9040000000002</v>
          </cell>
          <cell r="BU16">
            <v>1182.6087999999997</v>
          </cell>
          <cell r="BV16">
            <v>1246.7982</v>
          </cell>
          <cell r="BW16">
            <v>4608.8310000000001</v>
          </cell>
          <cell r="BY16">
            <v>1069.9590000000001</v>
          </cell>
          <cell r="BZ16">
            <v>1067.8869999999999</v>
          </cell>
          <cell r="CA16">
            <v>1107.3150000000001</v>
          </cell>
          <cell r="CB16">
            <v>168.36500000000001</v>
          </cell>
          <cell r="CC16">
            <v>1275.68</v>
          </cell>
          <cell r="CD16">
            <v>1179.3720000000001</v>
          </cell>
          <cell r="CE16">
            <v>1334.8050000000001</v>
          </cell>
          <cell r="CF16">
            <v>4424.5330000000004</v>
          </cell>
          <cell r="CG16">
            <v>4579.9660000000003</v>
          </cell>
          <cell r="CH16">
            <v>4748.3310000000001</v>
          </cell>
          <cell r="CJ16">
            <v>1153.0650000000001</v>
          </cell>
          <cell r="CK16">
            <v>1113.9839999999999</v>
          </cell>
          <cell r="CL16">
            <v>1187.6289999999999</v>
          </cell>
          <cell r="CM16">
            <v>1283.8050000000001</v>
          </cell>
          <cell r="CN16">
            <v>4738.4830000000002</v>
          </cell>
          <cell r="CP16">
            <v>1174.1659999999999</v>
          </cell>
          <cell r="CQ16">
            <v>1142.298</v>
          </cell>
          <cell r="CR16">
            <v>1191.396</v>
          </cell>
          <cell r="CS16">
            <v>1238.9000000000001</v>
          </cell>
          <cell r="CT16">
            <v>4746.76</v>
          </cell>
          <cell r="CV16">
            <v>1154</v>
          </cell>
          <cell r="CW16">
            <v>1142</v>
          </cell>
          <cell r="CX16">
            <v>1146</v>
          </cell>
          <cell r="CY16">
            <v>1250</v>
          </cell>
          <cell r="CZ16">
            <v>4692</v>
          </cell>
          <cell r="DB16">
            <v>1201</v>
          </cell>
          <cell r="DC16">
            <v>1369</v>
          </cell>
          <cell r="DD16">
            <v>1381</v>
          </cell>
          <cell r="DE16">
            <v>1621</v>
          </cell>
          <cell r="DF16">
            <v>5572</v>
          </cell>
          <cell r="DH16">
            <v>1152</v>
          </cell>
          <cell r="DI16">
            <v>1104</v>
          </cell>
          <cell r="DJ16">
            <v>1218</v>
          </cell>
          <cell r="DK16">
            <v>1438</v>
          </cell>
          <cell r="DL16">
            <v>4912</v>
          </cell>
          <cell r="DN16">
            <v>1168</v>
          </cell>
          <cell r="DO16">
            <v>1106</v>
          </cell>
          <cell r="DP16">
            <v>1185</v>
          </cell>
          <cell r="DQ16">
            <v>1285</v>
          </cell>
          <cell r="DR16">
            <v>4806</v>
          </cell>
          <cell r="DT16">
            <v>1154</v>
          </cell>
          <cell r="DU16">
            <v>1135</v>
          </cell>
          <cell r="DV16">
            <v>1179</v>
          </cell>
          <cell r="DW16">
            <v>1301</v>
          </cell>
          <cell r="DX16">
            <v>4836</v>
          </cell>
          <cell r="DZ16">
            <v>1135</v>
          </cell>
          <cell r="EA16">
            <v>1135</v>
          </cell>
          <cell r="EB16">
            <v>1193</v>
          </cell>
          <cell r="EC16">
            <v>1302</v>
          </cell>
          <cell r="ED16">
            <v>4837</v>
          </cell>
          <cell r="EF16">
            <v>1195</v>
          </cell>
          <cell r="EG16">
            <v>1207</v>
          </cell>
          <cell r="EH16">
            <v>1207</v>
          </cell>
          <cell r="EI16">
            <v>1322</v>
          </cell>
          <cell r="EJ16">
            <v>4931</v>
          </cell>
          <cell r="EK16" t="str">
            <v>SG&amp;A Expense</v>
          </cell>
          <cell r="EL16">
            <v>1213</v>
          </cell>
          <cell r="EM16">
            <v>1206</v>
          </cell>
          <cell r="EN16">
            <v>1973</v>
          </cell>
          <cell r="EO16">
            <v>2588</v>
          </cell>
          <cell r="EP16">
            <v>6980</v>
          </cell>
          <cell r="ER16">
            <v>2154</v>
          </cell>
          <cell r="ES16">
            <v>2117</v>
          </cell>
          <cell r="ET16">
            <v>2094</v>
          </cell>
          <cell r="EU16">
            <v>2313</v>
          </cell>
          <cell r="EV16">
            <v>8678</v>
          </cell>
          <cell r="EX16">
            <v>2113</v>
          </cell>
          <cell r="EY16">
            <v>2038</v>
          </cell>
          <cell r="EZ16">
            <v>2121</v>
          </cell>
          <cell r="FA16">
            <v>2282</v>
          </cell>
          <cell r="FB16">
            <v>8554</v>
          </cell>
          <cell r="FD16">
            <v>2080</v>
          </cell>
          <cell r="FE16">
            <v>2037</v>
          </cell>
          <cell r="FF16">
            <v>2085</v>
          </cell>
          <cell r="FG16">
            <v>2256</v>
          </cell>
          <cell r="FH16">
            <v>8458</v>
          </cell>
          <cell r="FJ16">
            <v>1985</v>
          </cell>
          <cell r="FK16">
            <v>1886</v>
          </cell>
          <cell r="FL16">
            <v>2056</v>
          </cell>
          <cell r="FM16">
            <v>2236</v>
          </cell>
          <cell r="FN16">
            <v>8163</v>
          </cell>
          <cell r="FP16">
            <v>1993</v>
          </cell>
          <cell r="FQ16">
            <v>1953</v>
          </cell>
          <cell r="FR16">
            <v>2069</v>
          </cell>
          <cell r="FS16">
            <v>2245</v>
          </cell>
          <cell r="FT16">
            <v>8260</v>
          </cell>
          <cell r="FV16">
            <v>1973</v>
          </cell>
          <cell r="FW16">
            <v>1976</v>
          </cell>
          <cell r="FX16">
            <v>2018</v>
          </cell>
          <cell r="FY16">
            <v>2314</v>
          </cell>
          <cell r="FZ16">
            <v>8281</v>
          </cell>
          <cell r="GB16">
            <v>1995</v>
          </cell>
          <cell r="GC16">
            <v>2009</v>
          </cell>
          <cell r="GD16">
            <v>2122.0121029772449</v>
          </cell>
          <cell r="GE16">
            <v>2427.3951769090281</v>
          </cell>
          <cell r="GF16">
            <v>8553.4072798862726</v>
          </cell>
          <cell r="GS16" t="str">
            <v>mstag:sellingGeneralAndAdministrativeExpenses</v>
          </cell>
          <cell r="GT16">
            <v>6</v>
          </cell>
          <cell r="GU16" t="str">
            <v>ISO4217:USD</v>
          </cell>
          <cell r="GV16" t="b">
            <v>0</v>
          </cell>
          <cell r="GW16" t="b">
            <v>0</v>
          </cell>
        </row>
        <row r="17">
          <cell r="A17" t="str">
            <v>Operating Income</v>
          </cell>
          <cell r="C17">
            <v>249.44800000000009</v>
          </cell>
          <cell r="D17">
            <v>135.17300000000068</v>
          </cell>
          <cell r="E17">
            <v>266.97200000000021</v>
          </cell>
          <cell r="F17">
            <v>300.90299999999979</v>
          </cell>
          <cell r="G17">
            <v>438.43400000000065</v>
          </cell>
          <cell r="H17">
            <v>510.64299999999912</v>
          </cell>
          <cell r="I17">
            <v>641.1039999999989</v>
          </cell>
          <cell r="J17">
            <v>0.28676919756182384</v>
          </cell>
          <cell r="K17">
            <v>682.80099999999948</v>
          </cell>
          <cell r="L17">
            <v>994.65099999999893</v>
          </cell>
          <cell r="N17">
            <v>663</v>
          </cell>
          <cell r="O17">
            <v>893</v>
          </cell>
          <cell r="P17">
            <v>1341</v>
          </cell>
          <cell r="Q17">
            <v>1455</v>
          </cell>
          <cell r="R17">
            <v>1693</v>
          </cell>
          <cell r="S17">
            <v>1771</v>
          </cell>
          <cell r="T17">
            <v>1376</v>
          </cell>
          <cell r="U17">
            <v>1411</v>
          </cell>
          <cell r="V17">
            <v>1400</v>
          </cell>
          <cell r="W17">
            <v>1499</v>
          </cell>
          <cell r="X17">
            <v>2138</v>
          </cell>
          <cell r="Y17">
            <v>2273</v>
          </cell>
          <cell r="Z17">
            <v>2082</v>
          </cell>
          <cell r="AA17">
            <v>1425</v>
          </cell>
          <cell r="AB17">
            <v>1454</v>
          </cell>
          <cell r="AC17">
            <v>1919</v>
          </cell>
          <cell r="AD17">
            <v>2386</v>
          </cell>
          <cell r="AE17">
            <v>2671.2966222272662</v>
          </cell>
          <cell r="AF17">
            <v>2777.5915838515466</v>
          </cell>
          <cell r="AG17">
            <v>2903.3832369986631</v>
          </cell>
          <cell r="AH17">
            <v>2933.4651235252149</v>
          </cell>
          <cell r="AI17">
            <v>2933.3028287747547</v>
          </cell>
          <cell r="AJ17">
            <v>2992.4277725080719</v>
          </cell>
          <cell r="AK17">
            <v>3052.4418848331807</v>
          </cell>
          <cell r="AL17">
            <v>3113.3570366275362</v>
          </cell>
          <cell r="AN17" t="str">
            <v>Operating Income</v>
          </cell>
          <cell r="AO17">
            <v>26.448000000000093</v>
          </cell>
          <cell r="AP17">
            <v>-40.062000000000012</v>
          </cell>
          <cell r="AQ17">
            <v>42.317999999999984</v>
          </cell>
          <cell r="AR17">
            <v>106.46899999999994</v>
          </cell>
          <cell r="AS17">
            <v>135.173</v>
          </cell>
          <cell r="AU17">
            <v>41.520000000000095</v>
          </cell>
          <cell r="AV17">
            <v>8.5089999999999009</v>
          </cell>
          <cell r="AW17">
            <v>53.267000000000053</v>
          </cell>
          <cell r="AX17">
            <v>163.67600000000027</v>
          </cell>
          <cell r="AY17">
            <v>266.97200000000032</v>
          </cell>
          <cell r="BA17">
            <v>84.661000000000172</v>
          </cell>
          <cell r="BB17">
            <v>31.674999999999955</v>
          </cell>
          <cell r="BC17">
            <v>110.76799999999992</v>
          </cell>
          <cell r="BD17">
            <v>211.33000000000004</v>
          </cell>
          <cell r="BE17">
            <v>438.43400000000008</v>
          </cell>
          <cell r="BG17">
            <v>86.781000000000063</v>
          </cell>
          <cell r="BH17">
            <v>62.034999999999968</v>
          </cell>
          <cell r="BI17">
            <v>107.38199999999995</v>
          </cell>
          <cell r="BJ17">
            <v>254.44499999999982</v>
          </cell>
          <cell r="BK17">
            <v>510.64299999999912</v>
          </cell>
          <cell r="BM17">
            <v>108.60800000000017</v>
          </cell>
          <cell r="BN17">
            <v>86.573999999999842</v>
          </cell>
          <cell r="BO17">
            <v>132.697</v>
          </cell>
          <cell r="BP17">
            <v>313.22500000000002</v>
          </cell>
          <cell r="BQ17">
            <v>641.1039999999989</v>
          </cell>
          <cell r="BS17">
            <v>60.500999999999976</v>
          </cell>
          <cell r="BT17">
            <v>32.076000000000022</v>
          </cell>
          <cell r="BU17">
            <v>124.07500000000005</v>
          </cell>
          <cell r="BV17">
            <v>466.14900000000011</v>
          </cell>
          <cell r="BW17">
            <v>682.80099999999948</v>
          </cell>
          <cell r="BY17">
            <v>95.886999999999716</v>
          </cell>
          <cell r="BZ17">
            <v>116.19800000000009</v>
          </cell>
          <cell r="CA17">
            <v>186.59699999999975</v>
          </cell>
          <cell r="CB17">
            <v>-42.526000000000238</v>
          </cell>
          <cell r="CC17">
            <v>144.11199999999985</v>
          </cell>
          <cell r="CD17">
            <v>595.96899999999982</v>
          </cell>
          <cell r="CE17">
            <v>625.72399999999948</v>
          </cell>
          <cell r="CF17">
            <v>994.65099999999893</v>
          </cell>
          <cell r="CG17">
            <v>1024.405999999999</v>
          </cell>
          <cell r="CH17">
            <v>981.87999999999738</v>
          </cell>
          <cell r="CJ17">
            <v>132.98699999999985</v>
          </cell>
          <cell r="CK17">
            <v>174.67100000000005</v>
          </cell>
          <cell r="CL17">
            <v>231.61600000000044</v>
          </cell>
          <cell r="CM17">
            <v>662.59099999999967</v>
          </cell>
          <cell r="CN17">
            <v>1201.8649999999998</v>
          </cell>
          <cell r="CP17">
            <v>148.06000000000017</v>
          </cell>
          <cell r="CQ17">
            <v>211.86000000000035</v>
          </cell>
          <cell r="CR17">
            <v>267.96100000000001</v>
          </cell>
          <cell r="CS17">
            <v>712.904</v>
          </cell>
          <cell r="CT17">
            <v>1340.7850000000005</v>
          </cell>
          <cell r="CV17">
            <v>181</v>
          </cell>
          <cell r="CW17">
            <v>267</v>
          </cell>
          <cell r="CX17">
            <v>257</v>
          </cell>
          <cell r="CY17">
            <v>750</v>
          </cell>
          <cell r="CZ17">
            <v>1455</v>
          </cell>
          <cell r="DB17">
            <v>225</v>
          </cell>
          <cell r="DC17">
            <v>318</v>
          </cell>
          <cell r="DD17">
            <v>302</v>
          </cell>
          <cell r="DE17">
            <v>856</v>
          </cell>
          <cell r="DF17">
            <v>1701</v>
          </cell>
          <cell r="DH17">
            <v>269</v>
          </cell>
          <cell r="DI17">
            <v>402</v>
          </cell>
          <cell r="DJ17">
            <v>269</v>
          </cell>
          <cell r="DK17">
            <v>831</v>
          </cell>
          <cell r="DL17">
            <v>1771</v>
          </cell>
          <cell r="DN17">
            <v>230</v>
          </cell>
          <cell r="DO17">
            <v>254</v>
          </cell>
          <cell r="DP17">
            <v>156</v>
          </cell>
          <cell r="DQ17">
            <v>736</v>
          </cell>
          <cell r="DR17">
            <v>1376</v>
          </cell>
          <cell r="DT17">
            <v>221</v>
          </cell>
          <cell r="DU17">
            <v>300</v>
          </cell>
          <cell r="DV17">
            <v>188</v>
          </cell>
          <cell r="DW17">
            <v>702</v>
          </cell>
          <cell r="DX17">
            <v>1411</v>
          </cell>
          <cell r="DZ17">
            <v>154</v>
          </cell>
          <cell r="EA17">
            <v>274</v>
          </cell>
          <cell r="EB17">
            <v>202</v>
          </cell>
          <cell r="EC17">
            <v>770</v>
          </cell>
          <cell r="ED17">
            <v>1400</v>
          </cell>
          <cell r="EF17">
            <v>236</v>
          </cell>
          <cell r="EG17">
            <v>276</v>
          </cell>
          <cell r="EH17">
            <v>211</v>
          </cell>
          <cell r="EI17">
            <v>776</v>
          </cell>
          <cell r="EJ17">
            <v>1499</v>
          </cell>
          <cell r="EK17" t="str">
            <v>Operating Income</v>
          </cell>
          <cell r="EL17">
            <v>252</v>
          </cell>
          <cell r="EM17">
            <v>291</v>
          </cell>
          <cell r="EN17">
            <v>270</v>
          </cell>
          <cell r="EO17">
            <v>1325</v>
          </cell>
          <cell r="EP17">
            <v>2138</v>
          </cell>
          <cell r="ER17">
            <v>149</v>
          </cell>
          <cell r="ES17">
            <v>408</v>
          </cell>
          <cell r="ET17">
            <v>279</v>
          </cell>
          <cell r="EU17">
            <v>1437</v>
          </cell>
          <cell r="EV17">
            <v>2273</v>
          </cell>
          <cell r="EX17">
            <v>244</v>
          </cell>
          <cell r="EY17">
            <v>347</v>
          </cell>
          <cell r="EZ17">
            <v>200</v>
          </cell>
          <cell r="FA17">
            <v>1291</v>
          </cell>
          <cell r="FB17">
            <v>2082</v>
          </cell>
          <cell r="FD17">
            <v>140</v>
          </cell>
          <cell r="FE17">
            <v>335</v>
          </cell>
          <cell r="FF17">
            <v>84</v>
          </cell>
          <cell r="FG17">
            <v>866</v>
          </cell>
          <cell r="FH17">
            <v>1425</v>
          </cell>
          <cell r="FJ17">
            <v>24</v>
          </cell>
          <cell r="FK17">
            <v>282</v>
          </cell>
          <cell r="FL17">
            <v>88</v>
          </cell>
          <cell r="FM17">
            <v>1060</v>
          </cell>
          <cell r="FN17">
            <v>1454</v>
          </cell>
          <cell r="FP17">
            <v>203</v>
          </cell>
          <cell r="FQ17">
            <v>370</v>
          </cell>
          <cell r="FR17">
            <v>177</v>
          </cell>
          <cell r="FS17">
            <v>1169</v>
          </cell>
          <cell r="FT17">
            <v>1919</v>
          </cell>
          <cell r="FV17">
            <v>330</v>
          </cell>
          <cell r="FW17">
            <v>506</v>
          </cell>
          <cell r="FX17">
            <v>291</v>
          </cell>
          <cell r="FY17">
            <v>1259</v>
          </cell>
          <cell r="FZ17">
            <v>2386</v>
          </cell>
          <cell r="GB17">
            <v>391</v>
          </cell>
          <cell r="GC17">
            <v>554</v>
          </cell>
          <cell r="GD17">
            <v>281.57499452664797</v>
          </cell>
          <cell r="GE17">
            <v>1444.7216277006182</v>
          </cell>
          <cell r="GF17">
            <v>2671.2966222272662</v>
          </cell>
        </row>
        <row r="19">
          <cell r="A19" t="str">
            <v xml:space="preserve">Interest Expense, net </v>
          </cell>
          <cell r="C19">
            <v>806.66499999999996</v>
          </cell>
          <cell r="D19">
            <v>555.94200000000001</v>
          </cell>
          <cell r="E19">
            <v>436.99700000000001</v>
          </cell>
          <cell r="F19">
            <v>224.37599999999998</v>
          </cell>
          <cell r="G19">
            <v>197.85400000000001</v>
          </cell>
          <cell r="H19">
            <v>164.13899999999998</v>
          </cell>
          <cell r="I19">
            <v>199.44799999999998</v>
          </cell>
          <cell r="K19">
            <v>448</v>
          </cell>
          <cell r="L19">
            <v>413.26499999999999</v>
          </cell>
          <cell r="N19">
            <v>461</v>
          </cell>
          <cell r="O19">
            <v>452</v>
          </cell>
          <cell r="P19">
            <v>383</v>
          </cell>
          <cell r="Q19">
            <v>292</v>
          </cell>
          <cell r="R19">
            <v>307</v>
          </cell>
          <cell r="S19">
            <v>321</v>
          </cell>
          <cell r="T19">
            <v>324</v>
          </cell>
          <cell r="U19">
            <v>295</v>
          </cell>
          <cell r="V19">
            <v>257</v>
          </cell>
          <cell r="W19">
            <v>225</v>
          </cell>
          <cell r="X19">
            <v>397</v>
          </cell>
          <cell r="Y19">
            <v>461</v>
          </cell>
          <cell r="Z19">
            <v>543</v>
          </cell>
          <cell r="AA19">
            <v>560</v>
          </cell>
          <cell r="AB19">
            <v>556</v>
          </cell>
          <cell r="AC19">
            <v>574</v>
          </cell>
          <cell r="AD19">
            <v>443</v>
          </cell>
          <cell r="AE19">
            <v>437.94267925414607</v>
          </cell>
          <cell r="AF19">
            <v>437.64689230808881</v>
          </cell>
          <cell r="AG19">
            <v>333.89684092277935</v>
          </cell>
          <cell r="AH19">
            <v>328.47781900841903</v>
          </cell>
          <cell r="AI19">
            <v>261.10044333485752</v>
          </cell>
          <cell r="AJ19">
            <v>217.66232702027793</v>
          </cell>
          <cell r="AK19">
            <v>193.03041288077011</v>
          </cell>
          <cell r="AL19">
            <v>185.41379199688066</v>
          </cell>
          <cell r="AN19" t="str">
            <v xml:space="preserve">Interest Expense, net </v>
          </cell>
          <cell r="AO19">
            <v>150.16</v>
          </cell>
          <cell r="AP19">
            <v>137.041</v>
          </cell>
          <cell r="AQ19">
            <v>134.49700000000001</v>
          </cell>
          <cell r="AR19">
            <v>134.244</v>
          </cell>
          <cell r="AS19">
            <v>555.94200000000001</v>
          </cell>
          <cell r="AU19">
            <v>115.88100000000001</v>
          </cell>
          <cell r="AV19">
            <v>110.38499999999999</v>
          </cell>
          <cell r="AW19">
            <v>109.601</v>
          </cell>
          <cell r="AX19">
            <v>101.13</v>
          </cell>
          <cell r="AY19">
            <v>436.99700000000001</v>
          </cell>
          <cell r="BA19">
            <v>57.285000000000011</v>
          </cell>
          <cell r="BB19">
            <v>49.753999999999998</v>
          </cell>
          <cell r="BC19">
            <v>43.933</v>
          </cell>
          <cell r="BD19">
            <v>46.881999999999998</v>
          </cell>
          <cell r="BE19">
            <v>197.85400000000001</v>
          </cell>
          <cell r="BG19">
            <v>43.271999999999998</v>
          </cell>
          <cell r="BH19">
            <v>40.268999999999998</v>
          </cell>
          <cell r="BI19">
            <v>39.991999999999997</v>
          </cell>
          <cell r="BJ19">
            <v>40.606000000000002</v>
          </cell>
          <cell r="BK19">
            <v>164.13899999999998</v>
          </cell>
          <cell r="BM19">
            <v>45.338999999999999</v>
          </cell>
          <cell r="BN19">
            <v>48.698</v>
          </cell>
          <cell r="BO19">
            <v>50.985999999999997</v>
          </cell>
          <cell r="BP19">
            <v>54.424999999999997</v>
          </cell>
          <cell r="BQ19">
            <v>199.44799999999998</v>
          </cell>
          <cell r="BS19">
            <v>103.04</v>
          </cell>
          <cell r="BT19">
            <v>109.75999999999999</v>
          </cell>
          <cell r="BU19">
            <v>114.24000000000001</v>
          </cell>
          <cell r="BV19">
            <v>120.96000000000001</v>
          </cell>
          <cell r="BW19">
            <v>448</v>
          </cell>
          <cell r="BY19">
            <v>97.552000000000007</v>
          </cell>
          <cell r="BZ19">
            <v>103.21599999999999</v>
          </cell>
          <cell r="CA19">
            <v>104.617</v>
          </cell>
          <cell r="CB19">
            <v>25.671999999999983</v>
          </cell>
          <cell r="CC19">
            <v>130.28899999999999</v>
          </cell>
          <cell r="CD19">
            <v>107.88</v>
          </cell>
          <cell r="CE19">
            <v>129.971</v>
          </cell>
          <cell r="CF19">
            <v>413.26499999999999</v>
          </cell>
          <cell r="CG19">
            <v>435.35599999999999</v>
          </cell>
          <cell r="CH19">
            <v>461.02799999999996</v>
          </cell>
          <cell r="CJ19">
            <v>112.28100000000001</v>
          </cell>
          <cell r="CK19">
            <v>115.614</v>
          </cell>
          <cell r="CL19">
            <v>113.361</v>
          </cell>
          <cell r="CM19">
            <v>110.508</v>
          </cell>
          <cell r="CN19">
            <v>451.76400000000001</v>
          </cell>
          <cell r="CP19">
            <v>104.377</v>
          </cell>
          <cell r="CQ19">
            <v>99.263000000000005</v>
          </cell>
          <cell r="CR19">
            <v>91.878</v>
          </cell>
          <cell r="CS19">
            <v>86.977000000000004</v>
          </cell>
          <cell r="CT19">
            <v>382.495</v>
          </cell>
          <cell r="CV19">
            <v>77</v>
          </cell>
          <cell r="CW19">
            <v>74</v>
          </cell>
          <cell r="CX19">
            <v>72</v>
          </cell>
          <cell r="CY19">
            <v>69</v>
          </cell>
          <cell r="CZ19">
            <v>292</v>
          </cell>
          <cell r="DB19">
            <v>75</v>
          </cell>
          <cell r="DC19">
            <v>85</v>
          </cell>
          <cell r="DD19">
            <v>91</v>
          </cell>
          <cell r="DE19">
            <v>104</v>
          </cell>
          <cell r="DF19">
            <v>355</v>
          </cell>
          <cell r="DH19">
            <v>69</v>
          </cell>
          <cell r="DI19">
            <v>78</v>
          </cell>
          <cell r="DJ19">
            <v>84</v>
          </cell>
          <cell r="DK19">
            <v>90</v>
          </cell>
          <cell r="DL19">
            <v>321</v>
          </cell>
          <cell r="DN19">
            <v>78</v>
          </cell>
          <cell r="DO19">
            <v>78</v>
          </cell>
          <cell r="DP19">
            <v>80</v>
          </cell>
          <cell r="DQ19">
            <v>88</v>
          </cell>
          <cell r="DR19">
            <v>324</v>
          </cell>
          <cell r="DT19">
            <v>74</v>
          </cell>
          <cell r="DU19">
            <v>78</v>
          </cell>
          <cell r="DV19">
            <v>73</v>
          </cell>
          <cell r="DW19">
            <v>70</v>
          </cell>
          <cell r="DX19">
            <v>295</v>
          </cell>
          <cell r="DZ19">
            <v>70</v>
          </cell>
          <cell r="EA19">
            <v>65</v>
          </cell>
          <cell r="EB19">
            <v>61</v>
          </cell>
          <cell r="EC19">
            <v>61</v>
          </cell>
          <cell r="ED19">
            <v>257</v>
          </cell>
          <cell r="EF19">
            <v>60</v>
          </cell>
          <cell r="EG19">
            <v>60</v>
          </cell>
          <cell r="EH19">
            <v>55</v>
          </cell>
          <cell r="EI19">
            <v>50</v>
          </cell>
          <cell r="EJ19">
            <v>225</v>
          </cell>
          <cell r="EK19" t="str">
            <v xml:space="preserve">Interest Expense, net </v>
          </cell>
          <cell r="EL19">
            <v>54</v>
          </cell>
          <cell r="EM19">
            <v>54</v>
          </cell>
          <cell r="EN19">
            <v>145</v>
          </cell>
          <cell r="EO19">
            <v>144</v>
          </cell>
          <cell r="EP19">
            <v>397</v>
          </cell>
          <cell r="ER19">
            <v>138</v>
          </cell>
          <cell r="ES19">
            <v>116</v>
          </cell>
          <cell r="ET19">
            <v>104</v>
          </cell>
          <cell r="EU19">
            <v>103</v>
          </cell>
          <cell r="EV19">
            <v>461</v>
          </cell>
          <cell r="EX19">
            <v>125</v>
          </cell>
          <cell r="EY19">
            <v>137</v>
          </cell>
          <cell r="EZ19">
            <v>145</v>
          </cell>
          <cell r="FA19">
            <v>136</v>
          </cell>
          <cell r="FB19">
            <v>543</v>
          </cell>
          <cell r="FD19">
            <v>136</v>
          </cell>
          <cell r="FE19">
            <v>138</v>
          </cell>
          <cell r="FF19">
            <v>143</v>
          </cell>
          <cell r="FG19">
            <v>143</v>
          </cell>
          <cell r="FH19">
            <v>560</v>
          </cell>
          <cell r="FJ19">
            <v>141</v>
          </cell>
          <cell r="FK19">
            <v>139</v>
          </cell>
          <cell r="FL19">
            <v>137</v>
          </cell>
          <cell r="FM19">
            <v>139</v>
          </cell>
          <cell r="FN19">
            <v>556</v>
          </cell>
          <cell r="FP19">
            <v>162</v>
          </cell>
          <cell r="FQ19">
            <v>130</v>
          </cell>
          <cell r="FR19">
            <v>164</v>
          </cell>
          <cell r="FS19">
            <v>118</v>
          </cell>
          <cell r="FT19">
            <v>574</v>
          </cell>
          <cell r="FV19">
            <v>116</v>
          </cell>
          <cell r="FW19">
            <v>111</v>
          </cell>
          <cell r="FX19">
            <v>108</v>
          </cell>
          <cell r="FY19">
            <v>108</v>
          </cell>
          <cell r="FZ19">
            <v>443</v>
          </cell>
          <cell r="GB19">
            <v>112</v>
          </cell>
          <cell r="GC19">
            <v>105</v>
          </cell>
          <cell r="GD19">
            <v>106.92000000000002</v>
          </cell>
          <cell r="GE19">
            <v>114.02267925414607</v>
          </cell>
          <cell r="GF19">
            <v>437.94267925414607</v>
          </cell>
          <cell r="GS19" t="str">
            <v>mstag:interestExpense</v>
          </cell>
          <cell r="GT19">
            <v>6</v>
          </cell>
          <cell r="GU19" t="str">
            <v>ISO4217:USD</v>
          </cell>
          <cell r="GV19" t="b">
            <v>0</v>
          </cell>
          <cell r="GW19" t="b">
            <v>0</v>
          </cell>
        </row>
        <row r="20">
          <cell r="A20" t="str">
            <v>LIFO Charge</v>
          </cell>
          <cell r="C20">
            <v>0</v>
          </cell>
          <cell r="D20">
            <v>0</v>
          </cell>
          <cell r="E20">
            <v>0</v>
          </cell>
          <cell r="F20">
            <v>23.248000000000001</v>
          </cell>
          <cell r="G20">
            <v>8.5730000000000022</v>
          </cell>
          <cell r="H20">
            <v>2.7240000000000002</v>
          </cell>
          <cell r="I20">
            <v>-11.271000000000001</v>
          </cell>
          <cell r="K20">
            <v>-2.0990000000000002</v>
          </cell>
          <cell r="L20">
            <v>-0.2390000000000001</v>
          </cell>
          <cell r="AN20" t="str">
            <v>LIFO Charge</v>
          </cell>
          <cell r="AO20">
            <v>0</v>
          </cell>
          <cell r="AP20">
            <v>0</v>
          </cell>
          <cell r="AQ20">
            <v>0</v>
          </cell>
          <cell r="AR20">
            <v>0</v>
          </cell>
          <cell r="AS20">
            <v>0</v>
          </cell>
          <cell r="AU20">
            <v>0</v>
          </cell>
          <cell r="AV20">
            <v>0</v>
          </cell>
          <cell r="AW20">
            <v>0</v>
          </cell>
          <cell r="AX20">
            <v>10.055999999999999</v>
          </cell>
          <cell r="AY20">
            <v>23.248000000000001</v>
          </cell>
          <cell r="BA20">
            <v>4.4000000000000004</v>
          </cell>
          <cell r="BB20">
            <v>4.4000000000000004</v>
          </cell>
          <cell r="BC20">
            <v>11.3</v>
          </cell>
          <cell r="BD20">
            <v>-11.526999999999999</v>
          </cell>
          <cell r="BE20">
            <v>8.5730000000000022</v>
          </cell>
          <cell r="BG20">
            <v>3.85</v>
          </cell>
          <cell r="BH20">
            <v>3.6749999999999998</v>
          </cell>
          <cell r="BI20">
            <v>4.375</v>
          </cell>
          <cell r="BJ20">
            <v>-9.1760000000000002</v>
          </cell>
          <cell r="BK20">
            <v>2.7240000000000002</v>
          </cell>
          <cell r="BM20">
            <v>5.2009999999999996</v>
          </cell>
          <cell r="BN20">
            <v>0.60399999999999998</v>
          </cell>
          <cell r="BO20">
            <v>3.375</v>
          </cell>
          <cell r="BP20">
            <v>-20.451000000000001</v>
          </cell>
          <cell r="BQ20">
            <v>-11.271000000000001</v>
          </cell>
          <cell r="BS20">
            <v>10.201000000000001</v>
          </cell>
          <cell r="BT20">
            <v>2.2759999999999998</v>
          </cell>
          <cell r="BU20">
            <v>5.875</v>
          </cell>
          <cell r="BV20">
            <v>-20.451000000000001</v>
          </cell>
          <cell r="BW20">
            <v>-2.0990000000000002</v>
          </cell>
          <cell r="BY20">
            <v>1.7609999999999999</v>
          </cell>
          <cell r="BZ20">
            <v>0</v>
          </cell>
          <cell r="CA20">
            <v>0</v>
          </cell>
          <cell r="CB20">
            <v>0</v>
          </cell>
          <cell r="CC20">
            <v>0</v>
          </cell>
          <cell r="CD20">
            <v>-2</v>
          </cell>
          <cell r="CE20">
            <v>-1.7609999999999999</v>
          </cell>
          <cell r="CF20">
            <v>-0.2390000000000001</v>
          </cell>
          <cell r="CG20">
            <v>0</v>
          </cell>
          <cell r="CH20">
            <v>0</v>
          </cell>
        </row>
        <row r="21">
          <cell r="A21" t="str">
            <v>Pre-Tax Extraordinary Charges (FYins)</v>
          </cell>
          <cell r="C21">
            <v>1209.9270000000001</v>
          </cell>
          <cell r="D21">
            <v>127.032</v>
          </cell>
          <cell r="E21">
            <v>1679.9359999999999</v>
          </cell>
          <cell r="F21">
            <v>0</v>
          </cell>
          <cell r="G21">
            <v>0</v>
          </cell>
          <cell r="H21">
            <v>-24</v>
          </cell>
          <cell r="I21">
            <v>25.204999999999998</v>
          </cell>
          <cell r="K21">
            <v>144.60500000000002</v>
          </cell>
          <cell r="L21">
            <v>276.92599999999999</v>
          </cell>
          <cell r="N21">
            <v>0</v>
          </cell>
          <cell r="O21">
            <v>0</v>
          </cell>
          <cell r="P21">
            <v>0</v>
          </cell>
          <cell r="Q21">
            <v>0</v>
          </cell>
          <cell r="R21">
            <v>0</v>
          </cell>
          <cell r="S21">
            <v>80</v>
          </cell>
          <cell r="T21">
            <v>272</v>
          </cell>
          <cell r="U21">
            <v>68</v>
          </cell>
          <cell r="V21">
            <v>59</v>
          </cell>
          <cell r="W21">
            <v>158</v>
          </cell>
          <cell r="X21">
            <v>-303</v>
          </cell>
          <cell r="Y21">
            <v>437</v>
          </cell>
          <cell r="Z21">
            <v>219</v>
          </cell>
          <cell r="AA21">
            <v>421</v>
          </cell>
          <cell r="AB21">
            <v>391</v>
          </cell>
          <cell r="AC21">
            <v>25</v>
          </cell>
          <cell r="AD21">
            <v>-25</v>
          </cell>
          <cell r="AE21">
            <v>0</v>
          </cell>
          <cell r="AF21">
            <v>0</v>
          </cell>
          <cell r="AG21">
            <v>0</v>
          </cell>
          <cell r="AH21">
            <v>0</v>
          </cell>
          <cell r="AI21">
            <v>0</v>
          </cell>
          <cell r="AJ21">
            <v>0</v>
          </cell>
          <cell r="AK21">
            <v>0</v>
          </cell>
          <cell r="AL21">
            <v>0</v>
          </cell>
          <cell r="AN21" t="str">
            <v>Pre-Tax Extraordinary Charges (FYins)</v>
          </cell>
          <cell r="AO21">
            <v>19.689</v>
          </cell>
          <cell r="AP21">
            <v>9.3439999999999994</v>
          </cell>
          <cell r="AQ21">
            <v>29.286000000000001</v>
          </cell>
          <cell r="AR21">
            <v>68.712999999999994</v>
          </cell>
          <cell r="AS21">
            <v>127.032</v>
          </cell>
          <cell r="AU21">
            <v>10.657</v>
          </cell>
          <cell r="AV21">
            <v>108.504</v>
          </cell>
          <cell r="AW21">
            <v>23.658000000000001</v>
          </cell>
          <cell r="AX21">
            <v>1537.117</v>
          </cell>
          <cell r="AY21">
            <v>1679.9359999999999</v>
          </cell>
          <cell r="BA21">
            <v>0</v>
          </cell>
          <cell r="BB21">
            <v>0</v>
          </cell>
          <cell r="BC21">
            <v>0</v>
          </cell>
          <cell r="BD21">
            <v>0</v>
          </cell>
          <cell r="BE21">
            <v>0</v>
          </cell>
          <cell r="BG21">
            <v>0</v>
          </cell>
          <cell r="BH21">
            <v>0</v>
          </cell>
          <cell r="BI21">
            <v>0</v>
          </cell>
          <cell r="BJ21">
            <v>-24</v>
          </cell>
          <cell r="BK21">
            <v>-24</v>
          </cell>
          <cell r="BM21">
            <v>0</v>
          </cell>
          <cell r="BN21">
            <v>27.004999999999999</v>
          </cell>
          <cell r="BO21">
            <v>0</v>
          </cell>
          <cell r="BP21">
            <v>-1.8000000000000007</v>
          </cell>
          <cell r="BQ21">
            <v>25.204999999999998</v>
          </cell>
          <cell r="BS21">
            <v>0</v>
          </cell>
          <cell r="BT21">
            <v>7.5050000000000026</v>
          </cell>
          <cell r="BU21">
            <v>80</v>
          </cell>
          <cell r="BV21">
            <v>57.100000000000009</v>
          </cell>
          <cell r="BW21">
            <v>144.60500000000002</v>
          </cell>
          <cell r="BY21">
            <v>83.322000000000003</v>
          </cell>
          <cell r="BZ21">
            <v>114.604</v>
          </cell>
          <cell r="CA21">
            <v>39</v>
          </cell>
          <cell r="CB21">
            <v>0</v>
          </cell>
          <cell r="CC21">
            <v>39.134</v>
          </cell>
          <cell r="CD21">
            <v>40</v>
          </cell>
          <cell r="CE21">
            <v>82.450999999999993</v>
          </cell>
          <cell r="CF21">
            <v>276.92599999999999</v>
          </cell>
          <cell r="CG21">
            <v>319.37699999999995</v>
          </cell>
          <cell r="CH21">
            <v>319.37699999999995</v>
          </cell>
          <cell r="CJ21">
            <v>77.7</v>
          </cell>
          <cell r="CK21">
            <v>98.917000000000002</v>
          </cell>
          <cell r="CL21">
            <v>44.304000000000002</v>
          </cell>
          <cell r="CM21">
            <v>87.721999999999994</v>
          </cell>
          <cell r="CN21">
            <v>308.64300000000003</v>
          </cell>
          <cell r="CP21">
            <v>0</v>
          </cell>
          <cell r="CQ21">
            <v>0</v>
          </cell>
          <cell r="CR21">
            <v>0</v>
          </cell>
          <cell r="CS21">
            <v>0</v>
          </cell>
          <cell r="CT21">
            <v>0</v>
          </cell>
          <cell r="CV21">
            <v>0</v>
          </cell>
          <cell r="CW21">
            <v>0</v>
          </cell>
          <cell r="CX21">
            <v>0</v>
          </cell>
          <cell r="CY21">
            <v>0</v>
          </cell>
          <cell r="CZ21">
            <v>0</v>
          </cell>
          <cell r="DB21">
            <v>0</v>
          </cell>
          <cell r="DC21">
            <v>0</v>
          </cell>
          <cell r="DD21">
            <v>0</v>
          </cell>
          <cell r="DE21">
            <v>0</v>
          </cell>
          <cell r="DF21">
            <v>0</v>
          </cell>
          <cell r="DH21">
            <v>0</v>
          </cell>
          <cell r="DI21">
            <v>0</v>
          </cell>
          <cell r="DJ21">
            <v>0</v>
          </cell>
          <cell r="DK21">
            <v>80</v>
          </cell>
          <cell r="DL21">
            <v>80</v>
          </cell>
          <cell r="DN21">
            <v>52</v>
          </cell>
          <cell r="DO21">
            <v>41</v>
          </cell>
          <cell r="DP21">
            <v>30</v>
          </cell>
          <cell r="DQ21">
            <v>149</v>
          </cell>
          <cell r="DR21">
            <v>272</v>
          </cell>
          <cell r="DT21">
            <v>0</v>
          </cell>
          <cell r="DU21">
            <v>0</v>
          </cell>
          <cell r="DV21">
            <v>0</v>
          </cell>
          <cell r="DW21">
            <v>68</v>
          </cell>
          <cell r="DX21">
            <v>68</v>
          </cell>
          <cell r="DZ21">
            <v>8</v>
          </cell>
          <cell r="EA21">
            <v>10</v>
          </cell>
          <cell r="EB21">
            <v>29</v>
          </cell>
          <cell r="EC21">
            <v>12</v>
          </cell>
          <cell r="ED21">
            <v>59</v>
          </cell>
          <cell r="EF21">
            <v>19</v>
          </cell>
          <cell r="EG21">
            <v>90</v>
          </cell>
          <cell r="EH21">
            <v>36</v>
          </cell>
          <cell r="EI21">
            <v>13</v>
          </cell>
          <cell r="EJ21">
            <v>158</v>
          </cell>
          <cell r="EK21" t="str">
            <v>Pre-Tax Extraordinary Charges (FYins)</v>
          </cell>
          <cell r="EL21">
            <v>0</v>
          </cell>
          <cell r="EM21">
            <v>0</v>
          </cell>
          <cell r="EN21">
            <v>-417</v>
          </cell>
          <cell r="EO21">
            <v>114</v>
          </cell>
          <cell r="EP21">
            <v>-303</v>
          </cell>
          <cell r="ER21">
            <v>129</v>
          </cell>
          <cell r="ES21">
            <v>-14</v>
          </cell>
          <cell r="ET21">
            <v>145</v>
          </cell>
          <cell r="EU21">
            <v>177</v>
          </cell>
          <cell r="EV21">
            <v>437</v>
          </cell>
          <cell r="EX21">
            <v>36</v>
          </cell>
          <cell r="EY21">
            <v>97</v>
          </cell>
          <cell r="EZ21">
            <v>17</v>
          </cell>
          <cell r="FA21">
            <v>69</v>
          </cell>
          <cell r="FB21">
            <v>219</v>
          </cell>
          <cell r="FD21">
            <v>110</v>
          </cell>
          <cell r="FE21">
            <v>76</v>
          </cell>
          <cell r="FF21">
            <v>16</v>
          </cell>
          <cell r="FG21">
            <v>219</v>
          </cell>
          <cell r="FH21">
            <v>421</v>
          </cell>
          <cell r="FJ21">
            <v>138</v>
          </cell>
          <cell r="FK21">
            <v>34</v>
          </cell>
          <cell r="FL21">
            <v>33</v>
          </cell>
          <cell r="FM21">
            <v>186</v>
          </cell>
          <cell r="FN21">
            <v>391</v>
          </cell>
          <cell r="FP21">
            <v>0</v>
          </cell>
          <cell r="FQ21">
            <v>0</v>
          </cell>
          <cell r="FR21">
            <v>0</v>
          </cell>
          <cell r="FS21">
            <v>25</v>
          </cell>
          <cell r="FT21">
            <v>25</v>
          </cell>
          <cell r="FV21">
            <v>0</v>
          </cell>
          <cell r="FW21">
            <v>0</v>
          </cell>
          <cell r="FX21">
            <v>0</v>
          </cell>
          <cell r="FY21">
            <v>-25</v>
          </cell>
          <cell r="FZ21">
            <v>-25</v>
          </cell>
          <cell r="GB21">
            <v>0</v>
          </cell>
          <cell r="GC21">
            <v>0</v>
          </cell>
          <cell r="GD21">
            <v>0</v>
          </cell>
          <cell r="GE21">
            <v>0</v>
          </cell>
          <cell r="GF21">
            <v>0</v>
          </cell>
        </row>
        <row r="23">
          <cell r="A23" t="str">
            <v>Pretax Income</v>
          </cell>
          <cell r="C23">
            <v>-1767.144</v>
          </cell>
          <cell r="D23">
            <v>-547.80099999999936</v>
          </cell>
          <cell r="E23">
            <v>-1849.9609999999998</v>
          </cell>
          <cell r="F23">
            <v>53.278999999999812</v>
          </cell>
          <cell r="G23">
            <v>232.00700000000063</v>
          </cell>
          <cell r="H23">
            <v>367.77999999999912</v>
          </cell>
          <cell r="I23">
            <v>427.72199999999896</v>
          </cell>
          <cell r="J23">
            <v>1.0023277888444908</v>
          </cell>
          <cell r="K23">
            <v>92.294999999999447</v>
          </cell>
          <cell r="L23">
            <v>304.69899999999899</v>
          </cell>
          <cell r="N23">
            <v>202</v>
          </cell>
          <cell r="O23">
            <v>441</v>
          </cell>
          <cell r="P23">
            <v>958</v>
          </cell>
          <cell r="Q23">
            <v>1163</v>
          </cell>
          <cell r="R23">
            <v>1386</v>
          </cell>
          <cell r="S23">
            <v>1370</v>
          </cell>
          <cell r="T23">
            <v>780</v>
          </cell>
          <cell r="U23">
            <v>1048</v>
          </cell>
          <cell r="V23">
            <v>1084</v>
          </cell>
          <cell r="W23">
            <v>1116</v>
          </cell>
          <cell r="X23">
            <v>2044</v>
          </cell>
          <cell r="Y23">
            <v>1375</v>
          </cell>
          <cell r="Z23">
            <v>1320</v>
          </cell>
          <cell r="AA23">
            <v>444</v>
          </cell>
          <cell r="AB23">
            <v>507</v>
          </cell>
          <cell r="AC23">
            <v>1320</v>
          </cell>
          <cell r="AD23">
            <v>1968</v>
          </cell>
          <cell r="AE23">
            <v>2233.35394297312</v>
          </cell>
          <cell r="AF23">
            <v>2339.9446915434578</v>
          </cell>
          <cell r="AG23">
            <v>2569.4863960758839</v>
          </cell>
          <cell r="AH23">
            <v>2604.987304516796</v>
          </cell>
          <cell r="AI23">
            <v>2672.2023854398972</v>
          </cell>
          <cell r="AJ23">
            <v>2774.7654454877938</v>
          </cell>
          <cell r="AK23">
            <v>2859.4114719524105</v>
          </cell>
          <cell r="AL23">
            <v>2927.9432446306555</v>
          </cell>
          <cell r="AN23" t="str">
            <v>Pretax Income</v>
          </cell>
          <cell r="AO23">
            <v>-143.4009999999999</v>
          </cell>
          <cell r="AP23">
            <v>-186.447</v>
          </cell>
          <cell r="AQ23">
            <v>-121.46500000000003</v>
          </cell>
          <cell r="AR23">
            <v>-96.488000000000056</v>
          </cell>
          <cell r="AS23">
            <v>-547.80100000000004</v>
          </cell>
          <cell r="AT23">
            <v>0</v>
          </cell>
          <cell r="AU23">
            <v>-85.017999999999915</v>
          </cell>
          <cell r="AV23">
            <v>-210.38000000000011</v>
          </cell>
          <cell r="AW23">
            <v>-79.991999999999962</v>
          </cell>
          <cell r="AX23">
            <v>-1484.6269999999995</v>
          </cell>
          <cell r="AY23">
            <v>-1873.2089999999998</v>
          </cell>
          <cell r="AZ23">
            <v>0</v>
          </cell>
          <cell r="BA23">
            <v>22.976000000000163</v>
          </cell>
          <cell r="BB23">
            <v>-22.479000000000042</v>
          </cell>
          <cell r="BC23">
            <v>55.534999999999911</v>
          </cell>
          <cell r="BD23">
            <v>175.97500000000005</v>
          </cell>
          <cell r="BE23">
            <v>232.00700000000006</v>
          </cell>
          <cell r="BF23">
            <v>0</v>
          </cell>
          <cell r="BG23">
            <v>39.659000000000063</v>
          </cell>
          <cell r="BH23">
            <v>18.090999999999973</v>
          </cell>
          <cell r="BI23">
            <v>63.014999999999951</v>
          </cell>
          <cell r="BJ23">
            <v>247.01499999999982</v>
          </cell>
          <cell r="BK23">
            <v>367.77999999999918</v>
          </cell>
          <cell r="BL23">
            <v>0</v>
          </cell>
          <cell r="BM23">
            <v>58.068000000000175</v>
          </cell>
          <cell r="BN23">
            <v>10.26699999999984</v>
          </cell>
          <cell r="BO23">
            <v>78.336000000000013</v>
          </cell>
          <cell r="BP23">
            <v>281.05100000000004</v>
          </cell>
          <cell r="BQ23">
            <v>427.72199999999896</v>
          </cell>
          <cell r="BR23">
            <v>0</v>
          </cell>
          <cell r="BS23">
            <v>-52.740000000000038</v>
          </cell>
          <cell r="BT23">
            <v>-87.464999999999975</v>
          </cell>
          <cell r="BU23">
            <v>-76.039999999999964</v>
          </cell>
          <cell r="BV23">
            <v>308.54000000000008</v>
          </cell>
          <cell r="BW23">
            <v>92.294999999999391</v>
          </cell>
          <cell r="BX23">
            <v>0</v>
          </cell>
          <cell r="BY23">
            <v>-86.748000000000275</v>
          </cell>
          <cell r="BZ23">
            <v>-101.6219999999999</v>
          </cell>
          <cell r="CA23">
            <v>42.979999999999734</v>
          </cell>
          <cell r="CB23">
            <v>-68.198000000000221</v>
          </cell>
          <cell r="CC23">
            <v>-25.311000000000149</v>
          </cell>
          <cell r="CD23">
            <v>450.08899999999983</v>
          </cell>
          <cell r="CE23">
            <v>415.06299999999948</v>
          </cell>
          <cell r="CF23">
            <v>304.69899999999893</v>
          </cell>
          <cell r="CG23">
            <v>269.67299999999909</v>
          </cell>
          <cell r="CH23">
            <v>201.47499999999741</v>
          </cell>
          <cell r="CJ23">
            <v>-56.994000000000142</v>
          </cell>
          <cell r="CK23">
            <v>-39.859999999999957</v>
          </cell>
          <cell r="CL23">
            <v>73.95100000000042</v>
          </cell>
          <cell r="CM23">
            <v>464.36099999999965</v>
          </cell>
          <cell r="CN23">
            <v>441.45799999999974</v>
          </cell>
          <cell r="CP23">
            <v>43.683000000000177</v>
          </cell>
          <cell r="CQ23">
            <v>112.59700000000035</v>
          </cell>
          <cell r="CR23">
            <v>176.08300000000003</v>
          </cell>
          <cell r="CS23">
            <v>625.92700000000002</v>
          </cell>
          <cell r="CT23">
            <v>958.29000000000053</v>
          </cell>
          <cell r="CU23">
            <v>0</v>
          </cell>
          <cell r="CV23">
            <v>104</v>
          </cell>
          <cell r="CW23">
            <v>193</v>
          </cell>
          <cell r="CX23">
            <v>185</v>
          </cell>
          <cell r="CY23">
            <v>681</v>
          </cell>
          <cell r="CZ23">
            <v>1163</v>
          </cell>
          <cell r="DB23">
            <v>150</v>
          </cell>
          <cell r="DC23">
            <v>233</v>
          </cell>
          <cell r="DD23">
            <v>211</v>
          </cell>
          <cell r="DE23">
            <v>752</v>
          </cell>
          <cell r="DF23">
            <v>1346</v>
          </cell>
          <cell r="DH23">
            <v>200</v>
          </cell>
          <cell r="DI23">
            <v>324</v>
          </cell>
          <cell r="DJ23">
            <v>185</v>
          </cell>
          <cell r="DK23">
            <v>661</v>
          </cell>
          <cell r="DL23">
            <v>1370</v>
          </cell>
          <cell r="DN23">
            <v>100</v>
          </cell>
          <cell r="DO23">
            <v>135</v>
          </cell>
          <cell r="DP23">
            <v>46</v>
          </cell>
          <cell r="DQ23">
            <v>499</v>
          </cell>
          <cell r="DR23">
            <v>780</v>
          </cell>
          <cell r="DT23">
            <v>147</v>
          </cell>
          <cell r="DU23">
            <v>222</v>
          </cell>
          <cell r="DV23">
            <v>115</v>
          </cell>
          <cell r="DW23">
            <v>564</v>
          </cell>
          <cell r="DX23">
            <v>1048</v>
          </cell>
          <cell r="DZ23">
            <v>76</v>
          </cell>
          <cell r="EA23">
            <v>199</v>
          </cell>
          <cell r="EB23">
            <v>112</v>
          </cell>
          <cell r="EC23">
            <v>697</v>
          </cell>
          <cell r="ED23">
            <v>1084</v>
          </cell>
          <cell r="EF23">
            <v>157</v>
          </cell>
          <cell r="EG23">
            <v>126</v>
          </cell>
          <cell r="EH23">
            <v>120</v>
          </cell>
          <cell r="EI23">
            <v>713</v>
          </cell>
          <cell r="EJ23">
            <v>1116</v>
          </cell>
          <cell r="EK23" t="str">
            <v>Pretax Income</v>
          </cell>
          <cell r="EL23">
            <v>198</v>
          </cell>
          <cell r="EM23">
            <v>237</v>
          </cell>
          <cell r="EN23">
            <v>542</v>
          </cell>
          <cell r="EO23">
            <v>1067</v>
          </cell>
          <cell r="EP23">
            <v>2044</v>
          </cell>
          <cell r="ER23">
            <v>-118</v>
          </cell>
          <cell r="ES23">
            <v>306</v>
          </cell>
          <cell r="ET23">
            <v>30</v>
          </cell>
          <cell r="EU23">
            <v>1157</v>
          </cell>
          <cell r="EV23">
            <v>1375</v>
          </cell>
          <cell r="EX23">
            <v>83</v>
          </cell>
          <cell r="EY23">
            <v>113</v>
          </cell>
          <cell r="EZ23">
            <v>38</v>
          </cell>
          <cell r="FA23">
            <v>1086</v>
          </cell>
          <cell r="FB23">
            <v>1320</v>
          </cell>
          <cell r="FD23">
            <v>-106</v>
          </cell>
          <cell r="FE23">
            <v>121</v>
          </cell>
          <cell r="FF23">
            <v>-75</v>
          </cell>
          <cell r="FG23">
            <v>504</v>
          </cell>
          <cell r="FH23">
            <v>444</v>
          </cell>
          <cell r="FJ23">
            <v>-255</v>
          </cell>
          <cell r="FK23">
            <v>109</v>
          </cell>
          <cell r="FL23">
            <v>-82</v>
          </cell>
          <cell r="FM23">
            <v>735</v>
          </cell>
          <cell r="FN23">
            <v>507</v>
          </cell>
          <cell r="FP23">
            <v>41</v>
          </cell>
          <cell r="FQ23">
            <v>240</v>
          </cell>
          <cell r="FR23">
            <v>13</v>
          </cell>
          <cell r="FS23">
            <v>1026</v>
          </cell>
          <cell r="FT23">
            <v>1320</v>
          </cell>
          <cell r="FV23">
            <v>214</v>
          </cell>
          <cell r="FW23">
            <v>395</v>
          </cell>
          <cell r="FX23">
            <v>183</v>
          </cell>
          <cell r="FY23">
            <v>1176</v>
          </cell>
          <cell r="FZ23">
            <v>1968</v>
          </cell>
          <cell r="GB23">
            <v>279</v>
          </cell>
          <cell r="GC23">
            <v>449</v>
          </cell>
          <cell r="GD23">
            <v>174.65499452664795</v>
          </cell>
          <cell r="GE23">
            <v>1330.6989484464721</v>
          </cell>
          <cell r="GF23">
            <v>2233.35394297312</v>
          </cell>
        </row>
        <row r="24">
          <cell r="A24" t="str">
            <v>Income Taxes (Benefit)</v>
          </cell>
          <cell r="C24">
            <v>6.7830000000000004</v>
          </cell>
          <cell r="D24">
            <v>-276.35500000000002</v>
          </cell>
          <cell r="E24">
            <v>-613.98900000000003</v>
          </cell>
          <cell r="F24">
            <v>28.096</v>
          </cell>
          <cell r="G24">
            <v>99.299000000000007</v>
          </cell>
          <cell r="H24">
            <v>156.745</v>
          </cell>
          <cell r="I24">
            <v>180.869</v>
          </cell>
          <cell r="K24">
            <v>55.495050000000049</v>
          </cell>
          <cell r="L24">
            <v>155.708</v>
          </cell>
          <cell r="N24">
            <v>127</v>
          </cell>
          <cell r="O24">
            <v>175</v>
          </cell>
          <cell r="P24">
            <v>383</v>
          </cell>
          <cell r="Q24">
            <v>478</v>
          </cell>
          <cell r="R24">
            <v>561</v>
          </cell>
          <cell r="S24">
            <v>549</v>
          </cell>
          <cell r="T24">
            <v>306</v>
          </cell>
          <cell r="U24">
            <v>410</v>
          </cell>
          <cell r="V24">
            <v>429</v>
          </cell>
          <cell r="W24">
            <v>427</v>
          </cell>
          <cell r="X24">
            <v>765.40858992805761</v>
          </cell>
          <cell r="Y24">
            <v>511.75</v>
          </cell>
          <cell r="Z24">
            <v>489</v>
          </cell>
          <cell r="AA24">
            <v>-135</v>
          </cell>
          <cell r="AB24">
            <v>178</v>
          </cell>
          <cell r="AC24">
            <v>473</v>
          </cell>
          <cell r="AD24">
            <v>712</v>
          </cell>
          <cell r="AE24">
            <v>824.98095890005447</v>
          </cell>
          <cell r="AF24">
            <v>865.77953587107936</v>
          </cell>
          <cell r="AG24">
            <v>950.70996654807709</v>
          </cell>
          <cell r="AH24">
            <v>963.84530267121454</v>
          </cell>
          <cell r="AI24">
            <v>988.71488261276193</v>
          </cell>
          <cell r="AJ24">
            <v>1026.6632148304836</v>
          </cell>
          <cell r="AK24">
            <v>1057.9822446223918</v>
          </cell>
          <cell r="AL24">
            <v>1083.3390005133426</v>
          </cell>
          <cell r="AN24" t="str">
            <v>Income Taxes (Benefit)</v>
          </cell>
          <cell r="AO24">
            <v>-43.960999999999999</v>
          </cell>
          <cell r="AP24">
            <v>-60.075000000000003</v>
          </cell>
          <cell r="AQ24">
            <v>-34.662999999999997</v>
          </cell>
          <cell r="AR24">
            <v>-137.65600000000001</v>
          </cell>
          <cell r="AS24">
            <v>-276.35500000000002</v>
          </cell>
          <cell r="AU24">
            <v>-20.856999999999999</v>
          </cell>
          <cell r="AV24">
            <v>-66.552000000000007</v>
          </cell>
          <cell r="AW24">
            <v>-18.997</v>
          </cell>
          <cell r="AX24">
            <v>-507.58300000000003</v>
          </cell>
          <cell r="AY24">
            <v>-613.98900000000003</v>
          </cell>
          <cell r="BA24">
            <v>11.164</v>
          </cell>
          <cell r="BB24">
            <v>-6.69</v>
          </cell>
          <cell r="BC24">
            <v>23.952999999999999</v>
          </cell>
          <cell r="BD24">
            <v>70.872</v>
          </cell>
          <cell r="BE24">
            <v>99.299000000000007</v>
          </cell>
          <cell r="BG24">
            <v>17.959</v>
          </cell>
          <cell r="BH24">
            <v>9.2379999999999995</v>
          </cell>
          <cell r="BI24">
            <v>28.490999999999996</v>
          </cell>
          <cell r="BJ24">
            <v>101.057</v>
          </cell>
          <cell r="BK24">
            <v>156.745</v>
          </cell>
          <cell r="BM24">
            <v>25.846</v>
          </cell>
          <cell r="BN24">
            <v>6.4950000000000001</v>
          </cell>
          <cell r="BO24">
            <v>33.993000000000002</v>
          </cell>
          <cell r="BP24">
            <v>114.535</v>
          </cell>
          <cell r="BQ24">
            <v>180.869</v>
          </cell>
          <cell r="BS24">
            <v>-15.693600000000016</v>
          </cell>
          <cell r="BT24">
            <v>-29.236349999999991</v>
          </cell>
          <cell r="BU24">
            <v>-24.780599999999986</v>
          </cell>
          <cell r="BV24">
            <v>125.20560000000003</v>
          </cell>
          <cell r="BW24">
            <v>55.495050000000049</v>
          </cell>
          <cell r="BY24">
            <v>-29.748999999999999</v>
          </cell>
          <cell r="BZ24">
            <v>-34.447000000000003</v>
          </cell>
          <cell r="CA24">
            <v>21.084</v>
          </cell>
          <cell r="CB24">
            <v>0</v>
          </cell>
          <cell r="CC24">
            <v>21.084</v>
          </cell>
          <cell r="CD24">
            <v>198.82</v>
          </cell>
          <cell r="CE24">
            <v>170.41800000000001</v>
          </cell>
          <cell r="CF24">
            <v>155.708</v>
          </cell>
          <cell r="CG24">
            <v>127.30600000000001</v>
          </cell>
          <cell r="CH24">
            <v>127.30600000000001</v>
          </cell>
          <cell r="CJ24">
            <v>-19.071000000000002</v>
          </cell>
          <cell r="CK24">
            <v>-12.667</v>
          </cell>
          <cell r="CL24">
            <v>32.15</v>
          </cell>
          <cell r="CM24">
            <v>175.15899999999999</v>
          </cell>
          <cell r="CN24">
            <v>175.571</v>
          </cell>
          <cell r="CP24">
            <v>19.623999999999999</v>
          </cell>
          <cell r="CQ24">
            <v>46.226999999999997</v>
          </cell>
          <cell r="CR24">
            <v>70.968999999999994</v>
          </cell>
          <cell r="CS24">
            <v>246.84700000000001</v>
          </cell>
          <cell r="CT24">
            <v>383.66700000000003</v>
          </cell>
          <cell r="CV24">
            <v>43.765999999999998</v>
          </cell>
          <cell r="CW24">
            <v>86</v>
          </cell>
          <cell r="CX24">
            <v>75</v>
          </cell>
          <cell r="CY24">
            <v>273</v>
          </cell>
          <cell r="CZ24">
            <v>477.76599999999996</v>
          </cell>
          <cell r="DB24">
            <v>63</v>
          </cell>
          <cell r="DC24">
            <v>96</v>
          </cell>
          <cell r="DD24">
            <v>88</v>
          </cell>
          <cell r="DE24">
            <v>304</v>
          </cell>
          <cell r="DF24">
            <v>551</v>
          </cell>
          <cell r="DH24">
            <v>82</v>
          </cell>
          <cell r="DI24">
            <v>130</v>
          </cell>
          <cell r="DJ24">
            <v>76</v>
          </cell>
          <cell r="DK24">
            <v>261</v>
          </cell>
          <cell r="DL24">
            <v>549</v>
          </cell>
          <cell r="DN24">
            <v>42</v>
          </cell>
          <cell r="DO24">
            <v>55</v>
          </cell>
          <cell r="DP24">
            <v>20</v>
          </cell>
          <cell r="DQ24">
            <v>189</v>
          </cell>
          <cell r="DR24">
            <v>306</v>
          </cell>
          <cell r="DT24">
            <v>58</v>
          </cell>
          <cell r="DU24">
            <v>89</v>
          </cell>
          <cell r="DV24">
            <v>40</v>
          </cell>
          <cell r="DW24">
            <v>223</v>
          </cell>
          <cell r="DX24">
            <v>410</v>
          </cell>
          <cell r="DZ24">
            <v>30</v>
          </cell>
          <cell r="EA24">
            <v>79</v>
          </cell>
          <cell r="EB24">
            <v>45</v>
          </cell>
          <cell r="EC24">
            <v>275</v>
          </cell>
          <cell r="ED24">
            <v>429</v>
          </cell>
          <cell r="EF24">
            <v>60</v>
          </cell>
          <cell r="EG24">
            <v>48</v>
          </cell>
          <cell r="EH24">
            <v>46</v>
          </cell>
          <cell r="EI24">
            <v>273</v>
          </cell>
          <cell r="EJ24">
            <v>427</v>
          </cell>
          <cell r="EK24" t="str">
            <v>Income Taxes (Benefit)</v>
          </cell>
          <cell r="EL24">
            <v>74.646000000000001</v>
          </cell>
          <cell r="EM24">
            <v>89</v>
          </cell>
          <cell r="EN24">
            <v>202.76258992805757</v>
          </cell>
          <cell r="EO24">
            <v>399</v>
          </cell>
          <cell r="EP24">
            <v>765.40858992805761</v>
          </cell>
          <cell r="ER24">
            <v>-44</v>
          </cell>
          <cell r="ES24">
            <v>114.75</v>
          </cell>
          <cell r="ET24">
            <v>10</v>
          </cell>
          <cell r="EU24">
            <v>431</v>
          </cell>
          <cell r="EV24">
            <v>511.75</v>
          </cell>
          <cell r="EX24">
            <v>31</v>
          </cell>
          <cell r="EY24">
            <v>39</v>
          </cell>
          <cell r="EZ24">
            <v>5</v>
          </cell>
          <cell r="FA24">
            <v>414</v>
          </cell>
          <cell r="FB24">
            <v>489</v>
          </cell>
          <cell r="FD24">
            <v>-47</v>
          </cell>
          <cell r="FE24">
            <v>48</v>
          </cell>
          <cell r="FF24">
            <v>-31</v>
          </cell>
          <cell r="FG24">
            <v>-105</v>
          </cell>
          <cell r="FH24">
            <v>-135</v>
          </cell>
          <cell r="FJ24">
            <v>-167</v>
          </cell>
          <cell r="FK24">
            <v>102</v>
          </cell>
          <cell r="FL24">
            <v>-47</v>
          </cell>
          <cell r="FM24">
            <v>290</v>
          </cell>
          <cell r="FN24">
            <v>178</v>
          </cell>
          <cell r="FP24">
            <v>18</v>
          </cell>
          <cell r="FQ24">
            <v>93</v>
          </cell>
          <cell r="FR24">
            <v>3</v>
          </cell>
          <cell r="FS24">
            <v>359</v>
          </cell>
          <cell r="FT24">
            <v>473</v>
          </cell>
          <cell r="FV24">
            <v>83</v>
          </cell>
          <cell r="FW24">
            <v>154</v>
          </cell>
          <cell r="FX24">
            <v>44</v>
          </cell>
          <cell r="FY24">
            <v>431</v>
          </cell>
          <cell r="FZ24">
            <v>712</v>
          </cell>
          <cell r="GB24">
            <v>98</v>
          </cell>
          <cell r="GC24">
            <v>170</v>
          </cell>
          <cell r="GD24">
            <v>64.622347974859736</v>
          </cell>
          <cell r="GE24">
            <v>492.35861092519468</v>
          </cell>
          <cell r="GF24">
            <v>824.98095890005447</v>
          </cell>
          <cell r="GS24" t="str">
            <v>mstag:taxExpenseIncome</v>
          </cell>
          <cell r="GT24">
            <v>6</v>
          </cell>
          <cell r="GU24" t="str">
            <v>ISO4217:USD</v>
          </cell>
          <cell r="GV24" t="b">
            <v>0</v>
          </cell>
          <cell r="GW24" t="b">
            <v>0</v>
          </cell>
        </row>
        <row r="25">
          <cell r="A25" t="str">
            <v>Net Income Before Post-Tax Items</v>
          </cell>
          <cell r="C25">
            <v>-1773.9269999999999</v>
          </cell>
          <cell r="D25">
            <v>-271.44599999999934</v>
          </cell>
          <cell r="E25">
            <v>-1235.9719999999998</v>
          </cell>
          <cell r="F25">
            <v>25.182999999999812</v>
          </cell>
          <cell r="G25">
            <v>132.70800000000062</v>
          </cell>
          <cell r="H25">
            <v>211.03499999999912</v>
          </cell>
          <cell r="I25">
            <v>246.85299999999896</v>
          </cell>
          <cell r="J25">
            <v>1.1401472134972468</v>
          </cell>
          <cell r="K25">
            <v>36.799949999999399</v>
          </cell>
          <cell r="L25">
            <v>148.99099999999899</v>
          </cell>
          <cell r="N25">
            <v>75</v>
          </cell>
          <cell r="O25">
            <v>266</v>
          </cell>
          <cell r="P25">
            <v>575</v>
          </cell>
          <cell r="Q25">
            <v>685</v>
          </cell>
          <cell r="R25">
            <v>825</v>
          </cell>
          <cell r="S25">
            <v>821</v>
          </cell>
          <cell r="T25">
            <v>474</v>
          </cell>
          <cell r="U25">
            <v>638</v>
          </cell>
          <cell r="V25">
            <v>655</v>
          </cell>
          <cell r="W25">
            <v>689</v>
          </cell>
          <cell r="X25">
            <v>1278.5914100719424</v>
          </cell>
          <cell r="Y25">
            <v>863.25</v>
          </cell>
          <cell r="Z25">
            <v>831</v>
          </cell>
          <cell r="AA25">
            <v>579</v>
          </cell>
          <cell r="AB25">
            <v>329</v>
          </cell>
          <cell r="AC25">
            <v>847</v>
          </cell>
          <cell r="AD25">
            <v>1256</v>
          </cell>
          <cell r="AE25">
            <v>1408.3729840730655</v>
          </cell>
          <cell r="AF25">
            <v>1474.1651556723784</v>
          </cell>
          <cell r="AG25">
            <v>1618.7764295278068</v>
          </cell>
          <cell r="AH25">
            <v>1641.1420018455815</v>
          </cell>
          <cell r="AI25">
            <v>1683.4875028271354</v>
          </cell>
          <cell r="AJ25">
            <v>1748.1022306573102</v>
          </cell>
          <cell r="AK25">
            <v>1801.4292273300186</v>
          </cell>
          <cell r="AL25">
            <v>1844.6042441173129</v>
          </cell>
          <cell r="AN25" t="str">
            <v>Net Income Before Post-Tax Items</v>
          </cell>
          <cell r="AO25">
            <v>-99.439999999999898</v>
          </cell>
          <cell r="AP25">
            <v>-126.372</v>
          </cell>
          <cell r="AQ25">
            <v>-86.802000000000035</v>
          </cell>
          <cell r="AR25">
            <v>41.16799999999995</v>
          </cell>
          <cell r="AS25">
            <v>-271.44599999999997</v>
          </cell>
          <cell r="AU25">
            <v>-64.160999999999916</v>
          </cell>
          <cell r="AV25">
            <v>-143.82800000000009</v>
          </cell>
          <cell r="AW25">
            <v>-60.994999999999962</v>
          </cell>
          <cell r="AX25">
            <v>-977.04399999999941</v>
          </cell>
          <cell r="AY25">
            <v>-1246.0279999999993</v>
          </cell>
          <cell r="BA25">
            <v>11.812000000000163</v>
          </cell>
          <cell r="BB25">
            <v>-15.789000000000041</v>
          </cell>
          <cell r="BC25">
            <v>31.581999999999912</v>
          </cell>
          <cell r="BD25">
            <v>105.10300000000005</v>
          </cell>
          <cell r="BE25">
            <v>132.70800000000008</v>
          </cell>
          <cell r="BG25">
            <v>21.700000000000063</v>
          </cell>
          <cell r="BH25">
            <v>8.8529999999999731</v>
          </cell>
          <cell r="BI25">
            <v>34.523999999999958</v>
          </cell>
          <cell r="BJ25">
            <v>145.9579999999998</v>
          </cell>
          <cell r="BK25">
            <v>211.03499999999917</v>
          </cell>
          <cell r="BM25">
            <v>32.222000000000179</v>
          </cell>
          <cell r="BN25">
            <v>3.7719999999998395</v>
          </cell>
          <cell r="BO25">
            <v>44.343000000000011</v>
          </cell>
          <cell r="BP25">
            <v>166.51600000000005</v>
          </cell>
          <cell r="BQ25">
            <v>246.85299999999896</v>
          </cell>
          <cell r="BS25">
            <v>-37.04640000000002</v>
          </cell>
          <cell r="BT25">
            <v>-58.228649999999988</v>
          </cell>
          <cell r="BU25">
            <v>-51.259399999999978</v>
          </cell>
          <cell r="BV25">
            <v>183.33440000000004</v>
          </cell>
          <cell r="BW25">
            <v>36.799949999999342</v>
          </cell>
          <cell r="BY25">
            <v>-56.999000000000279</v>
          </cell>
          <cell r="BZ25">
            <v>-67.174999999999898</v>
          </cell>
          <cell r="CA25">
            <v>21.895999999999734</v>
          </cell>
          <cell r="CB25">
            <v>-68.198000000000221</v>
          </cell>
          <cell r="CC25">
            <v>-46.395000000000152</v>
          </cell>
          <cell r="CD25">
            <v>251.26899999999983</v>
          </cell>
          <cell r="CE25">
            <v>244.64499999999947</v>
          </cell>
          <cell r="CF25">
            <v>148.99099999999893</v>
          </cell>
          <cell r="CG25">
            <v>142.36699999999902</v>
          </cell>
          <cell r="CH25">
            <v>74.168999999998789</v>
          </cell>
          <cell r="CJ25">
            <v>-37.923000000000144</v>
          </cell>
          <cell r="CK25">
            <v>-27.192999999999955</v>
          </cell>
          <cell r="CL25">
            <v>41.801000000000421</v>
          </cell>
          <cell r="CM25">
            <v>289.20199999999966</v>
          </cell>
          <cell r="CN25">
            <v>265.88699999999972</v>
          </cell>
          <cell r="CP25">
            <v>24.059000000000179</v>
          </cell>
          <cell r="CQ25">
            <v>66.370000000000346</v>
          </cell>
          <cell r="CR25">
            <v>105.11400000000003</v>
          </cell>
          <cell r="CS25">
            <v>379.08000000000004</v>
          </cell>
          <cell r="CT25">
            <v>574.62300000000062</v>
          </cell>
          <cell r="CV25">
            <v>60.234000000000002</v>
          </cell>
          <cell r="CW25">
            <v>107</v>
          </cell>
          <cell r="CX25">
            <v>110</v>
          </cell>
          <cell r="CY25">
            <v>408</v>
          </cell>
          <cell r="CZ25">
            <v>685.23400000000004</v>
          </cell>
          <cell r="DB25">
            <v>87</v>
          </cell>
          <cell r="DC25">
            <v>137</v>
          </cell>
          <cell r="DD25">
            <v>123</v>
          </cell>
          <cell r="DE25">
            <v>448</v>
          </cell>
          <cell r="DF25">
            <v>795</v>
          </cell>
          <cell r="DH25">
            <v>118</v>
          </cell>
          <cell r="DI25">
            <v>194</v>
          </cell>
          <cell r="DJ25">
            <v>109</v>
          </cell>
          <cell r="DK25">
            <v>400</v>
          </cell>
          <cell r="DL25">
            <v>821</v>
          </cell>
          <cell r="DN25">
            <v>58</v>
          </cell>
          <cell r="DO25">
            <v>80</v>
          </cell>
          <cell r="DP25">
            <v>26</v>
          </cell>
          <cell r="DQ25">
            <v>310</v>
          </cell>
          <cell r="DR25">
            <v>474</v>
          </cell>
          <cell r="DT25">
            <v>89</v>
          </cell>
          <cell r="DU25">
            <v>133</v>
          </cell>
          <cell r="DV25">
            <v>75</v>
          </cell>
          <cell r="DW25">
            <v>341</v>
          </cell>
          <cell r="DX25">
            <v>638</v>
          </cell>
          <cell r="DZ25">
            <v>46</v>
          </cell>
          <cell r="EA25">
            <v>120</v>
          </cell>
          <cell r="EB25">
            <v>67</v>
          </cell>
          <cell r="EC25">
            <v>422</v>
          </cell>
          <cell r="ED25">
            <v>655</v>
          </cell>
          <cell r="EF25">
            <v>97</v>
          </cell>
          <cell r="EG25">
            <v>78</v>
          </cell>
          <cell r="EH25">
            <v>74</v>
          </cell>
          <cell r="EI25">
            <v>440</v>
          </cell>
          <cell r="EJ25">
            <v>689</v>
          </cell>
          <cell r="EK25" t="str">
            <v>Net Income Before Post-Tax Items</v>
          </cell>
          <cell r="EL25">
            <v>123.354</v>
          </cell>
          <cell r="EM25">
            <v>148</v>
          </cell>
          <cell r="EN25">
            <v>339.23741007194246</v>
          </cell>
          <cell r="EO25">
            <v>668</v>
          </cell>
          <cell r="EP25">
            <v>1278.5914100719424</v>
          </cell>
          <cell r="ER25">
            <v>-74</v>
          </cell>
          <cell r="ES25">
            <v>191.25</v>
          </cell>
          <cell r="ET25">
            <v>20</v>
          </cell>
          <cell r="EU25">
            <v>726</v>
          </cell>
          <cell r="EV25">
            <v>863.25</v>
          </cell>
          <cell r="EX25">
            <v>52</v>
          </cell>
          <cell r="EY25">
            <v>74</v>
          </cell>
          <cell r="EZ25">
            <v>33</v>
          </cell>
          <cell r="FA25">
            <v>672</v>
          </cell>
          <cell r="FB25">
            <v>831</v>
          </cell>
          <cell r="FD25">
            <v>-59</v>
          </cell>
          <cell r="FE25">
            <v>73</v>
          </cell>
          <cell r="FF25">
            <v>-44</v>
          </cell>
          <cell r="FG25">
            <v>609</v>
          </cell>
          <cell r="FH25">
            <v>579</v>
          </cell>
          <cell r="FJ25">
            <v>-88</v>
          </cell>
          <cell r="FK25">
            <v>7</v>
          </cell>
          <cell r="FL25">
            <v>-35</v>
          </cell>
          <cell r="FM25">
            <v>445</v>
          </cell>
          <cell r="FN25">
            <v>329</v>
          </cell>
          <cell r="FP25">
            <v>23</v>
          </cell>
          <cell r="FQ25">
            <v>147</v>
          </cell>
          <cell r="FR25">
            <v>10</v>
          </cell>
          <cell r="FS25">
            <v>667</v>
          </cell>
          <cell r="FT25">
            <v>847</v>
          </cell>
          <cell r="FV25">
            <v>131</v>
          </cell>
          <cell r="FW25">
            <v>241</v>
          </cell>
          <cell r="FX25">
            <v>139</v>
          </cell>
          <cell r="FY25">
            <v>745</v>
          </cell>
          <cell r="FZ25">
            <v>1256</v>
          </cell>
          <cell r="GB25">
            <v>181</v>
          </cell>
          <cell r="GC25">
            <v>279</v>
          </cell>
          <cell r="GD25">
            <v>110.03264655178822</v>
          </cell>
          <cell r="GE25">
            <v>838.34033752127743</v>
          </cell>
          <cell r="GF25">
            <v>1408.3729840730655</v>
          </cell>
        </row>
        <row r="26">
          <cell r="A26" t="str">
            <v>Discontinued Operations Charges (FYins)</v>
          </cell>
          <cell r="N26">
            <v>0</v>
          </cell>
          <cell r="O26">
            <v>0</v>
          </cell>
          <cell r="P26">
            <v>0</v>
          </cell>
          <cell r="Q26">
            <v>0</v>
          </cell>
          <cell r="R26">
            <v>30</v>
          </cell>
          <cell r="S26">
            <v>1005</v>
          </cell>
          <cell r="T26">
            <v>797</v>
          </cell>
          <cell r="U26">
            <v>-180</v>
          </cell>
          <cell r="V26">
            <v>0</v>
          </cell>
          <cell r="W26">
            <v>0</v>
          </cell>
          <cell r="X26">
            <v>-33</v>
          </cell>
          <cell r="Y26">
            <v>-7</v>
          </cell>
          <cell r="Z26">
            <v>16</v>
          </cell>
          <cell r="AA26">
            <v>0</v>
          </cell>
          <cell r="AB26">
            <v>0</v>
          </cell>
          <cell r="AC26">
            <v>0</v>
          </cell>
          <cell r="AD26">
            <v>0</v>
          </cell>
          <cell r="AE26">
            <v>0</v>
          </cell>
          <cell r="AF26">
            <v>0</v>
          </cell>
          <cell r="AG26">
            <v>0</v>
          </cell>
          <cell r="AH26">
            <v>0</v>
          </cell>
          <cell r="AI26">
            <v>0</v>
          </cell>
          <cell r="AJ26">
            <v>0</v>
          </cell>
          <cell r="AK26">
            <v>0</v>
          </cell>
          <cell r="AL26">
            <v>0</v>
          </cell>
          <cell r="AN26" t="str">
            <v>Discontinued Operations Charges (FYins)</v>
          </cell>
          <cell r="DB26">
            <v>0</v>
          </cell>
          <cell r="DC26">
            <v>0</v>
          </cell>
          <cell r="DD26">
            <v>0</v>
          </cell>
          <cell r="DE26">
            <v>0</v>
          </cell>
          <cell r="DF26">
            <v>0</v>
          </cell>
          <cell r="DH26">
            <v>29</v>
          </cell>
          <cell r="DI26">
            <v>131</v>
          </cell>
          <cell r="DJ26">
            <v>777</v>
          </cell>
          <cell r="DK26">
            <v>68</v>
          </cell>
          <cell r="DL26">
            <v>1005</v>
          </cell>
          <cell r="DN26">
            <v>0</v>
          </cell>
          <cell r="DO26">
            <v>14</v>
          </cell>
          <cell r="DP26">
            <v>13</v>
          </cell>
          <cell r="DQ26">
            <v>770</v>
          </cell>
          <cell r="DR26">
            <v>797</v>
          </cell>
          <cell r="DT26">
            <v>0</v>
          </cell>
          <cell r="DU26">
            <v>-149</v>
          </cell>
          <cell r="DV26">
            <v>-31</v>
          </cell>
          <cell r="DW26">
            <v>0</v>
          </cell>
          <cell r="DX26">
            <v>-180</v>
          </cell>
          <cell r="DZ26">
            <v>0</v>
          </cell>
          <cell r="EA26">
            <v>0</v>
          </cell>
          <cell r="EB26">
            <v>0</v>
          </cell>
          <cell r="EC26">
            <v>0</v>
          </cell>
          <cell r="ED26">
            <v>0</v>
          </cell>
          <cell r="EF26">
            <v>0</v>
          </cell>
          <cell r="EG26">
            <v>0</v>
          </cell>
          <cell r="EH26">
            <v>0</v>
          </cell>
          <cell r="EI26">
            <v>0</v>
          </cell>
          <cell r="EJ26">
            <v>0</v>
          </cell>
          <cell r="EK26" t="str">
            <v>Discontinued Operations Charges (FYins)</v>
          </cell>
          <cell r="EL26">
            <v>0</v>
          </cell>
          <cell r="EM26">
            <v>0</v>
          </cell>
          <cell r="EN26">
            <v>-12</v>
          </cell>
          <cell r="EO26">
            <v>-21</v>
          </cell>
          <cell r="EP26">
            <v>-33</v>
          </cell>
          <cell r="ER26">
            <v>-22</v>
          </cell>
          <cell r="ES26">
            <v>-35</v>
          </cell>
          <cell r="ET26">
            <v>23</v>
          </cell>
          <cell r="EU26">
            <v>27</v>
          </cell>
          <cell r="EV26">
            <v>-7</v>
          </cell>
          <cell r="EX26">
            <v>16</v>
          </cell>
          <cell r="EY26">
            <v>0</v>
          </cell>
          <cell r="EZ26">
            <v>0</v>
          </cell>
          <cell r="FA26">
            <v>0</v>
          </cell>
          <cell r="FB26">
            <v>16</v>
          </cell>
          <cell r="FD26">
            <v>0</v>
          </cell>
          <cell r="FE26">
            <v>0</v>
          </cell>
          <cell r="FF26">
            <v>0</v>
          </cell>
          <cell r="FG26">
            <v>0</v>
          </cell>
          <cell r="FH26">
            <v>0</v>
          </cell>
          <cell r="FJ26">
            <v>0</v>
          </cell>
          <cell r="FK26">
            <v>0</v>
          </cell>
          <cell r="FL26">
            <v>0</v>
          </cell>
          <cell r="FM26">
            <v>0</v>
          </cell>
          <cell r="FN26">
            <v>0</v>
          </cell>
          <cell r="FP26">
            <v>0</v>
          </cell>
          <cell r="FQ26">
            <v>0</v>
          </cell>
          <cell r="FR26">
            <v>0</v>
          </cell>
          <cell r="FS26">
            <v>0</v>
          </cell>
          <cell r="FT26">
            <v>0</v>
          </cell>
          <cell r="FV26">
            <v>0</v>
          </cell>
          <cell r="FW26">
            <v>0</v>
          </cell>
          <cell r="FX26">
            <v>0</v>
          </cell>
          <cell r="FY26">
            <v>0</v>
          </cell>
          <cell r="FZ26">
            <v>0</v>
          </cell>
          <cell r="GB26">
            <v>0</v>
          </cell>
          <cell r="GC26">
            <v>0</v>
          </cell>
          <cell r="GD26">
            <v>0</v>
          </cell>
          <cell r="GE26">
            <v>0</v>
          </cell>
          <cell r="GF26">
            <v>0</v>
          </cell>
          <cell r="GS26" t="str">
            <v>mstag:incomeLossFromDiscontinuedOperationsNetOfTax</v>
          </cell>
          <cell r="GT26">
            <v>6</v>
          </cell>
          <cell r="GU26" t="str">
            <v>ISO4217:USD</v>
          </cell>
          <cell r="GV26" t="b">
            <v>1</v>
          </cell>
          <cell r="GW26" t="b">
            <v>0</v>
          </cell>
        </row>
        <row r="27">
          <cell r="A27" t="str">
            <v>Post-Tax Extraordinary Charges (FYins)</v>
          </cell>
          <cell r="C27">
            <v>0</v>
          </cell>
          <cell r="D27">
            <v>0</v>
          </cell>
          <cell r="E27">
            <v>2072.364</v>
          </cell>
          <cell r="F27">
            <v>0</v>
          </cell>
          <cell r="G27">
            <v>-19.698999999999998</v>
          </cell>
          <cell r="H27">
            <v>-17.786999999999999</v>
          </cell>
          <cell r="I27">
            <v>0</v>
          </cell>
          <cell r="K27">
            <v>0</v>
          </cell>
          <cell r="L27">
            <v>0</v>
          </cell>
          <cell r="N27">
            <v>0</v>
          </cell>
          <cell r="O27">
            <v>0</v>
          </cell>
          <cell r="P27">
            <v>39</v>
          </cell>
          <cell r="Q27">
            <v>23</v>
          </cell>
          <cell r="R27">
            <v>0</v>
          </cell>
          <cell r="S27">
            <v>0</v>
          </cell>
          <cell r="T27">
            <v>-47</v>
          </cell>
          <cell r="U27">
            <v>0</v>
          </cell>
          <cell r="V27">
            <v>-38</v>
          </cell>
          <cell r="W27">
            <v>0</v>
          </cell>
          <cell r="X27">
            <v>-95</v>
          </cell>
          <cell r="Y27">
            <v>-124.625</v>
          </cell>
          <cell r="Z27">
            <v>-78</v>
          </cell>
          <cell r="AA27">
            <v>5382</v>
          </cell>
          <cell r="AB27">
            <v>0</v>
          </cell>
          <cell r="AC27">
            <v>41.4</v>
          </cell>
          <cell r="AD27">
            <v>0</v>
          </cell>
          <cell r="AE27">
            <v>0</v>
          </cell>
          <cell r="AF27">
            <v>0</v>
          </cell>
          <cell r="AG27">
            <v>0</v>
          </cell>
          <cell r="AH27">
            <v>0</v>
          </cell>
          <cell r="AI27">
            <v>0</v>
          </cell>
          <cell r="AJ27">
            <v>0</v>
          </cell>
          <cell r="AK27">
            <v>0</v>
          </cell>
          <cell r="AL27">
            <v>0</v>
          </cell>
          <cell r="AN27" t="str">
            <v>Post-Tax Extraordinary Charges (FYins)</v>
          </cell>
          <cell r="AO27">
            <v>0</v>
          </cell>
          <cell r="AP27">
            <v>0</v>
          </cell>
          <cell r="AQ27">
            <v>0</v>
          </cell>
          <cell r="AR27">
            <v>0</v>
          </cell>
          <cell r="AS27">
            <v>0</v>
          </cell>
          <cell r="AU27">
            <v>0</v>
          </cell>
          <cell r="AV27">
            <v>0</v>
          </cell>
          <cell r="AW27">
            <v>0</v>
          </cell>
          <cell r="AX27">
            <v>2165.5149999999999</v>
          </cell>
          <cell r="AY27">
            <v>2165.5149999999999</v>
          </cell>
          <cell r="BA27">
            <v>0</v>
          </cell>
          <cell r="BB27">
            <v>-13.574</v>
          </cell>
          <cell r="BC27">
            <v>0</v>
          </cell>
          <cell r="BD27">
            <v>-6.125</v>
          </cell>
          <cell r="BE27">
            <v>-19.698999999999998</v>
          </cell>
          <cell r="BG27">
            <v>-3.5449999999999999</v>
          </cell>
          <cell r="BH27">
            <v>0</v>
          </cell>
          <cell r="BI27">
            <v>-14.242000000000001</v>
          </cell>
          <cell r="BJ27">
            <v>0</v>
          </cell>
          <cell r="BK27">
            <v>-17.786999999999999</v>
          </cell>
          <cell r="BM27">
            <v>0</v>
          </cell>
          <cell r="BN27">
            <v>0</v>
          </cell>
          <cell r="BO27">
            <v>0</v>
          </cell>
          <cell r="BP27">
            <v>0</v>
          </cell>
          <cell r="BQ27">
            <v>0</v>
          </cell>
          <cell r="BS27">
            <v>0</v>
          </cell>
          <cell r="BT27">
            <v>0</v>
          </cell>
          <cell r="BU27">
            <v>0</v>
          </cell>
          <cell r="BV27">
            <v>0</v>
          </cell>
          <cell r="BW27">
            <v>0</v>
          </cell>
          <cell r="BY27">
            <v>0</v>
          </cell>
          <cell r="BZ27">
            <v>0</v>
          </cell>
          <cell r="CA27">
            <v>0</v>
          </cell>
          <cell r="CB27">
            <v>0</v>
          </cell>
          <cell r="CC27">
            <v>0</v>
          </cell>
          <cell r="CD27">
            <v>0</v>
          </cell>
          <cell r="CE27">
            <v>0</v>
          </cell>
          <cell r="CF27">
            <v>0</v>
          </cell>
          <cell r="CG27">
            <v>0</v>
          </cell>
          <cell r="CH27">
            <v>0</v>
          </cell>
          <cell r="CJ27">
            <v>0</v>
          </cell>
          <cell r="CK27">
            <v>0</v>
          </cell>
          <cell r="CL27">
            <v>0</v>
          </cell>
          <cell r="CM27">
            <v>0</v>
          </cell>
          <cell r="CN27">
            <v>0</v>
          </cell>
          <cell r="CP27">
            <v>0</v>
          </cell>
          <cell r="CQ27">
            <v>-38.673000000000002</v>
          </cell>
          <cell r="CR27">
            <v>0</v>
          </cell>
          <cell r="CS27">
            <v>0</v>
          </cell>
          <cell r="CT27">
            <v>-38.673000000000002</v>
          </cell>
          <cell r="CV27">
            <v>0</v>
          </cell>
          <cell r="CW27">
            <v>0</v>
          </cell>
          <cell r="CX27">
            <v>23</v>
          </cell>
          <cell r="CY27">
            <v>0</v>
          </cell>
          <cell r="CZ27">
            <v>23</v>
          </cell>
          <cell r="DB27">
            <v>0</v>
          </cell>
          <cell r="DC27">
            <v>0</v>
          </cell>
          <cell r="DD27">
            <v>0</v>
          </cell>
          <cell r="DE27">
            <v>0</v>
          </cell>
          <cell r="DF27">
            <v>0</v>
          </cell>
          <cell r="DH27">
            <v>0</v>
          </cell>
          <cell r="DI27">
            <v>0</v>
          </cell>
          <cell r="DJ27">
            <v>0</v>
          </cell>
          <cell r="DK27">
            <v>0</v>
          </cell>
          <cell r="DL27">
            <v>0</v>
          </cell>
          <cell r="DN27">
            <v>0</v>
          </cell>
          <cell r="DO27">
            <v>-44</v>
          </cell>
          <cell r="DP27">
            <v>10</v>
          </cell>
          <cell r="DQ27">
            <v>-13</v>
          </cell>
          <cell r="DR27">
            <v>-47</v>
          </cell>
          <cell r="DT27">
            <v>0</v>
          </cell>
          <cell r="DU27">
            <v>0</v>
          </cell>
          <cell r="DV27">
            <v>0</v>
          </cell>
          <cell r="DW27">
            <v>0</v>
          </cell>
          <cell r="DX27">
            <v>0</v>
          </cell>
          <cell r="DZ27">
            <v>0</v>
          </cell>
          <cell r="EA27">
            <v>0</v>
          </cell>
          <cell r="EB27">
            <v>0</v>
          </cell>
          <cell r="EC27">
            <v>-38</v>
          </cell>
          <cell r="ED27">
            <v>-38</v>
          </cell>
          <cell r="EF27">
            <v>0</v>
          </cell>
          <cell r="EG27">
            <v>0</v>
          </cell>
          <cell r="EH27">
            <v>0</v>
          </cell>
          <cell r="EI27">
            <v>0</v>
          </cell>
          <cell r="EJ27">
            <v>0</v>
          </cell>
          <cell r="EK27" t="str">
            <v>Post-Tax Extraordinary Charges (FYins)</v>
          </cell>
          <cell r="EL27">
            <v>0</v>
          </cell>
          <cell r="EM27">
            <v>0</v>
          </cell>
          <cell r="EN27">
            <v>-85</v>
          </cell>
          <cell r="EO27">
            <v>-10</v>
          </cell>
          <cell r="EP27">
            <v>-95</v>
          </cell>
          <cell r="ER27">
            <v>0</v>
          </cell>
          <cell r="ES27">
            <v>-90.625</v>
          </cell>
          <cell r="ET27">
            <v>0</v>
          </cell>
          <cell r="EU27">
            <v>-34</v>
          </cell>
          <cell r="EV27">
            <v>-124.625</v>
          </cell>
          <cell r="EX27">
            <v>0</v>
          </cell>
          <cell r="EY27">
            <v>0</v>
          </cell>
          <cell r="EZ27">
            <v>0</v>
          </cell>
          <cell r="FA27">
            <v>-78</v>
          </cell>
          <cell r="FB27">
            <v>-78</v>
          </cell>
          <cell r="FD27">
            <v>0</v>
          </cell>
          <cell r="FE27">
            <v>0</v>
          </cell>
          <cell r="FF27">
            <v>0</v>
          </cell>
          <cell r="FG27">
            <v>5382</v>
          </cell>
          <cell r="FH27">
            <v>5382</v>
          </cell>
          <cell r="FJ27">
            <v>0</v>
          </cell>
          <cell r="FK27">
            <v>0</v>
          </cell>
          <cell r="FL27">
            <v>0</v>
          </cell>
          <cell r="FM27">
            <v>0</v>
          </cell>
          <cell r="FN27">
            <v>0</v>
          </cell>
          <cell r="FP27">
            <v>17</v>
          </cell>
          <cell r="FQ27">
            <v>0</v>
          </cell>
          <cell r="FR27">
            <v>24.4</v>
          </cell>
          <cell r="FS27">
            <v>0</v>
          </cell>
          <cell r="FT27">
            <v>41.4</v>
          </cell>
          <cell r="FV27">
            <v>0</v>
          </cell>
          <cell r="FW27">
            <v>0</v>
          </cell>
          <cell r="FX27">
            <v>0</v>
          </cell>
          <cell r="FY27">
            <v>0</v>
          </cell>
          <cell r="FZ27">
            <v>0</v>
          </cell>
          <cell r="GB27">
            <v>0</v>
          </cell>
          <cell r="GC27">
            <v>0</v>
          </cell>
          <cell r="GD27">
            <v>0</v>
          </cell>
          <cell r="GE27">
            <v>0</v>
          </cell>
          <cell r="GF27">
            <v>0</v>
          </cell>
        </row>
        <row r="28">
          <cell r="A28" t="str">
            <v>Net Income, Reported</v>
          </cell>
          <cell r="C28">
            <v>-1773.9269999999999</v>
          </cell>
          <cell r="D28">
            <v>-271.44599999999934</v>
          </cell>
          <cell r="E28">
            <v>836.39200000000028</v>
          </cell>
          <cell r="F28">
            <v>25.182999999999812</v>
          </cell>
          <cell r="G28">
            <v>113.00900000000063</v>
          </cell>
          <cell r="H28">
            <v>193.24799999999911</v>
          </cell>
          <cell r="I28">
            <v>246.85299999999896</v>
          </cell>
          <cell r="K28">
            <v>36.799949999999399</v>
          </cell>
          <cell r="L28">
            <v>148.99099999999899</v>
          </cell>
          <cell r="N28">
            <v>75</v>
          </cell>
          <cell r="O28">
            <v>266</v>
          </cell>
          <cell r="P28">
            <v>536</v>
          </cell>
          <cell r="Q28">
            <v>662</v>
          </cell>
          <cell r="R28">
            <v>795</v>
          </cell>
          <cell r="S28">
            <v>-184</v>
          </cell>
          <cell r="T28">
            <v>-276</v>
          </cell>
          <cell r="U28">
            <v>818</v>
          </cell>
          <cell r="V28">
            <v>693</v>
          </cell>
          <cell r="W28">
            <v>689</v>
          </cell>
          <cell r="X28">
            <v>1406.5914100719424</v>
          </cell>
          <cell r="Y28">
            <v>994.875</v>
          </cell>
          <cell r="Z28">
            <v>893</v>
          </cell>
          <cell r="AA28">
            <v>-4803</v>
          </cell>
          <cell r="AB28">
            <v>329</v>
          </cell>
          <cell r="AC28">
            <v>805.6</v>
          </cell>
          <cell r="AD28">
            <v>1256</v>
          </cell>
          <cell r="AE28">
            <v>1408.3729840730655</v>
          </cell>
          <cell r="AF28">
            <v>1474.1651556723784</v>
          </cell>
          <cell r="AG28">
            <v>1618.7764295278068</v>
          </cell>
          <cell r="AH28">
            <v>1641.1420018455815</v>
          </cell>
          <cell r="AI28">
            <v>1683.4875028271354</v>
          </cell>
          <cell r="AJ28">
            <v>1748.1022306573102</v>
          </cell>
          <cell r="AK28">
            <v>1801.4292273300186</v>
          </cell>
          <cell r="AL28">
            <v>1844.6042441173129</v>
          </cell>
          <cell r="AN28" t="str">
            <v>Net Income, Reported</v>
          </cell>
          <cell r="AO28">
            <v>-99.439999999999898</v>
          </cell>
          <cell r="AP28">
            <v>-126.372</v>
          </cell>
          <cell r="AQ28">
            <v>-86.802000000000035</v>
          </cell>
          <cell r="AR28">
            <v>41.16799999999995</v>
          </cell>
          <cell r="AS28">
            <v>-271.44599999999997</v>
          </cell>
          <cell r="AU28">
            <v>-64.160999999999916</v>
          </cell>
          <cell r="AV28">
            <v>-143.82800000000009</v>
          </cell>
          <cell r="AW28">
            <v>-60.994999999999962</v>
          </cell>
          <cell r="AX28">
            <v>-3142.5589999999993</v>
          </cell>
          <cell r="AY28">
            <v>-3411.5429999999992</v>
          </cell>
          <cell r="BA28">
            <v>11.812000000000163</v>
          </cell>
          <cell r="BB28">
            <v>-2.2150000000000407</v>
          </cell>
          <cell r="BC28">
            <v>31.581999999999912</v>
          </cell>
          <cell r="BD28">
            <v>111.22800000000005</v>
          </cell>
          <cell r="BE28">
            <v>152.4070000000001</v>
          </cell>
          <cell r="BG28">
            <v>25.245000000000061</v>
          </cell>
          <cell r="BH28">
            <v>8.8529999999999731</v>
          </cell>
          <cell r="BI28">
            <v>48.765999999999963</v>
          </cell>
          <cell r="BJ28">
            <v>145.9579999999998</v>
          </cell>
          <cell r="BK28">
            <v>228.82199999999918</v>
          </cell>
          <cell r="BM28">
            <v>32.222000000000179</v>
          </cell>
          <cell r="BN28">
            <v>3.7719999999998395</v>
          </cell>
          <cell r="BO28">
            <v>44.343000000000011</v>
          </cell>
          <cell r="BP28">
            <v>166.51600000000005</v>
          </cell>
          <cell r="BQ28">
            <v>246.85299999999896</v>
          </cell>
          <cell r="BS28">
            <v>-37.04640000000002</v>
          </cell>
          <cell r="BT28">
            <v>-58.228649999999988</v>
          </cell>
          <cell r="BU28">
            <v>-51.259399999999978</v>
          </cell>
          <cell r="BV28">
            <v>183.33440000000004</v>
          </cell>
          <cell r="BW28">
            <v>36.799949999999342</v>
          </cell>
          <cell r="BY28">
            <v>-56.999000000000279</v>
          </cell>
          <cell r="BZ28">
            <v>-67.174999999999898</v>
          </cell>
          <cell r="CA28">
            <v>21.895999999999734</v>
          </cell>
          <cell r="CB28">
            <v>-68.198000000000221</v>
          </cell>
          <cell r="CC28">
            <v>-46.395000000000152</v>
          </cell>
          <cell r="CD28">
            <v>251.26899999999983</v>
          </cell>
          <cell r="CE28">
            <v>244.64499999999947</v>
          </cell>
          <cell r="CF28">
            <v>148.99099999999893</v>
          </cell>
          <cell r="CG28">
            <v>142.36699999999902</v>
          </cell>
          <cell r="CH28">
            <v>74.168999999998789</v>
          </cell>
          <cell r="CJ28">
            <v>-37.923000000000144</v>
          </cell>
          <cell r="CK28">
            <v>-27.192999999999955</v>
          </cell>
          <cell r="CL28">
            <v>41.801000000000421</v>
          </cell>
          <cell r="CM28">
            <v>289.20199999999966</v>
          </cell>
          <cell r="CN28">
            <v>265.88699999999972</v>
          </cell>
          <cell r="CP28">
            <v>24.059000000000179</v>
          </cell>
          <cell r="CQ28">
            <v>105.04300000000035</v>
          </cell>
          <cell r="CR28">
            <v>105.11400000000003</v>
          </cell>
          <cell r="CS28">
            <v>379.08000000000004</v>
          </cell>
          <cell r="CT28">
            <v>613.29600000000062</v>
          </cell>
          <cell r="CV28">
            <v>60.234000000000002</v>
          </cell>
          <cell r="CW28">
            <v>107</v>
          </cell>
          <cell r="CX28">
            <v>87</v>
          </cell>
          <cell r="CY28">
            <v>408</v>
          </cell>
          <cell r="CZ28">
            <v>662.23400000000004</v>
          </cell>
          <cell r="DB28">
            <v>87</v>
          </cell>
          <cell r="DC28">
            <v>137</v>
          </cell>
          <cell r="DD28">
            <v>123</v>
          </cell>
          <cell r="DE28">
            <v>448</v>
          </cell>
          <cell r="DF28">
            <v>795</v>
          </cell>
          <cell r="DH28">
            <v>89</v>
          </cell>
          <cell r="DI28">
            <v>63</v>
          </cell>
          <cell r="DJ28">
            <v>-668</v>
          </cell>
          <cell r="DK28">
            <v>332</v>
          </cell>
          <cell r="DL28">
            <v>-184</v>
          </cell>
          <cell r="DN28">
            <v>58</v>
          </cell>
          <cell r="DO28">
            <v>110</v>
          </cell>
          <cell r="DP28">
            <v>3</v>
          </cell>
          <cell r="DQ28">
            <v>-447</v>
          </cell>
          <cell r="DR28">
            <v>-276</v>
          </cell>
          <cell r="DT28">
            <v>89</v>
          </cell>
          <cell r="DU28">
            <v>282</v>
          </cell>
          <cell r="DV28">
            <v>106</v>
          </cell>
          <cell r="DW28">
            <v>341</v>
          </cell>
          <cell r="DX28">
            <v>818</v>
          </cell>
          <cell r="DZ28">
            <v>46</v>
          </cell>
          <cell r="EA28">
            <v>120</v>
          </cell>
          <cell r="EB28">
            <v>67</v>
          </cell>
          <cell r="EC28">
            <v>460</v>
          </cell>
          <cell r="ED28">
            <v>693</v>
          </cell>
          <cell r="EF28">
            <v>97</v>
          </cell>
          <cell r="EG28">
            <v>78</v>
          </cell>
          <cell r="EH28">
            <v>74</v>
          </cell>
          <cell r="EI28">
            <v>440</v>
          </cell>
          <cell r="EJ28">
            <v>689</v>
          </cell>
          <cell r="EK28" t="str">
            <v>Net Income, Reported</v>
          </cell>
          <cell r="EL28">
            <v>123.354</v>
          </cell>
          <cell r="EM28">
            <v>148</v>
          </cell>
          <cell r="EN28">
            <v>436.23741007194246</v>
          </cell>
          <cell r="EO28">
            <v>699</v>
          </cell>
          <cell r="EP28">
            <v>1406.5914100719424</v>
          </cell>
          <cell r="ER28">
            <v>-52</v>
          </cell>
          <cell r="ES28">
            <v>316.875</v>
          </cell>
          <cell r="ET28">
            <v>-3</v>
          </cell>
          <cell r="EU28">
            <v>733</v>
          </cell>
          <cell r="EV28">
            <v>994.875</v>
          </cell>
          <cell r="EX28">
            <v>36</v>
          </cell>
          <cell r="EY28">
            <v>74</v>
          </cell>
          <cell r="EZ28">
            <v>33</v>
          </cell>
          <cell r="FA28">
            <v>750</v>
          </cell>
          <cell r="FB28">
            <v>893</v>
          </cell>
          <cell r="FD28">
            <v>-59</v>
          </cell>
          <cell r="FE28">
            <v>73</v>
          </cell>
          <cell r="FF28">
            <v>-44</v>
          </cell>
          <cell r="FG28">
            <v>-4773</v>
          </cell>
          <cell r="FH28">
            <v>-4803</v>
          </cell>
          <cell r="FJ28">
            <v>-88</v>
          </cell>
          <cell r="FK28">
            <v>7</v>
          </cell>
          <cell r="FL28">
            <v>-35</v>
          </cell>
          <cell r="FM28">
            <v>445</v>
          </cell>
          <cell r="FN28">
            <v>329</v>
          </cell>
          <cell r="FP28">
            <v>23</v>
          </cell>
          <cell r="FQ28">
            <v>147</v>
          </cell>
          <cell r="FR28">
            <v>10</v>
          </cell>
          <cell r="FS28">
            <v>667</v>
          </cell>
          <cell r="FT28">
            <v>847</v>
          </cell>
          <cell r="FV28">
            <v>131</v>
          </cell>
          <cell r="FW28">
            <v>241</v>
          </cell>
          <cell r="FX28">
            <v>139</v>
          </cell>
          <cell r="FY28">
            <v>745</v>
          </cell>
          <cell r="FZ28">
            <v>1256</v>
          </cell>
          <cell r="GB28">
            <v>181</v>
          </cell>
          <cell r="GC28">
            <v>279</v>
          </cell>
          <cell r="GD28">
            <v>110.03264655178822</v>
          </cell>
          <cell r="GE28">
            <v>838.34033752127743</v>
          </cell>
          <cell r="GF28">
            <v>1408.3729840730655</v>
          </cell>
          <cell r="GS28" t="str">
            <v>mstag:netIncomeAsReported</v>
          </cell>
          <cell r="GT28">
            <v>6</v>
          </cell>
          <cell r="GU28" t="str">
            <v>ISO4217:USD</v>
          </cell>
          <cell r="GV28" t="b">
            <v>0</v>
          </cell>
        </row>
        <row r="30">
          <cell r="A30" t="str">
            <v>EPS, Before All Extraordinary Items</v>
          </cell>
          <cell r="C30" t="str">
            <v xml:space="preserve">--  </v>
          </cell>
          <cell r="D30" t="str">
            <v xml:space="preserve">--  </v>
          </cell>
          <cell r="E30" t="str">
            <v xml:space="preserve">--  </v>
          </cell>
          <cell r="F30">
            <v>0.22616075437808544</v>
          </cell>
          <cell r="G30">
            <v>1.0148989672204816</v>
          </cell>
          <cell r="H30">
            <v>1.5301560656568385</v>
          </cell>
          <cell r="I30">
            <v>1.9499735372413873</v>
          </cell>
          <cell r="K30">
            <v>0.20197557628978816</v>
          </cell>
          <cell r="L30">
            <v>0.81437207573570658</v>
          </cell>
          <cell r="N30">
            <v>0.19396284189183596</v>
          </cell>
          <cell r="O30">
            <v>0.59802158273381312</v>
          </cell>
          <cell r="P30">
            <v>1.2657726276118944</v>
          </cell>
          <cell r="Q30">
            <v>1.5161575918548031</v>
          </cell>
          <cell r="R30">
            <v>1.8784153005464481</v>
          </cell>
          <cell r="S30">
            <v>2.100160980880764</v>
          </cell>
          <cell r="T30">
            <v>1.6014336365037769</v>
          </cell>
          <cell r="U30">
            <v>1.7093897259149216</v>
          </cell>
          <cell r="V30">
            <v>1.8506172802885585</v>
          </cell>
          <cell r="W30">
            <v>2.2069208613414109</v>
          </cell>
          <cell r="X30">
            <v>2.5058780966631615</v>
          </cell>
          <cell r="Y30">
            <v>2.0770614304446693</v>
          </cell>
          <cell r="Z30">
            <v>2.129219701162147</v>
          </cell>
          <cell r="AA30">
            <v>1.2932312985703269</v>
          </cell>
          <cell r="AB30">
            <v>1.3637977980348048</v>
          </cell>
          <cell r="AC30">
            <v>2.1076672104404568</v>
          </cell>
          <cell r="AD30">
            <v>2.879879182156134</v>
          </cell>
          <cell r="AE30">
            <v>3.4254564468311228</v>
          </cell>
          <cell r="AF30">
            <v>3.9453943917559142</v>
          </cell>
          <cell r="AG30">
            <v>4.7983581094155907</v>
          </cell>
          <cell r="AH30">
            <v>5.2958753573867723</v>
          </cell>
          <cell r="AI30">
            <v>5.6959829769682733</v>
          </cell>
          <cell r="AJ30">
            <v>6.1538937066977288</v>
          </cell>
          <cell r="AK30">
            <v>6.8001516881883797</v>
          </cell>
          <cell r="AL30">
            <v>7.5529335978779351</v>
          </cell>
          <cell r="AN30" t="str">
            <v>EPS, Before All Extraordinary Items</v>
          </cell>
          <cell r="AO30">
            <v>-1.2429999999999988</v>
          </cell>
          <cell r="AP30">
            <v>-1.57965</v>
          </cell>
          <cell r="AQ30">
            <v>-1.0850250000000004</v>
          </cell>
          <cell r="AR30">
            <v>0.51459999999999939</v>
          </cell>
          <cell r="AS30">
            <v>-3.3930749999999996</v>
          </cell>
          <cell r="AU30">
            <v>-0.80231336751281623</v>
          </cell>
          <cell r="AV30">
            <v>-1.7985244466675014</v>
          </cell>
          <cell r="AW30">
            <v>-0.7627235213204947</v>
          </cell>
          <cell r="AX30">
            <v>-39.296723771414271</v>
          </cell>
          <cell r="AY30">
            <v>-42.660285106915083</v>
          </cell>
          <cell r="BA30">
            <v>0.14770538952107243</v>
          </cell>
          <cell r="BB30">
            <v>-1.9535728775290969E-2</v>
          </cell>
          <cell r="BC30">
            <v>0.25065079365079296</v>
          </cell>
          <cell r="BD30">
            <v>0.88256577903323108</v>
          </cell>
          <cell r="BE30">
            <v>1.3687202514593633</v>
          </cell>
          <cell r="BG30">
            <v>0.20002535476867783</v>
          </cell>
          <cell r="BH30">
            <v>7.0090017338431732E-2</v>
          </cell>
          <cell r="BI30">
            <v>0.38607880548804113</v>
          </cell>
          <cell r="BJ30">
            <v>1.1552976934888934</v>
          </cell>
          <cell r="BK30">
            <v>1.8118343851203089</v>
          </cell>
          <cell r="BM30">
            <v>0.25479187753036581</v>
          </cell>
          <cell r="BN30">
            <v>2.9799807233483223E-2</v>
          </cell>
          <cell r="BO30">
            <v>0.3502606635071091</v>
          </cell>
          <cell r="BP30">
            <v>1.3138393561622224</v>
          </cell>
          <cell r="BQ30">
            <v>1.9499735372413873</v>
          </cell>
          <cell r="BS30">
            <v>-0.20332821075740956</v>
          </cell>
          <cell r="BT30">
            <v>-0.31958644346871568</v>
          </cell>
          <cell r="BU30">
            <v>-0.28133589462129516</v>
          </cell>
          <cell r="BV30">
            <v>1.0062261251372122</v>
          </cell>
          <cell r="BW30">
            <v>0.20197557628978785</v>
          </cell>
          <cell r="BY30">
            <v>-0.31201213036862024</v>
          </cell>
          <cell r="BZ30">
            <v>-0.36741781983263083</v>
          </cell>
          <cell r="CA30">
            <v>0.11965027322404226</v>
          </cell>
          <cell r="CB30">
            <v>-0.34615287005689976</v>
          </cell>
          <cell r="CC30">
            <v>-0.23548729297471871</v>
          </cell>
          <cell r="CD30">
            <v>1.3712712428644704</v>
          </cell>
          <cell r="CE30">
            <v>1.207342410588703</v>
          </cell>
          <cell r="CF30">
            <v>0.81437207573570625</v>
          </cell>
          <cell r="CG30">
            <v>0.7435356421009699</v>
          </cell>
          <cell r="CH30">
            <v>0.38729941567494397</v>
          </cell>
          <cell r="CJ30">
            <v>-0.18345991969425834</v>
          </cell>
          <cell r="CK30">
            <v>-0.13094773743998667</v>
          </cell>
          <cell r="CL30">
            <v>0.19647851243942646</v>
          </cell>
          <cell r="CM30">
            <v>1.295707885304658</v>
          </cell>
          <cell r="CN30">
            <v>1.1955350719424447</v>
          </cell>
          <cell r="CP30">
            <v>0.11263576779026301</v>
          </cell>
          <cell r="CQ30">
            <v>0.29367256637168293</v>
          </cell>
          <cell r="CR30">
            <v>0.46448961555457374</v>
          </cell>
          <cell r="CS30">
            <v>1.6504702194357368</v>
          </cell>
          <cell r="CT30">
            <v>2.5298854420738444</v>
          </cell>
          <cell r="CV30">
            <v>0.26007772020725389</v>
          </cell>
          <cell r="CW30">
            <v>0.4604130808950086</v>
          </cell>
          <cell r="CX30">
            <v>0.48076923076923067</v>
          </cell>
          <cell r="CY30">
            <v>1.8793182865039153</v>
          </cell>
          <cell r="CZ30">
            <v>3.0333510402833115</v>
          </cell>
          <cell r="DB30">
            <v>0.20101663585951943</v>
          </cell>
          <cell r="DC30">
            <v>0.30869761153672826</v>
          </cell>
          <cell r="DD30">
            <v>0.27967257844474763</v>
          </cell>
          <cell r="DE30">
            <v>1.0186448385629832</v>
          </cell>
          <cell r="DF30">
            <v>1.8103153819879312</v>
          </cell>
          <cell r="DH30">
            <v>0.27276930189551551</v>
          </cell>
          <cell r="DI30">
            <v>0.46522781774580335</v>
          </cell>
          <cell r="DJ30">
            <v>0.27100944803580307</v>
          </cell>
          <cell r="DK30">
            <v>1.1121316908003744</v>
          </cell>
          <cell r="DL30">
            <v>2.100160980880764</v>
          </cell>
          <cell r="DN30">
            <v>0.21597256246937779</v>
          </cell>
          <cell r="DO30">
            <v>0.26126326727529131</v>
          </cell>
          <cell r="DP30">
            <v>0.11037133026498057</v>
          </cell>
          <cell r="DQ30">
            <v>1.0059098707159446</v>
          </cell>
          <cell r="DR30">
            <v>1.6014336365037769</v>
          </cell>
          <cell r="DT30">
            <v>0.21813725490196079</v>
          </cell>
          <cell r="DU30">
            <v>0.32678132678132676</v>
          </cell>
          <cell r="DV30">
            <v>0.19142419601837671</v>
          </cell>
          <cell r="DW30">
            <v>0.99768531377886427</v>
          </cell>
          <cell r="DX30">
            <v>1.7093897259149216</v>
          </cell>
          <cell r="DZ30">
            <v>0.13414803499513958</v>
          </cell>
          <cell r="EA30">
            <v>0.3366189923978869</v>
          </cell>
          <cell r="EB30">
            <v>0.22710881606277405</v>
          </cell>
          <cell r="EC30">
            <v>1.1671164307843058</v>
          </cell>
          <cell r="ED30">
            <v>1.8506172802885585</v>
          </cell>
          <cell r="EF30">
            <v>0.29516518323340046</v>
          </cell>
          <cell r="EG30">
            <v>0.36734693877551022</v>
          </cell>
          <cell r="EH30">
            <v>0.27580275229357798</v>
          </cell>
          <cell r="EI30">
            <v>1.2993690266609828</v>
          </cell>
          <cell r="EJ30">
            <v>2.2069208613414109</v>
          </cell>
          <cell r="EK30" t="str">
            <v>EPS, Before All Extraordinary Items</v>
          </cell>
          <cell r="EL30">
            <v>0.35692708333333328</v>
          </cell>
          <cell r="EM30">
            <v>0.42117245304496292</v>
          </cell>
          <cell r="EN30">
            <v>0.1606847608789124</v>
          </cell>
          <cell r="EO30">
            <v>1.3341216109951204</v>
          </cell>
          <cell r="EP30">
            <v>2.5058780966631615</v>
          </cell>
          <cell r="ER30">
            <v>1.2362553915314987E-2</v>
          </cell>
          <cell r="ES30">
            <v>0.32635908440629469</v>
          </cell>
          <cell r="ET30">
            <v>0.20415978662787176</v>
          </cell>
          <cell r="EU30">
            <v>1.5983670475799727</v>
          </cell>
          <cell r="EV30">
            <v>2.0770614304446693</v>
          </cell>
          <cell r="EX30">
            <v>0.16</v>
          </cell>
          <cell r="EY30">
            <v>0.34</v>
          </cell>
          <cell r="EZ30">
            <v>0.08</v>
          </cell>
          <cell r="FA30">
            <v>1.67</v>
          </cell>
          <cell r="FB30">
            <v>2.129219701162147</v>
          </cell>
          <cell r="FD30">
            <v>0.01</v>
          </cell>
          <cell r="FE30">
            <v>0.28999999999999998</v>
          </cell>
          <cell r="FF30">
            <v>-0.08</v>
          </cell>
          <cell r="FG30">
            <v>1.06</v>
          </cell>
          <cell r="FH30">
            <v>1.2932312985703269</v>
          </cell>
          <cell r="FJ30">
            <v>-0.16</v>
          </cell>
          <cell r="FK30">
            <v>0.2</v>
          </cell>
          <cell r="FL30">
            <v>-0.03</v>
          </cell>
          <cell r="FM30">
            <v>1.35</v>
          </cell>
          <cell r="FN30">
            <v>1.3637977980348048</v>
          </cell>
          <cell r="FP30">
            <v>9.3852651337400284E-2</v>
          </cell>
          <cell r="FQ30">
            <v>0.35</v>
          </cell>
          <cell r="FR30">
            <v>8.0449017773620193E-2</v>
          </cell>
          <cell r="FS30">
            <v>1.59</v>
          </cell>
          <cell r="FT30">
            <v>2.1076672104404568</v>
          </cell>
          <cell r="FV30">
            <v>0.30465116279069765</v>
          </cell>
          <cell r="FW30">
            <v>0.55453290381960418</v>
          </cell>
          <cell r="FX30">
            <v>0.32190829087540529</v>
          </cell>
          <cell r="FY30">
            <v>1.7048911771589044</v>
          </cell>
          <cell r="FZ30">
            <v>2.879879182156134</v>
          </cell>
          <cell r="GB30">
            <v>0.42718904885532216</v>
          </cell>
          <cell r="GC30">
            <v>0.66890433948693373</v>
          </cell>
          <cell r="GD30">
            <v>0.27084783703217807</v>
          </cell>
          <cell r="GE30">
            <v>2.1088022722950708</v>
          </cell>
          <cell r="GF30">
            <v>3.4254564468311224</v>
          </cell>
          <cell r="GS30" t="str">
            <v>mstag:adjEpsForConsensus</v>
          </cell>
          <cell r="GT30">
            <v>0</v>
          </cell>
          <cell r="GU30" t="str">
            <v>ISO4217:USD</v>
          </cell>
          <cell r="GV30" t="b">
            <v>0</v>
          </cell>
          <cell r="GW30" t="b">
            <v>0</v>
          </cell>
        </row>
        <row r="31">
          <cell r="A31" t="str">
            <v>EPS, Extraordinary/Discontinued</v>
          </cell>
          <cell r="K31">
            <v>-0.57276646542261256</v>
          </cell>
          <cell r="L31">
            <v>-0.9233288512833967</v>
          </cell>
          <cell r="N31">
            <v>0</v>
          </cell>
          <cell r="O31">
            <v>0</v>
          </cell>
          <cell r="P31">
            <v>-8.5852404307589364E-2</v>
          </cell>
          <cell r="Q31">
            <v>-5.090748118636565E-2</v>
          </cell>
          <cell r="R31">
            <v>-6.8306010928961755E-2</v>
          </cell>
          <cell r="S31">
            <v>-2.5448739718173199</v>
          </cell>
          <cell r="T31">
            <v>-2.2928164020348389</v>
          </cell>
          <cell r="U31">
            <v>0.34873079238926785</v>
          </cell>
          <cell r="V31">
            <v>6.29590299118425E-3</v>
          </cell>
          <cell r="W31">
            <v>-0.27369976145364439</v>
          </cell>
          <cell r="X31">
            <v>0.7306414847264896</v>
          </cell>
          <cell r="Y31">
            <v>-0.26060168971069103</v>
          </cell>
          <cell r="Z31">
            <v>-0.1348828629404164</v>
          </cell>
          <cell r="AA31">
            <v>-12.690277036246071</v>
          </cell>
          <cell r="AB31">
            <v>-0.58482301408784143</v>
          </cell>
          <cell r="AC31">
            <v>-0.13766721044045682</v>
          </cell>
          <cell r="AD31">
            <v>4.0120817843865897E-2</v>
          </cell>
          <cell r="AE31">
            <v>4.5435531688777786E-3</v>
          </cell>
          <cell r="AF31">
            <v>0</v>
          </cell>
          <cell r="AG31">
            <v>0</v>
          </cell>
          <cell r="AH31">
            <v>0</v>
          </cell>
          <cell r="AI31">
            <v>0</v>
          </cell>
          <cell r="AJ31">
            <v>0</v>
          </cell>
          <cell r="AK31">
            <v>0</v>
          </cell>
          <cell r="AL31">
            <v>0</v>
          </cell>
          <cell r="AN31" t="str">
            <v>EPS, Extraordinary/Discontinued</v>
          </cell>
          <cell r="AO31">
            <v>0.17066427012363927</v>
          </cell>
          <cell r="AP31">
            <v>7.9165927046291967E-2</v>
          </cell>
          <cell r="AQ31">
            <v>0.2616065710286915</v>
          </cell>
          <cell r="AR31">
            <v>-0.36646743429234646</v>
          </cell>
          <cell r="AS31">
            <v>0.14496933390627625</v>
          </cell>
          <cell r="AU31">
            <v>0.10056992116474267</v>
          </cell>
          <cell r="AV31">
            <v>0.92759338606906783</v>
          </cell>
          <cell r="AW31">
            <v>0.22557897123962739</v>
          </cell>
          <cell r="AX31">
            <v>12.649594309088322</v>
          </cell>
          <cell r="AY31">
            <v>13.90333658756176</v>
          </cell>
          <cell r="BA31">
            <v>0</v>
          </cell>
          <cell r="BB31">
            <v>-0.12</v>
          </cell>
          <cell r="BC31">
            <v>0</v>
          </cell>
          <cell r="BD31">
            <v>-0.05</v>
          </cell>
          <cell r="BE31">
            <v>-0.16999999999999998</v>
          </cell>
          <cell r="BG31">
            <v>-2.8088329675379727E-2</v>
          </cell>
          <cell r="BH31">
            <v>0</v>
          </cell>
          <cell r="BI31">
            <v>-0.11275344190133876</v>
          </cell>
          <cell r="BJ31">
            <v>0.11</v>
          </cell>
          <cell r="BK31">
            <v>-3.0841771576718482E-2</v>
          </cell>
          <cell r="BM31">
            <v>0</v>
          </cell>
          <cell r="BN31">
            <v>-0.12758141225173411</v>
          </cell>
          <cell r="BO31">
            <v>0</v>
          </cell>
          <cell r="BP31">
            <v>0</v>
          </cell>
          <cell r="BQ31">
            <v>-0.12758141225173411</v>
          </cell>
          <cell r="BS31">
            <v>0</v>
          </cell>
          <cell r="BT31">
            <v>-0.11375987925356752</v>
          </cell>
          <cell r="BU31">
            <v>-0.26783754116355651</v>
          </cell>
          <cell r="BV31">
            <v>-0.19116904500548851</v>
          </cell>
          <cell r="BW31">
            <v>-0.57276646542261256</v>
          </cell>
          <cell r="BY31">
            <v>-0.27822347029263966</v>
          </cell>
          <cell r="BZ31">
            <v>-0.38236853908001966</v>
          </cell>
          <cell r="CA31">
            <v>-0.12076142131979695</v>
          </cell>
          <cell r="CB31">
            <v>0</v>
          </cell>
          <cell r="CC31">
            <v>-0.12117634517766497</v>
          </cell>
          <cell r="CD31">
            <v>-0.13316015237014156</v>
          </cell>
          <cell r="CE31">
            <v>-0.24821034293864214</v>
          </cell>
          <cell r="CF31">
            <v>-0.9233288512833967</v>
          </cell>
          <cell r="CG31">
            <v>-1.0174801146897994</v>
          </cell>
          <cell r="CH31">
            <v>-1.0173207208242168</v>
          </cell>
          <cell r="CJ31">
            <v>-0.22177446664409073</v>
          </cell>
          <cell r="CK31">
            <v>-0.28818222312111447</v>
          </cell>
          <cell r="CL31">
            <v>-0.12598728090584768</v>
          </cell>
          <cell r="CM31">
            <v>-0.23777692652329746</v>
          </cell>
          <cell r="CN31">
            <v>-0.83960888039568349</v>
          </cell>
          <cell r="CP31">
            <v>0</v>
          </cell>
          <cell r="CQ31">
            <v>-0.17111946902654868</v>
          </cell>
          <cell r="CR31">
            <v>0</v>
          </cell>
          <cell r="CS31">
            <v>0</v>
          </cell>
          <cell r="CT31">
            <v>-0.17026512983525147</v>
          </cell>
          <cell r="CV31">
            <v>0</v>
          </cell>
          <cell r="CW31">
            <v>0</v>
          </cell>
          <cell r="CX31">
            <v>-0.10052447552447552</v>
          </cell>
          <cell r="CY31">
            <v>0</v>
          </cell>
          <cell r="CZ31">
            <v>-0.1018149623727313</v>
          </cell>
          <cell r="DB31">
            <v>0</v>
          </cell>
          <cell r="DC31">
            <v>0</v>
          </cell>
          <cell r="DD31">
            <v>0</v>
          </cell>
          <cell r="DE31">
            <v>0</v>
          </cell>
          <cell r="DF31">
            <v>0</v>
          </cell>
          <cell r="DH31">
            <v>-6.7036523347202961E-2</v>
          </cell>
          <cell r="DI31">
            <v>-0.31414868105515587</v>
          </cell>
          <cell r="DJ31">
            <v>-1.9318746892093486</v>
          </cell>
          <cell r="DK31">
            <v>-0.28871899238767618</v>
          </cell>
          <cell r="DL31">
            <v>-2.5448739718173199</v>
          </cell>
          <cell r="DN31">
            <v>-7.3885350318471349E-2</v>
          </cell>
          <cell r="DO31">
            <v>1.4287834929117501E-2</v>
          </cell>
          <cell r="DP31">
            <v>-0.10266321104606999</v>
          </cell>
          <cell r="DQ31">
            <v>-2.122851399951327</v>
          </cell>
          <cell r="DR31">
            <v>-2.2928164020348389</v>
          </cell>
          <cell r="DT31">
            <v>0</v>
          </cell>
          <cell r="DU31">
            <v>0.36609336609336607</v>
          </cell>
          <cell r="DV31">
            <v>7.9122001020929048E-2</v>
          </cell>
          <cell r="DW31">
            <v>-0.10734588819139679</v>
          </cell>
          <cell r="DX31">
            <v>0.34873079238926785</v>
          </cell>
          <cell r="DZ31">
            <v>-1.2776003332870435E-2</v>
          </cell>
          <cell r="EA31">
            <v>-1.6106171885066356E-2</v>
          </cell>
          <cell r="EB31">
            <v>-4.6710323871067008E-2</v>
          </cell>
          <cell r="EC31">
            <v>8.3563286453323213E-2</v>
          </cell>
          <cell r="ED31">
            <v>6.29590299118425E-3</v>
          </cell>
          <cell r="EF31">
            <v>-3.1864423189969363E-2</v>
          </cell>
          <cell r="EG31">
            <v>-0.15306122448979592</v>
          </cell>
          <cell r="EH31">
            <v>-6.3646788990825695E-2</v>
          </cell>
          <cell r="EI31">
            <v>-2.3266938493929443E-2</v>
          </cell>
          <cell r="EJ31">
            <v>-0.27369976145364439</v>
          </cell>
          <cell r="EK31" t="str">
            <v>EPS, Extraordinary/Discontinued</v>
          </cell>
          <cell r="EL31">
            <v>0</v>
          </cell>
          <cell r="EM31">
            <v>0</v>
          </cell>
          <cell r="EN31">
            <v>0.73526391456151163</v>
          </cell>
          <cell r="EO31">
            <v>-7.2844093853294434E-2</v>
          </cell>
          <cell r="EP31">
            <v>0.7306414847264896</v>
          </cell>
          <cell r="ER31">
            <v>-0.10555251807302107</v>
          </cell>
          <cell r="ES31">
            <v>0.24029864091559369</v>
          </cell>
          <cell r="ET31">
            <v>-0.21761532399830275</v>
          </cell>
          <cell r="EU31">
            <v>-0.19871075580987546</v>
          </cell>
          <cell r="EV31">
            <v>-0.26060168971069103</v>
          </cell>
          <cell r="EX31">
            <v>-8.3109782144382749E-2</v>
          </cell>
          <cell r="EY31">
            <v>-0.17624695729143616</v>
          </cell>
          <cell r="EZ31">
            <v>-3.9981575310916589E-3</v>
          </cell>
          <cell r="FA31">
            <v>0.17943409247757075</v>
          </cell>
          <cell r="FB31">
            <v>-0.1348828629404164</v>
          </cell>
          <cell r="FD31">
            <v>-0.15</v>
          </cell>
          <cell r="FE31">
            <v>-0.12</v>
          </cell>
          <cell r="FF31">
            <v>-0.02</v>
          </cell>
          <cell r="FG31">
            <v>-12.39</v>
          </cell>
          <cell r="FH31">
            <v>-12.690277036246071</v>
          </cell>
          <cell r="FJ31">
            <v>-0.05</v>
          </cell>
          <cell r="FK31">
            <v>-0.18</v>
          </cell>
          <cell r="FL31">
            <v>-0.05</v>
          </cell>
          <cell r="FM31">
            <v>-0.3</v>
          </cell>
          <cell r="FN31">
            <v>-0.58482301408784143</v>
          </cell>
          <cell r="FP31">
            <v>-4.3852651337400281E-2</v>
          </cell>
          <cell r="FQ31">
            <v>-5.3341148886283385E-3</v>
          </cell>
          <cell r="FR31">
            <v>-6.0449017773620189E-2</v>
          </cell>
          <cell r="FS31">
            <v>-4.0000000000000036E-2</v>
          </cell>
          <cell r="FT31">
            <v>-0.13766721044045682</v>
          </cell>
          <cell r="FV31">
            <v>-4.6511627906976605E-3</v>
          </cell>
          <cell r="FW31">
            <v>0</v>
          </cell>
          <cell r="FX31">
            <v>-1.908290875405283E-3</v>
          </cell>
          <cell r="FY31">
            <v>3.5108822841095622E-2</v>
          </cell>
          <cell r="FZ31">
            <v>4.0120817843865897E-2</v>
          </cell>
          <cell r="GB31">
            <v>2.8109511446778312E-3</v>
          </cell>
          <cell r="GC31">
            <v>1.09566051306631E-3</v>
          </cell>
          <cell r="GD31">
            <v>-8.4783703217805595E-4</v>
          </cell>
          <cell r="GE31">
            <v>1.1977277049290969E-3</v>
          </cell>
          <cell r="GF31">
            <v>4.5435531688777786E-3</v>
          </cell>
        </row>
        <row r="32">
          <cell r="A32" t="str">
            <v>EPS Basic, Reported</v>
          </cell>
          <cell r="C32" t="str">
            <v xml:space="preserve">--  </v>
          </cell>
          <cell r="D32" t="str">
            <v xml:space="preserve">--  </v>
          </cell>
          <cell r="E32" t="str">
            <v xml:space="preserve">--  </v>
          </cell>
          <cell r="F32">
            <v>0.22616075437808544</v>
          </cell>
          <cell r="G32">
            <v>1.1918096093399249</v>
          </cell>
          <cell r="H32">
            <v>1.78</v>
          </cell>
          <cell r="I32">
            <v>2.0775398323761891</v>
          </cell>
          <cell r="J32">
            <v>1.0943248139788602</v>
          </cell>
          <cell r="K32">
            <v>0.77474204171240069</v>
          </cell>
          <cell r="L32">
            <v>1.7377009270191033</v>
          </cell>
          <cell r="N32">
            <v>0.19424315098649622</v>
          </cell>
          <cell r="O32">
            <v>0.64003849855630413</v>
          </cell>
          <cell r="P32">
            <v>1.279376733483867</v>
          </cell>
          <cell r="Q32">
            <v>1.5799522673031026</v>
          </cell>
          <cell r="R32">
            <v>1.8892585551330798</v>
          </cell>
          <cell r="S32">
            <v>-0.44921875</v>
          </cell>
          <cell r="T32">
            <v>-0.70525105404369481</v>
          </cell>
          <cell r="U32">
            <v>2.0735107731305451</v>
          </cell>
          <cell r="V32">
            <v>1.8790672451193058</v>
          </cell>
          <cell r="W32">
            <v>1.966447173043975</v>
          </cell>
          <cell r="X32">
            <v>3.3018577701219307</v>
          </cell>
          <cell r="Y32">
            <v>1.8423611111111111</v>
          </cell>
          <cell r="Z32">
            <v>1.9545877791262072</v>
          </cell>
          <cell r="AA32">
            <v>-11.403810767495697</v>
          </cell>
          <cell r="AB32">
            <v>0.78012923113403276</v>
          </cell>
          <cell r="AC32">
            <v>1.996229083195852</v>
          </cell>
          <cell r="AD32">
            <v>2.9587750294464077</v>
          </cell>
          <cell r="AE32">
            <v>3.4768289072784784</v>
          </cell>
          <cell r="AF32">
            <v>4.0106022836648636</v>
          </cell>
          <cell r="AG32">
            <v>4.8863487599011481</v>
          </cell>
          <cell r="AH32">
            <v>5.401769994132783</v>
          </cell>
          <cell r="AI32">
            <v>5.8155175230849547</v>
          </cell>
          <cell r="AJ32">
            <v>6.2883768989543398</v>
          </cell>
          <cell r="AK32">
            <v>6.9597548987727658</v>
          </cell>
          <cell r="AL32">
            <v>7.7456035591899965</v>
          </cell>
          <cell r="AN32" t="str">
            <v>EPS Basic, Reported</v>
          </cell>
          <cell r="AO32">
            <v>-1.0723357298763596</v>
          </cell>
          <cell r="AP32">
            <v>-1.5004840729537079</v>
          </cell>
          <cell r="AQ32">
            <v>-0.82341842897130901</v>
          </cell>
          <cell r="AR32">
            <v>0.14813256570765293</v>
          </cell>
          <cell r="AS32">
            <v>-2.6062398109441198</v>
          </cell>
          <cell r="AU32">
            <v>-0.70174344634807351</v>
          </cell>
          <cell r="AV32">
            <v>-0.8709310605984335</v>
          </cell>
          <cell r="AW32">
            <v>-0.53714455008086737</v>
          </cell>
          <cell r="AX32">
            <v>0.43196269723388214</v>
          </cell>
          <cell r="AY32">
            <v>-1.4596868454619985</v>
          </cell>
          <cell r="BA32">
            <v>0.14770538952107243</v>
          </cell>
          <cell r="BB32">
            <v>-0.13925490818648498</v>
          </cell>
          <cell r="BC32">
            <v>0.25065079365079296</v>
          </cell>
          <cell r="BD32">
            <v>0.83396546799124038</v>
          </cell>
          <cell r="BE32">
            <v>1.19180960933992</v>
          </cell>
          <cell r="BG32">
            <v>0.17</v>
          </cell>
          <cell r="BH32">
            <v>7.0000000000000007E-2</v>
          </cell>
          <cell r="BI32">
            <v>0.27</v>
          </cell>
          <cell r="BJ32">
            <v>1.04</v>
          </cell>
          <cell r="BK32">
            <v>1.56</v>
          </cell>
          <cell r="BM32">
            <v>0.25</v>
          </cell>
          <cell r="BN32">
            <v>0.15738121948521733</v>
          </cell>
          <cell r="BO32">
            <v>0.35</v>
          </cell>
          <cell r="BP32">
            <v>1.31</v>
          </cell>
          <cell r="BQ32">
            <v>2.0775398323761891</v>
          </cell>
          <cell r="BS32">
            <v>-0.20332821075740956</v>
          </cell>
          <cell r="BT32">
            <v>-0.20582656421514811</v>
          </cell>
          <cell r="BU32">
            <v>-1.3498353457738645E-2</v>
          </cell>
          <cell r="BV32">
            <v>1.1973951701427006</v>
          </cell>
          <cell r="BW32">
            <v>0.77474204171240035</v>
          </cell>
          <cell r="BY32">
            <v>-3.378866007598056E-2</v>
          </cell>
          <cell r="BZ32">
            <v>1.4950719247388836E-2</v>
          </cell>
          <cell r="CA32">
            <v>0.24965027322404229</v>
          </cell>
          <cell r="CB32">
            <v>-0.34615287005689976</v>
          </cell>
          <cell r="CC32">
            <v>-0.11432140373673416</v>
          </cell>
          <cell r="CD32">
            <v>1.5044313952346118</v>
          </cell>
          <cell r="CE32">
            <v>1.4555527535273449</v>
          </cell>
          <cell r="CF32">
            <v>1.7377009270191031</v>
          </cell>
          <cell r="CG32">
            <v>1.7610157567907692</v>
          </cell>
          <cell r="CH32">
            <v>1.4012846587259669</v>
          </cell>
          <cell r="CJ32">
            <v>0.04</v>
          </cell>
          <cell r="CK32">
            <v>0.16</v>
          </cell>
          <cell r="CL32">
            <v>0.33</v>
          </cell>
          <cell r="CM32">
            <v>1.65</v>
          </cell>
          <cell r="CN32">
            <v>2.1800000000000002</v>
          </cell>
          <cell r="CP32">
            <v>0.11539088729016872</v>
          </cell>
          <cell r="CQ32">
            <v>0.3169531996179577</v>
          </cell>
          <cell r="CR32">
            <v>0.50221691352126152</v>
          </cell>
          <cell r="CS32">
            <v>1.8039573994232363</v>
          </cell>
          <cell r="CT32">
            <v>2.743131704196645</v>
          </cell>
          <cell r="CV32">
            <v>0.28887565258661607</v>
          </cell>
          <cell r="CW32">
            <v>0.50731353919239908</v>
          </cell>
          <cell r="CX32">
            <v>0.41527446300715992</v>
          </cell>
          <cell r="CY32">
            <v>1.9474940334128878</v>
          </cell>
          <cell r="CZ32">
            <v>3.1610214797136038</v>
          </cell>
          <cell r="DB32">
            <v>0.21113397129186603</v>
          </cell>
          <cell r="DC32">
            <v>0.32534587898999523</v>
          </cell>
          <cell r="DD32">
            <v>0.29230038022813687</v>
          </cell>
          <cell r="DE32">
            <v>1.0551106924163918</v>
          </cell>
          <cell r="DF32">
            <v>1.8892585551330801</v>
          </cell>
          <cell r="DH32">
            <v>0.21211654135338345</v>
          </cell>
          <cell r="DI32">
            <v>0.15346853823814133</v>
          </cell>
          <cell r="DJ32">
            <v>-1.6608652411735456</v>
          </cell>
          <cell r="DK32">
            <v>0.83543029693004534</v>
          </cell>
          <cell r="DL32">
            <v>-0.44921875</v>
          </cell>
          <cell r="DN32">
            <v>0.14946464646464647</v>
          </cell>
          <cell r="DO32">
            <v>0.28163103802672151</v>
          </cell>
          <cell r="DP32">
            <v>7.7760497667185065E-3</v>
          </cell>
          <cell r="DQ32">
            <v>-1.1333671399594321</v>
          </cell>
          <cell r="DR32">
            <v>-0.70525105404369481</v>
          </cell>
          <cell r="DT32">
            <v>0.22073412698412698</v>
          </cell>
          <cell r="DU32">
            <v>0.69975186104218368</v>
          </cell>
          <cell r="DV32">
            <v>0.27179487179487177</v>
          </cell>
          <cell r="DW32">
            <v>0.89113776846516501</v>
          </cell>
          <cell r="DX32">
            <v>2.0735107731305451</v>
          </cell>
          <cell r="DZ32">
            <v>0.12156448202959831</v>
          </cell>
          <cell r="EA32">
            <v>0.32327586206896552</v>
          </cell>
          <cell r="EB32">
            <v>0.18346111719605696</v>
          </cell>
          <cell r="EC32">
            <v>1.2749445676274944</v>
          </cell>
          <cell r="ED32">
            <v>1.8790672451193058</v>
          </cell>
          <cell r="EF32">
            <v>0.26869806094182824</v>
          </cell>
          <cell r="EG32">
            <v>0.21775544388609716</v>
          </cell>
          <cell r="EH32">
            <v>0.21511627906976744</v>
          </cell>
          <cell r="EI32">
            <v>1.3040901007705987</v>
          </cell>
          <cell r="EJ32">
            <v>1.966447173043975</v>
          </cell>
          <cell r="EK32" t="str">
            <v>EPS Basic, Reported</v>
          </cell>
          <cell r="EL32">
            <v>0.36538507109004736</v>
          </cell>
          <cell r="EM32">
            <v>0.43324299065420563</v>
          </cell>
          <cell r="EN32">
            <v>0.91167692805003653</v>
          </cell>
          <cell r="EO32">
            <v>1.2806888970318799</v>
          </cell>
          <cell r="EP32">
            <v>3.3018577701219307</v>
          </cell>
          <cell r="ER32">
            <v>-9.4511086877499081E-2</v>
          </cell>
          <cell r="ES32">
            <v>0.57384099963781232</v>
          </cell>
          <cell r="ET32">
            <v>-5.538120731031936E-3</v>
          </cell>
          <cell r="EU32">
            <v>1.4205426356589148</v>
          </cell>
          <cell r="EV32">
            <v>1.8423611111111111</v>
          </cell>
          <cell r="EX32">
            <v>7.6890217855617254E-2</v>
          </cell>
          <cell r="EY32">
            <v>0.16375304270856386</v>
          </cell>
          <cell r="EZ32">
            <v>7.6001842468908343E-2</v>
          </cell>
          <cell r="FA32">
            <v>1.7978979422385495</v>
          </cell>
          <cell r="FB32">
            <v>1.9545877791262072</v>
          </cell>
          <cell r="FD32">
            <v>-0.14000000000000001</v>
          </cell>
          <cell r="FE32">
            <v>0.17</v>
          </cell>
          <cell r="FF32">
            <v>-0.1</v>
          </cell>
          <cell r="FG32">
            <v>-11.33</v>
          </cell>
          <cell r="FH32">
            <v>-11.403810767495697</v>
          </cell>
          <cell r="FJ32">
            <v>-0.21</v>
          </cell>
          <cell r="FK32">
            <v>0.02</v>
          </cell>
          <cell r="FL32">
            <v>-0.08</v>
          </cell>
          <cell r="FM32">
            <v>1.05</v>
          </cell>
          <cell r="FN32">
            <v>0.78012923113403276</v>
          </cell>
          <cell r="FP32">
            <v>5.4424988168480827E-2</v>
          </cell>
          <cell r="FQ32">
            <v>0.3475177304964539</v>
          </cell>
          <cell r="FR32">
            <v>2.3612750885478158E-2</v>
          </cell>
          <cell r="FS32">
            <v>1.5757146231986769</v>
          </cell>
          <cell r="FT32">
            <v>1.996229083195852</v>
          </cell>
          <cell r="FV32">
            <v>0.30816278522700541</v>
          </cell>
          <cell r="FW32">
            <v>0.56374269005847955</v>
          </cell>
          <cell r="FX32">
            <v>0.32682812132612271</v>
          </cell>
          <cell r="FY32">
            <v>1.7738095238095237</v>
          </cell>
          <cell r="FZ32">
            <v>2.9587750294464077</v>
          </cell>
          <cell r="GB32">
            <v>0.43394869335890673</v>
          </cell>
          <cell r="GC32">
            <v>0.67850194552529186</v>
          </cell>
          <cell r="GD32">
            <v>0.27483932381768389</v>
          </cell>
          <cell r="GE32">
            <v>2.1405708013402154</v>
          </cell>
          <cell r="GF32">
            <v>3.4768289072784784</v>
          </cell>
        </row>
        <row r="33">
          <cell r="A33" t="str">
            <v>EPS Diluted, Reported</v>
          </cell>
          <cell r="N33">
            <v>0.19396284189183596</v>
          </cell>
          <cell r="O33">
            <v>0.62193570143884891</v>
          </cell>
          <cell r="P33">
            <v>1.2039336603062509</v>
          </cell>
          <cell r="Q33">
            <v>1.4807436918990704</v>
          </cell>
          <cell r="R33">
            <v>1.8101092896174864</v>
          </cell>
          <cell r="S33">
            <v>-0.44471299093655592</v>
          </cell>
          <cell r="T33">
            <v>-0.69138276553106215</v>
          </cell>
          <cell r="U33">
            <v>2.0581205183041891</v>
          </cell>
          <cell r="V33">
            <v>1.8569131832797428</v>
          </cell>
          <cell r="W33">
            <v>1.9312210998877666</v>
          </cell>
          <cell r="X33">
            <v>3.236519581389651</v>
          </cell>
          <cell r="Y33">
            <v>1.8164597407339782</v>
          </cell>
          <cell r="Z33">
            <v>1.9323052621090515</v>
          </cell>
          <cell r="AA33">
            <v>-11.397045737675745</v>
          </cell>
          <cell r="AB33">
            <v>0.7789747839469634</v>
          </cell>
          <cell r="AC33">
            <v>1.97</v>
          </cell>
          <cell r="AD33">
            <v>2.92</v>
          </cell>
          <cell r="AE33">
            <v>3.43</v>
          </cell>
          <cell r="AF33">
            <v>3.9453943917559142</v>
          </cell>
          <cell r="AG33">
            <v>4.7983581094155907</v>
          </cell>
          <cell r="AH33">
            <v>5.2958753573867723</v>
          </cell>
          <cell r="AI33">
            <v>5.6959829769682733</v>
          </cell>
          <cell r="AJ33">
            <v>6.1538937066977288</v>
          </cell>
          <cell r="AK33">
            <v>6.8001516881883797</v>
          </cell>
          <cell r="AL33">
            <v>7.5529335978779351</v>
          </cell>
          <cell r="AN33" t="str">
            <v>EPS Diluted, Reported</v>
          </cell>
          <cell r="CJ33">
            <v>4.3952880847563512E-2</v>
          </cell>
          <cell r="CK33">
            <v>0.1572344856811278</v>
          </cell>
          <cell r="CL33">
            <v>0.33496867229766447</v>
          </cell>
          <cell r="CM33">
            <v>1.5454023745519698</v>
          </cell>
          <cell r="CN33">
            <v>2.071115175359711</v>
          </cell>
          <cell r="CP33">
            <v>0.12199906367041283</v>
          </cell>
          <cell r="CQ33">
            <v>0.30544247787610773</v>
          </cell>
          <cell r="CR33">
            <v>0.47624392399469739</v>
          </cell>
          <cell r="CS33">
            <v>1.6620515499825848</v>
          </cell>
          <cell r="CT33">
            <v>2.5768180897619937</v>
          </cell>
          <cell r="CV33">
            <v>0.26107772020725389</v>
          </cell>
          <cell r="CW33">
            <v>0.4604130808950086</v>
          </cell>
          <cell r="CX33">
            <v>0.38024475524475521</v>
          </cell>
          <cell r="CY33">
            <v>1.8793182865039153</v>
          </cell>
          <cell r="CZ33">
            <v>2.9315360779105801</v>
          </cell>
          <cell r="DB33">
            <v>0.2020166358595194</v>
          </cell>
          <cell r="DC33">
            <v>0.30869761153672826</v>
          </cell>
          <cell r="DD33">
            <v>0.27967257844474763</v>
          </cell>
          <cell r="DE33">
            <v>1.0186448385629832</v>
          </cell>
          <cell r="DF33">
            <v>1.8103153819879312</v>
          </cell>
          <cell r="DH33">
            <v>0.20673277854831251</v>
          </cell>
          <cell r="DI33">
            <v>0.15107913669064749</v>
          </cell>
          <cell r="DJ33">
            <v>-1.6608652411735456</v>
          </cell>
          <cell r="DK33">
            <v>0.82341269841269848</v>
          </cell>
          <cell r="DL33">
            <v>-0.44471299093655592</v>
          </cell>
          <cell r="DN33">
            <v>0.14308721215090642</v>
          </cell>
          <cell r="DO33">
            <v>0.27555110220440882</v>
          </cell>
          <cell r="DP33">
            <v>7.7081192189105861E-3</v>
          </cell>
          <cell r="DQ33">
            <v>-1.1169415292353824</v>
          </cell>
          <cell r="DR33">
            <v>-0.69138276553106215</v>
          </cell>
          <cell r="DT33">
            <v>0.21613725490196078</v>
          </cell>
          <cell r="DU33">
            <v>0.69287469287469283</v>
          </cell>
          <cell r="DV33">
            <v>0.27054619703930577</v>
          </cell>
          <cell r="DW33">
            <v>0.89033942558746737</v>
          </cell>
          <cell r="DX33">
            <v>2.0581205183041891</v>
          </cell>
          <cell r="DZ33">
            <v>0.12137203166226913</v>
          </cell>
          <cell r="EA33">
            <v>0.32051282051282054</v>
          </cell>
          <cell r="EB33">
            <v>0.18039849219170706</v>
          </cell>
          <cell r="EC33">
            <v>1.2506797172376292</v>
          </cell>
          <cell r="ED33">
            <v>1.8569131832797428</v>
          </cell>
          <cell r="EF33">
            <v>0.26330076004343106</v>
          </cell>
          <cell r="EG33">
            <v>0.21428571428571427</v>
          </cell>
          <cell r="EH33">
            <v>0.2121559633027523</v>
          </cell>
          <cell r="EI33">
            <v>1.2761020881670533</v>
          </cell>
          <cell r="EJ33">
            <v>1.9312210998877666</v>
          </cell>
          <cell r="EK33" t="str">
            <v>EPS Diluted, Reported</v>
          </cell>
          <cell r="EL33">
            <v>0.35692708333333328</v>
          </cell>
          <cell r="EM33">
            <v>0.42117245304496304</v>
          </cell>
          <cell r="EN33">
            <v>0.89594867544042411</v>
          </cell>
          <cell r="EO33">
            <v>1.261277517141826</v>
          </cell>
          <cell r="EP33">
            <v>3.236519581389651</v>
          </cell>
          <cell r="ER33">
            <v>-9.3189964157706098E-2</v>
          </cell>
          <cell r="ES33">
            <v>0.56665772532188841</v>
          </cell>
          <cell r="ET33">
            <v>-5.4555373704309879E-3</v>
          </cell>
          <cell r="EU33">
            <v>1.3996562917700972</v>
          </cell>
          <cell r="EV33">
            <v>1.8164597407339782</v>
          </cell>
          <cell r="EX33">
            <v>7.5566750629722929E-2</v>
          </cell>
          <cell r="EY33">
            <v>0.16164263870685888</v>
          </cell>
          <cell r="EZ33">
            <v>7.532526820360648E-2</v>
          </cell>
          <cell r="FA33">
            <v>1.7778979422385495</v>
          </cell>
          <cell r="FB33">
            <v>1.9323052621090515</v>
          </cell>
          <cell r="FD33">
            <v>-0.14000000000000001</v>
          </cell>
          <cell r="FE33">
            <v>0.17</v>
          </cell>
          <cell r="FF33">
            <v>-0.1</v>
          </cell>
          <cell r="FG33">
            <v>-11.33</v>
          </cell>
          <cell r="FH33">
            <v>-11.397045737675745</v>
          </cell>
          <cell r="FJ33">
            <v>-0.21</v>
          </cell>
          <cell r="FK33">
            <v>0.02</v>
          </cell>
          <cell r="FL33">
            <v>-0.08</v>
          </cell>
          <cell r="FM33">
            <v>1.05</v>
          </cell>
          <cell r="FN33">
            <v>0.7789747839469634</v>
          </cell>
          <cell r="FP33">
            <v>0.05</v>
          </cell>
          <cell r="FQ33">
            <v>0.34466588511137164</v>
          </cell>
          <cell r="FR33">
            <v>0.02</v>
          </cell>
          <cell r="FS33">
            <v>1.55</v>
          </cell>
          <cell r="FT33">
            <v>1.97</v>
          </cell>
          <cell r="FV33">
            <v>0.3</v>
          </cell>
          <cell r="FW33">
            <v>0.55453290381960418</v>
          </cell>
          <cell r="FX33">
            <v>0.32</v>
          </cell>
          <cell r="FY33">
            <v>1.74</v>
          </cell>
          <cell r="FZ33">
            <v>2.92</v>
          </cell>
          <cell r="GB33">
            <v>0.43</v>
          </cell>
          <cell r="GC33">
            <v>0.67</v>
          </cell>
          <cell r="GD33">
            <v>0.27</v>
          </cell>
          <cell r="GE33">
            <v>2.11</v>
          </cell>
          <cell r="GF33">
            <v>3.43</v>
          </cell>
        </row>
        <row r="34">
          <cell r="A34" t="str">
            <v>Net Income, For Consensus</v>
          </cell>
          <cell r="W34">
            <v>786.54659498207877</v>
          </cell>
          <cell r="X34">
            <v>1089.0546208098101</v>
          </cell>
          <cell r="Y34">
            <v>1137.6065454545455</v>
          </cell>
          <cell r="Z34">
            <v>968.87045454545455</v>
          </cell>
          <cell r="AA34">
            <v>545</v>
          </cell>
          <cell r="AB34">
            <v>575.99999999999989</v>
          </cell>
          <cell r="AC34">
            <v>863</v>
          </cell>
          <cell r="AD34">
            <v>1239.5</v>
          </cell>
          <cell r="AE34">
            <v>1407.0129840730656</v>
          </cell>
          <cell r="AF34">
            <v>1474.1651556723784</v>
          </cell>
          <cell r="AG34">
            <v>1618.7764295278068</v>
          </cell>
          <cell r="AH34">
            <v>1641.1420018455815</v>
          </cell>
          <cell r="AI34">
            <v>1683.4875028271351</v>
          </cell>
          <cell r="AJ34">
            <v>1748.1022306573102</v>
          </cell>
          <cell r="AK34">
            <v>1801.4292273300186</v>
          </cell>
          <cell r="AL34">
            <v>1844.6042441173129</v>
          </cell>
          <cell r="ER34">
            <v>11</v>
          </cell>
          <cell r="ES34">
            <v>292</v>
          </cell>
          <cell r="ET34">
            <v>175</v>
          </cell>
          <cell r="EU34">
            <v>1334</v>
          </cell>
          <cell r="EV34">
            <v>1812</v>
          </cell>
          <cell r="EX34">
            <v>119</v>
          </cell>
          <cell r="EY34">
            <v>210</v>
          </cell>
          <cell r="EZ34">
            <v>55</v>
          </cell>
          <cell r="FA34">
            <v>1155</v>
          </cell>
          <cell r="FB34">
            <v>1539</v>
          </cell>
          <cell r="FD34">
            <v>4</v>
          </cell>
          <cell r="FE34">
            <v>120.99999999999999</v>
          </cell>
          <cell r="FF34">
            <v>-34</v>
          </cell>
          <cell r="FG34">
            <v>448</v>
          </cell>
          <cell r="FH34">
            <v>545</v>
          </cell>
          <cell r="FJ34">
            <v>-67.999999999999986</v>
          </cell>
          <cell r="FK34">
            <v>84</v>
          </cell>
          <cell r="FL34">
            <v>-12.000000000000002</v>
          </cell>
          <cell r="FM34">
            <v>572</v>
          </cell>
          <cell r="FN34">
            <v>575.99999999999989</v>
          </cell>
          <cell r="FP34">
            <v>23.000000000000004</v>
          </cell>
          <cell r="FQ34">
            <v>147</v>
          </cell>
          <cell r="FR34">
            <v>10</v>
          </cell>
          <cell r="FS34">
            <v>682.99999999999989</v>
          </cell>
          <cell r="FT34">
            <v>863</v>
          </cell>
          <cell r="FV34">
            <v>131</v>
          </cell>
          <cell r="FW34">
            <v>240.99999999999997</v>
          </cell>
          <cell r="FX34">
            <v>139</v>
          </cell>
          <cell r="FY34">
            <v>728.49999999999989</v>
          </cell>
          <cell r="FZ34">
            <v>1239.5</v>
          </cell>
          <cell r="GB34">
            <v>181</v>
          </cell>
          <cell r="GC34">
            <v>279.00000000000006</v>
          </cell>
          <cell r="GD34">
            <v>110.03264655178822</v>
          </cell>
          <cell r="GE34">
            <v>838.34033752127743</v>
          </cell>
          <cell r="GF34">
            <v>1408.3729840730653</v>
          </cell>
          <cell r="GS34" t="str">
            <v>mstag:netIncomeAdjustedForConsensus</v>
          </cell>
          <cell r="GT34">
            <v>6</v>
          </cell>
          <cell r="GU34" t="str">
            <v>ISO4217:USD</v>
          </cell>
          <cell r="GV34" t="b">
            <v>0</v>
          </cell>
        </row>
        <row r="35">
          <cell r="A35" t="str">
            <v>Average Basic Shares Outstanding</v>
          </cell>
          <cell r="C35" t="str">
            <v xml:space="preserve">--  </v>
          </cell>
          <cell r="D35" t="str">
            <v xml:space="preserve">--  </v>
          </cell>
          <cell r="E35" t="str">
            <v xml:space="preserve">--  </v>
          </cell>
          <cell r="F35">
            <v>111.35</v>
          </cell>
          <cell r="G35">
            <v>111.35</v>
          </cell>
          <cell r="H35">
            <v>126.29300000000001</v>
          </cell>
          <cell r="I35">
            <v>126.593</v>
          </cell>
          <cell r="K35">
            <v>182.2</v>
          </cell>
          <cell r="L35">
            <v>182.952</v>
          </cell>
          <cell r="N35">
            <v>386.11399999999998</v>
          </cell>
          <cell r="O35">
            <v>415.6</v>
          </cell>
          <cell r="P35">
            <v>418.95400000000001</v>
          </cell>
          <cell r="Q35">
            <v>419</v>
          </cell>
          <cell r="R35">
            <v>420.8</v>
          </cell>
          <cell r="S35">
            <v>409.6</v>
          </cell>
          <cell r="T35">
            <v>391.35</v>
          </cell>
          <cell r="U35">
            <v>394.5</v>
          </cell>
          <cell r="V35">
            <v>368.8</v>
          </cell>
          <cell r="W35">
            <v>350.2</v>
          </cell>
          <cell r="X35">
            <v>426</v>
          </cell>
          <cell r="Y35">
            <v>540</v>
          </cell>
          <cell r="Z35">
            <v>446.6</v>
          </cell>
          <cell r="AA35">
            <v>421.17499999999995</v>
          </cell>
          <cell r="AB35">
            <v>421.72500000000002</v>
          </cell>
          <cell r="AC35">
            <v>424.3</v>
          </cell>
          <cell r="AD35">
            <v>424.5</v>
          </cell>
          <cell r="AE35">
            <v>405.07399749373434</v>
          </cell>
          <cell r="AF35">
            <v>367.56702644803153</v>
          </cell>
          <cell r="AG35">
            <v>331.28548719485082</v>
          </cell>
          <cell r="AH35">
            <v>303.81560185423177</v>
          </cell>
          <cell r="AI35">
            <v>289.4819757905392</v>
          </cell>
          <cell r="AJ35">
            <v>277.98941741993752</v>
          </cell>
          <cell r="AK35">
            <v>258.83515346893466</v>
          </cell>
          <cell r="AL35">
            <v>238.1485484018516</v>
          </cell>
          <cell r="AN35" t="str">
            <v>Average Basic Shares Outstanding</v>
          </cell>
          <cell r="AO35">
            <v>80</v>
          </cell>
          <cell r="AP35">
            <v>80</v>
          </cell>
          <cell r="AQ35">
            <v>80</v>
          </cell>
          <cell r="AR35">
            <v>80</v>
          </cell>
          <cell r="AS35">
            <v>80</v>
          </cell>
          <cell r="AU35">
            <v>79.97</v>
          </cell>
          <cell r="AV35">
            <v>79.97</v>
          </cell>
          <cell r="AW35">
            <v>79.97</v>
          </cell>
          <cell r="AX35">
            <v>79.97</v>
          </cell>
          <cell r="AY35">
            <v>79.97</v>
          </cell>
          <cell r="BA35">
            <v>79.97</v>
          </cell>
          <cell r="BB35">
            <v>113.38200000000001</v>
          </cell>
          <cell r="BC35">
            <v>126</v>
          </cell>
          <cell r="BD35">
            <v>126.02800000000001</v>
          </cell>
          <cell r="BE35">
            <v>111.35</v>
          </cell>
          <cell r="BG35">
            <v>126.209</v>
          </cell>
          <cell r="BH35">
            <v>126.309</v>
          </cell>
          <cell r="BI35">
            <v>126.31100000000001</v>
          </cell>
          <cell r="BJ35">
            <v>126.33799999999999</v>
          </cell>
          <cell r="BK35">
            <v>126.29300000000001</v>
          </cell>
          <cell r="BM35">
            <v>126.464</v>
          </cell>
          <cell r="BN35">
            <v>126.578</v>
          </cell>
          <cell r="BO35">
            <v>126.6</v>
          </cell>
          <cell r="BP35">
            <v>126.74</v>
          </cell>
          <cell r="BQ35">
            <v>126.593</v>
          </cell>
          <cell r="BS35">
            <v>182.2</v>
          </cell>
          <cell r="BT35">
            <v>182.2</v>
          </cell>
          <cell r="BU35">
            <v>182.2</v>
          </cell>
          <cell r="BV35">
            <v>182.2</v>
          </cell>
          <cell r="BW35">
            <v>182.2</v>
          </cell>
          <cell r="BY35">
            <v>182.68199999999999</v>
          </cell>
          <cell r="BZ35">
            <v>182.83</v>
          </cell>
          <cell r="CA35">
            <v>183</v>
          </cell>
          <cell r="CB35">
            <v>197.017</v>
          </cell>
          <cell r="CC35">
            <v>197.017</v>
          </cell>
          <cell r="CD35">
            <v>183.238</v>
          </cell>
          <cell r="CE35">
            <v>202.631</v>
          </cell>
          <cell r="CF35">
            <v>182.952</v>
          </cell>
          <cell r="CG35">
            <v>191.47300000000001</v>
          </cell>
          <cell r="CH35">
            <v>191.50299999999999</v>
          </cell>
          <cell r="CJ35">
            <v>206.71</v>
          </cell>
          <cell r="CK35">
            <v>207.66300000000001</v>
          </cell>
          <cell r="CL35">
            <v>207.82</v>
          </cell>
          <cell r="CM35">
            <v>208.26</v>
          </cell>
          <cell r="CN35">
            <v>207.8</v>
          </cell>
          <cell r="CP35">
            <v>208.5</v>
          </cell>
          <cell r="CQ35">
            <v>209.4</v>
          </cell>
          <cell r="CR35">
            <v>209.3</v>
          </cell>
          <cell r="CS35">
            <v>210.13800000000001</v>
          </cell>
          <cell r="CT35">
            <v>209.477</v>
          </cell>
          <cell r="CV35">
            <v>210.7</v>
          </cell>
          <cell r="CW35">
            <v>210.5</v>
          </cell>
          <cell r="CX35">
            <v>209.5</v>
          </cell>
          <cell r="CY35">
            <v>209.5</v>
          </cell>
          <cell r="CZ35">
            <v>209.5</v>
          </cell>
          <cell r="DB35">
            <v>418</v>
          </cell>
          <cell r="DC35">
            <v>419.8</v>
          </cell>
          <cell r="DD35">
            <v>420.8</v>
          </cell>
          <cell r="DE35">
            <v>424.6</v>
          </cell>
          <cell r="DF35">
            <v>420.79999999999995</v>
          </cell>
          <cell r="DH35">
            <v>425.6</v>
          </cell>
          <cell r="DI35">
            <v>413.2</v>
          </cell>
          <cell r="DJ35">
            <v>402.2</v>
          </cell>
          <cell r="DK35">
            <v>397.4</v>
          </cell>
          <cell r="DL35">
            <v>409.6</v>
          </cell>
          <cell r="DN35">
            <v>396</v>
          </cell>
          <cell r="DO35">
            <v>389.2</v>
          </cell>
          <cell r="DP35">
            <v>385.8</v>
          </cell>
          <cell r="DQ35">
            <v>394.4</v>
          </cell>
          <cell r="DR35">
            <v>391.35</v>
          </cell>
          <cell r="DT35">
            <v>403.2</v>
          </cell>
          <cell r="DU35">
            <v>403</v>
          </cell>
          <cell r="DV35">
            <v>390</v>
          </cell>
          <cell r="DW35">
            <v>381.8</v>
          </cell>
          <cell r="DX35">
            <v>394.5</v>
          </cell>
          <cell r="DZ35">
            <v>378.4</v>
          </cell>
          <cell r="EA35">
            <v>371.2</v>
          </cell>
          <cell r="EB35">
            <v>365.2</v>
          </cell>
          <cell r="EC35">
            <v>360.8</v>
          </cell>
          <cell r="ED35">
            <v>368.8</v>
          </cell>
          <cell r="EF35">
            <v>361</v>
          </cell>
          <cell r="EG35">
            <v>358.2</v>
          </cell>
          <cell r="EH35">
            <v>344</v>
          </cell>
          <cell r="EI35">
            <v>337.4</v>
          </cell>
          <cell r="EJ35">
            <v>350.2</v>
          </cell>
          <cell r="EK35" t="str">
            <v>Average Basic Shares Outstanding</v>
          </cell>
          <cell r="EL35">
            <v>337.6</v>
          </cell>
          <cell r="EM35">
            <v>342.4</v>
          </cell>
          <cell r="EN35">
            <v>478.5</v>
          </cell>
          <cell r="EO35">
            <v>545.79999999999995</v>
          </cell>
          <cell r="EP35">
            <v>426</v>
          </cell>
          <cell r="ER35">
            <v>550.20000000000005</v>
          </cell>
          <cell r="ES35">
            <v>552.20000000000005</v>
          </cell>
          <cell r="ET35">
            <v>541.70000000000005</v>
          </cell>
          <cell r="EU35">
            <v>516</v>
          </cell>
          <cell r="EV35">
            <v>540</v>
          </cell>
          <cell r="EX35">
            <v>468.2</v>
          </cell>
          <cell r="EY35">
            <v>451.9</v>
          </cell>
          <cell r="EZ35">
            <v>434.2</v>
          </cell>
          <cell r="FA35">
            <v>432.1</v>
          </cell>
          <cell r="FB35">
            <v>446.6</v>
          </cell>
          <cell r="FD35">
            <v>420.9</v>
          </cell>
          <cell r="FE35">
            <v>421.1</v>
          </cell>
          <cell r="FF35">
            <v>421.3</v>
          </cell>
          <cell r="FG35">
            <v>421.4</v>
          </cell>
          <cell r="FH35">
            <v>421.17499999999995</v>
          </cell>
          <cell r="FJ35">
            <v>421.4</v>
          </cell>
          <cell r="FK35">
            <v>421.5</v>
          </cell>
          <cell r="FL35">
            <v>421.8</v>
          </cell>
          <cell r="FM35">
            <v>422.2</v>
          </cell>
          <cell r="FN35">
            <v>421.72500000000002</v>
          </cell>
          <cell r="FP35">
            <v>422.6</v>
          </cell>
          <cell r="FQ35">
            <v>423</v>
          </cell>
          <cell r="FR35">
            <v>423.5</v>
          </cell>
          <cell r="FS35">
            <v>423.3</v>
          </cell>
          <cell r="FT35">
            <v>424.3</v>
          </cell>
          <cell r="FV35">
            <v>425.1</v>
          </cell>
          <cell r="FW35">
            <v>427.5</v>
          </cell>
          <cell r="FX35">
            <v>425.3</v>
          </cell>
          <cell r="FY35">
            <v>420</v>
          </cell>
          <cell r="FZ35">
            <v>424.5</v>
          </cell>
          <cell r="GB35">
            <v>417.1</v>
          </cell>
          <cell r="GC35">
            <v>411.2</v>
          </cell>
          <cell r="GD35">
            <v>400.35263157894735</v>
          </cell>
          <cell r="GE35">
            <v>391.64335839598999</v>
          </cell>
          <cell r="GF35">
            <v>405.07399749373434</v>
          </cell>
          <cell r="GS35" t="str">
            <v>mstag:averageBasicSharesOutstanding</v>
          </cell>
          <cell r="GT35">
            <v>6</v>
          </cell>
          <cell r="GU35" t="str">
            <v>ms_eqr_gcim_Decimal:ms_eqr_gcim_decimal</v>
          </cell>
          <cell r="GV35" t="b">
            <v>0</v>
          </cell>
          <cell r="GW35" t="b">
            <v>0</v>
          </cell>
        </row>
        <row r="36">
          <cell r="A36" t="str">
            <v>Average Fully Diluted Shares Outstanding</v>
          </cell>
          <cell r="K36">
            <v>182.2</v>
          </cell>
          <cell r="L36">
            <v>182.952</v>
          </cell>
          <cell r="N36">
            <v>386.67200000000003</v>
          </cell>
          <cell r="O36">
            <v>444.8</v>
          </cell>
          <cell r="P36">
            <v>454.26799999999997</v>
          </cell>
          <cell r="Q36">
            <v>451.8</v>
          </cell>
          <cell r="R36">
            <v>439.2</v>
          </cell>
          <cell r="S36">
            <v>413.75</v>
          </cell>
          <cell r="T36">
            <v>399.2</v>
          </cell>
          <cell r="U36">
            <v>397.45</v>
          </cell>
          <cell r="V36">
            <v>373.2</v>
          </cell>
          <cell r="W36">
            <v>356.4</v>
          </cell>
          <cell r="X36">
            <v>434.6</v>
          </cell>
          <cell r="Y36">
            <v>547.70000000000005</v>
          </cell>
          <cell r="Z36">
            <v>451.75000000000006</v>
          </cell>
          <cell r="AA36">
            <v>421.42499999999995</v>
          </cell>
          <cell r="AB36">
            <v>422.35</v>
          </cell>
          <cell r="AC36">
            <v>429.1</v>
          </cell>
          <cell r="AD36">
            <v>430.4</v>
          </cell>
          <cell r="AE36">
            <v>411.14899749373433</v>
          </cell>
          <cell r="AF36">
            <v>373.64202644803152</v>
          </cell>
          <cell r="AG36">
            <v>337.3604871948508</v>
          </cell>
          <cell r="AH36">
            <v>309.89060185423176</v>
          </cell>
          <cell r="AI36">
            <v>295.55697579053918</v>
          </cell>
          <cell r="AJ36">
            <v>284.06441741993751</v>
          </cell>
          <cell r="AK36">
            <v>264.91015346893465</v>
          </cell>
          <cell r="AL36">
            <v>244.22354840185159</v>
          </cell>
          <cell r="AN36" t="str">
            <v>Average Fully Diluted Shares Outstanding</v>
          </cell>
          <cell r="AO36">
            <v>80</v>
          </cell>
          <cell r="AP36">
            <v>80</v>
          </cell>
          <cell r="AQ36">
            <v>80</v>
          </cell>
          <cell r="AR36">
            <v>80</v>
          </cell>
          <cell r="AS36">
            <v>80</v>
          </cell>
          <cell r="AU36">
            <v>79.97</v>
          </cell>
          <cell r="AV36">
            <v>79.97</v>
          </cell>
          <cell r="AW36">
            <v>79.97</v>
          </cell>
          <cell r="AX36">
            <v>79.97</v>
          </cell>
          <cell r="AY36">
            <v>79.97</v>
          </cell>
          <cell r="BA36">
            <v>79.97</v>
          </cell>
          <cell r="BB36">
            <v>113.38200000000001</v>
          </cell>
          <cell r="BC36">
            <v>126</v>
          </cell>
          <cell r="BD36">
            <v>126.02800000000001</v>
          </cell>
          <cell r="BE36">
            <v>111.35</v>
          </cell>
          <cell r="BG36">
            <v>126.209</v>
          </cell>
          <cell r="BH36">
            <v>126.309</v>
          </cell>
          <cell r="BI36">
            <v>126.31100000000001</v>
          </cell>
          <cell r="BJ36">
            <v>126.33799999999999</v>
          </cell>
          <cell r="BK36">
            <v>126.29300000000001</v>
          </cell>
          <cell r="BM36">
            <v>126.464</v>
          </cell>
          <cell r="BN36">
            <v>126.578</v>
          </cell>
          <cell r="BO36">
            <v>126.6</v>
          </cell>
          <cell r="BP36">
            <v>126.74</v>
          </cell>
          <cell r="BQ36">
            <v>126.593</v>
          </cell>
          <cell r="BS36">
            <v>182.2</v>
          </cell>
          <cell r="BT36">
            <v>182.2</v>
          </cell>
          <cell r="BU36">
            <v>182.2</v>
          </cell>
          <cell r="BV36">
            <v>182.2</v>
          </cell>
          <cell r="BW36">
            <v>182.2</v>
          </cell>
          <cell r="BY36">
            <v>182.68199999999999</v>
          </cell>
          <cell r="BZ36">
            <v>182.83</v>
          </cell>
          <cell r="CA36">
            <v>183</v>
          </cell>
          <cell r="CB36">
            <v>197.017</v>
          </cell>
          <cell r="CC36">
            <v>197.017</v>
          </cell>
          <cell r="CD36">
            <v>183.238</v>
          </cell>
          <cell r="CE36">
            <v>202.631</v>
          </cell>
          <cell r="CF36">
            <v>182.952</v>
          </cell>
          <cell r="CG36">
            <v>191.47300000000001</v>
          </cell>
          <cell r="CH36">
            <v>191.50299999999999</v>
          </cell>
          <cell r="CJ36">
            <v>206.71</v>
          </cell>
          <cell r="CK36">
            <v>207.66300000000001</v>
          </cell>
          <cell r="CL36">
            <v>212.751</v>
          </cell>
          <cell r="CM36">
            <v>223.2</v>
          </cell>
          <cell r="CN36">
            <v>222.4</v>
          </cell>
          <cell r="CP36">
            <v>213.6</v>
          </cell>
          <cell r="CQ36">
            <v>226</v>
          </cell>
          <cell r="CR36">
            <v>226.3</v>
          </cell>
          <cell r="CS36">
            <v>229.68</v>
          </cell>
          <cell r="CT36">
            <v>227.13399999999999</v>
          </cell>
          <cell r="CV36">
            <v>231.6</v>
          </cell>
          <cell r="CW36">
            <v>232.4</v>
          </cell>
          <cell r="CX36">
            <v>228.8</v>
          </cell>
          <cell r="CY36">
            <v>217.1</v>
          </cell>
          <cell r="CZ36">
            <v>225.9</v>
          </cell>
          <cell r="DB36">
            <v>432.8</v>
          </cell>
          <cell r="DC36">
            <v>443.8</v>
          </cell>
          <cell r="DD36">
            <v>439.8</v>
          </cell>
          <cell r="DE36">
            <v>439.8</v>
          </cell>
          <cell r="DF36">
            <v>439.15000000000003</v>
          </cell>
          <cell r="DH36">
            <v>432.6</v>
          </cell>
          <cell r="DI36">
            <v>417</v>
          </cell>
          <cell r="DJ36">
            <v>402.2</v>
          </cell>
          <cell r="DK36">
            <v>403.2</v>
          </cell>
          <cell r="DL36">
            <v>413.75</v>
          </cell>
          <cell r="DN36">
            <v>408.2</v>
          </cell>
          <cell r="DO36">
            <v>399.2</v>
          </cell>
          <cell r="DP36">
            <v>389.2</v>
          </cell>
          <cell r="DQ36">
            <v>400.2</v>
          </cell>
          <cell r="DR36">
            <v>399.2</v>
          </cell>
          <cell r="DT36">
            <v>408</v>
          </cell>
          <cell r="DU36">
            <v>407</v>
          </cell>
          <cell r="DV36">
            <v>391.8</v>
          </cell>
          <cell r="DW36">
            <v>383</v>
          </cell>
          <cell r="DX36">
            <v>397.45</v>
          </cell>
          <cell r="DZ36">
            <v>379</v>
          </cell>
          <cell r="EA36">
            <v>374.4</v>
          </cell>
          <cell r="EB36">
            <v>371.4</v>
          </cell>
          <cell r="EC36">
            <v>367.8</v>
          </cell>
          <cell r="ED36">
            <v>373.2</v>
          </cell>
          <cell r="EF36">
            <v>368.4</v>
          </cell>
          <cell r="EG36">
            <v>364</v>
          </cell>
          <cell r="EH36">
            <v>348.8</v>
          </cell>
          <cell r="EI36">
            <v>344.8</v>
          </cell>
          <cell r="EJ36">
            <v>356.4</v>
          </cell>
          <cell r="EK36" t="str">
            <v>Average Fully Diluted Shares Outstanding</v>
          </cell>
          <cell r="EL36">
            <v>345.6</v>
          </cell>
          <cell r="EM36">
            <v>351.4</v>
          </cell>
          <cell r="EN36">
            <v>486.9</v>
          </cell>
          <cell r="EO36">
            <v>554.20000000000005</v>
          </cell>
          <cell r="EP36">
            <v>434.6</v>
          </cell>
          <cell r="ER36">
            <v>558</v>
          </cell>
          <cell r="ES36">
            <v>559.20000000000005</v>
          </cell>
          <cell r="ET36">
            <v>549.9</v>
          </cell>
          <cell r="EU36">
            <v>523.70000000000005</v>
          </cell>
          <cell r="EV36">
            <v>547.70000000000005</v>
          </cell>
          <cell r="EX36">
            <v>476.4</v>
          </cell>
          <cell r="EY36">
            <v>457.8</v>
          </cell>
          <cell r="EZ36">
            <v>438.1</v>
          </cell>
          <cell r="FA36">
            <v>434.7</v>
          </cell>
          <cell r="FB36">
            <v>451.75000000000006</v>
          </cell>
          <cell r="FD36">
            <v>420.9</v>
          </cell>
          <cell r="FE36">
            <v>422.1</v>
          </cell>
          <cell r="FF36">
            <v>421.3</v>
          </cell>
          <cell r="FG36">
            <v>421.4</v>
          </cell>
          <cell r="FH36">
            <v>421.42499999999995</v>
          </cell>
          <cell r="FJ36">
            <v>421.4</v>
          </cell>
          <cell r="FK36">
            <v>422.1</v>
          </cell>
          <cell r="FL36">
            <v>421.8</v>
          </cell>
          <cell r="FM36">
            <v>424.1</v>
          </cell>
          <cell r="FN36">
            <v>422.35</v>
          </cell>
          <cell r="FP36">
            <v>426.2</v>
          </cell>
          <cell r="FQ36">
            <v>426.5</v>
          </cell>
          <cell r="FR36">
            <v>427.6</v>
          </cell>
          <cell r="FS36">
            <v>429</v>
          </cell>
          <cell r="FT36">
            <v>429.1</v>
          </cell>
          <cell r="FV36">
            <v>430</v>
          </cell>
          <cell r="FW36">
            <v>434.6</v>
          </cell>
          <cell r="FX36">
            <v>431.8</v>
          </cell>
          <cell r="FY36">
            <v>427.3</v>
          </cell>
          <cell r="FZ36">
            <v>430.4</v>
          </cell>
          <cell r="GB36">
            <v>423.7</v>
          </cell>
          <cell r="GC36">
            <v>417.1</v>
          </cell>
          <cell r="GD36">
            <v>406.25263157894739</v>
          </cell>
          <cell r="GE36">
            <v>397.54335839599003</v>
          </cell>
          <cell r="GF36">
            <v>411.14899749373433</v>
          </cell>
          <cell r="GS36" t="str">
            <v>mstag:averageDilutedSharesOutstanding</v>
          </cell>
          <cell r="GT36">
            <v>6</v>
          </cell>
          <cell r="GU36" t="str">
            <v>ms_eqr_gcim_Decimal:ms_eqr_gcim_decimal</v>
          </cell>
          <cell r="GV36" t="b">
            <v>0</v>
          </cell>
          <cell r="GW36" t="b">
            <v>0</v>
          </cell>
        </row>
        <row r="37">
          <cell r="A37" t="str">
            <v>Period End Basic Shares Outstanding</v>
          </cell>
          <cell r="N37">
            <v>414.918274</v>
          </cell>
          <cell r="O37">
            <v>416.75912199999999</v>
          </cell>
          <cell r="P37">
            <v>421.21032200000002</v>
          </cell>
          <cell r="Q37">
            <v>417.15312399999999</v>
          </cell>
          <cell r="R37">
            <v>423.09761800000001</v>
          </cell>
          <cell r="S37">
            <v>395.34445399999998</v>
          </cell>
          <cell r="T37">
            <v>402.252748</v>
          </cell>
          <cell r="U37">
            <v>374.65489600000001</v>
          </cell>
          <cell r="V37">
            <v>357</v>
          </cell>
          <cell r="W37">
            <v>335.19655599999999</v>
          </cell>
          <cell r="X37">
            <v>546.79999999999995</v>
          </cell>
          <cell r="Y37">
            <v>496.9</v>
          </cell>
          <cell r="Z37">
            <v>419.7</v>
          </cell>
          <cell r="AA37">
            <v>420.57529799999998</v>
          </cell>
          <cell r="AB37">
            <v>421.53</v>
          </cell>
          <cell r="AC37">
            <v>423.3</v>
          </cell>
          <cell r="AD37">
            <v>414.2</v>
          </cell>
          <cell r="AE37">
            <v>386.88145363408523</v>
          </cell>
          <cell r="AF37">
            <v>348.25259926197782</v>
          </cell>
          <cell r="AG37">
            <v>314.31837512772381</v>
          </cell>
          <cell r="AH37">
            <v>293.31282858073979</v>
          </cell>
          <cell r="AI37">
            <v>285.65112300033866</v>
          </cell>
          <cell r="AJ37">
            <v>270.32771183953639</v>
          </cell>
          <cell r="AK37">
            <v>247.34259509833296</v>
          </cell>
          <cell r="AL37">
            <v>228.95450170537021</v>
          </cell>
          <cell r="AN37" t="str">
            <v>Period End Basic Shares Outstanding</v>
          </cell>
          <cell r="CN37">
            <v>208.379561</v>
          </cell>
          <cell r="CT37">
            <v>210.60516100000001</v>
          </cell>
          <cell r="CZ37">
            <v>208.576562</v>
          </cell>
          <cell r="DH37">
            <v>415.872772</v>
          </cell>
          <cell r="DI37">
            <v>403.836004</v>
          </cell>
          <cell r="DJ37">
            <v>397.47889600000002</v>
          </cell>
          <cell r="DK37">
            <v>395.34445399999998</v>
          </cell>
          <cell r="DL37">
            <v>395.34445399999998</v>
          </cell>
          <cell r="DN37">
            <v>389.8</v>
          </cell>
          <cell r="DO37">
            <v>385.4</v>
          </cell>
          <cell r="DP37">
            <v>383.4</v>
          </cell>
          <cell r="DQ37">
            <v>402.252748</v>
          </cell>
          <cell r="DR37">
            <v>402.252748</v>
          </cell>
          <cell r="DT37">
            <v>403</v>
          </cell>
          <cell r="DU37">
            <v>392.4</v>
          </cell>
          <cell r="DV37">
            <v>380.4</v>
          </cell>
          <cell r="DW37">
            <v>374.65489600000001</v>
          </cell>
          <cell r="DX37">
            <v>374.65489600000001</v>
          </cell>
          <cell r="DZ37">
            <v>370.72</v>
          </cell>
          <cell r="EA37">
            <v>365.62</v>
          </cell>
          <cell r="EB37">
            <v>361.58</v>
          </cell>
          <cell r="EC37">
            <v>357</v>
          </cell>
          <cell r="ED37">
            <v>357</v>
          </cell>
          <cell r="EF37">
            <v>359.61200000000002</v>
          </cell>
          <cell r="EG37">
            <v>345.39600000000002</v>
          </cell>
          <cell r="EH37">
            <v>338.4</v>
          </cell>
          <cell r="EI37">
            <v>335.19655599999999</v>
          </cell>
          <cell r="EJ37">
            <v>335.19655599999999</v>
          </cell>
          <cell r="EK37" t="str">
            <v>Period End Basic Shares Outstanding</v>
          </cell>
          <cell r="EL37">
            <v>340.8</v>
          </cell>
          <cell r="EM37">
            <v>340.85399999999998</v>
          </cell>
          <cell r="EN37">
            <v>544.43164000000002</v>
          </cell>
          <cell r="EO37">
            <v>546.79999999999995</v>
          </cell>
          <cell r="EP37">
            <v>546.79999999999995</v>
          </cell>
          <cell r="ER37">
            <v>553.21778400000005</v>
          </cell>
          <cell r="ES37">
            <v>545</v>
          </cell>
          <cell r="ET37">
            <v>530</v>
          </cell>
          <cell r="EU37">
            <v>496.9</v>
          </cell>
          <cell r="EV37">
            <v>496.9</v>
          </cell>
          <cell r="EX37">
            <v>459.62333699999999</v>
          </cell>
          <cell r="EY37">
            <v>435.6</v>
          </cell>
          <cell r="EZ37">
            <v>432.98764799999998</v>
          </cell>
          <cell r="FA37">
            <v>419.7</v>
          </cell>
          <cell r="FB37">
            <v>419.7</v>
          </cell>
          <cell r="FD37">
            <v>420.477236</v>
          </cell>
          <cell r="FE37">
            <v>420.54819300000003</v>
          </cell>
          <cell r="FF37">
            <v>420.56348700000001</v>
          </cell>
          <cell r="FG37">
            <v>420.57529799999998</v>
          </cell>
          <cell r="FH37">
            <v>420.57529799999998</v>
          </cell>
          <cell r="FJ37">
            <v>420.56635599999998</v>
          </cell>
          <cell r="FK37">
            <v>420.5</v>
          </cell>
          <cell r="FL37">
            <v>421</v>
          </cell>
          <cell r="FM37">
            <v>421.53</v>
          </cell>
          <cell r="FN37">
            <v>421.53</v>
          </cell>
          <cell r="FP37">
            <v>422.10645299999999</v>
          </cell>
          <cell r="FQ37">
            <v>422.67482899999999</v>
          </cell>
          <cell r="FR37">
            <v>423</v>
          </cell>
          <cell r="FS37">
            <v>423.3</v>
          </cell>
          <cell r="FT37">
            <v>423.3</v>
          </cell>
          <cell r="FV37">
            <v>425.2</v>
          </cell>
          <cell r="FW37">
            <v>427.5</v>
          </cell>
          <cell r="FX37">
            <v>420.6</v>
          </cell>
          <cell r="FY37">
            <v>414.2</v>
          </cell>
          <cell r="FZ37">
            <v>414.2</v>
          </cell>
          <cell r="GB37">
            <v>414.6</v>
          </cell>
          <cell r="GC37">
            <v>404.3</v>
          </cell>
          <cell r="GD37">
            <v>396.40526315789475</v>
          </cell>
          <cell r="GE37">
            <v>386.88145363408523</v>
          </cell>
          <cell r="GF37">
            <v>386.88145363408523</v>
          </cell>
          <cell r="GS37" t="str">
            <v>mstag:periodEndBasicSharesOutstanding</v>
          </cell>
          <cell r="GT37">
            <v>6</v>
          </cell>
          <cell r="GU37" t="str">
            <v>ms_eqr_gcim_Decimal:ms_eqr_gcim_decimal</v>
          </cell>
          <cell r="GV37" t="b">
            <v>0</v>
          </cell>
          <cell r="GW37" t="b">
            <v>0</v>
          </cell>
        </row>
        <row r="38">
          <cell r="A38" t="str">
            <v>Average Repurchase Price</v>
          </cell>
          <cell r="Y38">
            <v>38.059090830879164</v>
          </cell>
          <cell r="Z38">
            <v>34.721403433168142</v>
          </cell>
          <cell r="AD38">
            <v>0</v>
          </cell>
          <cell r="AE38">
            <v>38.72816212438854</v>
          </cell>
          <cell r="AF38">
            <v>44.008553389238294</v>
          </cell>
          <cell r="AG38">
            <v>50.096916707872467</v>
          </cell>
          <cell r="AH38">
            <v>57.127768483238825</v>
          </cell>
          <cell r="AI38">
            <v>65.259620687985446</v>
          </cell>
          <cell r="AJ38">
            <v>65.259620687985446</v>
          </cell>
          <cell r="AK38">
            <v>65.259620687985446</v>
          </cell>
          <cell r="AL38">
            <v>65.259620687985446</v>
          </cell>
          <cell r="AN38" t="str">
            <v>Average Repurchase Price</v>
          </cell>
          <cell r="ER38">
            <v>33.869</v>
          </cell>
          <cell r="ES38">
            <v>35.432098765432102</v>
          </cell>
          <cell r="ET38">
            <v>41.758793969849251</v>
          </cell>
          <cell r="EU38">
            <v>41.176470588235297</v>
          </cell>
          <cell r="EV38">
            <v>38.059090830879164</v>
          </cell>
          <cell r="EX38">
            <v>44.244444444444447</v>
          </cell>
          <cell r="EY38">
            <v>38.991596638655459</v>
          </cell>
          <cell r="EZ38">
            <v>31.111111111111111</v>
          </cell>
          <cell r="FA38">
            <v>24.53846153846154</v>
          </cell>
          <cell r="FB38">
            <v>34.721403433168142</v>
          </cell>
          <cell r="GB38">
            <v>39.629629629629626</v>
          </cell>
          <cell r="GC38">
            <v>35.283018867924532</v>
          </cell>
          <cell r="GD38">
            <v>38</v>
          </cell>
          <cell r="GE38">
            <v>42</v>
          </cell>
          <cell r="GF38">
            <v>38.72816212438854</v>
          </cell>
        </row>
        <row r="40">
          <cell r="A40" t="str">
            <v>Depreciation &amp; Amortization (Reported)</v>
          </cell>
          <cell r="C40">
            <v>235.45400000000001</v>
          </cell>
          <cell r="D40">
            <v>212.18600000000001</v>
          </cell>
          <cell r="E40">
            <v>212.18600000000001</v>
          </cell>
          <cell r="F40">
            <v>212.18600000000001</v>
          </cell>
          <cell r="G40">
            <v>205.554</v>
          </cell>
          <cell r="H40">
            <v>207.91399999999999</v>
          </cell>
          <cell r="I40">
            <v>251.40600000000001</v>
          </cell>
          <cell r="K40">
            <v>551.07000000000005</v>
          </cell>
          <cell r="L40">
            <v>474.94499999999999</v>
          </cell>
          <cell r="N40">
            <v>497</v>
          </cell>
          <cell r="O40">
            <v>533</v>
          </cell>
          <cell r="P40">
            <v>590</v>
          </cell>
          <cell r="Q40">
            <v>624</v>
          </cell>
          <cell r="R40">
            <v>665</v>
          </cell>
          <cell r="S40">
            <v>651</v>
          </cell>
          <cell r="T40">
            <v>689</v>
          </cell>
          <cell r="U40">
            <v>680</v>
          </cell>
          <cell r="V40">
            <v>710</v>
          </cell>
          <cell r="W40">
            <v>737</v>
          </cell>
          <cell r="X40">
            <v>978</v>
          </cell>
          <cell r="Y40">
            <v>1265</v>
          </cell>
          <cell r="Z40">
            <v>1304</v>
          </cell>
          <cell r="AA40">
            <v>1278</v>
          </cell>
          <cell r="AB40">
            <v>1210</v>
          </cell>
          <cell r="AC40">
            <v>1150</v>
          </cell>
          <cell r="AD40">
            <v>1085</v>
          </cell>
          <cell r="AE40">
            <v>1058.1233144856478</v>
          </cell>
          <cell r="AF40">
            <v>1083.3778550448592</v>
          </cell>
          <cell r="AG40">
            <v>1104.2560836491582</v>
          </cell>
          <cell r="AH40">
            <v>1115.6972553764319</v>
          </cell>
          <cell r="AI40">
            <v>1126.8542279301962</v>
          </cell>
          <cell r="AJ40">
            <v>1138.1227702094982</v>
          </cell>
          <cell r="AK40">
            <v>1149.5039979115932</v>
          </cell>
          <cell r="AL40">
            <v>1160.9990378907089</v>
          </cell>
          <cell r="AN40" t="str">
            <v>Depreciation &amp; Amortization (Reported)</v>
          </cell>
          <cell r="DH40">
            <v>175</v>
          </cell>
          <cell r="DI40">
            <v>174</v>
          </cell>
          <cell r="DJ40">
            <v>177</v>
          </cell>
          <cell r="DK40">
            <v>166</v>
          </cell>
          <cell r="DL40">
            <v>651</v>
          </cell>
          <cell r="DN40">
            <v>169</v>
          </cell>
          <cell r="DO40">
            <v>168</v>
          </cell>
          <cell r="DP40">
            <v>174</v>
          </cell>
          <cell r="DQ40">
            <v>178</v>
          </cell>
          <cell r="DR40">
            <v>689</v>
          </cell>
          <cell r="DT40">
            <v>165</v>
          </cell>
          <cell r="DU40">
            <v>168</v>
          </cell>
          <cell r="DV40">
            <v>167</v>
          </cell>
          <cell r="DW40">
            <v>180</v>
          </cell>
          <cell r="DX40">
            <v>680</v>
          </cell>
          <cell r="DZ40">
            <v>180</v>
          </cell>
          <cell r="EA40">
            <v>173</v>
          </cell>
          <cell r="EB40">
            <v>176</v>
          </cell>
          <cell r="EC40">
            <v>181</v>
          </cell>
          <cell r="ED40">
            <v>710</v>
          </cell>
          <cell r="EF40">
            <v>177</v>
          </cell>
          <cell r="EG40">
            <v>178</v>
          </cell>
          <cell r="EH40">
            <v>178</v>
          </cell>
          <cell r="EI40">
            <v>204</v>
          </cell>
          <cell r="EJ40">
            <v>737</v>
          </cell>
          <cell r="EK40" t="str">
            <v>Depreciation &amp; Amortization (Reported)</v>
          </cell>
          <cell r="EL40">
            <v>177</v>
          </cell>
          <cell r="EM40">
            <v>178</v>
          </cell>
          <cell r="EN40">
            <v>295</v>
          </cell>
          <cell r="EO40">
            <v>328</v>
          </cell>
          <cell r="EP40">
            <v>978</v>
          </cell>
          <cell r="ER40">
            <v>316</v>
          </cell>
          <cell r="ES40">
            <v>314</v>
          </cell>
          <cell r="ET40">
            <v>315</v>
          </cell>
          <cell r="EU40">
            <v>320</v>
          </cell>
          <cell r="EV40">
            <v>1265</v>
          </cell>
          <cell r="EX40">
            <v>329</v>
          </cell>
          <cell r="EY40">
            <v>327</v>
          </cell>
          <cell r="EZ40">
            <v>321</v>
          </cell>
          <cell r="FA40">
            <v>327</v>
          </cell>
          <cell r="FB40">
            <v>1304</v>
          </cell>
          <cell r="FD40">
            <v>315</v>
          </cell>
          <cell r="FE40">
            <v>315</v>
          </cell>
          <cell r="FF40">
            <v>320</v>
          </cell>
          <cell r="FG40">
            <v>328</v>
          </cell>
          <cell r="FH40">
            <v>1278</v>
          </cell>
          <cell r="FJ40">
            <v>303</v>
          </cell>
          <cell r="FK40">
            <v>301</v>
          </cell>
          <cell r="FL40">
            <v>301</v>
          </cell>
          <cell r="FM40">
            <v>305</v>
          </cell>
          <cell r="FN40">
            <v>1210</v>
          </cell>
          <cell r="FP40">
            <v>287</v>
          </cell>
          <cell r="FQ40">
            <v>288</v>
          </cell>
          <cell r="FR40">
            <v>290</v>
          </cell>
          <cell r="FS40">
            <v>285</v>
          </cell>
          <cell r="FT40">
            <v>1150</v>
          </cell>
          <cell r="FV40">
            <v>268</v>
          </cell>
          <cell r="FW40">
            <v>268</v>
          </cell>
          <cell r="FX40">
            <v>282</v>
          </cell>
          <cell r="FY40">
            <v>267</v>
          </cell>
          <cell r="FZ40">
            <v>1085</v>
          </cell>
          <cell r="GB40">
            <v>256</v>
          </cell>
          <cell r="GC40">
            <v>257</v>
          </cell>
          <cell r="GD40">
            <v>275.44005372214991</v>
          </cell>
          <cell r="GE40">
            <v>269.68326076349791</v>
          </cell>
          <cell r="GF40">
            <v>1058.1233144856478</v>
          </cell>
        </row>
        <row r="41">
          <cell r="A41" t="str">
            <v>% of Sales</v>
          </cell>
          <cell r="N41">
            <v>3.4008485014369781E-2</v>
          </cell>
          <cell r="O41">
            <v>3.5933391761612622E-2</v>
          </cell>
          <cell r="P41">
            <v>3.8764783180026283E-2</v>
          </cell>
          <cell r="Q41">
            <v>4.0611780019524896E-2</v>
          </cell>
          <cell r="R41">
            <v>4.148730426102689E-2</v>
          </cell>
          <cell r="S41">
            <v>3.9127298954201223E-2</v>
          </cell>
          <cell r="T41">
            <v>4.3649033892936333E-2</v>
          </cell>
          <cell r="U41">
            <v>4.3670926722753835E-2</v>
          </cell>
          <cell r="V41">
            <v>4.6067998961847913E-2</v>
          </cell>
          <cell r="W41">
            <v>4.6716531440162273E-2</v>
          </cell>
          <cell r="X41">
            <v>4.3680214381420279E-2</v>
          </cell>
          <cell r="Y41">
            <v>4.6903967371153134E-2</v>
          </cell>
          <cell r="Z41">
            <v>4.9557253068825295E-2</v>
          </cell>
          <cell r="AA41">
            <v>5.134179656114414E-2</v>
          </cell>
          <cell r="AB41">
            <v>5.0638208830299229E-2</v>
          </cell>
          <cell r="AC41">
            <v>4.5994480662320522E-2</v>
          </cell>
          <cell r="AD41">
            <v>4.1090702518462412E-2</v>
          </cell>
          <cell r="AE41">
            <v>3.8202403342907414E-2</v>
          </cell>
          <cell r="AF41">
            <v>3.8202403342907414E-2</v>
          </cell>
          <cell r="AG41">
            <v>3.8202403342907414E-2</v>
          </cell>
          <cell r="AH41">
            <v>3.8202403342907414E-2</v>
          </cell>
          <cell r="AI41">
            <v>3.8202403342907414E-2</v>
          </cell>
          <cell r="AJ41">
            <v>3.8202403342907407E-2</v>
          </cell>
          <cell r="AK41">
            <v>3.8202403342907407E-2</v>
          </cell>
          <cell r="AL41">
            <v>3.8202403342907407E-2</v>
          </cell>
          <cell r="AN41" t="str">
            <v>% of Sales</v>
          </cell>
          <cell r="DH41">
            <v>4.897844948222782E-2</v>
          </cell>
          <cell r="DI41">
            <v>4.7295460723022563E-2</v>
          </cell>
          <cell r="DJ41">
            <v>4.6800634584875725E-2</v>
          </cell>
          <cell r="DK41">
            <v>2.9621698786581014E-2</v>
          </cell>
          <cell r="DL41">
            <v>3.9127298954201223E-2</v>
          </cell>
          <cell r="DN41">
            <v>4.7525309336332956E-2</v>
          </cell>
          <cell r="DO41">
            <v>4.8165137614678902E-2</v>
          </cell>
          <cell r="DP41">
            <v>5.0071942446043169E-2</v>
          </cell>
          <cell r="DQ41">
            <v>3.4684333593141076E-2</v>
          </cell>
          <cell r="DR41">
            <v>4.3649033892936333E-2</v>
          </cell>
          <cell r="DT41">
            <v>4.778453518679409E-2</v>
          </cell>
          <cell r="DU41">
            <v>4.8192771084337352E-2</v>
          </cell>
          <cell r="DV41">
            <v>4.8002299511353839E-2</v>
          </cell>
          <cell r="DW41">
            <v>3.5878014749850508E-2</v>
          </cell>
          <cell r="DX41">
            <v>4.3670926722753835E-2</v>
          </cell>
          <cell r="DZ41">
            <v>5.4694621695533276E-2</v>
          </cell>
          <cell r="EA41">
            <v>5.0378567268491554E-2</v>
          </cell>
          <cell r="EB41">
            <v>5.0487664945496273E-2</v>
          </cell>
          <cell r="EC41">
            <v>3.5820304769443895E-2</v>
          </cell>
          <cell r="ED41">
            <v>4.6067998961847913E-2</v>
          </cell>
          <cell r="EF41">
            <v>4.9859154929577466E-2</v>
          </cell>
          <cell r="EG41">
            <v>4.9706785814018432E-2</v>
          </cell>
          <cell r="EH41">
            <v>5.0496453900709219E-2</v>
          </cell>
          <cell r="EI41">
            <v>3.9843749999999997E-2</v>
          </cell>
          <cell r="EJ41">
            <v>4.6716531440162273E-2</v>
          </cell>
          <cell r="EK41" t="str">
            <v>% of Sales</v>
          </cell>
          <cell r="EL41">
            <v>4.861301840153804E-2</v>
          </cell>
          <cell r="EM41">
            <v>4.9130554788849021E-2</v>
          </cell>
          <cell r="EN41">
            <v>5.3105310531053107E-2</v>
          </cell>
          <cell r="EO41">
            <v>3.4270191202591158E-2</v>
          </cell>
          <cell r="EP41">
            <v>4.3680214381420279E-2</v>
          </cell>
          <cell r="ER41">
            <v>5.3288364249578418E-2</v>
          </cell>
          <cell r="ES41">
            <v>5.237698081734779E-2</v>
          </cell>
          <cell r="ET41">
            <v>5.3516819571865444E-2</v>
          </cell>
          <cell r="EU41">
            <v>3.493831204279943E-2</v>
          </cell>
          <cell r="EV41">
            <v>4.6903967371153134E-2</v>
          </cell>
          <cell r="EX41">
            <v>5.5564938355007601E-2</v>
          </cell>
          <cell r="EY41">
            <v>5.54989816700611E-2</v>
          </cell>
          <cell r="EZ41">
            <v>5.4351506942092787E-2</v>
          </cell>
          <cell r="FA41">
            <v>3.8049802187572722E-2</v>
          </cell>
          <cell r="FB41">
            <v>4.9557253068825295E-2</v>
          </cell>
          <cell r="FD41">
            <v>5.4811205846528627E-2</v>
          </cell>
          <cell r="FE41">
            <v>5.5089192025183628E-2</v>
          </cell>
          <cell r="FF41">
            <v>5.8255962133624613E-2</v>
          </cell>
          <cell r="FG41">
            <v>4.1341063776153264E-2</v>
          </cell>
          <cell r="FH41">
            <v>5.134179656114414E-2</v>
          </cell>
          <cell r="FJ41">
            <v>5.7299546142208772E-2</v>
          </cell>
          <cell r="FK41">
            <v>5.6953642384105961E-2</v>
          </cell>
          <cell r="FL41">
            <v>5.5896007428040857E-2</v>
          </cell>
          <cell r="FM41">
            <v>3.8427617487715761E-2</v>
          </cell>
          <cell r="FN41">
            <v>5.0638208830299229E-2</v>
          </cell>
          <cell r="FP41">
            <v>5.1489056332974521E-2</v>
          </cell>
          <cell r="FQ41">
            <v>5.2013725844320027E-2</v>
          </cell>
          <cell r="FR41">
            <v>5.1573892939711895E-2</v>
          </cell>
          <cell r="FS41">
            <v>3.4466078123110415E-2</v>
          </cell>
          <cell r="FT41">
            <v>4.5994480662320522E-2</v>
          </cell>
          <cell r="FV41">
            <v>4.5508575309899817E-2</v>
          </cell>
          <cell r="FW41">
            <v>4.512544199360162E-2</v>
          </cell>
          <cell r="FX41">
            <v>4.8180420297283442E-2</v>
          </cell>
          <cell r="FY41">
            <v>3.0605226960110043E-2</v>
          </cell>
          <cell r="FZ41">
            <v>4.1090702518462412E-2</v>
          </cell>
          <cell r="GB41">
            <v>4.1673449454663843E-2</v>
          </cell>
          <cell r="GC41">
            <v>4.2007191892775415E-2</v>
          </cell>
          <cell r="GD41">
            <v>4.5379616732146563E-2</v>
          </cell>
          <cell r="GE41">
            <v>2.8790370881885484E-2</v>
          </cell>
          <cell r="GF41">
            <v>3.8202403342907414E-2</v>
          </cell>
        </row>
        <row r="42">
          <cell r="A42" t="str">
            <v>EBITDA (FIFO)</v>
          </cell>
          <cell r="C42" t="str">
            <v xml:space="preserve">NM </v>
          </cell>
          <cell r="D42" t="str">
            <v xml:space="preserve">NM </v>
          </cell>
          <cell r="E42">
            <v>479.15800000000024</v>
          </cell>
          <cell r="F42">
            <v>513.08899999999983</v>
          </cell>
          <cell r="G42">
            <v>643.98800000000062</v>
          </cell>
          <cell r="H42">
            <v>718.55699999999911</v>
          </cell>
          <cell r="I42">
            <v>892.50999999999885</v>
          </cell>
          <cell r="J42">
            <v>0.20265241838785197</v>
          </cell>
          <cell r="K42">
            <v>1233.8709999999996</v>
          </cell>
          <cell r="L42">
            <v>1469.5959999999989</v>
          </cell>
          <cell r="N42">
            <v>1160</v>
          </cell>
          <cell r="O42">
            <v>1426</v>
          </cell>
          <cell r="P42">
            <v>1931</v>
          </cell>
          <cell r="Q42">
            <v>2079</v>
          </cell>
          <cell r="R42">
            <v>2358</v>
          </cell>
          <cell r="S42">
            <v>2422</v>
          </cell>
          <cell r="T42">
            <v>2065</v>
          </cell>
          <cell r="U42">
            <v>2091</v>
          </cell>
          <cell r="V42">
            <v>2110</v>
          </cell>
          <cell r="W42">
            <v>2236</v>
          </cell>
          <cell r="X42">
            <v>3116</v>
          </cell>
          <cell r="Y42">
            <v>3538</v>
          </cell>
          <cell r="Z42">
            <v>3386</v>
          </cell>
          <cell r="AA42">
            <v>2703</v>
          </cell>
          <cell r="AB42">
            <v>2664</v>
          </cell>
          <cell r="AC42">
            <v>3069</v>
          </cell>
          <cell r="AD42">
            <v>3471</v>
          </cell>
          <cell r="AE42">
            <v>3729.419936712914</v>
          </cell>
          <cell r="AF42">
            <v>3860.9694388964058</v>
          </cell>
          <cell r="AG42">
            <v>4007.6393206478215</v>
          </cell>
          <cell r="AH42">
            <v>4049.1623789016467</v>
          </cell>
          <cell r="AI42">
            <v>4060.1570567049512</v>
          </cell>
          <cell r="AJ42">
            <v>4130.5505427175704</v>
          </cell>
          <cell r="AK42">
            <v>4201.9458827447743</v>
          </cell>
          <cell r="AL42">
            <v>4274.3560745182449</v>
          </cell>
          <cell r="AN42" t="str">
            <v>EBITDA (FIFO)</v>
          </cell>
          <cell r="DH42">
            <v>444</v>
          </cell>
          <cell r="DI42">
            <v>576</v>
          </cell>
          <cell r="DJ42">
            <v>446</v>
          </cell>
          <cell r="DK42">
            <v>997</v>
          </cell>
          <cell r="DL42">
            <v>2422</v>
          </cell>
          <cell r="DN42">
            <v>399</v>
          </cell>
          <cell r="DO42">
            <v>422</v>
          </cell>
          <cell r="DP42">
            <v>330</v>
          </cell>
          <cell r="DQ42">
            <v>914</v>
          </cell>
          <cell r="DR42">
            <v>2065</v>
          </cell>
          <cell r="DT42">
            <v>386</v>
          </cell>
          <cell r="DU42">
            <v>468</v>
          </cell>
          <cell r="DV42">
            <v>355</v>
          </cell>
          <cell r="DW42">
            <v>882</v>
          </cell>
          <cell r="DX42">
            <v>2091</v>
          </cell>
          <cell r="DZ42">
            <v>334</v>
          </cell>
          <cell r="EA42">
            <v>447</v>
          </cell>
          <cell r="EB42">
            <v>378</v>
          </cell>
          <cell r="EC42">
            <v>951</v>
          </cell>
          <cell r="ED42">
            <v>2110</v>
          </cell>
          <cell r="EF42">
            <v>413</v>
          </cell>
          <cell r="EG42">
            <v>454</v>
          </cell>
          <cell r="EH42">
            <v>389</v>
          </cell>
          <cell r="EI42">
            <v>980</v>
          </cell>
          <cell r="EJ42">
            <v>2236</v>
          </cell>
          <cell r="EK42" t="str">
            <v>EBITDA (FIFO)</v>
          </cell>
          <cell r="EL42">
            <v>429</v>
          </cell>
          <cell r="EM42">
            <v>469</v>
          </cell>
          <cell r="EN42">
            <v>565</v>
          </cell>
          <cell r="EO42">
            <v>1653</v>
          </cell>
          <cell r="EP42">
            <v>3116</v>
          </cell>
          <cell r="ER42">
            <v>465</v>
          </cell>
          <cell r="ES42">
            <v>722</v>
          </cell>
          <cell r="ET42">
            <v>594</v>
          </cell>
          <cell r="EU42">
            <v>1757</v>
          </cell>
          <cell r="EV42">
            <v>3538</v>
          </cell>
          <cell r="EX42">
            <v>573</v>
          </cell>
          <cell r="EY42">
            <v>674</v>
          </cell>
          <cell r="EZ42">
            <v>521</v>
          </cell>
          <cell r="FA42">
            <v>1618</v>
          </cell>
          <cell r="FB42">
            <v>3386</v>
          </cell>
          <cell r="FD42">
            <v>455</v>
          </cell>
          <cell r="FE42">
            <v>650</v>
          </cell>
          <cell r="FF42">
            <v>404</v>
          </cell>
          <cell r="FG42">
            <v>1194</v>
          </cell>
          <cell r="FH42">
            <v>2703</v>
          </cell>
          <cell r="FJ42">
            <v>327</v>
          </cell>
          <cell r="FK42">
            <v>583</v>
          </cell>
          <cell r="FL42">
            <v>389</v>
          </cell>
          <cell r="FM42">
            <v>1365</v>
          </cell>
          <cell r="FN42">
            <v>2664</v>
          </cell>
          <cell r="FP42">
            <v>490</v>
          </cell>
          <cell r="FQ42">
            <v>658</v>
          </cell>
          <cell r="FR42">
            <v>467</v>
          </cell>
          <cell r="FS42">
            <v>1454</v>
          </cell>
          <cell r="FT42">
            <v>3069</v>
          </cell>
          <cell r="FV42">
            <v>598</v>
          </cell>
          <cell r="FW42">
            <v>774</v>
          </cell>
          <cell r="FX42">
            <v>573</v>
          </cell>
          <cell r="FY42">
            <v>1526</v>
          </cell>
          <cell r="FZ42">
            <v>3471</v>
          </cell>
          <cell r="GB42">
            <v>647</v>
          </cell>
          <cell r="GC42">
            <v>811</v>
          </cell>
          <cell r="GD42">
            <v>557.01504824879794</v>
          </cell>
          <cell r="GE42">
            <v>1714.4048884641161</v>
          </cell>
          <cell r="GF42">
            <v>3729.419936712914</v>
          </cell>
          <cell r="GS42" t="str">
            <v>mstag:tag013</v>
          </cell>
          <cell r="GT42">
            <v>6</v>
          </cell>
          <cell r="GU42" t="str">
            <v>ISO4217:USD</v>
          </cell>
          <cell r="GV42" t="b">
            <v>0</v>
          </cell>
          <cell r="GW42" t="b">
            <v>0</v>
          </cell>
        </row>
        <row r="43">
          <cell r="A43" t="str">
            <v>EBITDA Margin</v>
          </cell>
          <cell r="E43">
            <v>6.9119399081664284E-2</v>
          </cell>
          <cell r="F43">
            <v>7.4014006560282869E-2</v>
          </cell>
          <cell r="G43">
            <v>9.0959515058105789E-2</v>
          </cell>
          <cell r="H43">
            <v>9.9393643129186429E-2</v>
          </cell>
          <cell r="I43">
            <v>0.11579794529390085</v>
          </cell>
          <cell r="K43">
            <v>9.0053716746341619E-2</v>
          </cell>
          <cell r="L43">
            <v>0.10498588587511638</v>
          </cell>
          <cell r="N43">
            <v>7.9375940878609552E-2</v>
          </cell>
          <cell r="O43">
            <v>9.6136991842513314E-2</v>
          </cell>
          <cell r="P43">
            <v>0.12687253613666227</v>
          </cell>
          <cell r="Q43">
            <v>0.13530751708428246</v>
          </cell>
          <cell r="R43">
            <v>0.14710836608646827</v>
          </cell>
          <cell r="S43">
            <v>0.14557038105541531</v>
          </cell>
          <cell r="T43">
            <v>0.13082039911308205</v>
          </cell>
          <cell r="U43">
            <v>0.13428809967246805</v>
          </cell>
          <cell r="V43">
            <v>0.13690630677394239</v>
          </cell>
          <cell r="W43">
            <v>0.14173427991886409</v>
          </cell>
          <cell r="X43">
            <v>0.13916927199642698</v>
          </cell>
          <cell r="Y43">
            <v>0.13118279569892474</v>
          </cell>
          <cell r="Z43">
            <v>0.12868164025386691</v>
          </cell>
          <cell r="AA43">
            <v>0.10858910493331191</v>
          </cell>
          <cell r="AB43">
            <v>0.11148775894538607</v>
          </cell>
          <cell r="AC43">
            <v>0.1227452705675319</v>
          </cell>
          <cell r="AD43">
            <v>0.13145237644385532</v>
          </cell>
          <cell r="AE43">
            <v>0.13464669259900278</v>
          </cell>
          <cell r="AF43">
            <v>0.13614669259900275</v>
          </cell>
          <cell r="AG43">
            <v>0.13864669259900278</v>
          </cell>
          <cell r="AH43">
            <v>0.13864669259900272</v>
          </cell>
          <cell r="AI43">
            <v>0.13764669259900278</v>
          </cell>
          <cell r="AJ43">
            <v>0.13864669259900272</v>
          </cell>
          <cell r="AK43">
            <v>0.13964669259900278</v>
          </cell>
          <cell r="AL43">
            <v>0.14064669259900264</v>
          </cell>
          <cell r="AN43" t="str">
            <v>EBITDA Margin</v>
          </cell>
          <cell r="DH43">
            <v>0.12426532325776658</v>
          </cell>
          <cell r="DI43">
            <v>0.15656428377276435</v>
          </cell>
          <cell r="DJ43">
            <v>0.11792702273929138</v>
          </cell>
          <cell r="DK43">
            <v>0.17790863668807994</v>
          </cell>
          <cell r="DL43">
            <v>0.14557038105541531</v>
          </cell>
          <cell r="DN43">
            <v>0.11220472440944881</v>
          </cell>
          <cell r="DO43">
            <v>0.12098623853211009</v>
          </cell>
          <cell r="DP43">
            <v>9.4964028776978418E-2</v>
          </cell>
          <cell r="DQ43">
            <v>0.17809820732657833</v>
          </cell>
          <cell r="DR43">
            <v>0.13082039911308205</v>
          </cell>
          <cell r="DT43">
            <v>0.11178685201274255</v>
          </cell>
          <cell r="DU43">
            <v>0.13425129087779691</v>
          </cell>
          <cell r="DV43">
            <v>0.10204081632653061</v>
          </cell>
          <cell r="DW43">
            <v>0.17580227227426748</v>
          </cell>
          <cell r="DX43">
            <v>0.13428809967246805</v>
          </cell>
          <cell r="DZ43">
            <v>0.10148890914615619</v>
          </cell>
          <cell r="EA43">
            <v>0.13016889924286545</v>
          </cell>
          <cell r="EB43">
            <v>0.10843373493975904</v>
          </cell>
          <cell r="EC43">
            <v>0.18820502671680189</v>
          </cell>
          <cell r="ED43">
            <v>0.13690630677394239</v>
          </cell>
          <cell r="EF43">
            <v>0.11633802816901409</v>
          </cell>
          <cell r="EG43">
            <v>0.12678022898631666</v>
          </cell>
          <cell r="EH43">
            <v>0.11035460992907802</v>
          </cell>
          <cell r="EI43">
            <v>0.19140625</v>
          </cell>
          <cell r="EJ43">
            <v>0.14173427991886409</v>
          </cell>
          <cell r="EK43" t="str">
            <v>EBITDA Margin</v>
          </cell>
          <cell r="EL43">
            <v>0.11782477341389729</v>
          </cell>
          <cell r="EM43">
            <v>0.12945073143803479</v>
          </cell>
          <cell r="EN43">
            <v>0.10171017101710171</v>
          </cell>
          <cell r="EO43">
            <v>0.17270922578622924</v>
          </cell>
          <cell r="EP43">
            <v>0.13916927199642698</v>
          </cell>
          <cell r="ER43">
            <v>7.8414839797639121E-2</v>
          </cell>
          <cell r="ES43">
            <v>0.12043369474562135</v>
          </cell>
          <cell r="ET43">
            <v>0.10091743119266056</v>
          </cell>
          <cell r="EU43">
            <v>0.19183316955999563</v>
          </cell>
          <cell r="EV43">
            <v>0.13118279569892474</v>
          </cell>
          <cell r="EX43">
            <v>9.6774193548387094E-2</v>
          </cell>
          <cell r="EY43">
            <v>0.11439239646978955</v>
          </cell>
          <cell r="EZ43">
            <v>8.8215374195733151E-2</v>
          </cell>
          <cell r="FA43">
            <v>0.18827088666511518</v>
          </cell>
          <cell r="FB43">
            <v>0.12868164025386691</v>
          </cell>
          <cell r="FD43">
            <v>7.9171741778319121E-2</v>
          </cell>
          <cell r="FE43">
            <v>0.1136761105281567</v>
          </cell>
          <cell r="FF43">
            <v>7.3548152193701075E-2</v>
          </cell>
          <cell r="FG43">
            <v>0.15049155533148476</v>
          </cell>
          <cell r="FH43">
            <v>0.10858910493331191</v>
          </cell>
          <cell r="FJ43">
            <v>6.1838124054462935E-2</v>
          </cell>
          <cell r="FK43">
            <v>0.11031220435193945</v>
          </cell>
          <cell r="FL43">
            <v>7.2237697307335189E-2</v>
          </cell>
          <cell r="FM43">
            <v>0.17197933728108858</v>
          </cell>
          <cell r="FN43">
            <v>0.11148775894538607</v>
          </cell>
          <cell r="FP43">
            <v>8.7908144958737E-2</v>
          </cell>
          <cell r="FQ43">
            <v>0.11883691529709228</v>
          </cell>
          <cell r="FR43">
            <v>8.3051751733949852E-2</v>
          </cell>
          <cell r="FS43">
            <v>0.17583746523158786</v>
          </cell>
          <cell r="FT43">
            <v>0.1227452705675319</v>
          </cell>
          <cell r="FV43">
            <v>0.10154525386313466</v>
          </cell>
          <cell r="FW43">
            <v>0.13032497053375988</v>
          </cell>
          <cell r="FX43">
            <v>9.7898513582778068E-2</v>
          </cell>
          <cell r="FY43">
            <v>0.17491976157725814</v>
          </cell>
          <cell r="FZ43">
            <v>0.13145237644385532</v>
          </cell>
          <cell r="GB43">
            <v>0.10532313202018558</v>
          </cell>
          <cell r="GC43">
            <v>0.13255966001961425</v>
          </cell>
          <cell r="GD43">
            <v>9.1769984292360302E-2</v>
          </cell>
          <cell r="GE43">
            <v>0.18302341955100002</v>
          </cell>
          <cell r="GF43">
            <v>0.13464669259900278</v>
          </cell>
        </row>
        <row r="44">
          <cell r="A44" t="str">
            <v>EBITDA (FIFO)/Share</v>
          </cell>
          <cell r="C44" t="str">
            <v xml:space="preserve">NM </v>
          </cell>
          <cell r="D44" t="str">
            <v xml:space="preserve">NM </v>
          </cell>
          <cell r="E44" t="str">
            <v xml:space="preserve">NM </v>
          </cell>
          <cell r="F44">
            <v>4.6078940278401426</v>
          </cell>
          <cell r="G44">
            <v>5.783457566232606</v>
          </cell>
          <cell r="H44">
            <v>5.8796370345149693</v>
          </cell>
          <cell r="I44">
            <v>6.8511292093559586</v>
          </cell>
          <cell r="K44">
            <v>6.7720691547749707</v>
          </cell>
          <cell r="L44">
            <v>8.0326861690497999</v>
          </cell>
          <cell r="N44">
            <v>2.9999586212603964</v>
          </cell>
          <cell r="O44">
            <v>3.2059352517985609</v>
          </cell>
          <cell r="P44">
            <v>4.2507946850757703</v>
          </cell>
          <cell r="Q44">
            <v>4.6015936254980074</v>
          </cell>
          <cell r="R44">
            <v>5.3688524590163933</v>
          </cell>
          <cell r="S44">
            <v>5.853776435045317</v>
          </cell>
          <cell r="T44">
            <v>5.1728456913827658</v>
          </cell>
          <cell r="U44">
            <v>5.2610391244181658</v>
          </cell>
          <cell r="V44">
            <v>5.6538049303322619</v>
          </cell>
          <cell r="W44">
            <v>6.2738496071829406</v>
          </cell>
          <cell r="X44">
            <v>7.1698113207547163</v>
          </cell>
          <cell r="Y44">
            <v>6.4597407339784549</v>
          </cell>
          <cell r="Z44">
            <v>7.4952960708356384</v>
          </cell>
          <cell r="AA44">
            <v>6.4139526606157684</v>
          </cell>
          <cell r="AB44">
            <v>6.3075648159109736</v>
          </cell>
          <cell r="AC44">
            <v>7.1521789792589132</v>
          </cell>
          <cell r="AD44">
            <v>8.0645910780669148</v>
          </cell>
          <cell r="AE44">
            <v>9.0707260857902199</v>
          </cell>
          <cell r="AF44">
            <v>10.333338237135949</v>
          </cell>
          <cell r="AG44">
            <v>11.879397477669373</v>
          </cell>
          <cell r="AH44">
            <v>13.066425230947521</v>
          </cell>
          <cell r="AI44">
            <v>13.737307488158827</v>
          </cell>
          <cell r="AJ44">
            <v>14.540893858632437</v>
          </cell>
          <cell r="AK44">
            <v>15.861777390263473</v>
          </cell>
          <cell r="AL44">
            <v>17.501817914319677</v>
          </cell>
          <cell r="AN44" t="str">
            <v>EBITDA (FIFO)/Share</v>
          </cell>
          <cell r="DH44">
            <v>1.0263522884882108</v>
          </cell>
          <cell r="DI44">
            <v>1.3812949640287771</v>
          </cell>
          <cell r="DJ44">
            <v>1.1089010442565888</v>
          </cell>
          <cell r="DK44">
            <v>2.472718253968254</v>
          </cell>
          <cell r="DL44">
            <v>5.853776435045317</v>
          </cell>
          <cell r="DN44">
            <v>0.97746202841744245</v>
          </cell>
          <cell r="DO44">
            <v>1.0571142284569139</v>
          </cell>
          <cell r="DP44">
            <v>0.84789311408016443</v>
          </cell>
          <cell r="DQ44">
            <v>2.2838580709645178</v>
          </cell>
          <cell r="DR44">
            <v>5.1728456913827658</v>
          </cell>
          <cell r="DT44">
            <v>0.94607843137254899</v>
          </cell>
          <cell r="DU44">
            <v>1.1498771498771498</v>
          </cell>
          <cell r="DV44">
            <v>0.9060745278203165</v>
          </cell>
          <cell r="DW44">
            <v>2.3028720626631856</v>
          </cell>
          <cell r="DX44">
            <v>5.2610391244181658</v>
          </cell>
          <cell r="DZ44">
            <v>0.8812664907651715</v>
          </cell>
          <cell r="EA44">
            <v>1.1939102564102564</v>
          </cell>
          <cell r="EB44">
            <v>1.0177705977382876</v>
          </cell>
          <cell r="EC44">
            <v>2.5856443719412723</v>
          </cell>
          <cell r="ED44">
            <v>5.6538049303322619</v>
          </cell>
          <cell r="EF44">
            <v>1.1210640608034745</v>
          </cell>
          <cell r="EG44">
            <v>1.2472527472527473</v>
          </cell>
          <cell r="EH44">
            <v>1.1152522935779816</v>
          </cell>
          <cell r="EI44">
            <v>2.8422273781902549</v>
          </cell>
          <cell r="EJ44">
            <v>6.2738496071829406</v>
          </cell>
          <cell r="EK44" t="str">
            <v>EBITDA (FIFO)/Share</v>
          </cell>
          <cell r="EL44">
            <v>1.2413194444444444</v>
          </cell>
          <cell r="EM44">
            <v>1.3346613545816735</v>
          </cell>
          <cell r="EN44">
            <v>1.1604025467241734</v>
          </cell>
          <cell r="EO44">
            <v>2.9826777336701551</v>
          </cell>
          <cell r="EP44">
            <v>7.1698113207547163</v>
          </cell>
          <cell r="ER44">
            <v>0.83333333333333337</v>
          </cell>
          <cell r="ES44">
            <v>1.2911301859799713</v>
          </cell>
          <cell r="ET44">
            <v>1.0801963993453356</v>
          </cell>
          <cell r="EU44">
            <v>3.354974221882757</v>
          </cell>
          <cell r="EV44">
            <v>6.4597407339784549</v>
          </cell>
          <cell r="EX44">
            <v>1.2027707808564232</v>
          </cell>
          <cell r="EY44">
            <v>1.472258628221931</v>
          </cell>
          <cell r="EZ44">
            <v>1.1892262040629993</v>
          </cell>
          <cell r="FA44">
            <v>3.72210720036807</v>
          </cell>
          <cell r="FB44">
            <v>7.4952960708356384</v>
          </cell>
          <cell r="FD44">
            <v>1.0810168686148729</v>
          </cell>
          <cell r="FE44">
            <v>1.5399194503672116</v>
          </cell>
          <cell r="FF44">
            <v>0.95893662473296937</v>
          </cell>
          <cell r="FG44">
            <v>2.8334124347413385</v>
          </cell>
          <cell r="FH44">
            <v>6.4139526606157684</v>
          </cell>
          <cell r="FJ44">
            <v>0.77598481252966311</v>
          </cell>
          <cell r="FK44">
            <v>1.3811892916370527</v>
          </cell>
          <cell r="FL44">
            <v>0.92223802750118533</v>
          </cell>
          <cell r="FM44">
            <v>3.2185805234614477</v>
          </cell>
          <cell r="FN44">
            <v>6.3075648159109736</v>
          </cell>
          <cell r="FP44">
            <v>1.1496949788831534</v>
          </cell>
          <cell r="FQ44">
            <v>1.5427901524032825</v>
          </cell>
          <cell r="FR44">
            <v>1.0921421889616463</v>
          </cell>
          <cell r="FS44">
            <v>3.3892773892773893</v>
          </cell>
          <cell r="FT44">
            <v>7.1521789792589132</v>
          </cell>
          <cell r="FV44">
            <v>1.3906976744186046</v>
          </cell>
          <cell r="FW44">
            <v>1.7809479981592269</v>
          </cell>
          <cell r="FX44">
            <v>1.3270032422417786</v>
          </cell>
          <cell r="FY44">
            <v>3.5712614088462438</v>
          </cell>
          <cell r="FZ44">
            <v>8.0645910780669148</v>
          </cell>
          <cell r="GB44">
            <v>1.5270238376209582</v>
          </cell>
          <cell r="GC44">
            <v>1.9443778470390793</v>
          </cell>
          <cell r="GD44">
            <v>1.3711050832677567</v>
          </cell>
          <cell r="GE44">
            <v>4.3124978754051018</v>
          </cell>
          <cell r="GF44">
            <v>9.0707260857902199</v>
          </cell>
        </row>
        <row r="46">
          <cell r="A46" t="str">
            <v>Pre-Tax Extraordinary Charges/(FYins)</v>
          </cell>
          <cell r="N46">
            <v>0</v>
          </cell>
          <cell r="O46">
            <v>0</v>
          </cell>
          <cell r="P46">
            <v>64.977391304347833</v>
          </cell>
          <cell r="Q46">
            <v>39.049635036496348</v>
          </cell>
          <cell r="R46">
            <v>0</v>
          </cell>
          <cell r="S46">
            <v>80</v>
          </cell>
          <cell r="T46">
            <v>194.65822784810126</v>
          </cell>
          <cell r="U46">
            <v>68</v>
          </cell>
          <cell r="V46">
            <v>-3.8885496183206101</v>
          </cell>
          <cell r="W46">
            <v>158</v>
          </cell>
          <cell r="X46">
            <v>-454.87025227165736</v>
          </cell>
          <cell r="Y46">
            <v>238.49507674485955</v>
          </cell>
          <cell r="Z46">
            <v>95.101083032490976</v>
          </cell>
          <cell r="AA46">
            <v>4548.1295336787571</v>
          </cell>
          <cell r="AB46">
            <v>391</v>
          </cell>
          <cell r="AC46">
            <v>89.519480519480524</v>
          </cell>
          <cell r="AD46">
            <v>-25</v>
          </cell>
          <cell r="AE46">
            <v>0</v>
          </cell>
          <cell r="AF46">
            <v>0</v>
          </cell>
          <cell r="AG46">
            <v>0</v>
          </cell>
          <cell r="AH46">
            <v>0</v>
          </cell>
          <cell r="AI46">
            <v>0</v>
          </cell>
          <cell r="AJ46">
            <v>0</v>
          </cell>
          <cell r="AK46">
            <v>0</v>
          </cell>
          <cell r="AL46">
            <v>0</v>
          </cell>
          <cell r="AN46" t="str">
            <v>Pre-Tax Extraordinary Charges/(FYins)</v>
          </cell>
          <cell r="FY46">
            <v>1151</v>
          </cell>
          <cell r="GS46" t="str">
            <v>mstag:incomeLossFromExtraordinaryItemsPretax</v>
          </cell>
          <cell r="GT46">
            <v>6</v>
          </cell>
          <cell r="GU46" t="str">
            <v>ISO4217:USD</v>
          </cell>
          <cell r="GV46" t="b">
            <v>1</v>
          </cell>
          <cell r="GW46" t="b">
            <v>0</v>
          </cell>
        </row>
        <row r="47">
          <cell r="A47" t="str">
            <v>Taxes (Benefit) on Extraordinary Charges</v>
          </cell>
          <cell r="N47">
            <v>0</v>
          </cell>
          <cell r="O47">
            <v>0</v>
          </cell>
          <cell r="P47">
            <v>-25.97739130434783</v>
          </cell>
          <cell r="Q47">
            <v>-16.049635036496348</v>
          </cell>
          <cell r="R47">
            <v>0</v>
          </cell>
          <cell r="S47">
            <v>0</v>
          </cell>
          <cell r="T47">
            <v>30.341772151898731</v>
          </cell>
          <cell r="U47">
            <v>0</v>
          </cell>
          <cell r="V47">
            <v>24.888549618320614</v>
          </cell>
          <cell r="W47">
            <v>0</v>
          </cell>
          <cell r="X47">
            <v>56.870252271657364</v>
          </cell>
          <cell r="Y47">
            <v>73.879923255140454</v>
          </cell>
          <cell r="Z47">
            <v>45.898916967509031</v>
          </cell>
          <cell r="AA47">
            <v>1254.8704663212436</v>
          </cell>
          <cell r="AB47">
            <v>0</v>
          </cell>
          <cell r="AC47">
            <v>-23.119480519480522</v>
          </cell>
          <cell r="AD47">
            <v>0</v>
          </cell>
          <cell r="AE47">
            <v>0</v>
          </cell>
          <cell r="AF47">
            <v>0</v>
          </cell>
          <cell r="AG47">
            <v>0</v>
          </cell>
          <cell r="AH47">
            <v>0</v>
          </cell>
          <cell r="AI47">
            <v>0</v>
          </cell>
          <cell r="AJ47">
            <v>0</v>
          </cell>
          <cell r="AK47">
            <v>0</v>
          </cell>
          <cell r="AL47">
            <v>0</v>
          </cell>
          <cell r="AN47" t="str">
            <v>Taxes (Benefit) on Extraordinary Charges</v>
          </cell>
          <cell r="FY47">
            <v>0.6329278887923544</v>
          </cell>
          <cell r="GS47" t="str">
            <v>mstag:taxOnIncomeLossFromExtraordinaryItems</v>
          </cell>
          <cell r="GT47">
            <v>6</v>
          </cell>
          <cell r="GU47" t="str">
            <v>ISO4217:USD</v>
          </cell>
          <cell r="GV47" t="b">
            <v>0</v>
          </cell>
        </row>
        <row r="48">
          <cell r="A48" t="str">
            <v>Post-Tax Extraordinary Charges/(FYins)</v>
          </cell>
          <cell r="N48">
            <v>0</v>
          </cell>
          <cell r="O48">
            <v>0</v>
          </cell>
          <cell r="P48">
            <v>39</v>
          </cell>
          <cell r="Q48">
            <v>23</v>
          </cell>
          <cell r="R48">
            <v>0</v>
          </cell>
          <cell r="S48">
            <v>80</v>
          </cell>
          <cell r="T48">
            <v>225</v>
          </cell>
          <cell r="U48">
            <v>68</v>
          </cell>
          <cell r="V48">
            <v>21.000000000000004</v>
          </cell>
          <cell r="W48">
            <v>158</v>
          </cell>
          <cell r="X48">
            <v>-398</v>
          </cell>
          <cell r="Y48">
            <v>312.375</v>
          </cell>
          <cell r="Z48">
            <v>141</v>
          </cell>
          <cell r="AA48">
            <v>5803.0000000000009</v>
          </cell>
          <cell r="AB48">
            <v>391</v>
          </cell>
          <cell r="AC48">
            <v>66.400000000000006</v>
          </cell>
          <cell r="AD48">
            <v>-25</v>
          </cell>
          <cell r="AE48">
            <v>0</v>
          </cell>
          <cell r="AF48">
            <v>0</v>
          </cell>
          <cell r="AG48">
            <v>0</v>
          </cell>
          <cell r="AH48">
            <v>0</v>
          </cell>
          <cell r="AI48">
            <v>0</v>
          </cell>
          <cell r="AJ48">
            <v>0</v>
          </cell>
          <cell r="AK48">
            <v>0</v>
          </cell>
          <cell r="AL48">
            <v>0</v>
          </cell>
          <cell r="AN48" t="str">
            <v>Post-Tax Extraordinary Charges/(FYins)</v>
          </cell>
        </row>
        <row r="50">
          <cell r="A50" t="str">
            <v>Extraordinary Charges (FYins)</v>
          </cell>
          <cell r="AN50" t="str">
            <v>Extraordinary Charges (FYins)</v>
          </cell>
          <cell r="FD50">
            <v>110</v>
          </cell>
          <cell r="FE50">
            <v>76</v>
          </cell>
          <cell r="FF50">
            <v>16</v>
          </cell>
          <cell r="FG50">
            <v>219</v>
          </cell>
          <cell r="FH50">
            <v>421</v>
          </cell>
          <cell r="FJ50">
            <v>138</v>
          </cell>
          <cell r="FK50">
            <v>34</v>
          </cell>
          <cell r="FL50">
            <v>33</v>
          </cell>
          <cell r="FM50">
            <v>186</v>
          </cell>
          <cell r="FN50">
            <v>391</v>
          </cell>
          <cell r="FP50">
            <v>0</v>
          </cell>
          <cell r="FQ50">
            <v>0</v>
          </cell>
          <cell r="FR50">
            <v>0</v>
          </cell>
          <cell r="FS50">
            <v>25</v>
          </cell>
          <cell r="FT50">
            <v>25</v>
          </cell>
          <cell r="FV50">
            <v>0</v>
          </cell>
          <cell r="FW50">
            <v>0</v>
          </cell>
          <cell r="FX50">
            <v>0</v>
          </cell>
          <cell r="FY50">
            <v>-25</v>
          </cell>
          <cell r="FZ50">
            <v>-25</v>
          </cell>
          <cell r="GB50">
            <v>0</v>
          </cell>
          <cell r="GC50">
            <v>0</v>
          </cell>
          <cell r="GD50">
            <v>0</v>
          </cell>
          <cell r="GE50">
            <v>0</v>
          </cell>
          <cell r="GF50">
            <v>0</v>
          </cell>
        </row>
        <row r="51">
          <cell r="A51" t="str">
            <v>Taxes on Extraordinary Charges (FYins)</v>
          </cell>
          <cell r="AN51" t="str">
            <v>Taxes on Extraordinary Charges (FYins)</v>
          </cell>
          <cell r="FD51">
            <v>41</v>
          </cell>
          <cell r="FE51">
            <v>28</v>
          </cell>
          <cell r="FF51">
            <v>6</v>
          </cell>
          <cell r="FG51">
            <v>81</v>
          </cell>
          <cell r="FH51">
            <v>156</v>
          </cell>
          <cell r="FJ51">
            <v>118</v>
          </cell>
          <cell r="FK51">
            <v>-43</v>
          </cell>
          <cell r="FL51">
            <v>10</v>
          </cell>
          <cell r="FM51">
            <v>59</v>
          </cell>
          <cell r="FN51">
            <v>144</v>
          </cell>
          <cell r="FP51">
            <v>0</v>
          </cell>
          <cell r="FQ51">
            <v>0</v>
          </cell>
          <cell r="FR51">
            <v>0</v>
          </cell>
          <cell r="FS51">
            <v>0</v>
          </cell>
          <cell r="FT51">
            <v>0</v>
          </cell>
          <cell r="FV51">
            <v>0</v>
          </cell>
          <cell r="FW51">
            <v>0</v>
          </cell>
          <cell r="FX51">
            <v>0</v>
          </cell>
          <cell r="FY51">
            <v>0</v>
          </cell>
          <cell r="FZ51">
            <v>0</v>
          </cell>
          <cell r="GB51">
            <v>0</v>
          </cell>
          <cell r="GC51">
            <v>0</v>
          </cell>
          <cell r="GD51">
            <v>0</v>
          </cell>
          <cell r="GE51">
            <v>0</v>
          </cell>
          <cell r="GF51">
            <v>0</v>
          </cell>
        </row>
        <row r="52">
          <cell r="A52" t="str">
            <v>Tax Rate on Extraordinary Charges (FYins)</v>
          </cell>
          <cell r="AN52" t="str">
            <v>Tax Rate on Extraordinary Charges (FYins)</v>
          </cell>
          <cell r="FD52">
            <v>0.37272727272727274</v>
          </cell>
          <cell r="FE52">
            <v>0.36842105263157893</v>
          </cell>
          <cell r="FF52">
            <v>0.375</v>
          </cell>
          <cell r="FG52">
            <v>0.36986301369863012</v>
          </cell>
          <cell r="FH52">
            <v>0.37054631828978624</v>
          </cell>
          <cell r="FJ52">
            <v>0.85507246376811596</v>
          </cell>
          <cell r="FK52">
            <v>-1.2647058823529411</v>
          </cell>
          <cell r="FL52">
            <v>0.30303030303030304</v>
          </cell>
          <cell r="FM52">
            <v>0.31720430107526881</v>
          </cell>
          <cell r="FN52">
            <v>0.36828644501278773</v>
          </cell>
          <cell r="FP52" t="str">
            <v>NM</v>
          </cell>
          <cell r="FQ52" t="str">
            <v>NM</v>
          </cell>
          <cell r="FR52" t="str">
            <v>NM</v>
          </cell>
          <cell r="FS52" t="str">
            <v>NM</v>
          </cell>
          <cell r="FT52" t="str">
            <v>NM</v>
          </cell>
          <cell r="FV52" t="str">
            <v>NM</v>
          </cell>
          <cell r="FW52" t="str">
            <v>NM</v>
          </cell>
          <cell r="FX52" t="str">
            <v>NM</v>
          </cell>
          <cell r="FY52" t="str">
            <v>NM</v>
          </cell>
          <cell r="FZ52" t="str">
            <v>NM</v>
          </cell>
          <cell r="GB52" t="str">
            <v>NM</v>
          </cell>
          <cell r="GC52" t="str">
            <v>NM</v>
          </cell>
          <cell r="GD52">
            <v>0.37</v>
          </cell>
          <cell r="GE52">
            <v>0.37</v>
          </cell>
          <cell r="GF52">
            <v>0.37</v>
          </cell>
        </row>
        <row r="54">
          <cell r="A54" t="str">
            <v>Continuing Pre-Tax Income</v>
          </cell>
          <cell r="FD54">
            <v>4</v>
          </cell>
          <cell r="FE54">
            <v>197</v>
          </cell>
          <cell r="FF54">
            <v>-59</v>
          </cell>
          <cell r="FG54">
            <v>723</v>
          </cell>
          <cell r="FH54">
            <v>865</v>
          </cell>
          <cell r="FJ54">
            <v>-117</v>
          </cell>
          <cell r="FK54">
            <v>143</v>
          </cell>
          <cell r="FL54">
            <v>-49</v>
          </cell>
          <cell r="FM54">
            <v>921</v>
          </cell>
          <cell r="FN54">
            <v>898</v>
          </cell>
          <cell r="FP54">
            <v>41</v>
          </cell>
          <cell r="FQ54">
            <v>240</v>
          </cell>
          <cell r="FR54">
            <v>13</v>
          </cell>
          <cell r="FS54">
            <v>1051</v>
          </cell>
          <cell r="FT54">
            <v>1345</v>
          </cell>
          <cell r="FV54">
            <v>214</v>
          </cell>
          <cell r="FW54">
            <v>395</v>
          </cell>
          <cell r="FX54">
            <v>183</v>
          </cell>
          <cell r="FY54">
            <v>1151</v>
          </cell>
          <cell r="FZ54">
            <v>1943</v>
          </cell>
          <cell r="GB54">
            <v>279</v>
          </cell>
          <cell r="GC54">
            <v>449</v>
          </cell>
          <cell r="GD54">
            <v>174.65499452664795</v>
          </cell>
          <cell r="GE54">
            <v>1330.6989484464721</v>
          </cell>
          <cell r="GF54">
            <v>2233.35394297312</v>
          </cell>
        </row>
        <row r="55">
          <cell r="A55" t="str">
            <v>Continuing Taxes</v>
          </cell>
          <cell r="FD55">
            <v>-6</v>
          </cell>
          <cell r="FE55">
            <v>76</v>
          </cell>
          <cell r="FF55">
            <v>-25</v>
          </cell>
          <cell r="FG55">
            <v>275</v>
          </cell>
          <cell r="FH55">
            <v>320</v>
          </cell>
          <cell r="FJ55">
            <v>-49</v>
          </cell>
          <cell r="FK55">
            <v>59</v>
          </cell>
          <cell r="FL55">
            <v>-37</v>
          </cell>
          <cell r="FM55">
            <v>349</v>
          </cell>
          <cell r="FN55">
            <v>322</v>
          </cell>
          <cell r="FP55">
            <v>18</v>
          </cell>
          <cell r="FQ55">
            <v>93</v>
          </cell>
          <cell r="FR55">
            <v>3</v>
          </cell>
          <cell r="FS55">
            <v>368</v>
          </cell>
          <cell r="FT55">
            <v>482</v>
          </cell>
          <cell r="FV55">
            <v>83</v>
          </cell>
          <cell r="FW55">
            <v>154</v>
          </cell>
          <cell r="FX55">
            <v>44</v>
          </cell>
          <cell r="FY55">
            <v>422.5</v>
          </cell>
          <cell r="FZ55">
            <v>703.5</v>
          </cell>
          <cell r="GB55">
            <v>98</v>
          </cell>
          <cell r="GC55">
            <v>170</v>
          </cell>
          <cell r="GD55">
            <v>64.622347974859736</v>
          </cell>
          <cell r="GE55">
            <v>492.35861092519468</v>
          </cell>
          <cell r="GF55">
            <v>824.98095890005447</v>
          </cell>
        </row>
        <row r="56">
          <cell r="A56" t="str">
            <v>Tax Rate on Continuing Operations</v>
          </cell>
          <cell r="N56">
            <v>0.62871287128712872</v>
          </cell>
          <cell r="O56">
            <v>0.3968253968253968</v>
          </cell>
          <cell r="P56">
            <v>0.39979123173277664</v>
          </cell>
          <cell r="Q56">
            <v>0.411006018916595</v>
          </cell>
          <cell r="R56">
            <v>0.40476190476190477</v>
          </cell>
          <cell r="S56">
            <v>0.40072992700729926</v>
          </cell>
          <cell r="T56">
            <v>0.3923076923076923</v>
          </cell>
          <cell r="U56">
            <v>0.39122137404580154</v>
          </cell>
          <cell r="V56">
            <v>0.39575645756457567</v>
          </cell>
          <cell r="W56">
            <v>0.38261648745519711</v>
          </cell>
          <cell r="X56">
            <v>0.37446604203916711</v>
          </cell>
          <cell r="Y56">
            <v>0.37218181818181817</v>
          </cell>
          <cell r="Z56">
            <v>0.37045454545454548</v>
          </cell>
          <cell r="AA56">
            <v>0.36994219653179189</v>
          </cell>
          <cell r="AB56">
            <v>0.35857461024498888</v>
          </cell>
          <cell r="AC56">
            <v>0.35836431226765797</v>
          </cell>
          <cell r="AD56">
            <v>0.36206896551724138</v>
          </cell>
          <cell r="AE56">
            <v>0.37</v>
          </cell>
          <cell r="AF56">
            <v>0.37</v>
          </cell>
          <cell r="AG56">
            <v>0.37</v>
          </cell>
          <cell r="AH56">
            <v>0.37</v>
          </cell>
          <cell r="AI56">
            <v>0.37</v>
          </cell>
          <cell r="AJ56">
            <v>0.37</v>
          </cell>
          <cell r="AK56">
            <v>0.37</v>
          </cell>
          <cell r="AL56">
            <v>0.37</v>
          </cell>
          <cell r="FE56">
            <v>0.38578680203045684</v>
          </cell>
          <cell r="FF56">
            <v>0.42372881355932202</v>
          </cell>
          <cell r="FG56">
            <v>0.38035961272475793</v>
          </cell>
          <cell r="FH56">
            <v>0.36994219653179189</v>
          </cell>
          <cell r="FJ56">
            <v>0.41880341880341881</v>
          </cell>
          <cell r="FK56">
            <v>0.41258741258741261</v>
          </cell>
          <cell r="FL56">
            <v>0.75510204081632648</v>
          </cell>
          <cell r="FM56">
            <v>0.37893593919652552</v>
          </cell>
          <cell r="FN56">
            <v>0.35857461024498888</v>
          </cell>
          <cell r="FP56">
            <v>0.43902439024390244</v>
          </cell>
          <cell r="FQ56">
            <v>0.38750000000000001</v>
          </cell>
          <cell r="FR56">
            <v>0.23076923076923078</v>
          </cell>
          <cell r="FS56">
            <v>0.35014272121788775</v>
          </cell>
          <cell r="FT56">
            <v>0.35836431226765797</v>
          </cell>
          <cell r="FV56">
            <v>0.38785046728971961</v>
          </cell>
          <cell r="FW56">
            <v>0.38987341772151901</v>
          </cell>
          <cell r="FX56">
            <v>0.24043715846994534</v>
          </cell>
          <cell r="FY56">
            <v>0.36707211120764555</v>
          </cell>
          <cell r="FZ56">
            <v>0.36206896551724138</v>
          </cell>
          <cell r="GB56">
            <v>0.35125448028673834</v>
          </cell>
          <cell r="GC56">
            <v>0.37861915367483295</v>
          </cell>
          <cell r="GD56">
            <v>0.37</v>
          </cell>
          <cell r="GE56">
            <v>0.37</v>
          </cell>
          <cell r="GF56">
            <v>0.36939105039562631</v>
          </cell>
          <cell r="GS56" t="str">
            <v>mstag:statutoryTaxRate</v>
          </cell>
          <cell r="GT56">
            <v>0</v>
          </cell>
          <cell r="GU56" t="str">
            <v>ms_eqr_gcim_Decimal:ms_eqr_gcim_decimal</v>
          </cell>
          <cell r="GV56" t="b">
            <v>0</v>
          </cell>
        </row>
        <row r="58">
          <cell r="A58" t="str">
            <v>Total Tax Expense</v>
          </cell>
          <cell r="FD58">
            <v>-47</v>
          </cell>
          <cell r="FE58">
            <v>48</v>
          </cell>
          <cell r="FF58">
            <v>-31</v>
          </cell>
          <cell r="FG58">
            <v>-105</v>
          </cell>
          <cell r="FH58">
            <v>-135</v>
          </cell>
          <cell r="FJ58">
            <v>-167</v>
          </cell>
          <cell r="FK58">
            <v>102</v>
          </cell>
          <cell r="FL58">
            <v>-47</v>
          </cell>
          <cell r="FM58">
            <v>290</v>
          </cell>
          <cell r="FN58">
            <v>178</v>
          </cell>
          <cell r="FP58">
            <v>18</v>
          </cell>
          <cell r="FQ58">
            <v>93</v>
          </cell>
          <cell r="FR58">
            <v>3</v>
          </cell>
          <cell r="FS58">
            <v>359</v>
          </cell>
          <cell r="FT58">
            <v>473</v>
          </cell>
          <cell r="FV58">
            <v>83</v>
          </cell>
          <cell r="FW58">
            <v>154</v>
          </cell>
          <cell r="FX58">
            <v>44</v>
          </cell>
          <cell r="FY58">
            <v>431</v>
          </cell>
          <cell r="FZ58">
            <v>712</v>
          </cell>
          <cell r="GB58">
            <v>98</v>
          </cell>
          <cell r="GC58">
            <v>170</v>
          </cell>
          <cell r="GD58">
            <v>64.622347974859736</v>
          </cell>
          <cell r="GE58">
            <v>492.35861092519468</v>
          </cell>
          <cell r="GF58">
            <v>824.98095890005447</v>
          </cell>
        </row>
        <row r="59">
          <cell r="A59" t="str">
            <v>Tax Rate</v>
          </cell>
          <cell r="FD59">
            <v>0.44339622641509435</v>
          </cell>
          <cell r="FE59">
            <v>0.39669421487603307</v>
          </cell>
          <cell r="FF59">
            <v>0.41333333333333333</v>
          </cell>
          <cell r="FG59">
            <v>-0.20833333333333334</v>
          </cell>
          <cell r="FH59">
            <v>-0.30405405405405406</v>
          </cell>
          <cell r="FJ59">
            <v>0.65490196078431373</v>
          </cell>
          <cell r="FK59">
            <v>0.93577981651376152</v>
          </cell>
          <cell r="FL59">
            <v>0.57317073170731703</v>
          </cell>
          <cell r="FM59">
            <v>0.39455782312925169</v>
          </cell>
          <cell r="FN59">
            <v>0.35108481262327418</v>
          </cell>
          <cell r="FP59">
            <v>0.43902439024390244</v>
          </cell>
          <cell r="FQ59">
            <v>0.38750000000000001</v>
          </cell>
          <cell r="FR59">
            <v>0.23076923076923078</v>
          </cell>
          <cell r="FS59">
            <v>0.34990253411306044</v>
          </cell>
          <cell r="FT59">
            <v>0.35833333333333334</v>
          </cell>
          <cell r="FV59">
            <v>0.38785046728971961</v>
          </cell>
          <cell r="FW59">
            <v>0.38987341772151901</v>
          </cell>
          <cell r="FX59">
            <v>0.24043715846994534</v>
          </cell>
          <cell r="FY59">
            <v>0.36649659863945577</v>
          </cell>
          <cell r="FZ59">
            <v>0.36178861788617889</v>
          </cell>
          <cell r="GB59">
            <v>0.35125448028673834</v>
          </cell>
          <cell r="GC59">
            <v>0.37861915367483295</v>
          </cell>
          <cell r="GD59">
            <v>0.36999999999999994</v>
          </cell>
          <cell r="GE59">
            <v>0.37</v>
          </cell>
          <cell r="GF59">
            <v>0.36939105039562631</v>
          </cell>
        </row>
        <row r="61">
          <cell r="A61" t="str">
            <v>As a % of Sales</v>
          </cell>
          <cell r="AN61" t="str">
            <v>As % of Sales</v>
          </cell>
        </row>
        <row r="62">
          <cell r="A62" t="str">
            <v>Cost of Goods Sold (FIFO)</v>
          </cell>
          <cell r="K62">
            <v>0.61379177462321644</v>
          </cell>
          <cell r="L62">
            <v>0.61286106320358991</v>
          </cell>
          <cell r="N62">
            <v>0.61844806350075265</v>
          </cell>
          <cell r="O62">
            <v>0.60796871839816624</v>
          </cell>
          <cell r="P62">
            <v>0.60446780551905388</v>
          </cell>
          <cell r="Q62">
            <v>0.59993491701919943</v>
          </cell>
          <cell r="R62">
            <v>0.59741718135878719</v>
          </cell>
          <cell r="S62">
            <v>0.5983291260968866</v>
          </cell>
          <cell r="T62">
            <v>0.60836236933797905</v>
          </cell>
          <cell r="U62">
            <v>0.59880547171023057</v>
          </cell>
          <cell r="V62">
            <v>0.59531533869711917</v>
          </cell>
          <cell r="W62">
            <v>0.59241886409736311</v>
          </cell>
          <cell r="X62">
            <v>0.59276462706565436</v>
          </cell>
          <cell r="Y62">
            <v>0.59395624768261035</v>
          </cell>
          <cell r="Z62">
            <v>0.59578915365028695</v>
          </cell>
          <cell r="AA62">
            <v>0.60296480797043228</v>
          </cell>
          <cell r="AB62">
            <v>0.59753086419753088</v>
          </cell>
          <cell r="AC62">
            <v>0.59288885333759944</v>
          </cell>
          <cell r="AD62">
            <v>0.59602348040143915</v>
          </cell>
          <cell r="AE62">
            <v>0.59474414748937621</v>
          </cell>
          <cell r="AF62">
            <v>0.5917441474893762</v>
          </cell>
          <cell r="AG62">
            <v>0.59024414748937615</v>
          </cell>
          <cell r="AH62">
            <v>0.59124414748937626</v>
          </cell>
          <cell r="AI62">
            <v>0.59324414748937615</v>
          </cell>
          <cell r="AJ62">
            <v>0.59324414748937626</v>
          </cell>
          <cell r="AK62">
            <v>0.59324414748937615</v>
          </cell>
          <cell r="AL62">
            <v>0.59324414748937626</v>
          </cell>
          <cell r="AN62" t="str">
            <v>Cost of Goods Sold (FIFO)</v>
          </cell>
          <cell r="AO62">
            <v>0.60057656275542926</v>
          </cell>
          <cell r="AP62">
            <v>0.6221511287992596</v>
          </cell>
          <cell r="AQ62">
            <v>0.60479300095568056</v>
          </cell>
          <cell r="AR62">
            <v>0.6294896976051404</v>
          </cell>
          <cell r="AS62">
            <v>0.6153719492191454</v>
          </cell>
          <cell r="AU62">
            <v>0.59872575888702217</v>
          </cell>
          <cell r="AV62">
            <v>0.59999010525203866</v>
          </cell>
          <cell r="AW62">
            <v>0.60363297815379591</v>
          </cell>
          <cell r="AX62">
            <v>0.6181168180071781</v>
          </cell>
          <cell r="AY62">
            <v>0.60617818875433238</v>
          </cell>
          <cell r="BA62">
            <v>0.58843971531933681</v>
          </cell>
          <cell r="BB62">
            <v>0.59550840920881798</v>
          </cell>
          <cell r="BC62">
            <v>0.59443029908354827</v>
          </cell>
          <cell r="BD62">
            <v>0.60333203951480918</v>
          </cell>
          <cell r="BE62">
            <v>0.59616640873137217</v>
          </cell>
          <cell r="BG62">
            <v>0.59604630440701789</v>
          </cell>
          <cell r="BH62">
            <v>0.59912879554386378</v>
          </cell>
          <cell r="BI62">
            <v>0.60210303943129073</v>
          </cell>
          <cell r="BJ62">
            <v>0.61593435522401285</v>
          </cell>
          <cell r="BK62">
            <v>0.60464400533045182</v>
          </cell>
          <cell r="BM62">
            <v>0.60650471598560973</v>
          </cell>
          <cell r="BN62">
            <v>0.61069795125618698</v>
          </cell>
          <cell r="BO62">
            <v>0.61373481882758607</v>
          </cell>
          <cell r="BP62">
            <v>0.62352648329569904</v>
          </cell>
          <cell r="BQ62">
            <v>0.61477004731898655</v>
          </cell>
          <cell r="BS62">
            <v>0.60652791014295437</v>
          </cell>
          <cell r="BT62">
            <v>0.6192234202265593</v>
          </cell>
          <cell r="BU62">
            <v>0.61024762870607896</v>
          </cell>
          <cell r="BV62">
            <v>0.61765424878908959</v>
          </cell>
          <cell r="BW62">
            <v>0.61379177462321644</v>
          </cell>
          <cell r="BY62">
            <v>0.60982474600117942</v>
          </cell>
          <cell r="BZ62">
            <v>0.61139317361339018</v>
          </cell>
          <cell r="CA62">
            <v>0.61184906801442795</v>
          </cell>
          <cell r="CB62">
            <v>0.69662729026036696</v>
          </cell>
          <cell r="CC62">
            <v>0.62122405771683631</v>
          </cell>
          <cell r="CD62">
            <v>0.61651560643698022</v>
          </cell>
          <cell r="CE62">
            <v>0.62762274687078579</v>
          </cell>
          <cell r="CF62">
            <v>0.61286106320358991</v>
          </cell>
          <cell r="CG62">
            <v>0.61701593761245654</v>
          </cell>
          <cell r="CH62">
            <v>0.61921040036990405</v>
          </cell>
          <cell r="CJ62">
            <v>0.61036992153179626</v>
          </cell>
          <cell r="CK62">
            <v>0.60762316136394912</v>
          </cell>
          <cell r="CL62">
            <v>0.60676453279278098</v>
          </cell>
          <cell r="CM62">
            <v>0.6134235876446239</v>
          </cell>
          <cell r="CN62">
            <v>0.60993271142476924</v>
          </cell>
          <cell r="CP62">
            <v>0.6121470503427453</v>
          </cell>
          <cell r="CQ62">
            <v>0.60781202891889508</v>
          </cell>
          <cell r="CR62">
            <v>0.61045128548991046</v>
          </cell>
          <cell r="CS62">
            <v>0.61427682685535268</v>
          </cell>
          <cell r="CT62">
            <v>0.61147410135820623</v>
          </cell>
          <cell r="CV62">
            <v>0.6023235031277927</v>
          </cell>
          <cell r="CW62">
            <v>0.58873321657910094</v>
          </cell>
          <cell r="CX62">
            <v>0.60456595264937996</v>
          </cell>
          <cell r="CY62">
            <v>0.60270162892332146</v>
          </cell>
          <cell r="CZ62">
            <v>0.59993491701919943</v>
          </cell>
          <cell r="DB62">
            <v>0.60388888888888892</v>
          </cell>
          <cell r="DC62">
            <v>0.57888167748377439</v>
          </cell>
          <cell r="DD62">
            <v>0.59318346627991303</v>
          </cell>
          <cell r="DE62">
            <v>0.5853005190021765</v>
          </cell>
          <cell r="DF62">
            <v>0.58946714834048319</v>
          </cell>
          <cell r="DH62">
            <v>0.6022949902043101</v>
          </cell>
          <cell r="DI62">
            <v>0.59064963305245988</v>
          </cell>
          <cell r="DJ62">
            <v>0.60682178741406667</v>
          </cell>
          <cell r="DK62">
            <v>0.59511063526052821</v>
          </cell>
          <cell r="DL62">
            <v>0.5983291260968866</v>
          </cell>
          <cell r="DN62">
            <v>0.60686164229471318</v>
          </cell>
          <cell r="DO62">
            <v>0.61009174311926606</v>
          </cell>
          <cell r="DP62">
            <v>0.61410071942446043</v>
          </cell>
          <cell r="DQ62">
            <v>0.60619641465315666</v>
          </cell>
          <cell r="DR62">
            <v>0.60836236933797905</v>
          </cell>
          <cell r="DT62">
            <v>0.60179554011004921</v>
          </cell>
          <cell r="DU62">
            <v>0.58835341365461846</v>
          </cell>
          <cell r="DV62">
            <v>0.60707099741304971</v>
          </cell>
          <cell r="DW62">
            <v>0.60075742475583016</v>
          </cell>
          <cell r="DX62">
            <v>0.59880547171023057</v>
          </cell>
          <cell r="DZ62">
            <v>0.60832573685809788</v>
          </cell>
          <cell r="EA62">
            <v>0.58969132207338382</v>
          </cell>
          <cell r="EB62">
            <v>0.59982788296041312</v>
          </cell>
          <cell r="EC62">
            <v>0.58994656639620024</v>
          </cell>
          <cell r="ED62">
            <v>0.59531533869711917</v>
          </cell>
          <cell r="EF62">
            <v>0.59690140845070427</v>
          </cell>
          <cell r="EG62">
            <v>0.58586986875174529</v>
          </cell>
          <cell r="EH62">
            <v>0.59773049645390075</v>
          </cell>
          <cell r="EI62">
            <v>0.59023437499999998</v>
          </cell>
          <cell r="EJ62">
            <v>0.59241886409736311</v>
          </cell>
          <cell r="EK62" t="str">
            <v>Cost of Goods Sold (FIFO)</v>
          </cell>
          <cell r="EL62">
            <v>0.5976380115352925</v>
          </cell>
          <cell r="EM62">
            <v>0.58680651393872485</v>
          </cell>
          <cell r="EN62">
            <v>0.59621962196219624</v>
          </cell>
          <cell r="EO62">
            <v>0.59116079824469747</v>
          </cell>
          <cell r="EP62">
            <v>0.59276462706565436</v>
          </cell>
          <cell r="ER62">
            <v>0.61163575042158513</v>
          </cell>
          <cell r="ES62">
            <v>0.57881567973311088</v>
          </cell>
          <cell r="ET62">
            <v>0.59683995922528033</v>
          </cell>
          <cell r="EU62">
            <v>0.59056665574844414</v>
          </cell>
          <cell r="EV62">
            <v>0.59395624768261035</v>
          </cell>
          <cell r="EX62">
            <v>0.60192535044755957</v>
          </cell>
          <cell r="EY62">
            <v>0.59521384928716903</v>
          </cell>
          <cell r="EZ62">
            <v>0.60700982052150354</v>
          </cell>
          <cell r="FA62">
            <v>0.58424482196881544</v>
          </cell>
          <cell r="FB62">
            <v>0.59578915365028695</v>
          </cell>
          <cell r="FD62">
            <v>0.61371150165303634</v>
          </cell>
          <cell r="FE62">
            <v>0.5851696397341728</v>
          </cell>
          <cell r="FF62">
            <v>0.60513380666302563</v>
          </cell>
          <cell r="FG62">
            <v>0.60650365515502902</v>
          </cell>
          <cell r="FH62">
            <v>0.60296480797043228</v>
          </cell>
          <cell r="FJ62">
            <v>0.62008320726172461</v>
          </cell>
          <cell r="FK62">
            <v>0.58978240302743612</v>
          </cell>
          <cell r="FL62">
            <v>0.6018570102135562</v>
          </cell>
          <cell r="FM62">
            <v>0.58472974675570111</v>
          </cell>
          <cell r="FN62">
            <v>0.59753086419753088</v>
          </cell>
          <cell r="FP62">
            <v>0.60602798708288486</v>
          </cell>
          <cell r="FQ62">
            <v>0.58045873216543253</v>
          </cell>
          <cell r="FR62">
            <v>0.60056909123243818</v>
          </cell>
          <cell r="FS62">
            <v>0.58713266416737209</v>
          </cell>
          <cell r="FT62">
            <v>0.59288885333759944</v>
          </cell>
          <cell r="FV62">
            <v>0.60893190694515198</v>
          </cell>
          <cell r="FW62">
            <v>0.58208452601448057</v>
          </cell>
          <cell r="FX62">
            <v>0.60550145224671104</v>
          </cell>
          <cell r="FY62">
            <v>0.59044016506189823</v>
          </cell>
          <cell r="FZ62">
            <v>0.59602348040143915</v>
          </cell>
          <cell r="GB62">
            <v>0.61159042812957842</v>
          </cell>
          <cell r="GC62">
            <v>0.58107224583197126</v>
          </cell>
          <cell r="GD62">
            <v>0.60400145224671109</v>
          </cell>
          <cell r="GE62">
            <v>0.58662736950345429</v>
          </cell>
          <cell r="GF62">
            <v>0.59474414748937621</v>
          </cell>
        </row>
        <row r="63">
          <cell r="A63" t="str">
            <v>Gross Margin (FIFO)</v>
          </cell>
          <cell r="K63">
            <v>0.38620822537678351</v>
          </cell>
          <cell r="L63">
            <v>0.38713893679641009</v>
          </cell>
          <cell r="N63">
            <v>0.38155193649924729</v>
          </cell>
          <cell r="O63">
            <v>0.39203128160183376</v>
          </cell>
          <cell r="P63">
            <v>0.39553219448094612</v>
          </cell>
          <cell r="Q63">
            <v>0.40006508298080051</v>
          </cell>
          <cell r="R63">
            <v>0.40258281864121281</v>
          </cell>
          <cell r="S63">
            <v>0.40167087390311335</v>
          </cell>
          <cell r="T63">
            <v>0.3916376306620209</v>
          </cell>
          <cell r="U63">
            <v>0.40119452828976943</v>
          </cell>
          <cell r="V63">
            <v>0.40468466130288089</v>
          </cell>
          <cell r="W63">
            <v>0.40758113590263689</v>
          </cell>
          <cell r="X63">
            <v>0.4072353729343457</v>
          </cell>
          <cell r="Y63">
            <v>0.40604375231738971</v>
          </cell>
          <cell r="Z63">
            <v>0.40421084634971305</v>
          </cell>
          <cell r="AA63">
            <v>0.39703519202956772</v>
          </cell>
          <cell r="AB63">
            <v>0.40246913580246912</v>
          </cell>
          <cell r="AC63">
            <v>0.4071111466624005</v>
          </cell>
          <cell r="AD63">
            <v>0.4039765195985609</v>
          </cell>
          <cell r="AE63">
            <v>0.40525585251062379</v>
          </cell>
          <cell r="AF63">
            <v>0.40825585251062385</v>
          </cell>
          <cell r="AG63">
            <v>0.4097558525106238</v>
          </cell>
          <cell r="AH63">
            <v>0.4087558525106238</v>
          </cell>
          <cell r="AI63">
            <v>0.40675585251062379</v>
          </cell>
          <cell r="AJ63">
            <v>0.40675585251062374</v>
          </cell>
          <cell r="AK63">
            <v>0.40675585251062385</v>
          </cell>
          <cell r="AL63">
            <v>0.40675585251062374</v>
          </cell>
          <cell r="AN63" t="str">
            <v>Gross Margin (FIFO)</v>
          </cell>
          <cell r="AO63">
            <v>0.3994234372445708</v>
          </cell>
          <cell r="AP63">
            <v>0.3778488712007404</v>
          </cell>
          <cell r="AQ63">
            <v>0.3952069990443195</v>
          </cell>
          <cell r="AR63">
            <v>0.3705103023948596</v>
          </cell>
          <cell r="AS63">
            <v>0.38462805078085455</v>
          </cell>
          <cell r="AU63">
            <v>0.40127424111297788</v>
          </cell>
          <cell r="AV63">
            <v>0.40000989474796134</v>
          </cell>
          <cell r="AW63">
            <v>0.39636702184620409</v>
          </cell>
          <cell r="AX63">
            <v>0.38188318199282195</v>
          </cell>
          <cell r="AY63">
            <v>0.39382181124566762</v>
          </cell>
          <cell r="BA63">
            <v>0.41156028468066325</v>
          </cell>
          <cell r="BB63">
            <v>0.40449159079118202</v>
          </cell>
          <cell r="BC63">
            <v>0.40556970091645167</v>
          </cell>
          <cell r="BD63">
            <v>0.39666796048519082</v>
          </cell>
          <cell r="BE63">
            <v>0.40383359126862778</v>
          </cell>
          <cell r="BG63">
            <v>0.40395369559298205</v>
          </cell>
          <cell r="BH63">
            <v>0.40087120445613617</v>
          </cell>
          <cell r="BI63">
            <v>0.39789696056870921</v>
          </cell>
          <cell r="BJ63">
            <v>0.38406564477598715</v>
          </cell>
          <cell r="BK63">
            <v>0.39535599466954813</v>
          </cell>
          <cell r="BM63">
            <v>0.39349528401439021</v>
          </cell>
          <cell r="BN63">
            <v>0.38930204874381302</v>
          </cell>
          <cell r="BO63">
            <v>0.38626518117241393</v>
          </cell>
          <cell r="BP63">
            <v>0.37647351670430096</v>
          </cell>
          <cell r="BQ63">
            <v>0.38522995268101345</v>
          </cell>
          <cell r="BS63">
            <v>0.39347208985704557</v>
          </cell>
          <cell r="BT63">
            <v>0.38077657977344076</v>
          </cell>
          <cell r="BU63">
            <v>0.3897523712939211</v>
          </cell>
          <cell r="BV63">
            <v>0.38234575121091047</v>
          </cell>
          <cell r="BW63">
            <v>0.38620822537678351</v>
          </cell>
          <cell r="BY63">
            <v>0.39017525399882058</v>
          </cell>
          <cell r="BZ63">
            <v>0.38860682638660982</v>
          </cell>
          <cell r="CA63">
            <v>0.38815093198557199</v>
          </cell>
          <cell r="CB63">
            <v>0.30337270973963298</v>
          </cell>
          <cell r="CC63">
            <v>0.37877594228316364</v>
          </cell>
          <cell r="CD63">
            <v>0.38348439356301972</v>
          </cell>
          <cell r="CE63">
            <v>0.37237725312921416</v>
          </cell>
          <cell r="CF63">
            <v>0.38713893679641009</v>
          </cell>
          <cell r="CG63">
            <v>0.38298406238754346</v>
          </cell>
          <cell r="CH63">
            <v>0.38078959963009601</v>
          </cell>
          <cell r="CJ63">
            <v>0.38963007846820369</v>
          </cell>
          <cell r="CK63">
            <v>0.39237683863605083</v>
          </cell>
          <cell r="CL63">
            <v>0.39323546720721908</v>
          </cell>
          <cell r="CM63">
            <v>0.38657641235537615</v>
          </cell>
          <cell r="CN63">
            <v>0.39006728857523071</v>
          </cell>
          <cell r="CP63">
            <v>0.3878529496572547</v>
          </cell>
          <cell r="CQ63">
            <v>0.39218797108110487</v>
          </cell>
          <cell r="CR63">
            <v>0.38954871451008949</v>
          </cell>
          <cell r="CS63">
            <v>0.38572317314464727</v>
          </cell>
          <cell r="CT63">
            <v>0.38852589864179371</v>
          </cell>
          <cell r="CV63">
            <v>0.39767649687220735</v>
          </cell>
          <cell r="CW63">
            <v>0.41126678342089901</v>
          </cell>
          <cell r="CX63">
            <v>0.39543404735062004</v>
          </cell>
          <cell r="CY63">
            <v>0.39729837107667859</v>
          </cell>
          <cell r="CZ63">
            <v>0.40006508298080051</v>
          </cell>
          <cell r="DB63">
            <v>0.39611111111111114</v>
          </cell>
          <cell r="DC63">
            <v>0.42111832251622566</v>
          </cell>
          <cell r="DD63">
            <v>0.40681653372008703</v>
          </cell>
          <cell r="DE63">
            <v>0.41469948099782356</v>
          </cell>
          <cell r="DF63">
            <v>0.41053285165951681</v>
          </cell>
          <cell r="DH63">
            <v>0.3977050097956899</v>
          </cell>
          <cell r="DI63">
            <v>0.40935036694754007</v>
          </cell>
          <cell r="DJ63">
            <v>0.39317821258593338</v>
          </cell>
          <cell r="DK63">
            <v>0.40488936473947179</v>
          </cell>
          <cell r="DL63">
            <v>0.40167087390311335</v>
          </cell>
          <cell r="DN63">
            <v>0.39313835770528682</v>
          </cell>
          <cell r="DO63">
            <v>0.38990825688073394</v>
          </cell>
          <cell r="DP63">
            <v>0.38589928057553957</v>
          </cell>
          <cell r="DQ63">
            <v>0.39380358534684334</v>
          </cell>
          <cell r="DR63">
            <v>0.3916376306620209</v>
          </cell>
          <cell r="DT63">
            <v>0.39820445988995079</v>
          </cell>
          <cell r="DU63">
            <v>0.41164658634538154</v>
          </cell>
          <cell r="DV63">
            <v>0.39292900258695029</v>
          </cell>
          <cell r="DW63">
            <v>0.39924257524416984</v>
          </cell>
          <cell r="DX63">
            <v>0.40119452828976943</v>
          </cell>
          <cell r="DZ63">
            <v>0.39167426314190218</v>
          </cell>
          <cell r="EA63">
            <v>0.41030867792661618</v>
          </cell>
          <cell r="EB63">
            <v>0.40017211703958694</v>
          </cell>
          <cell r="EC63">
            <v>0.4100534336037997</v>
          </cell>
          <cell r="ED63">
            <v>0.40468466130288089</v>
          </cell>
          <cell r="EF63">
            <v>0.40309859154929578</v>
          </cell>
          <cell r="EG63">
            <v>0.41413013124825465</v>
          </cell>
          <cell r="EH63">
            <v>0.40226950354609931</v>
          </cell>
          <cell r="EI63">
            <v>0.40976562500000002</v>
          </cell>
          <cell r="EJ63">
            <v>0.40758113590263689</v>
          </cell>
          <cell r="EK63" t="str">
            <v>Gross Margin (FIFO)</v>
          </cell>
          <cell r="EL63">
            <v>0.4023619884647075</v>
          </cell>
          <cell r="EM63">
            <v>0.41319348606127521</v>
          </cell>
          <cell r="EN63">
            <v>0.40378037803780376</v>
          </cell>
          <cell r="EO63">
            <v>0.40883920175530247</v>
          </cell>
          <cell r="EP63">
            <v>0.4072353729343457</v>
          </cell>
          <cell r="ER63">
            <v>0.38836424957841487</v>
          </cell>
          <cell r="ES63">
            <v>0.42118432026688907</v>
          </cell>
          <cell r="ET63">
            <v>0.40316004077471967</v>
          </cell>
          <cell r="EU63">
            <v>0.40943334425155586</v>
          </cell>
          <cell r="EV63">
            <v>0.40604375231738971</v>
          </cell>
          <cell r="EX63">
            <v>0.39807464955244048</v>
          </cell>
          <cell r="EY63">
            <v>0.40478615071283097</v>
          </cell>
          <cell r="EZ63">
            <v>0.39299017947849646</v>
          </cell>
          <cell r="FA63">
            <v>0.41575517803118456</v>
          </cell>
          <cell r="FB63">
            <v>0.40421084634971305</v>
          </cell>
          <cell r="FD63">
            <v>0.38628849834696366</v>
          </cell>
          <cell r="FE63">
            <v>0.4148303602658272</v>
          </cell>
          <cell r="FF63">
            <v>0.39486619333697431</v>
          </cell>
          <cell r="FG63">
            <v>0.39349634484497104</v>
          </cell>
          <cell r="FH63">
            <v>0.39703519202956772</v>
          </cell>
          <cell r="FJ63">
            <v>0.37991679273827533</v>
          </cell>
          <cell r="FK63">
            <v>0.41021759697256388</v>
          </cell>
          <cell r="FL63">
            <v>0.3981429897864438</v>
          </cell>
          <cell r="FM63">
            <v>0.41527025324429884</v>
          </cell>
          <cell r="FN63">
            <v>0.40246913580246912</v>
          </cell>
          <cell r="FP63">
            <v>0.3939720129171152</v>
          </cell>
          <cell r="FQ63">
            <v>0.41954126783456747</v>
          </cell>
          <cell r="FR63">
            <v>0.39943090876756182</v>
          </cell>
          <cell r="FS63">
            <v>0.41286733583262791</v>
          </cell>
          <cell r="FT63">
            <v>0.4071111466624005</v>
          </cell>
          <cell r="FV63">
            <v>0.39106809305484802</v>
          </cell>
          <cell r="FW63">
            <v>0.41791547398551943</v>
          </cell>
          <cell r="FX63">
            <v>0.39449854775328891</v>
          </cell>
          <cell r="FY63">
            <v>0.40955983493810177</v>
          </cell>
          <cell r="FZ63">
            <v>0.4039765195985609</v>
          </cell>
          <cell r="GB63">
            <v>0.38840957187042163</v>
          </cell>
          <cell r="GC63">
            <v>0.41892775416802874</v>
          </cell>
          <cell r="GD63">
            <v>0.39599854775328891</v>
          </cell>
          <cell r="GE63">
            <v>0.41337263049654577</v>
          </cell>
          <cell r="GF63">
            <v>0.40525585251062379</v>
          </cell>
        </row>
        <row r="64">
          <cell r="A64" t="str">
            <v>Y/Y ∆ bps</v>
          </cell>
          <cell r="O64">
            <v>104.79345102586468</v>
          </cell>
          <cell r="P64">
            <v>35.009128791123615</v>
          </cell>
          <cell r="Q64">
            <v>45.328884998543927</v>
          </cell>
          <cell r="R64">
            <v>25.177356604123013</v>
          </cell>
          <cell r="S64">
            <v>-9.1194473809946821</v>
          </cell>
          <cell r="T64">
            <v>-100.33243241092448</v>
          </cell>
          <cell r="U64">
            <v>95.568976277485291</v>
          </cell>
          <cell r="V64">
            <v>34.901330131114626</v>
          </cell>
          <cell r="W64">
            <v>28.964745997560048</v>
          </cell>
          <cell r="X64">
            <v>-3.4576296829119668</v>
          </cell>
          <cell r="Y64">
            <v>-11.916206169559906</v>
          </cell>
          <cell r="Z64">
            <v>-18.329059676766569</v>
          </cell>
          <cell r="AA64">
            <v>-71.756543201453297</v>
          </cell>
          <cell r="AB64">
            <v>54.339437729014065</v>
          </cell>
          <cell r="AC64">
            <v>46.420108599313778</v>
          </cell>
          <cell r="AD64">
            <v>-31.346270638396014</v>
          </cell>
          <cell r="AE64">
            <v>12.793329120628915</v>
          </cell>
          <cell r="AF64">
            <v>30.000000000000583</v>
          </cell>
          <cell r="AG64">
            <v>14.999999999999458</v>
          </cell>
          <cell r="AH64">
            <v>-10.000000000000009</v>
          </cell>
          <cell r="AI64">
            <v>-20.000000000000018</v>
          </cell>
          <cell r="AJ64">
            <v>-5.5511151231257827E-13</v>
          </cell>
          <cell r="AK64">
            <v>1.1102230246251565E-12</v>
          </cell>
          <cell r="AL64">
            <v>-1.1102230246251565E-12</v>
          </cell>
          <cell r="AN64" t="str">
            <v>Y/Y ∆ bps</v>
          </cell>
          <cell r="DH64">
            <v>15.93898684578765</v>
          </cell>
          <cell r="DI64">
            <v>-117.67955568685595</v>
          </cell>
          <cell r="DJ64">
            <v>-136.38321134153642</v>
          </cell>
          <cell r="DK64">
            <v>-98.101162583517649</v>
          </cell>
          <cell r="DL64">
            <v>-88.619777564034607</v>
          </cell>
          <cell r="DN64">
            <v>-45.666520904030783</v>
          </cell>
          <cell r="DO64">
            <v>-194.42110066806129</v>
          </cell>
          <cell r="DP64">
            <v>-72.789320103938124</v>
          </cell>
          <cell r="DQ64">
            <v>-110.85779392628447</v>
          </cell>
          <cell r="DR64">
            <v>-100.33243241092448</v>
          </cell>
          <cell r="DT64">
            <v>50.661021846639677</v>
          </cell>
          <cell r="DU64">
            <v>217.38329464647597</v>
          </cell>
          <cell r="DV64">
            <v>70.297220114107219</v>
          </cell>
          <cell r="DW64">
            <v>54.389898973264962</v>
          </cell>
          <cell r="DX64">
            <v>95.568976277485291</v>
          </cell>
          <cell r="DZ64">
            <v>-65.301967480486113</v>
          </cell>
          <cell r="EA64">
            <v>-13.379084187653545</v>
          </cell>
          <cell r="EB64">
            <v>72.431144526366452</v>
          </cell>
          <cell r="EC64">
            <v>108.1085835962986</v>
          </cell>
          <cell r="ED64">
            <v>34.901330131114626</v>
          </cell>
          <cell r="EF64">
            <v>114.24328407393602</v>
          </cell>
          <cell r="EG64">
            <v>38.21453321638468</v>
          </cell>
          <cell r="EH64">
            <v>20.973865065123665</v>
          </cell>
          <cell r="EI64">
            <v>-2.8780860379967743</v>
          </cell>
          <cell r="EJ64">
            <v>28.964745997560048</v>
          </cell>
          <cell r="EK64" t="str">
            <v>Y/Y ∆ bps</v>
          </cell>
          <cell r="EL64">
            <v>-7.3660308458828316</v>
          </cell>
          <cell r="EM64">
            <v>-9.3664518697944565</v>
          </cell>
          <cell r="EN64">
            <v>15.108744917044504</v>
          </cell>
          <cell r="EO64">
            <v>-9.2642324469754946</v>
          </cell>
          <cell r="EP64">
            <v>-3.4576296829119668</v>
          </cell>
          <cell r="ER64">
            <v>-139.97738886292632</v>
          </cell>
          <cell r="ES64">
            <v>79.908342056138622</v>
          </cell>
          <cell r="ET64">
            <v>-6.2033726308408088</v>
          </cell>
          <cell r="EU64">
            <v>5.9414249625339144</v>
          </cell>
          <cell r="EV64">
            <v>-11.916206169559906</v>
          </cell>
          <cell r="EX64">
            <v>97.103999740256185</v>
          </cell>
          <cell r="EY64">
            <v>-163.98169554058094</v>
          </cell>
          <cell r="EZ64">
            <v>-101.69861296223215</v>
          </cell>
          <cell r="FA64">
            <v>63.218337796286939</v>
          </cell>
          <cell r="FB64">
            <v>-18.329059676766569</v>
          </cell>
          <cell r="FD64">
            <v>-117.86151205476824</v>
          </cell>
          <cell r="FE64">
            <v>100.4420955299623</v>
          </cell>
          <cell r="FF64">
            <v>18.760138584778542</v>
          </cell>
          <cell r="FG64">
            <v>-222.58833186213522</v>
          </cell>
          <cell r="FH64">
            <v>-71.756543201453297</v>
          </cell>
          <cell r="FJ64">
            <v>-63.717056086883275</v>
          </cell>
          <cell r="FK64">
            <v>-46.127632932633219</v>
          </cell>
          <cell r="FL64">
            <v>32.76796449469488</v>
          </cell>
          <cell r="FM64">
            <v>217.73908399327803</v>
          </cell>
          <cell r="FN64">
            <v>54.339437729014065</v>
          </cell>
          <cell r="FP64">
            <v>140.55220178839866</v>
          </cell>
          <cell r="FQ64">
            <v>93.236708620035856</v>
          </cell>
          <cell r="FR64">
            <v>12.879189811180192</v>
          </cell>
          <cell r="FS64">
            <v>-24.029174116709239</v>
          </cell>
          <cell r="FT64">
            <v>46.420108599313778</v>
          </cell>
          <cell r="FV64">
            <v>-29.03919862267179</v>
          </cell>
          <cell r="FW64">
            <v>-16.257938490480406</v>
          </cell>
          <cell r="FX64">
            <v>-49.323610142729123</v>
          </cell>
          <cell r="FY64">
            <v>-33.075008945261388</v>
          </cell>
          <cell r="FZ64">
            <v>-31.346270638396014</v>
          </cell>
          <cell r="GB64">
            <v>-26.585211844263878</v>
          </cell>
          <cell r="GC64">
            <v>10.122801825093175</v>
          </cell>
          <cell r="GD64">
            <v>15.000000000000014</v>
          </cell>
          <cell r="GE64">
            <v>38.127955584439931</v>
          </cell>
          <cell r="GF64">
            <v>12.793329120628915</v>
          </cell>
        </row>
        <row r="65">
          <cell r="A65" t="str">
            <v>SG&amp;A Expense</v>
          </cell>
          <cell r="K65">
            <v>0.33637419260664891</v>
          </cell>
          <cell r="L65">
            <v>0.31608245843666333</v>
          </cell>
          <cell r="N65">
            <v>0.33618448063500755</v>
          </cell>
          <cell r="O65">
            <v>0.33182768152093306</v>
          </cell>
          <cell r="P65">
            <v>0.30742444152431014</v>
          </cell>
          <cell r="Q65">
            <v>0.30536934591604298</v>
          </cell>
          <cell r="R65">
            <v>0.29696175681577142</v>
          </cell>
          <cell r="S65">
            <v>0.29522779180189929</v>
          </cell>
          <cell r="T65">
            <v>0.30446626544187522</v>
          </cell>
          <cell r="U65">
            <v>0.31057735534005521</v>
          </cell>
          <cell r="V65">
            <v>0.31384635349078638</v>
          </cell>
          <cell r="W65">
            <v>0.31256338742393508</v>
          </cell>
          <cell r="X65">
            <v>0.311746315319339</v>
          </cell>
          <cell r="Y65">
            <v>0.32176492398961809</v>
          </cell>
          <cell r="Z65">
            <v>0.32508645916467144</v>
          </cell>
          <cell r="AA65">
            <v>0.33978788365739998</v>
          </cell>
          <cell r="AB65">
            <v>0.34161958568738232</v>
          </cell>
          <cell r="AC65">
            <v>0.33036035675718911</v>
          </cell>
          <cell r="AD65">
            <v>0.31361484567316794</v>
          </cell>
          <cell r="AE65">
            <v>0.30881156325452847</v>
          </cell>
          <cell r="AF65">
            <v>0.31031156325452852</v>
          </cell>
          <cell r="AG65">
            <v>0.30931156325452847</v>
          </cell>
          <cell r="AH65">
            <v>0.30831156325452846</v>
          </cell>
          <cell r="AI65">
            <v>0.30731156325452846</v>
          </cell>
          <cell r="AJ65">
            <v>0.30631156325452846</v>
          </cell>
          <cell r="AK65">
            <v>0.30531156325452846</v>
          </cell>
          <cell r="AL65">
            <v>0.30431156325452846</v>
          </cell>
          <cell r="AN65" t="str">
            <v>SG&amp;A Expense</v>
          </cell>
          <cell r="AO65">
            <v>0.38279428592985676</v>
          </cell>
          <cell r="AP65">
            <v>0.40410711991673287</v>
          </cell>
          <cell r="AQ65">
            <v>0.37126236401073487</v>
          </cell>
          <cell r="AR65">
            <v>0.32336892031185249</v>
          </cell>
          <cell r="AS65">
            <v>0.3657015145513508</v>
          </cell>
          <cell r="AU65">
            <v>0.37521706468919974</v>
          </cell>
          <cell r="AV65">
            <v>0.39432108323421872</v>
          </cell>
          <cell r="AW65">
            <v>0.36519669659038179</v>
          </cell>
          <cell r="AX65">
            <v>0.305193369130284</v>
          </cell>
          <cell r="AY65">
            <v>0.3553106224277201</v>
          </cell>
          <cell r="BA65">
            <v>0.35769529803540817</v>
          </cell>
          <cell r="BB65">
            <v>0.38275487712151696</v>
          </cell>
          <cell r="BC65">
            <v>0.34365233528884026</v>
          </cell>
          <cell r="BD65">
            <v>0.30324335842280281</v>
          </cell>
          <cell r="BE65">
            <v>0.34190736900208624</v>
          </cell>
          <cell r="BG65">
            <v>0.34938333944344918</v>
          </cell>
          <cell r="BH65">
            <v>0.35957752441609064</v>
          </cell>
          <cell r="BI65">
            <v>0.33788405060036941</v>
          </cell>
          <cell r="BJ65">
            <v>0.2756778999669442</v>
          </cell>
          <cell r="BK65">
            <v>0.32472183745109906</v>
          </cell>
          <cell r="BM65">
            <v>0.32781678621167598</v>
          </cell>
          <cell r="BN65">
            <v>0.3350610863980954</v>
          </cell>
          <cell r="BO65">
            <v>0.31739646493610429</v>
          </cell>
          <cell r="BP65">
            <v>0.25271490575617306</v>
          </cell>
          <cell r="BQ65">
            <v>0.30205046346554137</v>
          </cell>
          <cell r="BS65">
            <v>0.37287950987066032</v>
          </cell>
          <cell r="BT65">
            <v>0.36983212774669039</v>
          </cell>
          <cell r="BU65">
            <v>0.35274378094613129</v>
          </cell>
          <cell r="BV65">
            <v>0.27829695765719514</v>
          </cell>
          <cell r="BW65">
            <v>0.33637419260664891</v>
          </cell>
          <cell r="BY65">
            <v>0.35808462232003552</v>
          </cell>
          <cell r="BZ65">
            <v>0.35047161142106986</v>
          </cell>
          <cell r="CA65">
            <v>0.33217510097410313</v>
          </cell>
          <cell r="CB65">
            <v>0.40589440694310513</v>
          </cell>
          <cell r="CC65">
            <v>0.3403293539136622</v>
          </cell>
          <cell r="CD65">
            <v>0.25475148504158118</v>
          </cell>
          <cell r="CE65">
            <v>0.25352903189044429</v>
          </cell>
          <cell r="CF65">
            <v>0.31608245843666333</v>
          </cell>
          <cell r="CG65">
            <v>0.31297957813593175</v>
          </cell>
          <cell r="CH65">
            <v>0.31554074717338931</v>
          </cell>
          <cell r="CJ65">
            <v>0.34933953403823437</v>
          </cell>
          <cell r="CK65">
            <v>0.33919204147824084</v>
          </cell>
          <cell r="CL65">
            <v>0.32906076447959459</v>
          </cell>
          <cell r="CM65">
            <v>0.25497829376133824</v>
          </cell>
          <cell r="CN65">
            <v>0.31114796907013276</v>
          </cell>
          <cell r="CP65">
            <v>0.34442201748207951</v>
          </cell>
          <cell r="CQ65">
            <v>0.33082958930198975</v>
          </cell>
          <cell r="CR65">
            <v>0.31802141646798049</v>
          </cell>
          <cell r="CS65">
            <v>0.24483628438557536</v>
          </cell>
          <cell r="CT65">
            <v>0.30295286435450097</v>
          </cell>
          <cell r="CV65">
            <v>0.34375930890676198</v>
          </cell>
          <cell r="CW65">
            <v>0.33333333333333331</v>
          </cell>
          <cell r="CX65">
            <v>0.32299887260428412</v>
          </cell>
          <cell r="CY65">
            <v>0.24831148192292413</v>
          </cell>
          <cell r="CZ65">
            <v>0.30536934591604298</v>
          </cell>
          <cell r="DB65">
            <v>0.33361111111111114</v>
          </cell>
          <cell r="DC65">
            <v>0.34173739390913632</v>
          </cell>
          <cell r="DD65">
            <v>0.33381677544114091</v>
          </cell>
          <cell r="DE65">
            <v>0.27138791227189019</v>
          </cell>
          <cell r="DF65">
            <v>0.31451794987581849</v>
          </cell>
          <cell r="DH65">
            <v>0.32241813602015112</v>
          </cell>
          <cell r="DI65">
            <v>0.30008154389779834</v>
          </cell>
          <cell r="DJ65">
            <v>0.3220518244315177</v>
          </cell>
          <cell r="DK65">
            <v>0.25660242683797285</v>
          </cell>
          <cell r="DL65">
            <v>0.29522779180189929</v>
          </cell>
          <cell r="DN65">
            <v>0.32845894263217096</v>
          </cell>
          <cell r="DO65">
            <v>0.31708715596330272</v>
          </cell>
          <cell r="DP65">
            <v>0.34100719424460429</v>
          </cell>
          <cell r="DQ65">
            <v>0.25038971161340606</v>
          </cell>
          <cell r="DR65">
            <v>0.30446626544187522</v>
          </cell>
          <cell r="DT65">
            <v>0.33420214306400231</v>
          </cell>
          <cell r="DU65">
            <v>0.32558806655192196</v>
          </cell>
          <cell r="DV65">
            <v>0.3388904857717735</v>
          </cell>
          <cell r="DW65">
            <v>0.25931831771975283</v>
          </cell>
          <cell r="DX65">
            <v>0.31057735534005521</v>
          </cell>
          <cell r="DZ65">
            <v>0.34487997569127926</v>
          </cell>
          <cell r="EA65">
            <v>0.33051834595224228</v>
          </cell>
          <cell r="EB65">
            <v>0.34222604704532417</v>
          </cell>
          <cell r="EC65">
            <v>0.25766871165644173</v>
          </cell>
          <cell r="ED65">
            <v>0.31384635349078638</v>
          </cell>
          <cell r="EF65">
            <v>0.33661971830985915</v>
          </cell>
          <cell r="EG65">
            <v>0.33705668807595646</v>
          </cell>
          <cell r="EH65">
            <v>0.3424113475177305</v>
          </cell>
          <cell r="EI65">
            <v>0.25820312499999998</v>
          </cell>
          <cell r="EJ65">
            <v>0.31256338742393508</v>
          </cell>
          <cell r="EK65" t="str">
            <v>SG&amp;A Expense</v>
          </cell>
          <cell r="EL65">
            <v>0.33315023345234823</v>
          </cell>
          <cell r="EM65">
            <v>0.33287330941208942</v>
          </cell>
          <cell r="EN65">
            <v>0.35517551755175519</v>
          </cell>
          <cell r="EO65">
            <v>0.27040016717166443</v>
          </cell>
          <cell r="EP65">
            <v>0.311746315319339</v>
          </cell>
          <cell r="ER65">
            <v>0.36323777403035412</v>
          </cell>
          <cell r="ES65">
            <v>0.35312760633861551</v>
          </cell>
          <cell r="ET65">
            <v>0.35575942915392456</v>
          </cell>
          <cell r="EU65">
            <v>0.25253848673435964</v>
          </cell>
          <cell r="EV65">
            <v>0.32176492398961809</v>
          </cell>
          <cell r="EX65">
            <v>0.35686539435906095</v>
          </cell>
          <cell r="EY65">
            <v>0.34589273591310249</v>
          </cell>
          <cell r="EZ65">
            <v>0.35912631222485608</v>
          </cell>
          <cell r="FA65">
            <v>0.2655340935536421</v>
          </cell>
          <cell r="FB65">
            <v>0.32508645916467144</v>
          </cell>
          <cell r="FD65">
            <v>0.36192796241517311</v>
          </cell>
          <cell r="FE65">
            <v>0.35624344176285416</v>
          </cell>
          <cell r="FF65">
            <v>0.37957400327689789</v>
          </cell>
          <cell r="FG65">
            <v>0.28434585328963952</v>
          </cell>
          <cell r="FH65">
            <v>0.33978788365739998</v>
          </cell>
          <cell r="FJ65">
            <v>0.37537821482602118</v>
          </cell>
          <cell r="FK65">
            <v>0.35685903500473037</v>
          </cell>
          <cell r="FL65">
            <v>0.38180129990714951</v>
          </cell>
          <cell r="FM65">
            <v>0.28171853345092607</v>
          </cell>
          <cell r="FN65">
            <v>0.34161958568738232</v>
          </cell>
          <cell r="FP65">
            <v>0.35755292429135271</v>
          </cell>
          <cell r="FQ65">
            <v>0.3527180783817952</v>
          </cell>
          <cell r="FR65">
            <v>0.36795304997332384</v>
          </cell>
          <cell r="FS65">
            <v>0.27149594872415045</v>
          </cell>
          <cell r="FT65">
            <v>0.33036035675718911</v>
          </cell>
          <cell r="FV65">
            <v>0.33503141450161317</v>
          </cell>
          <cell r="FW65">
            <v>0.33271594544536115</v>
          </cell>
          <cell r="FX65">
            <v>0.34478045446779432</v>
          </cell>
          <cell r="FY65">
            <v>0.26524530032095367</v>
          </cell>
          <cell r="FZ65">
            <v>0.31361484567316794</v>
          </cell>
          <cell r="GB65">
            <v>0.32475988930489991</v>
          </cell>
          <cell r="GC65">
            <v>0.32837528604118993</v>
          </cell>
          <cell r="GD65">
            <v>0.34960818019307516</v>
          </cell>
          <cell r="GE65">
            <v>0.25913958182743124</v>
          </cell>
          <cell r="GF65">
            <v>0.30881156325452847</v>
          </cell>
        </row>
        <row r="66">
          <cell r="A66" t="str">
            <v>Y/Y ∆ bps</v>
          </cell>
          <cell r="O66">
            <v>-43.567991140744944</v>
          </cell>
          <cell r="P66">
            <v>-244.03239996622915</v>
          </cell>
          <cell r="Q66">
            <v>-20.550956082671657</v>
          </cell>
          <cell r="R66">
            <v>-84.075891002715622</v>
          </cell>
          <cell r="S66">
            <v>-17.339650138721296</v>
          </cell>
          <cell r="T66">
            <v>92.384736399759305</v>
          </cell>
          <cell r="U66">
            <v>61.110898981799892</v>
          </cell>
          <cell r="V66">
            <v>32.689981507311728</v>
          </cell>
          <cell r="W66">
            <v>-12.829660668512988</v>
          </cell>
          <cell r="X66">
            <v>-8.170721045960839</v>
          </cell>
          <cell r="Y66">
            <v>100.18608670279094</v>
          </cell>
          <cell r="Z66">
            <v>33.215351750533472</v>
          </cell>
          <cell r="AA66">
            <v>147.01424492728543</v>
          </cell>
          <cell r="AB66">
            <v>18.317020299823405</v>
          </cell>
          <cell r="AC66">
            <v>-112.5922893019321</v>
          </cell>
          <cell r="AD66">
            <v>-167.45511084021169</v>
          </cell>
          <cell r="AE66">
            <v>-48.032824186394762</v>
          </cell>
          <cell r="AF66">
            <v>15.000000000000568</v>
          </cell>
          <cell r="AG66">
            <v>-10.000000000000565</v>
          </cell>
          <cell r="AH66">
            <v>-10.000000000000009</v>
          </cell>
          <cell r="AI66">
            <v>-10.000000000000009</v>
          </cell>
          <cell r="AJ66">
            <v>-10.000000000000009</v>
          </cell>
          <cell r="AK66">
            <v>-10.000000000000009</v>
          </cell>
          <cell r="AL66">
            <v>-10.000000000000009</v>
          </cell>
          <cell r="AN66" t="str">
            <v>Y/Y ∆ bps</v>
          </cell>
          <cell r="DH66">
            <v>-111.92975090960012</v>
          </cell>
          <cell r="DI66">
            <v>-416.55850011337981</v>
          </cell>
          <cell r="DJ66">
            <v>-117.64951009623215</v>
          </cell>
          <cell r="DK66">
            <v>-147.85485433917333</v>
          </cell>
          <cell r="DL66">
            <v>-192.90158073919207</v>
          </cell>
          <cell r="DN66">
            <v>60.408066120198335</v>
          </cell>
          <cell r="DO66">
            <v>170.05612065504383</v>
          </cell>
          <cell r="DP66">
            <v>189.55369813086597</v>
          </cell>
          <cell r="DQ66">
            <v>-62.127152245667894</v>
          </cell>
          <cell r="DR66">
            <v>92.384736399759305</v>
          </cell>
          <cell r="DT66">
            <v>57.432004318313524</v>
          </cell>
          <cell r="DU66">
            <v>85.009105886192373</v>
          </cell>
          <cell r="DV66">
            <v>-21.167084728307973</v>
          </cell>
          <cell r="DW66">
            <v>89.286061063467699</v>
          </cell>
          <cell r="DX66">
            <v>61.110898981799892</v>
          </cell>
          <cell r="DZ66">
            <v>106.7783262727695</v>
          </cell>
          <cell r="EA66">
            <v>49.302794003203147</v>
          </cell>
          <cell r="EB66">
            <v>33.355612735506689</v>
          </cell>
          <cell r="EC66">
            <v>-16.496060633111043</v>
          </cell>
          <cell r="ED66">
            <v>32.689981507311728</v>
          </cell>
          <cell r="EF66">
            <v>-82.602573814201108</v>
          </cell>
          <cell r="EG66">
            <v>65.383421237141803</v>
          </cell>
          <cell r="EH66">
            <v>1.8530047240633563</v>
          </cell>
          <cell r="EI66">
            <v>5.3441334355824877</v>
          </cell>
          <cell r="EJ66">
            <v>-12.829660668512988</v>
          </cell>
          <cell r="EK66" t="str">
            <v>Y/Y ∆ bps</v>
          </cell>
          <cell r="EL66">
            <v>-34.694848575109184</v>
          </cell>
          <cell r="EM66">
            <v>-41.833786638670325</v>
          </cell>
          <cell r="EN66">
            <v>127.64170034024691</v>
          </cell>
          <cell r="EO66">
            <v>121.97042171664452</v>
          </cell>
          <cell r="EP66">
            <v>-8.170721045960839</v>
          </cell>
          <cell r="ER66">
            <v>300.87540578005888</v>
          </cell>
          <cell r="ES66">
            <v>202.54296926526084</v>
          </cell>
          <cell r="ET66">
            <v>5.8391160216936244</v>
          </cell>
          <cell r="EU66">
            <v>-178.61680437304796</v>
          </cell>
          <cell r="EV66">
            <v>100.18608670279094</v>
          </cell>
          <cell r="EX66">
            <v>-63.723796712931716</v>
          </cell>
          <cell r="EY66">
            <v>-72.348704255130187</v>
          </cell>
          <cell r="EZ66">
            <v>33.668830709315259</v>
          </cell>
          <cell r="FA66">
            <v>129.95606819282469</v>
          </cell>
          <cell r="FB66">
            <v>33.215351750533472</v>
          </cell>
          <cell r="FD66">
            <v>50.625680561121598</v>
          </cell>
          <cell r="FE66">
            <v>103.50705849751674</v>
          </cell>
          <cell r="FF66">
            <v>204.47691052041804</v>
          </cell>
          <cell r="FG66">
            <v>188.11759735997413</v>
          </cell>
          <cell r="FH66">
            <v>147.01424492728543</v>
          </cell>
          <cell r="FJ66">
            <v>134.50252410848074</v>
          </cell>
          <cell r="FK66">
            <v>6.1559324187621112</v>
          </cell>
          <cell r="FL66">
            <v>22.272966302516185</v>
          </cell>
          <cell r="FM66">
            <v>-26.273198387134489</v>
          </cell>
          <cell r="FN66">
            <v>18.317020299823405</v>
          </cell>
          <cell r="FP66">
            <v>-178.25290534668468</v>
          </cell>
          <cell r="FQ66">
            <v>-41.409566229351768</v>
          </cell>
          <cell r="FR66">
            <v>-138.48249933825662</v>
          </cell>
          <cell r="FS66">
            <v>-102.22584726775619</v>
          </cell>
          <cell r="FT66">
            <v>-112.5922893019321</v>
          </cell>
          <cell r="FV66">
            <v>-225.21509789739548</v>
          </cell>
          <cell r="FW66">
            <v>-200.02132936434046</v>
          </cell>
          <cell r="FX66">
            <v>-231.72595505529526</v>
          </cell>
          <cell r="FY66">
            <v>-62.506484031967787</v>
          </cell>
          <cell r="FZ66">
            <v>-167.45511084021169</v>
          </cell>
          <cell r="GB66">
            <v>-102.7152519671326</v>
          </cell>
          <cell r="GC66">
            <v>-43.406594041712211</v>
          </cell>
          <cell r="GD66">
            <v>48.277257252808404</v>
          </cell>
          <cell r="GE66">
            <v>-61.057184935224271</v>
          </cell>
          <cell r="GF66">
            <v>-48.032824186394762</v>
          </cell>
        </row>
        <row r="67">
          <cell r="A67" t="str">
            <v xml:space="preserve">     1H &amp; 2H</v>
          </cell>
          <cell r="AN67" t="str">
            <v xml:space="preserve">     1H &amp; 2H</v>
          </cell>
          <cell r="EK67" t="str">
            <v xml:space="preserve">     1H &amp; 2H</v>
          </cell>
          <cell r="EL67">
            <v>0.33301211453744495</v>
          </cell>
          <cell r="EN67">
            <v>0.3015337828903874</v>
          </cell>
          <cell r="ER67">
            <v>0.35815513626834383</v>
          </cell>
          <cell r="ET67">
            <v>0.2929212362911266</v>
          </cell>
        </row>
        <row r="68">
          <cell r="A68" t="str">
            <v>EBITDA</v>
          </cell>
          <cell r="K68">
            <v>9.0053716746341619E-2</v>
          </cell>
          <cell r="L68">
            <v>0.10498588587511638</v>
          </cell>
          <cell r="N68">
            <v>7.9375940878609552E-2</v>
          </cell>
          <cell r="O68">
            <v>9.6136991842513314E-2</v>
          </cell>
          <cell r="P68">
            <v>0.12687253613666227</v>
          </cell>
          <cell r="Q68">
            <v>0.13530751708428246</v>
          </cell>
          <cell r="R68">
            <v>0.14710836608646827</v>
          </cell>
          <cell r="S68">
            <v>0.14557038105541531</v>
          </cell>
          <cell r="T68">
            <v>0.13082039911308205</v>
          </cell>
          <cell r="U68">
            <v>0.13428809967246805</v>
          </cell>
          <cell r="V68">
            <v>0.13690630677394239</v>
          </cell>
          <cell r="W68">
            <v>0.14173427991886409</v>
          </cell>
          <cell r="X68">
            <v>0.13916927199642698</v>
          </cell>
          <cell r="Y68">
            <v>0.13118279569892474</v>
          </cell>
          <cell r="Z68">
            <v>0.12868164025386691</v>
          </cell>
          <cell r="AA68">
            <v>0.10858910493331191</v>
          </cell>
          <cell r="AB68">
            <v>0.11148775894538607</v>
          </cell>
          <cell r="AC68">
            <v>0.1227452705675319</v>
          </cell>
          <cell r="AD68">
            <v>0.13145237644385532</v>
          </cell>
          <cell r="AE68">
            <v>0.13464669259900278</v>
          </cell>
          <cell r="AF68">
            <v>0.13614669259900275</v>
          </cell>
          <cell r="AG68">
            <v>0.13864669259900278</v>
          </cell>
          <cell r="AH68">
            <v>0.13864669259900272</v>
          </cell>
          <cell r="AI68">
            <v>0.13764669259900278</v>
          </cell>
          <cell r="AJ68">
            <v>0.13864669259900272</v>
          </cell>
          <cell r="AK68">
            <v>0.13964669259900278</v>
          </cell>
          <cell r="AL68">
            <v>0.14064669259900264</v>
          </cell>
          <cell r="AN68" t="str">
            <v>EBITDA</v>
          </cell>
          <cell r="AO68">
            <v>0</v>
          </cell>
          <cell r="AP68">
            <v>0</v>
          </cell>
          <cell r="AQ68">
            <v>0</v>
          </cell>
          <cell r="AR68">
            <v>0</v>
          </cell>
          <cell r="AS68">
            <v>0</v>
          </cell>
          <cell r="AU68">
            <v>6.7943208911152742E-2</v>
          </cell>
          <cell r="AV68">
            <v>4.9845461419508498E-2</v>
          </cell>
          <cell r="AW68">
            <v>6.8649383434148642E-2</v>
          </cell>
          <cell r="AX68">
            <v>0.10669880895486035</v>
          </cell>
          <cell r="AY68">
            <v>7.6144172739787269E-2</v>
          </cell>
          <cell r="BA68">
            <v>9.0037958270080251E-2</v>
          </cell>
          <cell r="BB68">
            <v>6.1182587022341257E-2</v>
          </cell>
          <cell r="BC68">
            <v>9.4692741333676139E-2</v>
          </cell>
          <cell r="BD68">
            <v>0.11869075585821284</v>
          </cell>
          <cell r="BE68">
            <v>9.4429600472659303E-2</v>
          </cell>
          <cell r="BG68">
            <v>9.0051997819223198E-2</v>
          </cell>
          <cell r="BH68">
            <v>7.8816445315412209E-2</v>
          </cell>
          <cell r="BI68">
            <v>9.2409106278100797E-2</v>
          </cell>
          <cell r="BJ68">
            <v>0.13352806166785364</v>
          </cell>
          <cell r="BK68">
            <v>0.10241823463781106</v>
          </cell>
          <cell r="BM68">
            <v>0.10189758174586723</v>
          </cell>
          <cell r="BN68">
            <v>9.2698452477914833E-2</v>
          </cell>
          <cell r="BO68">
            <v>0.10149360783180084</v>
          </cell>
          <cell r="BP68">
            <v>0.15033732592895513</v>
          </cell>
          <cell r="BQ68">
            <v>0.11579794529390085</v>
          </cell>
          <cell r="BS68">
            <v>6.7008509189925111E-2</v>
          </cell>
          <cell r="BT68">
            <v>5.9258905418315827E-2</v>
          </cell>
          <cell r="BU68">
            <v>7.7574121577283314E-2</v>
          </cell>
          <cell r="BV68">
            <v>0.13465078904488742</v>
          </cell>
          <cell r="BW68">
            <v>9.0053716746341619E-2</v>
          </cell>
          <cell r="BY68">
            <v>7.0664182066568715E-2</v>
          </cell>
          <cell r="BZ68">
            <v>7.784640630127998E-2</v>
          </cell>
          <cell r="CA68">
            <v>9.2753683184901944E-2</v>
          </cell>
          <cell r="CB68">
            <v>0</v>
          </cell>
          <cell r="CC68">
            <v>7.4262165757960283E-2</v>
          </cell>
          <cell r="CD68">
            <v>0.15499146776109726</v>
          </cell>
          <cell r="CE68">
            <v>0.14389713004995339</v>
          </cell>
          <cell r="CF68">
            <v>0.10498588587511638</v>
          </cell>
          <cell r="CG68">
            <v>0.1039617221767631</v>
          </cell>
          <cell r="CH68">
            <v>9.8270069431402887E-2</v>
          </cell>
          <cell r="CJ68">
            <v>8.0683491380616187E-2</v>
          </cell>
          <cell r="CK68">
            <v>9.3772722234875303E-2</v>
          </cell>
          <cell r="CL68">
            <v>0.10165612493585756</v>
          </cell>
          <cell r="CM68">
            <v>0.15770796896418993</v>
          </cell>
          <cell r="CN68">
            <v>0.11394209245313917</v>
          </cell>
          <cell r="CP68">
            <v>8.6164904368935924E-2</v>
          </cell>
          <cell r="CQ68">
            <v>0.10346704108428201</v>
          </cell>
          <cell r="CR68">
            <v>0.11096806535343365</v>
          </cell>
          <cell r="CS68">
            <v>0.17081762552479032</v>
          </cell>
          <cell r="CT68">
            <v>0.12324697133935045</v>
          </cell>
          <cell r="CV68">
            <v>0.10008936550491511</v>
          </cell>
          <cell r="CW68">
            <v>0.1234676007005254</v>
          </cell>
          <cell r="CX68">
            <v>0.11668545659526494</v>
          </cell>
          <cell r="CY68">
            <v>0.1799761620977354</v>
          </cell>
          <cell r="CZ68">
            <v>0.13530751708428246</v>
          </cell>
          <cell r="DB68">
            <v>0.11055555555555556</v>
          </cell>
          <cell r="DC68">
            <v>0.12606090863704444</v>
          </cell>
          <cell r="DD68">
            <v>0.11916847957457094</v>
          </cell>
          <cell r="DE68">
            <v>0.17461911937050059</v>
          </cell>
          <cell r="DF68">
            <v>0.13767216075863625</v>
          </cell>
          <cell r="DH68">
            <v>0.12426532325776658</v>
          </cell>
          <cell r="DI68">
            <v>0.15656428377276435</v>
          </cell>
          <cell r="DJ68">
            <v>0.11792702273929138</v>
          </cell>
          <cell r="DK68">
            <v>0.17790863668807994</v>
          </cell>
          <cell r="DL68">
            <v>0.14557038105541531</v>
          </cell>
          <cell r="DN68">
            <v>0.11220472440944881</v>
          </cell>
          <cell r="DO68">
            <v>0.12098623853211009</v>
          </cell>
          <cell r="DP68">
            <v>9.4964028776978418E-2</v>
          </cell>
          <cell r="DQ68">
            <v>0.17809820732657833</v>
          </cell>
          <cell r="DR68">
            <v>0.13082039911308205</v>
          </cell>
          <cell r="DT68">
            <v>0.11178685201274255</v>
          </cell>
          <cell r="DU68">
            <v>0.13425129087779691</v>
          </cell>
          <cell r="DV68">
            <v>0.10204081632653061</v>
          </cell>
          <cell r="DW68">
            <v>0.17580227227426748</v>
          </cell>
          <cell r="DX68">
            <v>0.13428809967246805</v>
          </cell>
          <cell r="DZ68">
            <v>0.10148890914615619</v>
          </cell>
          <cell r="EA68">
            <v>0.13016889924286545</v>
          </cell>
          <cell r="EB68">
            <v>0.10843373493975904</v>
          </cell>
          <cell r="EC68">
            <v>0.18820502671680189</v>
          </cell>
          <cell r="ED68">
            <v>0.13690630677394239</v>
          </cell>
          <cell r="EF68">
            <v>0.11633802816901409</v>
          </cell>
          <cell r="EG68">
            <v>0.12678022898631666</v>
          </cell>
          <cell r="EH68">
            <v>0.11035460992907802</v>
          </cell>
          <cell r="EI68">
            <v>0.19140625</v>
          </cell>
          <cell r="EJ68">
            <v>0.14173427991886409</v>
          </cell>
          <cell r="EK68" t="str">
            <v>EBITDA</v>
          </cell>
          <cell r="EL68">
            <v>0.11782477341389729</v>
          </cell>
          <cell r="EM68">
            <v>0.12945073143803479</v>
          </cell>
          <cell r="EN68">
            <v>0.10171017101710171</v>
          </cell>
          <cell r="EO68">
            <v>0.17270922578622924</v>
          </cell>
          <cell r="EP68">
            <v>0.13916927199642698</v>
          </cell>
          <cell r="ER68">
            <v>7.8414839797639121E-2</v>
          </cell>
          <cell r="ES68">
            <v>0.12043369474562135</v>
          </cell>
          <cell r="ET68">
            <v>0.10091743119266056</v>
          </cell>
          <cell r="EU68">
            <v>0.19183316955999563</v>
          </cell>
          <cell r="EV68">
            <v>0.13118279569892474</v>
          </cell>
          <cell r="EX68">
            <v>9.6774193548387094E-2</v>
          </cell>
          <cell r="EY68">
            <v>0.11439239646978955</v>
          </cell>
          <cell r="EZ68">
            <v>8.8215374195733151E-2</v>
          </cell>
          <cell r="FA68">
            <v>0.18827088666511518</v>
          </cell>
          <cell r="FB68">
            <v>0.12868164025386691</v>
          </cell>
          <cell r="FD68">
            <v>7.9171741778319121E-2</v>
          </cell>
          <cell r="FE68">
            <v>0.1136761105281567</v>
          </cell>
          <cell r="FF68">
            <v>7.3548152193701075E-2</v>
          </cell>
          <cell r="FG68">
            <v>0.15049155533148476</v>
          </cell>
          <cell r="FH68">
            <v>0.10858910493331191</v>
          </cell>
          <cell r="FJ68">
            <v>6.1838124054462935E-2</v>
          </cell>
          <cell r="FK68">
            <v>0.11031220435193945</v>
          </cell>
          <cell r="FL68">
            <v>7.2237697307335189E-2</v>
          </cell>
          <cell r="FM68">
            <v>0.17197933728108858</v>
          </cell>
          <cell r="FN68">
            <v>0.11148775894538607</v>
          </cell>
          <cell r="FP68">
            <v>8.7908144958737E-2</v>
          </cell>
          <cell r="FQ68">
            <v>0.11883691529709228</v>
          </cell>
          <cell r="FR68">
            <v>8.3051751733949852E-2</v>
          </cell>
          <cell r="FS68">
            <v>0.17583746523158786</v>
          </cell>
          <cell r="FT68">
            <v>0.1227452705675319</v>
          </cell>
          <cell r="FV68">
            <v>0.10154525386313466</v>
          </cell>
          <cell r="FW68">
            <v>0.13032497053375988</v>
          </cell>
          <cell r="FX68">
            <v>9.7898513582778068E-2</v>
          </cell>
          <cell r="FY68">
            <v>0.17491976157725814</v>
          </cell>
          <cell r="FZ68">
            <v>0.13145237644385532</v>
          </cell>
          <cell r="GB68">
            <v>0.10532313202018558</v>
          </cell>
          <cell r="GC68">
            <v>0.13255966001961425</v>
          </cell>
          <cell r="GD68">
            <v>9.1769984292360302E-2</v>
          </cell>
          <cell r="GE68">
            <v>0.18302341955100002</v>
          </cell>
          <cell r="GF68">
            <v>0.13464669259900278</v>
          </cell>
        </row>
        <row r="69">
          <cell r="A69" t="str">
            <v>Operating Income</v>
          </cell>
          <cell r="K69">
            <v>4.9834032770134616E-2</v>
          </cell>
          <cell r="L69">
            <v>7.1056478359746725E-2</v>
          </cell>
          <cell r="N69">
            <v>4.5367455864239771E-2</v>
          </cell>
          <cell r="O69">
            <v>6.0203600080900692E-2</v>
          </cell>
          <cell r="P69">
            <v>8.8107752956636004E-2</v>
          </cell>
          <cell r="Q69">
            <v>9.4695737064757562E-2</v>
          </cell>
          <cell r="R69">
            <v>0.10562106182544138</v>
          </cell>
          <cell r="S69">
            <v>0.10644308210121409</v>
          </cell>
          <cell r="T69">
            <v>8.7171365220145708E-2</v>
          </cell>
          <cell r="U69">
            <v>9.0617172949714206E-2</v>
          </cell>
          <cell r="V69">
            <v>9.0838307812094468E-2</v>
          </cell>
          <cell r="W69">
            <v>9.5017748478701827E-2</v>
          </cell>
          <cell r="X69">
            <v>9.5489057615006701E-2</v>
          </cell>
          <cell r="Y69">
            <v>8.4278828327771602E-2</v>
          </cell>
          <cell r="Z69">
            <v>7.9124387185041611E-2</v>
          </cell>
          <cell r="AA69">
            <v>5.7247308372167766E-2</v>
          </cell>
          <cell r="AB69">
            <v>6.0849550115086838E-2</v>
          </cell>
          <cell r="AC69">
            <v>7.6750789905211378E-2</v>
          </cell>
          <cell r="AD69">
            <v>9.0361673925392919E-2</v>
          </cell>
          <cell r="AE69">
            <v>9.644428925609537E-2</v>
          </cell>
          <cell r="AF69">
            <v>9.7944289256095343E-2</v>
          </cell>
          <cell r="AG69">
            <v>0.10044428925609535</v>
          </cell>
          <cell r="AH69">
            <v>0.10044428925609533</v>
          </cell>
          <cell r="AI69">
            <v>9.9444289256095372E-2</v>
          </cell>
          <cell r="AJ69">
            <v>0.10044428925609532</v>
          </cell>
          <cell r="AK69">
            <v>0.10144428925609536</v>
          </cell>
          <cell r="AL69">
            <v>0.10244428925609525</v>
          </cell>
          <cell r="AN69" t="str">
            <v>Operating Income</v>
          </cell>
          <cell r="AO69">
            <v>1.6629151314714041E-2</v>
          </cell>
          <cell r="AP69">
            <v>-2.6258248715992489E-2</v>
          </cell>
          <cell r="AQ69">
            <v>2.3944635033584606E-2</v>
          </cell>
          <cell r="AR69">
            <v>4.7141382083007131E-2</v>
          </cell>
          <cell r="AS69">
            <v>1.8926536229503767E-2</v>
          </cell>
          <cell r="AU69">
            <v>2.6057176423778111E-2</v>
          </cell>
          <cell r="AV69">
            <v>5.6888115137426025E-3</v>
          </cell>
          <cell r="AW69">
            <v>3.1170325255822338E-2</v>
          </cell>
          <cell r="AX69">
            <v>7.6689812862537954E-2</v>
          </cell>
          <cell r="AY69">
            <v>3.8511188817947503E-2</v>
          </cell>
          <cell r="BA69">
            <v>5.3864986645255068E-2</v>
          </cell>
          <cell r="BB69">
            <v>2.1736713669665054E-2</v>
          </cell>
          <cell r="BC69">
            <v>6.1917365627611451E-2</v>
          </cell>
          <cell r="BD69">
            <v>9.3424602062388007E-2</v>
          </cell>
          <cell r="BE69">
            <v>6.1926222266541493E-2</v>
          </cell>
          <cell r="BG69">
            <v>5.4570356149532914E-2</v>
          </cell>
          <cell r="BH69">
            <v>4.1293680040045563E-2</v>
          </cell>
          <cell r="BI69">
            <v>6.0012909968339807E-2</v>
          </cell>
          <cell r="BJ69">
            <v>0.10838774480904291</v>
          </cell>
          <cell r="BK69">
            <v>7.0634157218449081E-2</v>
          </cell>
          <cell r="BM69">
            <v>6.5678497802714245E-2</v>
          </cell>
          <cell r="BN69">
            <v>5.424096234571759E-2</v>
          </cell>
          <cell r="BO69">
            <v>6.8868716236309635E-2</v>
          </cell>
          <cell r="BP69">
            <v>0.12375861094812787</v>
          </cell>
          <cell r="BQ69">
            <v>8.3179489215472066E-2</v>
          </cell>
          <cell r="BS69">
            <v>2.0592579986385289E-2</v>
          </cell>
          <cell r="BT69">
            <v>1.0944452026750382E-2</v>
          </cell>
          <cell r="BU69">
            <v>3.7008590347789791E-2</v>
          </cell>
          <cell r="BV69">
            <v>0.10404879355371534</v>
          </cell>
          <cell r="BW69">
            <v>4.9834032770134616E-2</v>
          </cell>
          <cell r="BY69">
            <v>3.2090631678785023E-2</v>
          </cell>
          <cell r="BZ69">
            <v>3.8135214965539906E-2</v>
          </cell>
          <cell r="CA69">
            <v>5.5975831011468857E-2</v>
          </cell>
          <cell r="CB69">
            <v>-0.10252169720347212</v>
          </cell>
          <cell r="CC69">
            <v>3.8446588369501468E-2</v>
          </cell>
          <cell r="CD69">
            <v>0.12873290852143857</v>
          </cell>
          <cell r="CE69">
            <v>0.11884822123876988</v>
          </cell>
          <cell r="CF69">
            <v>7.1056478359746725E-2</v>
          </cell>
          <cell r="CG69">
            <v>7.0004484251611696E-2</v>
          </cell>
          <cell r="CH69">
            <v>6.524885245670671E-2</v>
          </cell>
          <cell r="CJ69">
            <v>4.0290544429969356E-2</v>
          </cell>
          <cell r="CK69">
            <v>5.3184797157810007E-2</v>
          </cell>
          <cell r="CL69">
            <v>6.4174702727624475E-2</v>
          </cell>
          <cell r="CM69">
            <v>0.13159811859403786</v>
          </cell>
          <cell r="CN69">
            <v>7.8919319505097951E-2</v>
          </cell>
          <cell r="CP69">
            <v>4.3430932175175192E-2</v>
          </cell>
          <cell r="CQ69">
            <v>6.1358381779115137E-2</v>
          </cell>
          <cell r="CR69">
            <v>7.1527298042109028E-2</v>
          </cell>
          <cell r="CS69">
            <v>0.14088688875907193</v>
          </cell>
          <cell r="CT69">
            <v>8.5573034287292751E-2</v>
          </cell>
          <cell r="CV69">
            <v>5.391718796544534E-2</v>
          </cell>
          <cell r="CW69">
            <v>7.7933450087565678E-2</v>
          </cell>
          <cell r="CX69">
            <v>7.243517474633597E-2</v>
          </cell>
          <cell r="CY69">
            <v>0.14898688915375446</v>
          </cell>
          <cell r="CZ69">
            <v>9.4695737064757562E-2</v>
          </cell>
          <cell r="DB69">
            <v>6.25E-2</v>
          </cell>
          <cell r="DC69">
            <v>7.9380928607089368E-2</v>
          </cell>
          <cell r="DD69">
            <v>7.29997582789461E-2</v>
          </cell>
          <cell r="DE69">
            <v>0.14331156872593337</v>
          </cell>
          <cell r="DF69">
            <v>9.6014901783698356E-2</v>
          </cell>
          <cell r="DH69">
            <v>7.5286873775538762E-2</v>
          </cell>
          <cell r="DI69">
            <v>0.10926882304974178</v>
          </cell>
          <cell r="DJ69">
            <v>7.112638815441566E-2</v>
          </cell>
          <cell r="DK69">
            <v>0.14828693790149894</v>
          </cell>
          <cell r="DL69">
            <v>0.10644308210121409</v>
          </cell>
          <cell r="DN69">
            <v>6.4679415073115865E-2</v>
          </cell>
          <cell r="DO69">
            <v>7.2821100917431186E-2</v>
          </cell>
          <cell r="DP69">
            <v>4.4892086330935249E-2</v>
          </cell>
          <cell r="DQ69">
            <v>0.14341387373343725</v>
          </cell>
          <cell r="DR69">
            <v>8.7171365220145708E-2</v>
          </cell>
          <cell r="DT69">
            <v>6.4002316825948452E-2</v>
          </cell>
          <cell r="DU69">
            <v>8.6058519793459548E-2</v>
          </cell>
          <cell r="DV69">
            <v>5.4038516815176775E-2</v>
          </cell>
          <cell r="DW69">
            <v>0.13992425752441698</v>
          </cell>
          <cell r="DX69">
            <v>9.0617172949714206E-2</v>
          </cell>
          <cell r="DZ69">
            <v>4.6794287450622911E-2</v>
          </cell>
          <cell r="EA69">
            <v>7.9790331974373907E-2</v>
          </cell>
          <cell r="EB69">
            <v>5.7946069994262765E-2</v>
          </cell>
          <cell r="EC69">
            <v>0.152384721947358</v>
          </cell>
          <cell r="ED69">
            <v>9.0838307812094468E-2</v>
          </cell>
          <cell r="EF69">
            <v>6.6478873239436617E-2</v>
          </cell>
          <cell r="EG69">
            <v>7.7073443172298237E-2</v>
          </cell>
          <cell r="EH69">
            <v>5.9858156028368796E-2</v>
          </cell>
          <cell r="EI69">
            <v>0.15156249999999999</v>
          </cell>
          <cell r="EJ69">
            <v>9.5017748478701827E-2</v>
          </cell>
          <cell r="EK69" t="str">
            <v>Operating Income</v>
          </cell>
          <cell r="EL69">
            <v>6.9211755012359238E-2</v>
          </cell>
          <cell r="EM69">
            <v>8.0320176649185754E-2</v>
          </cell>
          <cell r="EN69">
            <v>4.8604860486048604E-2</v>
          </cell>
          <cell r="EO69">
            <v>0.13843903458363807</v>
          </cell>
          <cell r="EP69">
            <v>9.5489057615006701E-2</v>
          </cell>
          <cell r="ER69">
            <v>2.5126475548060707E-2</v>
          </cell>
          <cell r="ES69">
            <v>6.805671392827356E-2</v>
          </cell>
          <cell r="ET69">
            <v>4.7400611620795105E-2</v>
          </cell>
          <cell r="EU69">
            <v>0.1568948575171962</v>
          </cell>
          <cell r="EV69">
            <v>8.4278828327771602E-2</v>
          </cell>
          <cell r="EX69">
            <v>4.12092551933795E-2</v>
          </cell>
          <cell r="EY69">
            <v>5.8893414799728448E-2</v>
          </cell>
          <cell r="EZ69">
            <v>3.3863867253640365E-2</v>
          </cell>
          <cell r="FA69">
            <v>0.15022108447754248</v>
          </cell>
          <cell r="FB69">
            <v>7.9124387185041611E-2</v>
          </cell>
          <cell r="FD69">
            <v>2.4360535931790498E-2</v>
          </cell>
          <cell r="FE69">
            <v>5.8586918502973068E-2</v>
          </cell>
          <cell r="FF69">
            <v>1.5292190060076462E-2</v>
          </cell>
          <cell r="FG69">
            <v>0.10915049155533149</v>
          </cell>
          <cell r="FH69">
            <v>5.7247308372167766E-2</v>
          </cell>
          <cell r="FJ69">
            <v>4.5385779122541605E-3</v>
          </cell>
          <cell r="FK69">
            <v>5.3358561967833493E-2</v>
          </cell>
          <cell r="FL69">
            <v>1.6341689879294335E-2</v>
          </cell>
          <cell r="FM69">
            <v>0.1335517197933728</v>
          </cell>
          <cell r="FN69">
            <v>6.0849550115086838E-2</v>
          </cell>
          <cell r="FP69">
            <v>3.6419088625762472E-2</v>
          </cell>
          <cell r="FQ69">
            <v>6.6823189452772255E-2</v>
          </cell>
          <cell r="FR69">
            <v>3.1477858794237951E-2</v>
          </cell>
          <cell r="FS69">
            <v>0.14137138710847744</v>
          </cell>
          <cell r="FT69">
            <v>7.6750789905211378E-2</v>
          </cell>
          <cell r="FV69">
            <v>5.6036678553234846E-2</v>
          </cell>
          <cell r="FW69">
            <v>8.5199528540158276E-2</v>
          </cell>
          <cell r="FX69">
            <v>4.9718093285494619E-2</v>
          </cell>
          <cell r="FY69">
            <v>0.1443145346171481</v>
          </cell>
          <cell r="FZ69">
            <v>9.0361673925392919E-2</v>
          </cell>
          <cell r="GB69">
            <v>6.3649682565521726E-2</v>
          </cell>
          <cell r="GC69">
            <v>9.0552468126838842E-2</v>
          </cell>
          <cell r="GD69">
            <v>4.6390367560213731E-2</v>
          </cell>
          <cell r="GE69">
            <v>0.15423304866911453</v>
          </cell>
          <cell r="GF69">
            <v>9.644428925609537E-2</v>
          </cell>
        </row>
        <row r="70">
          <cell r="A70" t="str">
            <v>Y/Y ∆ bps</v>
          </cell>
          <cell r="O70">
            <v>148.36144216660921</v>
          </cell>
          <cell r="P70">
            <v>279.04152875735315</v>
          </cell>
          <cell r="Q70">
            <v>65.879841081215588</v>
          </cell>
          <cell r="R70">
            <v>109.25324760683822</v>
          </cell>
          <cell r="S70">
            <v>8.22020275772703</v>
          </cell>
          <cell r="T70">
            <v>-192.7171688106838</v>
          </cell>
          <cell r="U70">
            <v>34.45807729568498</v>
          </cell>
          <cell r="V70">
            <v>2.2113486238026225</v>
          </cell>
          <cell r="W70">
            <v>41.794406666073591</v>
          </cell>
          <cell r="X70">
            <v>4.7130913630487328</v>
          </cell>
          <cell r="Y70">
            <v>-112.10229287235099</v>
          </cell>
          <cell r="Z70">
            <v>-51.544411427299899</v>
          </cell>
          <cell r="AA70">
            <v>-218.77078812873845</v>
          </cell>
          <cell r="AB70">
            <v>36.022417429190725</v>
          </cell>
          <cell r="AC70">
            <v>159.01239790124541</v>
          </cell>
          <cell r="AD70">
            <v>136.10884020181541</v>
          </cell>
          <cell r="AE70">
            <v>60.826153307024512</v>
          </cell>
          <cell r="AF70">
            <v>14.999999999999735</v>
          </cell>
          <cell r="AG70">
            <v>25.000000000000021</v>
          </cell>
          <cell r="AH70">
            <v>-1.3877787807814457E-13</v>
          </cell>
          <cell r="AI70">
            <v>-9.9999999999995932</v>
          </cell>
          <cell r="AJ70">
            <v>9.9999999999994529</v>
          </cell>
          <cell r="AK70">
            <v>10.000000000000425</v>
          </cell>
          <cell r="AL70">
            <v>9.9999999999988987</v>
          </cell>
          <cell r="AN70" t="str">
            <v>Y/Y ∆ bps</v>
          </cell>
          <cell r="DH70">
            <v>127.86873775538763</v>
          </cell>
          <cell r="DI70">
            <v>298.87894442652413</v>
          </cell>
          <cell r="DJ70">
            <v>-18.733701245304406</v>
          </cell>
          <cell r="DK70">
            <v>49.753691755655694</v>
          </cell>
          <cell r="DL70">
            <v>104.28180317515731</v>
          </cell>
          <cell r="DN70">
            <v>-106.07458702422898</v>
          </cell>
          <cell r="DO70">
            <v>-364.47722132310594</v>
          </cell>
          <cell r="DP70">
            <v>-262.34301823480411</v>
          </cell>
          <cell r="DQ70">
            <v>-48.730641680616863</v>
          </cell>
          <cell r="DR70">
            <v>-192.7171688106838</v>
          </cell>
          <cell r="DT70">
            <v>-6.7709824716741256</v>
          </cell>
          <cell r="DU70">
            <v>132.37418876028363</v>
          </cell>
          <cell r="DV70">
            <v>91.46430484241526</v>
          </cell>
          <cell r="DW70">
            <v>-34.896162090202743</v>
          </cell>
          <cell r="DX70">
            <v>34.45807729568498</v>
          </cell>
          <cell r="DZ70">
            <v>-172.0802937532554</v>
          </cell>
          <cell r="EA70">
            <v>-62.681878190856409</v>
          </cell>
          <cell r="EB70">
            <v>39.075531790859905</v>
          </cell>
          <cell r="EC70">
            <v>124.6046442294102</v>
          </cell>
          <cell r="ED70">
            <v>2.2113486238026225</v>
          </cell>
          <cell r="EF70">
            <v>196.84585788813706</v>
          </cell>
          <cell r="EG70">
            <v>-27.168888020756704</v>
          </cell>
          <cell r="EH70">
            <v>19.120860341060308</v>
          </cell>
          <cell r="EI70">
            <v>-8.2222194735800951</v>
          </cell>
          <cell r="EJ70">
            <v>41.794406666073591</v>
          </cell>
          <cell r="EK70" t="str">
            <v>Y/Y ∆ bps</v>
          </cell>
          <cell r="EL70">
            <v>27.328817729226213</v>
          </cell>
          <cell r="EM70">
            <v>32.467334768875169</v>
          </cell>
          <cell r="EN70">
            <v>-112.53295542320193</v>
          </cell>
          <cell r="EO70">
            <v>-131.23465416361918</v>
          </cell>
          <cell r="EP70">
            <v>4.7130913630487328</v>
          </cell>
          <cell r="ER70">
            <v>-440.85279464298537</v>
          </cell>
          <cell r="ES70">
            <v>-122.63462720912194</v>
          </cell>
          <cell r="ET70">
            <v>-12.042488652534988</v>
          </cell>
          <cell r="EU70">
            <v>184.5582293355813</v>
          </cell>
          <cell r="EV70">
            <v>-112.10229287235099</v>
          </cell>
          <cell r="EX70">
            <v>160.82779645318794</v>
          </cell>
          <cell r="EY70">
            <v>-91.632991285451112</v>
          </cell>
          <cell r="EZ70">
            <v>-135.36744367154739</v>
          </cell>
          <cell r="FA70">
            <v>-66.737730396537188</v>
          </cell>
          <cell r="FB70">
            <v>-51.544411427299899</v>
          </cell>
          <cell r="FD70">
            <v>-168.48719261589002</v>
          </cell>
          <cell r="FE70">
            <v>-3.0649629675538055</v>
          </cell>
          <cell r="FF70">
            <v>-185.71677193563903</v>
          </cell>
          <cell r="FG70">
            <v>-410.70592922210989</v>
          </cell>
          <cell r="FH70">
            <v>-218.77078812873845</v>
          </cell>
          <cell r="FJ70">
            <v>-198.21958019536339</v>
          </cell>
          <cell r="FK70">
            <v>-52.283565351395751</v>
          </cell>
          <cell r="FL70">
            <v>10.494998192178731</v>
          </cell>
          <cell r="FM70">
            <v>244.01228238041307</v>
          </cell>
          <cell r="FN70">
            <v>36.022417429190725</v>
          </cell>
          <cell r="FP70">
            <v>318.80510713508306</v>
          </cell>
          <cell r="FQ70">
            <v>134.64627484938762</v>
          </cell>
          <cell r="FR70">
            <v>151.36168914943616</v>
          </cell>
          <cell r="FS70">
            <v>78.196673151046397</v>
          </cell>
          <cell r="FT70">
            <v>159.01239790124541</v>
          </cell>
          <cell r="FV70">
            <v>196.17589927472375</v>
          </cell>
          <cell r="FW70">
            <v>183.7633908738602</v>
          </cell>
          <cell r="FX70">
            <v>182.40234491256669</v>
          </cell>
          <cell r="FY70">
            <v>29.431475086706683</v>
          </cell>
          <cell r="FZ70">
            <v>136.10884020181541</v>
          </cell>
          <cell r="GB70">
            <v>76.130040122868792</v>
          </cell>
          <cell r="GC70">
            <v>53.529395866805665</v>
          </cell>
          <cell r="GD70">
            <v>-33.277257252808873</v>
          </cell>
          <cell r="GE70">
            <v>99.185140519664202</v>
          </cell>
          <cell r="GF70">
            <v>60.826153307024512</v>
          </cell>
        </row>
        <row r="71">
          <cell r="A71" t="str">
            <v>Interest Expense, net</v>
          </cell>
          <cell r="K71">
            <v>3.2697149947086085E-2</v>
          </cell>
          <cell r="L71">
            <v>2.9523074454598411E-2</v>
          </cell>
          <cell r="N71">
            <v>3.1545093745723278E-2</v>
          </cell>
          <cell r="O71">
            <v>3.0472594889772803E-2</v>
          </cell>
          <cell r="P71">
            <v>2.5164257555847568E-2</v>
          </cell>
          <cell r="Q71">
            <v>1.9004230393752035E-2</v>
          </cell>
          <cell r="R71">
            <v>1.9152785576143239E-2</v>
          </cell>
          <cell r="S71">
            <v>1.9293184276956366E-2</v>
          </cell>
          <cell r="T71">
            <v>2.0525815647766867E-2</v>
          </cell>
          <cell r="U71">
            <v>1.8945475563547622E-2</v>
          </cell>
          <cell r="V71">
            <v>1.6675317934077342E-2</v>
          </cell>
          <cell r="W71">
            <v>1.4262170385395538E-2</v>
          </cell>
          <cell r="X71">
            <v>1.7731129968736044E-2</v>
          </cell>
          <cell r="Y71">
            <v>1.7093066370040787E-2</v>
          </cell>
          <cell r="Z71">
            <v>2.0636187435868203E-2</v>
          </cell>
          <cell r="AA71">
            <v>2.2497187851518559E-2</v>
          </cell>
          <cell r="AB71">
            <v>2.3268466206319314E-2</v>
          </cell>
          <cell r="AC71">
            <v>2.2957245130584329E-2</v>
          </cell>
          <cell r="AD71">
            <v>1.677712554440447E-2</v>
          </cell>
          <cell r="AE71">
            <v>1.5811449048425012E-2</v>
          </cell>
          <cell r="AF71">
            <v>1.5432439405946033E-2</v>
          </cell>
          <cell r="AG71">
            <v>1.1551362026190394E-2</v>
          </cell>
          <cell r="AH71">
            <v>1.1247354128091228E-2</v>
          </cell>
          <cell r="AI71">
            <v>8.8517788743727871E-3</v>
          </cell>
          <cell r="AJ71">
            <v>7.3060870294808875E-3</v>
          </cell>
          <cell r="AK71">
            <v>6.4151370536479606E-3</v>
          </cell>
          <cell r="AL71">
            <v>6.1009977063129633E-3</v>
          </cell>
          <cell r="AN71" t="str">
            <v>Interest Expense, net</v>
          </cell>
          <cell r="AO71">
            <v>9.4412937137683436E-2</v>
          </cell>
          <cell r="AP71">
            <v>8.9822192159361131E-2</v>
          </cell>
          <cell r="AQ71">
            <v>7.6101932466374367E-2</v>
          </cell>
          <cell r="AR71">
            <v>5.9439345690775844E-2</v>
          </cell>
          <cell r="AS71">
            <v>7.7841406231294583E-2</v>
          </cell>
          <cell r="AU71">
            <v>7.2724750991421602E-2</v>
          </cell>
          <cell r="AV71">
            <v>7.3799442818719529E-2</v>
          </cell>
          <cell r="AW71">
            <v>6.4135371212258638E-2</v>
          </cell>
          <cell r="AX71">
            <v>4.7384105029377857E-2</v>
          </cell>
          <cell r="AY71">
            <v>6.303759937325483E-2</v>
          </cell>
          <cell r="BA71">
            <v>3.6447192449574548E-2</v>
          </cell>
          <cell r="BB71">
            <v>3.4143281828587738E-2</v>
          </cell>
          <cell r="BC71">
            <v>2.4557775026342047E-2</v>
          </cell>
          <cell r="BD71">
            <v>2.0725558102914272E-2</v>
          </cell>
          <cell r="BE71">
            <v>2.7945713106931256E-2</v>
          </cell>
          <cell r="BG71">
            <v>2.7210661911047193E-2</v>
          </cell>
          <cell r="BH71">
            <v>2.6805113267229716E-2</v>
          </cell>
          <cell r="BI71">
            <v>2.2350452547483253E-2</v>
          </cell>
          <cell r="BJ71">
            <v>1.729722637786555E-2</v>
          </cell>
          <cell r="BK71">
            <v>2.2704354963602815E-2</v>
          </cell>
          <cell r="BM71">
            <v>2.7417845940236968E-2</v>
          </cell>
          <cell r="BN71">
            <v>3.0510619635361193E-2</v>
          </cell>
          <cell r="BO71">
            <v>2.6461339487889576E-2</v>
          </cell>
          <cell r="BP71">
            <v>2.1503910610110491E-2</v>
          </cell>
          <cell r="BQ71">
            <v>2.587720988333796E-2</v>
          </cell>
          <cell r="BS71">
            <v>3.5071477195371001E-2</v>
          </cell>
          <cell r="BT71">
            <v>3.7450525453801002E-2</v>
          </cell>
          <cell r="BU71">
            <v>3.4075046232774568E-2</v>
          </cell>
          <cell r="BV71">
            <v>2.6999397334880916E-2</v>
          </cell>
          <cell r="BW71">
            <v>3.2697149947086085E-2</v>
          </cell>
          <cell r="BY71">
            <v>3.2647859475516454E-2</v>
          </cell>
          <cell r="BZ71">
            <v>3.3874630784378072E-2</v>
          </cell>
          <cell r="CA71">
            <v>3.1383267217194519E-2</v>
          </cell>
          <cell r="CB71">
            <v>6.1890067502410759E-2</v>
          </cell>
          <cell r="CC71">
            <v>3.4758851116312182E-2</v>
          </cell>
          <cell r="CD71">
            <v>2.3302732476509342E-2</v>
          </cell>
          <cell r="CE71">
            <v>2.4686318828467779E-2</v>
          </cell>
          <cell r="CF71">
            <v>2.9523074454598411E-2</v>
          </cell>
          <cell r="CG71">
            <v>2.9750774835216397E-2</v>
          </cell>
          <cell r="CH71">
            <v>3.0636684676753432E-2</v>
          </cell>
          <cell r="CJ71">
            <v>3.4017329657345413E-2</v>
          </cell>
          <cell r="CK71">
            <v>3.5202793472316786E-2</v>
          </cell>
          <cell r="CL71">
            <v>3.140935201327294E-2</v>
          </cell>
          <cell r="CM71">
            <v>2.1948147333105857E-2</v>
          </cell>
          <cell r="CN71">
            <v>2.966465240014567E-2</v>
          </cell>
          <cell r="CP71">
            <v>3.0617252516873267E-2</v>
          </cell>
          <cell r="CQ71">
            <v>2.8748310443407421E-2</v>
          </cell>
          <cell r="CR71">
            <v>2.4525155114038584E-2</v>
          </cell>
          <cell r="CS71">
            <v>1.7188736384699484E-2</v>
          </cell>
          <cell r="CT71">
            <v>2.4412010687558432E-2</v>
          </cell>
          <cell r="CV71">
            <v>2.2937146261543043E-2</v>
          </cell>
          <cell r="CW71">
            <v>2.1599532983070636E-2</v>
          </cell>
          <cell r="CX71">
            <v>2.0293122886133032E-2</v>
          </cell>
          <cell r="CY71">
            <v>1.3706793802145411E-2</v>
          </cell>
          <cell r="CZ71">
            <v>1.9004230393752035E-2</v>
          </cell>
          <cell r="DB71">
            <v>2.0833333333333332E-2</v>
          </cell>
          <cell r="DC71">
            <v>2.1218172740888667E-2</v>
          </cell>
          <cell r="DD71">
            <v>2.1996615905245348E-2</v>
          </cell>
          <cell r="DE71">
            <v>1.7411685919973212E-2</v>
          </cell>
          <cell r="DF71">
            <v>2.003838338225333E-2</v>
          </cell>
          <cell r="DH71">
            <v>1.9311502938706968E-2</v>
          </cell>
          <cell r="DI71">
            <v>2.1201413427561839E-2</v>
          </cell>
          <cell r="DJ71">
            <v>2.2210470650449499E-2</v>
          </cell>
          <cell r="DK71">
            <v>1.6059957173447537E-2</v>
          </cell>
          <cell r="DL71">
            <v>1.9293184276956366E-2</v>
          </cell>
          <cell r="DN71">
            <v>2.1934758155230598E-2</v>
          </cell>
          <cell r="DO71">
            <v>2.2362385321100919E-2</v>
          </cell>
          <cell r="DP71">
            <v>2.302158273381295E-2</v>
          </cell>
          <cell r="DQ71">
            <v>1.7147310989867499E-2</v>
          </cell>
          <cell r="DR71">
            <v>2.0525815647766867E-2</v>
          </cell>
          <cell r="DT71">
            <v>2.143064002316826E-2</v>
          </cell>
          <cell r="DU71">
            <v>2.2375215146299483E-2</v>
          </cell>
          <cell r="DV71">
            <v>2.0983041103765449E-2</v>
          </cell>
          <cell r="DW71">
            <v>1.3952561291608531E-2</v>
          </cell>
          <cell r="DX71">
            <v>1.8945475563547622E-2</v>
          </cell>
          <cell r="DZ71">
            <v>2.127013065937405E-2</v>
          </cell>
          <cell r="EA71">
            <v>1.8928363424577752E-2</v>
          </cell>
          <cell r="EB71">
            <v>1.7498565691336777E-2</v>
          </cell>
          <cell r="EC71">
            <v>1.2072036414011479E-2</v>
          </cell>
          <cell r="ED71">
            <v>1.6675317934077342E-2</v>
          </cell>
          <cell r="EF71">
            <v>1.6901408450704224E-2</v>
          </cell>
          <cell r="EG71">
            <v>1.6755096341803964E-2</v>
          </cell>
          <cell r="EH71">
            <v>1.5602836879432624E-2</v>
          </cell>
          <cell r="EI71">
            <v>9.765625E-3</v>
          </cell>
          <cell r="EJ71">
            <v>1.4262170385395538E-2</v>
          </cell>
          <cell r="EK71" t="str">
            <v>Interest Expense, net</v>
          </cell>
          <cell r="EL71">
            <v>1.4831090359791266E-2</v>
          </cell>
          <cell r="EM71">
            <v>1.4904775048302512E-2</v>
          </cell>
          <cell r="EN71">
            <v>2.6102610261026102E-2</v>
          </cell>
          <cell r="EO71">
            <v>1.5045449796259535E-2</v>
          </cell>
          <cell r="EP71">
            <v>1.7731129968736044E-2</v>
          </cell>
          <cell r="ER71">
            <v>2.3271500843170319E-2</v>
          </cell>
          <cell r="ES71">
            <v>1.9349457881567972E-2</v>
          </cell>
          <cell r="ET71">
            <v>1.7669045191980971E-2</v>
          </cell>
          <cell r="EU71">
            <v>1.1245769188776067E-2</v>
          </cell>
          <cell r="EV71">
            <v>1.7093066370040787E-2</v>
          </cell>
          <cell r="EX71">
            <v>2.1111298767100151E-2</v>
          </cell>
          <cell r="EY71">
            <v>2.3251866938221316E-2</v>
          </cell>
          <cell r="EZ71">
            <v>2.4551303758889264E-2</v>
          </cell>
          <cell r="FA71">
            <v>1.5824994181987434E-2</v>
          </cell>
          <cell r="FB71">
            <v>2.0636187435868203E-2</v>
          </cell>
          <cell r="FD71">
            <v>2.3664520619453629E-2</v>
          </cell>
          <cell r="FE71">
            <v>2.4134312696747113E-2</v>
          </cell>
          <cell r="FF71">
            <v>2.60331330784635E-2</v>
          </cell>
          <cell r="FG71">
            <v>1.8023695487774136E-2</v>
          </cell>
          <cell r="FH71">
            <v>2.2497187851518559E-2</v>
          </cell>
          <cell r="FJ71">
            <v>2.6664145234493192E-2</v>
          </cell>
          <cell r="FK71">
            <v>2.6300851466414379E-2</v>
          </cell>
          <cell r="FL71">
            <v>2.544103992571959E-2</v>
          </cell>
          <cell r="FM71">
            <v>1.7512914199319642E-2</v>
          </cell>
          <cell r="FN71">
            <v>2.3268466206319314E-2</v>
          </cell>
          <cell r="FP71">
            <v>2.9063509149623249E-2</v>
          </cell>
          <cell r="FQ71">
            <v>2.3478417915838903E-2</v>
          </cell>
          <cell r="FR71">
            <v>2.9165925662457761E-2</v>
          </cell>
          <cell r="FS71">
            <v>1.4270165679042206E-2</v>
          </cell>
          <cell r="FT71">
            <v>2.2957245130584329E-2</v>
          </cell>
          <cell r="FV71">
            <v>1.9697741552046188E-2</v>
          </cell>
          <cell r="FW71">
            <v>1.869001515406634E-2</v>
          </cell>
          <cell r="FX71">
            <v>1.8452075858534086E-2</v>
          </cell>
          <cell r="FY71">
            <v>1.2379642365887207E-2</v>
          </cell>
          <cell r="FZ71">
            <v>1.677712554440447E-2</v>
          </cell>
          <cell r="GB71">
            <v>1.8232134136415432E-2</v>
          </cell>
          <cell r="GC71">
            <v>1.7162471395881007E-2</v>
          </cell>
          <cell r="GD71">
            <v>1.7615406893202082E-2</v>
          </cell>
          <cell r="GE71">
            <v>1.2172632499990378E-2</v>
          </cell>
          <cell r="GF71">
            <v>1.5811449048425012E-2</v>
          </cell>
        </row>
        <row r="72">
          <cell r="A72" t="str">
            <v>Pretax Income</v>
          </cell>
          <cell r="K72">
            <v>6.7361237820676165E-3</v>
          </cell>
          <cell r="L72">
            <v>2.1767271032489204E-2</v>
          </cell>
          <cell r="N72">
            <v>1.3822362118516491E-2</v>
          </cell>
          <cell r="O72">
            <v>2.9731005191127889E-2</v>
          </cell>
          <cell r="P72">
            <v>6.2943495400788432E-2</v>
          </cell>
          <cell r="Q72">
            <v>7.5691506671005535E-2</v>
          </cell>
          <cell r="R72">
            <v>8.6468276249298148E-2</v>
          </cell>
          <cell r="S72">
            <v>8.2341627599471084E-2</v>
          </cell>
          <cell r="T72">
            <v>4.9414000633512832E-2</v>
          </cell>
          <cell r="U72">
            <v>6.7304604713891214E-2</v>
          </cell>
          <cell r="V72">
            <v>7.0334804048793151E-2</v>
          </cell>
          <cell r="W72">
            <v>7.074036511156187E-2</v>
          </cell>
          <cell r="X72">
            <v>9.1290754801250554E-2</v>
          </cell>
          <cell r="Y72">
            <v>5.0982573229514272E-2</v>
          </cell>
          <cell r="Z72">
            <v>5.0165317523657507E-2</v>
          </cell>
          <cell r="AA72">
            <v>1.783705608227543E-2</v>
          </cell>
          <cell r="AB72">
            <v>2.1217827997489013E-2</v>
          </cell>
          <cell r="AC72">
            <v>5.2793664760228773E-2</v>
          </cell>
          <cell r="AD72">
            <v>7.4531338761598176E-2</v>
          </cell>
          <cell r="AE72">
            <v>8.063284020767035E-2</v>
          </cell>
          <cell r="AF72">
            <v>8.251184985014931E-2</v>
          </cell>
          <cell r="AG72">
            <v>8.8892927229904967E-2</v>
          </cell>
          <cell r="AH72">
            <v>8.9196935128004098E-2</v>
          </cell>
          <cell r="AI72">
            <v>9.0592510381722585E-2</v>
          </cell>
          <cell r="AJ72">
            <v>9.3138202226614425E-2</v>
          </cell>
          <cell r="AK72">
            <v>9.5029152202447398E-2</v>
          </cell>
          <cell r="AL72">
            <v>9.6343291549782287E-2</v>
          </cell>
          <cell r="AN72" t="str">
            <v>Pretax Income</v>
          </cell>
          <cell r="AO72">
            <v>-9.0163223218439878E-2</v>
          </cell>
          <cell r="AP72">
            <v>-0.12220487490266711</v>
          </cell>
          <cell r="AQ72">
            <v>-6.8728084842250486E-2</v>
          </cell>
          <cell r="AR72">
            <v>-4.2722085061616032E-2</v>
          </cell>
          <cell r="AS72">
            <v>-7.6701526732841571E-2</v>
          </cell>
          <cell r="AU72">
            <v>-5.3355708699343932E-2</v>
          </cell>
          <cell r="AV72">
            <v>-0.14065250514292904</v>
          </cell>
          <cell r="AW72">
            <v>-4.6809031067335062E-2</v>
          </cell>
          <cell r="AX72">
            <v>-0.69561674772520654</v>
          </cell>
          <cell r="AY72">
            <v>-0.27021375085956034</v>
          </cell>
          <cell r="BA72">
            <v>1.4618324059028203E-2</v>
          </cell>
          <cell r="BB72">
            <v>-1.5426032725505995E-2</v>
          </cell>
          <cell r="BC72">
            <v>3.1043089160492192E-2</v>
          </cell>
          <cell r="BD72">
            <v>7.7794891155674686E-2</v>
          </cell>
          <cell r="BE72">
            <v>3.2769623362680571E-2</v>
          </cell>
          <cell r="BG72">
            <v>2.4938704953092587E-2</v>
          </cell>
          <cell r="BH72">
            <v>1.204229814789173E-2</v>
          </cell>
          <cell r="BI72">
            <v>3.5217387659523307E-2</v>
          </cell>
          <cell r="BJ72">
            <v>0.10522273490933497</v>
          </cell>
          <cell r="BK72">
            <v>5.0872782632487255E-2</v>
          </cell>
          <cell r="BM72">
            <v>3.5115451996243524E-2</v>
          </cell>
          <cell r="BN72">
            <v>6.4325543512310261E-3</v>
          </cell>
          <cell r="BO72">
            <v>4.065577786300785E-2</v>
          </cell>
          <cell r="BP72">
            <v>0.11104631292387993</v>
          </cell>
          <cell r="BQ72">
            <v>5.5494424440059829E-2</v>
          </cell>
          <cell r="BS72">
            <v>-1.7950987066031328E-2</v>
          </cell>
          <cell r="BT72">
            <v>-2.984338747099767E-2</v>
          </cell>
          <cell r="BU72">
            <v>-2.2680904372725637E-2</v>
          </cell>
          <cell r="BV72">
            <v>6.8868998459855821E-2</v>
          </cell>
          <cell r="BW72">
            <v>6.7361237820676122E-3</v>
          </cell>
          <cell r="BY72">
            <v>-2.9032070216726567E-2</v>
          </cell>
          <cell r="BZ72">
            <v>-3.3351493272070855E-2</v>
          </cell>
          <cell r="CA72">
            <v>1.2893247034373114E-2</v>
          </cell>
          <cell r="CB72">
            <v>-0.16441176470588287</v>
          </cell>
          <cell r="CC72">
            <v>-6.752536903383885E-3</v>
          </cell>
          <cell r="CD72">
            <v>9.7221946214493968E-2</v>
          </cell>
          <cell r="CE72">
            <v>7.8835875325267243E-2</v>
          </cell>
          <cell r="CF72">
            <v>2.17672710324892E-2</v>
          </cell>
          <cell r="CG72">
            <v>1.8428552040484762E-2</v>
          </cell>
          <cell r="CH72">
            <v>1.3388614238720465E-2</v>
          </cell>
          <cell r="CJ72">
            <v>-1.7267246341685142E-2</v>
          </cell>
          <cell r="CK72">
            <v>-1.2136794400388754E-2</v>
          </cell>
          <cell r="CL72">
            <v>2.0489877389345192E-2</v>
          </cell>
          <cell r="CM72">
            <v>9.2227383028815668E-2</v>
          </cell>
          <cell r="CN72">
            <v>2.8987918734701083E-2</v>
          </cell>
          <cell r="CP72">
            <v>1.2813679658301928E-2</v>
          </cell>
          <cell r="CQ72">
            <v>3.2610071335707716E-2</v>
          </cell>
          <cell r="CR72">
            <v>4.7002142928070444E-2</v>
          </cell>
          <cell r="CS72">
            <v>0.12369815237437246</v>
          </cell>
          <cell r="CT72">
            <v>6.1161023599734327E-2</v>
          </cell>
          <cell r="CV72">
            <v>3.0980041703902294E-2</v>
          </cell>
          <cell r="CW72">
            <v>5.6333917104495035E-2</v>
          </cell>
          <cell r="CX72">
            <v>5.2142051860202931E-2</v>
          </cell>
          <cell r="CY72">
            <v>0.13528009535160906</v>
          </cell>
          <cell r="CZ72">
            <v>7.5691506671005535E-2</v>
          </cell>
          <cell r="DB72">
            <v>4.1666666666666664E-2</v>
          </cell>
          <cell r="DC72">
            <v>5.8162755866200698E-2</v>
          </cell>
          <cell r="DD72">
            <v>5.1003142373700752E-2</v>
          </cell>
          <cell r="DE72">
            <v>0.12589988280596015</v>
          </cell>
          <cell r="DF72">
            <v>7.5976518401445023E-2</v>
          </cell>
          <cell r="DH72">
            <v>5.5975370836831795E-2</v>
          </cell>
          <cell r="DI72">
            <v>8.8067409622179946E-2</v>
          </cell>
          <cell r="DJ72">
            <v>4.8915917503966157E-2</v>
          </cell>
          <cell r="DK72">
            <v>0.11795146324054247</v>
          </cell>
          <cell r="DL72">
            <v>8.2341627599471084E-2</v>
          </cell>
          <cell r="DN72">
            <v>2.81214848143982E-2</v>
          </cell>
          <cell r="DO72">
            <v>3.8704128440366969E-2</v>
          </cell>
          <cell r="DP72">
            <v>1.3237410071942447E-2</v>
          </cell>
          <cell r="DQ72">
            <v>9.7233047544816834E-2</v>
          </cell>
          <cell r="DR72">
            <v>4.9414000633512832E-2</v>
          </cell>
          <cell r="DT72">
            <v>4.2571676802780192E-2</v>
          </cell>
          <cell r="DU72">
            <v>6.3683304647160072E-2</v>
          </cell>
          <cell r="DV72">
            <v>3.3055475711411327E-2</v>
          </cell>
          <cell r="DW72">
            <v>0.1124177795495316</v>
          </cell>
          <cell r="DX72">
            <v>6.7304604713891214E-2</v>
          </cell>
          <cell r="DZ72">
            <v>2.3093284715891827E-2</v>
          </cell>
          <cell r="EA72">
            <v>5.7949912638322658E-2</v>
          </cell>
          <cell r="EB72">
            <v>3.2128514056224897E-2</v>
          </cell>
          <cell r="EC72">
            <v>0.13793785869780328</v>
          </cell>
          <cell r="ED72">
            <v>7.0334804048793151E-2</v>
          </cell>
          <cell r="EF72">
            <v>4.4225352112676058E-2</v>
          </cell>
          <cell r="EG72">
            <v>3.518570231778833E-2</v>
          </cell>
          <cell r="EH72">
            <v>3.4042553191489362E-2</v>
          </cell>
          <cell r="EI72">
            <v>0.13925781249999999</v>
          </cell>
          <cell r="EJ72">
            <v>7.074036511156187E-2</v>
          </cell>
          <cell r="EK72" t="str">
            <v>Pretax Income</v>
          </cell>
          <cell r="EL72">
            <v>5.4380664652567974E-2</v>
          </cell>
          <cell r="EM72">
            <v>6.5415401600883244E-2</v>
          </cell>
          <cell r="EN72">
            <v>9.7569756975697572E-2</v>
          </cell>
          <cell r="EO72">
            <v>0.11148260369867308</v>
          </cell>
          <cell r="EP72">
            <v>9.1290754801250554E-2</v>
          </cell>
          <cell r="ER72">
            <v>-1.9898819561551432E-2</v>
          </cell>
          <cell r="ES72">
            <v>5.104253544620517E-2</v>
          </cell>
          <cell r="ET72">
            <v>5.0968399592252805E-3</v>
          </cell>
          <cell r="EU72">
            <v>0.12632383447974671</v>
          </cell>
          <cell r="EV72">
            <v>5.0982573229514272E-2</v>
          </cell>
          <cell r="EX72">
            <v>1.4017902381354501E-2</v>
          </cell>
          <cell r="EY72">
            <v>1.9178547182620503E-2</v>
          </cell>
          <cell r="EZ72">
            <v>6.4341347781916693E-3</v>
          </cell>
          <cell r="FA72">
            <v>0.12636723295322319</v>
          </cell>
          <cell r="FB72">
            <v>5.0165317523657507E-2</v>
          </cell>
          <cell r="FD72">
            <v>-1.8444405776927093E-2</v>
          </cell>
          <cell r="FE72">
            <v>2.1161245190626093E-2</v>
          </cell>
          <cell r="FF72">
            <v>-1.3653741125068269E-2</v>
          </cell>
          <cell r="FG72">
            <v>6.3524073607259895E-2</v>
          </cell>
          <cell r="FH72">
            <v>1.783705608227543E-2</v>
          </cell>
          <cell r="FJ72">
            <v>-4.8222390317700453E-2</v>
          </cell>
          <cell r="FK72">
            <v>2.0624408703878903E-2</v>
          </cell>
          <cell r="FL72">
            <v>-1.5227483751160632E-2</v>
          </cell>
          <cell r="FM72">
            <v>9.2604258535970777E-2</v>
          </cell>
          <cell r="FN72">
            <v>2.1217827997489013E-2</v>
          </cell>
          <cell r="FP72">
            <v>7.3555794761392176E-3</v>
          </cell>
          <cell r="FQ72">
            <v>4.3344771536933356E-2</v>
          </cell>
          <cell r="FR72">
            <v>2.3119331317801887E-3</v>
          </cell>
          <cell r="FS72">
            <v>0.12407788124319749</v>
          </cell>
          <cell r="FT72">
            <v>5.2793664760228773E-2</v>
          </cell>
          <cell r="FV72">
            <v>3.6338937001188655E-2</v>
          </cell>
          <cell r="FW72">
            <v>6.6509513386091929E-2</v>
          </cell>
          <cell r="FX72">
            <v>3.1266017426960536E-2</v>
          </cell>
          <cell r="FY72">
            <v>0.13480055020632736</v>
          </cell>
          <cell r="FZ72">
            <v>7.4531338761598176E-2</v>
          </cell>
          <cell r="GB72">
            <v>4.5417548429106301E-2</v>
          </cell>
          <cell r="GC72">
            <v>7.3389996730957835E-2</v>
          </cell>
          <cell r="GD72">
            <v>2.877496066701165E-2</v>
          </cell>
          <cell r="GE72">
            <v>0.14206041616912413</v>
          </cell>
          <cell r="GF72">
            <v>8.063284020767035E-2</v>
          </cell>
        </row>
        <row r="73">
          <cell r="A73" t="str">
            <v>Tax Rate</v>
          </cell>
          <cell r="K73">
            <v>0.60127905086949873</v>
          </cell>
          <cell r="L73">
            <v>0.51102235320759348</v>
          </cell>
          <cell r="N73">
            <v>0.62871287128712872</v>
          </cell>
          <cell r="O73">
            <v>0.3968253968253968</v>
          </cell>
          <cell r="P73">
            <v>0.39979123173277664</v>
          </cell>
          <cell r="Q73">
            <v>0.411006018916595</v>
          </cell>
          <cell r="R73">
            <v>0.40476190476190477</v>
          </cell>
          <cell r="S73">
            <v>0.40072992700729926</v>
          </cell>
          <cell r="T73">
            <v>0.3923076923076923</v>
          </cell>
          <cell r="U73">
            <v>0.39122137404580154</v>
          </cell>
          <cell r="V73">
            <v>0.39575645756457567</v>
          </cell>
          <cell r="W73">
            <v>0.38261648745519711</v>
          </cell>
          <cell r="X73">
            <v>0.37446604203916711</v>
          </cell>
          <cell r="Y73">
            <v>0.37218181818181817</v>
          </cell>
          <cell r="Z73">
            <v>0.37045454545454548</v>
          </cell>
          <cell r="AA73">
            <v>-0.30405405405405406</v>
          </cell>
          <cell r="AB73">
            <v>0.35108481262327418</v>
          </cell>
          <cell r="AC73">
            <v>0.35833333333333334</v>
          </cell>
          <cell r="AD73">
            <v>0.36178861788617889</v>
          </cell>
          <cell r="AE73">
            <v>0.36939105039562631</v>
          </cell>
          <cell r="AF73">
            <v>0.37</v>
          </cell>
          <cell r="AG73">
            <v>0.37</v>
          </cell>
          <cell r="AH73">
            <v>0.37</v>
          </cell>
          <cell r="AI73">
            <v>0.37</v>
          </cell>
          <cell r="AJ73">
            <v>0.37</v>
          </cell>
          <cell r="AK73">
            <v>0.37</v>
          </cell>
          <cell r="AL73">
            <v>0.37000000000000005</v>
          </cell>
          <cell r="AN73" t="str">
            <v>Tax Rate</v>
          </cell>
          <cell r="AO73">
            <v>0.30655992636034635</v>
          </cell>
          <cell r="AP73">
            <v>0.32220952871325365</v>
          </cell>
          <cell r="AQ73">
            <v>0.28537438768369477</v>
          </cell>
          <cell r="AR73">
            <v>1.4266644556836074</v>
          </cell>
          <cell r="AS73">
            <v>0.50448064169287754</v>
          </cell>
          <cell r="AU73">
            <v>0.24532451951351503</v>
          </cell>
          <cell r="AV73">
            <v>0.31634185759102562</v>
          </cell>
          <cell r="AW73">
            <v>0.23748624862486259</v>
          </cell>
          <cell r="AX73">
            <v>0.34189261006299915</v>
          </cell>
          <cell r="AY73">
            <v>0.32777388961936449</v>
          </cell>
          <cell r="BA73">
            <v>0.48589832869080435</v>
          </cell>
          <cell r="BB73">
            <v>0.29761110369678312</v>
          </cell>
          <cell r="BC73">
            <v>0.43131358602683062</v>
          </cell>
          <cell r="BD73">
            <v>0.40273902542974843</v>
          </cell>
          <cell r="BE73">
            <v>0.42800001724085901</v>
          </cell>
          <cell r="BG73">
            <v>0.45283542197231325</v>
          </cell>
          <cell r="BH73">
            <v>0.51064065004698544</v>
          </cell>
          <cell r="BI73">
            <v>0.4521304451321117</v>
          </cell>
          <cell r="BJ73">
            <v>0.40911280691456015</v>
          </cell>
          <cell r="BK73">
            <v>0.42619228886834615</v>
          </cell>
          <cell r="BM73">
            <v>0.44509884962457674</v>
          </cell>
          <cell r="BN73">
            <v>0.63260933086589088</v>
          </cell>
          <cell r="BO73">
            <v>0.43393841911764702</v>
          </cell>
          <cell r="BP73">
            <v>0.4075239013559816</v>
          </cell>
          <cell r="BQ73">
            <v>0.42286578665581953</v>
          </cell>
          <cell r="BS73">
            <v>0.29756541524459623</v>
          </cell>
          <cell r="BT73">
            <v>0.3342634196535757</v>
          </cell>
          <cell r="BU73">
            <v>0.32588900578642815</v>
          </cell>
          <cell r="BV73">
            <v>0.40580022039281777</v>
          </cell>
          <cell r="BW73">
            <v>0.60127905086949907</v>
          </cell>
          <cell r="BY73">
            <v>0.34293586019274108</v>
          </cell>
          <cell r="BZ73">
            <v>0.33897187616854652</v>
          </cell>
          <cell r="CA73">
            <v>0.49055374592834178</v>
          </cell>
          <cell r="CB73">
            <v>0</v>
          </cell>
          <cell r="CC73">
            <v>-0.83299751096360775</v>
          </cell>
          <cell r="CD73">
            <v>0.44173485688386088</v>
          </cell>
          <cell r="CE73">
            <v>0.41058345359620158</v>
          </cell>
          <cell r="CF73">
            <v>0.51102235320759359</v>
          </cell>
          <cell r="CG73">
            <v>0.47207543951378311</v>
          </cell>
          <cell r="CH73">
            <v>0.63186995905199972</v>
          </cell>
          <cell r="CJ73">
            <v>0.33461416991262155</v>
          </cell>
          <cell r="CK73">
            <v>0.31778725539387892</v>
          </cell>
          <cell r="CL73">
            <v>0.43474733269326737</v>
          </cell>
          <cell r="CM73">
            <v>0.3772043733216186</v>
          </cell>
          <cell r="CN73">
            <v>0.39770714314838579</v>
          </cell>
          <cell r="CP73">
            <v>0.44923654510907951</v>
          </cell>
          <cell r="CQ73">
            <v>0.41055267902341852</v>
          </cell>
          <cell r="CR73">
            <v>0.40304288318577025</v>
          </cell>
          <cell r="CS73">
            <v>0.394370270015513</v>
          </cell>
          <cell r="CT73">
            <v>0.40036627743167497</v>
          </cell>
          <cell r="CV73">
            <v>0.42082692307692304</v>
          </cell>
          <cell r="CW73">
            <v>0.44559585492227977</v>
          </cell>
          <cell r="CX73">
            <v>0.40540540540540543</v>
          </cell>
          <cell r="CY73">
            <v>0.40088105726872247</v>
          </cell>
          <cell r="CZ73">
            <v>0.41080481513327599</v>
          </cell>
          <cell r="DB73">
            <v>0.42</v>
          </cell>
          <cell r="DC73">
            <v>0.41201716738197425</v>
          </cell>
          <cell r="DD73">
            <v>0.41706161137440756</v>
          </cell>
          <cell r="DE73">
            <v>0.40425531914893614</v>
          </cell>
          <cell r="DF73">
            <v>0.40936106983655274</v>
          </cell>
          <cell r="DH73">
            <v>0.41</v>
          </cell>
          <cell r="DI73">
            <v>0.40123456790123457</v>
          </cell>
          <cell r="DJ73">
            <v>0.41081081081081083</v>
          </cell>
          <cell r="DK73">
            <v>0.39485627836611198</v>
          </cell>
          <cell r="DL73">
            <v>0.40072992700729926</v>
          </cell>
          <cell r="DN73">
            <v>0.42</v>
          </cell>
          <cell r="DO73">
            <v>0.40740740740740738</v>
          </cell>
          <cell r="DP73">
            <v>0.43478260869565216</v>
          </cell>
          <cell r="DQ73">
            <v>0.37875751503006011</v>
          </cell>
          <cell r="DR73">
            <v>0.3923076923076923</v>
          </cell>
          <cell r="DT73">
            <v>0.39455782312925169</v>
          </cell>
          <cell r="DU73">
            <v>0.40090090090090091</v>
          </cell>
          <cell r="DV73">
            <v>0.34782608695652173</v>
          </cell>
          <cell r="DW73">
            <v>0.3953900709219858</v>
          </cell>
          <cell r="DX73">
            <v>0.39122137404580154</v>
          </cell>
          <cell r="DZ73">
            <v>0.39473684210526316</v>
          </cell>
          <cell r="EA73">
            <v>0.39698492462311558</v>
          </cell>
          <cell r="EB73">
            <v>0.4017857142857143</v>
          </cell>
          <cell r="EC73">
            <v>0.39454806312769009</v>
          </cell>
          <cell r="ED73">
            <v>0.39575645756457567</v>
          </cell>
          <cell r="EF73">
            <v>0.38216560509554143</v>
          </cell>
          <cell r="EG73">
            <v>0.38095238095238093</v>
          </cell>
          <cell r="EH73">
            <v>0.38333333333333336</v>
          </cell>
          <cell r="EI73">
            <v>0.38288920056100983</v>
          </cell>
          <cell r="EJ73">
            <v>0.38261648745519711</v>
          </cell>
          <cell r="EK73" t="str">
            <v>Tax Rate</v>
          </cell>
          <cell r="EL73">
            <v>0.377</v>
          </cell>
          <cell r="EM73">
            <v>0.37552742616033757</v>
          </cell>
          <cell r="EN73">
            <v>0.37410071942446044</v>
          </cell>
          <cell r="EO73">
            <v>0.37394564198687907</v>
          </cell>
          <cell r="EP73">
            <v>0.37446604203916711</v>
          </cell>
          <cell r="ER73">
            <v>0.3728813559322034</v>
          </cell>
          <cell r="ES73">
            <v>0.375</v>
          </cell>
          <cell r="ET73">
            <v>0.33333333333333331</v>
          </cell>
          <cell r="EU73">
            <v>0.37251512532411407</v>
          </cell>
          <cell r="EV73">
            <v>0.37218181818181817</v>
          </cell>
          <cell r="EX73">
            <v>0.37349397590361444</v>
          </cell>
          <cell r="EY73">
            <v>0.34513274336283184</v>
          </cell>
          <cell r="EZ73">
            <v>0.13157894736842105</v>
          </cell>
          <cell r="FA73">
            <v>0.38121546961325969</v>
          </cell>
          <cell r="FB73">
            <v>0.375</v>
          </cell>
          <cell r="FD73">
            <v>0.44339622641509435</v>
          </cell>
          <cell r="FE73">
            <v>0.39669421487603307</v>
          </cell>
          <cell r="FF73">
            <v>0.41333333333333333</v>
          </cell>
          <cell r="FG73">
            <v>-0.20833333333333334</v>
          </cell>
          <cell r="FH73">
            <v>-0.30405405405405406</v>
          </cell>
          <cell r="FJ73">
            <v>0.65490196078431373</v>
          </cell>
          <cell r="FK73">
            <v>0.93577981651376152</v>
          </cell>
          <cell r="FL73">
            <v>0.57317073170731703</v>
          </cell>
          <cell r="FM73">
            <v>0.39455782312925169</v>
          </cell>
          <cell r="FN73">
            <v>0.35108481262327418</v>
          </cell>
          <cell r="FP73">
            <v>0.43902439024390244</v>
          </cell>
          <cell r="FQ73">
            <v>0.38750000000000001</v>
          </cell>
          <cell r="FR73">
            <v>0.23076923076923078</v>
          </cell>
          <cell r="FS73">
            <v>0.34990253411306044</v>
          </cell>
          <cell r="FT73">
            <v>0.35833333333333334</v>
          </cell>
          <cell r="FV73">
            <v>0.38785046728971961</v>
          </cell>
          <cell r="FW73">
            <v>0.38987341772151901</v>
          </cell>
          <cell r="FX73">
            <v>0.24043715846994534</v>
          </cell>
          <cell r="FY73">
            <v>0.36649659863945577</v>
          </cell>
          <cell r="FZ73">
            <v>0.36178861788617889</v>
          </cell>
          <cell r="GB73">
            <v>0.35125448028673834</v>
          </cell>
          <cell r="GC73">
            <v>0.37861915367483295</v>
          </cell>
          <cell r="GD73">
            <v>0.36999999999999994</v>
          </cell>
          <cell r="GE73">
            <v>0.37</v>
          </cell>
          <cell r="GF73">
            <v>0.36939105039562631</v>
          </cell>
        </row>
        <row r="74">
          <cell r="A74" t="str">
            <v>Effective Tax rate</v>
          </cell>
          <cell r="N74">
            <v>0.62871287128712872</v>
          </cell>
          <cell r="O74">
            <v>0.3968253968253968</v>
          </cell>
          <cell r="P74">
            <v>0.39979123173277664</v>
          </cell>
          <cell r="Q74">
            <v>0.411006018916595</v>
          </cell>
          <cell r="R74">
            <v>0.40476190476190477</v>
          </cell>
          <cell r="S74">
            <v>0.40072992700729926</v>
          </cell>
          <cell r="T74">
            <v>0.3923076923076923</v>
          </cell>
          <cell r="U74">
            <v>0.39122137404580154</v>
          </cell>
          <cell r="V74">
            <v>0.39575645756457567</v>
          </cell>
          <cell r="W74">
            <v>0.38261648745519711</v>
          </cell>
          <cell r="X74">
            <v>0.37446604203916711</v>
          </cell>
          <cell r="Y74">
            <v>0.37218181818181817</v>
          </cell>
          <cell r="Z74">
            <v>0.37045454545454548</v>
          </cell>
          <cell r="AA74">
            <v>-0.30405405405405406</v>
          </cell>
          <cell r="AB74">
            <v>0.35108481262327418</v>
          </cell>
          <cell r="AC74">
            <v>0.35833333333333334</v>
          </cell>
          <cell r="AD74">
            <v>0.36178861788617889</v>
          </cell>
          <cell r="AE74">
            <v>0.36939105039562631</v>
          </cell>
          <cell r="AF74">
            <v>0.37</v>
          </cell>
          <cell r="AG74">
            <v>0.37</v>
          </cell>
          <cell r="AH74">
            <v>0.37</v>
          </cell>
          <cell r="AI74">
            <v>0.37</v>
          </cell>
          <cell r="AJ74">
            <v>0.37</v>
          </cell>
          <cell r="AK74">
            <v>0.37</v>
          </cell>
          <cell r="AL74">
            <v>0.37000000000000005</v>
          </cell>
          <cell r="AN74" t="str">
            <v>Effective Tax rate</v>
          </cell>
          <cell r="EF74">
            <v>0.38216560509554143</v>
          </cell>
          <cell r="EG74">
            <v>0.38095238095238093</v>
          </cell>
          <cell r="EH74">
            <v>0.38333333333333336</v>
          </cell>
          <cell r="EI74">
            <v>0.38288920056100983</v>
          </cell>
          <cell r="EK74" t="str">
            <v>Effective Tax rate</v>
          </cell>
          <cell r="EL74">
            <v>0.377</v>
          </cell>
          <cell r="EM74">
            <v>0.37552742616033757</v>
          </cell>
          <cell r="EN74">
            <v>0.37410071942446044</v>
          </cell>
          <cell r="EO74">
            <v>0.37394564198687907</v>
          </cell>
          <cell r="EP74">
            <v>0.37446604203916711</v>
          </cell>
          <cell r="ER74">
            <v>0.3728813559322034</v>
          </cell>
          <cell r="ES74">
            <v>0.375</v>
          </cell>
          <cell r="ET74">
            <v>0.33333333333333331</v>
          </cell>
          <cell r="EU74">
            <v>0.37251512532411407</v>
          </cell>
          <cell r="EV74">
            <v>0.37218181818181817</v>
          </cell>
          <cell r="EX74">
            <v>0.37815126050420167</v>
          </cell>
          <cell r="EY74">
            <v>0.3619047619047619</v>
          </cell>
          <cell r="EZ74">
            <v>0.4</v>
          </cell>
          <cell r="FA74">
            <v>0.375</v>
          </cell>
          <cell r="FB74">
            <v>0.37483263750443169</v>
          </cell>
          <cell r="FD74">
            <v>0.37</v>
          </cell>
          <cell r="FE74">
            <v>0.37</v>
          </cell>
          <cell r="FF74">
            <v>0.37</v>
          </cell>
          <cell r="FG74">
            <v>0.37</v>
          </cell>
          <cell r="FH74">
            <v>0.37</v>
          </cell>
          <cell r="FJ74">
            <v>0.37</v>
          </cell>
          <cell r="FK74">
            <v>0.37</v>
          </cell>
          <cell r="FL74">
            <v>0.37</v>
          </cell>
          <cell r="FM74">
            <v>0.37</v>
          </cell>
          <cell r="FN74">
            <v>0.37</v>
          </cell>
          <cell r="FP74">
            <v>0.37</v>
          </cell>
          <cell r="FQ74">
            <v>0.37</v>
          </cell>
          <cell r="FR74">
            <v>0.37</v>
          </cell>
          <cell r="FS74">
            <v>0.37</v>
          </cell>
          <cell r="FT74">
            <v>0.37</v>
          </cell>
          <cell r="FV74">
            <v>0.37</v>
          </cell>
          <cell r="FW74">
            <v>0.37</v>
          </cell>
          <cell r="FX74">
            <v>0.37</v>
          </cell>
          <cell r="FY74">
            <v>0.38</v>
          </cell>
          <cell r="FZ74">
            <v>0.38</v>
          </cell>
          <cell r="GB74">
            <v>0.37</v>
          </cell>
          <cell r="GC74">
            <v>0.37</v>
          </cell>
          <cell r="GD74">
            <v>0.37</v>
          </cell>
          <cell r="GE74">
            <v>0.37</v>
          </cell>
          <cell r="GF74">
            <v>0.37</v>
          </cell>
        </row>
        <row r="75">
          <cell r="A75" t="str">
            <v>Statutory Tax Rate</v>
          </cell>
          <cell r="N75">
            <v>0.35</v>
          </cell>
          <cell r="O75">
            <v>0.35</v>
          </cell>
          <cell r="P75">
            <v>0.35</v>
          </cell>
          <cell r="Q75">
            <v>0.35</v>
          </cell>
          <cell r="R75">
            <v>0.35</v>
          </cell>
          <cell r="S75">
            <v>0.35</v>
          </cell>
          <cell r="T75">
            <v>0.35</v>
          </cell>
          <cell r="U75">
            <v>0.35</v>
          </cell>
          <cell r="V75">
            <v>0.35</v>
          </cell>
          <cell r="W75">
            <v>0.35</v>
          </cell>
          <cell r="X75">
            <v>0.35</v>
          </cell>
          <cell r="Y75">
            <v>0.35</v>
          </cell>
          <cell r="Z75">
            <v>0.35</v>
          </cell>
          <cell r="AA75">
            <v>0.35</v>
          </cell>
          <cell r="AB75">
            <v>0.35</v>
          </cell>
          <cell r="AC75">
            <v>0.35</v>
          </cell>
          <cell r="AD75">
            <v>0.35</v>
          </cell>
          <cell r="AE75">
            <v>0.35</v>
          </cell>
          <cell r="AF75">
            <v>0.35</v>
          </cell>
          <cell r="AG75">
            <v>0.35</v>
          </cell>
          <cell r="AH75">
            <v>0.35</v>
          </cell>
          <cell r="AI75">
            <v>0.35</v>
          </cell>
          <cell r="AJ75">
            <v>0.35</v>
          </cell>
          <cell r="AK75">
            <v>0.35</v>
          </cell>
          <cell r="AL75">
            <v>0.35</v>
          </cell>
          <cell r="AN75" t="str">
            <v>Statutory Tax Rate</v>
          </cell>
          <cell r="DH75">
            <v>0.35</v>
          </cell>
          <cell r="DI75">
            <v>0.35</v>
          </cell>
          <cell r="DJ75">
            <v>0.35</v>
          </cell>
          <cell r="DK75">
            <v>0.35</v>
          </cell>
          <cell r="DL75">
            <v>0.35</v>
          </cell>
          <cell r="DN75">
            <v>0.35</v>
          </cell>
          <cell r="DO75">
            <v>0.35</v>
          </cell>
          <cell r="DP75">
            <v>0.35</v>
          </cell>
          <cell r="DQ75">
            <v>0.35</v>
          </cell>
          <cell r="DR75">
            <v>0.35</v>
          </cell>
          <cell r="DT75">
            <v>0.35</v>
          </cell>
          <cell r="DU75">
            <v>0.35</v>
          </cell>
          <cell r="DV75">
            <v>0.35</v>
          </cell>
          <cell r="DW75">
            <v>0.35</v>
          </cell>
          <cell r="DX75">
            <v>0.35</v>
          </cell>
          <cell r="DZ75">
            <v>0.35</v>
          </cell>
          <cell r="EA75">
            <v>0.35</v>
          </cell>
          <cell r="EB75">
            <v>0.35</v>
          </cell>
          <cell r="EC75">
            <v>0.35</v>
          </cell>
          <cell r="ED75">
            <v>0.35</v>
          </cell>
          <cell r="EF75">
            <v>0.35</v>
          </cell>
          <cell r="EG75">
            <v>0.35</v>
          </cell>
          <cell r="EH75">
            <v>0.35</v>
          </cell>
          <cell r="EI75">
            <v>0.35</v>
          </cell>
          <cell r="EJ75">
            <v>0.35</v>
          </cell>
          <cell r="EK75" t="str">
            <v>Statutory Tax Rate</v>
          </cell>
          <cell r="EL75">
            <v>0.35</v>
          </cell>
          <cell r="EM75">
            <v>0.35</v>
          </cell>
          <cell r="EN75">
            <v>0.35</v>
          </cell>
          <cell r="EO75">
            <v>0.35</v>
          </cell>
          <cell r="EP75">
            <v>0.35</v>
          </cell>
          <cell r="ER75">
            <v>0.35</v>
          </cell>
          <cell r="ES75">
            <v>0.35</v>
          </cell>
          <cell r="ET75">
            <v>0.35</v>
          </cell>
          <cell r="EU75">
            <v>0.35</v>
          </cell>
          <cell r="EV75">
            <v>0.35</v>
          </cell>
          <cell r="EX75">
            <v>0.35</v>
          </cell>
          <cell r="EY75">
            <v>0.35</v>
          </cell>
          <cell r="EZ75">
            <v>0.35</v>
          </cell>
          <cell r="FA75">
            <v>0.35</v>
          </cell>
          <cell r="FB75">
            <v>0.35</v>
          </cell>
          <cell r="FD75">
            <v>0.35</v>
          </cell>
          <cell r="FE75">
            <v>0.35</v>
          </cell>
          <cell r="FF75">
            <v>0.35</v>
          </cell>
          <cell r="FG75">
            <v>0.35</v>
          </cell>
          <cell r="FH75">
            <v>0.35</v>
          </cell>
          <cell r="FJ75">
            <v>0.35</v>
          </cell>
          <cell r="FK75">
            <v>0.35</v>
          </cell>
          <cell r="FL75">
            <v>0.35</v>
          </cell>
          <cell r="FM75">
            <v>0.35</v>
          </cell>
          <cell r="FN75">
            <v>0.35</v>
          </cell>
          <cell r="FP75">
            <v>0.35</v>
          </cell>
          <cell r="FQ75">
            <v>0.35</v>
          </cell>
          <cell r="FR75">
            <v>0.35</v>
          </cell>
          <cell r="FS75">
            <v>0.35</v>
          </cell>
          <cell r="FT75">
            <v>0.35</v>
          </cell>
          <cell r="FV75">
            <v>0.35</v>
          </cell>
          <cell r="FW75">
            <v>0.35</v>
          </cell>
          <cell r="FX75">
            <v>0.35</v>
          </cell>
          <cell r="FY75">
            <v>0.35</v>
          </cell>
          <cell r="FZ75">
            <v>0.35</v>
          </cell>
          <cell r="GB75">
            <v>0.35</v>
          </cell>
          <cell r="GC75">
            <v>0.35</v>
          </cell>
          <cell r="GD75">
            <v>0.35</v>
          </cell>
          <cell r="GE75">
            <v>0.35</v>
          </cell>
          <cell r="GF75">
            <v>0.35</v>
          </cell>
        </row>
        <row r="76">
          <cell r="A76" t="str">
            <v>Net Income, Reported</v>
          </cell>
          <cell r="K76">
            <v>2.6858336678465423E-3</v>
          </cell>
          <cell r="L76">
            <v>1.064370896655909E-2</v>
          </cell>
          <cell r="N76">
            <v>5.1320651430135488E-3</v>
          </cell>
          <cell r="O76">
            <v>1.7932987258140631E-2</v>
          </cell>
          <cell r="P76">
            <v>3.521681997371879E-2</v>
          </cell>
          <cell r="Q76">
            <v>4.3084933289944678E-2</v>
          </cell>
          <cell r="R76">
            <v>4.959760434212989E-2</v>
          </cell>
          <cell r="S76">
            <v>-1.1059021517009255E-2</v>
          </cell>
          <cell r="T76">
            <v>-1.7484954070319924E-2</v>
          </cell>
          <cell r="U76">
            <v>5.2533555969430351E-2</v>
          </cell>
          <cell r="V76">
            <v>4.4964962366986765E-2</v>
          </cell>
          <cell r="W76">
            <v>4.3673935091277892E-2</v>
          </cell>
          <cell r="X76">
            <v>6.2822305050109079E-2</v>
          </cell>
          <cell r="Y76">
            <v>3.6888209121245831E-2</v>
          </cell>
          <cell r="Z76">
            <v>3.3937597385322843E-2</v>
          </cell>
          <cell r="AA76">
            <v>-0.19295355937650652</v>
          </cell>
          <cell r="AB76">
            <v>1.3768570830717723E-2</v>
          </cell>
          <cell r="AC76">
            <v>3.2220133583969926E-2</v>
          </cell>
          <cell r="AD76">
            <v>4.7566748721832988E-2</v>
          </cell>
          <cell r="AE76">
            <v>5.0847790666976311E-2</v>
          </cell>
          <cell r="AF76">
            <v>5.1982465405594071E-2</v>
          </cell>
          <cell r="AG76">
            <v>5.6002544154840128E-2</v>
          </cell>
          <cell r="AH76">
            <v>5.6194069130642586E-2</v>
          </cell>
          <cell r="AI76">
            <v>5.707328154048523E-2</v>
          </cell>
          <cell r="AJ76">
            <v>5.867706740276709E-2</v>
          </cell>
          <cell r="AK76">
            <v>5.9868365887541859E-2</v>
          </cell>
          <cell r="AL76">
            <v>6.0696273676362836E-2</v>
          </cell>
          <cell r="AN76" t="str">
            <v>Net Income, Reported</v>
          </cell>
          <cell r="AO76">
            <v>-6.2522792148183473E-2</v>
          </cell>
          <cell r="AP76">
            <v>-8.2829299753816629E-2</v>
          </cell>
          <cell r="AQ76">
            <v>-4.9114849713720231E-2</v>
          </cell>
          <cell r="AR76">
            <v>1.8227995168483186E-2</v>
          </cell>
          <cell r="AS76">
            <v>-3.8007091307834251E-2</v>
          </cell>
          <cell r="AU76">
            <v>-4.0266245099374307E-2</v>
          </cell>
          <cell r="AV76">
            <v>-9.6158230391183569E-2</v>
          </cell>
          <cell r="AW76">
            <v>-3.5692529877389009E-2</v>
          </cell>
          <cell r="AX76">
            <v>-0.45779052224190087</v>
          </cell>
          <cell r="AY76">
            <v>-0.17974176910106457</v>
          </cell>
          <cell r="BA76">
            <v>7.5153048304858238E-3</v>
          </cell>
          <cell r="BB76">
            <v>-1.083507410040546E-2</v>
          </cell>
          <cell r="BC76">
            <v>1.765378305332967E-2</v>
          </cell>
          <cell r="BD76">
            <v>4.6463852508224907E-2</v>
          </cell>
          <cell r="BE76">
            <v>1.8744223998476833E-2</v>
          </cell>
          <cell r="BG76">
            <v>1.3645575972215886E-2</v>
          </cell>
          <cell r="BH76">
            <v>5.8930111935926888E-3</v>
          </cell>
          <cell r="BI76">
            <v>1.9294534500632898E-2</v>
          </cell>
          <cell r="BJ76">
            <v>6.2174766479350253E-2</v>
          </cell>
          <cell r="BK76">
            <v>2.9191194961245663E-2</v>
          </cell>
          <cell r="BM76">
            <v>1.9485604708668485E-2</v>
          </cell>
          <cell r="BN76">
            <v>2.3632604473402918E-3</v>
          </cell>
          <cell r="BO76">
            <v>2.3013673889135992E-2</v>
          </cell>
          <cell r="BP76">
            <v>6.5792286249943224E-2</v>
          </cell>
          <cell r="BQ76">
            <v>3.2027730994201996E-2</v>
          </cell>
          <cell r="BS76">
            <v>-1.2609394145677338E-2</v>
          </cell>
          <cell r="BT76">
            <v>-1.9867834720895313E-2</v>
          </cell>
          <cell r="BU76">
            <v>-1.5289446996361027E-2</v>
          </cell>
          <cell r="BV76">
            <v>4.09219437066137E-2</v>
          </cell>
          <cell r="BW76">
            <v>2.6858336678465379E-3</v>
          </cell>
          <cell r="BY76">
            <v>-1.9075932243777384E-2</v>
          </cell>
          <cell r="BZ76">
            <v>-2.2046275024614342E-2</v>
          </cell>
          <cell r="CA76">
            <v>6.568416404481899E-3</v>
          </cell>
          <cell r="CB76">
            <v>-0.16441176470588287</v>
          </cell>
          <cell r="CC76">
            <v>-1.2377383336592569E-2</v>
          </cell>
          <cell r="CD76">
            <v>5.4275623717464055E-2</v>
          </cell>
          <cell r="CE76">
            <v>4.6467169366939447E-2</v>
          </cell>
          <cell r="CF76">
            <v>1.0643708966559084E-2</v>
          </cell>
          <cell r="CG76">
            <v>9.7288852363702893E-3</v>
          </cell>
          <cell r="CH76">
            <v>4.9287511079372367E-3</v>
          </cell>
          <cell r="CJ76">
            <v>-1.1489381040385417E-2</v>
          </cell>
          <cell r="CK76">
            <v>-8.2798758186094137E-3</v>
          </cell>
          <cell r="CL76">
            <v>1.1581957847115281E-2</v>
          </cell>
          <cell r="CM76">
            <v>5.7438810810338373E-2</v>
          </cell>
          <cell r="CN76">
            <v>1.7459216388905543E-2</v>
          </cell>
          <cell r="CP76">
            <v>7.0573064784718795E-3</v>
          </cell>
          <cell r="CQ76">
            <v>1.9221919185688125E-2</v>
          </cell>
          <cell r="CR76">
            <v>2.8058263726431273E-2</v>
          </cell>
          <cell r="CS76">
            <v>7.4915278622071119E-2</v>
          </cell>
          <cell r="CT76">
            <v>3.6674212257197879E-2</v>
          </cell>
          <cell r="CV76">
            <v>1.7942806076854334E-2</v>
          </cell>
          <cell r="CW76">
            <v>3.1231757151196731E-2</v>
          </cell>
          <cell r="CX76">
            <v>3.1003382187147689E-2</v>
          </cell>
          <cell r="CY76">
            <v>8.1048867699642438E-2</v>
          </cell>
          <cell r="CZ76">
            <v>4.4597071265863979E-2</v>
          </cell>
          <cell r="DB76">
            <v>2.4166666666666666E-2</v>
          </cell>
          <cell r="DC76">
            <v>3.4198701947079378E-2</v>
          </cell>
          <cell r="DD76">
            <v>2.9731689630166789E-2</v>
          </cell>
          <cell r="DE76">
            <v>7.5004185501423071E-2</v>
          </cell>
          <cell r="DF76">
            <v>4.4874689546172949E-2</v>
          </cell>
          <cell r="DH76">
            <v>2.4909040022390149E-2</v>
          </cell>
          <cell r="DI76">
            <v>1.7124218537646098E-2</v>
          </cell>
          <cell r="DJ76">
            <v>-0.17662612374405076</v>
          </cell>
          <cell r="DK76">
            <v>5.9243397573162028E-2</v>
          </cell>
          <cell r="DL76">
            <v>-1.1059021517009255E-2</v>
          </cell>
          <cell r="DN76">
            <v>1.6310461192350956E-2</v>
          </cell>
          <cell r="DO76">
            <v>3.153669724770642E-2</v>
          </cell>
          <cell r="DP76">
            <v>8.6330935251798565E-4</v>
          </cell>
          <cell r="DQ76">
            <v>-8.7100545596258766E-2</v>
          </cell>
          <cell r="DR76">
            <v>-1.7484954070319924E-2</v>
          </cell>
          <cell r="DT76">
            <v>2.5774688676513176E-2</v>
          </cell>
          <cell r="DU76">
            <v>8.0895008605851984E-2</v>
          </cell>
          <cell r="DV76">
            <v>3.046852543834435E-2</v>
          </cell>
          <cell r="DW76">
            <v>6.796890572055013E-2</v>
          </cell>
          <cell r="DX76">
            <v>5.2533555969430351E-2</v>
          </cell>
          <cell r="DZ76">
            <v>1.3977514433302947E-2</v>
          </cell>
          <cell r="EA76">
            <v>3.4944670937682006E-2</v>
          </cell>
          <cell r="EB76">
            <v>1.9219736087205966E-2</v>
          </cell>
          <cell r="EC76">
            <v>9.1035028695824263E-2</v>
          </cell>
          <cell r="ED76">
            <v>4.4964962366986765E-2</v>
          </cell>
          <cell r="EF76">
            <v>2.7323943661971831E-2</v>
          </cell>
          <cell r="EG76">
            <v>2.1781625244345154E-2</v>
          </cell>
          <cell r="EH76">
            <v>2.099290780141844E-2</v>
          </cell>
          <cell r="EI76">
            <v>8.59375E-2</v>
          </cell>
          <cell r="EJ76">
            <v>4.3673935091277892E-2</v>
          </cell>
          <cell r="EK76" t="str">
            <v>Net Income, Reported</v>
          </cell>
          <cell r="EL76">
            <v>3.3879154078549849E-2</v>
          </cell>
          <cell r="EM76">
            <v>4.0850124206458734E-2</v>
          </cell>
          <cell r="EN76">
            <v>7.8530586871636804E-2</v>
          </cell>
          <cell r="EO76">
            <v>7.3033120886009828E-2</v>
          </cell>
          <cell r="EP76">
            <v>6.2822305050109079E-2</v>
          </cell>
          <cell r="ER76">
            <v>-8.7689713322091061E-3</v>
          </cell>
          <cell r="ES76">
            <v>5.2856547122602168E-2</v>
          </cell>
          <cell r="ET76">
            <v>-5.0968399592252807E-4</v>
          </cell>
          <cell r="EU76">
            <v>8.0030571023037456E-2</v>
          </cell>
          <cell r="EV76">
            <v>3.6888209121245831E-2</v>
          </cell>
          <cell r="EX76">
            <v>6.0800540449248439E-3</v>
          </cell>
          <cell r="EY76">
            <v>1.2559402579769178E-2</v>
          </cell>
          <cell r="EZ76">
            <v>5.5875380968506607E-3</v>
          </cell>
          <cell r="FA76">
            <v>8.7270188503607168E-2</v>
          </cell>
          <cell r="FB76">
            <v>3.3937597385322843E-2</v>
          </cell>
          <cell r="FD76">
            <v>-1.0266225856968854E-2</v>
          </cell>
          <cell r="FE76">
            <v>1.2766701643931445E-2</v>
          </cell>
          <cell r="FF76">
            <v>-8.0101947933733843E-3</v>
          </cell>
          <cell r="FG76">
            <v>-0.60158810184018152</v>
          </cell>
          <cell r="FH76">
            <v>-0.19295355937650652</v>
          </cell>
          <cell r="FJ76">
            <v>-1.6641452344931921E-2</v>
          </cell>
          <cell r="FK76">
            <v>1.3245033112582781E-3</v>
          </cell>
          <cell r="FL76">
            <v>-6.4995357474466105E-3</v>
          </cell>
          <cell r="FM76">
            <v>5.6066523875519719E-2</v>
          </cell>
          <cell r="FN76">
            <v>1.3768570830717723E-2</v>
          </cell>
          <cell r="FP76">
            <v>4.1263006817366344E-3</v>
          </cell>
          <cell r="FQ76">
            <v>2.6548672566371681E-2</v>
          </cell>
          <cell r="FR76">
            <v>1.7784101013693758E-3</v>
          </cell>
          <cell r="FS76">
            <v>8.0662716168823312E-2</v>
          </cell>
          <cell r="FT76">
            <v>3.3875934887813465E-2</v>
          </cell>
          <cell r="FV76">
            <v>2.2244863304465953E-2</v>
          </cell>
          <cell r="FW76">
            <v>4.0579222091261156E-2</v>
          </cell>
          <cell r="FX76">
            <v>2.3748505040150351E-2</v>
          </cell>
          <cell r="FY76">
            <v>8.5396607060981206E-2</v>
          </cell>
          <cell r="FZ76">
            <v>4.7566748721832988E-2</v>
          </cell>
          <cell r="GB76">
            <v>2.9464431059742797E-2</v>
          </cell>
          <cell r="GC76">
            <v>4.5603138280483818E-2</v>
          </cell>
          <cell r="GD76">
            <v>1.8128225220217339E-2</v>
          </cell>
          <cell r="GE76">
            <v>8.9498062186548211E-2</v>
          </cell>
          <cell r="GF76">
            <v>5.0847790666976311E-2</v>
          </cell>
        </row>
        <row r="78">
          <cell r="A78" t="str">
            <v>% Change</v>
          </cell>
          <cell r="AN78" t="str">
            <v>% Change</v>
          </cell>
        </row>
        <row r="79">
          <cell r="A79" t="str">
            <v>Sales</v>
          </cell>
          <cell r="C79" t="str">
            <v>--</v>
          </cell>
          <cell r="D79" t="str">
            <v>--</v>
          </cell>
          <cell r="E79" t="str">
            <v>--</v>
          </cell>
          <cell r="F79">
            <v>-2.935599258637267E-2</v>
          </cell>
          <cell r="G79">
            <v>2.1294160701975429E-2</v>
          </cell>
          <cell r="H79">
            <v>2.1111051631644839E-2</v>
          </cell>
          <cell r="I79">
            <v>6.6128669492348191E-2</v>
          </cell>
          <cell r="K79" t="str">
            <v xml:space="preserve">--  </v>
          </cell>
          <cell r="L79">
            <v>2.164244790716352E-2</v>
          </cell>
          <cell r="N79" t="str">
            <v>NA</v>
          </cell>
          <cell r="O79">
            <v>1.4985630217599466E-2</v>
          </cell>
          <cell r="P79">
            <v>2.6090473943234604E-2</v>
          </cell>
          <cell r="Q79">
            <v>9.5269382391589552E-3</v>
          </cell>
          <cell r="R79">
            <v>4.3215099251545652E-2</v>
          </cell>
          <cell r="S79">
            <v>3.7993636533782515E-2</v>
          </cell>
          <cell r="T79">
            <v>-5.126818127178745E-2</v>
          </cell>
          <cell r="U79">
            <v>-1.3557174532784266E-2</v>
          </cell>
          <cell r="V79">
            <v>-1.0211290218996805E-2</v>
          </cell>
          <cell r="W79">
            <v>2.361796003114458E-2</v>
          </cell>
          <cell r="X79">
            <v>0.41924442190669375</v>
          </cell>
          <cell r="Y79">
            <v>0.20455560518088434</v>
          </cell>
          <cell r="Z79">
            <v>-2.4360400444938812E-2</v>
          </cell>
          <cell r="AA79">
            <v>-5.4003724394785846E-2</v>
          </cell>
          <cell r="AB79">
            <v>-4.0053029085650005E-2</v>
          </cell>
          <cell r="AC79">
            <v>4.6369533375183014E-2</v>
          </cell>
          <cell r="AD79">
            <v>5.60732712074552E-2</v>
          </cell>
          <cell r="AE79">
            <v>4.8961204520547419E-2</v>
          </cell>
          <cell r="AF79">
            <v>2.3867294306323394E-2</v>
          </cell>
          <cell r="AG79">
            <v>1.9271419022529823E-2</v>
          </cell>
          <cell r="AH79">
            <v>1.0360976857347159E-2</v>
          </cell>
          <cell r="AI79">
            <v>1.0000000000000009E-2</v>
          </cell>
          <cell r="AJ79">
            <v>1.0000000000000009E-2</v>
          </cell>
          <cell r="AK79">
            <v>1.0000000000000009E-2</v>
          </cell>
          <cell r="AL79">
            <v>1.0000000000000009E-2</v>
          </cell>
          <cell r="AN79" t="str">
            <v>Sales</v>
          </cell>
          <cell r="AU79">
            <v>1.86046804069262E-3</v>
          </cell>
          <cell r="AV79">
            <v>-1.9629781109162359E-2</v>
          </cell>
          <cell r="AW79">
            <v>-3.3058964187159479E-2</v>
          </cell>
          <cell r="AX79">
            <v>-5.5011636021012E-2</v>
          </cell>
          <cell r="AY79">
            <v>-2.935599258637267E-2</v>
          </cell>
          <cell r="BA79">
            <v>-1.3614121583839567E-2</v>
          </cell>
          <cell r="BB79">
            <v>-2.5760441466214368E-2</v>
          </cell>
          <cell r="BC79">
            <v>4.6851163408529795E-2</v>
          </cell>
          <cell r="BD79">
            <v>5.9869931498505169E-2</v>
          </cell>
          <cell r="BE79">
            <v>2.1294160701975429E-2</v>
          </cell>
          <cell r="BG79">
            <v>1.1791495464221979E-2</v>
          </cell>
          <cell r="BH79">
            <v>3.0933042000752087E-2</v>
          </cell>
          <cell r="BI79">
            <v>1.9564384993575601E-4</v>
          </cell>
          <cell r="BJ79">
            <v>3.7800425987538633E-2</v>
          </cell>
          <cell r="BK79">
            <v>2.1111051631644839E-2</v>
          </cell>
          <cell r="BM79">
            <v>3.9850112465956933E-2</v>
          </cell>
          <cell r="BN79">
            <v>6.2446082242552547E-2</v>
          </cell>
          <cell r="BO79">
            <v>7.6842814149548744E-2</v>
          </cell>
          <cell r="BP79">
            <v>7.8120367498969223E-2</v>
          </cell>
          <cell r="BQ79">
            <v>6.6128669492348191E-2</v>
          </cell>
          <cell r="BS79" t="str">
            <v xml:space="preserve"> --  </v>
          </cell>
          <cell r="BT79" t="str">
            <v xml:space="preserve"> --  </v>
          </cell>
          <cell r="BU79" t="str">
            <v xml:space="preserve"> --  </v>
          </cell>
          <cell r="BV79" t="str">
            <v xml:space="preserve"> --  </v>
          </cell>
          <cell r="BW79" t="str">
            <v xml:space="preserve"> --  </v>
          </cell>
          <cell r="BY79">
            <v>1.7020422055820328E-2</v>
          </cell>
          <cell r="BZ79">
            <v>3.9647877712569946E-2</v>
          </cell>
          <cell r="CA79">
            <v>-5.6887192030066203E-3</v>
          </cell>
          <cell r="CC79">
            <v>0.11804838036151044</v>
          </cell>
          <cell r="CD79">
            <v>3.3347469922546225E-2</v>
          </cell>
          <cell r="CE79">
            <v>0.1751746612798819</v>
          </cell>
          <cell r="CF79">
            <v>2.164244790716352E-2</v>
          </cell>
          <cell r="CG79">
            <v>6.8016932452651169E-2</v>
          </cell>
          <cell r="CH79">
            <v>9.8290990037587012E-2</v>
          </cell>
          <cell r="CJ79">
            <v>0.10464972292558983</v>
          </cell>
          <cell r="CK79">
            <v>7.7856252051197838E-2</v>
          </cell>
          <cell r="CL79">
            <v>-3.7141754186954423E-2</v>
          </cell>
          <cell r="CM79">
            <v>-4.3674523732644466E-2</v>
          </cell>
          <cell r="CN79">
            <v>1.2014698867654605E-2</v>
          </cell>
          <cell r="CP79">
            <v>3.2838791771442555E-2</v>
          </cell>
          <cell r="CQ79">
            <v>5.1336569811840205E-2</v>
          </cell>
          <cell r="CR79">
            <v>3.799456270565793E-2</v>
          </cell>
          <cell r="CS79">
            <v>4.9966653147852647E-3</v>
          </cell>
          <cell r="CT79">
            <v>2.8844771112862544E-2</v>
          </cell>
          <cell r="CZ79">
            <v>-1.9358307391376894E-2</v>
          </cell>
          <cell r="DF79">
            <v>4.3215099251545652E-2</v>
          </cell>
          <cell r="DH79">
            <v>-7.4999999999999512E-3</v>
          </cell>
          <cell r="DI79">
            <v>-8.1627558662006994E-2</v>
          </cell>
          <cell r="DJ79">
            <v>-8.5810974135847262E-2</v>
          </cell>
          <cell r="DK79">
            <v>-6.1778001004520355E-2</v>
          </cell>
          <cell r="DL79">
            <v>-6.0848950101603072E-2</v>
          </cell>
          <cell r="DN79">
            <v>-4.7579065211307281E-3</v>
          </cell>
          <cell r="DO79">
            <v>-5.191628159826045E-2</v>
          </cell>
          <cell r="DP79">
            <v>-8.1173982020095181E-2</v>
          </cell>
          <cell r="DQ79">
            <v>-8.4225553176302648E-2</v>
          </cell>
          <cell r="DR79">
            <v>-5.126818127178745E-2</v>
          </cell>
          <cell r="DT79">
            <v>-2.8965129358830111E-2</v>
          </cell>
          <cell r="DU79">
            <v>-5.7339449541282672E-4</v>
          </cell>
          <cell r="DV79">
            <v>1.1510791366906581E-3</v>
          </cell>
          <cell r="DW79">
            <v>-2.2408417770849565E-2</v>
          </cell>
          <cell r="DX79">
            <v>-1.3557174532784266E-2</v>
          </cell>
          <cell r="DZ79">
            <v>-4.6915725456125101E-2</v>
          </cell>
          <cell r="EA79">
            <v>-1.4916810097532984E-2</v>
          </cell>
          <cell r="EB79">
            <v>2.012072434607548E-3</v>
          </cell>
          <cell r="EC79">
            <v>7.1756029499701057E-3</v>
          </cell>
          <cell r="ED79">
            <v>-1.0211290218996805E-2</v>
          </cell>
          <cell r="EF79">
            <v>7.8699483439683915E-2</v>
          </cell>
          <cell r="EG79">
            <v>4.2807221898660375E-2</v>
          </cell>
          <cell r="EH79">
            <v>1.1187607573149849E-2</v>
          </cell>
          <cell r="EI79">
            <v>1.3259449831783066E-2</v>
          </cell>
          <cell r="EJ79">
            <v>2.361796003114458E-2</v>
          </cell>
          <cell r="EK79" t="str">
            <v>Sales</v>
          </cell>
          <cell r="EL79">
            <v>2.5633802816901419E-2</v>
          </cell>
          <cell r="EM79">
            <v>1.1728567439262871E-2</v>
          </cell>
          <cell r="EN79">
            <v>0.57588652482269498</v>
          </cell>
          <cell r="EO79">
            <v>0.86933593750000004</v>
          </cell>
          <cell r="EP79">
            <v>0.41924442190669375</v>
          </cell>
          <cell r="ER79">
            <v>0.62867344136226322</v>
          </cell>
          <cell r="ES79">
            <v>0.65470604471432514</v>
          </cell>
          <cell r="ET79">
            <v>5.9585958595859578E-2</v>
          </cell>
          <cell r="EU79">
            <v>-4.3046703583742518E-2</v>
          </cell>
          <cell r="EV79">
            <v>0.20455560518088434</v>
          </cell>
          <cell r="EX79">
            <v>-1.5177065767284503E-3</v>
          </cell>
          <cell r="EY79">
            <v>-1.7180984153461254E-2</v>
          </cell>
          <cell r="EZ79">
            <v>3.397893306150257E-3</v>
          </cell>
          <cell r="FA79">
            <v>-6.1687957200567745E-2</v>
          </cell>
          <cell r="FB79">
            <v>-2.4360400444938812E-2</v>
          </cell>
          <cell r="FD79">
            <v>-2.9386927883803371E-2</v>
          </cell>
          <cell r="FE79">
            <v>-2.9531568228105876E-2</v>
          </cell>
          <cell r="FF79">
            <v>-6.9928885878767333E-2</v>
          </cell>
          <cell r="FG79">
            <v>-7.6797765883174329E-2</v>
          </cell>
          <cell r="FH79">
            <v>-5.4003724394785846E-2</v>
          </cell>
          <cell r="FJ79">
            <v>-7.9867757090655966E-2</v>
          </cell>
          <cell r="FK79">
            <v>-7.5725778244141284E-2</v>
          </cell>
          <cell r="FL79">
            <v>-1.9661387220098359E-2</v>
          </cell>
          <cell r="FM79">
            <v>3.7811948575749987E-4</v>
          </cell>
          <cell r="FN79">
            <v>-4.0053029085650005E-2</v>
          </cell>
          <cell r="FP79">
            <v>5.4084720121028829E-2</v>
          </cell>
          <cell r="FQ79">
            <v>4.7682119205298079E-2</v>
          </cell>
          <cell r="FR79">
            <v>4.4196843082636939E-2</v>
          </cell>
          <cell r="FS79">
            <v>4.182940657679235E-2</v>
          </cell>
          <cell r="FT79">
            <v>4.6369533375183014E-2</v>
          </cell>
          <cell r="FV79">
            <v>5.6512378902045191E-2</v>
          </cell>
          <cell r="FW79">
            <v>7.2602492324363332E-2</v>
          </cell>
          <cell r="FX79">
            <v>4.0903432331495626E-2</v>
          </cell>
          <cell r="FY79">
            <v>5.5024791389527206E-2</v>
          </cell>
          <cell r="FZ79">
            <v>5.60732712074552E-2</v>
          </cell>
          <cell r="GB79">
            <v>4.313126167430803E-2</v>
          </cell>
          <cell r="GC79">
            <v>3.0139754167368249E-2</v>
          </cell>
          <cell r="GD79">
            <v>3.7021467099822347E-2</v>
          </cell>
          <cell r="GE79">
            <v>7.372007776590972E-2</v>
          </cell>
          <cell r="GF79">
            <v>4.8961204520547419E-2</v>
          </cell>
        </row>
        <row r="80">
          <cell r="A80" t="str">
            <v>Gross Profit</v>
          </cell>
          <cell r="C80" t="str">
            <v>--</v>
          </cell>
          <cell r="D80" t="str">
            <v>--</v>
          </cell>
          <cell r="E80" t="str">
            <v>--</v>
          </cell>
          <cell r="F80">
            <v>4.3771275428128309E-3</v>
          </cell>
          <cell r="G80">
            <v>3.6276141877347623E-2</v>
          </cell>
          <cell r="H80">
            <v>-3.2492537908579422E-4</v>
          </cell>
          <cell r="I80">
            <v>3.8822485147063324E-2</v>
          </cell>
          <cell r="K80" t="str">
            <v xml:space="preserve">--  </v>
          </cell>
          <cell r="L80">
            <v>2.4104472873397009E-2</v>
          </cell>
          <cell r="N80" t="str">
            <v>NA</v>
          </cell>
          <cell r="O80">
            <v>4.2862266857962794E-2</v>
          </cell>
          <cell r="P80">
            <v>3.5253654342218388E-2</v>
          </cell>
          <cell r="Q80">
            <v>2.109634551495021E-2</v>
          </cell>
          <cell r="R80">
            <v>4.9780380673499325E-2</v>
          </cell>
          <cell r="S80">
            <v>3.5642336897567128E-2</v>
          </cell>
          <cell r="T80">
            <v>-7.4966332485410736E-2</v>
          </cell>
          <cell r="U80">
            <v>1.0514396635393108E-2</v>
          </cell>
          <cell r="V80">
            <v>-1.6007683688170626E-3</v>
          </cell>
          <cell r="W80">
            <v>3.0944364277697645E-2</v>
          </cell>
          <cell r="X80">
            <v>0.418040435458787</v>
          </cell>
          <cell r="Y80">
            <v>0.2010309278350515</v>
          </cell>
          <cell r="Z80">
            <v>-2.8764496393023475E-2</v>
          </cell>
          <cell r="AA80">
            <v>-7.0797292215118435E-2</v>
          </cell>
          <cell r="AB80">
            <v>-2.6914904381260762E-2</v>
          </cell>
          <cell r="AC80">
            <v>5.843818238535925E-2</v>
          </cell>
          <cell r="AD80">
            <v>4.7941841045289424E-2</v>
          </cell>
          <cell r="AE80">
            <v>5.2283106976051208E-2</v>
          </cell>
          <cell r="AF80">
            <v>3.1446708308341842E-2</v>
          </cell>
          <cell r="AG80">
            <v>2.3016391982823015E-2</v>
          </cell>
          <cell r="AH80">
            <v>7.895213474916396E-3</v>
          </cell>
          <cell r="AI80">
            <v>5.0581747329294657E-3</v>
          </cell>
          <cell r="AJ80">
            <v>1.0000000000000009E-2</v>
          </cell>
          <cell r="AK80">
            <v>1.0000000000000231E-2</v>
          </cell>
          <cell r="AL80">
            <v>9.9999999999997868E-3</v>
          </cell>
          <cell r="AN80" t="str">
            <v>Gross Profit</v>
          </cell>
          <cell r="AU80">
            <v>6.5027775722650283E-3</v>
          </cell>
          <cell r="AV80">
            <v>3.7869418072755012E-2</v>
          </cell>
          <cell r="AW80">
            <v>-3.0220771411390679E-2</v>
          </cell>
          <cell r="AX80">
            <v>-2.6005050197239421E-2</v>
          </cell>
          <cell r="AY80">
            <v>-6.1546985500945395E-3</v>
          </cell>
          <cell r="BA80">
            <v>1.1670352425249941E-2</v>
          </cell>
          <cell r="BB80">
            <v>-1.4845097541082208E-2</v>
          </cell>
          <cell r="BC80">
            <v>7.1156503560925177E-2</v>
          </cell>
          <cell r="BD80">
            <v>0.10090327076774308</v>
          </cell>
          <cell r="BE80">
            <v>4.7257609611369489E-2</v>
          </cell>
          <cell r="BG80">
            <v>-6.9087592369292405E-3</v>
          </cell>
          <cell r="BH80">
            <v>2.1705715691430649E-2</v>
          </cell>
          <cell r="BI80">
            <v>-1.8726483357452972E-2</v>
          </cell>
          <cell r="BJ80">
            <v>4.8290496367902058E-3</v>
          </cell>
          <cell r="BK80">
            <v>-3.249253790856832E-4</v>
          </cell>
          <cell r="BM80">
            <v>1.2928263316267063E-2</v>
          </cell>
          <cell r="BN80">
            <v>3.1783854512606569E-2</v>
          </cell>
          <cell r="BO80">
            <v>4.5363312419325119E-2</v>
          </cell>
          <cell r="BP80">
            <v>5.6808313119516063E-2</v>
          </cell>
          <cell r="BQ80">
            <v>3.8822485147063324E-2</v>
          </cell>
          <cell r="BS80" t="str">
            <v xml:space="preserve"> --  </v>
          </cell>
          <cell r="BT80" t="str">
            <v xml:space="preserve"> --  </v>
          </cell>
          <cell r="BU80" t="str">
            <v xml:space="preserve"> --  </v>
          </cell>
          <cell r="BV80" t="str">
            <v xml:space="preserve"> --  </v>
          </cell>
          <cell r="BW80" t="str">
            <v xml:space="preserve"> --  </v>
          </cell>
          <cell r="BY80">
            <v>8.4989805548514319E-3</v>
          </cell>
          <cell r="BZ80">
            <v>6.1027079338339174E-2</v>
          </cell>
          <cell r="CA80">
            <v>-9.7742085728773631E-3</v>
          </cell>
          <cell r="CC80">
            <v>8.6561262946705408E-2</v>
          </cell>
          <cell r="CD80">
            <v>3.642482383578427E-2</v>
          </cell>
          <cell r="CE80">
            <v>0.1941411403085509</v>
          </cell>
          <cell r="CF80">
            <v>2.4104472873397009E-2</v>
          </cell>
          <cell r="CG80">
            <v>5.9100859621379565E-2</v>
          </cell>
          <cell r="CH80">
            <v>8.2881613838603707E-2</v>
          </cell>
          <cell r="CJ80">
            <v>0.1031062421623441</v>
          </cell>
          <cell r="CK80">
            <v>8.8312916724728296E-2</v>
          </cell>
          <cell r="CL80">
            <v>-3.8526770118407772E-4</v>
          </cell>
          <cell r="CM80">
            <v>-7.2087686537662954E-3</v>
          </cell>
          <cell r="CN80">
            <v>3.6671773517589878E-2</v>
          </cell>
          <cell r="CP80">
            <v>2.8127945059764459E-2</v>
          </cell>
          <cell r="CQ80">
            <v>5.0830517089523797E-2</v>
          </cell>
          <cell r="CR80">
            <v>2.8262914436901099E-2</v>
          </cell>
          <cell r="CS80">
            <v>2.7784685130880504E-3</v>
          </cell>
          <cell r="CT80">
            <v>2.4779188020634502E-2</v>
          </cell>
          <cell r="CV80">
            <v>9.6609808005589937E-3</v>
          </cell>
          <cell r="CW80">
            <v>4.0498966885695431E-2</v>
          </cell>
          <cell r="CX80">
            <v>-3.8617692586529473E-2</v>
          </cell>
          <cell r="CY80">
            <v>2.4693053195915082E-2</v>
          </cell>
          <cell r="CZ80">
            <v>9.7666629158388307E-3</v>
          </cell>
          <cell r="DB80">
            <v>6.8164794007490537E-2</v>
          </cell>
          <cell r="DC80">
            <v>0.19730305180979424</v>
          </cell>
          <cell r="DD80">
            <v>0.1995723449750535</v>
          </cell>
          <cell r="DE80">
            <v>0.23849999999999993</v>
          </cell>
          <cell r="DF80">
            <v>0.18317878639986995</v>
          </cell>
          <cell r="DH80">
            <v>-3.5063113604487661E-3</v>
          </cell>
          <cell r="DI80">
            <v>-0.10729104919976284</v>
          </cell>
          <cell r="DJ80">
            <v>-0.11645870469399877</v>
          </cell>
          <cell r="DK80">
            <v>-8.3972547436415024E-2</v>
          </cell>
          <cell r="DL80">
            <v>-8.1121957926577726E-2</v>
          </cell>
          <cell r="DN80">
            <v>-1.6185784658691027E-2</v>
          </cell>
          <cell r="DO80">
            <v>-9.6945551128818086E-2</v>
          </cell>
          <cell r="DP80">
            <v>-9.8184263618022904E-2</v>
          </cell>
          <cell r="DQ80">
            <v>-0.1092992507712649</v>
          </cell>
          <cell r="DR80">
            <v>-7.4966332485410736E-2</v>
          </cell>
          <cell r="DT80">
            <v>-1.6452074391988591E-2</v>
          </cell>
          <cell r="DU80">
            <v>5.5147058823529438E-2</v>
          </cell>
          <cell r="DV80">
            <v>1.9388516032811332E-2</v>
          </cell>
          <cell r="DW80">
            <v>-8.9064819396338368E-3</v>
          </cell>
          <cell r="DX80">
            <v>1.0514396635393108E-2</v>
          </cell>
          <cell r="DZ80">
            <v>-6.2545454545454571E-2</v>
          </cell>
          <cell r="EA80">
            <v>-1.8118466898954688E-2</v>
          </cell>
          <cell r="EB80">
            <v>2.0482809070958341E-2</v>
          </cell>
          <cell r="EC80">
            <v>3.4448327508736831E-2</v>
          </cell>
          <cell r="ED80">
            <v>-1.6007683688170626E-3</v>
          </cell>
          <cell r="EF80">
            <v>0.11016291698991476</v>
          </cell>
          <cell r="EG80">
            <v>5.2519517388218695E-2</v>
          </cell>
          <cell r="EH80">
            <v>1.6487455197132572E-2</v>
          </cell>
          <cell r="EI80">
            <v>1.2548262548262468E-2</v>
          </cell>
          <cell r="EJ80">
            <v>3.0944364277697645E-2</v>
          </cell>
          <cell r="EK80" t="str">
            <v>Gross Profit</v>
          </cell>
          <cell r="EL80">
            <v>2.3759608665268939E-2</v>
          </cell>
          <cell r="EM80">
            <v>9.4403236682401026E-3</v>
          </cell>
          <cell r="EN80">
            <v>0.58180535966149516</v>
          </cell>
          <cell r="EO80">
            <v>0.86510962821734982</v>
          </cell>
          <cell r="EP80">
            <v>0.418040435458787</v>
          </cell>
          <cell r="ER80">
            <v>0.57201365187713304</v>
          </cell>
          <cell r="ES80">
            <v>0.6867067468269874</v>
          </cell>
          <cell r="ET80">
            <v>5.7958091841284087E-2</v>
          </cell>
          <cell r="EU80">
            <v>-4.1656018400204498E-2</v>
          </cell>
          <cell r="EV80">
            <v>0.2010309278350515</v>
          </cell>
          <cell r="EX80">
            <v>2.3447676943117779E-2</v>
          </cell>
          <cell r="EY80">
            <v>-5.5445544554455495E-2</v>
          </cell>
          <cell r="EZ80">
            <v>-2.1913190054782983E-2</v>
          </cell>
          <cell r="FA80">
            <v>-4.720000000000002E-2</v>
          </cell>
          <cell r="FB80">
            <v>-2.8764496393023475E-2</v>
          </cell>
          <cell r="FD80">
            <v>-5.8124734832414093E-2</v>
          </cell>
          <cell r="FE80">
            <v>-5.4507337526205069E-3</v>
          </cell>
          <cell r="FF80">
            <v>-6.5489013356311965E-2</v>
          </cell>
          <cell r="FG80">
            <v>-0.12622446123705566</v>
          </cell>
          <cell r="FH80">
            <v>-7.0797292215118435E-2</v>
          </cell>
          <cell r="FJ80">
            <v>-9.5045045045045073E-2</v>
          </cell>
          <cell r="FK80">
            <v>-8.6003372681281665E-2</v>
          </cell>
          <cell r="FL80">
            <v>-1.152604887044717E-2</v>
          </cell>
          <cell r="FM80">
            <v>5.5733504163997472E-2</v>
          </cell>
          <cell r="FN80">
            <v>-2.6914904381260762E-2</v>
          </cell>
          <cell r="FP80">
            <v>9.3081134892981643E-2</v>
          </cell>
          <cell r="FQ80">
            <v>7.1494464944649394E-2</v>
          </cell>
          <cell r="FR80">
            <v>4.7574626865671599E-2</v>
          </cell>
          <cell r="FS80">
            <v>3.5800970873786309E-2</v>
          </cell>
          <cell r="FT80">
            <v>5.843818238535925E-2</v>
          </cell>
          <cell r="FV80">
            <v>4.8724954462659342E-2</v>
          </cell>
          <cell r="FW80">
            <v>6.8445975032285888E-2</v>
          </cell>
          <cell r="FX80">
            <v>2.8049866429207482E-2</v>
          </cell>
          <cell r="FY80">
            <v>4.6572934973637903E-2</v>
          </cell>
          <cell r="FZ80">
            <v>4.7941841045289424E-2</v>
          </cell>
          <cell r="GB80">
            <v>3.6039947894051183E-2</v>
          </cell>
          <cell r="GC80">
            <v>3.2634971796937862E-2</v>
          </cell>
          <cell r="GD80">
            <v>4.0964529018576501E-2</v>
          </cell>
          <cell r="GE80">
            <v>8.3715870307765616E-2</v>
          </cell>
          <cell r="GF80">
            <v>5.2283106976051208E-2</v>
          </cell>
        </row>
        <row r="81">
          <cell r="A81" t="str">
            <v>SG&amp;A Expenses</v>
          </cell>
          <cell r="C81" t="str">
            <v>--</v>
          </cell>
          <cell r="D81" t="str">
            <v>--</v>
          </cell>
          <cell r="E81" t="str">
            <v>--</v>
          </cell>
          <cell r="F81">
            <v>-5.8849835020142849E-2</v>
          </cell>
          <cell r="G81">
            <v>-1.5232729947342261E-2</v>
          </cell>
          <cell r="H81">
            <v>-3.021377428858929E-2</v>
          </cell>
          <cell r="I81">
            <v>-8.3061205190442244E-3</v>
          </cell>
          <cell r="K81" t="str">
            <v xml:space="preserve">--  </v>
          </cell>
          <cell r="L81">
            <v>-3.9988014314258802E-2</v>
          </cell>
          <cell r="N81" t="str">
            <v>NA</v>
          </cell>
          <cell r="O81">
            <v>1.8318746183594303E-3</v>
          </cell>
          <cell r="P81">
            <v>-4.937017472572125E-2</v>
          </cell>
          <cell r="Q81">
            <v>2.7783714468903042E-3</v>
          </cell>
          <cell r="R81">
            <v>1.449275362318847E-2</v>
          </cell>
          <cell r="S81">
            <v>3.1932773109243806E-2</v>
          </cell>
          <cell r="T81">
            <v>-2.157980456026054E-2</v>
          </cell>
          <cell r="U81">
            <v>6.2421972534332237E-3</v>
          </cell>
          <cell r="V81">
            <v>2.0678246484706619E-4</v>
          </cell>
          <cell r="W81">
            <v>1.9433533181724139E-2</v>
          </cell>
          <cell r="X81">
            <v>0.41553437436625429</v>
          </cell>
          <cell r="Y81">
            <v>0.24326647564469916</v>
          </cell>
          <cell r="Z81">
            <v>-1.4289006683567695E-2</v>
          </cell>
          <cell r="AA81">
            <v>-1.1222819733458067E-2</v>
          </cell>
          <cell r="AB81">
            <v>-3.4878221801844411E-2</v>
          </cell>
          <cell r="AC81">
            <v>1.1882886193801401E-2</v>
          </cell>
          <cell r="AD81">
            <v>2.5423728813558366E-3</v>
          </cell>
          <cell r="AE81">
            <v>3.2895457056668631E-2</v>
          </cell>
          <cell r="AF81">
            <v>2.8840556723293442E-2</v>
          </cell>
          <cell r="AG81">
            <v>1.5986747937983381E-2</v>
          </cell>
          <cell r="AH81">
            <v>7.0944938127868173E-3</v>
          </cell>
          <cell r="AI81">
            <v>6.7240930267471466E-3</v>
          </cell>
          <cell r="AJ81">
            <v>6.7134331383311707E-3</v>
          </cell>
          <cell r="AK81">
            <v>6.7027036483089386E-3</v>
          </cell>
          <cell r="AL81">
            <v>6.691903872772631E-3</v>
          </cell>
          <cell r="AN81" t="str">
            <v>SG&amp;A Expenses</v>
          </cell>
          <cell r="AU81">
            <v>-1.7970858333921758E-2</v>
          </cell>
          <cell r="AV81">
            <v>-4.3370859777825732E-2</v>
          </cell>
          <cell r="AW81">
            <v>-4.885680233851819E-2</v>
          </cell>
          <cell r="AX81">
            <v>-0.10812646337956822</v>
          </cell>
          <cell r="AY81">
            <v>-5.6935471396727388E-2</v>
          </cell>
          <cell r="BA81">
            <v>-5.9676054312083893E-2</v>
          </cell>
          <cell r="BB81">
            <v>-5.4336787028889333E-2</v>
          </cell>
          <cell r="BC81">
            <v>-1.490662329650605E-2</v>
          </cell>
          <cell r="BD81">
            <v>5.3097970099575953E-2</v>
          </cell>
          <cell r="BE81">
            <v>-1.7231747598988156E-2</v>
          </cell>
          <cell r="BG81">
            <v>-1.1720049306384261E-2</v>
          </cell>
          <cell r="BH81">
            <v>-3.149411479950881E-2</v>
          </cell>
          <cell r="BI81">
            <v>-1.6592873571444899E-2</v>
          </cell>
          <cell r="BJ81">
            <v>-5.6537813361945743E-2</v>
          </cell>
          <cell r="BK81">
            <v>-3.021377428858929E-2</v>
          </cell>
          <cell r="BM81">
            <v>-2.4337214952934727E-2</v>
          </cell>
          <cell r="BN81">
            <v>-9.9927988167103354E-3</v>
          </cell>
          <cell r="BO81">
            <v>1.1548493915620961E-2</v>
          </cell>
          <cell r="BP81">
            <v>-1.1683246647691825E-2</v>
          </cell>
          <cell r="BQ81">
            <v>-8.3061205190442244E-3</v>
          </cell>
          <cell r="BS81" t="str">
            <v xml:space="preserve"> --  </v>
          </cell>
          <cell r="BT81" t="str">
            <v xml:space="preserve"> --  </v>
          </cell>
          <cell r="BU81" t="str">
            <v xml:space="preserve"> --  </v>
          </cell>
          <cell r="BV81" t="str">
            <v xml:space="preserve"> --  </v>
          </cell>
          <cell r="BW81" t="str">
            <v xml:space="preserve"> --  </v>
          </cell>
          <cell r="BY81">
            <v>-2.3332298817000052E-2</v>
          </cell>
          <cell r="BZ81">
            <v>-1.4777138934813694E-2</v>
          </cell>
          <cell r="CA81">
            <v>-6.3667545852863383E-2</v>
          </cell>
          <cell r="CC81">
            <v>7.8699904820596966E-2</v>
          </cell>
          <cell r="CD81">
            <v>-5.4079481346700597E-2</v>
          </cell>
          <cell r="CE81">
            <v>7.0586242424796719E-2</v>
          </cell>
          <cell r="CF81">
            <v>-3.9988014314258802E-2</v>
          </cell>
          <cell r="CG81">
            <v>-6.2629764467387883E-3</v>
          </cell>
          <cell r="CH81">
            <v>3.0267979016805002E-2</v>
          </cell>
          <cell r="CJ81">
            <v>7.7672135100503858E-2</v>
          </cell>
          <cell r="CK81">
            <v>4.3166552266297842E-2</v>
          </cell>
          <cell r="CL81">
            <v>-6.9022795685438454E-2</v>
          </cell>
          <cell r="CM81">
            <v>-3.8207828109723896E-2</v>
          </cell>
          <cell r="CN81">
            <v>-2.0739918931514945E-3</v>
          </cell>
          <cell r="CP81">
            <v>1.8299922380784928E-2</v>
          </cell>
          <cell r="CQ81">
            <v>2.5416882109617456E-2</v>
          </cell>
          <cell r="CR81">
            <v>3.1718659615083133E-3</v>
          </cell>
          <cell r="CS81">
            <v>-3.4978053520589136E-2</v>
          </cell>
          <cell r="CT81">
            <v>1.7467615690507365E-3</v>
          </cell>
          <cell r="CV81">
            <v>-1.7174743605248288E-2</v>
          </cell>
          <cell r="CW81">
            <v>-2.6087763438265021E-4</v>
          </cell>
          <cell r="CX81">
            <v>-3.8103199943595567E-2</v>
          </cell>
          <cell r="CY81">
            <v>8.9595609007990795E-3</v>
          </cell>
          <cell r="CZ81">
            <v>-1.1536290016769368E-2</v>
          </cell>
          <cell r="DB81">
            <v>4.0727902946273931E-2</v>
          </cell>
          <cell r="DC81">
            <v>0.19877408056042034</v>
          </cell>
          <cell r="DD81">
            <v>0.20506108202443274</v>
          </cell>
          <cell r="DE81">
            <v>0.29679999999999995</v>
          </cell>
          <cell r="DF81">
            <v>0.18755328218243816</v>
          </cell>
          <cell r="DH81">
            <v>-4.079933388842627E-2</v>
          </cell>
          <cell r="DI81">
            <v>-0.19357195032870711</v>
          </cell>
          <cell r="DJ81">
            <v>-0.11803041274438808</v>
          </cell>
          <cell r="DK81">
            <v>-0.1128932757557064</v>
          </cell>
          <cell r="DL81">
            <v>-0.1184493898061737</v>
          </cell>
          <cell r="DN81">
            <v>1.388888888888884E-2</v>
          </cell>
          <cell r="DO81">
            <v>1.8115942028984477E-3</v>
          </cell>
          <cell r="DP81">
            <v>-2.7093596059113323E-2</v>
          </cell>
          <cell r="DQ81">
            <v>-0.10639777468706535</v>
          </cell>
          <cell r="DR81">
            <v>-2.157980456026054E-2</v>
          </cell>
          <cell r="DT81">
            <v>-1.1986301369863006E-2</v>
          </cell>
          <cell r="DU81">
            <v>2.6220614828209809E-2</v>
          </cell>
          <cell r="DV81">
            <v>-5.0632911392405333E-3</v>
          </cell>
          <cell r="DW81">
            <v>1.2451361867704236E-2</v>
          </cell>
          <cell r="DX81">
            <v>6.2421972534332237E-3</v>
          </cell>
          <cell r="DZ81">
            <v>-1.6464471403812797E-2</v>
          </cell>
          <cell r="EA81">
            <v>0</v>
          </cell>
          <cell r="EB81">
            <v>1.187446988973706E-2</v>
          </cell>
          <cell r="EC81">
            <v>7.6863950807082304E-4</v>
          </cell>
          <cell r="ED81">
            <v>2.0678246484706619E-4</v>
          </cell>
          <cell r="EF81">
            <v>5.2863436123347984E-2</v>
          </cell>
          <cell r="EG81">
            <v>6.3436123348017626E-2</v>
          </cell>
          <cell r="EH81">
            <v>1.1735121542330251E-2</v>
          </cell>
          <cell r="EI81">
            <v>1.5360983102918668E-2</v>
          </cell>
          <cell r="EJ81">
            <v>1.9433533181724139E-2</v>
          </cell>
          <cell r="EK81" t="str">
            <v>SG&amp;A Expenses</v>
          </cell>
          <cell r="EL81">
            <v>1.5062761506276168E-2</v>
          </cell>
          <cell r="EM81">
            <v>-8.2850041425019949E-4</v>
          </cell>
          <cell r="EN81">
            <v>0.63463131731565858</v>
          </cell>
          <cell r="EO81">
            <v>0.95763993948562787</v>
          </cell>
          <cell r="EP81">
            <v>0.41553437436625429</v>
          </cell>
          <cell r="ER81">
            <v>0.77576257213520194</v>
          </cell>
          <cell r="ES81">
            <v>0.75538971807628519</v>
          </cell>
          <cell r="ET81">
            <v>6.1327927014698469E-2</v>
          </cell>
          <cell r="EU81">
            <v>-0.10625965996908815</v>
          </cell>
          <cell r="EV81">
            <v>0.24326647564469916</v>
          </cell>
          <cell r="EX81">
            <v>-1.9034354688950761E-2</v>
          </cell>
          <cell r="EY81">
            <v>-3.7316957959376507E-2</v>
          </cell>
          <cell r="EZ81">
            <v>1.2893982808023008E-2</v>
          </cell>
          <cell r="FA81">
            <v>-1.3402507565931643E-2</v>
          </cell>
          <cell r="FB81">
            <v>-1.4289006683567695E-2</v>
          </cell>
          <cell r="FD81">
            <v>-1.5617605300520587E-2</v>
          </cell>
          <cell r="FE81">
            <v>-4.906771344455052E-4</v>
          </cell>
          <cell r="FF81">
            <v>-1.6973125884017004E-2</v>
          </cell>
          <cell r="FG81">
            <v>-1.1393514460999121E-2</v>
          </cell>
          <cell r="FH81">
            <v>-1.1222819733458067E-2</v>
          </cell>
          <cell r="FJ81">
            <v>-4.5673076923076872E-2</v>
          </cell>
          <cell r="FK81">
            <v>-7.4128620520373056E-2</v>
          </cell>
          <cell r="FL81">
            <v>-1.3908872901678637E-2</v>
          </cell>
          <cell r="FM81">
            <v>-8.8652482269503396E-3</v>
          </cell>
          <cell r="FN81">
            <v>-3.4878221801844411E-2</v>
          </cell>
          <cell r="FP81">
            <v>4.0302267002518821E-3</v>
          </cell>
          <cell r="FQ81">
            <v>3.5524920466595944E-2</v>
          </cell>
          <cell r="FR81">
            <v>6.3229571984435573E-3</v>
          </cell>
          <cell r="FS81">
            <v>4.025044722719251E-3</v>
          </cell>
          <cell r="FT81">
            <v>1.1882886193801401E-2</v>
          </cell>
          <cell r="FV81">
            <v>-1.003512293025588E-2</v>
          </cell>
          <cell r="FW81">
            <v>1.177675371223752E-2</v>
          </cell>
          <cell r="FX81">
            <v>-2.4649589173513786E-2</v>
          </cell>
          <cell r="FY81">
            <v>3.0734966592427693E-2</v>
          </cell>
          <cell r="FZ81">
            <v>2.5423728813558366E-3</v>
          </cell>
          <cell r="GB81">
            <v>1.1150532184490691E-2</v>
          </cell>
          <cell r="GC81">
            <v>1.6700404858299489E-2</v>
          </cell>
          <cell r="GD81">
            <v>5.1542171941152182E-2</v>
          </cell>
          <cell r="GE81">
            <v>4.9003965820669126E-2</v>
          </cell>
          <cell r="GF81">
            <v>3.2895457056668631E-2</v>
          </cell>
        </row>
        <row r="82">
          <cell r="A82" t="str">
            <v>EBITDA</v>
          </cell>
          <cell r="C82" t="str">
            <v>--</v>
          </cell>
          <cell r="D82" t="str">
            <v>--</v>
          </cell>
          <cell r="E82" t="str">
            <v>--</v>
          </cell>
          <cell r="F82" t="str">
            <v>NM</v>
          </cell>
          <cell r="G82">
            <v>0.25511948219509839</v>
          </cell>
          <cell r="H82">
            <v>0.11579253029559311</v>
          </cell>
          <cell r="I82">
            <v>0.24208657072438222</v>
          </cell>
          <cell r="K82" t="str">
            <v xml:space="preserve">--  </v>
          </cell>
          <cell r="L82">
            <v>0.19104509304457218</v>
          </cell>
          <cell r="N82" t="str">
            <v>NA</v>
          </cell>
          <cell r="O82">
            <v>0.22931034482758617</v>
          </cell>
          <cell r="P82">
            <v>0.3541374474053296</v>
          </cell>
          <cell r="Q82">
            <v>7.6644225789746168E-2</v>
          </cell>
          <cell r="R82">
            <v>0.13419913419913421</v>
          </cell>
          <cell r="S82">
            <v>2.714164546225617E-2</v>
          </cell>
          <cell r="T82">
            <v>-0.14739884393063585</v>
          </cell>
          <cell r="U82">
            <v>1.2590799031477085E-2</v>
          </cell>
          <cell r="V82">
            <v>9.0865614538497841E-3</v>
          </cell>
          <cell r="W82">
            <v>5.9715639810426602E-2</v>
          </cell>
          <cell r="X82">
            <v>0.39355992844364929</v>
          </cell>
          <cell r="Y82">
            <v>0.13543003851091151</v>
          </cell>
          <cell r="Z82">
            <v>-4.2962125494629744E-2</v>
          </cell>
          <cell r="AA82">
            <v>-0.20171293561724746</v>
          </cell>
          <cell r="AB82">
            <v>-1.442841287458374E-2</v>
          </cell>
          <cell r="AC82">
            <v>0.15202702702702697</v>
          </cell>
          <cell r="AD82">
            <v>0.13098729227761496</v>
          </cell>
          <cell r="AE82">
            <v>7.4451148577618476E-2</v>
          </cell>
          <cell r="AF82">
            <v>3.5273448529756779E-2</v>
          </cell>
          <cell r="AG82">
            <v>3.7987838047570444E-2</v>
          </cell>
          <cell r="AH82">
            <v>1.0360976857346715E-2</v>
          </cell>
          <cell r="AI82">
            <v>2.7152968378332254E-3</v>
          </cell>
          <cell r="AJ82">
            <v>1.7337626360135916E-2</v>
          </cell>
          <cell r="AK82">
            <v>1.7284703162167681E-2</v>
          </cell>
          <cell r="AL82">
            <v>1.7232537922685198E-2</v>
          </cell>
          <cell r="AN82" t="str">
            <v>EBITDA</v>
          </cell>
          <cell r="AU82" t="str">
            <v xml:space="preserve">NM  </v>
          </cell>
          <cell r="AV82" t="str">
            <v xml:space="preserve">NM  </v>
          </cell>
          <cell r="AW82" t="str">
            <v xml:space="preserve">NM  </v>
          </cell>
          <cell r="AX82" t="str">
            <v xml:space="preserve">NM  </v>
          </cell>
          <cell r="AY82" t="str">
            <v xml:space="preserve">NM  </v>
          </cell>
          <cell r="BA82">
            <v>0.30715301767933378</v>
          </cell>
          <cell r="BB82">
            <v>0.19582595632813016</v>
          </cell>
          <cell r="BC82">
            <v>0.44399266930912384</v>
          </cell>
          <cell r="BD82">
            <v>0.17898938622800387</v>
          </cell>
          <cell r="BE82">
            <v>0.26654996817313736</v>
          </cell>
          <cell r="BG82">
            <v>1.1949263328975057E-2</v>
          </cell>
          <cell r="BH82">
            <v>0.32806541343263529</v>
          </cell>
          <cell r="BI82">
            <v>-2.3925337363195243E-2</v>
          </cell>
          <cell r="BJ82">
            <v>0.16753388482697118</v>
          </cell>
          <cell r="BK82">
            <v>0.10749585674199169</v>
          </cell>
          <cell r="BM82">
            <v>0.17663366060081342</v>
          </cell>
          <cell r="BN82">
            <v>0.24957560913812671</v>
          </cell>
          <cell r="BO82">
            <v>0.18270446147240116</v>
          </cell>
          <cell r="BP82">
            <v>0.21384022994739493</v>
          </cell>
          <cell r="BQ82">
            <v>0.20540555871441057</v>
          </cell>
          <cell r="BS82" t="str">
            <v xml:space="preserve"> --  </v>
          </cell>
          <cell r="BT82" t="str">
            <v xml:space="preserve"> --  </v>
          </cell>
          <cell r="BU82" t="str">
            <v xml:space="preserve"> --  </v>
          </cell>
          <cell r="BV82" t="str">
            <v xml:space="preserve"> --  </v>
          </cell>
          <cell r="BW82" t="str">
            <v xml:space="preserve"> --  </v>
          </cell>
          <cell r="BY82">
            <v>7.2504330246708326E-2</v>
          </cell>
          <cell r="BZ82">
            <v>0.36575001727354395</v>
          </cell>
          <cell r="CA82">
            <v>0.18887628568682002</v>
          </cell>
          <cell r="CC82">
            <v>7.0314332404113333E-2</v>
          </cell>
          <cell r="CD82">
            <v>0.18944747525482786</v>
          </cell>
          <cell r="CE82">
            <v>0.25587278221762366</v>
          </cell>
          <cell r="CF82">
            <v>0.19104509304457218</v>
          </cell>
          <cell r="CG82">
            <v>0.23296276515129999</v>
          </cell>
          <cell r="CH82">
            <v>0.19849724971248839</v>
          </cell>
          <cell r="CJ82">
            <v>0.26127542683937688</v>
          </cell>
          <cell r="CK82">
            <v>0.29837098120557481</v>
          </cell>
          <cell r="CL82">
            <v>0.31803910016453618</v>
          </cell>
          <cell r="CM82">
            <v>4.8110886426154353E-2</v>
          </cell>
          <cell r="CN82">
            <v>0.17340990038484327</v>
          </cell>
          <cell r="CP82">
            <v>0.1030069993090823</v>
          </cell>
          <cell r="CQ82">
            <v>0.16002480753058013</v>
          </cell>
          <cell r="CR82">
            <v>0.13307730885383018</v>
          </cell>
          <cell r="CS82">
            <v>8.8538170625890755E-2</v>
          </cell>
          <cell r="CT82">
            <v>0.11286355453001029</v>
          </cell>
          <cell r="CV82">
            <v>0.14385315104308449</v>
          </cell>
          <cell r="CW82">
            <v>0.18403152938805323</v>
          </cell>
          <cell r="CX82">
            <v>-4.1302135827978592E-3</v>
          </cell>
          <cell r="CY82">
            <v>4.8178009780680986E-2</v>
          </cell>
          <cell r="CZ82">
            <v>7.6604083120670463E-2</v>
          </cell>
          <cell r="DB82">
            <v>0.18452380952380953</v>
          </cell>
          <cell r="DC82">
            <v>0.19385342789598115</v>
          </cell>
          <cell r="DD82">
            <v>0.1908212560386473</v>
          </cell>
          <cell r="DE82">
            <v>0.15121412803532008</v>
          </cell>
          <cell r="DF82">
            <v>0.17316017316017307</v>
          </cell>
          <cell r="DH82" t="str">
            <v>NA</v>
          </cell>
          <cell r="DI82" t="str">
            <v>NA</v>
          </cell>
          <cell r="DJ82" t="str">
            <v>NA</v>
          </cell>
          <cell r="DK82" t="str">
            <v>NA</v>
          </cell>
          <cell r="DL82" t="str">
            <v>NA</v>
          </cell>
          <cell r="DN82">
            <v>-0.10135135135135132</v>
          </cell>
          <cell r="DO82">
            <v>-0.26736111111111116</v>
          </cell>
          <cell r="DP82">
            <v>-0.26008968609865468</v>
          </cell>
          <cell r="DQ82">
            <v>-8.3249749247743199E-2</v>
          </cell>
          <cell r="DR82">
            <v>-0.14739884393063585</v>
          </cell>
          <cell r="DT82">
            <v>-3.2581453634085267E-2</v>
          </cell>
          <cell r="DU82">
            <v>0.1090047393364928</v>
          </cell>
          <cell r="DV82">
            <v>7.575757575757569E-2</v>
          </cell>
          <cell r="DW82">
            <v>-3.5010940919037226E-2</v>
          </cell>
          <cell r="DX82">
            <v>1.2590799031477085E-2</v>
          </cell>
          <cell r="DZ82">
            <v>-0.13471502590673579</v>
          </cell>
          <cell r="EA82">
            <v>-4.4871794871794823E-2</v>
          </cell>
          <cell r="EB82">
            <v>6.4788732394366111E-2</v>
          </cell>
          <cell r="EC82">
            <v>7.8231292517006779E-2</v>
          </cell>
          <cell r="ED82">
            <v>9.0865614538497841E-3</v>
          </cell>
          <cell r="EF82">
            <v>0.23652694610778435</v>
          </cell>
          <cell r="EG82">
            <v>1.5659955257270708E-2</v>
          </cell>
          <cell r="EH82">
            <v>2.9100529100529071E-2</v>
          </cell>
          <cell r="EI82">
            <v>3.0494216614090464E-2</v>
          </cell>
          <cell r="EJ82">
            <v>5.9715639810426602E-2</v>
          </cell>
          <cell r="EK82" t="str">
            <v>EBITDA</v>
          </cell>
          <cell r="EL82">
            <v>3.874092009685226E-2</v>
          </cell>
          <cell r="EM82">
            <v>3.3039647577092435E-2</v>
          </cell>
          <cell r="EN82">
            <v>0.45244215938303345</v>
          </cell>
          <cell r="EO82">
            <v>0.68673469387755093</v>
          </cell>
          <cell r="EP82">
            <v>0.39355992844364929</v>
          </cell>
          <cell r="ER82">
            <v>8.3916083916083961E-2</v>
          </cell>
          <cell r="ES82">
            <v>0.53944562899786774</v>
          </cell>
          <cell r="ET82">
            <v>5.1327433628318486E-2</v>
          </cell>
          <cell r="EU82">
            <v>6.291591046581968E-2</v>
          </cell>
          <cell r="EV82">
            <v>0.13543003851091151</v>
          </cell>
          <cell r="EX82">
            <v>0.23225806451612896</v>
          </cell>
          <cell r="EY82">
            <v>-6.6481994459833826E-2</v>
          </cell>
          <cell r="EZ82">
            <v>-0.12289562289562295</v>
          </cell>
          <cell r="FA82">
            <v>-7.9112122936824125E-2</v>
          </cell>
          <cell r="FB82">
            <v>-4.2962125494629744E-2</v>
          </cell>
          <cell r="FD82">
            <v>-0.20593368237347298</v>
          </cell>
          <cell r="FE82">
            <v>-3.5608308605341255E-2</v>
          </cell>
          <cell r="FF82">
            <v>-0.22456813819577737</v>
          </cell>
          <cell r="FG82">
            <v>-0.26205191594561184</v>
          </cell>
          <cell r="FH82">
            <v>-0.20171293561724746</v>
          </cell>
          <cell r="FJ82">
            <v>-0.28131868131868132</v>
          </cell>
          <cell r="FK82">
            <v>-0.10307692307692307</v>
          </cell>
          <cell r="FL82">
            <v>-3.7128712871287162E-2</v>
          </cell>
          <cell r="FM82">
            <v>0.14321608040200995</v>
          </cell>
          <cell r="FN82">
            <v>-1.442841287458374E-2</v>
          </cell>
          <cell r="FP82">
            <v>0.49847094801223246</v>
          </cell>
          <cell r="FQ82">
            <v>0.12864493996569459</v>
          </cell>
          <cell r="FR82">
            <v>0.2005141388174807</v>
          </cell>
          <cell r="FS82">
            <v>6.5201465201465192E-2</v>
          </cell>
          <cell r="FT82">
            <v>0.15202702702702697</v>
          </cell>
          <cell r="FV82">
            <v>0.2204081632653061</v>
          </cell>
          <cell r="FW82">
            <v>0.17629179331306988</v>
          </cell>
          <cell r="FX82">
            <v>0.2269807280513918</v>
          </cell>
          <cell r="FY82">
            <v>4.9518569463548934E-2</v>
          </cell>
          <cell r="FZ82">
            <v>0.13098729227761496</v>
          </cell>
          <cell r="GB82">
            <v>8.1939799331103735E-2</v>
          </cell>
          <cell r="GC82">
            <v>4.7803617571059442E-2</v>
          </cell>
          <cell r="GD82">
            <v>-2.7896948954977407E-2</v>
          </cell>
          <cell r="GE82">
            <v>0.12346322966193712</v>
          </cell>
          <cell r="GF82">
            <v>7.4451148577618476E-2</v>
          </cell>
        </row>
        <row r="83">
          <cell r="A83" t="str">
            <v>Operating Income</v>
          </cell>
          <cell r="C83" t="str">
            <v>--</v>
          </cell>
          <cell r="D83" t="str">
            <v>--</v>
          </cell>
          <cell r="E83" t="str">
            <v>--</v>
          </cell>
          <cell r="F83">
            <v>1.2260584584199381</v>
          </cell>
          <cell r="G83">
            <v>0.45706091331758403</v>
          </cell>
          <cell r="H83">
            <v>0.16469753714355728</v>
          </cell>
          <cell r="I83">
            <v>0.25548377242026232</v>
          </cell>
          <cell r="K83" t="str">
            <v xml:space="preserve">--  </v>
          </cell>
          <cell r="L83">
            <v>0.4567216509641896</v>
          </cell>
          <cell r="N83" t="str">
            <v>NA</v>
          </cell>
          <cell r="O83">
            <v>0.3469079939668176</v>
          </cell>
          <cell r="P83">
            <v>0.50167973124300103</v>
          </cell>
          <cell r="Q83">
            <v>8.5011185682326573E-2</v>
          </cell>
          <cell r="R83">
            <v>0.16357388316151211</v>
          </cell>
          <cell r="S83">
            <v>4.6072061429415223E-2</v>
          </cell>
          <cell r="T83">
            <v>-0.2230378317334839</v>
          </cell>
          <cell r="U83">
            <v>2.5436046511627897E-2</v>
          </cell>
          <cell r="V83">
            <v>-7.795889440113446E-3</v>
          </cell>
          <cell r="W83">
            <v>7.071428571428573E-2</v>
          </cell>
          <cell r="X83">
            <v>0.42628418945963986</v>
          </cell>
          <cell r="Y83">
            <v>6.3143124415341534E-2</v>
          </cell>
          <cell r="Z83">
            <v>-8.4029916410030769E-2</v>
          </cell>
          <cell r="AA83">
            <v>-0.31556195965417866</v>
          </cell>
          <cell r="AB83">
            <v>2.0350877192982564E-2</v>
          </cell>
          <cell r="AC83">
            <v>0.31980742778541948</v>
          </cell>
          <cell r="AD83">
            <v>0.24335591453882222</v>
          </cell>
          <cell r="AE83">
            <v>0.11957109062333027</v>
          </cell>
          <cell r="AF83">
            <v>3.9791523239996573E-2</v>
          </cell>
          <cell r="AG83">
            <v>4.528803078121646E-2</v>
          </cell>
          <cell r="AH83">
            <v>1.0360976857346937E-2</v>
          </cell>
          <cell r="AI83">
            <v>-5.5325270158723683E-5</v>
          </cell>
          <cell r="AJ83">
            <v>2.0156440430671108E-2</v>
          </cell>
          <cell r="AK83">
            <v>2.005532527015963E-2</v>
          </cell>
          <cell r="AL83">
            <v>1.9956203620788981E-2</v>
          </cell>
          <cell r="AN83" t="str">
            <v>Operating Income</v>
          </cell>
          <cell r="AU83">
            <v>0.56987295825771134</v>
          </cell>
          <cell r="AV83" t="str">
            <v xml:space="preserve">NM  </v>
          </cell>
          <cell r="AW83">
            <v>0.258731509050524</v>
          </cell>
          <cell r="AX83">
            <v>0.53731133005851817</v>
          </cell>
          <cell r="AY83">
            <v>0.97503939396181427</v>
          </cell>
          <cell r="BA83">
            <v>1.039041425818882</v>
          </cell>
          <cell r="BB83">
            <v>2.7225290868492564</v>
          </cell>
          <cell r="BC83">
            <v>1.0794863611616914</v>
          </cell>
          <cell r="BD83">
            <v>0.29114836628460927</v>
          </cell>
          <cell r="BE83">
            <v>0.64224712703953801</v>
          </cell>
          <cell r="BG83">
            <v>2.5041046054262051E-2</v>
          </cell>
          <cell r="BH83">
            <v>0.95848460931334034</v>
          </cell>
          <cell r="BI83">
            <v>-3.0568395204390919E-2</v>
          </cell>
          <cell r="BJ83">
            <v>0.20401741352387148</v>
          </cell>
          <cell r="BK83">
            <v>0.16469753714355861</v>
          </cell>
          <cell r="BM83">
            <v>0.25151818946543703</v>
          </cell>
          <cell r="BN83">
            <v>0.39556701861852006</v>
          </cell>
          <cell r="BO83">
            <v>0.23574714570412225</v>
          </cell>
          <cell r="BP83">
            <v>0.23101259604236768</v>
          </cell>
          <cell r="BQ83">
            <v>0.25548377242026232</v>
          </cell>
          <cell r="BS83" t="str">
            <v xml:space="preserve"> --  </v>
          </cell>
          <cell r="BT83" t="str">
            <v xml:space="preserve"> --  </v>
          </cell>
          <cell r="BU83" t="str">
            <v xml:space="preserve"> --  </v>
          </cell>
          <cell r="BV83" t="str">
            <v xml:space="preserve"> --  </v>
          </cell>
          <cell r="BW83" t="str">
            <v xml:space="preserve"> --  </v>
          </cell>
          <cell r="BY83">
            <v>0.58488289449760744</v>
          </cell>
          <cell r="BZ83">
            <v>2.6225838633246044</v>
          </cell>
          <cell r="CA83">
            <v>0.5039048962321151</v>
          </cell>
          <cell r="CC83">
            <v>0.16149103364900097</v>
          </cell>
          <cell r="CD83">
            <v>0.2784946444162697</v>
          </cell>
          <cell r="CE83">
            <v>0.34232616609710487</v>
          </cell>
          <cell r="CF83">
            <v>0.4567216509641896</v>
          </cell>
          <cell r="CG83">
            <v>0.50029950161174308</v>
          </cell>
          <cell r="CH83">
            <v>0.43801781192470157</v>
          </cell>
          <cell r="CJ83">
            <v>0.38691376307528902</v>
          </cell>
          <cell r="CK83">
            <v>0.50321864403862304</v>
          </cell>
          <cell r="CL83">
            <v>0.60719440435217531</v>
          </cell>
          <cell r="CM83">
            <v>5.8918948290300976E-2</v>
          </cell>
          <cell r="CN83">
            <v>0.22404468977879466</v>
          </cell>
          <cell r="CP83">
            <v>0.11334190559979795</v>
          </cell>
          <cell r="CQ83">
            <v>0.21290884004786315</v>
          </cell>
          <cell r="CR83">
            <v>0.15691921110803886</v>
          </cell>
          <cell r="CS83">
            <v>7.5933720802124238E-2</v>
          </cell>
          <cell r="CT83">
            <v>0.11558702516505659</v>
          </cell>
          <cell r="CV83">
            <v>0.22247737403755097</v>
          </cell>
          <cell r="CW83">
            <v>0.26026621353723955</v>
          </cell>
          <cell r="CX83">
            <v>-4.090520635465611E-2</v>
          </cell>
          <cell r="CY83">
            <v>5.2035056613513264E-2</v>
          </cell>
          <cell r="CZ83">
            <v>8.5185171373485913E-2</v>
          </cell>
          <cell r="DB83">
            <v>0.24309392265193375</v>
          </cell>
          <cell r="DC83">
            <v>0.1910112359550562</v>
          </cell>
          <cell r="DD83">
            <v>0.17509727626459148</v>
          </cell>
          <cell r="DE83">
            <v>0.14133333333333331</v>
          </cell>
          <cell r="DF83">
            <v>0.16907216494845367</v>
          </cell>
          <cell r="DH83">
            <v>0.19555555555555548</v>
          </cell>
          <cell r="DI83">
            <v>0.26415094339622636</v>
          </cell>
          <cell r="DJ83">
            <v>-0.10927152317880795</v>
          </cell>
          <cell r="DK83">
            <v>-2.9205607476635476E-2</v>
          </cell>
          <cell r="DL83">
            <v>4.1152263374485631E-2</v>
          </cell>
          <cell r="DN83">
            <v>-0.14498141263940523</v>
          </cell>
          <cell r="DO83">
            <v>-0.36815920398009949</v>
          </cell>
          <cell r="DP83">
            <v>-0.4200743494423792</v>
          </cell>
          <cell r="DQ83">
            <v>-0.11432009626955475</v>
          </cell>
          <cell r="DR83">
            <v>-0.2230378317334839</v>
          </cell>
          <cell r="DT83">
            <v>-3.9130434782608692E-2</v>
          </cell>
          <cell r="DU83">
            <v>0.18110236220472431</v>
          </cell>
          <cell r="DV83">
            <v>0.20512820512820507</v>
          </cell>
          <cell r="DW83">
            <v>-4.6195652173913082E-2</v>
          </cell>
          <cell r="DX83">
            <v>2.5436046511627897E-2</v>
          </cell>
          <cell r="DZ83">
            <v>-0.30316742081447967</v>
          </cell>
          <cell r="EA83">
            <v>-8.666666666666667E-2</v>
          </cell>
          <cell r="EB83">
            <v>7.4468085106383031E-2</v>
          </cell>
          <cell r="EC83">
            <v>9.6866096866096818E-2</v>
          </cell>
          <cell r="ED83">
            <v>-7.795889440113446E-3</v>
          </cell>
          <cell r="EF83">
            <v>0.53246753246753253</v>
          </cell>
          <cell r="EG83">
            <v>7.2992700729928028E-3</v>
          </cell>
          <cell r="EH83">
            <v>4.4554455445544594E-2</v>
          </cell>
          <cell r="EI83">
            <v>7.7922077922076838E-3</v>
          </cell>
          <cell r="EJ83">
            <v>7.071428571428573E-2</v>
          </cell>
          <cell r="EK83" t="str">
            <v>Operating Income</v>
          </cell>
          <cell r="EL83">
            <v>6.7796610169491567E-2</v>
          </cell>
          <cell r="EM83">
            <v>5.4347826086956541E-2</v>
          </cell>
          <cell r="EN83">
            <v>0.27962085308056861</v>
          </cell>
          <cell r="EO83">
            <v>0.70747422680412364</v>
          </cell>
          <cell r="EP83">
            <v>0.42628418945963986</v>
          </cell>
          <cell r="ER83">
            <v>-0.40873015873015872</v>
          </cell>
          <cell r="ES83">
            <v>0.402061855670103</v>
          </cell>
          <cell r="ET83">
            <v>3.3333333333333437E-2</v>
          </cell>
          <cell r="EU83">
            <v>8.452830188679239E-2</v>
          </cell>
          <cell r="EV83">
            <v>6.3143124415341534E-2</v>
          </cell>
          <cell r="EX83">
            <v>0.63758389261744974</v>
          </cell>
          <cell r="EY83">
            <v>-0.14950980392156865</v>
          </cell>
          <cell r="EZ83">
            <v>-0.28315412186379929</v>
          </cell>
          <cell r="FA83">
            <v>-0.10160055671537926</v>
          </cell>
          <cell r="FB83">
            <v>-8.4029916410030769E-2</v>
          </cell>
          <cell r="FD83">
            <v>-0.42622950819672134</v>
          </cell>
          <cell r="FE83">
            <v>-3.458213256484155E-2</v>
          </cell>
          <cell r="FF83">
            <v>-0.58000000000000007</v>
          </cell>
          <cell r="FG83">
            <v>-0.32920216886134779</v>
          </cell>
          <cell r="FH83">
            <v>-0.31556195965417866</v>
          </cell>
          <cell r="FJ83">
            <v>-0.82857142857142851</v>
          </cell>
          <cell r="FK83">
            <v>-0.15820895522388057</v>
          </cell>
          <cell r="FL83">
            <v>4.7619047619047672E-2</v>
          </cell>
          <cell r="FM83">
            <v>0.22401847575057743</v>
          </cell>
          <cell r="FN83">
            <v>2.0350877192982564E-2</v>
          </cell>
          <cell r="FP83">
            <v>7.4583333333333339</v>
          </cell>
          <cell r="FQ83">
            <v>0.31205673758865249</v>
          </cell>
          <cell r="FR83">
            <v>1.0113636363636362</v>
          </cell>
          <cell r="FS83">
            <v>0.10283018867924532</v>
          </cell>
          <cell r="FT83">
            <v>0.31980742778541948</v>
          </cell>
          <cell r="FV83">
            <v>0.62561576354679804</v>
          </cell>
          <cell r="FW83">
            <v>0.36756756756756759</v>
          </cell>
          <cell r="FX83">
            <v>0.64406779661016955</v>
          </cell>
          <cell r="FY83">
            <v>7.6988879384088937E-2</v>
          </cell>
          <cell r="FZ83">
            <v>0.24335591453882222</v>
          </cell>
          <cell r="GB83">
            <v>0.18484848484848482</v>
          </cell>
          <cell r="GC83">
            <v>9.486166007905128E-2</v>
          </cell>
          <cell r="GD83">
            <v>-3.238833495997262E-2</v>
          </cell>
          <cell r="GE83">
            <v>0.14751519277253244</v>
          </cell>
          <cell r="GF83">
            <v>0.11957109062333027</v>
          </cell>
        </row>
        <row r="84">
          <cell r="A84" t="str">
            <v>Pretax Income</v>
          </cell>
          <cell r="C84" t="str">
            <v>--</v>
          </cell>
          <cell r="D84" t="str">
            <v>--</v>
          </cell>
          <cell r="E84" t="str">
            <v>--</v>
          </cell>
          <cell r="F84" t="str">
            <v>NM</v>
          </cell>
          <cell r="G84">
            <v>3.354567465605613</v>
          </cell>
          <cell r="H84">
            <v>0.5852107910537101</v>
          </cell>
          <cell r="I84">
            <v>0.16298330523682636</v>
          </cell>
          <cell r="K84" t="str">
            <v xml:space="preserve">--  </v>
          </cell>
          <cell r="L84">
            <v>2.3013597703017585</v>
          </cell>
          <cell r="N84" t="str">
            <v>NA</v>
          </cell>
          <cell r="O84">
            <v>1.1831683168316833</v>
          </cell>
          <cell r="P84">
            <v>1.1723356009070294</v>
          </cell>
          <cell r="Q84">
            <v>0.21398747390396666</v>
          </cell>
          <cell r="R84">
            <v>0.1917454858125538</v>
          </cell>
          <cell r="S84">
            <v>-1.1544011544011523E-2</v>
          </cell>
          <cell r="T84">
            <v>-0.43065693430656937</v>
          </cell>
          <cell r="U84">
            <v>0.34358974358974348</v>
          </cell>
          <cell r="V84">
            <v>3.4351145038167941E-2</v>
          </cell>
          <cell r="W84">
            <v>2.9520295202952074E-2</v>
          </cell>
          <cell r="X84">
            <v>0.83154121863799291</v>
          </cell>
          <cell r="Y84">
            <v>-0.3272994129158513</v>
          </cell>
          <cell r="Z84">
            <v>-4.0000000000000036E-2</v>
          </cell>
          <cell r="AA84">
            <v>-0.66363636363636358</v>
          </cell>
          <cell r="AB84">
            <v>0.14189189189189189</v>
          </cell>
          <cell r="AC84">
            <v>1.6035502958579881</v>
          </cell>
          <cell r="AD84">
            <v>0.49090909090909096</v>
          </cell>
          <cell r="AE84">
            <v>0.13483432061642264</v>
          </cell>
          <cell r="AF84">
            <v>4.7726760420446546E-2</v>
          </cell>
          <cell r="AG84">
            <v>9.8097064157964153E-2</v>
          </cell>
          <cell r="AH84">
            <v>1.3816344190469065E-2</v>
          </cell>
          <cell r="AI84">
            <v>2.5802460075930789E-2</v>
          </cell>
          <cell r="AJ84">
            <v>3.8381471630567709E-2</v>
          </cell>
          <cell r="AK84">
            <v>3.0505651064043793E-2</v>
          </cell>
          <cell r="AL84">
            <v>2.3967090203863339E-2</v>
          </cell>
          <cell r="AN84" t="str">
            <v>Pretax Income</v>
          </cell>
          <cell r="AU84" t="str">
            <v xml:space="preserve">NM  </v>
          </cell>
          <cell r="AV84" t="str">
            <v xml:space="preserve">NM  </v>
          </cell>
          <cell r="AW84" t="str">
            <v xml:space="preserve">NM  </v>
          </cell>
          <cell r="AX84" t="str">
            <v xml:space="preserve">NM  </v>
          </cell>
          <cell r="AY84" t="str">
            <v xml:space="preserve">NM  </v>
          </cell>
          <cell r="BA84" t="str">
            <v xml:space="preserve">NM  </v>
          </cell>
          <cell r="BB84" t="str">
            <v xml:space="preserve">NM  </v>
          </cell>
          <cell r="BC84" t="str">
            <v xml:space="preserve">NM  </v>
          </cell>
          <cell r="BD84" t="str">
            <v xml:space="preserve">NM  </v>
          </cell>
          <cell r="BE84" t="str">
            <v xml:space="preserve">NM  </v>
          </cell>
          <cell r="BG84">
            <v>0.72610550139274821</v>
          </cell>
          <cell r="BH84" t="str">
            <v xml:space="preserve">NM  </v>
          </cell>
          <cell r="BI84">
            <v>0.13468983523903932</v>
          </cell>
          <cell r="BJ84">
            <v>0.403693706492398</v>
          </cell>
          <cell r="BK84">
            <v>0.58521079105371432</v>
          </cell>
          <cell r="BM84">
            <v>0.46418215285307451</v>
          </cell>
          <cell r="BN84">
            <v>-0.43248023879277786</v>
          </cell>
          <cell r="BO84">
            <v>0.24313258747917277</v>
          </cell>
          <cell r="BP84">
            <v>0.137789203084834</v>
          </cell>
          <cell r="BQ84">
            <v>0.16298330523682614</v>
          </cell>
          <cell r="BS84" t="str">
            <v xml:space="preserve"> --  </v>
          </cell>
          <cell r="BT84" t="str">
            <v xml:space="preserve"> --  </v>
          </cell>
          <cell r="BU84" t="str">
            <v xml:space="preserve"> --  </v>
          </cell>
          <cell r="BV84" t="str">
            <v xml:space="preserve"> --  </v>
          </cell>
          <cell r="BW84" t="str">
            <v xml:space="preserve"> --  </v>
          </cell>
          <cell r="BY84" t="str">
            <v xml:space="preserve">NM </v>
          </cell>
          <cell r="BZ84" t="str">
            <v xml:space="preserve">NM </v>
          </cell>
          <cell r="CA84" t="str">
            <v xml:space="preserve">NM </v>
          </cell>
          <cell r="CC84" t="str">
            <v xml:space="preserve">NM </v>
          </cell>
          <cell r="CD84">
            <v>0.45877033771958153</v>
          </cell>
          <cell r="CE84">
            <v>0.34524859013417819</v>
          </cell>
          <cell r="CF84">
            <v>2.3013597703017599</v>
          </cell>
          <cell r="CG84">
            <v>1.9218592556476608</v>
          </cell>
          <cell r="CH84">
            <v>1.1829459884067255</v>
          </cell>
          <cell r="CJ84" t="str">
            <v xml:space="preserve">NM </v>
          </cell>
          <cell r="CK84" t="str">
            <v xml:space="preserve">NM </v>
          </cell>
          <cell r="CL84" t="str">
            <v xml:space="preserve">NM </v>
          </cell>
          <cell r="CM84">
            <v>0.11877233094735073</v>
          </cell>
          <cell r="CN84">
            <v>1.1911304132026577</v>
          </cell>
          <cell r="CP84">
            <v>-1.7664490999052544</v>
          </cell>
          <cell r="CQ84">
            <v>-3.8248118414450696</v>
          </cell>
          <cell r="CR84">
            <v>1.3810766588686971</v>
          </cell>
          <cell r="CS84">
            <v>0.34793188919827567</v>
          </cell>
          <cell r="CT84">
            <v>1.1707387792270185</v>
          </cell>
          <cell r="CV84">
            <v>1.3807888652336051</v>
          </cell>
          <cell r="CW84">
            <v>0.7140776397239661</v>
          </cell>
          <cell r="CX84">
            <v>5.0640890943475458E-2</v>
          </cell>
          <cell r="CY84">
            <v>8.7986298721735912E-2</v>
          </cell>
          <cell r="CZ84">
            <v>0.2136200941259947</v>
          </cell>
          <cell r="DB84">
            <v>0.44230769230769229</v>
          </cell>
          <cell r="DC84">
            <v>0.20725388601036276</v>
          </cell>
          <cell r="DD84">
            <v>0.14054054054054044</v>
          </cell>
          <cell r="DE84">
            <v>0.10425844346549185</v>
          </cell>
          <cell r="DF84">
            <v>0.15735167669819439</v>
          </cell>
          <cell r="DH84">
            <v>0.33333333333333326</v>
          </cell>
          <cell r="DI84">
            <v>0.39055793991416299</v>
          </cell>
          <cell r="DJ84">
            <v>-0.12322274881516593</v>
          </cell>
          <cell r="DK84">
            <v>-0.12101063829787229</v>
          </cell>
          <cell r="DL84">
            <v>1.7830609212481363E-2</v>
          </cell>
          <cell r="DN84">
            <v>-0.5</v>
          </cell>
          <cell r="DO84">
            <v>-0.58333333333333326</v>
          </cell>
          <cell r="DP84">
            <v>-0.75135135135135134</v>
          </cell>
          <cell r="DQ84">
            <v>-0.24508320726172461</v>
          </cell>
          <cell r="DR84">
            <v>-0.43065693430656937</v>
          </cell>
          <cell r="DT84">
            <v>0.47</v>
          </cell>
          <cell r="DU84">
            <v>0.64444444444444438</v>
          </cell>
          <cell r="DV84">
            <v>1.5</v>
          </cell>
          <cell r="DW84">
            <v>0.13026052104208419</v>
          </cell>
          <cell r="DX84">
            <v>0.34358974358974348</v>
          </cell>
          <cell r="DZ84">
            <v>-0.48299319727891155</v>
          </cell>
          <cell r="EA84">
            <v>-0.10360360360360366</v>
          </cell>
          <cell r="EB84">
            <v>-2.6086956521739091E-2</v>
          </cell>
          <cell r="EC84">
            <v>0.23581560283687941</v>
          </cell>
          <cell r="ED84">
            <v>3.4351145038167941E-2</v>
          </cell>
          <cell r="EF84">
            <v>1.0657894736842106</v>
          </cell>
          <cell r="EG84">
            <v>-0.36683417085427139</v>
          </cell>
          <cell r="EH84">
            <v>7.1428571428571397E-2</v>
          </cell>
          <cell r="EI84">
            <v>2.2955523672883782E-2</v>
          </cell>
          <cell r="EJ84">
            <v>2.9520295202952074E-2</v>
          </cell>
          <cell r="EK84" t="str">
            <v>Pretax Income</v>
          </cell>
          <cell r="EL84">
            <v>0.26114649681528657</v>
          </cell>
          <cell r="EM84">
            <v>0.88095238095238093</v>
          </cell>
          <cell r="EN84">
            <v>3.5166666666666666</v>
          </cell>
          <cell r="EO84">
            <v>0.49649368863955123</v>
          </cell>
          <cell r="EP84">
            <v>0.83154121863799291</v>
          </cell>
          <cell r="ER84">
            <v>-1.595959595959596</v>
          </cell>
          <cell r="ES84">
            <v>0.29113924050632911</v>
          </cell>
          <cell r="ET84">
            <v>-0.94464944649446492</v>
          </cell>
          <cell r="EU84">
            <v>8.434864104967188E-2</v>
          </cell>
          <cell r="EV84">
            <v>-0.3272994129158513</v>
          </cell>
          <cell r="EX84">
            <v>-1.7033898305084745</v>
          </cell>
          <cell r="EY84">
            <v>-0.63071895424836599</v>
          </cell>
          <cell r="EZ84">
            <v>0.26666666666666661</v>
          </cell>
          <cell r="FA84">
            <v>-6.1365600691443367E-2</v>
          </cell>
          <cell r="FB84">
            <v>-4.0000000000000036E-2</v>
          </cell>
          <cell r="FD84">
            <v>-2.2771084337349397</v>
          </cell>
          <cell r="FE84">
            <v>7.079646017699126E-2</v>
          </cell>
          <cell r="FF84">
            <v>-2.9736842105263159</v>
          </cell>
          <cell r="FG84">
            <v>-0.53591160220994483</v>
          </cell>
          <cell r="FH84">
            <v>-0.66363636363636358</v>
          </cell>
          <cell r="FJ84">
            <v>1.4056603773584904</v>
          </cell>
          <cell r="FK84">
            <v>-9.9173553719008267E-2</v>
          </cell>
          <cell r="FL84">
            <v>9.3333333333333268E-2</v>
          </cell>
          <cell r="FM84">
            <v>0.45833333333333326</v>
          </cell>
          <cell r="FN84">
            <v>0.14189189189189189</v>
          </cell>
          <cell r="FP84">
            <v>-1.1607843137254903</v>
          </cell>
          <cell r="FQ84">
            <v>1.2018348623853212</v>
          </cell>
          <cell r="FR84">
            <v>-1.1585365853658536</v>
          </cell>
          <cell r="FS84">
            <v>0.39591836734693886</v>
          </cell>
          <cell r="FT84">
            <v>1.6035502958579881</v>
          </cell>
          <cell r="FV84">
            <v>4.2195121951219514</v>
          </cell>
          <cell r="FW84">
            <v>0.64583333333333326</v>
          </cell>
          <cell r="FX84">
            <v>13.076923076923077</v>
          </cell>
          <cell r="FY84">
            <v>0.14619883040935666</v>
          </cell>
          <cell r="FZ84">
            <v>0.49090909090909096</v>
          </cell>
          <cell r="GB84">
            <v>0.30373831775700944</v>
          </cell>
          <cell r="GC84">
            <v>0.13670886075949373</v>
          </cell>
          <cell r="GD84">
            <v>-4.5601122805202454E-2</v>
          </cell>
          <cell r="GE84">
            <v>0.13154672486944907</v>
          </cell>
          <cell r="GF84">
            <v>0.13483432061642264</v>
          </cell>
        </row>
        <row r="85">
          <cell r="A85" t="str">
            <v>Net Income, Reported</v>
          </cell>
          <cell r="C85" t="str">
            <v>--</v>
          </cell>
          <cell r="D85" t="str">
            <v>--</v>
          </cell>
          <cell r="E85" t="str">
            <v>--</v>
          </cell>
          <cell r="F85" t="str">
            <v>NM</v>
          </cell>
          <cell r="G85">
            <v>4.2697454632093716</v>
          </cell>
          <cell r="H85">
            <v>0.59022063477709041</v>
          </cell>
          <cell r="I85">
            <v>0.16972540099983413</v>
          </cell>
          <cell r="K85" t="str">
            <v xml:space="preserve">--  </v>
          </cell>
          <cell r="L85">
            <v>3.0486739791766411</v>
          </cell>
          <cell r="N85" t="str">
            <v>NA</v>
          </cell>
          <cell r="O85">
            <v>2.5466666666666669</v>
          </cell>
          <cell r="P85">
            <v>1.0150375939849625</v>
          </cell>
          <cell r="Q85">
            <v>0.2350746268656716</v>
          </cell>
          <cell r="R85">
            <v>0.20090634441087607</v>
          </cell>
          <cell r="S85">
            <v>-1.2314465408805031</v>
          </cell>
          <cell r="T85">
            <v>0.5</v>
          </cell>
          <cell r="U85">
            <v>-3.9637681159420288</v>
          </cell>
          <cell r="V85">
            <v>-0.15281173594132025</v>
          </cell>
          <cell r="W85">
            <v>-5.7720057720057616E-3</v>
          </cell>
          <cell r="X85">
            <v>1.0414969667227032</v>
          </cell>
          <cell r="Y85">
            <v>-0.29270505075164965</v>
          </cell>
          <cell r="Z85">
            <v>-0.10239979896971985</v>
          </cell>
          <cell r="AA85">
            <v>-6.3784994400895858</v>
          </cell>
          <cell r="AB85">
            <v>-1.0684988548823653</v>
          </cell>
          <cell r="AC85">
            <v>1.4486322188449847</v>
          </cell>
          <cell r="AD85">
            <v>0.55908639523336645</v>
          </cell>
          <cell r="AE85">
            <v>0.1213160701218674</v>
          </cell>
          <cell r="AF85">
            <v>4.6715019631404564E-2</v>
          </cell>
          <cell r="AG85">
            <v>9.8097064157964153E-2</v>
          </cell>
          <cell r="AH85">
            <v>1.3816344190469065E-2</v>
          </cell>
          <cell r="AI85">
            <v>2.5802460075930789E-2</v>
          </cell>
          <cell r="AJ85">
            <v>3.8381471630567709E-2</v>
          </cell>
          <cell r="AK85">
            <v>3.0505651064043793E-2</v>
          </cell>
          <cell r="AL85">
            <v>2.3967090203863339E-2</v>
          </cell>
          <cell r="AN85" t="str">
            <v>Net Income, Reported</v>
          </cell>
          <cell r="AU85" t="str">
            <v xml:space="preserve">NM  </v>
          </cell>
          <cell r="AV85" t="str">
            <v xml:space="preserve">NM  </v>
          </cell>
          <cell r="AW85" t="str">
            <v xml:space="preserve">NM  </v>
          </cell>
          <cell r="AX85" t="str">
            <v xml:space="preserve">NM  </v>
          </cell>
          <cell r="AY85" t="str">
            <v xml:space="preserve">NM  </v>
          </cell>
          <cell r="BA85" t="str">
            <v xml:space="preserve">NM  </v>
          </cell>
          <cell r="BB85" t="str">
            <v xml:space="preserve">NM  </v>
          </cell>
          <cell r="BC85" t="str">
            <v xml:space="preserve">NM  </v>
          </cell>
          <cell r="BD85" t="str">
            <v xml:space="preserve">NM  </v>
          </cell>
          <cell r="BE85" t="str">
            <v xml:space="preserve">NM  </v>
          </cell>
          <cell r="BG85">
            <v>0.83711479850996984</v>
          </cell>
          <cell r="BH85" t="str">
            <v xml:space="preserve">NM  </v>
          </cell>
          <cell r="BI85">
            <v>9.3154328414921661E-2</v>
          </cell>
          <cell r="BJ85">
            <v>0.38871392824181727</v>
          </cell>
          <cell r="BK85">
            <v>0.5902206347770973</v>
          </cell>
          <cell r="BM85">
            <v>0.48488479262673212</v>
          </cell>
          <cell r="BN85">
            <v>-0.57392974133063923</v>
          </cell>
          <cell r="BO85">
            <v>0.28441084462982458</v>
          </cell>
          <cell r="BP85">
            <v>0.14084873730799452</v>
          </cell>
          <cell r="BQ85">
            <v>0.16972540099983369</v>
          </cell>
          <cell r="BS85" t="str">
            <v xml:space="preserve"> --  </v>
          </cell>
          <cell r="BT85" t="str">
            <v xml:space="preserve"> --  </v>
          </cell>
          <cell r="BU85" t="str">
            <v xml:space="preserve"> --  </v>
          </cell>
          <cell r="BV85" t="str">
            <v xml:space="preserve"> --  </v>
          </cell>
          <cell r="BW85" t="str">
            <v xml:space="preserve"> --  </v>
          </cell>
          <cell r="BY85" t="str">
            <v xml:space="preserve">NM </v>
          </cell>
          <cell r="BZ85" t="str">
            <v xml:space="preserve">NM </v>
          </cell>
          <cell r="CA85" t="str">
            <v xml:space="preserve">NM </v>
          </cell>
          <cell r="CC85" t="str">
            <v xml:space="preserve">NM </v>
          </cell>
          <cell r="CD85">
            <v>0.37055020770788127</v>
          </cell>
          <cell r="CE85">
            <v>0.33441950883194549</v>
          </cell>
          <cell r="CF85">
            <v>3.0486739791766455</v>
          </cell>
          <cell r="CG85">
            <v>2.8686737346110953</v>
          </cell>
          <cell r="CH85">
            <v>1.0154646949248605</v>
          </cell>
          <cell r="CJ85" t="str">
            <v xml:space="preserve">NM </v>
          </cell>
          <cell r="CK85" t="str">
            <v xml:space="preserve">NM </v>
          </cell>
          <cell r="CL85" t="str">
            <v xml:space="preserve">NM </v>
          </cell>
          <cell r="CM85">
            <v>0.1821292076273795</v>
          </cell>
          <cell r="CN85">
            <v>2.5848804756704831</v>
          </cell>
          <cell r="CP85">
            <v>-1.6344171083511347</v>
          </cell>
          <cell r="CQ85">
            <v>-3.440701651160242</v>
          </cell>
          <cell r="CR85">
            <v>1.5146288366306782</v>
          </cell>
          <cell r="CS85">
            <v>0.31077931687886151</v>
          </cell>
          <cell r="CT85">
            <v>1.1611549267169936</v>
          </cell>
          <cell r="CV85">
            <v>1.5035953281516088</v>
          </cell>
          <cell r="CW85">
            <v>0.61217417507909366</v>
          </cell>
          <cell r="CX85">
            <v>4.6482866221435382E-2</v>
          </cell>
          <cell r="CY85">
            <v>7.6289965178854002E-2</v>
          </cell>
          <cell r="CZ85">
            <v>0.19249316508388858</v>
          </cell>
          <cell r="DB85">
            <v>0.44436696882159565</v>
          </cell>
          <cell r="DC85">
            <v>0.28037383177570097</v>
          </cell>
          <cell r="DD85">
            <v>0.11818181818181817</v>
          </cell>
          <cell r="DE85">
            <v>9.8039215686274606E-2</v>
          </cell>
          <cell r="DF85">
            <v>0.1601876147418253</v>
          </cell>
          <cell r="DH85">
            <v>2.2988505747126409E-2</v>
          </cell>
          <cell r="DI85">
            <v>-0.54014598540145986</v>
          </cell>
          <cell r="DJ85">
            <v>-6.4308943089430892</v>
          </cell>
          <cell r="DK85">
            <v>-0.2589285714285714</v>
          </cell>
          <cell r="DL85">
            <v>-1.2314465408805031</v>
          </cell>
          <cell r="DN85">
            <v>-0.348314606741573</v>
          </cell>
          <cell r="DO85">
            <v>0.74603174603174605</v>
          </cell>
          <cell r="DP85">
            <v>-1.0044910179640718</v>
          </cell>
          <cell r="DQ85">
            <v>-2.346385542168675</v>
          </cell>
          <cell r="DR85">
            <v>0.5</v>
          </cell>
          <cell r="DT85">
            <v>0.53448275862068972</v>
          </cell>
          <cell r="DU85">
            <v>1.5636363636363635</v>
          </cell>
          <cell r="DV85">
            <v>34.333333333333336</v>
          </cell>
          <cell r="DW85">
            <v>-1.7628635346756152</v>
          </cell>
          <cell r="DX85">
            <v>-3.9637681159420288</v>
          </cell>
          <cell r="DZ85">
            <v>-0.4831460674157303</v>
          </cell>
          <cell r="EA85">
            <v>-0.57446808510638303</v>
          </cell>
          <cell r="EB85">
            <v>-0.36792452830188682</v>
          </cell>
          <cell r="EC85">
            <v>0.34897360703812308</v>
          </cell>
          <cell r="ED85">
            <v>-0.15281173594132025</v>
          </cell>
          <cell r="EF85">
            <v>1.1086956521739131</v>
          </cell>
          <cell r="EG85">
            <v>-0.35</v>
          </cell>
          <cell r="EH85">
            <v>0.10447761194029859</v>
          </cell>
          <cell r="EI85">
            <v>-4.3478260869565188E-2</v>
          </cell>
          <cell r="EJ85">
            <v>-5.7720057720057616E-3</v>
          </cell>
          <cell r="EK85" t="str">
            <v>Net Income, Reported</v>
          </cell>
          <cell r="EL85">
            <v>0.2716907216494846</v>
          </cell>
          <cell r="EM85">
            <v>0.89743589743589736</v>
          </cell>
          <cell r="EN85">
            <v>4.895100136107331</v>
          </cell>
          <cell r="EO85">
            <v>0.58863636363636362</v>
          </cell>
          <cell r="EP85">
            <v>1.0414969667227032</v>
          </cell>
          <cell r="ER85">
            <v>-1.4215509833487361</v>
          </cell>
          <cell r="ES85">
            <v>1.1410472972972974</v>
          </cell>
          <cell r="ET85">
            <v>-1.006876989296964</v>
          </cell>
          <cell r="EU85">
            <v>4.8640915593705314E-2</v>
          </cell>
          <cell r="EV85">
            <v>-0.29270505075164965</v>
          </cell>
          <cell r="EX85">
            <v>-1.6923076923076923</v>
          </cell>
          <cell r="EY85">
            <v>-0.76646942800788953</v>
          </cell>
          <cell r="EZ85">
            <v>-12</v>
          </cell>
          <cell r="FA85">
            <v>2.3192360163710735E-2</v>
          </cell>
          <cell r="FB85">
            <v>-0.10239979896971985</v>
          </cell>
          <cell r="FD85">
            <v>-2.6388888888888888</v>
          </cell>
          <cell r="FE85">
            <v>-1.3513513513513487E-2</v>
          </cell>
          <cell r="FF85">
            <v>-2.333333333333333</v>
          </cell>
          <cell r="FG85">
            <v>-7.3639999999999999</v>
          </cell>
          <cell r="FH85">
            <v>-6.3784994400895858</v>
          </cell>
          <cell r="FJ85">
            <v>0.49152542372881358</v>
          </cell>
          <cell r="FK85">
            <v>-0.90410958904109595</v>
          </cell>
          <cell r="FL85">
            <v>-0.20454545454545459</v>
          </cell>
          <cell r="FM85">
            <v>-1.0932327676513722</v>
          </cell>
          <cell r="FN85">
            <v>-1.0684988548823653</v>
          </cell>
          <cell r="FP85">
            <v>-1.2613636363636362</v>
          </cell>
          <cell r="FQ85">
            <v>20</v>
          </cell>
          <cell r="FR85">
            <v>-1.2857142857142856</v>
          </cell>
          <cell r="FS85">
            <v>0.49887640449438209</v>
          </cell>
          <cell r="FT85">
            <v>1.5744680851063828</v>
          </cell>
          <cell r="FV85">
            <v>4.6956521739130439</v>
          </cell>
          <cell r="FW85">
            <v>0.63945578231292521</v>
          </cell>
          <cell r="FX85">
            <v>12.9</v>
          </cell>
          <cell r="FY85">
            <v>0.11694152923538237</v>
          </cell>
          <cell r="FZ85">
            <v>0.48288075560802834</v>
          </cell>
          <cell r="GB85">
            <v>0.38167938931297707</v>
          </cell>
          <cell r="GC85">
            <v>0.15767634854771795</v>
          </cell>
          <cell r="GD85">
            <v>-0.20839822624612792</v>
          </cell>
          <cell r="GE85">
            <v>0.12528904365272142</v>
          </cell>
          <cell r="GF85">
            <v>0.1213160701218674</v>
          </cell>
        </row>
        <row r="86">
          <cell r="A86" t="str">
            <v>EPS, Before All Extraordinary Items</v>
          </cell>
          <cell r="C86" t="str">
            <v>--</v>
          </cell>
          <cell r="D86" t="str">
            <v>--</v>
          </cell>
          <cell r="E86" t="str">
            <v>--</v>
          </cell>
          <cell r="F86" t="str">
            <v>NM</v>
          </cell>
          <cell r="G86">
            <v>4.2697454632093716</v>
          </cell>
          <cell r="H86">
            <v>0.49352714229736749</v>
          </cell>
          <cell r="I86">
            <v>0.16715720920010613</v>
          </cell>
          <cell r="K86" t="str">
            <v xml:space="preserve">--  </v>
          </cell>
          <cell r="L86">
            <v>1.2429413062163106</v>
          </cell>
          <cell r="N86" t="str">
            <v>NA</v>
          </cell>
          <cell r="O86">
            <v>2.0831760191846533</v>
          </cell>
          <cell r="P86">
            <v>1.1166002434653026</v>
          </cell>
          <cell r="Q86">
            <v>0.19781195988990907</v>
          </cell>
          <cell r="R86">
            <v>0.23893143472537992</v>
          </cell>
          <cell r="S86">
            <v>0.11804933673070495</v>
          </cell>
          <cell r="T86">
            <v>-0.23747100765953244</v>
          </cell>
          <cell r="U86">
            <v>6.7412153054829504E-2</v>
          </cell>
          <cell r="V86">
            <v>8.2618698493725606E-2</v>
          </cell>
          <cell r="W86">
            <v>0.19253228900861408</v>
          </cell>
          <cell r="X86">
            <v>0.13546350508465377</v>
          </cell>
          <cell r="Y86">
            <v>-0.17112431238754444</v>
          </cell>
          <cell r="Z86">
            <v>2.511156865799169E-2</v>
          </cell>
          <cell r="AA86">
            <v>-0.3926266519774968</v>
          </cell>
          <cell r="AB86">
            <v>5.4566031260215864E-2</v>
          </cell>
          <cell r="AC86">
            <v>0.54543966376654018</v>
          </cell>
          <cell r="AD86">
            <v>0.36638230546571982</v>
          </cell>
          <cell r="AE86">
            <v>0.18944449755233173</v>
          </cell>
          <cell r="AF86">
            <v>0.15178647079450802</v>
          </cell>
          <cell r="AG86">
            <v>0.21619225683545951</v>
          </cell>
          <cell r="AH86">
            <v>0.10368489317104679</v>
          </cell>
          <cell r="AI86">
            <v>7.5550799930256041E-2</v>
          </cell>
          <cell r="AJ86">
            <v>8.0391871180272023E-2</v>
          </cell>
          <cell r="AK86">
            <v>0.1050161104972096</v>
          </cell>
          <cell r="AL86">
            <v>0.11070075260190304</v>
          </cell>
          <cell r="AN86" t="str">
            <v>EPS, Before All Extraordinary Items</v>
          </cell>
          <cell r="AU86" t="str">
            <v xml:space="preserve">NM  </v>
          </cell>
          <cell r="AV86" t="str">
            <v xml:space="preserve">NM  </v>
          </cell>
          <cell r="AW86" t="str">
            <v xml:space="preserve">NM  </v>
          </cell>
          <cell r="AX86" t="str">
            <v xml:space="preserve">NM  </v>
          </cell>
          <cell r="AY86" t="str">
            <v xml:space="preserve">NM  </v>
          </cell>
          <cell r="BA86" t="str">
            <v xml:space="preserve">NM  </v>
          </cell>
          <cell r="BB86" t="str">
            <v xml:space="preserve">NM  </v>
          </cell>
          <cell r="BC86" t="str">
            <v xml:space="preserve">NM  </v>
          </cell>
          <cell r="BD86" t="str">
            <v xml:space="preserve">NM  </v>
          </cell>
          <cell r="BE86" t="str">
            <v xml:space="preserve">NM  </v>
          </cell>
          <cell r="BG86">
            <v>0.15093972231627273</v>
          </cell>
          <cell r="BH86" t="str">
            <v xml:space="preserve">NM  </v>
          </cell>
          <cell r="BI86">
            <v>7.7195871065800059E-2</v>
          </cell>
          <cell r="BJ86">
            <v>0.24705403271076887</v>
          </cell>
          <cell r="BK86">
            <v>0.30893389999095677</v>
          </cell>
          <cell r="BM86">
            <v>0.47058823529411753</v>
          </cell>
          <cell r="BN86">
            <v>1.2483031355031047</v>
          </cell>
          <cell r="BO86">
            <v>0.29629629629629606</v>
          </cell>
          <cell r="BP86">
            <v>0.25961538461538458</v>
          </cell>
          <cell r="BQ86">
            <v>0.33175630280524948</v>
          </cell>
          <cell r="BS86" t="str">
            <v xml:space="preserve"> --  </v>
          </cell>
          <cell r="BT86" t="str">
            <v xml:space="preserve"> --  </v>
          </cell>
          <cell r="BU86" t="str">
            <v xml:space="preserve"> --  </v>
          </cell>
          <cell r="BV86" t="str">
            <v xml:space="preserve"> --  </v>
          </cell>
          <cell r="BW86" t="str">
            <v xml:space="preserve"> --  </v>
          </cell>
          <cell r="BY86" t="str">
            <v xml:space="preserve">NM </v>
          </cell>
          <cell r="BZ86" t="str">
            <v xml:space="preserve">NM </v>
          </cell>
          <cell r="CA86" t="str">
            <v xml:space="preserve">NM </v>
          </cell>
          <cell r="CC86" t="str">
            <v xml:space="preserve">NM </v>
          </cell>
          <cell r="CD86">
            <v>0.25642012991861307</v>
          </cell>
          <cell r="CE86">
            <v>0.21559931910688945</v>
          </cell>
          <cell r="CF86">
            <v>1.242941306216311</v>
          </cell>
          <cell r="CG86">
            <v>1.273034974194021</v>
          </cell>
          <cell r="CH86">
            <v>0.80871126553133621</v>
          </cell>
          <cell r="CJ86" t="str">
            <v xml:space="preserve">NM </v>
          </cell>
          <cell r="CK86" t="str">
            <v xml:space="preserve">NM </v>
          </cell>
          <cell r="CL86" t="str">
            <v xml:space="preserve">NM </v>
          </cell>
          <cell r="CM86">
            <v>0.13358996848546845</v>
          </cell>
          <cell r="CN86">
            <v>0.5557153119638325</v>
          </cell>
          <cell r="CP86">
            <v>1.8847721822542178</v>
          </cell>
          <cell r="CQ86">
            <v>0.98095749761223572</v>
          </cell>
          <cell r="CR86">
            <v>0.5218694349129136</v>
          </cell>
          <cell r="CS86">
            <v>9.3307514801961533E-2</v>
          </cell>
          <cell r="CT86">
            <v>0.25831729550304816</v>
          </cell>
          <cell r="CV86">
            <v>1.5034529101088574</v>
          </cell>
          <cell r="CW86">
            <v>0.60059447200373395</v>
          </cell>
          <cell r="CX86">
            <v>-0.17311732873453067</v>
          </cell>
          <cell r="CY86">
            <v>7.9567640585938015E-2</v>
          </cell>
          <cell r="CZ86">
            <v>0.15234039797565679</v>
          </cell>
          <cell r="DB86">
            <v>-0.26911815031362007</v>
          </cell>
          <cell r="DC86">
            <v>-0.35868875191480443</v>
          </cell>
          <cell r="DD86">
            <v>-0.29612724531270496</v>
          </cell>
          <cell r="DE86">
            <v>-0.45822134788913216</v>
          </cell>
          <cell r="DF86">
            <v>-0.40232656840273939</v>
          </cell>
          <cell r="DH86">
            <v>0.3569488949468862</v>
          </cell>
          <cell r="DI86">
            <v>0.50706646361742713</v>
          </cell>
          <cell r="DJ86">
            <v>-3.0975973608567631E-2</v>
          </cell>
          <cell r="DK86">
            <v>9.1775708959831892E-2</v>
          </cell>
          <cell r="DL86">
            <v>0.16010779214312887</v>
          </cell>
          <cell r="DN86">
            <v>-0.20822262267582348</v>
          </cell>
          <cell r="DO86">
            <v>-0.43841864714537893</v>
          </cell>
          <cell r="DP86">
            <v>-0.59273991713233776</v>
          </cell>
          <cell r="DQ86">
            <v>-9.5511908313649863E-2</v>
          </cell>
          <cell r="DR86">
            <v>-0.23747100765953244</v>
          </cell>
          <cell r="DT86">
            <v>1.0022997402227452E-2</v>
          </cell>
          <cell r="DU86">
            <v>0.25077409537636819</v>
          </cell>
          <cell r="DV86">
            <v>0.73436521566609403</v>
          </cell>
          <cell r="DW86">
            <v>-8.1762364367958806E-3</v>
          </cell>
          <cell r="DX86">
            <v>6.7412153054829504E-2</v>
          </cell>
          <cell r="DZ86">
            <v>-0.38502923283127022</v>
          </cell>
          <cell r="EA86">
            <v>3.0104736134886956E-2</v>
          </cell>
          <cell r="EB86">
            <v>0.18641645511193183</v>
          </cell>
          <cell r="EC86">
            <v>0.16982420675683696</v>
          </cell>
          <cell r="ED86">
            <v>8.2618698493725606E-2</v>
          </cell>
          <cell r="EF86">
            <v>1.2002944973744478</v>
          </cell>
          <cell r="EG86">
            <v>9.1284054291573158E-2</v>
          </cell>
          <cell r="EH86">
            <v>0.21440795242992539</v>
          </cell>
          <cell r="EI86">
            <v>0.11331568332715758</v>
          </cell>
          <cell r="EJ86">
            <v>0.19253228900861408</v>
          </cell>
          <cell r="EK86" t="str">
            <v>EPS, Before All Extraordinary Items</v>
          </cell>
          <cell r="EL86">
            <v>0.20924520779639133</v>
          </cell>
          <cell r="EM86">
            <v>0.14652501106684346</v>
          </cell>
          <cell r="EN86">
            <v>-0.41739246783196837</v>
          </cell>
          <cell r="EO86">
            <v>2.6745738601636537E-2</v>
          </cell>
          <cell r="EP86">
            <v>0.13546350508465377</v>
          </cell>
          <cell r="ER86">
            <v>-0.96536392307397523</v>
          </cell>
          <cell r="ES86">
            <v>-0.22511768742991911</v>
          </cell>
          <cell r="ET86">
            <v>0.27056097610725471</v>
          </cell>
          <cell r="EU86">
            <v>0.19806697860755884</v>
          </cell>
          <cell r="EV86">
            <v>-0.17112431238754444</v>
          </cell>
          <cell r="EX86">
            <v>11.942309582309582</v>
          </cell>
          <cell r="EY86">
            <v>4.1797260273972681E-2</v>
          </cell>
          <cell r="EZ86">
            <v>-0.60815006068840372</v>
          </cell>
          <cell r="FA86">
            <v>4.4816334601294416E-2</v>
          </cell>
          <cell r="FB86">
            <v>2.511156865799169E-2</v>
          </cell>
          <cell r="FD86">
            <v>-0.9375</v>
          </cell>
          <cell r="FE86">
            <v>-0.14705882352941191</v>
          </cell>
          <cell r="FF86">
            <v>-2</v>
          </cell>
          <cell r="FG86">
            <v>-0.3652694610778443</v>
          </cell>
          <cell r="FH86">
            <v>-0.3926266519774968</v>
          </cell>
          <cell r="FJ86">
            <v>-17</v>
          </cell>
          <cell r="FK86">
            <v>-0.31034482758620685</v>
          </cell>
          <cell r="FL86">
            <v>-0.625</v>
          </cell>
          <cell r="FM86">
            <v>0.27358490566037741</v>
          </cell>
          <cell r="FN86">
            <v>5.4566031260215864E-2</v>
          </cell>
          <cell r="FP86">
            <v>-1.5865790708587517</v>
          </cell>
          <cell r="FQ86">
            <v>0.74999999999999978</v>
          </cell>
          <cell r="FR86">
            <v>-3.6816339257873398</v>
          </cell>
          <cell r="FS86">
            <v>0.17777777777777781</v>
          </cell>
          <cell r="FT86">
            <v>0.54543966376654018</v>
          </cell>
          <cell r="FV86">
            <v>2.2460581395348833</v>
          </cell>
          <cell r="FW86">
            <v>0.58437972519886916</v>
          </cell>
          <cell r="FX86">
            <v>3.0013949179745154</v>
          </cell>
          <cell r="FY86">
            <v>7.2258601986732174E-2</v>
          </cell>
          <cell r="FZ86">
            <v>0.36638230546571982</v>
          </cell>
          <cell r="GB86">
            <v>0.40222359547930187</v>
          </cell>
          <cell r="GC86">
            <v>0.20624824041917611</v>
          </cell>
          <cell r="GD86">
            <v>-0.15861801416910437</v>
          </cell>
          <cell r="GE86">
            <v>0.23691312416154275</v>
          </cell>
          <cell r="GF86">
            <v>0.1894444975523315</v>
          </cell>
        </row>
        <row r="87">
          <cell r="A87" t="str">
            <v>EPS Diluted, Reported</v>
          </cell>
          <cell r="N87" t="str">
            <v>NA</v>
          </cell>
          <cell r="O87">
            <v>2.2064682872901682</v>
          </cell>
          <cell r="P87">
            <v>0.93578477247880953</v>
          </cell>
          <cell r="Q87">
            <v>0.22992133264419734</v>
          </cell>
          <cell r="R87">
            <v>0.22243255164301989</v>
          </cell>
          <cell r="S87">
            <v>-1.2456829504645728</v>
          </cell>
          <cell r="T87">
            <v>0.55467184368737477</v>
          </cell>
          <cell r="U87">
            <v>-3.976817793141421</v>
          </cell>
          <cell r="V87">
            <v>-9.7762659297635945E-2</v>
          </cell>
          <cell r="W87">
            <v>4.0016904008823184E-2</v>
          </cell>
          <cell r="X87">
            <v>0.67589282323900779</v>
          </cell>
          <cell r="Y87">
            <v>-0.43876139320187513</v>
          </cell>
          <cell r="Z87">
            <v>6.3775441193242965E-2</v>
          </cell>
          <cell r="AA87">
            <v>-6.8981600687855193</v>
          </cell>
          <cell r="AB87">
            <v>-1.0683488337132727</v>
          </cell>
          <cell r="AC87">
            <v>1.5289650455927051</v>
          </cell>
          <cell r="AD87">
            <v>0.48223350253807107</v>
          </cell>
          <cell r="AE87">
            <v>0.17465753424657549</v>
          </cell>
          <cell r="AF87">
            <v>0.15026075561396901</v>
          </cell>
          <cell r="AG87">
            <v>0.21619225683545951</v>
          </cell>
          <cell r="AH87">
            <v>0.10368489317104679</v>
          </cell>
          <cell r="AI87">
            <v>7.5550799930256041E-2</v>
          </cell>
          <cell r="AJ87">
            <v>8.0391871180272023E-2</v>
          </cell>
          <cell r="AK87">
            <v>0.1050161104972096</v>
          </cell>
          <cell r="AL87">
            <v>0.11070075260190304</v>
          </cell>
          <cell r="AN87" t="str">
            <v>EPS Diluted, Reported</v>
          </cell>
          <cell r="CP87">
            <v>2.0499765917603208</v>
          </cell>
          <cell r="CQ87">
            <v>0.90901548672567323</v>
          </cell>
          <cell r="CR87">
            <v>0.44316340604453752</v>
          </cell>
          <cell r="CS87">
            <v>7.3039696864150017E-3</v>
          </cell>
          <cell r="CT87">
            <v>0.1820266466798135</v>
          </cell>
          <cell r="CV87">
            <v>1.1399977372987853</v>
          </cell>
          <cell r="CW87">
            <v>0.50736428049067683</v>
          </cell>
          <cell r="CX87">
            <v>-0.2015756294478438</v>
          </cell>
          <cell r="CY87">
            <v>0.13072202033902447</v>
          </cell>
          <cell r="CZ87">
            <v>0.13765736493310232</v>
          </cell>
          <cell r="DB87">
            <v>-0.22622031593063341</v>
          </cell>
          <cell r="DC87">
            <v>-0.32952032783985374</v>
          </cell>
          <cell r="DD87">
            <v>-0.26449326496369807</v>
          </cell>
          <cell r="DE87">
            <v>-0.45797109202935382</v>
          </cell>
          <cell r="DF87">
            <v>-0.38246866698014048</v>
          </cell>
          <cell r="DH87">
            <v>2.3345318412651306E-2</v>
          </cell>
          <cell r="DI87">
            <v>-0.51059181851599011</v>
          </cell>
          <cell r="DJ87">
            <v>-6.938605959903458</v>
          </cell>
          <cell r="DK87">
            <v>-0.1916586947278911</v>
          </cell>
          <cell r="DL87">
            <v>-1.2456549810940736</v>
          </cell>
          <cell r="DN87">
            <v>-0.30786393354904007</v>
          </cell>
          <cell r="DO87">
            <v>0.82388586697203925</v>
          </cell>
          <cell r="DP87">
            <v>-1.0046410262722243</v>
          </cell>
          <cell r="DQ87">
            <v>-2.356478387312368</v>
          </cell>
          <cell r="DR87">
            <v>0.55467184368737477</v>
          </cell>
          <cell r="DT87">
            <v>0.51052810137926508</v>
          </cell>
          <cell r="DU87">
            <v>1.5145052490507034</v>
          </cell>
          <cell r="DV87">
            <v>34.098859962565932</v>
          </cell>
          <cell r="DW87">
            <v>-1.7971226803581755</v>
          </cell>
          <cell r="DX87">
            <v>-3.976817793141421</v>
          </cell>
          <cell r="DZ87">
            <v>-0.43844927744028617</v>
          </cell>
          <cell r="EA87">
            <v>-0.53741589379887245</v>
          </cell>
          <cell r="EB87">
            <v>-0.33320632791782234</v>
          </cell>
          <cell r="EC87">
            <v>0.40472238035780639</v>
          </cell>
          <cell r="ED87">
            <v>-9.7762659297635945E-2</v>
          </cell>
          <cell r="EF87">
            <v>1.1693693055752252</v>
          </cell>
          <cell r="EG87">
            <v>-0.33142857142857152</v>
          </cell>
          <cell r="EH87">
            <v>0.17604066821854025</v>
          </cell>
          <cell r="EI87">
            <v>2.0326843538787331E-2</v>
          </cell>
          <cell r="EJ87">
            <v>4.0016904008823184E-2</v>
          </cell>
          <cell r="EK87" t="str">
            <v>EPS Diluted, Reported</v>
          </cell>
          <cell r="EL87">
            <v>0.35558698453608217</v>
          </cell>
          <cell r="EM87">
            <v>0.96547144754316094</v>
          </cell>
          <cell r="EN87">
            <v>3.2230661891029717</v>
          </cell>
          <cell r="EO87">
            <v>-1.1617072930678152E-2</v>
          </cell>
          <cell r="EP87">
            <v>0.67589282323900779</v>
          </cell>
          <cell r="ER87">
            <v>-1.2610896412998625</v>
          </cell>
          <cell r="ES87">
            <v>0.34542922079805116</v>
          </cell>
          <cell r="ET87">
            <v>-1.0060891181827454</v>
          </cell>
          <cell r="EU87">
            <v>0.10971318583546186</v>
          </cell>
          <cell r="EV87">
            <v>-0.43876139320187513</v>
          </cell>
          <cell r="EX87">
            <v>-1.810889362526642</v>
          </cell>
          <cell r="EY87">
            <v>-0.71474378362169477</v>
          </cell>
          <cell r="EZ87">
            <v>-14.807121661721066</v>
          </cell>
          <cell r="FA87">
            <v>0.27023895272896103</v>
          </cell>
          <cell r="FB87">
            <v>6.3775441193242965E-2</v>
          </cell>
          <cell r="FD87">
            <v>-2.8526666666666669</v>
          </cell>
          <cell r="FE87">
            <v>5.170270270270283E-2</v>
          </cell>
          <cell r="FF87">
            <v>-2.3275757575757576</v>
          </cell>
          <cell r="FG87">
            <v>-7.3726942536051361</v>
          </cell>
          <cell r="FH87">
            <v>-6.8981600687855193</v>
          </cell>
          <cell r="FJ87">
            <v>0.49999999999999978</v>
          </cell>
          <cell r="FK87">
            <v>-0.88235294117647056</v>
          </cell>
          <cell r="FL87">
            <v>-0.20000000000000007</v>
          </cell>
          <cell r="FM87">
            <v>-1.092674315975287</v>
          </cell>
          <cell r="FN87">
            <v>-1.0683488337132727</v>
          </cell>
          <cell r="FP87">
            <v>-1.2380952380952381</v>
          </cell>
          <cell r="FQ87">
            <v>16.23329425556858</v>
          </cell>
          <cell r="FR87">
            <v>-1.25</v>
          </cell>
          <cell r="FS87">
            <v>0.47619047619047628</v>
          </cell>
          <cell r="FT87">
            <v>1.5289650455927051</v>
          </cell>
          <cell r="FV87">
            <v>4.9999999999999991</v>
          </cell>
          <cell r="FW87">
            <v>0.60889988761266101</v>
          </cell>
          <cell r="FX87">
            <v>15</v>
          </cell>
          <cell r="FY87">
            <v>0.1225806451612903</v>
          </cell>
          <cell r="FZ87">
            <v>0.48223350253807107</v>
          </cell>
          <cell r="GB87">
            <v>0.43333333333333335</v>
          </cell>
          <cell r="GC87">
            <v>0.20822406639004165</v>
          </cell>
          <cell r="GD87">
            <v>-0.15625</v>
          </cell>
          <cell r="GE87">
            <v>0.21264367816091956</v>
          </cell>
          <cell r="GF87">
            <v>0.17465753424657549</v>
          </cell>
        </row>
        <row r="89">
          <cell r="AR89">
            <v>68.3</v>
          </cell>
          <cell r="AU89">
            <v>66.742000000000004</v>
          </cell>
          <cell r="AV89">
            <v>66.046999999999997</v>
          </cell>
          <cell r="AW89">
            <v>64.048000000000002</v>
          </cell>
          <cell r="AX89">
            <v>64.046999999999997</v>
          </cell>
          <cell r="AY89">
            <v>260.88400000000001</v>
          </cell>
          <cell r="BA89">
            <v>56.853999999999999</v>
          </cell>
          <cell r="BB89">
            <v>57.481000000000002</v>
          </cell>
          <cell r="BC89">
            <v>58.634</v>
          </cell>
          <cell r="BD89">
            <v>57.152999999999999</v>
          </cell>
          <cell r="BE89">
            <v>230.12199999999999</v>
          </cell>
          <cell r="BG89">
            <v>56.424999999999997</v>
          </cell>
          <cell r="BH89">
            <v>56.37</v>
          </cell>
          <cell r="BI89">
            <v>57.966999999999999</v>
          </cell>
          <cell r="BJ89">
            <v>59.017999999999986</v>
          </cell>
          <cell r="BK89">
            <v>229.77999999999997</v>
          </cell>
          <cell r="BM89">
            <v>59.893000000000001</v>
          </cell>
          <cell r="BN89">
            <v>61.381999999999998</v>
          </cell>
          <cell r="BO89">
            <v>62.862000000000002</v>
          </cell>
          <cell r="BP89">
            <v>67.269000000000005</v>
          </cell>
          <cell r="BQ89">
            <v>251.40600000000001</v>
          </cell>
          <cell r="BS89">
            <v>136.37</v>
          </cell>
          <cell r="BT89">
            <v>141.60000000000002</v>
          </cell>
          <cell r="BU89">
            <v>136</v>
          </cell>
          <cell r="BV89">
            <v>137.10000000000002</v>
          </cell>
          <cell r="BW89">
            <v>551.07000000000005</v>
          </cell>
          <cell r="BY89">
            <v>115.258</v>
          </cell>
          <cell r="BZ89">
            <v>121</v>
          </cell>
          <cell r="CA89">
            <v>122.6</v>
          </cell>
          <cell r="CB89">
            <v>134.25</v>
          </cell>
          <cell r="CC89">
            <v>134.25</v>
          </cell>
          <cell r="CD89">
            <v>121.56399999999999</v>
          </cell>
          <cell r="CE89">
            <v>131.88</v>
          </cell>
          <cell r="CF89">
            <v>474.94499999999999</v>
          </cell>
          <cell r="CG89">
            <v>496.911</v>
          </cell>
          <cell r="CH89">
            <v>496.911</v>
          </cell>
          <cell r="CJ89">
            <v>133.32499999999999</v>
          </cell>
          <cell r="CK89">
            <v>133.30000000000001</v>
          </cell>
          <cell r="CL89">
            <v>135.27600000000001</v>
          </cell>
          <cell r="CM89">
            <v>131.46199999999999</v>
          </cell>
          <cell r="CN89">
            <v>533.36300000000006</v>
          </cell>
          <cell r="CP89">
            <v>145.684</v>
          </cell>
          <cell r="CQ89">
            <v>145.39400000000001</v>
          </cell>
          <cell r="CR89">
            <v>147.756</v>
          </cell>
          <cell r="CS89">
            <v>151.453</v>
          </cell>
          <cell r="CT89">
            <v>590.28699999999992</v>
          </cell>
          <cell r="CV89">
            <v>155</v>
          </cell>
          <cell r="CW89">
            <v>156</v>
          </cell>
          <cell r="CX89">
            <v>157</v>
          </cell>
          <cell r="CY89">
            <v>156</v>
          </cell>
          <cell r="CZ89">
            <v>624</v>
          </cell>
          <cell r="DB89">
            <v>173</v>
          </cell>
          <cell r="DC89">
            <v>187</v>
          </cell>
          <cell r="DD89">
            <v>191</v>
          </cell>
          <cell r="DE89">
            <v>187</v>
          </cell>
          <cell r="DF89">
            <v>738</v>
          </cell>
        </row>
        <row r="90">
          <cell r="A90" t="str">
            <v>∆ Sales - ∆ Expenses</v>
          </cell>
          <cell r="AN90" t="str">
            <v>∆ Sales - ∆ Expenses</v>
          </cell>
          <cell r="AU90">
            <v>108.2620000000001</v>
          </cell>
          <cell r="AV90">
            <v>74.555999999999898</v>
          </cell>
          <cell r="AW90">
            <v>117.31500000000005</v>
          </cell>
          <cell r="AX90">
            <v>227.72300000000027</v>
          </cell>
          <cell r="AY90">
            <v>527.85600000000034</v>
          </cell>
          <cell r="BA90">
            <v>141.51500000000016</v>
          </cell>
          <cell r="BB90">
            <v>89.155999999999949</v>
          </cell>
          <cell r="BC90">
            <v>169.40199999999993</v>
          </cell>
          <cell r="BD90">
            <v>268.48300000000006</v>
          </cell>
          <cell r="BE90">
            <v>668.55600000000004</v>
          </cell>
          <cell r="BG90">
            <v>143.20600000000007</v>
          </cell>
          <cell r="BH90">
            <v>118.40499999999997</v>
          </cell>
          <cell r="BI90">
            <v>165.34899999999993</v>
          </cell>
          <cell r="BJ90">
            <v>313.46299999999979</v>
          </cell>
          <cell r="BK90">
            <v>740.42299999999909</v>
          </cell>
          <cell r="BM90">
            <v>168.50100000000018</v>
          </cell>
          <cell r="BN90">
            <v>147.95599999999985</v>
          </cell>
          <cell r="BO90">
            <v>195.559</v>
          </cell>
          <cell r="BP90">
            <v>380.49400000000003</v>
          </cell>
          <cell r="BQ90">
            <v>892.50999999999885</v>
          </cell>
          <cell r="BS90">
            <v>196.87099999999998</v>
          </cell>
          <cell r="BT90">
            <v>173.67600000000004</v>
          </cell>
          <cell r="BU90">
            <v>260.07500000000005</v>
          </cell>
          <cell r="BV90">
            <v>603.24900000000014</v>
          </cell>
          <cell r="BW90">
            <v>1233.8709999999996</v>
          </cell>
          <cell r="BY90">
            <v>211.1449999999997</v>
          </cell>
          <cell r="BZ90">
            <v>237.19800000000009</v>
          </cell>
          <cell r="CA90">
            <v>309.19699999999978</v>
          </cell>
          <cell r="CC90">
            <v>278.36199999999985</v>
          </cell>
          <cell r="CD90">
            <v>717.53299999999979</v>
          </cell>
          <cell r="CE90">
            <v>757.60399999999947</v>
          </cell>
          <cell r="CF90">
            <v>1469.5959999999989</v>
          </cell>
          <cell r="CG90">
            <v>1521.3169999999991</v>
          </cell>
          <cell r="CH90">
            <v>1478.7909999999974</v>
          </cell>
          <cell r="CJ90">
            <v>266.31199999999984</v>
          </cell>
          <cell r="CK90">
            <v>307.97100000000006</v>
          </cell>
          <cell r="CL90">
            <v>366.89200000000045</v>
          </cell>
          <cell r="CM90">
            <v>794.05299999999966</v>
          </cell>
          <cell r="CN90">
            <v>1735.2279999999998</v>
          </cell>
          <cell r="CP90">
            <v>293.74400000000014</v>
          </cell>
          <cell r="CQ90">
            <v>357.25400000000036</v>
          </cell>
          <cell r="CR90">
            <v>415.71699999999998</v>
          </cell>
          <cell r="CS90">
            <v>864.35699999999997</v>
          </cell>
          <cell r="CT90">
            <v>1931.0720000000006</v>
          </cell>
          <cell r="CV90">
            <v>336</v>
          </cell>
          <cell r="CW90">
            <v>423</v>
          </cell>
          <cell r="CX90">
            <v>414</v>
          </cell>
          <cell r="CY90">
            <v>906</v>
          </cell>
          <cell r="CZ90">
            <v>2079</v>
          </cell>
          <cell r="DB90">
            <v>398</v>
          </cell>
          <cell r="DC90">
            <v>505</v>
          </cell>
          <cell r="DD90">
            <v>493</v>
          </cell>
          <cell r="DE90">
            <v>1043</v>
          </cell>
          <cell r="DF90">
            <v>2439</v>
          </cell>
          <cell r="FJ90">
            <v>-3.4194680167579095E-2</v>
          </cell>
          <cell r="FK90">
            <v>-1.5971577237682277E-3</v>
          </cell>
          <cell r="FL90">
            <v>-5.7525143184197214E-3</v>
          </cell>
          <cell r="FM90">
            <v>9.2433677127078395E-3</v>
          </cell>
          <cell r="FN90">
            <v>-5.1748072838055936E-3</v>
          </cell>
          <cell r="FP90">
            <v>5.0054493420776947E-2</v>
          </cell>
          <cell r="FQ90">
            <v>1.2157198738702135E-2</v>
          </cell>
          <cell r="FR90">
            <v>3.7873885884193381E-2</v>
          </cell>
          <cell r="FS90">
            <v>3.7804361854073099E-2</v>
          </cell>
          <cell r="FT90">
            <v>3.4486647181381613E-2</v>
          </cell>
          <cell r="FV90">
            <v>6.654750183230107E-2</v>
          </cell>
          <cell r="FW90">
            <v>6.0825738612125813E-2</v>
          </cell>
          <cell r="FX90">
            <v>6.5553021505009412E-2</v>
          </cell>
          <cell r="FY90">
            <v>2.4289824797099513E-2</v>
          </cell>
          <cell r="FZ90">
            <v>5.3530898326099363E-2</v>
          </cell>
          <cell r="GB90">
            <v>3.1980729489817339E-2</v>
          </cell>
          <cell r="GC90">
            <v>1.343934930906876E-2</v>
          </cell>
          <cell r="GD90">
            <v>-1.4520704841329835E-2</v>
          </cell>
          <cell r="GE90">
            <v>2.4716111945240593E-2</v>
          </cell>
          <cell r="GF90">
            <v>1.6065747463878788E-2</v>
          </cell>
        </row>
        <row r="91">
          <cell r="A91" t="str">
            <v>E = MorFYn Stanley Research Estimates</v>
          </cell>
        </row>
        <row r="92">
          <cell r="A92" t="str">
            <v>Macy's Inc.</v>
          </cell>
          <cell r="AN92" t="str">
            <v>Macy's Inc.</v>
          </cell>
        </row>
        <row r="93">
          <cell r="A93" t="str">
            <v>Annual Store Model</v>
          </cell>
          <cell r="F93" t="str">
            <v>Federated (Post-Bankruptcy)</v>
          </cell>
          <cell r="AN93" t="str">
            <v>Quarterly Store Model</v>
          </cell>
        </row>
        <row r="94">
          <cell r="A94" t="str">
            <v>($ Millions)</v>
          </cell>
          <cell r="J94" t="str">
            <v>91P-94E</v>
          </cell>
          <cell r="K94" t="str">
            <v>PFMA</v>
          </cell>
          <cell r="AN94" t="str">
            <v>($ Millions)</v>
          </cell>
          <cell r="EX94">
            <v>39447</v>
          </cell>
          <cell r="FD94">
            <v>39813</v>
          </cell>
          <cell r="FJ94">
            <v>40178</v>
          </cell>
          <cell r="FP94">
            <v>40543</v>
          </cell>
          <cell r="FV94">
            <v>40908</v>
          </cell>
          <cell r="GB94">
            <v>41274</v>
          </cell>
          <cell r="GG94" t="str">
            <v xml:space="preserve"> </v>
          </cell>
        </row>
        <row r="95">
          <cell r="A95">
            <v>41396.636050578702</v>
          </cell>
          <cell r="B95">
            <v>1987</v>
          </cell>
          <cell r="C95">
            <v>1988</v>
          </cell>
          <cell r="D95">
            <v>1989</v>
          </cell>
          <cell r="E95">
            <v>1990</v>
          </cell>
          <cell r="F95">
            <v>1991</v>
          </cell>
          <cell r="G95" t="str">
            <v>1992</v>
          </cell>
          <cell r="H95">
            <v>1993</v>
          </cell>
          <cell r="I95">
            <v>1994</v>
          </cell>
          <cell r="J95" t="str">
            <v>CAGR</v>
          </cell>
          <cell r="K95">
            <v>1994</v>
          </cell>
          <cell r="M95">
            <v>1994</v>
          </cell>
          <cell r="N95">
            <v>1995</v>
          </cell>
          <cell r="O95">
            <v>1996</v>
          </cell>
          <cell r="P95">
            <v>1997</v>
          </cell>
          <cell r="Q95">
            <v>1998</v>
          </cell>
          <cell r="R95">
            <v>1999</v>
          </cell>
          <cell r="S95">
            <v>2000</v>
          </cell>
          <cell r="T95">
            <v>2001</v>
          </cell>
          <cell r="U95">
            <v>2002</v>
          </cell>
          <cell r="V95">
            <v>2003</v>
          </cell>
          <cell r="W95">
            <v>2004</v>
          </cell>
          <cell r="X95">
            <v>2005</v>
          </cell>
          <cell r="Y95">
            <v>2006</v>
          </cell>
          <cell r="Z95">
            <v>2007</v>
          </cell>
          <cell r="AA95">
            <v>2008</v>
          </cell>
          <cell r="AB95">
            <v>2009</v>
          </cell>
          <cell r="AC95">
            <v>2010</v>
          </cell>
          <cell r="AD95">
            <v>2011</v>
          </cell>
          <cell r="AE95" t="str">
            <v>2012E</v>
          </cell>
          <cell r="AF95" t="str">
            <v>2013E</v>
          </cell>
          <cell r="AG95" t="str">
            <v>2014E</v>
          </cell>
          <cell r="AH95" t="str">
            <v>2015E</v>
          </cell>
          <cell r="AI95" t="str">
            <v>2016E</v>
          </cell>
          <cell r="AJ95" t="str">
            <v>2017E</v>
          </cell>
          <cell r="AK95" t="str">
            <v>2017E</v>
          </cell>
          <cell r="AL95" t="str">
            <v>2017E</v>
          </cell>
          <cell r="AN95">
            <v>41396.636050578702</v>
          </cell>
          <cell r="BS95" t="str">
            <v>1994 (Pro forma for Macy's)</v>
          </cell>
          <cell r="BY95" t="str">
            <v>1995E</v>
          </cell>
          <cell r="CJ95" t="str">
            <v>1996A</v>
          </cell>
          <cell r="CP95" t="str">
            <v>1997A</v>
          </cell>
          <cell r="CX95">
            <v>1998</v>
          </cell>
          <cell r="DD95">
            <v>1999</v>
          </cell>
          <cell r="DJ95">
            <v>2000</v>
          </cell>
          <cell r="DP95">
            <v>2001</v>
          </cell>
          <cell r="DV95">
            <v>2002</v>
          </cell>
          <cell r="EB95">
            <v>2003</v>
          </cell>
          <cell r="EH95">
            <v>2004</v>
          </cell>
          <cell r="EN95">
            <v>2005</v>
          </cell>
          <cell r="ET95">
            <v>2006</v>
          </cell>
          <cell r="EX95">
            <v>1</v>
          </cell>
          <cell r="EY95">
            <v>2</v>
          </cell>
          <cell r="EZ95">
            <v>3</v>
          </cell>
          <cell r="FA95">
            <v>4</v>
          </cell>
          <cell r="FB95" t="str">
            <v>Year</v>
          </cell>
          <cell r="FD95">
            <v>1</v>
          </cell>
          <cell r="FE95">
            <v>2</v>
          </cell>
          <cell r="FF95">
            <v>3</v>
          </cell>
          <cell r="FG95">
            <v>4</v>
          </cell>
          <cell r="FH95" t="str">
            <v>Year</v>
          </cell>
          <cell r="FJ95">
            <v>1</v>
          </cell>
          <cell r="FK95">
            <v>2</v>
          </cell>
          <cell r="FL95">
            <v>3</v>
          </cell>
          <cell r="FM95">
            <v>4</v>
          </cell>
          <cell r="FN95" t="str">
            <v>Year</v>
          </cell>
          <cell r="FP95">
            <v>1</v>
          </cell>
          <cell r="FQ95">
            <v>2</v>
          </cell>
          <cell r="FR95">
            <v>3</v>
          </cell>
          <cell r="FS95">
            <v>4</v>
          </cell>
          <cell r="FT95" t="str">
            <v>Year</v>
          </cell>
          <cell r="FV95">
            <v>1</v>
          </cell>
          <cell r="FW95">
            <v>2</v>
          </cell>
          <cell r="FX95">
            <v>3</v>
          </cell>
          <cell r="FY95">
            <v>4</v>
          </cell>
          <cell r="FZ95" t="str">
            <v>Year</v>
          </cell>
          <cell r="GB95">
            <v>1</v>
          </cell>
          <cell r="GC95">
            <v>2</v>
          </cell>
          <cell r="GD95">
            <v>3</v>
          </cell>
          <cell r="GE95">
            <v>4</v>
          </cell>
          <cell r="GF95" t="str">
            <v>Year</v>
          </cell>
        </row>
        <row r="96">
          <cell r="A96" t="str">
            <v>TOTAL RETAIL COMPANY (A)</v>
          </cell>
          <cell r="AN96" t="str">
            <v>TOTAL RETAIL COMPANY (A)</v>
          </cell>
        </row>
        <row r="97">
          <cell r="A97" t="str">
            <v>Sales</v>
          </cell>
          <cell r="N97">
            <v>14614</v>
          </cell>
          <cell r="O97">
            <v>14833</v>
          </cell>
          <cell r="P97">
            <v>15220</v>
          </cell>
          <cell r="Q97">
            <v>15365</v>
          </cell>
          <cell r="R97">
            <v>16029</v>
          </cell>
          <cell r="S97">
            <v>16638</v>
          </cell>
          <cell r="T97">
            <v>15785</v>
          </cell>
          <cell r="U97">
            <v>15571</v>
          </cell>
          <cell r="V97">
            <v>15412</v>
          </cell>
          <cell r="W97">
            <v>15776</v>
          </cell>
          <cell r="X97">
            <v>22390</v>
          </cell>
          <cell r="Y97">
            <v>26970</v>
          </cell>
          <cell r="Z97">
            <v>26313</v>
          </cell>
          <cell r="AA97">
            <v>24892</v>
          </cell>
          <cell r="AB97">
            <v>23895</v>
          </cell>
          <cell r="AC97">
            <v>25003</v>
          </cell>
          <cell r="AD97">
            <v>26405</v>
          </cell>
          <cell r="AE97">
            <v>27697.820605365057</v>
          </cell>
          <cell r="AF97">
            <v>28358.892641397051</v>
          </cell>
          <cell r="AG97">
            <v>28905.408744504351</v>
          </cell>
          <cell r="AH97">
            <v>29204.897015558319</v>
          </cell>
          <cell r="AI97">
            <v>29496.945985713905</v>
          </cell>
          <cell r="AJ97">
            <v>29791.915445571045</v>
          </cell>
          <cell r="AK97">
            <v>30089.834600026756</v>
          </cell>
          <cell r="AL97">
            <v>30390.732946027023</v>
          </cell>
          <cell r="AN97" t="str">
            <v>Sales</v>
          </cell>
          <cell r="DB97">
            <v>3470</v>
          </cell>
          <cell r="DC97">
            <v>3609</v>
          </cell>
          <cell r="DD97">
            <v>3691</v>
          </cell>
          <cell r="DE97">
            <v>5259</v>
          </cell>
          <cell r="DF97">
            <v>16029</v>
          </cell>
          <cell r="DH97">
            <v>3573</v>
          </cell>
          <cell r="DI97">
            <v>3679</v>
          </cell>
          <cell r="DJ97">
            <v>3782</v>
          </cell>
          <cell r="DK97">
            <v>5604</v>
          </cell>
          <cell r="DL97">
            <v>16638</v>
          </cell>
          <cell r="DN97">
            <v>3556</v>
          </cell>
          <cell r="DO97">
            <v>3488</v>
          </cell>
          <cell r="DP97">
            <v>3475</v>
          </cell>
          <cell r="DQ97">
            <v>5132</v>
          </cell>
          <cell r="DR97">
            <v>15785</v>
          </cell>
          <cell r="DT97">
            <v>3453</v>
          </cell>
          <cell r="DU97">
            <v>3486</v>
          </cell>
          <cell r="DV97">
            <v>3479</v>
          </cell>
          <cell r="DW97">
            <v>5017</v>
          </cell>
          <cell r="DX97">
            <v>15571</v>
          </cell>
          <cell r="DZ97">
            <v>3291</v>
          </cell>
          <cell r="EA97">
            <v>3434</v>
          </cell>
          <cell r="EB97">
            <v>3486</v>
          </cell>
          <cell r="EC97">
            <v>5053</v>
          </cell>
          <cell r="ED97">
            <v>15412</v>
          </cell>
          <cell r="EF97">
            <v>3550</v>
          </cell>
          <cell r="EG97">
            <v>3581</v>
          </cell>
          <cell r="EH97">
            <v>3525</v>
          </cell>
          <cell r="EI97">
            <v>5120</v>
          </cell>
          <cell r="EJ97">
            <v>15776</v>
          </cell>
          <cell r="EL97">
            <v>3641</v>
          </cell>
          <cell r="EM97">
            <v>3623</v>
          </cell>
          <cell r="EN97">
            <v>5555</v>
          </cell>
          <cell r="EO97">
            <v>9571</v>
          </cell>
          <cell r="EP97">
            <v>22390</v>
          </cell>
          <cell r="ER97">
            <v>5930</v>
          </cell>
          <cell r="ES97">
            <v>5995</v>
          </cell>
          <cell r="ET97">
            <v>5886</v>
          </cell>
          <cell r="EU97">
            <v>9159</v>
          </cell>
          <cell r="EV97">
            <v>26970</v>
          </cell>
          <cell r="EX97">
            <v>5921</v>
          </cell>
          <cell r="EY97">
            <v>5892</v>
          </cell>
          <cell r="EZ97">
            <v>5906</v>
          </cell>
          <cell r="FA97">
            <v>8594</v>
          </cell>
          <cell r="FB97">
            <v>26313</v>
          </cell>
          <cell r="FD97">
            <v>5747</v>
          </cell>
          <cell r="FE97">
            <v>5718</v>
          </cell>
          <cell r="FF97">
            <v>5493</v>
          </cell>
          <cell r="FG97">
            <v>7934</v>
          </cell>
          <cell r="FH97">
            <v>24892</v>
          </cell>
          <cell r="FJ97">
            <v>5288</v>
          </cell>
          <cell r="FK97">
            <v>5285</v>
          </cell>
          <cell r="FL97">
            <v>5385</v>
          </cell>
          <cell r="FM97">
            <v>7937</v>
          </cell>
          <cell r="FN97">
            <v>23895</v>
          </cell>
          <cell r="FP97">
            <v>5574</v>
          </cell>
          <cell r="FQ97">
            <v>5537</v>
          </cell>
          <cell r="FR97">
            <v>5623</v>
          </cell>
          <cell r="FS97">
            <v>8269</v>
          </cell>
          <cell r="FT97">
            <v>25003</v>
          </cell>
          <cell r="FV97">
            <v>5889</v>
          </cell>
          <cell r="FW97">
            <v>5939</v>
          </cell>
          <cell r="FX97">
            <v>5853</v>
          </cell>
          <cell r="FY97">
            <v>8724</v>
          </cell>
          <cell r="FZ97">
            <v>26405</v>
          </cell>
          <cell r="GB97">
            <v>6143</v>
          </cell>
          <cell r="GC97">
            <v>6118</v>
          </cell>
          <cell r="GD97">
            <v>6069.6866469352608</v>
          </cell>
          <cell r="GE97">
            <v>9367.1339584297966</v>
          </cell>
          <cell r="GF97">
            <v>27697.820605365057</v>
          </cell>
        </row>
        <row r="98">
          <cell r="A98" t="str">
            <v>% Change</v>
          </cell>
          <cell r="N98" t="str">
            <v>NA</v>
          </cell>
          <cell r="O98">
            <v>1.4985630217599466E-2</v>
          </cell>
          <cell r="P98">
            <v>2.6090473943234604E-2</v>
          </cell>
          <cell r="Q98">
            <v>9.5269382391589552E-3</v>
          </cell>
          <cell r="R98">
            <v>4.3215099251545652E-2</v>
          </cell>
          <cell r="S98">
            <v>3.7993636533782515E-2</v>
          </cell>
          <cell r="T98">
            <v>-5.126818127178745E-2</v>
          </cell>
          <cell r="U98">
            <v>-1.3557174532784266E-2</v>
          </cell>
          <cell r="V98">
            <v>-1.0211290218996805E-2</v>
          </cell>
          <cell r="W98">
            <v>2.361796003114458E-2</v>
          </cell>
          <cell r="X98">
            <v>0.41924442190669375</v>
          </cell>
          <cell r="Y98">
            <v>0.20455560518088434</v>
          </cell>
          <cell r="Z98">
            <v>-2.4360400444938812E-2</v>
          </cell>
          <cell r="AA98">
            <v>-5.4003724394785846E-2</v>
          </cell>
          <cell r="AB98">
            <v>-4.0053029085650005E-2</v>
          </cell>
          <cell r="AC98">
            <v>4.6369533375183014E-2</v>
          </cell>
          <cell r="AD98">
            <v>5.60732712074552E-2</v>
          </cell>
          <cell r="AE98">
            <v>4.8961204520547419E-2</v>
          </cell>
          <cell r="AF98">
            <v>2.3867294306323394E-2</v>
          </cell>
          <cell r="AG98">
            <v>1.9271419022529823E-2</v>
          </cell>
          <cell r="AH98">
            <v>1.0360976857347159E-2</v>
          </cell>
          <cell r="AI98">
            <v>1.0000000000000009E-2</v>
          </cell>
          <cell r="AJ98">
            <v>1.0000000000000009E-2</v>
          </cell>
          <cell r="AK98">
            <v>1.0000000000000009E-2</v>
          </cell>
          <cell r="AL98">
            <v>1.0000000000000009E-2</v>
          </cell>
          <cell r="AN98" t="str">
            <v>% Change</v>
          </cell>
          <cell r="DH98">
            <v>2.9682997118155585E-2</v>
          </cell>
          <cell r="DI98">
            <v>1.9395954558049322E-2</v>
          </cell>
          <cell r="DJ98">
            <v>2.4654565158493735E-2</v>
          </cell>
          <cell r="DK98">
            <v>6.560182544209936E-2</v>
          </cell>
          <cell r="DL98">
            <v>3.7993636533782515E-2</v>
          </cell>
          <cell r="DN98">
            <v>-4.7579065211307281E-3</v>
          </cell>
          <cell r="DO98">
            <v>-5.191628159826045E-2</v>
          </cell>
          <cell r="DP98">
            <v>-8.1173982020095181E-2</v>
          </cell>
          <cell r="DQ98">
            <v>-8.4225553176302648E-2</v>
          </cell>
          <cell r="DR98">
            <v>-5.126818127178745E-2</v>
          </cell>
          <cell r="DT98">
            <v>-2.8965129358830111E-2</v>
          </cell>
          <cell r="DU98">
            <v>-5.7339449541282672E-4</v>
          </cell>
          <cell r="DV98">
            <v>1.1510791366906581E-3</v>
          </cell>
          <cell r="DW98">
            <v>-2.2408417770849565E-2</v>
          </cell>
          <cell r="DX98">
            <v>-1.3557174532784266E-2</v>
          </cell>
          <cell r="DZ98">
            <v>-4.6915725456125101E-2</v>
          </cell>
          <cell r="EA98">
            <v>-1.4916810097532984E-2</v>
          </cell>
          <cell r="EB98">
            <v>2.012072434607548E-3</v>
          </cell>
          <cell r="EC98">
            <v>7.1756029499701057E-3</v>
          </cell>
          <cell r="ED98">
            <v>-1.0211290218996805E-2</v>
          </cell>
          <cell r="EF98">
            <v>7.8699483439683915E-2</v>
          </cell>
          <cell r="EG98">
            <v>4.2807221898660375E-2</v>
          </cell>
          <cell r="EH98">
            <v>1.1187607573149849E-2</v>
          </cell>
          <cell r="EI98">
            <v>1.3259449831783066E-2</v>
          </cell>
          <cell r="EJ98">
            <v>2.361796003114458E-2</v>
          </cell>
          <cell r="EL98">
            <v>2.5633802816901419E-2</v>
          </cell>
          <cell r="EM98">
            <v>1.1728567439262871E-2</v>
          </cell>
          <cell r="EN98">
            <v>0.57588652482269498</v>
          </cell>
          <cell r="EO98">
            <v>0.86933593750000004</v>
          </cell>
          <cell r="EP98">
            <v>0.41924442190669375</v>
          </cell>
          <cell r="ER98">
            <v>0.62867344136226322</v>
          </cell>
          <cell r="ES98">
            <v>0.65470604471432514</v>
          </cell>
          <cell r="ET98">
            <v>5.9585958595859578E-2</v>
          </cell>
          <cell r="EU98">
            <v>-4.3046703583742518E-2</v>
          </cell>
          <cell r="EV98">
            <v>0.20455560518088434</v>
          </cell>
          <cell r="EX98">
            <v>-1.5177065767284503E-3</v>
          </cell>
          <cell r="EY98">
            <v>-1.7180984153461254E-2</v>
          </cell>
          <cell r="EZ98">
            <v>3.397893306150257E-3</v>
          </cell>
          <cell r="FA98">
            <v>-6.1687957200567745E-2</v>
          </cell>
          <cell r="FB98">
            <v>-2.4360400444938812E-2</v>
          </cell>
          <cell r="FD98">
            <v>-2.9386927883803371E-2</v>
          </cell>
          <cell r="FE98">
            <v>-2.9531568228105876E-2</v>
          </cell>
          <cell r="FF98">
            <v>-6.9928885878767333E-2</v>
          </cell>
          <cell r="FG98">
            <v>-7.6797765883174329E-2</v>
          </cell>
          <cell r="FH98">
            <v>-5.4003724394785846E-2</v>
          </cell>
          <cell r="FJ98">
            <v>-7.9867757090655966E-2</v>
          </cell>
          <cell r="FK98">
            <v>-7.5725778244141284E-2</v>
          </cell>
          <cell r="FL98">
            <v>-1.9661387220098359E-2</v>
          </cell>
          <cell r="FM98">
            <v>3.7811948575749987E-4</v>
          </cell>
          <cell r="FN98">
            <v>-4.0053029085650005E-2</v>
          </cell>
          <cell r="FP98">
            <v>5.4084720121028829E-2</v>
          </cell>
          <cell r="FQ98">
            <v>4.7682119205298079E-2</v>
          </cell>
          <cell r="FR98">
            <v>4.4196843082636939E-2</v>
          </cell>
          <cell r="FS98">
            <v>4.182940657679235E-2</v>
          </cell>
          <cell r="FT98">
            <v>4.6369533375183014E-2</v>
          </cell>
          <cell r="FV98">
            <v>5.6512378902045191E-2</v>
          </cell>
          <cell r="FW98">
            <v>7.2602492324363332E-2</v>
          </cell>
          <cell r="FX98">
            <v>4.0903432331495626E-2</v>
          </cell>
          <cell r="FY98">
            <v>5.5024791389527206E-2</v>
          </cell>
          <cell r="FZ98">
            <v>5.60732712074552E-2</v>
          </cell>
          <cell r="GB98">
            <v>4.313126167430803E-2</v>
          </cell>
          <cell r="GC98">
            <v>3.0139754167368249E-2</v>
          </cell>
          <cell r="GD98">
            <v>3.7021467099822347E-2</v>
          </cell>
          <cell r="GE98">
            <v>7.372007776590972E-2</v>
          </cell>
          <cell r="GF98">
            <v>4.8961204520547419E-2</v>
          </cell>
        </row>
        <row r="99">
          <cell r="A99" t="str">
            <v>Sales/Ave. Sq. Ft.</v>
          </cell>
          <cell r="N99">
            <v>185.41332301426695</v>
          </cell>
          <cell r="O99">
            <v>178.15063475096383</v>
          </cell>
          <cell r="P99">
            <v>185.57015271131161</v>
          </cell>
          <cell r="Q99">
            <v>188.14093733737411</v>
          </cell>
          <cell r="R99">
            <v>195.1982853628686</v>
          </cell>
          <cell r="S99">
            <v>201.28966693685953</v>
          </cell>
          <cell r="T99">
            <v>188.59020310633213</v>
          </cell>
          <cell r="U99">
            <v>185.92238805970149</v>
          </cell>
          <cell r="V99">
            <v>184.02388059701494</v>
          </cell>
          <cell r="W99">
            <v>188.59533771667662</v>
          </cell>
          <cell r="X99">
            <v>185.19437551695614</v>
          </cell>
          <cell r="Y99">
            <v>171.29247380120674</v>
          </cell>
          <cell r="Z99">
            <v>169.01924133080252</v>
          </cell>
          <cell r="AA99">
            <v>161.08616025782067</v>
          </cell>
          <cell r="AB99">
            <v>154.91537840650133</v>
          </cell>
          <cell r="AC99">
            <v>162.05355551450691</v>
          </cell>
          <cell r="AD99">
            <v>172.31421812545884</v>
          </cell>
          <cell r="AE99">
            <v>181.86236863425094</v>
          </cell>
          <cell r="AF99">
            <v>186.01972201820288</v>
          </cell>
          <cell r="AG99">
            <v>189.48961276294534</v>
          </cell>
          <cell r="AH99">
            <v>191.48711704856575</v>
          </cell>
          <cell r="AI99">
            <v>193.36743935804478</v>
          </cell>
          <cell r="AJ99">
            <v>195.30111375162525</v>
          </cell>
          <cell r="AK99">
            <v>197.25412488914151</v>
          </cell>
          <cell r="AL99">
            <v>199.22666613803293</v>
          </cell>
          <cell r="AN99" t="str">
            <v>Sales/Ave. Sq. Ft.</v>
          </cell>
          <cell r="DN99">
            <v>42.637889688249395</v>
          </cell>
          <cell r="DO99" t="str">
            <v>NA</v>
          </cell>
          <cell r="DP99" t="str">
            <v>NA</v>
          </cell>
          <cell r="DQ99">
            <v>61.095238095238095</v>
          </cell>
          <cell r="DR99">
            <v>188.59020310633213</v>
          </cell>
          <cell r="DT99">
            <v>40.928309062964026</v>
          </cell>
          <cell r="DU99">
            <v>41.051569071497894</v>
          </cell>
          <cell r="DV99">
            <v>40.531173985405189</v>
          </cell>
          <cell r="DW99">
            <v>58.999502465059471</v>
          </cell>
          <cell r="DX99">
            <v>185.92238805970149</v>
          </cell>
          <cell r="DZ99">
            <v>39.370030102818724</v>
          </cell>
          <cell r="EA99">
            <v>40.857109529919512</v>
          </cell>
          <cell r="EB99">
            <v>41.073351045396791</v>
          </cell>
          <cell r="EC99">
            <v>59.682254173501882</v>
          </cell>
          <cell r="ED99">
            <v>184.02388059701494</v>
          </cell>
          <cell r="EF99">
            <v>42.261904761904759</v>
          </cell>
          <cell r="EG99">
            <v>42.723255711192614</v>
          </cell>
          <cell r="EH99">
            <v>42.055145596747828</v>
          </cell>
          <cell r="EI99">
            <v>61.207411835026896</v>
          </cell>
          <cell r="EJ99">
            <v>188.59533771667662</v>
          </cell>
          <cell r="EL99">
            <v>43.709483793517407</v>
          </cell>
          <cell r="EM99">
            <v>43.445778155702293</v>
          </cell>
          <cell r="EN99">
            <v>43.791542109400297</v>
          </cell>
          <cell r="EO99">
            <v>58.232044198895025</v>
          </cell>
          <cell r="EP99">
            <v>185.19437551695614</v>
          </cell>
          <cell r="ER99">
            <v>37.564453920983773</v>
          </cell>
          <cell r="ES99">
            <v>38.241149916138319</v>
          </cell>
          <cell r="ET99">
            <v>37.633373672820916</v>
          </cell>
          <cell r="EU99">
            <v>58.543624876054047</v>
          </cell>
          <cell r="EV99">
            <v>171.29247380120674</v>
          </cell>
          <cell r="EX99">
            <v>37.779911755416386</v>
          </cell>
          <cell r="EY99">
            <v>37.537030548211384</v>
          </cell>
          <cell r="EZ99">
            <v>37.569496571290443</v>
          </cell>
          <cell r="FA99">
            <v>55.004768274652626</v>
          </cell>
          <cell r="FB99">
            <v>169.01924133080252</v>
          </cell>
          <cell r="FD99">
            <v>37.076342944882242</v>
          </cell>
          <cell r="FE99">
            <v>36.812659743637617</v>
          </cell>
          <cell r="FF99">
            <v>35.32180589404102</v>
          </cell>
          <cell r="FG99">
            <v>51.267967858977556</v>
          </cell>
          <cell r="FH99">
            <v>161.08616025782067</v>
          </cell>
          <cell r="FJ99">
            <v>34.278231896646723</v>
          </cell>
          <cell r="FK99">
            <v>34.219744501207565</v>
          </cell>
          <cell r="FL99">
            <v>34.76615964672159</v>
          </cell>
          <cell r="FM99">
            <v>51.249269551011977</v>
          </cell>
          <cell r="FN99">
            <v>154.91537840650133</v>
          </cell>
          <cell r="FP99">
            <v>36.112145899807253</v>
          </cell>
          <cell r="FQ99">
            <v>35.883477528271925</v>
          </cell>
          <cell r="FR99">
            <v>36.398238022338667</v>
          </cell>
          <cell r="FS99">
            <v>53.540615176423742</v>
          </cell>
          <cell r="FT99">
            <v>162.05355551450691</v>
          </cell>
          <cell r="FV99">
            <v>38.175188396402241</v>
          </cell>
          <cell r="FW99">
            <v>38.484218165795113</v>
          </cell>
          <cell r="FX99">
            <v>37.934811492569239</v>
          </cell>
          <cell r="FY99">
            <v>56.911364659373348</v>
          </cell>
          <cell r="FZ99">
            <v>172.31421812545884</v>
          </cell>
          <cell r="GB99">
            <v>40.344225186845712</v>
          </cell>
          <cell r="GC99">
            <v>40.196844961596831</v>
          </cell>
          <cell r="GD99">
            <v>39.865531591519826</v>
          </cell>
          <cell r="GE99">
            <v>61.502875554350474</v>
          </cell>
          <cell r="GF99">
            <v>181.86236863425094</v>
          </cell>
        </row>
        <row r="100">
          <cell r="A100" t="str">
            <v>% Change</v>
          </cell>
          <cell r="N100" t="str">
            <v>NA</v>
          </cell>
          <cell r="O100">
            <v>-3.9170261042914767E-2</v>
          </cell>
          <cell r="P100">
            <v>4.16474404973044E-2</v>
          </cell>
          <cell r="Q100">
            <v>1.3853438112226168E-2</v>
          </cell>
          <cell r="R100">
            <v>3.751096452144953E-2</v>
          </cell>
          <cell r="S100">
            <v>3.1206122342044118E-2</v>
          </cell>
          <cell r="T100">
            <v>-6.3090490554147394E-2</v>
          </cell>
          <cell r="U100">
            <v>-1.4146095622615373E-2</v>
          </cell>
          <cell r="V100">
            <v>-1.0211290218996805E-2</v>
          </cell>
          <cell r="W100">
            <v>2.4841651555389754E-2</v>
          </cell>
          <cell r="X100">
            <v>-1.8033119168776479E-2</v>
          </cell>
          <cell r="Y100">
            <v>-7.5066543878253844E-2</v>
          </cell>
          <cell r="Z100">
            <v>-1.3271058675014658E-2</v>
          </cell>
          <cell r="AA100">
            <v>-4.6935964275542585E-2</v>
          </cell>
          <cell r="AB100">
            <v>-3.8307337150770171E-2</v>
          </cell>
          <cell r="AC100">
            <v>4.607791157618224E-2</v>
          </cell>
          <cell r="AD100">
            <v>6.3316491750984083E-2</v>
          </cell>
          <cell r="AE100">
            <v>5.5411274894566542E-2</v>
          </cell>
          <cell r="AF100">
            <v>2.2859888030563047E-2</v>
          </cell>
          <cell r="AG100">
            <v>1.8653348726125563E-2</v>
          </cell>
          <cell r="AH100">
            <v>1.0541497533795186E-2</v>
          </cell>
          <cell r="AI100">
            <v>9.8195760553547728E-3</v>
          </cell>
          <cell r="AJ100">
            <v>1.0000000000000231E-2</v>
          </cell>
          <cell r="AK100">
            <v>1.0000000000000009E-2</v>
          </cell>
          <cell r="AL100">
            <v>1.0000000000000009E-2</v>
          </cell>
          <cell r="AN100" t="str">
            <v>% Change</v>
          </cell>
          <cell r="DN100" t="str">
            <v>NA</v>
          </cell>
          <cell r="DO100" t="str">
            <v>NA</v>
          </cell>
          <cell r="DP100" t="str">
            <v>NA</v>
          </cell>
          <cell r="DQ100" t="str">
            <v>NA</v>
          </cell>
          <cell r="DR100" t="str">
            <v>NA</v>
          </cell>
          <cell r="DT100">
            <v>-4.0095338624521859E-2</v>
          </cell>
          <cell r="DU100" t="str">
            <v>NA</v>
          </cell>
          <cell r="DV100" t="str">
            <v>NA</v>
          </cell>
          <cell r="DW100">
            <v>-3.430276557579981E-2</v>
          </cell>
          <cell r="DX100">
            <v>-1.4146095622615373E-2</v>
          </cell>
          <cell r="DZ100">
            <v>-3.8073377469566294E-2</v>
          </cell>
          <cell r="EA100">
            <v>-4.736957587167967E-3</v>
          </cell>
          <cell r="EB100">
            <v>1.3376791409664968E-2</v>
          </cell>
          <cell r="EC100">
            <v>1.1572160440619816E-2</v>
          </cell>
          <cell r="ED100">
            <v>-1.0211290218996805E-2</v>
          </cell>
          <cell r="EF100">
            <v>7.3453707084643272E-2</v>
          </cell>
          <cell r="EG100">
            <v>4.5674943791766065E-2</v>
          </cell>
          <cell r="EH100">
            <v>2.3903444115526362E-2</v>
          </cell>
          <cell r="EI100">
            <v>2.5554625619388371E-2</v>
          </cell>
          <cell r="EJ100">
            <v>2.4841651555389754E-2</v>
          </cell>
          <cell r="EL100">
            <v>3.4252574269144409E-2</v>
          </cell>
          <cell r="EM100">
            <v>1.6911689722194811E-2</v>
          </cell>
          <cell r="EN100">
            <v>4.1288562624468561E-2</v>
          </cell>
          <cell r="EO100">
            <v>-4.8611231008287348E-2</v>
          </cell>
          <cell r="EP100">
            <v>-1.8033119168776479E-2</v>
          </cell>
          <cell r="ER100">
            <v>-0.14058802207691612</v>
          </cell>
          <cell r="ES100">
            <v>-0.11979594935350146</v>
          </cell>
          <cell r="ET100">
            <v>-0.14062460785680952</v>
          </cell>
          <cell r="EU100">
            <v>5.3506738677213672E-3</v>
          </cell>
          <cell r="EV100">
            <v>-7.5066543878253844E-2</v>
          </cell>
          <cell r="EX100">
            <v>5.7356839230466861E-3</v>
          </cell>
          <cell r="EY100">
            <v>-1.8412609701095484E-2</v>
          </cell>
          <cell r="EZ100">
            <v>-1.6973525170985715E-3</v>
          </cell>
          <cell r="FA100">
            <v>-6.0448197543177873E-2</v>
          </cell>
          <cell r="FB100">
            <v>-1.3271058675014658E-2</v>
          </cell>
          <cell r="FD100">
            <v>-1.8622828319160289E-2</v>
          </cell>
          <cell r="FE100">
            <v>-1.9297498869640384E-2</v>
          </cell>
          <cell r="FF100">
            <v>-5.9827543150180129E-2</v>
          </cell>
          <cell r="FG100">
            <v>-6.7935935972246786E-2</v>
          </cell>
          <cell r="FH100">
            <v>-4.6935964275542585E-2</v>
          </cell>
          <cell r="FJ100">
            <v>-7.5468906207799336E-2</v>
          </cell>
          <cell r="FK100">
            <v>-7.0435422501037515E-2</v>
          </cell>
          <cell r="FL100">
            <v>-1.5730969390021166E-2</v>
          </cell>
          <cell r="FM100">
            <v>-3.6471716641883756E-4</v>
          </cell>
          <cell r="FN100">
            <v>-3.8307337150770171E-2</v>
          </cell>
          <cell r="FP100">
            <v>5.3500834252187213E-2</v>
          </cell>
          <cell r="FQ100">
            <v>4.8619095534323753E-2</v>
          </cell>
          <cell r="FR100">
            <v>4.6944453807999942E-2</v>
          </cell>
          <cell r="FS100">
            <v>4.4709820168871373E-2</v>
          </cell>
          <cell r="FT100">
            <v>4.607791157618224E-2</v>
          </cell>
          <cell r="FV100">
            <v>5.7128770533849682E-2</v>
          </cell>
          <cell r="FW100">
            <v>7.2477385601050326E-2</v>
          </cell>
          <cell r="FX100">
            <v>4.2215600361960703E-2</v>
          </cell>
          <cell r="FY100">
            <v>6.2956868759212359E-2</v>
          </cell>
          <cell r="FZ100">
            <v>6.3316491750984083E-2</v>
          </cell>
          <cell r="GB100">
            <v>5.681797213207429E-2</v>
          </cell>
          <cell r="GC100">
            <v>4.4502055061206969E-2</v>
          </cell>
          <cell r="GD100">
            <v>5.0895734629623268E-2</v>
          </cell>
          <cell r="GE100">
            <v>8.0678277923193376E-2</v>
          </cell>
          <cell r="GF100">
            <v>5.5411274894566542E-2</v>
          </cell>
        </row>
        <row r="102">
          <cell r="A102" t="str">
            <v>Number of Stores</v>
          </cell>
          <cell r="M102">
            <v>355</v>
          </cell>
          <cell r="N102">
            <v>412</v>
          </cell>
          <cell r="O102">
            <v>411</v>
          </cell>
          <cell r="P102">
            <v>400</v>
          </cell>
          <cell r="Q102">
            <v>401</v>
          </cell>
          <cell r="R102">
            <v>403</v>
          </cell>
          <cell r="S102">
            <v>440</v>
          </cell>
          <cell r="T102">
            <v>459</v>
          </cell>
          <cell r="U102">
            <v>455</v>
          </cell>
          <cell r="V102">
            <v>459</v>
          </cell>
          <cell r="W102">
            <v>459</v>
          </cell>
          <cell r="X102">
            <v>868</v>
          </cell>
          <cell r="Y102">
            <v>858</v>
          </cell>
          <cell r="Z102">
            <v>853</v>
          </cell>
          <cell r="AA102">
            <v>847</v>
          </cell>
          <cell r="AB102">
            <v>850</v>
          </cell>
          <cell r="AC102">
            <v>850</v>
          </cell>
          <cell r="AD102">
            <v>842</v>
          </cell>
          <cell r="AE102">
            <v>844</v>
          </cell>
          <cell r="AF102">
            <v>848</v>
          </cell>
          <cell r="AG102">
            <v>848</v>
          </cell>
          <cell r="AH102">
            <v>848</v>
          </cell>
          <cell r="AI102">
            <v>848</v>
          </cell>
          <cell r="AJ102">
            <v>848</v>
          </cell>
          <cell r="AK102">
            <v>848</v>
          </cell>
          <cell r="AL102">
            <v>848</v>
          </cell>
          <cell r="AN102" t="str">
            <v>Number of Stores</v>
          </cell>
          <cell r="DK102">
            <v>440</v>
          </cell>
          <cell r="DL102">
            <v>440</v>
          </cell>
          <cell r="DN102" t="str">
            <v>NA</v>
          </cell>
          <cell r="DO102" t="str">
            <v>NA</v>
          </cell>
          <cell r="DP102" t="str">
            <v>NA</v>
          </cell>
          <cell r="DQ102">
            <v>459</v>
          </cell>
          <cell r="DR102">
            <v>459</v>
          </cell>
          <cell r="DT102">
            <v>463</v>
          </cell>
          <cell r="DU102">
            <v>465</v>
          </cell>
          <cell r="DV102">
            <v>473</v>
          </cell>
          <cell r="DW102">
            <v>455</v>
          </cell>
          <cell r="DX102">
            <v>455</v>
          </cell>
          <cell r="DZ102">
            <v>456</v>
          </cell>
          <cell r="EA102">
            <v>460</v>
          </cell>
          <cell r="EB102">
            <v>465</v>
          </cell>
          <cell r="EC102">
            <v>459</v>
          </cell>
          <cell r="ED102">
            <v>459</v>
          </cell>
          <cell r="EF102">
            <v>459</v>
          </cell>
          <cell r="EG102">
            <v>457</v>
          </cell>
          <cell r="EH102">
            <v>459</v>
          </cell>
          <cell r="EI102">
            <v>459</v>
          </cell>
          <cell r="EJ102">
            <v>459</v>
          </cell>
          <cell r="EL102">
            <v>459</v>
          </cell>
          <cell r="EM102">
            <v>460</v>
          </cell>
          <cell r="EN102">
            <v>935</v>
          </cell>
          <cell r="EO102">
            <v>868</v>
          </cell>
          <cell r="EP102">
            <v>868</v>
          </cell>
          <cell r="ER102">
            <v>861</v>
          </cell>
          <cell r="ES102">
            <v>856</v>
          </cell>
          <cell r="ET102">
            <v>857</v>
          </cell>
          <cell r="EU102">
            <v>858</v>
          </cell>
          <cell r="EV102">
            <v>858</v>
          </cell>
          <cell r="EX102">
            <v>863</v>
          </cell>
          <cell r="EY102">
            <v>863</v>
          </cell>
          <cell r="EZ102">
            <v>866</v>
          </cell>
          <cell r="FA102">
            <v>852</v>
          </cell>
          <cell r="FB102">
            <v>852</v>
          </cell>
          <cell r="FD102">
            <v>851</v>
          </cell>
          <cell r="FE102">
            <v>855</v>
          </cell>
          <cell r="FF102">
            <v>856</v>
          </cell>
          <cell r="FG102">
            <v>847</v>
          </cell>
          <cell r="FH102">
            <v>847</v>
          </cell>
          <cell r="FJ102">
            <v>848</v>
          </cell>
          <cell r="FK102">
            <v>848</v>
          </cell>
          <cell r="FL102">
            <v>854</v>
          </cell>
          <cell r="FM102">
            <v>850</v>
          </cell>
          <cell r="FN102">
            <v>850</v>
          </cell>
          <cell r="FP102">
            <v>849</v>
          </cell>
          <cell r="FQ102">
            <v>849</v>
          </cell>
          <cell r="FR102">
            <v>854</v>
          </cell>
          <cell r="FS102">
            <v>850</v>
          </cell>
          <cell r="FT102">
            <v>850</v>
          </cell>
          <cell r="FV102">
            <v>850</v>
          </cell>
          <cell r="FW102">
            <v>849</v>
          </cell>
          <cell r="FX102">
            <v>850</v>
          </cell>
          <cell r="FY102">
            <v>842</v>
          </cell>
          <cell r="FZ102">
            <v>842</v>
          </cell>
          <cell r="GB102">
            <v>844</v>
          </cell>
          <cell r="GC102">
            <v>845</v>
          </cell>
          <cell r="GD102">
            <v>847</v>
          </cell>
          <cell r="GE102">
            <v>844</v>
          </cell>
          <cell r="GF102">
            <v>844</v>
          </cell>
          <cell r="GS102" t="str">
            <v>mstag:numberOfStores</v>
          </cell>
          <cell r="GT102">
            <v>0</v>
          </cell>
          <cell r="GU102" t="str">
            <v>ms_eqr_gcim_Decimal:ms_eqr_gcim_decimal</v>
          </cell>
          <cell r="GV102" t="b">
            <v>0</v>
          </cell>
          <cell r="GW102" t="b">
            <v>0</v>
          </cell>
        </row>
        <row r="103">
          <cell r="A103" t="str">
            <v>% Change</v>
          </cell>
          <cell r="N103">
            <v>0.16056338028169015</v>
          </cell>
          <cell r="O103">
            <v>-2.4271844660194164E-3</v>
          </cell>
          <cell r="P103">
            <v>-2.676399026763987E-2</v>
          </cell>
          <cell r="Q103">
            <v>2.4999999999999467E-3</v>
          </cell>
          <cell r="R103">
            <v>4.9875311720697368E-3</v>
          </cell>
          <cell r="S103">
            <v>9.1811414392059643E-2</v>
          </cell>
          <cell r="T103">
            <v>4.318181818181821E-2</v>
          </cell>
          <cell r="U103">
            <v>-8.7145969498910736E-3</v>
          </cell>
          <cell r="V103">
            <v>8.79120879120876E-3</v>
          </cell>
          <cell r="W103">
            <v>0</v>
          </cell>
          <cell r="X103">
            <v>0.89106753812636175</v>
          </cell>
          <cell r="Y103">
            <v>-1.1520737327188946E-2</v>
          </cell>
          <cell r="Z103">
            <v>-5.8275058275057967E-3</v>
          </cell>
          <cell r="AA103">
            <v>-7.0339976553340788E-3</v>
          </cell>
          <cell r="AB103">
            <v>3.5419126328217754E-3</v>
          </cell>
          <cell r="AC103">
            <v>0</v>
          </cell>
          <cell r="AD103">
            <v>-9.4117647058823417E-3</v>
          </cell>
          <cell r="AE103">
            <v>2.3752969121140222E-3</v>
          </cell>
          <cell r="AF103">
            <v>4.7393364928909332E-3</v>
          </cell>
          <cell r="AG103">
            <v>0</v>
          </cell>
          <cell r="AH103">
            <v>0</v>
          </cell>
          <cell r="AI103">
            <v>0</v>
          </cell>
          <cell r="AJ103">
            <v>0</v>
          </cell>
          <cell r="AK103">
            <v>0</v>
          </cell>
          <cell r="AL103">
            <v>0</v>
          </cell>
          <cell r="AN103" t="str">
            <v>% Change</v>
          </cell>
          <cell r="DL103">
            <v>9.1811414392059643E-2</v>
          </cell>
          <cell r="DN103" t="str">
            <v>NA</v>
          </cell>
          <cell r="DO103" t="str">
            <v>NA</v>
          </cell>
          <cell r="DP103" t="str">
            <v>NA</v>
          </cell>
          <cell r="DQ103">
            <v>4.318181818181821E-2</v>
          </cell>
          <cell r="DR103">
            <v>4.318181818181821E-2</v>
          </cell>
          <cell r="DT103" t="str">
            <v>NA</v>
          </cell>
          <cell r="DU103" t="str">
            <v>NA</v>
          </cell>
          <cell r="DV103" t="str">
            <v>NA</v>
          </cell>
          <cell r="DW103">
            <v>-8.7145969498910736E-3</v>
          </cell>
          <cell r="DX103">
            <v>-8.7145969498910736E-3</v>
          </cell>
          <cell r="DZ103">
            <v>-1.5118790496760237E-2</v>
          </cell>
          <cell r="EA103">
            <v>-1.0752688172043001E-2</v>
          </cell>
          <cell r="EB103">
            <v>-1.6913319238900604E-2</v>
          </cell>
          <cell r="EC103">
            <v>8.79120879120876E-3</v>
          </cell>
          <cell r="ED103">
            <v>8.79120879120876E-3</v>
          </cell>
          <cell r="EF103">
            <v>6.5789473684210176E-3</v>
          </cell>
          <cell r="EG103">
            <v>-6.521739130434745E-3</v>
          </cell>
          <cell r="EH103">
            <v>-1.2903225806451646E-2</v>
          </cell>
          <cell r="EI103">
            <v>0</v>
          </cell>
          <cell r="EJ103">
            <v>0</v>
          </cell>
          <cell r="EL103">
            <v>0</v>
          </cell>
          <cell r="EM103">
            <v>6.5645514223193757E-3</v>
          </cell>
          <cell r="EN103">
            <v>1.0370370370370372</v>
          </cell>
          <cell r="EO103">
            <v>0.89106753812636175</v>
          </cell>
          <cell r="EP103">
            <v>0.89106753812636175</v>
          </cell>
          <cell r="ER103">
            <v>0.87581699346405228</v>
          </cell>
          <cell r="ES103">
            <v>0.86086956521739122</v>
          </cell>
          <cell r="ET103">
            <v>-8.3422459893048084E-2</v>
          </cell>
          <cell r="EU103">
            <v>-1.1520737327188946E-2</v>
          </cell>
          <cell r="EV103">
            <v>-1.1520737327188946E-2</v>
          </cell>
          <cell r="EX103">
            <v>2.3228803716608404E-3</v>
          </cell>
          <cell r="EY103">
            <v>8.1775700934578754E-3</v>
          </cell>
          <cell r="EZ103">
            <v>1.0501750291715295E-2</v>
          </cell>
          <cell r="FA103">
            <v>-6.9930069930069783E-3</v>
          </cell>
          <cell r="FB103">
            <v>-6.9930069930069783E-3</v>
          </cell>
          <cell r="FD103">
            <v>-1.3904982618771711E-2</v>
          </cell>
          <cell r="FE103">
            <v>-9.2699884125144738E-3</v>
          </cell>
          <cell r="FF103">
            <v>-1.1547344110854452E-2</v>
          </cell>
          <cell r="FG103">
            <v>-5.8685446009389963E-3</v>
          </cell>
          <cell r="FH103">
            <v>-5.8685446009389963E-3</v>
          </cell>
          <cell r="FJ103">
            <v>-3.5252643948295859E-3</v>
          </cell>
          <cell r="FK103">
            <v>-8.1871345029239651E-3</v>
          </cell>
          <cell r="FL103">
            <v>-2.3364485981308691E-3</v>
          </cell>
          <cell r="FM103">
            <v>3.5419126328217754E-3</v>
          </cell>
          <cell r="FN103">
            <v>3.5419126328217754E-3</v>
          </cell>
          <cell r="FP103">
            <v>1.179245283018826E-3</v>
          </cell>
          <cell r="FQ103">
            <v>1.179245283018826E-3</v>
          </cell>
          <cell r="FR103">
            <v>0</v>
          </cell>
          <cell r="FS103">
            <v>0</v>
          </cell>
          <cell r="FT103">
            <v>0</v>
          </cell>
          <cell r="FV103">
            <v>1.1778563015312216E-3</v>
          </cell>
          <cell r="FW103">
            <v>0</v>
          </cell>
          <cell r="FX103">
            <v>-4.6838407494145251E-3</v>
          </cell>
          <cell r="FY103">
            <v>-9.4117647058823417E-3</v>
          </cell>
          <cell r="FZ103">
            <v>-9.4117647058823417E-3</v>
          </cell>
          <cell r="GB103">
            <v>-7.058823529411784E-3</v>
          </cell>
          <cell r="GC103">
            <v>-4.7114252061248862E-3</v>
          </cell>
          <cell r="GD103">
            <v>-3.529411764705892E-3</v>
          </cell>
          <cell r="GE103">
            <v>2.3752969121140222E-3</v>
          </cell>
          <cell r="GF103">
            <v>2.3752969121140222E-3</v>
          </cell>
        </row>
        <row r="104">
          <cell r="A104" t="str">
            <v>EOP Gross Square Feet (MM)</v>
          </cell>
          <cell r="M104">
            <v>74.134</v>
          </cell>
          <cell r="N104">
            <v>83.503</v>
          </cell>
          <cell r="O104">
            <v>83.018999999999991</v>
          </cell>
          <cell r="P104">
            <v>81.016000000000005</v>
          </cell>
          <cell r="Q104">
            <v>82.319000000000003</v>
          </cell>
          <cell r="R104">
            <v>81.914000000000001</v>
          </cell>
          <cell r="S104">
            <v>83.4</v>
          </cell>
          <cell r="T104">
            <v>84</v>
          </cell>
          <cell r="U104">
            <v>83.5</v>
          </cell>
          <cell r="V104">
            <v>84</v>
          </cell>
          <cell r="W104">
            <v>83.3</v>
          </cell>
          <cell r="X104">
            <v>158.5</v>
          </cell>
          <cell r="Y104">
            <v>156.4</v>
          </cell>
          <cell r="Z104">
            <v>154.96100000000001</v>
          </cell>
          <cell r="AA104">
            <v>154.09100000000001</v>
          </cell>
          <cell r="AB104">
            <v>154.4</v>
          </cell>
          <cell r="AC104">
            <v>154.17699999999999</v>
          </cell>
          <cell r="AD104">
            <v>152.298</v>
          </cell>
          <cell r="AE104">
            <v>152.30400000000003</v>
          </cell>
          <cell r="AF104">
            <v>152.59800000000001</v>
          </cell>
          <cell r="AG104">
            <v>152.489</v>
          </cell>
          <cell r="AH104">
            <v>152.54349999999999</v>
          </cell>
          <cell r="AI104">
            <v>152.54349999999999</v>
          </cell>
          <cell r="AJ104">
            <v>152.54349999999999</v>
          </cell>
          <cell r="AK104">
            <v>152.54349999999999</v>
          </cell>
          <cell r="AL104">
            <v>152.54349999999999</v>
          </cell>
          <cell r="AN104" t="str">
            <v>EOP Gross Square Feet (MM)</v>
          </cell>
          <cell r="DK104">
            <v>83.4</v>
          </cell>
          <cell r="DL104">
            <v>83.4</v>
          </cell>
          <cell r="DN104" t="str">
            <v>NA</v>
          </cell>
          <cell r="DO104" t="str">
            <v>NA</v>
          </cell>
          <cell r="DP104" t="str">
            <v>NA</v>
          </cell>
          <cell r="DQ104">
            <v>84</v>
          </cell>
          <cell r="DR104">
            <v>84</v>
          </cell>
          <cell r="DT104">
            <v>84.734065934065939</v>
          </cell>
          <cell r="DU104">
            <v>85.101098901098908</v>
          </cell>
          <cell r="DV104">
            <v>86.569230769230771</v>
          </cell>
          <cell r="DW104">
            <v>83.5</v>
          </cell>
          <cell r="DX104">
            <v>83.5</v>
          </cell>
          <cell r="DZ104">
            <v>83.683006535947712</v>
          </cell>
          <cell r="EA104">
            <v>84.415032679738559</v>
          </cell>
          <cell r="EB104">
            <v>85.330065359477118</v>
          </cell>
          <cell r="EC104">
            <v>84</v>
          </cell>
          <cell r="ED104">
            <v>84</v>
          </cell>
          <cell r="EF104">
            <v>84</v>
          </cell>
          <cell r="EG104">
            <v>83.637037037037032</v>
          </cell>
          <cell r="EH104">
            <v>84</v>
          </cell>
          <cell r="EI104">
            <v>83.3</v>
          </cell>
          <cell r="EJ104">
            <v>83.3</v>
          </cell>
          <cell r="EL104">
            <v>83.3</v>
          </cell>
          <cell r="EM104">
            <v>83.48260368663594</v>
          </cell>
          <cell r="EN104">
            <v>170.21935483870968</v>
          </cell>
          <cell r="EO104">
            <v>158.5</v>
          </cell>
          <cell r="EP104">
            <v>158.5</v>
          </cell>
          <cell r="ER104">
            <v>157.22400932400933</v>
          </cell>
          <cell r="ES104">
            <v>156.31258741258742</v>
          </cell>
          <cell r="ET104">
            <v>156.49487179487181</v>
          </cell>
          <cell r="EU104">
            <v>156.4</v>
          </cell>
          <cell r="EV104">
            <v>156.4</v>
          </cell>
          <cell r="EX104">
            <v>157.047</v>
          </cell>
          <cell r="EY104">
            <v>156.88300000000001</v>
          </cell>
          <cell r="EZ104">
            <v>157.52099999999999</v>
          </cell>
          <cell r="FA104">
            <v>154.96100000000001</v>
          </cell>
          <cell r="FB104">
            <v>154.96100000000001</v>
          </cell>
          <cell r="FD104">
            <v>155.048</v>
          </cell>
          <cell r="FE104">
            <v>155.60599999999999</v>
          </cell>
          <cell r="FF104">
            <v>155.41999999999999</v>
          </cell>
          <cell r="FG104">
            <v>154.09100000000001</v>
          </cell>
          <cell r="FH104">
            <v>154.09100000000001</v>
          </cell>
          <cell r="FJ104">
            <v>154.44300000000001</v>
          </cell>
          <cell r="FK104">
            <v>154.44300000000001</v>
          </cell>
          <cell r="FL104">
            <v>155.34100000000001</v>
          </cell>
          <cell r="FM104">
            <v>154.4</v>
          </cell>
          <cell r="FN104">
            <v>154.4</v>
          </cell>
          <cell r="FP104">
            <v>154.30500000000001</v>
          </cell>
          <cell r="FQ104">
            <v>154.30500000000001</v>
          </cell>
          <cell r="FR104">
            <v>154.666</v>
          </cell>
          <cell r="FS104">
            <v>154.221</v>
          </cell>
          <cell r="FT104">
            <v>154.17699999999999</v>
          </cell>
          <cell r="FV104">
            <v>154.34800000000001</v>
          </cell>
          <cell r="FW104">
            <v>154.298</v>
          </cell>
          <cell r="FX104">
            <v>154.28399999999999</v>
          </cell>
          <cell r="FY104">
            <v>152.298</v>
          </cell>
          <cell r="FZ104">
            <v>152.298</v>
          </cell>
          <cell r="GB104">
            <v>152.19800000000001</v>
          </cell>
          <cell r="GC104">
            <v>152.20400000000001</v>
          </cell>
          <cell r="GD104">
            <v>152.30400000000003</v>
          </cell>
          <cell r="GE104">
            <v>152.30400000000003</v>
          </cell>
          <cell r="GF104">
            <v>152.30400000000003</v>
          </cell>
          <cell r="GS104" t="str">
            <v>mstag:floorspace</v>
          </cell>
          <cell r="GT104">
            <v>6</v>
          </cell>
          <cell r="GU104" t="str">
            <v>area:squareFeet</v>
          </cell>
          <cell r="GV104" t="b">
            <v>0</v>
          </cell>
          <cell r="GW104" t="b">
            <v>0</v>
          </cell>
        </row>
        <row r="105">
          <cell r="A105" t="str">
            <v>% Change</v>
          </cell>
          <cell r="N105">
            <v>0.12637925917932402</v>
          </cell>
          <cell r="O105">
            <v>-5.7961989389603286E-3</v>
          </cell>
          <cell r="P105">
            <v>-2.4127007070670392E-2</v>
          </cell>
          <cell r="Q105">
            <v>1.6083242816233856E-2</v>
          </cell>
          <cell r="R105">
            <v>-4.9198848382512317E-3</v>
          </cell>
          <cell r="S105">
            <v>1.8140977122347968E-2</v>
          </cell>
          <cell r="T105">
            <v>7.194244604316502E-3</v>
          </cell>
          <cell r="U105">
            <v>-5.9523809523809312E-3</v>
          </cell>
          <cell r="V105">
            <v>5.9880239520957446E-3</v>
          </cell>
          <cell r="W105">
            <v>-8.3333333333334147E-3</v>
          </cell>
          <cell r="X105">
            <v>0.90276110444177671</v>
          </cell>
          <cell r="Y105">
            <v>-1.3249211356466839E-2</v>
          </cell>
          <cell r="Z105">
            <v>-9.200767263427112E-3</v>
          </cell>
          <cell r="AA105">
            <v>-5.614315860119623E-3</v>
          </cell>
          <cell r="AB105">
            <v>2.0053085514404323E-3</v>
          </cell>
          <cell r="AC105">
            <v>-1.4443005181348223E-3</v>
          </cell>
          <cell r="AD105">
            <v>-1.2187291230209341E-2</v>
          </cell>
          <cell r="AE105">
            <v>3.9396446440687072E-5</v>
          </cell>
          <cell r="AF105">
            <v>1.930349826662292E-3</v>
          </cell>
          <cell r="AG105">
            <v>-7.1429507595122121E-4</v>
          </cell>
          <cell r="AH105">
            <v>3.5740282905649678E-4</v>
          </cell>
          <cell r="AI105">
            <v>0</v>
          </cell>
          <cell r="AJ105">
            <v>0</v>
          </cell>
          <cell r="AK105">
            <v>0</v>
          </cell>
          <cell r="AL105">
            <v>0</v>
          </cell>
          <cell r="AN105" t="str">
            <v>% Change</v>
          </cell>
          <cell r="DL105">
            <v>1.8140977122347968E-2</v>
          </cell>
          <cell r="DN105" t="str">
            <v>NA</v>
          </cell>
          <cell r="DO105" t="str">
            <v>NA</v>
          </cell>
          <cell r="DP105" t="str">
            <v>NA</v>
          </cell>
          <cell r="DQ105">
            <v>7.194244604316502E-3</v>
          </cell>
          <cell r="DR105">
            <v>7.194244604316502E-3</v>
          </cell>
          <cell r="DT105" t="str">
            <v>NA</v>
          </cell>
          <cell r="DU105" t="str">
            <v>NA</v>
          </cell>
          <cell r="DV105" t="str">
            <v>NA</v>
          </cell>
          <cell r="DW105">
            <v>-5.9523809523809312E-3</v>
          </cell>
          <cell r="DX105">
            <v>-5.9523809523809312E-3</v>
          </cell>
          <cell r="DZ105">
            <v>-1.2404212951802496E-2</v>
          </cell>
          <cell r="EA105">
            <v>-8.0617786399875824E-3</v>
          </cell>
          <cell r="EB105">
            <v>-1.4314155257506234E-2</v>
          </cell>
          <cell r="EC105">
            <v>5.9880239520957446E-3</v>
          </cell>
          <cell r="ED105">
            <v>5.9880239520957446E-3</v>
          </cell>
          <cell r="EF105">
            <v>3.7880267114460686E-3</v>
          </cell>
          <cell r="EG105">
            <v>-9.2163163124411307E-3</v>
          </cell>
          <cell r="EH105">
            <v>-1.558730037149092E-2</v>
          </cell>
          <cell r="EI105">
            <v>-8.3333333333334147E-3</v>
          </cell>
          <cell r="EJ105">
            <v>-8.3333333333334147E-3</v>
          </cell>
          <cell r="EL105">
            <v>-8.3333333333334147E-3</v>
          </cell>
          <cell r="EM105">
            <v>-1.8464708444023703E-3</v>
          </cell>
          <cell r="EN105">
            <v>1.02642089093702</v>
          </cell>
          <cell r="EO105">
            <v>0.90276110444177671</v>
          </cell>
          <cell r="EP105">
            <v>0.90276110444177671</v>
          </cell>
          <cell r="ER105">
            <v>0.88744308912376146</v>
          </cell>
          <cell r="ES105">
            <v>0.87239712838053518</v>
          </cell>
          <cell r="ET105">
            <v>-8.0628216790284646E-2</v>
          </cell>
          <cell r="EU105">
            <v>-1.3249211356466839E-2</v>
          </cell>
          <cell r="EV105">
            <v>-1.3249211356466839E-2</v>
          </cell>
          <cell r="EX105">
            <v>-1.1258415605249761E-3</v>
          </cell>
          <cell r="EY105">
            <v>3.649178846403256E-3</v>
          </cell>
          <cell r="EZ105">
            <v>6.5569446037387902E-3</v>
          </cell>
          <cell r="FA105">
            <v>-9.200767263427112E-3</v>
          </cell>
          <cell r="FB105">
            <v>-9.200767263427112E-3</v>
          </cell>
          <cell r="FD105">
            <v>-1.272867358179397E-2</v>
          </cell>
          <cell r="FE105">
            <v>-8.13982394523316E-3</v>
          </cell>
          <cell r="FF105">
            <v>-1.3337904152462166E-2</v>
          </cell>
          <cell r="FG105">
            <v>-5.614315860119623E-3</v>
          </cell>
          <cell r="FH105">
            <v>-5.614315860119623E-3</v>
          </cell>
          <cell r="FJ105">
            <v>-3.9020174397604857E-3</v>
          </cell>
          <cell r="FK105">
            <v>-7.4740048584244212E-3</v>
          </cell>
          <cell r="FL105">
            <v>-5.0830009007840626E-4</v>
          </cell>
          <cell r="FM105">
            <v>2.0053085514404323E-3</v>
          </cell>
          <cell r="FN105">
            <v>2.0053085514404323E-3</v>
          </cell>
          <cell r="FP105">
            <v>-8.9353353664467505E-4</v>
          </cell>
          <cell r="FQ105">
            <v>-8.9353353664467505E-4</v>
          </cell>
          <cell r="FR105">
            <v>-4.3452790956670651E-3</v>
          </cell>
          <cell r="FS105">
            <v>-1.1593264248704882E-3</v>
          </cell>
          <cell r="FT105">
            <v>-1.4443005181348223E-3</v>
          </cell>
          <cell r="FV105">
            <v>2.7866887009508901E-4</v>
          </cell>
          <cell r="FW105">
            <v>-4.5364699782890483E-5</v>
          </cell>
          <cell r="FX105">
            <v>-2.4698382320613721E-3</v>
          </cell>
          <cell r="FY105">
            <v>-1.2469118991576988E-2</v>
          </cell>
          <cell r="FZ105">
            <v>-1.2187291230209341E-2</v>
          </cell>
          <cell r="GB105">
            <v>-1.3929561769507881E-2</v>
          </cell>
          <cell r="GC105">
            <v>-1.3571141557246369E-2</v>
          </cell>
          <cell r="GD105">
            <v>-1.2833475927510052E-2</v>
          </cell>
          <cell r="GE105">
            <v>3.9396446440687072E-5</v>
          </cell>
          <cell r="GF105">
            <v>3.9396446440687072E-5</v>
          </cell>
        </row>
        <row r="106">
          <cell r="A106" t="str">
            <v>Ave. Square Feet (MM)</v>
          </cell>
          <cell r="N106">
            <v>78.8185</v>
          </cell>
          <cell r="O106">
            <v>83.260999999999996</v>
          </cell>
          <cell r="P106">
            <v>82.017499999999998</v>
          </cell>
          <cell r="Q106">
            <v>81.667500000000004</v>
          </cell>
          <cell r="R106">
            <v>82.116500000000002</v>
          </cell>
          <cell r="S106">
            <v>82.657000000000011</v>
          </cell>
          <cell r="T106">
            <v>83.7</v>
          </cell>
          <cell r="U106">
            <v>83.75</v>
          </cell>
          <cell r="V106">
            <v>83.75</v>
          </cell>
          <cell r="W106">
            <v>83.65</v>
          </cell>
          <cell r="X106">
            <v>120.9</v>
          </cell>
          <cell r="Y106">
            <v>157.44999999999999</v>
          </cell>
          <cell r="Z106">
            <v>155.68049999999999</v>
          </cell>
          <cell r="AA106">
            <v>154.52600000000001</v>
          </cell>
          <cell r="AB106">
            <v>154.24549999999999</v>
          </cell>
          <cell r="AC106">
            <v>154.2885</v>
          </cell>
          <cell r="AD106">
            <v>153.23750000000001</v>
          </cell>
          <cell r="AE106">
            <v>152.30100000000002</v>
          </cell>
          <cell r="AF106">
            <v>152.45100000000002</v>
          </cell>
          <cell r="AG106">
            <v>152.54349999999999</v>
          </cell>
          <cell r="AH106">
            <v>152.51625000000001</v>
          </cell>
          <cell r="AI106">
            <v>152.54349999999999</v>
          </cell>
          <cell r="AJ106">
            <v>152.54349999999999</v>
          </cell>
          <cell r="AK106">
            <v>152.54349999999999</v>
          </cell>
          <cell r="AL106">
            <v>152.54349999999999</v>
          </cell>
          <cell r="AN106" t="str">
            <v>Ave. Square Feet (MM)</v>
          </cell>
          <cell r="DL106">
            <v>82.657000000000011</v>
          </cell>
          <cell r="DN106">
            <v>83.4</v>
          </cell>
          <cell r="DO106" t="str">
            <v>NA</v>
          </cell>
          <cell r="DP106" t="str">
            <v>NA</v>
          </cell>
          <cell r="DQ106">
            <v>84</v>
          </cell>
          <cell r="DR106">
            <v>83.7</v>
          </cell>
          <cell r="DT106">
            <v>84.367032967032969</v>
          </cell>
          <cell r="DU106">
            <v>84.917582417582423</v>
          </cell>
          <cell r="DV106">
            <v>85.835164835164846</v>
          </cell>
          <cell r="DW106">
            <v>85.034615384615392</v>
          </cell>
          <cell r="DX106">
            <v>83.75</v>
          </cell>
          <cell r="DZ106">
            <v>83.591503267973849</v>
          </cell>
          <cell r="EA106">
            <v>84.049019607843135</v>
          </cell>
          <cell r="EB106">
            <v>84.872549019607845</v>
          </cell>
          <cell r="EC106">
            <v>84.665032679738559</v>
          </cell>
          <cell r="ED106">
            <v>83.75</v>
          </cell>
          <cell r="EF106">
            <v>84</v>
          </cell>
          <cell r="EG106">
            <v>83.818518518518516</v>
          </cell>
          <cell r="EH106">
            <v>83.818518518518516</v>
          </cell>
          <cell r="EI106">
            <v>83.65</v>
          </cell>
          <cell r="EJ106">
            <v>83.65</v>
          </cell>
          <cell r="EL106">
            <v>83.3</v>
          </cell>
          <cell r="EM106">
            <v>83.391301843317962</v>
          </cell>
          <cell r="EN106">
            <v>126.85097926267281</v>
          </cell>
          <cell r="EO106">
            <v>164.35967741935485</v>
          </cell>
          <cell r="EP106">
            <v>120.9</v>
          </cell>
          <cell r="ER106">
            <v>157.86200466200467</v>
          </cell>
          <cell r="ES106">
            <v>156.76829836829836</v>
          </cell>
          <cell r="ET106">
            <v>156.40372960372963</v>
          </cell>
          <cell r="EU106">
            <v>156.44743589743592</v>
          </cell>
          <cell r="EV106">
            <v>157.44999999999999</v>
          </cell>
          <cell r="EX106">
            <v>156.7235</v>
          </cell>
          <cell r="EY106">
            <v>156.965</v>
          </cell>
          <cell r="EZ106">
            <v>157.202</v>
          </cell>
          <cell r="FA106">
            <v>156.24099999999999</v>
          </cell>
          <cell r="FB106">
            <v>155.68049999999999</v>
          </cell>
          <cell r="FD106">
            <v>155.00450000000001</v>
          </cell>
          <cell r="FE106">
            <v>155.327</v>
          </cell>
          <cell r="FF106">
            <v>155.51299999999998</v>
          </cell>
          <cell r="FG106">
            <v>154.75549999999998</v>
          </cell>
          <cell r="FH106">
            <v>154.52600000000001</v>
          </cell>
          <cell r="FJ106">
            <v>154.267</v>
          </cell>
          <cell r="FK106">
            <v>154.44300000000001</v>
          </cell>
          <cell r="FL106">
            <v>154.892</v>
          </cell>
          <cell r="FM106">
            <v>154.87049999999999</v>
          </cell>
          <cell r="FN106">
            <v>154.24549999999999</v>
          </cell>
          <cell r="FP106">
            <v>154.35250000000002</v>
          </cell>
          <cell r="FQ106">
            <v>154.30500000000001</v>
          </cell>
          <cell r="FR106">
            <v>154.4855</v>
          </cell>
          <cell r="FS106">
            <v>154.4435</v>
          </cell>
          <cell r="FT106">
            <v>154.2885</v>
          </cell>
          <cell r="FV106">
            <v>154.26249999999999</v>
          </cell>
          <cell r="FW106">
            <v>154.32300000000001</v>
          </cell>
          <cell r="FX106">
            <v>154.291</v>
          </cell>
          <cell r="FY106">
            <v>153.291</v>
          </cell>
          <cell r="FZ106">
            <v>153.23750000000001</v>
          </cell>
          <cell r="GB106">
            <v>152.24799999999999</v>
          </cell>
          <cell r="GC106">
            <v>152.20100000000002</v>
          </cell>
          <cell r="GD106">
            <v>152.25400000000002</v>
          </cell>
          <cell r="GE106">
            <v>152.30400000000003</v>
          </cell>
          <cell r="GF106">
            <v>152.30100000000002</v>
          </cell>
        </row>
        <row r="107">
          <cell r="A107" t="str">
            <v>% Change</v>
          </cell>
          <cell r="N107" t="str">
            <v>NA</v>
          </cell>
          <cell r="O107">
            <v>5.6363670965572821E-2</v>
          </cell>
          <cell r="P107">
            <v>-1.4934963548359992E-2</v>
          </cell>
          <cell r="Q107">
            <v>-4.2673819611667163E-3</v>
          </cell>
          <cell r="R107">
            <v>5.4979030826216579E-3</v>
          </cell>
          <cell r="S107">
            <v>6.5821119994156074E-3</v>
          </cell>
          <cell r="T107">
            <v>1.2618411023869625E-2</v>
          </cell>
          <cell r="U107">
            <v>5.9737156511352474E-4</v>
          </cell>
          <cell r="V107">
            <v>0</v>
          </cell>
          <cell r="W107">
            <v>-1.1940298507462366E-3</v>
          </cell>
          <cell r="X107">
            <v>0.44530783024506881</v>
          </cell>
          <cell r="Y107">
            <v>0.30231596360628599</v>
          </cell>
          <cell r="Z107">
            <v>-1.1238488409018643E-2</v>
          </cell>
          <cell r="AA107">
            <v>-7.4158292143202686E-3</v>
          </cell>
          <cell r="AB107">
            <v>-1.8152285052355221E-3</v>
          </cell>
          <cell r="AC107">
            <v>2.7877636624729085E-4</v>
          </cell>
          <cell r="AD107">
            <v>-6.8119140441444959E-3</v>
          </cell>
          <cell r="AE107">
            <v>-6.1114283383636447E-3</v>
          </cell>
          <cell r="AF107">
            <v>9.8489176039562309E-4</v>
          </cell>
          <cell r="AG107">
            <v>6.0675233353646441E-4</v>
          </cell>
          <cell r="AH107">
            <v>-1.7863756895564187E-4</v>
          </cell>
          <cell r="AI107">
            <v>1.7866948603817434E-4</v>
          </cell>
          <cell r="AJ107">
            <v>0</v>
          </cell>
          <cell r="AK107">
            <v>0</v>
          </cell>
          <cell r="AL107">
            <v>0</v>
          </cell>
          <cell r="AN107" t="str">
            <v>% Change</v>
          </cell>
          <cell r="DL107">
            <v>6.5821119994156074E-3</v>
          </cell>
          <cell r="DN107" t="str">
            <v>NA</v>
          </cell>
          <cell r="DO107" t="str">
            <v>NA</v>
          </cell>
          <cell r="DP107" t="str">
            <v>NA</v>
          </cell>
          <cell r="DQ107" t="str">
            <v>NA</v>
          </cell>
          <cell r="DR107">
            <v>1.2618411023869625E-2</v>
          </cell>
          <cell r="DT107">
            <v>1.1595119508788443E-2</v>
          </cell>
          <cell r="DU107" t="str">
            <v>NA</v>
          </cell>
          <cell r="DV107" t="str">
            <v>NA</v>
          </cell>
          <cell r="DW107">
            <v>1.2316849816849995E-2</v>
          </cell>
          <cell r="DX107">
            <v>5.9737156511352474E-4</v>
          </cell>
          <cell r="DZ107">
            <v>-9.1923310774976175E-3</v>
          </cell>
          <cell r="EA107">
            <v>-1.0228303550472329E-2</v>
          </cell>
          <cell r="EB107">
            <v>-1.1214702242438479E-2</v>
          </cell>
          <cell r="EC107">
            <v>-4.3462618511908024E-3</v>
          </cell>
          <cell r="ED107">
            <v>0</v>
          </cell>
          <cell r="EF107">
            <v>4.8868212205326333E-3</v>
          </cell>
          <cell r="EG107">
            <v>-2.7424601785969172E-3</v>
          </cell>
          <cell r="EH107">
            <v>-1.2418980144520253E-2</v>
          </cell>
          <cell r="EI107">
            <v>-1.1988806330213153E-2</v>
          </cell>
          <cell r="EJ107">
            <v>-1.1940298507462366E-3</v>
          </cell>
          <cell r="EL107">
            <v>-8.3333333333334147E-3</v>
          </cell>
          <cell r="EM107">
            <v>-5.096924674302894E-3</v>
          </cell>
          <cell r="EN107">
            <v>0.51340039772531743</v>
          </cell>
          <cell r="EO107">
            <v>0.9648497001716061</v>
          </cell>
          <cell r="EP107">
            <v>0.44530783024506881</v>
          </cell>
          <cell r="ER107">
            <v>0.8951020967827692</v>
          </cell>
          <cell r="ES107">
            <v>0.87991187213801725</v>
          </cell>
          <cell r="ET107">
            <v>0.23297218920053719</v>
          </cell>
          <cell r="EU107">
            <v>-4.8139797097138781E-2</v>
          </cell>
          <cell r="EV107">
            <v>0.30231596360628599</v>
          </cell>
          <cell r="EX107">
            <v>-7.2120246061887494E-3</v>
          </cell>
          <cell r="EY107">
            <v>1.2547283714181567E-3</v>
          </cell>
          <cell r="EZ107">
            <v>5.1039089559621331E-3</v>
          </cell>
          <cell r="FA107">
            <v>-1.3195224086079982E-3</v>
          </cell>
          <cell r="FB107">
            <v>-1.1238488409018643E-2</v>
          </cell>
          <cell r="FD107">
            <v>-1.0968361477378896E-2</v>
          </cell>
          <cell r="FE107">
            <v>-1.0435447392730945E-2</v>
          </cell>
          <cell r="FF107">
            <v>-1.0744138115291291E-2</v>
          </cell>
          <cell r="FG107">
            <v>-9.5077476462643862E-3</v>
          </cell>
          <cell r="FH107">
            <v>-7.4158292143202686E-3</v>
          </cell>
          <cell r="FJ107">
            <v>-4.7579263827824958E-3</v>
          </cell>
          <cell r="FK107">
            <v>-5.6912191698802461E-3</v>
          </cell>
          <cell r="FL107">
            <v>-3.9932352922262826E-3</v>
          </cell>
          <cell r="FM107">
            <v>7.4310767630225705E-4</v>
          </cell>
          <cell r="FN107">
            <v>-1.8152285052355221E-3</v>
          </cell>
          <cell r="FP107">
            <v>5.5423389318542959E-4</v>
          </cell>
          <cell r="FQ107">
            <v>-8.9353353664467505E-4</v>
          </cell>
          <cell r="FR107">
            <v>-2.6244092658109786E-3</v>
          </cell>
          <cell r="FS107">
            <v>-2.7571422575635163E-3</v>
          </cell>
          <cell r="FT107">
            <v>2.7877636624729085E-4</v>
          </cell>
          <cell r="FV107">
            <v>-5.8308093487335899E-4</v>
          </cell>
          <cell r="FW107">
            <v>1.1665208515609926E-4</v>
          </cell>
          <cell r="FX107">
            <v>-1.25901783662552E-3</v>
          </cell>
          <cell r="FY107">
            <v>-7.4622758484494955E-3</v>
          </cell>
          <cell r="FZ107">
            <v>-6.8119140441444959E-3</v>
          </cell>
          <cell r="GB107">
            <v>-1.3058909326634782E-2</v>
          </cell>
          <cell r="GC107">
            <v>-1.3750380695035647E-2</v>
          </cell>
          <cell r="GD107">
            <v>-1.320232547588629E-2</v>
          </cell>
          <cell r="GE107">
            <v>-6.4387341722603741E-3</v>
          </cell>
          <cell r="GF107">
            <v>-6.1114283383636447E-3</v>
          </cell>
        </row>
        <row r="108">
          <cell r="A108" t="str">
            <v>Ave. Square Feet Per Store (000's)</v>
          </cell>
          <cell r="N108">
            <v>205.52411994784876</v>
          </cell>
          <cell r="O108">
            <v>202.33535844471447</v>
          </cell>
          <cell r="P108">
            <v>202.26263871763254</v>
          </cell>
          <cell r="Q108">
            <v>203.91385767790263</v>
          </cell>
          <cell r="R108">
            <v>204.26990049751242</v>
          </cell>
          <cell r="S108">
            <v>196.10201660735473</v>
          </cell>
          <cell r="T108">
            <v>186.20689655172413</v>
          </cell>
          <cell r="U108">
            <v>183.26039387308535</v>
          </cell>
          <cell r="V108">
            <v>183.26039387308535</v>
          </cell>
          <cell r="W108">
            <v>182.24400871459696</v>
          </cell>
          <cell r="X108">
            <v>182.21552373775432</v>
          </cell>
          <cell r="Y108">
            <v>182.44495944380068</v>
          </cell>
          <cell r="Z108">
            <v>181.97603740502629</v>
          </cell>
          <cell r="AA108">
            <v>181.79529411764705</v>
          </cell>
          <cell r="AB108">
            <v>181.78609310548026</v>
          </cell>
          <cell r="AC108">
            <v>181.51588235294119</v>
          </cell>
          <cell r="AD108">
            <v>181.13179669030734</v>
          </cell>
          <cell r="AE108">
            <v>180.6654804270463</v>
          </cell>
          <cell r="AF108">
            <v>180.2021276595745</v>
          </cell>
          <cell r="AG108">
            <v>179.88620283018867</v>
          </cell>
          <cell r="AH108">
            <v>179.88620283018867</v>
          </cell>
          <cell r="AI108">
            <v>179.88620283018867</v>
          </cell>
          <cell r="AJ108">
            <v>179.88620283018867</v>
          </cell>
          <cell r="AK108">
            <v>179.88620283018867</v>
          </cell>
          <cell r="AL108">
            <v>179.88620283018867</v>
          </cell>
          <cell r="AN108" t="str">
            <v>Ave. Square Feet Per Store (000's)</v>
          </cell>
          <cell r="DL108">
            <v>196.10201660735473</v>
          </cell>
          <cell r="DN108">
            <v>189.54545454545453</v>
          </cell>
          <cell r="DO108" t="str">
            <v>NA</v>
          </cell>
          <cell r="DP108" t="str">
            <v>NA</v>
          </cell>
          <cell r="DQ108">
            <v>183.00653594771242</v>
          </cell>
          <cell r="DR108">
            <v>186.20689655172413</v>
          </cell>
          <cell r="DT108">
            <v>183.00874830158995</v>
          </cell>
          <cell r="DU108">
            <v>183.01203107237592</v>
          </cell>
          <cell r="DV108">
            <v>183.01740903020223</v>
          </cell>
          <cell r="DW108">
            <v>183.26425729442971</v>
          </cell>
          <cell r="DX108">
            <v>183.26039387308535</v>
          </cell>
          <cell r="DZ108">
            <v>183.51592374966816</v>
          </cell>
          <cell r="EA108">
            <v>183.5131432485658</v>
          </cell>
          <cell r="EB108">
            <v>183.50821409644939</v>
          </cell>
          <cell r="EC108">
            <v>183.25764649294061</v>
          </cell>
          <cell r="ED108">
            <v>183.26039387308535</v>
          </cell>
          <cell r="EF108">
            <v>183.00653594771242</v>
          </cell>
          <cell r="EG108">
            <v>183.00986576095744</v>
          </cell>
          <cell r="EH108">
            <v>183.00986576095744</v>
          </cell>
          <cell r="EI108">
            <v>182.24400871459696</v>
          </cell>
          <cell r="EJ108">
            <v>182.24400871459696</v>
          </cell>
          <cell r="EL108">
            <v>181.4814814814815</v>
          </cell>
          <cell r="EM108">
            <v>181.48270259699231</v>
          </cell>
          <cell r="EN108">
            <v>181.86520324397534</v>
          </cell>
          <cell r="EO108">
            <v>182.31800046517455</v>
          </cell>
          <cell r="EP108">
            <v>182.21552373775432</v>
          </cell>
          <cell r="ER108">
            <v>182.60497936611299</v>
          </cell>
          <cell r="ES108">
            <v>182.60721999801788</v>
          </cell>
          <cell r="ET108">
            <v>182.60797385140646</v>
          </cell>
          <cell r="EU108">
            <v>182.44598938476494</v>
          </cell>
          <cell r="EV108">
            <v>182.44495944380068</v>
          </cell>
          <cell r="EX108">
            <v>182.13073794305637</v>
          </cell>
          <cell r="EY108">
            <v>181.88296639629201</v>
          </cell>
          <cell r="EZ108">
            <v>181.84152689415848</v>
          </cell>
          <cell r="FA108">
            <v>181.88707799767172</v>
          </cell>
          <cell r="FB108">
            <v>181.97603740502629</v>
          </cell>
          <cell r="FD108">
            <v>182.03699354081033</v>
          </cell>
          <cell r="FE108">
            <v>182.09495896834702</v>
          </cell>
          <cell r="FF108">
            <v>181.78024547048506</v>
          </cell>
          <cell r="FG108">
            <v>181.74456840869053</v>
          </cell>
          <cell r="FH108">
            <v>181.79529411764705</v>
          </cell>
          <cell r="FJ108">
            <v>182.02595870206488</v>
          </cell>
          <cell r="FK108">
            <v>182.12617924528303</v>
          </cell>
          <cell r="FL108">
            <v>182.01175088131609</v>
          </cell>
          <cell r="FM108">
            <v>181.77288732394365</v>
          </cell>
          <cell r="FN108">
            <v>179.88620283018867</v>
          </cell>
          <cell r="FP108">
            <v>181.69805768098885</v>
          </cell>
          <cell r="FQ108">
            <v>181.74911660777386</v>
          </cell>
          <cell r="FR108">
            <v>181.42748091603053</v>
          </cell>
          <cell r="FS108">
            <v>181.27171361502349</v>
          </cell>
          <cell r="FT108">
            <v>0</v>
          </cell>
          <cell r="FV108">
            <v>181.48529411764707</v>
          </cell>
          <cell r="FW108">
            <v>181.66333137139495</v>
          </cell>
          <cell r="FX108">
            <v>181.62566215420836</v>
          </cell>
          <cell r="FY108">
            <v>181.1950354609929</v>
          </cell>
          <cell r="FZ108">
            <v>181.13179669030734</v>
          </cell>
          <cell r="GB108">
            <v>180.60260972716489</v>
          </cell>
          <cell r="GC108">
            <v>180.22616933096509</v>
          </cell>
          <cell r="GD108">
            <v>179.96926713947994</v>
          </cell>
          <cell r="GE108">
            <v>180.13483146067418</v>
          </cell>
          <cell r="GF108">
            <v>180.6654804270463</v>
          </cell>
        </row>
        <row r="109">
          <cell r="A109" t="str">
            <v>% Change</v>
          </cell>
          <cell r="N109" t="str">
            <v>NA</v>
          </cell>
          <cell r="O109">
            <v>-1.5515266548488005E-2</v>
          </cell>
          <cell r="P109">
            <v>-3.5940197324335621E-4</v>
          </cell>
          <cell r="Q109">
            <v>8.1637368657849763E-3</v>
          </cell>
          <cell r="R109">
            <v>1.7460452352981992E-3</v>
          </cell>
          <cell r="S109">
            <v>-3.9985743715859723E-2</v>
          </cell>
          <cell r="T109">
            <v>-5.045904283301228E-2</v>
          </cell>
          <cell r="U109">
            <v>-1.5823810681578676E-2</v>
          </cell>
          <cell r="V109">
            <v>0</v>
          </cell>
          <cell r="W109">
            <v>-5.5461255812441212E-3</v>
          </cell>
          <cell r="X109">
            <v>-1.5630130748078841E-4</v>
          </cell>
          <cell r="Y109">
            <v>1.2591446729675049E-3</v>
          </cell>
          <cell r="Z109">
            <v>-2.570210984200072E-3</v>
          </cell>
          <cell r="AA109">
            <v>-9.9322575629534615E-4</v>
          </cell>
          <cell r="AB109">
            <v>-5.0611938067213202E-5</v>
          </cell>
          <cell r="AC109">
            <v>-1.4864214743989246E-3</v>
          </cell>
          <cell r="AD109">
            <v>-2.1159892878521713E-3</v>
          </cell>
          <cell r="AE109">
            <v>-2.5744583324501802E-3</v>
          </cell>
          <cell r="AF109">
            <v>-2.5647000543577159E-3</v>
          </cell>
          <cell r="AG109">
            <v>-1.7531692521558506E-3</v>
          </cell>
          <cell r="AH109">
            <v>0</v>
          </cell>
          <cell r="AI109">
            <v>0</v>
          </cell>
          <cell r="AJ109">
            <v>0</v>
          </cell>
          <cell r="AK109">
            <v>0</v>
          </cell>
          <cell r="AL109">
            <v>0</v>
          </cell>
          <cell r="AN109" t="str">
            <v>% Change</v>
          </cell>
          <cell r="DL109">
            <v>-3.9985743715859723E-2</v>
          </cell>
          <cell r="DN109" t="str">
            <v>NA</v>
          </cell>
          <cell r="DO109" t="str">
            <v>NA</v>
          </cell>
          <cell r="DP109" t="str">
            <v>NA</v>
          </cell>
          <cell r="DQ109" t="str">
            <v>NA</v>
          </cell>
          <cell r="DR109">
            <v>-5.045904283301228E-2</v>
          </cell>
          <cell r="DT109">
            <v>-3.4486219991611722E-2</v>
          </cell>
          <cell r="DU109" t="str">
            <v>NA</v>
          </cell>
          <cell r="DV109" t="str">
            <v>NA</v>
          </cell>
          <cell r="DW109">
            <v>1.4082630731337975E-3</v>
          </cell>
          <cell r="DX109">
            <v>-1.5823810681578676E-2</v>
          </cell>
          <cell r="DZ109">
            <v>2.7713180532900061E-3</v>
          </cell>
          <cell r="EA109">
            <v>2.7381378877309182E-3</v>
          </cell>
          <cell r="EB109">
            <v>2.681739780100223E-3</v>
          </cell>
          <cell r="EC109">
            <v>-3.6072508555085037E-5</v>
          </cell>
          <cell r="ED109">
            <v>0</v>
          </cell>
          <cell r="EF109">
            <v>-2.7757144532623013E-3</v>
          </cell>
          <cell r="EG109">
            <v>-2.7424601785970282E-3</v>
          </cell>
          <cell r="EH109">
            <v>-2.7156731808747336E-3</v>
          </cell>
          <cell r="EI109">
            <v>-5.5312168291035135E-3</v>
          </cell>
          <cell r="EJ109">
            <v>-5.5461255812441212E-3</v>
          </cell>
          <cell r="EL109">
            <v>-8.3333333333333037E-3</v>
          </cell>
          <cell r="EM109">
            <v>-8.3447040279230889E-3</v>
          </cell>
          <cell r="EN109">
            <v>-6.2546492355620709E-3</v>
          </cell>
          <cell r="EO109">
            <v>4.0600374793919869E-4</v>
          </cell>
          <cell r="EP109">
            <v>-1.5630130748078841E-4</v>
          </cell>
          <cell r="ER109">
            <v>6.1907026296021961E-3</v>
          </cell>
          <cell r="ES109">
            <v>6.1962786807441272E-3</v>
          </cell>
          <cell r="ET109">
            <v>4.0841820985109134E-3</v>
          </cell>
          <cell r="EU109">
            <v>7.0200923257068837E-4</v>
          </cell>
          <cell r="EV109">
            <v>1.2591446729675049E-3</v>
          </cell>
          <cell r="EX109">
            <v>-2.5970892179548732E-3</v>
          </cell>
          <cell r="EY109">
            <v>-3.9661827266946892E-3</v>
          </cell>
          <cell r="EZ109">
            <v>-4.1972261182398052E-3</v>
          </cell>
          <cell r="FA109">
            <v>-3.0634347676150586E-3</v>
          </cell>
          <cell r="FB109">
            <v>-2.570210984200072E-3</v>
          </cell>
          <cell r="FD109">
            <v>-5.147093966937355E-4</v>
          </cell>
          <cell r="FE109">
            <v>1.1655438453379574E-3</v>
          </cell>
          <cell r="FF109">
            <v>-3.3700455952001551E-4</v>
          </cell>
          <cell r="FG109">
            <v>-7.8350584631980968E-4</v>
          </cell>
          <cell r="FH109">
            <v>-9.9322575629534615E-4</v>
          </cell>
          <cell r="FJ109">
            <v>-6.061866069528854E-5</v>
          </cell>
          <cell r="FK109">
            <v>1.7145052841049946E-4</v>
          </cell>
          <cell r="FL109">
            <v>1.2735454847243588E-3</v>
          </cell>
          <cell r="FM109">
            <v>1.5581712015433347E-4</v>
          </cell>
          <cell r="FN109">
            <v>-1.0501324012396784E-2</v>
          </cell>
          <cell r="FP109">
            <v>-1.8013970282817482E-3</v>
          </cell>
          <cell r="FQ109">
            <v>-2.070337384069032E-3</v>
          </cell>
          <cell r="FR109">
            <v>-3.2100672756373294E-3</v>
          </cell>
          <cell r="FS109">
            <v>-2.7571422575634053E-3</v>
          </cell>
          <cell r="FT109">
            <v>-1</v>
          </cell>
          <cell r="FV109">
            <v>-1.1709732402056527E-3</v>
          </cell>
          <cell r="FW109">
            <v>-4.7199809264575343E-4</v>
          </cell>
          <cell r="FX109">
            <v>1.0923440990151523E-3</v>
          </cell>
          <cell r="FY109">
            <v>-4.2300120907690086E-4</v>
          </cell>
          <cell r="FZ109" t="str">
            <v>NA</v>
          </cell>
          <cell r="GB109">
            <v>-4.8636689533091415E-3</v>
          </cell>
          <cell r="GC109">
            <v>-7.9111289525550799E-3</v>
          </cell>
          <cell r="GD109">
            <v>-9.1198291864839076E-3</v>
          </cell>
          <cell r="GE109">
            <v>-5.8511757655024255E-3</v>
          </cell>
          <cell r="GF109">
            <v>-2.5744583324501802E-3</v>
          </cell>
        </row>
        <row r="110">
          <cell r="A110" t="str">
            <v>Productivity Factor</v>
          </cell>
          <cell r="N110" t="str">
            <v>NA</v>
          </cell>
          <cell r="O110">
            <v>0.99020658295615083</v>
          </cell>
          <cell r="P110">
            <v>1.0238160014396207</v>
          </cell>
          <cell r="Q110">
            <v>0.97215995399387289</v>
          </cell>
          <cell r="R110">
            <v>1.0032277258841547</v>
          </cell>
          <cell r="S110">
            <v>0.99950875467894218</v>
          </cell>
          <cell r="T110">
            <v>0.99467282247112343</v>
          </cell>
          <cell r="U110">
            <v>1.0230408956015324</v>
          </cell>
          <cell r="V110">
            <v>0.99283260375178717</v>
          </cell>
          <cell r="W110">
            <v>1.0060621750760674</v>
          </cell>
          <cell r="X110">
            <v>0.73631472463543401</v>
          </cell>
          <cell r="Y110">
            <v>1.1692809442164345</v>
          </cell>
          <cell r="Z110">
            <v>0.99766929211669775</v>
          </cell>
          <cell r="AA110">
            <v>0.99616480017746767</v>
          </cell>
          <cell r="AB110">
            <v>1.011642907621854</v>
          </cell>
          <cell r="AC110">
            <v>1.0017002547102301</v>
          </cell>
          <cell r="AD110">
            <v>1.0152922484576603</v>
          </cell>
          <cell r="AE110">
            <v>1.0083583012001358</v>
          </cell>
          <cell r="AF110">
            <v>1</v>
          </cell>
          <cell r="AG110">
            <v>1</v>
          </cell>
          <cell r="AH110">
            <v>1</v>
          </cell>
          <cell r="AI110">
            <v>1</v>
          </cell>
          <cell r="AJ110">
            <v>1</v>
          </cell>
          <cell r="AK110">
            <v>1</v>
          </cell>
          <cell r="AL110">
            <v>1</v>
          </cell>
        </row>
        <row r="111">
          <cell r="BS111" t="str">
            <v>Q1P</v>
          </cell>
          <cell r="BT111" t="str">
            <v>Q2P</v>
          </cell>
          <cell r="BU111" t="str">
            <v>Q3P</v>
          </cell>
          <cell r="BV111" t="str">
            <v>Q4P</v>
          </cell>
          <cell r="BW111" t="str">
            <v>Year P</v>
          </cell>
          <cell r="BY111" t="str">
            <v>Q1E</v>
          </cell>
          <cell r="BZ111" t="str">
            <v>Q2E</v>
          </cell>
          <cell r="CA111" t="str">
            <v>Q3E</v>
          </cell>
          <cell r="CB111" t="str">
            <v>Q4E</v>
          </cell>
          <cell r="CF111" t="str">
            <v>Year</v>
          </cell>
          <cell r="CJ111" t="str">
            <v>Q1A</v>
          </cell>
          <cell r="CK111" t="str">
            <v>Q2A</v>
          </cell>
          <cell r="CL111" t="str">
            <v>Q3A</v>
          </cell>
          <cell r="CM111" t="str">
            <v>Q4A</v>
          </cell>
          <cell r="CN111" t="str">
            <v>Year</v>
          </cell>
          <cell r="CP111" t="str">
            <v>Q1A</v>
          </cell>
          <cell r="CQ111" t="str">
            <v>Q2A</v>
          </cell>
          <cell r="CR111" t="str">
            <v>Q3A</v>
          </cell>
          <cell r="CS111" t="str">
            <v>Q4A</v>
          </cell>
          <cell r="CT111" t="str">
            <v>Year</v>
          </cell>
          <cell r="CV111" t="str">
            <v>Q1</v>
          </cell>
          <cell r="CW111" t="str">
            <v>Q2</v>
          </cell>
          <cell r="CX111" t="str">
            <v>Q3</v>
          </cell>
          <cell r="CY111" t="str">
            <v>Q4</v>
          </cell>
          <cell r="CZ111" t="str">
            <v>Year</v>
          </cell>
          <cell r="DB111" t="str">
            <v>Q1</v>
          </cell>
          <cell r="DC111" t="str">
            <v>Q2</v>
          </cell>
          <cell r="DD111" t="str">
            <v>Q3</v>
          </cell>
          <cell r="DE111" t="str">
            <v>Q4</v>
          </cell>
          <cell r="DF111" t="str">
            <v>Year</v>
          </cell>
          <cell r="DH111" t="str">
            <v>Q1</v>
          </cell>
          <cell r="DI111" t="str">
            <v>Q2</v>
          </cell>
          <cell r="DJ111" t="str">
            <v>Q3</v>
          </cell>
          <cell r="DK111" t="str">
            <v>Q4</v>
          </cell>
          <cell r="DL111">
            <v>2000</v>
          </cell>
          <cell r="DN111" t="str">
            <v>Q1A</v>
          </cell>
          <cell r="DO111" t="str">
            <v>Q2A</v>
          </cell>
          <cell r="DP111" t="str">
            <v>Q3A</v>
          </cell>
          <cell r="DQ111" t="str">
            <v>Q4A</v>
          </cell>
          <cell r="DR111">
            <v>2001</v>
          </cell>
          <cell r="DT111" t="str">
            <v>Q1A</v>
          </cell>
          <cell r="DU111" t="str">
            <v>Q2A</v>
          </cell>
          <cell r="DV111" t="str">
            <v>Q3A</v>
          </cell>
          <cell r="DW111" t="str">
            <v>Q4A</v>
          </cell>
          <cell r="DX111">
            <v>2002</v>
          </cell>
          <cell r="DZ111" t="str">
            <v>Q1A</v>
          </cell>
          <cell r="EA111" t="str">
            <v>Q2A</v>
          </cell>
          <cell r="EB111" t="str">
            <v>Q3A</v>
          </cell>
          <cell r="EC111" t="str">
            <v>Q4A</v>
          </cell>
          <cell r="ED111">
            <v>2003</v>
          </cell>
          <cell r="EF111" t="str">
            <v>Q1A</v>
          </cell>
          <cell r="EG111" t="str">
            <v>Q2A</v>
          </cell>
          <cell r="EH111" t="str">
            <v>Q3A</v>
          </cell>
          <cell r="EI111" t="str">
            <v>Q4A</v>
          </cell>
          <cell r="EJ111">
            <v>2004</v>
          </cell>
          <cell r="EL111" t="str">
            <v>Q1A</v>
          </cell>
          <cell r="EM111" t="str">
            <v>Q2A</v>
          </cell>
          <cell r="EN111" t="str">
            <v>Q3A</v>
          </cell>
          <cell r="EO111" t="str">
            <v>Q4A</v>
          </cell>
          <cell r="EP111">
            <v>2005</v>
          </cell>
          <cell r="ER111" t="str">
            <v>Q1A</v>
          </cell>
          <cell r="ES111" t="str">
            <v>Q2A</v>
          </cell>
          <cell r="ET111" t="str">
            <v>Q3A</v>
          </cell>
          <cell r="EU111" t="str">
            <v>Q4A</v>
          </cell>
          <cell r="EV111">
            <v>2006</v>
          </cell>
          <cell r="EX111">
            <v>1</v>
          </cell>
          <cell r="EY111">
            <v>2</v>
          </cell>
          <cell r="EZ111">
            <v>3</v>
          </cell>
          <cell r="FA111">
            <v>4</v>
          </cell>
          <cell r="FB111" t="str">
            <v>Year</v>
          </cell>
          <cell r="FD111">
            <v>1</v>
          </cell>
          <cell r="FE111">
            <v>2</v>
          </cell>
          <cell r="FF111">
            <v>3</v>
          </cell>
          <cell r="FG111">
            <v>4</v>
          </cell>
          <cell r="FH111" t="str">
            <v>Year</v>
          </cell>
          <cell r="FJ111">
            <v>1</v>
          </cell>
          <cell r="FK111">
            <v>2</v>
          </cell>
          <cell r="FL111">
            <v>3</v>
          </cell>
          <cell r="FM111">
            <v>4</v>
          </cell>
          <cell r="FN111" t="str">
            <v>Year</v>
          </cell>
          <cell r="FP111">
            <v>1</v>
          </cell>
          <cell r="FQ111">
            <v>2</v>
          </cell>
          <cell r="FR111">
            <v>3</v>
          </cell>
          <cell r="FS111">
            <v>4</v>
          </cell>
          <cell r="FT111" t="str">
            <v>Year</v>
          </cell>
          <cell r="FV111">
            <v>1</v>
          </cell>
          <cell r="FW111">
            <v>2</v>
          </cell>
          <cell r="FX111">
            <v>3</v>
          </cell>
          <cell r="FY111">
            <v>4</v>
          </cell>
          <cell r="FZ111" t="str">
            <v>Year</v>
          </cell>
          <cell r="GB111">
            <v>1</v>
          </cell>
          <cell r="GC111">
            <v>2</v>
          </cell>
          <cell r="GD111">
            <v>3</v>
          </cell>
          <cell r="GE111">
            <v>4</v>
          </cell>
          <cell r="GF111" t="str">
            <v>Year</v>
          </cell>
        </row>
        <row r="112">
          <cell r="A112" t="str">
            <v>Consolidated Stores Monthly Sales ($)</v>
          </cell>
          <cell r="AN112" t="str">
            <v>Consolidated Stores Monthly Sales ($)</v>
          </cell>
          <cell r="EU112">
            <v>356</v>
          </cell>
        </row>
        <row r="113">
          <cell r="A113" t="str">
            <v>Month 1</v>
          </cell>
          <cell r="AN113" t="str">
            <v>Month 1</v>
          </cell>
          <cell r="BS113">
            <v>876.8</v>
          </cell>
          <cell r="BT113">
            <v>954.9</v>
          </cell>
          <cell r="BU113">
            <v>1050.0999999999999</v>
          </cell>
          <cell r="BV113">
            <v>1322.7</v>
          </cell>
          <cell r="BY113">
            <v>912</v>
          </cell>
          <cell r="BZ113">
            <v>1021.7430000000001</v>
          </cell>
          <cell r="CA113">
            <v>1059.5508999999997</v>
          </cell>
          <cell r="CB113">
            <v>1354.4448</v>
          </cell>
          <cell r="CJ113">
            <v>1033.0999999999999</v>
          </cell>
          <cell r="CK113">
            <v>1111.8</v>
          </cell>
          <cell r="CL113">
            <v>1121.3</v>
          </cell>
          <cell r="CM113">
            <v>1550.7</v>
          </cell>
          <cell r="CP113">
            <v>1058.4000000000001</v>
          </cell>
          <cell r="CQ113">
            <v>1147</v>
          </cell>
          <cell r="CR113">
            <v>1168.5</v>
          </cell>
          <cell r="CS113">
            <v>1563.5</v>
          </cell>
          <cell r="CV113">
            <v>1058.4000000000001</v>
          </cell>
          <cell r="CW113">
            <v>1155.5</v>
          </cell>
          <cell r="CX113">
            <v>1127.6025</v>
          </cell>
          <cell r="CY113">
            <v>1539</v>
          </cell>
          <cell r="DB113">
            <v>1025</v>
          </cell>
          <cell r="DC113">
            <v>1147</v>
          </cell>
          <cell r="DD113">
            <v>1119</v>
          </cell>
          <cell r="DE113">
            <v>1499</v>
          </cell>
          <cell r="DN113">
            <v>1081</v>
          </cell>
          <cell r="DO113">
            <v>1161</v>
          </cell>
          <cell r="DP113">
            <v>1130</v>
          </cell>
          <cell r="DQ113">
            <v>1565</v>
          </cell>
          <cell r="DT113">
            <v>1048</v>
          </cell>
          <cell r="DU113">
            <v>1150</v>
          </cell>
          <cell r="DV113">
            <v>1086</v>
          </cell>
          <cell r="DW113">
            <v>1473</v>
          </cell>
          <cell r="DZ113">
            <v>985</v>
          </cell>
          <cell r="EA113">
            <v>1137</v>
          </cell>
          <cell r="EB113">
            <v>1078</v>
          </cell>
          <cell r="EC113">
            <v>1460</v>
          </cell>
          <cell r="EF113">
            <v>1080</v>
          </cell>
          <cell r="EG113">
            <v>1182</v>
          </cell>
          <cell r="EH113">
            <v>1056</v>
          </cell>
          <cell r="EI113">
            <v>1446</v>
          </cell>
          <cell r="EL113">
            <v>1097</v>
          </cell>
          <cell r="EM113">
            <v>1189</v>
          </cell>
          <cell r="EN113">
            <v>1068</v>
          </cell>
          <cell r="EO113">
            <v>2617</v>
          </cell>
          <cell r="ER113">
            <v>1800</v>
          </cell>
          <cell r="ES113">
            <v>2026</v>
          </cell>
          <cell r="ET113">
            <v>1727</v>
          </cell>
          <cell r="EU113">
            <v>2385</v>
          </cell>
          <cell r="EX113">
            <v>1802</v>
          </cell>
          <cell r="EY113">
            <v>1976</v>
          </cell>
          <cell r="EZ113">
            <v>1788</v>
          </cell>
          <cell r="FA113">
            <v>2707</v>
          </cell>
          <cell r="FD113">
            <v>1737</v>
          </cell>
          <cell r="FE113">
            <v>1926</v>
          </cell>
          <cell r="FF113">
            <v>1686</v>
          </cell>
          <cell r="FG113">
            <v>2324</v>
          </cell>
          <cell r="FJ113">
            <v>1602.5975291456411</v>
          </cell>
          <cell r="FK113">
            <v>1783.7565582371458</v>
          </cell>
          <cell r="FL113">
            <v>1576.1490988530857</v>
          </cell>
          <cell r="FM113">
            <v>2202.7766574237457</v>
          </cell>
          <cell r="FP113">
            <v>1667</v>
          </cell>
          <cell r="FQ113">
            <v>1789</v>
          </cell>
          <cell r="FR113">
            <v>1638</v>
          </cell>
          <cell r="FS113">
            <v>2341</v>
          </cell>
          <cell r="FV113">
            <v>1763</v>
          </cell>
          <cell r="FW113">
            <v>1937</v>
          </cell>
          <cell r="FX113">
            <v>1714</v>
          </cell>
          <cell r="FY113">
            <v>2465</v>
          </cell>
          <cell r="GB113">
            <v>1860</v>
          </cell>
          <cell r="GC113">
            <v>2015</v>
          </cell>
          <cell r="GD113">
            <v>1812</v>
          </cell>
          <cell r="GE113">
            <v>2539.5720461726355</v>
          </cell>
        </row>
        <row r="114">
          <cell r="A114" t="str">
            <v>Month 2</v>
          </cell>
          <cell r="AN114" t="str">
            <v>Month 2</v>
          </cell>
          <cell r="BS114">
            <v>1162.8</v>
          </cell>
          <cell r="BT114">
            <v>1162.4000000000001</v>
          </cell>
          <cell r="BU114">
            <v>1281.9000000000001</v>
          </cell>
          <cell r="BV114">
            <v>2551.6999999999998</v>
          </cell>
          <cell r="BY114">
            <v>1133.73</v>
          </cell>
          <cell r="BZ114">
            <v>1218.1952000000001</v>
          </cell>
          <cell r="CA114">
            <v>1344.7130999999999</v>
          </cell>
          <cell r="CB114">
            <v>2584.8720999999996</v>
          </cell>
          <cell r="CJ114">
            <v>1277.0999999999999</v>
          </cell>
          <cell r="CK114">
            <v>1278.2</v>
          </cell>
          <cell r="CL114">
            <v>1397.4</v>
          </cell>
          <cell r="CM114">
            <v>2742.6</v>
          </cell>
          <cell r="CP114">
            <v>1289.2</v>
          </cell>
          <cell r="CQ114">
            <v>1328</v>
          </cell>
          <cell r="CR114">
            <v>1446.2</v>
          </cell>
          <cell r="CS114">
            <v>2748.7</v>
          </cell>
          <cell r="CV114">
            <v>1288</v>
          </cell>
          <cell r="CW114">
            <v>1358.5</v>
          </cell>
          <cell r="CX114">
            <v>1417.2760000000001</v>
          </cell>
          <cell r="CY114">
            <v>2869.0930599999992</v>
          </cell>
          <cell r="DB114">
            <v>1343</v>
          </cell>
          <cell r="DC114">
            <v>1407</v>
          </cell>
          <cell r="DD114">
            <v>1423</v>
          </cell>
          <cell r="DE114">
            <v>2916</v>
          </cell>
          <cell r="DN114">
            <v>1317</v>
          </cell>
          <cell r="DO114">
            <v>1326</v>
          </cell>
          <cell r="DP114">
            <v>1289</v>
          </cell>
          <cell r="DQ114">
            <v>2795</v>
          </cell>
          <cell r="DT114">
            <v>1311</v>
          </cell>
          <cell r="DU114">
            <v>1367</v>
          </cell>
          <cell r="DV114">
            <v>1315</v>
          </cell>
          <cell r="DW114">
            <v>2772</v>
          </cell>
          <cell r="DZ114">
            <v>1233</v>
          </cell>
          <cell r="EA114">
            <v>1337</v>
          </cell>
          <cell r="EB114">
            <v>1352</v>
          </cell>
          <cell r="EC114">
            <v>2782</v>
          </cell>
          <cell r="EF114">
            <v>1326</v>
          </cell>
          <cell r="EG114">
            <v>1394</v>
          </cell>
          <cell r="EH114">
            <v>1361</v>
          </cell>
          <cell r="EI114">
            <v>2856</v>
          </cell>
          <cell r="EL114">
            <v>1371</v>
          </cell>
          <cell r="EM114">
            <v>1436</v>
          </cell>
          <cell r="EN114">
            <v>2464</v>
          </cell>
          <cell r="EO114">
            <v>5459</v>
          </cell>
          <cell r="ER114">
            <v>2255</v>
          </cell>
          <cell r="ES114">
            <v>2367</v>
          </cell>
          <cell r="ET114">
            <v>2303</v>
          </cell>
          <cell r="EU114">
            <v>4997</v>
          </cell>
          <cell r="EX114">
            <v>2288</v>
          </cell>
          <cell r="EY114">
            <v>2321</v>
          </cell>
          <cell r="EZ114">
            <v>2274</v>
          </cell>
          <cell r="FA114">
            <v>4624</v>
          </cell>
          <cell r="FD114">
            <v>2142</v>
          </cell>
          <cell r="FE114">
            <v>2249</v>
          </cell>
          <cell r="FF114">
            <v>2093</v>
          </cell>
          <cell r="FG114">
            <v>4397</v>
          </cell>
          <cell r="FJ114">
            <v>1963.7990255785628</v>
          </cell>
          <cell r="FK114">
            <v>2092.5916404337181</v>
          </cell>
          <cell r="FL114">
            <v>2084.1512834516657</v>
          </cell>
          <cell r="FM114">
            <v>4474.7693471136881</v>
          </cell>
          <cell r="FP114">
            <v>2172</v>
          </cell>
          <cell r="FQ114">
            <v>2229</v>
          </cell>
          <cell r="FR114">
            <v>2181</v>
          </cell>
          <cell r="FS114">
            <v>4619</v>
          </cell>
          <cell r="FV114">
            <v>2206</v>
          </cell>
          <cell r="FW114">
            <v>2392</v>
          </cell>
          <cell r="FX114">
            <v>2298</v>
          </cell>
          <cell r="FY114">
            <v>4925</v>
          </cell>
          <cell r="GB114">
            <v>2358</v>
          </cell>
          <cell r="GC114">
            <v>2412</v>
          </cell>
          <cell r="GD114">
            <v>2339.3160690399509</v>
          </cell>
          <cell r="GE114">
            <v>5073.9928305883286</v>
          </cell>
        </row>
        <row r="115">
          <cell r="A115" t="str">
            <v>Month 3</v>
          </cell>
          <cell r="AN115" t="str">
            <v>Month 3</v>
          </cell>
          <cell r="BS115">
            <v>898.4</v>
          </cell>
          <cell r="BT115">
            <v>813.5</v>
          </cell>
          <cell r="BU115">
            <v>1020.6</v>
          </cell>
          <cell r="BV115">
            <v>605.70000000000005</v>
          </cell>
          <cell r="CJ115">
            <v>990.5</v>
          </cell>
          <cell r="CK115">
            <v>894.2</v>
          </cell>
          <cell r="CL115">
            <v>1090.4000000000001</v>
          </cell>
          <cell r="CM115">
            <v>742.1</v>
          </cell>
          <cell r="CP115">
            <v>1061</v>
          </cell>
          <cell r="CQ115">
            <v>977.8</v>
          </cell>
          <cell r="CR115">
            <v>1131.4000000000001</v>
          </cell>
          <cell r="CS115">
            <v>749.2</v>
          </cell>
          <cell r="CV115">
            <v>1111</v>
          </cell>
          <cell r="CW115">
            <v>1010.5</v>
          </cell>
          <cell r="CX115">
            <v>1101.0784800000001</v>
          </cell>
          <cell r="CY115">
            <v>800</v>
          </cell>
          <cell r="DB115">
            <v>1077</v>
          </cell>
          <cell r="DC115">
            <v>1015</v>
          </cell>
          <cell r="DD115">
            <v>1105</v>
          </cell>
          <cell r="DE115">
            <v>783</v>
          </cell>
          <cell r="DN115">
            <v>1162</v>
          </cell>
          <cell r="DO115">
            <v>1005</v>
          </cell>
          <cell r="DP115">
            <v>1058</v>
          </cell>
          <cell r="DQ115">
            <v>774</v>
          </cell>
          <cell r="DT115">
            <v>1097</v>
          </cell>
          <cell r="DU115">
            <v>970</v>
          </cell>
          <cell r="DV115">
            <v>1083</v>
          </cell>
          <cell r="DW115">
            <v>775</v>
          </cell>
          <cell r="DZ115">
            <v>1076</v>
          </cell>
          <cell r="EA115">
            <v>963</v>
          </cell>
          <cell r="EB115">
            <v>1058</v>
          </cell>
          <cell r="EC115">
            <v>814</v>
          </cell>
          <cell r="EF115">
            <v>1144</v>
          </cell>
          <cell r="EG115">
            <v>1005</v>
          </cell>
          <cell r="EH115">
            <v>1108</v>
          </cell>
          <cell r="EI115">
            <v>818</v>
          </cell>
          <cell r="EL115">
            <v>1173</v>
          </cell>
          <cell r="EM115">
            <v>998</v>
          </cell>
          <cell r="EN115">
            <v>2023</v>
          </cell>
          <cell r="EO115">
            <v>1495</v>
          </cell>
          <cell r="ER115">
            <v>1878</v>
          </cell>
          <cell r="ES115">
            <v>1608</v>
          </cell>
          <cell r="ET115">
            <v>1863</v>
          </cell>
          <cell r="EU115">
            <v>1780</v>
          </cell>
          <cell r="EX115">
            <v>1837</v>
          </cell>
          <cell r="EY115">
            <v>1602</v>
          </cell>
          <cell r="EZ115">
            <v>1849</v>
          </cell>
          <cell r="FA115">
            <v>1273</v>
          </cell>
          <cell r="FD115">
            <v>1868</v>
          </cell>
          <cell r="FE115">
            <v>1543</v>
          </cell>
          <cell r="FF115">
            <v>1714</v>
          </cell>
          <cell r="FG115">
            <v>1213</v>
          </cell>
          <cell r="FJ115">
            <v>1720.603445275796</v>
          </cell>
          <cell r="FK115">
            <v>1409.6518013291361</v>
          </cell>
          <cell r="FL115">
            <v>1725.6996176952484</v>
          </cell>
          <cell r="FM115">
            <v>1268.4539954625661</v>
          </cell>
          <cell r="FP115">
            <v>1739</v>
          </cell>
          <cell r="FQ115">
            <v>1528</v>
          </cell>
          <cell r="FR115">
            <v>1806</v>
          </cell>
          <cell r="FS115">
            <v>1310</v>
          </cell>
          <cell r="FV115">
            <v>1920</v>
          </cell>
          <cell r="FW115">
            <v>1612</v>
          </cell>
          <cell r="FX115">
            <v>1842</v>
          </cell>
          <cell r="FY115">
            <v>1336</v>
          </cell>
          <cell r="GB115">
            <v>1928</v>
          </cell>
          <cell r="GC115">
            <v>1693</v>
          </cell>
          <cell r="GD115">
            <v>1918.3705778953104</v>
          </cell>
          <cell r="GE115">
            <v>1753.5690816688336</v>
          </cell>
        </row>
        <row r="116">
          <cell r="A116" t="str">
            <v>Total</v>
          </cell>
          <cell r="AN116" t="str">
            <v>Total</v>
          </cell>
          <cell r="BS116">
            <v>2938</v>
          </cell>
          <cell r="BT116">
            <v>2930.8</v>
          </cell>
          <cell r="BU116">
            <v>3352.6</v>
          </cell>
          <cell r="BV116">
            <v>4480.0999999999995</v>
          </cell>
          <cell r="BW116">
            <v>13701.5</v>
          </cell>
          <cell r="CJ116">
            <v>3300.7</v>
          </cell>
          <cell r="CK116">
            <v>3284.2</v>
          </cell>
          <cell r="CL116">
            <v>3609.1</v>
          </cell>
          <cell r="CM116">
            <v>5035.4000000000005</v>
          </cell>
          <cell r="CN116">
            <v>15229.400000000001</v>
          </cell>
          <cell r="CP116">
            <v>3408.6000000000004</v>
          </cell>
          <cell r="CQ116">
            <v>3452.8</v>
          </cell>
          <cell r="CR116">
            <v>3746.1</v>
          </cell>
          <cell r="CS116">
            <v>5061.3999999999996</v>
          </cell>
          <cell r="CT116">
            <v>15668.9</v>
          </cell>
          <cell r="CV116">
            <v>3357</v>
          </cell>
          <cell r="CW116">
            <v>3524.5</v>
          </cell>
          <cell r="CX116">
            <v>3645.9569799999999</v>
          </cell>
          <cell r="CY116">
            <v>5208.0930599999992</v>
          </cell>
          <cell r="CZ116">
            <v>15735.550039999998</v>
          </cell>
          <cell r="DB116">
            <v>3470</v>
          </cell>
          <cell r="DC116">
            <v>3609</v>
          </cell>
          <cell r="DD116">
            <v>3691</v>
          </cell>
          <cell r="DE116">
            <v>5259</v>
          </cell>
          <cell r="DF116">
            <v>16029</v>
          </cell>
          <cell r="DH116">
            <v>3573</v>
          </cell>
          <cell r="DI116">
            <v>3679</v>
          </cell>
          <cell r="DJ116">
            <v>3782</v>
          </cell>
          <cell r="DK116">
            <v>5604</v>
          </cell>
          <cell r="DL116">
            <v>16638</v>
          </cell>
          <cell r="DN116">
            <v>3556</v>
          </cell>
          <cell r="DO116">
            <v>3488</v>
          </cell>
          <cell r="DP116">
            <v>3475</v>
          </cell>
          <cell r="DQ116">
            <v>5132</v>
          </cell>
          <cell r="DR116">
            <v>15785</v>
          </cell>
          <cell r="DT116">
            <v>3453</v>
          </cell>
          <cell r="DU116">
            <v>3486</v>
          </cell>
          <cell r="DV116">
            <v>3479</v>
          </cell>
          <cell r="DW116">
            <v>5017</v>
          </cell>
          <cell r="DX116">
            <v>15571</v>
          </cell>
          <cell r="DZ116">
            <v>3291</v>
          </cell>
          <cell r="EA116">
            <v>3434</v>
          </cell>
          <cell r="EB116">
            <v>3486</v>
          </cell>
          <cell r="EC116">
            <v>5053</v>
          </cell>
          <cell r="ED116">
            <v>15412</v>
          </cell>
          <cell r="EF116">
            <v>3550</v>
          </cell>
          <cell r="EG116">
            <v>3581</v>
          </cell>
          <cell r="EH116">
            <v>3525</v>
          </cell>
          <cell r="EI116">
            <v>5120</v>
          </cell>
          <cell r="EJ116">
            <v>15776</v>
          </cell>
          <cell r="EL116">
            <v>3641</v>
          </cell>
          <cell r="EM116">
            <v>3623</v>
          </cell>
          <cell r="EN116">
            <v>5555</v>
          </cell>
          <cell r="EO116">
            <v>9571</v>
          </cell>
          <cell r="EP116">
            <v>22390</v>
          </cell>
          <cell r="ER116">
            <v>5930</v>
          </cell>
          <cell r="ES116">
            <v>5995</v>
          </cell>
          <cell r="ET116">
            <v>5886</v>
          </cell>
          <cell r="EU116">
            <v>9159</v>
          </cell>
          <cell r="EV116">
            <v>26970</v>
          </cell>
          <cell r="EX116">
            <v>5921</v>
          </cell>
          <cell r="EY116">
            <v>5892</v>
          </cell>
          <cell r="EZ116">
            <v>5906</v>
          </cell>
          <cell r="FA116">
            <v>8594</v>
          </cell>
          <cell r="FB116">
            <v>26313</v>
          </cell>
          <cell r="FD116">
            <v>5747</v>
          </cell>
          <cell r="FE116">
            <v>5718</v>
          </cell>
          <cell r="FF116">
            <v>5493</v>
          </cell>
          <cell r="FG116">
            <v>7934</v>
          </cell>
          <cell r="FH116">
            <v>24892</v>
          </cell>
          <cell r="FJ116">
            <v>5288</v>
          </cell>
          <cell r="FK116">
            <v>5285</v>
          </cell>
          <cell r="FL116">
            <v>5385</v>
          </cell>
          <cell r="FM116">
            <v>7937</v>
          </cell>
          <cell r="FN116">
            <v>23895</v>
          </cell>
          <cell r="FP116">
            <v>5574</v>
          </cell>
          <cell r="FQ116">
            <v>5537</v>
          </cell>
          <cell r="FR116">
            <v>5623</v>
          </cell>
          <cell r="FS116">
            <v>8269</v>
          </cell>
          <cell r="FT116">
            <v>25003</v>
          </cell>
          <cell r="FV116">
            <v>5889</v>
          </cell>
          <cell r="FW116">
            <v>5939</v>
          </cell>
          <cell r="FX116">
            <v>5853</v>
          </cell>
          <cell r="FY116">
            <v>8724</v>
          </cell>
          <cell r="FZ116">
            <v>26405</v>
          </cell>
          <cell r="GB116">
            <v>6143</v>
          </cell>
          <cell r="GC116">
            <v>6118</v>
          </cell>
          <cell r="GD116">
            <v>6069.6866469352608</v>
          </cell>
          <cell r="GE116">
            <v>9367.1339584297966</v>
          </cell>
          <cell r="GF116">
            <v>27697.820605365057</v>
          </cell>
        </row>
        <row r="117">
          <cell r="FJ117">
            <v>1255</v>
          </cell>
          <cell r="FK117">
            <v>4426</v>
          </cell>
          <cell r="FL117">
            <v>2177</v>
          </cell>
          <cell r="FM117">
            <v>7849</v>
          </cell>
        </row>
        <row r="118">
          <cell r="A118" t="str">
            <v>Consolidated Monthly Comps</v>
          </cell>
          <cell r="AN118" t="str">
            <v>Consolidated Monthly Comps</v>
          </cell>
        </row>
        <row r="119">
          <cell r="A119" t="str">
            <v>Month 1</v>
          </cell>
          <cell r="AN119" t="str">
            <v>Month 1</v>
          </cell>
          <cell r="BS119">
            <v>3.9E-2</v>
          </cell>
          <cell r="BT119">
            <v>8.9999999999999993E-3</v>
          </cell>
          <cell r="BU119">
            <v>4.7E-2</v>
          </cell>
          <cell r="BV119">
            <v>4.2999999999999997E-2</v>
          </cell>
          <cell r="BY119">
            <v>3.1E-2</v>
          </cell>
          <cell r="BZ119">
            <v>7.0000000000000007E-2</v>
          </cell>
          <cell r="CA119">
            <v>8.9999999999999993E-3</v>
          </cell>
          <cell r="CB119">
            <v>2.4E-2</v>
          </cell>
          <cell r="CJ119">
            <v>0.09</v>
          </cell>
          <cell r="CK119">
            <v>2.1000000000000001E-2</v>
          </cell>
          <cell r="CL119">
            <v>2.5000000000000001E-2</v>
          </cell>
          <cell r="CM119">
            <v>9.6000000000000002E-2</v>
          </cell>
          <cell r="CP119">
            <v>2.1999999999999999E-2</v>
          </cell>
          <cell r="CQ119">
            <v>2.5000000000000001E-2</v>
          </cell>
          <cell r="CR119">
            <v>3.5000000000000003E-2</v>
          </cell>
          <cell r="CS119">
            <v>0.02</v>
          </cell>
          <cell r="CV119">
            <v>1.4999999999999999E-2</v>
          </cell>
          <cell r="CW119">
            <v>1.7999999999999999E-2</v>
          </cell>
          <cell r="CX119">
            <v>-1.2999999999999999E-2</v>
          </cell>
          <cell r="CY119">
            <v>-2E-3</v>
          </cell>
          <cell r="DB119">
            <v>0.01</v>
          </cell>
          <cell r="DC119">
            <v>4.1000000000000002E-2</v>
          </cell>
          <cell r="DD119">
            <v>2.9000000000000001E-2</v>
          </cell>
          <cell r="DE119">
            <v>1.0999999999999999E-2</v>
          </cell>
          <cell r="DH119">
            <v>5.2999999999999999E-2</v>
          </cell>
          <cell r="DI119">
            <v>4.2000000000000003E-2</v>
          </cell>
          <cell r="DJ119">
            <v>1.0999999999999999E-2</v>
          </cell>
          <cell r="DK119">
            <v>1.4E-2</v>
          </cell>
          <cell r="DN119">
            <v>-1.6E-2</v>
          </cell>
          <cell r="DO119">
            <v>-3.3000000000000002E-2</v>
          </cell>
          <cell r="DP119">
            <v>-2.5999999999999999E-2</v>
          </cell>
          <cell r="DQ119">
            <v>8.9999999999999993E-3</v>
          </cell>
          <cell r="DT119">
            <v>-2.8000000000000001E-2</v>
          </cell>
          <cell r="DU119">
            <v>-3.4000000000000002E-2</v>
          </cell>
          <cell r="DV119">
            <v>-5.8000000000000003E-2</v>
          </cell>
          <cell r="DW119">
            <v>-7.3999999999999996E-2</v>
          </cell>
          <cell r="DZ119">
            <v>-6.8000000000000005E-2</v>
          </cell>
          <cell r="EA119">
            <v>-8.0000000000000002E-3</v>
          </cell>
          <cell r="EB119">
            <v>-8.0000000000000002E-3</v>
          </cell>
          <cell r="EC119">
            <v>-1E-3</v>
          </cell>
          <cell r="EF119">
            <v>0.09</v>
          </cell>
          <cell r="EG119">
            <v>2.9000000000000001E-2</v>
          </cell>
          <cell r="EH119">
            <v>-2.4E-2</v>
          </cell>
          <cell r="EI119">
            <v>-1.4E-2</v>
          </cell>
          <cell r="EL119">
            <v>1.7999999999999999E-2</v>
          </cell>
          <cell r="EM119">
            <v>8.0000000000000002E-3</v>
          </cell>
          <cell r="EN119">
            <v>1.0999999999999999E-2</v>
          </cell>
          <cell r="EO119">
            <v>-3.4000000000000002E-2</v>
          </cell>
          <cell r="ER119">
            <v>0.01</v>
          </cell>
          <cell r="ES119">
            <v>9.1999999999999998E-2</v>
          </cell>
          <cell r="ET119">
            <v>3.7999999999999999E-2</v>
          </cell>
          <cell r="EU119">
            <v>8.5000000000000006E-2</v>
          </cell>
          <cell r="EX119">
            <v>1.2E-2</v>
          </cell>
          <cell r="EY119">
            <v>-3.3000000000000002E-2</v>
          </cell>
          <cell r="EZ119">
            <v>2.4E-2</v>
          </cell>
          <cell r="FA119">
            <v>0.13400000000000001</v>
          </cell>
          <cell r="FD119">
            <v>-3.5000000000000003E-2</v>
          </cell>
          <cell r="FE119">
            <v>-1.4999999999999999E-2</v>
          </cell>
          <cell r="FF119">
            <v>-4.8000000000000001E-2</v>
          </cell>
          <cell r="FG119">
            <v>-0.13300000000000001</v>
          </cell>
          <cell r="FJ119">
            <v>-8.5000000000000006E-2</v>
          </cell>
          <cell r="FK119">
            <v>-9.0999999999999998E-2</v>
          </cell>
          <cell r="FL119">
            <v>-8.1000000000000003E-2</v>
          </cell>
          <cell r="FM119">
            <v>-6.0999999999999999E-2</v>
          </cell>
          <cell r="FP119">
            <v>3.6999999999999998E-2</v>
          </cell>
          <cell r="FQ119">
            <v>1.4E-2</v>
          </cell>
          <cell r="FR119">
            <v>4.2999999999999997E-2</v>
          </cell>
          <cell r="FS119">
            <v>6.0999999999999999E-2</v>
          </cell>
          <cell r="FV119">
            <v>5.8000000000000003E-2</v>
          </cell>
          <cell r="FW119">
            <v>7.3999999999999996E-2</v>
          </cell>
          <cell r="FX119">
            <v>0.05</v>
          </cell>
          <cell r="FY119">
            <v>4.8000000000000001E-2</v>
          </cell>
          <cell r="GB119">
            <v>4.5999999999999999E-2</v>
          </cell>
          <cell r="GC119">
            <v>4.2000000000000003E-2</v>
          </cell>
          <cell r="GD119">
            <v>5.0999999999999997E-2</v>
          </cell>
          <cell r="GE119">
            <v>0.04</v>
          </cell>
        </row>
        <row r="120">
          <cell r="A120" t="str">
            <v>Month 2</v>
          </cell>
          <cell r="AN120" t="str">
            <v>Month 2</v>
          </cell>
          <cell r="BS120">
            <v>0.08</v>
          </cell>
          <cell r="BT120">
            <v>1.9E-2</v>
          </cell>
          <cell r="BU120">
            <v>3.7999999999999999E-2</v>
          </cell>
          <cell r="BV120">
            <v>2.1000000000000001E-2</v>
          </cell>
          <cell r="BY120">
            <v>-2.5000000000000001E-2</v>
          </cell>
          <cell r="BZ120">
            <v>4.8000000000000001E-2</v>
          </cell>
          <cell r="CA120">
            <v>4.9000000000000002E-2</v>
          </cell>
          <cell r="CB120">
            <v>1.2999999999999999E-2</v>
          </cell>
          <cell r="CJ120">
            <v>6.0999999999999999E-2</v>
          </cell>
          <cell r="CK120">
            <v>1.4999999999999999E-2</v>
          </cell>
          <cell r="CL120">
            <v>8.0000000000000002E-3</v>
          </cell>
          <cell r="CM120">
            <v>0</v>
          </cell>
          <cell r="CP120">
            <v>-2E-3</v>
          </cell>
          <cell r="CQ120">
            <v>3.2000000000000001E-2</v>
          </cell>
          <cell r="CR120">
            <v>2.7E-2</v>
          </cell>
          <cell r="CS120">
            <v>0.01</v>
          </cell>
          <cell r="CV120">
            <v>8.9999999999999993E-3</v>
          </cell>
          <cell r="CW120">
            <v>3.4000000000000002E-2</v>
          </cell>
          <cell r="CX120">
            <v>-7.0000000000000001E-3</v>
          </cell>
          <cell r="CY120">
            <v>5.7000000000000002E-2</v>
          </cell>
          <cell r="DB120">
            <v>0.09</v>
          </cell>
          <cell r="DC120">
            <v>8.4000000000000005E-2</v>
          </cell>
          <cell r="DD120">
            <v>3.6999999999999998E-2</v>
          </cell>
          <cell r="DE120">
            <v>6.4000000000000001E-2</v>
          </cell>
          <cell r="DH120">
            <v>-6.0000000000000001E-3</v>
          </cell>
          <cell r="DI120">
            <v>5.0000000000000001E-3</v>
          </cell>
          <cell r="DJ120">
            <v>2.9000000000000001E-2</v>
          </cell>
          <cell r="DK120">
            <v>1.2E-2</v>
          </cell>
          <cell r="DN120">
            <v>-3.2000000000000001E-2</v>
          </cell>
          <cell r="DO120">
            <v>-6.4000000000000001E-2</v>
          </cell>
          <cell r="DP120">
            <v>-0.129</v>
          </cell>
          <cell r="DQ120">
            <v>-8.6999999999999994E-2</v>
          </cell>
          <cell r="DT120">
            <v>-2E-3</v>
          </cell>
          <cell r="DU120">
            <v>-4.0000000000000001E-3</v>
          </cell>
          <cell r="DV120">
            <v>0</v>
          </cell>
          <cell r="DW120">
            <v>-2.5999999999999999E-2</v>
          </cell>
          <cell r="DZ120">
            <v>-6.5000000000000002E-2</v>
          </cell>
          <cell r="EA120">
            <v>-0.02</v>
          </cell>
          <cell r="EB120">
            <v>3.2000000000000001E-2</v>
          </cell>
          <cell r="EC120">
            <v>1.2E-2</v>
          </cell>
          <cell r="EF120">
            <v>6.8000000000000005E-2</v>
          </cell>
          <cell r="EG120">
            <v>3.4000000000000002E-2</v>
          </cell>
          <cell r="EH120">
            <v>1E-3</v>
          </cell>
          <cell r="EI120">
            <v>2.3E-2</v>
          </cell>
          <cell r="EL120">
            <v>3.4000000000000002E-2</v>
          </cell>
          <cell r="EM120">
            <v>2.9000000000000001E-2</v>
          </cell>
          <cell r="EN120">
            <v>1.2999999999999999E-2</v>
          </cell>
          <cell r="EO120">
            <v>3.4000000000000002E-2</v>
          </cell>
          <cell r="ER120">
            <v>0</v>
          </cell>
          <cell r="ES120">
            <v>1.7000000000000001E-2</v>
          </cell>
          <cell r="ET120">
            <v>6.5000000000000002E-2</v>
          </cell>
          <cell r="EU120">
            <v>4.3999999999999997E-2</v>
          </cell>
          <cell r="EX120">
            <v>2.3E-2</v>
          </cell>
          <cell r="EY120">
            <v>-2.7E-2</v>
          </cell>
          <cell r="EZ120">
            <v>-2.7E-2</v>
          </cell>
          <cell r="FA120">
            <v>-7.9000000000000001E-2</v>
          </cell>
          <cell r="FD120">
            <v>-6.2E-2</v>
          </cell>
          <cell r="FE120">
            <v>-2.1000000000000001E-2</v>
          </cell>
          <cell r="FF120">
            <v>-6.6000000000000003E-2</v>
          </cell>
          <cell r="FG120">
            <v>-0.04</v>
          </cell>
          <cell r="FJ120">
            <v>-9.1999999999999998E-2</v>
          </cell>
          <cell r="FK120">
            <v>-8.8999999999999996E-2</v>
          </cell>
          <cell r="FL120">
            <v>-2.3E-2</v>
          </cell>
          <cell r="FM120">
            <v>0.01</v>
          </cell>
          <cell r="FP120">
            <v>0.10800000000000001</v>
          </cell>
          <cell r="FQ120">
            <v>6.5000000000000002E-2</v>
          </cell>
          <cell r="FR120">
            <v>4.8000000000000001E-2</v>
          </cell>
          <cell r="FS120">
            <v>3.9E-2</v>
          </cell>
          <cell r="FV120">
            <v>8.9999999999999993E-3</v>
          </cell>
          <cell r="FW120">
            <v>6.7000000000000004E-2</v>
          </cell>
          <cell r="FX120">
            <v>4.9000000000000002E-2</v>
          </cell>
          <cell r="FY120">
            <v>6.2E-2</v>
          </cell>
          <cell r="GB120">
            <v>7.2999999999999995E-2</v>
          </cell>
          <cell r="GC120">
            <v>1.2E-2</v>
          </cell>
          <cell r="GD120">
            <v>0.03</v>
          </cell>
          <cell r="GE120">
            <v>0.04</v>
          </cell>
        </row>
        <row r="121">
          <cell r="A121" t="str">
            <v>Month 3</v>
          </cell>
          <cell r="AN121" t="str">
            <v>Month 3</v>
          </cell>
          <cell r="BS121">
            <v>-8.9999999999999993E-3</v>
          </cell>
          <cell r="BT121">
            <v>-8.0000000000000002E-3</v>
          </cell>
          <cell r="BU121">
            <v>2.5000000000000001E-2</v>
          </cell>
          <cell r="BV121">
            <v>8.8999999999999996E-2</v>
          </cell>
          <cell r="BY121">
            <v>4.1000000000000002E-2</v>
          </cell>
          <cell r="BZ121">
            <v>7.0999999999999994E-2</v>
          </cell>
          <cell r="CA121">
            <v>-1.7999999999999999E-2</v>
          </cell>
          <cell r="CB121">
            <v>5.0999999999999997E-2</v>
          </cell>
          <cell r="CJ121">
            <v>-1.0999999999999999E-2</v>
          </cell>
          <cell r="CK121">
            <v>-1.7000000000000001E-2</v>
          </cell>
          <cell r="CL121">
            <v>4.9000000000000002E-2</v>
          </cell>
          <cell r="CM121">
            <v>9.4E-2</v>
          </cell>
          <cell r="CP121">
            <v>6.2E-2</v>
          </cell>
          <cell r="CQ121">
            <v>8.5999999999999993E-2</v>
          </cell>
          <cell r="CR121">
            <v>0.03</v>
          </cell>
          <cell r="CS121">
            <v>1.4999999999999999E-2</v>
          </cell>
          <cell r="CV121">
            <v>0.05</v>
          </cell>
          <cell r="CW121">
            <v>3.9E-2</v>
          </cell>
          <cell r="CX121">
            <v>-1.9E-2</v>
          </cell>
          <cell r="CY121">
            <v>7.2999999999999995E-2</v>
          </cell>
          <cell r="DB121">
            <v>1.4999999999999999E-2</v>
          </cell>
          <cell r="DC121">
            <v>4.7E-2</v>
          </cell>
          <cell r="DD121">
            <v>4.4999999999999998E-2</v>
          </cell>
          <cell r="DE121">
            <v>4.2000000000000003E-2</v>
          </cell>
          <cell r="DH121">
            <v>5.1999999999999998E-2</v>
          </cell>
          <cell r="DI121">
            <v>1.6E-2</v>
          </cell>
          <cell r="DJ121">
            <v>1.6E-2</v>
          </cell>
          <cell r="DK121">
            <v>3.6999999999999998E-2</v>
          </cell>
          <cell r="DN121">
            <v>8.0000000000000002E-3</v>
          </cell>
          <cell r="DO121">
            <v>-4.2000000000000003E-2</v>
          </cell>
          <cell r="DP121">
            <v>-8.6999999999999994E-2</v>
          </cell>
          <cell r="DQ121">
            <v>-8.7999999999999995E-2</v>
          </cell>
          <cell r="DT121">
            <v>-5.8999999999999997E-2</v>
          </cell>
          <cell r="DU121">
            <v>-5.1999999999999998E-2</v>
          </cell>
          <cell r="DV121">
            <v>3.0000000000000001E-3</v>
          </cell>
          <cell r="DW121">
            <v>-1.2E-2</v>
          </cell>
          <cell r="DZ121">
            <v>-1.3999999999999999E-2</v>
          </cell>
          <cell r="EA121">
            <v>-4.0000000000000001E-3</v>
          </cell>
          <cell r="EB121">
            <v>-0.02</v>
          </cell>
          <cell r="EC121">
            <v>5.5E-2</v>
          </cell>
          <cell r="EF121">
            <v>5.3999999999999999E-2</v>
          </cell>
          <cell r="EG121">
            <v>3.6999999999999998E-2</v>
          </cell>
          <cell r="EH121">
            <v>0.04</v>
          </cell>
          <cell r="EI121">
            <v>-4.0000000000000001E-3</v>
          </cell>
          <cell r="EL121">
            <v>2.8000000000000001E-2</v>
          </cell>
          <cell r="EM121">
            <v>-8.9999999999999993E-3</v>
          </cell>
          <cell r="EN121">
            <v>-7.0000000000000001E-3</v>
          </cell>
          <cell r="EO121">
            <v>0.01</v>
          </cell>
          <cell r="ER121">
            <v>-8.0000000000000002E-3</v>
          </cell>
          <cell r="ES121">
            <v>3.3000000000000002E-2</v>
          </cell>
          <cell r="ET121">
            <v>7.6999999999999999E-2</v>
          </cell>
          <cell r="EU121">
            <v>8.5999999999999993E-2</v>
          </cell>
          <cell r="EX121">
            <v>-2.1999999999999999E-2</v>
          </cell>
          <cell r="EY121">
            <v>-1.4E-2</v>
          </cell>
          <cell r="EZ121">
            <v>-1.4999999999999999E-2</v>
          </cell>
          <cell r="FA121">
            <v>-7.0999999999999994E-2</v>
          </cell>
          <cell r="FD121">
            <v>0.03</v>
          </cell>
          <cell r="FE121">
            <v>-2.9000000000000001E-2</v>
          </cell>
          <cell r="FF121">
            <v>-6.3E-2</v>
          </cell>
          <cell r="FG121">
            <v>-4.4999999999999998E-2</v>
          </cell>
          <cell r="FJ121">
            <v>-9.0999999999999998E-2</v>
          </cell>
          <cell r="FK121">
            <v>-0.107</v>
          </cell>
          <cell r="FL121">
            <v>-8.0000000000000002E-3</v>
          </cell>
          <cell r="FM121">
            <v>3.4000000000000002E-2</v>
          </cell>
          <cell r="FP121">
            <v>1.0999999999999999E-2</v>
          </cell>
          <cell r="FQ121">
            <v>7.2999999999999995E-2</v>
          </cell>
          <cell r="FR121">
            <v>2.5000000000000001E-2</v>
          </cell>
          <cell r="FS121">
            <v>2.5999999999999999E-2</v>
          </cell>
          <cell r="FV121">
            <v>0.108</v>
          </cell>
          <cell r="FW121">
            <v>0.05</v>
          </cell>
          <cell r="FX121">
            <v>2.1999999999999999E-2</v>
          </cell>
          <cell r="FY121">
            <v>2.4E-2</v>
          </cell>
          <cell r="GB121">
            <v>1.2E-2</v>
          </cell>
          <cell r="GC121">
            <v>4.1000000000000002E-2</v>
          </cell>
          <cell r="GD121">
            <v>5.5E-2</v>
          </cell>
          <cell r="GE121">
            <v>0.05</v>
          </cell>
        </row>
        <row r="122">
          <cell r="A122" t="str">
            <v>Total</v>
          </cell>
          <cell r="AN122" t="str">
            <v>Total</v>
          </cell>
          <cell r="BS122">
            <v>3.9E-2</v>
          </cell>
          <cell r="BT122">
            <v>8.0000000000000002E-3</v>
          </cell>
          <cell r="BU122">
            <v>3.6999999999999998E-2</v>
          </cell>
          <cell r="BV122">
            <v>3.5999999999999997E-2</v>
          </cell>
          <cell r="BW122">
            <v>3.0898675327518881E-2</v>
          </cell>
          <cell r="CJ122">
            <v>4.8470506256248672E-2</v>
          </cell>
          <cell r="CK122">
            <v>8.3184337129285652E-3</v>
          </cell>
          <cell r="CL122">
            <v>8.9999999999999993E-3</v>
          </cell>
          <cell r="CM122">
            <v>4.3417523930571543E-2</v>
          </cell>
          <cell r="CN122">
            <v>3.0844572544785176E-2</v>
          </cell>
          <cell r="CP122">
            <v>2.5000000000000001E-2</v>
          </cell>
          <cell r="CQ122">
            <v>4.3999999999999997E-2</v>
          </cell>
          <cell r="CR122">
            <v>3.1E-2</v>
          </cell>
          <cell r="CS122">
            <v>1.4E-2</v>
          </cell>
          <cell r="CT122">
            <v>2.7069152758765591E-2</v>
          </cell>
          <cell r="CU122">
            <v>0</v>
          </cell>
          <cell r="CV122">
            <v>2.4E-2</v>
          </cell>
          <cell r="CW122">
            <v>3.0187969924812031E-2</v>
          </cell>
          <cell r="CX122">
            <v>-1.2479646871752174E-2</v>
          </cell>
          <cell r="CY122">
            <v>4.1000000000000002E-2</v>
          </cell>
          <cell r="CZ122">
            <v>4.4999999999999998E-2</v>
          </cell>
          <cell r="DB122">
            <v>0.04</v>
          </cell>
          <cell r="DC122">
            <v>5.8999999999999997E-2</v>
          </cell>
          <cell r="DD122">
            <v>3.9E-2</v>
          </cell>
          <cell r="DE122">
            <v>4.3999999999999997E-2</v>
          </cell>
          <cell r="DF122">
            <v>4.4999999999999998E-2</v>
          </cell>
          <cell r="DH122">
            <v>2.9000000000000001E-2</v>
          </cell>
          <cell r="DI122">
            <v>1.9E-2</v>
          </cell>
          <cell r="DJ122">
            <v>1.9E-2</v>
          </cell>
          <cell r="DK122">
            <v>1.6E-2</v>
          </cell>
          <cell r="DL122">
            <v>0.02</v>
          </cell>
          <cell r="DN122">
            <v>-1.4999999999999999E-2</v>
          </cell>
          <cell r="DO122">
            <v>-4.8000000000000001E-2</v>
          </cell>
          <cell r="DP122">
            <v>-8.5999999999999993E-2</v>
          </cell>
          <cell r="DQ122">
            <v>-0.06</v>
          </cell>
          <cell r="DR122">
            <v>-5.2999999999999999E-2</v>
          </cell>
          <cell r="DT122">
            <v>-2.9000000000000001E-2</v>
          </cell>
          <cell r="DU122">
            <v>-2.8000000000000001E-2</v>
          </cell>
          <cell r="DV122">
            <v>-0.02</v>
          </cell>
          <cell r="DW122">
            <v>-3.9E-2</v>
          </cell>
          <cell r="DX122">
            <v>-0.03</v>
          </cell>
          <cell r="DZ122">
            <v>-0.05</v>
          </cell>
          <cell r="EA122">
            <v>-1.2E-2</v>
          </cell>
          <cell r="EB122">
            <v>2E-3</v>
          </cell>
          <cell r="EC122">
            <v>1.3999999999999999E-2</v>
          </cell>
          <cell r="ED122">
            <v>-9.0000000000000011E-3</v>
          </cell>
          <cell r="EF122">
            <v>6.9000000000000006E-2</v>
          </cell>
          <cell r="EG122">
            <v>3.3000000000000002E-2</v>
          </cell>
          <cell r="EH122">
            <v>4.0000000000000001E-3</v>
          </cell>
          <cell r="EI122">
            <v>8.0000000000000002E-3</v>
          </cell>
          <cell r="EJ122">
            <v>2.5999999999999999E-2</v>
          </cell>
          <cell r="EL122">
            <v>2.5999999999999999E-2</v>
          </cell>
          <cell r="EM122">
            <v>1.0999999999999999E-2</v>
          </cell>
          <cell r="EN122">
            <v>6.0000000000000001E-3</v>
          </cell>
          <cell r="EO122">
            <v>1.0999999999999999E-2</v>
          </cell>
          <cell r="EP122">
            <v>1.2999999999999999E-2</v>
          </cell>
          <cell r="ER122">
            <v>0</v>
          </cell>
          <cell r="ES122">
            <v>4.5999999999999999E-2</v>
          </cell>
          <cell r="ET122">
            <v>5.8999999999999997E-2</v>
          </cell>
          <cell r="EU122">
            <v>6.0999999999999999E-2</v>
          </cell>
          <cell r="EV122">
            <v>4.3999999999999997E-2</v>
          </cell>
          <cell r="EX122">
            <v>6.0000000000000001E-3</v>
          </cell>
          <cell r="EY122">
            <v>-2.5999999999999999E-2</v>
          </cell>
          <cell r="EZ122">
            <v>-8.0000000000000002E-3</v>
          </cell>
          <cell r="FA122">
            <v>-0.02</v>
          </cell>
          <cell r="FB122">
            <v>-1.2999999999999999E-2</v>
          </cell>
          <cell r="FD122">
            <v>-2.5999999999999999E-2</v>
          </cell>
          <cell r="FE122">
            <v>-2.1000000000000001E-2</v>
          </cell>
          <cell r="FF122">
            <v>-0.06</v>
          </cell>
          <cell r="FG122">
            <v>-7.0000000000000007E-2</v>
          </cell>
          <cell r="FH122">
            <v>-4.4999999999999998E-2</v>
          </cell>
          <cell r="FJ122">
            <v>-0.09</v>
          </cell>
          <cell r="FK122">
            <v>-9.5000000000000001E-2</v>
          </cell>
          <cell r="FL122">
            <v>-3.5999999999999997E-2</v>
          </cell>
          <cell r="FM122">
            <v>-8.0000000000000002E-3</v>
          </cell>
          <cell r="FN122">
            <v>-5.2999999999999999E-2</v>
          </cell>
          <cell r="FP122">
            <v>5.5E-2</v>
          </cell>
          <cell r="FQ122">
            <v>4.9000000000000002E-2</v>
          </cell>
          <cell r="FR122">
            <v>3.9E-2</v>
          </cell>
          <cell r="FS122">
            <v>4.2999999999999997E-2</v>
          </cell>
          <cell r="FT122">
            <v>4.610434747830261E-2</v>
          </cell>
          <cell r="FV122">
            <v>5.3999999999999999E-2</v>
          </cell>
          <cell r="FW122">
            <v>6.4000000000000001E-2</v>
          </cell>
          <cell r="FX122">
            <v>0.04</v>
          </cell>
          <cell r="FY122">
            <v>5.1999999999999998E-2</v>
          </cell>
          <cell r="FZ122">
            <v>5.2999999999999999E-2</v>
          </cell>
          <cell r="GB122">
            <v>4.3999999999999997E-2</v>
          </cell>
          <cell r="GC122">
            <v>0.03</v>
          </cell>
          <cell r="GD122">
            <v>4.4170626829774157E-2</v>
          </cell>
          <cell r="GE122">
            <v>4.1872044415560798E-2</v>
          </cell>
          <cell r="GF122">
            <v>4.02253638971692E-2</v>
          </cell>
        </row>
        <row r="124">
          <cell r="A124" t="str">
            <v>Consolidated Productivity Factor</v>
          </cell>
          <cell r="AN124" t="str">
            <v>Consolidated Productivity Factor</v>
          </cell>
        </row>
        <row r="125">
          <cell r="A125" t="str">
            <v>Month 1</v>
          </cell>
          <cell r="AN125" t="str">
            <v>Month 1</v>
          </cell>
          <cell r="EF125">
            <v>1.0043063843845854</v>
          </cell>
          <cell r="EG125">
            <v>1.010810633855717</v>
          </cell>
          <cell r="EH125">
            <v>1.0130234439561103</v>
          </cell>
          <cell r="EI125">
            <v>1.0261552566722514</v>
          </cell>
          <cell r="EL125">
            <v>1.0039733185357242</v>
          </cell>
          <cell r="EM125">
            <v>0.99978472992257905</v>
          </cell>
          <cell r="EN125">
            <v>1.0012187282870586</v>
          </cell>
          <cell r="EO125">
            <v>0.91407567624195751</v>
          </cell>
          <cell r="ER125">
            <v>0.85379589916801657</v>
          </cell>
          <cell r="ES125">
            <v>0.82852877251430668</v>
          </cell>
          <cell r="ET125">
            <v>0.83475030563790842</v>
          </cell>
          <cell r="EU125">
            <v>0.91480422703367681</v>
          </cell>
          <cell r="EX125">
            <v>1.0042251017232908</v>
          </cell>
          <cell r="EY125">
            <v>1.0108075527611304</v>
          </cell>
          <cell r="EZ125">
            <v>1.0032705612197608</v>
          </cell>
          <cell r="FA125">
            <v>0.99617129302855612</v>
          </cell>
          <cell r="FD125">
            <v>1.0047260256693704</v>
          </cell>
          <cell r="FE125">
            <v>1.0011731147187122</v>
          </cell>
          <cell r="FF125">
            <v>1.0015681684828099</v>
          </cell>
          <cell r="FG125">
            <v>0.9980273685296247</v>
          </cell>
          <cell r="FJ125">
            <v>1.0146680194879518</v>
          </cell>
          <cell r="FK125">
            <v>1.0229325701507319</v>
          </cell>
          <cell r="FL125">
            <v>1.0237530410429481</v>
          </cell>
          <cell r="FM125">
            <v>1.0168796021749338</v>
          </cell>
          <cell r="FP125">
            <v>1.0016060228776302</v>
          </cell>
          <cell r="FQ125">
            <v>0.98881215735067063</v>
          </cell>
          <cell r="FR125">
            <v>1.0007452413933455</v>
          </cell>
          <cell r="FS125">
            <v>1.0028115913956974</v>
          </cell>
          <cell r="FV125">
            <v>1.0005096291516782</v>
          </cell>
          <cell r="FW125">
            <v>1.0081721608307339</v>
          </cell>
          <cell r="FX125">
            <v>0.99435769750356207</v>
          </cell>
          <cell r="FY125">
            <v>1.0114048185081832</v>
          </cell>
          <cell r="GB125">
            <v>1.0253009585429893</v>
          </cell>
          <cell r="GC125">
            <v>1.0133052611979987</v>
          </cell>
          <cell r="GD125">
            <v>1.018088666893139</v>
          </cell>
          <cell r="GE125">
            <v>1.0011764705882353</v>
          </cell>
        </row>
        <row r="126">
          <cell r="A126" t="str">
            <v>Month 2</v>
          </cell>
          <cell r="AN126" t="str">
            <v>Month 2</v>
          </cell>
          <cell r="EF126">
            <v>1.0053433076034095</v>
          </cell>
          <cell r="EG126">
            <v>1.0066663386950321</v>
          </cell>
          <cell r="EH126">
            <v>1.012796599849775</v>
          </cell>
          <cell r="EI126">
            <v>1.0251796947783753</v>
          </cell>
          <cell r="EL126">
            <v>1.0061447584995618</v>
          </cell>
          <cell r="EM126">
            <v>1.0029492195249803</v>
          </cell>
          <cell r="EN126">
            <v>0.88191400316768354</v>
          </cell>
          <cell r="EO126">
            <v>0.90286524641517052</v>
          </cell>
          <cell r="ER126">
            <v>0.87143545576033965</v>
          </cell>
          <cell r="ES126">
            <v>0.86259214604526391</v>
          </cell>
          <cell r="ET126">
            <v>0.95476655228407081</v>
          </cell>
          <cell r="EU126">
            <v>0.95390310394604827</v>
          </cell>
          <cell r="EX126">
            <v>0.99756383077735888</v>
          </cell>
          <cell r="EY126">
            <v>1.0076309712339664</v>
          </cell>
          <cell r="EZ126">
            <v>1.0058439901456568</v>
          </cell>
          <cell r="FA126">
            <v>1.0104925603418453</v>
          </cell>
          <cell r="FD126">
            <v>1.0038919718017412</v>
          </cell>
          <cell r="FE126">
            <v>1.0002262623646179</v>
          </cell>
          <cell r="FF126">
            <v>1.0022779610885877</v>
          </cell>
          <cell r="FG126">
            <v>0.98797059201406712</v>
          </cell>
          <cell r="FJ126">
            <v>1.0172356632303496</v>
          </cell>
          <cell r="FK126">
            <v>1.0266388149144143</v>
          </cell>
          <cell r="FL126">
            <v>1.0185440088098592</v>
          </cell>
          <cell r="FM126">
            <v>1.0150644106268683</v>
          </cell>
          <cell r="FP126">
            <v>0.9967530496300272</v>
          </cell>
          <cell r="FQ126">
            <v>0.99989171377441255</v>
          </cell>
          <cell r="FR126">
            <v>1.0028971230689774</v>
          </cell>
          <cell r="FS126">
            <v>0.9946391314592461</v>
          </cell>
          <cell r="FV126">
            <v>1.0074992903911262</v>
          </cell>
          <cell r="FW126">
            <v>1.0057878604073234</v>
          </cell>
          <cell r="FX126">
            <v>1.0057401642886414</v>
          </cell>
          <cell r="FY126">
            <v>1.0118477756232767</v>
          </cell>
          <cell r="GB126">
            <v>1.0102541230632647</v>
          </cell>
          <cell r="GC126">
            <v>1.011143062170935</v>
          </cell>
          <cell r="GD126">
            <v>1</v>
          </cell>
          <cell r="GE126">
            <v>1</v>
          </cell>
        </row>
        <row r="127">
          <cell r="A127" t="str">
            <v>Month 3</v>
          </cell>
          <cell r="AN127" t="str">
            <v>Month 3</v>
          </cell>
          <cell r="EF127">
            <v>1.0049191704800837</v>
          </cell>
          <cell r="EG127">
            <v>1.0157391039871562</v>
          </cell>
          <cell r="EH127">
            <v>1.0229244178565875</v>
          </cell>
          <cell r="EI127">
            <v>1.0174283739131365</v>
          </cell>
          <cell r="EL127">
            <v>1.0058035349864145</v>
          </cell>
          <cell r="EM127">
            <v>1.0039069906098907</v>
          </cell>
          <cell r="EN127">
            <v>0.90735496459885556</v>
          </cell>
          <cell r="EO127">
            <v>0.95100379512625965</v>
          </cell>
          <cell r="ER127">
            <v>0.85509041472763314</v>
          </cell>
          <cell r="ES127">
            <v>0.83302342705472399</v>
          </cell>
          <cell r="ET127">
            <v>0.9300581404093593</v>
          </cell>
          <cell r="EU127">
            <v>0.88885616548937241</v>
          </cell>
          <cell r="EX127">
            <v>1.0012993536198342</v>
          </cell>
          <cell r="EY127">
            <v>1.0067406823426219</v>
          </cell>
          <cell r="EZ127">
            <v>1.0010354929971583</v>
          </cell>
          <cell r="FA127">
            <v>0.77697496531497701</v>
          </cell>
          <cell r="FD127">
            <v>0.99998610863561077</v>
          </cell>
          <cell r="FE127">
            <v>1.0000776716315167</v>
          </cell>
          <cell r="FF127">
            <v>1.0026881239876493</v>
          </cell>
          <cell r="FG127">
            <v>1.0034001517037674</v>
          </cell>
          <cell r="FJ127">
            <v>1.017274065207098</v>
          </cell>
          <cell r="FK127">
            <v>1.0307481774152398</v>
          </cell>
          <cell r="FL127">
            <v>1.0154616377110075</v>
          </cell>
          <cell r="FM127">
            <v>1.009307170702717</v>
          </cell>
          <cell r="FP127">
            <v>1.0005893323256754</v>
          </cell>
          <cell r="FQ127">
            <v>1.0111137394005785</v>
          </cell>
          <cell r="FR127">
            <v>1.0254628236300125</v>
          </cell>
          <cell r="FS127">
            <v>1.00775043725629</v>
          </cell>
          <cell r="FV127">
            <v>0.99618702023241001</v>
          </cell>
          <cell r="FW127">
            <v>1.0047825549823146</v>
          </cell>
          <cell r="FX127">
            <v>1.0004489851343907</v>
          </cell>
          <cell r="FY127">
            <v>1.008520012530175</v>
          </cell>
          <cell r="GB127">
            <v>1.0062765433093959</v>
          </cell>
          <cell r="GC127">
            <v>1.0227639737625074</v>
          </cell>
          <cell r="GD127">
            <v>1</v>
          </cell>
          <cell r="GE127">
            <v>1.25</v>
          </cell>
        </row>
        <row r="128">
          <cell r="EX128">
            <v>0.99364581839822941</v>
          </cell>
          <cell r="EY128">
            <v>1.0053855991928882</v>
          </cell>
          <cell r="EZ128">
            <v>1.0049007333596589</v>
          </cell>
          <cell r="FA128">
            <v>0.96635245216954013</v>
          </cell>
          <cell r="FD128">
            <v>1.0093706103322386</v>
          </cell>
          <cell r="FE128">
            <v>0.99942053289687438</v>
          </cell>
          <cell r="FF128">
            <v>1.0028127761391281</v>
          </cell>
          <cell r="FG128">
            <v>0.99829531956488382</v>
          </cell>
          <cell r="FH128">
            <v>0.99616480017746767</v>
          </cell>
          <cell r="FJ128">
            <v>1.0150952522446879</v>
          </cell>
          <cell r="FK128">
            <v>1.028988144998136</v>
          </cell>
          <cell r="FL128">
            <v>1.0174659464761271</v>
          </cell>
          <cell r="FM128">
            <v>1.004258927748259</v>
          </cell>
          <cell r="FN128">
            <v>1.0094977226152135</v>
          </cell>
          <cell r="FP128">
            <v>1.0000259928958455</v>
          </cell>
          <cell r="FQ128">
            <v>0.99963688802128137</v>
          </cell>
          <cell r="FR128">
            <v>1.0093878458063197</v>
          </cell>
          <cell r="FS128">
            <v>1.0000370362620763</v>
          </cell>
          <cell r="FT128">
            <v>1.0017002547102301</v>
          </cell>
          <cell r="FV128">
            <v>1.0021044058948783</v>
          </cell>
          <cell r="FW128">
            <v>1.0081307827273334</v>
          </cell>
          <cell r="FX128">
            <v>1.0033467891940979</v>
          </cell>
          <cell r="FY128">
            <v>1.0155381429309334</v>
          </cell>
          <cell r="FZ128">
            <v>1.0152922484576603</v>
          </cell>
          <cell r="GB128">
            <v>1.0132824557239268</v>
          </cell>
          <cell r="GC128">
            <v>1.0138954016780533</v>
          </cell>
          <cell r="GD128">
            <v>1.0060645702976547</v>
          </cell>
          <cell r="GE128">
            <v>1.0305274860110949</v>
          </cell>
          <cell r="GF128">
            <v>1.0083583012001358</v>
          </cell>
        </row>
        <row r="129">
          <cell r="A129" t="str">
            <v>Consolidated Store Count</v>
          </cell>
          <cell r="AN129" t="str">
            <v>Consolidated Store Count</v>
          </cell>
        </row>
        <row r="130">
          <cell r="A130" t="str">
            <v>Month 1</v>
          </cell>
          <cell r="AN130" t="str">
            <v>Month 1</v>
          </cell>
          <cell r="DZ130">
            <v>456</v>
          </cell>
          <cell r="EA130">
            <v>456</v>
          </cell>
          <cell r="EB130">
            <v>460</v>
          </cell>
          <cell r="EC130">
            <v>465</v>
          </cell>
          <cell r="EF130">
            <v>458</v>
          </cell>
          <cell r="EG130">
            <v>457</v>
          </cell>
          <cell r="EH130">
            <v>457</v>
          </cell>
          <cell r="EI130">
            <v>459</v>
          </cell>
          <cell r="EL130">
            <v>459</v>
          </cell>
          <cell r="EM130">
            <v>460</v>
          </cell>
          <cell r="EN130">
            <v>459</v>
          </cell>
          <cell r="EO130">
            <v>935</v>
          </cell>
          <cell r="ER130">
            <v>868</v>
          </cell>
          <cell r="ES130">
            <v>861</v>
          </cell>
          <cell r="ET130">
            <v>854</v>
          </cell>
          <cell r="EU130">
            <v>860</v>
          </cell>
          <cell r="EX130">
            <v>858</v>
          </cell>
          <cell r="EY130">
            <v>863</v>
          </cell>
          <cell r="EZ130">
            <v>864</v>
          </cell>
          <cell r="FA130">
            <v>866</v>
          </cell>
          <cell r="FD130">
            <v>852</v>
          </cell>
          <cell r="FE130">
            <v>852</v>
          </cell>
          <cell r="FF130">
            <v>856</v>
          </cell>
          <cell r="FG130">
            <v>859</v>
          </cell>
          <cell r="FJ130">
            <v>847</v>
          </cell>
          <cell r="FK130">
            <v>848</v>
          </cell>
          <cell r="FL130">
            <v>849</v>
          </cell>
          <cell r="FM130">
            <v>854</v>
          </cell>
          <cell r="FP130">
            <v>850</v>
          </cell>
          <cell r="FQ130">
            <v>850</v>
          </cell>
          <cell r="FR130">
            <v>849</v>
          </cell>
          <cell r="FS130">
            <v>854</v>
          </cell>
          <cell r="FV130">
            <v>850</v>
          </cell>
          <cell r="FW130">
            <v>850</v>
          </cell>
          <cell r="FX130">
            <v>849</v>
          </cell>
          <cell r="FY130">
            <v>851</v>
          </cell>
          <cell r="GB130">
            <v>842</v>
          </cell>
          <cell r="GC130">
            <v>844</v>
          </cell>
          <cell r="GD130">
            <v>846</v>
          </cell>
          <cell r="GE130">
            <v>847</v>
          </cell>
        </row>
        <row r="131">
          <cell r="A131" t="str">
            <v>Month 2</v>
          </cell>
          <cell r="AN131" t="str">
            <v>Month 2</v>
          </cell>
          <cell r="DZ131">
            <v>456</v>
          </cell>
          <cell r="EA131">
            <v>455</v>
          </cell>
          <cell r="EB131">
            <v>460</v>
          </cell>
          <cell r="EC131">
            <v>465</v>
          </cell>
          <cell r="EF131">
            <v>458</v>
          </cell>
          <cell r="EG131">
            <v>457</v>
          </cell>
          <cell r="EH131">
            <v>458</v>
          </cell>
          <cell r="EI131">
            <v>459</v>
          </cell>
          <cell r="EL131">
            <v>459</v>
          </cell>
          <cell r="EM131">
            <v>460</v>
          </cell>
          <cell r="EN131">
            <v>933</v>
          </cell>
          <cell r="EO131">
            <v>934</v>
          </cell>
          <cell r="ER131">
            <v>861</v>
          </cell>
          <cell r="ES131">
            <v>859</v>
          </cell>
          <cell r="ET131">
            <v>855</v>
          </cell>
          <cell r="EU131">
            <v>860</v>
          </cell>
          <cell r="EX131">
            <v>859</v>
          </cell>
          <cell r="EY131">
            <v>863</v>
          </cell>
          <cell r="EZ131">
            <v>866</v>
          </cell>
          <cell r="FA131">
            <v>857</v>
          </cell>
          <cell r="FD131">
            <v>853</v>
          </cell>
          <cell r="FE131">
            <v>853</v>
          </cell>
          <cell r="FF131">
            <v>853</v>
          </cell>
          <cell r="FG131">
            <v>859</v>
          </cell>
          <cell r="FJ131">
            <v>847</v>
          </cell>
          <cell r="FK131">
            <v>848</v>
          </cell>
          <cell r="FL131">
            <v>852</v>
          </cell>
          <cell r="FM131">
            <v>854</v>
          </cell>
          <cell r="FP131">
            <v>850</v>
          </cell>
          <cell r="FQ131">
            <v>850</v>
          </cell>
          <cell r="FR131">
            <v>852</v>
          </cell>
          <cell r="FS131">
            <v>854</v>
          </cell>
          <cell r="FV131">
            <v>850</v>
          </cell>
          <cell r="FW131">
            <v>850</v>
          </cell>
          <cell r="FX131">
            <v>849</v>
          </cell>
          <cell r="FY131">
            <v>850</v>
          </cell>
          <cell r="GB131">
            <v>844</v>
          </cell>
          <cell r="GC131">
            <v>846</v>
          </cell>
          <cell r="GD131">
            <v>847</v>
          </cell>
          <cell r="GE131">
            <v>848</v>
          </cell>
        </row>
        <row r="132">
          <cell r="A132" t="str">
            <v>Month 3</v>
          </cell>
          <cell r="AN132" t="str">
            <v>Month 3</v>
          </cell>
          <cell r="DZ132">
            <v>456</v>
          </cell>
          <cell r="EA132">
            <v>460</v>
          </cell>
          <cell r="EB132">
            <v>465</v>
          </cell>
          <cell r="EC132">
            <v>459</v>
          </cell>
          <cell r="EF132">
            <v>459</v>
          </cell>
          <cell r="EG132">
            <v>457</v>
          </cell>
          <cell r="EH132">
            <v>459</v>
          </cell>
          <cell r="EI132">
            <v>459</v>
          </cell>
          <cell r="EL132">
            <v>459</v>
          </cell>
          <cell r="EM132">
            <v>460</v>
          </cell>
          <cell r="EN132">
            <v>935</v>
          </cell>
          <cell r="EO132">
            <v>868</v>
          </cell>
          <cell r="ER132">
            <v>861</v>
          </cell>
          <cell r="ES132">
            <v>856</v>
          </cell>
          <cell r="ET132">
            <v>857</v>
          </cell>
          <cell r="EU132">
            <v>858</v>
          </cell>
          <cell r="EX132">
            <v>863</v>
          </cell>
          <cell r="EY132">
            <v>863</v>
          </cell>
          <cell r="EZ132">
            <v>866</v>
          </cell>
          <cell r="FA132">
            <v>852</v>
          </cell>
          <cell r="FD132">
            <v>851</v>
          </cell>
          <cell r="FE132">
            <v>855</v>
          </cell>
          <cell r="FF132">
            <v>856</v>
          </cell>
          <cell r="FG132">
            <v>847</v>
          </cell>
          <cell r="FJ132">
            <v>848</v>
          </cell>
          <cell r="FK132">
            <v>848</v>
          </cell>
          <cell r="FL132">
            <v>854</v>
          </cell>
          <cell r="FM132">
            <v>850</v>
          </cell>
          <cell r="FP132">
            <v>849</v>
          </cell>
          <cell r="FQ132">
            <v>849</v>
          </cell>
          <cell r="FR132">
            <v>854</v>
          </cell>
          <cell r="FS132">
            <v>850</v>
          </cell>
          <cell r="FV132">
            <v>850</v>
          </cell>
          <cell r="FW132">
            <v>849</v>
          </cell>
          <cell r="FX132">
            <v>850</v>
          </cell>
          <cell r="FY132">
            <v>842</v>
          </cell>
          <cell r="GB132">
            <v>844</v>
          </cell>
          <cell r="GC132">
            <v>845</v>
          </cell>
          <cell r="GD132">
            <v>847</v>
          </cell>
          <cell r="GE132">
            <v>844</v>
          </cell>
        </row>
        <row r="133">
          <cell r="A133" t="str">
            <v>Total</v>
          </cell>
          <cell r="AN133" t="str">
            <v>Total</v>
          </cell>
          <cell r="DZ133">
            <v>456</v>
          </cell>
          <cell r="EA133">
            <v>460</v>
          </cell>
          <cell r="EB133">
            <v>465</v>
          </cell>
          <cell r="EC133">
            <v>459</v>
          </cell>
          <cell r="ED133">
            <v>459</v>
          </cell>
          <cell r="EF133">
            <v>459</v>
          </cell>
          <cell r="EG133">
            <v>457</v>
          </cell>
          <cell r="EH133">
            <v>459</v>
          </cell>
          <cell r="EI133">
            <v>459</v>
          </cell>
          <cell r="EJ133">
            <v>459</v>
          </cell>
          <cell r="EL133">
            <v>459</v>
          </cell>
          <cell r="EM133">
            <v>460</v>
          </cell>
          <cell r="EN133">
            <v>935</v>
          </cell>
          <cell r="EO133">
            <v>868</v>
          </cell>
          <cell r="EP133">
            <v>868</v>
          </cell>
          <cell r="ER133">
            <v>861</v>
          </cell>
          <cell r="ES133">
            <v>856</v>
          </cell>
          <cell r="ET133">
            <v>857</v>
          </cell>
          <cell r="EU133">
            <v>858</v>
          </cell>
          <cell r="EV133">
            <v>858</v>
          </cell>
          <cell r="EX133">
            <v>863</v>
          </cell>
          <cell r="EY133">
            <v>863</v>
          </cell>
          <cell r="EZ133">
            <v>866</v>
          </cell>
          <cell r="FA133">
            <v>852</v>
          </cell>
          <cell r="FB133">
            <v>852</v>
          </cell>
          <cell r="FD133">
            <v>851</v>
          </cell>
          <cell r="FE133">
            <v>855</v>
          </cell>
          <cell r="FF133">
            <v>856</v>
          </cell>
          <cell r="FG133">
            <v>847</v>
          </cell>
          <cell r="FH133">
            <v>847</v>
          </cell>
          <cell r="FJ133">
            <v>848</v>
          </cell>
          <cell r="FK133">
            <v>848</v>
          </cell>
          <cell r="FL133">
            <v>854</v>
          </cell>
          <cell r="FM133">
            <v>850</v>
          </cell>
          <cell r="FN133">
            <v>850</v>
          </cell>
          <cell r="FP133">
            <v>849</v>
          </cell>
          <cell r="FQ133">
            <v>849</v>
          </cell>
          <cell r="FR133">
            <v>854</v>
          </cell>
          <cell r="FS133">
            <v>850</v>
          </cell>
          <cell r="FT133">
            <v>850</v>
          </cell>
          <cell r="FV133">
            <v>850</v>
          </cell>
          <cell r="FW133">
            <v>849</v>
          </cell>
          <cell r="FX133">
            <v>850</v>
          </cell>
          <cell r="FY133">
            <v>842</v>
          </cell>
          <cell r="FZ133">
            <v>842</v>
          </cell>
          <cell r="GB133">
            <v>844</v>
          </cell>
          <cell r="GC133">
            <v>845</v>
          </cell>
          <cell r="GD133">
            <v>847</v>
          </cell>
          <cell r="GE133">
            <v>844</v>
          </cell>
          <cell r="GF133">
            <v>844</v>
          </cell>
        </row>
        <row r="134">
          <cell r="GB134">
            <v>2</v>
          </cell>
          <cell r="GC134">
            <v>1</v>
          </cell>
          <cell r="GD134">
            <v>2</v>
          </cell>
          <cell r="GE134">
            <v>-3</v>
          </cell>
        </row>
        <row r="135">
          <cell r="A135" t="str">
            <v>Consolidated EOP Sq. Ft. (Estimated)</v>
          </cell>
          <cell r="AN135" t="str">
            <v>Consolidated EOP Sq. Ft. (Estimated)</v>
          </cell>
        </row>
        <row r="136">
          <cell r="A136" t="str">
            <v>Month 1</v>
          </cell>
          <cell r="AN136" t="str">
            <v>Month 1</v>
          </cell>
          <cell r="DZ136">
            <v>83.683006535947712</v>
          </cell>
          <cell r="EA136">
            <v>83.680988917306053</v>
          </cell>
          <cell r="EB136">
            <v>84.412537774966609</v>
          </cell>
          <cell r="EC136">
            <v>85.098039215686271</v>
          </cell>
          <cell r="EF136">
            <v>83.816993464052288</v>
          </cell>
          <cell r="EG136">
            <v>83.637037037037032</v>
          </cell>
          <cell r="EH136">
            <v>83.633986928104576</v>
          </cell>
          <cell r="EI136">
            <v>83.3</v>
          </cell>
          <cell r="EL136">
            <v>83.3</v>
          </cell>
          <cell r="EM136">
            <v>83.48260368663594</v>
          </cell>
          <cell r="EN136">
            <v>83.562228739002933</v>
          </cell>
          <cell r="EO136">
            <v>170.73444700460828</v>
          </cell>
          <cell r="ER136">
            <v>158.50225330225331</v>
          </cell>
          <cell r="ES136">
            <v>157.2256282269133</v>
          </cell>
          <cell r="ET136">
            <v>155.94704843969723</v>
          </cell>
          <cell r="EU136">
            <v>156.76456876456876</v>
          </cell>
          <cell r="EX136">
            <v>156.13711008111241</v>
          </cell>
          <cell r="EY136">
            <v>156.88300000000001</v>
          </cell>
          <cell r="EZ136">
            <v>157.15721016166282</v>
          </cell>
          <cell r="FA136">
            <v>157.50730751173711</v>
          </cell>
          <cell r="FD136">
            <v>155.23019506462987</v>
          </cell>
          <cell r="FE136">
            <v>155.06001403508773</v>
          </cell>
          <cell r="FF136">
            <v>155.41999999999999</v>
          </cell>
          <cell r="FG136">
            <v>156.27410743801653</v>
          </cell>
          <cell r="FJ136">
            <v>154.26087382075474</v>
          </cell>
          <cell r="FK136">
            <v>154.44300000000001</v>
          </cell>
          <cell r="FL136">
            <v>154.43150936768151</v>
          </cell>
          <cell r="FM136">
            <v>155.12658823529412</v>
          </cell>
          <cell r="FP136">
            <v>154.48674911660777</v>
          </cell>
          <cell r="FQ136">
            <v>154.48674911660777</v>
          </cell>
          <cell r="FR136">
            <v>153.76046135831382</v>
          </cell>
          <cell r="FS136">
            <v>154.94674588235296</v>
          </cell>
          <cell r="FV136">
            <v>154.34800000000001</v>
          </cell>
          <cell r="FW136">
            <v>154.47974087161367</v>
          </cell>
          <cell r="FX136">
            <v>154.10248941176471</v>
          </cell>
          <cell r="FY136">
            <v>153.92588836104514</v>
          </cell>
          <cell r="GB136">
            <v>151.83734123222749</v>
          </cell>
          <cell r="GC136">
            <v>152.19800000000001</v>
          </cell>
          <cell r="GD136">
            <v>152.25400000000002</v>
          </cell>
          <cell r="GE136">
            <v>152.30400000000003</v>
          </cell>
        </row>
        <row r="137">
          <cell r="A137" t="str">
            <v>Month 2</v>
          </cell>
          <cell r="AN137" t="str">
            <v>Month 2</v>
          </cell>
          <cell r="DZ137">
            <v>83.683006535947712</v>
          </cell>
          <cell r="EA137">
            <v>83.497477976697922</v>
          </cell>
          <cell r="EB137">
            <v>84.412537774966609</v>
          </cell>
          <cell r="EC137">
            <v>85.098039215686271</v>
          </cell>
          <cell r="EF137">
            <v>83.816993464052288</v>
          </cell>
          <cell r="EG137">
            <v>83.637037037037032</v>
          </cell>
          <cell r="EH137">
            <v>83.816993464052288</v>
          </cell>
          <cell r="EI137">
            <v>83.3</v>
          </cell>
          <cell r="EL137">
            <v>83.3</v>
          </cell>
          <cell r="EM137">
            <v>83.48260368663594</v>
          </cell>
          <cell r="EN137">
            <v>169.85524926686216</v>
          </cell>
          <cell r="EO137">
            <v>170.55184331797236</v>
          </cell>
          <cell r="ER137">
            <v>157.22400932400933</v>
          </cell>
          <cell r="ES137">
            <v>156.86041190118294</v>
          </cell>
          <cell r="ET137">
            <v>156.12965622475542</v>
          </cell>
          <cell r="EU137">
            <v>156.76456876456876</v>
          </cell>
          <cell r="EX137">
            <v>156.31908806488991</v>
          </cell>
          <cell r="EY137">
            <v>156.88300000000001</v>
          </cell>
          <cell r="EZ137">
            <v>157.52099999999999</v>
          </cell>
          <cell r="FA137">
            <v>155.87039553990613</v>
          </cell>
          <cell r="FD137">
            <v>155.41239012925971</v>
          </cell>
          <cell r="FE137">
            <v>155.24200935672516</v>
          </cell>
          <cell r="FF137">
            <v>154.87530373831774</v>
          </cell>
          <cell r="FG137">
            <v>156.27410743801653</v>
          </cell>
          <cell r="FJ137">
            <v>154.26087382075474</v>
          </cell>
          <cell r="FK137">
            <v>154.44300000000001</v>
          </cell>
          <cell r="FL137">
            <v>154.97720374707259</v>
          </cell>
          <cell r="FM137">
            <v>155.12658823529412</v>
          </cell>
          <cell r="FP137">
            <v>154.48674911660777</v>
          </cell>
          <cell r="FQ137">
            <v>154.48674911660777</v>
          </cell>
          <cell r="FR137">
            <v>154.30378454332552</v>
          </cell>
          <cell r="FS137">
            <v>154.94674588235296</v>
          </cell>
          <cell r="FV137">
            <v>154.34800000000001</v>
          </cell>
          <cell r="FW137">
            <v>154.47974087161367</v>
          </cell>
          <cell r="FX137">
            <v>154.10248941176471</v>
          </cell>
          <cell r="FY137">
            <v>153.74501187648457</v>
          </cell>
          <cell r="GB137">
            <v>152.19800000000001</v>
          </cell>
          <cell r="GC137">
            <v>152.22800000000001</v>
          </cell>
          <cell r="GD137">
            <v>152.30400000000003</v>
          </cell>
          <cell r="GE137">
            <v>152.30400000000003</v>
          </cell>
        </row>
        <row r="138">
          <cell r="A138" t="str">
            <v>Month 3</v>
          </cell>
          <cell r="AN138" t="str">
            <v>Month 3</v>
          </cell>
          <cell r="DZ138">
            <v>83.683006535947712</v>
          </cell>
          <cell r="EA138">
            <v>84.415032679738559</v>
          </cell>
          <cell r="EB138">
            <v>85.330065359477118</v>
          </cell>
          <cell r="EC138">
            <v>84</v>
          </cell>
          <cell r="EF138">
            <v>84</v>
          </cell>
          <cell r="EG138">
            <v>83.637037037037032</v>
          </cell>
          <cell r="EH138">
            <v>84</v>
          </cell>
          <cell r="EI138">
            <v>83.3</v>
          </cell>
          <cell r="EL138">
            <v>83.3</v>
          </cell>
          <cell r="EM138">
            <v>83.48260368663594</v>
          </cell>
          <cell r="EN138">
            <v>170.21935483870968</v>
          </cell>
          <cell r="EO138">
            <v>158.5</v>
          </cell>
          <cell r="ER138">
            <v>157.22400932400933</v>
          </cell>
          <cell r="ES138">
            <v>156.31258741258742</v>
          </cell>
          <cell r="ET138">
            <v>156.49487179487181</v>
          </cell>
          <cell r="EU138">
            <v>156.4</v>
          </cell>
          <cell r="EX138">
            <v>157.047</v>
          </cell>
          <cell r="EY138">
            <v>156.88300000000001</v>
          </cell>
          <cell r="EZ138">
            <v>157.52099999999999</v>
          </cell>
          <cell r="FA138">
            <v>154.96100000000001</v>
          </cell>
          <cell r="FD138">
            <v>155.048</v>
          </cell>
          <cell r="FE138">
            <v>155.60599999999999</v>
          </cell>
          <cell r="FF138">
            <v>155.41999999999999</v>
          </cell>
          <cell r="FG138">
            <v>154.09100000000001</v>
          </cell>
          <cell r="FJ138">
            <v>154.44300000000001</v>
          </cell>
          <cell r="FK138">
            <v>154.44300000000001</v>
          </cell>
          <cell r="FL138">
            <v>155.34100000000001</v>
          </cell>
          <cell r="FM138">
            <v>154.4</v>
          </cell>
          <cell r="FP138">
            <v>154.30500000000001</v>
          </cell>
          <cell r="FQ138">
            <v>154.30500000000001</v>
          </cell>
          <cell r="FR138">
            <v>154.666</v>
          </cell>
          <cell r="FS138">
            <v>154.221</v>
          </cell>
          <cell r="FV138">
            <v>154.34800000000001</v>
          </cell>
          <cell r="FW138">
            <v>154.298</v>
          </cell>
          <cell r="FX138">
            <v>154.28399999999999</v>
          </cell>
          <cell r="FY138">
            <v>152.298</v>
          </cell>
          <cell r="GB138">
            <v>152.19800000000001</v>
          </cell>
          <cell r="GC138">
            <v>152.20400000000001</v>
          </cell>
          <cell r="GD138">
            <v>152.30400000000003</v>
          </cell>
          <cell r="GE138">
            <v>152.30400000000003</v>
          </cell>
        </row>
        <row r="139">
          <cell r="A139" t="str">
            <v>Total</v>
          </cell>
          <cell r="AN139" t="str">
            <v>Total</v>
          </cell>
          <cell r="DZ139">
            <v>83.683006535947712</v>
          </cell>
          <cell r="EA139">
            <v>84.415032679738559</v>
          </cell>
          <cell r="EB139">
            <v>85.330065359477118</v>
          </cell>
          <cell r="EC139">
            <v>84</v>
          </cell>
          <cell r="ED139">
            <v>84</v>
          </cell>
          <cell r="EF139">
            <v>84</v>
          </cell>
          <cell r="EG139">
            <v>83.637037037037032</v>
          </cell>
          <cell r="EH139">
            <v>84</v>
          </cell>
          <cell r="EI139">
            <v>83.3</v>
          </cell>
          <cell r="EJ139">
            <v>83.3</v>
          </cell>
          <cell r="EL139">
            <v>83.3</v>
          </cell>
          <cell r="EM139">
            <v>83.48260368663594</v>
          </cell>
          <cell r="EN139">
            <v>170.21935483870968</v>
          </cell>
          <cell r="EO139">
            <v>158.5</v>
          </cell>
          <cell r="EP139">
            <v>158.5</v>
          </cell>
          <cell r="ER139">
            <v>157.22400932400933</v>
          </cell>
          <cell r="ES139">
            <v>156.31258741258742</v>
          </cell>
          <cell r="ET139">
            <v>156.49487179487181</v>
          </cell>
          <cell r="EU139">
            <v>156.4</v>
          </cell>
          <cell r="EV139">
            <v>156.4</v>
          </cell>
          <cell r="EX139">
            <v>157.047</v>
          </cell>
          <cell r="EY139">
            <v>156.88300000000001</v>
          </cell>
          <cell r="EZ139">
            <v>157.52099999999999</v>
          </cell>
          <cell r="FA139">
            <v>154.96100000000001</v>
          </cell>
          <cell r="FB139">
            <v>154.96100000000001</v>
          </cell>
          <cell r="FD139">
            <v>155.048</v>
          </cell>
          <cell r="FE139">
            <v>155.60599999999999</v>
          </cell>
          <cell r="FF139">
            <v>155.41999999999999</v>
          </cell>
          <cell r="FG139">
            <v>154.09100000000001</v>
          </cell>
          <cell r="FH139">
            <v>154.09100000000001</v>
          </cell>
          <cell r="FJ139">
            <v>154.44300000000001</v>
          </cell>
          <cell r="FK139">
            <v>154.44300000000001</v>
          </cell>
          <cell r="FL139">
            <v>155.34100000000001</v>
          </cell>
          <cell r="FM139">
            <v>154.4</v>
          </cell>
          <cell r="FN139">
            <v>154.4</v>
          </cell>
          <cell r="FP139">
            <v>154.30500000000001</v>
          </cell>
          <cell r="FQ139">
            <v>154.30500000000001</v>
          </cell>
          <cell r="FR139">
            <v>154.666</v>
          </cell>
          <cell r="FS139">
            <v>154.221</v>
          </cell>
          <cell r="FT139">
            <v>154.221</v>
          </cell>
          <cell r="FV139">
            <v>154.34800000000001</v>
          </cell>
          <cell r="FW139">
            <v>154.298</v>
          </cell>
          <cell r="FX139">
            <v>154.28399999999999</v>
          </cell>
          <cell r="FY139">
            <v>152.298</v>
          </cell>
          <cell r="FZ139">
            <v>152.298</v>
          </cell>
          <cell r="GB139">
            <v>152.19800000000001</v>
          </cell>
          <cell r="GC139">
            <v>152.20400000000001</v>
          </cell>
          <cell r="GD139">
            <v>152.30400000000003</v>
          </cell>
          <cell r="GE139">
            <v>152.30400000000003</v>
          </cell>
          <cell r="GF139">
            <v>152.30400000000003</v>
          </cell>
        </row>
        <row r="141">
          <cell r="A141" t="str">
            <v>Dept. Stores Monthly Sales - % change</v>
          </cell>
          <cell r="AN141" t="str">
            <v>Dept. Stores Monthly Sales - % change</v>
          </cell>
        </row>
        <row r="142">
          <cell r="A142" t="str">
            <v>Month 1</v>
          </cell>
          <cell r="AN142" t="str">
            <v>Month 1</v>
          </cell>
          <cell r="BS142" t="str">
            <v xml:space="preserve"> --  </v>
          </cell>
          <cell r="BT142" t="str">
            <v xml:space="preserve"> --  </v>
          </cell>
          <cell r="BU142" t="str">
            <v xml:space="preserve"> --  </v>
          </cell>
          <cell r="BV142" t="str">
            <v xml:space="preserve"> --  </v>
          </cell>
          <cell r="BY142">
            <v>4.014598540145986E-2</v>
          </cell>
          <cell r="BZ142">
            <v>7.0000000000000062E-2</v>
          </cell>
          <cell r="CA142">
            <v>8.999999999999897E-3</v>
          </cell>
          <cell r="CB142">
            <v>2.4000000000000021E-2</v>
          </cell>
          <cell r="CP142">
            <v>2.4489400832446107E-2</v>
          </cell>
          <cell r="CQ142">
            <v>3.166037057024651E-2</v>
          </cell>
          <cell r="CR142">
            <v>4.2093998037991742E-2</v>
          </cell>
          <cell r="CS142">
            <v>8.2543367511445087E-3</v>
          </cell>
          <cell r="CV142">
            <v>0</v>
          </cell>
          <cell r="CW142">
            <v>7.4106364428945248E-3</v>
          </cell>
          <cell r="CX142">
            <v>-3.5000000000000031E-2</v>
          </cell>
          <cell r="CY142">
            <v>-1.5669971218420176E-2</v>
          </cell>
          <cell r="DB142">
            <v>-3.1557067271353101E-2</v>
          </cell>
          <cell r="DC142">
            <v>-7.3561228905235643E-3</v>
          </cell>
          <cell r="DD142">
            <v>-7.6290182045534172E-3</v>
          </cell>
          <cell r="DE142">
            <v>-2.5990903183885639E-2</v>
          </cell>
          <cell r="DH142">
            <v>-1</v>
          </cell>
          <cell r="DI142">
            <v>-1</v>
          </cell>
          <cell r="DJ142">
            <v>-1</v>
          </cell>
          <cell r="DK142">
            <v>-1</v>
          </cell>
          <cell r="DN142" t="str">
            <v>NA</v>
          </cell>
          <cell r="DO142" t="str">
            <v>NA</v>
          </cell>
          <cell r="DP142" t="str">
            <v>NA</v>
          </cell>
          <cell r="DQ142" t="str">
            <v>NA</v>
          </cell>
          <cell r="DT142">
            <v>-3.0527289546716019E-2</v>
          </cell>
          <cell r="DU142">
            <v>-9.4745908699397363E-3</v>
          </cell>
          <cell r="DV142">
            <v>-3.8938053097345104E-2</v>
          </cell>
          <cell r="DW142">
            <v>-5.8785942492012744E-2</v>
          </cell>
          <cell r="DZ142">
            <v>-6.0114503816793841E-2</v>
          </cell>
          <cell r="EA142">
            <v>-1.1304347826086913E-2</v>
          </cell>
          <cell r="EB142">
            <v>-7.3664825046040328E-3</v>
          </cell>
          <cell r="EC142">
            <v>-8.8255261371350535E-3</v>
          </cell>
          <cell r="EF142">
            <v>9.6446700507614169E-2</v>
          </cell>
          <cell r="EG142">
            <v>3.9577836411609502E-2</v>
          </cell>
          <cell r="EH142">
            <v>-2.0408163265306145E-2</v>
          </cell>
          <cell r="EI142">
            <v>-9.5890410958904271E-3</v>
          </cell>
          <cell r="EL142">
            <v>1.5740740740740833E-2</v>
          </cell>
          <cell r="EM142">
            <v>5.9221658206429773E-3</v>
          </cell>
          <cell r="EN142">
            <v>1.1363636363636465E-2</v>
          </cell>
          <cell r="EO142">
            <v>0.80982019363762103</v>
          </cell>
          <cell r="ER142">
            <v>0.64083865086599823</v>
          </cell>
          <cell r="ES142">
            <v>0.70395290159798152</v>
          </cell>
          <cell r="ET142">
            <v>0.61704119850187267</v>
          </cell>
          <cell r="EU142">
            <v>-8.8651127244936956E-2</v>
          </cell>
          <cell r="EX142">
            <v>1.1111111111110628E-3</v>
          </cell>
          <cell r="EY142">
            <v>-2.4679170779861814E-2</v>
          </cell>
          <cell r="EZ142">
            <v>3.5321366531557707E-2</v>
          </cell>
          <cell r="FA142">
            <v>0.13501048218029355</v>
          </cell>
          <cell r="FD142">
            <v>-3.6071032186459462E-2</v>
          </cell>
          <cell r="FE142">
            <v>-2.5303643724696401E-2</v>
          </cell>
          <cell r="FF142">
            <v>-5.7046979865771785E-2</v>
          </cell>
          <cell r="FG142">
            <v>-0.14148503878832652</v>
          </cell>
          <cell r="FJ142">
            <v>-7.7376206594334418E-2</v>
          </cell>
          <cell r="FK142">
            <v>-7.3854331133361484E-2</v>
          </cell>
          <cell r="FL142">
            <v>-6.5154745638739242E-2</v>
          </cell>
          <cell r="FM142">
            <v>-5.2161507132639562E-2</v>
          </cell>
          <cell r="FP142">
            <v>4.0186303599689444E-2</v>
          </cell>
          <cell r="FQ142">
            <v>2.9395500964750632E-3</v>
          </cell>
          <cell r="FR142">
            <v>3.9241783148511233E-2</v>
          </cell>
          <cell r="FS142">
            <v>6.2749594749162307E-2</v>
          </cell>
          <cell r="FV142">
            <v>5.7588482303539301E-2</v>
          </cell>
          <cell r="FW142">
            <v>8.2727780883175006E-2</v>
          </cell>
          <cell r="FX142">
            <v>4.6398046398046455E-2</v>
          </cell>
          <cell r="FY142">
            <v>5.2968816744980884E-2</v>
          </cell>
          <cell r="GB142">
            <v>5.5019852524106572E-2</v>
          </cell>
          <cell r="GC142">
            <v>4.0268456375838868E-2</v>
          </cell>
          <cell r="GD142">
            <v>5.7176196032672211E-2</v>
          </cell>
          <cell r="GE142">
            <v>3.0252351388493137E-2</v>
          </cell>
        </row>
        <row r="143">
          <cell r="A143" t="str">
            <v>Month 2</v>
          </cell>
          <cell r="AN143" t="str">
            <v>Month 2</v>
          </cell>
          <cell r="BS143" t="str">
            <v xml:space="preserve"> --  </v>
          </cell>
          <cell r="BT143" t="str">
            <v xml:space="preserve"> --  </v>
          </cell>
          <cell r="BU143" t="str">
            <v xml:space="preserve"> --  </v>
          </cell>
          <cell r="BV143" t="str">
            <v xml:space="preserve"> --  </v>
          </cell>
          <cell r="BY143">
            <v>-2.4999999999999911E-2</v>
          </cell>
          <cell r="BZ143">
            <v>4.8000000000000043E-2</v>
          </cell>
          <cell r="CA143">
            <v>4.8999999999999932E-2</v>
          </cell>
          <cell r="CB143">
            <v>1.2999999999999901E-2</v>
          </cell>
          <cell r="CP143">
            <v>9.4745908699398473E-3</v>
          </cell>
          <cell r="CQ143">
            <v>3.8961038961038863E-2</v>
          </cell>
          <cell r="CR143">
            <v>3.4921997996278709E-2</v>
          </cell>
          <cell r="CS143">
            <v>2.2241668489753064E-3</v>
          </cell>
          <cell r="CV143">
            <v>-9.3080980452997508E-4</v>
          </cell>
          <cell r="CW143">
            <v>2.2966867469879526E-2</v>
          </cell>
          <cell r="CX143">
            <v>-2.0000000000000018E-2</v>
          </cell>
          <cell r="CY143">
            <v>4.3799999999999839E-2</v>
          </cell>
          <cell r="DB143">
            <v>4.2701863354037251E-2</v>
          </cell>
          <cell r="DC143">
            <v>3.5701140964298883E-2</v>
          </cell>
          <cell r="DD143">
            <v>4.0387334577032252E-3</v>
          </cell>
          <cell r="DE143">
            <v>1.6349047946182971E-2</v>
          </cell>
          <cell r="DH143">
            <v>-1</v>
          </cell>
          <cell r="DI143">
            <v>-1</v>
          </cell>
          <cell r="DJ143">
            <v>-1</v>
          </cell>
          <cell r="DK143">
            <v>-1</v>
          </cell>
          <cell r="DN143" t="str">
            <v>NA</v>
          </cell>
          <cell r="DO143" t="str">
            <v>NA</v>
          </cell>
          <cell r="DP143" t="str">
            <v>NA</v>
          </cell>
          <cell r="DQ143" t="str">
            <v>NA</v>
          </cell>
          <cell r="DT143">
            <v>-4.5558086560364419E-3</v>
          </cell>
          <cell r="DU143">
            <v>3.0920060331824928E-2</v>
          </cell>
          <cell r="DV143">
            <v>2.0170674941815347E-2</v>
          </cell>
          <cell r="DW143">
            <v>-8.2289803220035873E-3</v>
          </cell>
          <cell r="DZ143">
            <v>-5.9496567505720854E-2</v>
          </cell>
          <cell r="EA143">
            <v>-2.1945866861741048E-2</v>
          </cell>
          <cell r="EB143">
            <v>2.8136882129277563E-2</v>
          </cell>
          <cell r="EC143">
            <v>3.6075036075036149E-3</v>
          </cell>
          <cell r="EF143">
            <v>7.5425790754257926E-2</v>
          </cell>
          <cell r="EG143">
            <v>4.2632759910246731E-2</v>
          </cell>
          <cell r="EH143">
            <v>6.6568047337278724E-3</v>
          </cell>
          <cell r="EI143">
            <v>2.6599568655643502E-2</v>
          </cell>
          <cell r="EL143">
            <v>3.3936651583710509E-2</v>
          </cell>
          <cell r="EM143">
            <v>3.0129124820659881E-2</v>
          </cell>
          <cell r="EN143">
            <v>0.81043350477590015</v>
          </cell>
          <cell r="EO143">
            <v>0.91141456582633062</v>
          </cell>
          <cell r="ER143">
            <v>0.64478482859226838</v>
          </cell>
          <cell r="ES143">
            <v>0.64832869080779942</v>
          </cell>
          <cell r="ET143">
            <v>-6.5340909090909061E-2</v>
          </cell>
          <cell r="EU143">
            <v>-8.4630884777431747E-2</v>
          </cell>
          <cell r="EX143">
            <v>1.4634146341463428E-2</v>
          </cell>
          <cell r="EY143">
            <v>-1.9433882551753268E-2</v>
          </cell>
          <cell r="EZ143">
            <v>-1.2592270950933515E-2</v>
          </cell>
          <cell r="FA143">
            <v>-7.4644786872123281E-2</v>
          </cell>
          <cell r="FD143">
            <v>-6.3811188811188857E-2</v>
          </cell>
          <cell r="FE143">
            <v>-3.1021111589832007E-2</v>
          </cell>
          <cell r="FF143">
            <v>-7.9595426561125726E-2</v>
          </cell>
          <cell r="FG143">
            <v>-4.9091695501730093E-2</v>
          </cell>
          <cell r="FJ143">
            <v>-8.3193732222893169E-2</v>
          </cell>
          <cell r="FK143">
            <v>-6.9545735689765187E-2</v>
          </cell>
          <cell r="FL143">
            <v>-4.2277671038386533E-3</v>
          </cell>
          <cell r="FM143">
            <v>1.7686910874161521E-2</v>
          </cell>
          <cell r="FP143">
            <v>0.10601949166366365</v>
          </cell>
          <cell r="FQ143">
            <v>6.5186325382629029E-2</v>
          </cell>
          <cell r="FR143">
            <v>4.6469139412921301E-2</v>
          </cell>
          <cell r="FS143">
            <v>3.2231974812141573E-2</v>
          </cell>
          <cell r="FV143">
            <v>1.5653775322283625E-2</v>
          </cell>
          <cell r="FW143">
            <v>7.3126962763571113E-2</v>
          </cell>
          <cell r="FX143">
            <v>5.3645116918844549E-2</v>
          </cell>
          <cell r="FY143">
            <v>6.6248105650573708E-2</v>
          </cell>
          <cell r="GB143">
            <v>6.8902991840435135E-2</v>
          </cell>
          <cell r="GC143">
            <v>8.3612040133780319E-3</v>
          </cell>
          <cell r="GD143">
            <v>1.7979142315035279E-2</v>
          </cell>
          <cell r="GE143">
            <v>3.0252351388493137E-2</v>
          </cell>
        </row>
        <row r="144">
          <cell r="A144" t="str">
            <v>Month 3</v>
          </cell>
          <cell r="AN144" t="str">
            <v>Month 3</v>
          </cell>
          <cell r="BS144" t="str">
            <v xml:space="preserve"> --  </v>
          </cell>
          <cell r="BT144" t="str">
            <v xml:space="preserve"> --  </v>
          </cell>
          <cell r="BU144" t="str">
            <v xml:space="preserve"> --  </v>
          </cell>
          <cell r="BV144" t="str">
            <v xml:space="preserve"> --  </v>
          </cell>
          <cell r="BY144">
            <v>-1</v>
          </cell>
          <cell r="BZ144">
            <v>-1</v>
          </cell>
          <cell r="CA144">
            <v>-1</v>
          </cell>
          <cell r="CB144">
            <v>-1</v>
          </cell>
          <cell r="CP144">
            <v>7.1176173649671881E-2</v>
          </cell>
          <cell r="CQ144">
            <v>9.3491388951017607E-2</v>
          </cell>
          <cell r="CR144">
            <v>3.7600880410858295E-2</v>
          </cell>
          <cell r="CS144">
            <v>9.5674437407358148E-3</v>
          </cell>
          <cell r="CV144">
            <v>4.7125353440150786E-2</v>
          </cell>
          <cell r="CW144">
            <v>3.3442421763141716E-2</v>
          </cell>
          <cell r="CX144">
            <v>-2.6799999999999935E-2</v>
          </cell>
          <cell r="CY144">
            <v>6.7805659369994498E-2</v>
          </cell>
          <cell r="DB144">
            <v>-3.0603060306030549E-2</v>
          </cell>
          <cell r="DC144">
            <v>4.4532409698170294E-3</v>
          </cell>
          <cell r="DD144">
            <v>5.2999999999999999E-2</v>
          </cell>
          <cell r="DE144">
            <v>-2.1249999999999991E-2</v>
          </cell>
          <cell r="DH144">
            <v>-1</v>
          </cell>
          <cell r="DI144">
            <v>-1</v>
          </cell>
          <cell r="DJ144">
            <v>-1</v>
          </cell>
          <cell r="DK144">
            <v>-1</v>
          </cell>
          <cell r="DN144" t="str">
            <v>NA</v>
          </cell>
          <cell r="DO144" t="str">
            <v>NA</v>
          </cell>
          <cell r="DP144" t="str">
            <v>NA</v>
          </cell>
          <cell r="DQ144" t="str">
            <v>NA</v>
          </cell>
          <cell r="DT144">
            <v>-5.5938037865748691E-2</v>
          </cell>
          <cell r="DU144">
            <v>-3.4825870646766122E-2</v>
          </cell>
          <cell r="DV144">
            <v>2.3629489603024467E-2</v>
          </cell>
          <cell r="DW144">
            <v>1.2919896640826156E-3</v>
          </cell>
          <cell r="DZ144">
            <v>-1.9143117593436676E-2</v>
          </cell>
          <cell r="EA144">
            <v>-7.2164948453607991E-3</v>
          </cell>
          <cell r="EB144">
            <v>-2.3084025854108958E-2</v>
          </cell>
          <cell r="EC144">
            <v>5.0322580645161263E-2</v>
          </cell>
          <cell r="EF144">
            <v>6.3197026022304925E-2</v>
          </cell>
          <cell r="EG144">
            <v>4.3613707165109039E-2</v>
          </cell>
          <cell r="EH144">
            <v>4.7258979206049156E-2</v>
          </cell>
          <cell r="EI144">
            <v>4.9140049140048436E-3</v>
          </cell>
          <cell r="EL144">
            <v>2.5349650349650421E-2</v>
          </cell>
          <cell r="EM144">
            <v>-6.9651741293532687E-3</v>
          </cell>
          <cell r="EN144">
            <v>0.82581227436823101</v>
          </cell>
          <cell r="EO144">
            <v>0.82762836185819078</v>
          </cell>
          <cell r="ER144">
            <v>0.60102301790281332</v>
          </cell>
          <cell r="ES144">
            <v>0.61122244488977961</v>
          </cell>
          <cell r="ET144">
            <v>-7.909045971329709E-2</v>
          </cell>
          <cell r="EU144">
            <v>0.19063545150501682</v>
          </cell>
          <cell r="EX144">
            <v>-2.183173588924392E-2</v>
          </cell>
          <cell r="EY144">
            <v>-3.7313432835820448E-3</v>
          </cell>
          <cell r="EZ144">
            <v>-7.5147611379495771E-3</v>
          </cell>
          <cell r="FA144">
            <v>-0.28483146067415732</v>
          </cell>
          <cell r="FD144">
            <v>1.6875340228633684E-2</v>
          </cell>
          <cell r="FE144">
            <v>-3.6828963795255909E-2</v>
          </cell>
          <cell r="FF144">
            <v>-7.3012439156300735E-2</v>
          </cell>
          <cell r="FG144">
            <v>-4.7132757266300063E-2</v>
          </cell>
          <cell r="FJ144">
            <v>-7.8906078546147729E-2</v>
          </cell>
          <cell r="FK144">
            <v>-8.6421386047222271E-2</v>
          </cell>
          <cell r="FL144">
            <v>6.8259146413351957E-3</v>
          </cell>
          <cell r="FM144">
            <v>4.5716401865264711E-2</v>
          </cell>
          <cell r="FP144">
            <v>1.0691920195042393E-2</v>
          </cell>
          <cell r="FQ144">
            <v>8.3955625466711314E-2</v>
          </cell>
          <cell r="FR144">
            <v>4.6532073995587009E-2</v>
          </cell>
          <cell r="FS144">
            <v>3.2753260808866314E-2</v>
          </cell>
          <cell r="FV144">
            <v>0.10408280621046573</v>
          </cell>
          <cell r="FW144">
            <v>5.4973821989528826E-2</v>
          </cell>
          <cell r="FX144">
            <v>1.9933554817275656E-2</v>
          </cell>
          <cell r="FY144">
            <v>1.984732824427482E-2</v>
          </cell>
          <cell r="GB144">
            <v>4.1666666666666519E-3</v>
          </cell>
          <cell r="GC144">
            <v>5.0248138957816435E-2</v>
          </cell>
          <cell r="GD144">
            <v>4.1460682896476753E-2</v>
          </cell>
          <cell r="GE144">
            <v>0.31255170783595321</v>
          </cell>
        </row>
        <row r="145">
          <cell r="A145" t="str">
            <v>Total</v>
          </cell>
          <cell r="AN145" t="str">
            <v>Total</v>
          </cell>
          <cell r="BS145" t="str">
            <v xml:space="preserve"> --  </v>
          </cell>
          <cell r="BT145" t="str">
            <v xml:space="preserve"> --  </v>
          </cell>
          <cell r="BU145" t="str">
            <v xml:space="preserve"> --  </v>
          </cell>
          <cell r="BV145" t="str">
            <v xml:space="preserve"> --  </v>
          </cell>
          <cell r="BW145" t="str">
            <v xml:space="preserve"> --  </v>
          </cell>
          <cell r="BY145">
            <v>-1</v>
          </cell>
          <cell r="BZ145">
            <v>-1</v>
          </cell>
          <cell r="CA145">
            <v>-1</v>
          </cell>
          <cell r="CB145">
            <v>-1</v>
          </cell>
          <cell r="CF145">
            <v>-1</v>
          </cell>
          <cell r="CP145">
            <v>3.2690035447026533E-2</v>
          </cell>
          <cell r="CQ145">
            <v>5.1336703002253348E-2</v>
          </cell>
          <cell r="CR145">
            <v>3.7959602116871327E-2</v>
          </cell>
          <cell r="CS145">
            <v>5.1634428248001907E-3</v>
          </cell>
          <cell r="CT145">
            <v>3.3414978803579842</v>
          </cell>
          <cell r="CV145">
            <v>-1.5138179897905446E-2</v>
          </cell>
          <cell r="CW145">
            <v>2.0765755329008373E-2</v>
          </cell>
          <cell r="CX145">
            <v>-2.6732607244868034E-2</v>
          </cell>
          <cell r="CY145">
            <v>2.8982704390089653E-2</v>
          </cell>
          <cell r="CZ145">
            <v>4.2536515007434161E-3</v>
          </cell>
          <cell r="DB145">
            <v>3.3661006851355424E-2</v>
          </cell>
          <cell r="DC145">
            <v>2.3975031919421186E-2</v>
          </cell>
          <cell r="DD145">
            <v>1.2354237926307077E-2</v>
          </cell>
          <cell r="DE145">
            <v>9.7745834057736403E-3</v>
          </cell>
          <cell r="DF145">
            <v>1.8648853027320111E-2</v>
          </cell>
          <cell r="DH145">
            <v>2.9682997118155585E-2</v>
          </cell>
          <cell r="DI145">
            <v>1.9395954558049322E-2</v>
          </cell>
          <cell r="DJ145">
            <v>2.4654565158493735E-2</v>
          </cell>
          <cell r="DK145">
            <v>6.560182544209936E-2</v>
          </cell>
          <cell r="DL145">
            <v>3.7993636533782515E-2</v>
          </cell>
          <cell r="DN145">
            <v>-4.7579065211307281E-3</v>
          </cell>
          <cell r="DO145">
            <v>-5.191628159826045E-2</v>
          </cell>
          <cell r="DP145">
            <v>-8.1173982020095181E-2</v>
          </cell>
          <cell r="DQ145">
            <v>-8.4225553176302648E-2</v>
          </cell>
          <cell r="DR145">
            <v>-5.126818127178745E-2</v>
          </cell>
          <cell r="DT145">
            <v>-2.8965129358830111E-2</v>
          </cell>
          <cell r="DU145">
            <v>-5.7339449541282672E-4</v>
          </cell>
          <cell r="DV145">
            <v>1.1510791366906581E-3</v>
          </cell>
          <cell r="DW145">
            <v>-2.2408417770849565E-2</v>
          </cell>
          <cell r="DX145">
            <v>-1.3557174532784266E-2</v>
          </cell>
          <cell r="DZ145">
            <v>-4.6915725456125101E-2</v>
          </cell>
          <cell r="EA145">
            <v>-1.4916810097532984E-2</v>
          </cell>
          <cell r="EB145">
            <v>2.012072434607548E-3</v>
          </cell>
          <cell r="EC145">
            <v>7.1756029499701057E-3</v>
          </cell>
          <cell r="ED145">
            <v>-1.0211290218996805E-2</v>
          </cell>
          <cell r="EF145">
            <v>7.8699483439683915E-2</v>
          </cell>
          <cell r="EG145">
            <v>4.2807221898660375E-2</v>
          </cell>
          <cell r="EH145">
            <v>1.1187607573149849E-2</v>
          </cell>
          <cell r="EI145">
            <v>1.3259449831783066E-2</v>
          </cell>
          <cell r="EJ145">
            <v>2.361796003114458E-2</v>
          </cell>
          <cell r="EL145">
            <v>2.5633802816901419E-2</v>
          </cell>
          <cell r="EM145">
            <v>1.1728567439262871E-2</v>
          </cell>
          <cell r="EN145">
            <v>0.57588652482269498</v>
          </cell>
          <cell r="EO145">
            <v>0.86933593750000004</v>
          </cell>
          <cell r="EP145">
            <v>0.41924442190669375</v>
          </cell>
          <cell r="ER145">
            <v>0.62867344136226322</v>
          </cell>
          <cell r="ES145">
            <v>0.65470604471432514</v>
          </cell>
          <cell r="ET145">
            <v>5.9585958595859578E-2</v>
          </cell>
          <cell r="EU145">
            <v>-4.3046703583742518E-2</v>
          </cell>
          <cell r="EV145">
            <v>0.20455560518088434</v>
          </cell>
          <cell r="EX145">
            <v>-1.5177065767284503E-3</v>
          </cell>
          <cell r="EY145">
            <v>-1.7180984153461254E-2</v>
          </cell>
          <cell r="EZ145">
            <v>3.397893306150257E-3</v>
          </cell>
          <cell r="FA145">
            <v>-6.1687957200567745E-2</v>
          </cell>
          <cell r="FB145">
            <v>-2.4360400444938812E-2</v>
          </cell>
          <cell r="FD145">
            <v>-2.9386927883803371E-2</v>
          </cell>
          <cell r="FE145">
            <v>-2.9531568228105876E-2</v>
          </cell>
          <cell r="FF145">
            <v>-6.9928885878767333E-2</v>
          </cell>
          <cell r="FG145">
            <v>-7.6797765883174329E-2</v>
          </cell>
          <cell r="FH145">
            <v>-5.4003724394785846E-2</v>
          </cell>
          <cell r="FJ145">
            <v>-7.9867757090655966E-2</v>
          </cell>
          <cell r="FK145">
            <v>-7.5725778244141284E-2</v>
          </cell>
          <cell r="FL145">
            <v>-1.9661387220098359E-2</v>
          </cell>
          <cell r="FM145">
            <v>3.7811948575749987E-4</v>
          </cell>
          <cell r="FN145">
            <v>-4.0053029085650005E-2</v>
          </cell>
          <cell r="FP145">
            <v>5.4084720121028829E-2</v>
          </cell>
          <cell r="FQ145">
            <v>4.7682119205298079E-2</v>
          </cell>
          <cell r="FR145">
            <v>4.4196843082636939E-2</v>
          </cell>
          <cell r="FS145">
            <v>4.182940657679235E-2</v>
          </cell>
          <cell r="FT145">
            <v>4.6369533375183014E-2</v>
          </cell>
          <cell r="FV145">
            <v>5.6512378902045191E-2</v>
          </cell>
          <cell r="FW145">
            <v>7.2602492324363332E-2</v>
          </cell>
          <cell r="FX145">
            <v>4.0903432331495626E-2</v>
          </cell>
          <cell r="FY145">
            <v>5.5024791389527206E-2</v>
          </cell>
          <cell r="FZ145">
            <v>5.60732712074552E-2</v>
          </cell>
          <cell r="GB145">
            <v>4.313126167430803E-2</v>
          </cell>
          <cell r="GC145">
            <v>3.0139754167368249E-2</v>
          </cell>
          <cell r="GD145">
            <v>3.7021467099822347E-2</v>
          </cell>
          <cell r="GE145">
            <v>7.372007776590972E-2</v>
          </cell>
          <cell r="GF145">
            <v>4.8961204520547419E-2</v>
          </cell>
        </row>
        <row r="147">
          <cell r="A147" t="str">
            <v>Dept. Stores Monthly Sales - % of Total Year</v>
          </cell>
          <cell r="AN147" t="str">
            <v>Dept. Stores Monthly Sales - % of Total Year</v>
          </cell>
        </row>
        <row r="148">
          <cell r="A148" t="str">
            <v>Month 1</v>
          </cell>
          <cell r="AN148" t="str">
            <v>Month 1</v>
          </cell>
          <cell r="BS148">
            <v>6.3992993467868478E-2</v>
          </cell>
          <cell r="BT148">
            <v>6.9693099295697544E-2</v>
          </cell>
          <cell r="BU148">
            <v>7.6641243659453337E-2</v>
          </cell>
          <cell r="BV148">
            <v>9.6536875524577598E-2</v>
          </cell>
          <cell r="CP148">
            <v>6.7547817651526273E-2</v>
          </cell>
          <cell r="CQ148">
            <v>7.3202330731576559E-2</v>
          </cell>
          <cell r="CR148">
            <v>7.4574475553484926E-2</v>
          </cell>
          <cell r="CS148">
            <v>9.9783647862964217E-2</v>
          </cell>
          <cell r="CV148">
            <v>6.7261709778783194E-2</v>
          </cell>
          <cell r="CW148">
            <v>7.3432450537966709E-2</v>
          </cell>
          <cell r="CX148">
            <v>7.1659554139106546E-2</v>
          </cell>
          <cell r="CY148">
            <v>9.7804016770169422E-2</v>
          </cell>
          <cell r="DB148">
            <v>6.3946596793312119E-2</v>
          </cell>
          <cell r="DC148">
            <v>7.1557801484808781E-2</v>
          </cell>
          <cell r="DD148">
            <v>6.9810967621186604E-2</v>
          </cell>
          <cell r="DE148">
            <v>9.3517998627487678E-2</v>
          </cell>
          <cell r="DH148">
            <v>0</v>
          </cell>
          <cell r="DI148">
            <v>0</v>
          </cell>
          <cell r="DJ148">
            <v>0</v>
          </cell>
          <cell r="DK148">
            <v>0</v>
          </cell>
          <cell r="DN148">
            <v>6.8482736775419703E-2</v>
          </cell>
          <cell r="DO148">
            <v>7.3550839404497942E-2</v>
          </cell>
          <cell r="DP148">
            <v>7.1586949635730118E-2</v>
          </cell>
          <cell r="DQ148">
            <v>9.9144757681343051E-2</v>
          </cell>
          <cell r="DT148">
            <v>6.7304604713891214E-2</v>
          </cell>
          <cell r="DU148">
            <v>7.3855243722304287E-2</v>
          </cell>
          <cell r="DV148">
            <v>6.9745038854280392E-2</v>
          </cell>
          <cell r="DW148">
            <v>9.459893391561236E-2</v>
          </cell>
          <cell r="DZ148">
            <v>6.3911237996366471E-2</v>
          </cell>
          <cell r="EA148">
            <v>7.3773682844536725E-2</v>
          </cell>
          <cell r="EB148">
            <v>6.9945497015312746E-2</v>
          </cell>
          <cell r="EC148">
            <v>9.4731378146898526E-2</v>
          </cell>
          <cell r="EF148">
            <v>6.8458417849898576E-2</v>
          </cell>
          <cell r="EG148">
            <v>7.4923935091277885E-2</v>
          </cell>
          <cell r="EH148">
            <v>6.6937119675456389E-2</v>
          </cell>
          <cell r="EI148">
            <v>9.1658215010141986E-2</v>
          </cell>
          <cell r="EL148">
            <v>4.899508709245199E-2</v>
          </cell>
          <cell r="EM148">
            <v>5.3104064314426082E-2</v>
          </cell>
          <cell r="EN148">
            <v>4.769986601161233E-2</v>
          </cell>
          <cell r="EO148">
            <v>0.11688253684680661</v>
          </cell>
          <cell r="ER148">
            <v>6.6740823136818686E-2</v>
          </cell>
          <cell r="ES148">
            <v>7.5120504263997037E-2</v>
          </cell>
          <cell r="ET148">
            <v>6.4034111976269931E-2</v>
          </cell>
          <cell r="EU148">
            <v>8.8431590656284767E-2</v>
          </cell>
          <cell r="EX148">
            <v>6.8483259225477905E-2</v>
          </cell>
          <cell r="EY148">
            <v>7.5095960171778206E-2</v>
          </cell>
          <cell r="EZ148">
            <v>6.795120282749971E-2</v>
          </cell>
          <cell r="FA148">
            <v>0.10287690495192491</v>
          </cell>
          <cell r="FD148">
            <v>6.9781455889442387E-2</v>
          </cell>
          <cell r="FE148">
            <v>7.7374256789329909E-2</v>
          </cell>
          <cell r="FF148">
            <v>6.7732604852964812E-2</v>
          </cell>
          <cell r="FG148">
            <v>9.3363329583802029E-2</v>
          </cell>
          <cell r="FJ148">
            <v>6.7068320951899615E-2</v>
          </cell>
          <cell r="FK148">
            <v>7.4649782725973876E-2</v>
          </cell>
          <cell r="FL148">
            <v>6.5961460508603714E-2</v>
          </cell>
          <cell r="FM148">
            <v>9.2185673045563743E-2</v>
          </cell>
          <cell r="FP148">
            <v>6.6671999360076797E-2</v>
          </cell>
          <cell r="FQ148">
            <v>7.155141383034036E-2</v>
          </cell>
          <cell r="FR148">
            <v>6.5512138543374801E-2</v>
          </cell>
          <cell r="FS148">
            <v>9.3628764548254209E-2</v>
          </cell>
          <cell r="FV148">
            <v>6.6767657640598374E-2</v>
          </cell>
          <cell r="FW148">
            <v>7.3357318689642112E-2</v>
          </cell>
          <cell r="FX148">
            <v>6.49119484946033E-2</v>
          </cell>
          <cell r="FY148">
            <v>9.3353531528119676E-2</v>
          </cell>
          <cell r="GB148">
            <v>6.7153297961635244E-2</v>
          </cell>
          <cell r="GC148">
            <v>7.2749406125104846E-2</v>
          </cell>
          <cell r="GD148">
            <v>6.5420309627141432E-2</v>
          </cell>
          <cell r="GE148">
            <v>9.1688515221328329E-2</v>
          </cell>
        </row>
        <row r="149">
          <cell r="A149" t="str">
            <v>Month 2</v>
          </cell>
          <cell r="AN149" t="str">
            <v>Month 2</v>
          </cell>
          <cell r="BS149">
            <v>8.4866620443017182E-2</v>
          </cell>
          <cell r="BT149">
            <v>8.483742655913587E-2</v>
          </cell>
          <cell r="BU149">
            <v>9.3559099368682272E-2</v>
          </cell>
          <cell r="BV149">
            <v>0.18623508374995437</v>
          </cell>
          <cell r="CP149">
            <v>8.2277632762989106E-2</v>
          </cell>
          <cell r="CQ149">
            <v>8.4753875511363277E-2</v>
          </cell>
          <cell r="CR149">
            <v>9.2297480997389741E-2</v>
          </cell>
          <cell r="CS149">
            <v>0.1754239289292803</v>
          </cell>
          <cell r="CV149">
            <v>8.1852874333968956E-2</v>
          </cell>
          <cell r="CW149">
            <v>8.6333175297124864E-2</v>
          </cell>
          <cell r="CX149">
            <v>9.0068411742663196E-2</v>
          </cell>
          <cell r="CY149">
            <v>0.18233192056882172</v>
          </cell>
          <cell r="DB149">
            <v>8.3785638530164075E-2</v>
          </cell>
          <cell r="DC149">
            <v>8.7778401647014781E-2</v>
          </cell>
          <cell r="DD149">
            <v>8.8776592426227457E-2</v>
          </cell>
          <cell r="DE149">
            <v>0.18192026951151039</v>
          </cell>
          <cell r="DH149">
            <v>0</v>
          </cell>
          <cell r="DI149">
            <v>0</v>
          </cell>
          <cell r="DJ149">
            <v>0</v>
          </cell>
          <cell r="DK149">
            <v>0</v>
          </cell>
          <cell r="DN149">
            <v>8.3433639531200504E-2</v>
          </cell>
          <cell r="DO149">
            <v>8.4003801076971807E-2</v>
          </cell>
          <cell r="DP149">
            <v>8.1659803611023124E-2</v>
          </cell>
          <cell r="DQ149">
            <v>0.17706683560342096</v>
          </cell>
          <cell r="DT149">
            <v>8.4194977843426888E-2</v>
          </cell>
          <cell r="DU149">
            <v>8.7791407102947791E-2</v>
          </cell>
          <cell r="DV149">
            <v>8.445186564767837E-2</v>
          </cell>
          <cell r="DW149">
            <v>0.17802324834628477</v>
          </cell>
          <cell r="DZ149">
            <v>8.0002595380223196E-2</v>
          </cell>
          <cell r="EA149">
            <v>8.6750583960550215E-2</v>
          </cell>
          <cell r="EB149">
            <v>8.7723851544251233E-2</v>
          </cell>
          <cell r="EC149">
            <v>0.18050869452374774</v>
          </cell>
          <cell r="EF149">
            <v>8.4051724137931036E-2</v>
          </cell>
          <cell r="EG149">
            <v>8.8362068965517238E-2</v>
          </cell>
          <cell r="EH149">
            <v>8.6270283975659223E-2</v>
          </cell>
          <cell r="EI149">
            <v>0.18103448275862069</v>
          </cell>
          <cell r="EL149">
            <v>6.1232693166592231E-2</v>
          </cell>
          <cell r="EM149">
            <v>6.413577489950871E-2</v>
          </cell>
          <cell r="EN149">
            <v>0.11004912907548013</v>
          </cell>
          <cell r="EO149">
            <v>0.24381420276909335</v>
          </cell>
          <cell r="ER149">
            <v>8.3611420096403405E-2</v>
          </cell>
          <cell r="ES149">
            <v>8.776418242491657E-2</v>
          </cell>
          <cell r="ET149">
            <v>8.5391175380051906E-2</v>
          </cell>
          <cell r="EU149">
            <v>0.18527994067482387</v>
          </cell>
          <cell r="EX149">
            <v>8.695321704100635E-2</v>
          </cell>
          <cell r="EY149">
            <v>8.8207349979097779E-2</v>
          </cell>
          <cell r="EZ149">
            <v>8.6421160643028155E-2</v>
          </cell>
          <cell r="FA149">
            <v>0.17573062744650933</v>
          </cell>
          <cell r="FD149">
            <v>8.6051743532058494E-2</v>
          </cell>
          <cell r="FE149">
            <v>9.0350313353687928E-2</v>
          </cell>
          <cell r="FF149">
            <v>8.4083239595050624E-2</v>
          </cell>
          <cell r="FG149">
            <v>0.17664309818415555</v>
          </cell>
          <cell r="FJ149">
            <v>8.2184516659492057E-2</v>
          </cell>
          <cell r="FK149">
            <v>8.7574456599025657E-2</v>
          </cell>
          <cell r="FL149">
            <v>8.7221229690381485E-2</v>
          </cell>
          <cell r="FM149">
            <v>0.18726802038559062</v>
          </cell>
          <cell r="FP149">
            <v>8.686957565092189E-2</v>
          </cell>
          <cell r="FQ149">
            <v>8.9149302083749951E-2</v>
          </cell>
          <cell r="FR149">
            <v>8.7229532456105263E-2</v>
          </cell>
          <cell r="FS149">
            <v>0.18473783146022477</v>
          </cell>
          <cell r="FV149">
            <v>8.3544783185002844E-2</v>
          </cell>
          <cell r="FW149">
            <v>9.0588903616739255E-2</v>
          </cell>
          <cell r="FX149">
            <v>8.7028971785646655E-2</v>
          </cell>
          <cell r="FY149">
            <v>0.18651770498011741</v>
          </cell>
          <cell r="GB149">
            <v>8.5133051932008555E-2</v>
          </cell>
          <cell r="GC149">
            <v>8.7082663808314087E-2</v>
          </cell>
          <cell r="GD149">
            <v>8.4458488715419958E-2</v>
          </cell>
          <cell r="GE149">
            <v>0.18319104968155864</v>
          </cell>
        </row>
        <row r="150">
          <cell r="A150" t="str">
            <v>Month 3</v>
          </cell>
          <cell r="AN150" t="str">
            <v>Month 3</v>
          </cell>
          <cell r="BS150">
            <v>6.5569463197460126E-2</v>
          </cell>
          <cell r="BT150">
            <v>5.9373061343648503E-2</v>
          </cell>
          <cell r="BU150">
            <v>7.4488194723205489E-2</v>
          </cell>
          <cell r="BV150">
            <v>4.4206838667299207E-2</v>
          </cell>
          <cell r="CP150">
            <v>6.7713751443943093E-2</v>
          </cell>
          <cell r="CQ150">
            <v>6.2403870086604675E-2</v>
          </cell>
          <cell r="CR150">
            <v>7.2206727977075613E-2</v>
          </cell>
          <cell r="CS150">
            <v>4.7814460491802234E-2</v>
          </cell>
          <cell r="CV150">
            <v>7.0604459149875398E-2</v>
          </cell>
          <cell r="CW150">
            <v>6.4217647138568035E-2</v>
          </cell>
          <cell r="CX150">
            <v>6.9973942900060218E-2</v>
          </cell>
          <cell r="CY150">
            <v>5.0840294617372023E-2</v>
          </cell>
          <cell r="DB150">
            <v>6.7190716825753324E-2</v>
          </cell>
          <cell r="DC150">
            <v>6.3322727556304192E-2</v>
          </cell>
          <cell r="DD150">
            <v>6.8937550689375501E-2</v>
          </cell>
          <cell r="DE150">
            <v>4.8848961257720383E-2</v>
          </cell>
          <cell r="DH150">
            <v>0</v>
          </cell>
          <cell r="DI150">
            <v>0</v>
          </cell>
          <cell r="DJ150">
            <v>0</v>
          </cell>
          <cell r="DK150">
            <v>0</v>
          </cell>
          <cell r="DN150">
            <v>7.3614190687361414E-2</v>
          </cell>
          <cell r="DO150">
            <v>6.366803927779538E-2</v>
          </cell>
          <cell r="DP150">
            <v>6.702565726955971E-2</v>
          </cell>
          <cell r="DQ150">
            <v>4.9033892936331959E-2</v>
          </cell>
          <cell r="DT150">
            <v>7.0451480315971995E-2</v>
          </cell>
          <cell r="DU150">
            <v>6.229529253098709E-2</v>
          </cell>
          <cell r="DV150">
            <v>6.9552373001091766E-2</v>
          </cell>
          <cell r="DW150">
            <v>4.97720120737268E-2</v>
          </cell>
          <cell r="DZ150">
            <v>6.9815728004152602E-2</v>
          </cell>
          <cell r="EA150">
            <v>6.2483778873604984E-2</v>
          </cell>
          <cell r="EB150">
            <v>6.8647806903711389E-2</v>
          </cell>
          <cell r="EC150">
            <v>5.2815987542174932E-2</v>
          </cell>
          <cell r="EF150">
            <v>7.2515212981744417E-2</v>
          </cell>
          <cell r="EG150">
            <v>6.3704361054766734E-2</v>
          </cell>
          <cell r="EH150">
            <v>7.0233265720081137E-2</v>
          </cell>
          <cell r="EI150">
            <v>5.1850912778904662E-2</v>
          </cell>
          <cell r="EL150">
            <v>5.2389459580169717E-2</v>
          </cell>
          <cell r="EM150">
            <v>4.4573470299240733E-2</v>
          </cell>
          <cell r="EN150">
            <v>9.0352836087539079E-2</v>
          </cell>
          <cell r="EO150">
            <v>6.6770879857079052E-2</v>
          </cell>
          <cell r="ER150">
            <v>6.9632925472747492E-2</v>
          </cell>
          <cell r="ES150">
            <v>5.9621802002224694E-2</v>
          </cell>
          <cell r="ET150">
            <v>6.907675194660734E-2</v>
          </cell>
          <cell r="EU150">
            <v>6.5999258435298483E-2</v>
          </cell>
          <cell r="EX150">
            <v>6.9813400220423372E-2</v>
          </cell>
          <cell r="EY150">
            <v>6.0882453540075245E-2</v>
          </cell>
          <cell r="EZ150">
            <v>7.0269448561547529E-2</v>
          </cell>
          <cell r="FA150">
            <v>4.8379128187587883E-2</v>
          </cell>
          <cell r="FD150">
            <v>7.5044190904708347E-2</v>
          </cell>
          <cell r="FE150">
            <v>6.1987787240880603E-2</v>
          </cell>
          <cell r="FF150">
            <v>6.8857464245540734E-2</v>
          </cell>
          <cell r="FG150">
            <v>4.8730515828378597E-2</v>
          </cell>
          <cell r="FJ150">
            <v>7.2006840145461229E-2</v>
          </cell>
          <cell r="FK150">
            <v>5.899358867248948E-2</v>
          </cell>
          <cell r="FL150">
            <v>7.2220113734892177E-2</v>
          </cell>
          <cell r="FM150">
            <v>5.3084494474265165E-2</v>
          </cell>
          <cell r="FP150">
            <v>6.9551653801543808E-2</v>
          </cell>
          <cell r="FQ150">
            <v>6.11126664800224E-2</v>
          </cell>
          <cell r="FR150">
            <v>7.2231332240131188E-2</v>
          </cell>
          <cell r="FS150">
            <v>5.2393712754469461E-2</v>
          </cell>
          <cell r="FV150">
            <v>7.2713501230827496E-2</v>
          </cell>
          <cell r="FW150">
            <v>6.1049043741715582E-2</v>
          </cell>
          <cell r="FX150">
            <v>6.9759515243325132E-2</v>
          </cell>
          <cell r="FY150">
            <v>5.0596477939784133E-2</v>
          </cell>
          <cell r="GB150">
            <v>6.9608364768834807E-2</v>
          </cell>
          <cell r="GC150">
            <v>6.112394271454219E-2</v>
          </cell>
          <cell r="GD150">
            <v>6.9260704848515153E-2</v>
          </cell>
          <cell r="GE150">
            <v>6.3310724213773262E-2</v>
          </cell>
        </row>
        <row r="151">
          <cell r="A151" t="str">
            <v>Total</v>
          </cell>
          <cell r="AN151" t="str">
            <v>Total</v>
          </cell>
          <cell r="BS151">
            <v>0.2144290771083458</v>
          </cell>
          <cell r="BT151">
            <v>0.21390358719848193</v>
          </cell>
          <cell r="BU151">
            <v>0.24468853775134108</v>
          </cell>
          <cell r="BV151">
            <v>0.32697879794183116</v>
          </cell>
          <cell r="BW151">
            <v>1</v>
          </cell>
          <cell r="CP151">
            <v>0.21753920185845851</v>
          </cell>
          <cell r="CQ151">
            <v>0.22036007632954452</v>
          </cell>
          <cell r="CR151">
            <v>0.23907868452795028</v>
          </cell>
          <cell r="CS151">
            <v>0.32302203728404671</v>
          </cell>
          <cell r="CT151">
            <v>1</v>
          </cell>
          <cell r="CV151">
            <v>0.21333858628814734</v>
          </cell>
          <cell r="CW151">
            <v>0.22398327297365961</v>
          </cell>
          <cell r="CX151">
            <v>0.23170190878182992</v>
          </cell>
          <cell r="CY151">
            <v>0.33097623195636316</v>
          </cell>
          <cell r="CZ151">
            <v>1</v>
          </cell>
          <cell r="DB151">
            <v>0.21648262524174933</v>
          </cell>
          <cell r="DC151">
            <v>0.22515440763615946</v>
          </cell>
          <cell r="DD151">
            <v>0.23027013537962443</v>
          </cell>
          <cell r="DE151">
            <v>0.32809283174246678</v>
          </cell>
          <cell r="DF151">
            <v>1</v>
          </cell>
          <cell r="DH151">
            <v>0.214749368914533</v>
          </cell>
          <cell r="DI151">
            <v>0.2211203269623753</v>
          </cell>
          <cell r="DJ151">
            <v>0.22731097487678809</v>
          </cell>
          <cell r="DK151">
            <v>0.33681932924630364</v>
          </cell>
          <cell r="DL151">
            <v>1</v>
          </cell>
          <cell r="DN151">
            <v>0.22527716186252772</v>
          </cell>
          <cell r="DO151">
            <v>0.22096927462781121</v>
          </cell>
          <cell r="DP151">
            <v>0.22014570795058599</v>
          </cell>
          <cell r="DQ151">
            <v>0.325118783655369</v>
          </cell>
          <cell r="DR151">
            <v>1</v>
          </cell>
          <cell r="DT151">
            <v>0.22175839702010147</v>
          </cell>
          <cell r="DU151">
            <v>0.22387772140517628</v>
          </cell>
          <cell r="DV151">
            <v>0.22342816774773619</v>
          </cell>
          <cell r="DW151">
            <v>0.32220152848243527</v>
          </cell>
          <cell r="DX151">
            <v>1</v>
          </cell>
          <cell r="DZ151">
            <v>0.21353490786400209</v>
          </cell>
          <cell r="EA151">
            <v>0.22281339216195173</v>
          </cell>
          <cell r="EB151">
            <v>0.22618738645211522</v>
          </cell>
          <cell r="EC151">
            <v>0.32786140669608099</v>
          </cell>
          <cell r="ED151">
            <v>1</v>
          </cell>
          <cell r="EF151">
            <v>0.22502535496957404</v>
          </cell>
          <cell r="EG151">
            <v>0.22699036511156187</v>
          </cell>
          <cell r="EH151">
            <v>0.22344066937119675</v>
          </cell>
          <cell r="EI151">
            <v>0.32454361054766734</v>
          </cell>
          <cell r="EJ151">
            <v>1</v>
          </cell>
          <cell r="EL151">
            <v>0.16261723983921395</v>
          </cell>
          <cell r="EM151">
            <v>0.16181330951317552</v>
          </cell>
          <cell r="EN151">
            <v>0.24810183117463153</v>
          </cell>
          <cell r="EO151">
            <v>0.42746761947297901</v>
          </cell>
          <cell r="EP151">
            <v>1</v>
          </cell>
          <cell r="ER151">
            <v>0.21987393400074157</v>
          </cell>
          <cell r="ES151">
            <v>0.22228401928068223</v>
          </cell>
          <cell r="ET151">
            <v>0.21824249165739712</v>
          </cell>
          <cell r="EU151">
            <v>0.33959955506117911</v>
          </cell>
          <cell r="EV151">
            <v>1</v>
          </cell>
          <cell r="EX151">
            <v>0.22502185231634553</v>
          </cell>
          <cell r="EY151">
            <v>0.22391973549196215</v>
          </cell>
          <cell r="EZ151">
            <v>0.22445179188994033</v>
          </cell>
          <cell r="FA151">
            <v>0.32660662030175197</v>
          </cell>
          <cell r="FB151">
            <v>1</v>
          </cell>
          <cell r="FD151">
            <v>0.23087739032620921</v>
          </cell>
          <cell r="FE151">
            <v>0.22971235738389845</v>
          </cell>
          <cell r="FF151">
            <v>0.22067330869355617</v>
          </cell>
          <cell r="FG151">
            <v>0.3187369435963362</v>
          </cell>
          <cell r="FH151">
            <v>1</v>
          </cell>
          <cell r="FJ151">
            <v>0.22130152751621679</v>
          </cell>
          <cell r="FK151">
            <v>0.22117597823812513</v>
          </cell>
          <cell r="FL151">
            <v>0.22536095417451349</v>
          </cell>
          <cell r="FM151">
            <v>0.33216154007114457</v>
          </cell>
          <cell r="FN151">
            <v>1</v>
          </cell>
          <cell r="FP151">
            <v>0.22293324801023878</v>
          </cell>
          <cell r="FQ151">
            <v>0.22145342558892933</v>
          </cell>
          <cell r="FR151">
            <v>0.22489301283845939</v>
          </cell>
          <cell r="FS151">
            <v>0.33072031356237253</v>
          </cell>
          <cell r="FT151">
            <v>1</v>
          </cell>
          <cell r="FV151">
            <v>0.2230259420564287</v>
          </cell>
          <cell r="FW151">
            <v>0.22491952281764818</v>
          </cell>
          <cell r="FX151">
            <v>0.22166256390835068</v>
          </cell>
          <cell r="FY151">
            <v>0.33039197121757241</v>
          </cell>
          <cell r="FZ151">
            <v>1</v>
          </cell>
          <cell r="GB151">
            <v>0.22178640289157275</v>
          </cell>
          <cell r="GC151">
            <v>0.22088380480069056</v>
          </cell>
          <cell r="GD151">
            <v>0.2191395031910765</v>
          </cell>
          <cell r="GE151">
            <v>0.33819028911666016</v>
          </cell>
          <cell r="GF151">
            <v>1</v>
          </cell>
        </row>
        <row r="153">
          <cell r="A153" t="str">
            <v>Original Federated Doors Monthly Sales</v>
          </cell>
          <cell r="AN153" t="str">
            <v>Original Federated Doors Monthly Sales</v>
          </cell>
        </row>
        <row r="154">
          <cell r="A154" t="str">
            <v>Month 1</v>
          </cell>
          <cell r="AN154" t="str">
            <v>Month 1</v>
          </cell>
          <cell r="DZ154">
            <v>985</v>
          </cell>
          <cell r="EA154">
            <v>1137</v>
          </cell>
          <cell r="EB154">
            <v>1078</v>
          </cell>
          <cell r="EC154">
            <v>1460</v>
          </cell>
          <cell r="EF154">
            <v>1080</v>
          </cell>
          <cell r="EG154">
            <v>1182</v>
          </cell>
          <cell r="EH154">
            <v>1056</v>
          </cell>
          <cell r="EI154">
            <v>1446</v>
          </cell>
          <cell r="EL154">
            <v>1097</v>
          </cell>
          <cell r="EM154">
            <v>1189</v>
          </cell>
          <cell r="EN154">
            <v>1068</v>
          </cell>
        </row>
        <row r="155">
          <cell r="A155" t="str">
            <v>Month 2</v>
          </cell>
          <cell r="AN155" t="str">
            <v>Month 2</v>
          </cell>
          <cell r="DZ155">
            <v>1233</v>
          </cell>
          <cell r="EA155">
            <v>1337</v>
          </cell>
          <cell r="EB155">
            <v>1352</v>
          </cell>
          <cell r="EC155">
            <v>2782</v>
          </cell>
          <cell r="EF155">
            <v>1326</v>
          </cell>
          <cell r="EG155">
            <v>1394</v>
          </cell>
          <cell r="EH155">
            <v>1361</v>
          </cell>
          <cell r="EI155">
            <v>2856</v>
          </cell>
          <cell r="EL155">
            <v>1371</v>
          </cell>
          <cell r="EM155">
            <v>1436</v>
          </cell>
        </row>
        <row r="156">
          <cell r="A156" t="str">
            <v>Month 3</v>
          </cell>
          <cell r="AN156" t="str">
            <v>Month 3</v>
          </cell>
          <cell r="DZ156">
            <v>1076</v>
          </cell>
          <cell r="EA156">
            <v>963</v>
          </cell>
          <cell r="EB156">
            <v>1058</v>
          </cell>
          <cell r="EC156">
            <v>814</v>
          </cell>
          <cell r="EF156">
            <v>1144</v>
          </cell>
          <cell r="EG156">
            <v>1005</v>
          </cell>
          <cell r="EH156">
            <v>1108</v>
          </cell>
          <cell r="EI156">
            <v>818</v>
          </cell>
          <cell r="EL156">
            <v>1173</v>
          </cell>
          <cell r="EM156">
            <v>998</v>
          </cell>
        </row>
        <row r="157">
          <cell r="A157" t="str">
            <v>Total</v>
          </cell>
          <cell r="AN157" t="str">
            <v>Total</v>
          </cell>
          <cell r="DZ157">
            <v>3291</v>
          </cell>
          <cell r="EA157">
            <v>3434</v>
          </cell>
          <cell r="EB157">
            <v>3486</v>
          </cell>
          <cell r="EC157">
            <v>5053</v>
          </cell>
          <cell r="ED157">
            <v>15412</v>
          </cell>
          <cell r="EF157">
            <v>3550</v>
          </cell>
          <cell r="EG157">
            <v>3581</v>
          </cell>
          <cell r="EH157">
            <v>3525</v>
          </cell>
          <cell r="EI157">
            <v>5120</v>
          </cell>
          <cell r="EJ157">
            <v>15776</v>
          </cell>
          <cell r="EL157">
            <v>3641</v>
          </cell>
          <cell r="EM157">
            <v>3623</v>
          </cell>
        </row>
        <row r="159">
          <cell r="A159" t="str">
            <v>Original Federated Doors Monthly Comps</v>
          </cell>
          <cell r="AN159" t="str">
            <v>Original Federated Doors Monthly Comps</v>
          </cell>
        </row>
        <row r="160">
          <cell r="A160" t="str">
            <v>Month 1</v>
          </cell>
          <cell r="AN160" t="str">
            <v>Month 1</v>
          </cell>
          <cell r="DH160">
            <v>5.2999999999999999E-2</v>
          </cell>
          <cell r="DI160">
            <v>4.2000000000000003E-2</v>
          </cell>
          <cell r="DJ160">
            <v>1.0999999999999999E-2</v>
          </cell>
          <cell r="DK160">
            <v>1.4E-2</v>
          </cell>
          <cell r="DN160">
            <v>-1.6E-2</v>
          </cell>
          <cell r="DO160">
            <v>-3.3000000000000002E-2</v>
          </cell>
          <cell r="DP160">
            <v>-2.5999999999999999E-2</v>
          </cell>
          <cell r="DQ160">
            <v>8.9999999999999993E-3</v>
          </cell>
          <cell r="DT160">
            <v>-2.8000000000000001E-2</v>
          </cell>
          <cell r="DU160">
            <v>-3.4000000000000002E-2</v>
          </cell>
          <cell r="DV160">
            <v>-5.8000000000000003E-2</v>
          </cell>
          <cell r="DW160">
            <v>-7.3999999999999996E-2</v>
          </cell>
          <cell r="DZ160">
            <v>-6.8000000000000005E-2</v>
          </cell>
          <cell r="EA160">
            <v>-8.0000000000000002E-3</v>
          </cell>
          <cell r="EB160">
            <v>-8.0000000000000002E-3</v>
          </cell>
          <cell r="EC160">
            <v>-1E-3</v>
          </cell>
          <cell r="EF160">
            <v>0.09</v>
          </cell>
          <cell r="EG160">
            <v>2.9000000000000001E-2</v>
          </cell>
          <cell r="EH160">
            <v>-2.4E-2</v>
          </cell>
          <cell r="EI160">
            <v>-1.4E-2</v>
          </cell>
          <cell r="EL160">
            <v>1.7999999999999999E-2</v>
          </cell>
          <cell r="EM160">
            <v>8.0000000000000002E-3</v>
          </cell>
          <cell r="EN160">
            <v>1.0999999999999999E-2</v>
          </cell>
          <cell r="EO160">
            <v>-3.4000000000000002E-2</v>
          </cell>
          <cell r="ER160">
            <v>0.01</v>
          </cell>
          <cell r="ES160">
            <v>9.1999999999999998E-2</v>
          </cell>
          <cell r="ET160">
            <v>3.7999999999999999E-2</v>
          </cell>
          <cell r="EU160">
            <v>8.5000000000000006E-2</v>
          </cell>
          <cell r="EX160">
            <v>1.2E-2</v>
          </cell>
          <cell r="EY160">
            <v>-3.3000000000000002E-2</v>
          </cell>
          <cell r="EZ160">
            <v>2.4E-2</v>
          </cell>
          <cell r="FA160">
            <v>0.13400000000000001</v>
          </cell>
          <cell r="FD160">
            <v>-3.5000000000000003E-2</v>
          </cell>
          <cell r="FE160">
            <v>-1.4999999999999999E-2</v>
          </cell>
          <cell r="FF160">
            <v>-4.8000000000000001E-2</v>
          </cell>
          <cell r="FG160">
            <v>-0.13300000000000001</v>
          </cell>
          <cell r="FJ160">
            <v>-8.5000000000000006E-2</v>
          </cell>
          <cell r="FK160">
            <v>-9.0999999999999998E-2</v>
          </cell>
          <cell r="FL160">
            <v>-8.1000000000000003E-2</v>
          </cell>
          <cell r="FM160">
            <v>-6.0999999999999999E-2</v>
          </cell>
          <cell r="FP160">
            <v>3.6999999999999998E-2</v>
          </cell>
          <cell r="FQ160">
            <v>1.4E-2</v>
          </cell>
          <cell r="FR160">
            <v>4.2999999999999997E-2</v>
          </cell>
          <cell r="FS160">
            <v>6.0999999999999999E-2</v>
          </cell>
          <cell r="FV160">
            <v>5.8000000000000003E-2</v>
          </cell>
          <cell r="FW160">
            <v>7.3999999999999996E-2</v>
          </cell>
          <cell r="FX160">
            <v>0.05</v>
          </cell>
          <cell r="FY160">
            <v>4.8000000000000001E-2</v>
          </cell>
          <cell r="GB160">
            <v>4.5999999999999999E-2</v>
          </cell>
          <cell r="GC160">
            <v>4.2000000000000003E-2</v>
          </cell>
          <cell r="GD160">
            <v>5.0999999999999997E-2</v>
          </cell>
          <cell r="GE160">
            <v>0.04</v>
          </cell>
        </row>
        <row r="161">
          <cell r="A161" t="str">
            <v>Month 2</v>
          </cell>
          <cell r="AN161" t="str">
            <v>Month 2</v>
          </cell>
          <cell r="DH161">
            <v>-6.0000000000000001E-3</v>
          </cell>
          <cell r="DI161">
            <v>5.0000000000000001E-3</v>
          </cell>
          <cell r="DJ161">
            <v>2.9000000000000001E-2</v>
          </cell>
          <cell r="DK161">
            <v>1.2E-2</v>
          </cell>
          <cell r="DN161">
            <v>-3.2000000000000001E-2</v>
          </cell>
          <cell r="DO161">
            <v>-6.4000000000000001E-2</v>
          </cell>
          <cell r="DP161">
            <v>-0.129</v>
          </cell>
          <cell r="DQ161">
            <v>-8.6999999999999994E-2</v>
          </cell>
          <cell r="DT161">
            <v>-2E-3</v>
          </cell>
          <cell r="DU161">
            <v>-4.0000000000000001E-3</v>
          </cell>
          <cell r="DV161">
            <v>0</v>
          </cell>
          <cell r="DW161">
            <v>-2.5999999999999999E-2</v>
          </cell>
          <cell r="DZ161">
            <v>-6.5000000000000002E-2</v>
          </cell>
          <cell r="EA161">
            <v>-0.02</v>
          </cell>
          <cell r="EB161">
            <v>3.2000000000000001E-2</v>
          </cell>
          <cell r="EC161">
            <v>1.2E-2</v>
          </cell>
          <cell r="EF161">
            <v>6.8000000000000005E-2</v>
          </cell>
          <cell r="EG161">
            <v>3.4000000000000002E-2</v>
          </cell>
          <cell r="EH161">
            <v>1E-3</v>
          </cell>
          <cell r="EI161">
            <v>2.3E-2</v>
          </cell>
          <cell r="EL161">
            <v>3.4000000000000002E-2</v>
          </cell>
          <cell r="EM161">
            <v>2.9000000000000001E-2</v>
          </cell>
          <cell r="EN161">
            <v>1.2999999999999999E-2</v>
          </cell>
          <cell r="EO161">
            <v>3.4000000000000002E-2</v>
          </cell>
          <cell r="ER161">
            <v>0</v>
          </cell>
          <cell r="ES161">
            <v>1.7000000000000001E-2</v>
          </cell>
          <cell r="ET161">
            <v>6.5000000000000002E-2</v>
          </cell>
          <cell r="EU161">
            <v>4.3999999999999997E-2</v>
          </cell>
          <cell r="EX161">
            <v>2.3E-2</v>
          </cell>
          <cell r="EY161">
            <v>-2.7E-2</v>
          </cell>
          <cell r="EZ161">
            <v>-2.7E-2</v>
          </cell>
          <cell r="FA161">
            <v>-7.9000000000000001E-2</v>
          </cell>
          <cell r="FD161">
            <v>-6.2E-2</v>
          </cell>
          <cell r="FE161">
            <v>-2.1000000000000001E-2</v>
          </cell>
          <cell r="FF161">
            <v>-6.6000000000000003E-2</v>
          </cell>
          <cell r="FG161">
            <v>-0.04</v>
          </cell>
          <cell r="FJ161">
            <v>-9.1999999999999998E-2</v>
          </cell>
          <cell r="FK161">
            <v>-8.8999999999999996E-2</v>
          </cell>
          <cell r="FL161">
            <v>-2.3E-2</v>
          </cell>
          <cell r="FM161">
            <v>0.01</v>
          </cell>
          <cell r="FP161">
            <v>0.10800000000000001</v>
          </cell>
          <cell r="FQ161">
            <v>6.5000000000000002E-2</v>
          </cell>
          <cell r="FR161">
            <v>4.8000000000000001E-2</v>
          </cell>
          <cell r="FS161">
            <v>3.9E-2</v>
          </cell>
          <cell r="FV161">
            <v>8.9999999999999993E-3</v>
          </cell>
          <cell r="FW161">
            <v>6.7000000000000004E-2</v>
          </cell>
          <cell r="FX161">
            <v>4.9000000000000002E-2</v>
          </cell>
          <cell r="FY161">
            <v>6.2E-2</v>
          </cell>
          <cell r="GB161">
            <v>7.2999999999999995E-2</v>
          </cell>
          <cell r="GC161">
            <v>1.2E-2</v>
          </cell>
          <cell r="GD161">
            <v>0.03</v>
          </cell>
          <cell r="GE161">
            <v>0.04</v>
          </cell>
        </row>
        <row r="162">
          <cell r="A162" t="str">
            <v>Month 3</v>
          </cell>
          <cell r="AN162" t="str">
            <v>Month 3</v>
          </cell>
          <cell r="DH162">
            <v>5.1999999999999998E-2</v>
          </cell>
          <cell r="DI162">
            <v>1.6E-2</v>
          </cell>
          <cell r="DJ162">
            <v>1.6E-2</v>
          </cell>
          <cell r="DK162">
            <v>3.6999999999999998E-2</v>
          </cell>
          <cell r="DN162">
            <v>8.0000000000000002E-3</v>
          </cell>
          <cell r="DO162">
            <v>-4.2000000000000003E-2</v>
          </cell>
          <cell r="DP162">
            <v>-8.6999999999999994E-2</v>
          </cell>
          <cell r="DQ162">
            <v>-8.7999999999999995E-2</v>
          </cell>
          <cell r="DT162">
            <v>-5.8999999999999997E-2</v>
          </cell>
          <cell r="DU162">
            <v>-5.1999999999999998E-2</v>
          </cell>
          <cell r="DV162">
            <v>3.0000000000000001E-3</v>
          </cell>
          <cell r="DW162">
            <v>-1.2E-2</v>
          </cell>
          <cell r="DZ162">
            <v>-1.3999999999999999E-2</v>
          </cell>
          <cell r="EA162">
            <v>-4.0000000000000001E-3</v>
          </cell>
          <cell r="EB162">
            <v>-0.02</v>
          </cell>
          <cell r="EC162">
            <v>5.5E-2</v>
          </cell>
          <cell r="EF162">
            <v>5.3999999999999999E-2</v>
          </cell>
          <cell r="EG162">
            <v>3.6999999999999998E-2</v>
          </cell>
          <cell r="EH162">
            <v>0.04</v>
          </cell>
          <cell r="EI162">
            <v>-4.0000000000000001E-3</v>
          </cell>
          <cell r="EL162">
            <v>2.8000000000000001E-2</v>
          </cell>
          <cell r="EM162">
            <v>-8.9999999999999993E-3</v>
          </cell>
          <cell r="EN162">
            <v>-7.0000000000000001E-3</v>
          </cell>
          <cell r="EO162">
            <v>0.01</v>
          </cell>
          <cell r="ER162">
            <v>-8.0000000000000002E-3</v>
          </cell>
          <cell r="ES162">
            <v>3.3000000000000002E-2</v>
          </cell>
          <cell r="ET162">
            <v>7.6999999999999999E-2</v>
          </cell>
          <cell r="EU162">
            <v>8.5999999999999993E-2</v>
          </cell>
          <cell r="EX162">
            <v>-2.1999999999999999E-2</v>
          </cell>
          <cell r="EY162">
            <v>-1.4E-2</v>
          </cell>
          <cell r="EZ162">
            <v>-1.4999999999999999E-2</v>
          </cell>
          <cell r="FA162">
            <v>-7.0999999999999994E-2</v>
          </cell>
          <cell r="FD162">
            <v>0.03</v>
          </cell>
          <cell r="FE162">
            <v>-2.9000000000000001E-2</v>
          </cell>
          <cell r="FF162">
            <v>-6.3E-2</v>
          </cell>
          <cell r="FG162">
            <v>-4.4999999999999998E-2</v>
          </cell>
          <cell r="FJ162">
            <v>-9.0999999999999998E-2</v>
          </cell>
          <cell r="FK162">
            <v>-0.107</v>
          </cell>
          <cell r="FL162">
            <v>-8.0000000000000002E-3</v>
          </cell>
          <cell r="FM162">
            <v>3.4000000000000002E-2</v>
          </cell>
          <cell r="FP162">
            <v>1.0999999999999999E-2</v>
          </cell>
          <cell r="FQ162">
            <v>7.2999999999999995E-2</v>
          </cell>
          <cell r="FR162">
            <v>2.5000000000000001E-2</v>
          </cell>
          <cell r="FS162">
            <v>2.5999999999999999E-2</v>
          </cell>
          <cell r="FV162">
            <v>0.108</v>
          </cell>
          <cell r="FW162">
            <v>0.05</v>
          </cell>
          <cell r="FX162">
            <v>2.1999999999999999E-2</v>
          </cell>
          <cell r="FY162">
            <v>2.4E-2</v>
          </cell>
          <cell r="GB162">
            <v>1.2E-2</v>
          </cell>
          <cell r="GC162">
            <v>4.1000000000000002E-2</v>
          </cell>
          <cell r="GD162">
            <v>5.5E-2</v>
          </cell>
          <cell r="GE162">
            <v>0.05</v>
          </cell>
        </row>
        <row r="163">
          <cell r="A163" t="str">
            <v>Total</v>
          </cell>
          <cell r="AN163" t="str">
            <v>Total</v>
          </cell>
          <cell r="DH163">
            <v>2.9000000000000001E-2</v>
          </cell>
          <cell r="DI163">
            <v>1.9E-2</v>
          </cell>
          <cell r="DJ163">
            <v>1.9E-2</v>
          </cell>
          <cell r="DK163">
            <v>1.6E-2</v>
          </cell>
          <cell r="DL163">
            <v>0.02</v>
          </cell>
          <cell r="DN163">
            <v>-1.4999999999999999E-2</v>
          </cell>
          <cell r="DO163">
            <v>-4.8000000000000001E-2</v>
          </cell>
          <cell r="DP163">
            <v>-8.5999999999999993E-2</v>
          </cell>
          <cell r="DQ163">
            <v>-0.06</v>
          </cell>
          <cell r="DR163">
            <v>-5.2999999999999999E-2</v>
          </cell>
          <cell r="DT163">
            <v>-2.9000000000000001E-2</v>
          </cell>
          <cell r="DU163">
            <v>-2.8000000000000001E-2</v>
          </cell>
          <cell r="DV163">
            <v>-0.02</v>
          </cell>
          <cell r="DW163">
            <v>-3.9E-2</v>
          </cell>
          <cell r="DX163">
            <v>-0.03</v>
          </cell>
          <cell r="DZ163">
            <v>-0.05</v>
          </cell>
          <cell r="EA163">
            <v>-1.2E-2</v>
          </cell>
          <cell r="EB163">
            <v>2E-3</v>
          </cell>
          <cell r="EC163">
            <v>1.3999999999999999E-2</v>
          </cell>
          <cell r="ED163">
            <v>-9.0000000000000011E-3</v>
          </cell>
          <cell r="EF163">
            <v>6.9000000000000006E-2</v>
          </cell>
          <cell r="EG163">
            <v>3.3000000000000002E-2</v>
          </cell>
          <cell r="EH163">
            <v>4.0000000000000001E-3</v>
          </cell>
          <cell r="EI163">
            <v>8.0000000000000002E-3</v>
          </cell>
          <cell r="EJ163">
            <v>2.5999999999999999E-2</v>
          </cell>
          <cell r="EL163">
            <v>2.5999999999999999E-2</v>
          </cell>
          <cell r="EM163">
            <v>1.0999999999999999E-2</v>
          </cell>
          <cell r="EN163">
            <v>6.0000000000000001E-3</v>
          </cell>
          <cell r="EO163">
            <v>1.0999999999999999E-2</v>
          </cell>
          <cell r="EP163">
            <v>1.2999999999999999E-2</v>
          </cell>
          <cell r="ER163">
            <v>0</v>
          </cell>
          <cell r="ES163">
            <v>4.5999999999999999E-2</v>
          </cell>
          <cell r="ET163">
            <v>5.8999999999999997E-2</v>
          </cell>
          <cell r="EU163">
            <v>6.0999999999999999E-2</v>
          </cell>
          <cell r="EV163">
            <v>4.3999999999999997E-2</v>
          </cell>
          <cell r="EX163">
            <v>6.0000000000000001E-3</v>
          </cell>
          <cell r="EY163">
            <v>-2.5999999999999999E-2</v>
          </cell>
          <cell r="EZ163">
            <v>-8.0000000000000002E-3</v>
          </cell>
          <cell r="FA163">
            <v>-0.02</v>
          </cell>
          <cell r="FB163">
            <v>-1.2999999999999999E-2</v>
          </cell>
          <cell r="FD163">
            <v>-2.5999999999999999E-2</v>
          </cell>
          <cell r="FE163">
            <v>-2.1000000000000001E-2</v>
          </cell>
          <cell r="FF163">
            <v>-0.06</v>
          </cell>
          <cell r="FG163">
            <v>-7.0000000000000007E-2</v>
          </cell>
          <cell r="FH163">
            <v>-4.4999999999999998E-2</v>
          </cell>
          <cell r="FJ163">
            <v>-0.09</v>
          </cell>
          <cell r="FK163">
            <v>-9.5000000000000001E-2</v>
          </cell>
          <cell r="FL163">
            <v>-3.5999999999999997E-2</v>
          </cell>
          <cell r="FM163">
            <v>-8.0000000000000002E-3</v>
          </cell>
          <cell r="FN163">
            <v>-5.2999999999999999E-2</v>
          </cell>
          <cell r="FP163">
            <v>5.5E-2</v>
          </cell>
          <cell r="FQ163">
            <v>4.9000000000000002E-2</v>
          </cell>
          <cell r="FR163">
            <v>3.9E-2</v>
          </cell>
          <cell r="FS163">
            <v>4.2999999999999997E-2</v>
          </cell>
          <cell r="FT163">
            <v>4.610434747830261E-2</v>
          </cell>
          <cell r="FV163">
            <v>5.3999999999999999E-2</v>
          </cell>
          <cell r="FW163">
            <v>6.4000000000000001E-2</v>
          </cell>
          <cell r="FX163">
            <v>0.04</v>
          </cell>
          <cell r="FY163">
            <v>5.1999999999999998E-2</v>
          </cell>
          <cell r="FZ163">
            <v>5.2999999999999999E-2</v>
          </cell>
          <cell r="GB163">
            <v>4.3999999999999997E-2</v>
          </cell>
          <cell r="GC163">
            <v>0.03</v>
          </cell>
          <cell r="GD163">
            <v>4.4170626829774157E-2</v>
          </cell>
          <cell r="GE163">
            <v>4.1872044415560798E-2</v>
          </cell>
          <cell r="GF163">
            <v>4.02253638971692E-2</v>
          </cell>
        </row>
        <row r="165">
          <cell r="A165" t="str">
            <v>Original Federated Doors Store Count (Estimated)</v>
          </cell>
          <cell r="AN165" t="str">
            <v>Original Federated Doors Store Count (Estimated)</v>
          </cell>
        </row>
        <row r="166">
          <cell r="A166" t="str">
            <v>Month 1</v>
          </cell>
          <cell r="AN166" t="str">
            <v>Month 1</v>
          </cell>
          <cell r="DZ166">
            <v>456</v>
          </cell>
          <cell r="EA166">
            <v>456</v>
          </cell>
          <cell r="EB166">
            <v>460</v>
          </cell>
          <cell r="EC166">
            <v>465</v>
          </cell>
          <cell r="EF166">
            <v>458</v>
          </cell>
          <cell r="EG166">
            <v>457</v>
          </cell>
          <cell r="EH166">
            <v>457</v>
          </cell>
          <cell r="EI166">
            <v>459</v>
          </cell>
          <cell r="EL166">
            <v>459</v>
          </cell>
          <cell r="EM166">
            <v>460</v>
          </cell>
          <cell r="EN166">
            <v>459</v>
          </cell>
          <cell r="EO166">
            <v>444</v>
          </cell>
          <cell r="ER166">
            <v>410</v>
          </cell>
          <cell r="ES166">
            <v>406</v>
          </cell>
          <cell r="ET166">
            <v>402</v>
          </cell>
          <cell r="EU166">
            <v>408</v>
          </cell>
          <cell r="EX166">
            <v>407</v>
          </cell>
          <cell r="EY166">
            <v>412</v>
          </cell>
          <cell r="EZ166">
            <v>413</v>
          </cell>
          <cell r="FA166">
            <v>415</v>
          </cell>
          <cell r="FD166">
            <v>415</v>
          </cell>
          <cell r="FE166">
            <v>415</v>
          </cell>
          <cell r="FF166">
            <v>419</v>
          </cell>
          <cell r="FG166">
            <v>422</v>
          </cell>
          <cell r="FJ166">
            <v>410</v>
          </cell>
          <cell r="FK166">
            <v>411</v>
          </cell>
          <cell r="FL166">
            <v>412</v>
          </cell>
          <cell r="FM166">
            <v>417</v>
          </cell>
          <cell r="FP166">
            <v>413</v>
          </cell>
          <cell r="FQ166">
            <v>413</v>
          </cell>
          <cell r="FR166">
            <v>412</v>
          </cell>
          <cell r="FS166">
            <v>417</v>
          </cell>
          <cell r="FV166">
            <v>413</v>
          </cell>
          <cell r="FW166">
            <v>413</v>
          </cell>
          <cell r="FX166">
            <v>412</v>
          </cell>
          <cell r="FY166">
            <v>414</v>
          </cell>
          <cell r="GB166">
            <v>405</v>
          </cell>
          <cell r="GC166">
            <v>407</v>
          </cell>
          <cell r="GD166">
            <v>409</v>
          </cell>
          <cell r="GE166">
            <v>410</v>
          </cell>
        </row>
        <row r="167">
          <cell r="A167" t="str">
            <v>Month 2</v>
          </cell>
          <cell r="AN167" t="str">
            <v>Month 2</v>
          </cell>
          <cell r="DZ167">
            <v>456</v>
          </cell>
          <cell r="EA167">
            <v>455</v>
          </cell>
          <cell r="EB167">
            <v>460</v>
          </cell>
          <cell r="EC167">
            <v>465</v>
          </cell>
          <cell r="EF167">
            <v>458</v>
          </cell>
          <cell r="EG167">
            <v>457</v>
          </cell>
          <cell r="EH167">
            <v>458</v>
          </cell>
          <cell r="EI167">
            <v>459</v>
          </cell>
          <cell r="EL167">
            <v>459</v>
          </cell>
          <cell r="EM167">
            <v>460</v>
          </cell>
          <cell r="EN167">
            <v>446</v>
          </cell>
          <cell r="EO167">
            <v>443</v>
          </cell>
          <cell r="ER167">
            <v>406</v>
          </cell>
          <cell r="ES167">
            <v>405</v>
          </cell>
          <cell r="ET167">
            <v>403</v>
          </cell>
          <cell r="EU167">
            <v>408</v>
          </cell>
          <cell r="EX167">
            <v>408</v>
          </cell>
          <cell r="EY167">
            <v>412</v>
          </cell>
          <cell r="EZ167">
            <v>415</v>
          </cell>
          <cell r="FA167">
            <v>415</v>
          </cell>
          <cell r="FD167">
            <v>416</v>
          </cell>
          <cell r="FE167">
            <v>416</v>
          </cell>
          <cell r="FF167">
            <v>416</v>
          </cell>
          <cell r="FG167">
            <v>422</v>
          </cell>
          <cell r="FJ167">
            <v>410</v>
          </cell>
          <cell r="FK167">
            <v>411</v>
          </cell>
          <cell r="FL167">
            <v>415</v>
          </cell>
          <cell r="FM167">
            <v>417</v>
          </cell>
          <cell r="FP167">
            <v>413</v>
          </cell>
          <cell r="FQ167">
            <v>413</v>
          </cell>
          <cell r="FR167">
            <v>415</v>
          </cell>
          <cell r="FS167">
            <v>417</v>
          </cell>
          <cell r="FV167">
            <v>413</v>
          </cell>
          <cell r="FW167">
            <v>413</v>
          </cell>
          <cell r="FX167">
            <v>412</v>
          </cell>
          <cell r="FY167">
            <v>413</v>
          </cell>
          <cell r="GB167">
            <v>407</v>
          </cell>
          <cell r="GC167">
            <v>409</v>
          </cell>
          <cell r="GD167">
            <v>410</v>
          </cell>
          <cell r="GE167">
            <v>411</v>
          </cell>
        </row>
        <row r="168">
          <cell r="A168" t="str">
            <v>Month 3</v>
          </cell>
          <cell r="AN168" t="str">
            <v>Month 3</v>
          </cell>
          <cell r="DZ168">
            <v>456</v>
          </cell>
          <cell r="EA168">
            <v>460</v>
          </cell>
          <cell r="EB168">
            <v>465</v>
          </cell>
          <cell r="EC168">
            <v>459</v>
          </cell>
          <cell r="EF168">
            <v>459</v>
          </cell>
          <cell r="EG168">
            <v>457</v>
          </cell>
          <cell r="EH168">
            <v>459</v>
          </cell>
          <cell r="EI168">
            <v>459</v>
          </cell>
          <cell r="EL168">
            <v>459</v>
          </cell>
          <cell r="EM168">
            <v>460</v>
          </cell>
          <cell r="EN168">
            <v>444</v>
          </cell>
          <cell r="EO168">
            <v>410</v>
          </cell>
          <cell r="ER168">
            <v>406</v>
          </cell>
          <cell r="ES168">
            <v>403</v>
          </cell>
          <cell r="ET168">
            <v>405</v>
          </cell>
          <cell r="EU168">
            <v>407</v>
          </cell>
          <cell r="EX168">
            <v>412</v>
          </cell>
          <cell r="EY168">
            <v>412</v>
          </cell>
          <cell r="EZ168">
            <v>415</v>
          </cell>
          <cell r="FA168">
            <v>415</v>
          </cell>
          <cell r="FD168">
            <v>414</v>
          </cell>
          <cell r="FE168">
            <v>418</v>
          </cell>
          <cell r="FF168">
            <v>419</v>
          </cell>
          <cell r="FG168">
            <v>410</v>
          </cell>
          <cell r="FJ168">
            <v>411</v>
          </cell>
          <cell r="FK168">
            <v>411</v>
          </cell>
          <cell r="FL168">
            <v>417</v>
          </cell>
          <cell r="FM168">
            <v>413</v>
          </cell>
          <cell r="FP168">
            <v>412</v>
          </cell>
          <cell r="FQ168">
            <v>412</v>
          </cell>
          <cell r="FR168">
            <v>417</v>
          </cell>
          <cell r="FS168">
            <v>413</v>
          </cell>
          <cell r="FV168">
            <v>413</v>
          </cell>
          <cell r="FW168">
            <v>412</v>
          </cell>
          <cell r="FX168">
            <v>413</v>
          </cell>
          <cell r="FY168">
            <v>405</v>
          </cell>
          <cell r="GB168">
            <v>407</v>
          </cell>
          <cell r="GC168">
            <v>408</v>
          </cell>
          <cell r="GD168">
            <v>410</v>
          </cell>
          <cell r="GE168">
            <v>407</v>
          </cell>
        </row>
        <row r="169">
          <cell r="A169" t="str">
            <v>Total</v>
          </cell>
          <cell r="AN169" t="str">
            <v>Total</v>
          </cell>
          <cell r="DZ169">
            <v>456</v>
          </cell>
          <cell r="EA169">
            <v>460</v>
          </cell>
          <cell r="EB169">
            <v>465</v>
          </cell>
          <cell r="EC169">
            <v>459</v>
          </cell>
          <cell r="ED169">
            <v>459</v>
          </cell>
          <cell r="EF169">
            <v>459</v>
          </cell>
          <cell r="EG169">
            <v>457</v>
          </cell>
          <cell r="EH169">
            <v>459</v>
          </cell>
          <cell r="EI169">
            <v>459</v>
          </cell>
          <cell r="EJ169">
            <v>459</v>
          </cell>
          <cell r="EL169">
            <v>459</v>
          </cell>
          <cell r="EM169">
            <v>460</v>
          </cell>
          <cell r="EN169">
            <v>444</v>
          </cell>
          <cell r="EO169">
            <v>410</v>
          </cell>
          <cell r="EP169">
            <v>410</v>
          </cell>
          <cell r="ER169">
            <v>406</v>
          </cell>
          <cell r="ES169">
            <v>403</v>
          </cell>
          <cell r="ET169">
            <v>405</v>
          </cell>
          <cell r="EU169">
            <v>407</v>
          </cell>
          <cell r="EV169">
            <v>407</v>
          </cell>
          <cell r="EX169">
            <v>412</v>
          </cell>
          <cell r="EY169">
            <v>412</v>
          </cell>
          <cell r="EZ169">
            <v>415</v>
          </cell>
          <cell r="FA169">
            <v>415</v>
          </cell>
          <cell r="FB169">
            <v>415</v>
          </cell>
          <cell r="FD169">
            <v>414</v>
          </cell>
          <cell r="FE169">
            <v>418</v>
          </cell>
          <cell r="FF169">
            <v>419</v>
          </cell>
          <cell r="FG169">
            <v>410</v>
          </cell>
          <cell r="FH169">
            <v>410</v>
          </cell>
          <cell r="FJ169">
            <v>411</v>
          </cell>
          <cell r="FK169">
            <v>411</v>
          </cell>
          <cell r="FL169">
            <v>417</v>
          </cell>
          <cell r="FM169">
            <v>413</v>
          </cell>
          <cell r="FN169">
            <v>413</v>
          </cell>
          <cell r="FP169">
            <v>412</v>
          </cell>
          <cell r="FQ169">
            <v>412</v>
          </cell>
          <cell r="FR169">
            <v>417</v>
          </cell>
          <cell r="FS169">
            <v>413</v>
          </cell>
          <cell r="FT169">
            <v>413</v>
          </cell>
          <cell r="FV169">
            <v>413</v>
          </cell>
          <cell r="FW169">
            <v>412</v>
          </cell>
          <cell r="FX169">
            <v>413</v>
          </cell>
          <cell r="FY169">
            <v>405</v>
          </cell>
          <cell r="FZ169">
            <v>405</v>
          </cell>
          <cell r="GB169">
            <v>407</v>
          </cell>
          <cell r="GC169">
            <v>408</v>
          </cell>
          <cell r="GD169">
            <v>410</v>
          </cell>
          <cell r="GE169">
            <v>407</v>
          </cell>
          <cell r="GF169">
            <v>407</v>
          </cell>
        </row>
        <row r="171">
          <cell r="A171" t="str">
            <v>May Co. Monthly Sales ($)</v>
          </cell>
          <cell r="AN171" t="str">
            <v>May Co. Monthly Sales ($)</v>
          </cell>
        </row>
        <row r="172">
          <cell r="A172" t="str">
            <v>Month 1</v>
          </cell>
          <cell r="AN172" t="str">
            <v>Month 1</v>
          </cell>
          <cell r="DZ172">
            <v>846</v>
          </cell>
          <cell r="EA172">
            <v>1005</v>
          </cell>
          <cell r="EB172">
            <v>953.8</v>
          </cell>
          <cell r="EC172">
            <v>1260.8</v>
          </cell>
          <cell r="EF172">
            <v>880.4</v>
          </cell>
          <cell r="EG172">
            <v>977.8</v>
          </cell>
          <cell r="EH172">
            <v>1053.9000000000001</v>
          </cell>
          <cell r="EI172">
            <v>1386.9</v>
          </cell>
          <cell r="EL172">
            <v>1007.8</v>
          </cell>
          <cell r="EM172">
            <v>1119.3</v>
          </cell>
          <cell r="EN172">
            <v>1027</v>
          </cell>
        </row>
        <row r="173">
          <cell r="A173" t="str">
            <v>Month 2</v>
          </cell>
          <cell r="AN173" t="str">
            <v>Month 2</v>
          </cell>
          <cell r="DZ173">
            <v>1060</v>
          </cell>
          <cell r="EA173">
            <v>1131.9000000000001</v>
          </cell>
          <cell r="EB173">
            <v>1135</v>
          </cell>
          <cell r="EC173">
            <v>2517</v>
          </cell>
          <cell r="EF173">
            <v>1161</v>
          </cell>
          <cell r="EG173">
            <v>1160</v>
          </cell>
          <cell r="EH173">
            <v>1339</v>
          </cell>
          <cell r="EI173">
            <v>2844.1</v>
          </cell>
          <cell r="EL173">
            <v>1280</v>
          </cell>
          <cell r="EM173">
            <v>1398.7</v>
          </cell>
        </row>
        <row r="174">
          <cell r="A174" t="str">
            <v>Month 3</v>
          </cell>
          <cell r="AN174" t="str">
            <v>Month 3</v>
          </cell>
          <cell r="DZ174">
            <v>967.4</v>
          </cell>
          <cell r="EA174">
            <v>863.4</v>
          </cell>
          <cell r="EB174">
            <v>887.2</v>
          </cell>
          <cell r="EC174">
            <v>715.4</v>
          </cell>
          <cell r="EF174">
            <v>901.5</v>
          </cell>
          <cell r="EG174">
            <v>817.9</v>
          </cell>
          <cell r="EH174">
            <v>1090.3</v>
          </cell>
          <cell r="EI174">
            <v>808</v>
          </cell>
          <cell r="EL174">
            <v>1080</v>
          </cell>
          <cell r="EM174">
            <v>927.4</v>
          </cell>
        </row>
        <row r="175">
          <cell r="A175" t="str">
            <v>Total</v>
          </cell>
          <cell r="AN175" t="str">
            <v>Total</v>
          </cell>
          <cell r="DZ175">
            <v>2873.4</v>
          </cell>
          <cell r="EA175">
            <v>3000.3</v>
          </cell>
          <cell r="EB175">
            <v>2976</v>
          </cell>
          <cell r="EC175">
            <v>4493.2</v>
          </cell>
          <cell r="ED175">
            <v>13342.900000000001</v>
          </cell>
          <cell r="EF175">
            <v>2963</v>
          </cell>
          <cell r="EG175">
            <v>2955.7</v>
          </cell>
          <cell r="EH175">
            <v>3483.2</v>
          </cell>
          <cell r="EI175">
            <v>5039</v>
          </cell>
          <cell r="EJ175">
            <v>14440.9</v>
          </cell>
          <cell r="EL175">
            <v>3369</v>
          </cell>
          <cell r="EM175">
            <v>3446</v>
          </cell>
        </row>
        <row r="177">
          <cell r="A177" t="str">
            <v>May Co. Monthly Comps</v>
          </cell>
          <cell r="AN177" t="str">
            <v>May Co. Monthly Comps</v>
          </cell>
        </row>
        <row r="178">
          <cell r="A178" t="str">
            <v>Month 1</v>
          </cell>
          <cell r="AN178" t="str">
            <v>Month 1</v>
          </cell>
          <cell r="DZ178">
            <v>-8.8999999999999996E-2</v>
          </cell>
          <cell r="EA178">
            <v>-3.9E-2</v>
          </cell>
          <cell r="EB178">
            <v>-3.2000000000000001E-2</v>
          </cell>
          <cell r="EC178">
            <v>-1.7000000000000001E-2</v>
          </cell>
          <cell r="EF178">
            <v>2.5999999999999999E-2</v>
          </cell>
          <cell r="EG178">
            <v>-3.7999999999999999E-2</v>
          </cell>
          <cell r="EH178">
            <v>-6.7000000000000004E-2</v>
          </cell>
          <cell r="EI178">
            <v>-7.9000000000000001E-2</v>
          </cell>
          <cell r="EL178">
            <v>-4.2000000000000003E-2</v>
          </cell>
          <cell r="EM178">
            <v>-2.9000000000000001E-2</v>
          </cell>
          <cell r="EN178">
            <v>-2.8000000000000001E-2</v>
          </cell>
        </row>
        <row r="179">
          <cell r="A179" t="str">
            <v>Month 2</v>
          </cell>
          <cell r="AN179" t="str">
            <v>Month 2</v>
          </cell>
          <cell r="DZ179">
            <v>-0.114</v>
          </cell>
          <cell r="EA179">
            <v>-5.8999999999999997E-2</v>
          </cell>
          <cell r="EB179">
            <v>-3.0000000000000001E-3</v>
          </cell>
          <cell r="EC179">
            <v>1.0999999999999999E-2</v>
          </cell>
          <cell r="EF179">
            <v>0.10100000000000001</v>
          </cell>
          <cell r="EG179">
            <v>1.9E-2</v>
          </cell>
          <cell r="EH179">
            <v>-1.4999999999999999E-2</v>
          </cell>
          <cell r="EI179">
            <v>-3.5000000000000003E-2</v>
          </cell>
          <cell r="EL179">
            <v>-0.108</v>
          </cell>
          <cell r="EM179">
            <v>7.0000000000000001E-3</v>
          </cell>
        </row>
        <row r="180">
          <cell r="A180" t="str">
            <v>Month 3</v>
          </cell>
          <cell r="AN180" t="str">
            <v>Month 3</v>
          </cell>
          <cell r="DZ180">
            <v>-5.6000000000000001E-2</v>
          </cell>
          <cell r="EA180">
            <v>1.7999999999999999E-2</v>
          </cell>
          <cell r="EB180">
            <v>-4.2000000000000003E-2</v>
          </cell>
          <cell r="EC180">
            <v>5.2999999999999999E-2</v>
          </cell>
          <cell r="EF180">
            <v>-8.1000000000000003E-2</v>
          </cell>
          <cell r="EG180">
            <v>-5.2999999999999999E-2</v>
          </cell>
          <cell r="EH180">
            <v>-2.3E-2</v>
          </cell>
          <cell r="EI180">
            <v>-7.1999999999999995E-2</v>
          </cell>
          <cell r="EL180">
            <v>1.4999999999999999E-2</v>
          </cell>
          <cell r="EM180">
            <v>-3.3000000000000002E-2</v>
          </cell>
        </row>
        <row r="181">
          <cell r="A181" t="str">
            <v>Total</v>
          </cell>
          <cell r="AN181" t="str">
            <v>Total</v>
          </cell>
          <cell r="DZ181">
            <v>-8.7999999999999995E-2</v>
          </cell>
          <cell r="EA181">
            <v>-3.1E-2</v>
          </cell>
          <cell r="EB181">
            <v>-2.3921034946236562E-2</v>
          </cell>
          <cell r="EC181">
            <v>8.0000000000000002E-3</v>
          </cell>
          <cell r="ED181">
            <v>-2.8562204901446453E-2</v>
          </cell>
          <cell r="EF181">
            <v>1.7000000000000001E-2</v>
          </cell>
          <cell r="EG181">
            <v>-2.1999999999999999E-2</v>
          </cell>
          <cell r="EH181">
            <v>-3.4000000000000002E-2</v>
          </cell>
          <cell r="EI181">
            <v>-5.1999999999999998E-2</v>
          </cell>
          <cell r="EJ181">
            <v>-2.4E-2</v>
          </cell>
          <cell r="EL181">
            <v>-5.0999999999999997E-2</v>
          </cell>
          <cell r="EM181">
            <v>-1.6E-2</v>
          </cell>
        </row>
        <row r="183">
          <cell r="A183" t="str">
            <v>May Co. Store Count (Estimated)</v>
          </cell>
          <cell r="AN183" t="str">
            <v>May Co. Store Count (Estimated)</v>
          </cell>
        </row>
        <row r="184">
          <cell r="A184" t="str">
            <v>Month 1</v>
          </cell>
          <cell r="AN184" t="str">
            <v>Month 1</v>
          </cell>
          <cell r="DZ184">
            <v>444</v>
          </cell>
          <cell r="EA184">
            <v>445</v>
          </cell>
          <cell r="EB184">
            <v>447</v>
          </cell>
          <cell r="EC184">
            <v>448</v>
          </cell>
          <cell r="EF184">
            <v>442</v>
          </cell>
          <cell r="EG184">
            <v>438</v>
          </cell>
          <cell r="EH184">
            <v>497</v>
          </cell>
          <cell r="EI184">
            <v>501</v>
          </cell>
          <cell r="EL184">
            <v>491</v>
          </cell>
          <cell r="EM184">
            <v>489</v>
          </cell>
          <cell r="EN184">
            <v>487</v>
          </cell>
          <cell r="EO184">
            <v>491</v>
          </cell>
          <cell r="ER184">
            <v>458</v>
          </cell>
          <cell r="ES184">
            <v>455</v>
          </cell>
          <cell r="ET184">
            <v>452</v>
          </cell>
          <cell r="EU184">
            <v>452</v>
          </cell>
          <cell r="EX184">
            <v>451</v>
          </cell>
          <cell r="EY184">
            <v>451</v>
          </cell>
          <cell r="EZ184">
            <v>451</v>
          </cell>
          <cell r="FA184">
            <v>451</v>
          </cell>
          <cell r="FD184">
            <v>437</v>
          </cell>
          <cell r="FE184">
            <v>437</v>
          </cell>
          <cell r="FF184">
            <v>437</v>
          </cell>
          <cell r="FG184">
            <v>437</v>
          </cell>
          <cell r="FJ184">
            <v>437</v>
          </cell>
          <cell r="FK184">
            <v>437</v>
          </cell>
          <cell r="FL184">
            <v>437</v>
          </cell>
          <cell r="FM184">
            <v>437</v>
          </cell>
          <cell r="FP184">
            <v>437</v>
          </cell>
          <cell r="FQ184">
            <v>437</v>
          </cell>
          <cell r="FR184">
            <v>437</v>
          </cell>
          <cell r="FS184">
            <v>437</v>
          </cell>
          <cell r="FV184">
            <v>437</v>
          </cell>
          <cell r="FW184">
            <v>437</v>
          </cell>
          <cell r="FX184">
            <v>437</v>
          </cell>
          <cell r="FY184">
            <v>437</v>
          </cell>
          <cell r="GB184">
            <v>437</v>
          </cell>
          <cell r="GC184">
            <v>437</v>
          </cell>
          <cell r="GD184">
            <v>437</v>
          </cell>
          <cell r="GE184">
            <v>437</v>
          </cell>
        </row>
        <row r="185">
          <cell r="A185" t="str">
            <v>Month 2</v>
          </cell>
          <cell r="AN185" t="str">
            <v>Month 2</v>
          </cell>
          <cell r="DZ185">
            <v>444</v>
          </cell>
          <cell r="EA185">
            <v>446</v>
          </cell>
          <cell r="EB185">
            <v>448</v>
          </cell>
          <cell r="EC185">
            <v>448</v>
          </cell>
          <cell r="EF185">
            <v>439</v>
          </cell>
          <cell r="EG185">
            <v>438</v>
          </cell>
          <cell r="EH185">
            <v>497</v>
          </cell>
          <cell r="EI185">
            <v>501</v>
          </cell>
          <cell r="EL185">
            <v>490</v>
          </cell>
          <cell r="EM185">
            <v>487</v>
          </cell>
          <cell r="EN185">
            <v>487</v>
          </cell>
          <cell r="EO185">
            <v>491</v>
          </cell>
          <cell r="ER185">
            <v>455</v>
          </cell>
          <cell r="ES185">
            <v>454</v>
          </cell>
          <cell r="ET185">
            <v>452</v>
          </cell>
          <cell r="EU185">
            <v>452</v>
          </cell>
          <cell r="EX185">
            <v>451</v>
          </cell>
          <cell r="EY185">
            <v>451</v>
          </cell>
          <cell r="EZ185">
            <v>451</v>
          </cell>
          <cell r="FA185">
            <v>442</v>
          </cell>
          <cell r="FD185">
            <v>437</v>
          </cell>
          <cell r="FE185">
            <v>437</v>
          </cell>
          <cell r="FF185">
            <v>437</v>
          </cell>
          <cell r="FG185">
            <v>437</v>
          </cell>
          <cell r="FJ185">
            <v>437</v>
          </cell>
          <cell r="FK185">
            <v>437</v>
          </cell>
          <cell r="FL185">
            <v>437</v>
          </cell>
          <cell r="FM185">
            <v>437</v>
          </cell>
          <cell r="FP185">
            <v>437</v>
          </cell>
          <cell r="FQ185">
            <v>437</v>
          </cell>
          <cell r="FR185">
            <v>437</v>
          </cell>
          <cell r="FS185">
            <v>437</v>
          </cell>
          <cell r="FV185">
            <v>437</v>
          </cell>
          <cell r="FW185">
            <v>437</v>
          </cell>
          <cell r="FX185">
            <v>437</v>
          </cell>
          <cell r="FY185">
            <v>437</v>
          </cell>
          <cell r="GB185">
            <v>437</v>
          </cell>
          <cell r="GC185">
            <v>437</v>
          </cell>
          <cell r="GD185">
            <v>437</v>
          </cell>
          <cell r="GE185">
            <v>437</v>
          </cell>
        </row>
        <row r="186">
          <cell r="A186" t="str">
            <v>Month 3</v>
          </cell>
          <cell r="AN186" t="str">
            <v>Month 3</v>
          </cell>
          <cell r="DZ186">
            <v>444</v>
          </cell>
          <cell r="EA186">
            <v>446</v>
          </cell>
          <cell r="EB186">
            <v>450</v>
          </cell>
          <cell r="EC186">
            <v>444</v>
          </cell>
          <cell r="EF186">
            <v>439</v>
          </cell>
          <cell r="EG186">
            <v>497</v>
          </cell>
          <cell r="EH186">
            <v>500</v>
          </cell>
          <cell r="EI186">
            <v>491</v>
          </cell>
          <cell r="EL186">
            <v>490</v>
          </cell>
          <cell r="EM186">
            <v>487</v>
          </cell>
          <cell r="EN186">
            <v>491</v>
          </cell>
          <cell r="EO186">
            <v>458</v>
          </cell>
          <cell r="ER186">
            <v>455</v>
          </cell>
          <cell r="ES186">
            <v>453</v>
          </cell>
          <cell r="ET186">
            <v>452</v>
          </cell>
          <cell r="EU186">
            <v>451</v>
          </cell>
          <cell r="EX186">
            <v>451</v>
          </cell>
          <cell r="EY186">
            <v>451</v>
          </cell>
          <cell r="EZ186">
            <v>451</v>
          </cell>
          <cell r="FA186">
            <v>437</v>
          </cell>
          <cell r="FD186">
            <v>437</v>
          </cell>
          <cell r="FE186">
            <v>437</v>
          </cell>
          <cell r="FF186">
            <v>437</v>
          </cell>
          <cell r="FG186">
            <v>437</v>
          </cell>
          <cell r="FJ186">
            <v>437</v>
          </cell>
          <cell r="FK186">
            <v>437</v>
          </cell>
          <cell r="FL186">
            <v>437</v>
          </cell>
          <cell r="FM186">
            <v>437</v>
          </cell>
          <cell r="FP186">
            <v>437</v>
          </cell>
          <cell r="FQ186">
            <v>437</v>
          </cell>
          <cell r="FR186">
            <v>437</v>
          </cell>
          <cell r="FS186">
            <v>437</v>
          </cell>
          <cell r="FV186">
            <v>437</v>
          </cell>
          <cell r="FW186">
            <v>437</v>
          </cell>
          <cell r="FX186">
            <v>437</v>
          </cell>
          <cell r="FY186">
            <v>437</v>
          </cell>
          <cell r="GB186">
            <v>437</v>
          </cell>
          <cell r="GC186">
            <v>437</v>
          </cell>
          <cell r="GD186">
            <v>437</v>
          </cell>
          <cell r="GE186">
            <v>437</v>
          </cell>
        </row>
        <row r="187">
          <cell r="A187" t="str">
            <v>Total</v>
          </cell>
          <cell r="AN187" t="str">
            <v>Total</v>
          </cell>
          <cell r="DZ187">
            <v>444</v>
          </cell>
          <cell r="EA187">
            <v>446</v>
          </cell>
          <cell r="EB187">
            <v>450</v>
          </cell>
          <cell r="EC187">
            <v>444</v>
          </cell>
          <cell r="ED187">
            <v>444</v>
          </cell>
          <cell r="EF187">
            <v>439</v>
          </cell>
          <cell r="EG187">
            <v>497</v>
          </cell>
          <cell r="EH187">
            <v>500</v>
          </cell>
          <cell r="EI187">
            <v>491</v>
          </cell>
          <cell r="EJ187">
            <v>491</v>
          </cell>
          <cell r="EL187">
            <v>490</v>
          </cell>
          <cell r="EM187">
            <v>487</v>
          </cell>
          <cell r="EN187">
            <v>491</v>
          </cell>
          <cell r="EO187">
            <v>458</v>
          </cell>
          <cell r="EP187">
            <v>458</v>
          </cell>
          <cell r="ER187">
            <v>455</v>
          </cell>
          <cell r="ES187">
            <v>453</v>
          </cell>
          <cell r="ET187">
            <v>452</v>
          </cell>
          <cell r="EU187">
            <v>451</v>
          </cell>
          <cell r="EV187">
            <v>451</v>
          </cell>
          <cell r="EX187">
            <v>451</v>
          </cell>
          <cell r="EY187">
            <v>451</v>
          </cell>
          <cell r="EZ187">
            <v>451</v>
          </cell>
          <cell r="FA187">
            <v>437</v>
          </cell>
          <cell r="FB187">
            <v>437</v>
          </cell>
          <cell r="FD187">
            <v>437</v>
          </cell>
          <cell r="FE187">
            <v>437</v>
          </cell>
          <cell r="FF187">
            <v>437</v>
          </cell>
          <cell r="FG187">
            <v>437</v>
          </cell>
          <cell r="FH187">
            <v>437</v>
          </cell>
          <cell r="FJ187">
            <v>437</v>
          </cell>
          <cell r="FK187">
            <v>437</v>
          </cell>
          <cell r="FL187">
            <v>437</v>
          </cell>
          <cell r="FM187">
            <v>437</v>
          </cell>
          <cell r="FN187">
            <v>437</v>
          </cell>
          <cell r="FP187">
            <v>437</v>
          </cell>
          <cell r="FQ187">
            <v>437</v>
          </cell>
          <cell r="FR187">
            <v>437</v>
          </cell>
          <cell r="FS187">
            <v>437</v>
          </cell>
          <cell r="FT187">
            <v>437</v>
          </cell>
          <cell r="FV187">
            <v>437</v>
          </cell>
          <cell r="FW187">
            <v>437</v>
          </cell>
          <cell r="FX187">
            <v>437</v>
          </cell>
          <cell r="FY187">
            <v>437</v>
          </cell>
          <cell r="FZ187">
            <v>437</v>
          </cell>
          <cell r="GB187">
            <v>437</v>
          </cell>
          <cell r="GC187">
            <v>437</v>
          </cell>
          <cell r="GD187">
            <v>437</v>
          </cell>
          <cell r="GE187">
            <v>437</v>
          </cell>
          <cell r="GF187">
            <v>437</v>
          </cell>
        </row>
        <row r="189">
          <cell r="AN189" t="str">
            <v>Direct-to-consumer Monthly Sales</v>
          </cell>
        </row>
        <row r="190">
          <cell r="AN190" t="str">
            <v>Month 1</v>
          </cell>
          <cell r="CV190" t="str">
            <v>--</v>
          </cell>
          <cell r="CW190" t="str">
            <v>--</v>
          </cell>
          <cell r="CX190" t="str">
            <v>--</v>
          </cell>
          <cell r="CY190" t="str">
            <v>--</v>
          </cell>
          <cell r="DB190">
            <v>8</v>
          </cell>
          <cell r="DC190">
            <v>141</v>
          </cell>
          <cell r="DD190">
            <v>131</v>
          </cell>
          <cell r="DE190">
            <v>209</v>
          </cell>
          <cell r="DH190">
            <v>137</v>
          </cell>
          <cell r="DI190">
            <v>142</v>
          </cell>
          <cell r="DJ190">
            <v>128</v>
          </cell>
          <cell r="DK190">
            <v>185</v>
          </cell>
          <cell r="DN190">
            <v>69</v>
          </cell>
          <cell r="DO190">
            <v>81</v>
          </cell>
          <cell r="DP190" t="str">
            <v xml:space="preserve"> </v>
          </cell>
        </row>
        <row r="201">
          <cell r="AN201" t="str">
            <v>NA = Not Applicable, NM = Not Meaningful</v>
          </cell>
        </row>
        <row r="202">
          <cell r="N202" t="str">
            <v>1995-FY</v>
          </cell>
          <cell r="O202" t="str">
            <v>1996-FY</v>
          </cell>
          <cell r="P202" t="str">
            <v>1997-FY</v>
          </cell>
          <cell r="Q202" t="str">
            <v>1998-FY</v>
          </cell>
          <cell r="R202" t="str">
            <v>1999-FY</v>
          </cell>
          <cell r="S202" t="str">
            <v>2000-FY</v>
          </cell>
          <cell r="T202" t="str">
            <v>2001-FY</v>
          </cell>
          <cell r="U202" t="str">
            <v>2002-FY</v>
          </cell>
          <cell r="V202" t="str">
            <v>2003-FY</v>
          </cell>
          <cell r="W202" t="str">
            <v>2004-FY</v>
          </cell>
          <cell r="X202" t="str">
            <v>2005-FY</v>
          </cell>
          <cell r="Y202" t="str">
            <v>2006-FY</v>
          </cell>
          <cell r="Z202" t="str">
            <v>2007-FY</v>
          </cell>
          <cell r="AA202" t="str">
            <v>2008-FY</v>
          </cell>
          <cell r="AB202" t="str">
            <v>2009-FY</v>
          </cell>
          <cell r="AC202" t="str">
            <v>2010-FY</v>
          </cell>
          <cell r="AD202" t="str">
            <v>2011-FY</v>
          </cell>
          <cell r="AE202" t="str">
            <v>2012-FY</v>
          </cell>
          <cell r="AF202" t="str">
            <v>2013-FY</v>
          </cell>
          <cell r="AG202" t="str">
            <v>2014-FY</v>
          </cell>
          <cell r="AH202" t="str">
            <v>2015-FY</v>
          </cell>
          <cell r="DH202" t="str">
            <v>2000-Q1</v>
          </cell>
          <cell r="DI202" t="str">
            <v>2000-Q2</v>
          </cell>
          <cell r="DJ202" t="str">
            <v>2000-Q3</v>
          </cell>
          <cell r="DK202" t="str">
            <v>2000-Q4</v>
          </cell>
          <cell r="DN202" t="str">
            <v>2001-Q1</v>
          </cell>
          <cell r="DO202" t="str">
            <v>2001-Q2</v>
          </cell>
          <cell r="DP202" t="str">
            <v>2001-Q3</v>
          </cell>
          <cell r="DQ202" t="str">
            <v>2001-Q4</v>
          </cell>
          <cell r="DT202" t="str">
            <v>2002-Q1</v>
          </cell>
          <cell r="DU202" t="str">
            <v>2002-Q2</v>
          </cell>
          <cell r="DV202" t="str">
            <v>2002-Q3</v>
          </cell>
          <cell r="DW202" t="str">
            <v>2002-Q4</v>
          </cell>
          <cell r="DZ202" t="str">
            <v>2003-Q1</v>
          </cell>
          <cell r="EA202" t="str">
            <v>2003-Q2</v>
          </cell>
          <cell r="EB202" t="str">
            <v>2003-Q3</v>
          </cell>
          <cell r="EC202" t="str">
            <v>2003-Q4</v>
          </cell>
          <cell r="EF202" t="str">
            <v>2004-Q1</v>
          </cell>
          <cell r="EG202" t="str">
            <v>2004-Q2</v>
          </cell>
          <cell r="EH202" t="str">
            <v>2004-Q3</v>
          </cell>
          <cell r="EI202" t="str">
            <v>2004-Q4</v>
          </cell>
          <cell r="EL202" t="str">
            <v>2005-Q1</v>
          </cell>
          <cell r="EM202" t="str">
            <v>2005-Q2</v>
          </cell>
          <cell r="EN202" t="str">
            <v>2005-Q3</v>
          </cell>
          <cell r="EO202" t="str">
            <v>2005-Q4</v>
          </cell>
          <cell r="ER202" t="str">
            <v>2006-Q1</v>
          </cell>
          <cell r="ES202" t="str">
            <v>2006-Q2</v>
          </cell>
          <cell r="ET202" t="str">
            <v>2006-Q3</v>
          </cell>
          <cell r="EU202" t="str">
            <v>2006-Q4</v>
          </cell>
          <cell r="EX202" t="str">
            <v>2007-Q1</v>
          </cell>
          <cell r="EY202" t="str">
            <v>2007-Q2</v>
          </cell>
          <cell r="EZ202" t="str">
            <v>2007-Q3</v>
          </cell>
          <cell r="FA202" t="str">
            <v>2007-Q4</v>
          </cell>
          <cell r="FD202" t="str">
            <v>2008-Q1</v>
          </cell>
          <cell r="FE202" t="str">
            <v>2008-Q2</v>
          </cell>
          <cell r="FF202" t="str">
            <v>2008-Q3</v>
          </cell>
          <cell r="FG202" t="str">
            <v>2008-Q4</v>
          </cell>
          <cell r="FJ202" t="str">
            <v>2009-Q1</v>
          </cell>
          <cell r="FK202" t="str">
            <v>2009-Q2</v>
          </cell>
          <cell r="FL202" t="str">
            <v>2009-Q3</v>
          </cell>
          <cell r="FM202" t="str">
            <v>2009-Q4</v>
          </cell>
          <cell r="FP202" t="str">
            <v>2010-Q1</v>
          </cell>
          <cell r="FQ202" t="str">
            <v>2010-Q2</v>
          </cell>
          <cell r="FR202" t="str">
            <v>2010-Q3</v>
          </cell>
          <cell r="FS202" t="str">
            <v>2010-Q4</v>
          </cell>
          <cell r="FV202" t="str">
            <v>2011-Q1</v>
          </cell>
          <cell r="FW202" t="str">
            <v>2011-Q2</v>
          </cell>
          <cell r="FX202" t="str">
            <v>2011-Q3</v>
          </cell>
          <cell r="FY202" t="str">
            <v>2011-Q4</v>
          </cell>
          <cell r="GB202" t="str">
            <v>2012-Q1</v>
          </cell>
          <cell r="GC202" t="str">
            <v>2012-Q2</v>
          </cell>
          <cell r="GD202" t="str">
            <v>2012-Q3</v>
          </cell>
          <cell r="GE202" t="str">
            <v>2012-Q4</v>
          </cell>
        </row>
        <row r="203">
          <cell r="AA203" t="str">
            <v>LINK OVER TO QUARTERLY BULL/BEAR</v>
          </cell>
        </row>
        <row r="204">
          <cell r="A204" t="str">
            <v>Base Case Assumptions</v>
          </cell>
          <cell r="N204">
            <v>1995</v>
          </cell>
          <cell r="O204">
            <v>1996</v>
          </cell>
          <cell r="P204">
            <v>1997</v>
          </cell>
          <cell r="Q204">
            <v>1998</v>
          </cell>
          <cell r="R204">
            <v>1999</v>
          </cell>
          <cell r="S204">
            <v>2000</v>
          </cell>
          <cell r="T204">
            <v>2001</v>
          </cell>
          <cell r="U204">
            <v>2002</v>
          </cell>
          <cell r="V204">
            <v>2003</v>
          </cell>
          <cell r="W204">
            <v>2004</v>
          </cell>
          <cell r="X204">
            <v>2005</v>
          </cell>
          <cell r="Y204">
            <v>2006</v>
          </cell>
          <cell r="Z204">
            <v>2007</v>
          </cell>
          <cell r="AA204">
            <v>2008</v>
          </cell>
          <cell r="AB204">
            <v>2009</v>
          </cell>
          <cell r="AC204">
            <v>2010</v>
          </cell>
          <cell r="AD204">
            <v>2011</v>
          </cell>
          <cell r="AE204" t="str">
            <v>2012E</v>
          </cell>
          <cell r="AF204" t="str">
            <v>2013E</v>
          </cell>
          <cell r="AG204" t="str">
            <v>2014E</v>
          </cell>
          <cell r="AH204" t="str">
            <v>2015E</v>
          </cell>
          <cell r="AI204" t="str">
            <v>2016E</v>
          </cell>
          <cell r="AJ204" t="str">
            <v>2017E</v>
          </cell>
          <cell r="AK204" t="str">
            <v>2018E</v>
          </cell>
          <cell r="AL204" t="str">
            <v>2019E</v>
          </cell>
          <cell r="AN204" t="str">
            <v>Base Case Assumptions</v>
          </cell>
          <cell r="EL204" t="str">
            <v>Base Case Assumptions</v>
          </cell>
        </row>
        <row r="205">
          <cell r="A205" t="str">
            <v>Revenue</v>
          </cell>
          <cell r="N205">
            <v>14614</v>
          </cell>
          <cell r="O205">
            <v>14833</v>
          </cell>
          <cell r="P205">
            <v>15220</v>
          </cell>
          <cell r="Q205">
            <v>15365</v>
          </cell>
          <cell r="R205">
            <v>16029</v>
          </cell>
          <cell r="S205">
            <v>16638</v>
          </cell>
          <cell r="T205">
            <v>15785</v>
          </cell>
          <cell r="U205">
            <v>15571</v>
          </cell>
          <cell r="V205">
            <v>15412</v>
          </cell>
          <cell r="W205">
            <v>15776</v>
          </cell>
          <cell r="X205">
            <v>22390</v>
          </cell>
          <cell r="Y205">
            <v>26970</v>
          </cell>
          <cell r="Z205">
            <v>26313</v>
          </cell>
          <cell r="AA205">
            <v>24892</v>
          </cell>
          <cell r="AB205">
            <v>23895</v>
          </cell>
          <cell r="AC205">
            <v>25003</v>
          </cell>
          <cell r="AD205">
            <v>26405</v>
          </cell>
          <cell r="AE205">
            <v>27697.820605365057</v>
          </cell>
          <cell r="AF205">
            <v>28358.892641397051</v>
          </cell>
          <cell r="AG205">
            <v>28905.408744504351</v>
          </cell>
          <cell r="AH205">
            <v>29204.897015558319</v>
          </cell>
          <cell r="AI205">
            <v>29496.945985713905</v>
          </cell>
          <cell r="AJ205">
            <v>29791.915445571045</v>
          </cell>
          <cell r="AK205">
            <v>30089.834600026756</v>
          </cell>
          <cell r="AL205">
            <v>30390.732946027023</v>
          </cell>
          <cell r="AN205" t="str">
            <v>Consolidated Stores Monthly Sales ($)</v>
          </cell>
          <cell r="EL205" t="str">
            <v>Consolidated Stores Monthly Sales ($)</v>
          </cell>
          <cell r="EU205">
            <v>356</v>
          </cell>
        </row>
        <row r="206">
          <cell r="A206" t="str">
            <v xml:space="preserve"> % Same-store</v>
          </cell>
          <cell r="N206">
            <v>2.7E-2</v>
          </cell>
          <cell r="O206">
            <v>3.1E-2</v>
          </cell>
          <cell r="P206">
            <v>2.7E-2</v>
          </cell>
          <cell r="Q206">
            <v>2.1999999999999999E-2</v>
          </cell>
          <cell r="R206">
            <v>4.4999999999999998E-2</v>
          </cell>
          <cell r="S206">
            <v>0.02</v>
          </cell>
          <cell r="T206">
            <v>-5.2999999999999999E-2</v>
          </cell>
          <cell r="U206">
            <v>-0.03</v>
          </cell>
          <cell r="V206">
            <v>-9.0000000000000011E-3</v>
          </cell>
          <cell r="W206">
            <v>2.5999999999999999E-2</v>
          </cell>
          <cell r="X206">
            <v>1.2999999999999999E-2</v>
          </cell>
          <cell r="Y206">
            <v>4.3999999999999997E-2</v>
          </cell>
          <cell r="Z206">
            <v>-1.2799528750047504E-2</v>
          </cell>
          <cell r="AA206">
            <v>-4.4999999999999998E-2</v>
          </cell>
          <cell r="AB206">
            <v>-5.0987622799162344E-2</v>
          </cell>
          <cell r="AC206">
            <v>4.610434747830261E-2</v>
          </cell>
          <cell r="AD206">
            <v>5.2999999999999999E-2</v>
          </cell>
          <cell r="AE206">
            <v>4.02253638971692E-2</v>
          </cell>
          <cell r="AF206">
            <v>3.5000000000000003E-2</v>
          </cell>
          <cell r="AG206">
            <v>0.02</v>
          </cell>
          <cell r="AH206">
            <v>0.01</v>
          </cell>
          <cell r="AI206">
            <v>0.01</v>
          </cell>
          <cell r="AJ206">
            <v>0.01</v>
          </cell>
          <cell r="AK206">
            <v>0.01</v>
          </cell>
          <cell r="AL206">
            <v>0.01</v>
          </cell>
          <cell r="AN206" t="str">
            <v>Month 1</v>
          </cell>
          <cell r="EL206" t="str">
            <v>Month 1</v>
          </cell>
          <cell r="ER206">
            <v>1800</v>
          </cell>
          <cell r="ES206">
            <v>2026</v>
          </cell>
          <cell r="ET206">
            <v>1727</v>
          </cell>
          <cell r="EU206">
            <v>2385</v>
          </cell>
          <cell r="EX206">
            <v>1802</v>
          </cell>
          <cell r="EY206">
            <v>1976</v>
          </cell>
          <cell r="EZ206">
            <v>1788</v>
          </cell>
          <cell r="FA206">
            <v>2707</v>
          </cell>
          <cell r="FD206">
            <v>1737</v>
          </cell>
          <cell r="FE206">
            <v>1926</v>
          </cell>
          <cell r="FF206">
            <v>1686</v>
          </cell>
          <cell r="FG206">
            <v>2324</v>
          </cell>
          <cell r="FJ206">
            <v>1602.5975291456411</v>
          </cell>
          <cell r="FK206">
            <v>1783.7565582371458</v>
          </cell>
          <cell r="FL206">
            <v>1576.1490988530857</v>
          </cell>
          <cell r="FM206">
            <v>2202.7766574237457</v>
          </cell>
          <cell r="FP206">
            <v>1667</v>
          </cell>
          <cell r="FQ206">
            <v>1789</v>
          </cell>
          <cell r="FR206">
            <v>1638</v>
          </cell>
          <cell r="FS206">
            <v>2341</v>
          </cell>
          <cell r="FV206">
            <v>1763</v>
          </cell>
          <cell r="FW206">
            <v>1937</v>
          </cell>
          <cell r="FX206">
            <v>1714</v>
          </cell>
          <cell r="FY206">
            <v>2465</v>
          </cell>
          <cell r="GB206">
            <v>1860</v>
          </cell>
          <cell r="GC206">
            <v>2015</v>
          </cell>
          <cell r="GD206">
            <v>1812</v>
          </cell>
          <cell r="GE206">
            <v>2539.5720461726355</v>
          </cell>
        </row>
        <row r="207">
          <cell r="A207" t="str">
            <v>CGS, OCC, Buying Costs</v>
          </cell>
          <cell r="N207">
            <v>9038</v>
          </cell>
          <cell r="O207">
            <v>9018</v>
          </cell>
          <cell r="P207">
            <v>9200</v>
          </cell>
          <cell r="Q207">
            <v>9218</v>
          </cell>
          <cell r="R207">
            <v>9576</v>
          </cell>
          <cell r="S207">
            <v>9955</v>
          </cell>
          <cell r="T207">
            <v>9603</v>
          </cell>
          <cell r="U207">
            <v>9324</v>
          </cell>
          <cell r="V207">
            <v>9175</v>
          </cell>
          <cell r="W207">
            <v>9346</v>
          </cell>
          <cell r="X207">
            <v>13272</v>
          </cell>
          <cell r="Y207">
            <v>16019</v>
          </cell>
          <cell r="Z207">
            <v>15774.299839502128</v>
          </cell>
          <cell r="AA207">
            <v>15009</v>
          </cell>
          <cell r="AB207">
            <v>14278</v>
          </cell>
          <cell r="AC207">
            <v>14824</v>
          </cell>
          <cell r="AD207">
            <v>15738</v>
          </cell>
          <cell r="AE207">
            <v>16473.116703251519</v>
          </cell>
          <cell r="AF207">
            <v>16781.208749826241</v>
          </cell>
          <cell r="AG207">
            <v>17061.248342231931</v>
          </cell>
          <cell r="AH207">
            <v>17267.224438478806</v>
          </cell>
          <cell r="AI207">
            <v>17498.890574835023</v>
          </cell>
          <cell r="AJ207">
            <v>17673.879480583375</v>
          </cell>
          <cell r="AK207">
            <v>17850.618275389206</v>
          </cell>
          <cell r="AL207">
            <v>18029.124458143102</v>
          </cell>
          <cell r="AN207" t="str">
            <v>Month 2</v>
          </cell>
          <cell r="EL207" t="str">
            <v>Month 2</v>
          </cell>
          <cell r="ER207">
            <v>2255</v>
          </cell>
          <cell r="ES207">
            <v>2367</v>
          </cell>
          <cell r="ET207">
            <v>2303</v>
          </cell>
          <cell r="EU207">
            <v>4997</v>
          </cell>
          <cell r="EX207">
            <v>2288</v>
          </cell>
          <cell r="EY207">
            <v>2321</v>
          </cell>
          <cell r="EZ207">
            <v>2274</v>
          </cell>
          <cell r="FA207">
            <v>4624</v>
          </cell>
          <cell r="FD207">
            <v>2142</v>
          </cell>
          <cell r="FE207">
            <v>2249</v>
          </cell>
          <cell r="FF207">
            <v>2093</v>
          </cell>
          <cell r="FG207">
            <v>4397</v>
          </cell>
          <cell r="FJ207">
            <v>1963.7990255785628</v>
          </cell>
          <cell r="FK207">
            <v>2092.5916404337181</v>
          </cell>
          <cell r="FL207">
            <v>2084.1512834516657</v>
          </cell>
          <cell r="FM207">
            <v>4474.7693471136881</v>
          </cell>
          <cell r="FP207">
            <v>2172</v>
          </cell>
          <cell r="FQ207">
            <v>2229</v>
          </cell>
          <cell r="FR207">
            <v>2181</v>
          </cell>
          <cell r="FS207">
            <v>4619</v>
          </cell>
          <cell r="FV207">
            <v>2206</v>
          </cell>
          <cell r="FW207">
            <v>2392</v>
          </cell>
          <cell r="FX207">
            <v>2298</v>
          </cell>
          <cell r="FY207">
            <v>4925</v>
          </cell>
          <cell r="GB207">
            <v>2358</v>
          </cell>
          <cell r="GC207">
            <v>2412</v>
          </cell>
          <cell r="GD207">
            <v>2339.3160690399509</v>
          </cell>
          <cell r="GE207">
            <v>5073.9928305883286</v>
          </cell>
        </row>
        <row r="208">
          <cell r="A208" t="str">
            <v>CGS, OCC, Buying Costs %</v>
          </cell>
          <cell r="N208">
            <v>0.61844806350075265</v>
          </cell>
          <cell r="O208">
            <v>0.60796871839816624</v>
          </cell>
          <cell r="P208">
            <v>0.60446780551905388</v>
          </cell>
          <cell r="Q208">
            <v>0.59993491701919943</v>
          </cell>
          <cell r="R208">
            <v>0.59741718135878719</v>
          </cell>
          <cell r="S208">
            <v>0.5983291260968866</v>
          </cell>
          <cell r="T208">
            <v>0.60836236933797905</v>
          </cell>
          <cell r="U208">
            <v>0.59880547171023057</v>
          </cell>
          <cell r="V208">
            <v>0.59531533869711917</v>
          </cell>
          <cell r="W208">
            <v>0.59241886409736311</v>
          </cell>
          <cell r="X208">
            <v>0.59276462706565436</v>
          </cell>
          <cell r="Y208">
            <v>0.59395624768261035</v>
          </cell>
          <cell r="Z208">
            <v>0.59948693951666965</v>
          </cell>
          <cell r="AA208">
            <v>0.60296480797043228</v>
          </cell>
          <cell r="AB208">
            <v>0.59753086419753088</v>
          </cell>
          <cell r="AC208">
            <v>0.59288885333759944</v>
          </cell>
          <cell r="AD208">
            <v>0.59602348040143915</v>
          </cell>
          <cell r="AE208">
            <v>0.59474414748937621</v>
          </cell>
          <cell r="AF208">
            <v>0.5917441474893762</v>
          </cell>
          <cell r="AG208">
            <v>0.59024414748937615</v>
          </cell>
          <cell r="AH208">
            <v>0.59124414748937626</v>
          </cell>
          <cell r="AI208">
            <v>0.59324414748937615</v>
          </cell>
          <cell r="AJ208">
            <v>0.59324414748937626</v>
          </cell>
          <cell r="AK208">
            <v>0.59324414748937615</v>
          </cell>
          <cell r="AL208">
            <v>0.59324414748937626</v>
          </cell>
          <cell r="AN208" t="str">
            <v>Month 3</v>
          </cell>
          <cell r="EL208" t="str">
            <v>Month 3</v>
          </cell>
          <cell r="ER208">
            <v>1878</v>
          </cell>
          <cell r="ES208">
            <v>1608</v>
          </cell>
          <cell r="ET208">
            <v>1863</v>
          </cell>
          <cell r="EU208">
            <v>1780</v>
          </cell>
          <cell r="EX208">
            <v>1837</v>
          </cell>
          <cell r="EY208">
            <v>1602</v>
          </cell>
          <cell r="EZ208">
            <v>1849</v>
          </cell>
          <cell r="FA208">
            <v>1273</v>
          </cell>
          <cell r="FD208">
            <v>1868</v>
          </cell>
          <cell r="FE208">
            <v>1543</v>
          </cell>
          <cell r="FF208">
            <v>1714</v>
          </cell>
          <cell r="FG208">
            <v>1213</v>
          </cell>
          <cell r="FJ208">
            <v>1720.603445275796</v>
          </cell>
          <cell r="FK208">
            <v>1409.6518013291361</v>
          </cell>
          <cell r="FL208">
            <v>1725.6996176952484</v>
          </cell>
          <cell r="FM208">
            <v>1268.4539954625661</v>
          </cell>
          <cell r="FP208">
            <v>1739</v>
          </cell>
          <cell r="FQ208">
            <v>1528</v>
          </cell>
          <cell r="FR208">
            <v>1806</v>
          </cell>
          <cell r="FS208">
            <v>1310</v>
          </cell>
          <cell r="FV208">
            <v>1920</v>
          </cell>
          <cell r="FW208">
            <v>1612</v>
          </cell>
          <cell r="FX208">
            <v>1842</v>
          </cell>
          <cell r="FY208">
            <v>1336</v>
          </cell>
          <cell r="GB208">
            <v>1928</v>
          </cell>
          <cell r="GC208">
            <v>1693</v>
          </cell>
          <cell r="GD208">
            <v>1918.3705778953104</v>
          </cell>
          <cell r="GE208">
            <v>1753.5690816688336</v>
          </cell>
        </row>
        <row r="209">
          <cell r="A209" t="str">
            <v>Y/Y ∆ CGS, OCC, Buying Costs % (bps)</v>
          </cell>
          <cell r="O209">
            <v>-104.79345102586413</v>
          </cell>
          <cell r="P209">
            <v>-35.009128791123615</v>
          </cell>
          <cell r="Q209">
            <v>-45.328884998544481</v>
          </cell>
          <cell r="R209">
            <v>-25.177356604122458</v>
          </cell>
          <cell r="S209">
            <v>9.1194473809941279</v>
          </cell>
          <cell r="T209">
            <v>100.33243241092448</v>
          </cell>
          <cell r="U209">
            <v>-95.568976277484722</v>
          </cell>
          <cell r="V209">
            <v>-34.901330131114072</v>
          </cell>
          <cell r="W209">
            <v>-28.964745997560605</v>
          </cell>
          <cell r="X209">
            <v>3.4576296829125219</v>
          </cell>
          <cell r="Y209">
            <v>11.916206169559906</v>
          </cell>
          <cell r="Z209">
            <v>55.306918340592979</v>
          </cell>
          <cell r="AA209">
            <v>34.778684537626333</v>
          </cell>
          <cell r="AB209">
            <v>-54.339437729014065</v>
          </cell>
          <cell r="AC209">
            <v>-46.420108599314332</v>
          </cell>
          <cell r="AD209">
            <v>31.346270638397122</v>
          </cell>
          <cell r="AE209">
            <v>-12.793329120629471</v>
          </cell>
          <cell r="AF209">
            <v>-30.000000000000028</v>
          </cell>
          <cell r="AG209">
            <v>-15.000000000000568</v>
          </cell>
          <cell r="AH209">
            <v>10.000000000001119</v>
          </cell>
          <cell r="AI209">
            <v>19.999999999998906</v>
          </cell>
          <cell r="AJ209">
            <v>1.1102230246251565E-12</v>
          </cell>
          <cell r="AK209">
            <v>-1.1102230246251565E-12</v>
          </cell>
          <cell r="AL209">
            <v>1.1102230246251565E-12</v>
          </cell>
          <cell r="AN209" t="str">
            <v>Total</v>
          </cell>
          <cell r="EL209" t="str">
            <v>Total</v>
          </cell>
          <cell r="ER209">
            <v>5930</v>
          </cell>
          <cell r="ES209">
            <v>5995</v>
          </cell>
          <cell r="ET209">
            <v>5886</v>
          </cell>
          <cell r="EU209">
            <v>9159</v>
          </cell>
          <cell r="EV209">
            <v>26970</v>
          </cell>
          <cell r="EX209">
            <v>5921</v>
          </cell>
          <cell r="EY209">
            <v>5892</v>
          </cell>
          <cell r="EZ209">
            <v>5906</v>
          </cell>
          <cell r="FA209">
            <v>8594</v>
          </cell>
          <cell r="FB209">
            <v>26313</v>
          </cell>
          <cell r="FD209">
            <v>5747</v>
          </cell>
          <cell r="FE209">
            <v>5718</v>
          </cell>
          <cell r="FF209">
            <v>5493</v>
          </cell>
          <cell r="FG209">
            <v>7934</v>
          </cell>
          <cell r="FH209">
            <v>24892</v>
          </cell>
          <cell r="FJ209">
            <v>5288</v>
          </cell>
          <cell r="FK209">
            <v>5285</v>
          </cell>
          <cell r="FL209">
            <v>5385</v>
          </cell>
          <cell r="FM209">
            <v>7937</v>
          </cell>
          <cell r="FN209">
            <v>23895</v>
          </cell>
          <cell r="FP209">
            <v>5574</v>
          </cell>
          <cell r="FQ209">
            <v>5537</v>
          </cell>
          <cell r="FR209">
            <v>5623</v>
          </cell>
          <cell r="FS209">
            <v>8269</v>
          </cell>
          <cell r="FT209">
            <v>25003</v>
          </cell>
          <cell r="FV209">
            <v>5889</v>
          </cell>
          <cell r="FW209">
            <v>5939</v>
          </cell>
          <cell r="FX209">
            <v>5853</v>
          </cell>
          <cell r="FY209">
            <v>8724</v>
          </cell>
          <cell r="FZ209">
            <v>26405</v>
          </cell>
          <cell r="GB209">
            <v>6143</v>
          </cell>
          <cell r="GC209">
            <v>6118</v>
          </cell>
          <cell r="GD209">
            <v>6069.6866469352608</v>
          </cell>
          <cell r="GE209">
            <v>9367.1339584297966</v>
          </cell>
          <cell r="GF209">
            <v>27697.820605365057</v>
          </cell>
        </row>
        <row r="210">
          <cell r="A210" t="str">
            <v>Gross Income</v>
          </cell>
          <cell r="N210">
            <v>5576</v>
          </cell>
          <cell r="O210">
            <v>5815</v>
          </cell>
          <cell r="P210">
            <v>6020</v>
          </cell>
          <cell r="Q210">
            <v>6147</v>
          </cell>
          <cell r="R210">
            <v>6453</v>
          </cell>
          <cell r="S210">
            <v>6683</v>
          </cell>
          <cell r="T210">
            <v>6182</v>
          </cell>
          <cell r="U210">
            <v>6247</v>
          </cell>
          <cell r="V210">
            <v>6237</v>
          </cell>
          <cell r="W210">
            <v>6430</v>
          </cell>
          <cell r="X210">
            <v>9118</v>
          </cell>
          <cell r="Y210">
            <v>10951</v>
          </cell>
          <cell r="Z210">
            <v>10538.700160497872</v>
          </cell>
          <cell r="AA210">
            <v>9883</v>
          </cell>
          <cell r="AB210">
            <v>9617</v>
          </cell>
          <cell r="AC210">
            <v>10179</v>
          </cell>
          <cell r="AD210">
            <v>10667</v>
          </cell>
          <cell r="AE210">
            <v>11224.703902113539</v>
          </cell>
          <cell r="AF210">
            <v>11577.683891570809</v>
          </cell>
          <cell r="AG210">
            <v>11844.16040227242</v>
          </cell>
          <cell r="AH210">
            <v>11937.672577079513</v>
          </cell>
          <cell r="AI210">
            <v>11998.055410878882</v>
          </cell>
          <cell r="AJ210">
            <v>12118.035964987672</v>
          </cell>
          <cell r="AK210">
            <v>12239.216324637548</v>
          </cell>
          <cell r="AL210">
            <v>12361.608487883923</v>
          </cell>
        </row>
        <row r="211">
          <cell r="A211" t="str">
            <v>Gross Margin</v>
          </cell>
          <cell r="N211">
            <v>0.38155193649924729</v>
          </cell>
          <cell r="O211">
            <v>0.39203128160183376</v>
          </cell>
          <cell r="P211">
            <v>0.39553219448094612</v>
          </cell>
          <cell r="Q211">
            <v>0.40006508298080051</v>
          </cell>
          <cell r="R211">
            <v>0.40258281864121281</v>
          </cell>
          <cell r="S211">
            <v>0.40167087390311335</v>
          </cell>
          <cell r="T211">
            <v>0.3916376306620209</v>
          </cell>
          <cell r="U211">
            <v>0.40119452828976943</v>
          </cell>
          <cell r="V211">
            <v>0.40468466130288089</v>
          </cell>
          <cell r="W211">
            <v>0.40758113590263689</v>
          </cell>
          <cell r="X211">
            <v>0.4072353729343457</v>
          </cell>
          <cell r="Y211">
            <v>0.40604375231738971</v>
          </cell>
          <cell r="Z211">
            <v>0.40051306048333035</v>
          </cell>
          <cell r="AA211">
            <v>0.39703519202956772</v>
          </cell>
          <cell r="AB211">
            <v>0.40246913580246912</v>
          </cell>
          <cell r="AC211">
            <v>0.4071111466624005</v>
          </cell>
          <cell r="AD211">
            <v>0.4039765195985609</v>
          </cell>
          <cell r="AE211">
            <v>0.40525585251062379</v>
          </cell>
          <cell r="AF211">
            <v>0.4082558525106238</v>
          </cell>
          <cell r="AG211">
            <v>0.4097558525106238</v>
          </cell>
          <cell r="AH211">
            <v>0.4087558525106238</v>
          </cell>
          <cell r="AI211">
            <v>0.40675585251062379</v>
          </cell>
          <cell r="AJ211">
            <v>0.40675585251062379</v>
          </cell>
          <cell r="AK211">
            <v>0.40675585251062379</v>
          </cell>
          <cell r="AL211">
            <v>0.40675585251062379</v>
          </cell>
          <cell r="AN211" t="str">
            <v xml:space="preserve">Consolidated Monthly Comps </v>
          </cell>
          <cell r="EL211" t="str">
            <v xml:space="preserve">Consolidated Monthly Comps </v>
          </cell>
          <cell r="EX211">
            <v>2.9599999999999991E-3</v>
          </cell>
          <cell r="FA211">
            <v>-1.5112275862068966E-2</v>
          </cell>
        </row>
        <row r="212">
          <cell r="A212" t="str">
            <v>Y/Y ∆ Gross Margin (bps)</v>
          </cell>
          <cell r="O212">
            <v>104.79345102586468</v>
          </cell>
          <cell r="P212">
            <v>35.009128791123615</v>
          </cell>
          <cell r="Q212">
            <v>45.328884998543927</v>
          </cell>
          <cell r="R212">
            <v>25.177356604123013</v>
          </cell>
          <cell r="S212">
            <v>-9.1194473809946821</v>
          </cell>
          <cell r="T212">
            <v>-100.33243241092448</v>
          </cell>
          <cell r="U212">
            <v>95.568976277485291</v>
          </cell>
          <cell r="V212">
            <v>34.901330131114626</v>
          </cell>
          <cell r="W212">
            <v>28.964745997560048</v>
          </cell>
          <cell r="X212">
            <v>-3.4576296829119668</v>
          </cell>
          <cell r="Y212">
            <v>-11.916206169559906</v>
          </cell>
          <cell r="Z212">
            <v>-55.306918340593533</v>
          </cell>
          <cell r="AA212">
            <v>-34.778684537626333</v>
          </cell>
          <cell r="AB212">
            <v>54.339437729014065</v>
          </cell>
          <cell r="AC212">
            <v>46.420108599313778</v>
          </cell>
          <cell r="AD212">
            <v>-31.346270638396014</v>
          </cell>
          <cell r="AE212">
            <v>12.793329120628915</v>
          </cell>
          <cell r="AF212">
            <v>30</v>
          </cell>
          <cell r="AG212">
            <v>15</v>
          </cell>
          <cell r="AH212">
            <v>-10</v>
          </cell>
          <cell r="AI212">
            <v>-20</v>
          </cell>
          <cell r="AJ212">
            <v>0</v>
          </cell>
          <cell r="AK212">
            <v>0</v>
          </cell>
          <cell r="AL212">
            <v>0</v>
          </cell>
          <cell r="AN212" t="str">
            <v>Month 1</v>
          </cell>
          <cell r="EL212" t="str">
            <v>Month 1</v>
          </cell>
          <cell r="ER212">
            <v>0.01</v>
          </cell>
          <cell r="ES212">
            <v>9.1999999999999998E-2</v>
          </cell>
          <cell r="ET212">
            <v>3.7999999999999999E-2</v>
          </cell>
          <cell r="EU212">
            <v>8.5000000000000006E-2</v>
          </cell>
          <cell r="EX212">
            <v>1.2E-2</v>
          </cell>
          <cell r="EY212">
            <v>-3.3000000000000002E-2</v>
          </cell>
          <cell r="EZ212">
            <v>2.4E-2</v>
          </cell>
          <cell r="FA212">
            <v>0.13400000000000001</v>
          </cell>
          <cell r="FD212">
            <v>-3.5000000000000003E-2</v>
          </cell>
          <cell r="FE212">
            <v>-1.4999999999999999E-2</v>
          </cell>
          <cell r="FF212">
            <v>-4.8000000000000001E-2</v>
          </cell>
          <cell r="FG212">
            <v>-0.13300000000000001</v>
          </cell>
          <cell r="FJ212">
            <v>-8.5000000000000006E-2</v>
          </cell>
          <cell r="FK212">
            <v>-9.0999999999999998E-2</v>
          </cell>
          <cell r="FL212">
            <v>-8.1000000000000003E-2</v>
          </cell>
          <cell r="FM212">
            <v>-6.0999999999999999E-2</v>
          </cell>
          <cell r="FP212">
            <v>3.6999999999999998E-2</v>
          </cell>
          <cell r="FQ212">
            <v>1.4E-2</v>
          </cell>
          <cell r="FR212">
            <v>4.2999999999999997E-2</v>
          </cell>
          <cell r="FS212">
            <v>6.0999999999999999E-2</v>
          </cell>
          <cell r="FV212">
            <v>5.8000000000000003E-2</v>
          </cell>
          <cell r="FW212">
            <v>7.3999999999999996E-2</v>
          </cell>
          <cell r="FX212">
            <v>0.05</v>
          </cell>
          <cell r="FY212">
            <v>4.8000000000000001E-2</v>
          </cell>
          <cell r="GB212">
            <v>4.5999999999999999E-2</v>
          </cell>
          <cell r="GC212">
            <v>4.2000000000000003E-2</v>
          </cell>
          <cell r="GD212">
            <v>5.0999999999999997E-2</v>
          </cell>
          <cell r="GE212">
            <v>0.04</v>
          </cell>
        </row>
        <row r="213">
          <cell r="A213" t="str">
            <v>SG&amp;A Expenses</v>
          </cell>
          <cell r="N213">
            <v>4913</v>
          </cell>
          <cell r="O213">
            <v>4922</v>
          </cell>
          <cell r="P213">
            <v>4679</v>
          </cell>
          <cell r="Q213">
            <v>4692</v>
          </cell>
          <cell r="R213">
            <v>4760</v>
          </cell>
          <cell r="S213">
            <v>4912</v>
          </cell>
          <cell r="T213">
            <v>4806</v>
          </cell>
          <cell r="U213">
            <v>4836</v>
          </cell>
          <cell r="V213">
            <v>4837</v>
          </cell>
          <cell r="W213">
            <v>4931</v>
          </cell>
          <cell r="X213">
            <v>6980</v>
          </cell>
          <cell r="Y213">
            <v>8678</v>
          </cell>
          <cell r="Z213">
            <v>8505.3177921820607</v>
          </cell>
          <cell r="AA213">
            <v>8458</v>
          </cell>
          <cell r="AB213">
            <v>8163</v>
          </cell>
          <cell r="AC213">
            <v>8260</v>
          </cell>
          <cell r="AD213">
            <v>8281</v>
          </cell>
          <cell r="AE213">
            <v>8553.4072798862726</v>
          </cell>
          <cell r="AF213">
            <v>8800.0923077192638</v>
          </cell>
          <cell r="AG213">
            <v>8940.7771652737574</v>
          </cell>
          <cell r="AH213">
            <v>9004.2074535542979</v>
          </cell>
          <cell r="AI213">
            <v>9064.7525821041272</v>
          </cell>
          <cell r="AJ213">
            <v>9125.6081924795981</v>
          </cell>
          <cell r="AK213">
            <v>9186.7744398043687</v>
          </cell>
          <cell r="AL213">
            <v>9248.2514512563848</v>
          </cell>
          <cell r="AN213" t="str">
            <v>Month 2</v>
          </cell>
          <cell r="EL213" t="str">
            <v>Month 2</v>
          </cell>
          <cell r="ER213">
            <v>0</v>
          </cell>
          <cell r="ES213">
            <v>1.7000000000000001E-2</v>
          </cell>
          <cell r="ET213">
            <v>6.5000000000000002E-2</v>
          </cell>
          <cell r="EU213">
            <v>4.3999999999999997E-2</v>
          </cell>
          <cell r="EX213">
            <v>2.3E-2</v>
          </cell>
          <cell r="EY213">
            <v>-2.7E-2</v>
          </cell>
          <cell r="EZ213">
            <v>-2.7E-2</v>
          </cell>
          <cell r="FA213">
            <v>-7.9000000000000001E-2</v>
          </cell>
          <cell r="FD213">
            <v>-6.2E-2</v>
          </cell>
          <cell r="FE213">
            <v>-2.1000000000000001E-2</v>
          </cell>
          <cell r="FF213">
            <v>-6.6000000000000003E-2</v>
          </cell>
          <cell r="FG213">
            <v>-0.04</v>
          </cell>
          <cell r="FJ213">
            <v>-9.1999999999999998E-2</v>
          </cell>
          <cell r="FK213">
            <v>-8.8999999999999996E-2</v>
          </cell>
          <cell r="FL213">
            <v>-2.3E-2</v>
          </cell>
          <cell r="FM213">
            <v>0.01</v>
          </cell>
          <cell r="FP213">
            <v>0.10800000000000001</v>
          </cell>
          <cell r="FQ213">
            <v>6.5000000000000002E-2</v>
          </cell>
          <cell r="FR213">
            <v>4.8000000000000001E-2</v>
          </cell>
          <cell r="FS213">
            <v>3.9E-2</v>
          </cell>
          <cell r="FV213">
            <v>8.9999999999999993E-3</v>
          </cell>
          <cell r="FW213">
            <v>6.7000000000000004E-2</v>
          </cell>
          <cell r="FX213">
            <v>4.9000000000000002E-2</v>
          </cell>
          <cell r="FY213">
            <v>6.2E-2</v>
          </cell>
          <cell r="GB213">
            <v>7.2999999999999995E-2</v>
          </cell>
          <cell r="GC213">
            <v>1.2E-2</v>
          </cell>
          <cell r="GD213">
            <v>0.03</v>
          </cell>
          <cell r="GE213">
            <v>0.04</v>
          </cell>
        </row>
        <row r="214">
          <cell r="A214" t="str">
            <v>SG&amp;A Ratio</v>
          </cell>
          <cell r="N214">
            <v>0.33618448063500755</v>
          </cell>
          <cell r="O214">
            <v>0.33182768152093306</v>
          </cell>
          <cell r="P214">
            <v>0.30742444152431014</v>
          </cell>
          <cell r="Q214">
            <v>0.30536934591604298</v>
          </cell>
          <cell r="R214">
            <v>0.29696175681577142</v>
          </cell>
          <cell r="S214">
            <v>0.29522779180189929</v>
          </cell>
          <cell r="T214">
            <v>0.30446626544187522</v>
          </cell>
          <cell r="U214">
            <v>0.31057735534005521</v>
          </cell>
          <cell r="V214">
            <v>0.31384635349078638</v>
          </cell>
          <cell r="W214">
            <v>0.31256338742393508</v>
          </cell>
          <cell r="X214">
            <v>0.311746315319339</v>
          </cell>
          <cell r="Y214">
            <v>0.32176492398961809</v>
          </cell>
          <cell r="Z214">
            <v>0.32323633915486871</v>
          </cell>
          <cell r="AA214">
            <v>0.33978788365739998</v>
          </cell>
          <cell r="AB214">
            <v>0.34161958568738232</v>
          </cell>
          <cell r="AC214">
            <v>0.33036035675718911</v>
          </cell>
          <cell r="AD214">
            <v>0.31361484567316794</v>
          </cell>
          <cell r="AE214">
            <v>0.30881156325452847</v>
          </cell>
          <cell r="AF214">
            <v>0.31031156325452847</v>
          </cell>
          <cell r="AG214">
            <v>0.30931156325452847</v>
          </cell>
          <cell r="AH214">
            <v>0.30831156325452846</v>
          </cell>
          <cell r="AI214">
            <v>0.30731156325452846</v>
          </cell>
          <cell r="AJ214">
            <v>0.30631156325452846</v>
          </cell>
          <cell r="AK214">
            <v>0.30531156325452846</v>
          </cell>
          <cell r="AL214">
            <v>0.30431156325452846</v>
          </cell>
          <cell r="AN214" t="str">
            <v>Month 3</v>
          </cell>
          <cell r="EL214" t="str">
            <v>Month 3</v>
          </cell>
          <cell r="ER214">
            <v>-8.0000000000000002E-3</v>
          </cell>
          <cell r="ES214">
            <v>3.3000000000000002E-2</v>
          </cell>
          <cell r="ET214">
            <v>7.6999999999999999E-2</v>
          </cell>
          <cell r="EU214">
            <v>8.5999999999999993E-2</v>
          </cell>
          <cell r="EX214">
            <v>-2.1999999999999999E-2</v>
          </cell>
          <cell r="EY214">
            <v>-1.4E-2</v>
          </cell>
          <cell r="EZ214">
            <v>-1.4999999999999999E-2</v>
          </cell>
          <cell r="FA214">
            <v>-7.0999999999999994E-2</v>
          </cell>
          <cell r="FD214">
            <v>0.03</v>
          </cell>
          <cell r="FE214">
            <v>-2.9000000000000001E-2</v>
          </cell>
          <cell r="FF214">
            <v>-6.3E-2</v>
          </cell>
          <cell r="FG214">
            <v>-4.4999999999999998E-2</v>
          </cell>
          <cell r="FJ214">
            <v>-9.0999999999999998E-2</v>
          </cell>
          <cell r="FK214">
            <v>-0.107</v>
          </cell>
          <cell r="FL214">
            <v>-8.0000000000000002E-3</v>
          </cell>
          <cell r="FM214">
            <v>3.4000000000000002E-2</v>
          </cell>
          <cell r="FP214">
            <v>1.0999999999999999E-2</v>
          </cell>
          <cell r="FQ214">
            <v>7.2999999999999995E-2</v>
          </cell>
          <cell r="FR214">
            <v>2.5000000000000001E-2</v>
          </cell>
          <cell r="FS214">
            <v>2.5999999999999999E-2</v>
          </cell>
          <cell r="FV214">
            <v>0.108</v>
          </cell>
          <cell r="FW214">
            <v>0.05</v>
          </cell>
          <cell r="FX214">
            <v>2.1999999999999999E-2</v>
          </cell>
          <cell r="FY214">
            <v>2.4E-2</v>
          </cell>
          <cell r="GB214">
            <v>1.2E-2</v>
          </cell>
          <cell r="GC214">
            <v>4.1000000000000002E-2</v>
          </cell>
          <cell r="GD214">
            <v>5.5E-2</v>
          </cell>
          <cell r="GE214">
            <v>0.05</v>
          </cell>
        </row>
        <row r="215">
          <cell r="A215" t="str">
            <v>Y/Y ∆ SG&amp;A Ratio (bps)</v>
          </cell>
          <cell r="O215">
            <v>-43.567991140744944</v>
          </cell>
          <cell r="P215">
            <v>-244.03239996622915</v>
          </cell>
          <cell r="Q215">
            <v>-20.550956082671657</v>
          </cell>
          <cell r="R215">
            <v>-84.075891002715622</v>
          </cell>
          <cell r="S215">
            <v>-17.339650138721296</v>
          </cell>
          <cell r="T215">
            <v>92.384736399759305</v>
          </cell>
          <cell r="U215">
            <v>61.110898981799892</v>
          </cell>
          <cell r="V215">
            <v>32.689981507311728</v>
          </cell>
          <cell r="W215">
            <v>-12.829660668512988</v>
          </cell>
          <cell r="X215">
            <v>-8.170721045960839</v>
          </cell>
          <cell r="Y215">
            <v>100.18608670279094</v>
          </cell>
          <cell r="Z215">
            <v>14.714151652506224</v>
          </cell>
          <cell r="AA215">
            <v>165.51544502531269</v>
          </cell>
          <cell r="AB215">
            <v>18.317020299823405</v>
          </cell>
          <cell r="AC215">
            <v>-112.5922893019321</v>
          </cell>
          <cell r="AD215">
            <v>-167.45511084021169</v>
          </cell>
          <cell r="AE215">
            <v>-48.032824186394762</v>
          </cell>
          <cell r="AF215">
            <v>15</v>
          </cell>
          <cell r="AG215">
            <v>-10</v>
          </cell>
          <cell r="AH215">
            <v>-10</v>
          </cell>
          <cell r="AI215">
            <v>-10</v>
          </cell>
          <cell r="AJ215">
            <v>-10</v>
          </cell>
          <cell r="AK215">
            <v>-10</v>
          </cell>
          <cell r="AL215">
            <v>-10</v>
          </cell>
          <cell r="AN215" t="str">
            <v>Total</v>
          </cell>
          <cell r="EL215" t="str">
            <v>Total</v>
          </cell>
          <cell r="ER215">
            <v>0</v>
          </cell>
          <cell r="ES215">
            <v>4.5999999999999999E-2</v>
          </cell>
          <cell r="ET215">
            <v>5.8999999999999997E-2</v>
          </cell>
          <cell r="EU215">
            <v>6.0999999999999999E-2</v>
          </cell>
          <cell r="EV215">
            <v>4.3999999999999997E-2</v>
          </cell>
          <cell r="EX215">
            <v>6.0000000000000001E-3</v>
          </cell>
          <cell r="EY215">
            <v>-2.5999999999999999E-2</v>
          </cell>
          <cell r="EZ215">
            <v>-8.0000000000000002E-3</v>
          </cell>
          <cell r="FA215">
            <v>-0.02</v>
          </cell>
          <cell r="FB215">
            <v>-1.2999999999999999E-2</v>
          </cell>
          <cell r="FD215">
            <v>-2.5999999999999999E-2</v>
          </cell>
          <cell r="FE215">
            <v>-2.1000000000000001E-2</v>
          </cell>
          <cell r="FF215">
            <v>-0.06</v>
          </cell>
          <cell r="FG215">
            <v>-7.0000000000000007E-2</v>
          </cell>
          <cell r="FH215">
            <v>-4.4999999999999998E-2</v>
          </cell>
          <cell r="FJ215">
            <v>-0.09</v>
          </cell>
          <cell r="FK215">
            <v>-9.5000000000000001E-2</v>
          </cell>
          <cell r="FL215">
            <v>-3.5999999999999997E-2</v>
          </cell>
          <cell r="FM215">
            <v>-5.8579119044959507E-3</v>
          </cell>
          <cell r="FN215">
            <v>-5.0987622799162344E-2</v>
          </cell>
          <cell r="FP215">
            <v>5.5E-2</v>
          </cell>
          <cell r="FQ215">
            <v>4.9000000000000002E-2</v>
          </cell>
          <cell r="FR215">
            <v>3.9E-2</v>
          </cell>
          <cell r="FS215">
            <v>4.2999999999999997E-2</v>
          </cell>
          <cell r="FT215">
            <v>4.610434747830261E-2</v>
          </cell>
          <cell r="FV215">
            <v>5.3999999999999999E-2</v>
          </cell>
          <cell r="FW215">
            <v>6.4000000000000001E-2</v>
          </cell>
          <cell r="FX215">
            <v>0.04</v>
          </cell>
          <cell r="FY215">
            <v>5.1999999999999998E-2</v>
          </cell>
          <cell r="FZ215">
            <v>5.2999999999999999E-2</v>
          </cell>
          <cell r="GB215">
            <v>4.3999999999999997E-2</v>
          </cell>
          <cell r="GC215">
            <v>0.03</v>
          </cell>
          <cell r="GD215">
            <v>4.4170626829774157E-2</v>
          </cell>
          <cell r="GE215">
            <v>4.1872044415560798E-2</v>
          </cell>
          <cell r="GF215">
            <v>4.02253638971692E-2</v>
          </cell>
        </row>
        <row r="216">
          <cell r="A216" t="str">
            <v>Operating Income</v>
          </cell>
          <cell r="N216">
            <v>663</v>
          </cell>
          <cell r="O216">
            <v>893</v>
          </cell>
          <cell r="P216">
            <v>1341</v>
          </cell>
          <cell r="Q216">
            <v>1455</v>
          </cell>
          <cell r="R216">
            <v>1693</v>
          </cell>
          <cell r="S216">
            <v>1771</v>
          </cell>
          <cell r="T216">
            <v>1376</v>
          </cell>
          <cell r="U216">
            <v>1411</v>
          </cell>
          <cell r="V216">
            <v>1400</v>
          </cell>
          <cell r="W216">
            <v>1499</v>
          </cell>
          <cell r="X216">
            <v>2138</v>
          </cell>
          <cell r="Y216">
            <v>2273</v>
          </cell>
          <cell r="Z216">
            <v>2033.3823683158116</v>
          </cell>
          <cell r="AA216">
            <v>1425</v>
          </cell>
          <cell r="AB216">
            <v>1454</v>
          </cell>
          <cell r="AC216">
            <v>1919</v>
          </cell>
          <cell r="AD216">
            <v>2386</v>
          </cell>
          <cell r="AE216">
            <v>2671.2966222272662</v>
          </cell>
          <cell r="AF216">
            <v>2777.5915838515448</v>
          </cell>
          <cell r="AG216">
            <v>2903.3832369986631</v>
          </cell>
          <cell r="AH216">
            <v>2933.4651235252149</v>
          </cell>
          <cell r="AI216">
            <v>2933.3028287747547</v>
          </cell>
          <cell r="AJ216">
            <v>2992.4277725080738</v>
          </cell>
          <cell r="AK216">
            <v>3052.4418848331788</v>
          </cell>
          <cell r="AL216">
            <v>3113.357036627538</v>
          </cell>
          <cell r="FV216">
            <v>5.45E-2</v>
          </cell>
          <cell r="FW216">
            <v>5.6500000000000002E-2</v>
          </cell>
          <cell r="FX216">
            <v>3.95E-2</v>
          </cell>
          <cell r="FY216">
            <v>4.7500000000000001E-2</v>
          </cell>
          <cell r="GB216">
            <v>4.9000000000000002E-2</v>
          </cell>
          <cell r="GC216">
            <v>4.7E-2</v>
          </cell>
          <cell r="GD216">
            <v>4.2085313414887082E-2</v>
          </cell>
          <cell r="GE216">
            <v>4.6936022207780398E-2</v>
          </cell>
          <cell r="GF216" t="str">
            <v>2-yr comp</v>
          </cell>
        </row>
        <row r="217">
          <cell r="A217" t="str">
            <v>Operating Margin</v>
          </cell>
          <cell r="N217">
            <v>4.5367455864239771E-2</v>
          </cell>
          <cell r="O217">
            <v>6.0203600080900692E-2</v>
          </cell>
          <cell r="P217">
            <v>8.8107752956636004E-2</v>
          </cell>
          <cell r="Q217">
            <v>9.4695737064757562E-2</v>
          </cell>
          <cell r="R217">
            <v>0.10562106182544138</v>
          </cell>
          <cell r="S217">
            <v>0.10644308210121409</v>
          </cell>
          <cell r="T217">
            <v>8.7171365220145708E-2</v>
          </cell>
          <cell r="U217">
            <v>9.0617172949714206E-2</v>
          </cell>
          <cell r="V217">
            <v>9.0838307812094468E-2</v>
          </cell>
          <cell r="W217">
            <v>9.5017748478701827E-2</v>
          </cell>
          <cell r="X217">
            <v>9.5489057615006701E-2</v>
          </cell>
          <cell r="Y217">
            <v>8.4278828327771602E-2</v>
          </cell>
          <cell r="Z217">
            <v>7.7276721328461653E-2</v>
          </cell>
          <cell r="AA217">
            <v>5.7247308372167766E-2</v>
          </cell>
          <cell r="AB217">
            <v>6.0849550115086838E-2</v>
          </cell>
          <cell r="AC217">
            <v>7.6750789905211378E-2</v>
          </cell>
          <cell r="AD217">
            <v>9.0361673925392919E-2</v>
          </cell>
          <cell r="AE217">
            <v>9.644428925609537E-2</v>
          </cell>
          <cell r="AF217">
            <v>9.7944289256095288E-2</v>
          </cell>
          <cell r="AG217">
            <v>0.10044428925609535</v>
          </cell>
          <cell r="AH217">
            <v>0.10044428925609533</v>
          </cell>
          <cell r="AI217">
            <v>9.9444289256095372E-2</v>
          </cell>
          <cell r="AJ217">
            <v>0.10044428925609539</v>
          </cell>
          <cell r="AK217">
            <v>0.1014442892560953</v>
          </cell>
          <cell r="AL217">
            <v>0.10244428925609532</v>
          </cell>
          <cell r="AN217" t="str">
            <v xml:space="preserve">Consolidated Productivity Factor </v>
          </cell>
          <cell r="EL217" t="str">
            <v xml:space="preserve">Consolidated Productivity Factor </v>
          </cell>
          <cell r="FP217">
            <v>-2.0333333333333332E-2</v>
          </cell>
          <cell r="FQ217">
            <v>-2.2333333333333334E-2</v>
          </cell>
          <cell r="FR217">
            <v>-1.9E-2</v>
          </cell>
          <cell r="FS217">
            <v>-1.0952637301498654E-2</v>
          </cell>
          <cell r="FV217">
            <v>6.333333333333334E-3</v>
          </cell>
          <cell r="FW217">
            <v>6.000000000000001E-3</v>
          </cell>
          <cell r="FX217">
            <v>1.4333333333333335E-2</v>
          </cell>
          <cell r="FY217">
            <v>2.971402936516802E-2</v>
          </cell>
        </row>
        <row r="218">
          <cell r="A218" t="str">
            <v>Y/Y ∆ Operating Margin (bps)</v>
          </cell>
          <cell r="O218">
            <v>148.36144216660921</v>
          </cell>
          <cell r="P218">
            <v>279.04152875735315</v>
          </cell>
          <cell r="Q218">
            <v>65.879841081215588</v>
          </cell>
          <cell r="R218">
            <v>109.25324760683822</v>
          </cell>
          <cell r="S218">
            <v>8.22020275772703</v>
          </cell>
          <cell r="T218">
            <v>-192.7171688106838</v>
          </cell>
          <cell r="U218">
            <v>34.45807729568498</v>
          </cell>
          <cell r="V218">
            <v>2.2113486238026225</v>
          </cell>
          <cell r="W218">
            <v>41.794406666073591</v>
          </cell>
          <cell r="X218">
            <v>4.7130913630487328</v>
          </cell>
          <cell r="Y218">
            <v>-112.10229287235099</v>
          </cell>
          <cell r="Z218">
            <v>-70.021069993099488</v>
          </cell>
          <cell r="AA218">
            <v>-200.29412956293888</v>
          </cell>
          <cell r="AB218">
            <v>36.022417429190725</v>
          </cell>
          <cell r="AC218">
            <v>159.01239790124541</v>
          </cell>
          <cell r="AD218">
            <v>136.10884020181541</v>
          </cell>
          <cell r="AE218">
            <v>60.826153307024512</v>
          </cell>
          <cell r="AF218">
            <v>14.999999999999181</v>
          </cell>
          <cell r="AG218">
            <v>25.000000000000576</v>
          </cell>
          <cell r="AH218">
            <v>-1.3877787807814457E-13</v>
          </cell>
          <cell r="AI218">
            <v>-9.9999999999995932</v>
          </cell>
          <cell r="AJ218">
            <v>10.000000000000147</v>
          </cell>
          <cell r="AK218">
            <v>9.9999999999991758</v>
          </cell>
          <cell r="AL218">
            <v>10.000000000000147</v>
          </cell>
          <cell r="AN218" t="str">
            <v>Month 1</v>
          </cell>
          <cell r="EL218" t="str">
            <v>Month 1</v>
          </cell>
          <cell r="ER218">
            <v>0.85379589916801657</v>
          </cell>
          <cell r="ES218">
            <v>0.82852877251430668</v>
          </cell>
          <cell r="ET218">
            <v>0.83475030563790842</v>
          </cell>
          <cell r="EU218">
            <v>0.91480422703367681</v>
          </cell>
          <cell r="EX218">
            <v>1.0042251017232908</v>
          </cell>
          <cell r="EY218">
            <v>1.0108075527611304</v>
          </cell>
          <cell r="EZ218">
            <v>1.0032705612197608</v>
          </cell>
          <cell r="FA218">
            <v>0.99617129302855612</v>
          </cell>
          <cell r="FD218">
            <v>1.0047260256693704</v>
          </cell>
          <cell r="FE218">
            <v>1.0011731147187122</v>
          </cell>
          <cell r="FF218">
            <v>1.0015681684828099</v>
          </cell>
          <cell r="FG218">
            <v>0.9980273685296247</v>
          </cell>
          <cell r="FJ218">
            <v>1.0146680194879518</v>
          </cell>
          <cell r="FK218">
            <v>1.0229325701507319</v>
          </cell>
          <cell r="FL218">
            <v>1.0237530410429481</v>
          </cell>
          <cell r="FM218">
            <v>1.0168796021749338</v>
          </cell>
          <cell r="FP218">
            <v>1.0016060228776302</v>
          </cell>
          <cell r="FQ218">
            <v>0.98881215735067063</v>
          </cell>
          <cell r="FR218">
            <v>1.0007452413933455</v>
          </cell>
          <cell r="FS218">
            <v>1.0028115913956974</v>
          </cell>
          <cell r="FV218">
            <v>1.0005096291516782</v>
          </cell>
          <cell r="FW218">
            <v>1.0081721608307339</v>
          </cell>
          <cell r="FX218">
            <v>0.99435769750356207</v>
          </cell>
          <cell r="FY218">
            <v>1.0114048185081832</v>
          </cell>
          <cell r="GB218">
            <v>1.0253009585429893</v>
          </cell>
          <cell r="GC218">
            <v>1.0133052611979987</v>
          </cell>
          <cell r="GD218">
            <v>1.018088666893139</v>
          </cell>
          <cell r="GE218">
            <v>1</v>
          </cell>
        </row>
        <row r="219">
          <cell r="AN219" t="str">
            <v>Month 2</v>
          </cell>
          <cell r="EL219" t="str">
            <v>Month 2</v>
          </cell>
          <cell r="ER219">
            <v>0.87143545576033965</v>
          </cell>
          <cell r="ES219">
            <v>0.86259214604526391</v>
          </cell>
          <cell r="ET219">
            <v>0.95476655228407081</v>
          </cell>
          <cell r="EU219">
            <v>0.95390310394604827</v>
          </cell>
          <cell r="EX219">
            <v>0.99756383077735888</v>
          </cell>
          <cell r="EY219">
            <v>1.0076309712339664</v>
          </cell>
          <cell r="EZ219">
            <v>1.0058439901456568</v>
          </cell>
          <cell r="FA219">
            <v>1.0104925603418453</v>
          </cell>
          <cell r="FD219">
            <v>1.0038919718017412</v>
          </cell>
          <cell r="FE219">
            <v>1.0002262623646179</v>
          </cell>
          <cell r="FF219">
            <v>1.0022779610885877</v>
          </cell>
          <cell r="FG219">
            <v>0.98797059201406712</v>
          </cell>
          <cell r="FJ219">
            <v>1.0172356632303496</v>
          </cell>
          <cell r="FK219">
            <v>1.0266388149144143</v>
          </cell>
          <cell r="FL219">
            <v>1.0185440088098592</v>
          </cell>
          <cell r="FM219">
            <v>1.0150644106268683</v>
          </cell>
          <cell r="FP219">
            <v>0.9967530496300272</v>
          </cell>
          <cell r="FQ219">
            <v>0.99989171377441255</v>
          </cell>
          <cell r="FR219">
            <v>1.0028971230689774</v>
          </cell>
          <cell r="FS219">
            <v>0.9946391314592461</v>
          </cell>
          <cell r="FV219">
            <v>1.0074992903911262</v>
          </cell>
          <cell r="FW219">
            <v>1.0057878604073234</v>
          </cell>
          <cell r="FX219">
            <v>1.0057401642886414</v>
          </cell>
          <cell r="FY219">
            <v>1.0118477756232767</v>
          </cell>
          <cell r="GB219">
            <v>1.0102541230632647</v>
          </cell>
          <cell r="GC219">
            <v>1.011143062170935</v>
          </cell>
          <cell r="GD219">
            <v>1</v>
          </cell>
          <cell r="GE219">
            <v>1</v>
          </cell>
          <cell r="GG219" t="str">
            <v>See cells GK224 and GK227 to forecast gross profit for 4Q</v>
          </cell>
          <cell r="GM219" t="str">
            <v>Calculation of Extra Week EPS Benefit</v>
          </cell>
        </row>
        <row r="220">
          <cell r="A220" t="str">
            <v>Bull Case Assumptions</v>
          </cell>
          <cell r="N220">
            <v>1995</v>
          </cell>
          <cell r="O220">
            <v>1996</v>
          </cell>
          <cell r="P220">
            <v>1997</v>
          </cell>
          <cell r="Q220">
            <v>1998</v>
          </cell>
          <cell r="R220">
            <v>1999</v>
          </cell>
          <cell r="S220">
            <v>2000</v>
          </cell>
          <cell r="T220">
            <v>2001</v>
          </cell>
          <cell r="U220">
            <v>2002</v>
          </cell>
          <cell r="V220">
            <v>2003</v>
          </cell>
          <cell r="W220">
            <v>2004</v>
          </cell>
          <cell r="X220">
            <v>2005</v>
          </cell>
          <cell r="Y220">
            <v>2006</v>
          </cell>
          <cell r="Z220">
            <v>2007</v>
          </cell>
          <cell r="AA220">
            <v>2008</v>
          </cell>
          <cell r="AB220">
            <v>2009</v>
          </cell>
          <cell r="AC220">
            <v>2010</v>
          </cell>
          <cell r="AD220">
            <v>2011</v>
          </cell>
          <cell r="AE220" t="str">
            <v>2012E</v>
          </cell>
          <cell r="AF220" t="str">
            <v>2013E</v>
          </cell>
          <cell r="AG220" t="str">
            <v>2014E</v>
          </cell>
          <cell r="AH220" t="str">
            <v>2015E</v>
          </cell>
          <cell r="AI220" t="str">
            <v>2016E</v>
          </cell>
          <cell r="AJ220" t="str">
            <v>2017E</v>
          </cell>
          <cell r="AK220" t="str">
            <v>2018E</v>
          </cell>
          <cell r="AL220" t="str">
            <v>2019E</v>
          </cell>
          <cell r="AN220" t="str">
            <v>Month 3</v>
          </cell>
          <cell r="EL220" t="str">
            <v>Month 3</v>
          </cell>
          <cell r="ER220">
            <v>0.85509041472763314</v>
          </cell>
          <cell r="ES220">
            <v>0.83302342705472399</v>
          </cell>
          <cell r="ET220">
            <v>0.9300581404093593</v>
          </cell>
          <cell r="EU220">
            <v>0.88885616548937241</v>
          </cell>
          <cell r="EX220">
            <v>1.0012993536198342</v>
          </cell>
          <cell r="EY220">
            <v>1.0067406823426219</v>
          </cell>
          <cell r="EZ220">
            <v>1.0010354929971583</v>
          </cell>
          <cell r="FA220">
            <v>0.77697496531497701</v>
          </cell>
          <cell r="FD220">
            <v>0.99998610863561077</v>
          </cell>
          <cell r="FE220">
            <v>1.0000776716315167</v>
          </cell>
          <cell r="FF220">
            <v>1.0026881239876493</v>
          </cell>
          <cell r="FG220">
            <v>1.0034001517037674</v>
          </cell>
          <cell r="FJ220">
            <v>1.017274065207098</v>
          </cell>
          <cell r="FK220">
            <v>1.0307481774152398</v>
          </cell>
          <cell r="FL220">
            <v>1.0154616377110075</v>
          </cell>
          <cell r="FM220">
            <v>1.009307170702717</v>
          </cell>
          <cell r="FP220">
            <v>1.0005893323256754</v>
          </cell>
          <cell r="FQ220">
            <v>1.0111137394005785</v>
          </cell>
          <cell r="FR220">
            <v>1.0254628236300125</v>
          </cell>
          <cell r="FS220">
            <v>1.00775043725629</v>
          </cell>
          <cell r="FV220">
            <v>0.99618702023241001</v>
          </cell>
          <cell r="FW220">
            <v>1.0047825549823146</v>
          </cell>
          <cell r="FX220">
            <v>1.0004489851343907</v>
          </cell>
          <cell r="FY220">
            <v>1.008520012530175</v>
          </cell>
          <cell r="GB220">
            <v>1.0062765433093959</v>
          </cell>
          <cell r="GC220">
            <v>1.0227639737625074</v>
          </cell>
          <cell r="GD220">
            <v>1</v>
          </cell>
          <cell r="GE220">
            <v>1</v>
          </cell>
          <cell r="GG220" t="str">
            <v>See cells GK230 and GK232 to forecast SG&amp;A for 4Q</v>
          </cell>
          <cell r="GM220" t="str">
            <v>Extra week (on = 1, off = 0)</v>
          </cell>
          <cell r="GO220">
            <v>1</v>
          </cell>
        </row>
        <row r="221">
          <cell r="A221" t="str">
            <v>Revenue</v>
          </cell>
          <cell r="N221">
            <v>14614</v>
          </cell>
          <cell r="O221">
            <v>14833</v>
          </cell>
          <cell r="P221">
            <v>15220</v>
          </cell>
          <cell r="Q221">
            <v>15365</v>
          </cell>
          <cell r="R221">
            <v>16029</v>
          </cell>
          <cell r="S221">
            <v>16638</v>
          </cell>
          <cell r="T221">
            <v>15785</v>
          </cell>
          <cell r="U221">
            <v>15571</v>
          </cell>
          <cell r="V221">
            <v>15412</v>
          </cell>
          <cell r="W221">
            <v>15776</v>
          </cell>
          <cell r="X221">
            <v>22390</v>
          </cell>
          <cell r="Y221">
            <v>26970</v>
          </cell>
          <cell r="Z221">
            <v>26313</v>
          </cell>
          <cell r="AA221">
            <v>24892</v>
          </cell>
          <cell r="AB221">
            <v>23904</v>
          </cell>
          <cell r="AC221">
            <v>25003</v>
          </cell>
          <cell r="AD221">
            <v>26405</v>
          </cell>
          <cell r="AE221">
            <v>27959.427458112747</v>
          </cell>
          <cell r="AF221">
            <v>29729.463580880543</v>
          </cell>
          <cell r="AG221">
            <v>30302.392530862733</v>
          </cell>
          <cell r="AH221">
            <v>30616.354918597252</v>
          </cell>
          <cell r="AI221">
            <v>30922.518467783226</v>
          </cell>
          <cell r="AJ221">
            <v>31231.743652461057</v>
          </cell>
          <cell r="AK221">
            <v>31544.061088985669</v>
          </cell>
          <cell r="AL221">
            <v>31859.501699875527</v>
          </cell>
          <cell r="AN221" t="str">
            <v>Total</v>
          </cell>
          <cell r="EL221" t="str">
            <v>Total</v>
          </cell>
          <cell r="EX221">
            <v>0.99364581839822941</v>
          </cell>
          <cell r="EY221">
            <v>1.0053855991928882</v>
          </cell>
          <cell r="EZ221">
            <v>1.0049007333596589</v>
          </cell>
          <cell r="FA221">
            <v>0.96635245216954013</v>
          </cell>
          <cell r="FD221">
            <v>1.0093706103322386</v>
          </cell>
          <cell r="FE221">
            <v>0.99942053289687438</v>
          </cell>
          <cell r="FF221">
            <v>1.0028127761391281</v>
          </cell>
          <cell r="FG221">
            <v>0.99829531956488382</v>
          </cell>
          <cell r="FH221">
            <v>0.99616480017746767</v>
          </cell>
          <cell r="FJ221">
            <v>1.0150952522446879</v>
          </cell>
          <cell r="FK221">
            <v>1.028988144998136</v>
          </cell>
          <cell r="FL221">
            <v>1.0174659464761271</v>
          </cell>
          <cell r="FM221">
            <v>1.004258927748259</v>
          </cell>
          <cell r="FN221">
            <v>1.0094977226152135</v>
          </cell>
          <cell r="FP221">
            <v>1.0000259928958455</v>
          </cell>
          <cell r="FQ221">
            <v>0.99963688802128137</v>
          </cell>
          <cell r="FR221">
            <v>1.0093878458063197</v>
          </cell>
          <cell r="FS221">
            <v>1.0000370362620763</v>
          </cell>
          <cell r="FT221">
            <v>1.0017002547102301</v>
          </cell>
          <cell r="FV221">
            <v>1.0021044058948783</v>
          </cell>
          <cell r="FW221">
            <v>1.0081307827273334</v>
          </cell>
          <cell r="FX221">
            <v>1.0033467891940979</v>
          </cell>
          <cell r="FY221">
            <v>1.0155381429309334</v>
          </cell>
          <cell r="FZ221">
            <v>1.0152922484576603</v>
          </cell>
          <cell r="GB221">
            <v>1.0132824557239268</v>
          </cell>
          <cell r="GC221">
            <v>1.0138954016780533</v>
          </cell>
          <cell r="GD221">
            <v>1.0060645702976547</v>
          </cell>
          <cell r="GE221">
            <v>1.0305274860110949</v>
          </cell>
          <cell r="GF221">
            <v>1.0083583012001358</v>
          </cell>
          <cell r="GG221" t="str">
            <v>53rd Week Adjustments for 4Q12e</v>
          </cell>
          <cell r="GM221" t="str">
            <v>Revenues from extra week</v>
          </cell>
          <cell r="GO221">
            <v>350.71381633376672</v>
          </cell>
        </row>
        <row r="222">
          <cell r="A222" t="str">
            <v xml:space="preserve"> % Same-store</v>
          </cell>
          <cell r="N222">
            <v>2.7E-2</v>
          </cell>
          <cell r="O222">
            <v>3.1E-2</v>
          </cell>
          <cell r="P222">
            <v>2.7E-2</v>
          </cell>
          <cell r="Q222">
            <v>2.1999999999999999E-2</v>
          </cell>
          <cell r="R222">
            <v>4.4999999999999998E-2</v>
          </cell>
          <cell r="S222">
            <v>0.02</v>
          </cell>
          <cell r="T222">
            <v>-5.2999999999999999E-2</v>
          </cell>
          <cell r="U222">
            <v>-0.03</v>
          </cell>
          <cell r="V222">
            <v>-9.0000000000000011E-3</v>
          </cell>
          <cell r="W222">
            <v>2.5999999999999999E-2</v>
          </cell>
          <cell r="X222">
            <v>1.2999999999999999E-2</v>
          </cell>
          <cell r="Y222">
            <v>4.3999999999999997E-2</v>
          </cell>
          <cell r="Z222">
            <v>-1.2799528750047504E-2</v>
          </cell>
          <cell r="AA222">
            <v>-4.4999999999999998E-2</v>
          </cell>
          <cell r="AB222">
            <v>-5.0968425652024113E-2</v>
          </cell>
          <cell r="AC222">
            <v>4.610434747830261E-2</v>
          </cell>
          <cell r="AD222">
            <v>5.2999999999999999E-2</v>
          </cell>
          <cell r="AE222">
            <v>5.0171736300135057E-2</v>
          </cell>
          <cell r="AF222">
            <v>7.5000000000000011E-2</v>
          </cell>
          <cell r="AG222">
            <v>0.02</v>
          </cell>
          <cell r="AH222">
            <v>0.01</v>
          </cell>
          <cell r="AI222">
            <v>0.01</v>
          </cell>
          <cell r="AJ222">
            <v>0.01</v>
          </cell>
          <cell r="AK222">
            <v>0.01</v>
          </cell>
          <cell r="AL222">
            <v>0.01</v>
          </cell>
          <cell r="GJ222" t="str">
            <v>4Q Gross Profit $ (ex 53rd week)</v>
          </cell>
          <cell r="GK222">
            <v>3728.8292256978107</v>
          </cell>
          <cell r="GM222" t="str">
            <v>EBIT from extra week</v>
          </cell>
          <cell r="GO222">
            <v>81.440379311760893</v>
          </cell>
        </row>
        <row r="223">
          <cell r="A223" t="str">
            <v>CGS, OCC, Buying Costs</v>
          </cell>
          <cell r="N223">
            <v>9038</v>
          </cell>
          <cell r="O223">
            <v>9018</v>
          </cell>
          <cell r="P223">
            <v>9200</v>
          </cell>
          <cell r="Q223">
            <v>9218</v>
          </cell>
          <cell r="R223">
            <v>9576</v>
          </cell>
          <cell r="S223">
            <v>9955</v>
          </cell>
          <cell r="T223">
            <v>9603</v>
          </cell>
          <cell r="U223">
            <v>9324</v>
          </cell>
          <cell r="V223">
            <v>9175</v>
          </cell>
          <cell r="W223">
            <v>9346</v>
          </cell>
          <cell r="X223">
            <v>13272</v>
          </cell>
          <cell r="Y223">
            <v>16019</v>
          </cell>
          <cell r="Z223">
            <v>15765.705839502129</v>
          </cell>
          <cell r="AA223">
            <v>15009</v>
          </cell>
          <cell r="AB223">
            <v>14287</v>
          </cell>
          <cell r="AC223">
            <v>14824</v>
          </cell>
          <cell r="AD223">
            <v>15738</v>
          </cell>
          <cell r="AE223">
            <v>16573.058987628334</v>
          </cell>
          <cell r="AF223">
            <v>17384.419050847919</v>
          </cell>
          <cell r="AG223">
            <v>17673.987886043768</v>
          </cell>
          <cell r="AH223">
            <v>17887.724020426696</v>
          </cell>
          <cell r="AI223">
            <v>18128.44629756653</v>
          </cell>
          <cell r="AJ223">
            <v>18309.730760542196</v>
          </cell>
          <cell r="AK223">
            <v>18492.828068147617</v>
          </cell>
          <cell r="AL223">
            <v>18677.756348829098</v>
          </cell>
          <cell r="AN223" t="str">
            <v>Cost of Goods Sold</v>
          </cell>
          <cell r="EL223" t="str">
            <v>Cost of Goods Sold</v>
          </cell>
          <cell r="ER223">
            <v>3627</v>
          </cell>
          <cell r="ES223">
            <v>3470</v>
          </cell>
          <cell r="ET223">
            <v>3513</v>
          </cell>
          <cell r="EU223">
            <v>5409</v>
          </cell>
          <cell r="EV223">
            <v>16019</v>
          </cell>
          <cell r="EX223">
            <v>3564</v>
          </cell>
          <cell r="EY223">
            <v>3507</v>
          </cell>
          <cell r="EZ223">
            <v>3585</v>
          </cell>
          <cell r="FA223">
            <v>5021</v>
          </cell>
          <cell r="FB223">
            <v>15677</v>
          </cell>
          <cell r="FD223">
            <v>3527</v>
          </cell>
          <cell r="FE223">
            <v>3346</v>
          </cell>
          <cell r="FF223">
            <v>3324</v>
          </cell>
          <cell r="FG223">
            <v>4812</v>
          </cell>
          <cell r="FH223">
            <v>15009</v>
          </cell>
          <cell r="FJ223">
            <v>3279</v>
          </cell>
          <cell r="FK223">
            <v>3117</v>
          </cell>
          <cell r="FL223">
            <v>3241</v>
          </cell>
          <cell r="FM223">
            <v>4641</v>
          </cell>
          <cell r="FN223">
            <v>14278</v>
          </cell>
          <cell r="FP223">
            <v>3378</v>
          </cell>
          <cell r="FQ223">
            <v>3214</v>
          </cell>
          <cell r="FR223">
            <v>3377</v>
          </cell>
          <cell r="FS223">
            <v>4855</v>
          </cell>
          <cell r="FT223">
            <v>14824</v>
          </cell>
          <cell r="FV223">
            <v>3586</v>
          </cell>
          <cell r="FW223">
            <v>3457</v>
          </cell>
          <cell r="FX223">
            <v>3544</v>
          </cell>
          <cell r="FY223">
            <v>5151</v>
          </cell>
          <cell r="FZ223">
            <v>15738</v>
          </cell>
          <cell r="GB223">
            <v>3757</v>
          </cell>
          <cell r="GC223">
            <v>3555</v>
          </cell>
          <cell r="GD223">
            <v>3666.0995494313679</v>
          </cell>
          <cell r="GE223">
            <v>5495.0171538201503</v>
          </cell>
          <cell r="GF223">
            <v>16473.116703251519</v>
          </cell>
          <cell r="GJ223" t="str">
            <v>4Q Gross Margin % (ex 53rd week)</v>
          </cell>
          <cell r="GK223">
            <v>0.41355983493810178</v>
          </cell>
          <cell r="GM223" t="str">
            <v>4Q tax rate</v>
          </cell>
          <cell r="GO223">
            <v>0.37</v>
          </cell>
        </row>
        <row r="224">
          <cell r="A224" t="str">
            <v>CGS, OCC, Buying Costs %</v>
          </cell>
          <cell r="N224">
            <v>0.61844806350075265</v>
          </cell>
          <cell r="O224">
            <v>0.60796871839816624</v>
          </cell>
          <cell r="P224">
            <v>0.60446780551905388</v>
          </cell>
          <cell r="Q224">
            <v>0.59993491701919943</v>
          </cell>
          <cell r="R224">
            <v>0.59741718135878719</v>
          </cell>
          <cell r="S224">
            <v>0.5983291260968866</v>
          </cell>
          <cell r="T224">
            <v>0.60836236933797905</v>
          </cell>
          <cell r="U224">
            <v>0.59880547171023057</v>
          </cell>
          <cell r="V224">
            <v>0.59531533869711917</v>
          </cell>
          <cell r="W224">
            <v>0.59241886409736311</v>
          </cell>
          <cell r="X224">
            <v>0.59276462706565436</v>
          </cell>
          <cell r="Y224">
            <v>0.59395624768261035</v>
          </cell>
          <cell r="Z224">
            <v>0.59916033289636794</v>
          </cell>
          <cell r="AA224">
            <v>0.60296480797043228</v>
          </cell>
          <cell r="AB224">
            <v>0.59768239625167341</v>
          </cell>
          <cell r="AC224">
            <v>0.59288885333759944</v>
          </cell>
          <cell r="AD224">
            <v>0.59602348040143915</v>
          </cell>
          <cell r="AE224">
            <v>0.59275387568136595</v>
          </cell>
          <cell r="AF224">
            <v>0.58475387568136594</v>
          </cell>
          <cell r="AG224">
            <v>0.583253875681366</v>
          </cell>
          <cell r="AH224">
            <v>0.584253875681366</v>
          </cell>
          <cell r="AI224">
            <v>0.586253875681366</v>
          </cell>
          <cell r="AJ224">
            <v>0.586253875681366</v>
          </cell>
          <cell r="AK224">
            <v>0.586253875681366</v>
          </cell>
          <cell r="AL224">
            <v>0.58625387568136611</v>
          </cell>
          <cell r="AN224" t="str">
            <v>CGS, OCC, Buying Costs %</v>
          </cell>
          <cell r="EL224" t="str">
            <v>CGS, OCC, Buying Costs %</v>
          </cell>
          <cell r="ER224">
            <v>0.61163575042158513</v>
          </cell>
          <cell r="ES224">
            <v>0.57881567973311088</v>
          </cell>
          <cell r="ET224">
            <v>0.59683995922528033</v>
          </cell>
          <cell r="EU224">
            <v>0.59056665574844414</v>
          </cell>
          <cell r="EV224">
            <v>0.59395624768261035</v>
          </cell>
          <cell r="EX224">
            <v>0.60192535044755957</v>
          </cell>
          <cell r="EY224">
            <v>0.59521384928716903</v>
          </cell>
          <cell r="EZ224">
            <v>0.60700982052150354</v>
          </cell>
          <cell r="FA224">
            <v>0.58424482196881544</v>
          </cell>
          <cell r="FB224">
            <v>0.59578915365028695</v>
          </cell>
          <cell r="FD224">
            <v>0.61371150165303634</v>
          </cell>
          <cell r="FE224">
            <v>0.5851696397341728</v>
          </cell>
          <cell r="FF224">
            <v>0.60513380666302563</v>
          </cell>
          <cell r="FG224">
            <v>0.60650365515502902</v>
          </cell>
          <cell r="FH224">
            <v>0.60296480797043228</v>
          </cell>
          <cell r="FJ224">
            <v>0.62008320726172461</v>
          </cell>
          <cell r="FK224">
            <v>0.58978240302743612</v>
          </cell>
          <cell r="FL224">
            <v>0.6018570102135562</v>
          </cell>
          <cell r="FM224">
            <v>0.58472974675570111</v>
          </cell>
          <cell r="FN224">
            <v>0.59753086419753088</v>
          </cell>
          <cell r="FP224">
            <v>0.60602798708288486</v>
          </cell>
          <cell r="FQ224">
            <v>0.58045873216543253</v>
          </cell>
          <cell r="FR224">
            <v>0.60056909123243818</v>
          </cell>
          <cell r="FS224">
            <v>0.58713266416737209</v>
          </cell>
          <cell r="FT224">
            <v>0.59288885333759944</v>
          </cell>
          <cell r="FV224">
            <v>0.60893190694515198</v>
          </cell>
          <cell r="FW224">
            <v>0.58208452601448057</v>
          </cell>
          <cell r="FX224">
            <v>0.60550145224671104</v>
          </cell>
          <cell r="FY224">
            <v>0.59044016506189823</v>
          </cell>
          <cell r="FZ224">
            <v>0.59602348040143915</v>
          </cell>
          <cell r="GB224">
            <v>0.61159042812957842</v>
          </cell>
          <cell r="GC224">
            <v>0.58107224583197126</v>
          </cell>
          <cell r="GD224">
            <v>0.60400145224671109</v>
          </cell>
          <cell r="GE224">
            <v>0.58662736950345429</v>
          </cell>
          <cell r="GF224">
            <v>0.59474414748937621</v>
          </cell>
          <cell r="GJ224" t="str">
            <v>MS 4Q Core Gross Margin ∆ (ex 53rd week)</v>
          </cell>
          <cell r="GK224">
            <v>40</v>
          </cell>
          <cell r="GM224" t="str">
            <v>Net inc. benefit from extra wk</v>
          </cell>
          <cell r="GO224">
            <v>51.307438966409364</v>
          </cell>
        </row>
        <row r="225">
          <cell r="A225" t="str">
            <v>Y/Y ∆ CGS, OCC, Buying Costs % (bps)</v>
          </cell>
          <cell r="O225">
            <v>-104.79345102586413</v>
          </cell>
          <cell r="P225">
            <v>-35.009128791123615</v>
          </cell>
          <cell r="Q225">
            <v>-45.328884998544481</v>
          </cell>
          <cell r="R225">
            <v>-25.177356604122458</v>
          </cell>
          <cell r="S225">
            <v>9.1194473809941279</v>
          </cell>
          <cell r="T225">
            <v>100.33243241092448</v>
          </cell>
          <cell r="U225">
            <v>-95.568976277484722</v>
          </cell>
          <cell r="V225">
            <v>-34.901330131114072</v>
          </cell>
          <cell r="W225">
            <v>-28.964745997560605</v>
          </cell>
          <cell r="X225">
            <v>3.4576296829125219</v>
          </cell>
          <cell r="Y225">
            <v>11.916206169559906</v>
          </cell>
          <cell r="Z225">
            <v>52.040852137575925</v>
          </cell>
          <cell r="AA225">
            <v>38.044750740643394</v>
          </cell>
          <cell r="AB225">
            <v>-52.824117187588726</v>
          </cell>
          <cell r="AC225">
            <v>-47.935429140739672</v>
          </cell>
          <cell r="AD225">
            <v>31.346270638397122</v>
          </cell>
          <cell r="AE225">
            <v>-32.696047200732046</v>
          </cell>
          <cell r="AF225">
            <v>-80.000000000000071</v>
          </cell>
          <cell r="AG225">
            <v>-14.999999999999458</v>
          </cell>
          <cell r="AH225">
            <v>10.000000000000009</v>
          </cell>
          <cell r="AI225">
            <v>20.000000000000018</v>
          </cell>
          <cell r="AJ225">
            <v>0</v>
          </cell>
          <cell r="AK225">
            <v>0</v>
          </cell>
          <cell r="AL225">
            <v>1.1102230246251565E-12</v>
          </cell>
          <cell r="AN225" t="str">
            <v>BPS Change</v>
          </cell>
          <cell r="EL225" t="str">
            <v>BPS Change</v>
          </cell>
          <cell r="ER225">
            <v>139.97738886292632</v>
          </cell>
          <cell r="ES225">
            <v>-79.90834205613973</v>
          </cell>
          <cell r="ET225">
            <v>6.2033726308408088</v>
          </cell>
          <cell r="EU225">
            <v>-5.9414249625333593</v>
          </cell>
          <cell r="EV225">
            <v>11.916206169559906</v>
          </cell>
          <cell r="EX225">
            <v>-97.103999740255631</v>
          </cell>
          <cell r="EY225">
            <v>163.98169554058151</v>
          </cell>
          <cell r="EZ225">
            <v>101.69861296223215</v>
          </cell>
          <cell r="FA225">
            <v>-63.218337796286939</v>
          </cell>
          <cell r="FB225">
            <v>18.329059676766015</v>
          </cell>
          <cell r="FD225">
            <v>117.86151205476769</v>
          </cell>
          <cell r="FE225">
            <v>-100.4420955299623</v>
          </cell>
          <cell r="FF225">
            <v>-18.760138584779096</v>
          </cell>
          <cell r="FG225">
            <v>222.58833186213579</v>
          </cell>
          <cell r="FH225">
            <v>71.756543201453297</v>
          </cell>
          <cell r="FJ225">
            <v>63.717056086882721</v>
          </cell>
          <cell r="FK225">
            <v>46.127632932633219</v>
          </cell>
          <cell r="FL225">
            <v>-32.767964494694326</v>
          </cell>
          <cell r="FM225">
            <v>-217.73908399327914</v>
          </cell>
          <cell r="FN225">
            <v>-54.339437729014065</v>
          </cell>
          <cell r="FP225">
            <v>-140.55220178839755</v>
          </cell>
          <cell r="FQ225">
            <v>-93.236708620035856</v>
          </cell>
          <cell r="FR225">
            <v>-12.879189811180192</v>
          </cell>
          <cell r="FS225">
            <v>24.029174116709797</v>
          </cell>
          <cell r="FT225">
            <v>-46.420108599314332</v>
          </cell>
          <cell r="FV225">
            <v>29.039198622671236</v>
          </cell>
          <cell r="FW225">
            <v>16.257938490480406</v>
          </cell>
          <cell r="FX225">
            <v>49.323610142728569</v>
          </cell>
          <cell r="FY225">
            <v>33.075008945261388</v>
          </cell>
          <cell r="FZ225">
            <v>31.346270638397122</v>
          </cell>
          <cell r="GB225">
            <v>26.585211844264435</v>
          </cell>
          <cell r="GC225">
            <v>-10.122801825093175</v>
          </cell>
          <cell r="GD225">
            <v>-14.999999999999458</v>
          </cell>
          <cell r="GE225">
            <v>-38.127955584439377</v>
          </cell>
          <cell r="GF225">
            <v>-12.793329120629471</v>
          </cell>
          <cell r="GJ225" t="str">
            <v>Extra Week Gross Profit $ (incremental)</v>
          </cell>
          <cell r="GK225">
            <v>143.28757891183548</v>
          </cell>
          <cell r="GM225" t="str">
            <v>4Q diluted shares</v>
          </cell>
          <cell r="GO225">
            <v>397.54335839599003</v>
          </cell>
        </row>
        <row r="226">
          <cell r="A226" t="str">
            <v>Gross Income</v>
          </cell>
          <cell r="N226">
            <v>5576</v>
          </cell>
          <cell r="O226">
            <v>5815</v>
          </cell>
          <cell r="P226">
            <v>6020</v>
          </cell>
          <cell r="Q226">
            <v>6147</v>
          </cell>
          <cell r="R226">
            <v>6453</v>
          </cell>
          <cell r="S226">
            <v>6683</v>
          </cell>
          <cell r="T226">
            <v>6182</v>
          </cell>
          <cell r="U226">
            <v>6247</v>
          </cell>
          <cell r="V226">
            <v>6237</v>
          </cell>
          <cell r="W226">
            <v>6430</v>
          </cell>
          <cell r="X226">
            <v>9118</v>
          </cell>
          <cell r="Y226">
            <v>10951</v>
          </cell>
          <cell r="Z226">
            <v>10547.294160497871</v>
          </cell>
          <cell r="AA226">
            <v>9883</v>
          </cell>
          <cell r="AB226">
            <v>9617</v>
          </cell>
          <cell r="AC226">
            <v>10179</v>
          </cell>
          <cell r="AD226">
            <v>10667</v>
          </cell>
          <cell r="AE226">
            <v>11386.368470484413</v>
          </cell>
          <cell r="AF226">
            <v>12345.044530032625</v>
          </cell>
          <cell r="AG226">
            <v>12628.404644818967</v>
          </cell>
          <cell r="AH226">
            <v>12728.630898170555</v>
          </cell>
          <cell r="AI226">
            <v>12794.072170216694</v>
          </cell>
          <cell r="AJ226">
            <v>12922.012891918861</v>
          </cell>
          <cell r="AK226">
            <v>13051.23302083805</v>
          </cell>
          <cell r="AL226">
            <v>13181.745351046431</v>
          </cell>
          <cell r="GJ226" t="str">
            <v>Extra Week Gross Margin % (incremental)</v>
          </cell>
          <cell r="GK226">
            <v>0.40855983493810177</v>
          </cell>
          <cell r="GM226" t="str">
            <v>4Q EPS benefit from extra wk</v>
          </cell>
          <cell r="GO226">
            <v>0.12906124044789702</v>
          </cell>
        </row>
        <row r="227">
          <cell r="A227" t="str">
            <v>Gross Margin</v>
          </cell>
          <cell r="N227">
            <v>0.38155193649924729</v>
          </cell>
          <cell r="O227">
            <v>0.39203128160183376</v>
          </cell>
          <cell r="P227">
            <v>0.39553219448094612</v>
          </cell>
          <cell r="Q227">
            <v>0.40006508298080051</v>
          </cell>
          <cell r="R227">
            <v>0.40258281864121281</v>
          </cell>
          <cell r="S227">
            <v>0.40167087390311335</v>
          </cell>
          <cell r="T227">
            <v>0.3916376306620209</v>
          </cell>
          <cell r="U227">
            <v>0.40119452828976943</v>
          </cell>
          <cell r="V227">
            <v>0.40468466130288089</v>
          </cell>
          <cell r="W227">
            <v>0.40758113590263689</v>
          </cell>
          <cell r="X227">
            <v>0.4072353729343457</v>
          </cell>
          <cell r="Y227">
            <v>0.40604375231738971</v>
          </cell>
          <cell r="Z227">
            <v>0.40083966710363211</v>
          </cell>
          <cell r="AA227">
            <v>0.39703519202956772</v>
          </cell>
          <cell r="AB227">
            <v>0.40231760374832665</v>
          </cell>
          <cell r="AC227">
            <v>0.4071111466624005</v>
          </cell>
          <cell r="AD227">
            <v>0.4039765195985609</v>
          </cell>
          <cell r="AE227">
            <v>0.407246124318634</v>
          </cell>
          <cell r="AF227">
            <v>0.415246124318634</v>
          </cell>
          <cell r="AG227">
            <v>0.416746124318634</v>
          </cell>
          <cell r="AH227">
            <v>0.415746124318634</v>
          </cell>
          <cell r="AI227">
            <v>0.413746124318634</v>
          </cell>
          <cell r="AJ227">
            <v>0.413746124318634</v>
          </cell>
          <cell r="AK227">
            <v>0.413746124318634</v>
          </cell>
          <cell r="AL227">
            <v>0.413746124318634</v>
          </cell>
          <cell r="AN227" t="str">
            <v>Gross Income</v>
          </cell>
          <cell r="EL227" t="str">
            <v>Gross Income</v>
          </cell>
          <cell r="ER227">
            <v>2303</v>
          </cell>
          <cell r="ES227">
            <v>2525</v>
          </cell>
          <cell r="ET227">
            <v>2373</v>
          </cell>
          <cell r="EU227">
            <v>3750</v>
          </cell>
          <cell r="EV227">
            <v>10951</v>
          </cell>
          <cell r="EX227">
            <v>2357</v>
          </cell>
          <cell r="EY227">
            <v>2385</v>
          </cell>
          <cell r="EZ227">
            <v>2321</v>
          </cell>
          <cell r="FA227">
            <v>3573</v>
          </cell>
          <cell r="FB227">
            <v>10636</v>
          </cell>
          <cell r="FD227">
            <v>2220</v>
          </cell>
          <cell r="FE227">
            <v>2372</v>
          </cell>
          <cell r="FF227">
            <v>2169</v>
          </cell>
          <cell r="FG227">
            <v>3122</v>
          </cell>
          <cell r="FH227">
            <v>9883</v>
          </cell>
          <cell r="FJ227">
            <v>2009</v>
          </cell>
          <cell r="FK227">
            <v>2168</v>
          </cell>
          <cell r="FL227">
            <v>2144</v>
          </cell>
          <cell r="FM227">
            <v>3296</v>
          </cell>
          <cell r="FN227">
            <v>9617</v>
          </cell>
          <cell r="FP227">
            <v>2196</v>
          </cell>
          <cell r="FQ227">
            <v>2323</v>
          </cell>
          <cell r="FR227">
            <v>2246</v>
          </cell>
          <cell r="FS227">
            <v>3414</v>
          </cell>
          <cell r="FT227">
            <v>10179</v>
          </cell>
          <cell r="FU227" t="str">
            <v>2H</v>
          </cell>
          <cell r="FV227">
            <v>2303</v>
          </cell>
          <cell r="FW227">
            <v>2482</v>
          </cell>
          <cell r="FX227">
            <v>2309</v>
          </cell>
          <cell r="FY227">
            <v>3573</v>
          </cell>
          <cell r="FZ227">
            <v>10667</v>
          </cell>
          <cell r="GB227">
            <v>2386</v>
          </cell>
          <cell r="GC227">
            <v>2563</v>
          </cell>
          <cell r="GD227">
            <v>2403.5870975038929</v>
          </cell>
          <cell r="GE227">
            <v>3872.1168046096464</v>
          </cell>
          <cell r="GF227">
            <v>11224.703902113539</v>
          </cell>
          <cell r="GJ227" t="str">
            <v>Extra Week Gross Margin ∆ bps (incremental vs 4Q)</v>
          </cell>
          <cell r="GK227">
            <v>-50</v>
          </cell>
          <cell r="GM227" t="str">
            <v>FY12 diluted shares</v>
          </cell>
          <cell r="GO227">
            <v>411.14899749373433</v>
          </cell>
        </row>
        <row r="228">
          <cell r="A228" t="str">
            <v>Y/Y ∆ Gross Margin (bps)</v>
          </cell>
          <cell r="O228">
            <v>104.79345102586468</v>
          </cell>
          <cell r="P228">
            <v>35.009128791123615</v>
          </cell>
          <cell r="Q228">
            <v>45.328884998543927</v>
          </cell>
          <cell r="R228">
            <v>25.177356604123013</v>
          </cell>
          <cell r="S228">
            <v>-9.1194473809946821</v>
          </cell>
          <cell r="T228">
            <v>-100.33243241092448</v>
          </cell>
          <cell r="U228">
            <v>95.568976277485291</v>
          </cell>
          <cell r="V228">
            <v>34.901330131114626</v>
          </cell>
          <cell r="W228">
            <v>28.964745997560048</v>
          </cell>
          <cell r="X228">
            <v>-3.4576296829119668</v>
          </cell>
          <cell r="Y228">
            <v>-11.916206169559906</v>
          </cell>
          <cell r="Z228">
            <v>-52.040852137575925</v>
          </cell>
          <cell r="AA228">
            <v>-38.044750740643948</v>
          </cell>
          <cell r="AB228">
            <v>52.82411718758928</v>
          </cell>
          <cell r="AC228">
            <v>47.935429140738563</v>
          </cell>
          <cell r="AD228">
            <v>-31.346270638396014</v>
          </cell>
          <cell r="AE228">
            <v>32.696047200730938</v>
          </cell>
          <cell r="AF228">
            <v>80</v>
          </cell>
          <cell r="AG228">
            <v>15</v>
          </cell>
          <cell r="AH228">
            <v>-10</v>
          </cell>
          <cell r="AI228">
            <v>-20</v>
          </cell>
          <cell r="AJ228">
            <v>0</v>
          </cell>
          <cell r="AK228">
            <v>0</v>
          </cell>
          <cell r="AL228">
            <v>0</v>
          </cell>
          <cell r="AN228" t="str">
            <v>Gross Margin</v>
          </cell>
          <cell r="EL228" t="str">
            <v>Gross Margin</v>
          </cell>
          <cell r="ER228">
            <v>0.38836424957841487</v>
          </cell>
          <cell r="ES228">
            <v>0.42118432026688907</v>
          </cell>
          <cell r="ET228">
            <v>0.40316004077471967</v>
          </cell>
          <cell r="EU228">
            <v>0.40943334425155586</v>
          </cell>
          <cell r="EV228">
            <v>0.40604375231738971</v>
          </cell>
          <cell r="EX228">
            <v>0.39807464955244048</v>
          </cell>
          <cell r="EY228">
            <v>0.40478615071283097</v>
          </cell>
          <cell r="EZ228">
            <v>0.39299017947849646</v>
          </cell>
          <cell r="FA228">
            <v>0.41575517803118456</v>
          </cell>
          <cell r="FB228">
            <v>0.40421084634971305</v>
          </cell>
          <cell r="FD228">
            <v>0.38628849834696366</v>
          </cell>
          <cell r="FE228">
            <v>0.4148303602658272</v>
          </cell>
          <cell r="FF228">
            <v>0.39486619333697431</v>
          </cell>
          <cell r="FG228">
            <v>0.39349634484497104</v>
          </cell>
          <cell r="FH228">
            <v>0.39703519202956772</v>
          </cell>
          <cell r="FJ228">
            <v>0.37991679273827533</v>
          </cell>
          <cell r="FK228">
            <v>0.41021759697256388</v>
          </cell>
          <cell r="FL228">
            <v>0.3981429897864438</v>
          </cell>
          <cell r="FM228">
            <v>0.41527025324429884</v>
          </cell>
          <cell r="FN228">
            <v>0.40246913580246912</v>
          </cell>
          <cell r="FP228">
            <v>0.3939720129171152</v>
          </cell>
          <cell r="FQ228">
            <v>0.41954126783456747</v>
          </cell>
          <cell r="FR228">
            <v>0.39943090876756182</v>
          </cell>
          <cell r="FS228">
            <v>0.41286733583262791</v>
          </cell>
          <cell r="FT228">
            <v>0.4071111466624005</v>
          </cell>
          <cell r="FU228">
            <v>0.40742873596314427</v>
          </cell>
          <cell r="FV228">
            <v>0.39106809305484802</v>
          </cell>
          <cell r="FW228">
            <v>0.41791547398551943</v>
          </cell>
          <cell r="FX228">
            <v>0.39449854775328891</v>
          </cell>
          <cell r="FY228">
            <v>0.40955983493810177</v>
          </cell>
          <cell r="FZ228">
            <v>0.4039765195985609</v>
          </cell>
          <cell r="GB228">
            <v>0.38840957187042163</v>
          </cell>
          <cell r="GC228">
            <v>0.41892775416802874</v>
          </cell>
          <cell r="GD228">
            <v>0.39599854775328891</v>
          </cell>
          <cell r="GE228">
            <v>0.41337263049654577</v>
          </cell>
          <cell r="GF228">
            <v>0.40525585251062379</v>
          </cell>
          <cell r="GM228" t="str">
            <v>FY12 EPS benefit</v>
          </cell>
          <cell r="GO228">
            <v>0.12479037837661579</v>
          </cell>
        </row>
        <row r="229">
          <cell r="A229" t="str">
            <v>SG&amp;A Expenses</v>
          </cell>
          <cell r="N229">
            <v>4913</v>
          </cell>
          <cell r="O229">
            <v>4922</v>
          </cell>
          <cell r="P229">
            <v>4679</v>
          </cell>
          <cell r="Q229">
            <v>4692</v>
          </cell>
          <cell r="R229">
            <v>4760</v>
          </cell>
          <cell r="S229">
            <v>4912</v>
          </cell>
          <cell r="T229">
            <v>4806</v>
          </cell>
          <cell r="U229">
            <v>4836</v>
          </cell>
          <cell r="V229">
            <v>4837</v>
          </cell>
          <cell r="W229">
            <v>4931</v>
          </cell>
          <cell r="X229">
            <v>6980</v>
          </cell>
          <cell r="Y229">
            <v>8678</v>
          </cell>
          <cell r="Z229">
            <v>8486.7237921820597</v>
          </cell>
          <cell r="AA229">
            <v>8458</v>
          </cell>
          <cell r="AB229">
            <v>8163</v>
          </cell>
          <cell r="AC229">
            <v>8260</v>
          </cell>
          <cell r="AD229">
            <v>8281</v>
          </cell>
          <cell r="AE229">
            <v>8590.9232459556424</v>
          </cell>
          <cell r="AF229">
            <v>9075.3325541519971</v>
          </cell>
          <cell r="AG229">
            <v>9219.9246980410044</v>
          </cell>
          <cell r="AH229">
            <v>9284.8357695452942</v>
          </cell>
          <cell r="AI229">
            <v>9346.7616087729639</v>
          </cell>
          <cell r="AJ229">
            <v>9408.997481208231</v>
          </cell>
          <cell r="AK229">
            <v>9471.5433949313283</v>
          </cell>
          <cell r="AL229">
            <v>9534.3993271807667</v>
          </cell>
          <cell r="AN229" t="str">
            <v>BPS Change</v>
          </cell>
          <cell r="EL229" t="str">
            <v>BPS Change</v>
          </cell>
          <cell r="ER229">
            <v>-139.97738886292632</v>
          </cell>
          <cell r="ES229">
            <v>79.908342056138622</v>
          </cell>
          <cell r="ET229">
            <v>-6.2033726308408088</v>
          </cell>
          <cell r="EU229">
            <v>5.9414249625339144</v>
          </cell>
          <cell r="EV229">
            <v>-11.916206169559906</v>
          </cell>
          <cell r="EX229">
            <v>97.103999740256185</v>
          </cell>
          <cell r="EY229">
            <v>-163.98169554058094</v>
          </cell>
          <cell r="EZ229">
            <v>-101.69861296223215</v>
          </cell>
          <cell r="FA229">
            <v>63.218337796286939</v>
          </cell>
          <cell r="FB229">
            <v>-18.329059676766569</v>
          </cell>
          <cell r="FD229">
            <v>-117.86151205476824</v>
          </cell>
          <cell r="FE229">
            <v>100.4420955299623</v>
          </cell>
          <cell r="FF229">
            <v>18.760138584778542</v>
          </cell>
          <cell r="FG229">
            <v>-222.58833186213522</v>
          </cell>
          <cell r="FH229">
            <v>-71.756543201453297</v>
          </cell>
          <cell r="FJ229">
            <v>-63.717056086883275</v>
          </cell>
          <cell r="FK229">
            <v>-46.127632932633219</v>
          </cell>
          <cell r="FL229">
            <v>32.76796449469488</v>
          </cell>
          <cell r="FM229">
            <v>217.73908399327803</v>
          </cell>
          <cell r="FN229">
            <v>54.339437729014065</v>
          </cell>
          <cell r="FP229">
            <v>140.55220178839866</v>
          </cell>
          <cell r="FQ229">
            <v>93.236708620035856</v>
          </cell>
          <cell r="FR229">
            <v>12.879189811180192</v>
          </cell>
          <cell r="FS229">
            <v>-24.029174116709239</v>
          </cell>
          <cell r="FT229">
            <v>46.420108599313778</v>
          </cell>
          <cell r="FU229">
            <v>0.40834709503077615</v>
          </cell>
          <cell r="FV229">
            <v>-29.03919862267179</v>
          </cell>
          <cell r="FW229">
            <v>-16.257938490480406</v>
          </cell>
          <cell r="FX229">
            <v>-49.323610142729123</v>
          </cell>
          <cell r="FY229">
            <v>-33.075008945261388</v>
          </cell>
          <cell r="FZ229">
            <v>-31.346270638396014</v>
          </cell>
          <cell r="GB229">
            <v>-26.585211844263878</v>
          </cell>
          <cell r="GC229">
            <v>10.122801825093175</v>
          </cell>
          <cell r="GD229">
            <v>15</v>
          </cell>
          <cell r="GE229">
            <v>38.127955584439931</v>
          </cell>
          <cell r="GF229">
            <v>12.793329120628915</v>
          </cell>
          <cell r="GG229" t="str">
            <v>SEE CREDIT INCOME TAB FOR SG&amp;A EXPENSE CALCS</v>
          </cell>
        </row>
        <row r="230">
          <cell r="A230" t="str">
            <v>SG&amp;A Ratio</v>
          </cell>
          <cell r="N230">
            <v>0.33618448063500755</v>
          </cell>
          <cell r="O230">
            <v>0.33182768152093306</v>
          </cell>
          <cell r="P230">
            <v>0.30742444152431014</v>
          </cell>
          <cell r="Q230">
            <v>0.30536934591604298</v>
          </cell>
          <cell r="R230">
            <v>0.29696175681577142</v>
          </cell>
          <cell r="S230">
            <v>0.29522779180189929</v>
          </cell>
          <cell r="T230">
            <v>0.30446626544187522</v>
          </cell>
          <cell r="U230">
            <v>0.31057735534005521</v>
          </cell>
          <cell r="V230">
            <v>0.31384635349078638</v>
          </cell>
          <cell r="W230">
            <v>0.31256338742393508</v>
          </cell>
          <cell r="X230">
            <v>0.311746315319339</v>
          </cell>
          <cell r="Y230">
            <v>0.32176492398961809</v>
          </cell>
          <cell r="Z230">
            <v>0.32252969225029682</v>
          </cell>
          <cell r="AA230">
            <v>0.33978788365739998</v>
          </cell>
          <cell r="AB230">
            <v>0.34149096385542171</v>
          </cell>
          <cell r="AC230">
            <v>0.33036035675718911</v>
          </cell>
          <cell r="AD230">
            <v>0.31361484567316794</v>
          </cell>
          <cell r="AE230">
            <v>0.30726391872029868</v>
          </cell>
          <cell r="AF230">
            <v>0.30526391872029868</v>
          </cell>
          <cell r="AG230">
            <v>0.30426391872029868</v>
          </cell>
          <cell r="AH230">
            <v>0.30326391872029868</v>
          </cell>
          <cell r="AI230">
            <v>0.30226391872029867</v>
          </cell>
          <cell r="AJ230">
            <v>0.30126391872029867</v>
          </cell>
          <cell r="AK230">
            <v>0.30026391872029867</v>
          </cell>
          <cell r="AL230">
            <v>0.29926391872029867</v>
          </cell>
          <cell r="GB230" t="str">
            <v>SEE CREDIT INCOME TAB FOR SG&amp;A FORECASTS</v>
          </cell>
          <cell r="GJ230" t="str">
            <v>Extra Week SG&amp;A $ (incremental)</v>
          </cell>
          <cell r="GK230">
            <v>61.847199600074589</v>
          </cell>
        </row>
        <row r="231">
          <cell r="A231" t="str">
            <v>Y/Y ∆ SG&amp;A Ratio (bps)</v>
          </cell>
          <cell r="O231">
            <v>-43.567991140744944</v>
          </cell>
          <cell r="P231">
            <v>-244.03239996622915</v>
          </cell>
          <cell r="Q231">
            <v>-20.550956082671657</v>
          </cell>
          <cell r="R231">
            <v>-84.075891002715622</v>
          </cell>
          <cell r="S231">
            <v>-17.339650138721296</v>
          </cell>
          <cell r="T231">
            <v>92.384736399759305</v>
          </cell>
          <cell r="U231">
            <v>61.110898981799892</v>
          </cell>
          <cell r="V231">
            <v>32.689981507311728</v>
          </cell>
          <cell r="W231">
            <v>-12.829660668512988</v>
          </cell>
          <cell r="X231">
            <v>-8.170721045960839</v>
          </cell>
          <cell r="Y231">
            <v>100.18608670279094</v>
          </cell>
          <cell r="Z231">
            <v>7.6476826067872761</v>
          </cell>
          <cell r="AA231">
            <v>172.58191407103163</v>
          </cell>
          <cell r="AB231">
            <v>17.030801980217337</v>
          </cell>
          <cell r="AC231">
            <v>-111.30607098232603</v>
          </cell>
          <cell r="AD231">
            <v>-167.45511084021169</v>
          </cell>
          <cell r="AE231">
            <v>-63.509269528692627</v>
          </cell>
          <cell r="AF231">
            <v>-20</v>
          </cell>
          <cell r="AG231">
            <v>-10</v>
          </cell>
          <cell r="AH231">
            <v>-10</v>
          </cell>
          <cell r="AI231">
            <v>-10</v>
          </cell>
          <cell r="AJ231">
            <v>-10</v>
          </cell>
          <cell r="AK231">
            <v>-10</v>
          </cell>
          <cell r="AL231">
            <v>-10</v>
          </cell>
          <cell r="AN231" t="str">
            <v>SG&amp;A Expenses (Total)</v>
          </cell>
          <cell r="EL231" t="str">
            <v>SG&amp;A Expenses (Total)</v>
          </cell>
          <cell r="ER231">
            <v>2154</v>
          </cell>
          <cell r="ES231">
            <v>2117</v>
          </cell>
          <cell r="ET231">
            <v>2094</v>
          </cell>
          <cell r="EU231">
            <v>2313</v>
          </cell>
          <cell r="EV231">
            <v>8678</v>
          </cell>
          <cell r="EX231">
            <v>2113</v>
          </cell>
          <cell r="EY231">
            <v>2038</v>
          </cell>
          <cell r="EZ231">
            <v>2121</v>
          </cell>
          <cell r="FA231">
            <v>2282</v>
          </cell>
          <cell r="FB231">
            <v>8554</v>
          </cell>
          <cell r="FD231">
            <v>2080</v>
          </cell>
          <cell r="FE231">
            <v>2037</v>
          </cell>
          <cell r="FF231">
            <v>2085</v>
          </cell>
          <cell r="FG231">
            <v>2256</v>
          </cell>
          <cell r="FH231">
            <v>8458</v>
          </cell>
          <cell r="FJ231">
            <v>1985</v>
          </cell>
          <cell r="FK231">
            <v>1886</v>
          </cell>
          <cell r="FL231">
            <v>2056</v>
          </cell>
          <cell r="FM231">
            <v>2236</v>
          </cell>
          <cell r="FN231">
            <v>8163</v>
          </cell>
          <cell r="FP231">
            <v>1993</v>
          </cell>
          <cell r="FQ231">
            <v>1953</v>
          </cell>
          <cell r="FR231">
            <v>2069</v>
          </cell>
          <cell r="FS231">
            <v>2245</v>
          </cell>
          <cell r="FT231">
            <v>8260</v>
          </cell>
          <cell r="FU231">
            <v>4314</v>
          </cell>
          <cell r="FV231">
            <v>1973</v>
          </cell>
          <cell r="FW231">
            <v>1976</v>
          </cell>
          <cell r="FX231">
            <v>2018</v>
          </cell>
          <cell r="FY231">
            <v>2314</v>
          </cell>
          <cell r="FZ231">
            <v>8281</v>
          </cell>
          <cell r="GB231">
            <v>1995</v>
          </cell>
          <cell r="GC231">
            <v>2009</v>
          </cell>
          <cell r="GD231">
            <v>2122.0121029772449</v>
          </cell>
          <cell r="GE231">
            <v>2427.3951769090281</v>
          </cell>
          <cell r="GF231">
            <v>8553.4072798862726</v>
          </cell>
          <cell r="GM231" t="str">
            <v>Bull Retail Revenues from extra week</v>
          </cell>
          <cell r="GO231">
            <v>357.39407950202894</v>
          </cell>
        </row>
        <row r="232">
          <cell r="A232" t="str">
            <v>Operating Income</v>
          </cell>
          <cell r="N232">
            <v>663</v>
          </cell>
          <cell r="O232">
            <v>893</v>
          </cell>
          <cell r="P232">
            <v>1341</v>
          </cell>
          <cell r="Q232">
            <v>1455</v>
          </cell>
          <cell r="R232">
            <v>1693</v>
          </cell>
          <cell r="S232">
            <v>1771</v>
          </cell>
          <cell r="T232">
            <v>1376</v>
          </cell>
          <cell r="U232">
            <v>1411</v>
          </cell>
          <cell r="V232">
            <v>1400</v>
          </cell>
          <cell r="W232">
            <v>1499</v>
          </cell>
          <cell r="X232">
            <v>2138</v>
          </cell>
          <cell r="Y232">
            <v>2273</v>
          </cell>
          <cell r="Z232">
            <v>2060.5703683158117</v>
          </cell>
          <cell r="AA232">
            <v>1425</v>
          </cell>
          <cell r="AB232">
            <v>1454</v>
          </cell>
          <cell r="AC232">
            <v>1919</v>
          </cell>
          <cell r="AD232">
            <v>2386</v>
          </cell>
          <cell r="AE232">
            <v>2795.4452245287703</v>
          </cell>
          <cell r="AF232">
            <v>3269.7119758806275</v>
          </cell>
          <cell r="AG232">
            <v>3408.4799467779631</v>
          </cell>
          <cell r="AH232">
            <v>3443.795128625261</v>
          </cell>
          <cell r="AI232">
            <v>3447.31056144373</v>
          </cell>
          <cell r="AJ232">
            <v>3513.01541071063</v>
          </cell>
          <cell r="AK232">
            <v>3579.6896259067216</v>
          </cell>
          <cell r="AL232">
            <v>3647.3460238656644</v>
          </cell>
          <cell r="AN232" t="str">
            <v>SG&amp;A Expense (Ex Pension, Incl. Credit)</v>
          </cell>
          <cell r="EL232" t="str">
            <v>SG&amp;A Expense (Core Operations)</v>
          </cell>
          <cell r="ER232">
            <v>0.36323777403035412</v>
          </cell>
          <cell r="ES232">
            <v>0.35312760633861551</v>
          </cell>
          <cell r="ET232">
            <v>0.35575942915392456</v>
          </cell>
          <cell r="EU232">
            <v>0.25253848673435964</v>
          </cell>
          <cell r="EV232">
            <v>0.32176492398961809</v>
          </cell>
          <cell r="EX232">
            <v>2078</v>
          </cell>
          <cell r="EY232">
            <v>1998</v>
          </cell>
          <cell r="EZ232">
            <v>2082</v>
          </cell>
          <cell r="FA232">
            <v>2243</v>
          </cell>
          <cell r="FB232">
            <v>8401</v>
          </cell>
          <cell r="FD232">
            <v>2033</v>
          </cell>
          <cell r="FE232">
            <v>1976</v>
          </cell>
          <cell r="FF232">
            <v>2023</v>
          </cell>
          <cell r="FG232">
            <v>2215</v>
          </cell>
          <cell r="FH232">
            <v>11928</v>
          </cell>
          <cell r="FJ232">
            <v>1876</v>
          </cell>
          <cell r="FK232">
            <v>1731</v>
          </cell>
          <cell r="FL232">
            <v>1946</v>
          </cell>
          <cell r="FM232">
            <v>2171</v>
          </cell>
          <cell r="FN232">
            <v>7724</v>
          </cell>
          <cell r="FP232">
            <v>1838.25</v>
          </cell>
          <cell r="FQ232">
            <v>1828.25</v>
          </cell>
          <cell r="FR232">
            <v>1944.25</v>
          </cell>
          <cell r="FS232">
            <v>2210.25</v>
          </cell>
          <cell r="FT232">
            <v>7821</v>
          </cell>
          <cell r="FU232">
            <v>1.6254416961130724E-2</v>
          </cell>
          <cell r="FV232">
            <v>1938.25</v>
          </cell>
          <cell r="FW232">
            <v>1938</v>
          </cell>
          <cell r="FX232">
            <v>1980</v>
          </cell>
          <cell r="FY232">
            <v>2275</v>
          </cell>
          <cell r="FZ232">
            <v>8131.25</v>
          </cell>
          <cell r="GB232">
            <v>1944.25</v>
          </cell>
          <cell r="GC232">
            <v>1952</v>
          </cell>
          <cell r="GD232">
            <v>2066.0121029772449</v>
          </cell>
          <cell r="GE232">
            <v>2370.3951769090281</v>
          </cell>
          <cell r="GF232">
            <v>8332.6572798862726</v>
          </cell>
          <cell r="GM232" t="str">
            <v>Bear Retail Revenues from extra week</v>
          </cell>
          <cell r="GO232">
            <v>344.03355316550449</v>
          </cell>
        </row>
        <row r="233">
          <cell r="A233" t="str">
            <v>Operating Margin</v>
          </cell>
          <cell r="N233">
            <v>4.5367455864239771E-2</v>
          </cell>
          <cell r="O233">
            <v>6.0203600080900692E-2</v>
          </cell>
          <cell r="P233">
            <v>8.8107752956636004E-2</v>
          </cell>
          <cell r="Q233">
            <v>9.4695737064757562E-2</v>
          </cell>
          <cell r="R233">
            <v>0.10562106182544138</v>
          </cell>
          <cell r="S233">
            <v>0.10644308210121409</v>
          </cell>
          <cell r="T233">
            <v>8.7171365220145708E-2</v>
          </cell>
          <cell r="U233">
            <v>9.0617172949714206E-2</v>
          </cell>
          <cell r="V233">
            <v>9.0838307812094468E-2</v>
          </cell>
          <cell r="W233">
            <v>9.5017748478701827E-2</v>
          </cell>
          <cell r="X233">
            <v>9.5489057615006701E-2</v>
          </cell>
          <cell r="Y233">
            <v>8.4278828327771602E-2</v>
          </cell>
          <cell r="Z233">
            <v>7.8309974853335296E-2</v>
          </cell>
          <cell r="AA233">
            <v>5.7247308372167766E-2</v>
          </cell>
          <cell r="AB233">
            <v>6.0826639892904953E-2</v>
          </cell>
          <cell r="AC233">
            <v>7.6750789905211378E-2</v>
          </cell>
          <cell r="AD233">
            <v>9.0361673925392919E-2</v>
          </cell>
          <cell r="AE233">
            <v>9.9982205598335316E-2</v>
          </cell>
          <cell r="AF233">
            <v>0.10998220559833537</v>
          </cell>
          <cell r="AG233">
            <v>0.11248220559833534</v>
          </cell>
          <cell r="AH233">
            <v>0.11248220559833533</v>
          </cell>
          <cell r="AI233">
            <v>0.1114822055983353</v>
          </cell>
          <cell r="AJ233">
            <v>0.11248220559833537</v>
          </cell>
          <cell r="AK233">
            <v>0.11348220559833534</v>
          </cell>
          <cell r="AL233">
            <v>0.11448220559833534</v>
          </cell>
          <cell r="AN233" t="str">
            <v>Pension Expense (Benefit)</v>
          </cell>
          <cell r="EL233" t="str">
            <v>Pension Expense (Benefit)</v>
          </cell>
          <cell r="ER233">
            <v>300.87540578005888</v>
          </cell>
          <cell r="ES233">
            <v>202.54296926526084</v>
          </cell>
          <cell r="ET233">
            <v>5.8391160216936244</v>
          </cell>
          <cell r="EU233">
            <v>-178.61680437304796</v>
          </cell>
          <cell r="EV233">
            <v>100.18608670279094</v>
          </cell>
          <cell r="EX233">
            <v>35</v>
          </cell>
          <cell r="EY233">
            <v>40</v>
          </cell>
          <cell r="EZ233">
            <v>39</v>
          </cell>
          <cell r="FA233">
            <v>39</v>
          </cell>
          <cell r="FB233">
            <v>153</v>
          </cell>
          <cell r="FD233">
            <v>38</v>
          </cell>
          <cell r="FE233">
            <v>37</v>
          </cell>
          <cell r="FF233">
            <v>38</v>
          </cell>
          <cell r="FG233">
            <v>17</v>
          </cell>
          <cell r="FH233">
            <v>130</v>
          </cell>
          <cell r="FJ233">
            <v>34</v>
          </cell>
          <cell r="FK233">
            <v>35</v>
          </cell>
          <cell r="FL233">
            <v>35</v>
          </cell>
          <cell r="FM233">
            <v>35</v>
          </cell>
          <cell r="FN233">
            <v>139</v>
          </cell>
          <cell r="FP233">
            <v>34.75</v>
          </cell>
          <cell r="FQ233">
            <v>34.75</v>
          </cell>
          <cell r="FR233">
            <v>34.75</v>
          </cell>
          <cell r="FS233">
            <v>34.75</v>
          </cell>
          <cell r="FT233">
            <v>139</v>
          </cell>
          <cell r="FV233">
            <v>34.75</v>
          </cell>
          <cell r="FW233">
            <v>38</v>
          </cell>
          <cell r="FX233">
            <v>38</v>
          </cell>
          <cell r="FY233">
            <v>39</v>
          </cell>
          <cell r="FZ233">
            <v>149.75</v>
          </cell>
          <cell r="GB233">
            <v>50.75</v>
          </cell>
          <cell r="GC233">
            <v>57</v>
          </cell>
          <cell r="GD233">
            <v>56</v>
          </cell>
          <cell r="GE233">
            <v>57</v>
          </cell>
          <cell r="GF233">
            <v>220.75</v>
          </cell>
        </row>
        <row r="234">
          <cell r="A234" t="str">
            <v>Y/Y ∆ Operating Margin (bps)</v>
          </cell>
          <cell r="O234">
            <v>148.36144216660921</v>
          </cell>
          <cell r="P234">
            <v>279.04152875735315</v>
          </cell>
          <cell r="Q234">
            <v>65.879841081215588</v>
          </cell>
          <cell r="R234">
            <v>109.25324760683822</v>
          </cell>
          <cell r="S234">
            <v>8.22020275772703</v>
          </cell>
          <cell r="T234">
            <v>-192.7171688106838</v>
          </cell>
          <cell r="U234">
            <v>34.45807729568498</v>
          </cell>
          <cell r="V234">
            <v>2.2113486238026225</v>
          </cell>
          <cell r="W234">
            <v>41.794406666073591</v>
          </cell>
          <cell r="X234">
            <v>4.7130913630487328</v>
          </cell>
          <cell r="Y234">
            <v>-112.10229287235099</v>
          </cell>
          <cell r="Z234">
            <v>-59.688534744363061</v>
          </cell>
          <cell r="AA234">
            <v>-210.62666481167531</v>
          </cell>
          <cell r="AB234">
            <v>35.793315207371876</v>
          </cell>
          <cell r="AC234">
            <v>159.24150012306424</v>
          </cell>
          <cell r="AD234">
            <v>136.10884020181541</v>
          </cell>
          <cell r="AE234">
            <v>96.205316729423984</v>
          </cell>
          <cell r="AF234">
            <v>100.00000000000051</v>
          </cell>
          <cell r="AG234">
            <v>24.999999999999744</v>
          </cell>
          <cell r="AH234">
            <v>-1.3877787807814457E-13</v>
          </cell>
          <cell r="AI234">
            <v>-10.000000000000286</v>
          </cell>
          <cell r="AJ234">
            <v>10.000000000000703</v>
          </cell>
          <cell r="AK234">
            <v>9.9999999999997318</v>
          </cell>
          <cell r="AL234">
            <v>10.000000000000009</v>
          </cell>
          <cell r="AN234" t="str">
            <v>SG&amp;A Ratio (Ex Pension, Incl. Credit)</v>
          </cell>
          <cell r="EL234" t="str">
            <v>SG&amp;A Ratio (Core Operations)</v>
          </cell>
          <cell r="EX234">
            <v>0.35095423070427295</v>
          </cell>
          <cell r="EY234">
            <v>0.33910386965376782</v>
          </cell>
          <cell r="EZ234">
            <v>0.35252285811039619</v>
          </cell>
          <cell r="FA234">
            <v>0.26099604375145452</v>
          </cell>
          <cell r="FB234">
            <v>0.31927184281533844</v>
          </cell>
          <cell r="FD234">
            <v>0.35374978249521488</v>
          </cell>
          <cell r="FE234">
            <v>0.34557537600559635</v>
          </cell>
          <cell r="FF234">
            <v>0.3682869106135081</v>
          </cell>
          <cell r="FG234">
            <v>0.27917822031762035</v>
          </cell>
          <cell r="FH234">
            <v>0.47919010123734535</v>
          </cell>
          <cell r="FJ234">
            <v>0.35476550680786689</v>
          </cell>
          <cell r="FK234">
            <v>0.32753074739829707</v>
          </cell>
          <cell r="FL234">
            <v>0.36137418755803158</v>
          </cell>
          <cell r="FM234">
            <v>0.27352904119944565</v>
          </cell>
          <cell r="FN234">
            <v>0.32324754132663736</v>
          </cell>
          <cell r="FP234">
            <v>0.32979009687836386</v>
          </cell>
          <cell r="FQ234">
            <v>0.33018782734332669</v>
          </cell>
          <cell r="FR234">
            <v>0.3457673839587409</v>
          </cell>
          <cell r="FS234">
            <v>0.26729350586527995</v>
          </cell>
          <cell r="FT234">
            <v>0.31280246370435549</v>
          </cell>
          <cell r="FV234">
            <v>0.32913058244184074</v>
          </cell>
          <cell r="FW234">
            <v>0.32631756187910421</v>
          </cell>
          <cell r="FX234">
            <v>0.33828805740645823</v>
          </cell>
          <cell r="FY234">
            <v>0.26077487391104998</v>
          </cell>
          <cell r="FZ234">
            <v>0.30794357129331568</v>
          </cell>
          <cell r="GB234">
            <v>0.31649845352433664</v>
          </cell>
          <cell r="GC234">
            <v>0.31905851585485451</v>
          </cell>
          <cell r="GD234">
            <v>0.34038200374321254</v>
          </cell>
          <cell r="GE234">
            <v>0.25305447615338417</v>
          </cell>
          <cell r="GF234">
            <v>0.30084162211203869</v>
          </cell>
        </row>
        <row r="235">
          <cell r="AN235" t="str">
            <v>Y/Y ∆ SG&amp;A Ratio (bps)</v>
          </cell>
          <cell r="EL235" t="str">
            <v>Y/Y ∆ SG&amp;A Ratio (bps)</v>
          </cell>
          <cell r="FD235">
            <v>27.955517909419303</v>
          </cell>
          <cell r="FE235">
            <v>64.715063518285262</v>
          </cell>
          <cell r="FF235">
            <v>157.64052503111913</v>
          </cell>
          <cell r="FG235">
            <v>181.8217656616583</v>
          </cell>
          <cell r="FH235">
            <v>1599.1825842200692</v>
          </cell>
          <cell r="FJ235">
            <v>10.157243126520111</v>
          </cell>
          <cell r="FK235">
            <v>-180.44628607299273</v>
          </cell>
          <cell r="FL235">
            <v>-69.127230554765219</v>
          </cell>
          <cell r="FM235">
            <v>-56.491791181746962</v>
          </cell>
          <cell r="FN235">
            <v>-1559.42559910708</v>
          </cell>
          <cell r="FP235">
            <v>-249.75409929503033</v>
          </cell>
          <cell r="FQ235">
            <v>26.570799450296168</v>
          </cell>
          <cell r="FR235">
            <v>-156.06803599290674</v>
          </cell>
          <cell r="FS235">
            <v>-62.355353341657093</v>
          </cell>
          <cell r="FT235">
            <v>-104.45077622281862</v>
          </cell>
          <cell r="FV235">
            <v>-6.5951443652312314</v>
          </cell>
          <cell r="FW235">
            <v>-38.702654642224779</v>
          </cell>
          <cell r="FX235">
            <v>-74.793265522826729</v>
          </cell>
          <cell r="FY235">
            <v>-65.186319542299699</v>
          </cell>
          <cell r="FZ235">
            <v>-48.588924110398167</v>
          </cell>
          <cell r="GB235">
            <v>-126.32128917504093</v>
          </cell>
          <cell r="GC235">
            <v>-72.590460242497045</v>
          </cell>
          <cell r="GD235">
            <v>20.939463367543041</v>
          </cell>
          <cell r="GE235">
            <v>-77.20397757665809</v>
          </cell>
          <cell r="GF235">
            <v>-71.0194918127699</v>
          </cell>
        </row>
        <row r="236">
          <cell r="AN236" t="str">
            <v>SG&amp;A Ratio (Including Pension Impact)</v>
          </cell>
          <cell r="EL236" t="str">
            <v>SG&amp;A Ratio (Including Pension Impact)</v>
          </cell>
          <cell r="EX236">
            <v>0.35686539435906095</v>
          </cell>
          <cell r="EY236">
            <v>0.34589273591310249</v>
          </cell>
          <cell r="EZ236">
            <v>0.35912631222485608</v>
          </cell>
          <cell r="FA236">
            <v>0.2655340935536421</v>
          </cell>
          <cell r="FB236">
            <v>0.32508645916467144</v>
          </cell>
          <cell r="FD236">
            <v>0.36192796241517311</v>
          </cell>
          <cell r="FE236">
            <v>0.35624344176285416</v>
          </cell>
          <cell r="FF236">
            <v>0.37957400327689789</v>
          </cell>
          <cell r="FG236">
            <v>0.28434585328963952</v>
          </cell>
          <cell r="FH236">
            <v>0.33978788365739998</v>
          </cell>
          <cell r="FJ236">
            <v>0.37537821482602118</v>
          </cell>
          <cell r="FK236">
            <v>0.35685903500473037</v>
          </cell>
          <cell r="FL236">
            <v>0.38180129990714951</v>
          </cell>
          <cell r="FM236">
            <v>0.28171853345092607</v>
          </cell>
          <cell r="FN236">
            <v>0.34161958568738232</v>
          </cell>
          <cell r="FP236">
            <v>0.35755292429135271</v>
          </cell>
          <cell r="FQ236">
            <v>0.3527180783817952</v>
          </cell>
          <cell r="FR236">
            <v>0.36795304997332384</v>
          </cell>
          <cell r="FS236">
            <v>0.27149594872415045</v>
          </cell>
          <cell r="FT236">
            <v>0.33036035675718911</v>
          </cell>
          <cell r="FU236">
            <v>0.31053843938957676</v>
          </cell>
          <cell r="FV236">
            <v>0.33503141450161317</v>
          </cell>
          <cell r="FW236">
            <v>0.33271594544536115</v>
          </cell>
          <cell r="FX236">
            <v>0.34478045446779432</v>
          </cell>
          <cell r="FY236">
            <v>0.26524530032095367</v>
          </cell>
          <cell r="FZ236">
            <v>0.31361484567316794</v>
          </cell>
          <cell r="GB236">
            <v>0.32475988930489991</v>
          </cell>
          <cell r="GC236">
            <v>0.32837528604118993</v>
          </cell>
          <cell r="GD236">
            <v>0.34960818019307516</v>
          </cell>
          <cell r="GE236">
            <v>0.25913958182743124</v>
          </cell>
          <cell r="GF236">
            <v>0.30881156325452847</v>
          </cell>
          <cell r="GG236" t="str">
            <v>Implied 2012e Margins (ex Extra Week)</v>
          </cell>
          <cell r="GM236" t="str">
            <v>'12 Spring SG&amp;A</v>
          </cell>
          <cell r="GN236">
            <v>4004</v>
          </cell>
        </row>
        <row r="237">
          <cell r="AN237" t="str">
            <v>Y/Y ∆ SG&amp;A Ratio (bps)</v>
          </cell>
          <cell r="EL237" t="str">
            <v>Y/Y ∆ SG&amp;A Ratio (bps)</v>
          </cell>
          <cell r="EX237">
            <v>-63.723796712931716</v>
          </cell>
          <cell r="EY237">
            <v>-72.348704255130187</v>
          </cell>
          <cell r="EZ237">
            <v>33.668830709315259</v>
          </cell>
          <cell r="FA237">
            <v>129.95606819282469</v>
          </cell>
          <cell r="FB237">
            <v>33.215351750533472</v>
          </cell>
          <cell r="FD237">
            <v>50.625680561121598</v>
          </cell>
          <cell r="FE237">
            <v>103.50705849751674</v>
          </cell>
          <cell r="FF237">
            <v>204.47691052041804</v>
          </cell>
          <cell r="FG237">
            <v>188.11759735997413</v>
          </cell>
          <cell r="FH237">
            <v>147.01424492728543</v>
          </cell>
          <cell r="FJ237">
            <v>134.50252410848074</v>
          </cell>
          <cell r="FK237">
            <v>6.1559324187621112</v>
          </cell>
          <cell r="FL237">
            <v>22.272966302516185</v>
          </cell>
          <cell r="FM237">
            <v>-26.273198387134489</v>
          </cell>
          <cell r="FN237">
            <v>18.317020299823405</v>
          </cell>
          <cell r="FP237">
            <v>-178.25290534668468</v>
          </cell>
          <cell r="FQ237">
            <v>-41.409566229351768</v>
          </cell>
          <cell r="FR237">
            <v>-138.48249933825662</v>
          </cell>
          <cell r="FS237">
            <v>-102.22584726775619</v>
          </cell>
          <cell r="FT237">
            <v>-112.5922893019321</v>
          </cell>
          <cell r="FU237">
            <v>0.32217384777060504</v>
          </cell>
          <cell r="FV237">
            <v>-225.21509789739548</v>
          </cell>
          <cell r="FW237">
            <v>-200.02132936434046</v>
          </cell>
          <cell r="FX237">
            <v>-231.72595505529526</v>
          </cell>
          <cell r="FY237">
            <v>-62.506484031967787</v>
          </cell>
          <cell r="FZ237">
            <v>-167.45511084021169</v>
          </cell>
          <cell r="GB237">
            <v>-102.7152519671326</v>
          </cell>
          <cell r="GC237">
            <v>-43.406594041712211</v>
          </cell>
          <cell r="GD237">
            <v>48.277257252808404</v>
          </cell>
          <cell r="GE237">
            <v>-61.057184935224271</v>
          </cell>
          <cell r="GF237">
            <v>-48.032824186394762</v>
          </cell>
          <cell r="GJ237" t="str">
            <v>FY12e Gross Margin (%) (ex extra week)</v>
          </cell>
          <cell r="GK237">
            <v>0.40521348048585426</v>
          </cell>
          <cell r="GM237" t="str">
            <v>'12 Fall SG&amp;A</v>
          </cell>
          <cell r="GN237">
            <v>4549.4072798862726</v>
          </cell>
        </row>
        <row r="238">
          <cell r="FP238">
            <v>-120</v>
          </cell>
          <cell r="FQ238">
            <v>-90</v>
          </cell>
          <cell r="FR238">
            <v>-90</v>
          </cell>
          <cell r="FS238">
            <v>0</v>
          </cell>
          <cell r="GJ238" t="str">
            <v>FY12e Gross Margin ∆ (bps) (ex extra week)</v>
          </cell>
          <cell r="GK238">
            <v>12.36960887293359</v>
          </cell>
          <cell r="GM238" t="str">
            <v>% Change 2H vs. 1H</v>
          </cell>
          <cell r="GN238">
            <v>0.13621560436720093</v>
          </cell>
        </row>
        <row r="239">
          <cell r="AN239" t="str">
            <v>% Breakout of credit deterioration</v>
          </cell>
          <cell r="FD239">
            <v>0.15</v>
          </cell>
          <cell r="FE239">
            <v>0.2</v>
          </cell>
          <cell r="FF239">
            <v>0.3</v>
          </cell>
          <cell r="FG239">
            <v>0.35000000000000009</v>
          </cell>
          <cell r="FH239">
            <v>50</v>
          </cell>
          <cell r="FK239">
            <v>-120</v>
          </cell>
          <cell r="GJ239" t="str">
            <v>Impact from Extra Wk on FY12e Gross Mgn ∆ (bps)</v>
          </cell>
          <cell r="GK239">
            <v>-0.42372024769532501</v>
          </cell>
          <cell r="GM239" t="str">
            <v>'11 Spring SG&amp;A</v>
          </cell>
          <cell r="GN239">
            <v>3949</v>
          </cell>
        </row>
        <row r="240">
          <cell r="A240" t="str">
            <v>Bear Case Assumptions</v>
          </cell>
          <cell r="N240">
            <v>1995</v>
          </cell>
          <cell r="O240">
            <v>1996</v>
          </cell>
          <cell r="P240">
            <v>1997</v>
          </cell>
          <cell r="Q240">
            <v>1998</v>
          </cell>
          <cell r="R240">
            <v>1999</v>
          </cell>
          <cell r="S240">
            <v>2000</v>
          </cell>
          <cell r="T240">
            <v>2001</v>
          </cell>
          <cell r="U240">
            <v>2002</v>
          </cell>
          <cell r="V240">
            <v>2003</v>
          </cell>
          <cell r="W240">
            <v>2004</v>
          </cell>
          <cell r="X240">
            <v>2005</v>
          </cell>
          <cell r="Y240">
            <v>2006</v>
          </cell>
          <cell r="Z240">
            <v>2007</v>
          </cell>
          <cell r="AA240">
            <v>2008</v>
          </cell>
          <cell r="AB240">
            <v>2009</v>
          </cell>
          <cell r="AC240">
            <v>2010</v>
          </cell>
          <cell r="AD240">
            <v>2011</v>
          </cell>
          <cell r="AE240" t="str">
            <v>2012E</v>
          </cell>
          <cell r="AF240" t="str">
            <v>2013E</v>
          </cell>
          <cell r="AG240" t="str">
            <v>2014E</v>
          </cell>
          <cell r="AH240" t="str">
            <v>2015E</v>
          </cell>
          <cell r="AI240" t="str">
            <v>2016E</v>
          </cell>
          <cell r="AJ240" t="str">
            <v>2017E</v>
          </cell>
          <cell r="AK240" t="str">
            <v>2018E</v>
          </cell>
          <cell r="AL240" t="str">
            <v>2019E</v>
          </cell>
          <cell r="AN240" t="str">
            <v>% Breakout of consolidation SG&amp;A saves</v>
          </cell>
          <cell r="FD240">
            <v>0.05</v>
          </cell>
          <cell r="FE240">
            <v>0.15</v>
          </cell>
          <cell r="FF240">
            <v>0.4</v>
          </cell>
          <cell r="FG240">
            <v>0.39999999999999991</v>
          </cell>
          <cell r="FH240">
            <v>-60</v>
          </cell>
          <cell r="FJ240">
            <v>0.25</v>
          </cell>
          <cell r="FK240">
            <v>0.4</v>
          </cell>
          <cell r="FL240">
            <v>0.25</v>
          </cell>
          <cell r="FM240">
            <v>9.9999999999999978E-2</v>
          </cell>
          <cell r="FN240">
            <v>-300</v>
          </cell>
          <cell r="FP240">
            <v>0.4</v>
          </cell>
          <cell r="FQ240">
            <v>0.3</v>
          </cell>
          <cell r="FR240">
            <v>0.3</v>
          </cell>
          <cell r="FS240">
            <v>0</v>
          </cell>
          <cell r="FT240">
            <v>-140</v>
          </cell>
          <cell r="GJ240" t="str">
            <v>FY12e SG&amp;A Ratio Incl. Pension (%) (ex extra week)</v>
          </cell>
          <cell r="GK240">
            <v>0.31051036388580949</v>
          </cell>
          <cell r="GM240" t="str">
            <v>'11 Fall SG&amp;A</v>
          </cell>
          <cell r="GN240">
            <v>4332</v>
          </cell>
        </row>
        <row r="241">
          <cell r="A241" t="str">
            <v>Revenue</v>
          </cell>
          <cell r="N241">
            <v>14614</v>
          </cell>
          <cell r="O241">
            <v>14833</v>
          </cell>
          <cell r="P241">
            <v>15220</v>
          </cell>
          <cell r="Q241">
            <v>15365</v>
          </cell>
          <cell r="R241">
            <v>16029</v>
          </cell>
          <cell r="S241">
            <v>16638</v>
          </cell>
          <cell r="T241">
            <v>15785</v>
          </cell>
          <cell r="U241">
            <v>15571</v>
          </cell>
          <cell r="V241">
            <v>15412</v>
          </cell>
          <cell r="W241">
            <v>15776</v>
          </cell>
          <cell r="X241">
            <v>22390</v>
          </cell>
          <cell r="Y241">
            <v>26970</v>
          </cell>
          <cell r="Z241">
            <v>26313</v>
          </cell>
          <cell r="AA241">
            <v>24892</v>
          </cell>
          <cell r="AB241">
            <v>23904</v>
          </cell>
          <cell r="AC241">
            <v>25003</v>
          </cell>
          <cell r="AD241">
            <v>26405</v>
          </cell>
          <cell r="AE241">
            <v>27436.213752617372</v>
          </cell>
          <cell r="AF241">
            <v>27415.922360651821</v>
          </cell>
          <cell r="AG241">
            <v>27944.266088353088</v>
          </cell>
          <cell r="AH241">
            <v>28233.795982590062</v>
          </cell>
          <cell r="AI241">
            <v>28516.133942415963</v>
          </cell>
          <cell r="AJ241">
            <v>28801.295281840125</v>
          </cell>
          <cell r="AK241">
            <v>29089.308234658525</v>
          </cell>
          <cell r="AL241">
            <v>29380.20131700511</v>
          </cell>
          <cell r="AN241" t="str">
            <v>% Breakout of pre-tax charges assoc. with consolidation</v>
          </cell>
          <cell r="FD241">
            <v>0.57999999999999996</v>
          </cell>
          <cell r="FE241">
            <v>0.17333333333333334</v>
          </cell>
          <cell r="FF241">
            <v>0.10666666666666667</v>
          </cell>
          <cell r="FG241">
            <v>0.14000000000000001</v>
          </cell>
          <cell r="FH241">
            <v>150</v>
          </cell>
          <cell r="FJ241">
            <v>0.34499999999999997</v>
          </cell>
          <cell r="FK241">
            <v>8.5000000000000006E-2</v>
          </cell>
          <cell r="FL241">
            <v>8.2500000000000004E-2</v>
          </cell>
          <cell r="FM241">
            <v>0.48750000000000004</v>
          </cell>
          <cell r="FN241">
            <v>400</v>
          </cell>
          <cell r="FP241">
            <v>0</v>
          </cell>
          <cell r="FQ241">
            <v>0</v>
          </cell>
          <cell r="FR241">
            <v>0</v>
          </cell>
          <cell r="FS241">
            <v>1</v>
          </cell>
          <cell r="FT241">
            <v>0</v>
          </cell>
          <cell r="GF241" t="str">
            <v xml:space="preserve"> </v>
          </cell>
          <cell r="GJ241" t="str">
            <v>FY12e SG&amp;A Ratio Incl. Pension ∆ (bps) (ex extra wk)</v>
          </cell>
          <cell r="GK241">
            <v>-31.044817873584485</v>
          </cell>
          <cell r="GM241" t="str">
            <v>Y/Y $ Change</v>
          </cell>
          <cell r="GN241">
            <v>159</v>
          </cell>
        </row>
        <row r="242">
          <cell r="A242" t="str">
            <v xml:space="preserve"> % Same-store</v>
          </cell>
          <cell r="N242">
            <v>2.7E-2</v>
          </cell>
          <cell r="O242">
            <v>3.1E-2</v>
          </cell>
          <cell r="P242">
            <v>2.7E-2</v>
          </cell>
          <cell r="Q242">
            <v>2.1999999999999999E-2</v>
          </cell>
          <cell r="R242">
            <v>4.4999999999999998E-2</v>
          </cell>
          <cell r="S242">
            <v>0.02</v>
          </cell>
          <cell r="T242">
            <v>-5.2999999999999999E-2</v>
          </cell>
          <cell r="U242">
            <v>-0.03</v>
          </cell>
          <cell r="V242">
            <v>-9.0000000000000011E-3</v>
          </cell>
          <cell r="W242">
            <v>2.5999999999999999E-2</v>
          </cell>
          <cell r="X242">
            <v>1.2999999999999999E-2</v>
          </cell>
          <cell r="Y242">
            <v>4.3999999999999997E-2</v>
          </cell>
          <cell r="Z242">
            <v>-1.2799528750047504E-2</v>
          </cell>
          <cell r="AA242">
            <v>-4.4999999999999998E-2</v>
          </cell>
          <cell r="AB242">
            <v>-5.0968425652024113E-2</v>
          </cell>
          <cell r="AC242">
            <v>4.610434747830261E-2</v>
          </cell>
          <cell r="AD242">
            <v>5.2999999999999999E-2</v>
          </cell>
          <cell r="AE242">
            <v>3.0470716044687752E-2</v>
          </cell>
          <cell r="AF242">
            <v>1.0000000000000002E-2</v>
          </cell>
          <cell r="AG242">
            <v>0.02</v>
          </cell>
          <cell r="AH242">
            <v>0.01</v>
          </cell>
          <cell r="AI242">
            <v>0.01</v>
          </cell>
          <cell r="AJ242">
            <v>0.01</v>
          </cell>
          <cell r="AK242">
            <v>0.01</v>
          </cell>
          <cell r="AL242">
            <v>0.01</v>
          </cell>
          <cell r="GJ242" t="str">
            <v>Impact from Extra Wk on FY12e SG&amp;A Ratio ∆ (bps)</v>
          </cell>
          <cell r="GK242">
            <v>-16.988006312810278</v>
          </cell>
          <cell r="GN242">
            <v>217.40727988627259</v>
          </cell>
        </row>
        <row r="243">
          <cell r="A243" t="str">
            <v>CGS, OCC, Buying Costs</v>
          </cell>
          <cell r="N243">
            <v>9038</v>
          </cell>
          <cell r="O243">
            <v>9018</v>
          </cell>
          <cell r="P243">
            <v>9200</v>
          </cell>
          <cell r="Q243">
            <v>9218</v>
          </cell>
          <cell r="R243">
            <v>9576</v>
          </cell>
          <cell r="S243">
            <v>9955</v>
          </cell>
          <cell r="T243">
            <v>9603</v>
          </cell>
          <cell r="U243">
            <v>9324</v>
          </cell>
          <cell r="V243">
            <v>9175</v>
          </cell>
          <cell r="W243">
            <v>9346</v>
          </cell>
          <cell r="X243">
            <v>13272</v>
          </cell>
          <cell r="Y243">
            <v>16019</v>
          </cell>
          <cell r="Z243">
            <v>15782.893839502129</v>
          </cell>
          <cell r="AA243">
            <v>15009</v>
          </cell>
          <cell r="AB243">
            <v>14278</v>
          </cell>
          <cell r="AC243">
            <v>14824</v>
          </cell>
          <cell r="AD243">
            <v>15738</v>
          </cell>
          <cell r="AE243">
            <v>16371.343170905468</v>
          </cell>
          <cell r="AF243">
            <v>16386.651105470184</v>
          </cell>
          <cell r="AG243">
            <v>16660.528726167173</v>
          </cell>
          <cell r="AH243">
            <v>16861.381874712744</v>
          </cell>
          <cell r="AI243">
            <v>17087.027961344706</v>
          </cell>
          <cell r="AJ243">
            <v>17257.898240958151</v>
          </cell>
          <cell r="AK243">
            <v>17430.477223367736</v>
          </cell>
          <cell r="AL243">
            <v>17604.781995601414</v>
          </cell>
        </row>
        <row r="244">
          <cell r="A244" t="str">
            <v>CGS, OCC, Buying Costs %</v>
          </cell>
          <cell r="N244">
            <v>0.61844806350075265</v>
          </cell>
          <cell r="O244">
            <v>0.60796871839816624</v>
          </cell>
          <cell r="P244">
            <v>0.60446780551905388</v>
          </cell>
          <cell r="Q244">
            <v>0.59993491701919943</v>
          </cell>
          <cell r="R244">
            <v>0.59741718135878719</v>
          </cell>
          <cell r="S244">
            <v>0.5983291260968866</v>
          </cell>
          <cell r="T244">
            <v>0.60836236933797905</v>
          </cell>
          <cell r="U244">
            <v>0.59880547171023057</v>
          </cell>
          <cell r="V244">
            <v>0.59531533869711917</v>
          </cell>
          <cell r="W244">
            <v>0.59241886409736311</v>
          </cell>
          <cell r="X244">
            <v>0.59276462706565436</v>
          </cell>
          <cell r="Y244">
            <v>0.59395624768261035</v>
          </cell>
          <cell r="Z244">
            <v>0.59981354613697135</v>
          </cell>
          <cell r="AA244">
            <v>0.60296480797043228</v>
          </cell>
          <cell r="AB244">
            <v>0.59730589022757696</v>
          </cell>
          <cell r="AC244">
            <v>0.59288885333759944</v>
          </cell>
          <cell r="AD244">
            <v>0.59602348040143915</v>
          </cell>
          <cell r="AE244">
            <v>0.59670562849962006</v>
          </cell>
          <cell r="AF244">
            <v>0.59770562849962006</v>
          </cell>
          <cell r="AG244">
            <v>0.59620562849962011</v>
          </cell>
          <cell r="AH244">
            <v>0.59720562849962</v>
          </cell>
          <cell r="AI244">
            <v>0.59920562849962</v>
          </cell>
          <cell r="AJ244">
            <v>0.59920562849962</v>
          </cell>
          <cell r="AK244">
            <v>0.59920562849962011</v>
          </cell>
          <cell r="AL244">
            <v>0.59920562849962011</v>
          </cell>
          <cell r="AN244" t="str">
            <v>Operating Margin</v>
          </cell>
          <cell r="EL244" t="str">
            <v>Operating Margin</v>
          </cell>
          <cell r="ER244">
            <v>149</v>
          </cell>
          <cell r="ES244">
            <v>408</v>
          </cell>
          <cell r="ET244">
            <v>279</v>
          </cell>
          <cell r="EU244">
            <v>1437</v>
          </cell>
          <cell r="EV244">
            <v>2273</v>
          </cell>
          <cell r="EX244">
            <v>244</v>
          </cell>
          <cell r="EY244">
            <v>347</v>
          </cell>
          <cell r="EZ244">
            <v>200</v>
          </cell>
          <cell r="FA244">
            <v>1291</v>
          </cell>
          <cell r="FB244">
            <v>2082</v>
          </cell>
          <cell r="FD244">
            <v>140</v>
          </cell>
          <cell r="FE244">
            <v>335</v>
          </cell>
          <cell r="FF244">
            <v>84</v>
          </cell>
          <cell r="FG244">
            <v>866</v>
          </cell>
          <cell r="FH244">
            <v>1425</v>
          </cell>
          <cell r="FJ244">
            <v>24</v>
          </cell>
          <cell r="FK244">
            <v>282</v>
          </cell>
          <cell r="FL244">
            <v>88</v>
          </cell>
          <cell r="FM244">
            <v>1060</v>
          </cell>
          <cell r="FN244">
            <v>1454</v>
          </cell>
          <cell r="FP244">
            <v>203</v>
          </cell>
          <cell r="FQ244">
            <v>370</v>
          </cell>
          <cell r="FR244">
            <v>177</v>
          </cell>
          <cell r="FS244">
            <v>1169</v>
          </cell>
          <cell r="FT244">
            <v>1919</v>
          </cell>
          <cell r="FV244">
            <v>330</v>
          </cell>
          <cell r="FW244">
            <v>506</v>
          </cell>
          <cell r="FX244">
            <v>291</v>
          </cell>
          <cell r="FY244">
            <v>1259</v>
          </cell>
          <cell r="FZ244">
            <v>2386</v>
          </cell>
          <cell r="GB244">
            <v>391</v>
          </cell>
          <cell r="GC244">
            <v>554</v>
          </cell>
          <cell r="GD244">
            <v>281.57499452664797</v>
          </cell>
          <cell r="GE244">
            <v>1444.7216277006182</v>
          </cell>
          <cell r="GF244">
            <v>2671.2966222272662</v>
          </cell>
        </row>
        <row r="245">
          <cell r="A245" t="str">
            <v>Y/Y ∆ CGS, OCC, Buying Costs % (bps)</v>
          </cell>
          <cell r="O245">
            <v>-104.79345102586413</v>
          </cell>
          <cell r="P245">
            <v>-35.009128791123615</v>
          </cell>
          <cell r="Q245">
            <v>-45.328884998544481</v>
          </cell>
          <cell r="R245">
            <v>-25.177356604122458</v>
          </cell>
          <cell r="S245">
            <v>9.1194473809941279</v>
          </cell>
          <cell r="T245">
            <v>100.33243241092448</v>
          </cell>
          <cell r="U245">
            <v>-95.568976277484722</v>
          </cell>
          <cell r="V245">
            <v>-34.901330131114072</v>
          </cell>
          <cell r="W245">
            <v>-28.964745997560605</v>
          </cell>
          <cell r="X245">
            <v>3.4576296829125219</v>
          </cell>
          <cell r="Y245">
            <v>11.916206169559906</v>
          </cell>
          <cell r="Z245">
            <v>58.57298454361004</v>
          </cell>
          <cell r="AA245">
            <v>31.512618334609279</v>
          </cell>
          <cell r="AB245">
            <v>-56.589177428553185</v>
          </cell>
          <cell r="AC245">
            <v>-44.170368899775212</v>
          </cell>
          <cell r="AD245">
            <v>31.346270638397122</v>
          </cell>
          <cell r="AE245">
            <v>6.8214809818090139</v>
          </cell>
          <cell r="AF245">
            <v>10.000000000000009</v>
          </cell>
          <cell r="AG245">
            <v>-14.999999999999458</v>
          </cell>
          <cell r="AH245">
            <v>9.9999999999988987</v>
          </cell>
          <cell r="AI245">
            <v>20.000000000000018</v>
          </cell>
          <cell r="AJ245">
            <v>0</v>
          </cell>
          <cell r="AK245">
            <v>1.1102230246251565E-12</v>
          </cell>
          <cell r="AL245">
            <v>0</v>
          </cell>
          <cell r="AN245" t="str">
            <v>BPS Change</v>
          </cell>
          <cell r="EL245" t="str">
            <v>BPS Change</v>
          </cell>
          <cell r="ER245">
            <v>2.5126475548060707E-2</v>
          </cell>
          <cell r="ES245">
            <v>6.805671392827356E-2</v>
          </cell>
          <cell r="ET245">
            <v>4.7400611620795105E-2</v>
          </cell>
          <cell r="EU245">
            <v>0.1568948575171962</v>
          </cell>
          <cell r="EV245">
            <v>8.4278828327771602E-2</v>
          </cell>
          <cell r="EX245">
            <v>4.12092551933795E-2</v>
          </cell>
          <cell r="EY245">
            <v>5.8893414799728448E-2</v>
          </cell>
          <cell r="EZ245">
            <v>3.3863867253640365E-2</v>
          </cell>
          <cell r="FA245">
            <v>0.15022108447754248</v>
          </cell>
          <cell r="FB245">
            <v>7.9124387185041611E-2</v>
          </cell>
          <cell r="FD245">
            <v>2.4360535931790498E-2</v>
          </cell>
          <cell r="FE245">
            <v>5.8586918502973068E-2</v>
          </cell>
          <cell r="FF245">
            <v>1.5292190060076462E-2</v>
          </cell>
          <cell r="FG245">
            <v>0.10915049155533149</v>
          </cell>
          <cell r="FH245">
            <v>5.7247308372167766E-2</v>
          </cell>
          <cell r="FJ245">
            <v>4.5385779122541605E-3</v>
          </cell>
          <cell r="FK245">
            <v>5.3358561967833493E-2</v>
          </cell>
          <cell r="FL245">
            <v>1.6341689879294335E-2</v>
          </cell>
          <cell r="FM245">
            <v>0.1335517197933728</v>
          </cell>
          <cell r="FN245">
            <v>6.0849550115086838E-2</v>
          </cell>
          <cell r="FP245">
            <v>3.6419088625762472E-2</v>
          </cell>
          <cell r="FQ245">
            <v>6.6823189452772255E-2</v>
          </cell>
          <cell r="FR245">
            <v>3.1477858794237951E-2</v>
          </cell>
          <cell r="FS245">
            <v>0.14137138710847744</v>
          </cell>
          <cell r="FT245">
            <v>7.6750789905211378E-2</v>
          </cell>
          <cell r="FV245">
            <v>5.6036678553234846E-2</v>
          </cell>
          <cell r="FW245">
            <v>8.5199528540158276E-2</v>
          </cell>
          <cell r="FX245">
            <v>4.9718093285494619E-2</v>
          </cell>
          <cell r="FY245">
            <v>0.1443145346171481</v>
          </cell>
          <cell r="FZ245">
            <v>9.0361673925392919E-2</v>
          </cell>
          <cell r="GB245">
            <v>6.3649682565521726E-2</v>
          </cell>
          <cell r="GC245">
            <v>9.0552468126838842E-2</v>
          </cell>
          <cell r="GD245">
            <v>4.6390367560213731E-2</v>
          </cell>
          <cell r="GE245">
            <v>0.15423304866911453</v>
          </cell>
          <cell r="GF245">
            <v>9.644428925609537E-2</v>
          </cell>
        </row>
        <row r="246">
          <cell r="A246" t="str">
            <v>Gross Income</v>
          </cell>
          <cell r="N246">
            <v>5576</v>
          </cell>
          <cell r="O246">
            <v>5815</v>
          </cell>
          <cell r="P246">
            <v>6020</v>
          </cell>
          <cell r="Q246">
            <v>6147</v>
          </cell>
          <cell r="R246">
            <v>6453</v>
          </cell>
          <cell r="S246">
            <v>6683</v>
          </cell>
          <cell r="T246">
            <v>6182</v>
          </cell>
          <cell r="U246">
            <v>6247</v>
          </cell>
          <cell r="V246">
            <v>6237</v>
          </cell>
          <cell r="W246">
            <v>6430</v>
          </cell>
          <cell r="X246">
            <v>9118</v>
          </cell>
          <cell r="Y246">
            <v>10951</v>
          </cell>
          <cell r="Z246">
            <v>10530.106160497871</v>
          </cell>
          <cell r="AA246">
            <v>9883</v>
          </cell>
          <cell r="AB246">
            <v>9626</v>
          </cell>
          <cell r="AC246">
            <v>10179</v>
          </cell>
          <cell r="AD246">
            <v>10667</v>
          </cell>
          <cell r="AE246">
            <v>11064.870581711904</v>
          </cell>
          <cell r="AF246">
            <v>11029.271255181637</v>
          </cell>
          <cell r="AG246">
            <v>11283.737362185915</v>
          </cell>
          <cell r="AH246">
            <v>11372.414107877315</v>
          </cell>
          <cell r="AI246">
            <v>11429.105981071258</v>
          </cell>
          <cell r="AJ246">
            <v>11543.397040881971</v>
          </cell>
          <cell r="AK246">
            <v>11658.831011290791</v>
          </cell>
          <cell r="AL246">
            <v>11775.419321403699</v>
          </cell>
        </row>
        <row r="247">
          <cell r="A247" t="str">
            <v>Gross Margin</v>
          </cell>
          <cell r="N247">
            <v>0.38155193649924729</v>
          </cell>
          <cell r="O247">
            <v>0.39203128160183376</v>
          </cell>
          <cell r="P247">
            <v>0.39553219448094612</v>
          </cell>
          <cell r="Q247">
            <v>0.40006508298080051</v>
          </cell>
          <cell r="R247">
            <v>0.40258281864121281</v>
          </cell>
          <cell r="S247">
            <v>0.40167087390311335</v>
          </cell>
          <cell r="T247">
            <v>0.3916376306620209</v>
          </cell>
          <cell r="U247">
            <v>0.40119452828976943</v>
          </cell>
          <cell r="V247">
            <v>0.40468466130288089</v>
          </cell>
          <cell r="W247">
            <v>0.40758113590263689</v>
          </cell>
          <cell r="X247">
            <v>0.4072353729343457</v>
          </cell>
          <cell r="Y247">
            <v>0.40604375231738971</v>
          </cell>
          <cell r="Z247">
            <v>0.40018645386302859</v>
          </cell>
          <cell r="AA247">
            <v>0.39703519202956772</v>
          </cell>
          <cell r="AB247">
            <v>0.40269410977242304</v>
          </cell>
          <cell r="AC247">
            <v>0.4071111466624005</v>
          </cell>
          <cell r="AD247">
            <v>0.4039765195985609</v>
          </cell>
          <cell r="AE247">
            <v>0.40329437150037994</v>
          </cell>
          <cell r="AF247">
            <v>0.40229437150037994</v>
          </cell>
          <cell r="AG247">
            <v>0.40379437150037994</v>
          </cell>
          <cell r="AH247">
            <v>0.40279437150037994</v>
          </cell>
          <cell r="AI247">
            <v>0.40079437150037994</v>
          </cell>
          <cell r="AJ247">
            <v>0.40079437150037994</v>
          </cell>
          <cell r="AK247">
            <v>0.40079437150037994</v>
          </cell>
          <cell r="AL247">
            <v>0.40079437150037994</v>
          </cell>
        </row>
        <row r="248">
          <cell r="A248" t="str">
            <v>Y/Y ∆ Gross Margin (bps)</v>
          </cell>
          <cell r="O248">
            <v>104.79345102586468</v>
          </cell>
          <cell r="P248">
            <v>35.009128791123615</v>
          </cell>
          <cell r="Q248">
            <v>45.328884998543927</v>
          </cell>
          <cell r="R248">
            <v>25.177356604123013</v>
          </cell>
          <cell r="S248">
            <v>-9.1194473809946821</v>
          </cell>
          <cell r="T248">
            <v>-100.33243241092448</v>
          </cell>
          <cell r="U248">
            <v>95.568976277485291</v>
          </cell>
          <cell r="V248">
            <v>34.901330131114626</v>
          </cell>
          <cell r="W248">
            <v>28.964745997560048</v>
          </cell>
          <cell r="X248">
            <v>-3.4576296829119668</v>
          </cell>
          <cell r="Y248">
            <v>-11.916206169559906</v>
          </cell>
          <cell r="Z248">
            <v>-58.572984543611149</v>
          </cell>
          <cell r="AA248">
            <v>-31.512618334608721</v>
          </cell>
          <cell r="AB248">
            <v>56.589177428553185</v>
          </cell>
          <cell r="AC248">
            <v>44.170368899774658</v>
          </cell>
          <cell r="AD248">
            <v>-31.346270638396014</v>
          </cell>
          <cell r="AE248">
            <v>-6.821480981809569</v>
          </cell>
          <cell r="AF248">
            <v>-10</v>
          </cell>
          <cell r="AG248">
            <v>15</v>
          </cell>
          <cell r="AH248">
            <v>-10</v>
          </cell>
          <cell r="AI248">
            <v>-20</v>
          </cell>
          <cell r="AJ248">
            <v>0</v>
          </cell>
          <cell r="AK248">
            <v>0</v>
          </cell>
          <cell r="AL248">
            <v>0</v>
          </cell>
          <cell r="AN248" t="str">
            <v>Bull Case Assumptions</v>
          </cell>
          <cell r="EL248" t="str">
            <v>Bull Case Assumptions</v>
          </cell>
        </row>
        <row r="249">
          <cell r="A249" t="str">
            <v>SG&amp;A Expenses</v>
          </cell>
          <cell r="N249">
            <v>4913</v>
          </cell>
          <cell r="O249">
            <v>4922</v>
          </cell>
          <cell r="P249">
            <v>4679</v>
          </cell>
          <cell r="Q249">
            <v>4692</v>
          </cell>
          <cell r="R249">
            <v>4760</v>
          </cell>
          <cell r="S249">
            <v>4912</v>
          </cell>
          <cell r="T249">
            <v>4806</v>
          </cell>
          <cell r="U249">
            <v>4836</v>
          </cell>
          <cell r="V249">
            <v>4837</v>
          </cell>
          <cell r="W249">
            <v>4931</v>
          </cell>
          <cell r="X249">
            <v>6980</v>
          </cell>
          <cell r="Y249">
            <v>8678</v>
          </cell>
          <cell r="Z249">
            <v>8523.9117921820616</v>
          </cell>
          <cell r="AA249">
            <v>8458</v>
          </cell>
          <cell r="AB249">
            <v>8163</v>
          </cell>
          <cell r="AC249">
            <v>8260</v>
          </cell>
          <cell r="AD249">
            <v>8281</v>
          </cell>
          <cell r="AE249">
            <v>8516.1531222989761</v>
          </cell>
          <cell r="AF249">
            <v>8646.9343212599488</v>
          </cell>
          <cell r="AG249">
            <v>8785.6287497368903</v>
          </cell>
          <cell r="AH249">
            <v>8848.4226499075667</v>
          </cell>
          <cell r="AI249">
            <v>8908.3907424642257</v>
          </cell>
          <cell r="AJ249">
            <v>8968.67335460703</v>
          </cell>
          <cell r="AK249">
            <v>9029.2707799184409</v>
          </cell>
          <cell r="AL249">
            <v>9090.1832864006192</v>
          </cell>
          <cell r="AN249" t="str">
            <v>Consolidated Stores Monthly Sales ($)</v>
          </cell>
          <cell r="EL249" t="str">
            <v>Consolidated Stores Monthly Sales ($)</v>
          </cell>
          <cell r="EU249">
            <v>356</v>
          </cell>
        </row>
        <row r="250">
          <cell r="A250" t="str">
            <v>SG&amp;A Ratio</v>
          </cell>
          <cell r="N250">
            <v>0.33618448063500755</v>
          </cell>
          <cell r="O250">
            <v>0.33182768152093306</v>
          </cell>
          <cell r="P250">
            <v>0.30742444152431014</v>
          </cell>
          <cell r="Q250">
            <v>0.30536934591604298</v>
          </cell>
          <cell r="R250">
            <v>0.29696175681577142</v>
          </cell>
          <cell r="S250">
            <v>0.29522779180189929</v>
          </cell>
          <cell r="T250">
            <v>0.30446626544187522</v>
          </cell>
          <cell r="U250">
            <v>0.31057735534005521</v>
          </cell>
          <cell r="V250">
            <v>0.31384635349078638</v>
          </cell>
          <cell r="W250">
            <v>0.31256338742393508</v>
          </cell>
          <cell r="X250">
            <v>0.311746315319339</v>
          </cell>
          <cell r="Y250">
            <v>0.32176492398961809</v>
          </cell>
          <cell r="Z250">
            <v>0.32394298605944066</v>
          </cell>
          <cell r="AA250">
            <v>0.33978788365739998</v>
          </cell>
          <cell r="AB250">
            <v>0.34149096385542171</v>
          </cell>
          <cell r="AC250">
            <v>0.33036035675718911</v>
          </cell>
          <cell r="AD250">
            <v>0.31361484567316794</v>
          </cell>
          <cell r="AE250">
            <v>0.31039826410036436</v>
          </cell>
          <cell r="AF250">
            <v>0.31539826410036437</v>
          </cell>
          <cell r="AG250">
            <v>0.31439826410036437</v>
          </cell>
          <cell r="AH250">
            <v>0.31339826410036437</v>
          </cell>
          <cell r="AI250">
            <v>0.31239826410036436</v>
          </cell>
          <cell r="AJ250">
            <v>0.31139826410036436</v>
          </cell>
          <cell r="AK250">
            <v>0.31039826410036436</v>
          </cell>
          <cell r="AL250">
            <v>0.30939826410036436</v>
          </cell>
          <cell r="AN250" t="str">
            <v>Month 1</v>
          </cell>
          <cell r="EL250" t="str">
            <v>Month 1</v>
          </cell>
          <cell r="ER250">
            <v>1800</v>
          </cell>
          <cell r="ES250">
            <v>2026</v>
          </cell>
          <cell r="ET250">
            <v>1727</v>
          </cell>
          <cell r="EU250">
            <v>2385</v>
          </cell>
          <cell r="EX250">
            <v>1802</v>
          </cell>
          <cell r="EY250">
            <v>1976</v>
          </cell>
          <cell r="EZ250">
            <v>1788</v>
          </cell>
          <cell r="FA250">
            <v>2707</v>
          </cell>
          <cell r="FD250">
            <v>1737</v>
          </cell>
          <cell r="FE250">
            <v>1926</v>
          </cell>
          <cell r="FF250">
            <v>1686</v>
          </cell>
          <cell r="FG250">
            <v>2324</v>
          </cell>
          <cell r="FJ250">
            <v>1602.5975291456411</v>
          </cell>
          <cell r="FK250">
            <v>1783.7565582371458</v>
          </cell>
          <cell r="FL250">
            <v>1576.1490988530857</v>
          </cell>
          <cell r="FM250">
            <v>2202.7766574237457</v>
          </cell>
          <cell r="FP250">
            <v>1667</v>
          </cell>
          <cell r="FQ250">
            <v>1789</v>
          </cell>
          <cell r="FR250">
            <v>1638</v>
          </cell>
          <cell r="FS250">
            <v>2341</v>
          </cell>
          <cell r="FV250">
            <v>1763</v>
          </cell>
          <cell r="FW250">
            <v>1937</v>
          </cell>
          <cell r="FX250">
            <v>1714</v>
          </cell>
          <cell r="FY250">
            <v>2465</v>
          </cell>
          <cell r="GB250">
            <v>1860</v>
          </cell>
          <cell r="GC250">
            <v>2015</v>
          </cell>
          <cell r="GD250">
            <v>1812</v>
          </cell>
          <cell r="GE250">
            <v>2588.4099701374939</v>
          </cell>
        </row>
        <row r="251">
          <cell r="A251" t="str">
            <v>Y/Y ∆ SG&amp;A Ratio (bps)</v>
          </cell>
          <cell r="O251">
            <v>-43.567991140744944</v>
          </cell>
          <cell r="P251">
            <v>-244.03239996622915</v>
          </cell>
          <cell r="Q251">
            <v>-20.550956082671657</v>
          </cell>
          <cell r="R251">
            <v>-84.075891002715622</v>
          </cell>
          <cell r="S251">
            <v>-17.339650138721296</v>
          </cell>
          <cell r="T251">
            <v>92.384736399759305</v>
          </cell>
          <cell r="U251">
            <v>61.110898981799892</v>
          </cell>
          <cell r="V251">
            <v>32.689981507311728</v>
          </cell>
          <cell r="W251">
            <v>-12.829660668512988</v>
          </cell>
          <cell r="X251">
            <v>-8.170721045960839</v>
          </cell>
          <cell r="Y251">
            <v>100.18608670279094</v>
          </cell>
          <cell r="Z251">
            <v>21.780620698225729</v>
          </cell>
          <cell r="AA251">
            <v>158.44897597959317</v>
          </cell>
          <cell r="AB251">
            <v>17.030801980217337</v>
          </cell>
          <cell r="AC251">
            <v>-111.30607098232603</v>
          </cell>
          <cell r="AD251">
            <v>-167.45511084021169</v>
          </cell>
          <cell r="AE251">
            <v>-32.165815728035781</v>
          </cell>
          <cell r="AF251">
            <v>50</v>
          </cell>
          <cell r="AG251">
            <v>-10</v>
          </cell>
          <cell r="AH251">
            <v>-10</v>
          </cell>
          <cell r="AI251">
            <v>-10</v>
          </cell>
          <cell r="AJ251">
            <v>-10</v>
          </cell>
          <cell r="AK251">
            <v>-10</v>
          </cell>
          <cell r="AL251">
            <v>-10</v>
          </cell>
          <cell r="AN251" t="str">
            <v>Month 2</v>
          </cell>
          <cell r="EL251" t="str">
            <v>Month 2</v>
          </cell>
          <cell r="ER251">
            <v>2255</v>
          </cell>
          <cell r="ES251">
            <v>2367</v>
          </cell>
          <cell r="ET251">
            <v>2303</v>
          </cell>
          <cell r="EU251">
            <v>4997</v>
          </cell>
          <cell r="EX251">
            <v>2288</v>
          </cell>
          <cell r="EY251">
            <v>2321</v>
          </cell>
          <cell r="EZ251">
            <v>2274</v>
          </cell>
          <cell r="FA251">
            <v>4624</v>
          </cell>
          <cell r="FD251">
            <v>2142</v>
          </cell>
          <cell r="FE251">
            <v>2249</v>
          </cell>
          <cell r="FF251">
            <v>2093</v>
          </cell>
          <cell r="FG251">
            <v>4397</v>
          </cell>
          <cell r="FJ251">
            <v>1963.7990255785628</v>
          </cell>
          <cell r="FK251">
            <v>2092.5916404337181</v>
          </cell>
          <cell r="FL251">
            <v>2084.1512834516657</v>
          </cell>
          <cell r="FM251">
            <v>4474.7693471136881</v>
          </cell>
          <cell r="FP251">
            <v>2172</v>
          </cell>
          <cell r="FQ251">
            <v>2229</v>
          </cell>
          <cell r="FR251">
            <v>2181</v>
          </cell>
          <cell r="FS251">
            <v>4619</v>
          </cell>
          <cell r="FV251">
            <v>2206</v>
          </cell>
          <cell r="FW251">
            <v>2392</v>
          </cell>
          <cell r="FX251">
            <v>2298</v>
          </cell>
          <cell r="FY251">
            <v>4925</v>
          </cell>
          <cell r="GB251">
            <v>2358</v>
          </cell>
          <cell r="GC251">
            <v>2412</v>
          </cell>
          <cell r="GD251">
            <v>2384.7396820310178</v>
          </cell>
          <cell r="GE251">
            <v>5171.5696157919501</v>
          </cell>
        </row>
        <row r="252">
          <cell r="A252" t="str">
            <v>Operating Income</v>
          </cell>
          <cell r="N252">
            <v>663</v>
          </cell>
          <cell r="O252">
            <v>893</v>
          </cell>
          <cell r="P252">
            <v>1341</v>
          </cell>
          <cell r="Q252">
            <v>1455</v>
          </cell>
          <cell r="R252">
            <v>1693</v>
          </cell>
          <cell r="S252">
            <v>1771</v>
          </cell>
          <cell r="T252">
            <v>1376</v>
          </cell>
          <cell r="U252">
            <v>1411</v>
          </cell>
          <cell r="V252">
            <v>1400</v>
          </cell>
          <cell r="W252">
            <v>1499</v>
          </cell>
          <cell r="X252">
            <v>2138</v>
          </cell>
          <cell r="Y252">
            <v>2273</v>
          </cell>
          <cell r="Z252">
            <v>2006.1943683158097</v>
          </cell>
          <cell r="AA252">
            <v>1425</v>
          </cell>
          <cell r="AB252">
            <v>1463</v>
          </cell>
          <cell r="AC252">
            <v>1919</v>
          </cell>
          <cell r="AD252">
            <v>2386</v>
          </cell>
          <cell r="AE252">
            <v>2548.7174594129283</v>
          </cell>
          <cell r="AF252">
            <v>2382.3369339216879</v>
          </cell>
          <cell r="AG252">
            <v>2498.1086124490248</v>
          </cell>
          <cell r="AH252">
            <v>2523.9914579697488</v>
          </cell>
          <cell r="AI252">
            <v>2520.715238607032</v>
          </cell>
          <cell r="AJ252">
            <v>2574.7236862749414</v>
          </cell>
          <cell r="AK252">
            <v>2629.5602313723502</v>
          </cell>
          <cell r="AL252">
            <v>2685.2360350030795</v>
          </cell>
          <cell r="AN252" t="str">
            <v>Month 3</v>
          </cell>
          <cell r="EL252" t="str">
            <v>Month 3</v>
          </cell>
          <cell r="ER252">
            <v>1878</v>
          </cell>
          <cell r="ES252">
            <v>1608</v>
          </cell>
          <cell r="ET252">
            <v>1863</v>
          </cell>
          <cell r="EU252">
            <v>1780</v>
          </cell>
          <cell r="EX252">
            <v>1837</v>
          </cell>
          <cell r="EY252">
            <v>1602</v>
          </cell>
          <cell r="EZ252">
            <v>1849</v>
          </cell>
          <cell r="FA252">
            <v>1273</v>
          </cell>
          <cell r="FD252">
            <v>1868</v>
          </cell>
          <cell r="FE252">
            <v>1543</v>
          </cell>
          <cell r="FF252">
            <v>1714</v>
          </cell>
          <cell r="FG252">
            <v>1213</v>
          </cell>
          <cell r="FJ252">
            <v>1720.603445275796</v>
          </cell>
          <cell r="FK252">
            <v>1409.6518013291361</v>
          </cell>
          <cell r="FL252">
            <v>1725.6996176952484</v>
          </cell>
          <cell r="FM252">
            <v>1268.4539954625661</v>
          </cell>
          <cell r="FP252">
            <v>1739</v>
          </cell>
          <cell r="FQ252">
            <v>1528</v>
          </cell>
          <cell r="FR252">
            <v>1806</v>
          </cell>
          <cell r="FS252">
            <v>1310</v>
          </cell>
          <cell r="FV252">
            <v>1920</v>
          </cell>
          <cell r="FW252">
            <v>1612</v>
          </cell>
          <cell r="FX252">
            <v>1842</v>
          </cell>
          <cell r="FY252">
            <v>1336</v>
          </cell>
          <cell r="GB252">
            <v>1928</v>
          </cell>
          <cell r="GC252">
            <v>1693</v>
          </cell>
          <cell r="GD252">
            <v>1954.7377926421409</v>
          </cell>
          <cell r="GE252">
            <v>1786.9703975101447</v>
          </cell>
        </row>
        <row r="253">
          <cell r="A253" t="str">
            <v>Operating Margin</v>
          </cell>
          <cell r="N253">
            <v>4.5367455864239771E-2</v>
          </cell>
          <cell r="O253">
            <v>6.0203600080900692E-2</v>
          </cell>
          <cell r="P253">
            <v>8.8107752956636004E-2</v>
          </cell>
          <cell r="Q253">
            <v>9.4695737064757562E-2</v>
          </cell>
          <cell r="R253">
            <v>0.10562106182544138</v>
          </cell>
          <cell r="S253">
            <v>0.10644308210121409</v>
          </cell>
          <cell r="T253">
            <v>8.7171365220145708E-2</v>
          </cell>
          <cell r="U253">
            <v>9.0617172949714206E-2</v>
          </cell>
          <cell r="V253">
            <v>9.0838307812094468E-2</v>
          </cell>
          <cell r="W253">
            <v>9.5017748478701827E-2</v>
          </cell>
          <cell r="X253">
            <v>9.5489057615006701E-2</v>
          </cell>
          <cell r="Y253">
            <v>8.4278828327771602E-2</v>
          </cell>
          <cell r="Z253">
            <v>7.6243467803587955E-2</v>
          </cell>
          <cell r="AA253">
            <v>5.7247308372167766E-2</v>
          </cell>
          <cell r="AB253">
            <v>6.1203145917001336E-2</v>
          </cell>
          <cell r="AC253">
            <v>7.6750789905211378E-2</v>
          </cell>
          <cell r="AD253">
            <v>9.0361673925392919E-2</v>
          </cell>
          <cell r="AE253">
            <v>9.2896107400015596E-2</v>
          </cell>
          <cell r="AF253">
            <v>8.6896107400015535E-2</v>
          </cell>
          <cell r="AG253">
            <v>8.9396107400015537E-2</v>
          </cell>
          <cell r="AH253">
            <v>8.9396107400015551E-2</v>
          </cell>
          <cell r="AI253">
            <v>8.8396107400015606E-2</v>
          </cell>
          <cell r="AJ253">
            <v>8.9396107400015565E-2</v>
          </cell>
          <cell r="AK253">
            <v>9.0396107400015593E-2</v>
          </cell>
          <cell r="AL253">
            <v>9.1396107400015622E-2</v>
          </cell>
          <cell r="AN253" t="str">
            <v>Total</v>
          </cell>
          <cell r="EL253" t="str">
            <v>Total</v>
          </cell>
          <cell r="ER253">
            <v>5930</v>
          </cell>
          <cell r="ES253">
            <v>5995</v>
          </cell>
          <cell r="ET253">
            <v>5886</v>
          </cell>
          <cell r="EU253">
            <v>9159</v>
          </cell>
          <cell r="EV253">
            <v>26970</v>
          </cell>
          <cell r="EX253">
            <v>5921</v>
          </cell>
          <cell r="EY253">
            <v>5892</v>
          </cell>
          <cell r="EZ253">
            <v>5906</v>
          </cell>
          <cell r="FA253">
            <v>8594</v>
          </cell>
          <cell r="FB253">
            <v>26313</v>
          </cell>
          <cell r="FD253">
            <v>5747</v>
          </cell>
          <cell r="FE253">
            <v>5718</v>
          </cell>
          <cell r="FF253">
            <v>5493</v>
          </cell>
          <cell r="FG253">
            <v>7934</v>
          </cell>
          <cell r="FH253">
            <v>24892</v>
          </cell>
          <cell r="FJ253">
            <v>5288</v>
          </cell>
          <cell r="FK253">
            <v>5285</v>
          </cell>
          <cell r="FL253">
            <v>5385</v>
          </cell>
          <cell r="FM253">
            <v>7946</v>
          </cell>
          <cell r="FN253">
            <v>23904</v>
          </cell>
          <cell r="FP253">
            <v>5574</v>
          </cell>
          <cell r="FQ253">
            <v>5537</v>
          </cell>
          <cell r="FR253">
            <v>5623</v>
          </cell>
          <cell r="FS253">
            <v>8269</v>
          </cell>
          <cell r="FT253">
            <v>25003</v>
          </cell>
          <cell r="FV253">
            <v>5889</v>
          </cell>
          <cell r="FW253">
            <v>5939</v>
          </cell>
          <cell r="FX253">
            <v>5853</v>
          </cell>
          <cell r="FY253">
            <v>8724</v>
          </cell>
          <cell r="FZ253">
            <v>26405</v>
          </cell>
          <cell r="GB253">
            <v>6143</v>
          </cell>
          <cell r="GC253">
            <v>6118</v>
          </cell>
          <cell r="GD253">
            <v>6151.4774746731582</v>
          </cell>
          <cell r="GE253">
            <v>9546.9499834395901</v>
          </cell>
          <cell r="GF253">
            <v>27959.427458112747</v>
          </cell>
        </row>
        <row r="254">
          <cell r="A254" t="str">
            <v>Y/Y ∆ Operating Margin (bps)</v>
          </cell>
          <cell r="O254">
            <v>148.36144216660921</v>
          </cell>
          <cell r="P254">
            <v>279.04152875735315</v>
          </cell>
          <cell r="Q254">
            <v>65.879841081215588</v>
          </cell>
          <cell r="R254">
            <v>109.25324760683822</v>
          </cell>
          <cell r="S254">
            <v>8.22020275772703</v>
          </cell>
          <cell r="T254">
            <v>-192.7171688106838</v>
          </cell>
          <cell r="U254">
            <v>34.45807729568498</v>
          </cell>
          <cell r="V254">
            <v>2.2113486238026225</v>
          </cell>
          <cell r="W254">
            <v>41.794406666073591</v>
          </cell>
          <cell r="X254">
            <v>4.7130913630487328</v>
          </cell>
          <cell r="Y254">
            <v>-112.10229287235099</v>
          </cell>
          <cell r="Z254">
            <v>-80.353605241836462</v>
          </cell>
          <cell r="AA254">
            <v>-189.9615943142019</v>
          </cell>
          <cell r="AB254">
            <v>39.55837544833571</v>
          </cell>
          <cell r="AC254">
            <v>155.47643988210041</v>
          </cell>
          <cell r="AD254">
            <v>136.10884020181541</v>
          </cell>
          <cell r="AE254">
            <v>25.344334746226771</v>
          </cell>
          <cell r="AF254">
            <v>-60.000000000000611</v>
          </cell>
          <cell r="AG254">
            <v>25.000000000000021</v>
          </cell>
          <cell r="AH254">
            <v>1.3877787807814457E-13</v>
          </cell>
          <cell r="AI254">
            <v>-9.9999999999994529</v>
          </cell>
          <cell r="AJ254">
            <v>9.9999999999995932</v>
          </cell>
          <cell r="AK254">
            <v>10.000000000000286</v>
          </cell>
          <cell r="AL254">
            <v>10.000000000000286</v>
          </cell>
        </row>
        <row r="255">
          <cell r="AN255" t="str">
            <v xml:space="preserve">Consolidated Monthly Comps </v>
          </cell>
          <cell r="EL255" t="str">
            <v xml:space="preserve">Consolidated Monthly Comps </v>
          </cell>
        </row>
        <row r="256">
          <cell r="A256" t="str">
            <v>Assumptions Spreads</v>
          </cell>
          <cell r="N256">
            <v>1995</v>
          </cell>
          <cell r="O256">
            <v>1996</v>
          </cell>
          <cell r="P256">
            <v>1997</v>
          </cell>
          <cell r="Q256">
            <v>1998</v>
          </cell>
          <cell r="R256">
            <v>1999</v>
          </cell>
          <cell r="S256">
            <v>2000</v>
          </cell>
          <cell r="T256">
            <v>2001</v>
          </cell>
          <cell r="U256">
            <v>2002</v>
          </cell>
          <cell r="V256">
            <v>2003</v>
          </cell>
          <cell r="W256">
            <v>2004</v>
          </cell>
          <cell r="X256">
            <v>2005</v>
          </cell>
          <cell r="Y256">
            <v>2006</v>
          </cell>
          <cell r="Z256">
            <v>2007</v>
          </cell>
          <cell r="AA256">
            <v>2008</v>
          </cell>
          <cell r="AB256">
            <v>2009</v>
          </cell>
          <cell r="AC256">
            <v>2010</v>
          </cell>
          <cell r="AD256">
            <v>2011</v>
          </cell>
          <cell r="AE256" t="str">
            <v>2012E</v>
          </cell>
          <cell r="AF256" t="str">
            <v>2013E</v>
          </cell>
          <cell r="AG256" t="str">
            <v>2014E</v>
          </cell>
          <cell r="AH256" t="str">
            <v>2015E</v>
          </cell>
          <cell r="AI256" t="str">
            <v>2016E</v>
          </cell>
          <cell r="AJ256" t="str">
            <v>2017E</v>
          </cell>
          <cell r="AK256" t="str">
            <v>2018E</v>
          </cell>
          <cell r="AL256" t="str">
            <v>2019E</v>
          </cell>
          <cell r="AN256" t="str">
            <v>Month 1</v>
          </cell>
          <cell r="EL256" t="str">
            <v>Month 1</v>
          </cell>
          <cell r="ER256">
            <v>0.01</v>
          </cell>
          <cell r="ES256">
            <v>9.1999999999999998E-2</v>
          </cell>
          <cell r="ET256">
            <v>3.7999999999999999E-2</v>
          </cell>
          <cell r="EU256">
            <v>8.5000000000000006E-2</v>
          </cell>
          <cell r="EX256">
            <v>1.2E-2</v>
          </cell>
          <cell r="EY256">
            <v>-3.3000000000000002E-2</v>
          </cell>
          <cell r="EZ256">
            <v>2.4E-2</v>
          </cell>
          <cell r="FA256">
            <v>0.13400000000000001</v>
          </cell>
          <cell r="FD256">
            <v>-3.5000000000000003E-2</v>
          </cell>
          <cell r="FE256">
            <v>-1.4999999999999999E-2</v>
          </cell>
          <cell r="FF256">
            <v>-4.8000000000000001E-2</v>
          </cell>
          <cell r="FG256">
            <v>-0.13300000000000001</v>
          </cell>
          <cell r="FJ256">
            <v>-8.5000000000000006E-2</v>
          </cell>
          <cell r="FK256">
            <v>-9.0999999999999998E-2</v>
          </cell>
          <cell r="FL256">
            <v>-8.1000000000000003E-2</v>
          </cell>
          <cell r="FM256">
            <v>-6.0999999999999999E-2</v>
          </cell>
          <cell r="FP256">
            <v>3.6999999999999998E-2</v>
          </cell>
          <cell r="FQ256">
            <v>1.4E-2</v>
          </cell>
          <cell r="FR256">
            <v>4.2999999999999997E-2</v>
          </cell>
          <cell r="FS256">
            <v>6.0999999999999999E-2</v>
          </cell>
          <cell r="FV256">
            <v>5.8000000000000003E-2</v>
          </cell>
          <cell r="FW256">
            <v>7.3999999999999996E-2</v>
          </cell>
          <cell r="FX256">
            <v>0.05</v>
          </cell>
          <cell r="FY256">
            <v>4.8000000000000001E-2</v>
          </cell>
          <cell r="GB256">
            <v>4.5999999999999999E-2</v>
          </cell>
          <cell r="GC256">
            <v>4.2000000000000003E-2</v>
          </cell>
          <cell r="GD256">
            <v>5.0999999999999997E-2</v>
          </cell>
          <cell r="GE256">
            <v>0.06</v>
          </cell>
        </row>
        <row r="257">
          <cell r="A257" t="str">
            <v>Bull Case Assumptions</v>
          </cell>
          <cell r="AN257" t="str">
            <v>Month 2</v>
          </cell>
          <cell r="EL257" t="str">
            <v>Month 2</v>
          </cell>
          <cell r="ER257">
            <v>0</v>
          </cell>
          <cell r="ES257">
            <v>1.7000000000000001E-2</v>
          </cell>
          <cell r="ET257">
            <v>6.5000000000000002E-2</v>
          </cell>
          <cell r="EU257">
            <v>4.3999999999999997E-2</v>
          </cell>
          <cell r="EX257">
            <v>2.3E-2</v>
          </cell>
          <cell r="EY257">
            <v>-2.7E-2</v>
          </cell>
          <cell r="EZ257">
            <v>-2.7E-2</v>
          </cell>
          <cell r="FA257">
            <v>-7.9000000000000001E-2</v>
          </cell>
          <cell r="FD257">
            <v>-6.2E-2</v>
          </cell>
          <cell r="FE257">
            <v>-2.1000000000000001E-2</v>
          </cell>
          <cell r="FF257">
            <v>-6.6000000000000003E-2</v>
          </cell>
          <cell r="FG257">
            <v>-0.04</v>
          </cell>
          <cell r="FJ257">
            <v>-9.1999999999999998E-2</v>
          </cell>
          <cell r="FK257">
            <v>-8.8999999999999996E-2</v>
          </cell>
          <cell r="FL257">
            <v>-2.3E-2</v>
          </cell>
          <cell r="FM257">
            <v>0.01</v>
          </cell>
          <cell r="FP257">
            <v>0.10800000000000001</v>
          </cell>
          <cell r="FQ257">
            <v>6.5000000000000002E-2</v>
          </cell>
          <cell r="FR257">
            <v>4.8000000000000001E-2</v>
          </cell>
          <cell r="FS257">
            <v>3.9E-2</v>
          </cell>
          <cell r="FV257">
            <v>8.9999999999999993E-3</v>
          </cell>
          <cell r="FW257">
            <v>6.7000000000000004E-2</v>
          </cell>
          <cell r="FX257">
            <v>4.9000000000000002E-2</v>
          </cell>
          <cell r="FY257">
            <v>6.2E-2</v>
          </cell>
          <cell r="GB257">
            <v>7.2999999999999995E-2</v>
          </cell>
          <cell r="GC257">
            <v>1.2E-2</v>
          </cell>
          <cell r="GD257">
            <v>0.05</v>
          </cell>
          <cell r="GE257">
            <v>0.06</v>
          </cell>
        </row>
        <row r="258">
          <cell r="A258" t="str">
            <v>Same Store</v>
          </cell>
          <cell r="AF258">
            <v>0.04</v>
          </cell>
          <cell r="AN258" t="str">
            <v>Month 3</v>
          </cell>
          <cell r="EL258" t="str">
            <v>Month 3</v>
          </cell>
          <cell r="ER258">
            <v>-8.0000000000000002E-3</v>
          </cell>
          <cell r="ES258">
            <v>3.3000000000000002E-2</v>
          </cell>
          <cell r="ET258">
            <v>7.6999999999999999E-2</v>
          </cell>
          <cell r="EU258">
            <v>8.5999999999999993E-2</v>
          </cell>
          <cell r="EX258">
            <v>-2.1999999999999999E-2</v>
          </cell>
          <cell r="EY258">
            <v>-1.4E-2</v>
          </cell>
          <cell r="EZ258">
            <v>-1.4999999999999999E-2</v>
          </cell>
          <cell r="FA258">
            <v>-7.0999999999999994E-2</v>
          </cell>
          <cell r="FD258">
            <v>0.03</v>
          </cell>
          <cell r="FE258">
            <v>-2.9000000000000001E-2</v>
          </cell>
          <cell r="FF258">
            <v>-6.3E-2</v>
          </cell>
          <cell r="FG258">
            <v>-4.4999999999999998E-2</v>
          </cell>
          <cell r="FJ258">
            <v>-9.0999999999999998E-2</v>
          </cell>
          <cell r="FK258">
            <v>-0.107</v>
          </cell>
          <cell r="FL258">
            <v>-8.0000000000000002E-3</v>
          </cell>
          <cell r="FM258">
            <v>3.4000000000000002E-2</v>
          </cell>
          <cell r="FP258">
            <v>1.0999999999999999E-2</v>
          </cell>
          <cell r="FQ258">
            <v>7.2999999999999995E-2</v>
          </cell>
          <cell r="FR258">
            <v>2.5000000000000001E-2</v>
          </cell>
          <cell r="FS258">
            <v>2.5999999999999999E-2</v>
          </cell>
          <cell r="FV258">
            <v>0.108</v>
          </cell>
          <cell r="FW258">
            <v>0.05</v>
          </cell>
          <cell r="FX258">
            <v>2.1999999999999999E-2</v>
          </cell>
          <cell r="FY258">
            <v>2.4E-2</v>
          </cell>
          <cell r="GB258">
            <v>1.2E-2</v>
          </cell>
          <cell r="GC258">
            <v>4.1000000000000002E-2</v>
          </cell>
          <cell r="GD258">
            <v>7.4999999999999997E-2</v>
          </cell>
          <cell r="GE258">
            <v>7.0000000000000007E-2</v>
          </cell>
        </row>
        <row r="259">
          <cell r="A259" t="str">
            <v>Y/Y ∆ Gross Margin (bps)</v>
          </cell>
          <cell r="AF259">
            <v>50</v>
          </cell>
          <cell r="AN259" t="str">
            <v>Total</v>
          </cell>
          <cell r="EL259" t="str">
            <v>Total</v>
          </cell>
          <cell r="ER259">
            <v>0</v>
          </cell>
          <cell r="ES259">
            <v>4.5999999999999999E-2</v>
          </cell>
          <cell r="ET259">
            <v>5.8999999999999997E-2</v>
          </cell>
          <cell r="EU259">
            <v>6.0999999999999999E-2</v>
          </cell>
          <cell r="EV259">
            <v>4.3999999999999997E-2</v>
          </cell>
          <cell r="EX259">
            <v>6.0000000000000001E-3</v>
          </cell>
          <cell r="EY259">
            <v>-2.5999999999999999E-2</v>
          </cell>
          <cell r="EZ259">
            <v>-8.0000000000000002E-3</v>
          </cell>
          <cell r="FA259">
            <v>-0.02</v>
          </cell>
          <cell r="FB259">
            <v>-1.2999999999999999E-2</v>
          </cell>
          <cell r="FD259">
            <v>-2.5999999999999999E-2</v>
          </cell>
          <cell r="FE259">
            <v>-2.1000000000000001E-2</v>
          </cell>
          <cell r="FF259">
            <v>-0.06</v>
          </cell>
          <cell r="FG259">
            <v>-7.0000000000000007E-2</v>
          </cell>
          <cell r="FH259">
            <v>-4.4999999999999998E-2</v>
          </cell>
          <cell r="FJ259">
            <v>-0.09</v>
          </cell>
          <cell r="FK259">
            <v>-9.5000000000000001E-2</v>
          </cell>
          <cell r="FL259">
            <v>-3.5999999999999997E-2</v>
          </cell>
          <cell r="FM259">
            <v>-5.8512769677805648E-3</v>
          </cell>
          <cell r="FN259">
            <v>-5.0968425652024113E-2</v>
          </cell>
          <cell r="FP259">
            <v>5.5E-2</v>
          </cell>
          <cell r="FQ259">
            <v>4.9000000000000002E-2</v>
          </cell>
          <cell r="FR259">
            <v>3.9E-2</v>
          </cell>
          <cell r="FS259">
            <v>4.2999999999999997E-2</v>
          </cell>
          <cell r="FT259">
            <v>4.610434747830261E-2</v>
          </cell>
          <cell r="FV259">
            <v>5.3999999999999999E-2</v>
          </cell>
          <cell r="FW259">
            <v>6.4000000000000001E-2</v>
          </cell>
          <cell r="FX259">
            <v>0.04</v>
          </cell>
          <cell r="FY259">
            <v>5.1999999999999998E-2</v>
          </cell>
          <cell r="FZ259">
            <v>5.2999999999999999E-2</v>
          </cell>
          <cell r="GB259">
            <v>4.3999999999999997E-2</v>
          </cell>
          <cell r="GC259">
            <v>0.03</v>
          </cell>
          <cell r="GD259">
            <v>5.8238743460366213E-2</v>
          </cell>
          <cell r="GE259">
            <v>6.1871770985089329E-2</v>
          </cell>
          <cell r="GF259">
            <v>5.0171736300135057E-2</v>
          </cell>
        </row>
        <row r="260">
          <cell r="A260" t="str">
            <v>Y/Y ∆ SG&amp;A Ratio (bps)</v>
          </cell>
          <cell r="AF260">
            <v>-35</v>
          </cell>
        </row>
        <row r="261">
          <cell r="A261" t="str">
            <v>Bear Case Assumptions</v>
          </cell>
          <cell r="AN261" t="str">
            <v xml:space="preserve">Consolidated Productivity Factor </v>
          </cell>
          <cell r="EL261" t="str">
            <v xml:space="preserve">Consolidated Productivity Factor </v>
          </cell>
        </row>
        <row r="262">
          <cell r="A262" t="str">
            <v>Same Store</v>
          </cell>
          <cell r="AF262">
            <v>-2.5000000000000001E-2</v>
          </cell>
          <cell r="AN262" t="str">
            <v>Month 1</v>
          </cell>
          <cell r="EL262" t="str">
            <v>Month 1</v>
          </cell>
          <cell r="ER262">
            <v>0.85379589916801657</v>
          </cell>
          <cell r="ES262">
            <v>0.82852877251430668</v>
          </cell>
          <cell r="ET262">
            <v>0.83475030563790842</v>
          </cell>
          <cell r="EU262">
            <v>0.91480422703367681</v>
          </cell>
          <cell r="EX262">
            <v>1.0042251017232908</v>
          </cell>
          <cell r="EY262">
            <v>1.0108075527611304</v>
          </cell>
          <cell r="EZ262">
            <v>1.0032705612197608</v>
          </cell>
          <cell r="FA262">
            <v>0.99617129302855612</v>
          </cell>
          <cell r="FD262">
            <v>1.0047260256693704</v>
          </cell>
          <cell r="FE262">
            <v>1.0011731147187122</v>
          </cell>
          <cell r="FF262">
            <v>1.0015681684828099</v>
          </cell>
          <cell r="FG262">
            <v>0.9980273685296247</v>
          </cell>
          <cell r="FJ262">
            <v>1.0146680194879518</v>
          </cell>
          <cell r="FK262">
            <v>1.0229325701507319</v>
          </cell>
          <cell r="FL262">
            <v>1.0237530410429481</v>
          </cell>
          <cell r="FM262">
            <v>1.0168796021749338</v>
          </cell>
          <cell r="FP262">
            <v>1.0016060228776302</v>
          </cell>
          <cell r="FQ262">
            <v>0.98881215735067063</v>
          </cell>
          <cell r="FR262">
            <v>1.0007452413933455</v>
          </cell>
          <cell r="FS262">
            <v>1.0028115913956974</v>
          </cell>
          <cell r="FV262">
            <v>1.0005096291516782</v>
          </cell>
          <cell r="FW262">
            <v>1.0081721608307339</v>
          </cell>
          <cell r="FX262">
            <v>0.99435769750356207</v>
          </cell>
          <cell r="FY262">
            <v>1.0114048185081832</v>
          </cell>
          <cell r="GB262">
            <v>1.0253009585429893</v>
          </cell>
          <cell r="GC262">
            <v>1.0133052611979987</v>
          </cell>
          <cell r="GD262">
            <v>1.018088666893139</v>
          </cell>
          <cell r="GE262">
            <v>1</v>
          </cell>
        </row>
        <row r="263">
          <cell r="A263" t="str">
            <v>Y/Y ∆ Gross Margin (bps)</v>
          </cell>
          <cell r="AF263">
            <v>-40</v>
          </cell>
          <cell r="AN263" t="str">
            <v>Month 2</v>
          </cell>
          <cell r="EL263" t="str">
            <v>Month 2</v>
          </cell>
          <cell r="ER263">
            <v>0.87143545576033965</v>
          </cell>
          <cell r="ES263">
            <v>0.86259214604526391</v>
          </cell>
          <cell r="ET263">
            <v>0.95476655228407081</v>
          </cell>
          <cell r="EU263">
            <v>0.95390310394604827</v>
          </cell>
          <cell r="EX263">
            <v>0.99756383077735888</v>
          </cell>
          <cell r="EY263">
            <v>1.0076309712339664</v>
          </cell>
          <cell r="EZ263">
            <v>1.0058439901456568</v>
          </cell>
          <cell r="FA263">
            <v>1.0104925603418453</v>
          </cell>
          <cell r="FD263">
            <v>1.0038919718017412</v>
          </cell>
          <cell r="FE263">
            <v>1.0002262623646179</v>
          </cell>
          <cell r="FF263">
            <v>1.0022779610885877</v>
          </cell>
          <cell r="FG263">
            <v>0.98797059201406712</v>
          </cell>
          <cell r="FJ263">
            <v>1.0172356632303496</v>
          </cell>
          <cell r="FK263">
            <v>1.0266388149144143</v>
          </cell>
          <cell r="FL263">
            <v>1.0185440088098592</v>
          </cell>
          <cell r="FM263">
            <v>1.0150644106268683</v>
          </cell>
          <cell r="FP263">
            <v>0.9967530496300272</v>
          </cell>
          <cell r="FQ263">
            <v>0.99989171377441255</v>
          </cell>
          <cell r="FR263">
            <v>1.0028971230689774</v>
          </cell>
          <cell r="FS263">
            <v>0.9946391314592461</v>
          </cell>
          <cell r="FV263">
            <v>1.0074992903911262</v>
          </cell>
          <cell r="FW263">
            <v>1.0057878604073234</v>
          </cell>
          <cell r="FX263">
            <v>1.0057401642886414</v>
          </cell>
          <cell r="FY263">
            <v>1.0118477756232767</v>
          </cell>
          <cell r="GB263">
            <v>1.0102541230632647</v>
          </cell>
          <cell r="GC263">
            <v>1.011143062170935</v>
          </cell>
          <cell r="GD263">
            <v>1</v>
          </cell>
          <cell r="GE263">
            <v>1</v>
          </cell>
        </row>
        <row r="264">
          <cell r="A264" t="str">
            <v>Y/Y ∆ SG&amp;A Ratio (bps)</v>
          </cell>
          <cell r="AF264">
            <v>35</v>
          </cell>
          <cell r="AN264" t="str">
            <v>Month 3</v>
          </cell>
          <cell r="EL264" t="str">
            <v>Month 3</v>
          </cell>
          <cell r="ER264">
            <v>0.85509041472763314</v>
          </cell>
          <cell r="ES264">
            <v>0.83302342705472399</v>
          </cell>
          <cell r="ET264">
            <v>0.9300581404093593</v>
          </cell>
          <cell r="EU264">
            <v>0.88885616548937241</v>
          </cell>
          <cell r="EX264">
            <v>1.0012993536198342</v>
          </cell>
          <cell r="EY264">
            <v>1.0067406823426219</v>
          </cell>
          <cell r="EZ264">
            <v>1.0010354929971583</v>
          </cell>
          <cell r="FA264">
            <v>0.77697496531497701</v>
          </cell>
          <cell r="FD264">
            <v>0.99998610863561077</v>
          </cell>
          <cell r="FE264">
            <v>1.0000776716315167</v>
          </cell>
          <cell r="FF264">
            <v>1.0026881239876493</v>
          </cell>
          <cell r="FG264">
            <v>1.0034001517037674</v>
          </cell>
          <cell r="FJ264">
            <v>1.017274065207098</v>
          </cell>
          <cell r="FK264">
            <v>1.0307481774152398</v>
          </cell>
          <cell r="FL264">
            <v>1.0154616377110075</v>
          </cell>
          <cell r="FM264">
            <v>1.009307170702717</v>
          </cell>
          <cell r="FP264">
            <v>1.0005893323256754</v>
          </cell>
          <cell r="FQ264">
            <v>1.0111137394005785</v>
          </cell>
          <cell r="FR264">
            <v>1.0254628236300125</v>
          </cell>
          <cell r="FS264">
            <v>1.00775043725629</v>
          </cell>
          <cell r="FV264">
            <v>0.99618702023241001</v>
          </cell>
          <cell r="FW264">
            <v>1.0047825549823146</v>
          </cell>
          <cell r="FX264">
            <v>1.0004489851343907</v>
          </cell>
          <cell r="FY264">
            <v>1.008520012530175</v>
          </cell>
          <cell r="GB264">
            <v>1.0062765433093959</v>
          </cell>
          <cell r="GC264">
            <v>1.0227639737625074</v>
          </cell>
          <cell r="GD264">
            <v>1</v>
          </cell>
          <cell r="GE264">
            <v>1</v>
          </cell>
        </row>
        <row r="265">
          <cell r="AN265" t="str">
            <v>Total</v>
          </cell>
          <cell r="EL265" t="str">
            <v>Total</v>
          </cell>
        </row>
        <row r="267">
          <cell r="AN267" t="str">
            <v>Cost of Goods Sold</v>
          </cell>
          <cell r="EL267" t="str">
            <v>Cost of Goods Sold</v>
          </cell>
          <cell r="ER267">
            <v>3627</v>
          </cell>
          <cell r="ES267">
            <v>3470</v>
          </cell>
          <cell r="ET267">
            <v>3513</v>
          </cell>
          <cell r="EU267">
            <v>5409</v>
          </cell>
          <cell r="EV267">
            <v>16019</v>
          </cell>
          <cell r="EX267">
            <v>3564</v>
          </cell>
          <cell r="EY267">
            <v>3507</v>
          </cell>
          <cell r="EZ267">
            <v>3585</v>
          </cell>
          <cell r="FA267">
            <v>5021</v>
          </cell>
          <cell r="FB267">
            <v>15677</v>
          </cell>
          <cell r="FD267">
            <v>3527</v>
          </cell>
          <cell r="FE267">
            <v>3346</v>
          </cell>
          <cell r="FF267">
            <v>3324</v>
          </cell>
          <cell r="FG267">
            <v>4812</v>
          </cell>
          <cell r="FH267">
            <v>15009</v>
          </cell>
          <cell r="FJ267">
            <v>3279</v>
          </cell>
          <cell r="FK267">
            <v>3117</v>
          </cell>
          <cell r="FL267">
            <v>3241</v>
          </cell>
          <cell r="FM267">
            <v>4650</v>
          </cell>
          <cell r="FN267">
            <v>14287</v>
          </cell>
          <cell r="FP267">
            <v>3378</v>
          </cell>
          <cell r="FQ267">
            <v>3214</v>
          </cell>
          <cell r="FR267">
            <v>3377</v>
          </cell>
          <cell r="FS267">
            <v>4855</v>
          </cell>
          <cell r="FT267">
            <v>14824</v>
          </cell>
          <cell r="FV267">
            <v>3586</v>
          </cell>
          <cell r="FW267">
            <v>3457</v>
          </cell>
          <cell r="FX267">
            <v>3544</v>
          </cell>
          <cell r="FY267">
            <v>5151</v>
          </cell>
          <cell r="FZ267">
            <v>15738</v>
          </cell>
          <cell r="GB267">
            <v>3757</v>
          </cell>
          <cell r="GC267">
            <v>3555</v>
          </cell>
          <cell r="GD267">
            <v>3693.9711570041623</v>
          </cell>
          <cell r="GE267">
            <v>5567.0878306241739</v>
          </cell>
          <cell r="GF267">
            <v>16573.058987628334</v>
          </cell>
        </row>
        <row r="268">
          <cell r="AN268" t="str">
            <v>CGS, OCC, Buying Costs %</v>
          </cell>
          <cell r="EL268" t="str">
            <v>CGS, OCC, Buying Costs %</v>
          </cell>
          <cell r="ER268">
            <v>0.61163575042158513</v>
          </cell>
          <cell r="ES268">
            <v>0.57881567973311088</v>
          </cell>
          <cell r="ET268">
            <v>0.59683995922528033</v>
          </cell>
          <cell r="EU268">
            <v>0.59056665574844414</v>
          </cell>
          <cell r="EV268">
            <v>0.59395624768261035</v>
          </cell>
          <cell r="EX268">
            <v>0.60192535044755957</v>
          </cell>
          <cell r="EY268">
            <v>0.59521384928716903</v>
          </cell>
          <cell r="EZ268">
            <v>0.60700982052150354</v>
          </cell>
          <cell r="FA268">
            <v>0.58424482196881544</v>
          </cell>
          <cell r="FB268">
            <v>0.59578915365028695</v>
          </cell>
          <cell r="FD268">
            <v>0.61371150165303634</v>
          </cell>
          <cell r="FE268">
            <v>0.5851696397341728</v>
          </cell>
          <cell r="FF268">
            <v>0.60513380666302563</v>
          </cell>
          <cell r="FG268">
            <v>0.60650365515502902</v>
          </cell>
          <cell r="FH268">
            <v>0.60296480797043228</v>
          </cell>
          <cell r="FJ268">
            <v>0.62008320726172461</v>
          </cell>
          <cell r="FK268">
            <v>0.58978240302743612</v>
          </cell>
          <cell r="FL268">
            <v>0.6018570102135562</v>
          </cell>
          <cell r="FM268">
            <v>0.58520010067958717</v>
          </cell>
          <cell r="FN268">
            <v>0.59768239625167341</v>
          </cell>
          <cell r="FP268">
            <v>0.60602798708288486</v>
          </cell>
          <cell r="FQ268">
            <v>0.58045873216543253</v>
          </cell>
          <cell r="FR268">
            <v>0.60056909123243818</v>
          </cell>
          <cell r="FS268">
            <v>0.58713266416737209</v>
          </cell>
          <cell r="FT268">
            <v>0.59288885333759944</v>
          </cell>
          <cell r="FV268">
            <v>0.60893190694515198</v>
          </cell>
          <cell r="FW268">
            <v>0.58208452601448057</v>
          </cell>
          <cell r="FX268">
            <v>0.60550145224671104</v>
          </cell>
          <cell r="FY268">
            <v>0.59044016506189823</v>
          </cell>
          <cell r="FZ268">
            <v>0.59602348040143915</v>
          </cell>
          <cell r="GB268">
            <v>0.61159042812957842</v>
          </cell>
          <cell r="GC268">
            <v>0.58107224583197126</v>
          </cell>
          <cell r="GD268">
            <v>0.60050145224671103</v>
          </cell>
          <cell r="GE268">
            <v>0.58312736950345423</v>
          </cell>
          <cell r="GF268">
            <v>0.59275387568136595</v>
          </cell>
        </row>
        <row r="269">
          <cell r="AN269" t="str">
            <v>BPS Change</v>
          </cell>
          <cell r="EL269" t="str">
            <v>BPS Change</v>
          </cell>
          <cell r="ER269">
            <v>139.97738886292632</v>
          </cell>
          <cell r="ES269">
            <v>-79.90834205613973</v>
          </cell>
          <cell r="ET269">
            <v>6.2033726308408088</v>
          </cell>
          <cell r="EU269">
            <v>-5.9414249625333593</v>
          </cell>
          <cell r="EV269">
            <v>11.916206169559906</v>
          </cell>
          <cell r="EX269">
            <v>-97.103999740255631</v>
          </cell>
          <cell r="EY269">
            <v>163.98169554058151</v>
          </cell>
          <cell r="EZ269">
            <v>101.69861296223215</v>
          </cell>
          <cell r="FA269">
            <v>-63.218337796286939</v>
          </cell>
          <cell r="FB269">
            <v>18.329059676766015</v>
          </cell>
          <cell r="FD269">
            <v>117.86151205476769</v>
          </cell>
          <cell r="FE269">
            <v>-100.4420955299623</v>
          </cell>
          <cell r="FF269">
            <v>-18.760138584779096</v>
          </cell>
          <cell r="FG269">
            <v>222.58833186213579</v>
          </cell>
          <cell r="FH269">
            <v>71.756543201453297</v>
          </cell>
          <cell r="FJ269">
            <v>63.717056086882721</v>
          </cell>
          <cell r="FK269">
            <v>46.127632932633219</v>
          </cell>
          <cell r="FL269">
            <v>-32.767964494694326</v>
          </cell>
          <cell r="FM269">
            <v>-213.03554475441854</v>
          </cell>
          <cell r="FN269">
            <v>-52.824117187588726</v>
          </cell>
          <cell r="FP269">
            <v>-140.55220178839755</v>
          </cell>
          <cell r="FQ269">
            <v>-93.236708620035856</v>
          </cell>
          <cell r="FR269">
            <v>-12.879189811180192</v>
          </cell>
          <cell r="FS269">
            <v>19.325634877849218</v>
          </cell>
          <cell r="FT269">
            <v>-47.935429140739672</v>
          </cell>
          <cell r="FV269">
            <v>29.039198622671236</v>
          </cell>
          <cell r="FW269">
            <v>16.257938490480406</v>
          </cell>
          <cell r="FX269">
            <v>49.323610142728569</v>
          </cell>
          <cell r="FY269">
            <v>33.075008945261388</v>
          </cell>
          <cell r="FZ269">
            <v>31.346270638397122</v>
          </cell>
          <cell r="GB269">
            <v>26.585211844264435</v>
          </cell>
          <cell r="GC269">
            <v>-10.122801825093175</v>
          </cell>
          <cell r="GD269">
            <v>-50.000000000000043</v>
          </cell>
          <cell r="GE269">
            <v>-73.12795558443996</v>
          </cell>
          <cell r="GF269">
            <v>-32.696047200732046</v>
          </cell>
        </row>
        <row r="271">
          <cell r="AN271" t="str">
            <v>Gross Income</v>
          </cell>
          <cell r="EL271" t="str">
            <v>Gross Income</v>
          </cell>
          <cell r="ER271">
            <v>2303</v>
          </cell>
          <cell r="ES271">
            <v>2525</v>
          </cell>
          <cell r="ET271">
            <v>2373</v>
          </cell>
          <cell r="EU271">
            <v>3750</v>
          </cell>
          <cell r="EV271">
            <v>10951</v>
          </cell>
          <cell r="EX271">
            <v>2357</v>
          </cell>
          <cell r="EY271">
            <v>2385</v>
          </cell>
          <cell r="EZ271">
            <v>2321</v>
          </cell>
          <cell r="FA271">
            <v>3573</v>
          </cell>
          <cell r="FB271">
            <v>10636</v>
          </cell>
          <cell r="FD271">
            <v>2220</v>
          </cell>
          <cell r="FE271">
            <v>2372</v>
          </cell>
          <cell r="FF271">
            <v>2169</v>
          </cell>
          <cell r="FG271">
            <v>3122</v>
          </cell>
          <cell r="FH271">
            <v>9883</v>
          </cell>
          <cell r="FJ271">
            <v>2009</v>
          </cell>
          <cell r="FK271">
            <v>2168</v>
          </cell>
          <cell r="FL271">
            <v>2144</v>
          </cell>
          <cell r="FM271">
            <v>3296</v>
          </cell>
          <cell r="FN271">
            <v>9617</v>
          </cell>
          <cell r="FP271">
            <v>2196</v>
          </cell>
          <cell r="FQ271">
            <v>2323</v>
          </cell>
          <cell r="FR271">
            <v>2246</v>
          </cell>
          <cell r="FS271">
            <v>3414</v>
          </cell>
          <cell r="FT271">
            <v>10179</v>
          </cell>
          <cell r="FV271">
            <v>2303</v>
          </cell>
          <cell r="FW271">
            <v>2482</v>
          </cell>
          <cell r="FX271">
            <v>2309</v>
          </cell>
          <cell r="FY271">
            <v>3573</v>
          </cell>
          <cell r="FZ271">
            <v>10667</v>
          </cell>
          <cell r="GB271">
            <v>2386</v>
          </cell>
          <cell r="GC271">
            <v>2563</v>
          </cell>
          <cell r="GD271">
            <v>2457.506317668996</v>
          </cell>
          <cell r="GE271">
            <v>3979.8621528154158</v>
          </cell>
          <cell r="GF271">
            <v>11386.368470484413</v>
          </cell>
        </row>
        <row r="272">
          <cell r="AN272" t="str">
            <v>Gross Margin</v>
          </cell>
          <cell r="EL272" t="str">
            <v>Gross Margin</v>
          </cell>
          <cell r="ER272">
            <v>0.38836424957841487</v>
          </cell>
          <cell r="ES272">
            <v>0.42118432026688907</v>
          </cell>
          <cell r="ET272">
            <v>0.40316004077471967</v>
          </cell>
          <cell r="EU272">
            <v>0.40943334425155586</v>
          </cell>
          <cell r="EV272">
            <v>0.40604375231738971</v>
          </cell>
          <cell r="EX272">
            <v>0.39807464955244048</v>
          </cell>
          <cell r="EY272">
            <v>0.40478615071283097</v>
          </cell>
          <cell r="EZ272">
            <v>0.39299017947849646</v>
          </cell>
          <cell r="FA272">
            <v>0.41575517803118456</v>
          </cell>
          <cell r="FB272">
            <v>0.40421084634971305</v>
          </cell>
          <cell r="FD272">
            <v>0.38628849834696366</v>
          </cell>
          <cell r="FE272">
            <v>0.4148303602658272</v>
          </cell>
          <cell r="FF272">
            <v>0.39486619333697431</v>
          </cell>
          <cell r="FG272">
            <v>0.39349634484497104</v>
          </cell>
          <cell r="FH272">
            <v>0.39703519202956772</v>
          </cell>
          <cell r="FJ272">
            <v>0.37991679273827533</v>
          </cell>
          <cell r="FK272">
            <v>0.41021759697256388</v>
          </cell>
          <cell r="FL272">
            <v>0.3981429897864438</v>
          </cell>
          <cell r="FM272">
            <v>0.41479989932041278</v>
          </cell>
          <cell r="FN272">
            <v>0.40231760374832665</v>
          </cell>
          <cell r="FP272">
            <v>0.3939720129171152</v>
          </cell>
          <cell r="FQ272">
            <v>0.41954126783456747</v>
          </cell>
          <cell r="FR272">
            <v>0.39943090876756182</v>
          </cell>
          <cell r="FS272">
            <v>0.41286733583262791</v>
          </cell>
          <cell r="FT272">
            <v>0.4071111466624005</v>
          </cell>
          <cell r="FV272">
            <v>0.39106809305484802</v>
          </cell>
          <cell r="FW272">
            <v>0.41791547398551943</v>
          </cell>
          <cell r="FX272">
            <v>0.39449854775328891</v>
          </cell>
          <cell r="FY272">
            <v>0.40955983493810177</v>
          </cell>
          <cell r="FZ272">
            <v>0.4039765195985609</v>
          </cell>
          <cell r="GB272">
            <v>0.38840957187042163</v>
          </cell>
          <cell r="GC272">
            <v>0.41892775416802874</v>
          </cell>
          <cell r="GD272">
            <v>0.39949854775328891</v>
          </cell>
          <cell r="GE272">
            <v>0.41687263049654577</v>
          </cell>
          <cell r="GF272">
            <v>0.407246124318634</v>
          </cell>
        </row>
        <row r="273">
          <cell r="AN273" t="str">
            <v>BPS Change</v>
          </cell>
          <cell r="EL273" t="str">
            <v>BPS Change</v>
          </cell>
          <cell r="ER273">
            <v>-139.97738886292632</v>
          </cell>
          <cell r="ES273">
            <v>79.908342056138622</v>
          </cell>
          <cell r="ET273">
            <v>-6.2033726308408088</v>
          </cell>
          <cell r="EU273">
            <v>5.9414249625339144</v>
          </cell>
          <cell r="EV273">
            <v>-11.916206169559906</v>
          </cell>
          <cell r="EX273">
            <v>97.103999740256185</v>
          </cell>
          <cell r="EY273">
            <v>-163.98169554058094</v>
          </cell>
          <cell r="EZ273">
            <v>-101.69861296223215</v>
          </cell>
          <cell r="FA273">
            <v>63.218337796286939</v>
          </cell>
          <cell r="FB273">
            <v>-18.329059676766569</v>
          </cell>
          <cell r="FD273">
            <v>-117.86151205476824</v>
          </cell>
          <cell r="FE273">
            <v>100.4420955299623</v>
          </cell>
          <cell r="FF273">
            <v>18.760138584778542</v>
          </cell>
          <cell r="FG273">
            <v>-222.58833186213522</v>
          </cell>
          <cell r="FH273">
            <v>-71.756543201453297</v>
          </cell>
          <cell r="FJ273">
            <v>-63.717056086883275</v>
          </cell>
          <cell r="FK273">
            <v>-46.127632932633219</v>
          </cell>
          <cell r="FL273">
            <v>32.76796449469488</v>
          </cell>
          <cell r="FM273">
            <v>213.03554475441743</v>
          </cell>
          <cell r="FN273">
            <v>52.82411718758928</v>
          </cell>
          <cell r="FP273">
            <v>140.55220178839866</v>
          </cell>
          <cell r="FQ273">
            <v>93.236708620035856</v>
          </cell>
          <cell r="FR273">
            <v>12.879189811180192</v>
          </cell>
          <cell r="FS273">
            <v>-19.325634877848664</v>
          </cell>
          <cell r="FT273">
            <v>47.935429140738563</v>
          </cell>
          <cell r="FV273">
            <v>-29.03919862267179</v>
          </cell>
          <cell r="FW273">
            <v>-16.257938490480406</v>
          </cell>
          <cell r="FX273">
            <v>-49.323610142729123</v>
          </cell>
          <cell r="FY273">
            <v>-33.075008945261388</v>
          </cell>
          <cell r="FZ273">
            <v>-31.346270638396014</v>
          </cell>
          <cell r="GB273">
            <v>-26.585211844263878</v>
          </cell>
          <cell r="GC273">
            <v>10.122801825093175</v>
          </cell>
          <cell r="GD273">
            <v>50</v>
          </cell>
          <cell r="GE273">
            <v>73.127955584439931</v>
          </cell>
          <cell r="GF273">
            <v>32.696047200730938</v>
          </cell>
        </row>
        <row r="275">
          <cell r="AN275" t="str">
            <v>SG&amp;A</v>
          </cell>
          <cell r="EL275" t="str">
            <v>SG&amp;A</v>
          </cell>
          <cell r="ER275">
            <v>2154</v>
          </cell>
          <cell r="ES275">
            <v>2117</v>
          </cell>
          <cell r="ET275">
            <v>2094</v>
          </cell>
          <cell r="EU275">
            <v>2313</v>
          </cell>
          <cell r="EV275">
            <v>8678</v>
          </cell>
          <cell r="EX275">
            <v>2113</v>
          </cell>
          <cell r="EY275">
            <v>2038</v>
          </cell>
          <cell r="EZ275">
            <v>2121</v>
          </cell>
          <cell r="FA275">
            <v>2282</v>
          </cell>
          <cell r="FB275">
            <v>8554</v>
          </cell>
          <cell r="FD275">
            <v>2080</v>
          </cell>
          <cell r="FE275">
            <v>2037</v>
          </cell>
          <cell r="FF275">
            <v>2085</v>
          </cell>
          <cell r="FG275">
            <v>2256</v>
          </cell>
          <cell r="FH275">
            <v>8458</v>
          </cell>
          <cell r="FJ275">
            <v>1985</v>
          </cell>
          <cell r="FK275">
            <v>1886</v>
          </cell>
          <cell r="FL275">
            <v>2056</v>
          </cell>
          <cell r="FM275">
            <v>2236</v>
          </cell>
          <cell r="FN275">
            <v>8163</v>
          </cell>
          <cell r="FP275">
            <v>1993</v>
          </cell>
          <cell r="FQ275">
            <v>1953</v>
          </cell>
          <cell r="FR275">
            <v>2069</v>
          </cell>
          <cell r="FS275">
            <v>2245</v>
          </cell>
          <cell r="FT275">
            <v>8260</v>
          </cell>
          <cell r="FV275">
            <v>1973</v>
          </cell>
          <cell r="FW275">
            <v>1976</v>
          </cell>
          <cell r="FX275">
            <v>2018</v>
          </cell>
          <cell r="FY275">
            <v>2314</v>
          </cell>
          <cell r="FZ275">
            <v>8281</v>
          </cell>
          <cell r="GB275">
            <v>1995</v>
          </cell>
          <cell r="GC275">
            <v>2009</v>
          </cell>
          <cell r="GD275">
            <v>2135.8432994799609</v>
          </cell>
          <cell r="GE275">
            <v>2451.0799464756819</v>
          </cell>
          <cell r="GF275">
            <v>8590.9232459556424</v>
          </cell>
        </row>
        <row r="276">
          <cell r="AN276" t="str">
            <v>SG&amp;A Ratio</v>
          </cell>
          <cell r="EL276" t="str">
            <v>SG&amp;A Ratio</v>
          </cell>
          <cell r="ER276">
            <v>0.36323777403035412</v>
          </cell>
          <cell r="ES276">
            <v>0.35312760633861551</v>
          </cell>
          <cell r="ET276">
            <v>0.35575942915392456</v>
          </cell>
          <cell r="EU276">
            <v>0.25253848673435964</v>
          </cell>
          <cell r="EV276">
            <v>0.32176492398961809</v>
          </cell>
          <cell r="EX276">
            <v>0.35686539435906095</v>
          </cell>
          <cell r="EY276">
            <v>0.34589273591310249</v>
          </cell>
          <cell r="EZ276">
            <v>0.35912631222485608</v>
          </cell>
          <cell r="FA276">
            <v>0.2655340935536421</v>
          </cell>
          <cell r="FB276">
            <v>0.32508645916467144</v>
          </cell>
          <cell r="FD276">
            <v>0.36192796241517311</v>
          </cell>
          <cell r="FE276">
            <v>0.35624344176285416</v>
          </cell>
          <cell r="FF276">
            <v>0.37957400327689789</v>
          </cell>
          <cell r="FG276">
            <v>0.28434585328963952</v>
          </cell>
          <cell r="FH276">
            <v>0.33978788365739998</v>
          </cell>
          <cell r="FJ276">
            <v>0.37537821482602118</v>
          </cell>
          <cell r="FK276">
            <v>0.35685903500473037</v>
          </cell>
          <cell r="FL276">
            <v>0.38180129990714951</v>
          </cell>
          <cell r="FM276">
            <v>0.28139944626227031</v>
          </cell>
          <cell r="FN276">
            <v>0.34149096385542171</v>
          </cell>
          <cell r="FP276">
            <v>0.35755292429135271</v>
          </cell>
          <cell r="FQ276">
            <v>0.3527180783817952</v>
          </cell>
          <cell r="FR276">
            <v>0.36795304997332384</v>
          </cell>
          <cell r="FS276">
            <v>0.27149594872415045</v>
          </cell>
          <cell r="FT276">
            <v>0.33036035675718911</v>
          </cell>
          <cell r="FV276">
            <v>0.33503141450161317</v>
          </cell>
          <cell r="FW276">
            <v>0.33271594544536115</v>
          </cell>
          <cell r="FX276">
            <v>0.34478045446779432</v>
          </cell>
          <cell r="FY276">
            <v>0.26524530032095367</v>
          </cell>
          <cell r="FZ276">
            <v>0.31361484567316794</v>
          </cell>
          <cell r="GB276">
            <v>0.32475988930489991</v>
          </cell>
          <cell r="GC276">
            <v>0.32837528604118993</v>
          </cell>
          <cell r="GD276">
            <v>0.34720818019307514</v>
          </cell>
          <cell r="GE276">
            <v>0.25673958182743123</v>
          </cell>
          <cell r="GF276">
            <v>0.30726391872029868</v>
          </cell>
        </row>
        <row r="277">
          <cell r="AN277" t="str">
            <v>BPS Change</v>
          </cell>
          <cell r="EL277" t="str">
            <v>BPS Change</v>
          </cell>
          <cell r="ER277">
            <v>300.87540578005888</v>
          </cell>
          <cell r="ES277">
            <v>202.54296926526084</v>
          </cell>
          <cell r="ET277">
            <v>5.8391160216936244</v>
          </cell>
          <cell r="EU277">
            <v>-178.61680437304796</v>
          </cell>
          <cell r="EV277">
            <v>100.18608670279094</v>
          </cell>
          <cell r="EX277">
            <v>-63.723796712931716</v>
          </cell>
          <cell r="EY277">
            <v>-72.348704255130187</v>
          </cell>
          <cell r="EZ277">
            <v>33.668830709315259</v>
          </cell>
          <cell r="FA277">
            <v>129.95606819282469</v>
          </cell>
          <cell r="FB277">
            <v>33.215351750533472</v>
          </cell>
          <cell r="FD277">
            <v>50.625680561121598</v>
          </cell>
          <cell r="FE277">
            <v>103.50705849751674</v>
          </cell>
          <cell r="FF277">
            <v>204.47691052041804</v>
          </cell>
          <cell r="FG277">
            <v>188.11759735997413</v>
          </cell>
          <cell r="FH277">
            <v>147.01424492728543</v>
          </cell>
          <cell r="FJ277">
            <v>134.50252410848074</v>
          </cell>
          <cell r="FK277">
            <v>6.1559324187621112</v>
          </cell>
          <cell r="FL277">
            <v>22.272966302516185</v>
          </cell>
          <cell r="FM277">
            <v>-29.464070273692023</v>
          </cell>
          <cell r="FN277">
            <v>17.030801980217337</v>
          </cell>
          <cell r="FP277">
            <v>-178.25290534668468</v>
          </cell>
          <cell r="FQ277">
            <v>-41.409566229351768</v>
          </cell>
          <cell r="FR277">
            <v>-138.48249933825662</v>
          </cell>
          <cell r="FS277">
            <v>-99.034975381198649</v>
          </cell>
          <cell r="FT277">
            <v>-111.30607098232603</v>
          </cell>
          <cell r="FV277">
            <v>-225.21509789739548</v>
          </cell>
          <cell r="FW277">
            <v>-200.02132936434046</v>
          </cell>
          <cell r="FX277">
            <v>-231.72595505529526</v>
          </cell>
          <cell r="FY277">
            <v>-62.506484031967787</v>
          </cell>
          <cell r="FZ277">
            <v>-167.45511084021169</v>
          </cell>
          <cell r="GB277">
            <v>-102.7152519671326</v>
          </cell>
          <cell r="GC277">
            <v>-43.406594041712211</v>
          </cell>
          <cell r="GD277">
            <v>24.277257252808404</v>
          </cell>
          <cell r="GE277">
            <v>-85.057184935224271</v>
          </cell>
          <cell r="GF277">
            <v>-63.509269528692627</v>
          </cell>
        </row>
        <row r="279">
          <cell r="AN279" t="str">
            <v>Operating Income</v>
          </cell>
          <cell r="EL279" t="str">
            <v>Operating Income</v>
          </cell>
          <cell r="ER279">
            <v>149</v>
          </cell>
          <cell r="ES279">
            <v>408</v>
          </cell>
          <cell r="ET279">
            <v>279</v>
          </cell>
          <cell r="EU279">
            <v>1437</v>
          </cell>
          <cell r="EV279">
            <v>2273</v>
          </cell>
          <cell r="EX279">
            <v>244</v>
          </cell>
          <cell r="EY279">
            <v>347</v>
          </cell>
          <cell r="EZ279">
            <v>200</v>
          </cell>
          <cell r="FA279">
            <v>1291</v>
          </cell>
          <cell r="FB279">
            <v>2082</v>
          </cell>
          <cell r="FD279">
            <v>140</v>
          </cell>
          <cell r="FE279">
            <v>335</v>
          </cell>
          <cell r="FF279">
            <v>84</v>
          </cell>
          <cell r="FG279">
            <v>866</v>
          </cell>
          <cell r="FH279">
            <v>1425</v>
          </cell>
          <cell r="FJ279">
            <v>24</v>
          </cell>
          <cell r="FK279">
            <v>282</v>
          </cell>
          <cell r="FL279">
            <v>88</v>
          </cell>
          <cell r="FM279">
            <v>1060</v>
          </cell>
          <cell r="FN279">
            <v>1454</v>
          </cell>
          <cell r="FP279">
            <v>203</v>
          </cell>
          <cell r="FQ279">
            <v>370</v>
          </cell>
          <cell r="FR279">
            <v>177</v>
          </cell>
          <cell r="FS279">
            <v>1169</v>
          </cell>
          <cell r="FT279">
            <v>1919</v>
          </cell>
          <cell r="FV279">
            <v>330</v>
          </cell>
          <cell r="FW279">
            <v>506</v>
          </cell>
          <cell r="FX279">
            <v>291</v>
          </cell>
          <cell r="FY279">
            <v>1259</v>
          </cell>
          <cell r="FZ279">
            <v>2386</v>
          </cell>
          <cell r="GB279">
            <v>391</v>
          </cell>
          <cell r="GC279">
            <v>554</v>
          </cell>
          <cell r="GD279">
            <v>321.66301818903503</v>
          </cell>
          <cell r="GE279">
            <v>1528.7822063397339</v>
          </cell>
          <cell r="GF279">
            <v>2795.4452245287689</v>
          </cell>
        </row>
        <row r="280">
          <cell r="AN280" t="str">
            <v>Operating Margin</v>
          </cell>
          <cell r="EL280" t="str">
            <v>Operating Margin</v>
          </cell>
          <cell r="ER280">
            <v>2.5126475548060707E-2</v>
          </cell>
          <cell r="ES280">
            <v>6.805671392827356E-2</v>
          </cell>
          <cell r="ET280">
            <v>4.7400611620795105E-2</v>
          </cell>
          <cell r="EU280">
            <v>0.1568948575171962</v>
          </cell>
          <cell r="EV280">
            <v>8.4278828327771602E-2</v>
          </cell>
          <cell r="EX280">
            <v>4.12092551933795E-2</v>
          </cell>
          <cell r="EY280">
            <v>5.8893414799728448E-2</v>
          </cell>
          <cell r="EZ280">
            <v>3.3863867253640365E-2</v>
          </cell>
          <cell r="FA280">
            <v>0.15022108447754248</v>
          </cell>
          <cell r="FB280">
            <v>7.9124387185041611E-2</v>
          </cell>
          <cell r="FD280">
            <v>2.4360535931790498E-2</v>
          </cell>
          <cell r="FE280">
            <v>5.8586918502973068E-2</v>
          </cell>
          <cell r="FF280">
            <v>1.5292190060076462E-2</v>
          </cell>
          <cell r="FG280">
            <v>0.10915049155533149</v>
          </cell>
          <cell r="FH280">
            <v>5.7247308372167766E-2</v>
          </cell>
          <cell r="FJ280">
            <v>4.5385779122541605E-3</v>
          </cell>
          <cell r="FK280">
            <v>5.3358561967833493E-2</v>
          </cell>
          <cell r="FL280">
            <v>1.6341689879294335E-2</v>
          </cell>
          <cell r="FM280">
            <v>0.13340045305814247</v>
          </cell>
          <cell r="FN280">
            <v>6.0826639892904953E-2</v>
          </cell>
          <cell r="FP280">
            <v>3.6419088625762472E-2</v>
          </cell>
          <cell r="FQ280">
            <v>6.6823189452772255E-2</v>
          </cell>
          <cell r="FR280">
            <v>3.1477858794237951E-2</v>
          </cell>
          <cell r="FS280">
            <v>0.14137138710847744</v>
          </cell>
          <cell r="FT280">
            <v>7.6750789905211378E-2</v>
          </cell>
          <cell r="FV280">
            <v>5.6036678553234846E-2</v>
          </cell>
          <cell r="FW280">
            <v>8.5199528540158276E-2</v>
          </cell>
          <cell r="FX280">
            <v>4.9718093285494619E-2</v>
          </cell>
          <cell r="FY280">
            <v>0.1443145346171481</v>
          </cell>
          <cell r="FZ280">
            <v>9.0361673925392919E-2</v>
          </cell>
          <cell r="GB280">
            <v>6.3649682565521726E-2</v>
          </cell>
          <cell r="GC280">
            <v>9.0552468126838842E-2</v>
          </cell>
          <cell r="GD280">
            <v>5.2290367560213769E-2</v>
          </cell>
          <cell r="GE280">
            <v>0.16013304866911451</v>
          </cell>
          <cell r="GF280">
            <v>9.9982205598335261E-2</v>
          </cell>
        </row>
        <row r="281">
          <cell r="AN281" t="str">
            <v>BPS Change</v>
          </cell>
          <cell r="EL281" t="str">
            <v>BPS Change</v>
          </cell>
        </row>
        <row r="283">
          <cell r="AN283" t="str">
            <v>Bear Case Assumptions</v>
          </cell>
          <cell r="EL283" t="str">
            <v>Bear Case Assumptions</v>
          </cell>
        </row>
        <row r="284">
          <cell r="AN284" t="str">
            <v>Consolidated Stores Monthly Sales ($)</v>
          </cell>
          <cell r="EL284" t="str">
            <v>Consolidated Stores Monthly Sales ($)</v>
          </cell>
          <cell r="EU284">
            <v>356</v>
          </cell>
        </row>
        <row r="285">
          <cell r="AN285" t="str">
            <v>Month 1</v>
          </cell>
          <cell r="EL285" t="str">
            <v>Month 1</v>
          </cell>
          <cell r="ER285">
            <v>1800</v>
          </cell>
          <cell r="ES285">
            <v>2026</v>
          </cell>
          <cell r="ET285">
            <v>1727</v>
          </cell>
          <cell r="EU285">
            <v>2385</v>
          </cell>
          <cell r="EX285">
            <v>1802</v>
          </cell>
          <cell r="EY285">
            <v>1976</v>
          </cell>
          <cell r="EZ285">
            <v>1788</v>
          </cell>
          <cell r="FA285">
            <v>2707</v>
          </cell>
          <cell r="FD285">
            <v>1737</v>
          </cell>
          <cell r="FE285">
            <v>1926</v>
          </cell>
          <cell r="FF285">
            <v>1686</v>
          </cell>
          <cell r="FG285">
            <v>2324</v>
          </cell>
          <cell r="FJ285">
            <v>1602.5975291456411</v>
          </cell>
          <cell r="FK285">
            <v>1783.7565582371458</v>
          </cell>
          <cell r="FL285">
            <v>1576.1490988530857</v>
          </cell>
          <cell r="FM285">
            <v>2202.7766574237457</v>
          </cell>
          <cell r="FP285">
            <v>1667</v>
          </cell>
          <cell r="FQ285">
            <v>1789</v>
          </cell>
          <cell r="FR285">
            <v>1638</v>
          </cell>
          <cell r="FS285">
            <v>2341</v>
          </cell>
          <cell r="FV285">
            <v>1763</v>
          </cell>
          <cell r="FW285">
            <v>1937</v>
          </cell>
          <cell r="FX285">
            <v>1714</v>
          </cell>
          <cell r="FY285">
            <v>2465</v>
          </cell>
          <cell r="GB285">
            <v>1860</v>
          </cell>
          <cell r="GC285">
            <v>2015</v>
          </cell>
          <cell r="GD285">
            <v>1812</v>
          </cell>
          <cell r="GE285">
            <v>2490.7341222077775</v>
          </cell>
        </row>
        <row r="286">
          <cell r="AN286" t="str">
            <v>Month 2</v>
          </cell>
          <cell r="EL286" t="str">
            <v>Month 2</v>
          </cell>
          <cell r="ER286">
            <v>2255</v>
          </cell>
          <cell r="ES286">
            <v>2367</v>
          </cell>
          <cell r="ET286">
            <v>2303</v>
          </cell>
          <cell r="EU286">
            <v>4997</v>
          </cell>
          <cell r="EX286">
            <v>2288</v>
          </cell>
          <cell r="EY286">
            <v>2321</v>
          </cell>
          <cell r="EZ286">
            <v>2274</v>
          </cell>
          <cell r="FA286">
            <v>4624</v>
          </cell>
          <cell r="FD286">
            <v>2142</v>
          </cell>
          <cell r="FE286">
            <v>2249</v>
          </cell>
          <cell r="FF286">
            <v>2093</v>
          </cell>
          <cell r="FG286">
            <v>4397</v>
          </cell>
          <cell r="FJ286">
            <v>1963.7990255785628</v>
          </cell>
          <cell r="FK286">
            <v>2092.5916404337181</v>
          </cell>
          <cell r="FL286">
            <v>2084.1512834516657</v>
          </cell>
          <cell r="FM286">
            <v>4474.7693471136881</v>
          </cell>
          <cell r="FP286">
            <v>2172</v>
          </cell>
          <cell r="FQ286">
            <v>2229</v>
          </cell>
          <cell r="FR286">
            <v>2181</v>
          </cell>
          <cell r="FS286">
            <v>4619</v>
          </cell>
          <cell r="FV286">
            <v>2206</v>
          </cell>
          <cell r="FW286">
            <v>2392</v>
          </cell>
          <cell r="FX286">
            <v>2298</v>
          </cell>
          <cell r="FY286">
            <v>4925</v>
          </cell>
          <cell r="GB286">
            <v>2358</v>
          </cell>
          <cell r="GC286">
            <v>2412</v>
          </cell>
          <cell r="GD286">
            <v>2293.892456048884</v>
          </cell>
          <cell r="GE286">
            <v>4976.4160453847071</v>
          </cell>
        </row>
        <row r="287">
          <cell r="AN287" t="str">
            <v>Month 3</v>
          </cell>
          <cell r="EL287" t="str">
            <v>Month 3</v>
          </cell>
          <cell r="ER287">
            <v>1878</v>
          </cell>
          <cell r="ES287">
            <v>1608</v>
          </cell>
          <cell r="ET287">
            <v>1863</v>
          </cell>
          <cell r="EU287">
            <v>1780</v>
          </cell>
          <cell r="EX287">
            <v>1837</v>
          </cell>
          <cell r="EY287">
            <v>1602</v>
          </cell>
          <cell r="EZ287">
            <v>1849</v>
          </cell>
          <cell r="FA287">
            <v>1273</v>
          </cell>
          <cell r="FD287">
            <v>1868</v>
          </cell>
          <cell r="FE287">
            <v>1543</v>
          </cell>
          <cell r="FF287">
            <v>1714</v>
          </cell>
          <cell r="FG287">
            <v>1213</v>
          </cell>
          <cell r="FJ287">
            <v>1720.603445275796</v>
          </cell>
          <cell r="FK287">
            <v>1409.6518013291361</v>
          </cell>
          <cell r="FL287">
            <v>1725.6996176952484</v>
          </cell>
          <cell r="FM287">
            <v>1268.4539954625661</v>
          </cell>
          <cell r="FP287">
            <v>1739</v>
          </cell>
          <cell r="FQ287">
            <v>1528</v>
          </cell>
          <cell r="FR287">
            <v>1806</v>
          </cell>
          <cell r="FS287">
            <v>1310</v>
          </cell>
          <cell r="FV287">
            <v>1920</v>
          </cell>
          <cell r="FW287">
            <v>1612</v>
          </cell>
          <cell r="FX287">
            <v>1842</v>
          </cell>
          <cell r="FY287">
            <v>1336</v>
          </cell>
          <cell r="GB287">
            <v>1928</v>
          </cell>
          <cell r="GC287">
            <v>1693</v>
          </cell>
          <cell r="GD287">
            <v>1882.0033631484798</v>
          </cell>
          <cell r="GE287">
            <v>1720.1677658275225</v>
          </cell>
        </row>
        <row r="288">
          <cell r="AN288" t="str">
            <v>Total</v>
          </cell>
          <cell r="EL288" t="str">
            <v>Total</v>
          </cell>
          <cell r="ER288">
            <v>5930</v>
          </cell>
          <cell r="ES288">
            <v>5995</v>
          </cell>
          <cell r="ET288">
            <v>5886</v>
          </cell>
          <cell r="EU288">
            <v>9159</v>
          </cell>
          <cell r="EV288">
            <v>26970</v>
          </cell>
          <cell r="EX288">
            <v>5921</v>
          </cell>
          <cell r="EY288">
            <v>5892</v>
          </cell>
          <cell r="EZ288">
            <v>5906</v>
          </cell>
          <cell r="FA288">
            <v>8594</v>
          </cell>
          <cell r="FB288">
            <v>26313</v>
          </cell>
          <cell r="FD288">
            <v>5747</v>
          </cell>
          <cell r="FE288">
            <v>5718</v>
          </cell>
          <cell r="FF288">
            <v>5493</v>
          </cell>
          <cell r="FG288">
            <v>7934</v>
          </cell>
          <cell r="FH288">
            <v>24892</v>
          </cell>
          <cell r="FJ288">
            <v>5288</v>
          </cell>
          <cell r="FK288">
            <v>5285</v>
          </cell>
          <cell r="FL288">
            <v>5385</v>
          </cell>
          <cell r="FM288">
            <v>7946</v>
          </cell>
          <cell r="FN288">
            <v>23904</v>
          </cell>
          <cell r="FP288">
            <v>5574</v>
          </cell>
          <cell r="FQ288">
            <v>5537</v>
          </cell>
          <cell r="FR288">
            <v>5623</v>
          </cell>
          <cell r="FS288">
            <v>8269</v>
          </cell>
          <cell r="FT288">
            <v>25003</v>
          </cell>
          <cell r="FV288">
            <v>5889</v>
          </cell>
          <cell r="FW288">
            <v>5939</v>
          </cell>
          <cell r="FX288">
            <v>5853</v>
          </cell>
          <cell r="FY288">
            <v>8724</v>
          </cell>
          <cell r="FZ288">
            <v>26405</v>
          </cell>
          <cell r="GB288">
            <v>6143</v>
          </cell>
          <cell r="GC288">
            <v>6118</v>
          </cell>
          <cell r="GD288">
            <v>5987.8958191973634</v>
          </cell>
          <cell r="GE288">
            <v>9187.3179334200067</v>
          </cell>
          <cell r="GF288">
            <v>27436.213752617372</v>
          </cell>
        </row>
        <row r="290">
          <cell r="AN290" t="str">
            <v xml:space="preserve">Consolidated Monthly Comps </v>
          </cell>
          <cell r="EL290" t="str">
            <v xml:space="preserve">Consolidated Monthly Comps </v>
          </cell>
        </row>
        <row r="291">
          <cell r="AN291" t="str">
            <v>Month 1</v>
          </cell>
          <cell r="EL291" t="str">
            <v>Month 1</v>
          </cell>
          <cell r="ER291">
            <v>0.01</v>
          </cell>
          <cell r="ES291">
            <v>9.1999999999999998E-2</v>
          </cell>
          <cell r="ET291">
            <v>3.7999999999999999E-2</v>
          </cell>
          <cell r="EU291">
            <v>8.5000000000000006E-2</v>
          </cell>
          <cell r="EX291">
            <v>1.2E-2</v>
          </cell>
          <cell r="EY291">
            <v>-3.3000000000000002E-2</v>
          </cell>
          <cell r="EZ291">
            <v>2.4E-2</v>
          </cell>
          <cell r="FA291">
            <v>0.13400000000000001</v>
          </cell>
          <cell r="FD291">
            <v>-3.5000000000000003E-2</v>
          </cell>
          <cell r="FE291">
            <v>-1.4999999999999999E-2</v>
          </cell>
          <cell r="FF291">
            <v>-4.8000000000000001E-2</v>
          </cell>
          <cell r="FG291">
            <v>-0.13300000000000001</v>
          </cell>
          <cell r="FJ291">
            <v>-8.5000000000000006E-2</v>
          </cell>
          <cell r="FK291">
            <v>-9.0999999999999998E-2</v>
          </cell>
          <cell r="FL291">
            <v>-8.1000000000000003E-2</v>
          </cell>
          <cell r="FM291">
            <v>-6.0999999999999999E-2</v>
          </cell>
          <cell r="FP291">
            <v>3.6999999999999998E-2</v>
          </cell>
          <cell r="FQ291">
            <v>1.4E-2</v>
          </cell>
          <cell r="FR291">
            <v>4.2999999999999997E-2</v>
          </cell>
          <cell r="FS291">
            <v>6.0999999999999999E-2</v>
          </cell>
          <cell r="FV291">
            <v>5.8000000000000003E-2</v>
          </cell>
          <cell r="FW291">
            <v>7.3999999999999996E-2</v>
          </cell>
          <cell r="FX291">
            <v>0.05</v>
          </cell>
          <cell r="FY291">
            <v>4.8000000000000001E-2</v>
          </cell>
          <cell r="GB291">
            <v>4.5999999999999999E-2</v>
          </cell>
          <cell r="GC291">
            <v>4.2000000000000003E-2</v>
          </cell>
          <cell r="GD291">
            <v>5.0999999999999997E-2</v>
          </cell>
          <cell r="GE291">
            <v>0.02</v>
          </cell>
        </row>
        <row r="292">
          <cell r="AN292" t="str">
            <v>Month 2</v>
          </cell>
          <cell r="EL292" t="str">
            <v>Month 2</v>
          </cell>
          <cell r="ER292">
            <v>0</v>
          </cell>
          <cell r="ES292">
            <v>1.7000000000000001E-2</v>
          </cell>
          <cell r="ET292">
            <v>6.5000000000000002E-2</v>
          </cell>
          <cell r="EU292">
            <v>4.3999999999999997E-2</v>
          </cell>
          <cell r="EX292">
            <v>2.3E-2</v>
          </cell>
          <cell r="EY292">
            <v>-2.7E-2</v>
          </cell>
          <cell r="EZ292">
            <v>-2.7E-2</v>
          </cell>
          <cell r="FA292">
            <v>-7.9000000000000001E-2</v>
          </cell>
          <cell r="FD292">
            <v>-6.2E-2</v>
          </cell>
          <cell r="FE292">
            <v>-2.1000000000000001E-2</v>
          </cell>
          <cell r="FF292">
            <v>-6.6000000000000003E-2</v>
          </cell>
          <cell r="FG292">
            <v>-0.04</v>
          </cell>
          <cell r="FJ292">
            <v>-9.1999999999999998E-2</v>
          </cell>
          <cell r="FK292">
            <v>-8.8999999999999996E-2</v>
          </cell>
          <cell r="FL292">
            <v>-2.3E-2</v>
          </cell>
          <cell r="FM292">
            <v>0.01</v>
          </cell>
          <cell r="FP292">
            <v>0.10800000000000001</v>
          </cell>
          <cell r="FQ292">
            <v>6.5000000000000002E-2</v>
          </cell>
          <cell r="FR292">
            <v>4.8000000000000001E-2</v>
          </cell>
          <cell r="FS292">
            <v>3.9E-2</v>
          </cell>
          <cell r="FV292">
            <v>8.9999999999999993E-3</v>
          </cell>
          <cell r="FW292">
            <v>6.7000000000000004E-2</v>
          </cell>
          <cell r="FX292">
            <v>4.9000000000000002E-2</v>
          </cell>
          <cell r="FY292">
            <v>6.2E-2</v>
          </cell>
          <cell r="GB292">
            <v>7.2999999999999995E-2</v>
          </cell>
          <cell r="GC292">
            <v>1.2E-2</v>
          </cell>
          <cell r="GD292">
            <v>9.9999999999999985E-3</v>
          </cell>
          <cell r="GE292">
            <v>0.02</v>
          </cell>
        </row>
        <row r="293">
          <cell r="AN293" t="str">
            <v>Month 3</v>
          </cell>
          <cell r="EL293" t="str">
            <v>Month 3</v>
          </cell>
          <cell r="ER293">
            <v>-8.0000000000000002E-3</v>
          </cell>
          <cell r="ES293">
            <v>3.3000000000000002E-2</v>
          </cell>
          <cell r="ET293">
            <v>7.6999999999999999E-2</v>
          </cell>
          <cell r="EU293">
            <v>8.5999999999999993E-2</v>
          </cell>
          <cell r="EX293">
            <v>-2.1999999999999999E-2</v>
          </cell>
          <cell r="EY293">
            <v>-1.4E-2</v>
          </cell>
          <cell r="EZ293">
            <v>-1.4999999999999999E-2</v>
          </cell>
          <cell r="FA293">
            <v>-7.0999999999999994E-2</v>
          </cell>
          <cell r="FD293">
            <v>0.03</v>
          </cell>
          <cell r="FE293">
            <v>-2.9000000000000001E-2</v>
          </cell>
          <cell r="FF293">
            <v>-6.3E-2</v>
          </cell>
          <cell r="FG293">
            <v>-4.4999999999999998E-2</v>
          </cell>
          <cell r="FJ293">
            <v>-9.0999999999999998E-2</v>
          </cell>
          <cell r="FK293">
            <v>-0.107</v>
          </cell>
          <cell r="FL293">
            <v>-8.0000000000000002E-3</v>
          </cell>
          <cell r="FM293">
            <v>3.4000000000000002E-2</v>
          </cell>
          <cell r="FP293">
            <v>1.0999999999999999E-2</v>
          </cell>
          <cell r="FQ293">
            <v>7.2999999999999995E-2</v>
          </cell>
          <cell r="FR293">
            <v>2.5000000000000001E-2</v>
          </cell>
          <cell r="FS293">
            <v>2.5999999999999999E-2</v>
          </cell>
          <cell r="FV293">
            <v>0.108</v>
          </cell>
          <cell r="FW293">
            <v>0.05</v>
          </cell>
          <cell r="FX293">
            <v>2.1999999999999999E-2</v>
          </cell>
          <cell r="FY293">
            <v>2.4E-2</v>
          </cell>
          <cell r="GB293">
            <v>1.2E-2</v>
          </cell>
          <cell r="GC293">
            <v>4.1000000000000002E-2</v>
          </cell>
          <cell r="GD293">
            <v>3.5000000000000003E-2</v>
          </cell>
          <cell r="GE293">
            <v>3.0000000000000002E-2</v>
          </cell>
        </row>
        <row r="294">
          <cell r="AN294" t="str">
            <v>Total</v>
          </cell>
          <cell r="EL294" t="str">
            <v>Total</v>
          </cell>
          <cell r="ER294">
            <v>0</v>
          </cell>
          <cell r="ES294">
            <v>4.5999999999999999E-2</v>
          </cell>
          <cell r="ET294">
            <v>5.8999999999999997E-2</v>
          </cell>
          <cell r="EU294">
            <v>6.0999999999999999E-2</v>
          </cell>
          <cell r="EV294">
            <v>4.3999999999999997E-2</v>
          </cell>
          <cell r="EX294">
            <v>6.0000000000000001E-3</v>
          </cell>
          <cell r="EY294">
            <v>-2.5999999999999999E-2</v>
          </cell>
          <cell r="EZ294">
            <v>-8.0000000000000002E-3</v>
          </cell>
          <cell r="FA294">
            <v>-0.02</v>
          </cell>
          <cell r="FB294">
            <v>-1.2999999999999999E-2</v>
          </cell>
          <cell r="FD294">
            <v>-2.5999999999999999E-2</v>
          </cell>
          <cell r="FE294">
            <v>-2.1000000000000001E-2</v>
          </cell>
          <cell r="FF294">
            <v>-0.06</v>
          </cell>
          <cell r="FG294">
            <v>-7.0000000000000007E-2</v>
          </cell>
          <cell r="FH294">
            <v>-4.4999999999999998E-2</v>
          </cell>
          <cell r="FJ294">
            <v>-0.09</v>
          </cell>
          <cell r="FK294">
            <v>-9.5000000000000001E-2</v>
          </cell>
          <cell r="FL294">
            <v>-3.5999999999999997E-2</v>
          </cell>
          <cell r="FM294">
            <v>-5.8512769677805648E-3</v>
          </cell>
          <cell r="FN294">
            <v>-5.0968425652024113E-2</v>
          </cell>
          <cell r="FP294">
            <v>5.5E-2</v>
          </cell>
          <cell r="FQ294">
            <v>4.9000000000000002E-2</v>
          </cell>
          <cell r="FR294">
            <v>3.9E-2</v>
          </cell>
          <cell r="FS294">
            <v>4.2999999999999997E-2</v>
          </cell>
          <cell r="FT294">
            <v>4.610434747830261E-2</v>
          </cell>
          <cell r="FV294">
            <v>5.3999999999999999E-2</v>
          </cell>
          <cell r="FW294">
            <v>6.4000000000000001E-2</v>
          </cell>
          <cell r="FX294">
            <v>0.04</v>
          </cell>
          <cell r="FY294">
            <v>5.1999999999999998E-2</v>
          </cell>
          <cell r="FZ294">
            <v>5.2999999999999999E-2</v>
          </cell>
          <cell r="GB294">
            <v>4.3999999999999997E-2</v>
          </cell>
          <cell r="GC294">
            <v>0.03</v>
          </cell>
          <cell r="GD294">
            <v>3.0264561666167575E-2</v>
          </cell>
          <cell r="GE294">
            <v>2.1872328549304036E-2</v>
          </cell>
          <cell r="GF294">
            <v>3.0470716044687752E-2</v>
          </cell>
        </row>
        <row r="296">
          <cell r="AN296" t="str">
            <v xml:space="preserve">Consolidated Productivity Factor </v>
          </cell>
          <cell r="EL296" t="str">
            <v xml:space="preserve">Consolidated Productivity Factor </v>
          </cell>
        </row>
        <row r="297">
          <cell r="AN297" t="str">
            <v>Month 1</v>
          </cell>
          <cell r="EL297" t="str">
            <v>Month 1</v>
          </cell>
          <cell r="ER297">
            <v>0.85379589916801657</v>
          </cell>
          <cell r="ES297">
            <v>0.82852877251430668</v>
          </cell>
          <cell r="ET297">
            <v>0.83475030563790842</v>
          </cell>
          <cell r="EU297">
            <v>0.91480422703367681</v>
          </cell>
          <cell r="EX297">
            <v>1.0042251017232908</v>
          </cell>
          <cell r="EY297">
            <v>1.0108075527611304</v>
          </cell>
          <cell r="EZ297">
            <v>1.0032705612197608</v>
          </cell>
          <cell r="FA297">
            <v>0.99617129302855612</v>
          </cell>
          <cell r="FD297">
            <v>1.0047260256693704</v>
          </cell>
          <cell r="FE297">
            <v>1.0011731147187122</v>
          </cell>
          <cell r="FF297">
            <v>1.0015681684828099</v>
          </cell>
          <cell r="FG297">
            <v>0.9980273685296247</v>
          </cell>
          <cell r="FJ297">
            <v>1.0146680194879518</v>
          </cell>
          <cell r="FK297">
            <v>1.0229325701507319</v>
          </cell>
          <cell r="FL297">
            <v>1.0237530410429481</v>
          </cell>
          <cell r="FM297">
            <v>1.0168796021749338</v>
          </cell>
          <cell r="FP297">
            <v>1.0016060228776302</v>
          </cell>
          <cell r="FQ297">
            <v>0.98881215735067063</v>
          </cell>
          <cell r="FR297">
            <v>1.0007452413933455</v>
          </cell>
          <cell r="FS297">
            <v>1.0028115913956974</v>
          </cell>
          <cell r="FV297">
            <v>1.0005096291516782</v>
          </cell>
          <cell r="FW297">
            <v>1.0081721608307339</v>
          </cell>
          <cell r="FX297">
            <v>0.99435769750356207</v>
          </cell>
          <cell r="FY297">
            <v>1.0114048185081832</v>
          </cell>
          <cell r="GB297">
            <v>1.0253009585429893</v>
          </cell>
          <cell r="GC297">
            <v>1.0133052611979987</v>
          </cell>
          <cell r="GD297">
            <v>1.018088666893139</v>
          </cell>
          <cell r="GE297">
            <v>1</v>
          </cell>
        </row>
        <row r="298">
          <cell r="AN298" t="str">
            <v>Month 2</v>
          </cell>
          <cell r="EL298" t="str">
            <v>Month 2</v>
          </cell>
          <cell r="ER298">
            <v>0.87143545576033965</v>
          </cell>
          <cell r="ES298">
            <v>0.86259214604526391</v>
          </cell>
          <cell r="ET298">
            <v>0.95476655228407081</v>
          </cell>
          <cell r="EU298">
            <v>0.95390310394604827</v>
          </cell>
          <cell r="EX298">
            <v>0.99756383077735888</v>
          </cell>
          <cell r="EY298">
            <v>1.0076309712339664</v>
          </cell>
          <cell r="EZ298">
            <v>1.0058439901456568</v>
          </cell>
          <cell r="FA298">
            <v>1.0104925603418453</v>
          </cell>
          <cell r="FD298">
            <v>1.0038919718017412</v>
          </cell>
          <cell r="FE298">
            <v>1.0002262623646179</v>
          </cell>
          <cell r="FF298">
            <v>1.0022779610885877</v>
          </cell>
          <cell r="FG298">
            <v>0.98797059201406712</v>
          </cell>
          <cell r="FJ298">
            <v>1.0172356632303496</v>
          </cell>
          <cell r="FK298">
            <v>1.0266388149144143</v>
          </cell>
          <cell r="FL298">
            <v>1.0185440088098592</v>
          </cell>
          <cell r="FM298">
            <v>1.0150644106268683</v>
          </cell>
          <cell r="FP298">
            <v>0.9967530496300272</v>
          </cell>
          <cell r="FQ298">
            <v>0.99989171377441255</v>
          </cell>
          <cell r="FR298">
            <v>1.0028971230689774</v>
          </cell>
          <cell r="FS298">
            <v>0.9946391314592461</v>
          </cell>
          <cell r="FV298">
            <v>1.0074992903911262</v>
          </cell>
          <cell r="FW298">
            <v>1.0057878604073234</v>
          </cell>
          <cell r="FX298">
            <v>1.0057401642886414</v>
          </cell>
          <cell r="FY298">
            <v>1.0118477756232767</v>
          </cell>
          <cell r="GB298">
            <v>1.0102541230632647</v>
          </cell>
          <cell r="GC298">
            <v>1.011143062170935</v>
          </cell>
          <cell r="GD298">
            <v>1</v>
          </cell>
          <cell r="GE298">
            <v>1</v>
          </cell>
        </row>
        <row r="299">
          <cell r="AN299" t="str">
            <v>Month 3</v>
          </cell>
          <cell r="EL299" t="str">
            <v>Month 3</v>
          </cell>
          <cell r="ER299">
            <v>0.85509041472763314</v>
          </cell>
          <cell r="ES299">
            <v>0.83302342705472399</v>
          </cell>
          <cell r="ET299">
            <v>0.9300581404093593</v>
          </cell>
          <cell r="EU299">
            <v>0.88885616548937241</v>
          </cell>
          <cell r="EX299">
            <v>1.0012993536198342</v>
          </cell>
          <cell r="EY299">
            <v>1.0067406823426219</v>
          </cell>
          <cell r="EZ299">
            <v>1.0010354929971583</v>
          </cell>
          <cell r="FA299">
            <v>0.77697496531497701</v>
          </cell>
          <cell r="FD299">
            <v>0.99998610863561077</v>
          </cell>
          <cell r="FE299">
            <v>1.0000776716315167</v>
          </cell>
          <cell r="FF299">
            <v>1.0026881239876493</v>
          </cell>
          <cell r="FG299">
            <v>1.0034001517037674</v>
          </cell>
          <cell r="FJ299">
            <v>1.017274065207098</v>
          </cell>
          <cell r="FK299">
            <v>1.0307481774152398</v>
          </cell>
          <cell r="FL299">
            <v>1.0154616377110075</v>
          </cell>
          <cell r="FM299">
            <v>1.009307170702717</v>
          </cell>
          <cell r="FP299">
            <v>1.0005893323256754</v>
          </cell>
          <cell r="FQ299">
            <v>1.0111137394005785</v>
          </cell>
          <cell r="FR299">
            <v>1.0254628236300125</v>
          </cell>
          <cell r="FS299">
            <v>1.00775043725629</v>
          </cell>
          <cell r="FV299">
            <v>0.99618702023241001</v>
          </cell>
          <cell r="FW299">
            <v>1.0047825549823146</v>
          </cell>
          <cell r="FX299">
            <v>1.0004489851343907</v>
          </cell>
          <cell r="FY299">
            <v>1.008520012530175</v>
          </cell>
          <cell r="GB299">
            <v>1.0062765433093959</v>
          </cell>
          <cell r="GC299">
            <v>1.0227639737625074</v>
          </cell>
          <cell r="GD299">
            <v>1</v>
          </cell>
          <cell r="GE299">
            <v>1</v>
          </cell>
        </row>
        <row r="300">
          <cell r="AN300" t="str">
            <v>Total</v>
          </cell>
          <cell r="EL300" t="str">
            <v>Total</v>
          </cell>
        </row>
        <row r="302">
          <cell r="AN302" t="str">
            <v>Cost of Goods Sold</v>
          </cell>
          <cell r="EL302" t="str">
            <v>Cost of Goods Sold</v>
          </cell>
          <cell r="ER302">
            <v>3627</v>
          </cell>
          <cell r="ES302">
            <v>3470</v>
          </cell>
          <cell r="ET302">
            <v>3513</v>
          </cell>
          <cell r="EU302">
            <v>5409</v>
          </cell>
          <cell r="EV302">
            <v>16019</v>
          </cell>
          <cell r="EX302">
            <v>3564</v>
          </cell>
          <cell r="EY302">
            <v>3507</v>
          </cell>
          <cell r="EZ302">
            <v>3585</v>
          </cell>
          <cell r="FA302">
            <v>5021</v>
          </cell>
          <cell r="FB302">
            <v>15677</v>
          </cell>
          <cell r="FD302">
            <v>3527</v>
          </cell>
          <cell r="FE302">
            <v>3346</v>
          </cell>
          <cell r="FF302">
            <v>3324</v>
          </cell>
          <cell r="FG302">
            <v>4812</v>
          </cell>
          <cell r="FH302">
            <v>15009</v>
          </cell>
          <cell r="FJ302">
            <v>3279</v>
          </cell>
          <cell r="FK302">
            <v>3117</v>
          </cell>
          <cell r="FL302">
            <v>3241</v>
          </cell>
          <cell r="FM302">
            <v>4641</v>
          </cell>
          <cell r="FN302">
            <v>14278</v>
          </cell>
          <cell r="FP302">
            <v>3378</v>
          </cell>
          <cell r="FQ302">
            <v>3214</v>
          </cell>
          <cell r="FR302">
            <v>3377</v>
          </cell>
          <cell r="FS302">
            <v>4855</v>
          </cell>
          <cell r="FT302">
            <v>14824</v>
          </cell>
          <cell r="FV302">
            <v>3586</v>
          </cell>
          <cell r="FW302">
            <v>3457</v>
          </cell>
          <cell r="FX302">
            <v>3544</v>
          </cell>
          <cell r="FY302">
            <v>5151</v>
          </cell>
          <cell r="FZ302">
            <v>15738</v>
          </cell>
          <cell r="GB302">
            <v>3757</v>
          </cell>
          <cell r="GC302">
            <v>3555</v>
          </cell>
          <cell r="GD302">
            <v>3637.655406064408</v>
          </cell>
          <cell r="GE302">
            <v>5421.68776484106</v>
          </cell>
          <cell r="GF302">
            <v>16371.343170905468</v>
          </cell>
        </row>
        <row r="303">
          <cell r="AN303" t="str">
            <v>% of Sales</v>
          </cell>
          <cell r="EL303" t="str">
            <v>% of Sales</v>
          </cell>
          <cell r="ER303">
            <v>0.61163575042158513</v>
          </cell>
          <cell r="ES303">
            <v>0.57881567973311088</v>
          </cell>
          <cell r="ET303">
            <v>0.59683995922528033</v>
          </cell>
          <cell r="EU303">
            <v>0.59056665574844414</v>
          </cell>
          <cell r="EV303">
            <v>0.59395624768261035</v>
          </cell>
          <cell r="EX303">
            <v>0.60192535044755957</v>
          </cell>
          <cell r="EY303">
            <v>0.59521384928716903</v>
          </cell>
          <cell r="EZ303">
            <v>0.60700982052150354</v>
          </cell>
          <cell r="FA303">
            <v>0.58424482196881544</v>
          </cell>
          <cell r="FB303">
            <v>0.59578915365028695</v>
          </cell>
          <cell r="FD303">
            <v>0.61371150165303634</v>
          </cell>
          <cell r="FE303">
            <v>0.5851696397341728</v>
          </cell>
          <cell r="FF303">
            <v>0.60513380666302563</v>
          </cell>
          <cell r="FG303">
            <v>0.60650365515502902</v>
          </cell>
          <cell r="FH303">
            <v>0.60296480797043228</v>
          </cell>
          <cell r="FJ303">
            <v>0.62008320726172461</v>
          </cell>
          <cell r="FK303">
            <v>0.58978240302743612</v>
          </cell>
          <cell r="FL303">
            <v>0.6018570102135562</v>
          </cell>
          <cell r="FM303">
            <v>0.58406745532343318</v>
          </cell>
          <cell r="FN303">
            <v>0.59730589022757696</v>
          </cell>
          <cell r="FP303">
            <v>0.60602798708288486</v>
          </cell>
          <cell r="FQ303">
            <v>0.58045873216543253</v>
          </cell>
          <cell r="FR303">
            <v>0.60056909123243818</v>
          </cell>
          <cell r="FS303">
            <v>0.58713266416737209</v>
          </cell>
          <cell r="FT303">
            <v>0.59288885333759944</v>
          </cell>
          <cell r="FV303">
            <v>0.60893190694515198</v>
          </cell>
          <cell r="FW303">
            <v>0.58208452601448057</v>
          </cell>
          <cell r="FX303">
            <v>0.60550145224671104</v>
          </cell>
          <cell r="FY303">
            <v>0.59044016506189823</v>
          </cell>
          <cell r="FZ303">
            <v>0.59602348040143915</v>
          </cell>
          <cell r="GB303">
            <v>0.61159042812957842</v>
          </cell>
          <cell r="GC303">
            <v>0.58107224583197126</v>
          </cell>
          <cell r="GD303">
            <v>0.60750145224671104</v>
          </cell>
          <cell r="GE303">
            <v>0.59012736950345424</v>
          </cell>
          <cell r="GF303">
            <v>0.59670562849962006</v>
          </cell>
        </row>
        <row r="304">
          <cell r="AN304" t="str">
            <v>BPS Change</v>
          </cell>
          <cell r="EL304" t="str">
            <v>BPS Change</v>
          </cell>
          <cell r="ER304">
            <v>139.97738886292632</v>
          </cell>
          <cell r="ES304">
            <v>-79.90834205613973</v>
          </cell>
          <cell r="ET304">
            <v>6.2033726308408088</v>
          </cell>
          <cell r="EU304">
            <v>-5.9414249625333593</v>
          </cell>
          <cell r="EV304">
            <v>11.916206169559906</v>
          </cell>
          <cell r="EX304">
            <v>-97.103999740255631</v>
          </cell>
          <cell r="EY304">
            <v>163.98169554058151</v>
          </cell>
          <cell r="EZ304">
            <v>101.69861296223215</v>
          </cell>
          <cell r="FA304">
            <v>-63.218337796286939</v>
          </cell>
          <cell r="FB304">
            <v>18.329059676766015</v>
          </cell>
          <cell r="FD304">
            <v>117.86151205476769</v>
          </cell>
          <cell r="FE304">
            <v>-100.4420955299623</v>
          </cell>
          <cell r="FF304">
            <v>-18.760138584779096</v>
          </cell>
          <cell r="FG304">
            <v>222.58833186213579</v>
          </cell>
          <cell r="FH304">
            <v>71.756543201453297</v>
          </cell>
          <cell r="FJ304">
            <v>63.717056086882721</v>
          </cell>
          <cell r="FK304">
            <v>46.127632932633219</v>
          </cell>
          <cell r="FL304">
            <v>-32.767964494694326</v>
          </cell>
          <cell r="FM304">
            <v>-224.36199831595837</v>
          </cell>
          <cell r="FN304">
            <v>-56.589177428553185</v>
          </cell>
          <cell r="FP304">
            <v>-140.55220178839755</v>
          </cell>
          <cell r="FQ304">
            <v>-93.236708620035856</v>
          </cell>
          <cell r="FR304">
            <v>-12.879189811180192</v>
          </cell>
          <cell r="FS304">
            <v>30.652088439389047</v>
          </cell>
          <cell r="FT304">
            <v>-44.170368899775212</v>
          </cell>
          <cell r="FV304">
            <v>29.039198622671236</v>
          </cell>
          <cell r="FW304">
            <v>16.257938490480406</v>
          </cell>
          <cell r="FX304">
            <v>49.323610142728569</v>
          </cell>
          <cell r="FY304">
            <v>33.075008945261388</v>
          </cell>
          <cell r="FZ304">
            <v>31.346270638397122</v>
          </cell>
          <cell r="GB304">
            <v>26.585211844264435</v>
          </cell>
          <cell r="GC304">
            <v>-10.122801825093175</v>
          </cell>
          <cell r="GD304">
            <v>20.000000000000018</v>
          </cell>
          <cell r="GE304">
            <v>-3.127955584439901</v>
          </cell>
          <cell r="GF304">
            <v>6.8214809818090139</v>
          </cell>
        </row>
        <row r="306">
          <cell r="AN306" t="str">
            <v>Gross Income</v>
          </cell>
          <cell r="EL306" t="str">
            <v>Gross Income</v>
          </cell>
          <cell r="ER306">
            <v>2303</v>
          </cell>
          <cell r="ES306">
            <v>2525</v>
          </cell>
          <cell r="ET306">
            <v>2373</v>
          </cell>
          <cell r="EU306">
            <v>3750</v>
          </cell>
          <cell r="EV306">
            <v>10951</v>
          </cell>
          <cell r="EX306">
            <v>2357</v>
          </cell>
          <cell r="EY306">
            <v>2385</v>
          </cell>
          <cell r="EZ306">
            <v>2321</v>
          </cell>
          <cell r="FA306">
            <v>3573</v>
          </cell>
          <cell r="FB306">
            <v>10636</v>
          </cell>
          <cell r="FD306">
            <v>2220</v>
          </cell>
          <cell r="FE306">
            <v>2372</v>
          </cell>
          <cell r="FF306">
            <v>2169</v>
          </cell>
          <cell r="FG306">
            <v>3122</v>
          </cell>
          <cell r="FH306">
            <v>9883</v>
          </cell>
          <cell r="FJ306">
            <v>2009</v>
          </cell>
          <cell r="FK306">
            <v>2168</v>
          </cell>
          <cell r="FL306">
            <v>2144</v>
          </cell>
          <cell r="FM306">
            <v>3296</v>
          </cell>
          <cell r="FN306">
            <v>9617</v>
          </cell>
          <cell r="FP306">
            <v>2196</v>
          </cell>
          <cell r="FQ306">
            <v>2323</v>
          </cell>
          <cell r="FR306">
            <v>2246</v>
          </cell>
          <cell r="FS306">
            <v>3414</v>
          </cell>
          <cell r="FT306">
            <v>10179</v>
          </cell>
          <cell r="FV306">
            <v>2303</v>
          </cell>
          <cell r="FW306">
            <v>2482</v>
          </cell>
          <cell r="FX306">
            <v>2309</v>
          </cell>
          <cell r="FY306">
            <v>3573</v>
          </cell>
          <cell r="FZ306">
            <v>10667</v>
          </cell>
          <cell r="GB306">
            <v>2386</v>
          </cell>
          <cell r="GC306">
            <v>2563</v>
          </cell>
          <cell r="GD306">
            <v>2350.2404131329554</v>
          </cell>
          <cell r="GE306">
            <v>3765.6301685789467</v>
          </cell>
          <cell r="GF306">
            <v>11064.870581711901</v>
          </cell>
        </row>
        <row r="307">
          <cell r="AN307" t="str">
            <v>Gross Margin</v>
          </cell>
          <cell r="EL307" t="str">
            <v>Gross Margin</v>
          </cell>
          <cell r="ER307">
            <v>0.38836424957841487</v>
          </cell>
          <cell r="ES307">
            <v>0.42118432026688907</v>
          </cell>
          <cell r="ET307">
            <v>0.40316004077471967</v>
          </cell>
          <cell r="EU307">
            <v>0.40943334425155586</v>
          </cell>
          <cell r="EV307">
            <v>0.40604375231738971</v>
          </cell>
          <cell r="EX307">
            <v>0.39807464955244048</v>
          </cell>
          <cell r="EY307">
            <v>0.40478615071283097</v>
          </cell>
          <cell r="EZ307">
            <v>0.39299017947849646</v>
          </cell>
          <cell r="FA307">
            <v>0.41575517803118456</v>
          </cell>
          <cell r="FB307">
            <v>0.40421084634971305</v>
          </cell>
          <cell r="FD307">
            <v>0.38628849834696366</v>
          </cell>
          <cell r="FE307">
            <v>0.4148303602658272</v>
          </cell>
          <cell r="FF307">
            <v>0.39486619333697431</v>
          </cell>
          <cell r="FG307">
            <v>0.39349634484497104</v>
          </cell>
          <cell r="FH307">
            <v>0.39703519202956772</v>
          </cell>
          <cell r="FJ307">
            <v>0.37991679273827533</v>
          </cell>
          <cell r="FK307">
            <v>0.41021759697256388</v>
          </cell>
          <cell r="FL307">
            <v>0.3981429897864438</v>
          </cell>
          <cell r="FM307">
            <v>0.41479989932041278</v>
          </cell>
          <cell r="FN307">
            <v>0.40231760374832665</v>
          </cell>
          <cell r="FP307">
            <v>0.3939720129171152</v>
          </cell>
          <cell r="FQ307">
            <v>0.41954126783456747</v>
          </cell>
          <cell r="FR307">
            <v>0.39943090876756182</v>
          </cell>
          <cell r="FS307">
            <v>0.41286733583262791</v>
          </cell>
          <cell r="FT307">
            <v>0.4071111466624005</v>
          </cell>
          <cell r="FV307">
            <v>0.39106809305484802</v>
          </cell>
          <cell r="FW307">
            <v>0.41791547398551943</v>
          </cell>
          <cell r="FX307">
            <v>0.39449854775328891</v>
          </cell>
          <cell r="FY307">
            <v>0.40955983493810177</v>
          </cell>
          <cell r="FZ307">
            <v>0.4039765195985609</v>
          </cell>
          <cell r="GB307">
            <v>0.38840957187042163</v>
          </cell>
          <cell r="GC307">
            <v>0.41892775416802874</v>
          </cell>
          <cell r="GD307">
            <v>0.39249854775328891</v>
          </cell>
          <cell r="GE307">
            <v>0.40987263049654576</v>
          </cell>
          <cell r="GF307">
            <v>0.40329437150037983</v>
          </cell>
        </row>
        <row r="308">
          <cell r="AN308" t="str">
            <v>BPS Change</v>
          </cell>
          <cell r="EL308" t="str">
            <v>BPS Change</v>
          </cell>
          <cell r="ER308">
            <v>-139.97738886292632</v>
          </cell>
          <cell r="ES308">
            <v>79.908342056138622</v>
          </cell>
          <cell r="ET308">
            <v>-6.2033726308408088</v>
          </cell>
          <cell r="EU308">
            <v>5.9414249625339144</v>
          </cell>
          <cell r="EV308">
            <v>-11.916206169559906</v>
          </cell>
          <cell r="EX308">
            <v>97.103999740256185</v>
          </cell>
          <cell r="EY308">
            <v>-163.98169554058094</v>
          </cell>
          <cell r="EZ308">
            <v>-101.69861296223215</v>
          </cell>
          <cell r="FA308">
            <v>63.218337796286939</v>
          </cell>
          <cell r="FB308">
            <v>-18.329059676766569</v>
          </cell>
          <cell r="FD308">
            <v>-117.86151205476824</v>
          </cell>
          <cell r="FE308">
            <v>100.4420955299623</v>
          </cell>
          <cell r="FF308">
            <v>18.760138584778542</v>
          </cell>
          <cell r="FG308">
            <v>-222.58833186213522</v>
          </cell>
          <cell r="FH308">
            <v>-71.756543201453297</v>
          </cell>
          <cell r="FJ308">
            <v>-63.717056086883275</v>
          </cell>
          <cell r="FK308">
            <v>-46.127632932633219</v>
          </cell>
          <cell r="FL308">
            <v>32.76796449469488</v>
          </cell>
          <cell r="FM308">
            <v>213.03554475441743</v>
          </cell>
          <cell r="FN308">
            <v>52.82411718758928</v>
          </cell>
          <cell r="FP308">
            <v>140.55220178839866</v>
          </cell>
          <cell r="FQ308">
            <v>93.236708620035856</v>
          </cell>
          <cell r="FR308">
            <v>12.879189811180192</v>
          </cell>
          <cell r="FS308">
            <v>-19.325634877848664</v>
          </cell>
          <cell r="FT308">
            <v>47.935429140738563</v>
          </cell>
          <cell r="FV308">
            <v>-29.03919862267179</v>
          </cell>
          <cell r="FW308">
            <v>-16.257938490480406</v>
          </cell>
          <cell r="FX308">
            <v>-49.323610142729123</v>
          </cell>
          <cell r="FY308">
            <v>-33.075008945261388</v>
          </cell>
          <cell r="FZ308">
            <v>-31.346270638396014</v>
          </cell>
          <cell r="GB308">
            <v>-26.585211844263878</v>
          </cell>
          <cell r="GC308">
            <v>10.122801825093175</v>
          </cell>
          <cell r="GD308">
            <v>-20</v>
          </cell>
          <cell r="GE308">
            <v>3.1279555844399312</v>
          </cell>
          <cell r="GF308">
            <v>-6.8214809818106792</v>
          </cell>
        </row>
        <row r="310">
          <cell r="AN310" t="str">
            <v>Total SG&amp;A</v>
          </cell>
          <cell r="EL310" t="str">
            <v>Total SG&amp;A</v>
          </cell>
          <cell r="ER310">
            <v>2154</v>
          </cell>
          <cell r="ES310">
            <v>2117</v>
          </cell>
          <cell r="ET310">
            <v>2094</v>
          </cell>
          <cell r="EU310">
            <v>2313</v>
          </cell>
          <cell r="EV310">
            <v>8678</v>
          </cell>
          <cell r="EX310">
            <v>2113</v>
          </cell>
          <cell r="EY310">
            <v>2038</v>
          </cell>
          <cell r="EZ310">
            <v>2121</v>
          </cell>
          <cell r="FA310">
            <v>2282</v>
          </cell>
          <cell r="FB310">
            <v>8554</v>
          </cell>
          <cell r="FD310">
            <v>2080</v>
          </cell>
          <cell r="FE310">
            <v>2037</v>
          </cell>
          <cell r="FF310">
            <v>2085</v>
          </cell>
          <cell r="FG310">
            <v>2256</v>
          </cell>
          <cell r="FH310">
            <v>8458</v>
          </cell>
          <cell r="FJ310">
            <v>1985</v>
          </cell>
          <cell r="FK310">
            <v>1886</v>
          </cell>
          <cell r="FL310">
            <v>2056</v>
          </cell>
          <cell r="FM310">
            <v>2236</v>
          </cell>
          <cell r="FN310">
            <v>8163</v>
          </cell>
          <cell r="FP310">
            <v>1993</v>
          </cell>
          <cell r="FQ310">
            <v>1953</v>
          </cell>
          <cell r="FR310">
            <v>2069</v>
          </cell>
          <cell r="FS310">
            <v>2245</v>
          </cell>
          <cell r="FT310">
            <v>8260</v>
          </cell>
          <cell r="FV310">
            <v>1973</v>
          </cell>
          <cell r="FW310">
            <v>1976</v>
          </cell>
          <cell r="FX310">
            <v>2018</v>
          </cell>
          <cell r="FY310">
            <v>2314</v>
          </cell>
          <cell r="FZ310">
            <v>8281</v>
          </cell>
          <cell r="GB310">
            <v>1995</v>
          </cell>
          <cell r="GC310">
            <v>2009</v>
          </cell>
          <cell r="GD310">
            <v>2108.3871000833064</v>
          </cell>
          <cell r="GE310">
            <v>2403.7660222156705</v>
          </cell>
          <cell r="GF310">
            <v>8516.1531222989761</v>
          </cell>
        </row>
        <row r="311">
          <cell r="AN311" t="str">
            <v>SG&amp;A Ratio</v>
          </cell>
          <cell r="EL311" t="str">
            <v>SG&amp;A Ratio</v>
          </cell>
          <cell r="ER311">
            <v>0.36323777403035412</v>
          </cell>
          <cell r="ES311">
            <v>0.35312760633861551</v>
          </cell>
          <cell r="ET311">
            <v>0.35575942915392456</v>
          </cell>
          <cell r="EU311">
            <v>0.25253848673435964</v>
          </cell>
          <cell r="EV311">
            <v>0.32176492398961809</v>
          </cell>
          <cell r="EX311">
            <v>0.35686539435906095</v>
          </cell>
          <cell r="EY311">
            <v>0.34589273591310249</v>
          </cell>
          <cell r="EZ311">
            <v>0.35912631222485608</v>
          </cell>
          <cell r="FA311">
            <v>0.2655340935536421</v>
          </cell>
          <cell r="FB311">
            <v>0.32508645916467144</v>
          </cell>
          <cell r="FD311">
            <v>0.36192796241517311</v>
          </cell>
          <cell r="FE311">
            <v>0.35624344176285416</v>
          </cell>
          <cell r="FF311">
            <v>0.37957400327689789</v>
          </cell>
          <cell r="FG311">
            <v>0.28434585328963952</v>
          </cell>
          <cell r="FH311">
            <v>0.33978788365739998</v>
          </cell>
          <cell r="FJ311">
            <v>0.37537821482602118</v>
          </cell>
          <cell r="FK311">
            <v>0.35685903500473037</v>
          </cell>
          <cell r="FL311">
            <v>0.38180129990714951</v>
          </cell>
          <cell r="FM311">
            <v>0.28139944626227031</v>
          </cell>
          <cell r="FN311">
            <v>0.34149096385542171</v>
          </cell>
          <cell r="FP311">
            <v>0.35755292429135271</v>
          </cell>
          <cell r="FQ311">
            <v>0.3527180783817952</v>
          </cell>
          <cell r="FR311">
            <v>0.36795304997332384</v>
          </cell>
          <cell r="FS311">
            <v>0.27149594872415045</v>
          </cell>
          <cell r="FT311">
            <v>0.33036035675718911</v>
          </cell>
          <cell r="FV311">
            <v>0.33503141450161317</v>
          </cell>
          <cell r="FW311">
            <v>0.33271594544536115</v>
          </cell>
          <cell r="FX311">
            <v>0.34478045446779432</v>
          </cell>
          <cell r="FY311">
            <v>0.26524530032095367</v>
          </cell>
          <cell r="FZ311">
            <v>0.31361484567316794</v>
          </cell>
          <cell r="GB311">
            <v>0.32475988930489991</v>
          </cell>
          <cell r="GC311">
            <v>0.32837528604118993</v>
          </cell>
          <cell r="GD311">
            <v>0.35210818019307516</v>
          </cell>
          <cell r="GE311">
            <v>0.26163958182743124</v>
          </cell>
          <cell r="GF311">
            <v>0.31039826410036436</v>
          </cell>
        </row>
        <row r="312">
          <cell r="AN312" t="str">
            <v>BPS Change</v>
          </cell>
          <cell r="EL312" t="str">
            <v>BPS Change</v>
          </cell>
          <cell r="ER312">
            <v>300.87540578005888</v>
          </cell>
          <cell r="ES312">
            <v>202.54296926526084</v>
          </cell>
          <cell r="ET312">
            <v>5.8391160216936244</v>
          </cell>
          <cell r="EU312">
            <v>-178.61680437304796</v>
          </cell>
          <cell r="EV312">
            <v>100.18608670279094</v>
          </cell>
          <cell r="EX312">
            <v>-63.723796712931716</v>
          </cell>
          <cell r="EY312">
            <v>-72.348704255130187</v>
          </cell>
          <cell r="EZ312">
            <v>33.668830709315259</v>
          </cell>
          <cell r="FA312">
            <v>129.95606819282469</v>
          </cell>
          <cell r="FB312">
            <v>33.215351750533472</v>
          </cell>
          <cell r="FD312">
            <v>50.625680561121598</v>
          </cell>
          <cell r="FE312">
            <v>103.50705849751674</v>
          </cell>
          <cell r="FF312">
            <v>204.47691052041804</v>
          </cell>
          <cell r="FG312">
            <v>188.11759735997413</v>
          </cell>
          <cell r="FH312">
            <v>147.01424492728543</v>
          </cell>
          <cell r="FJ312">
            <v>134.50252410848074</v>
          </cell>
          <cell r="FK312">
            <v>6.1559324187621112</v>
          </cell>
          <cell r="FL312">
            <v>22.272966302516185</v>
          </cell>
          <cell r="FM312">
            <v>-29.464070273692023</v>
          </cell>
          <cell r="FN312">
            <v>17.030801980217337</v>
          </cell>
          <cell r="FP312">
            <v>-178.25290534668468</v>
          </cell>
          <cell r="FQ312">
            <v>-41.409566229351768</v>
          </cell>
          <cell r="FR312">
            <v>-138.48249933825662</v>
          </cell>
          <cell r="FS312">
            <v>-99.034975381198649</v>
          </cell>
          <cell r="FT312">
            <v>-111.30607098232603</v>
          </cell>
          <cell r="FV312">
            <v>-225.21509789739548</v>
          </cell>
          <cell r="FW312">
            <v>-200.02132936434046</v>
          </cell>
          <cell r="FX312">
            <v>-231.72595505529526</v>
          </cell>
          <cell r="FY312">
            <v>-62.506484031967787</v>
          </cell>
          <cell r="FZ312">
            <v>-167.45511084021169</v>
          </cell>
          <cell r="GB312">
            <v>-102.7152519671326</v>
          </cell>
          <cell r="GC312">
            <v>-43.406594041712211</v>
          </cell>
          <cell r="GD312">
            <v>73.277257252808397</v>
          </cell>
          <cell r="GE312">
            <v>-36.057184935224271</v>
          </cell>
          <cell r="GF312">
            <v>-32.165815728035781</v>
          </cell>
        </row>
        <row r="314">
          <cell r="AN314" t="str">
            <v>Operating Income</v>
          </cell>
          <cell r="EL314" t="str">
            <v>Operating Income</v>
          </cell>
          <cell r="ER314">
            <v>149</v>
          </cell>
          <cell r="ES314">
            <v>408</v>
          </cell>
          <cell r="ET314">
            <v>279</v>
          </cell>
          <cell r="EU314">
            <v>1437</v>
          </cell>
          <cell r="EV314">
            <v>2273</v>
          </cell>
          <cell r="EX314">
            <v>244</v>
          </cell>
          <cell r="EY314">
            <v>347</v>
          </cell>
          <cell r="EZ314">
            <v>200</v>
          </cell>
          <cell r="FA314">
            <v>1291</v>
          </cell>
          <cell r="FB314">
            <v>2082</v>
          </cell>
          <cell r="FD314">
            <v>140</v>
          </cell>
          <cell r="FE314">
            <v>335</v>
          </cell>
          <cell r="FF314">
            <v>84</v>
          </cell>
          <cell r="FG314">
            <v>866</v>
          </cell>
          <cell r="FH314">
            <v>1425</v>
          </cell>
          <cell r="FJ314">
            <v>24</v>
          </cell>
          <cell r="FK314">
            <v>282</v>
          </cell>
          <cell r="FL314">
            <v>88</v>
          </cell>
          <cell r="FM314">
            <v>1060</v>
          </cell>
          <cell r="FN314">
            <v>1454</v>
          </cell>
          <cell r="FP314">
            <v>203</v>
          </cell>
          <cell r="FQ314">
            <v>370</v>
          </cell>
          <cell r="FR314">
            <v>177</v>
          </cell>
          <cell r="FS314">
            <v>1169</v>
          </cell>
          <cell r="FT314">
            <v>1919</v>
          </cell>
          <cell r="FV314">
            <v>330</v>
          </cell>
          <cell r="FW314">
            <v>506</v>
          </cell>
          <cell r="FX314">
            <v>291</v>
          </cell>
          <cell r="FY314">
            <v>1259</v>
          </cell>
          <cell r="FZ314">
            <v>2386</v>
          </cell>
          <cell r="GB314">
            <v>391</v>
          </cell>
          <cell r="GC314">
            <v>554</v>
          </cell>
          <cell r="GD314">
            <v>241.85331304964893</v>
          </cell>
          <cell r="GE314">
            <v>1361.8641463632762</v>
          </cell>
          <cell r="GF314">
            <v>2548.7174594129251</v>
          </cell>
        </row>
        <row r="315">
          <cell r="AN315" t="str">
            <v>Operating Margin</v>
          </cell>
          <cell r="EL315" t="str">
            <v>Operating Margin</v>
          </cell>
          <cell r="ER315">
            <v>2.5126475548060707E-2</v>
          </cell>
          <cell r="ES315">
            <v>6.805671392827356E-2</v>
          </cell>
          <cell r="ET315">
            <v>4.7400611620795105E-2</v>
          </cell>
          <cell r="EU315">
            <v>0.1568948575171962</v>
          </cell>
          <cell r="EV315">
            <v>8.4278828327771602E-2</v>
          </cell>
          <cell r="EX315">
            <v>4.12092551933795E-2</v>
          </cell>
          <cell r="EY315">
            <v>5.8893414799728448E-2</v>
          </cell>
          <cell r="EZ315">
            <v>3.3863867253640365E-2</v>
          </cell>
          <cell r="FA315">
            <v>0.15022108447754248</v>
          </cell>
          <cell r="FB315">
            <v>7.9124387185041611E-2</v>
          </cell>
          <cell r="FD315">
            <v>2.4360535931790498E-2</v>
          </cell>
          <cell r="FE315">
            <v>5.8586918502973068E-2</v>
          </cell>
          <cell r="FF315">
            <v>1.5292190060076462E-2</v>
          </cell>
          <cell r="FG315">
            <v>0.10915049155533149</v>
          </cell>
          <cell r="FH315">
            <v>5.7247308372167766E-2</v>
          </cell>
          <cell r="FJ315">
            <v>4.5385779122541605E-3</v>
          </cell>
          <cell r="FK315">
            <v>5.3358561967833493E-2</v>
          </cell>
          <cell r="FL315">
            <v>1.6341689879294335E-2</v>
          </cell>
          <cell r="FM315">
            <v>0.13340045305814247</v>
          </cell>
          <cell r="FN315">
            <v>6.0826639892904953E-2</v>
          </cell>
          <cell r="FP315">
            <v>3.6419088625762472E-2</v>
          </cell>
          <cell r="FQ315">
            <v>6.6823189452772255E-2</v>
          </cell>
          <cell r="FR315">
            <v>3.1477858794237951E-2</v>
          </cell>
          <cell r="FS315">
            <v>0.14137138710847744</v>
          </cell>
          <cell r="FT315">
            <v>7.6750789905211378E-2</v>
          </cell>
          <cell r="FV315">
            <v>5.6036678553234846E-2</v>
          </cell>
          <cell r="FW315">
            <v>8.5199528540158276E-2</v>
          </cell>
          <cell r="FX315">
            <v>4.9718093285494619E-2</v>
          </cell>
          <cell r="FY315">
            <v>0.1443145346171481</v>
          </cell>
          <cell r="FZ315">
            <v>9.0361673925392919E-2</v>
          </cell>
          <cell r="GB315">
            <v>6.3649682565521726E-2</v>
          </cell>
          <cell r="GC315">
            <v>9.0552468126838842E-2</v>
          </cell>
          <cell r="GD315">
            <v>4.0390367560213782E-2</v>
          </cell>
          <cell r="GE315">
            <v>0.14823304866911449</v>
          </cell>
          <cell r="GF315">
            <v>9.2896107400015485E-2</v>
          </cell>
        </row>
        <row r="316">
          <cell r="AN316" t="str">
            <v>BPS Change</v>
          </cell>
          <cell r="EL316" t="str">
            <v>BPS Change</v>
          </cell>
          <cell r="ER316">
            <v>-440.85279464298537</v>
          </cell>
          <cell r="ES316">
            <v>-122.63462720912194</v>
          </cell>
          <cell r="ET316">
            <v>-12.042488652534988</v>
          </cell>
          <cell r="EU316">
            <v>184.5582293355813</v>
          </cell>
          <cell r="EV316">
            <v>-112.10229287235099</v>
          </cell>
          <cell r="EX316">
            <v>160.82779645318794</v>
          </cell>
          <cell r="EY316">
            <v>-91.632991285451112</v>
          </cell>
          <cell r="EZ316">
            <v>-135.36744367154739</v>
          </cell>
          <cell r="FA316">
            <v>-66.737730396537188</v>
          </cell>
          <cell r="FB316">
            <v>-51.544411427299899</v>
          </cell>
          <cell r="FD316">
            <v>-168.48719261589002</v>
          </cell>
          <cell r="FE316">
            <v>-3.0649629675538055</v>
          </cell>
          <cell r="FF316">
            <v>-185.71677193563903</v>
          </cell>
          <cell r="FG316">
            <v>-410.70592922210989</v>
          </cell>
          <cell r="FJ316">
            <v>-198.21958019536339</v>
          </cell>
          <cell r="FK316">
            <v>-52.283565351395751</v>
          </cell>
          <cell r="FL316">
            <v>10.494998192178731</v>
          </cell>
          <cell r="FM316">
            <v>242.49961502810973</v>
          </cell>
          <cell r="FP316">
            <v>318.80510713508306</v>
          </cell>
          <cell r="FQ316">
            <v>134.64627484938762</v>
          </cell>
          <cell r="FR316">
            <v>151.36168914943616</v>
          </cell>
          <cell r="FS316">
            <v>78.196673151046397</v>
          </cell>
          <cell r="FV316">
            <v>196.17589927472375</v>
          </cell>
          <cell r="FW316">
            <v>183.7633908738602</v>
          </cell>
          <cell r="FX316">
            <v>182.40234491256669</v>
          </cell>
          <cell r="FY316">
            <v>29.431475086706683</v>
          </cell>
          <cell r="GB316">
            <v>76.130040122868792</v>
          </cell>
          <cell r="GC316">
            <v>53.529395866805665</v>
          </cell>
          <cell r="GD316">
            <v>-93.277257252808369</v>
          </cell>
          <cell r="GE316">
            <v>39.185140519663875</v>
          </cell>
        </row>
        <row r="318">
          <cell r="AN318" t="str">
            <v>Assumptions Spreads</v>
          </cell>
        </row>
        <row r="319">
          <cell r="AN319" t="str">
            <v>Bull Case Assumptions</v>
          </cell>
        </row>
        <row r="320">
          <cell r="AN320" t="str">
            <v>Monthly Comps</v>
          </cell>
        </row>
        <row r="321">
          <cell r="AN321" t="str">
            <v>Month 1</v>
          </cell>
          <cell r="GE321">
            <v>0.02</v>
          </cell>
        </row>
        <row r="322">
          <cell r="AN322" t="str">
            <v>Month 2</v>
          </cell>
          <cell r="GD322">
            <v>0.02</v>
          </cell>
          <cell r="GE322">
            <v>0.02</v>
          </cell>
        </row>
        <row r="323">
          <cell r="AN323" t="str">
            <v>Month 3</v>
          </cell>
          <cell r="GD323">
            <v>0.02</v>
          </cell>
          <cell r="GE323">
            <v>0.02</v>
          </cell>
        </row>
        <row r="324">
          <cell r="AN324" t="str">
            <v xml:space="preserve">  Total</v>
          </cell>
        </row>
        <row r="325">
          <cell r="AN325" t="str">
            <v>Y/Y ∆ Gross Margin (bps)</v>
          </cell>
          <cell r="GD325">
            <v>35</v>
          </cell>
          <cell r="GE325">
            <v>35</v>
          </cell>
        </row>
        <row r="326">
          <cell r="AN326" t="str">
            <v>Y/Y ∆ SG&amp;A Ratio (bps)</v>
          </cell>
          <cell r="GD326">
            <v>-24</v>
          </cell>
          <cell r="GE326">
            <v>-24</v>
          </cell>
        </row>
        <row r="328">
          <cell r="AN328" t="str">
            <v>Bear Case Assumptions</v>
          </cell>
        </row>
        <row r="329">
          <cell r="AN329" t="str">
            <v>Monthly Comps</v>
          </cell>
        </row>
        <row r="330">
          <cell r="AN330" t="str">
            <v>Month 1</v>
          </cell>
          <cell r="GE330">
            <v>-0.02</v>
          </cell>
        </row>
        <row r="331">
          <cell r="AN331" t="str">
            <v>Month 2</v>
          </cell>
          <cell r="GD331">
            <v>-0.02</v>
          </cell>
          <cell r="GE331">
            <v>-0.02</v>
          </cell>
        </row>
        <row r="332">
          <cell r="AN332" t="str">
            <v>Month 3</v>
          </cell>
          <cell r="GD332">
            <v>-0.02</v>
          </cell>
          <cell r="GE332">
            <v>-0.02</v>
          </cell>
        </row>
        <row r="333">
          <cell r="AN333" t="str">
            <v xml:space="preserve">  Total</v>
          </cell>
        </row>
        <row r="334">
          <cell r="AN334" t="str">
            <v>Y/Y ∆ Gross Margin (bps)</v>
          </cell>
          <cell r="GD334">
            <v>-35</v>
          </cell>
          <cell r="GE334">
            <v>-35</v>
          </cell>
        </row>
        <row r="335">
          <cell r="AN335" t="str">
            <v>Y/Y ∆ SG&amp;A Ratio (bps)</v>
          </cell>
          <cell r="GD335">
            <v>25</v>
          </cell>
          <cell r="GE335">
            <v>25</v>
          </cell>
        </row>
        <row r="338">
          <cell r="AN338" t="str">
            <v>Pension Expense (Benefit)</v>
          </cell>
          <cell r="EX338">
            <v>35</v>
          </cell>
          <cell r="EY338">
            <v>40</v>
          </cell>
          <cell r="EZ338">
            <v>39</v>
          </cell>
          <cell r="FA338">
            <v>39</v>
          </cell>
          <cell r="FB338">
            <v>153</v>
          </cell>
          <cell r="FD338">
            <v>38</v>
          </cell>
          <cell r="FE338">
            <v>37</v>
          </cell>
          <cell r="FF338">
            <v>38</v>
          </cell>
          <cell r="FG338">
            <v>17</v>
          </cell>
          <cell r="FH338">
            <v>130</v>
          </cell>
          <cell r="FJ338">
            <v>34</v>
          </cell>
          <cell r="FK338">
            <v>35</v>
          </cell>
          <cell r="FL338">
            <v>35</v>
          </cell>
          <cell r="FM338">
            <v>35</v>
          </cell>
          <cell r="FN338">
            <v>139</v>
          </cell>
          <cell r="FP338">
            <v>34.75</v>
          </cell>
          <cell r="FQ338">
            <v>34.75</v>
          </cell>
          <cell r="FR338">
            <v>34.75</v>
          </cell>
          <cell r="FS338">
            <v>34.75</v>
          </cell>
          <cell r="FT338">
            <v>139</v>
          </cell>
          <cell r="FV338">
            <v>34.75</v>
          </cell>
          <cell r="FW338">
            <v>38</v>
          </cell>
          <cell r="FX338">
            <v>38</v>
          </cell>
          <cell r="FY338">
            <v>39</v>
          </cell>
          <cell r="FZ338">
            <v>149.75</v>
          </cell>
          <cell r="GB338">
            <v>50.75</v>
          </cell>
          <cell r="GC338">
            <v>57</v>
          </cell>
          <cell r="GD338">
            <v>56</v>
          </cell>
          <cell r="GE338">
            <v>57</v>
          </cell>
          <cell r="GF338">
            <v>220.75</v>
          </cell>
        </row>
        <row r="339">
          <cell r="GB339">
            <v>16</v>
          </cell>
          <cell r="GC339">
            <v>19</v>
          </cell>
          <cell r="GD339">
            <v>18</v>
          </cell>
          <cell r="GE339">
            <v>18</v>
          </cell>
          <cell r="GF339">
            <v>71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riance-4Q12A"/>
      <sheetName val="bal"/>
      <sheetName val="flow"/>
      <sheetName val="qtrP&amp;L"/>
      <sheetName val="Flow-through"/>
      <sheetName val="mthSales-Total"/>
      <sheetName val="sumry"/>
      <sheetName val="FY13 Guidance"/>
      <sheetName val="BBB"/>
      <sheetName val="yrP&amp;L"/>
      <sheetName val="qtrSales"/>
      <sheetName val="qtrSales-seg"/>
      <sheetName val="stores"/>
      <sheetName val="qtlycomp"/>
      <sheetName val="yrSales"/>
      <sheetName val="qtrP&amp;L-seg"/>
      <sheetName val="JWN ROIC"/>
      <sheetName val="turn"/>
      <sheetName val="wc"/>
      <sheetName val="Debt"/>
      <sheetName val="Earnings"/>
      <sheetName val="E-comm chart"/>
      <sheetName val="MWA RR"/>
      <sheetName val="dtc"/>
      <sheetName val="LEASES NEW"/>
      <sheetName val="mwareDates"/>
      <sheetName val="mwareSettings"/>
      <sheetName val="MW-Cach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B2" t="str">
            <v>2001-Q1</v>
          </cell>
        </row>
      </sheetData>
      <sheetData sheetId="26"/>
      <sheetData sheetId="27"/>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heet1"/>
      <sheetName val="Scenario"/>
      <sheetName val="ImportantDisclosures"/>
      <sheetName val="IndexInformation"/>
      <sheetName val="Income"/>
      <sheetName val="GWP"/>
      <sheetName val="Euro vs. PM"/>
      <sheetName val="Ruble"/>
      <sheetName val="Income Statement"/>
      <sheetName val="Margins"/>
      <sheetName val="MS_IRI_Methodology"/>
      <sheetName val="MARKET_SHARE ($)_RAW_DATA"/>
      <sheetName val="NEXXUS_RAW_DATA"/>
      <sheetName val="HAIR_CARE_MARKET SHARE ROLL-UP"/>
      <sheetName val="TOTAL_ACV_DOLLAR_SALES"/>
      <sheetName val="Comps"/>
      <sheetName val="Switches"/>
      <sheetName val="SSB Nielsen Sales"/>
      <sheetName val="TimeSeries"/>
      <sheetName val="Valuation Analyzer"/>
      <sheetName val="EBITDA"/>
      <sheetName val="GWP-WLine"/>
      <sheetName val="TS_Stnd_Dev_Band"/>
      <sheetName val="Print "/>
      <sheetName val="Lookup"/>
      <sheetName val="Input"/>
      <sheetName val="99 cons YTD"/>
      <sheetName val="KPN"/>
      <sheetName val="summary"/>
      <sheetName val="B"/>
      <sheetName val="Ratios"/>
      <sheetName val="C"/>
      <sheetName val="Realizations vs Average"/>
      <sheetName val="Oil Consumption – barrels"/>
      <sheetName val="rev change analysis"/>
      <sheetName val="O100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ing"/>
      <sheetName val="Insurance"/>
      <sheetName val="Banks"/>
      <sheetName val="Oils"/>
      <sheetName val="General Europe"/>
      <sheetName val="General UK"/>
      <sheetName val="Latest_Chart"/>
      <sheetName val="Add4Sheet"/>
      <sheetName val="Module2"/>
      <sheetName val="Module1"/>
      <sheetName val="LINKTAB"/>
      <sheetName val="Model"/>
      <sheetName val="Market_Share"/>
      <sheetName val="Assumptions"/>
      <sheetName val="P"/>
      <sheetName val="Summary"/>
      <sheetName val="Consol_Income"/>
      <sheetName val="Rate Case"/>
      <sheetName val="Balance Sheet"/>
      <sheetName val="Sheet9"/>
      <sheetName val="Leases"/>
      <sheetName val="Graph"/>
      <sheetName val="Income"/>
      <sheetName val="Financial Summary"/>
      <sheetName val="Cash flow"/>
      <sheetName val="Profit &amp; Loss"/>
      <sheetName val="Inputs, sensitivity &amp; val"/>
      <sheetName val="Exclusion List"/>
      <sheetName val="CFOld"/>
      <sheetName val="PLOld"/>
      <sheetName val="Headline"/>
      <sheetName val="MTT old"/>
      <sheetName val="BizJet Deliveries"/>
      <sheetName val="DOMNETREV1002B"/>
      <sheetName val="c1"/>
      <sheetName val="Monthly figures"/>
      <sheetName val="Consolidated"/>
      <sheetName val="CENMODEL"/>
      <sheetName val="Customize Your Statement"/>
      <sheetName val="Sainsbury"/>
      <sheetName val="KQ"/>
    </sheetNames>
    <definedNames>
      <definedName name="Download_series"/>
      <definedName name="Update_This"/>
    </definedNames>
    <sheetDataSet>
      <sheetData sheetId="0"/>
      <sheetData sheetId="1"/>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3.vml" Type="http://schemas.openxmlformats.org/officeDocument/2006/relationships/vmlDrawing"/>
<Relationship Id="rId3" Target="../comments3.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10.xml.rels><?xml version="1.0" encoding="UTF-8" standalone="yes"?>
<Relationships xmlns="http://schemas.openxmlformats.org/package/2006/relationships">
<Relationship Id="rId1" Target="../printerSettings/printerSettings10.bin" Type="http://schemas.openxmlformats.org/officeDocument/2006/relationships/printerSettings"/>
<Relationship Id="rId2" Target="../drawings/vmlDrawing6.vml" Type="http://schemas.openxmlformats.org/officeDocument/2006/relationships/vmlDrawing"/>
<Relationship Id="rId3" Target="../comments6.xml" Type="http://schemas.openxmlformats.org/officeDocument/2006/relationships/comments"/>
</Relationships>

</file>

<file path=xl/worksheets/_rels/sheet11.xml.rels><?xml version="1.0" encoding="UTF-8" standalone="yes"?>
<Relationships xmlns="http://schemas.openxmlformats.org/package/2006/relationships">
<Relationship Id="rId1" Target="../printerSettings/printerSettings11.bin" Type="http://schemas.openxmlformats.org/officeDocument/2006/relationships/printerSettings"/>
<Relationship Id="rId2" Target="../drawings/vmlDrawing7.vml" Type="http://schemas.openxmlformats.org/officeDocument/2006/relationships/vmlDrawing"/>
<Relationship Id="rId3" Target="../comments7.xml" Type="http://schemas.openxmlformats.org/officeDocument/2006/relationships/comments"/>
</Relationships>

</file>

<file path=xl/worksheets/_rels/sheet12.xml.rels><?xml version="1.0" encoding="UTF-8" standalone="yes"?>
<Relationships xmlns="http://schemas.openxmlformats.org/package/2006/relationships">
<Relationship Id="rId1" Target="../printerSettings/printerSettings12.bin" Type="http://schemas.openxmlformats.org/officeDocument/2006/relationships/printerSettings"/>
<Relationship Id="rId2" Target="../drawings/vmlDrawing8.vml" Type="http://schemas.openxmlformats.org/officeDocument/2006/relationships/vmlDrawing"/>
<Relationship Id="rId3" Target="../comments8.xml" Type="http://schemas.openxmlformats.org/officeDocument/2006/relationships/comments"/>
</Relationships>

</file>

<file path=xl/worksheets/_rels/sheet13.xml.rels><?xml version="1.0" encoding="UTF-8" standalone="yes"?>
<Relationships xmlns="http://schemas.openxmlformats.org/package/2006/relationships">
<Relationship Id="rId1" Target="../printerSettings/printerSettings13.bin" Type="http://schemas.openxmlformats.org/officeDocument/2006/relationships/printerSettings"/>
<Relationship Id="rId2" Target="../drawings/vmlDrawing9.vml" Type="http://schemas.openxmlformats.org/officeDocument/2006/relationships/vmlDrawing"/>
<Relationship Id="rId3" Target="../comments9.xml" Type="http://schemas.openxmlformats.org/officeDocument/2006/relationships/comments"/>
</Relationships>

</file>

<file path=xl/worksheets/_rels/sheet14.xml.rels><?xml version="1.0" encoding="UTF-8" standalone="yes"?>
<Relationships xmlns="http://schemas.openxmlformats.org/package/2006/relationships">
<Relationship Id="rId1" Target="../printerSettings/printerSettings14.bin" Type="http://schemas.openxmlformats.org/officeDocument/2006/relationships/printerSettings"/>
<Relationship Id="rId2" Target="../drawings/drawing2.xml" Type="http://schemas.openxmlformats.org/officeDocument/2006/relationships/drawing"/>
<Relationship Id="rId3" Target="../drawings/vmlDrawing10.vml" Type="http://schemas.openxmlformats.org/officeDocument/2006/relationships/vmlDrawing"/>
<Relationship Id="rId4" Target="../ctrlProps/ctrlProp1.xml" Type="http://schemas.openxmlformats.org/officeDocument/2006/relationships/ctrlProp"/>
<Relationship Id="rId5" Target="../comments10.xml" Type="http://schemas.openxmlformats.org/officeDocument/2006/relationships/comments"/>
</Relationships>

</file>

<file path=xl/worksheets/_rels/sheet15.xml.rels><?xml version="1.0" encoding="UTF-8" standalone="yes"?>
<Relationships xmlns="http://schemas.openxmlformats.org/package/2006/relationships">
<Relationship Id="rId1" Target="../printerSettings/printerSettings15.bin" Type="http://schemas.openxmlformats.org/officeDocument/2006/relationships/printerSettings"/>
<Relationship Id="rId2" Target="../drawings/vmlDrawing11.vml" Type="http://schemas.openxmlformats.org/officeDocument/2006/relationships/vmlDrawing"/>
<Relationship Id="rId3" Target="../comments11.xml" Type="http://schemas.openxmlformats.org/officeDocument/2006/relationships/comments"/>
</Relationships>

</file>

<file path=xl/worksheets/_rels/sheet16.xml.rels><?xml version="1.0" encoding="UTF-8" standalone="yes"?>
<Relationships xmlns="http://schemas.openxmlformats.org/package/2006/relationships">
<Relationship Id="rId1" Target="../printerSettings/printerSettings16.bin" Type="http://schemas.openxmlformats.org/officeDocument/2006/relationships/printerSettings"/>
<Relationship Id="rId2" Target="../drawings/vmlDrawing12.vml" Type="http://schemas.openxmlformats.org/officeDocument/2006/relationships/vmlDrawing"/>
<Relationship Id="rId3" Target="../comments12.xml" Type="http://schemas.openxmlformats.org/officeDocument/2006/relationships/comments"/>
</Relationships>

</file>

<file path=xl/worksheets/_rels/sheet17.xml.rels><?xml version="1.0" encoding="UTF-8" standalone="yes"?>
<Relationships xmlns="http://schemas.openxmlformats.org/package/2006/relationships">
<Relationship Id="rId1" Target="../printerSettings/printerSettings17.bin" Type="http://schemas.openxmlformats.org/officeDocument/2006/relationships/printerSettings"/>
<Relationship Id="rId2" Target="../drawings/vmlDrawing13.vml" Type="http://schemas.openxmlformats.org/officeDocument/2006/relationships/vmlDrawing"/>
<Relationship Id="rId3" Target="../comments13.xml" Type="http://schemas.openxmlformats.org/officeDocument/2006/relationships/comments"/>
</Relationships>

</file>

<file path=xl/worksheets/_rels/sheet18.xml.rels><?xml version="1.0" encoding="UTF-8" standalone="yes"?>
<Relationships xmlns="http://schemas.openxmlformats.org/package/2006/relationships">
<Relationship Id="rId1" Target="../printerSettings/printerSettings18.bin" Type="http://schemas.openxmlformats.org/officeDocument/2006/relationships/printerSettings"/>
<Relationship Id="rId2" Target="../drawings/vmlDrawing14.vml" Type="http://schemas.openxmlformats.org/officeDocument/2006/relationships/vmlDrawing"/>
<Relationship Id="rId3" Target="../comments14.xml" Type="http://schemas.openxmlformats.org/officeDocument/2006/relationships/comments"/>
</Relationships>

</file>

<file path=xl/worksheets/_rels/sheet19.xml.rels><?xml version="1.0" encoding="UTF-8" standalone="yes"?>
<Relationships xmlns="http://schemas.openxmlformats.org/package/2006/relationships">
<Relationship Id="rId1" Target="../printerSettings/printerSettings19.bin" Type="http://schemas.openxmlformats.org/officeDocument/2006/relationships/printerSettings"/>
<Relationship Id="rId2" Target="../drawings/vmlDrawing15.vml" Type="http://schemas.openxmlformats.org/officeDocument/2006/relationships/vmlDrawing"/>
<Relationship Id="rId3" Target="../comments15.xml" Type="http://schemas.openxmlformats.org/officeDocument/2006/relationships/comments"/>
</Relationships>

</file>

<file path=xl/worksheets/_rels/sheet20.xml.rels><?xml version="1.0" encoding="UTF-8" standalone="yes"?>
<Relationships xmlns="http://schemas.openxmlformats.org/package/2006/relationships">
<Relationship Id="rId1" Target="../printerSettings/printerSettings20.bin" Type="http://schemas.openxmlformats.org/officeDocument/2006/relationships/printerSettings"/>
</Relationships>

</file>

<file path=xl/worksheets/_rels/sheet21.xml.rels><?xml version="1.0" encoding="UTF-8" standalone="yes"?>
<Relationships xmlns="http://schemas.openxmlformats.org/package/2006/relationships">
<Relationship Id="rId1" Target="../printerSettings/printerSettings21.bin" Type="http://schemas.openxmlformats.org/officeDocument/2006/relationships/printerSettings"/>
<Relationship Id="rId2" Target="../drawings/vmlDrawing16.vml" Type="http://schemas.openxmlformats.org/officeDocument/2006/relationships/vmlDrawing"/>
<Relationship Id="rId3" Target="../comments16.xml" Type="http://schemas.openxmlformats.org/officeDocument/2006/relationships/comments"/>
</Relationships>

</file>

<file path=xl/worksheets/_rels/sheet22.xml.rels><?xml version="1.0" encoding="UTF-8" standalone="yes"?>
<Relationships xmlns="http://schemas.openxmlformats.org/package/2006/relationships">
<Relationship Id="rId1" Target="../printerSettings/printerSettings22.bin" Type="http://schemas.openxmlformats.org/officeDocument/2006/relationships/printerSettings"/>
<Relationship Id="rId2" Target="../drawings/vmlDrawing17.vml" Type="http://schemas.openxmlformats.org/officeDocument/2006/relationships/vmlDrawing"/>
<Relationship Id="rId3" Target="../comments17.xml" Type="http://schemas.openxmlformats.org/officeDocument/2006/relationships/comments"/>
</Relationships>

</file>

<file path=xl/worksheets/_rels/sheet23.xml.rels><?xml version="1.0" encoding="UTF-8" standalone="yes"?>
<Relationships xmlns="http://schemas.openxmlformats.org/package/2006/relationships">
<Relationship Id="rId1" Target="../printerSettings/printerSettings23.bin" Type="http://schemas.openxmlformats.org/officeDocument/2006/relationships/printerSettings"/>
<Relationship Id="rId2" Target="../drawings/vmlDrawing18.vml" Type="http://schemas.openxmlformats.org/officeDocument/2006/relationships/vmlDrawing"/>
<Relationship Id="rId3" Target="../comments18.xml" Type="http://schemas.openxmlformats.org/officeDocument/2006/relationships/comments"/>
</Relationships>

</file>

<file path=xl/worksheets/_rels/sheet24.xml.rels><?xml version="1.0" encoding="UTF-8" standalone="yes"?>
<Relationships xmlns="http://schemas.openxmlformats.org/package/2006/relationships">
<Relationship Id="rId1" Target="../printerSettings/printerSettings24.bin" Type="http://schemas.openxmlformats.org/officeDocument/2006/relationships/printerSettings"/>
<Relationship Id="rId2" Target="../drawings/drawing3.xml" Type="http://schemas.openxmlformats.org/officeDocument/2006/relationships/drawing"/>
<Relationship Id="rId3" Target="../drawings/vmlDrawing19.vml" Type="http://schemas.openxmlformats.org/officeDocument/2006/relationships/vmlDrawing"/>
<Relationship Id="rId4" Target="../activeX/activeX1.xml" Type="http://schemas.openxmlformats.org/officeDocument/2006/relationships/control"/>
<Relationship Id="rId5" Target="../media/image4.emf" Type="http://schemas.openxmlformats.org/officeDocument/2006/relationships/image"/>
<Relationship Id="rId6" Target="../comments19.xml" Type="http://schemas.openxmlformats.org/officeDocument/2006/relationships/comments"/>
</Relationships>

</file>

<file path=xl/worksheets/_rels/sheet25.xml.rels><?xml version="1.0" encoding="UTF-8" standalone="yes"?>
<Relationships xmlns="http://schemas.openxmlformats.org/package/2006/relationships">
<Relationship Id="rId1" Target="../printerSettings/printerSettings25.bin" Type="http://schemas.openxmlformats.org/officeDocument/2006/relationships/printerSettings"/>
</Relationships>

</file>

<file path=xl/worksheets/_rels/sheet26.xml.rels><?xml version="1.0" encoding="UTF-8" standalone="yes"?>
<Relationships xmlns="http://schemas.openxmlformats.org/package/2006/relationships">
<Relationship Id="rId1" Target="../printerSettings/printerSettings26.bin" Type="http://schemas.openxmlformats.org/officeDocument/2006/relationships/printerSettings"/>
</Relationships>

</file>

<file path=xl/worksheets/_rels/sheet27.xml.rels><?xml version="1.0" encoding="UTF-8" standalone="yes"?>
<Relationships xmlns="http://schemas.openxmlformats.org/package/2006/relationships">
<Relationship Id="rId1" Target="../printerSettings/printerSettings27.bin" Type="http://schemas.openxmlformats.org/officeDocument/2006/relationships/printerSettings"/>
</Relationships>

</file>

<file path=xl/worksheets/_rels/sheet28.xml.rels><?xml version="1.0" encoding="UTF-8" standalone="yes"?>
<Relationships xmlns="http://schemas.openxmlformats.org/package/2006/relationships">
<Relationship Id="rId1" Target="../printerSettings/printerSettings28.bin" Type="http://schemas.openxmlformats.org/officeDocument/2006/relationships/printerSettings"/>
<Relationship Id="rId2" Target="../drawings/drawing4.xml" Type="http://schemas.openxmlformats.org/officeDocument/2006/relationships/drawing"/>
</Relationships>

</file>

<file path=xl/worksheets/_rels/sheet29.xml.rels><?xml version="1.0" encoding="UTF-8" standalone="yes"?>
<Relationships xmlns="http://schemas.openxmlformats.org/package/2006/relationships">
<Relationship Id="rId1" Target="../printerSettings/printerSettings2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1"/>
  <sheetViews>
    <sheetView showGridLines="0" tabSelected="1" workbookViewId="0">
      <selection activeCell="Z1" sqref="Z1"/>
    </sheetView>
  </sheetViews>
  <sheetFormatPr defaultRowHeight="12.75"/>
  <cols>
    <col min="1" max="1" width="25.7109375" style="2936" customWidth="1"/>
    <col min="2" max="5" width="9.140625" style="2936"/>
    <col min="6" max="6" width="18.7109375" style="2936" customWidth="1"/>
    <col min="7" max="256" width="9.140625" style="2936"/>
    <col min="257" max="257" width="100.7109375" style="2936" customWidth="1"/>
    <col min="258" max="512" width="9.140625" style="2936"/>
    <col min="513" max="513" width="100.7109375" style="2936" customWidth="1"/>
    <col min="514" max="768" width="9.140625" style="2936"/>
    <col min="769" max="769" width="100.7109375" style="2936" customWidth="1"/>
    <col min="770" max="1024" width="9.140625" style="2936"/>
    <col min="1025" max="1025" width="100.7109375" style="2936" customWidth="1"/>
    <col min="1026" max="1280" width="9.140625" style="2936"/>
    <col min="1281" max="1281" width="100.7109375" style="2936" customWidth="1"/>
    <col min="1282" max="1536" width="9.140625" style="2936"/>
    <col min="1537" max="1537" width="100.7109375" style="2936" customWidth="1"/>
    <col min="1538" max="1792" width="9.140625" style="2936"/>
    <col min="1793" max="1793" width="100.7109375" style="2936" customWidth="1"/>
    <col min="1794" max="2048" width="9.140625" style="2936"/>
    <col min="2049" max="2049" width="100.7109375" style="2936" customWidth="1"/>
    <col min="2050" max="2304" width="9.140625" style="2936"/>
    <col min="2305" max="2305" width="100.7109375" style="2936" customWidth="1"/>
    <col min="2306" max="2560" width="9.140625" style="2936"/>
    <col min="2561" max="2561" width="100.7109375" style="2936" customWidth="1"/>
    <col min="2562" max="2816" width="9.140625" style="2936"/>
    <col min="2817" max="2817" width="100.7109375" style="2936" customWidth="1"/>
    <col min="2818" max="3072" width="9.140625" style="2936"/>
    <col min="3073" max="3073" width="100.7109375" style="2936" customWidth="1"/>
    <col min="3074" max="3328" width="9.140625" style="2936"/>
    <col min="3329" max="3329" width="100.7109375" style="2936" customWidth="1"/>
    <col min="3330" max="3584" width="9.140625" style="2936"/>
    <col min="3585" max="3585" width="100.7109375" style="2936" customWidth="1"/>
    <col min="3586" max="3840" width="9.140625" style="2936"/>
    <col min="3841" max="3841" width="100.7109375" style="2936" customWidth="1"/>
    <col min="3842" max="4096" width="9.140625" style="2936"/>
    <col min="4097" max="4097" width="100.7109375" style="2936" customWidth="1"/>
    <col min="4098" max="4352" width="9.140625" style="2936"/>
    <col min="4353" max="4353" width="100.7109375" style="2936" customWidth="1"/>
    <col min="4354" max="4608" width="9.140625" style="2936"/>
    <col min="4609" max="4609" width="100.7109375" style="2936" customWidth="1"/>
    <col min="4610" max="4864" width="9.140625" style="2936"/>
    <col min="4865" max="4865" width="100.7109375" style="2936" customWidth="1"/>
    <col min="4866" max="5120" width="9.140625" style="2936"/>
    <col min="5121" max="5121" width="100.7109375" style="2936" customWidth="1"/>
    <col min="5122" max="5376" width="9.140625" style="2936"/>
    <col min="5377" max="5377" width="100.7109375" style="2936" customWidth="1"/>
    <col min="5378" max="5632" width="9.140625" style="2936"/>
    <col min="5633" max="5633" width="100.7109375" style="2936" customWidth="1"/>
    <col min="5634" max="5888" width="9.140625" style="2936"/>
    <col min="5889" max="5889" width="100.7109375" style="2936" customWidth="1"/>
    <col min="5890" max="6144" width="9.140625" style="2936"/>
    <col min="6145" max="6145" width="100.7109375" style="2936" customWidth="1"/>
    <col min="6146" max="6400" width="9.140625" style="2936"/>
    <col min="6401" max="6401" width="100.7109375" style="2936" customWidth="1"/>
    <col min="6402" max="6656" width="9.140625" style="2936"/>
    <col min="6657" max="6657" width="100.7109375" style="2936" customWidth="1"/>
    <col min="6658" max="6912" width="9.140625" style="2936"/>
    <col min="6913" max="6913" width="100.7109375" style="2936" customWidth="1"/>
    <col min="6914" max="7168" width="9.140625" style="2936"/>
    <col min="7169" max="7169" width="100.7109375" style="2936" customWidth="1"/>
    <col min="7170" max="7424" width="9.140625" style="2936"/>
    <col min="7425" max="7425" width="100.7109375" style="2936" customWidth="1"/>
    <col min="7426" max="7680" width="9.140625" style="2936"/>
    <col min="7681" max="7681" width="100.7109375" style="2936" customWidth="1"/>
    <col min="7682" max="7936" width="9.140625" style="2936"/>
    <col min="7937" max="7937" width="100.7109375" style="2936" customWidth="1"/>
    <col min="7938" max="8192" width="9.140625" style="2936"/>
    <col min="8193" max="8193" width="100.7109375" style="2936" customWidth="1"/>
    <col min="8194" max="8448" width="9.140625" style="2936"/>
    <col min="8449" max="8449" width="100.7109375" style="2936" customWidth="1"/>
    <col min="8450" max="8704" width="9.140625" style="2936"/>
    <col min="8705" max="8705" width="100.7109375" style="2936" customWidth="1"/>
    <col min="8706" max="8960" width="9.140625" style="2936"/>
    <col min="8961" max="8961" width="100.7109375" style="2936" customWidth="1"/>
    <col min="8962" max="9216" width="9.140625" style="2936"/>
    <col min="9217" max="9217" width="100.7109375" style="2936" customWidth="1"/>
    <col min="9218" max="9472" width="9.140625" style="2936"/>
    <col min="9473" max="9473" width="100.7109375" style="2936" customWidth="1"/>
    <col min="9474" max="9728" width="9.140625" style="2936"/>
    <col min="9729" max="9729" width="100.7109375" style="2936" customWidth="1"/>
    <col min="9730" max="9984" width="9.140625" style="2936"/>
    <col min="9985" max="9985" width="100.7109375" style="2936" customWidth="1"/>
    <col min="9986" max="10240" width="9.140625" style="2936"/>
    <col min="10241" max="10241" width="100.7109375" style="2936" customWidth="1"/>
    <col min="10242" max="10496" width="9.140625" style="2936"/>
    <col min="10497" max="10497" width="100.7109375" style="2936" customWidth="1"/>
    <col min="10498" max="10752" width="9.140625" style="2936"/>
    <col min="10753" max="10753" width="100.7109375" style="2936" customWidth="1"/>
    <col min="10754" max="11008" width="9.140625" style="2936"/>
    <col min="11009" max="11009" width="100.7109375" style="2936" customWidth="1"/>
    <col min="11010" max="11264" width="9.140625" style="2936"/>
    <col min="11265" max="11265" width="100.7109375" style="2936" customWidth="1"/>
    <col min="11266" max="11520" width="9.140625" style="2936"/>
    <col min="11521" max="11521" width="100.7109375" style="2936" customWidth="1"/>
    <col min="11522" max="11776" width="9.140625" style="2936"/>
    <col min="11777" max="11777" width="100.7109375" style="2936" customWidth="1"/>
    <col min="11778" max="12032" width="9.140625" style="2936"/>
    <col min="12033" max="12033" width="100.7109375" style="2936" customWidth="1"/>
    <col min="12034" max="12288" width="9.140625" style="2936"/>
    <col min="12289" max="12289" width="100.7109375" style="2936" customWidth="1"/>
    <col min="12290" max="12544" width="9.140625" style="2936"/>
    <col min="12545" max="12545" width="100.7109375" style="2936" customWidth="1"/>
    <col min="12546" max="12800" width="9.140625" style="2936"/>
    <col min="12801" max="12801" width="100.7109375" style="2936" customWidth="1"/>
    <col min="12802" max="13056" width="9.140625" style="2936"/>
    <col min="13057" max="13057" width="100.7109375" style="2936" customWidth="1"/>
    <col min="13058" max="13312" width="9.140625" style="2936"/>
    <col min="13313" max="13313" width="100.7109375" style="2936" customWidth="1"/>
    <col min="13314" max="13568" width="9.140625" style="2936"/>
    <col min="13569" max="13569" width="100.7109375" style="2936" customWidth="1"/>
    <col min="13570" max="13824" width="9.140625" style="2936"/>
    <col min="13825" max="13825" width="100.7109375" style="2936" customWidth="1"/>
    <col min="13826" max="14080" width="9.140625" style="2936"/>
    <col min="14081" max="14081" width="100.7109375" style="2936" customWidth="1"/>
    <col min="14082" max="14336" width="9.140625" style="2936"/>
    <col min="14337" max="14337" width="100.7109375" style="2936" customWidth="1"/>
    <col min="14338" max="14592" width="9.140625" style="2936"/>
    <col min="14593" max="14593" width="100.7109375" style="2936" customWidth="1"/>
    <col min="14594" max="14848" width="9.140625" style="2936"/>
    <col min="14849" max="14849" width="100.7109375" style="2936" customWidth="1"/>
    <col min="14850" max="15104" width="9.140625" style="2936"/>
    <col min="15105" max="15105" width="100.7109375" style="2936" customWidth="1"/>
    <col min="15106" max="15360" width="9.140625" style="2936"/>
    <col min="15361" max="15361" width="100.7109375" style="2936" customWidth="1"/>
    <col min="15362" max="15616" width="9.140625" style="2936"/>
    <col min="15617" max="15617" width="100.7109375" style="2936" customWidth="1"/>
    <col min="15618" max="15872" width="9.140625" style="2936"/>
    <col min="15873" max="15873" width="100.7109375" style="2936" customWidth="1"/>
    <col min="15874" max="16128" width="9.140625" style="2936"/>
    <col min="16129" max="16129" width="100.7109375" style="2936" customWidth="1"/>
    <col min="16130" max="16384" width="9.140625" style="2936"/>
  </cols>
  <sheetData>
    <row r="1" spans="1:8" ht="30" customHeight="1">
      <c r="A1" s="2934"/>
      <c r="B1" s="2935"/>
      <c r="C1" s="2935"/>
      <c r="D1" s="2935"/>
      <c r="E1" s="2935"/>
      <c r="F1" s="2935"/>
      <c r="G1" s="2935"/>
      <c r="H1" s="2935"/>
    </row>
    <row r="2" spans="1:8" ht="14.25">
      <c r="A2" s="2937" t="s">
        <v>1438</v>
      </c>
      <c r="B2" s="2935"/>
      <c r="C2" s="2935"/>
      <c r="D2" s="2935"/>
      <c r="E2" s="2935"/>
      <c r="F2" s="2935"/>
      <c r="G2" s="2935"/>
      <c r="H2" s="2935"/>
    </row>
    <row r="3" spans="1:8" ht="14.25">
      <c r="A3" s="2937" t="s">
        <v>1439</v>
      </c>
      <c r="B3" s="2935"/>
      <c r="C3" s="2935"/>
      <c r="D3" s="2935"/>
      <c r="E3" s="2935"/>
      <c r="F3" s="2935"/>
      <c r="G3" s="2935"/>
      <c r="H3" s="2935"/>
    </row>
    <row r="4" spans="1:8" ht="14.25">
      <c r="A4" s="2937" t="s">
        <v>1440</v>
      </c>
      <c r="B4" s="2935"/>
      <c r="C4" s="2935"/>
      <c r="D4" s="2935"/>
      <c r="E4" s="2935"/>
      <c r="F4" s="2935"/>
      <c r="G4" s="2935"/>
      <c r="H4" s="2935"/>
    </row>
    <row r="5" spans="1:8" ht="14.25">
      <c r="A5" s="2937" t="s">
        <v>1441</v>
      </c>
      <c r="B5" s="2935"/>
      <c r="C5" s="2935"/>
      <c r="D5" s="2935"/>
      <c r="E5" s="2935"/>
      <c r="F5" s="2935"/>
      <c r="G5" s="2935"/>
      <c r="H5" s="2935"/>
    </row>
    <row r="6" spans="1:8" ht="14.25">
      <c r="A6" s="2937"/>
      <c r="B6" s="2935"/>
      <c r="C6" s="2935"/>
      <c r="D6" s="2935"/>
      <c r="E6" s="2935"/>
      <c r="F6" s="2935"/>
      <c r="G6" s="2935"/>
      <c r="H6" s="2935"/>
    </row>
    <row r="7" spans="1:8">
      <c r="A7" s="2934" t="s">
        <v>1442</v>
      </c>
      <c r="B7" s="2935"/>
      <c r="C7" s="2935"/>
      <c r="D7" s="2935"/>
      <c r="E7" s="2935"/>
      <c r="F7" s="2935"/>
      <c r="G7" s="2935"/>
      <c r="H7" s="2935"/>
    </row>
    <row r="8" spans="1:8">
      <c r="A8" s="2934" t="s">
        <v>1443</v>
      </c>
      <c r="B8" s="2935"/>
      <c r="C8" s="2935"/>
      <c r="D8" s="2935"/>
      <c r="E8" s="2935"/>
      <c r="F8" s="2935"/>
      <c r="G8" s="2935"/>
      <c r="H8" s="2935"/>
    </row>
    <row r="9" spans="1:8">
      <c r="A9" s="2934"/>
      <c r="B9" s="2935"/>
      <c r="C9" s="2935"/>
      <c r="D9" s="2935"/>
      <c r="E9" s="2935"/>
      <c r="F9" s="2935"/>
      <c r="G9" s="2935"/>
      <c r="H9" s="2935"/>
    </row>
    <row r="10" spans="1:8">
      <c r="A10" s="2938" t="s">
        <v>1444</v>
      </c>
      <c r="B10" s="2935"/>
      <c r="C10" s="2935"/>
      <c r="D10" s="2935"/>
      <c r="E10" s="2935"/>
      <c r="F10" s="2935"/>
      <c r="G10" s="2935"/>
      <c r="H10" s="2935"/>
    </row>
    <row r="11" spans="1:8">
      <c r="A11" s="2938" t="s">
        <v>1445</v>
      </c>
      <c r="B11" s="2935"/>
      <c r="C11" s="2935"/>
      <c r="D11" s="2935"/>
      <c r="E11" s="2935"/>
      <c r="F11" s="2935"/>
      <c r="G11" s="2935"/>
      <c r="H11" s="2935"/>
    </row>
    <row r="12" spans="1:8">
      <c r="A12" s="2938" t="s">
        <v>1446</v>
      </c>
      <c r="B12" s="2935"/>
      <c r="C12" s="2935"/>
      <c r="D12" s="2935"/>
      <c r="E12" s="2935"/>
      <c r="F12" s="2935"/>
      <c r="G12" s="2935"/>
      <c r="H12" s="2935"/>
    </row>
    <row r="13" spans="1:8">
      <c r="A13" s="2938" t="s">
        <v>1447</v>
      </c>
      <c r="B13" s="2935"/>
      <c r="C13" s="2935"/>
      <c r="D13" s="2935"/>
      <c r="E13" s="2935"/>
      <c r="F13" s="2935"/>
      <c r="G13" s="2935"/>
      <c r="H13" s="2935"/>
    </row>
    <row r="14" spans="1:8">
      <c r="A14" s="2938" t="s">
        <v>1448</v>
      </c>
      <c r="B14" s="2935"/>
      <c r="C14" s="2935"/>
      <c r="D14" s="2935"/>
      <c r="E14" s="2935"/>
      <c r="F14" s="2935"/>
      <c r="G14" s="2935"/>
      <c r="H14" s="2935"/>
    </row>
    <row r="15" spans="1:8">
      <c r="A15" s="2938" t="s">
        <v>1449</v>
      </c>
      <c r="B15" s="2935"/>
      <c r="C15" s="2935"/>
      <c r="D15" s="2935"/>
      <c r="E15" s="2935"/>
      <c r="F15" s="2935"/>
      <c r="G15" s="2935"/>
      <c r="H15" s="2935"/>
    </row>
    <row r="16" spans="1:8">
      <c r="A16" s="2938"/>
      <c r="B16" s="2935"/>
      <c r="C16" s="2935"/>
      <c r="D16" s="2935"/>
      <c r="E16" s="2935"/>
      <c r="F16" s="2935"/>
      <c r="G16" s="2935"/>
      <c r="H16" s="2935"/>
    </row>
    <row r="17" spans="1:8">
      <c r="A17" s="2938" t="s">
        <v>1435</v>
      </c>
      <c r="B17" s="2935"/>
      <c r="C17" s="2935"/>
      <c r="D17" s="2935"/>
      <c r="E17" s="2935"/>
      <c r="F17" s="2935"/>
      <c r="G17" s="2935"/>
      <c r="H17" s="2935"/>
    </row>
    <row r="18" spans="1:8">
      <c r="A18" s="2938"/>
      <c r="B18" s="2935"/>
      <c r="C18" s="2935"/>
      <c r="D18" s="2935"/>
      <c r="E18" s="2935"/>
      <c r="F18" s="2935"/>
      <c r="G18" s="2935"/>
      <c r="H18" s="2935"/>
    </row>
    <row r="19" spans="1:8">
      <c r="A19" s="2938" t="s">
        <v>1436</v>
      </c>
      <c r="B19" s="2935"/>
      <c r="C19" s="2935"/>
      <c r="D19" s="2935"/>
      <c r="E19" s="2935"/>
      <c r="F19" s="2935"/>
      <c r="G19" s="2935"/>
      <c r="H19" s="2935"/>
    </row>
    <row r="20" spans="1:8">
      <c r="A20" s="2934"/>
      <c r="B20" s="2935"/>
      <c r="C20" s="2935"/>
      <c r="D20" s="2935"/>
      <c r="E20" s="2935"/>
      <c r="F20" s="2935"/>
      <c r="G20" s="2935"/>
      <c r="H20" s="2935"/>
    </row>
    <row r="21" spans="1:8">
      <c r="A21" s="2939" t="s">
        <v>1437</v>
      </c>
      <c r="B21" s="2935"/>
      <c r="C21" s="2935"/>
      <c r="D21" s="2935"/>
      <c r="E21" s="2935"/>
      <c r="F21" s="2935"/>
      <c r="G21" s="2935"/>
      <c r="H21" s="2935"/>
    </row>
    <row r="22" spans="1:8">
      <c r="A22" s="2935"/>
      <c r="B22" s="2935"/>
      <c r="C22" s="2935"/>
      <c r="D22" s="2935"/>
      <c r="E22" s="2935"/>
      <c r="F22" s="2935"/>
      <c r="G22" s="2935"/>
      <c r="H22" s="2935"/>
    </row>
    <row r="23" spans="1:8">
      <c r="A23" s="2940" t="s">
        <v>1721</v>
      </c>
      <c r="B23" s="2935"/>
      <c r="C23" s="2935"/>
      <c r="D23" s="2935"/>
      <c r="E23" s="2935"/>
      <c r="F23" s="2935"/>
      <c r="G23" s="2935"/>
      <c r="H23" s="2935"/>
    </row>
    <row r="24" spans="1:8">
      <c r="A24" s="2940" t="s">
        <v>1722</v>
      </c>
      <c r="B24" s="2935"/>
      <c r="C24" s="2935"/>
      <c r="D24" s="2935"/>
      <c r="E24" s="2935"/>
      <c r="F24" s="2935"/>
      <c r="G24" s="2935"/>
      <c r="H24" s="2935"/>
    </row>
    <row r="25" spans="1:8">
      <c r="A25" s="2940" t="s">
        <v>1723</v>
      </c>
      <c r="B25" s="2935"/>
      <c r="C25" s="2935"/>
      <c r="D25" s="2935"/>
      <c r="E25" s="2935"/>
      <c r="F25" s="2935"/>
      <c r="G25" s="2935"/>
      <c r="H25" s="2935"/>
    </row>
    <row r="26" spans="1:8">
      <c r="A26" s="2940" t="s">
        <v>1724</v>
      </c>
      <c r="B26" s="2935"/>
      <c r="C26" s="2935"/>
      <c r="D26" s="2935"/>
      <c r="E26" s="2935"/>
      <c r="F26" s="2935"/>
      <c r="G26" s="2935"/>
      <c r="H26" s="2935"/>
    </row>
    <row r="27" spans="1:8">
      <c r="A27" s="2935"/>
      <c r="B27" s="2935"/>
      <c r="C27" s="2935"/>
      <c r="D27" s="2935"/>
      <c r="E27" s="2935"/>
      <c r="F27" s="2935"/>
      <c r="G27" s="2935"/>
      <c r="H27" s="2935"/>
    </row>
    <row r="28" spans="1:8">
      <c r="A28" s="2935"/>
      <c r="B28" s="2935"/>
      <c r="C28" s="2935"/>
      <c r="D28" s="2935"/>
      <c r="E28" s="2935"/>
      <c r="F28" s="2935"/>
      <c r="G28" s="2935"/>
      <c r="H28" s="2935"/>
    </row>
    <row r="29" spans="1:8">
      <c r="A29" s="2940" t="s">
        <v>1716</v>
      </c>
      <c r="B29" s="2935"/>
      <c r="C29" s="2935"/>
      <c r="D29" s="2935"/>
      <c r="E29" s="2935"/>
      <c r="F29" s="2935"/>
      <c r="G29" s="2935"/>
      <c r="H29" s="2935"/>
    </row>
    <row r="30" spans="1:8">
      <c r="A30" s="2940" t="s">
        <v>1717</v>
      </c>
      <c r="B30" s="2935"/>
      <c r="C30" s="2935"/>
      <c r="D30" s="2935"/>
      <c r="E30" s="2935"/>
      <c r="F30" s="2935"/>
      <c r="G30" s="2935"/>
      <c r="H30" s="2935"/>
    </row>
    <row r="31" spans="1:8">
      <c r="A31" s="2940" t="s">
        <v>1718</v>
      </c>
      <c r="B31" s="2935"/>
      <c r="C31" s="2935"/>
      <c r="D31" s="2935"/>
      <c r="E31" s="2935"/>
      <c r="F31" s="2935"/>
      <c r="G31" s="2935"/>
      <c r="H31" s="2935"/>
    </row>
    <row r="32" spans="1:8">
      <c r="A32" s="2940" t="s">
        <v>1719</v>
      </c>
      <c r="B32" s="2935"/>
      <c r="C32" s="2935"/>
      <c r="D32" s="2935"/>
      <c r="E32" s="2935"/>
      <c r="F32" s="2935"/>
      <c r="G32" s="2935"/>
      <c r="H32" s="2935"/>
    </row>
    <row r="33" spans="1:8">
      <c r="A33" s="2940" t="s">
        <v>1720</v>
      </c>
      <c r="B33" s="2935"/>
      <c r="C33" s="2935"/>
      <c r="D33" s="2935"/>
      <c r="E33" s="2935"/>
      <c r="F33" s="2935"/>
      <c r="G33" s="2935"/>
      <c r="H33" s="2935"/>
    </row>
    <row r="34" spans="1:8">
      <c r="A34" s="2935"/>
      <c r="B34" s="2935"/>
      <c r="C34" s="2935"/>
      <c r="D34" s="2935"/>
      <c r="E34" s="2935"/>
      <c r="F34" s="2935"/>
      <c r="G34" s="2935"/>
      <c r="H34" s="2935"/>
    </row>
    <row r="35" spans="1:8">
      <c r="A35" s="2940" t="s">
        <v>1712</v>
      </c>
      <c r="B35" s="2935"/>
      <c r="C35" s="2935"/>
      <c r="D35" s="2935"/>
      <c r="E35" s="2935"/>
      <c r="F35" s="2935"/>
      <c r="G35" s="2935"/>
      <c r="H35" s="2935"/>
    </row>
    <row r="36" spans="1:8">
      <c r="A36" s="2940" t="s">
        <v>1713</v>
      </c>
      <c r="B36" s="2935"/>
      <c r="C36" s="2935"/>
      <c r="D36" s="2935"/>
      <c r="E36" s="2935"/>
      <c r="F36" s="2935"/>
      <c r="G36" s="2935"/>
      <c r="H36" s="2935"/>
    </row>
    <row r="37" spans="1:8">
      <c r="A37" s="2940" t="s">
        <v>1714</v>
      </c>
      <c r="B37" s="2935"/>
      <c r="C37" s="2935"/>
      <c r="D37" s="2935"/>
      <c r="E37" s="2935"/>
      <c r="F37" s="2935"/>
      <c r="G37" s="2935"/>
      <c r="H37" s="2935"/>
    </row>
    <row r="38" spans="1:8">
      <c r="A38" s="2940" t="s">
        <v>1715</v>
      </c>
      <c r="B38" s="2935"/>
      <c r="C38" s="2935"/>
      <c r="D38" s="2935"/>
      <c r="E38" s="2935"/>
      <c r="F38" s="2935"/>
      <c r="G38" s="2935"/>
      <c r="H38" s="2935"/>
    </row>
    <row r="39" spans="1:8">
      <c r="A39" s="2935"/>
      <c r="B39" s="2935"/>
      <c r="C39" s="2935"/>
      <c r="D39" s="2935"/>
      <c r="E39" s="2935"/>
      <c r="F39" s="2935"/>
      <c r="G39" s="2935"/>
      <c r="H39" s="2935"/>
    </row>
    <row r="40" spans="1:8">
      <c r="A40" s="2940" t="s">
        <v>1706</v>
      </c>
      <c r="B40" s="2935"/>
      <c r="C40" s="2935"/>
      <c r="D40" s="2935"/>
      <c r="E40" s="2935"/>
      <c r="F40" s="2935"/>
      <c r="G40" s="2935"/>
      <c r="H40" s="2935"/>
    </row>
    <row r="41" spans="1:8">
      <c r="A41" s="2940" t="s">
        <v>1707</v>
      </c>
      <c r="B41" s="2935"/>
      <c r="C41" s="2935"/>
      <c r="D41" s="2935"/>
      <c r="E41" s="2935"/>
      <c r="F41" s="2935"/>
      <c r="G41" s="2935"/>
      <c r="H41" s="2935"/>
    </row>
    <row r="42" spans="1:8">
      <c r="A42" s="2940" t="s">
        <v>1708</v>
      </c>
      <c r="B42" s="2935"/>
      <c r="C42" s="2935"/>
      <c r="D42" s="2935"/>
      <c r="E42" s="2935"/>
      <c r="F42" s="2935"/>
      <c r="G42" s="2935"/>
      <c r="H42" s="2935"/>
    </row>
    <row r="43" spans="1:8">
      <c r="A43" s="2940" t="s">
        <v>1709</v>
      </c>
      <c r="B43" s="2935"/>
      <c r="C43" s="2935"/>
      <c r="D43" s="2935"/>
      <c r="E43" s="2935"/>
      <c r="F43" s="2935"/>
      <c r="G43" s="2935"/>
      <c r="H43" s="2935"/>
    </row>
    <row r="44" spans="1:8">
      <c r="A44" s="2940" t="s">
        <v>1710</v>
      </c>
      <c r="B44" s="2935"/>
      <c r="C44" s="2935"/>
      <c r="D44" s="2935"/>
      <c r="E44" s="2935"/>
      <c r="F44" s="2935"/>
      <c r="G44" s="2935"/>
      <c r="H44" s="2935"/>
    </row>
    <row r="45" spans="1:8">
      <c r="A45" s="2940" t="s">
        <v>1711</v>
      </c>
      <c r="B45" s="2935"/>
      <c r="C45" s="2935"/>
      <c r="D45" s="2935"/>
      <c r="E45" s="2935"/>
      <c r="F45" s="2935"/>
      <c r="G45" s="2935"/>
      <c r="H45" s="2935"/>
    </row>
    <row r="46" spans="1:8">
      <c r="A46" s="2935"/>
      <c r="B46" s="2935"/>
      <c r="C46" s="2935"/>
      <c r="D46" s="2935"/>
      <c r="E46" s="2935"/>
      <c r="F46" s="2935"/>
      <c r="G46" s="2935"/>
      <c r="H46" s="2935"/>
    </row>
    <row r="47" spans="1:8" ht="15.75">
      <c r="A47" s="2941" t="s">
        <v>1450</v>
      </c>
      <c r="B47" s="2935"/>
      <c r="C47" s="2935"/>
      <c r="D47" s="2935"/>
      <c r="E47" s="2935"/>
      <c r="F47" s="2935"/>
      <c r="G47" s="2935"/>
      <c r="H47" s="2935"/>
    </row>
    <row r="48" spans="1:8">
      <c r="A48" s="2935"/>
      <c r="B48" s="2935"/>
      <c r="C48" s="2935"/>
      <c r="D48" s="2935"/>
      <c r="E48" s="2935"/>
      <c r="F48" s="2935"/>
      <c r="G48" s="2935"/>
      <c r="H48" s="2935"/>
    </row>
    <row r="49" spans="1:8">
      <c r="A49" s="2940" t="s">
        <v>1702</v>
      </c>
      <c r="B49" s="2935"/>
      <c r="C49" s="2935"/>
      <c r="D49" s="2935"/>
      <c r="E49" s="2935"/>
      <c r="F49" s="2935"/>
      <c r="G49" s="2935"/>
      <c r="H49" s="2935"/>
    </row>
    <row r="50" spans="1:8">
      <c r="A50" s="2940" t="s">
        <v>1703</v>
      </c>
      <c r="B50" s="2935"/>
      <c r="C50" s="2935"/>
      <c r="D50" s="2935"/>
      <c r="E50" s="2935"/>
      <c r="F50" s="2935"/>
      <c r="G50" s="2935"/>
      <c r="H50" s="2935"/>
    </row>
    <row r="51" spans="1:8">
      <c r="A51" s="2940" t="s">
        <v>1704</v>
      </c>
      <c r="B51" s="2935"/>
      <c r="C51" s="2935"/>
      <c r="D51" s="2935"/>
      <c r="E51" s="2935"/>
      <c r="F51" s="2935"/>
      <c r="G51" s="2935"/>
      <c r="H51" s="2935"/>
    </row>
    <row r="52" spans="1:8">
      <c r="A52" s="2940" t="s">
        <v>1705</v>
      </c>
      <c r="B52" s="2935"/>
      <c r="C52" s="2935"/>
      <c r="D52" s="2935"/>
      <c r="E52" s="2935"/>
      <c r="F52" s="2935"/>
      <c r="G52" s="2935"/>
      <c r="H52" s="2935"/>
    </row>
    <row r="53" spans="1:8">
      <c r="A53" s="2935"/>
      <c r="B53" s="2935"/>
      <c r="C53" s="2935"/>
      <c r="D53" s="2935"/>
      <c r="E53" s="2935"/>
      <c r="F53" s="2935"/>
      <c r="G53" s="2935"/>
      <c r="H53" s="2935"/>
    </row>
    <row r="54" spans="1:8">
      <c r="A54" s="2940" t="s">
        <v>1451</v>
      </c>
      <c r="B54" s="2935"/>
      <c r="C54" s="2935"/>
      <c r="D54" s="2935"/>
      <c r="E54" s="2935"/>
      <c r="F54" s="2935"/>
      <c r="G54" s="2935"/>
      <c r="H54" s="2935"/>
    </row>
    <row r="55" spans="1:8">
      <c r="A55" s="2935"/>
      <c r="B55" s="2935"/>
      <c r="C55" s="2935"/>
      <c r="D55" s="2935"/>
      <c r="E55" s="2935"/>
      <c r="F55" s="2935"/>
      <c r="G55" s="2935"/>
      <c r="H55" s="2935"/>
    </row>
    <row r="56" spans="1:8" ht="15.75">
      <c r="A56" s="2941" t="s">
        <v>1452</v>
      </c>
      <c r="B56" s="2935"/>
      <c r="C56" s="2935"/>
      <c r="D56" s="2935"/>
      <c r="E56" s="2935"/>
      <c r="F56" s="2935"/>
      <c r="G56" s="2935"/>
      <c r="H56" s="2935"/>
    </row>
    <row r="57" spans="1:8">
      <c r="A57" s="2935"/>
      <c r="B57" s="2935"/>
      <c r="C57" s="2935"/>
      <c r="D57" s="2935"/>
      <c r="E57" s="2935"/>
      <c r="F57" s="2935"/>
      <c r="G57" s="2935"/>
      <c r="H57" s="2935"/>
    </row>
    <row r="58" spans="1:8">
      <c r="A58" s="2940" t="s">
        <v>1700</v>
      </c>
      <c r="B58" s="2935"/>
      <c r="C58" s="2935"/>
      <c r="D58" s="2935"/>
      <c r="E58" s="2935"/>
      <c r="F58" s="2935"/>
      <c r="G58" s="2935"/>
      <c r="H58" s="2935"/>
    </row>
    <row r="59" spans="1:8">
      <c r="A59" s="2940" t="s">
        <v>1701</v>
      </c>
      <c r="B59" s="2935"/>
      <c r="C59" s="2935"/>
      <c r="D59" s="2935"/>
      <c r="E59" s="2935"/>
      <c r="F59" s="2935"/>
      <c r="G59" s="2935"/>
      <c r="H59" s="2935"/>
    </row>
    <row r="60" spans="1:8">
      <c r="A60" s="2935"/>
      <c r="B60" s="2935"/>
      <c r="C60" s="2935"/>
      <c r="D60" s="2935"/>
      <c r="E60" s="2935"/>
      <c r="F60" s="2935"/>
      <c r="G60" s="2935"/>
      <c r="H60" s="2935"/>
    </row>
    <row r="61" spans="1:8" ht="15.75">
      <c r="A61" s="2941" t="s">
        <v>1453</v>
      </c>
      <c r="B61" s="2935"/>
      <c r="C61" s="2935"/>
      <c r="D61" s="2935"/>
      <c r="E61" s="2935"/>
      <c r="F61" s="2935"/>
      <c r="G61" s="2935"/>
      <c r="H61" s="2935"/>
    </row>
    <row r="62" spans="1:8">
      <c r="A62" s="2935"/>
      <c r="B62" s="2935"/>
      <c r="C62" s="2935"/>
      <c r="D62" s="2935"/>
      <c r="E62" s="2935"/>
      <c r="F62" s="2935"/>
      <c r="G62" s="2935"/>
      <c r="H62" s="2935"/>
    </row>
    <row r="63" spans="1:8">
      <c r="A63" s="2940" t="s">
        <v>1698</v>
      </c>
      <c r="B63" s="2935"/>
      <c r="C63" s="2935"/>
      <c r="D63" s="2935"/>
      <c r="E63" s="2935"/>
      <c r="F63" s="2935"/>
      <c r="G63" s="2935"/>
      <c r="H63" s="2935"/>
    </row>
    <row r="64" spans="1:8">
      <c r="A64" s="2940" t="s">
        <v>1699</v>
      </c>
      <c r="B64" s="2935"/>
      <c r="C64" s="2935"/>
      <c r="D64" s="2935"/>
      <c r="E64" s="2935"/>
      <c r="F64" s="2935"/>
      <c r="G64" s="2935"/>
      <c r="H64" s="2935"/>
    </row>
    <row r="65" spans="1:8">
      <c r="A65" s="2935"/>
      <c r="B65" s="2935"/>
      <c r="C65" s="2935"/>
      <c r="D65" s="2935"/>
      <c r="E65" s="2935"/>
      <c r="F65" s="2935"/>
      <c r="G65" s="2935"/>
      <c r="H65" s="2935"/>
    </row>
    <row r="66" spans="1:8">
      <c r="A66" s="2940" t="s">
        <v>1454</v>
      </c>
      <c r="B66" s="2935"/>
      <c r="C66" s="2935"/>
      <c r="D66" s="2935"/>
      <c r="E66" s="2935"/>
      <c r="F66" s="2935"/>
      <c r="G66" s="2935"/>
      <c r="H66" s="2935"/>
    </row>
    <row r="67" spans="1:8">
      <c r="A67" s="2935"/>
      <c r="B67" s="2935"/>
      <c r="C67" s="2935"/>
      <c r="D67" s="2935"/>
      <c r="E67" s="2935"/>
      <c r="F67" s="2935"/>
      <c r="G67" s="2935"/>
      <c r="H67" s="2935"/>
    </row>
    <row r="68" spans="1:8">
      <c r="A68" s="2940" t="s">
        <v>1693</v>
      </c>
      <c r="B68" s="2935"/>
      <c r="C68" s="2935"/>
      <c r="D68" s="2935"/>
      <c r="E68" s="2935"/>
      <c r="F68" s="2935"/>
      <c r="G68" s="2935"/>
      <c r="H68" s="2935"/>
    </row>
    <row r="69" spans="1:8">
      <c r="A69" s="2940" t="s">
        <v>1694</v>
      </c>
      <c r="B69" s="2935"/>
      <c r="C69" s="2935"/>
      <c r="D69" s="2935"/>
      <c r="E69" s="2935"/>
      <c r="F69" s="2935"/>
      <c r="G69" s="2935"/>
      <c r="H69" s="2935"/>
    </row>
    <row r="70" spans="1:8">
      <c r="A70" s="2940" t="s">
        <v>1695</v>
      </c>
      <c r="B70" s="2935"/>
      <c r="C70" s="2935"/>
      <c r="D70" s="2935"/>
      <c r="E70" s="2935"/>
      <c r="F70" s="2935"/>
      <c r="G70" s="2935"/>
      <c r="H70" s="2935"/>
    </row>
    <row r="71" spans="1:8">
      <c r="A71" s="2940" t="s">
        <v>1696</v>
      </c>
      <c r="B71" s="2935"/>
      <c r="C71" s="2935"/>
      <c r="D71" s="2935"/>
      <c r="E71" s="2935"/>
      <c r="F71" s="2935"/>
      <c r="G71" s="2935"/>
      <c r="H71" s="2935"/>
    </row>
    <row r="72" spans="1:8">
      <c r="A72" s="2940" t="s">
        <v>1697</v>
      </c>
      <c r="B72" s="2935"/>
      <c r="C72" s="2935"/>
      <c r="D72" s="2935"/>
      <c r="E72" s="2935"/>
      <c r="F72" s="2935"/>
      <c r="G72" s="2935"/>
      <c r="H72" s="2935"/>
    </row>
    <row r="73" spans="1:8">
      <c r="A73" s="2940" t="s">
        <v>1580</v>
      </c>
      <c r="B73" s="2935"/>
      <c r="C73" s="2935"/>
      <c r="D73" s="2935"/>
      <c r="E73" s="2935"/>
      <c r="F73" s="2935"/>
      <c r="G73" s="2935"/>
      <c r="H73" s="2935"/>
    </row>
    <row r="74" spans="1:8">
      <c r="A74" s="2935"/>
      <c r="B74" s="2935"/>
      <c r="C74" s="2935"/>
      <c r="D74" s="2935"/>
      <c r="E74" s="2935"/>
      <c r="F74" s="2935"/>
      <c r="G74" s="2935"/>
      <c r="H74" s="2935"/>
    </row>
    <row r="75" spans="1:8">
      <c r="A75" s="2940" t="s">
        <v>1686</v>
      </c>
      <c r="B75" s="2935"/>
      <c r="C75" s="2935"/>
      <c r="D75" s="2935"/>
      <c r="E75" s="2935"/>
      <c r="F75" s="2935"/>
      <c r="G75" s="2935"/>
      <c r="H75" s="2935"/>
    </row>
    <row r="76" spans="1:8">
      <c r="A76" s="2940" t="s">
        <v>1687</v>
      </c>
      <c r="B76" s="2935"/>
      <c r="C76" s="2935"/>
      <c r="D76" s="2935"/>
      <c r="E76" s="2935"/>
      <c r="F76" s="2935"/>
      <c r="G76" s="2935"/>
      <c r="H76" s="2935"/>
    </row>
    <row r="77" spans="1:8">
      <c r="A77" s="2940" t="s">
        <v>1688</v>
      </c>
      <c r="B77" s="2935"/>
      <c r="C77" s="2935"/>
      <c r="D77" s="2935"/>
      <c r="E77" s="2935"/>
      <c r="F77" s="2935"/>
      <c r="G77" s="2935"/>
      <c r="H77" s="2935"/>
    </row>
    <row r="78" spans="1:8">
      <c r="A78" s="2940" t="s">
        <v>1689</v>
      </c>
      <c r="B78" s="2935"/>
      <c r="C78" s="2935"/>
      <c r="D78" s="2935"/>
      <c r="E78" s="2935"/>
      <c r="F78" s="2935"/>
      <c r="G78" s="2935"/>
      <c r="H78" s="2935"/>
    </row>
    <row r="79" spans="1:8">
      <c r="A79" s="2940" t="s">
        <v>1690</v>
      </c>
      <c r="B79" s="2935"/>
      <c r="C79" s="2935"/>
      <c r="D79" s="2935"/>
      <c r="E79" s="2935"/>
      <c r="F79" s="2935"/>
      <c r="G79" s="2935"/>
      <c r="H79" s="2935"/>
    </row>
    <row r="80" spans="1:8">
      <c r="A80" s="2940" t="s">
        <v>1691</v>
      </c>
      <c r="B80" s="2935"/>
      <c r="C80" s="2935"/>
      <c r="D80" s="2935"/>
      <c r="E80" s="2935"/>
      <c r="F80" s="2935"/>
      <c r="G80" s="2935"/>
      <c r="H80" s="2935"/>
    </row>
    <row r="81" spans="1:8">
      <c r="A81" s="2940" t="s">
        <v>1692</v>
      </c>
      <c r="B81" s="2935"/>
      <c r="C81" s="2935"/>
      <c r="D81" s="2935"/>
      <c r="E81" s="2935"/>
      <c r="F81" s="2935"/>
      <c r="G81" s="2935"/>
      <c r="H81" s="2935"/>
    </row>
    <row r="82" spans="1:8">
      <c r="A82" s="2935"/>
      <c r="B82" s="2935"/>
      <c r="C82" s="2935"/>
      <c r="D82" s="2935"/>
      <c r="E82" s="2935"/>
      <c r="F82" s="2935"/>
      <c r="G82" s="2935"/>
      <c r="H82" s="2935"/>
    </row>
    <row r="83" spans="1:8">
      <c r="A83" s="2940" t="s">
        <v>1684</v>
      </c>
      <c r="B83" s="2935"/>
      <c r="C83" s="2935"/>
      <c r="D83" s="2935"/>
      <c r="E83" s="2935"/>
      <c r="F83" s="2935"/>
      <c r="G83" s="2935"/>
      <c r="H83" s="2935"/>
    </row>
    <row r="84" spans="1:8">
      <c r="A84" s="2940" t="s">
        <v>1685</v>
      </c>
      <c r="B84" s="2935"/>
      <c r="C84" s="2935"/>
      <c r="D84" s="2935"/>
      <c r="E84" s="2935"/>
      <c r="F84" s="2935"/>
      <c r="G84" s="2935"/>
      <c r="H84" s="2935"/>
    </row>
    <row r="85" spans="1:8">
      <c r="A85" s="2935"/>
      <c r="B85" s="2935"/>
      <c r="C85" s="2935"/>
      <c r="D85" s="2935"/>
      <c r="E85" s="2935"/>
      <c r="F85" s="2935"/>
      <c r="G85" s="2935"/>
      <c r="H85" s="2935"/>
    </row>
    <row r="86" spans="1:8" ht="15.75">
      <c r="A86" s="2941" t="s">
        <v>1455</v>
      </c>
      <c r="B86" s="2935"/>
      <c r="C86" s="2935"/>
      <c r="D86" s="2935"/>
      <c r="E86" s="2935"/>
      <c r="F86" s="2935"/>
      <c r="G86" s="2935"/>
      <c r="H86" s="2935"/>
    </row>
    <row r="87" spans="1:8">
      <c r="A87" s="2935"/>
      <c r="B87" s="2935"/>
      <c r="C87" s="2935"/>
      <c r="D87" s="2935"/>
      <c r="E87" s="2935"/>
      <c r="F87" s="2935"/>
      <c r="G87" s="2935"/>
      <c r="H87" s="2935"/>
    </row>
    <row r="88" spans="1:8">
      <c r="A88" s="2940" t="s">
        <v>1675</v>
      </c>
      <c r="B88" s="2935"/>
      <c r="C88" s="2935"/>
      <c r="D88" s="2935"/>
      <c r="E88" s="2935"/>
      <c r="F88" s="2935"/>
      <c r="G88" s="2935"/>
      <c r="H88" s="2935"/>
    </row>
    <row r="89" spans="1:8">
      <c r="A89" s="2940" t="s">
        <v>1676</v>
      </c>
      <c r="B89" s="2935"/>
      <c r="C89" s="2935"/>
      <c r="D89" s="2935"/>
      <c r="E89" s="2935"/>
      <c r="F89" s="2935"/>
      <c r="G89" s="2935"/>
      <c r="H89" s="2935"/>
    </row>
    <row r="90" spans="1:8">
      <c r="A90" s="2940" t="s">
        <v>1677</v>
      </c>
      <c r="B90" s="2935"/>
      <c r="C90" s="2935"/>
      <c r="D90" s="2935"/>
      <c r="E90" s="2935"/>
      <c r="F90" s="2935"/>
      <c r="G90" s="2935"/>
      <c r="H90" s="2935"/>
    </row>
    <row r="91" spans="1:8">
      <c r="A91" s="2940" t="s">
        <v>1678</v>
      </c>
      <c r="B91" s="2935"/>
      <c r="C91" s="2935"/>
      <c r="D91" s="2935"/>
      <c r="E91" s="2935"/>
      <c r="F91" s="2935"/>
      <c r="G91" s="2935"/>
      <c r="H91" s="2935"/>
    </row>
    <row r="92" spans="1:8">
      <c r="A92" s="2940" t="s">
        <v>1679</v>
      </c>
      <c r="B92" s="2935"/>
      <c r="C92" s="2935"/>
      <c r="D92" s="2935"/>
      <c r="E92" s="2935"/>
      <c r="F92" s="2935"/>
      <c r="G92" s="2935"/>
      <c r="H92" s="2935"/>
    </row>
    <row r="93" spans="1:8">
      <c r="A93" s="2940" t="s">
        <v>1680</v>
      </c>
      <c r="B93" s="2935"/>
      <c r="C93" s="2935"/>
      <c r="D93" s="2935"/>
      <c r="E93" s="2935"/>
      <c r="F93" s="2935"/>
      <c r="G93" s="2935"/>
      <c r="H93" s="2935"/>
    </row>
    <row r="94" spans="1:8">
      <c r="A94" s="2940" t="s">
        <v>1681</v>
      </c>
      <c r="B94" s="2935"/>
      <c r="C94" s="2935"/>
      <c r="D94" s="2935"/>
      <c r="E94" s="2935"/>
      <c r="F94" s="2935"/>
      <c r="G94" s="2935"/>
      <c r="H94" s="2935"/>
    </row>
    <row r="95" spans="1:8">
      <c r="A95" s="2940" t="s">
        <v>1682</v>
      </c>
      <c r="B95" s="2935"/>
      <c r="C95" s="2935"/>
      <c r="D95" s="2935"/>
      <c r="E95" s="2935"/>
      <c r="F95" s="2935"/>
      <c r="G95" s="2935"/>
      <c r="H95" s="2935"/>
    </row>
    <row r="96" spans="1:8">
      <c r="A96" s="2940" t="s">
        <v>1683</v>
      </c>
      <c r="B96" s="2935"/>
      <c r="C96" s="2935"/>
      <c r="D96" s="2935"/>
      <c r="E96" s="2935"/>
      <c r="F96" s="2935"/>
      <c r="G96" s="2935"/>
      <c r="H96" s="2935"/>
    </row>
    <row r="97" spans="1:8">
      <c r="A97" s="2935"/>
      <c r="B97" s="2935"/>
      <c r="C97" s="2935"/>
      <c r="D97" s="2935"/>
      <c r="E97" s="2935"/>
      <c r="F97" s="2935"/>
      <c r="G97" s="2935"/>
      <c r="H97" s="2935"/>
    </row>
    <row r="98" spans="1:8" ht="15.75">
      <c r="A98" s="2942" t="s">
        <v>1456</v>
      </c>
      <c r="B98" s="2942"/>
      <c r="C98" s="2942"/>
      <c r="D98" s="2942"/>
      <c r="E98" s="2942"/>
      <c r="F98" s="2942"/>
      <c r="G98" s="2942"/>
      <c r="H98" s="2942"/>
    </row>
    <row r="99" spans="1:8">
      <c r="A99" s="2943" t="s">
        <v>1457</v>
      </c>
      <c r="B99" s="2943"/>
      <c r="C99" s="2943"/>
      <c r="D99" s="2943"/>
      <c r="E99" s="2943"/>
      <c r="F99" s="2943"/>
      <c r="G99" s="2943"/>
      <c r="H99" s="2943"/>
    </row>
    <row r="100" spans="1:8">
      <c r="A100" s="2944"/>
      <c r="B100" s="2944"/>
      <c r="C100" s="2944"/>
      <c r="D100" s="2944"/>
      <c r="E100" s="2944"/>
      <c r="F100" s="2944"/>
      <c r="G100" s="2944"/>
      <c r="H100" s="2944"/>
    </row>
    <row r="101" spans="1:8">
      <c r="A101" s="2943" t="s">
        <v>1673</v>
      </c>
      <c r="B101" s="2943"/>
      <c r="C101" s="2943"/>
      <c r="D101" s="2943"/>
      <c r="E101" s="2943"/>
      <c r="F101" s="2943"/>
      <c r="G101" s="2943"/>
      <c r="H101" s="2943"/>
    </row>
    <row r="102" spans="1:8">
      <c r="A102" s="2940" t="s">
        <v>1674</v>
      </c>
      <c r="B102" s="2940"/>
      <c r="C102" s="2940"/>
      <c r="D102" s="2940"/>
      <c r="E102" s="2940"/>
      <c r="F102" s="2940"/>
      <c r="G102" s="2940"/>
      <c r="H102" s="2940"/>
    </row>
    <row r="103" spans="1:8">
      <c r="A103" s="2944"/>
      <c r="B103" s="2944"/>
      <c r="C103" s="2944"/>
      <c r="D103" s="2944"/>
      <c r="E103" s="2944"/>
      <c r="F103" s="2944"/>
      <c r="G103" s="2944"/>
      <c r="H103" s="2944"/>
    </row>
    <row r="104" spans="1:8">
      <c r="A104" s="2943" t="s">
        <v>1666</v>
      </c>
      <c r="B104" s="2943"/>
      <c r="C104" s="2943"/>
      <c r="D104" s="2943"/>
      <c r="E104" s="2943"/>
      <c r="F104" s="2943"/>
      <c r="G104" s="2943"/>
      <c r="H104" s="2943"/>
    </row>
    <row r="105" spans="1:8">
      <c r="A105" s="2940" t="s">
        <v>1667</v>
      </c>
      <c r="B105" s="2940"/>
      <c r="C105" s="2940"/>
      <c r="D105" s="2940"/>
      <c r="E105" s="2940"/>
      <c r="F105" s="2940"/>
      <c r="G105" s="2940"/>
      <c r="H105" s="2940"/>
    </row>
    <row r="106" spans="1:8">
      <c r="A106" s="2940" t="s">
        <v>1668</v>
      </c>
      <c r="B106" s="2940"/>
      <c r="C106" s="2940"/>
      <c r="D106" s="2940"/>
      <c r="E106" s="2940"/>
      <c r="F106" s="2940"/>
      <c r="G106" s="2940"/>
      <c r="H106" s="2940"/>
    </row>
    <row r="107" spans="1:8">
      <c r="A107" s="2940" t="s">
        <v>1669</v>
      </c>
      <c r="B107" s="2940"/>
      <c r="C107" s="2940"/>
      <c r="D107" s="2940"/>
      <c r="E107" s="2940"/>
      <c r="F107" s="2940"/>
      <c r="G107" s="2940"/>
      <c r="H107" s="2940"/>
    </row>
    <row r="108" spans="1:8">
      <c r="A108" s="2940" t="s">
        <v>1670</v>
      </c>
      <c r="B108" s="2940"/>
      <c r="C108" s="2940"/>
      <c r="D108" s="2940"/>
      <c r="E108" s="2940"/>
      <c r="F108" s="2940"/>
      <c r="G108" s="2940"/>
      <c r="H108" s="2940"/>
    </row>
    <row r="109" spans="1:8">
      <c r="A109" s="2940" t="s">
        <v>1671</v>
      </c>
      <c r="B109" s="2940"/>
      <c r="C109" s="2940"/>
      <c r="D109" s="2940"/>
      <c r="E109" s="2940"/>
      <c r="F109" s="2940"/>
      <c r="G109" s="2940"/>
      <c r="H109" s="2940"/>
    </row>
    <row r="110" spans="1:8">
      <c r="A110" s="2940" t="s">
        <v>1672</v>
      </c>
      <c r="B110" s="2940"/>
      <c r="C110" s="2940"/>
      <c r="D110" s="2940"/>
      <c r="E110" s="2940"/>
      <c r="F110" s="2940"/>
      <c r="G110" s="2940"/>
      <c r="H110" s="2940"/>
    </row>
    <row r="111" spans="1:8">
      <c r="A111" s="2945"/>
      <c r="B111" s="2945"/>
      <c r="C111" s="2945"/>
      <c r="D111" s="2945"/>
      <c r="E111" s="2945"/>
      <c r="F111" s="2945"/>
      <c r="G111" s="2945"/>
      <c r="H111" s="2945"/>
    </row>
    <row r="112" spans="1:8">
      <c r="A112" s="2946"/>
      <c r="B112" s="2947" t="s">
        <v>1458</v>
      </c>
      <c r="C112" s="2948"/>
      <c r="D112" s="2947" t="s">
        <v>1459</v>
      </c>
      <c r="E112" s="2949"/>
      <c r="F112" s="2948"/>
      <c r="G112" s="2947" t="s">
        <v>1460</v>
      </c>
      <c r="H112" s="2948"/>
    </row>
    <row r="113" spans="1:8">
      <c r="A113" s="2946" t="s">
        <v>1461</v>
      </c>
      <c r="B113" s="2946" t="s">
        <v>1163</v>
      </c>
      <c r="C113" s="2946" t="s">
        <v>1462</v>
      </c>
      <c r="D113" s="2946" t="s">
        <v>1163</v>
      </c>
      <c r="E113" s="2946" t="s">
        <v>1463</v>
      </c>
      <c r="F113" s="2946" t="s">
        <v>1464</v>
      </c>
      <c r="G113" s="2946" t="s">
        <v>1163</v>
      </c>
      <c r="H113" s="2946" t="s">
        <v>1465</v>
      </c>
    </row>
    <row r="114" spans="1:8">
      <c r="A114" s="2946" t="s">
        <v>1466</v>
      </c>
      <c r="B114" s="2946">
        <v>1189</v>
      </c>
      <c r="C114" s="2950">
        <v>0.38</v>
      </c>
      <c r="D114" s="2946">
        <v>315</v>
      </c>
      <c r="E114" s="2950">
        <v>0.41</v>
      </c>
      <c r="F114" s="2950">
        <v>0.26</v>
      </c>
      <c r="G114" s="2946">
        <v>555</v>
      </c>
      <c r="H114" s="2950">
        <v>0.39</v>
      </c>
    </row>
    <row r="115" spans="1:8">
      <c r="A115" s="2946" t="s">
        <v>1467</v>
      </c>
      <c r="B115" s="2946">
        <v>1355</v>
      </c>
      <c r="C115" s="2950">
        <v>0.43</v>
      </c>
      <c r="D115" s="2946">
        <v>364</v>
      </c>
      <c r="E115" s="2950">
        <v>0.47</v>
      </c>
      <c r="F115" s="2950">
        <v>0.27</v>
      </c>
      <c r="G115" s="2946">
        <v>644</v>
      </c>
      <c r="H115" s="2950">
        <v>0.45</v>
      </c>
    </row>
    <row r="116" spans="1:8">
      <c r="A116" s="2946" t="s">
        <v>1468</v>
      </c>
      <c r="B116" s="2946">
        <v>53</v>
      </c>
      <c r="C116" s="2950">
        <v>0.02</v>
      </c>
      <c r="D116" s="2946">
        <v>4</v>
      </c>
      <c r="E116" s="2950">
        <v>0.01</v>
      </c>
      <c r="F116" s="2950">
        <v>0.08</v>
      </c>
      <c r="G116" s="2946">
        <v>7</v>
      </c>
      <c r="H116" s="2950">
        <v>0</v>
      </c>
    </row>
    <row r="117" spans="1:8">
      <c r="A117" s="2946" t="s">
        <v>1469</v>
      </c>
      <c r="B117" s="2946">
        <v>545</v>
      </c>
      <c r="C117" s="2950">
        <v>0.17</v>
      </c>
      <c r="D117" s="2946">
        <v>84</v>
      </c>
      <c r="E117" s="2950">
        <v>0.11</v>
      </c>
      <c r="F117" s="2950">
        <v>0.15</v>
      </c>
      <c r="G117" s="2946">
        <v>214</v>
      </c>
      <c r="H117" s="2950">
        <v>0.15</v>
      </c>
    </row>
    <row r="118" spans="1:8">
      <c r="A118" s="2946" t="s">
        <v>360</v>
      </c>
      <c r="B118" s="2951">
        <v>3142</v>
      </c>
      <c r="C118" s="2946"/>
      <c r="D118" s="2946">
        <v>767</v>
      </c>
      <c r="E118" s="2946"/>
      <c r="F118" s="2946"/>
      <c r="G118" s="2946">
        <v>1420</v>
      </c>
      <c r="H118" s="2946"/>
    </row>
    <row r="119" spans="1:8">
      <c r="A119" s="2952"/>
      <c r="B119" s="2952"/>
      <c r="C119" s="2952"/>
      <c r="D119" s="2952"/>
      <c r="E119" s="2952"/>
      <c r="F119" s="2952"/>
      <c r="G119" s="2952"/>
      <c r="H119" s="2952"/>
    </row>
    <row r="120" spans="1:8">
      <c r="A120" s="2943" t="s">
        <v>1662</v>
      </c>
      <c r="B120" s="2943"/>
      <c r="C120" s="2943"/>
      <c r="D120" s="2943"/>
      <c r="E120" s="2943"/>
      <c r="F120" s="2943"/>
      <c r="G120" s="2943"/>
      <c r="H120" s="2943"/>
    </row>
    <row r="121" spans="1:8">
      <c r="A121" s="2940" t="s">
        <v>1663</v>
      </c>
      <c r="B121" s="2940"/>
      <c r="C121" s="2940"/>
      <c r="D121" s="2940"/>
      <c r="E121" s="2940"/>
      <c r="F121" s="2940"/>
      <c r="G121" s="2940"/>
      <c r="H121" s="2940"/>
    </row>
    <row r="122" spans="1:8">
      <c r="A122" s="2940" t="s">
        <v>1664</v>
      </c>
      <c r="B122" s="2940"/>
      <c r="C122" s="2940"/>
      <c r="D122" s="2940"/>
      <c r="E122" s="2940"/>
      <c r="F122" s="2940"/>
      <c r="G122" s="2940"/>
      <c r="H122" s="2940"/>
    </row>
    <row r="123" spans="1:8">
      <c r="A123" s="2940" t="s">
        <v>1665</v>
      </c>
      <c r="B123" s="2940"/>
      <c r="C123" s="2940"/>
      <c r="D123" s="2940"/>
      <c r="E123" s="2940"/>
      <c r="F123" s="2940"/>
      <c r="G123" s="2940"/>
      <c r="H123" s="2940"/>
    </row>
    <row r="124" spans="1:8">
      <c r="A124" s="2935"/>
      <c r="B124" s="2935"/>
      <c r="C124" s="2935"/>
      <c r="D124" s="2935"/>
      <c r="E124" s="2935"/>
      <c r="F124" s="2935"/>
      <c r="G124" s="2935"/>
      <c r="H124" s="2935"/>
    </row>
    <row r="125" spans="1:8" ht="15.75">
      <c r="A125" s="2941" t="s">
        <v>1470</v>
      </c>
      <c r="B125" s="2935"/>
      <c r="C125" s="2935"/>
      <c r="D125" s="2935"/>
      <c r="E125" s="2935"/>
      <c r="F125" s="2935"/>
      <c r="G125" s="2935"/>
      <c r="H125" s="2935"/>
    </row>
    <row r="126" spans="1:8">
      <c r="A126" s="2935"/>
      <c r="B126" s="2935"/>
      <c r="C126" s="2935"/>
      <c r="D126" s="2935"/>
      <c r="E126" s="2935"/>
      <c r="F126" s="2935"/>
      <c r="G126" s="2935"/>
      <c r="H126" s="2935"/>
    </row>
    <row r="127" spans="1:8">
      <c r="A127" s="2940" t="s">
        <v>1660</v>
      </c>
      <c r="B127" s="2935"/>
      <c r="C127" s="2935"/>
      <c r="D127" s="2935"/>
      <c r="E127" s="2935"/>
      <c r="F127" s="2935"/>
      <c r="G127" s="2935"/>
      <c r="H127" s="2935"/>
    </row>
    <row r="128" spans="1:8">
      <c r="A128" s="2940" t="s">
        <v>1661</v>
      </c>
      <c r="B128" s="2935"/>
      <c r="C128" s="2935"/>
      <c r="D128" s="2935"/>
      <c r="E128" s="2935"/>
      <c r="F128" s="2935"/>
      <c r="G128" s="2935"/>
      <c r="H128" s="2935"/>
    </row>
    <row r="129" spans="1:8">
      <c r="A129" s="2935"/>
      <c r="B129" s="2935"/>
      <c r="C129" s="2935"/>
      <c r="D129" s="2935"/>
      <c r="E129" s="2935"/>
      <c r="F129" s="2935"/>
      <c r="G129" s="2935"/>
      <c r="H129" s="2935"/>
    </row>
    <row r="130" spans="1:8">
      <c r="A130" s="2940" t="s">
        <v>1657</v>
      </c>
      <c r="B130" s="2935"/>
      <c r="C130" s="2935"/>
      <c r="D130" s="2935"/>
      <c r="E130" s="2935"/>
      <c r="F130" s="2935"/>
      <c r="G130" s="2935"/>
      <c r="H130" s="2935"/>
    </row>
    <row r="131" spans="1:8">
      <c r="A131" s="2940" t="s">
        <v>1658</v>
      </c>
      <c r="B131" s="2935"/>
      <c r="C131" s="2935"/>
      <c r="D131" s="2935"/>
      <c r="E131" s="2935"/>
      <c r="F131" s="2935"/>
      <c r="G131" s="2935"/>
      <c r="H131" s="2935"/>
    </row>
    <row r="132" spans="1:8">
      <c r="A132" s="2940" t="s">
        <v>1659</v>
      </c>
      <c r="B132" s="2935"/>
      <c r="C132" s="2935"/>
      <c r="D132" s="2935"/>
      <c r="E132" s="2935"/>
      <c r="F132" s="2935"/>
      <c r="G132" s="2935"/>
      <c r="H132" s="2935"/>
    </row>
    <row r="133" spans="1:8">
      <c r="A133" s="2935"/>
      <c r="B133" s="2935"/>
      <c r="C133" s="2935"/>
      <c r="D133" s="2935"/>
      <c r="E133" s="2935"/>
      <c r="F133" s="2935"/>
      <c r="G133" s="2935"/>
      <c r="H133" s="2935"/>
    </row>
    <row r="134" spans="1:8">
      <c r="A134" s="2940" t="s">
        <v>1654</v>
      </c>
      <c r="B134" s="2935"/>
      <c r="C134" s="2935"/>
      <c r="D134" s="2935"/>
      <c r="E134" s="2935"/>
      <c r="F134" s="2935"/>
      <c r="G134" s="2935"/>
      <c r="H134" s="2935"/>
    </row>
    <row r="135" spans="1:8">
      <c r="A135" s="2940" t="s">
        <v>1655</v>
      </c>
      <c r="B135" s="2935"/>
      <c r="C135" s="2935"/>
      <c r="D135" s="2935"/>
      <c r="E135" s="2935"/>
      <c r="F135" s="2935"/>
      <c r="G135" s="2935"/>
      <c r="H135" s="2935"/>
    </row>
    <row r="136" spans="1:8">
      <c r="A136" s="2940" t="s">
        <v>1656</v>
      </c>
      <c r="B136" s="2935"/>
      <c r="C136" s="2935"/>
      <c r="D136" s="2935"/>
      <c r="E136" s="2935"/>
      <c r="F136" s="2935"/>
      <c r="G136" s="2935"/>
      <c r="H136" s="2935"/>
    </row>
    <row r="137" spans="1:8">
      <c r="A137" s="2935"/>
      <c r="B137" s="2935"/>
      <c r="C137" s="2935"/>
      <c r="D137" s="2935"/>
      <c r="E137" s="2935"/>
      <c r="F137" s="2935"/>
      <c r="G137" s="2935"/>
      <c r="H137" s="2935"/>
    </row>
    <row r="138" spans="1:8">
      <c r="A138" s="2940" t="s">
        <v>1651</v>
      </c>
      <c r="B138" s="2935"/>
      <c r="C138" s="2935"/>
      <c r="D138" s="2935"/>
      <c r="E138" s="2935"/>
      <c r="F138" s="2935"/>
      <c r="G138" s="2935"/>
      <c r="H138" s="2935"/>
    </row>
    <row r="139" spans="1:8">
      <c r="A139" s="2940" t="s">
        <v>1652</v>
      </c>
      <c r="B139" s="2935"/>
      <c r="C139" s="2935"/>
      <c r="D139" s="2935"/>
      <c r="E139" s="2935"/>
      <c r="F139" s="2935"/>
      <c r="G139" s="2935"/>
      <c r="H139" s="2935"/>
    </row>
    <row r="140" spans="1:8">
      <c r="A140" s="2940" t="s">
        <v>1653</v>
      </c>
      <c r="B140" s="2935"/>
      <c r="C140" s="2935"/>
      <c r="D140" s="2935"/>
      <c r="E140" s="2935"/>
      <c r="F140" s="2935"/>
      <c r="G140" s="2935"/>
      <c r="H140" s="2935"/>
    </row>
    <row r="141" spans="1:8">
      <c r="A141" s="2935"/>
      <c r="B141" s="2935"/>
      <c r="C141" s="2935"/>
      <c r="D141" s="2935"/>
      <c r="E141" s="2935"/>
      <c r="F141" s="2935"/>
      <c r="G141" s="2935"/>
      <c r="H141" s="2935"/>
    </row>
    <row r="142" spans="1:8">
      <c r="A142" s="2940" t="s">
        <v>1649</v>
      </c>
      <c r="B142" s="2935"/>
      <c r="C142" s="2935"/>
      <c r="D142" s="2935"/>
      <c r="E142" s="2935"/>
      <c r="F142" s="2935"/>
      <c r="G142" s="2935"/>
      <c r="H142" s="2935"/>
    </row>
    <row r="143" spans="1:8">
      <c r="A143" s="2940" t="s">
        <v>1650</v>
      </c>
      <c r="B143" s="2935"/>
      <c r="C143" s="2935"/>
      <c r="D143" s="2935"/>
      <c r="E143" s="2935"/>
      <c r="F143" s="2935"/>
      <c r="G143" s="2935"/>
      <c r="H143" s="2935"/>
    </row>
    <row r="144" spans="1:8">
      <c r="A144" s="2935"/>
      <c r="B144" s="2935"/>
      <c r="C144" s="2935"/>
      <c r="D144" s="2935"/>
      <c r="E144" s="2935"/>
      <c r="F144" s="2935"/>
      <c r="G144" s="2935"/>
      <c r="H144" s="2935"/>
    </row>
    <row r="145" spans="1:8" ht="15.75">
      <c r="A145" s="2941" t="s">
        <v>1471</v>
      </c>
      <c r="B145" s="2935"/>
      <c r="C145" s="2935"/>
      <c r="D145" s="2935"/>
      <c r="E145" s="2935"/>
      <c r="F145" s="2935"/>
      <c r="G145" s="2935"/>
      <c r="H145" s="2935"/>
    </row>
    <row r="146" spans="1:8">
      <c r="A146" s="2935"/>
      <c r="B146" s="2935"/>
      <c r="C146" s="2935"/>
      <c r="D146" s="2935"/>
      <c r="E146" s="2935"/>
      <c r="F146" s="2935"/>
      <c r="G146" s="2935"/>
      <c r="H146" s="2935"/>
    </row>
    <row r="147" spans="1:8">
      <c r="A147" s="2940" t="s">
        <v>1647</v>
      </c>
      <c r="B147" s="2935"/>
      <c r="C147" s="2935"/>
      <c r="D147" s="2935"/>
      <c r="E147" s="2935"/>
      <c r="F147" s="2935"/>
      <c r="G147" s="2935"/>
      <c r="H147" s="2935"/>
    </row>
    <row r="148" spans="1:8">
      <c r="A148" s="2940" t="s">
        <v>1648</v>
      </c>
      <c r="B148" s="2935"/>
      <c r="C148" s="2935"/>
      <c r="D148" s="2935"/>
      <c r="E148" s="2935"/>
      <c r="F148" s="2935"/>
      <c r="G148" s="2935"/>
      <c r="H148" s="2935"/>
    </row>
    <row r="149" spans="1:8">
      <c r="A149" s="2935"/>
      <c r="B149" s="2935"/>
      <c r="C149" s="2935"/>
      <c r="D149" s="2935"/>
      <c r="E149" s="2935"/>
      <c r="F149" s="2935"/>
      <c r="G149" s="2935"/>
      <c r="H149" s="2935"/>
    </row>
    <row r="150" spans="1:8">
      <c r="A150" s="2940" t="s">
        <v>1645</v>
      </c>
      <c r="B150" s="2935"/>
      <c r="C150" s="2935"/>
      <c r="D150" s="2935"/>
      <c r="E150" s="2935"/>
      <c r="F150" s="2935"/>
      <c r="G150" s="2935"/>
      <c r="H150" s="2935"/>
    </row>
    <row r="151" spans="1:8">
      <c r="A151" s="2940" t="s">
        <v>1646</v>
      </c>
      <c r="B151" s="2935"/>
      <c r="C151" s="2935"/>
      <c r="D151" s="2935"/>
      <c r="E151" s="2935"/>
      <c r="F151" s="2935"/>
      <c r="G151" s="2935"/>
      <c r="H151" s="2935"/>
    </row>
    <row r="152" spans="1:8">
      <c r="A152" s="2935"/>
      <c r="B152" s="2935"/>
      <c r="C152" s="2935"/>
      <c r="D152" s="2935"/>
      <c r="E152" s="2935"/>
      <c r="F152" s="2935"/>
      <c r="G152" s="2935"/>
      <c r="H152" s="2935"/>
    </row>
    <row r="153" spans="1:8">
      <c r="A153" s="2940" t="s">
        <v>1643</v>
      </c>
      <c r="B153" s="2935"/>
      <c r="C153" s="2935"/>
      <c r="D153" s="2935"/>
      <c r="E153" s="2935"/>
      <c r="F153" s="2935"/>
      <c r="G153" s="2935"/>
      <c r="H153" s="2935"/>
    </row>
    <row r="154" spans="1:8">
      <c r="A154" s="2940" t="s">
        <v>1644</v>
      </c>
      <c r="B154" s="2935"/>
      <c r="C154" s="2935"/>
      <c r="D154" s="2935"/>
      <c r="E154" s="2935"/>
      <c r="F154" s="2935"/>
      <c r="G154" s="2935"/>
      <c r="H154" s="2935"/>
    </row>
    <row r="155" spans="1:8">
      <c r="A155" s="2935"/>
      <c r="B155" s="2935"/>
      <c r="C155" s="2935"/>
      <c r="D155" s="2935"/>
      <c r="E155" s="2935"/>
      <c r="F155" s="2935"/>
      <c r="G155" s="2935"/>
      <c r="H155" s="2935"/>
    </row>
    <row r="156" spans="1:8">
      <c r="A156" s="2940" t="s">
        <v>1640</v>
      </c>
      <c r="B156" s="2935"/>
      <c r="C156" s="2935"/>
      <c r="D156" s="2935"/>
      <c r="E156" s="2935"/>
      <c r="F156" s="2935"/>
      <c r="G156" s="2935"/>
      <c r="H156" s="2935"/>
    </row>
    <row r="157" spans="1:8">
      <c r="A157" s="2940" t="s">
        <v>1641</v>
      </c>
      <c r="B157" s="2935"/>
      <c r="C157" s="2935"/>
      <c r="D157" s="2935"/>
      <c r="E157" s="2935"/>
      <c r="F157" s="2935"/>
      <c r="G157" s="2935"/>
      <c r="H157" s="2935"/>
    </row>
    <row r="158" spans="1:8">
      <c r="A158" s="2940" t="s">
        <v>1642</v>
      </c>
      <c r="B158" s="2935"/>
      <c r="C158" s="2935"/>
      <c r="D158" s="2935"/>
      <c r="E158" s="2935"/>
      <c r="F158" s="2935"/>
      <c r="G158" s="2935"/>
      <c r="H158" s="2935"/>
    </row>
    <row r="159" spans="1:8">
      <c r="A159" s="2935"/>
      <c r="B159" s="2935"/>
      <c r="C159" s="2935"/>
      <c r="D159" s="2935"/>
      <c r="E159" s="2935"/>
      <c r="F159" s="2935"/>
      <c r="G159" s="2935"/>
      <c r="H159" s="2935"/>
    </row>
    <row r="160" spans="1:8">
      <c r="A160" s="2935"/>
      <c r="B160" s="2935"/>
      <c r="C160" s="2935"/>
      <c r="D160" s="2935"/>
      <c r="E160" s="2935"/>
      <c r="F160" s="2935"/>
      <c r="G160" s="2935"/>
      <c r="H160" s="2935"/>
    </row>
    <row r="161" spans="1:8">
      <c r="A161" s="2940" t="s">
        <v>1472</v>
      </c>
      <c r="B161" s="2935"/>
      <c r="C161" s="2935"/>
      <c r="D161" s="2935"/>
      <c r="E161" s="2935"/>
      <c r="F161" s="2935"/>
      <c r="G161" s="2935"/>
      <c r="H161" s="2935"/>
    </row>
    <row r="162" spans="1:8">
      <c r="A162" s="2935"/>
      <c r="B162" s="2935"/>
      <c r="C162" s="2935"/>
      <c r="D162" s="2935"/>
      <c r="E162" s="2935"/>
      <c r="F162" s="2935"/>
      <c r="G162" s="2935"/>
      <c r="H162" s="2935"/>
    </row>
    <row r="163" spans="1:8" ht="15.75">
      <c r="A163" s="2941" t="s">
        <v>1473</v>
      </c>
      <c r="B163" s="2935"/>
      <c r="C163" s="2935"/>
      <c r="D163" s="2935"/>
      <c r="E163" s="2935"/>
      <c r="F163" s="2935"/>
      <c r="G163" s="2935"/>
      <c r="H163" s="2935"/>
    </row>
    <row r="164" spans="1:8">
      <c r="A164" s="2935"/>
      <c r="B164" s="2935"/>
      <c r="C164" s="2935"/>
      <c r="D164" s="2935"/>
      <c r="E164" s="2935"/>
      <c r="F164" s="2935"/>
      <c r="G164" s="2935"/>
      <c r="H164" s="2935"/>
    </row>
    <row r="165" spans="1:8">
      <c r="A165" s="2935"/>
      <c r="B165" s="2935"/>
      <c r="C165" s="2935"/>
      <c r="D165" s="2935"/>
      <c r="E165" s="2935"/>
      <c r="F165" s="2935"/>
      <c r="G165" s="2935"/>
      <c r="H165" s="2935"/>
    </row>
    <row r="166" spans="1:8">
      <c r="A166" s="2935"/>
      <c r="B166" s="2935"/>
      <c r="C166" s="2935"/>
      <c r="D166" s="2935"/>
      <c r="E166" s="2935"/>
      <c r="F166" s="2935"/>
      <c r="G166" s="2935"/>
      <c r="H166" s="2935"/>
    </row>
    <row r="167" spans="1:8">
      <c r="A167" s="2935"/>
      <c r="B167" s="2935"/>
      <c r="C167" s="2935"/>
      <c r="D167" s="2935"/>
      <c r="E167" s="2935"/>
      <c r="F167" s="2935"/>
      <c r="G167" s="2935"/>
      <c r="H167" s="2935"/>
    </row>
    <row r="168" spans="1:8">
      <c r="A168" s="2935"/>
      <c r="B168" s="2935"/>
      <c r="C168" s="2935"/>
      <c r="D168" s="2935"/>
      <c r="E168" s="2935"/>
      <c r="F168" s="2935"/>
      <c r="G168" s="2935"/>
      <c r="H168" s="2935"/>
    </row>
    <row r="169" spans="1:8">
      <c r="A169" s="2935"/>
      <c r="B169" s="2935"/>
      <c r="C169" s="2935"/>
      <c r="D169" s="2935"/>
      <c r="E169" s="2935"/>
      <c r="F169" s="2935"/>
      <c r="G169" s="2935"/>
      <c r="H169" s="2935"/>
    </row>
    <row r="170" spans="1:8">
      <c r="A170" s="2935"/>
      <c r="B170" s="2935"/>
      <c r="C170" s="2935"/>
      <c r="D170" s="2935"/>
      <c r="E170" s="2935"/>
      <c r="F170" s="2935"/>
      <c r="G170" s="2935"/>
      <c r="H170" s="2935"/>
    </row>
    <row r="171" spans="1:8">
      <c r="A171" s="2935"/>
      <c r="B171" s="2935"/>
      <c r="C171" s="2935"/>
      <c r="D171" s="2935"/>
      <c r="E171" s="2935"/>
      <c r="F171" s="2935"/>
      <c r="G171" s="2935"/>
      <c r="H171" s="2935"/>
    </row>
    <row r="172" spans="1:8">
      <c r="A172" s="2935"/>
      <c r="B172" s="2935"/>
      <c r="C172" s="2935"/>
      <c r="D172" s="2935"/>
      <c r="E172" s="2935"/>
      <c r="F172" s="2935"/>
      <c r="G172" s="2935"/>
      <c r="H172" s="2935"/>
    </row>
    <row r="173" spans="1:8">
      <c r="A173" s="2935"/>
      <c r="B173" s="2935"/>
      <c r="C173" s="2935"/>
      <c r="D173" s="2935"/>
      <c r="E173" s="2935"/>
      <c r="F173" s="2935"/>
      <c r="G173" s="2935"/>
      <c r="H173" s="2935"/>
    </row>
    <row r="174" spans="1:8">
      <c r="A174" s="2935"/>
      <c r="B174" s="2935"/>
      <c r="C174" s="2935"/>
      <c r="D174" s="2935"/>
      <c r="E174" s="2935"/>
      <c r="F174" s="2935"/>
      <c r="G174" s="2935"/>
      <c r="H174" s="2935"/>
    </row>
    <row r="175" spans="1:8">
      <c r="A175" s="2935"/>
      <c r="B175" s="2935"/>
      <c r="C175" s="2935"/>
      <c r="D175" s="2935"/>
      <c r="E175" s="2935"/>
      <c r="F175" s="2935"/>
      <c r="G175" s="2935"/>
      <c r="H175" s="2935"/>
    </row>
    <row r="176" spans="1:8">
      <c r="A176" s="2935"/>
      <c r="B176" s="2935"/>
      <c r="C176" s="2935"/>
      <c r="D176" s="2935"/>
      <c r="E176" s="2935"/>
      <c r="F176" s="2935"/>
      <c r="G176" s="2935"/>
      <c r="H176" s="2935"/>
    </row>
    <row r="177" spans="1:8">
      <c r="A177" s="2935"/>
      <c r="B177" s="2935"/>
      <c r="C177" s="2935"/>
      <c r="D177" s="2935"/>
      <c r="E177" s="2935"/>
      <c r="F177" s="2935"/>
      <c r="G177" s="2935"/>
      <c r="H177" s="2935"/>
    </row>
    <row r="178" spans="1:8">
      <c r="A178" s="2935"/>
      <c r="B178" s="2935"/>
      <c r="C178" s="2935"/>
      <c r="D178" s="2935"/>
      <c r="E178" s="2935"/>
      <c r="F178" s="2935"/>
      <c r="G178" s="2935"/>
      <c r="H178" s="2935"/>
    </row>
    <row r="179" spans="1:8">
      <c r="A179" s="2935"/>
      <c r="B179" s="2935"/>
      <c r="C179" s="2935"/>
      <c r="D179" s="2935"/>
      <c r="E179" s="2935"/>
      <c r="F179" s="2935"/>
      <c r="G179" s="2935"/>
      <c r="H179" s="2935"/>
    </row>
    <row r="180" spans="1:8">
      <c r="A180" s="2935"/>
      <c r="B180" s="2935"/>
      <c r="C180" s="2935"/>
      <c r="D180" s="2935"/>
      <c r="E180" s="2935"/>
      <c r="F180" s="2935"/>
      <c r="G180" s="2935"/>
      <c r="H180" s="2935"/>
    </row>
    <row r="181" spans="1:8">
      <c r="A181" s="2935"/>
      <c r="B181" s="2935"/>
      <c r="C181" s="2935"/>
      <c r="D181" s="2935"/>
      <c r="E181" s="2935"/>
      <c r="F181" s="2935"/>
      <c r="G181" s="2935"/>
      <c r="H181" s="2935"/>
    </row>
    <row r="182" spans="1:8">
      <c r="A182" s="2935"/>
      <c r="B182" s="2935"/>
      <c r="C182" s="2935"/>
      <c r="D182" s="2935"/>
      <c r="E182" s="2935"/>
      <c r="F182" s="2935"/>
      <c r="G182" s="2935"/>
      <c r="H182" s="2935"/>
    </row>
    <row r="183" spans="1:8">
      <c r="A183" s="2935"/>
      <c r="B183" s="2935"/>
      <c r="C183" s="2935"/>
      <c r="D183" s="2935"/>
      <c r="E183" s="2935"/>
      <c r="F183" s="2935"/>
      <c r="G183" s="2935"/>
      <c r="H183" s="2935"/>
    </row>
    <row r="184" spans="1:8">
      <c r="A184" s="2935"/>
      <c r="B184" s="2935"/>
      <c r="C184" s="2935"/>
      <c r="D184" s="2935"/>
      <c r="E184" s="2935"/>
      <c r="F184" s="2935"/>
      <c r="G184" s="2935"/>
      <c r="H184" s="2935"/>
    </row>
    <row r="185" spans="1:8">
      <c r="A185" s="2935"/>
      <c r="B185" s="2935"/>
      <c r="C185" s="2935"/>
      <c r="D185" s="2935"/>
      <c r="E185" s="2935"/>
      <c r="F185" s="2935"/>
      <c r="G185" s="2935"/>
      <c r="H185" s="2935"/>
    </row>
    <row r="186" spans="1:8">
      <c r="A186" s="2935"/>
      <c r="B186" s="2935"/>
      <c r="C186" s="2935"/>
      <c r="D186" s="2935"/>
      <c r="E186" s="2935"/>
      <c r="F186" s="2935"/>
      <c r="G186" s="2935"/>
      <c r="H186" s="2935"/>
    </row>
    <row r="187" spans="1:8">
      <c r="A187" s="2935"/>
      <c r="B187" s="2935"/>
      <c r="C187" s="2935"/>
      <c r="D187" s="2935"/>
      <c r="E187" s="2935"/>
      <c r="F187" s="2935"/>
      <c r="G187" s="2935"/>
      <c r="H187" s="2935"/>
    </row>
    <row r="188" spans="1:8">
      <c r="A188" s="2935"/>
      <c r="B188" s="2935"/>
      <c r="C188" s="2935"/>
      <c r="D188" s="2935"/>
      <c r="E188" s="2935"/>
      <c r="F188" s="2935"/>
      <c r="G188" s="2935"/>
      <c r="H188" s="2935"/>
    </row>
    <row r="189" spans="1:8">
      <c r="A189" s="2935"/>
      <c r="B189" s="2935"/>
      <c r="C189" s="2935"/>
      <c r="D189" s="2935"/>
      <c r="E189" s="2935"/>
      <c r="F189" s="2935"/>
      <c r="G189" s="2935"/>
      <c r="H189" s="2935"/>
    </row>
    <row r="190" spans="1:8" ht="15.75">
      <c r="A190" s="2941" t="s">
        <v>1474</v>
      </c>
      <c r="B190" s="2935"/>
      <c r="C190" s="2935"/>
      <c r="D190" s="2935"/>
      <c r="E190" s="2935"/>
      <c r="F190" s="2935"/>
      <c r="G190" s="2935"/>
      <c r="H190" s="2935"/>
    </row>
    <row r="191" spans="1:8">
      <c r="A191" s="2935"/>
      <c r="B191" s="2935"/>
      <c r="C191" s="2935"/>
      <c r="D191" s="2935"/>
      <c r="E191" s="2935"/>
      <c r="F191" s="2935"/>
      <c r="G191" s="2935"/>
      <c r="H191" s="2935"/>
    </row>
    <row r="192" spans="1:8">
      <c r="A192" s="2940" t="s">
        <v>1635</v>
      </c>
      <c r="B192" s="2935"/>
      <c r="C192" s="2935"/>
      <c r="D192" s="2935"/>
      <c r="E192" s="2935"/>
      <c r="F192" s="2935"/>
      <c r="G192" s="2935"/>
      <c r="H192" s="2935"/>
    </row>
    <row r="193" spans="1:8">
      <c r="A193" s="2940" t="s">
        <v>1636</v>
      </c>
      <c r="B193" s="2935"/>
      <c r="C193" s="2935"/>
      <c r="D193" s="2935"/>
      <c r="E193" s="2935"/>
      <c r="F193" s="2935"/>
      <c r="G193" s="2935"/>
      <c r="H193" s="2935"/>
    </row>
    <row r="194" spans="1:8">
      <c r="A194" s="2940" t="s">
        <v>1637</v>
      </c>
      <c r="B194" s="2935"/>
      <c r="C194" s="2935"/>
      <c r="D194" s="2935"/>
      <c r="E194" s="2935"/>
      <c r="F194" s="2935"/>
      <c r="G194" s="2935"/>
      <c r="H194" s="2935"/>
    </row>
    <row r="195" spans="1:8">
      <c r="A195" s="2940" t="s">
        <v>1638</v>
      </c>
      <c r="B195" s="2935"/>
      <c r="C195" s="2935"/>
      <c r="D195" s="2935"/>
      <c r="E195" s="2935"/>
      <c r="F195" s="2935"/>
      <c r="G195" s="2935"/>
      <c r="H195" s="2935"/>
    </row>
    <row r="196" spans="1:8">
      <c r="A196" s="2940" t="s">
        <v>1639</v>
      </c>
      <c r="B196" s="2935"/>
      <c r="C196" s="2935"/>
      <c r="D196" s="2935"/>
      <c r="E196" s="2935"/>
      <c r="F196" s="2935"/>
      <c r="G196" s="2935"/>
      <c r="H196" s="2935"/>
    </row>
    <row r="197" spans="1:8">
      <c r="A197" s="2935"/>
      <c r="B197" s="2935"/>
      <c r="C197" s="2935"/>
      <c r="D197" s="2935"/>
      <c r="E197" s="2935"/>
      <c r="F197" s="2935"/>
      <c r="G197" s="2935"/>
      <c r="H197" s="2935"/>
    </row>
    <row r="198" spans="1:8">
      <c r="A198" s="2940" t="s">
        <v>1632</v>
      </c>
      <c r="B198" s="2935"/>
      <c r="C198" s="2935"/>
      <c r="D198" s="2935"/>
      <c r="E198" s="2935"/>
      <c r="F198" s="2935"/>
      <c r="G198" s="2935"/>
      <c r="H198" s="2935"/>
    </row>
    <row r="199" spans="1:8">
      <c r="A199" s="2940" t="s">
        <v>1633</v>
      </c>
      <c r="B199" s="2935"/>
      <c r="C199" s="2935"/>
      <c r="D199" s="2935"/>
      <c r="E199" s="2935"/>
      <c r="F199" s="2935"/>
      <c r="G199" s="2935"/>
      <c r="H199" s="2935"/>
    </row>
    <row r="200" spans="1:8">
      <c r="A200" s="2940" t="s">
        <v>1634</v>
      </c>
      <c r="B200" s="2935"/>
      <c r="C200" s="2935"/>
      <c r="D200" s="2935"/>
      <c r="E200" s="2935"/>
      <c r="F200" s="2935"/>
      <c r="G200" s="2935"/>
      <c r="H200" s="2935"/>
    </row>
    <row r="201" spans="1:8" ht="15.75">
      <c r="A201" s="2941" t="s">
        <v>1475</v>
      </c>
      <c r="B201" s="2935"/>
      <c r="C201" s="2935"/>
      <c r="D201" s="2935"/>
      <c r="E201" s="2935"/>
      <c r="F201" s="2935"/>
      <c r="G201" s="2935"/>
      <c r="H201" s="2935"/>
    </row>
    <row r="202" spans="1:8">
      <c r="A202" s="2935"/>
      <c r="B202" s="2935"/>
      <c r="C202" s="2935"/>
      <c r="D202" s="2935"/>
      <c r="E202" s="2935"/>
      <c r="F202" s="2935"/>
      <c r="G202" s="2935"/>
      <c r="H202" s="2935"/>
    </row>
    <row r="203" spans="1:8">
      <c r="A203" s="2940" t="s">
        <v>1630</v>
      </c>
      <c r="B203" s="2935"/>
      <c r="C203" s="2935"/>
      <c r="D203" s="2935"/>
      <c r="E203" s="2935"/>
      <c r="F203" s="2935"/>
      <c r="G203" s="2935"/>
      <c r="H203" s="2935"/>
    </row>
    <row r="204" spans="1:8">
      <c r="A204" s="2940" t="s">
        <v>1631</v>
      </c>
      <c r="B204" s="2935"/>
      <c r="C204" s="2935"/>
      <c r="D204" s="2935"/>
      <c r="E204" s="2935"/>
      <c r="F204" s="2935"/>
      <c r="G204" s="2935"/>
      <c r="H204" s="2935"/>
    </row>
    <row r="205" spans="1:8">
      <c r="A205" s="2935"/>
      <c r="B205" s="2935"/>
      <c r="C205" s="2935"/>
      <c r="D205" s="2935"/>
      <c r="E205" s="2935"/>
      <c r="F205" s="2935"/>
      <c r="G205" s="2935"/>
      <c r="H205" s="2935"/>
    </row>
    <row r="206" spans="1:8">
      <c r="A206" s="2940" t="s">
        <v>1623</v>
      </c>
      <c r="B206" s="2935"/>
      <c r="C206" s="2935"/>
      <c r="D206" s="2935"/>
      <c r="E206" s="2935"/>
      <c r="F206" s="2935"/>
      <c r="G206" s="2935"/>
      <c r="H206" s="2935"/>
    </row>
    <row r="207" spans="1:8">
      <c r="A207" s="2940" t="s">
        <v>1624</v>
      </c>
      <c r="B207" s="2935"/>
      <c r="C207" s="2935"/>
      <c r="D207" s="2935"/>
      <c r="E207" s="2935"/>
      <c r="F207" s="2935"/>
      <c r="G207" s="2935"/>
      <c r="H207" s="2935"/>
    </row>
    <row r="208" spans="1:8">
      <c r="A208" s="2940" t="s">
        <v>1625</v>
      </c>
      <c r="B208" s="2935"/>
      <c r="C208" s="2935"/>
      <c r="D208" s="2935"/>
      <c r="E208" s="2935"/>
      <c r="F208" s="2935"/>
      <c r="G208" s="2935"/>
      <c r="H208" s="2935"/>
    </row>
    <row r="209" spans="1:8">
      <c r="A209" s="2940" t="s">
        <v>1626</v>
      </c>
      <c r="B209" s="2935"/>
      <c r="C209" s="2935"/>
      <c r="D209" s="2935"/>
      <c r="E209" s="2935"/>
      <c r="F209" s="2935"/>
      <c r="G209" s="2935"/>
      <c r="H209" s="2935"/>
    </row>
    <row r="210" spans="1:8">
      <c r="A210" s="2940" t="s">
        <v>1627</v>
      </c>
      <c r="B210" s="2935"/>
      <c r="C210" s="2935"/>
      <c r="D210" s="2935"/>
      <c r="E210" s="2935"/>
      <c r="F210" s="2935"/>
      <c r="G210" s="2935"/>
      <c r="H210" s="2935"/>
    </row>
    <row r="211" spans="1:8">
      <c r="A211" s="2940" t="s">
        <v>1628</v>
      </c>
      <c r="B211" s="2935"/>
      <c r="C211" s="2935"/>
      <c r="D211" s="2935"/>
      <c r="E211" s="2935"/>
      <c r="F211" s="2935"/>
      <c r="G211" s="2935"/>
      <c r="H211" s="2935"/>
    </row>
    <row r="212" spans="1:8">
      <c r="A212" s="2940" t="s">
        <v>1629</v>
      </c>
      <c r="B212" s="2935"/>
      <c r="C212" s="2935"/>
      <c r="D212" s="2935"/>
      <c r="E212" s="2935"/>
      <c r="F212" s="2935"/>
      <c r="G212" s="2935"/>
      <c r="H212" s="2935"/>
    </row>
    <row r="213" spans="1:8">
      <c r="A213" s="2935"/>
      <c r="B213" s="2935"/>
      <c r="C213" s="2935"/>
      <c r="D213" s="2935"/>
      <c r="E213" s="2935"/>
      <c r="F213" s="2935"/>
      <c r="G213" s="2935"/>
      <c r="H213" s="2935"/>
    </row>
    <row r="214" spans="1:8">
      <c r="A214" s="2940" t="s">
        <v>1620</v>
      </c>
      <c r="B214" s="2935"/>
      <c r="C214" s="2935"/>
      <c r="D214" s="2935"/>
      <c r="E214" s="2935"/>
      <c r="F214" s="2935"/>
      <c r="G214" s="2935"/>
      <c r="H214" s="2935"/>
    </row>
    <row r="215" spans="1:8">
      <c r="A215" s="2940" t="s">
        <v>1621</v>
      </c>
      <c r="B215" s="2935"/>
      <c r="C215" s="2935"/>
      <c r="D215" s="2935"/>
      <c r="E215" s="2935"/>
      <c r="F215" s="2935"/>
      <c r="G215" s="2935"/>
      <c r="H215" s="2935"/>
    </row>
    <row r="216" spans="1:8">
      <c r="A216" s="2940" t="s">
        <v>1622</v>
      </c>
      <c r="B216" s="2935"/>
      <c r="C216" s="2935"/>
      <c r="D216" s="2935"/>
      <c r="E216" s="2935"/>
      <c r="F216" s="2935"/>
      <c r="G216" s="2935"/>
      <c r="H216" s="2935"/>
    </row>
    <row r="217" spans="1:8">
      <c r="A217" s="2935"/>
      <c r="B217" s="2935"/>
      <c r="C217" s="2935"/>
      <c r="D217" s="2935"/>
      <c r="E217" s="2935"/>
      <c r="F217" s="2935"/>
      <c r="G217" s="2935"/>
      <c r="H217" s="2935"/>
    </row>
    <row r="218" spans="1:8">
      <c r="A218" s="2940" t="s">
        <v>1615</v>
      </c>
      <c r="B218" s="2935"/>
      <c r="C218" s="2935"/>
      <c r="D218" s="2935"/>
      <c r="E218" s="2935"/>
      <c r="F218" s="2935"/>
      <c r="G218" s="2935"/>
      <c r="H218" s="2935"/>
    </row>
    <row r="219" spans="1:8">
      <c r="A219" s="2940" t="s">
        <v>1616</v>
      </c>
      <c r="B219" s="2935"/>
      <c r="C219" s="2935"/>
      <c r="D219" s="2935"/>
      <c r="E219" s="2935"/>
      <c r="F219" s="2935"/>
      <c r="G219" s="2935"/>
      <c r="H219" s="2935"/>
    </row>
    <row r="220" spans="1:8">
      <c r="A220" s="2940" t="s">
        <v>1617</v>
      </c>
      <c r="B220" s="2935"/>
      <c r="C220" s="2935"/>
      <c r="D220" s="2935"/>
      <c r="E220" s="2935"/>
      <c r="F220" s="2935"/>
      <c r="G220" s="2935"/>
      <c r="H220" s="2935"/>
    </row>
    <row r="221" spans="1:8">
      <c r="A221" s="2940" t="s">
        <v>1618</v>
      </c>
      <c r="B221" s="2935"/>
      <c r="C221" s="2935"/>
      <c r="D221" s="2935"/>
      <c r="E221" s="2935"/>
      <c r="F221" s="2935"/>
      <c r="G221" s="2935"/>
      <c r="H221" s="2935"/>
    </row>
    <row r="222" spans="1:8">
      <c r="A222" s="2940" t="s">
        <v>1619</v>
      </c>
      <c r="B222" s="2935"/>
      <c r="C222" s="2935"/>
      <c r="D222" s="2935"/>
      <c r="E222" s="2935"/>
      <c r="F222" s="2935"/>
      <c r="G222" s="2935"/>
      <c r="H222" s="2935"/>
    </row>
    <row r="223" spans="1:8">
      <c r="A223" s="2935"/>
      <c r="B223" s="2935"/>
      <c r="C223" s="2935"/>
      <c r="D223" s="2935"/>
      <c r="E223" s="2935"/>
      <c r="F223" s="2935"/>
      <c r="G223" s="2935"/>
      <c r="H223" s="2935"/>
    </row>
    <row r="224" spans="1:8">
      <c r="A224" s="2940" t="s">
        <v>1609</v>
      </c>
      <c r="B224" s="2935"/>
      <c r="C224" s="2935"/>
      <c r="D224" s="2935"/>
      <c r="E224" s="2935"/>
      <c r="F224" s="2935"/>
      <c r="G224" s="2935"/>
      <c r="H224" s="2935"/>
    </row>
    <row r="225" spans="1:8">
      <c r="A225" s="2940" t="s">
        <v>1610</v>
      </c>
      <c r="B225" s="2935"/>
      <c r="C225" s="2935"/>
      <c r="D225" s="2935"/>
      <c r="E225" s="2935"/>
      <c r="F225" s="2935"/>
      <c r="G225" s="2935"/>
      <c r="H225" s="2935"/>
    </row>
    <row r="226" spans="1:8">
      <c r="A226" s="2940" t="s">
        <v>1611</v>
      </c>
      <c r="B226" s="2935"/>
      <c r="C226" s="2935"/>
      <c r="D226" s="2935"/>
      <c r="E226" s="2935"/>
      <c r="F226" s="2935"/>
      <c r="G226" s="2935"/>
      <c r="H226" s="2935"/>
    </row>
    <row r="227" spans="1:8">
      <c r="A227" s="2940" t="s">
        <v>1612</v>
      </c>
      <c r="B227" s="2935"/>
      <c r="C227" s="2935"/>
      <c r="D227" s="2935"/>
      <c r="E227" s="2935"/>
      <c r="F227" s="2935"/>
      <c r="G227" s="2935"/>
      <c r="H227" s="2935"/>
    </row>
    <row r="228" spans="1:8">
      <c r="A228" s="2940" t="s">
        <v>1613</v>
      </c>
      <c r="B228" s="2935"/>
      <c r="C228" s="2935"/>
      <c r="D228" s="2935"/>
      <c r="E228" s="2935"/>
      <c r="F228" s="2935"/>
      <c r="G228" s="2935"/>
      <c r="H228" s="2935"/>
    </row>
    <row r="229" spans="1:8">
      <c r="A229" s="2940" t="s">
        <v>1614</v>
      </c>
      <c r="B229" s="2935"/>
      <c r="C229" s="2935"/>
      <c r="D229" s="2935"/>
      <c r="E229" s="2935"/>
      <c r="F229" s="2935"/>
      <c r="G229" s="2935"/>
      <c r="H229" s="2935"/>
    </row>
    <row r="230" spans="1:8">
      <c r="A230" s="2935"/>
      <c r="B230" s="2935"/>
      <c r="C230" s="2935"/>
      <c r="D230" s="2935"/>
      <c r="E230" s="2935"/>
      <c r="F230" s="2935"/>
      <c r="G230" s="2935"/>
      <c r="H230" s="2935"/>
    </row>
    <row r="231" spans="1:8">
      <c r="A231" s="2940" t="s">
        <v>1599</v>
      </c>
      <c r="B231" s="2935"/>
      <c r="C231" s="2935"/>
      <c r="D231" s="2935"/>
      <c r="E231" s="2935"/>
      <c r="F231" s="2935"/>
      <c r="G231" s="2935"/>
      <c r="H231" s="2935"/>
    </row>
    <row r="232" spans="1:8">
      <c r="A232" s="2940" t="s">
        <v>1600</v>
      </c>
      <c r="B232" s="2935"/>
      <c r="C232" s="2935"/>
      <c r="D232" s="2935"/>
      <c r="E232" s="2935"/>
      <c r="F232" s="2935"/>
      <c r="G232" s="2935"/>
      <c r="H232" s="2935"/>
    </row>
    <row r="233" spans="1:8">
      <c r="A233" s="2940" t="s">
        <v>1601</v>
      </c>
      <c r="B233" s="2935"/>
      <c r="C233" s="2935"/>
      <c r="D233" s="2935"/>
      <c r="E233" s="2935"/>
      <c r="F233" s="2935"/>
      <c r="G233" s="2935"/>
      <c r="H233" s="2935"/>
    </row>
    <row r="234" spans="1:8">
      <c r="A234" s="2940" t="s">
        <v>1602</v>
      </c>
      <c r="B234" s="2935"/>
      <c r="C234" s="2935"/>
      <c r="D234" s="2935"/>
      <c r="E234" s="2935"/>
      <c r="F234" s="2935"/>
      <c r="G234" s="2935"/>
      <c r="H234" s="2935"/>
    </row>
    <row r="235" spans="1:8">
      <c r="A235" s="2940" t="s">
        <v>1603</v>
      </c>
      <c r="B235" s="2935"/>
      <c r="C235" s="2935"/>
      <c r="D235" s="2935"/>
      <c r="E235" s="2935"/>
      <c r="F235" s="2935"/>
      <c r="G235" s="2935"/>
      <c r="H235" s="2935"/>
    </row>
    <row r="236" spans="1:8">
      <c r="A236" s="2940" t="s">
        <v>1604</v>
      </c>
      <c r="B236" s="2935"/>
      <c r="C236" s="2935"/>
      <c r="D236" s="2935"/>
      <c r="E236" s="2935"/>
      <c r="F236" s="2935"/>
      <c r="G236" s="2935"/>
      <c r="H236" s="2935"/>
    </row>
    <row r="237" spans="1:8">
      <c r="A237" s="2940" t="s">
        <v>1605</v>
      </c>
      <c r="B237" s="2935"/>
      <c r="C237" s="2935"/>
      <c r="D237" s="2935"/>
      <c r="E237" s="2935"/>
      <c r="F237" s="2935"/>
      <c r="G237" s="2935"/>
      <c r="H237" s="2935"/>
    </row>
    <row r="238" spans="1:8">
      <c r="A238" s="2940" t="s">
        <v>1606</v>
      </c>
      <c r="B238" s="2935"/>
      <c r="C238" s="2935"/>
      <c r="D238" s="2935"/>
      <c r="E238" s="2935"/>
      <c r="F238" s="2935"/>
      <c r="G238" s="2935"/>
      <c r="H238" s="2935"/>
    </row>
    <row r="239" spans="1:8">
      <c r="A239" s="2940" t="s">
        <v>1607</v>
      </c>
      <c r="B239" s="2935"/>
      <c r="C239" s="2935"/>
      <c r="D239" s="2935"/>
      <c r="E239" s="2935"/>
      <c r="F239" s="2935"/>
      <c r="G239" s="2935"/>
      <c r="H239" s="2935"/>
    </row>
    <row r="240" spans="1:8">
      <c r="A240" s="2940" t="s">
        <v>1608</v>
      </c>
      <c r="B240" s="2935"/>
      <c r="C240" s="2935"/>
      <c r="D240" s="2935"/>
      <c r="E240" s="2935"/>
      <c r="F240" s="2935"/>
      <c r="G240" s="2935"/>
      <c r="H240" s="2935"/>
    </row>
    <row r="241" spans="1:8">
      <c r="A241" s="2935"/>
      <c r="B241" s="2935"/>
      <c r="C241" s="2935"/>
      <c r="D241" s="2935"/>
      <c r="E241" s="2935"/>
      <c r="F241" s="2935"/>
      <c r="G241" s="2935"/>
      <c r="H241" s="2935"/>
    </row>
    <row r="242" spans="1:8">
      <c r="A242" s="2940" t="s">
        <v>1597</v>
      </c>
      <c r="B242" s="2935"/>
      <c r="C242" s="2935"/>
      <c r="D242" s="2935"/>
      <c r="E242" s="2935"/>
      <c r="F242" s="2935"/>
      <c r="G242" s="2935"/>
      <c r="H242" s="2935"/>
    </row>
    <row r="243" spans="1:8">
      <c r="A243" s="2940" t="s">
        <v>1598</v>
      </c>
      <c r="B243" s="2935"/>
      <c r="C243" s="2935"/>
      <c r="D243" s="2935"/>
      <c r="E243" s="2935"/>
      <c r="F243" s="2935"/>
      <c r="G243" s="2935"/>
      <c r="H243" s="2935"/>
    </row>
    <row r="244" spans="1:8">
      <c r="A244" s="2935"/>
      <c r="B244" s="2935"/>
      <c r="C244" s="2935"/>
      <c r="D244" s="2935"/>
      <c r="E244" s="2935"/>
      <c r="F244" s="2935"/>
      <c r="G244" s="2935"/>
      <c r="H244" s="2935"/>
    </row>
    <row r="245" spans="1:8">
      <c r="A245" s="2940" t="s">
        <v>1581</v>
      </c>
      <c r="B245" s="2935"/>
      <c r="C245" s="2935"/>
      <c r="D245" s="2935"/>
      <c r="E245" s="2935"/>
      <c r="F245" s="2935"/>
      <c r="G245" s="2935"/>
      <c r="H245" s="2935"/>
    </row>
    <row r="246" spans="1:8">
      <c r="A246" s="2940" t="s">
        <v>1582</v>
      </c>
      <c r="B246" s="2935"/>
      <c r="C246" s="2935"/>
      <c r="D246" s="2935"/>
      <c r="E246" s="2935"/>
      <c r="F246" s="2935"/>
      <c r="G246" s="2935"/>
      <c r="H246" s="2935"/>
    </row>
    <row r="247" spans="1:8">
      <c r="A247" s="2940" t="s">
        <v>1583</v>
      </c>
      <c r="B247" s="2935"/>
      <c r="C247" s="2935"/>
      <c r="D247" s="2935"/>
      <c r="E247" s="2935"/>
      <c r="F247" s="2935"/>
      <c r="G247" s="2935"/>
      <c r="H247" s="2935"/>
    </row>
    <row r="248" spans="1:8">
      <c r="A248" s="2940" t="s">
        <v>1584</v>
      </c>
      <c r="B248" s="2935"/>
      <c r="C248" s="2935"/>
      <c r="D248" s="2935"/>
      <c r="E248" s="2935"/>
      <c r="F248" s="2935"/>
      <c r="G248" s="2935"/>
      <c r="H248" s="2935"/>
    </row>
    <row r="249" spans="1:8">
      <c r="A249" s="2940" t="s">
        <v>1585</v>
      </c>
      <c r="B249" s="2935"/>
      <c r="C249" s="2935"/>
      <c r="D249" s="2935"/>
      <c r="E249" s="2935"/>
      <c r="F249" s="2935"/>
      <c r="G249" s="2935"/>
      <c r="H249" s="2935"/>
    </row>
    <row r="250" spans="1:8">
      <c r="A250" s="2940" t="s">
        <v>1586</v>
      </c>
      <c r="B250" s="2935"/>
      <c r="C250" s="2935"/>
      <c r="D250" s="2935"/>
      <c r="E250" s="2935"/>
      <c r="F250" s="2935"/>
      <c r="G250" s="2935"/>
      <c r="H250" s="2935"/>
    </row>
    <row r="251" spans="1:8">
      <c r="A251" s="2940" t="s">
        <v>1587</v>
      </c>
      <c r="B251" s="2935"/>
      <c r="C251" s="2935"/>
      <c r="D251" s="2935"/>
      <c r="E251" s="2935"/>
      <c r="F251" s="2935"/>
      <c r="G251" s="2935"/>
      <c r="H251" s="2935"/>
    </row>
    <row r="252" spans="1:8">
      <c r="A252" s="2940" t="s">
        <v>1588</v>
      </c>
      <c r="B252" s="2935"/>
      <c r="C252" s="2935"/>
      <c r="D252" s="2935"/>
      <c r="E252" s="2935"/>
      <c r="F252" s="2935"/>
      <c r="G252" s="2935"/>
      <c r="H252" s="2935"/>
    </row>
    <row r="253" spans="1:8">
      <c r="A253" s="2940" t="s">
        <v>1589</v>
      </c>
      <c r="B253" s="2935"/>
      <c r="C253" s="2935"/>
      <c r="D253" s="2935"/>
      <c r="E253" s="2935"/>
      <c r="F253" s="2935"/>
      <c r="G253" s="2935"/>
      <c r="H253" s="2935"/>
    </row>
    <row r="254" spans="1:8">
      <c r="A254" s="2940" t="s">
        <v>1590</v>
      </c>
      <c r="B254" s="2935"/>
      <c r="C254" s="2935"/>
      <c r="D254" s="2935"/>
      <c r="E254" s="2935"/>
      <c r="F254" s="2935"/>
      <c r="G254" s="2935"/>
      <c r="H254" s="2935"/>
    </row>
    <row r="255" spans="1:8">
      <c r="A255" s="2940" t="s">
        <v>1591</v>
      </c>
      <c r="B255" s="2935"/>
      <c r="C255" s="2935"/>
      <c r="D255" s="2935"/>
      <c r="E255" s="2935"/>
      <c r="F255" s="2935"/>
      <c r="G255" s="2935"/>
      <c r="H255" s="2935"/>
    </row>
    <row r="256" spans="1:8">
      <c r="A256" s="2940" t="s">
        <v>1592</v>
      </c>
      <c r="B256" s="2935"/>
      <c r="C256" s="2935"/>
      <c r="D256" s="2935"/>
      <c r="E256" s="2935"/>
      <c r="F256" s="2935"/>
      <c r="G256" s="2935"/>
      <c r="H256" s="2935"/>
    </row>
    <row r="257" spans="1:8">
      <c r="A257" s="2940" t="s">
        <v>1593</v>
      </c>
      <c r="B257" s="2935"/>
      <c r="C257" s="2935"/>
      <c r="D257" s="2935"/>
      <c r="E257" s="2935"/>
      <c r="F257" s="2935"/>
      <c r="G257" s="2935"/>
      <c r="H257" s="2935"/>
    </row>
    <row r="258" spans="1:8">
      <c r="A258" s="2940" t="s">
        <v>1594</v>
      </c>
      <c r="B258" s="2935"/>
      <c r="C258" s="2935"/>
      <c r="D258" s="2935"/>
      <c r="E258" s="2935"/>
      <c r="F258" s="2935"/>
      <c r="G258" s="2935"/>
      <c r="H258" s="2935"/>
    </row>
    <row r="259" spans="1:8">
      <c r="A259" s="2940" t="s">
        <v>1595</v>
      </c>
      <c r="B259" s="2935"/>
      <c r="C259" s="2935"/>
      <c r="D259" s="2935"/>
      <c r="E259" s="2935"/>
      <c r="F259" s="2935"/>
      <c r="G259" s="2935"/>
      <c r="H259" s="2935"/>
    </row>
    <row r="260" spans="1:8">
      <c r="A260" s="2940" t="s">
        <v>1596</v>
      </c>
      <c r="B260" s="2935"/>
      <c r="C260" s="2935"/>
      <c r="D260" s="2935"/>
      <c r="E260" s="2935"/>
      <c r="F260" s="2935"/>
      <c r="G260" s="2935"/>
      <c r="H260" s="2935"/>
    </row>
    <row r="261" spans="1:8">
      <c r="A261" s="2935"/>
      <c r="B261" s="2935"/>
      <c r="C261" s="2935"/>
      <c r="D261" s="2935"/>
      <c r="E261" s="2935"/>
      <c r="F261" s="2935"/>
      <c r="G261" s="2935"/>
      <c r="H261" s="2935"/>
    </row>
    <row r="262" spans="1:8">
      <c r="A262" s="2940" t="s">
        <v>1574</v>
      </c>
      <c r="B262" s="2935"/>
      <c r="C262" s="2935"/>
      <c r="D262" s="2935"/>
      <c r="E262" s="2935"/>
      <c r="F262" s="2935"/>
      <c r="G262" s="2935"/>
      <c r="H262" s="2935"/>
    </row>
    <row r="263" spans="1:8">
      <c r="A263" s="2940" t="s">
        <v>1575</v>
      </c>
      <c r="B263" s="2935"/>
      <c r="C263" s="2935"/>
      <c r="D263" s="2935"/>
      <c r="E263" s="2935"/>
      <c r="F263" s="2935"/>
      <c r="G263" s="2935"/>
      <c r="H263" s="2935"/>
    </row>
    <row r="264" spans="1:8">
      <c r="A264" s="2940" t="s">
        <v>1576</v>
      </c>
      <c r="B264" s="2935"/>
      <c r="C264" s="2935"/>
      <c r="D264" s="2935"/>
      <c r="E264" s="2935"/>
      <c r="F264" s="2935"/>
      <c r="G264" s="2935"/>
      <c r="H264" s="2935"/>
    </row>
    <row r="265" spans="1:8">
      <c r="A265" s="2940" t="s">
        <v>1577</v>
      </c>
      <c r="B265" s="2935"/>
      <c r="C265" s="2935"/>
      <c r="D265" s="2935"/>
      <c r="E265" s="2935"/>
      <c r="F265" s="2935"/>
      <c r="G265" s="2935"/>
      <c r="H265" s="2935"/>
    </row>
    <row r="266" spans="1:8">
      <c r="A266" s="2940" t="s">
        <v>1578</v>
      </c>
      <c r="B266" s="2935"/>
      <c r="C266" s="2935"/>
      <c r="D266" s="2935"/>
      <c r="E266" s="2935"/>
      <c r="F266" s="2935"/>
      <c r="G266" s="2935"/>
      <c r="H266" s="2935"/>
    </row>
    <row r="267" spans="1:8">
      <c r="A267" s="2940" t="s">
        <v>1579</v>
      </c>
      <c r="B267" s="2935"/>
      <c r="C267" s="2935"/>
      <c r="D267" s="2935"/>
      <c r="E267" s="2935"/>
      <c r="F267" s="2935"/>
      <c r="G267" s="2935"/>
      <c r="H267" s="2935"/>
    </row>
    <row r="268" spans="1:8">
      <c r="A268" s="2940" t="s">
        <v>1580</v>
      </c>
      <c r="B268" s="2935"/>
      <c r="C268" s="2935"/>
      <c r="D268" s="2935"/>
      <c r="E268" s="2935"/>
      <c r="F268" s="2935"/>
      <c r="G268" s="2935"/>
      <c r="H268" s="2935"/>
    </row>
    <row r="269" spans="1:8">
      <c r="A269" s="2935"/>
      <c r="B269" s="2935"/>
      <c r="C269" s="2935"/>
      <c r="D269" s="2935"/>
      <c r="E269" s="2935"/>
      <c r="F269" s="2935"/>
      <c r="G269" s="2935"/>
      <c r="H269" s="2935"/>
    </row>
    <row r="270" spans="1:8">
      <c r="A270" s="2940" t="s">
        <v>1565</v>
      </c>
      <c r="B270" s="2935"/>
      <c r="C270" s="2935"/>
      <c r="D270" s="2935"/>
      <c r="E270" s="2935"/>
      <c r="F270" s="2935"/>
      <c r="G270" s="2935"/>
      <c r="H270" s="2935"/>
    </row>
    <row r="271" spans="1:8">
      <c r="A271" s="2940" t="s">
        <v>1566</v>
      </c>
      <c r="B271" s="2935"/>
      <c r="C271" s="2935"/>
      <c r="D271" s="2935"/>
      <c r="E271" s="2935"/>
      <c r="F271" s="2935"/>
      <c r="G271" s="2935"/>
      <c r="H271" s="2935"/>
    </row>
    <row r="272" spans="1:8">
      <c r="A272" s="2940" t="s">
        <v>1567</v>
      </c>
      <c r="B272" s="2935"/>
      <c r="C272" s="2935"/>
      <c r="D272" s="2935"/>
      <c r="E272" s="2935"/>
      <c r="F272" s="2935"/>
      <c r="G272" s="2935"/>
      <c r="H272" s="2935"/>
    </row>
    <row r="273" spans="1:8">
      <c r="A273" s="2940" t="s">
        <v>1568</v>
      </c>
      <c r="B273" s="2935"/>
      <c r="C273" s="2935"/>
      <c r="D273" s="2935"/>
      <c r="E273" s="2935"/>
      <c r="F273" s="2935"/>
      <c r="G273" s="2935"/>
      <c r="H273" s="2935"/>
    </row>
    <row r="274" spans="1:8">
      <c r="A274" s="2940" t="s">
        <v>1569</v>
      </c>
      <c r="B274" s="2935"/>
      <c r="C274" s="2935"/>
      <c r="D274" s="2935"/>
      <c r="E274" s="2935"/>
      <c r="F274" s="2935"/>
      <c r="G274" s="2935"/>
      <c r="H274" s="2935"/>
    </row>
    <row r="275" spans="1:8">
      <c r="A275" s="2940" t="s">
        <v>1570</v>
      </c>
      <c r="B275" s="2935"/>
      <c r="C275" s="2935"/>
      <c r="D275" s="2935"/>
      <c r="E275" s="2935"/>
      <c r="F275" s="2935"/>
      <c r="G275" s="2935"/>
      <c r="H275" s="2935"/>
    </row>
    <row r="276" spans="1:8">
      <c r="A276" s="2940" t="s">
        <v>1571</v>
      </c>
      <c r="B276" s="2935"/>
      <c r="C276" s="2935"/>
      <c r="D276" s="2935"/>
      <c r="E276" s="2935"/>
      <c r="F276" s="2935"/>
      <c r="G276" s="2935"/>
      <c r="H276" s="2935"/>
    </row>
    <row r="277" spans="1:8">
      <c r="A277" s="2940" t="s">
        <v>1572</v>
      </c>
      <c r="B277" s="2935"/>
      <c r="C277" s="2935"/>
      <c r="D277" s="2935"/>
      <c r="E277" s="2935"/>
      <c r="F277" s="2935"/>
      <c r="G277" s="2935"/>
      <c r="H277" s="2935"/>
    </row>
    <row r="278" spans="1:8">
      <c r="A278" s="2940" t="s">
        <v>1573</v>
      </c>
      <c r="B278" s="2935"/>
      <c r="C278" s="2935"/>
      <c r="D278" s="2935"/>
      <c r="E278" s="2935"/>
      <c r="F278" s="2935"/>
      <c r="G278" s="2935"/>
      <c r="H278" s="2935"/>
    </row>
    <row r="279" spans="1:8">
      <c r="A279" s="2935"/>
      <c r="B279" s="2935"/>
      <c r="C279" s="2935"/>
      <c r="D279" s="2935"/>
      <c r="E279" s="2935"/>
      <c r="F279" s="2935"/>
      <c r="G279" s="2935"/>
      <c r="H279" s="2935"/>
    </row>
    <row r="280" spans="1:8">
      <c r="A280" s="2940" t="s">
        <v>1558</v>
      </c>
      <c r="B280" s="2935"/>
      <c r="C280" s="2935"/>
      <c r="D280" s="2935"/>
      <c r="E280" s="2935"/>
      <c r="F280" s="2935"/>
      <c r="G280" s="2935"/>
      <c r="H280" s="2935"/>
    </row>
    <row r="281" spans="1:8">
      <c r="A281" s="2940" t="s">
        <v>1559</v>
      </c>
      <c r="B281" s="2935"/>
      <c r="C281" s="2935"/>
      <c r="D281" s="2935"/>
      <c r="E281" s="2935"/>
      <c r="F281" s="2935"/>
      <c r="G281" s="2935"/>
      <c r="H281" s="2935"/>
    </row>
    <row r="282" spans="1:8">
      <c r="A282" s="2940" t="s">
        <v>1560</v>
      </c>
      <c r="B282" s="2935"/>
      <c r="C282" s="2935"/>
      <c r="D282" s="2935"/>
      <c r="E282" s="2935"/>
      <c r="F282" s="2935"/>
      <c r="G282" s="2935"/>
      <c r="H282" s="2935"/>
    </row>
    <row r="283" spans="1:8">
      <c r="A283" s="2940" t="s">
        <v>1561</v>
      </c>
      <c r="B283" s="2935"/>
      <c r="C283" s="2935"/>
      <c r="D283" s="2935"/>
      <c r="E283" s="2935"/>
      <c r="F283" s="2935"/>
      <c r="G283" s="2935"/>
      <c r="H283" s="2935"/>
    </row>
    <row r="284" spans="1:8">
      <c r="A284" s="2940" t="s">
        <v>1562</v>
      </c>
      <c r="B284" s="2935"/>
      <c r="C284" s="2935"/>
      <c r="D284" s="2935"/>
      <c r="E284" s="2935"/>
      <c r="F284" s="2935"/>
      <c r="G284" s="2935"/>
      <c r="H284" s="2935"/>
    </row>
    <row r="285" spans="1:8">
      <c r="A285" s="2940" t="s">
        <v>1563</v>
      </c>
      <c r="B285" s="2935"/>
      <c r="C285" s="2935"/>
      <c r="D285" s="2935"/>
      <c r="E285" s="2935"/>
      <c r="F285" s="2935"/>
      <c r="G285" s="2935"/>
      <c r="H285" s="2935"/>
    </row>
    <row r="286" spans="1:8">
      <c r="A286" s="2940" t="s">
        <v>1564</v>
      </c>
      <c r="B286" s="2935"/>
      <c r="C286" s="2935"/>
      <c r="D286" s="2935"/>
      <c r="E286" s="2935"/>
      <c r="F286" s="2935"/>
      <c r="G286" s="2935"/>
      <c r="H286" s="2935"/>
    </row>
    <row r="287" spans="1:8">
      <c r="A287" s="2935"/>
      <c r="B287" s="2935"/>
      <c r="C287" s="2935"/>
      <c r="D287" s="2935"/>
      <c r="E287" s="2935"/>
      <c r="F287" s="2935"/>
      <c r="G287" s="2935"/>
      <c r="H287" s="2935"/>
    </row>
    <row r="288" spans="1:8">
      <c r="A288" s="2940" t="s">
        <v>1555</v>
      </c>
      <c r="B288" s="2935"/>
      <c r="C288" s="2935"/>
      <c r="D288" s="2935"/>
      <c r="E288" s="2935"/>
      <c r="F288" s="2935"/>
      <c r="G288" s="2935"/>
      <c r="H288" s="2935"/>
    </row>
    <row r="289" spans="1:8">
      <c r="A289" s="2940" t="s">
        <v>1556</v>
      </c>
      <c r="B289" s="2935"/>
      <c r="C289" s="2935"/>
      <c r="D289" s="2935"/>
      <c r="E289" s="2935"/>
      <c r="F289" s="2935"/>
      <c r="G289" s="2935"/>
      <c r="H289" s="2935"/>
    </row>
    <row r="290" spans="1:8">
      <c r="A290" s="2940" t="s">
        <v>1557</v>
      </c>
      <c r="B290" s="2935"/>
      <c r="C290" s="2935"/>
      <c r="D290" s="2935"/>
      <c r="E290" s="2935"/>
      <c r="F290" s="2935"/>
      <c r="G290" s="2935"/>
      <c r="H290" s="2935"/>
    </row>
    <row r="291" spans="1:8">
      <c r="A291" s="2935"/>
      <c r="B291" s="2935"/>
      <c r="C291" s="2935"/>
      <c r="D291" s="2935"/>
      <c r="E291" s="2935"/>
      <c r="F291" s="2935"/>
      <c r="G291" s="2935"/>
      <c r="H291" s="2935"/>
    </row>
    <row r="292" spans="1:8">
      <c r="A292" s="2940" t="s">
        <v>1553</v>
      </c>
      <c r="B292" s="2935"/>
      <c r="C292" s="2935"/>
      <c r="D292" s="2935"/>
      <c r="E292" s="2935"/>
      <c r="F292" s="2935"/>
      <c r="G292" s="2935"/>
      <c r="H292" s="2935"/>
    </row>
    <row r="293" spans="1:8">
      <c r="A293" s="2940" t="s">
        <v>1554</v>
      </c>
      <c r="B293" s="2935"/>
      <c r="C293" s="2935"/>
      <c r="D293" s="2935"/>
      <c r="E293" s="2935"/>
      <c r="F293" s="2935"/>
      <c r="G293" s="2935"/>
      <c r="H293" s="2935"/>
    </row>
    <row r="294" spans="1:8">
      <c r="A294" s="2935"/>
      <c r="B294" s="2935"/>
      <c r="C294" s="2935"/>
      <c r="D294" s="2935"/>
      <c r="E294" s="2935"/>
      <c r="F294" s="2935"/>
      <c r="G294" s="2935"/>
      <c r="H294" s="2935"/>
    </row>
    <row r="295" spans="1:8">
      <c r="A295" s="2940" t="s">
        <v>1540</v>
      </c>
      <c r="B295" s="2935"/>
      <c r="C295" s="2935"/>
      <c r="D295" s="2935"/>
      <c r="E295" s="2935"/>
      <c r="F295" s="2935"/>
      <c r="G295" s="2935"/>
      <c r="H295" s="2935"/>
    </row>
    <row r="296" spans="1:8">
      <c r="A296" s="2940" t="s">
        <v>1541</v>
      </c>
      <c r="B296" s="2935"/>
      <c r="C296" s="2935"/>
      <c r="D296" s="2935"/>
      <c r="E296" s="2935"/>
      <c r="F296" s="2935"/>
      <c r="G296" s="2935"/>
      <c r="H296" s="2935"/>
    </row>
    <row r="297" spans="1:8">
      <c r="A297" s="2940" t="s">
        <v>1542</v>
      </c>
      <c r="B297" s="2935"/>
      <c r="C297" s="2935"/>
      <c r="D297" s="2935"/>
      <c r="E297" s="2935"/>
      <c r="F297" s="2935"/>
      <c r="G297" s="2935"/>
      <c r="H297" s="2935"/>
    </row>
    <row r="298" spans="1:8">
      <c r="A298" s="2940" t="s">
        <v>1543</v>
      </c>
      <c r="B298" s="2935"/>
      <c r="C298" s="2935"/>
      <c r="D298" s="2935"/>
      <c r="E298" s="2935"/>
      <c r="F298" s="2935"/>
      <c r="G298" s="2935"/>
      <c r="H298" s="2935"/>
    </row>
    <row r="299" spans="1:8">
      <c r="A299" s="2940" t="s">
        <v>1544</v>
      </c>
      <c r="B299" s="2935"/>
      <c r="C299" s="2935"/>
      <c r="D299" s="2935"/>
      <c r="E299" s="2935"/>
      <c r="F299" s="2935"/>
      <c r="G299" s="2935"/>
      <c r="H299" s="2935"/>
    </row>
    <row r="300" spans="1:8">
      <c r="A300" s="2940" t="s">
        <v>1545</v>
      </c>
      <c r="B300" s="2935"/>
      <c r="C300" s="2935"/>
      <c r="D300" s="2935"/>
      <c r="E300" s="2935"/>
      <c r="F300" s="2935"/>
      <c r="G300" s="2935"/>
      <c r="H300" s="2935"/>
    </row>
    <row r="301" spans="1:8">
      <c r="A301" s="2940" t="s">
        <v>1546</v>
      </c>
      <c r="B301" s="2935"/>
      <c r="C301" s="2935"/>
      <c r="D301" s="2935"/>
      <c r="E301" s="2935"/>
      <c r="F301" s="2935"/>
      <c r="G301" s="2935"/>
      <c r="H301" s="2935"/>
    </row>
    <row r="302" spans="1:8">
      <c r="A302" s="2940" t="s">
        <v>1547</v>
      </c>
      <c r="B302" s="2935"/>
      <c r="C302" s="2935"/>
      <c r="D302" s="2935"/>
      <c r="E302" s="2935"/>
      <c r="F302" s="2935"/>
      <c r="G302" s="2935"/>
      <c r="H302" s="2935"/>
    </row>
    <row r="303" spans="1:8">
      <c r="A303" s="2940" t="s">
        <v>1548</v>
      </c>
      <c r="B303" s="2935"/>
      <c r="C303" s="2935"/>
      <c r="D303" s="2935"/>
      <c r="E303" s="2935"/>
      <c r="F303" s="2935"/>
      <c r="G303" s="2935"/>
      <c r="H303" s="2935"/>
    </row>
    <row r="304" spans="1:8">
      <c r="A304" s="2940" t="s">
        <v>1549</v>
      </c>
      <c r="B304" s="2935"/>
      <c r="C304" s="2935"/>
      <c r="D304" s="2935"/>
      <c r="E304" s="2935"/>
      <c r="F304" s="2935"/>
      <c r="G304" s="2935"/>
      <c r="H304" s="2935"/>
    </row>
    <row r="305" spans="1:8">
      <c r="A305" s="2940" t="s">
        <v>1550</v>
      </c>
      <c r="B305" s="2935"/>
      <c r="C305" s="2935"/>
      <c r="D305" s="2935"/>
      <c r="E305" s="2935"/>
      <c r="F305" s="2935"/>
      <c r="G305" s="2935"/>
      <c r="H305" s="2935"/>
    </row>
    <row r="306" spans="1:8">
      <c r="A306" s="2940" t="s">
        <v>1551</v>
      </c>
      <c r="B306" s="2935"/>
      <c r="C306" s="2935"/>
      <c r="D306" s="2935"/>
      <c r="E306" s="2935"/>
      <c r="F306" s="2935"/>
      <c r="G306" s="2935"/>
      <c r="H306" s="2935"/>
    </row>
    <row r="307" spans="1:8">
      <c r="A307" s="2940" t="s">
        <v>1552</v>
      </c>
      <c r="B307" s="2935"/>
      <c r="C307" s="2935"/>
      <c r="D307" s="2935"/>
      <c r="E307" s="2935"/>
      <c r="F307" s="2935"/>
      <c r="G307" s="2935"/>
      <c r="H307" s="2935"/>
    </row>
    <row r="308" spans="1:8">
      <c r="A308" s="2935"/>
      <c r="B308" s="2935"/>
      <c r="C308" s="2935"/>
      <c r="D308" s="2935"/>
      <c r="E308" s="2935"/>
      <c r="F308" s="2935"/>
      <c r="G308" s="2935"/>
      <c r="H308" s="2935"/>
    </row>
    <row r="309" spans="1:8">
      <c r="A309" s="2940" t="s">
        <v>1532</v>
      </c>
      <c r="B309" s="2935"/>
      <c r="C309" s="2935"/>
      <c r="D309" s="2935"/>
      <c r="E309" s="2935"/>
      <c r="F309" s="2935"/>
      <c r="G309" s="2935"/>
      <c r="H309" s="2935"/>
    </row>
    <row r="310" spans="1:8">
      <c r="A310" s="2940" t="s">
        <v>1533</v>
      </c>
      <c r="B310" s="2935"/>
      <c r="C310" s="2935"/>
      <c r="D310" s="2935"/>
      <c r="E310" s="2935"/>
      <c r="F310" s="2935"/>
      <c r="G310" s="2935"/>
      <c r="H310" s="2935"/>
    </row>
    <row r="311" spans="1:8">
      <c r="A311" s="2940" t="s">
        <v>1534</v>
      </c>
      <c r="B311" s="2935"/>
      <c r="C311" s="2935"/>
      <c r="D311" s="2935"/>
      <c r="E311" s="2935"/>
      <c r="F311" s="2935"/>
      <c r="G311" s="2935"/>
      <c r="H311" s="2935"/>
    </row>
    <row r="312" spans="1:8">
      <c r="A312" s="2940" t="s">
        <v>1535</v>
      </c>
      <c r="B312" s="2935"/>
      <c r="C312" s="2935"/>
      <c r="D312" s="2935"/>
      <c r="E312" s="2935"/>
      <c r="F312" s="2935"/>
      <c r="G312" s="2935"/>
      <c r="H312" s="2935"/>
    </row>
    <row r="313" spans="1:8">
      <c r="A313" s="2940" t="s">
        <v>1536</v>
      </c>
      <c r="B313" s="2935"/>
      <c r="C313" s="2935"/>
      <c r="D313" s="2935"/>
      <c r="E313" s="2935"/>
      <c r="F313" s="2935"/>
      <c r="G313" s="2935"/>
      <c r="H313" s="2935"/>
    </row>
    <row r="314" spans="1:8">
      <c r="A314" s="2940" t="s">
        <v>1537</v>
      </c>
      <c r="B314" s="2935"/>
      <c r="C314" s="2935"/>
      <c r="D314" s="2935"/>
      <c r="E314" s="2935"/>
      <c r="F314" s="2935"/>
      <c r="G314" s="2935"/>
      <c r="H314" s="2935"/>
    </row>
    <row r="315" spans="1:8">
      <c r="A315" s="2940" t="s">
        <v>1538</v>
      </c>
      <c r="B315" s="2935"/>
      <c r="C315" s="2935"/>
      <c r="D315" s="2935"/>
      <c r="E315" s="2935"/>
      <c r="F315" s="2935"/>
      <c r="G315" s="2935"/>
      <c r="H315" s="2935"/>
    </row>
    <row r="316" spans="1:8">
      <c r="A316" s="2940" t="s">
        <v>1539</v>
      </c>
      <c r="B316" s="2935"/>
      <c r="C316" s="2935"/>
      <c r="D316" s="2935"/>
      <c r="E316" s="2935"/>
      <c r="F316" s="2935"/>
      <c r="G316" s="2935"/>
      <c r="H316" s="2935"/>
    </row>
    <row r="317" spans="1:8">
      <c r="A317" s="2935"/>
      <c r="B317" s="2935"/>
      <c r="C317" s="2935"/>
      <c r="D317" s="2935"/>
      <c r="E317" s="2935"/>
      <c r="F317" s="2935"/>
      <c r="G317" s="2935"/>
      <c r="H317" s="2935"/>
    </row>
    <row r="318" spans="1:8">
      <c r="A318" s="2940" t="s">
        <v>1497</v>
      </c>
      <c r="B318" s="2935"/>
      <c r="C318" s="2935"/>
      <c r="D318" s="2935"/>
      <c r="E318" s="2935"/>
      <c r="F318" s="2935"/>
      <c r="G318" s="2935"/>
      <c r="H318" s="2935"/>
    </row>
    <row r="319" spans="1:8">
      <c r="A319" s="2940" t="s">
        <v>1498</v>
      </c>
      <c r="B319" s="2935"/>
      <c r="C319" s="2935"/>
      <c r="D319" s="2935"/>
      <c r="E319" s="2935"/>
      <c r="F319" s="2935"/>
      <c r="G319" s="2935"/>
      <c r="H319" s="2935"/>
    </row>
    <row r="320" spans="1:8">
      <c r="A320" s="2940" t="s">
        <v>1499</v>
      </c>
      <c r="B320" s="2935"/>
      <c r="C320" s="2935"/>
      <c r="D320" s="2935"/>
      <c r="E320" s="2935"/>
      <c r="F320" s="2935"/>
      <c r="G320" s="2935"/>
      <c r="H320" s="2935"/>
    </row>
    <row r="321" spans="1:8">
      <c r="A321" s="2940" t="s">
        <v>1500</v>
      </c>
      <c r="B321" s="2935"/>
      <c r="C321" s="2935"/>
      <c r="D321" s="2935"/>
      <c r="E321" s="2935"/>
      <c r="F321" s="2935"/>
      <c r="G321" s="2935"/>
      <c r="H321" s="2935"/>
    </row>
    <row r="322" spans="1:8">
      <c r="A322" s="2940" t="s">
        <v>1501</v>
      </c>
      <c r="B322" s="2935"/>
      <c r="C322" s="2935"/>
      <c r="D322" s="2935"/>
      <c r="E322" s="2935"/>
      <c r="F322" s="2935"/>
      <c r="G322" s="2935"/>
      <c r="H322" s="2935"/>
    </row>
    <row r="323" spans="1:8">
      <c r="A323" s="2940" t="s">
        <v>1502</v>
      </c>
      <c r="B323" s="2935"/>
      <c r="C323" s="2935"/>
      <c r="D323" s="2935"/>
      <c r="E323" s="2935"/>
      <c r="F323" s="2935"/>
      <c r="G323" s="2935"/>
      <c r="H323" s="2935"/>
    </row>
    <row r="324" spans="1:8">
      <c r="A324" s="2940" t="s">
        <v>1503</v>
      </c>
      <c r="B324" s="2935"/>
      <c r="C324" s="2935"/>
      <c r="D324" s="2935"/>
      <c r="E324" s="2935"/>
      <c r="F324" s="2935"/>
      <c r="G324" s="2935"/>
      <c r="H324" s="2935"/>
    </row>
    <row r="325" spans="1:8">
      <c r="A325" s="2940" t="s">
        <v>1504</v>
      </c>
      <c r="B325" s="2935"/>
      <c r="C325" s="2935"/>
      <c r="D325" s="2935"/>
      <c r="E325" s="2935"/>
      <c r="F325" s="2935"/>
      <c r="G325" s="2935"/>
      <c r="H325" s="2935"/>
    </row>
    <row r="326" spans="1:8">
      <c r="A326" s="2940" t="s">
        <v>1505</v>
      </c>
      <c r="B326" s="2935"/>
      <c r="C326" s="2935"/>
      <c r="D326" s="2935"/>
      <c r="E326" s="2935"/>
      <c r="F326" s="2935"/>
      <c r="G326" s="2935"/>
      <c r="H326" s="2935"/>
    </row>
    <row r="327" spans="1:8">
      <c r="A327" s="2940" t="s">
        <v>1506</v>
      </c>
      <c r="B327" s="2935"/>
      <c r="C327" s="2935"/>
      <c r="D327" s="2935"/>
      <c r="E327" s="2935"/>
      <c r="F327" s="2935"/>
      <c r="G327" s="2935"/>
      <c r="H327" s="2935"/>
    </row>
    <row r="328" spans="1:8">
      <c r="A328" s="2940" t="s">
        <v>1507</v>
      </c>
      <c r="B328" s="2935"/>
      <c r="C328" s="2935"/>
      <c r="D328" s="2935"/>
      <c r="E328" s="2935"/>
      <c r="F328" s="2935"/>
      <c r="G328" s="2935"/>
      <c r="H328" s="2935"/>
    </row>
    <row r="329" spans="1:8">
      <c r="A329" s="2940" t="s">
        <v>1508</v>
      </c>
      <c r="B329" s="2935"/>
      <c r="C329" s="2935"/>
      <c r="D329" s="2935"/>
      <c r="E329" s="2935"/>
      <c r="F329" s="2935"/>
      <c r="G329" s="2935"/>
      <c r="H329" s="2935"/>
    </row>
    <row r="330" spans="1:8">
      <c r="A330" s="2940" t="s">
        <v>1509</v>
      </c>
      <c r="B330" s="2935"/>
      <c r="C330" s="2935"/>
      <c r="D330" s="2935"/>
      <c r="E330" s="2935"/>
      <c r="F330" s="2935"/>
      <c r="G330" s="2935"/>
      <c r="H330" s="2935"/>
    </row>
    <row r="331" spans="1:8">
      <c r="A331" s="2940" t="s">
        <v>1510</v>
      </c>
      <c r="B331" s="2935"/>
      <c r="C331" s="2935"/>
      <c r="D331" s="2935"/>
      <c r="E331" s="2935"/>
      <c r="F331" s="2935"/>
      <c r="G331" s="2935"/>
      <c r="H331" s="2935"/>
    </row>
    <row r="332" spans="1:8">
      <c r="A332" s="2940" t="s">
        <v>1511</v>
      </c>
      <c r="B332" s="2935"/>
      <c r="C332" s="2935"/>
      <c r="D332" s="2935"/>
      <c r="E332" s="2935"/>
      <c r="F332" s="2935"/>
      <c r="G332" s="2935"/>
      <c r="H332" s="2935"/>
    </row>
    <row r="333" spans="1:8">
      <c r="A333" s="2940" t="s">
        <v>1512</v>
      </c>
      <c r="B333" s="2935"/>
      <c r="C333" s="2935"/>
      <c r="D333" s="2935"/>
      <c r="E333" s="2935"/>
      <c r="F333" s="2935"/>
      <c r="G333" s="2935"/>
      <c r="H333" s="2935"/>
    </row>
    <row r="334" spans="1:8">
      <c r="A334" s="2940" t="s">
        <v>1513</v>
      </c>
      <c r="B334" s="2935"/>
      <c r="C334" s="2935"/>
      <c r="D334" s="2935"/>
      <c r="E334" s="2935"/>
      <c r="F334" s="2935"/>
      <c r="G334" s="2935"/>
      <c r="H334" s="2935"/>
    </row>
    <row r="335" spans="1:8">
      <c r="A335" s="2940" t="s">
        <v>1514</v>
      </c>
      <c r="B335" s="2935"/>
      <c r="C335" s="2935"/>
      <c r="D335" s="2935"/>
      <c r="E335" s="2935"/>
      <c r="F335" s="2935"/>
      <c r="G335" s="2935"/>
      <c r="H335" s="2935"/>
    </row>
    <row r="336" spans="1:8">
      <c r="A336" s="2940" t="s">
        <v>1515</v>
      </c>
      <c r="B336" s="2935"/>
      <c r="C336" s="2935"/>
      <c r="D336" s="2935"/>
      <c r="E336" s="2935"/>
      <c r="F336" s="2935"/>
      <c r="G336" s="2935"/>
      <c r="H336" s="2935"/>
    </row>
    <row r="337" spans="1:8">
      <c r="A337" s="2940" t="s">
        <v>1516</v>
      </c>
      <c r="B337" s="2935"/>
      <c r="C337" s="2935"/>
      <c r="D337" s="2935"/>
      <c r="E337" s="2935"/>
      <c r="F337" s="2935"/>
      <c r="G337" s="2935"/>
      <c r="H337" s="2935"/>
    </row>
    <row r="338" spans="1:8">
      <c r="A338" s="2940" t="s">
        <v>1517</v>
      </c>
      <c r="B338" s="2935"/>
      <c r="C338" s="2935"/>
      <c r="D338" s="2935"/>
      <c r="E338" s="2935"/>
      <c r="F338" s="2935"/>
      <c r="G338" s="2935"/>
      <c r="H338" s="2935"/>
    </row>
    <row r="339" spans="1:8">
      <c r="A339" s="2940" t="s">
        <v>1518</v>
      </c>
      <c r="B339" s="2935"/>
      <c r="C339" s="2935"/>
      <c r="D339" s="2935"/>
      <c r="E339" s="2935"/>
      <c r="F339" s="2935"/>
      <c r="G339" s="2935"/>
      <c r="H339" s="2935"/>
    </row>
    <row r="340" spans="1:8">
      <c r="A340" s="2940" t="s">
        <v>1519</v>
      </c>
      <c r="B340" s="2935"/>
      <c r="C340" s="2935"/>
      <c r="D340" s="2935"/>
      <c r="E340" s="2935"/>
      <c r="F340" s="2935"/>
      <c r="G340" s="2935"/>
      <c r="H340" s="2935"/>
    </row>
    <row r="341" spans="1:8">
      <c r="A341" s="2940" t="s">
        <v>1520</v>
      </c>
      <c r="B341" s="2935"/>
      <c r="C341" s="2935"/>
      <c r="D341" s="2935"/>
      <c r="E341" s="2935"/>
      <c r="F341" s="2935"/>
      <c r="G341" s="2935"/>
      <c r="H341" s="2935"/>
    </row>
    <row r="342" spans="1:8">
      <c r="A342" s="2940" t="s">
        <v>1521</v>
      </c>
      <c r="B342" s="2935"/>
      <c r="C342" s="2935"/>
      <c r="D342" s="2935"/>
      <c r="E342" s="2935"/>
      <c r="F342" s="2935"/>
      <c r="G342" s="2935"/>
      <c r="H342" s="2935"/>
    </row>
    <row r="343" spans="1:8">
      <c r="A343" s="2940" t="s">
        <v>1522</v>
      </c>
      <c r="B343" s="2935"/>
      <c r="C343" s="2935"/>
      <c r="D343" s="2935"/>
      <c r="E343" s="2935"/>
      <c r="F343" s="2935"/>
      <c r="G343" s="2935"/>
      <c r="H343" s="2935"/>
    </row>
    <row r="344" spans="1:8">
      <c r="A344" s="2940" t="s">
        <v>1523</v>
      </c>
      <c r="B344" s="2935"/>
      <c r="C344" s="2935"/>
      <c r="D344" s="2935"/>
      <c r="E344" s="2935"/>
      <c r="F344" s="2935"/>
      <c r="G344" s="2935"/>
      <c r="H344" s="2935"/>
    </row>
    <row r="345" spans="1:8">
      <c r="A345" s="2940" t="s">
        <v>1524</v>
      </c>
      <c r="B345" s="2935"/>
      <c r="C345" s="2935"/>
      <c r="D345" s="2935"/>
      <c r="E345" s="2935"/>
      <c r="F345" s="2935"/>
      <c r="G345" s="2935"/>
      <c r="H345" s="2935"/>
    </row>
    <row r="346" spans="1:8">
      <c r="A346" s="2940" t="s">
        <v>1525</v>
      </c>
      <c r="B346" s="2935"/>
      <c r="C346" s="2935"/>
      <c r="D346" s="2935"/>
      <c r="E346" s="2935"/>
      <c r="F346" s="2935"/>
      <c r="G346" s="2935"/>
      <c r="H346" s="2935"/>
    </row>
    <row r="347" spans="1:8">
      <c r="A347" s="2940" t="s">
        <v>1526</v>
      </c>
      <c r="B347" s="2935"/>
      <c r="C347" s="2935"/>
      <c r="D347" s="2935"/>
      <c r="E347" s="2935"/>
      <c r="F347" s="2935"/>
      <c r="G347" s="2935"/>
      <c r="H347" s="2935"/>
    </row>
    <row r="348" spans="1:8">
      <c r="A348" s="2940" t="s">
        <v>1527</v>
      </c>
      <c r="B348" s="2935"/>
      <c r="C348" s="2935"/>
      <c r="D348" s="2935"/>
      <c r="E348" s="2935"/>
      <c r="F348" s="2935"/>
      <c r="G348" s="2935"/>
      <c r="H348" s="2935"/>
    </row>
    <row r="349" spans="1:8">
      <c r="A349" s="2940" t="s">
        <v>1528</v>
      </c>
      <c r="B349" s="2935"/>
      <c r="C349" s="2935"/>
      <c r="D349" s="2935"/>
      <c r="E349" s="2935"/>
      <c r="F349" s="2935"/>
      <c r="G349" s="2935"/>
      <c r="H349" s="2935"/>
    </row>
    <row r="350" spans="1:8">
      <c r="A350" s="2940" t="s">
        <v>1529</v>
      </c>
      <c r="B350" s="2935"/>
      <c r="C350" s="2935"/>
      <c r="D350" s="2935"/>
      <c r="E350" s="2935"/>
      <c r="F350" s="2935"/>
      <c r="G350" s="2935"/>
      <c r="H350" s="2935"/>
    </row>
    <row r="351" spans="1:8">
      <c r="A351" s="2940" t="s">
        <v>1530</v>
      </c>
      <c r="B351" s="2935"/>
      <c r="C351" s="2935"/>
      <c r="D351" s="2935"/>
      <c r="E351" s="2935"/>
      <c r="F351" s="2935"/>
      <c r="G351" s="2935"/>
      <c r="H351" s="2935"/>
    </row>
    <row r="352" spans="1:8">
      <c r="A352" s="2940" t="s">
        <v>1531</v>
      </c>
      <c r="B352" s="2935"/>
      <c r="C352" s="2935"/>
      <c r="D352" s="2935"/>
      <c r="E352" s="2935"/>
      <c r="F352" s="2935"/>
      <c r="G352" s="2935"/>
      <c r="H352" s="2935"/>
    </row>
    <row r="353" spans="1:8">
      <c r="A353" s="2935"/>
      <c r="B353" s="2935"/>
      <c r="C353" s="2935"/>
      <c r="D353" s="2935"/>
      <c r="E353" s="2935"/>
      <c r="F353" s="2935"/>
      <c r="G353" s="2935"/>
      <c r="H353" s="2935"/>
    </row>
    <row r="354" spans="1:8">
      <c r="A354" s="2940" t="s">
        <v>1489</v>
      </c>
      <c r="B354" s="2935"/>
      <c r="C354" s="2935"/>
      <c r="D354" s="2935"/>
      <c r="E354" s="2935"/>
      <c r="F354" s="2935"/>
      <c r="G354" s="2935"/>
      <c r="H354" s="2935"/>
    </row>
    <row r="355" spans="1:8">
      <c r="A355" s="2940" t="s">
        <v>1493</v>
      </c>
      <c r="B355" s="2935"/>
      <c r="C355" s="2935"/>
      <c r="D355" s="2935"/>
      <c r="E355" s="2935"/>
      <c r="F355" s="2935"/>
      <c r="G355" s="2935"/>
      <c r="H355" s="2935"/>
    </row>
    <row r="356" spans="1:8">
      <c r="A356" s="2940" t="s">
        <v>1494</v>
      </c>
      <c r="B356" s="2935"/>
      <c r="C356" s="2935"/>
      <c r="D356" s="2935"/>
      <c r="E356" s="2935"/>
      <c r="F356" s="2935"/>
      <c r="G356" s="2935"/>
      <c r="H356" s="2935"/>
    </row>
    <row r="357" spans="1:8">
      <c r="A357" s="2940" t="s">
        <v>1495</v>
      </c>
      <c r="B357" s="2935"/>
      <c r="C357" s="2935"/>
      <c r="D357" s="2935"/>
      <c r="E357" s="2935"/>
      <c r="F357" s="2935"/>
      <c r="G357" s="2935"/>
      <c r="H357" s="2935"/>
    </row>
    <row r="358" spans="1:8">
      <c r="A358" s="2940" t="s">
        <v>1496</v>
      </c>
      <c r="B358" s="2935"/>
      <c r="C358" s="2935"/>
      <c r="D358" s="2935"/>
      <c r="E358" s="2935"/>
      <c r="F358" s="2935"/>
      <c r="G358" s="2935"/>
      <c r="H358" s="2935"/>
    </row>
    <row r="359" spans="1:8">
      <c r="A359" s="2935"/>
      <c r="B359" s="2935"/>
      <c r="C359" s="2935"/>
      <c r="D359" s="2935"/>
      <c r="E359" s="2935"/>
      <c r="F359" s="2935"/>
      <c r="G359" s="2935"/>
      <c r="H359" s="2935"/>
    </row>
    <row r="360" spans="1:8">
      <c r="A360" s="2940" t="s">
        <v>1489</v>
      </c>
      <c r="B360" s="2935"/>
      <c r="C360" s="2935"/>
      <c r="D360" s="2935"/>
      <c r="E360" s="2935"/>
      <c r="F360" s="2935"/>
      <c r="G360" s="2935"/>
      <c r="H360" s="2935"/>
    </row>
    <row r="361" spans="1:8">
      <c r="A361" s="2940" t="s">
        <v>1490</v>
      </c>
      <c r="B361" s="2935"/>
      <c r="C361" s="2935"/>
      <c r="D361" s="2935"/>
      <c r="E361" s="2935"/>
      <c r="F361" s="2935"/>
      <c r="G361" s="2935"/>
      <c r="H361" s="2935"/>
    </row>
    <row r="362" spans="1:8">
      <c r="A362" s="2940" t="s">
        <v>1491</v>
      </c>
      <c r="B362" s="2935"/>
      <c r="C362" s="2935"/>
      <c r="D362" s="2935"/>
      <c r="E362" s="2935"/>
      <c r="F362" s="2935"/>
      <c r="G362" s="2935"/>
      <c r="H362" s="2935"/>
    </row>
    <row r="363" spans="1:8">
      <c r="A363" s="2940" t="s">
        <v>1492</v>
      </c>
      <c r="B363" s="2935"/>
      <c r="C363" s="2935"/>
      <c r="D363" s="2935"/>
      <c r="E363" s="2935"/>
      <c r="F363" s="2935"/>
      <c r="G363" s="2935"/>
      <c r="H363" s="2935"/>
    </row>
    <row r="364" spans="1:8">
      <c r="A364" s="2935"/>
      <c r="B364" s="2935"/>
      <c r="C364" s="2935"/>
      <c r="D364" s="2935"/>
      <c r="E364" s="2935"/>
      <c r="F364" s="2935"/>
      <c r="G364" s="2935"/>
      <c r="H364" s="2935"/>
    </row>
    <row r="365" spans="1:8">
      <c r="A365" s="2940" t="s">
        <v>1483</v>
      </c>
      <c r="B365" s="2935"/>
      <c r="C365" s="2935"/>
      <c r="D365" s="2935"/>
      <c r="E365" s="2935"/>
      <c r="F365" s="2935"/>
      <c r="G365" s="2935"/>
      <c r="H365" s="2935"/>
    </row>
    <row r="366" spans="1:8">
      <c r="A366" s="2940" t="s">
        <v>1484</v>
      </c>
      <c r="B366" s="2935"/>
      <c r="C366" s="2935"/>
      <c r="D366" s="2935"/>
      <c r="E366" s="2935"/>
      <c r="F366" s="2935"/>
      <c r="G366" s="2935"/>
      <c r="H366" s="2935"/>
    </row>
    <row r="367" spans="1:8">
      <c r="A367" s="2940" t="s">
        <v>1485</v>
      </c>
      <c r="B367" s="2935"/>
      <c r="C367" s="2935"/>
      <c r="D367" s="2935"/>
      <c r="E367" s="2935"/>
      <c r="F367" s="2935"/>
      <c r="G367" s="2935"/>
      <c r="H367" s="2935"/>
    </row>
    <row r="368" spans="1:8">
      <c r="A368" s="2940" t="s">
        <v>1486</v>
      </c>
      <c r="B368" s="2935"/>
      <c r="C368" s="2935"/>
      <c r="D368" s="2935"/>
      <c r="E368" s="2935"/>
      <c r="F368" s="2935"/>
      <c r="G368" s="2935"/>
      <c r="H368" s="2935"/>
    </row>
    <row r="369" spans="1:8">
      <c r="A369" s="2940" t="s">
        <v>1487</v>
      </c>
      <c r="B369" s="2935"/>
      <c r="C369" s="2935"/>
      <c r="D369" s="2935"/>
      <c r="E369" s="2935"/>
      <c r="F369" s="2935"/>
      <c r="G369" s="2935"/>
      <c r="H369" s="2935"/>
    </row>
    <row r="370" spans="1:8">
      <c r="A370" s="2940" t="s">
        <v>1488</v>
      </c>
      <c r="B370" s="2935"/>
      <c r="C370" s="2935"/>
      <c r="D370" s="2935"/>
      <c r="E370" s="2935"/>
      <c r="F370" s="2935"/>
      <c r="G370" s="2935"/>
      <c r="H370" s="2935"/>
    </row>
    <row r="371" spans="1:8">
      <c r="A371" s="2935"/>
      <c r="B371" s="2935"/>
      <c r="C371" s="2935"/>
      <c r="D371" s="2935"/>
      <c r="E371" s="2935"/>
      <c r="F371" s="2935"/>
      <c r="G371" s="2935"/>
      <c r="H371" s="2935"/>
    </row>
    <row r="372" spans="1:8">
      <c r="A372" s="2940" t="s">
        <v>1478</v>
      </c>
      <c r="B372" s="2935"/>
      <c r="C372" s="2935"/>
      <c r="D372" s="2935"/>
      <c r="E372" s="2935"/>
      <c r="F372" s="2935"/>
      <c r="G372" s="2935"/>
      <c r="H372" s="2935"/>
    </row>
    <row r="373" spans="1:8">
      <c r="A373" s="2940" t="s">
        <v>1479</v>
      </c>
      <c r="B373" s="2935"/>
      <c r="C373" s="2935"/>
      <c r="D373" s="2935"/>
      <c r="E373" s="2935"/>
      <c r="F373" s="2935"/>
      <c r="G373" s="2935"/>
      <c r="H373" s="2935"/>
    </row>
    <row r="374" spans="1:8">
      <c r="A374" s="2940" t="s">
        <v>1480</v>
      </c>
      <c r="B374" s="2935"/>
      <c r="C374" s="2935"/>
      <c r="D374" s="2935"/>
      <c r="E374" s="2935"/>
      <c r="F374" s="2935"/>
      <c r="G374" s="2935"/>
      <c r="H374" s="2935"/>
    </row>
    <row r="375" spans="1:8">
      <c r="A375" s="2940" t="s">
        <v>1481</v>
      </c>
      <c r="B375" s="2935"/>
      <c r="C375" s="2935"/>
      <c r="D375" s="2935"/>
      <c r="E375" s="2935"/>
      <c r="F375" s="2935"/>
      <c r="G375" s="2935"/>
      <c r="H375" s="2935"/>
    </row>
    <row r="376" spans="1:8">
      <c r="A376" s="2940" t="s">
        <v>1482</v>
      </c>
      <c r="B376" s="2935"/>
      <c r="C376" s="2935"/>
      <c r="D376" s="2935"/>
      <c r="E376" s="2935"/>
      <c r="F376" s="2935"/>
      <c r="G376" s="2935"/>
      <c r="H376" s="2935"/>
    </row>
    <row r="377" spans="1:8">
      <c r="A377" s="2935"/>
      <c r="B377" s="2935"/>
      <c r="C377" s="2935"/>
      <c r="D377" s="2935"/>
      <c r="E377" s="2935"/>
      <c r="F377" s="2935"/>
      <c r="G377" s="2935"/>
      <c r="H377" s="2935"/>
    </row>
    <row r="378" spans="1:8">
      <c r="A378" s="2940" t="s">
        <v>1476</v>
      </c>
      <c r="B378" s="2935"/>
      <c r="C378" s="2935"/>
      <c r="D378" s="2935"/>
      <c r="E378" s="2935"/>
      <c r="F378" s="2935"/>
      <c r="G378" s="2935"/>
      <c r="H378" s="2935"/>
    </row>
    <row r="379" spans="1:8">
      <c r="A379" s="2940" t="s">
        <v>1477</v>
      </c>
      <c r="B379" s="2935"/>
      <c r="C379" s="2935"/>
      <c r="D379" s="2935"/>
      <c r="E379" s="2935"/>
      <c r="F379" s="2935"/>
      <c r="G379" s="2935"/>
      <c r="H379" s="2935"/>
    </row>
    <row r="381" spans="1:8">
      <c r="A381" s="2936" t="s">
        <v>1725</v>
      </c>
    </row>
  </sheetData>
  <mergeCells count="12">
    <mergeCell ref="A119:H119"/>
    <mergeCell ref="A120:H120"/>
    <mergeCell ref="B112:C112"/>
    <mergeCell ref="D112:F112"/>
    <mergeCell ref="G112:H112"/>
    <mergeCell ref="A98:H98"/>
    <mergeCell ref="A99:H99"/>
    <mergeCell ref="A100:H100"/>
    <mergeCell ref="A101:H101"/>
    <mergeCell ref="A103:H103"/>
    <mergeCell ref="A104:H104"/>
    <mergeCell ref="A111:H111"/>
  </mergeCells>
  <pageMargins left="0.5" right="0.5" top="0.5" bottom="0.5" header="0.5" footer="0.5"/>
  <pageSetup orientation="portrait" horizontalDpi="30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A50"/>
  <sheetViews>
    <sheetView zoomScaleNormal="100" workbookViewId="0"/>
  </sheetViews>
  <sheetFormatPr defaultRowHeight="11.25" outlineLevelCol="1"/>
  <cols>
    <col min="1" max="1" width="2.7109375" style="995" customWidth="1"/>
    <col min="2" max="2" width="20.140625" style="995" customWidth="1"/>
    <col min="3" max="5" width="9.28515625" style="994" customWidth="1"/>
    <col min="6" max="6" width="9.28515625" style="994" hidden="1" customWidth="1" outlineLevel="1"/>
    <col min="7" max="7" width="4.140625" style="995" customWidth="1" collapsed="1"/>
    <col min="8" max="9" width="9.28515625" style="995" customWidth="1"/>
    <col min="10" max="10" width="9.28515625" style="995" customWidth="1" outlineLevel="1"/>
    <col min="11" max="11" width="3.7109375" style="995" customWidth="1"/>
    <col min="12" max="12" width="12" style="995" bestFit="1" customWidth="1"/>
    <col min="13" max="13" width="3.7109375" style="995" customWidth="1"/>
    <col min="14" max="14" width="11.85546875" style="995" customWidth="1"/>
    <col min="15" max="15" width="53" style="995" customWidth="1"/>
    <col min="16" max="16" width="21.5703125" style="995" customWidth="1"/>
    <col min="17" max="19" width="9.28515625" style="994" customWidth="1"/>
    <col min="20" max="20" width="3.28515625" style="995" customWidth="1"/>
    <col min="21" max="23" width="9.140625" style="995"/>
    <col min="24" max="24" width="3.28515625" style="995" customWidth="1"/>
    <col min="25" max="16384" width="9.140625" style="995"/>
  </cols>
  <sheetData>
    <row r="1" spans="1:27" ht="12" thickBot="1">
      <c r="A1" s="990" t="s">
        <v>1326</v>
      </c>
      <c r="B1" s="993" t="s">
        <v>670</v>
      </c>
      <c r="F1" s="2573" t="s">
        <v>1327</v>
      </c>
      <c r="N1" s="996"/>
      <c r="P1" s="993" t="str">
        <f>B1&amp;" - Old vs. New"</f>
        <v>LTD - Old vs. New</v>
      </c>
    </row>
    <row r="2" spans="1:27">
      <c r="B2" s="1052"/>
      <c r="C2" s="1053" t="s">
        <v>91</v>
      </c>
      <c r="D2" s="1053" t="s">
        <v>45</v>
      </c>
      <c r="E2" s="2394" t="s">
        <v>47</v>
      </c>
      <c r="F2" s="1054" t="s">
        <v>93</v>
      </c>
      <c r="H2" s="1020" t="s">
        <v>86</v>
      </c>
      <c r="I2" s="2403"/>
      <c r="J2" s="1024"/>
      <c r="L2" s="1050" t="s">
        <v>1232</v>
      </c>
      <c r="N2" s="1051" t="s">
        <v>1230</v>
      </c>
      <c r="P2" s="997"/>
      <c r="Q2" s="998" t="s">
        <v>1162</v>
      </c>
      <c r="R2" s="998" t="s">
        <v>1162</v>
      </c>
      <c r="S2" s="998" t="s">
        <v>1162</v>
      </c>
      <c r="U2" s="998" t="s">
        <v>87</v>
      </c>
      <c r="V2" s="998" t="s">
        <v>87</v>
      </c>
      <c r="W2" s="998" t="s">
        <v>87</v>
      </c>
      <c r="Y2" s="998" t="s">
        <v>1199</v>
      </c>
      <c r="Z2" s="998" t="s">
        <v>1199</v>
      </c>
      <c r="AA2" s="998" t="s">
        <v>1199</v>
      </c>
    </row>
    <row r="3" spans="1:27">
      <c r="B3" s="1025"/>
      <c r="C3" s="1026" t="s">
        <v>1323</v>
      </c>
      <c r="D3" s="1026" t="s">
        <v>1324</v>
      </c>
      <c r="E3" s="2395" t="s">
        <v>1325</v>
      </c>
      <c r="F3" s="1027" t="s">
        <v>1325</v>
      </c>
      <c r="H3" s="1025" t="str">
        <f>D3</f>
        <v>4Q15A</v>
      </c>
      <c r="I3" s="2395" t="str">
        <f>E2&amp;" "&amp;E3</f>
        <v>MS 4Q16E</v>
      </c>
      <c r="J3" s="1027" t="s">
        <v>93</v>
      </c>
      <c r="L3" s="1042" t="s">
        <v>1231</v>
      </c>
      <c r="N3" s="1042" t="s">
        <v>1233</v>
      </c>
      <c r="P3" s="998"/>
      <c r="Q3" s="998" t="s">
        <v>340</v>
      </c>
      <c r="R3" s="998" t="s">
        <v>846</v>
      </c>
      <c r="S3" s="998" t="s">
        <v>132</v>
      </c>
      <c r="U3" s="998" t="str">
        <f>Q3</f>
        <v>2Q12E</v>
      </c>
      <c r="V3" s="998" t="str">
        <f>R3</f>
        <v>2012E</v>
      </c>
      <c r="W3" s="998" t="str">
        <f>S3</f>
        <v>2013E</v>
      </c>
      <c r="Y3" s="998" t="str">
        <f>U3</f>
        <v>2Q12E</v>
      </c>
      <c r="Z3" s="998" t="str">
        <f>V3</f>
        <v>2012E</v>
      </c>
      <c r="AA3" s="998" t="str">
        <f>W3</f>
        <v>2013E</v>
      </c>
    </row>
    <row r="4" spans="1:27">
      <c r="B4" s="1055" t="s">
        <v>177</v>
      </c>
      <c r="C4" s="1090">
        <f>sumry!CM8</f>
        <v>4489.4830000000002</v>
      </c>
      <c r="D4" s="1090">
        <f>sumry!CH8</f>
        <v>4395.0389999999998</v>
      </c>
      <c r="E4" s="2396">
        <v>4489.5</v>
      </c>
      <c r="F4" s="1239" t="str">
        <f>_xll.ThomsonONEAddinShim.SpreadsheetFormulas.TF($A$1,"TF.ES.Sales.Mean(period=#1,scale=6)",,F1)</f>
        <v>#NAME?</v>
      </c>
      <c r="H4" s="1028">
        <f>IF(ISERROR(C4-D4)=TRUE,"NA",C4-D4)</f>
        <v>94.444000000000415</v>
      </c>
      <c r="I4" s="2404">
        <f>IF(ISERROR(C4-E4)=TRUE,"NA",C4-E4)</f>
        <v>-1.6999999999825377E-2</v>
      </c>
      <c r="J4" s="1029" t="str">
        <f>IF(ISERROR(C4-F4)=TRUE,"NA",C4-F4)</f>
        <v>NA</v>
      </c>
      <c r="L4" s="1083">
        <f>((C$4*E$26)-(C$4*E$27)+E$13+E$14)*(1-E$30)/E$23-E$22</f>
        <v>-7.9696417976116152E-6</v>
      </c>
      <c r="N4" s="1076"/>
      <c r="P4" s="999" t="s">
        <v>177</v>
      </c>
      <c r="Q4" s="1000">
        <f>sumry!BR8</f>
        <v>2050.1889999999999</v>
      </c>
      <c r="R4" s="1000">
        <f>sumry!DI8</f>
        <v>10670.598999999998</v>
      </c>
      <c r="S4" s="1000">
        <f>sumry!DJ8</f>
        <v>10086.368</v>
      </c>
      <c r="U4" s="1065">
        <v>2403.0874902472406</v>
      </c>
      <c r="V4" s="1065">
        <v>10471.515371822992</v>
      </c>
      <c r="W4" s="1065">
        <v>10886.400696861896</v>
      </c>
      <c r="Y4" s="1001">
        <f>IF(ISERROR(Q4-U4)=TRUE,"NA",Q4-U4)</f>
        <v>-352.89849024724072</v>
      </c>
      <c r="Z4" s="1000">
        <f>IF(ISERROR(R4-V4)=TRUE,"NA",R4-V4)</f>
        <v>199.08362817700618</v>
      </c>
      <c r="AA4" s="1000">
        <f>IF(ISERROR(S4-W4)=TRUE,"NA",S4-W4)</f>
        <v>-800.0326968618956</v>
      </c>
    </row>
    <row r="5" spans="1:27">
      <c r="B5" s="1055"/>
      <c r="C5" s="1056"/>
      <c r="D5" s="1056"/>
      <c r="E5" s="2397"/>
      <c r="F5" s="1238"/>
      <c r="H5" s="1030"/>
      <c r="I5" s="2405"/>
      <c r="J5" s="1031"/>
      <c r="L5" s="1119"/>
      <c r="N5" s="1045"/>
      <c r="P5" s="999"/>
      <c r="Q5" s="1002"/>
      <c r="R5" s="1002"/>
      <c r="S5" s="1002"/>
      <c r="U5" s="1066"/>
      <c r="V5" s="1066"/>
      <c r="W5" s="1066"/>
      <c r="Y5" s="1002"/>
      <c r="Z5" s="1002"/>
      <c r="AA5" s="1002"/>
    </row>
    <row r="6" spans="1:27">
      <c r="B6" s="1055" t="s">
        <v>1207</v>
      </c>
      <c r="C6" s="1038">
        <f>sumry!CM10</f>
        <v>2545.46</v>
      </c>
      <c r="D6" s="1038">
        <f>sumry!CH10</f>
        <v>2392.6260000000002</v>
      </c>
      <c r="E6" s="2398">
        <v>2539.2612000000004</v>
      </c>
      <c r="F6" s="1239" t="e">
        <f>F4-F8</f>
        <v>#VALUE!</v>
      </c>
      <c r="H6" s="1032">
        <f>IF(ISERROR(C6-D6)=TRUE,"NA",C6-D6)</f>
        <v>152.83399999999983</v>
      </c>
      <c r="I6" s="2406">
        <f>IF(ISERROR(C6-E6)=TRUE,"NA",C6-E6)</f>
        <v>6.1987999999996646</v>
      </c>
      <c r="J6" s="1033" t="str">
        <f>IF(ISERROR(C6-F6)=TRUE,"NA",C6-F6)</f>
        <v>NA</v>
      </c>
      <c r="L6" s="1119"/>
      <c r="N6" s="1046"/>
      <c r="P6" s="999" t="s">
        <v>1207</v>
      </c>
      <c r="Q6" s="1004">
        <f>sumry!BR10</f>
        <v>1214.6260000000002</v>
      </c>
      <c r="R6" s="1004">
        <f>sumry!DI10</f>
        <v>6657.0870000000004</v>
      </c>
      <c r="S6" s="1004">
        <f>sumry!DJ10</f>
        <v>6622.8650000000007</v>
      </c>
      <c r="U6" s="1067">
        <v>1447.8969170907046</v>
      </c>
      <c r="V6" s="1067">
        <v>6030.0342522578494</v>
      </c>
      <c r="W6" s="1067">
        <v>6251.2995766538543</v>
      </c>
      <c r="Y6" s="1004">
        <f>IF(ISERROR(Q6-U6)=TRUE,"NA",Q6-U6)</f>
        <v>-233.27091709070442</v>
      </c>
      <c r="Z6" s="1004">
        <f>IF(ISERROR(R6-V6)=TRUE,"NA",R6-V6)</f>
        <v>627.05274774215104</v>
      </c>
      <c r="AA6" s="1004">
        <f>IF(ISERROR(S6-W6)=TRUE,"NA",S6-W6)</f>
        <v>371.56542334614642</v>
      </c>
    </row>
    <row r="7" spans="1:27">
      <c r="B7" s="1055"/>
      <c r="C7" s="1091"/>
      <c r="D7" s="1091"/>
      <c r="E7" s="2399"/>
      <c r="F7" s="1240"/>
      <c r="H7" s="1030"/>
      <c r="I7" s="2405"/>
      <c r="J7" s="1031"/>
      <c r="L7" s="1119"/>
      <c r="N7" s="1047"/>
      <c r="P7" s="999"/>
      <c r="U7" s="1068"/>
      <c r="V7" s="1068"/>
      <c r="W7" s="1068"/>
      <c r="Y7" s="994"/>
      <c r="Z7" s="994"/>
      <c r="AA7" s="994"/>
    </row>
    <row r="8" spans="1:27">
      <c r="B8" s="1055" t="s">
        <v>46</v>
      </c>
      <c r="C8" s="1038">
        <f>sumry!CM13</f>
        <v>1944.0230000000001</v>
      </c>
      <c r="D8" s="1038">
        <f>sumry!CH13</f>
        <v>2002.4129999999996</v>
      </c>
      <c r="E8" s="2398">
        <v>1950.2387999999996</v>
      </c>
      <c r="F8" s="1240" t="str">
        <f>_xll.ThomsonONEAddinShim.SpreadsheetFormulas.TF($A$1,"TF.ES.GPM.Mean(period=#1)*TF.ES.Sales.Mean(period=#1,scale=6)",,F$1)</f>
        <v>#NAME?</v>
      </c>
      <c r="H8" s="1032">
        <f>IF(ISERROR(C8-D8)=TRUE,"NA",C8-D8)</f>
        <v>-58.389999999999418</v>
      </c>
      <c r="I8" s="2406">
        <f>IF(ISERROR(C8-E8)=TRUE,"NA",C8-E8)</f>
        <v>-6.21579999999949</v>
      </c>
      <c r="J8" s="1033" t="str">
        <f>IF(ISERROR(C8-F8)=TRUE,"NA",C8-F8)</f>
        <v>NA</v>
      </c>
      <c r="L8" s="1083">
        <f>(C$8-(C$4*E$27)+E$13+E$14)*(1-E$30)/E$23-(E$22+L$4)</f>
        <v>-1.3387857913474299E-2</v>
      </c>
      <c r="N8" s="1046"/>
      <c r="P8" s="999" t="s">
        <v>46</v>
      </c>
      <c r="Q8" s="1004">
        <f>sumry!BR13</f>
        <v>835.56299999999965</v>
      </c>
      <c r="R8" s="1004">
        <f>sumry!DI13</f>
        <v>4013.5119999999979</v>
      </c>
      <c r="S8" s="1004">
        <f>sumry!DJ13</f>
        <v>3463.5029999999997</v>
      </c>
      <c r="U8" s="1067">
        <v>955.19057315653595</v>
      </c>
      <c r="V8" s="1067">
        <v>4441.4811195651428</v>
      </c>
      <c r="W8" s="1067">
        <v>4635.1011202080417</v>
      </c>
      <c r="Y8" s="1004">
        <f t="shared" ref="Y8:AA9" si="0">IF(ISERROR(Q8-U8)=TRUE,"NA",Q8-U8)</f>
        <v>-119.6275731565363</v>
      </c>
      <c r="Z8" s="1004">
        <f t="shared" si="0"/>
        <v>-427.96911956514487</v>
      </c>
      <c r="AA8" s="1004">
        <f t="shared" si="0"/>
        <v>-1171.598120208042</v>
      </c>
    </row>
    <row r="9" spans="1:27">
      <c r="B9" s="1055" t="s">
        <v>1208</v>
      </c>
      <c r="C9" s="1038">
        <f>sumry!CM14</f>
        <v>956.471</v>
      </c>
      <c r="D9" s="1038">
        <f>sumry!CH14</f>
        <v>924.43499999999995</v>
      </c>
      <c r="E9" s="2398">
        <v>974.22149999999999</v>
      </c>
      <c r="F9" s="1240" t="e">
        <f>F8-F11</f>
        <v>#VALUE!</v>
      </c>
      <c r="H9" s="1032">
        <f>IF(ISERROR(C9-D9)=TRUE,"NA",C9-D9)</f>
        <v>32.036000000000058</v>
      </c>
      <c r="I9" s="2406">
        <f>IF(ISERROR(C9-E9)=TRUE,"NA",C9-E9)</f>
        <v>-17.750499999999988</v>
      </c>
      <c r="J9" s="1033" t="str">
        <f>IF(ISERROR(C9-F9)=TRUE,"NA",C9-F9)</f>
        <v>NA</v>
      </c>
      <c r="L9" s="1083">
        <f>(C$8-C$9+E$13+E$14)*(1-E$30)/E$23-(E$22+L$4+L$8)</f>
        <v>3.8269312929538835E-2</v>
      </c>
      <c r="N9" s="1045"/>
      <c r="P9" s="999" t="s">
        <v>1208</v>
      </c>
      <c r="Q9" s="1004">
        <f>sumry!BR14</f>
        <v>638.178</v>
      </c>
      <c r="R9" s="1004">
        <f>sumry!DI14</f>
        <v>2837.4269999999997</v>
      </c>
      <c r="S9" s="1004">
        <f>sumry!DJ14</f>
        <v>2602.4579999999996</v>
      </c>
      <c r="U9" s="1067">
        <v>627.46815596873694</v>
      </c>
      <c r="V9" s="1067">
        <v>2704.3946813311923</v>
      </c>
      <c r="W9" s="1067">
        <v>2797.8049790935074</v>
      </c>
      <c r="Y9" s="1004">
        <f t="shared" si="0"/>
        <v>10.70984403126306</v>
      </c>
      <c r="Z9" s="1004">
        <f t="shared" si="0"/>
        <v>133.03231866880742</v>
      </c>
      <c r="AA9" s="1004">
        <f t="shared" si="0"/>
        <v>-195.3469790935078</v>
      </c>
    </row>
    <row r="10" spans="1:27">
      <c r="B10" s="1055"/>
      <c r="C10" s="1038"/>
      <c r="D10" s="1038"/>
      <c r="E10" s="2398"/>
      <c r="F10" s="1240"/>
      <c r="H10" s="1030"/>
      <c r="I10" s="2405"/>
      <c r="J10" s="1031"/>
      <c r="L10" s="1120" t="s">
        <v>580</v>
      </c>
      <c r="N10" s="1048"/>
      <c r="P10" s="999"/>
      <c r="Q10" s="1004"/>
      <c r="R10" s="1004"/>
      <c r="S10" s="1004"/>
      <c r="U10" s="1067"/>
      <c r="V10" s="1067"/>
      <c r="W10" s="1067"/>
      <c r="Y10" s="1004"/>
      <c r="Z10" s="1004"/>
      <c r="AA10" s="1004"/>
    </row>
    <row r="11" spans="1:27">
      <c r="B11" s="1055" t="s">
        <v>1209</v>
      </c>
      <c r="C11" s="1038">
        <f>sumry!CM17</f>
        <v>987.55200000000013</v>
      </c>
      <c r="D11" s="1038">
        <f>sumry!CH17</f>
        <v>1077.9779999999996</v>
      </c>
      <c r="E11" s="2398">
        <v>976.01729999999964</v>
      </c>
      <c r="F11" s="1240" t="str">
        <f>_xll.ThomsonONEAddinShim.SpreadsheetFormulas.TF($A$1,"TF.ES.EBIT.Mean(period=#1,scale=6)",,F$1)</f>
        <v>#NAME?</v>
      </c>
      <c r="H11" s="1032">
        <f>IF(ISERROR(C11-D11)=TRUE,"NA",C11-D11)</f>
        <v>-90.425999999999476</v>
      </c>
      <c r="I11" s="2406">
        <f>IF(ISERROR(C11-E11)=TRUE,"NA",C11-E11)</f>
        <v>11.534700000000498</v>
      </c>
      <c r="J11" s="1033" t="str">
        <f>IF(ISERROR(C11-F11)=TRUE,"NA",C11-F11)</f>
        <v>NA</v>
      </c>
      <c r="L11" s="1085">
        <f>(C$11+E$13+E$14)*(1-E$30)/E$23-(E$22)</f>
        <v>2.4873485374266924E-2</v>
      </c>
      <c r="N11" s="1045"/>
      <c r="P11" s="999" t="s">
        <v>1209</v>
      </c>
      <c r="Q11" s="1004">
        <f>sumry!BR17</f>
        <v>197.38499999999965</v>
      </c>
      <c r="R11" s="1004">
        <f>sumry!DI17</f>
        <v>1176.0849999999982</v>
      </c>
      <c r="S11" s="1004">
        <f>sumry!DJ17</f>
        <v>861.04500000000007</v>
      </c>
      <c r="U11" s="1067">
        <v>327.72241718779901</v>
      </c>
      <c r="V11" s="1067">
        <v>1737.0864382339505</v>
      </c>
      <c r="W11" s="1067">
        <v>1837.2961411145343</v>
      </c>
      <c r="Y11" s="1004">
        <f>IF(ISERROR(Q11-U11)=TRUE,"NA",Q11-U11)</f>
        <v>-130.33741718779936</v>
      </c>
      <c r="Z11" s="1004">
        <f>IF(ISERROR(R11-V11)=TRUE,"NA",R11-V11)</f>
        <v>-561.00143823395229</v>
      </c>
      <c r="AA11" s="1004">
        <f>IF(ISERROR(S11-W11)=TRUE,"NA",S11-W11)</f>
        <v>-976.25114111453422</v>
      </c>
    </row>
    <row r="12" spans="1:27">
      <c r="B12" s="1055"/>
      <c r="C12" s="1038"/>
      <c r="D12" s="1038"/>
      <c r="E12" s="2398"/>
      <c r="F12" s="1240"/>
      <c r="H12" s="1032"/>
      <c r="I12" s="2406"/>
      <c r="J12" s="1033"/>
      <c r="L12" s="1119"/>
      <c r="N12" s="1048"/>
      <c r="P12" s="999"/>
      <c r="Q12" s="1004"/>
      <c r="R12" s="1004"/>
      <c r="S12" s="1004"/>
      <c r="U12" s="1067"/>
      <c r="V12" s="1067"/>
      <c r="W12" s="1067"/>
      <c r="Y12" s="1004"/>
      <c r="Z12" s="1004"/>
      <c r="AA12" s="1004"/>
    </row>
    <row r="13" spans="1:27">
      <c r="B13" s="1055" t="s">
        <v>88</v>
      </c>
      <c r="C13" s="1038">
        <f>sumry!CM19</f>
        <v>-98.346000000000004</v>
      </c>
      <c r="D13" s="1038">
        <f>sumry!CH19</f>
        <v>-97.150999999999996</v>
      </c>
      <c r="E13" s="2398">
        <v>-95</v>
      </c>
      <c r="F13" s="1240"/>
      <c r="H13" s="1032">
        <f>IF(ISERROR(C13-D13)=TRUE,"NA",C13-D13)</f>
        <v>-1.1950000000000074</v>
      </c>
      <c r="I13" s="2406">
        <f>IF(ISERROR(C13-E13)=TRUE,"NA",C13-E13)</f>
        <v>-3.3460000000000036</v>
      </c>
      <c r="J13" s="1033">
        <f>IF(ISERROR(C13-F13)=TRUE,"NA",C13-F13)</f>
        <v>-98.346000000000004</v>
      </c>
      <c r="L13" s="1083">
        <f>(C$11+C$13+E$14)*(1-E$30)/E$23-(E$22+L11)</f>
        <v>-7.2153313100724592E-3</v>
      </c>
      <c r="N13" s="1043"/>
      <c r="P13" s="999" t="s">
        <v>88</v>
      </c>
      <c r="Q13" s="1004">
        <f>sumry!BR19</f>
        <v>-77.155000000000001</v>
      </c>
      <c r="R13" s="1004">
        <f>sumry!DI19</f>
        <v>-101.83500000000001</v>
      </c>
      <c r="S13" s="1004">
        <f>sumry!DJ19</f>
        <v>-149.49600000000001</v>
      </c>
      <c r="U13" s="1067">
        <v>-78.0625</v>
      </c>
      <c r="V13" s="1067">
        <v>-313.25</v>
      </c>
      <c r="W13" s="1067">
        <v>-300.02749999999997</v>
      </c>
      <c r="Y13" s="1004">
        <f>IF(ISERROR(Q13-U13)=TRUE,"NA",Q13-U13)</f>
        <v>0.90749999999999886</v>
      </c>
      <c r="Z13" s="1004">
        <f>IF(ISERROR(R13-V13)=TRUE,"NA",R13-V13)</f>
        <v>211.41499999999999</v>
      </c>
      <c r="AA13" s="1004">
        <f>IF(ISERROR(S13-W13)=TRUE,"NA",S13-W13)</f>
        <v>150.53149999999997</v>
      </c>
    </row>
    <row r="14" spans="1:27">
      <c r="B14" s="1055" t="s">
        <v>92</v>
      </c>
      <c r="C14" s="1038">
        <f>sumry!CM20</f>
        <v>3.4169999999999998</v>
      </c>
      <c r="D14" s="1038">
        <f>sumry!CH20</f>
        <v>1.274</v>
      </c>
      <c r="E14" s="2398">
        <v>0</v>
      </c>
      <c r="F14" s="1240"/>
      <c r="H14" s="1032">
        <f>IF(ISERROR(C14-D14)=TRUE,"NA",C14-D14)</f>
        <v>2.1429999999999998</v>
      </c>
      <c r="I14" s="2406">
        <f>IF(ISERROR(C14-E14)=TRUE,"NA",C14-E14)</f>
        <v>3.4169999999999998</v>
      </c>
      <c r="J14" s="1033">
        <f>IF(ISERROR(C14-F14)=TRUE,"NA",C14-F14)</f>
        <v>3.4169999999999998</v>
      </c>
      <c r="L14" s="1083">
        <f>(C$11+C$13+C$14)*(1-E$30)/E$23-(E$22+L$11+L$13)</f>
        <v>7.3684360688937023E-3</v>
      </c>
      <c r="N14" s="1045"/>
      <c r="P14" s="999"/>
      <c r="Q14" s="1004">
        <f>sumry!BR20</f>
        <v>4.8580000000000023</v>
      </c>
      <c r="R14" s="1004">
        <f>sumry!DI20</f>
        <v>22.798999999999999</v>
      </c>
      <c r="S14" s="1004">
        <f>sumry!DJ20</f>
        <v>45.312000000000012</v>
      </c>
      <c r="U14" s="1067">
        <v>0</v>
      </c>
      <c r="V14" s="1067">
        <v>0</v>
      </c>
      <c r="W14" s="1067">
        <v>0</v>
      </c>
      <c r="Y14" s="1004"/>
      <c r="Z14" s="1004"/>
      <c r="AA14" s="1004"/>
    </row>
    <row r="15" spans="1:27">
      <c r="B15" s="1055"/>
      <c r="C15" s="1038"/>
      <c r="D15" s="1038"/>
      <c r="E15" s="2398"/>
      <c r="F15" s="1240"/>
      <c r="H15" s="1032"/>
      <c r="I15" s="2406"/>
      <c r="J15" s="1033"/>
      <c r="L15" s="1119"/>
      <c r="N15" s="1047"/>
      <c r="P15" s="999"/>
      <c r="Q15" s="1004"/>
      <c r="R15" s="1004"/>
      <c r="S15" s="1004"/>
      <c r="U15" s="1067"/>
      <c r="V15" s="1067"/>
      <c r="W15" s="1067"/>
      <c r="Y15" s="1004"/>
      <c r="Z15" s="1004"/>
      <c r="AA15" s="1004"/>
    </row>
    <row r="16" spans="1:27">
      <c r="B16" s="1055" t="s">
        <v>1210</v>
      </c>
      <c r="C16" s="1038">
        <f>sumry!CM21</f>
        <v>892.62300000000016</v>
      </c>
      <c r="D16" s="1038">
        <f>sumry!CH21</f>
        <v>982.10099999999966</v>
      </c>
      <c r="E16" s="2398">
        <v>881.01729999999964</v>
      </c>
      <c r="F16" s="1240" t="str">
        <f>_xll.ThomsonONEAddinShim.SpreadsheetFormulas.TF($A$1,"TF.ES.PBT.Mean(period=#1,scale=6)",,F$1)</f>
        <v>#NAME?</v>
      </c>
      <c r="H16" s="1032">
        <f>IF(ISERROR(C16-D16)=TRUE,"NA",C16-D16)</f>
        <v>-89.477999999999497</v>
      </c>
      <c r="I16" s="2406">
        <f>IF(ISERROR(C16-E16)=TRUE,"NA",C16-E16)</f>
        <v>11.605700000000525</v>
      </c>
      <c r="J16" s="1033" t="str">
        <f>IF(ISERROR(C16-F16)=TRUE,"NA",C16-F16)</f>
        <v>NA</v>
      </c>
      <c r="L16" s="1119"/>
      <c r="N16" s="1046"/>
      <c r="P16" s="999" t="s">
        <v>1210</v>
      </c>
      <c r="Q16" s="1004">
        <f>sumry!BR21</f>
        <v>125.08799999999965</v>
      </c>
      <c r="R16" s="1004">
        <f>sumry!DI21</f>
        <v>1097.0489999999982</v>
      </c>
      <c r="S16" s="1004">
        <f>sumry!DJ21</f>
        <v>756.8610000000001</v>
      </c>
      <c r="U16" s="1067">
        <v>249.65991718779901</v>
      </c>
      <c r="V16" s="1067">
        <v>1423.8364382339505</v>
      </c>
      <c r="W16" s="1067">
        <v>1537.2686411145341</v>
      </c>
      <c r="Y16" s="1004">
        <f>IF(ISERROR(Q16-U16)=TRUE,"NA",Q16-U16)</f>
        <v>-124.57191718779936</v>
      </c>
      <c r="Z16" s="1004">
        <f>IF(ISERROR(R16-V16)=TRUE,"NA",R16-V16)</f>
        <v>-326.78743823395234</v>
      </c>
      <c r="AA16" s="1004">
        <f>IF(ISERROR(S16-W16)=TRUE,"NA",S16-W16)</f>
        <v>-780.40764111453404</v>
      </c>
    </row>
    <row r="17" spans="2:27">
      <c r="B17" s="1055"/>
      <c r="C17" s="1038"/>
      <c r="D17" s="1038"/>
      <c r="E17" s="2398"/>
      <c r="F17" s="1240"/>
      <c r="H17" s="1032"/>
      <c r="I17" s="2406"/>
      <c r="J17" s="1033"/>
      <c r="L17" s="1119"/>
      <c r="N17" s="1047"/>
      <c r="P17" s="999"/>
      <c r="Q17" s="1005"/>
      <c r="R17" s="1005"/>
      <c r="S17" s="1005"/>
      <c r="U17" s="1069"/>
      <c r="V17" s="1069"/>
      <c r="W17" s="1069"/>
      <c r="Y17" s="1005"/>
      <c r="Z17" s="1005"/>
      <c r="AA17" s="1005"/>
    </row>
    <row r="18" spans="2:27">
      <c r="B18" s="1055" t="s">
        <v>1211</v>
      </c>
      <c r="C18" s="1038">
        <f>sumry!CM23</f>
        <v>302.62799999999999</v>
      </c>
      <c r="D18" s="1038">
        <f>sumry!CH23</f>
        <v>346.084</v>
      </c>
      <c r="E18" s="2398">
        <v>330.38148749999988</v>
      </c>
      <c r="F18" s="1240" t="e">
        <f>F16-F20</f>
        <v>#VALUE!</v>
      </c>
      <c r="H18" s="1032">
        <f>IF(ISERROR(C18-D18)=TRUE,"NA",C18-D18)</f>
        <v>-43.456000000000017</v>
      </c>
      <c r="I18" s="2406">
        <f>IF(ISERROR(C18-E18)=TRUE,"NA",C18-E18)</f>
        <v>-27.753487499999892</v>
      </c>
      <c r="J18" s="1033" t="str">
        <f>IF(ISERROR(C18-F18)=TRUE,"NA",C18-F18)</f>
        <v>NA</v>
      </c>
      <c r="L18" s="1083">
        <f>(C16-C18)/E$23-(E$22+L$11+L$13+L$14)</f>
        <v>0.11077237120953742</v>
      </c>
      <c r="N18" s="1046"/>
      <c r="P18" s="999" t="s">
        <v>1211</v>
      </c>
      <c r="Q18" s="1004">
        <f>sumry!BR23</f>
        <v>49.448</v>
      </c>
      <c r="R18" s="1004">
        <f>sumry!DI23</f>
        <v>422</v>
      </c>
      <c r="S18" s="1004">
        <f>sumry!DJ23</f>
        <v>294.89999999999998</v>
      </c>
      <c r="U18" s="1067">
        <v>98.615667289180607</v>
      </c>
      <c r="V18" s="1067">
        <v>541.13102651317229</v>
      </c>
      <c r="W18" s="1067">
        <v>583.39344930296568</v>
      </c>
      <c r="Y18" s="1004">
        <f>IF(ISERROR(Q18-U18)=TRUE,"NA",Q18-U18)</f>
        <v>-49.167667289180606</v>
      </c>
      <c r="Z18" s="1004">
        <f>IF(ISERROR(R18-V18)=TRUE,"NA",R18-V18)</f>
        <v>-119.13102651317229</v>
      </c>
      <c r="AA18" s="1004">
        <f>IF(ISERROR(S18-W18)=TRUE,"NA",S18-W18)</f>
        <v>-288.4934493029657</v>
      </c>
    </row>
    <row r="19" spans="2:27">
      <c r="B19" s="1055"/>
      <c r="C19" s="1038"/>
      <c r="D19" s="1038"/>
      <c r="E19" s="2398"/>
      <c r="F19" s="1240"/>
      <c r="H19" s="1032"/>
      <c r="I19" s="2406"/>
      <c r="J19" s="1033"/>
      <c r="L19" s="1119"/>
      <c r="N19" s="1045"/>
      <c r="P19" s="999"/>
      <c r="Q19" s="1004"/>
      <c r="R19" s="1004"/>
      <c r="S19" s="1004"/>
      <c r="U19" s="1067"/>
      <c r="V19" s="1067"/>
      <c r="W19" s="1067"/>
      <c r="Y19" s="1004"/>
      <c r="Z19" s="1004"/>
      <c r="AA19" s="1004"/>
    </row>
    <row r="20" spans="2:27">
      <c r="B20" s="1055" t="s">
        <v>89</v>
      </c>
      <c r="C20" s="1038">
        <f>sumry!CM25</f>
        <v>589.99500000000012</v>
      </c>
      <c r="D20" s="1038">
        <f>sumry!CH25</f>
        <v>636.0169999999996</v>
      </c>
      <c r="E20" s="2398">
        <v>550.6358124999997</v>
      </c>
      <c r="F20" s="1240" t="str">
        <f>_xll.ThomsonONEAddinShim.SpreadsheetFormulas.TF($A$1,"TF.ES.NetInc.Mean(period=#1,scale=6)",,F$1)</f>
        <v>#NAME?</v>
      </c>
      <c r="H20" s="1032">
        <f>IF(ISERROR(C20-D20)=TRUE,"NA",C20-D20)</f>
        <v>-46.02199999999948</v>
      </c>
      <c r="I20" s="2406">
        <f>IF(ISERROR(C20-E20)=TRUE,"NA",C20-E20)</f>
        <v>39.359187500000417</v>
      </c>
      <c r="J20" s="1033" t="str">
        <f>IF(ISERROR(C20-F20)=TRUE,"NA",C20-F20)</f>
        <v>NA</v>
      </c>
      <c r="L20" s="1119"/>
      <c r="N20" s="1077"/>
      <c r="P20" s="999" t="s">
        <v>89</v>
      </c>
      <c r="Q20" s="1004">
        <f>sumry!BR25</f>
        <v>75.639999999999645</v>
      </c>
      <c r="R20" s="1004">
        <f>sumry!DI25</f>
        <v>675.04899999999816</v>
      </c>
      <c r="S20" s="1004">
        <f>sumry!DJ25</f>
        <v>461.96100000000013</v>
      </c>
      <c r="U20" s="1067">
        <v>151.0442498986184</v>
      </c>
      <c r="V20" s="1067">
        <v>882.70541172077822</v>
      </c>
      <c r="W20" s="1067">
        <v>953.87519181156847</v>
      </c>
      <c r="Y20" s="1004">
        <f>IF(ISERROR(Q20-U20)=TRUE,"NA",Q20-U20)</f>
        <v>-75.404249898618758</v>
      </c>
      <c r="Z20" s="1004">
        <f>IF(ISERROR(R20-V20)=TRUE,"NA",R20-V20)</f>
        <v>-207.65641172078006</v>
      </c>
      <c r="AA20" s="1004">
        <f>IF(ISERROR(S20-W20)=TRUE,"NA",S20-W20)</f>
        <v>-491.91419181156834</v>
      </c>
    </row>
    <row r="21" spans="2:27">
      <c r="B21" s="1055"/>
      <c r="C21" s="1057"/>
      <c r="D21" s="1057"/>
      <c r="E21" s="2400"/>
      <c r="F21" s="1241"/>
      <c r="H21" s="1028"/>
      <c r="I21" s="2404"/>
      <c r="J21" s="1029"/>
      <c r="L21" s="1119"/>
      <c r="N21" s="1045"/>
      <c r="P21" s="999"/>
      <c r="Q21" s="1004"/>
      <c r="R21" s="1004"/>
      <c r="S21" s="1004"/>
      <c r="U21" s="1067"/>
      <c r="V21" s="1067"/>
      <c r="W21" s="1067"/>
      <c r="Y21" s="1004"/>
      <c r="Z21" s="1004"/>
      <c r="AA21" s="1004"/>
    </row>
    <row r="22" spans="2:27">
      <c r="B22" s="1055" t="s">
        <v>1212</v>
      </c>
      <c r="C22" s="1058">
        <f>sumry!CM27</f>
        <v>2.0328462500559903</v>
      </c>
      <c r="D22" s="1058">
        <f>sumry!CH27</f>
        <v>2.1547189115572496</v>
      </c>
      <c r="E22" s="2401">
        <v>1.899830158220414</v>
      </c>
      <c r="F22" s="2574" t="str">
        <f>_xll.ThomsonONEAddinShim.SpreadsheetFormulas.TF($A$1,"TF.ES.EPS.Mean(period=#1)",,F$1)</f>
        <v>#NAME?</v>
      </c>
      <c r="H22" s="1034">
        <f>IF(ISERROR(C22-D22)=TRUE,"NA",C22-D22)</f>
        <v>-0.12187266150125931</v>
      </c>
      <c r="I22" s="2407">
        <f>IF(ISERROR(C22-E22)=TRUE,"NA",C22-E22)</f>
        <v>0.13301609183557628</v>
      </c>
      <c r="J22" s="1035" t="str">
        <f>IF(ISERROR(C22-F22)=TRUE,"NA",C22-F22)</f>
        <v>NA</v>
      </c>
      <c r="L22" s="1086">
        <f>SUM(L11:L18)</f>
        <v>0.13579896134262559</v>
      </c>
      <c r="N22" s="1049"/>
      <c r="P22" s="999" t="s">
        <v>1212</v>
      </c>
      <c r="Q22" s="1006">
        <f>sumry!BR27</f>
        <v>0.25694156651471073</v>
      </c>
      <c r="R22" s="1006">
        <f>sumry!DI27</f>
        <v>1.6771445394895343</v>
      </c>
      <c r="S22" s="1006">
        <f>sumry!DJ27</f>
        <v>1.2149514767377643</v>
      </c>
      <c r="U22" s="1070">
        <v>0.50600376778155343</v>
      </c>
      <c r="V22" s="1070">
        <v>2.969031085739045</v>
      </c>
      <c r="W22" s="1070">
        <v>3.2988460544981475</v>
      </c>
      <c r="Y22" s="1006">
        <f t="shared" ref="Y22:AA23" si="1">IF(ISERROR(Q22-U22)=TRUE,"NA",Q22-U22)</f>
        <v>-0.2490622012668427</v>
      </c>
      <c r="Z22" s="1006">
        <f t="shared" si="1"/>
        <v>-1.2918865462495106</v>
      </c>
      <c r="AA22" s="1006">
        <f t="shared" si="1"/>
        <v>-2.0838945777603834</v>
      </c>
    </row>
    <row r="23" spans="2:27">
      <c r="B23" s="1055" t="s">
        <v>90</v>
      </c>
      <c r="C23" s="1038">
        <f>sumry!CM28</f>
        <v>290.23099999999999</v>
      </c>
      <c r="D23" s="1038">
        <f>sumry!CH28</f>
        <v>295.17399999999998</v>
      </c>
      <c r="E23" s="2398">
        <v>289.83423076923077</v>
      </c>
      <c r="F23" s="1239"/>
      <c r="H23" s="1032">
        <f>IF(ISERROR(C23-D23)=TRUE,"NA",C23-D23)</f>
        <v>-4.9429999999999836</v>
      </c>
      <c r="I23" s="2407">
        <f>IF(ISERROR(C23-E23)=TRUE,"NA",C23-E23)</f>
        <v>0.39676923076922321</v>
      </c>
      <c r="J23" s="1036">
        <f>IF(ISERROR(C23-F23)=TRUE,"NA",C23-F23)</f>
        <v>290.23099999999999</v>
      </c>
      <c r="L23" s="1083">
        <f>C22-(C20/E23)</f>
        <v>-2.7828695070493126E-3</v>
      </c>
      <c r="N23" s="1043"/>
      <c r="P23" s="999" t="s">
        <v>90</v>
      </c>
      <c r="Q23" s="1004">
        <f>sumry!BR28</f>
        <v>294.38600000000002</v>
      </c>
      <c r="R23" s="1004">
        <f>sumry!DI28</f>
        <v>402.49900000000002</v>
      </c>
      <c r="S23" s="1004">
        <f>sumry!DJ28</f>
        <v>380.23</v>
      </c>
      <c r="U23" s="1067">
        <v>298.50420000000003</v>
      </c>
      <c r="V23" s="1067">
        <v>297.30420000000004</v>
      </c>
      <c r="W23" s="1067">
        <v>289.15420000000006</v>
      </c>
      <c r="Y23" s="1004">
        <f t="shared" si="1"/>
        <v>-4.1182000000000016</v>
      </c>
      <c r="Z23" s="1004">
        <f t="shared" si="1"/>
        <v>105.19479999999999</v>
      </c>
      <c r="AA23" s="1004">
        <f t="shared" si="1"/>
        <v>91.075799999999958</v>
      </c>
    </row>
    <row r="24" spans="2:27">
      <c r="B24" s="1055"/>
      <c r="C24" s="1057"/>
      <c r="D24" s="1057"/>
      <c r="E24" s="2400"/>
      <c r="F24" s="1241"/>
      <c r="H24" s="1032"/>
      <c r="I24" s="2406"/>
      <c r="J24" s="1033"/>
      <c r="L24" s="1087"/>
      <c r="N24" s="1043"/>
      <c r="P24" s="999"/>
      <c r="Q24" s="1004"/>
      <c r="R24" s="1004"/>
      <c r="S24" s="1004"/>
      <c r="U24" s="1067"/>
      <c r="V24" s="1067"/>
      <c r="W24" s="1067"/>
      <c r="Y24" s="1004"/>
      <c r="Z24" s="1004"/>
      <c r="AA24" s="1004"/>
    </row>
    <row r="25" spans="2:27">
      <c r="B25" s="1059" t="s">
        <v>1214</v>
      </c>
      <c r="C25" s="1038"/>
      <c r="D25" s="1038"/>
      <c r="E25" s="2398"/>
      <c r="F25" s="1239"/>
      <c r="H25" s="1037"/>
      <c r="I25" s="2406"/>
      <c r="J25" s="1039"/>
      <c r="L25" s="1084"/>
      <c r="N25" s="1043"/>
      <c r="P25" s="1008" t="s">
        <v>1214</v>
      </c>
      <c r="Q25" s="1009"/>
      <c r="R25" s="1009"/>
      <c r="S25" s="1009"/>
      <c r="U25" s="1071"/>
      <c r="V25" s="1071"/>
      <c r="W25" s="1071"/>
      <c r="Y25" s="1009"/>
      <c r="Z25" s="1009"/>
      <c r="AA25" s="1009"/>
    </row>
    <row r="26" spans="2:27">
      <c r="B26" s="1055" t="s">
        <v>1215</v>
      </c>
      <c r="C26" s="1056">
        <f>sumry!CM36</f>
        <v>0.4330171202341116</v>
      </c>
      <c r="D26" s="1056">
        <f>sumry!CH36</f>
        <v>0.45560756116157325</v>
      </c>
      <c r="E26" s="2397">
        <v>0.4343999999999999</v>
      </c>
      <c r="F26" s="1238" t="e">
        <f>F8/F4</f>
        <v>#VALUE!</v>
      </c>
      <c r="H26" s="1030">
        <f t="shared" ref="H26:H31" si="2">IF(ISERROR((C26-D26)*10000)=TRUE,"NA",(C26-D26)*10000)</f>
        <v>-225.90440927461651</v>
      </c>
      <c r="I26" s="2405">
        <f t="shared" ref="I26:I31" si="3">IF(ISERROR((C26-E26)*10000)=TRUE,"NA",(C26-E26)*10000)</f>
        <v>-13.828797658883008</v>
      </c>
      <c r="J26" s="1031" t="str">
        <f>IF(ISERROR((C26-F26)*10000)=TRUE,"NA",(C26-F26)*10000)</f>
        <v>NA</v>
      </c>
      <c r="L26" s="1084"/>
      <c r="N26" s="1043"/>
      <c r="P26" s="999" t="s">
        <v>1215</v>
      </c>
      <c r="Q26" s="1002">
        <f>sumry!BR36</f>
        <v>0.40755413281409653</v>
      </c>
      <c r="R26" s="1002">
        <f>sumry!DI36</f>
        <v>0.37612808802954723</v>
      </c>
      <c r="S26" s="1002">
        <f>sumry!DJ36</f>
        <v>0.34338455626445513</v>
      </c>
      <c r="U26" s="1066">
        <v>0.39748472622537001</v>
      </c>
      <c r="V26" s="1066">
        <v>0.42414884205932485</v>
      </c>
      <c r="W26" s="1066">
        <v>0.42576984342898122</v>
      </c>
      <c r="Y26" s="1003">
        <f t="shared" ref="Y26:AA31" si="4">IF(ISERROR((Q26-U26)*10000)=TRUE,"NA",(Q26-U26)*10000)</f>
        <v>100.69406588726515</v>
      </c>
      <c r="Z26" s="1003">
        <f t="shared" si="4"/>
        <v>-480.20754029777623</v>
      </c>
      <c r="AA26" s="1003">
        <f t="shared" si="4"/>
        <v>-823.85287164526085</v>
      </c>
    </row>
    <row r="27" spans="2:27">
      <c r="B27" s="1055" t="s">
        <v>1216</v>
      </c>
      <c r="C27" s="1056">
        <f>sumry!CM37</f>
        <v>0.21304702568202172</v>
      </c>
      <c r="D27" s="1056">
        <f>sumry!CH37</f>
        <v>0.21033601749609049</v>
      </c>
      <c r="E27" s="2397">
        <v>0.217</v>
      </c>
      <c r="F27" s="1238" t="e">
        <f>F9/F4</f>
        <v>#VALUE!</v>
      </c>
      <c r="H27" s="1030">
        <f t="shared" si="2"/>
        <v>27.110081859312295</v>
      </c>
      <c r="I27" s="2405">
        <f t="shared" si="3"/>
        <v>-39.529743179782805</v>
      </c>
      <c r="J27" s="1031" t="str">
        <f>IF(ISERROR((C27-F27)*10000)=TRUE,"NA",(C27-F27)*10000)</f>
        <v>NA</v>
      </c>
      <c r="L27" s="1084"/>
      <c r="N27" s="1043"/>
      <c r="P27" s="999" t="s">
        <v>1216</v>
      </c>
      <c r="Q27" s="1002">
        <f>sumry!BR37</f>
        <v>0.31127764318314072</v>
      </c>
      <c r="R27" s="1002">
        <f>sumry!DI37</f>
        <v>0.26591075158948435</v>
      </c>
      <c r="S27" s="1002">
        <f>sumry!DJ37</f>
        <v>0.25801735570227058</v>
      </c>
      <c r="U27" s="1066">
        <v>0.26110915999324691</v>
      </c>
      <c r="V27" s="1066">
        <v>0.25826201703415758</v>
      </c>
      <c r="W27" s="1066">
        <v>0.25700000000000001</v>
      </c>
      <c r="Y27" s="1003">
        <f t="shared" si="4"/>
        <v>501.68483189893811</v>
      </c>
      <c r="Z27" s="1003">
        <f t="shared" si="4"/>
        <v>76.487345553267744</v>
      </c>
      <c r="AA27" s="1003">
        <f t="shared" si="4"/>
        <v>10.173557022705726</v>
      </c>
    </row>
    <row r="28" spans="2:27">
      <c r="B28" s="1055" t="s">
        <v>705</v>
      </c>
      <c r="C28" s="1056">
        <f>sumry!CM38</f>
        <v>0.21997009455208988</v>
      </c>
      <c r="D28" s="1056">
        <f>sumry!CH38</f>
        <v>0.24527154366548276</v>
      </c>
      <c r="E28" s="2397">
        <v>0.21739999999999993</v>
      </c>
      <c r="F28" s="1238" t="e">
        <f>F11/F4</f>
        <v>#VALUE!</v>
      </c>
      <c r="H28" s="1030">
        <f t="shared" si="2"/>
        <v>-253.01449113392883</v>
      </c>
      <c r="I28" s="2405">
        <f t="shared" si="3"/>
        <v>25.70094552089952</v>
      </c>
      <c r="J28" s="1031" t="str">
        <f>IF(ISERROR((C28-F28)*10000)=TRUE,"NA",(C28-F28)*10000)</f>
        <v>NA</v>
      </c>
      <c r="L28" s="1084"/>
      <c r="N28" s="1043"/>
      <c r="P28" s="999" t="s">
        <v>705</v>
      </c>
      <c r="Q28" s="1002">
        <f>sumry!BR38</f>
        <v>9.6276489630955808E-2</v>
      </c>
      <c r="R28" s="1002">
        <f>sumry!DI38</f>
        <v>0.11021733644006287</v>
      </c>
      <c r="S28" s="1002">
        <f>sumry!DJ38</f>
        <v>8.5367200562184525E-2</v>
      </c>
      <c r="U28" s="1066">
        <v>0.1363755662321231</v>
      </c>
      <c r="V28" s="1066">
        <v>0.1658868250251673</v>
      </c>
      <c r="W28" s="1066">
        <v>0.16876984342898121</v>
      </c>
      <c r="Y28" s="1003">
        <f t="shared" si="4"/>
        <v>-400.99076601167292</v>
      </c>
      <c r="Z28" s="1003">
        <f t="shared" si="4"/>
        <v>-556.69488585104432</v>
      </c>
      <c r="AA28" s="1003">
        <f t="shared" si="4"/>
        <v>-834.02642866796691</v>
      </c>
    </row>
    <row r="29" spans="2:27">
      <c r="B29" s="1055" t="s">
        <v>1217</v>
      </c>
      <c r="C29" s="1056">
        <f>sumry!CM40</f>
        <v>0.1988253435863328</v>
      </c>
      <c r="D29" s="1056">
        <f>sumry!CH40</f>
        <v>0.22345672017927479</v>
      </c>
      <c r="E29" s="2397">
        <v>0.19623951442254139</v>
      </c>
      <c r="F29" s="1238" t="e">
        <f>F16/F4</f>
        <v>#VALUE!</v>
      </c>
      <c r="H29" s="1030">
        <f t="shared" si="2"/>
        <v>-246.31376592941984</v>
      </c>
      <c r="I29" s="2405">
        <f t="shared" si="3"/>
        <v>25.858291637914089</v>
      </c>
      <c r="J29" s="1031"/>
      <c r="L29" s="1084"/>
      <c r="N29" s="1043"/>
      <c r="P29" s="999" t="s">
        <v>1217</v>
      </c>
      <c r="Q29" s="1002">
        <f>sumry!BR40</f>
        <v>6.1012911492550032E-2</v>
      </c>
      <c r="R29" s="1002">
        <f>sumry!DI40</f>
        <v>0.10281044203797728</v>
      </c>
      <c r="S29" s="1002">
        <f>sumry!DJ40</f>
        <v>7.5038011700544749E-2</v>
      </c>
      <c r="U29" s="1066">
        <v>0.10389131407034742</v>
      </c>
      <c r="V29" s="1066">
        <v>0.13597233902413439</v>
      </c>
      <c r="W29" s="1066">
        <v>0.14120999988156469</v>
      </c>
      <c r="Y29" s="1003">
        <f t="shared" si="4"/>
        <v>-428.78402577797391</v>
      </c>
      <c r="Z29" s="1003">
        <f t="shared" si="4"/>
        <v>-331.61896986157109</v>
      </c>
      <c r="AA29" s="1003">
        <f t="shared" si="4"/>
        <v>-661.71988181019935</v>
      </c>
    </row>
    <row r="30" spans="2:27">
      <c r="B30" s="1055" t="s">
        <v>647</v>
      </c>
      <c r="C30" s="1056">
        <f>sumry!CM41</f>
        <v>0.33903226782191354</v>
      </c>
      <c r="D30" s="1056">
        <f>sumry!CH41</f>
        <v>0.35239145464672178</v>
      </c>
      <c r="E30" s="2397">
        <v>0.375</v>
      </c>
      <c r="F30" s="1238" t="e">
        <f>F18/F16</f>
        <v>#VALUE!</v>
      </c>
      <c r="G30" s="1002"/>
      <c r="H30" s="1030">
        <f t="shared" si="2"/>
        <v>-133.59186824808245</v>
      </c>
      <c r="I30" s="2405">
        <f t="shared" si="3"/>
        <v>-359.67732178086465</v>
      </c>
      <c r="J30" s="1031"/>
      <c r="K30" s="1002"/>
      <c r="L30" s="1088"/>
      <c r="M30" s="1002"/>
      <c r="N30" s="1043"/>
      <c r="P30" s="999" t="s">
        <v>647</v>
      </c>
      <c r="Q30" s="1002">
        <f>sumry!BR41</f>
        <v>0.39530570478383326</v>
      </c>
      <c r="R30" s="1002">
        <f>sumry!DI41</f>
        <v>0.3846683238396833</v>
      </c>
      <c r="S30" s="1002">
        <f>sumry!DJ41</f>
        <v>0.38963561340853858</v>
      </c>
      <c r="U30" s="1066">
        <v>0.39500000000000002</v>
      </c>
      <c r="V30" s="1066">
        <v>0.38005139634181706</v>
      </c>
      <c r="W30" s="1066">
        <v>0.3795</v>
      </c>
      <c r="Y30" s="1003">
        <f t="shared" si="4"/>
        <v>3.0570478383323829</v>
      </c>
      <c r="Z30" s="1003">
        <f t="shared" si="4"/>
        <v>46.169274978662415</v>
      </c>
      <c r="AA30" s="1003">
        <f t="shared" si="4"/>
        <v>101.35613408538579</v>
      </c>
    </row>
    <row r="31" spans="2:27">
      <c r="B31" s="1055" t="s">
        <v>122</v>
      </c>
      <c r="C31" s="1056">
        <f>sumry!CM42</f>
        <v>0.13141713644978723</v>
      </c>
      <c r="D31" s="1056">
        <f>sumry!CH42</f>
        <v>0.14471248150471466</v>
      </c>
      <c r="E31" s="2397">
        <v>0.12264969651408836</v>
      </c>
      <c r="F31" s="1238" t="e">
        <f>F20/F4</f>
        <v>#VALUE!</v>
      </c>
      <c r="G31" s="1002"/>
      <c r="H31" s="1030">
        <f t="shared" si="2"/>
        <v>-132.95345054927438</v>
      </c>
      <c r="I31" s="2405">
        <f t="shared" si="3"/>
        <v>87.674399356988673</v>
      </c>
      <c r="J31" s="1031" t="str">
        <f>IF(ISERROR((C31-F31)*10000)=TRUE,"NA",(C31-F31)*10000)</f>
        <v>NA</v>
      </c>
      <c r="K31" s="1002"/>
      <c r="L31" s="1088"/>
      <c r="M31" s="1002"/>
      <c r="N31" s="1043"/>
      <c r="P31" s="999" t="s">
        <v>122</v>
      </c>
      <c r="Q31" s="1002">
        <f>sumry!BR42</f>
        <v>3.6894159514073897E-2</v>
      </c>
      <c r="R31" s="1002">
        <f>sumry!DI42</f>
        <v>6.3262521626011647E-2</v>
      </c>
      <c r="S31" s="1002">
        <f>sumry!DJ42</f>
        <v>4.5800529982645895E-2</v>
      </c>
      <c r="U31" s="1066">
        <v>6.2854245012560192E-2</v>
      </c>
      <c r="V31" s="1066">
        <v>8.429586171414917E-2</v>
      </c>
      <c r="W31" s="1066">
        <v>8.7620804926510892E-2</v>
      </c>
      <c r="Y31" s="1003">
        <f t="shared" si="4"/>
        <v>-259.60085498486296</v>
      </c>
      <c r="Z31" s="1003">
        <f t="shared" si="4"/>
        <v>-210.33340088137524</v>
      </c>
      <c r="AA31" s="1003">
        <f t="shared" si="4"/>
        <v>-418.20274943864996</v>
      </c>
    </row>
    <row r="32" spans="2:27">
      <c r="B32" s="1055"/>
      <c r="C32" s="1056"/>
      <c r="D32" s="1056"/>
      <c r="E32" s="2397"/>
      <c r="F32" s="1238"/>
      <c r="G32" s="1002"/>
      <c r="H32" s="1030"/>
      <c r="I32" s="2405"/>
      <c r="J32" s="1031"/>
      <c r="K32" s="1002"/>
      <c r="L32" s="1088"/>
      <c r="M32" s="1002"/>
      <c r="N32" s="1043"/>
      <c r="P32" s="999"/>
      <c r="Q32" s="1002"/>
      <c r="R32" s="1002"/>
      <c r="S32" s="1002"/>
      <c r="U32" s="1066"/>
      <c r="V32" s="1066"/>
      <c r="W32" s="1066"/>
      <c r="Y32" s="1002"/>
      <c r="Z32" s="1002"/>
      <c r="AA32" s="1002"/>
    </row>
    <row r="33" spans="2:27">
      <c r="B33" s="1059" t="s">
        <v>648</v>
      </c>
      <c r="C33" s="1056"/>
      <c r="D33" s="1056"/>
      <c r="E33" s="2397"/>
      <c r="F33" s="1238"/>
      <c r="G33" s="1002"/>
      <c r="H33" s="1030"/>
      <c r="I33" s="2405"/>
      <c r="J33" s="1031"/>
      <c r="K33" s="1002"/>
      <c r="L33" s="1088"/>
      <c r="M33" s="1002"/>
      <c r="N33" s="1043"/>
      <c r="P33" s="1008" t="s">
        <v>648</v>
      </c>
      <c r="Q33" s="1002"/>
      <c r="R33" s="1002"/>
      <c r="S33" s="1002"/>
      <c r="U33" s="1066"/>
      <c r="V33" s="1066"/>
      <c r="W33" s="1066"/>
      <c r="Y33" s="1002"/>
      <c r="Z33" s="1002"/>
      <c r="AA33" s="1002"/>
    </row>
    <row r="34" spans="2:27">
      <c r="B34" s="1055" t="s">
        <v>1173</v>
      </c>
      <c r="C34" s="1056">
        <f>sumry!CM46</f>
        <v>2.1488774047283776E-2</v>
      </c>
      <c r="D34" s="1056">
        <f>sumry!CH46</f>
        <v>8.021117388050425E-2</v>
      </c>
      <c r="E34" s="2397">
        <v>2.1492642044814714E-2</v>
      </c>
      <c r="F34" s="1238" t="e">
        <f>F4/D4-1</f>
        <v>#VALUE!</v>
      </c>
      <c r="G34" s="1002"/>
      <c r="H34" s="1030"/>
      <c r="I34" s="2405"/>
      <c r="J34" s="1031"/>
      <c r="K34" s="1002"/>
      <c r="L34" s="1088"/>
      <c r="M34" s="1002"/>
      <c r="N34" s="1043"/>
      <c r="P34" s="999" t="s">
        <v>1173</v>
      </c>
      <c r="Q34" s="1002">
        <f>sumry!BR46</f>
        <v>-5.6699119360271055E-2</v>
      </c>
      <c r="R34" s="1002">
        <f>sumry!DI46</f>
        <v>0.10017880252826883</v>
      </c>
      <c r="S34" s="1002">
        <f>sumry!DJ46</f>
        <v>-5.4751471777732208E-2</v>
      </c>
      <c r="U34" s="1066">
        <v>-2.2394014060562073E-2</v>
      </c>
      <c r="V34" s="1066">
        <v>1.0364957376197692E-2</v>
      </c>
      <c r="W34" s="1066">
        <v>3.9620371102666585E-2</v>
      </c>
      <c r="Y34" s="1003">
        <f t="shared" ref="Y34:AA38" si="5">IF(ISERROR((Q34-U34)*10000)=TRUE,"NA",(Q34-U34)*10000)</f>
        <v>-343.05105299708981</v>
      </c>
      <c r="Z34" s="1003">
        <f t="shared" si="5"/>
        <v>898.13845152071133</v>
      </c>
      <c r="AA34" s="1003">
        <f t="shared" si="5"/>
        <v>-943.71842880398788</v>
      </c>
    </row>
    <row r="35" spans="2:27">
      <c r="B35" s="1055" t="s">
        <v>649</v>
      </c>
      <c r="C35" s="1056">
        <f>sumry!CM47</f>
        <v>0</v>
      </c>
      <c r="D35" s="1056">
        <f>sumry!CH47</f>
        <v>0.06</v>
      </c>
      <c r="E35" s="2397">
        <v>0</v>
      </c>
      <c r="F35" s="1371">
        <v>-2.75E-2</v>
      </c>
      <c r="G35" s="1002"/>
      <c r="H35" s="1030"/>
      <c r="I35" s="2405"/>
      <c r="J35" s="1031"/>
      <c r="K35" s="1002"/>
      <c r="L35" s="1088"/>
      <c r="M35" s="1002"/>
      <c r="N35" s="1043"/>
      <c r="P35" s="999" t="s">
        <v>649</v>
      </c>
      <c r="Q35" s="1002">
        <f>sumry!BR47</f>
        <v>0.05</v>
      </c>
      <c r="R35" s="1002">
        <f>sumry!DI47</f>
        <v>7.0000000000000007E-2</v>
      </c>
      <c r="S35" s="1002">
        <f>sumry!DJ47</f>
        <v>-0.02</v>
      </c>
      <c r="U35" s="1066">
        <v>5.2464685998254657E-2</v>
      </c>
      <c r="V35" s="1066">
        <v>4.9080330890741257E-2</v>
      </c>
      <c r="W35" s="1066">
        <v>4.3964621768353543E-2</v>
      </c>
      <c r="Y35" s="1003">
        <f t="shared" si="5"/>
        <v>-24.646859982546538</v>
      </c>
      <c r="Z35" s="1003">
        <f t="shared" si="5"/>
        <v>209.19669109258749</v>
      </c>
      <c r="AA35" s="1003">
        <f t="shared" si="5"/>
        <v>-639.6462176835355</v>
      </c>
    </row>
    <row r="36" spans="2:27">
      <c r="B36" s="1055" t="s">
        <v>650</v>
      </c>
      <c r="C36" s="1056">
        <f>sumry!CM48</f>
        <v>3.4654680967293627E-2</v>
      </c>
      <c r="D36" s="1056">
        <f>sumry!CH48</f>
        <v>5.310554123975586E-2</v>
      </c>
      <c r="E36" s="2397">
        <v>5.3856139155267879E-2</v>
      </c>
      <c r="F36" s="1238" t="e">
        <f>F9/D9-1</f>
        <v>#VALUE!</v>
      </c>
      <c r="G36" s="1002"/>
      <c r="H36" s="1030"/>
      <c r="I36" s="2405"/>
      <c r="J36" s="1031"/>
      <c r="K36" s="1002"/>
      <c r="L36" s="1088"/>
      <c r="M36" s="1002"/>
      <c r="N36" s="1043"/>
      <c r="P36" s="999" t="s">
        <v>650</v>
      </c>
      <c r="Q36" s="1002">
        <f>sumry!BR48</f>
        <v>6.5094504944298581E-2</v>
      </c>
      <c r="R36" s="1002">
        <f>sumry!DI48</f>
        <v>0.13772363610993144</v>
      </c>
      <c r="S36" s="1002">
        <f>sumry!DJ48</f>
        <v>-8.2810588607213576E-2</v>
      </c>
      <c r="U36" s="1066">
        <v>5.4325568682062952E-2</v>
      </c>
      <c r="V36" s="1066">
        <v>7.0064210836456198E-2</v>
      </c>
      <c r="W36" s="1066">
        <v>3.454018690657068E-2</v>
      </c>
      <c r="Y36" s="1003">
        <f t="shared" si="5"/>
        <v>107.68936262235628</v>
      </c>
      <c r="Z36" s="1003">
        <f t="shared" si="5"/>
        <v>676.59425273475233</v>
      </c>
      <c r="AA36" s="1003">
        <f t="shared" si="5"/>
        <v>-1173.5077551378427</v>
      </c>
    </row>
    <row r="37" spans="2:27">
      <c r="B37" s="1055" t="s">
        <v>651</v>
      </c>
      <c r="C37" s="1056">
        <f>sumry!CM49</f>
        <v>-8.3884828818398427E-2</v>
      </c>
      <c r="D37" s="1056">
        <f>sumry!CH49</f>
        <v>0.12646911603809152</v>
      </c>
      <c r="E37" s="2397">
        <v>-9.4585139956474107E-2</v>
      </c>
      <c r="F37" s="1238" t="e">
        <f>F11/D11-1</f>
        <v>#VALUE!</v>
      </c>
      <c r="G37" s="1002"/>
      <c r="H37" s="1030"/>
      <c r="I37" s="2405"/>
      <c r="J37" s="1031"/>
      <c r="K37" s="1002"/>
      <c r="L37" s="1088"/>
      <c r="M37" s="1002"/>
      <c r="N37" s="1043"/>
      <c r="P37" s="999" t="s">
        <v>651</v>
      </c>
      <c r="Q37" s="1002">
        <f>sumry!BR49</f>
        <v>6.0628042686266426E-2</v>
      </c>
      <c r="R37" s="1002">
        <f>sumry!DI49</f>
        <v>0.1930489632078507</v>
      </c>
      <c r="S37" s="1002">
        <f>sumry!DJ49</f>
        <v>-0.26787179498080382</v>
      </c>
      <c r="U37" s="1066">
        <v>6.7635358197943196E-2</v>
      </c>
      <c r="V37" s="1066">
        <v>0.12322347040931936</v>
      </c>
      <c r="W37" s="1066">
        <v>5.7688380195095146E-2</v>
      </c>
      <c r="Y37" s="1003">
        <f t="shared" si="5"/>
        <v>-70.073155116767708</v>
      </c>
      <c r="Z37" s="1003">
        <f t="shared" si="5"/>
        <v>698.25492798531343</v>
      </c>
      <c r="AA37" s="1003">
        <f t="shared" si="5"/>
        <v>-3255.6017517589898</v>
      </c>
    </row>
    <row r="38" spans="2:27">
      <c r="B38" s="1055" t="s">
        <v>551</v>
      </c>
      <c r="C38" s="1056">
        <f>sumry!CM50</f>
        <v>-5.6560816748566056E-2</v>
      </c>
      <c r="D38" s="1056">
        <f>sumry!CH50</f>
        <v>0.14081500126958901</v>
      </c>
      <c r="E38" s="2397">
        <v>-0.11829327341477847</v>
      </c>
      <c r="F38" s="1238" t="e">
        <f>F22/D22-1</f>
        <v>#VALUE!</v>
      </c>
      <c r="G38" s="1002"/>
      <c r="H38" s="1030"/>
      <c r="I38" s="2405"/>
      <c r="J38" s="1031"/>
      <c r="K38" s="1002"/>
      <c r="L38" s="1088"/>
      <c r="M38" s="1002"/>
      <c r="N38" s="1043"/>
      <c r="P38" s="999" t="s">
        <v>551</v>
      </c>
      <c r="Q38" s="1002">
        <f>sumry!BR50</f>
        <v>1.9765198537645245E-2</v>
      </c>
      <c r="R38" s="1002">
        <f>sumry!DI50</f>
        <v>3.4181249781926271E-2</v>
      </c>
      <c r="S38" s="1002">
        <f>sumry!DJ50</f>
        <v>-0.27558332145447995</v>
      </c>
      <c r="U38" s="1066">
        <v>5.6867323281290849E-2</v>
      </c>
      <c r="V38" s="1066">
        <v>0.14157842885995198</v>
      </c>
      <c r="W38" s="1066">
        <v>0.11108505072354458</v>
      </c>
      <c r="Y38" s="1003">
        <f t="shared" si="5"/>
        <v>-371.02124743645606</v>
      </c>
      <c r="Z38" s="1003">
        <f t="shared" si="5"/>
        <v>-1073.9717907802572</v>
      </c>
      <c r="AA38" s="1003">
        <f t="shared" si="5"/>
        <v>-3866.6837217802454</v>
      </c>
    </row>
    <row r="39" spans="2:27" ht="12" thickBot="1">
      <c r="B39" s="1040"/>
      <c r="C39" s="1060"/>
      <c r="D39" s="1060"/>
      <c r="E39" s="2402"/>
      <c r="F39" s="1061"/>
      <c r="H39" s="1040"/>
      <c r="I39" s="1041"/>
      <c r="J39" s="1044"/>
      <c r="L39" s="1089"/>
      <c r="N39" s="1044"/>
      <c r="O39" s="1010"/>
    </row>
    <row r="40" spans="2:27">
      <c r="B40" s="1011"/>
      <c r="C40" s="995"/>
      <c r="D40" s="995"/>
      <c r="E40" s="995"/>
      <c r="F40" s="995"/>
      <c r="O40" s="1010"/>
      <c r="P40" s="1011"/>
      <c r="Q40" s="995"/>
      <c r="R40" s="995"/>
      <c r="S40" s="995"/>
    </row>
    <row r="41" spans="2:27">
      <c r="B41" s="1012"/>
      <c r="C41" s="995"/>
      <c r="D41" s="995"/>
      <c r="E41" s="995"/>
      <c r="F41" s="995"/>
      <c r="J41" s="1013"/>
      <c r="O41" s="1014"/>
      <c r="P41" s="1012"/>
      <c r="Q41" s="995"/>
      <c r="R41" s="995"/>
      <c r="S41" s="995"/>
    </row>
    <row r="42" spans="2:27">
      <c r="B42" s="1012"/>
      <c r="C42" s="995"/>
      <c r="D42" s="995"/>
      <c r="E42" s="995"/>
      <c r="F42" s="995"/>
      <c r="J42" s="1013"/>
      <c r="O42" s="1014"/>
      <c r="P42" s="1015"/>
      <c r="Q42" s="995"/>
      <c r="R42" s="995"/>
      <c r="S42" s="995"/>
    </row>
    <row r="43" spans="2:27">
      <c r="B43" s="1012"/>
      <c r="C43" s="995"/>
      <c r="D43" s="995"/>
      <c r="E43" s="995"/>
      <c r="F43" s="995"/>
      <c r="J43" s="1013"/>
      <c r="O43" s="1014"/>
      <c r="P43" s="1015"/>
      <c r="Q43" s="995"/>
      <c r="R43" s="995"/>
      <c r="S43" s="995"/>
    </row>
    <row r="44" spans="2:27">
      <c r="B44" s="1012"/>
      <c r="C44" s="995"/>
      <c r="D44" s="995"/>
      <c r="E44" s="995"/>
      <c r="F44" s="995"/>
      <c r="J44" s="1013"/>
      <c r="O44" s="992"/>
      <c r="P44" s="1016"/>
      <c r="Q44" s="995"/>
      <c r="R44" s="995"/>
      <c r="S44" s="995"/>
    </row>
    <row r="45" spans="2:27">
      <c r="B45" s="1012"/>
      <c r="C45" s="995"/>
      <c r="D45" s="995"/>
      <c r="E45" s="995"/>
      <c r="F45" s="995"/>
      <c r="J45" s="1013"/>
      <c r="N45" s="1010"/>
      <c r="O45" s="1014"/>
      <c r="P45" s="1016"/>
      <c r="Q45" s="995"/>
      <c r="R45" s="995"/>
      <c r="S45" s="995"/>
    </row>
    <row r="46" spans="2:27">
      <c r="B46" s="1012"/>
      <c r="C46" s="995"/>
      <c r="D46" s="995"/>
      <c r="E46" s="995"/>
      <c r="F46" s="995"/>
      <c r="J46" s="1013"/>
      <c r="N46" s="1010"/>
      <c r="O46" s="1014"/>
      <c r="P46" s="1012"/>
      <c r="Q46" s="995"/>
      <c r="R46" s="995"/>
      <c r="S46" s="995"/>
    </row>
    <row r="47" spans="2:27">
      <c r="B47" s="1012"/>
      <c r="C47" s="995"/>
      <c r="D47" s="995"/>
      <c r="E47" s="995"/>
      <c r="F47" s="995"/>
      <c r="J47" s="1013"/>
      <c r="N47" s="1010"/>
      <c r="O47" s="1010"/>
      <c r="P47" s="1012"/>
      <c r="Q47" s="995"/>
      <c r="R47" s="995"/>
      <c r="S47" s="995"/>
    </row>
    <row r="48" spans="2:27">
      <c r="B48" s="1017"/>
      <c r="C48" s="995"/>
      <c r="D48" s="995"/>
      <c r="E48" s="995"/>
      <c r="F48" s="995"/>
      <c r="J48" s="1007"/>
      <c r="N48" s="991"/>
      <c r="P48" s="1017"/>
      <c r="Q48" s="995"/>
      <c r="R48" s="995"/>
      <c r="S48" s="995"/>
    </row>
    <row r="50" spans="2:19">
      <c r="B50" s="1008"/>
      <c r="C50" s="1018"/>
      <c r="D50" s="1018"/>
      <c r="E50" s="1018"/>
      <c r="F50" s="1018"/>
      <c r="G50" s="990"/>
      <c r="H50" s="1019"/>
      <c r="I50" s="1019"/>
      <c r="J50" s="1019"/>
      <c r="P50" s="1008"/>
      <c r="Q50" s="1018"/>
      <c r="R50" s="1018"/>
      <c r="S50" s="1018"/>
    </row>
  </sheetData>
  <phoneticPr fontId="47" type="noConversion"/>
  <pageMargins left="0.75" right="0.75" top="1" bottom="1" header="0.5" footer="0.5"/>
  <pageSetup scale="95" orientation="landscape" r:id="rId1"/>
  <headerFooter alignWithMargins="0"/>
  <colBreaks count="1" manualBreakCount="1">
    <brk id="14" max="53"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2:AE194"/>
  <sheetViews>
    <sheetView topLeftCell="A46" zoomScaleNormal="100" workbookViewId="0">
      <selection activeCell="Q77" sqref="Q77"/>
    </sheetView>
  </sheetViews>
  <sheetFormatPr defaultRowHeight="12.75" outlineLevelRow="1" outlineLevelCol="1"/>
  <cols>
    <col min="1" max="1" width="20" customWidth="1"/>
    <col min="2" max="2" width="1" customWidth="1"/>
    <col min="3" max="4" width="9.28515625" hidden="1" customWidth="1" outlineLevel="1"/>
    <col min="5" max="6" width="9.7109375" hidden="1" customWidth="1" outlineLevel="1"/>
    <col min="7" max="8" width="9.28515625" hidden="1" customWidth="1" outlineLevel="1"/>
    <col min="9" max="9" width="9.28515625" bestFit="1" customWidth="1" collapsed="1"/>
    <col min="10" max="18" width="9.7109375" bestFit="1" customWidth="1"/>
    <col min="23" max="23" width="23.42578125" customWidth="1"/>
    <col min="24" max="24" width="10.5703125" customWidth="1"/>
    <col min="25" max="25" width="1.28515625" style="2817" customWidth="1"/>
    <col min="26" max="26" width="11.140625" customWidth="1"/>
    <col min="27" max="27" width="1.140625" style="2817" customWidth="1"/>
    <col min="28" max="28" width="11" customWidth="1"/>
    <col min="29" max="29" width="1.7109375" style="2817" hidden="1" customWidth="1" outlineLevel="1"/>
    <col min="30" max="30" width="18.5703125" hidden="1" customWidth="1" outlineLevel="1"/>
    <col min="31" max="31" width="9.140625" collapsed="1"/>
  </cols>
  <sheetData>
    <row r="2" spans="1:30">
      <c r="S2" s="24"/>
      <c r="T2" s="143"/>
      <c r="W2" s="2827"/>
      <c r="X2" s="2827" t="s">
        <v>315</v>
      </c>
      <c r="Y2" s="2827"/>
      <c r="Z2" s="2827" t="s">
        <v>1395</v>
      </c>
      <c r="AA2" s="2827"/>
      <c r="AB2" s="2827" t="s">
        <v>1396</v>
      </c>
      <c r="AC2" s="24"/>
      <c r="AD2" s="24"/>
    </row>
    <row r="3" spans="1:30">
      <c r="A3" s="1100" t="s">
        <v>854</v>
      </c>
      <c r="B3" s="1101"/>
      <c r="C3" s="1102" t="s">
        <v>949</v>
      </c>
      <c r="D3" s="1102" t="s">
        <v>982</v>
      </c>
      <c r="E3" s="1102" t="s">
        <v>753</v>
      </c>
      <c r="F3" s="1102" t="s">
        <v>144</v>
      </c>
      <c r="G3" s="1102" t="s">
        <v>143</v>
      </c>
      <c r="H3" s="1102" t="s">
        <v>991</v>
      </c>
      <c r="I3" s="1102" t="s">
        <v>112</v>
      </c>
      <c r="J3" s="1102" t="s">
        <v>432</v>
      </c>
      <c r="K3" s="1102" t="s">
        <v>201</v>
      </c>
      <c r="L3" s="1102" t="s">
        <v>853</v>
      </c>
      <c r="M3" s="1102" t="s">
        <v>330</v>
      </c>
      <c r="N3" s="1102" t="s">
        <v>313</v>
      </c>
      <c r="O3" s="1102" t="s">
        <v>314</v>
      </c>
      <c r="P3" s="1102" t="s">
        <v>315</v>
      </c>
      <c r="Q3" s="1102" t="s">
        <v>299</v>
      </c>
      <c r="R3" s="1102" t="s">
        <v>1300</v>
      </c>
      <c r="S3" s="575"/>
      <c r="T3" s="1128"/>
      <c r="W3" s="2837" t="s">
        <v>1383</v>
      </c>
      <c r="X3" s="2838">
        <f>(+'qtrP&amp;L'!DO14)/100</f>
        <v>4.6255243498918297E-3</v>
      </c>
      <c r="Y3" s="2838"/>
      <c r="Z3" s="2838">
        <f>(+'qtrP&amp;L'!DS14)/100</f>
        <v>4.0678870770162412E-2</v>
      </c>
      <c r="AA3" s="2838"/>
      <c r="AB3" s="2839">
        <f>+Q77</f>
        <v>6.1535584780757428E-2</v>
      </c>
      <c r="AC3" s="2827"/>
      <c r="AD3" s="2827" t="s">
        <v>1386</v>
      </c>
    </row>
    <row r="4" spans="1:30">
      <c r="A4" s="27" t="s">
        <v>1206</v>
      </c>
      <c r="B4" s="1101"/>
      <c r="C4" s="133" t="s">
        <v>601</v>
      </c>
      <c r="D4" s="133" t="s">
        <v>601</v>
      </c>
      <c r="E4" s="133" t="s">
        <v>601</v>
      </c>
      <c r="F4" s="133" t="s">
        <v>601</v>
      </c>
      <c r="G4" s="133" t="s">
        <v>601</v>
      </c>
      <c r="H4" s="133" t="s">
        <v>601</v>
      </c>
      <c r="I4" s="133" t="s">
        <v>601</v>
      </c>
      <c r="J4" s="133" t="s">
        <v>601</v>
      </c>
      <c r="K4" s="133" t="s">
        <v>601</v>
      </c>
      <c r="L4" s="133" t="s">
        <v>601</v>
      </c>
      <c r="M4" s="133" t="s">
        <v>601</v>
      </c>
      <c r="N4" s="133" t="s">
        <v>601</v>
      </c>
      <c r="O4" s="133" t="s">
        <v>601</v>
      </c>
      <c r="P4" s="133" t="s">
        <v>601</v>
      </c>
      <c r="Q4" s="133" t="s">
        <v>601</v>
      </c>
      <c r="R4" s="133" t="s">
        <v>601</v>
      </c>
      <c r="W4" s="87" t="s">
        <v>1403</v>
      </c>
      <c r="X4" s="2821">
        <f>+X3-1.4%</f>
        <v>-9.3744756501081689E-3</v>
      </c>
      <c r="Y4" s="2821"/>
      <c r="Z4" s="2821">
        <v>4.5999999999999999E-2</v>
      </c>
      <c r="AA4" s="2821"/>
      <c r="AB4" s="2824">
        <v>5.8000000000000003E-2</v>
      </c>
      <c r="AC4" s="2824"/>
      <c r="AD4" s="2824">
        <f>+R77</f>
        <v>5.8843991938144977E-2</v>
      </c>
    </row>
    <row r="5" spans="1:30">
      <c r="C5" s="24"/>
      <c r="D5" s="24"/>
      <c r="E5" s="24"/>
      <c r="F5" s="24"/>
      <c r="G5" s="24"/>
      <c r="H5" s="24"/>
      <c r="I5" s="24"/>
      <c r="J5" s="24"/>
      <c r="K5" s="24"/>
      <c r="L5" s="24"/>
      <c r="M5" s="24"/>
      <c r="W5" s="141" t="s">
        <v>1392</v>
      </c>
      <c r="X5" s="2823">
        <f>(+'qtrP&amp;L'!DP14)/100</f>
        <v>-0.03</v>
      </c>
      <c r="Y5" s="2823"/>
      <c r="Z5" s="2823">
        <f>(+'qtrP&amp;L'!DT14)/100</f>
        <v>2.1757017117429368E-2</v>
      </c>
      <c r="AA5" s="2823"/>
      <c r="AB5" s="2829">
        <f>+Q78</f>
        <v>3.5113731128024385E-2</v>
      </c>
      <c r="AC5" s="2824"/>
      <c r="AD5" s="2824">
        <f>+R78</f>
        <v>3.5805458257625766E-2</v>
      </c>
    </row>
    <row r="6" spans="1:30">
      <c r="A6" s="1103" t="s">
        <v>177</v>
      </c>
      <c r="C6" s="1104">
        <f>'yrP&amp;L'!P7</f>
        <v>9408.3119999999999</v>
      </c>
      <c r="D6" s="1104">
        <f>'yrP&amp;L'!Q7</f>
        <v>9698.9680000000008</v>
      </c>
      <c r="E6" s="1104">
        <f>'yrP&amp;L'!R7</f>
        <v>10670.598999999998</v>
      </c>
      <c r="F6" s="1104">
        <f>'yrP&amp;L'!S7</f>
        <v>10086.368</v>
      </c>
      <c r="G6" s="1104">
        <f>'yrP&amp;L'!T7</f>
        <v>9042.6810000000005</v>
      </c>
      <c r="H6" s="1104">
        <f>'yrP&amp;L'!U7</f>
        <v>8632.4880000000012</v>
      </c>
      <c r="I6" s="1104">
        <f>'yrP&amp;L'!V7</f>
        <v>9613.2780000000002</v>
      </c>
      <c r="J6" s="1104">
        <f>'yrP&amp;L'!W7</f>
        <v>10363.998</v>
      </c>
      <c r="K6" s="1104">
        <f>'yrP&amp;L'!X7</f>
        <v>10458.652000000002</v>
      </c>
      <c r="L6" s="1104">
        <f>'yrP&amp;L'!Y7</f>
        <v>10773.210999999998</v>
      </c>
      <c r="M6" s="1104">
        <f>'yrP&amp;L'!Z7</f>
        <v>11454.060000000001</v>
      </c>
      <c r="N6" s="1104">
        <f>'yrP&amp;L'!AA7</f>
        <v>12153.786</v>
      </c>
      <c r="O6" s="1104">
        <f>'yrP&amp;L'!AB7</f>
        <v>12574.142000000002</v>
      </c>
      <c r="P6" s="1104">
        <f>'yrP&amp;L'!AC7</f>
        <v>12632.304</v>
      </c>
      <c r="Q6" s="1104">
        <f>'yrP&amp;L'!AD7</f>
        <v>13146.171861945406</v>
      </c>
      <c r="R6" s="1104">
        <f>'yrP&amp;L'!AE7</f>
        <v>13755.417944732873</v>
      </c>
      <c r="W6" s="141" t="s">
        <v>1393</v>
      </c>
      <c r="X6" s="2823">
        <f>(+segmthSales!DP30)/100</f>
        <v>-0.08</v>
      </c>
      <c r="Y6" s="2823"/>
      <c r="Z6" s="2823">
        <f>(+segmthSales!DV30)/100</f>
        <v>1.4871057836581842E-2</v>
      </c>
      <c r="AA6" s="2823"/>
      <c r="AB6" s="2828">
        <v>3.3467803113708013E-2</v>
      </c>
      <c r="AC6" s="2828"/>
      <c r="AD6" s="143"/>
    </row>
    <row r="7" spans="1:30" outlineLevel="1">
      <c r="A7" s="1103"/>
      <c r="C7" s="1105"/>
      <c r="D7" s="1105"/>
      <c r="E7" s="1105"/>
      <c r="F7" s="1105"/>
      <c r="G7" s="1105"/>
      <c r="H7" s="1105"/>
      <c r="I7" s="1105"/>
      <c r="J7" s="1105"/>
      <c r="K7" s="1105"/>
      <c r="L7" s="1105"/>
      <c r="M7" s="1105"/>
      <c r="N7" s="1105"/>
      <c r="O7" s="1105"/>
      <c r="P7" s="1105"/>
      <c r="Q7" s="1105"/>
      <c r="R7" s="1105"/>
      <c r="W7" s="141" t="s">
        <v>1394</v>
      </c>
      <c r="X7" s="2823">
        <f>(+segmthSales!DP53)/100</f>
        <v>0.05</v>
      </c>
      <c r="Y7" s="2823"/>
      <c r="Z7" s="2823">
        <f>(+segmthSales!DV53)/100</f>
        <v>3.1554187042704906E-2</v>
      </c>
      <c r="AA7" s="2823"/>
      <c r="AB7" s="2828">
        <v>3.7803160492143689E-2</v>
      </c>
      <c r="AC7" s="2828"/>
      <c r="AD7" s="143"/>
    </row>
    <row r="8" spans="1:30" outlineLevel="1">
      <c r="A8" s="1103" t="s">
        <v>1207</v>
      </c>
      <c r="C8" s="1104">
        <f>'yrP&amp;L'!P11+C13</f>
        <v>6014.2380000000003</v>
      </c>
      <c r="D8" s="1104">
        <f>'yrP&amp;L'!Q11+D13</f>
        <v>6219.2360000000008</v>
      </c>
      <c r="E8" s="1104">
        <f>'yrP&amp;L'!R11+E13</f>
        <v>6657.0870000000004</v>
      </c>
      <c r="F8" s="1104">
        <f>'yrP&amp;L'!S11+F13</f>
        <v>6622.8650000000007</v>
      </c>
      <c r="G8" s="1104">
        <f>'yrP&amp;L'!T11+G13</f>
        <v>6036.2830000000004</v>
      </c>
      <c r="H8" s="1104">
        <f>'yrP&amp;L'!U11+H13</f>
        <v>5604.3980000000001</v>
      </c>
      <c r="I8" s="1104">
        <f>'yrP&amp;L'!V11+I13</f>
        <v>5982.4889999999996</v>
      </c>
      <c r="J8" s="1104">
        <f>'yrP&amp;L'!W11+J13</f>
        <v>6290.2530000000006</v>
      </c>
      <c r="K8" s="1104">
        <f>'yrP&amp;L'!X11+K13</f>
        <v>6032.6849999999995</v>
      </c>
      <c r="L8" s="1104">
        <f>'yrP&amp;L'!Y11+L13</f>
        <v>6344.1480000000001</v>
      </c>
      <c r="M8" s="1104">
        <f>'yrP&amp;L'!Z11+M13</f>
        <v>6646.4269999999997</v>
      </c>
      <c r="N8" s="1104">
        <f>'yrP&amp;L'!AA11+N13</f>
        <v>6950.2980000000007</v>
      </c>
      <c r="O8" s="1104">
        <f>'yrP&amp;L'!AB11+O13</f>
        <v>7437.7510000000002</v>
      </c>
      <c r="P8" s="1104">
        <f>'yrP&amp;L'!AC11+P13</f>
        <v>7673.0079999999998</v>
      </c>
      <c r="Q8" s="1104">
        <f>'yrP&amp;L'!AD11+Q13</f>
        <v>7993.9826359981489</v>
      </c>
      <c r="R8" s="1104">
        <f>'yrP&amp;L'!AE11+R13</f>
        <v>8327.2872998172497</v>
      </c>
      <c r="W8" s="24"/>
      <c r="X8" s="2821"/>
      <c r="Y8" s="2821"/>
      <c r="Z8" s="2821"/>
      <c r="AA8" s="2821"/>
      <c r="AB8" s="24"/>
      <c r="AC8" s="24"/>
      <c r="AD8" s="143"/>
    </row>
    <row r="9" spans="1:30" s="2817" customFormat="1" outlineLevel="1">
      <c r="A9" s="1103"/>
      <c r="C9" s="1104"/>
      <c r="D9" s="1104"/>
      <c r="E9" s="1104"/>
      <c r="F9" s="1104"/>
      <c r="G9" s="1104"/>
      <c r="H9" s="1104"/>
      <c r="I9" s="1104"/>
      <c r="J9" s="1104"/>
      <c r="K9" s="1104"/>
      <c r="L9" s="1104"/>
      <c r="M9" s="1104"/>
      <c r="N9" s="1104"/>
      <c r="O9" s="1104"/>
      <c r="P9" s="1104"/>
      <c r="Q9" s="1104"/>
      <c r="R9" s="1104"/>
      <c r="W9" s="2837" t="s">
        <v>1215</v>
      </c>
      <c r="X9" s="2838">
        <f>(+'qtrP&amp;L'!DO24)/100</f>
        <v>0.39258839875924456</v>
      </c>
      <c r="Y9" s="2838"/>
      <c r="Z9" s="2838">
        <f>(+'qtrP&amp;L'!DS24)/100</f>
        <v>0.39191555382456578</v>
      </c>
      <c r="AA9" s="2838"/>
      <c r="AB9" s="2839">
        <f>+Q71</f>
        <v>0.39591555382456578</v>
      </c>
      <c r="AC9" s="24"/>
      <c r="AD9" s="143"/>
    </row>
    <row r="10" spans="1:30" outlineLevel="1">
      <c r="A10" s="1103"/>
      <c r="C10" s="1105"/>
      <c r="D10" s="1105"/>
      <c r="E10" s="1105"/>
      <c r="F10" s="1105"/>
      <c r="G10" s="1105"/>
      <c r="H10" s="1105"/>
      <c r="I10" s="1105"/>
      <c r="J10" s="1105"/>
      <c r="K10" s="1105"/>
      <c r="L10" s="1105"/>
      <c r="M10" s="1105"/>
      <c r="W10" s="2832" t="s">
        <v>1401</v>
      </c>
      <c r="X10" s="2830" t="s">
        <v>1408</v>
      </c>
      <c r="Y10" s="2821"/>
      <c r="Z10" s="2830" t="s">
        <v>1400</v>
      </c>
      <c r="AA10" s="2831"/>
      <c r="AB10" s="2830" t="s">
        <v>1402</v>
      </c>
      <c r="AC10" s="2824"/>
      <c r="AD10" s="2824">
        <f>+R71</f>
        <v>0.40061764569604552</v>
      </c>
    </row>
    <row r="11" spans="1:30">
      <c r="A11" s="1103" t="s">
        <v>46</v>
      </c>
      <c r="C11" s="1104">
        <f t="shared" ref="C11:P11" si="0">C6-C8</f>
        <v>3394.0739999999996</v>
      </c>
      <c r="D11" s="1104">
        <f t="shared" si="0"/>
        <v>3479.732</v>
      </c>
      <c r="E11" s="1104">
        <f t="shared" si="0"/>
        <v>4013.5119999999979</v>
      </c>
      <c r="F11" s="1104">
        <f t="shared" si="0"/>
        <v>3463.5029999999997</v>
      </c>
      <c r="G11" s="1104">
        <f t="shared" si="0"/>
        <v>3006.3980000000001</v>
      </c>
      <c r="H11" s="1104">
        <f t="shared" si="0"/>
        <v>3028.0900000000011</v>
      </c>
      <c r="I11" s="1104">
        <f t="shared" si="0"/>
        <v>3630.7890000000007</v>
      </c>
      <c r="J11" s="1104">
        <f t="shared" si="0"/>
        <v>4073.744999999999</v>
      </c>
      <c r="K11" s="1104">
        <f>K6-K8</f>
        <v>4425.9670000000024</v>
      </c>
      <c r="L11" s="1104">
        <f t="shared" si="0"/>
        <v>4429.0629999999974</v>
      </c>
      <c r="M11" s="1104">
        <f t="shared" si="0"/>
        <v>4807.6330000000016</v>
      </c>
      <c r="N11" s="1104">
        <f t="shared" si="0"/>
        <v>5203.4879999999994</v>
      </c>
      <c r="O11" s="1104">
        <f t="shared" si="0"/>
        <v>5136.3910000000014</v>
      </c>
      <c r="P11" s="1104">
        <f t="shared" si="0"/>
        <v>4959.2960000000003</v>
      </c>
      <c r="Q11" s="1104">
        <f>Q6-Q8</f>
        <v>5152.189225947257</v>
      </c>
      <c r="R11" s="1104">
        <f>R6-R8</f>
        <v>5428.1306449156236</v>
      </c>
      <c r="W11" s="2832"/>
      <c r="X11" s="2821"/>
      <c r="Y11" s="2821"/>
      <c r="Z11" s="2821"/>
      <c r="AA11" s="2821"/>
      <c r="AB11" s="143"/>
      <c r="AC11" s="143"/>
      <c r="AD11" s="143"/>
    </row>
    <row r="12" spans="1:30">
      <c r="A12" s="1103" t="s">
        <v>1208</v>
      </c>
      <c r="C12" s="1105">
        <f>'yrP&amp;L'!P19</f>
        <v>2367.2659999999996</v>
      </c>
      <c r="D12" s="1105">
        <f>'yrP&amp;L'!Q19</f>
        <v>2493.951</v>
      </c>
      <c r="E12" s="1105">
        <f>'yrP&amp;L'!R19</f>
        <v>2837.4269999999997</v>
      </c>
      <c r="F12" s="1105">
        <f>'yrP&amp;L'!S19</f>
        <v>2602.4579999999996</v>
      </c>
      <c r="G12" s="1105">
        <f>'yrP&amp;L'!T19</f>
        <v>2288.9290000000001</v>
      </c>
      <c r="H12" s="1105">
        <f>'yrP&amp;L'!U19</f>
        <v>2169.806</v>
      </c>
      <c r="I12" s="1105">
        <f>'yrP&amp;L'!V19</f>
        <v>2346.7559999999999</v>
      </c>
      <c r="J12" s="1105">
        <f>'yrP&amp;L'!W19</f>
        <v>2527.3199999999997</v>
      </c>
      <c r="K12" s="1105">
        <f>'yrP&amp;L'!X19</f>
        <v>2718.6409999999996</v>
      </c>
      <c r="L12" s="1105">
        <f>'yrP&amp;L'!Y19</f>
        <v>2685.576</v>
      </c>
      <c r="M12" s="1105">
        <f>'yrP&amp;L'!Z19</f>
        <v>2854.5309999999999</v>
      </c>
      <c r="N12" s="1105">
        <f>'yrP&amp;L'!AA19</f>
        <v>3011.9810000000002</v>
      </c>
      <c r="O12" s="1105">
        <f>'yrP&amp;L'!AB19</f>
        <v>3098.989</v>
      </c>
      <c r="P12" s="1105">
        <f>'yrP&amp;L'!AC19</f>
        <v>3231.0349999999999</v>
      </c>
      <c r="Q12" s="1105">
        <f>'yrP&amp;L'!AD19</f>
        <v>3531.1896509473354</v>
      </c>
      <c r="R12" s="1105">
        <f>'yrP&amp;L'!AE19</f>
        <v>3713.962845077876</v>
      </c>
      <c r="W12" s="2837" t="s">
        <v>1388</v>
      </c>
      <c r="X12" s="2838">
        <f>(+'qtrP&amp;L'!DO34)/100</f>
        <v>0.25577558931450667</v>
      </c>
      <c r="Y12" s="2838"/>
      <c r="Z12" s="2838">
        <f>(+'qtrP&amp;L'!DS34)/100</f>
        <v>0.26860972821823281</v>
      </c>
      <c r="AA12" s="2838"/>
      <c r="AB12" s="2839">
        <f>+Q72</f>
        <v>0.2612097282182328</v>
      </c>
      <c r="AC12" s="2824"/>
      <c r="AD12" s="2824">
        <f>+R72</f>
        <v>0.26</v>
      </c>
    </row>
    <row r="13" spans="1:30" outlineLevel="1">
      <c r="A13" s="1103" t="s">
        <v>855</v>
      </c>
      <c r="C13" s="1105">
        <f>'yrP&amp;L'!P31</f>
        <v>333.47300000000001</v>
      </c>
      <c r="D13" s="1105">
        <f>'yrP&amp;L'!Q31</f>
        <v>298.76799999999997</v>
      </c>
      <c r="E13" s="1105">
        <f>'yrP&amp;L'!R31</f>
        <v>315.76499999999999</v>
      </c>
      <c r="F13" s="1105">
        <f>'yrP&amp;L'!S31</f>
        <v>352.04100000000005</v>
      </c>
      <c r="G13" s="1105">
        <f>'yrP&amp;L'!T31</f>
        <v>342.83600000000001</v>
      </c>
      <c r="H13" s="1105">
        <f>'yrP&amp;L'!U31</f>
        <v>356.983</v>
      </c>
      <c r="I13" s="1105">
        <f>'yrP&amp;L'!V31</f>
        <v>366.89299999999997</v>
      </c>
      <c r="J13" s="1105">
        <f>'yrP&amp;L'!W31</f>
        <v>356</v>
      </c>
      <c r="K13" s="1105">
        <f>'yrP&amp;L'!X31</f>
        <v>353.565</v>
      </c>
      <c r="L13" s="1105">
        <f>'yrP&amp;L'!Y31</f>
        <v>367.96799999999996</v>
      </c>
      <c r="M13" s="1105">
        <f>'yrP&amp;L'!Z31</f>
        <v>397.80799999999999</v>
      </c>
      <c r="N13" s="1105">
        <f>'yrP&amp;L'!AA31</f>
        <v>414.97200000000004</v>
      </c>
      <c r="O13" s="1105">
        <f>'yrP&amp;L'!AB31</f>
        <v>471.53</v>
      </c>
      <c r="P13" s="1105">
        <f>'yrP&amp;L'!AC31</f>
        <v>524.68100000000004</v>
      </c>
      <c r="Q13" s="1105">
        <f>'yrP&amp;L'!AD31</f>
        <v>560</v>
      </c>
      <c r="R13" s="1105">
        <f>'yrP&amp;L'!AE31</f>
        <v>616</v>
      </c>
      <c r="W13" s="87" t="s">
        <v>1389</v>
      </c>
      <c r="X13" s="2831">
        <f>(+'qtrP&amp;L'!DP34)/100</f>
        <v>4.2609380026841004E-2</v>
      </c>
      <c r="Y13" s="2831"/>
      <c r="Z13" s="2831">
        <f>(+'qtrP&amp;L'!DT34)/100</f>
        <v>9.2897369092979756E-2</v>
      </c>
      <c r="AA13" s="2831"/>
      <c r="AB13" s="2831">
        <v>2.5329111516347869E-2</v>
      </c>
      <c r="AC13" s="2821"/>
      <c r="AD13" s="2824">
        <f>+R79</f>
        <v>5.3940218007169083E-2</v>
      </c>
    </row>
    <row r="14" spans="1:30">
      <c r="A14" s="1106" t="s">
        <v>651</v>
      </c>
      <c r="C14" s="1104">
        <f>C11-C12</f>
        <v>1026.808</v>
      </c>
      <c r="D14" s="1104">
        <f t="shared" ref="D14:P14" si="1">D11-D12</f>
        <v>985.78099999999995</v>
      </c>
      <c r="E14" s="1104">
        <f t="shared" si="1"/>
        <v>1176.0849999999982</v>
      </c>
      <c r="F14" s="1104">
        <f t="shared" si="1"/>
        <v>861.04500000000007</v>
      </c>
      <c r="G14" s="1104">
        <f t="shared" si="1"/>
        <v>717.46900000000005</v>
      </c>
      <c r="H14" s="1104">
        <f t="shared" si="1"/>
        <v>858.28400000000101</v>
      </c>
      <c r="I14" s="1104">
        <f t="shared" si="1"/>
        <v>1284.0330000000008</v>
      </c>
      <c r="J14" s="1104">
        <f t="shared" si="1"/>
        <v>1546.4249999999993</v>
      </c>
      <c r="K14" s="1104">
        <f t="shared" si="1"/>
        <v>1707.3260000000028</v>
      </c>
      <c r="L14" s="1104">
        <f t="shared" si="1"/>
        <v>1743.4869999999974</v>
      </c>
      <c r="M14" s="1104">
        <f t="shared" si="1"/>
        <v>1953.1020000000017</v>
      </c>
      <c r="N14" s="1104">
        <f t="shared" si="1"/>
        <v>2191.5069999999992</v>
      </c>
      <c r="O14" s="1104">
        <f t="shared" si="1"/>
        <v>2037.4020000000014</v>
      </c>
      <c r="P14" s="1104">
        <f t="shared" si="1"/>
        <v>1728.2610000000004</v>
      </c>
      <c r="Q14" s="1104">
        <f>Q11-Q12</f>
        <v>1620.9995749999216</v>
      </c>
      <c r="R14" s="1104">
        <f>R11-R12</f>
        <v>1714.1677998377477</v>
      </c>
      <c r="W14" s="24"/>
      <c r="X14" s="2821"/>
      <c r="Y14" s="2821"/>
      <c r="Z14" s="2821"/>
      <c r="AA14" s="2821"/>
      <c r="AB14" s="143"/>
      <c r="AC14" s="143"/>
      <c r="AD14" s="143"/>
    </row>
    <row r="15" spans="1:30" outlineLevel="1">
      <c r="A15" s="1103"/>
      <c r="C15" s="1105"/>
      <c r="D15" s="1105"/>
      <c r="E15" s="1105"/>
      <c r="F15" s="1105"/>
      <c r="G15" s="1105"/>
      <c r="H15" s="1105"/>
      <c r="I15" s="1105"/>
      <c r="J15" s="1105"/>
      <c r="K15" s="1105"/>
      <c r="L15" s="1105"/>
      <c r="M15" s="1105"/>
      <c r="W15" s="24"/>
      <c r="X15" s="2821"/>
      <c r="Y15" s="2821"/>
      <c r="Z15" s="2821"/>
      <c r="AA15" s="2821"/>
      <c r="AB15" s="143"/>
      <c r="AC15" s="143"/>
      <c r="AD15" s="143"/>
    </row>
    <row r="16" spans="1:30" outlineLevel="1">
      <c r="A16" s="1103" t="s">
        <v>856</v>
      </c>
      <c r="C16" s="1105">
        <f>'yrP&amp;L'!P40</f>
        <v>-58.265999999999998</v>
      </c>
      <c r="D16" s="1105">
        <f>'yrP&amp;L'!Q40</f>
        <v>-94.365000000000009</v>
      </c>
      <c r="E16" s="1105">
        <f>'yrP&amp;L'!R40</f>
        <v>-101.83500000000001</v>
      </c>
      <c r="F16" s="1105">
        <f>'yrP&amp;L'!S40</f>
        <v>-149.49600000000001</v>
      </c>
      <c r="G16" s="1105">
        <f>'yrP&amp;L'!T40</f>
        <v>-180.78899999999999</v>
      </c>
      <c r="H16" s="1105">
        <f>'yrP&amp;L'!U40</f>
        <v>-237.143</v>
      </c>
      <c r="I16" s="1105">
        <f>'yrP&amp;L'!V40</f>
        <v>-207.84100000000001</v>
      </c>
      <c r="J16" s="1105">
        <f>'yrP&amp;L'!W40</f>
        <v>-245.93600000000001</v>
      </c>
      <c r="K16" s="1105">
        <f>'yrP&amp;L'!X40</f>
        <v>-316.72699999999998</v>
      </c>
      <c r="L16" s="1105">
        <f>'yrP&amp;L'!Y40</f>
        <v>-314.40199999999999</v>
      </c>
      <c r="M16" s="1105">
        <f>'yrP&amp;L'!Z40</f>
        <v>-324.04200000000003</v>
      </c>
      <c r="N16" s="1105">
        <f>'yrP&amp;L'!AA40</f>
        <v>-333.738</v>
      </c>
      <c r="O16" s="1105">
        <f>'yrP&amp;L'!AB40</f>
        <v>-393.66300000000001</v>
      </c>
      <c r="P16" s="1105">
        <f>'yrP&amp;L'!AC40</f>
        <v>-405.98899999999998</v>
      </c>
      <c r="Q16" s="1105">
        <f>'yrP&amp;L'!AD40</f>
        <v>-371</v>
      </c>
      <c r="R16" s="1105">
        <f>'yrP&amp;L'!AE40</f>
        <v>-368</v>
      </c>
      <c r="W16" s="24"/>
      <c r="X16" s="2821"/>
      <c r="Y16" s="2821"/>
      <c r="Z16" s="2821"/>
      <c r="AA16" s="2821"/>
      <c r="AB16" s="143"/>
      <c r="AC16" s="143"/>
      <c r="AD16" s="143"/>
    </row>
    <row r="17" spans="1:30" outlineLevel="1">
      <c r="A17" s="1103" t="s">
        <v>1220</v>
      </c>
      <c r="C17" s="1105">
        <f>'yrP&amp;L'!P43</f>
        <v>39.730000000000004</v>
      </c>
      <c r="D17" s="1105">
        <f>'yrP&amp;L'!Q43</f>
        <v>66.004000000000005</v>
      </c>
      <c r="E17" s="1105">
        <f>'yrP&amp;L'!R43</f>
        <v>22.798999999999999</v>
      </c>
      <c r="F17" s="1105">
        <f>'yrP&amp;L'!S43</f>
        <v>45.312000000000012</v>
      </c>
      <c r="G17" s="1105">
        <f>'yrP&amp;L'!T43</f>
        <v>32.016000000000005</v>
      </c>
      <c r="H17" s="1105">
        <f>'yrP&amp;L'!U43</f>
        <v>19.616999999999997</v>
      </c>
      <c r="I17" s="1105">
        <f>'yrP&amp;L'!V43</f>
        <v>26.873000000000001</v>
      </c>
      <c r="J17" s="1105">
        <f>'yrP&amp;L'!W43</f>
        <v>1.339999999999997</v>
      </c>
      <c r="K17" s="1105">
        <f>'yrP&amp;L'!X43</f>
        <v>11.203000000000003</v>
      </c>
      <c r="L17" s="1105">
        <f>'yrP&amp;L'!Y43</f>
        <v>16.794</v>
      </c>
      <c r="M17" s="1105">
        <f>'yrP&amp;L'!Z43</f>
        <v>6.653999999999999</v>
      </c>
      <c r="N17" s="1105">
        <f>'yrP&amp;L'!AA43</f>
        <v>-1.4499999999999997</v>
      </c>
      <c r="O17" s="1105">
        <f>'yrP&amp;L'!AB43</f>
        <v>14.282999999999992</v>
      </c>
      <c r="P17" s="1105">
        <f>'yrP&amp;L'!AC43</f>
        <v>34.957999999999998</v>
      </c>
      <c r="Q17" s="1105">
        <f>'yrP&amp;L'!AD43</f>
        <v>0</v>
      </c>
      <c r="R17" s="1105">
        <f>'yrP&amp;L'!AE43</f>
        <v>0</v>
      </c>
      <c r="W17" s="24"/>
      <c r="X17" s="2821"/>
      <c r="Y17" s="2821"/>
      <c r="Z17" s="2821"/>
      <c r="AA17" s="2821"/>
      <c r="AB17" s="143"/>
      <c r="AC17" s="143"/>
      <c r="AD17" s="143"/>
    </row>
    <row r="18" spans="1:30" outlineLevel="1">
      <c r="A18" s="1106" t="s">
        <v>857</v>
      </c>
      <c r="C18" s="1104">
        <f>C14+C16+C17</f>
        <v>1008.272</v>
      </c>
      <c r="D18" s="1104">
        <f t="shared" ref="D18:Q18" si="2">D14+D16+D17</f>
        <v>957.42</v>
      </c>
      <c r="E18" s="1104">
        <f t="shared" si="2"/>
        <v>1097.0489999999982</v>
      </c>
      <c r="F18" s="1104">
        <f t="shared" si="2"/>
        <v>756.8610000000001</v>
      </c>
      <c r="G18" s="1104">
        <f t="shared" si="2"/>
        <v>568.69600000000003</v>
      </c>
      <c r="H18" s="1104">
        <f t="shared" si="2"/>
        <v>640.75800000000095</v>
      </c>
      <c r="I18" s="1104">
        <f t="shared" si="2"/>
        <v>1103.065000000001</v>
      </c>
      <c r="J18" s="1104">
        <f t="shared" si="2"/>
        <v>1301.8289999999993</v>
      </c>
      <c r="K18" s="1104">
        <f t="shared" si="2"/>
        <v>1401.8020000000029</v>
      </c>
      <c r="L18" s="1104">
        <f t="shared" si="2"/>
        <v>1445.8789999999974</v>
      </c>
      <c r="M18" s="1104">
        <f t="shared" si="2"/>
        <v>1635.7140000000018</v>
      </c>
      <c r="N18" s="1104">
        <f t="shared" si="2"/>
        <v>1856.3189999999991</v>
      </c>
      <c r="O18" s="1104">
        <f t="shared" si="2"/>
        <v>1658.0220000000013</v>
      </c>
      <c r="P18" s="1104">
        <f t="shared" si="2"/>
        <v>1357.2300000000005</v>
      </c>
      <c r="Q18" s="1104">
        <f t="shared" si="2"/>
        <v>1249.9995749999216</v>
      </c>
      <c r="R18" s="1104">
        <f>R14+R16+R17</f>
        <v>1346.1677998377477</v>
      </c>
      <c r="W18" s="24"/>
      <c r="X18" s="2821"/>
      <c r="Y18" s="2821"/>
      <c r="Z18" s="2821"/>
      <c r="AA18" s="2821"/>
      <c r="AB18" s="143"/>
      <c r="AC18" s="143"/>
      <c r="AD18" s="143"/>
    </row>
    <row r="19" spans="1:30" outlineLevel="1">
      <c r="A19" s="1103"/>
      <c r="C19" s="1105"/>
      <c r="D19" s="1105"/>
      <c r="E19" s="1105"/>
      <c r="F19" s="1105"/>
      <c r="G19" s="1105"/>
      <c r="H19" s="1105"/>
      <c r="I19" s="1105"/>
      <c r="J19" s="1105"/>
      <c r="K19" s="1105"/>
      <c r="L19" s="1105"/>
      <c r="M19" s="1105"/>
      <c r="W19" s="24"/>
      <c r="X19" s="2821"/>
      <c r="Y19" s="2821"/>
      <c r="Z19" s="2821"/>
      <c r="AA19" s="2821"/>
      <c r="AB19" s="143"/>
      <c r="AC19" s="143"/>
      <c r="AD19" s="143"/>
    </row>
    <row r="20" spans="1:30">
      <c r="A20" s="1103" t="s">
        <v>1211</v>
      </c>
      <c r="C20" s="1105">
        <f>'yrP&amp;L'!P53</f>
        <v>371</v>
      </c>
      <c r="D20" s="1105">
        <f>'yrP&amp;L'!Q53</f>
        <v>291</v>
      </c>
      <c r="E20" s="1105">
        <f>'yrP&amp;L'!R53</f>
        <v>422</v>
      </c>
      <c r="F20" s="1105">
        <f>'yrP&amp;L'!S53</f>
        <v>294.89999999999998</v>
      </c>
      <c r="G20" s="1105">
        <f>'yrP&amp;L'!T53</f>
        <v>215.41200000000001</v>
      </c>
      <c r="H20" s="1105">
        <f>'yrP&amp;L'!U53</f>
        <v>238.99200000000002</v>
      </c>
      <c r="I20" s="1105">
        <f>'yrP&amp;L'!V53</f>
        <v>418.58500000000004</v>
      </c>
      <c r="J20" s="1105">
        <f>'yrP&amp;L'!W53</f>
        <v>484.48500000000001</v>
      </c>
      <c r="K20" s="1105">
        <f>'yrP&amp;L'!X53</f>
        <v>535.18730000000005</v>
      </c>
      <c r="L20" s="1105">
        <f>'yrP&amp;L'!Y53</f>
        <v>542.851</v>
      </c>
      <c r="M20" s="1105">
        <f>'yrP&amp;L'!Z53</f>
        <v>593.67099999999994</v>
      </c>
      <c r="N20" s="1105">
        <f>'yrP&amp;L'!AA53</f>
        <v>672.31</v>
      </c>
      <c r="O20" s="1105">
        <f>'yrP&amp;L'!AB53</f>
        <v>567.92700000000002</v>
      </c>
      <c r="P20" s="1105">
        <f>'yrP&amp;L'!AC53</f>
        <v>437.88</v>
      </c>
      <c r="Q20" s="1105">
        <f>'yrP&amp;L'!AD53</f>
        <v>337.49988524997912</v>
      </c>
      <c r="R20" s="1105">
        <f>'yrP&amp;L'!AE53</f>
        <v>363.46530595619214</v>
      </c>
      <c r="S20" s="24"/>
      <c r="T20" s="24"/>
      <c r="U20" s="24"/>
      <c r="V20" s="24"/>
      <c r="W20" s="2837" t="s">
        <v>1387</v>
      </c>
      <c r="X20" s="2838">
        <f>+'qtrP&amp;L'!DO64/100</f>
        <v>0.13682254638583755</v>
      </c>
      <c r="Y20" s="2838"/>
      <c r="Z20" s="2838">
        <f>+'qtrP&amp;L'!DS64/100</f>
        <v>0.12330582560633302</v>
      </c>
      <c r="AA20" s="2838"/>
      <c r="AB20" s="2839">
        <f>+Q73</f>
        <v>0.13470582560633299</v>
      </c>
      <c r="AC20" s="2824"/>
      <c r="AD20" s="2824">
        <f>+R73</f>
        <v>0.14061764569604551</v>
      </c>
    </row>
    <row r="21" spans="1:30" outlineLevel="1">
      <c r="A21" s="1103"/>
      <c r="C21" s="1105"/>
      <c r="D21" s="1105"/>
      <c r="E21" s="1105"/>
      <c r="F21" s="1105"/>
      <c r="G21" s="1105"/>
      <c r="H21" s="1105"/>
      <c r="I21" s="1105"/>
      <c r="J21" s="1105"/>
      <c r="K21" s="1105"/>
      <c r="L21" s="1105"/>
      <c r="M21" s="1105"/>
      <c r="S21" s="24"/>
      <c r="T21" s="24"/>
      <c r="U21" s="24"/>
      <c r="W21" s="24"/>
      <c r="X21" s="2821">
        <v>0</v>
      </c>
      <c r="Y21" s="2821"/>
      <c r="Z21" s="2821">
        <v>0</v>
      </c>
      <c r="AA21" s="2821"/>
      <c r="AB21" s="143"/>
      <c r="AC21" s="143"/>
      <c r="AD21" s="143"/>
    </row>
    <row r="22" spans="1:30" outlineLevel="1">
      <c r="A22" s="1103"/>
      <c r="C22" s="1105"/>
      <c r="D22" s="1105"/>
      <c r="E22" s="1105"/>
      <c r="F22" s="1105"/>
      <c r="G22" s="1105"/>
      <c r="H22" s="1105"/>
      <c r="I22" s="1105"/>
      <c r="J22" s="1105"/>
      <c r="K22" s="1105"/>
      <c r="L22" s="1105"/>
      <c r="M22" s="1105"/>
      <c r="S22" s="24"/>
      <c r="T22" s="24"/>
      <c r="U22" s="24"/>
      <c r="W22" s="24"/>
      <c r="X22" s="2821">
        <v>0</v>
      </c>
      <c r="Y22" s="2821"/>
      <c r="Z22" s="2821">
        <v>0</v>
      </c>
      <c r="AA22" s="2821"/>
      <c r="AB22" s="143"/>
      <c r="AC22" s="143"/>
      <c r="AD22" s="143"/>
    </row>
    <row r="23" spans="1:30" outlineLevel="1">
      <c r="A23" s="1103" t="s">
        <v>858</v>
      </c>
      <c r="C23" s="1104">
        <f>C18-C20</f>
        <v>637.27200000000005</v>
      </c>
      <c r="D23" s="1104">
        <f t="shared" ref="D23:P23" si="3">D18-D20</f>
        <v>666.42</v>
      </c>
      <c r="E23" s="1104">
        <f t="shared" si="3"/>
        <v>675.04899999999816</v>
      </c>
      <c r="F23" s="1104">
        <f t="shared" si="3"/>
        <v>461.96100000000013</v>
      </c>
      <c r="G23" s="1104">
        <f t="shared" si="3"/>
        <v>353.28399999999999</v>
      </c>
      <c r="H23" s="1104">
        <f t="shared" si="3"/>
        <v>401.76600000000093</v>
      </c>
      <c r="I23" s="1104">
        <f t="shared" si="3"/>
        <v>684.48000000000093</v>
      </c>
      <c r="J23" s="1104">
        <f>J18-J20</f>
        <v>817.34399999999926</v>
      </c>
      <c r="K23" s="1104">
        <f>K18-K20</f>
        <v>866.61470000000281</v>
      </c>
      <c r="L23" s="1104">
        <f t="shared" si="3"/>
        <v>903.02799999999741</v>
      </c>
      <c r="M23" s="1104">
        <f t="shared" si="3"/>
        <v>1042.0430000000019</v>
      </c>
      <c r="N23" s="1104">
        <f t="shared" si="3"/>
        <v>1184.0089999999991</v>
      </c>
      <c r="O23" s="1104">
        <f t="shared" si="3"/>
        <v>1090.0950000000012</v>
      </c>
      <c r="P23" s="1104">
        <f t="shared" si="3"/>
        <v>919.35000000000048</v>
      </c>
      <c r="Q23" s="1104">
        <f>Q18-Q20</f>
        <v>912.49968974994249</v>
      </c>
      <c r="R23" s="1104">
        <f>R18-R20</f>
        <v>982.70249388155548</v>
      </c>
      <c r="S23" s="24"/>
      <c r="T23" s="24"/>
      <c r="U23" s="24"/>
      <c r="W23" s="24"/>
      <c r="X23" s="2821">
        <v>0</v>
      </c>
      <c r="Y23" s="2821"/>
      <c r="Z23" s="2821">
        <v>0</v>
      </c>
      <c r="AA23" s="2821"/>
      <c r="AB23" s="143"/>
      <c r="AC23" s="143"/>
      <c r="AD23" s="143"/>
    </row>
    <row r="24" spans="1:30" outlineLevel="1">
      <c r="A24" s="1103"/>
      <c r="C24" s="1105"/>
      <c r="D24" s="1105"/>
      <c r="E24" s="1105"/>
      <c r="F24" s="1105"/>
      <c r="G24" s="1105"/>
      <c r="H24" s="1105"/>
      <c r="I24" s="1105"/>
      <c r="J24" s="1105"/>
      <c r="K24" s="1105"/>
      <c r="L24" s="1105"/>
      <c r="M24" s="1105"/>
      <c r="S24" s="24"/>
      <c r="T24" s="24"/>
      <c r="U24" s="24"/>
      <c r="W24" s="24"/>
      <c r="X24" s="2821">
        <v>0</v>
      </c>
      <c r="Y24" s="2821"/>
      <c r="Z24" s="2821">
        <v>0</v>
      </c>
      <c r="AA24" s="2821"/>
      <c r="AB24" s="143"/>
      <c r="AC24" s="143"/>
      <c r="AD24" s="143"/>
    </row>
    <row r="25" spans="1:30">
      <c r="A25" s="1107" t="s">
        <v>859</v>
      </c>
      <c r="B25" s="1107"/>
      <c r="C25" s="1108">
        <f t="shared" ref="C25:P25" si="4">C23/C26</f>
        <v>1.331475217343159</v>
      </c>
      <c r="D25" s="1108">
        <f t="shared" si="4"/>
        <v>1.6217123834368368</v>
      </c>
      <c r="E25" s="1108">
        <f t="shared" si="4"/>
        <v>1.6771445394895343</v>
      </c>
      <c r="F25" s="1108">
        <f t="shared" si="4"/>
        <v>1.2149514767377643</v>
      </c>
      <c r="G25" s="1108">
        <f t="shared" si="4"/>
        <v>1.0473849766232535</v>
      </c>
      <c r="H25" s="1108">
        <f t="shared" si="4"/>
        <v>1.2295258060073782</v>
      </c>
      <c r="I25" s="1108">
        <f t="shared" si="4"/>
        <v>2.0562735449449367</v>
      </c>
      <c r="J25" s="1108">
        <f t="shared" si="4"/>
        <v>2.6005131067809009</v>
      </c>
      <c r="K25" s="1108">
        <f>K23/K26</f>
        <v>2.9201658529024352</v>
      </c>
      <c r="L25" s="1108">
        <f t="shared" si="4"/>
        <v>3.0502035094830262</v>
      </c>
      <c r="M25" s="1108">
        <f t="shared" si="4"/>
        <v>3.4972580212109077</v>
      </c>
      <c r="N25" s="1108">
        <f>N23/N26</f>
        <v>3.9894065887042331</v>
      </c>
      <c r="O25" s="1108">
        <f t="shared" si="4"/>
        <v>3.7451943723910506</v>
      </c>
      <c r="P25" s="1108">
        <f t="shared" si="4"/>
        <v>3.2021943573667726</v>
      </c>
      <c r="Q25" s="1108">
        <f>Q23/Q26</f>
        <v>3.232948413640186</v>
      </c>
      <c r="R25" s="1108">
        <f>R23/R26</f>
        <v>3.4992373669372898</v>
      </c>
      <c r="S25" s="575"/>
      <c r="T25" s="1129"/>
      <c r="U25" s="165"/>
      <c r="V25" s="1130"/>
      <c r="W25" s="2832" t="s">
        <v>1401</v>
      </c>
      <c r="X25" s="2830" t="s">
        <v>1409</v>
      </c>
      <c r="Y25" s="2821"/>
      <c r="Z25" s="2830" t="s">
        <v>1406</v>
      </c>
      <c r="AA25" s="2831"/>
      <c r="AB25" s="2844" t="s">
        <v>1407</v>
      </c>
      <c r="AC25" s="143"/>
      <c r="AD25" s="143"/>
    </row>
    <row r="26" spans="1:30">
      <c r="A26" s="1103" t="s">
        <v>567</v>
      </c>
      <c r="C26" s="1105">
        <f>'yrP&amp;L'!P65</f>
        <v>478.62099999999998</v>
      </c>
      <c r="D26" s="1105">
        <f>'yrP&amp;L'!Q65</f>
        <v>410.93599999999998</v>
      </c>
      <c r="E26" s="1105">
        <f>'yrP&amp;L'!R65</f>
        <v>402.49900000000002</v>
      </c>
      <c r="F26" s="1105">
        <f>'yrP&amp;L'!S65</f>
        <v>380.23</v>
      </c>
      <c r="G26" s="1105">
        <f>'yrP&amp;L'!T65</f>
        <v>337.30099999999999</v>
      </c>
      <c r="H26" s="1105">
        <f>'yrP&amp;L'!U65</f>
        <v>326.76499999999999</v>
      </c>
      <c r="I26" s="1105">
        <f>'yrP&amp;L'!V65</f>
        <v>332.87400000000002</v>
      </c>
      <c r="J26" s="1105">
        <f>'yrP&amp;L'!W65</f>
        <v>314.30104999999998</v>
      </c>
      <c r="K26" s="1105">
        <f>'yrP&amp;L'!X65</f>
        <v>296.76900000000001</v>
      </c>
      <c r="L26" s="1105">
        <f>'yrP&amp;L'!Y65</f>
        <v>296.05500000000001</v>
      </c>
      <c r="M26" s="1105">
        <f>'yrP&amp;L'!Z65</f>
        <v>297.95999999999998</v>
      </c>
      <c r="N26" s="1105">
        <f>'yrP&amp;L'!AA65</f>
        <v>296.78825000000001</v>
      </c>
      <c r="O26" s="1105">
        <f>'yrP&amp;L'!AB65</f>
        <v>291.065</v>
      </c>
      <c r="P26" s="1105">
        <f>'yrP&amp;L'!AC65</f>
        <v>287.10000000000002</v>
      </c>
      <c r="Q26" s="1105">
        <f>'yrP&amp;L'!AD65</f>
        <v>282.25</v>
      </c>
      <c r="R26" s="1105">
        <f>'yrP&amp;L'!AE65</f>
        <v>280.83333333333331</v>
      </c>
      <c r="AC26" s="2824"/>
      <c r="AD26" s="2829">
        <v>0.23</v>
      </c>
    </row>
    <row r="27" spans="1:30" outlineLevel="1">
      <c r="A27" s="1103"/>
      <c r="C27" s="1105"/>
      <c r="D27" s="1105"/>
      <c r="E27" s="1105"/>
      <c r="F27" s="1105"/>
      <c r="G27" s="1105"/>
      <c r="H27" s="1105"/>
      <c r="I27" s="1105"/>
      <c r="J27" s="1105"/>
      <c r="K27" s="1105"/>
      <c r="L27" s="1105"/>
      <c r="M27" s="1105"/>
      <c r="AC27" s="143"/>
      <c r="AD27" s="143"/>
    </row>
    <row r="28" spans="1:30" s="966" customFormat="1" outlineLevel="1">
      <c r="A28" s="2854" t="s">
        <v>701</v>
      </c>
      <c r="C28" s="2855">
        <f>C14+C13</f>
        <v>1360.2809999999999</v>
      </c>
      <c r="D28" s="2855">
        <f t="shared" ref="D28:P28" si="5">D14+D13</f>
        <v>1284.549</v>
      </c>
      <c r="E28" s="2855">
        <f t="shared" si="5"/>
        <v>1491.8499999999981</v>
      </c>
      <c r="F28" s="2855">
        <f t="shared" si="5"/>
        <v>1213.0860000000002</v>
      </c>
      <c r="G28" s="2855">
        <f t="shared" si="5"/>
        <v>1060.3050000000001</v>
      </c>
      <c r="H28" s="2855">
        <f t="shared" si="5"/>
        <v>1215.267000000001</v>
      </c>
      <c r="I28" s="2855">
        <f t="shared" si="5"/>
        <v>1650.9260000000008</v>
      </c>
      <c r="J28" s="2855">
        <f t="shared" si="5"/>
        <v>1902.4249999999993</v>
      </c>
      <c r="K28" s="2855">
        <f>K14+K13</f>
        <v>2060.8910000000028</v>
      </c>
      <c r="L28" s="2855">
        <f t="shared" si="5"/>
        <v>2111.4549999999972</v>
      </c>
      <c r="M28" s="2855">
        <f t="shared" si="5"/>
        <v>2350.9100000000017</v>
      </c>
      <c r="N28" s="2855">
        <f t="shared" si="5"/>
        <v>2606.4789999999994</v>
      </c>
      <c r="O28" s="2855">
        <f t="shared" si="5"/>
        <v>2508.9320000000016</v>
      </c>
      <c r="P28" s="2855">
        <f t="shared" si="5"/>
        <v>2252.9420000000005</v>
      </c>
      <c r="Q28" s="2855">
        <f>Q14+Q13</f>
        <v>2180.9995749999216</v>
      </c>
      <c r="R28" s="2855">
        <f>R14+R13</f>
        <v>2330.1677998377477</v>
      </c>
      <c r="AC28" s="254"/>
      <c r="AD28" s="254"/>
    </row>
    <row r="29" spans="1:30">
      <c r="A29" s="1103"/>
      <c r="C29" s="1105"/>
      <c r="D29" s="1105"/>
      <c r="E29" s="1105"/>
      <c r="F29" s="1105"/>
      <c r="G29" s="1105"/>
      <c r="H29" s="1105"/>
      <c r="I29" s="1105"/>
      <c r="J29" s="1105"/>
      <c r="K29" s="1105"/>
      <c r="L29" s="1105"/>
      <c r="M29" s="1105"/>
      <c r="W29" s="2837" t="s">
        <v>647</v>
      </c>
      <c r="X29" s="2838">
        <f>+'qtrP&amp;L'!DO124/100</f>
        <v>0.32259846922650159</v>
      </c>
      <c r="Y29" s="2838"/>
      <c r="Z29" s="2838">
        <f>+'qtrP&amp;L'!DS124/100</f>
        <v>0.27</v>
      </c>
      <c r="AA29" s="2838"/>
      <c r="AB29" s="2839">
        <f>+Q74</f>
        <v>0.26450000000000023</v>
      </c>
      <c r="AC29" s="143"/>
      <c r="AD29" s="143"/>
    </row>
    <row r="30" spans="1:30">
      <c r="A30" s="1109" t="s">
        <v>1214</v>
      </c>
      <c r="C30" s="1105"/>
      <c r="D30" s="1105"/>
      <c r="E30" s="1105"/>
      <c r="F30" s="1105"/>
      <c r="G30" s="1105"/>
      <c r="H30" s="1105"/>
      <c r="I30" s="1105"/>
      <c r="J30" s="1105"/>
      <c r="K30" s="1105"/>
      <c r="L30" s="1105"/>
      <c r="M30" s="1105"/>
      <c r="W30" s="24"/>
      <c r="X30" s="2821"/>
      <c r="Y30" s="2821"/>
      <c r="Z30" s="2821"/>
      <c r="AA30" s="2821"/>
      <c r="AB30" s="143"/>
      <c r="AC30" s="2825"/>
      <c r="AD30" s="143"/>
    </row>
    <row r="31" spans="1:30">
      <c r="A31" s="1103" t="s">
        <v>703</v>
      </c>
      <c r="C31" s="1110">
        <f>C11/C6</f>
        <v>0.36075270462969339</v>
      </c>
      <c r="D31" s="1110">
        <f t="shared" ref="D31:M31" si="6">D11/D6</f>
        <v>0.35877342826577008</v>
      </c>
      <c r="E31" s="1110">
        <f t="shared" si="6"/>
        <v>0.37612808802954723</v>
      </c>
      <c r="F31" s="1110">
        <f t="shared" si="6"/>
        <v>0.34338455626445513</v>
      </c>
      <c r="G31" s="1110">
        <f t="shared" si="6"/>
        <v>0.33246755027629527</v>
      </c>
      <c r="H31" s="1110">
        <f t="shared" si="6"/>
        <v>0.350778361927639</v>
      </c>
      <c r="I31" s="1110">
        <f t="shared" si="6"/>
        <v>0.3776848022079462</v>
      </c>
      <c r="J31" s="1110">
        <f t="shared" si="6"/>
        <v>0.3930669419272369</v>
      </c>
      <c r="K31" s="1110">
        <f>K11/K6</f>
        <v>0.42318713730985613</v>
      </c>
      <c r="L31" s="1110">
        <f t="shared" si="6"/>
        <v>0.41111818936805361</v>
      </c>
      <c r="M31" s="1110">
        <f t="shared" si="6"/>
        <v>0.41973178069610262</v>
      </c>
      <c r="N31" s="1110">
        <f>N11/N6</f>
        <v>0.42813720761579965</v>
      </c>
      <c r="O31" s="1110">
        <f>O11/O6</f>
        <v>0.40848838831309531</v>
      </c>
      <c r="P31" s="1110">
        <f>P11/P6</f>
        <v>0.39258839875924456</v>
      </c>
      <c r="Q31" s="1110">
        <f>Q11/Q6</f>
        <v>0.39191555382456578</v>
      </c>
      <c r="R31" s="1110">
        <f>R11/R6</f>
        <v>0.39461764569604552</v>
      </c>
      <c r="W31" s="2837" t="s">
        <v>702</v>
      </c>
      <c r="X31" s="2840">
        <f>+'qtrP&amp;L'!DN144</f>
        <v>3.2026227795193352</v>
      </c>
      <c r="Y31" s="2840"/>
      <c r="Z31" s="2840">
        <f>+'qtrP&amp;L'!DR144</f>
        <v>3.2329484136401891</v>
      </c>
      <c r="AA31" s="2840"/>
      <c r="AB31" s="2840">
        <f>+Q65</f>
        <v>3.7403182304570533</v>
      </c>
      <c r="AC31" s="2821"/>
      <c r="AD31" s="24"/>
    </row>
    <row r="32" spans="1:30">
      <c r="A32" s="1103" t="s">
        <v>1216</v>
      </c>
      <c r="C32" s="1110">
        <f>C12/C6</f>
        <v>0.25161431721226929</v>
      </c>
      <c r="D32" s="1110">
        <f t="shared" ref="D32:M32" si="7">D12/D6</f>
        <v>0.2571357076340493</v>
      </c>
      <c r="E32" s="1110">
        <f t="shared" si="7"/>
        <v>0.26591075158948435</v>
      </c>
      <c r="F32" s="1110">
        <f t="shared" si="7"/>
        <v>0.25801735570227058</v>
      </c>
      <c r="G32" s="1110">
        <f t="shared" si="7"/>
        <v>0.25312504112441875</v>
      </c>
      <c r="H32" s="1110">
        <f t="shared" si="7"/>
        <v>0.25135349160056752</v>
      </c>
      <c r="I32" s="1110">
        <f t="shared" si="7"/>
        <v>0.24411610690963059</v>
      </c>
      <c r="J32" s="1110">
        <f t="shared" si="7"/>
        <v>0.24385570124579334</v>
      </c>
      <c r="K32" s="1110">
        <f>K12/K6</f>
        <v>0.25994181659357241</v>
      </c>
      <c r="L32" s="1110">
        <f t="shared" si="7"/>
        <v>0.24928278115039246</v>
      </c>
      <c r="M32" s="1110">
        <f t="shared" si="7"/>
        <v>0.24921564929815276</v>
      </c>
      <c r="N32" s="1110">
        <f>N12/N6</f>
        <v>0.24782244808325571</v>
      </c>
      <c r="O32" s="1110">
        <f>O12/O6</f>
        <v>0.24645729307017525</v>
      </c>
      <c r="P32" s="1110">
        <f>P12/P6</f>
        <v>0.25577558931450667</v>
      </c>
      <c r="Q32" s="1110">
        <f>Q12/Q6</f>
        <v>0.26860972821823281</v>
      </c>
      <c r="R32" s="1110">
        <f>R12/R6</f>
        <v>0.27</v>
      </c>
      <c r="W32" s="87" t="s">
        <v>1390</v>
      </c>
      <c r="X32" s="2831">
        <f>+'qtrP&amp;L'!DO144/100</f>
        <v>-0.14477648153002265</v>
      </c>
      <c r="Y32" s="2831"/>
      <c r="Z32" s="2831">
        <f>+'qtrP&amp;L'!DS144/100</f>
        <v>9.4689996944958832E-3</v>
      </c>
      <c r="AA32" s="2831"/>
      <c r="AB32" s="2831">
        <v>0.33470325965414749</v>
      </c>
      <c r="AC32" s="2821"/>
      <c r="AD32" s="24"/>
    </row>
    <row r="33" spans="1:31">
      <c r="A33" s="1103" t="s">
        <v>705</v>
      </c>
      <c r="C33" s="1110">
        <f>C14/C6</f>
        <v>0.10913838741742408</v>
      </c>
      <c r="D33" s="1110">
        <f t="shared" ref="D33:M33" si="8">D14/D6</f>
        <v>0.1016377206317208</v>
      </c>
      <c r="E33" s="1110">
        <f t="shared" si="8"/>
        <v>0.11021733644006287</v>
      </c>
      <c r="F33" s="1110">
        <f t="shared" si="8"/>
        <v>8.5367200562184525E-2</v>
      </c>
      <c r="G33" s="1110">
        <f t="shared" si="8"/>
        <v>7.9342509151876531E-2</v>
      </c>
      <c r="H33" s="1110">
        <f t="shared" si="8"/>
        <v>9.9424870327071507E-2</v>
      </c>
      <c r="I33" s="1110">
        <f t="shared" si="8"/>
        <v>0.13356869529831561</v>
      </c>
      <c r="J33" s="1110">
        <f t="shared" si="8"/>
        <v>0.14921124068144354</v>
      </c>
      <c r="K33" s="1110">
        <f>K14/K6</f>
        <v>0.16324532071628375</v>
      </c>
      <c r="L33" s="1110">
        <f t="shared" si="8"/>
        <v>0.16183540821766118</v>
      </c>
      <c r="M33" s="1110">
        <f t="shared" si="8"/>
        <v>0.17051613139794985</v>
      </c>
      <c r="N33" s="1110">
        <f>N14/N6</f>
        <v>0.18031475953254394</v>
      </c>
      <c r="O33" s="1110">
        <f>O14/O6</f>
        <v>0.16203109524292003</v>
      </c>
      <c r="P33" s="1110">
        <f>P14/P6</f>
        <v>0.13681280944473789</v>
      </c>
      <c r="Q33" s="1110">
        <f>Q14/Q6</f>
        <v>0.12330582560633295</v>
      </c>
      <c r="R33" s="1110">
        <f>R14/R6</f>
        <v>0.12461764569604551</v>
      </c>
      <c r="W33" s="87" t="s">
        <v>1391</v>
      </c>
      <c r="X33" s="2831">
        <f>3.11/3.74-1</f>
        <v>-0.16844919786096268</v>
      </c>
      <c r="Y33" s="2831"/>
      <c r="Z33" s="2831">
        <f>+Z31/(X31-0.09)-1</f>
        <v>3.8657313347631339E-2</v>
      </c>
      <c r="AA33" s="2831"/>
      <c r="AB33" s="2831">
        <f>+AB31/(Z31-0.09)-1</f>
        <v>0.190066694771164</v>
      </c>
      <c r="AC33" s="24"/>
      <c r="AD33" s="24"/>
    </row>
    <row r="34" spans="1:31">
      <c r="A34" s="1103" t="s">
        <v>647</v>
      </c>
      <c r="C34" s="1110">
        <f>C20/C18</f>
        <v>0.3679562657695542</v>
      </c>
      <c r="D34" s="1110">
        <f t="shared" ref="D34:M34" si="9">D20/D18</f>
        <v>0.30394184370495708</v>
      </c>
      <c r="E34" s="1110">
        <f t="shared" si="9"/>
        <v>0.3846683238396833</v>
      </c>
      <c r="F34" s="1110">
        <f t="shared" si="9"/>
        <v>0.38963561340853858</v>
      </c>
      <c r="G34" s="1110">
        <f t="shared" si="9"/>
        <v>0.37878233713618525</v>
      </c>
      <c r="H34" s="1110">
        <f t="shared" si="9"/>
        <v>0.3729832479656901</v>
      </c>
      <c r="I34" s="1110">
        <f t="shared" si="9"/>
        <v>0.37947446433347054</v>
      </c>
      <c r="J34" s="1110">
        <f t="shared" si="9"/>
        <v>0.37215717271623255</v>
      </c>
      <c r="K34" s="1110">
        <f>K20/K18</f>
        <v>0.38178523072445247</v>
      </c>
      <c r="L34" s="1110">
        <f t="shared" si="9"/>
        <v>0.37544704639876569</v>
      </c>
      <c r="M34" s="1110">
        <f t="shared" si="9"/>
        <v>0.3629430328284769</v>
      </c>
      <c r="N34" s="1110">
        <f>N20/N18</f>
        <v>0.36217374276727238</v>
      </c>
      <c r="O34" s="1110">
        <f>O20/O18</f>
        <v>0.3425328493831804</v>
      </c>
      <c r="P34" s="1110">
        <f>P20/P18</f>
        <v>0.32262770495789206</v>
      </c>
      <c r="Q34" s="1110">
        <f>Q20/Q18</f>
        <v>0.27000000000000024</v>
      </c>
      <c r="R34" s="1110">
        <f>R20/R18</f>
        <v>0.27000000000000018</v>
      </c>
      <c r="W34" s="24"/>
      <c r="X34" s="2821"/>
      <c r="Y34" s="2821"/>
      <c r="Z34" s="2821"/>
      <c r="AA34" s="2821"/>
      <c r="AB34" s="24"/>
      <c r="AC34" s="2821"/>
      <c r="AD34" s="24"/>
    </row>
    <row r="35" spans="1:31">
      <c r="A35" s="1103"/>
      <c r="C35" s="1105"/>
      <c r="D35" s="1105"/>
      <c r="E35" s="1105"/>
      <c r="F35" s="1105"/>
      <c r="G35" s="1105"/>
      <c r="H35" s="1105"/>
      <c r="I35" s="1105"/>
      <c r="J35" s="1105"/>
      <c r="K35" s="1105"/>
      <c r="L35" s="1105"/>
      <c r="M35" s="1105"/>
      <c r="W35" s="2837" t="s">
        <v>1384</v>
      </c>
      <c r="X35" s="2841">
        <f>+'segSales&amp;OM'!CV241/100</f>
        <v>0.12621817508907665</v>
      </c>
      <c r="Y35" s="2841"/>
      <c r="Z35" s="2841">
        <f>+'segSales&amp;OM'!CV248/100</f>
        <v>0.12154315060593396</v>
      </c>
      <c r="AA35" s="2841"/>
      <c r="AB35" s="2841">
        <v>0.14876272235559956</v>
      </c>
      <c r="AC35" s="2821"/>
      <c r="AD35" s="24"/>
    </row>
    <row r="36" spans="1:31">
      <c r="A36" s="1109" t="s">
        <v>648</v>
      </c>
      <c r="C36" s="1105"/>
      <c r="D36" s="1105"/>
      <c r="E36" s="1105"/>
      <c r="F36" s="1105"/>
      <c r="G36" s="1105"/>
      <c r="H36" s="1105"/>
      <c r="I36" s="1105"/>
      <c r="J36" s="1105"/>
      <c r="K36" s="1105"/>
      <c r="L36" s="1105"/>
      <c r="M36" s="1105"/>
      <c r="W36" s="2832" t="s">
        <v>1401</v>
      </c>
      <c r="X36" s="2834" t="s">
        <v>1410</v>
      </c>
      <c r="Y36" s="966"/>
      <c r="Z36" s="2834" t="s">
        <v>1398</v>
      </c>
      <c r="AA36" s="2835"/>
      <c r="AB36" s="2834" t="s">
        <v>1399</v>
      </c>
      <c r="AC36" s="2826"/>
      <c r="AD36" s="24"/>
    </row>
    <row r="37" spans="1:31">
      <c r="A37" s="1103" t="s">
        <v>1173</v>
      </c>
      <c r="C37" s="1111" t="s">
        <v>520</v>
      </c>
      <c r="D37" s="1110">
        <f>((D6/C6)-1)</f>
        <v>3.0893533292688513E-2</v>
      </c>
      <c r="E37" s="1110">
        <f t="shared" ref="E37:M37" si="10">((E6/D6)-1)</f>
        <v>0.10017880252826883</v>
      </c>
      <c r="F37" s="1110">
        <f t="shared" si="10"/>
        <v>-5.4751471777732208E-2</v>
      </c>
      <c r="G37" s="1110">
        <f t="shared" si="10"/>
        <v>-0.10347500705903256</v>
      </c>
      <c r="H37" s="1110">
        <f t="shared" si="10"/>
        <v>-4.5361878849867532E-2</v>
      </c>
      <c r="I37" s="1110">
        <f t="shared" si="10"/>
        <v>0.11361614403634257</v>
      </c>
      <c r="J37" s="1110">
        <f t="shared" si="10"/>
        <v>7.8091989017689878E-2</v>
      </c>
      <c r="K37" s="1110">
        <f t="shared" si="10"/>
        <v>9.1329620094486863E-3</v>
      </c>
      <c r="L37" s="1110">
        <f t="shared" si="10"/>
        <v>3.0076438149007734E-2</v>
      </c>
      <c r="M37" s="1110">
        <f t="shared" si="10"/>
        <v>6.3198335203868528E-2</v>
      </c>
      <c r="N37" s="1110">
        <f>((N6/M6)-1)</f>
        <v>6.1089779519227116E-2</v>
      </c>
      <c r="O37" s="1110">
        <f>((O6/N6)-1)</f>
        <v>3.4586424345467437E-2</v>
      </c>
      <c r="P37" s="1110">
        <f>((P6/O6)-1)</f>
        <v>4.6255243498918297E-3</v>
      </c>
      <c r="Q37" s="1110">
        <f>((Q6/P6)-1)</f>
        <v>4.0678870770162412E-2</v>
      </c>
      <c r="R37" s="1110">
        <f>((R6/Q6)-1)</f>
        <v>4.6343991938144979E-2</v>
      </c>
      <c r="W37" s="2837" t="s">
        <v>1385</v>
      </c>
      <c r="X37" s="2841">
        <f>+'segSales&amp;OM'!DC241/100</f>
        <v>0.22962909744569932</v>
      </c>
      <c r="Y37" s="2841"/>
      <c r="Z37" s="2841">
        <f>+'segSales&amp;OM'!DC248/100</f>
        <v>0.22118906363263269</v>
      </c>
      <c r="AA37" s="2841"/>
      <c r="AB37" s="2841">
        <v>0.22423635077206897</v>
      </c>
      <c r="AC37" s="24"/>
      <c r="AD37" s="24"/>
    </row>
    <row r="38" spans="1:31">
      <c r="A38" s="1103" t="s">
        <v>860</v>
      </c>
      <c r="C38" s="1110">
        <f>yrSales!Z39</f>
        <v>0.04</v>
      </c>
      <c r="D38" s="1110">
        <f>yrSales!AA39</f>
        <v>-0.01</v>
      </c>
      <c r="E38" s="1110">
        <f>yrSales!AB39</f>
        <v>7.0000000000000007E-2</v>
      </c>
      <c r="F38" s="1110">
        <f>yrSales!AC39</f>
        <v>-0.02</v>
      </c>
      <c r="G38" s="1110">
        <f>yrSales!AD39</f>
        <v>-0.09</v>
      </c>
      <c r="H38" s="1110">
        <f>yrSales!AE39</f>
        <v>-0.04</v>
      </c>
      <c r="I38" s="1110">
        <f>yrSales!AF39</f>
        <v>0.09</v>
      </c>
      <c r="J38" s="1110">
        <f>yrSales!AG39</f>
        <v>9.5188161934013527E-2</v>
      </c>
      <c r="K38" s="1110">
        <f>yrSales!AH39</f>
        <v>0.06</v>
      </c>
      <c r="L38" s="1110">
        <f>yrSales!AI39</f>
        <v>0.02</v>
      </c>
      <c r="M38" s="1110">
        <f>yrSales!AJ39</f>
        <v>0.04</v>
      </c>
      <c r="N38" s="1110">
        <f>yrSales!AK39</f>
        <v>0.05</v>
      </c>
      <c r="O38" s="1110">
        <f>yrSales!AL39</f>
        <v>2.0243884366354766E-2</v>
      </c>
      <c r="P38" s="1110">
        <f>yrSales!AM39</f>
        <v>-0.03</v>
      </c>
      <c r="Q38" s="1110">
        <f>yrSales!AN39</f>
        <v>2.1757017117429368E-2</v>
      </c>
      <c r="R38" s="1110">
        <f>yrSales!AO39</f>
        <v>3.0805458257625769E-2</v>
      </c>
      <c r="W38" s="2832" t="s">
        <v>1401</v>
      </c>
      <c r="X38" s="2834" t="s">
        <v>1411</v>
      </c>
      <c r="Y38" s="2833"/>
      <c r="Z38" s="2834" t="s">
        <v>1404</v>
      </c>
      <c r="AA38" s="2835"/>
      <c r="AB38" s="2834" t="s">
        <v>1405</v>
      </c>
      <c r="AC38" s="25"/>
      <c r="AD38" s="25"/>
      <c r="AE38" s="25"/>
    </row>
    <row r="39" spans="1:31">
      <c r="A39" s="1103" t="s">
        <v>1208</v>
      </c>
      <c r="C39" s="1112" t="s">
        <v>520</v>
      </c>
      <c r="D39" s="1110">
        <f>((D12/C12)-1)</f>
        <v>5.3515321049683706E-2</v>
      </c>
      <c r="E39" s="1110">
        <f t="shared" ref="E39:M39" si="11">((E12/D12)-1)</f>
        <v>0.13772363610993144</v>
      </c>
      <c r="F39" s="1110">
        <f t="shared" si="11"/>
        <v>-8.2810588607213576E-2</v>
      </c>
      <c r="G39" s="1110">
        <f t="shared" si="11"/>
        <v>-0.120474182484405</v>
      </c>
      <c r="H39" s="1110">
        <f t="shared" si="11"/>
        <v>-5.2043117108481751E-2</v>
      </c>
      <c r="I39" s="1110">
        <f t="shared" si="11"/>
        <v>8.1551069542622701E-2</v>
      </c>
      <c r="J39" s="1110">
        <f t="shared" si="11"/>
        <v>7.6941957323215515E-2</v>
      </c>
      <c r="K39" s="1110">
        <f t="shared" si="11"/>
        <v>7.570113796432576E-2</v>
      </c>
      <c r="L39" s="1110">
        <f t="shared" si="11"/>
        <v>-1.2162326691902203E-2</v>
      </c>
      <c r="M39" s="1110">
        <f t="shared" si="11"/>
        <v>6.2912015895286499E-2</v>
      </c>
      <c r="N39" s="1110">
        <f>((N12/M12)-1)</f>
        <v>5.5157922614958554E-2</v>
      </c>
      <c r="O39" s="1110">
        <f>((O12/N12)-1)</f>
        <v>2.8887300417897555E-2</v>
      </c>
      <c r="P39" s="1110">
        <f>((P12/O12)-1)</f>
        <v>4.2609380026841004E-2</v>
      </c>
      <c r="Q39" s="1110">
        <f>((Q12/P12)-1)</f>
        <v>9.2897369092979742E-2</v>
      </c>
      <c r="R39" s="1110">
        <f>((R12/Q12)-1)</f>
        <v>5.1759665211271511E-2</v>
      </c>
      <c r="W39" s="2837" t="s">
        <v>1397</v>
      </c>
      <c r="X39" s="2842">
        <f>+'segSales&amp;OM'!DH241</f>
        <v>5.04</v>
      </c>
      <c r="Y39" s="2843"/>
      <c r="Z39" s="2842">
        <f>+'segSales&amp;OM'!DH248</f>
        <v>9.0399999999999991</v>
      </c>
      <c r="AA39" s="2843"/>
      <c r="AB39" s="2842">
        <v>22.402000000000001</v>
      </c>
    </row>
    <row r="40" spans="1:31">
      <c r="A40" s="1103" t="s">
        <v>651</v>
      </c>
      <c r="C40" s="1112" t="s">
        <v>520</v>
      </c>
      <c r="D40" s="1110">
        <f>((D14/C14)-1)</f>
        <v>-3.9955863218829712E-2</v>
      </c>
      <c r="E40" s="1110">
        <f t="shared" ref="E40:M40" si="12">((E14/D14)-1)</f>
        <v>0.1930489632078507</v>
      </c>
      <c r="F40" s="1110">
        <f t="shared" si="12"/>
        <v>-0.26787179498080382</v>
      </c>
      <c r="G40" s="1110">
        <f t="shared" si="12"/>
        <v>-0.16674622116149562</v>
      </c>
      <c r="H40" s="1110">
        <f t="shared" si="12"/>
        <v>0.19626631952042661</v>
      </c>
      <c r="I40" s="1110">
        <f t="shared" si="12"/>
        <v>0.49604676307609052</v>
      </c>
      <c r="J40" s="1110">
        <f t="shared" si="12"/>
        <v>0.20434988820380662</v>
      </c>
      <c r="K40" s="1110">
        <f t="shared" si="12"/>
        <v>0.1040470763211947</v>
      </c>
      <c r="L40" s="1110">
        <f t="shared" si="12"/>
        <v>2.1179903545072598E-2</v>
      </c>
      <c r="M40" s="1110">
        <f t="shared" si="12"/>
        <v>0.12022745222648901</v>
      </c>
      <c r="N40" s="1110">
        <f>((N14/M14)-1)</f>
        <v>0.12206479743505327</v>
      </c>
      <c r="O40" s="1110">
        <f>((O14/N14)-1)</f>
        <v>-7.0319191314468954E-2</v>
      </c>
      <c r="P40" s="1110">
        <f>((P14/O14)-1)</f>
        <v>-0.15173294224703848</v>
      </c>
      <c r="Q40" s="1110">
        <f>((Q14/P14)-1)</f>
        <v>-6.2063209781438533E-2</v>
      </c>
      <c r="R40" s="1110">
        <f>((R14/Q14)-1)</f>
        <v>5.7475786098112103E-2</v>
      </c>
      <c r="W40" s="2832" t="s">
        <v>1401</v>
      </c>
      <c r="X40" s="2836" t="s">
        <v>1412</v>
      </c>
      <c r="Y40" s="168"/>
      <c r="Z40" s="2836">
        <f>+Z39-X39</f>
        <v>3.9999999999999991</v>
      </c>
      <c r="AA40" s="168"/>
      <c r="AB40" s="2836">
        <f>+AB39-X39</f>
        <v>17.362000000000002</v>
      </c>
    </row>
    <row r="41" spans="1:31">
      <c r="A41" s="1103" t="s">
        <v>551</v>
      </c>
      <c r="C41" s="1112" t="s">
        <v>520</v>
      </c>
      <c r="D41" s="1110">
        <f>((D25/C25)-1)</f>
        <v>0.21798165096367339</v>
      </c>
      <c r="E41" s="1110">
        <f t="shared" ref="E41:M41" si="13">((E25/D25)-1)</f>
        <v>3.4181249781926271E-2</v>
      </c>
      <c r="F41" s="1110">
        <f t="shared" si="13"/>
        <v>-0.27558332145447995</v>
      </c>
      <c r="G41" s="1110">
        <f t="shared" si="13"/>
        <v>-0.13792032301112089</v>
      </c>
      <c r="H41" s="1110">
        <f t="shared" si="13"/>
        <v>0.1739005556212414</v>
      </c>
      <c r="I41" s="1110">
        <f t="shared" si="13"/>
        <v>0.6724118639056833</v>
      </c>
      <c r="J41" s="1110">
        <f t="shared" si="13"/>
        <v>0.26467274413654818</v>
      </c>
      <c r="K41" s="1110">
        <f t="shared" si="13"/>
        <v>0.12291910595952471</v>
      </c>
      <c r="L41" s="1110">
        <f t="shared" si="13"/>
        <v>4.4530914725731341E-2</v>
      </c>
      <c r="M41" s="1110">
        <f t="shared" si="13"/>
        <v>0.14656547025075461</v>
      </c>
      <c r="N41" s="1110">
        <f>((N25/M25)-1)</f>
        <v>0.14072412287238723</v>
      </c>
      <c r="O41" s="1110">
        <f>((O25/N25)-1)</f>
        <v>-6.121517345578531E-2</v>
      </c>
      <c r="P41" s="1110">
        <f>((P25/O25)-1)</f>
        <v>-0.14498580341441925</v>
      </c>
      <c r="Q41" s="1110">
        <f>((Q25/P25)-1)</f>
        <v>9.6040567314918945E-3</v>
      </c>
      <c r="R41" s="1110">
        <f>((R25/Q25)-1)</f>
        <v>8.2367213832921005E-2</v>
      </c>
    </row>
    <row r="42" spans="1:31">
      <c r="A42" s="1103" t="s">
        <v>701</v>
      </c>
      <c r="C42" s="1112" t="s">
        <v>520</v>
      </c>
      <c r="D42" s="1110">
        <f>((D28/C28)-1)</f>
        <v>-5.5673790929962275E-2</v>
      </c>
      <c r="E42" s="1110">
        <f t="shared" ref="E42:M42" si="14">((E28/D28)-1)</f>
        <v>0.16138037552479356</v>
      </c>
      <c r="F42" s="1110">
        <f t="shared" si="14"/>
        <v>-0.18685792807587775</v>
      </c>
      <c r="G42" s="1110">
        <f t="shared" si="14"/>
        <v>-0.12594407980967559</v>
      </c>
      <c r="H42" s="1110">
        <f t="shared" si="14"/>
        <v>0.14614851387100969</v>
      </c>
      <c r="I42" s="1110">
        <f t="shared" si="14"/>
        <v>0.3584882992790881</v>
      </c>
      <c r="J42" s="1110">
        <f t="shared" si="14"/>
        <v>0.15233814235162457</v>
      </c>
      <c r="K42" s="1110">
        <f t="shared" si="14"/>
        <v>8.3296844816486137E-2</v>
      </c>
      <c r="L42" s="1110">
        <f t="shared" si="14"/>
        <v>2.4535019076697528E-2</v>
      </c>
      <c r="M42" s="1110">
        <f t="shared" si="14"/>
        <v>0.11340757913382227</v>
      </c>
      <c r="N42" s="1110">
        <f>((N28/M28)-1)</f>
        <v>0.10871066948543229</v>
      </c>
      <c r="O42" s="1110">
        <f>((O28/N28)-1)</f>
        <v>-3.7424817157551526E-2</v>
      </c>
      <c r="P42" s="1110">
        <f>((P28/O28)-1)</f>
        <v>-0.10203146199259328</v>
      </c>
      <c r="Q42" s="1110">
        <f>((Q28/P28)-1)</f>
        <v>-3.1932657387575336E-2</v>
      </c>
      <c r="R42" s="1110">
        <f>((R28/Q28)-1)</f>
        <v>6.8394430951611351E-2</v>
      </c>
    </row>
    <row r="43" spans="1:31">
      <c r="A43" s="1113"/>
      <c r="B43" s="1113"/>
      <c r="C43" s="1113"/>
      <c r="D43" s="1113"/>
      <c r="E43" s="1113"/>
      <c r="F43" s="1113"/>
      <c r="G43" s="1113"/>
      <c r="H43" s="1113"/>
      <c r="I43" s="1113"/>
      <c r="J43" s="1113"/>
      <c r="K43" s="1113"/>
      <c r="L43" s="1113"/>
      <c r="M43" s="1113"/>
      <c r="N43" s="1113"/>
      <c r="O43" s="1113"/>
      <c r="P43" s="1113"/>
      <c r="Q43" s="1113"/>
      <c r="R43" s="1113"/>
    </row>
    <row r="44" spans="1:31">
      <c r="A44" s="1100" t="s">
        <v>861</v>
      </c>
      <c r="C44" s="70" t="s">
        <v>949</v>
      </c>
      <c r="D44" s="70" t="s">
        <v>982</v>
      </c>
      <c r="E44" s="70" t="s">
        <v>753</v>
      </c>
      <c r="F44" s="70" t="s">
        <v>144</v>
      </c>
      <c r="G44" s="70" t="s">
        <v>143</v>
      </c>
      <c r="H44" s="70" t="s">
        <v>991</v>
      </c>
      <c r="I44" s="70" t="s">
        <v>112</v>
      </c>
      <c r="J44" s="70" t="s">
        <v>432</v>
      </c>
      <c r="K44" s="70" t="s">
        <v>201</v>
      </c>
      <c r="L44" s="70" t="s">
        <v>853</v>
      </c>
      <c r="M44" s="70" t="s">
        <v>335</v>
      </c>
      <c r="N44" s="70" t="s">
        <v>1266</v>
      </c>
      <c r="O44" s="70" t="s">
        <v>1308</v>
      </c>
      <c r="P44" s="70" t="s">
        <v>315</v>
      </c>
      <c r="Q44" s="70" t="str">
        <f>Q3</f>
        <v>2018E</v>
      </c>
      <c r="R44" s="70" t="str">
        <f>R3</f>
        <v>2019E</v>
      </c>
    </row>
    <row r="45" spans="1:31">
      <c r="A45" s="27" t="s">
        <v>1206</v>
      </c>
      <c r="C45" s="133" t="s">
        <v>601</v>
      </c>
      <c r="D45" s="133" t="s">
        <v>601</v>
      </c>
      <c r="E45" s="133" t="s">
        <v>601</v>
      </c>
      <c r="F45" s="133" t="s">
        <v>601</v>
      </c>
      <c r="G45" s="133" t="s">
        <v>601</v>
      </c>
      <c r="H45" s="133" t="s">
        <v>601</v>
      </c>
      <c r="I45" s="133" t="s">
        <v>601</v>
      </c>
      <c r="J45" s="133" t="s">
        <v>601</v>
      </c>
      <c r="K45" s="133" t="s">
        <v>601</v>
      </c>
      <c r="L45" s="133" t="s">
        <v>828</v>
      </c>
      <c r="M45" s="133" t="s">
        <v>601</v>
      </c>
      <c r="N45" s="133" t="s">
        <v>601</v>
      </c>
      <c r="O45" s="133" t="s">
        <v>601</v>
      </c>
      <c r="P45" s="133" t="s">
        <v>601</v>
      </c>
      <c r="Q45" s="133" t="s">
        <v>601</v>
      </c>
      <c r="R45" s="133" t="s">
        <v>601</v>
      </c>
    </row>
    <row r="46" spans="1:31">
      <c r="A46" s="1101"/>
    </row>
    <row r="47" spans="1:31">
      <c r="A47" s="1101" t="s">
        <v>177</v>
      </c>
      <c r="C47" s="1114">
        <f>C6</f>
        <v>9408.3119999999999</v>
      </c>
      <c r="D47" s="1114">
        <f t="shared" ref="D47:J47" si="15">D6</f>
        <v>9698.9680000000008</v>
      </c>
      <c r="E47" s="1114">
        <f t="shared" si="15"/>
        <v>10670.598999999998</v>
      </c>
      <c r="F47" s="1114">
        <f t="shared" si="15"/>
        <v>10086.368</v>
      </c>
      <c r="G47" s="1114">
        <f t="shared" si="15"/>
        <v>9042.6810000000005</v>
      </c>
      <c r="H47" s="1114">
        <f t="shared" si="15"/>
        <v>8632.4880000000012</v>
      </c>
      <c r="I47" s="1114">
        <f t="shared" si="15"/>
        <v>9613.2780000000002</v>
      </c>
      <c r="J47" s="1114">
        <f t="shared" si="15"/>
        <v>10363.998</v>
      </c>
      <c r="K47" s="1114">
        <f t="shared" ref="K47:P47" si="16">K6</f>
        <v>10458.652000000002</v>
      </c>
      <c r="L47" s="1114">
        <f t="shared" si="16"/>
        <v>10773.210999999998</v>
      </c>
      <c r="M47" s="1114">
        <f t="shared" si="16"/>
        <v>11454.060000000001</v>
      </c>
      <c r="N47" s="1114">
        <f t="shared" si="16"/>
        <v>12153.786</v>
      </c>
      <c r="O47" s="1114">
        <f t="shared" si="16"/>
        <v>12574.142000000002</v>
      </c>
      <c r="P47" s="1114">
        <f t="shared" si="16"/>
        <v>12632.304</v>
      </c>
      <c r="Q47" s="1114">
        <f>(P6*(1+Q77))</f>
        <v>13409.640213768302</v>
      </c>
      <c r="R47" s="1114">
        <f>(Q47*(1+R77))</f>
        <v>14198.716974400708</v>
      </c>
    </row>
    <row r="48" spans="1:31" outlineLevel="1">
      <c r="A48" s="1101"/>
      <c r="C48" s="164"/>
      <c r="D48" s="164"/>
      <c r="E48" s="164"/>
      <c r="F48" s="164"/>
      <c r="G48" s="164"/>
      <c r="H48" s="164"/>
      <c r="I48" s="164"/>
      <c r="J48" s="164"/>
      <c r="K48" s="164"/>
      <c r="L48" s="164"/>
      <c r="M48" s="164"/>
      <c r="N48" s="164"/>
      <c r="O48" s="164"/>
      <c r="P48" s="164"/>
    </row>
    <row r="49" spans="1:22" outlineLevel="1">
      <c r="A49" s="1101" t="s">
        <v>1207</v>
      </c>
      <c r="C49" s="1114">
        <f>C8</f>
        <v>6014.2380000000003</v>
      </c>
      <c r="D49" s="1114">
        <f t="shared" ref="D49:K49" si="17">D8</f>
        <v>6219.2360000000008</v>
      </c>
      <c r="E49" s="1114">
        <f t="shared" si="17"/>
        <v>6657.0870000000004</v>
      </c>
      <c r="F49" s="1114">
        <f t="shared" si="17"/>
        <v>6622.8650000000007</v>
      </c>
      <c r="G49" s="1114">
        <f t="shared" si="17"/>
        <v>6036.2830000000004</v>
      </c>
      <c r="H49" s="1114">
        <f t="shared" si="17"/>
        <v>5604.3980000000001</v>
      </c>
      <c r="I49" s="1114">
        <f t="shared" si="17"/>
        <v>5982.4889999999996</v>
      </c>
      <c r="J49" s="1114">
        <f t="shared" si="17"/>
        <v>6290.2530000000006</v>
      </c>
      <c r="K49" s="1114">
        <f t="shared" si="17"/>
        <v>6032.6849999999995</v>
      </c>
      <c r="L49" s="1114">
        <f t="shared" ref="L49:R49" si="18">L8</f>
        <v>6344.1480000000001</v>
      </c>
      <c r="M49" s="1114">
        <f t="shared" si="18"/>
        <v>6646.4269999999997</v>
      </c>
      <c r="N49" s="1114">
        <f t="shared" si="18"/>
        <v>6950.2980000000007</v>
      </c>
      <c r="O49" s="1114">
        <f t="shared" si="18"/>
        <v>7437.7510000000002</v>
      </c>
      <c r="P49" s="1114">
        <f t="shared" si="18"/>
        <v>7673.0079999999998</v>
      </c>
      <c r="Q49" s="1114">
        <f t="shared" si="18"/>
        <v>7993.9826359981489</v>
      </c>
      <c r="R49" s="1114">
        <f t="shared" si="18"/>
        <v>8327.2872998172497</v>
      </c>
    </row>
    <row r="50" spans="1:22" outlineLevel="1">
      <c r="A50" s="1101"/>
      <c r="C50" s="164"/>
      <c r="D50" s="164"/>
      <c r="E50" s="164"/>
      <c r="F50" s="164"/>
      <c r="G50" s="164"/>
      <c r="H50" s="164"/>
      <c r="I50" s="164"/>
      <c r="J50" s="164"/>
      <c r="K50" s="164"/>
      <c r="L50" s="164"/>
      <c r="M50" s="164"/>
      <c r="N50" s="164"/>
      <c r="O50" s="164"/>
      <c r="P50" s="164"/>
    </row>
    <row r="51" spans="1:22">
      <c r="A51" s="1101" t="s">
        <v>46</v>
      </c>
      <c r="C51" s="1114">
        <f>C47-C49</f>
        <v>3394.0739999999996</v>
      </c>
      <c r="D51" s="1114">
        <f t="shared" ref="D51:J51" si="19">D47-D49</f>
        <v>3479.732</v>
      </c>
      <c r="E51" s="1114">
        <f t="shared" si="19"/>
        <v>4013.5119999999979</v>
      </c>
      <c r="F51" s="1114">
        <f t="shared" si="19"/>
        <v>3463.5029999999997</v>
      </c>
      <c r="G51" s="1114">
        <f t="shared" si="19"/>
        <v>3006.3980000000001</v>
      </c>
      <c r="H51" s="1114">
        <f t="shared" si="19"/>
        <v>3028.0900000000011</v>
      </c>
      <c r="I51" s="1114">
        <f t="shared" si="19"/>
        <v>3630.7890000000007</v>
      </c>
      <c r="J51" s="1114">
        <f t="shared" si="19"/>
        <v>4073.744999999999</v>
      </c>
      <c r="K51" s="1114">
        <f t="shared" ref="K51:P51" si="20">K47-K49</f>
        <v>4425.9670000000024</v>
      </c>
      <c r="L51" s="1114">
        <f t="shared" si="20"/>
        <v>4429.0629999999974</v>
      </c>
      <c r="M51" s="1114">
        <f t="shared" si="20"/>
        <v>4807.6330000000016</v>
      </c>
      <c r="N51" s="1114">
        <f t="shared" si="20"/>
        <v>5203.4879999999994</v>
      </c>
      <c r="O51" s="1114">
        <f t="shared" si="20"/>
        <v>5136.3910000000014</v>
      </c>
      <c r="P51" s="1114">
        <f t="shared" si="20"/>
        <v>4959.2960000000003</v>
      </c>
      <c r="Q51" s="1114">
        <f>Q47*Q71</f>
        <v>5309.0851318222458</v>
      </c>
      <c r="R51" s="1114">
        <f>R47*R71</f>
        <v>5688.2565661888902</v>
      </c>
    </row>
    <row r="52" spans="1:22">
      <c r="A52" s="1101" t="s">
        <v>1208</v>
      </c>
      <c r="C52" s="164">
        <f>C12</f>
        <v>2367.2659999999996</v>
      </c>
      <c r="D52" s="164">
        <f t="shared" ref="D52:J53" si="21">D12</f>
        <v>2493.951</v>
      </c>
      <c r="E52" s="164">
        <f t="shared" si="21"/>
        <v>2837.4269999999997</v>
      </c>
      <c r="F52" s="164">
        <f t="shared" si="21"/>
        <v>2602.4579999999996</v>
      </c>
      <c r="G52" s="164">
        <f t="shared" si="21"/>
        <v>2288.9290000000001</v>
      </c>
      <c r="H52" s="164">
        <f t="shared" si="21"/>
        <v>2169.806</v>
      </c>
      <c r="I52" s="164">
        <f t="shared" si="21"/>
        <v>2346.7559999999999</v>
      </c>
      <c r="J52" s="164">
        <f t="shared" si="21"/>
        <v>2527.3199999999997</v>
      </c>
      <c r="K52" s="164">
        <f t="shared" ref="K52:M53" si="22">K12</f>
        <v>2718.6409999999996</v>
      </c>
      <c r="L52" s="164">
        <f t="shared" si="22"/>
        <v>2685.576</v>
      </c>
      <c r="M52" s="164">
        <f t="shared" si="22"/>
        <v>2854.5309999999999</v>
      </c>
      <c r="N52" s="164">
        <f t="shared" ref="N52:P53" si="23">N12</f>
        <v>3011.9810000000002</v>
      </c>
      <c r="O52" s="164">
        <f t="shared" si="23"/>
        <v>3098.989</v>
      </c>
      <c r="P52" s="164">
        <f t="shared" si="23"/>
        <v>3231.0349999999999</v>
      </c>
      <c r="Q52" s="164">
        <f>Q47*Q72</f>
        <v>3502.7284757427033</v>
      </c>
      <c r="R52" s="164">
        <f>R47*R72</f>
        <v>3691.6664133441841</v>
      </c>
    </row>
    <row r="53" spans="1:22" outlineLevel="1">
      <c r="A53" s="1101" t="s">
        <v>855</v>
      </c>
      <c r="C53" s="164">
        <f>C13</f>
        <v>333.47300000000001</v>
      </c>
      <c r="D53" s="164">
        <f t="shared" si="21"/>
        <v>298.76799999999997</v>
      </c>
      <c r="E53" s="164">
        <f t="shared" si="21"/>
        <v>315.76499999999999</v>
      </c>
      <c r="F53" s="164">
        <f t="shared" si="21"/>
        <v>352.04100000000005</v>
      </c>
      <c r="G53" s="164">
        <f t="shared" si="21"/>
        <v>342.83600000000001</v>
      </c>
      <c r="H53" s="164">
        <f t="shared" si="21"/>
        <v>356.983</v>
      </c>
      <c r="I53" s="164">
        <f t="shared" si="21"/>
        <v>366.89299999999997</v>
      </c>
      <c r="J53" s="164">
        <f t="shared" si="21"/>
        <v>356</v>
      </c>
      <c r="K53" s="164">
        <f t="shared" si="22"/>
        <v>353.565</v>
      </c>
      <c r="L53" s="164">
        <f t="shared" si="22"/>
        <v>367.96799999999996</v>
      </c>
      <c r="M53" s="164">
        <f t="shared" si="22"/>
        <v>397.80799999999999</v>
      </c>
      <c r="N53" s="164">
        <f t="shared" si="23"/>
        <v>414.97200000000004</v>
      </c>
      <c r="O53" s="164">
        <f t="shared" si="23"/>
        <v>471.53</v>
      </c>
      <c r="P53" s="164">
        <f t="shared" si="23"/>
        <v>524.68100000000004</v>
      </c>
      <c r="Q53" s="164">
        <f>Q13</f>
        <v>560</v>
      </c>
      <c r="R53" s="164">
        <f>R13</f>
        <v>616</v>
      </c>
    </row>
    <row r="54" spans="1:22">
      <c r="A54" s="1115" t="s">
        <v>651</v>
      </c>
      <c r="C54" s="1114">
        <f>C51-C52</f>
        <v>1026.808</v>
      </c>
      <c r="D54" s="1114">
        <f t="shared" ref="D54:K54" si="24">D51-D52</f>
        <v>985.78099999999995</v>
      </c>
      <c r="E54" s="1114">
        <f t="shared" si="24"/>
        <v>1176.0849999999982</v>
      </c>
      <c r="F54" s="1114">
        <f t="shared" si="24"/>
        <v>861.04500000000007</v>
      </c>
      <c r="G54" s="1114">
        <f t="shared" si="24"/>
        <v>717.46900000000005</v>
      </c>
      <c r="H54" s="1114">
        <f t="shared" si="24"/>
        <v>858.28400000000101</v>
      </c>
      <c r="I54" s="1114">
        <f t="shared" si="24"/>
        <v>1284.0330000000008</v>
      </c>
      <c r="J54" s="1114">
        <f t="shared" si="24"/>
        <v>1546.4249999999993</v>
      </c>
      <c r="K54" s="1114">
        <f t="shared" si="24"/>
        <v>1707.3260000000028</v>
      </c>
      <c r="L54" s="1114">
        <f t="shared" ref="L54:R54" si="25">L51-L52</f>
        <v>1743.4869999999974</v>
      </c>
      <c r="M54" s="1114">
        <f t="shared" si="25"/>
        <v>1953.1020000000017</v>
      </c>
      <c r="N54" s="1114">
        <f t="shared" si="25"/>
        <v>2191.5069999999992</v>
      </c>
      <c r="O54" s="1114">
        <f t="shared" si="25"/>
        <v>2037.4020000000014</v>
      </c>
      <c r="P54" s="1114">
        <f t="shared" si="25"/>
        <v>1728.2610000000004</v>
      </c>
      <c r="Q54" s="1114">
        <f t="shared" si="25"/>
        <v>1806.3566560795425</v>
      </c>
      <c r="R54" s="1114">
        <f t="shared" si="25"/>
        <v>1996.5901528447062</v>
      </c>
    </row>
    <row r="55" spans="1:22" outlineLevel="1">
      <c r="A55" s="1101"/>
      <c r="C55" s="164"/>
      <c r="D55" s="164"/>
      <c r="E55" s="164"/>
      <c r="F55" s="164"/>
      <c r="G55" s="164"/>
      <c r="H55" s="164"/>
      <c r="I55" s="164"/>
      <c r="J55" s="164"/>
      <c r="K55" s="164"/>
      <c r="L55" s="164"/>
      <c r="M55" s="164"/>
      <c r="N55" s="164"/>
      <c r="O55" s="164"/>
      <c r="P55" s="164"/>
    </row>
    <row r="56" spans="1:22" outlineLevel="1">
      <c r="A56" s="1101" t="s">
        <v>856</v>
      </c>
      <c r="C56" s="164">
        <f>C16</f>
        <v>-58.265999999999998</v>
      </c>
      <c r="D56" s="164">
        <f t="shared" ref="D56:J57" si="26">D16</f>
        <v>-94.365000000000009</v>
      </c>
      <c r="E56" s="164">
        <f t="shared" si="26"/>
        <v>-101.83500000000001</v>
      </c>
      <c r="F56" s="164">
        <f t="shared" si="26"/>
        <v>-149.49600000000001</v>
      </c>
      <c r="G56" s="164">
        <f t="shared" si="26"/>
        <v>-180.78899999999999</v>
      </c>
      <c r="H56" s="164">
        <f t="shared" si="26"/>
        <v>-237.143</v>
      </c>
      <c r="I56" s="164">
        <f t="shared" si="26"/>
        <v>-207.84100000000001</v>
      </c>
      <c r="J56" s="164">
        <f t="shared" si="26"/>
        <v>-245.93600000000001</v>
      </c>
      <c r="K56" s="164">
        <f t="shared" ref="K56:M57" si="27">K16</f>
        <v>-316.72699999999998</v>
      </c>
      <c r="L56" s="164">
        <f t="shared" si="27"/>
        <v>-314.40199999999999</v>
      </c>
      <c r="M56" s="164">
        <f t="shared" si="27"/>
        <v>-324.04200000000003</v>
      </c>
      <c r="N56" s="164">
        <f t="shared" ref="N56:R57" si="28">N16</f>
        <v>-333.738</v>
      </c>
      <c r="O56" s="164">
        <f t="shared" si="28"/>
        <v>-393.66300000000001</v>
      </c>
      <c r="P56" s="164">
        <f t="shared" si="28"/>
        <v>-405.98899999999998</v>
      </c>
      <c r="Q56" s="164">
        <f t="shared" si="28"/>
        <v>-371</v>
      </c>
      <c r="R56" s="164">
        <f t="shared" si="28"/>
        <v>-368</v>
      </c>
    </row>
    <row r="57" spans="1:22" outlineLevel="1">
      <c r="A57" s="1101" t="s">
        <v>809</v>
      </c>
      <c r="C57" s="164">
        <f>C17</f>
        <v>39.730000000000004</v>
      </c>
      <c r="D57" s="164">
        <f t="shared" si="26"/>
        <v>66.004000000000005</v>
      </c>
      <c r="E57" s="164">
        <f t="shared" si="26"/>
        <v>22.798999999999999</v>
      </c>
      <c r="F57" s="164">
        <f t="shared" si="26"/>
        <v>45.312000000000012</v>
      </c>
      <c r="G57" s="164">
        <f t="shared" si="26"/>
        <v>32.016000000000005</v>
      </c>
      <c r="H57" s="164">
        <f t="shared" si="26"/>
        <v>19.616999999999997</v>
      </c>
      <c r="I57" s="164">
        <f t="shared" si="26"/>
        <v>26.873000000000001</v>
      </c>
      <c r="J57" s="164">
        <f t="shared" si="26"/>
        <v>1.339999999999997</v>
      </c>
      <c r="K57" s="164">
        <f t="shared" si="27"/>
        <v>11.203000000000003</v>
      </c>
      <c r="L57" s="164">
        <f t="shared" si="27"/>
        <v>16.794</v>
      </c>
      <c r="M57" s="164">
        <f t="shared" si="27"/>
        <v>6.653999999999999</v>
      </c>
      <c r="N57" s="164">
        <f t="shared" si="28"/>
        <v>-1.4499999999999997</v>
      </c>
      <c r="O57" s="164">
        <f t="shared" si="28"/>
        <v>14.282999999999992</v>
      </c>
      <c r="P57" s="164">
        <f t="shared" si="28"/>
        <v>34.957999999999998</v>
      </c>
      <c r="Q57" s="164">
        <f t="shared" si="28"/>
        <v>0</v>
      </c>
      <c r="R57" s="164">
        <f t="shared" si="28"/>
        <v>0</v>
      </c>
    </row>
    <row r="58" spans="1:22" outlineLevel="1">
      <c r="A58" s="1115" t="s">
        <v>857</v>
      </c>
      <c r="C58" s="1114">
        <f>C54+C56+C57</f>
        <v>1008.272</v>
      </c>
      <c r="D58" s="1114">
        <f t="shared" ref="D58:Q58" si="29">D54+D56+D57</f>
        <v>957.42</v>
      </c>
      <c r="E58" s="1114">
        <f t="shared" si="29"/>
        <v>1097.0489999999982</v>
      </c>
      <c r="F58" s="1114">
        <f t="shared" si="29"/>
        <v>756.8610000000001</v>
      </c>
      <c r="G58" s="1114">
        <f t="shared" si="29"/>
        <v>568.69600000000003</v>
      </c>
      <c r="H58" s="1114">
        <f t="shared" si="29"/>
        <v>640.75800000000095</v>
      </c>
      <c r="I58" s="1114">
        <f t="shared" si="29"/>
        <v>1103.065000000001</v>
      </c>
      <c r="J58" s="1114">
        <f t="shared" si="29"/>
        <v>1301.8289999999993</v>
      </c>
      <c r="K58" s="1114">
        <f t="shared" si="29"/>
        <v>1401.8020000000029</v>
      </c>
      <c r="L58" s="1114">
        <f t="shared" si="29"/>
        <v>1445.8789999999974</v>
      </c>
      <c r="M58" s="1114">
        <f>M54+M56+M57</f>
        <v>1635.7140000000018</v>
      </c>
      <c r="N58" s="1114">
        <f>N54+N56+N57</f>
        <v>1856.3189999999991</v>
      </c>
      <c r="O58" s="1114">
        <f>O54+O56+O57</f>
        <v>1658.0220000000013</v>
      </c>
      <c r="P58" s="1114">
        <f>P54+P56+P57</f>
        <v>1357.2300000000005</v>
      </c>
      <c r="Q58" s="1114">
        <f t="shared" si="29"/>
        <v>1435.3566560795425</v>
      </c>
      <c r="R58" s="1114">
        <f>R54+R56+R57</f>
        <v>1628.5901528447062</v>
      </c>
    </row>
    <row r="59" spans="1:22" outlineLevel="1">
      <c r="A59" s="1101"/>
      <c r="C59" s="164"/>
      <c r="D59" s="164"/>
      <c r="E59" s="164"/>
      <c r="F59" s="164"/>
      <c r="G59" s="164"/>
      <c r="H59" s="164"/>
      <c r="I59" s="164"/>
      <c r="J59" s="164"/>
      <c r="K59" s="164"/>
      <c r="L59" s="164"/>
      <c r="M59" s="164"/>
      <c r="N59" s="164"/>
      <c r="O59" s="164"/>
      <c r="P59" s="164"/>
    </row>
    <row r="60" spans="1:22">
      <c r="A60" s="1101" t="s">
        <v>1211</v>
      </c>
      <c r="C60" s="164">
        <f>C20</f>
        <v>371</v>
      </c>
      <c r="D60" s="164">
        <f t="shared" ref="D60:J60" si="30">D20</f>
        <v>291</v>
      </c>
      <c r="E60" s="164">
        <f t="shared" si="30"/>
        <v>422</v>
      </c>
      <c r="F60" s="164">
        <f t="shared" si="30"/>
        <v>294.89999999999998</v>
      </c>
      <c r="G60" s="164">
        <f t="shared" si="30"/>
        <v>215.41200000000001</v>
      </c>
      <c r="H60" s="164">
        <f t="shared" si="30"/>
        <v>238.99200000000002</v>
      </c>
      <c r="I60" s="164">
        <f t="shared" si="30"/>
        <v>418.58500000000004</v>
      </c>
      <c r="J60" s="164">
        <f t="shared" si="30"/>
        <v>484.48500000000001</v>
      </c>
      <c r="K60" s="164">
        <f t="shared" ref="K60:P60" si="31">K20</f>
        <v>535.18730000000005</v>
      </c>
      <c r="L60" s="164">
        <f t="shared" si="31"/>
        <v>542.851</v>
      </c>
      <c r="M60" s="164">
        <f t="shared" si="31"/>
        <v>593.67099999999994</v>
      </c>
      <c r="N60" s="164">
        <f t="shared" si="31"/>
        <v>672.31</v>
      </c>
      <c r="O60" s="164">
        <f t="shared" si="31"/>
        <v>567.92700000000002</v>
      </c>
      <c r="P60" s="164">
        <f t="shared" si="31"/>
        <v>437.88</v>
      </c>
      <c r="Q60" s="164">
        <f>Q58*Q74</f>
        <v>379.65183553303933</v>
      </c>
      <c r="R60" s="164">
        <f>R58*R74</f>
        <v>431.57639050384745</v>
      </c>
      <c r="S60" s="24"/>
      <c r="T60" s="24"/>
      <c r="U60" s="24"/>
      <c r="V60" s="24"/>
    </row>
    <row r="61" spans="1:22" outlineLevel="1">
      <c r="A61" s="1101"/>
      <c r="C61" s="164"/>
      <c r="D61" s="164"/>
      <c r="E61" s="164"/>
      <c r="F61" s="164"/>
      <c r="G61" s="164"/>
      <c r="H61" s="164"/>
      <c r="I61" s="164"/>
      <c r="J61" s="164"/>
      <c r="K61" s="164"/>
      <c r="L61" s="164"/>
      <c r="M61" s="164"/>
      <c r="N61" s="164"/>
      <c r="O61" s="164"/>
      <c r="P61" s="164"/>
      <c r="S61" s="24"/>
      <c r="T61" s="24"/>
      <c r="U61" s="24"/>
    </row>
    <row r="62" spans="1:22" outlineLevel="1">
      <c r="A62" s="1101"/>
      <c r="C62" s="164"/>
      <c r="D62" s="164"/>
      <c r="E62" s="164"/>
      <c r="F62" s="164"/>
      <c r="G62" s="164"/>
      <c r="H62" s="164"/>
      <c r="I62" s="164"/>
      <c r="J62" s="164"/>
      <c r="K62" s="164"/>
      <c r="L62" s="164"/>
      <c r="M62" s="164"/>
      <c r="N62" s="164"/>
      <c r="O62" s="164"/>
      <c r="P62" s="164"/>
      <c r="S62" s="24"/>
      <c r="T62" s="24"/>
      <c r="U62" s="24"/>
    </row>
    <row r="63" spans="1:22" outlineLevel="1">
      <c r="A63" s="1101" t="s">
        <v>858</v>
      </c>
      <c r="C63" s="1114">
        <f>C58-C60</f>
        <v>637.27200000000005</v>
      </c>
      <c r="D63" s="1114">
        <f t="shared" ref="D63:J63" si="32">D58-D60</f>
        <v>666.42</v>
      </c>
      <c r="E63" s="1114">
        <f t="shared" si="32"/>
        <v>675.04899999999816</v>
      </c>
      <c r="F63" s="1114">
        <f t="shared" si="32"/>
        <v>461.96100000000013</v>
      </c>
      <c r="G63" s="1114">
        <f t="shared" si="32"/>
        <v>353.28399999999999</v>
      </c>
      <c r="H63" s="1114">
        <f t="shared" si="32"/>
        <v>401.76600000000093</v>
      </c>
      <c r="I63" s="1114">
        <f t="shared" si="32"/>
        <v>684.48000000000093</v>
      </c>
      <c r="J63" s="1114">
        <f t="shared" si="32"/>
        <v>817.34399999999926</v>
      </c>
      <c r="K63" s="1114">
        <f t="shared" ref="K63:R63" si="33">K58-K60</f>
        <v>866.61470000000281</v>
      </c>
      <c r="L63" s="1114">
        <f t="shared" si="33"/>
        <v>903.02799999999741</v>
      </c>
      <c r="M63" s="1114">
        <f t="shared" si="33"/>
        <v>1042.0430000000019</v>
      </c>
      <c r="N63" s="1114">
        <f t="shared" si="33"/>
        <v>1184.0089999999991</v>
      </c>
      <c r="O63" s="1114">
        <f t="shared" si="33"/>
        <v>1090.0950000000012</v>
      </c>
      <c r="P63" s="1114">
        <f t="shared" si="33"/>
        <v>919.35000000000048</v>
      </c>
      <c r="Q63" s="1114">
        <f t="shared" si="33"/>
        <v>1055.7048205465032</v>
      </c>
      <c r="R63" s="1114">
        <f t="shared" si="33"/>
        <v>1197.0137623408586</v>
      </c>
      <c r="S63" s="24"/>
      <c r="T63" s="24"/>
      <c r="U63" s="24"/>
    </row>
    <row r="64" spans="1:22" outlineLevel="1">
      <c r="A64" s="1101"/>
      <c r="C64" s="164"/>
      <c r="D64" s="164"/>
      <c r="E64" s="164"/>
      <c r="F64" s="164"/>
      <c r="G64" s="164"/>
      <c r="H64" s="164"/>
      <c r="I64" s="164"/>
      <c r="J64" s="164"/>
      <c r="K64" s="164"/>
      <c r="L64" s="164"/>
      <c r="M64" s="164"/>
      <c r="N64" s="164"/>
      <c r="O64" s="164"/>
      <c r="P64" s="164"/>
      <c r="S64" s="24"/>
      <c r="T64" s="24"/>
      <c r="U64" s="24"/>
    </row>
    <row r="65" spans="1:22">
      <c r="A65" s="1107" t="s">
        <v>859</v>
      </c>
      <c r="B65" s="1107"/>
      <c r="C65" s="1108">
        <f>C63/C66</f>
        <v>1.331475217343159</v>
      </c>
      <c r="D65" s="1108">
        <f t="shared" ref="D65:J65" si="34">D63/D66</f>
        <v>1.6217123834368368</v>
      </c>
      <c r="E65" s="1108">
        <f t="shared" si="34"/>
        <v>1.6771445394895343</v>
      </c>
      <c r="F65" s="1108">
        <f t="shared" si="34"/>
        <v>1.2149514767377643</v>
      </c>
      <c r="G65" s="1108">
        <f t="shared" si="34"/>
        <v>1.0473849766232535</v>
      </c>
      <c r="H65" s="1108">
        <f t="shared" si="34"/>
        <v>1.2295258060073782</v>
      </c>
      <c r="I65" s="1108">
        <f t="shared" si="34"/>
        <v>2.0562735449449367</v>
      </c>
      <c r="J65" s="1108">
        <f t="shared" si="34"/>
        <v>2.6005131067809009</v>
      </c>
      <c r="K65" s="1108">
        <f t="shared" ref="K65:Q65" si="35">K63/K66</f>
        <v>2.9201658529024352</v>
      </c>
      <c r="L65" s="1108">
        <f t="shared" si="35"/>
        <v>3.0502035094830262</v>
      </c>
      <c r="M65" s="1108">
        <f>M63/M66</f>
        <v>3.4972580212109077</v>
      </c>
      <c r="N65" s="1108">
        <f>N63/N66</f>
        <v>3.9894065887042331</v>
      </c>
      <c r="O65" s="1108">
        <f>O63/O66</f>
        <v>3.7451943723910506</v>
      </c>
      <c r="P65" s="1108">
        <f>P63/P66</f>
        <v>3.2021943573667726</v>
      </c>
      <c r="Q65" s="1108">
        <f t="shared" si="35"/>
        <v>3.7403182304570533</v>
      </c>
      <c r="R65" s="1108">
        <f>R63/R66</f>
        <v>4.26236354542739</v>
      </c>
      <c r="S65" s="56"/>
      <c r="T65" s="1129"/>
      <c r="U65" s="165"/>
      <c r="V65" s="1130"/>
    </row>
    <row r="66" spans="1:22">
      <c r="A66" s="1101" t="s">
        <v>567</v>
      </c>
      <c r="C66" s="164">
        <f>C26</f>
        <v>478.62099999999998</v>
      </c>
      <c r="D66" s="164">
        <f t="shared" ref="D66:J66" si="36">D26</f>
        <v>410.93599999999998</v>
      </c>
      <c r="E66" s="164">
        <f t="shared" si="36"/>
        <v>402.49900000000002</v>
      </c>
      <c r="F66" s="164">
        <f t="shared" si="36"/>
        <v>380.23</v>
      </c>
      <c r="G66" s="164">
        <f t="shared" si="36"/>
        <v>337.30099999999999</v>
      </c>
      <c r="H66" s="164">
        <f t="shared" si="36"/>
        <v>326.76499999999999</v>
      </c>
      <c r="I66" s="164">
        <f t="shared" si="36"/>
        <v>332.87400000000002</v>
      </c>
      <c r="J66" s="164">
        <f t="shared" si="36"/>
        <v>314.30104999999998</v>
      </c>
      <c r="K66" s="164">
        <f t="shared" ref="K66:R66" si="37">K26</f>
        <v>296.76900000000001</v>
      </c>
      <c r="L66" s="164">
        <f t="shared" si="37"/>
        <v>296.05500000000001</v>
      </c>
      <c r="M66" s="164">
        <f t="shared" si="37"/>
        <v>297.95999999999998</v>
      </c>
      <c r="N66" s="164">
        <f t="shared" si="37"/>
        <v>296.78825000000001</v>
      </c>
      <c r="O66" s="164">
        <f t="shared" si="37"/>
        <v>291.065</v>
      </c>
      <c r="P66" s="164">
        <f t="shared" si="37"/>
        <v>287.10000000000002</v>
      </c>
      <c r="Q66" s="164">
        <f t="shared" si="37"/>
        <v>282.25</v>
      </c>
      <c r="R66" s="164">
        <f t="shared" si="37"/>
        <v>280.83333333333331</v>
      </c>
    </row>
    <row r="67" spans="1:22" outlineLevel="1">
      <c r="A67" s="1101"/>
      <c r="P67" s="2845"/>
    </row>
    <row r="68" spans="1:22" outlineLevel="1">
      <c r="A68" s="1101" t="s">
        <v>701</v>
      </c>
      <c r="C68" s="1114">
        <f>C53+C54</f>
        <v>1360.2809999999999</v>
      </c>
      <c r="D68" s="1114">
        <f t="shared" ref="D68:J68" si="38">D53+D54</f>
        <v>1284.549</v>
      </c>
      <c r="E68" s="1114">
        <f t="shared" si="38"/>
        <v>1491.8499999999981</v>
      </c>
      <c r="F68" s="1114">
        <f t="shared" si="38"/>
        <v>1213.0860000000002</v>
      </c>
      <c r="G68" s="1114">
        <f t="shared" si="38"/>
        <v>1060.3050000000001</v>
      </c>
      <c r="H68" s="1114">
        <f t="shared" si="38"/>
        <v>1215.267000000001</v>
      </c>
      <c r="I68" s="1114">
        <f t="shared" si="38"/>
        <v>1650.9260000000008</v>
      </c>
      <c r="J68" s="1114">
        <f t="shared" si="38"/>
        <v>1902.4249999999993</v>
      </c>
      <c r="K68" s="1114">
        <f t="shared" ref="K68:R68" si="39">K53+K54</f>
        <v>2060.8910000000028</v>
      </c>
      <c r="L68" s="1114">
        <f t="shared" si="39"/>
        <v>2111.4549999999972</v>
      </c>
      <c r="M68" s="1114">
        <f t="shared" si="39"/>
        <v>2350.9100000000017</v>
      </c>
      <c r="N68" s="1114">
        <f t="shared" si="39"/>
        <v>2606.4789999999994</v>
      </c>
      <c r="O68" s="1114">
        <f t="shared" si="39"/>
        <v>2508.9320000000016</v>
      </c>
      <c r="P68" s="1114">
        <f t="shared" si="39"/>
        <v>2252.9420000000005</v>
      </c>
      <c r="Q68" s="1114">
        <f t="shared" si="39"/>
        <v>2366.3566560795425</v>
      </c>
      <c r="R68" s="1114">
        <f t="shared" si="39"/>
        <v>2612.5901528447062</v>
      </c>
    </row>
    <row r="69" spans="1:22">
      <c r="A69" s="1101"/>
      <c r="P69" s="2845"/>
    </row>
    <row r="70" spans="1:22">
      <c r="A70" s="27" t="s">
        <v>1214</v>
      </c>
      <c r="P70" s="2845"/>
    </row>
    <row r="71" spans="1:22">
      <c r="A71" s="1101" t="s">
        <v>703</v>
      </c>
      <c r="C71" s="127">
        <f>C51/C47</f>
        <v>0.36075270462969339</v>
      </c>
      <c r="D71" s="127">
        <f t="shared" ref="D71:J71" si="40">D51/D47</f>
        <v>0.35877342826577008</v>
      </c>
      <c r="E71" s="127">
        <f t="shared" si="40"/>
        <v>0.37612808802954723</v>
      </c>
      <c r="F71" s="127">
        <f t="shared" si="40"/>
        <v>0.34338455626445513</v>
      </c>
      <c r="G71" s="127">
        <f t="shared" si="40"/>
        <v>0.33246755027629527</v>
      </c>
      <c r="H71" s="127">
        <f t="shared" si="40"/>
        <v>0.350778361927639</v>
      </c>
      <c r="I71" s="127">
        <f t="shared" si="40"/>
        <v>0.3776848022079462</v>
      </c>
      <c r="J71" s="127">
        <f t="shared" si="40"/>
        <v>0.3930669419272369</v>
      </c>
      <c r="K71" s="127">
        <f t="shared" ref="K71:P71" si="41">K51/K47</f>
        <v>0.42318713730985613</v>
      </c>
      <c r="L71" s="127">
        <f t="shared" si="41"/>
        <v>0.41111818936805361</v>
      </c>
      <c r="M71" s="127">
        <f t="shared" si="41"/>
        <v>0.41973178069610262</v>
      </c>
      <c r="N71" s="127">
        <f t="shared" si="41"/>
        <v>0.42813720761579965</v>
      </c>
      <c r="O71" s="127">
        <f t="shared" si="41"/>
        <v>0.40848838831309531</v>
      </c>
      <c r="P71" s="127">
        <f t="shared" si="41"/>
        <v>0.39258839875924456</v>
      </c>
      <c r="Q71" s="2548">
        <f>+Q31+0.004</f>
        <v>0.39591555382456578</v>
      </c>
      <c r="R71" s="2548">
        <f>+R31+0.006</f>
        <v>0.40061764569604552</v>
      </c>
    </row>
    <row r="72" spans="1:22">
      <c r="A72" s="1101" t="s">
        <v>1216</v>
      </c>
      <c r="C72" s="127">
        <f>C52/C47</f>
        <v>0.25161431721226929</v>
      </c>
      <c r="D72" s="127">
        <f t="shared" ref="D72:J72" si="42">D52/D47</f>
        <v>0.2571357076340493</v>
      </c>
      <c r="E72" s="127">
        <f t="shared" si="42"/>
        <v>0.26591075158948435</v>
      </c>
      <c r="F72" s="127">
        <f t="shared" si="42"/>
        <v>0.25801735570227058</v>
      </c>
      <c r="G72" s="127">
        <f t="shared" si="42"/>
        <v>0.25312504112441875</v>
      </c>
      <c r="H72" s="127">
        <f t="shared" si="42"/>
        <v>0.25135349160056752</v>
      </c>
      <c r="I72" s="127">
        <f t="shared" si="42"/>
        <v>0.24411610690963059</v>
      </c>
      <c r="J72" s="127">
        <f t="shared" si="42"/>
        <v>0.24385570124579334</v>
      </c>
      <c r="K72" s="127">
        <f t="shared" ref="K72:P72" si="43">K52/K47</f>
        <v>0.25994181659357241</v>
      </c>
      <c r="L72" s="127">
        <f t="shared" si="43"/>
        <v>0.24928278115039246</v>
      </c>
      <c r="M72" s="127">
        <f t="shared" si="43"/>
        <v>0.24921564929815276</v>
      </c>
      <c r="N72" s="127">
        <f t="shared" si="43"/>
        <v>0.24782244808325571</v>
      </c>
      <c r="O72" s="127">
        <f t="shared" si="43"/>
        <v>0.24645729307017525</v>
      </c>
      <c r="P72" s="127">
        <f t="shared" si="43"/>
        <v>0.25577558931450667</v>
      </c>
      <c r="Q72" s="2548">
        <f>+Q32-0.0074</f>
        <v>0.2612097282182328</v>
      </c>
      <c r="R72" s="2548">
        <f>+R32-0.01</f>
        <v>0.26</v>
      </c>
    </row>
    <row r="73" spans="1:22">
      <c r="A73" s="1101" t="s">
        <v>705</v>
      </c>
      <c r="C73" s="127">
        <f>C54/C47</f>
        <v>0.10913838741742408</v>
      </c>
      <c r="D73" s="127">
        <f t="shared" ref="D73:J73" si="44">D54/D47</f>
        <v>0.1016377206317208</v>
      </c>
      <c r="E73" s="127">
        <f t="shared" si="44"/>
        <v>0.11021733644006287</v>
      </c>
      <c r="F73" s="127">
        <f t="shared" si="44"/>
        <v>8.5367200562184525E-2</v>
      </c>
      <c r="G73" s="127">
        <f t="shared" si="44"/>
        <v>7.9342509151876531E-2</v>
      </c>
      <c r="H73" s="127">
        <f t="shared" si="44"/>
        <v>9.9424870327071507E-2</v>
      </c>
      <c r="I73" s="127">
        <f t="shared" si="44"/>
        <v>0.13356869529831561</v>
      </c>
      <c r="J73" s="127">
        <f t="shared" si="44"/>
        <v>0.14921124068144354</v>
      </c>
      <c r="K73" s="127">
        <f t="shared" ref="K73:R73" si="45">K54/K47</f>
        <v>0.16324532071628375</v>
      </c>
      <c r="L73" s="127">
        <f t="shared" si="45"/>
        <v>0.16183540821766118</v>
      </c>
      <c r="M73" s="127">
        <f t="shared" si="45"/>
        <v>0.17051613139794985</v>
      </c>
      <c r="N73" s="127">
        <f t="shared" si="45"/>
        <v>0.18031475953254394</v>
      </c>
      <c r="O73" s="127">
        <f t="shared" si="45"/>
        <v>0.16203109524292003</v>
      </c>
      <c r="P73" s="127">
        <f t="shared" si="45"/>
        <v>0.13681280944473789</v>
      </c>
      <c r="Q73" s="127">
        <f t="shared" si="45"/>
        <v>0.13470582560633299</v>
      </c>
      <c r="R73" s="127">
        <f t="shared" si="45"/>
        <v>0.14061764569604551</v>
      </c>
    </row>
    <row r="74" spans="1:22">
      <c r="A74" s="1101" t="s">
        <v>647</v>
      </c>
      <c r="C74" s="127">
        <f>C60/C58</f>
        <v>0.3679562657695542</v>
      </c>
      <c r="D74" s="127">
        <f t="shared" ref="D74:J74" si="46">D60/D58</f>
        <v>0.30394184370495708</v>
      </c>
      <c r="E74" s="127">
        <f t="shared" si="46"/>
        <v>0.3846683238396833</v>
      </c>
      <c r="F74" s="127">
        <f t="shared" si="46"/>
        <v>0.38963561340853858</v>
      </c>
      <c r="G74" s="127">
        <f t="shared" si="46"/>
        <v>0.37878233713618525</v>
      </c>
      <c r="H74" s="127">
        <f t="shared" si="46"/>
        <v>0.3729832479656901</v>
      </c>
      <c r="I74" s="127">
        <f t="shared" si="46"/>
        <v>0.37947446433347054</v>
      </c>
      <c r="J74" s="127">
        <f t="shared" si="46"/>
        <v>0.37215717271623255</v>
      </c>
      <c r="K74" s="127">
        <f t="shared" ref="K74:P74" si="47">K60/K58</f>
        <v>0.38178523072445247</v>
      </c>
      <c r="L74" s="127">
        <f t="shared" si="47"/>
        <v>0.37544704639876569</v>
      </c>
      <c r="M74" s="127">
        <f t="shared" si="47"/>
        <v>0.3629430328284769</v>
      </c>
      <c r="N74" s="127">
        <f t="shared" si="47"/>
        <v>0.36217374276727238</v>
      </c>
      <c r="O74" s="127">
        <f t="shared" si="47"/>
        <v>0.3425328493831804</v>
      </c>
      <c r="P74" s="127">
        <f t="shared" si="47"/>
        <v>0.32262770495789206</v>
      </c>
      <c r="Q74" s="1116">
        <f>+Q34-0.0055</f>
        <v>0.26450000000000023</v>
      </c>
      <c r="R74" s="1116">
        <f>+R34-0.005</f>
        <v>0.26500000000000018</v>
      </c>
    </row>
    <row r="75" spans="1:22">
      <c r="A75" s="1101"/>
      <c r="P75" s="2845"/>
    </row>
    <row r="76" spans="1:22">
      <c r="A76" s="27" t="s">
        <v>648</v>
      </c>
      <c r="P76" s="2845"/>
    </row>
    <row r="77" spans="1:22">
      <c r="A77" s="1101" t="s">
        <v>1173</v>
      </c>
      <c r="C77" s="1117" t="s">
        <v>520</v>
      </c>
      <c r="D77" s="127">
        <f>((D47/C47)-1)</f>
        <v>3.0893533292688513E-2</v>
      </c>
      <c r="E77" s="127">
        <f t="shared" ref="E77:P77" si="48">((E47/D47)-1)</f>
        <v>0.10017880252826883</v>
      </c>
      <c r="F77" s="127">
        <f t="shared" si="48"/>
        <v>-5.4751471777732208E-2</v>
      </c>
      <c r="G77" s="127">
        <f t="shared" si="48"/>
        <v>-0.10347500705903256</v>
      </c>
      <c r="H77" s="127">
        <f t="shared" si="48"/>
        <v>-4.5361878849867532E-2</v>
      </c>
      <c r="I77" s="127">
        <f t="shared" si="48"/>
        <v>0.11361614403634257</v>
      </c>
      <c r="J77" s="127">
        <f t="shared" si="48"/>
        <v>7.8091989017689878E-2</v>
      </c>
      <c r="K77" s="127">
        <f t="shared" si="48"/>
        <v>9.1329620094486863E-3</v>
      </c>
      <c r="L77" s="127">
        <f t="shared" si="48"/>
        <v>3.0076438149007734E-2</v>
      </c>
      <c r="M77" s="127">
        <f t="shared" si="48"/>
        <v>6.3198335203868528E-2</v>
      </c>
      <c r="N77" s="127">
        <f t="shared" si="48"/>
        <v>6.1089779519227116E-2</v>
      </c>
      <c r="O77" s="127">
        <f t="shared" si="48"/>
        <v>3.4586424345467437E-2</v>
      </c>
      <c r="P77" s="127">
        <f t="shared" si="48"/>
        <v>4.6255243498918297E-3</v>
      </c>
      <c r="Q77" s="127">
        <f>Q78+Q84</f>
        <v>6.1535584780757428E-2</v>
      </c>
      <c r="R77" s="127">
        <f>R78+R84</f>
        <v>5.8843991938144977E-2</v>
      </c>
    </row>
    <row r="78" spans="1:22">
      <c r="A78" s="1101" t="s">
        <v>860</v>
      </c>
      <c r="C78" s="127">
        <f>C38</f>
        <v>0.04</v>
      </c>
      <c r="D78" s="127">
        <f t="shared" ref="D78:J78" si="49">D38</f>
        <v>-0.01</v>
      </c>
      <c r="E78" s="127">
        <f t="shared" si="49"/>
        <v>7.0000000000000007E-2</v>
      </c>
      <c r="F78" s="127">
        <f t="shared" si="49"/>
        <v>-0.02</v>
      </c>
      <c r="G78" s="127">
        <f t="shared" si="49"/>
        <v>-0.09</v>
      </c>
      <c r="H78" s="127">
        <f t="shared" si="49"/>
        <v>-0.04</v>
      </c>
      <c r="I78" s="127">
        <f t="shared" si="49"/>
        <v>0.09</v>
      </c>
      <c r="J78" s="127">
        <f t="shared" si="49"/>
        <v>9.5188161934013527E-2</v>
      </c>
      <c r="K78" s="127">
        <f t="shared" ref="K78:P78" si="50">K38</f>
        <v>0.06</v>
      </c>
      <c r="L78" s="127">
        <f t="shared" si="50"/>
        <v>0.02</v>
      </c>
      <c r="M78" s="127">
        <f t="shared" si="50"/>
        <v>0.04</v>
      </c>
      <c r="N78" s="127">
        <f t="shared" si="50"/>
        <v>0.05</v>
      </c>
      <c r="O78" s="127">
        <f t="shared" si="50"/>
        <v>2.0243884366354766E-2</v>
      </c>
      <c r="P78" s="127">
        <f t="shared" si="50"/>
        <v>-0.03</v>
      </c>
      <c r="Q78" s="1116">
        <v>3.5113731128024385E-2</v>
      </c>
      <c r="R78" s="1116">
        <f>R38+0.005</f>
        <v>3.5805458257625766E-2</v>
      </c>
    </row>
    <row r="79" spans="1:22">
      <c r="A79" s="1101" t="s">
        <v>1208</v>
      </c>
      <c r="C79" s="1117" t="s">
        <v>520</v>
      </c>
      <c r="D79" s="127">
        <f>((D52/C52)-1)</f>
        <v>5.3515321049683706E-2</v>
      </c>
      <c r="E79" s="127">
        <f t="shared" ref="E79:P79" si="51">((E52/D52)-1)</f>
        <v>0.13772363610993144</v>
      </c>
      <c r="F79" s="127">
        <f t="shared" si="51"/>
        <v>-8.2810588607213576E-2</v>
      </c>
      <c r="G79" s="127">
        <f t="shared" si="51"/>
        <v>-0.120474182484405</v>
      </c>
      <c r="H79" s="127">
        <f t="shared" si="51"/>
        <v>-5.2043117108481751E-2</v>
      </c>
      <c r="I79" s="127">
        <f t="shared" si="51"/>
        <v>8.1551069542622701E-2</v>
      </c>
      <c r="J79" s="127">
        <f t="shared" si="51"/>
        <v>7.6941957323215515E-2</v>
      </c>
      <c r="K79" s="127">
        <f t="shared" si="51"/>
        <v>7.570113796432576E-2</v>
      </c>
      <c r="L79" s="127">
        <f t="shared" si="51"/>
        <v>-1.2162326691902203E-2</v>
      </c>
      <c r="M79" s="127">
        <f t="shared" si="51"/>
        <v>6.2912015895286499E-2</v>
      </c>
      <c r="N79" s="127">
        <f t="shared" si="51"/>
        <v>5.5157922614958554E-2</v>
      </c>
      <c r="O79" s="127">
        <f t="shared" si="51"/>
        <v>2.8887300417897555E-2</v>
      </c>
      <c r="P79" s="127">
        <f t="shared" si="51"/>
        <v>4.2609380026841004E-2</v>
      </c>
      <c r="Q79" s="127">
        <f>((Q52/P52)-1)</f>
        <v>8.4088682339468201E-2</v>
      </c>
      <c r="R79" s="127">
        <f>((R52/Q52)-1)</f>
        <v>5.3940218007169083E-2</v>
      </c>
    </row>
    <row r="80" spans="1:22">
      <c r="A80" s="1101" t="s">
        <v>651</v>
      </c>
      <c r="C80" s="1117" t="s">
        <v>520</v>
      </c>
      <c r="D80" s="127">
        <f>((D54/C54)-1)</f>
        <v>-3.9955863218829712E-2</v>
      </c>
      <c r="E80" s="127">
        <f t="shared" ref="E80:P80" si="52">((E54/D54)-1)</f>
        <v>0.1930489632078507</v>
      </c>
      <c r="F80" s="127">
        <f t="shared" si="52"/>
        <v>-0.26787179498080382</v>
      </c>
      <c r="G80" s="127">
        <f t="shared" si="52"/>
        <v>-0.16674622116149562</v>
      </c>
      <c r="H80" s="127">
        <f t="shared" si="52"/>
        <v>0.19626631952042661</v>
      </c>
      <c r="I80" s="127">
        <f t="shared" si="52"/>
        <v>0.49604676307609052</v>
      </c>
      <c r="J80" s="127">
        <f t="shared" si="52"/>
        <v>0.20434988820380662</v>
      </c>
      <c r="K80" s="127">
        <f t="shared" si="52"/>
        <v>0.1040470763211947</v>
      </c>
      <c r="L80" s="127">
        <f t="shared" si="52"/>
        <v>2.1179903545072598E-2</v>
      </c>
      <c r="M80" s="127">
        <f t="shared" si="52"/>
        <v>0.12022745222648901</v>
      </c>
      <c r="N80" s="127">
        <f t="shared" si="52"/>
        <v>0.12206479743505327</v>
      </c>
      <c r="O80" s="127">
        <f t="shared" si="52"/>
        <v>-7.0319191314468954E-2</v>
      </c>
      <c r="P80" s="127">
        <f t="shared" si="52"/>
        <v>-0.15173294224703848</v>
      </c>
      <c r="Q80" s="127">
        <f>((Q54/P54)-1)</f>
        <v>4.5187420233137265E-2</v>
      </c>
      <c r="R80" s="127">
        <f>((R54/Q54)-1)</f>
        <v>0.1053133644039268</v>
      </c>
    </row>
    <row r="81" spans="1:18">
      <c r="A81" s="1101" t="s">
        <v>551</v>
      </c>
      <c r="C81" s="1117" t="s">
        <v>520</v>
      </c>
      <c r="D81" s="127">
        <f t="shared" ref="D81:P81" si="53">((D65/C65)-1)</f>
        <v>0.21798165096367339</v>
      </c>
      <c r="E81" s="127">
        <f t="shared" si="53"/>
        <v>3.4181249781926271E-2</v>
      </c>
      <c r="F81" s="127">
        <f t="shared" si="53"/>
        <v>-0.27558332145447995</v>
      </c>
      <c r="G81" s="127">
        <f t="shared" si="53"/>
        <v>-0.13792032301112089</v>
      </c>
      <c r="H81" s="127">
        <f t="shared" si="53"/>
        <v>0.1739005556212414</v>
      </c>
      <c r="I81" s="127">
        <f t="shared" si="53"/>
        <v>0.6724118639056833</v>
      </c>
      <c r="J81" s="127">
        <f t="shared" si="53"/>
        <v>0.26467274413654818</v>
      </c>
      <c r="K81" s="127">
        <f t="shared" si="53"/>
        <v>0.12291910595952471</v>
      </c>
      <c r="L81" s="127">
        <f t="shared" si="53"/>
        <v>4.4530914725731341E-2</v>
      </c>
      <c r="M81" s="127">
        <f t="shared" si="53"/>
        <v>0.14656547025075461</v>
      </c>
      <c r="N81" s="127">
        <f t="shared" si="53"/>
        <v>0.14072412287238723</v>
      </c>
      <c r="O81" s="127">
        <f t="shared" si="53"/>
        <v>-6.121517345578531E-2</v>
      </c>
      <c r="P81" s="127">
        <f t="shared" si="53"/>
        <v>-0.14498580341441925</v>
      </c>
      <c r="Q81" s="127">
        <f>((Q65/P65)-1)</f>
        <v>0.16804847333901063</v>
      </c>
      <c r="R81" s="127">
        <f>((R65/Q65)-1)</f>
        <v>0.13957243282653642</v>
      </c>
    </row>
    <row r="82" spans="1:18" outlineLevel="1">
      <c r="A82" s="1101" t="s">
        <v>701</v>
      </c>
      <c r="C82" s="1117" t="s">
        <v>520</v>
      </c>
      <c r="D82" s="127">
        <f t="shared" ref="D82:P82" si="54">((D68/C68)-1)</f>
        <v>-5.5673790929962275E-2</v>
      </c>
      <c r="E82" s="127">
        <f t="shared" si="54"/>
        <v>0.16138037552479356</v>
      </c>
      <c r="F82" s="127">
        <f t="shared" si="54"/>
        <v>-0.18685792807587775</v>
      </c>
      <c r="G82" s="127">
        <f t="shared" si="54"/>
        <v>-0.12594407980967559</v>
      </c>
      <c r="H82" s="127">
        <f t="shared" si="54"/>
        <v>0.14614851387100969</v>
      </c>
      <c r="I82" s="127">
        <f t="shared" si="54"/>
        <v>0.3584882992790881</v>
      </c>
      <c r="J82" s="127">
        <f t="shared" si="54"/>
        <v>0.15233814235162457</v>
      </c>
      <c r="K82" s="127">
        <f t="shared" si="54"/>
        <v>8.3296844816486137E-2</v>
      </c>
      <c r="L82" s="127">
        <f t="shared" si="54"/>
        <v>2.4535019076697528E-2</v>
      </c>
      <c r="M82" s="127">
        <f t="shared" si="54"/>
        <v>0.11340757913382227</v>
      </c>
      <c r="N82" s="127">
        <f t="shared" si="54"/>
        <v>0.10871066948543229</v>
      </c>
      <c r="O82" s="127">
        <f t="shared" si="54"/>
        <v>-3.7424817157551526E-2</v>
      </c>
      <c r="P82" s="127">
        <f t="shared" si="54"/>
        <v>-0.10203146199259328</v>
      </c>
      <c r="Q82" s="127">
        <f>((Q68/P68)-1)</f>
        <v>5.0340690563512869E-2</v>
      </c>
      <c r="R82" s="127">
        <f>((R68/Q68)-1)</f>
        <v>0.10405595290657099</v>
      </c>
    </row>
    <row r="83" spans="1:18">
      <c r="A83" s="1101" t="s">
        <v>862</v>
      </c>
      <c r="C83" s="1117" t="s">
        <v>520</v>
      </c>
      <c r="D83" s="127">
        <f>D37-D38</f>
        <v>4.0893533292688515E-2</v>
      </c>
      <c r="E83" s="127">
        <f t="shared" ref="E83:J83" si="55">E37-E38</f>
        <v>3.0178802528268822E-2</v>
      </c>
      <c r="F83" s="127">
        <f t="shared" si="55"/>
        <v>-3.4751471777732204E-2</v>
      </c>
      <c r="G83" s="127">
        <f t="shared" si="55"/>
        <v>-1.3475007059032568E-2</v>
      </c>
      <c r="H83" s="127">
        <f t="shared" si="55"/>
        <v>-5.361878849867531E-3</v>
      </c>
      <c r="I83" s="127">
        <f t="shared" si="55"/>
        <v>2.3616144036342573E-2</v>
      </c>
      <c r="J83" s="127">
        <f t="shared" si="55"/>
        <v>-1.7096172916323649E-2</v>
      </c>
      <c r="K83" s="127">
        <f t="shared" ref="K83:R83" si="56">K37-K38</f>
        <v>-5.0867037990551311E-2</v>
      </c>
      <c r="L83" s="127">
        <f t="shared" si="56"/>
        <v>1.0076438149007733E-2</v>
      </c>
      <c r="M83" s="127">
        <f t="shared" si="56"/>
        <v>2.3198335203868527E-2</v>
      </c>
      <c r="N83" s="127">
        <f t="shared" si="56"/>
        <v>1.1089779519227114E-2</v>
      </c>
      <c r="O83" s="127">
        <f t="shared" si="56"/>
        <v>1.4342539979112671E-2</v>
      </c>
      <c r="P83" s="127">
        <f t="shared" si="56"/>
        <v>3.4625524349891829E-2</v>
      </c>
      <c r="Q83" s="127">
        <f t="shared" si="56"/>
        <v>1.8921853652733044E-2</v>
      </c>
      <c r="R83" s="127">
        <f t="shared" si="56"/>
        <v>1.5538533680519211E-2</v>
      </c>
    </row>
    <row r="84" spans="1:18">
      <c r="A84" s="1101" t="s">
        <v>863</v>
      </c>
      <c r="C84" s="1117" t="s">
        <v>520</v>
      </c>
      <c r="D84" s="127">
        <f>D83</f>
        <v>4.0893533292688515E-2</v>
      </c>
      <c r="E84" s="127">
        <f t="shared" ref="E84:L84" si="57">E83</f>
        <v>3.0178802528268822E-2</v>
      </c>
      <c r="F84" s="127">
        <f t="shared" si="57"/>
        <v>-3.4751471777732204E-2</v>
      </c>
      <c r="G84" s="127">
        <f t="shared" si="57"/>
        <v>-1.3475007059032568E-2</v>
      </c>
      <c r="H84" s="127">
        <f t="shared" si="57"/>
        <v>-5.361878849867531E-3</v>
      </c>
      <c r="I84" s="127">
        <f t="shared" si="57"/>
        <v>2.3616144036342573E-2</v>
      </c>
      <c r="J84" s="127">
        <f t="shared" si="57"/>
        <v>-1.7096172916323649E-2</v>
      </c>
      <c r="K84" s="127">
        <f t="shared" si="57"/>
        <v>-5.0867037990551311E-2</v>
      </c>
      <c r="L84" s="127">
        <f t="shared" si="57"/>
        <v>1.0076438149007733E-2</v>
      </c>
      <c r="M84" s="127">
        <f>M83</f>
        <v>2.3198335203868527E-2</v>
      </c>
      <c r="N84" s="127">
        <f>N83</f>
        <v>1.1089779519227114E-2</v>
      </c>
      <c r="O84" s="127">
        <f>O83</f>
        <v>1.4342539979112671E-2</v>
      </c>
      <c r="P84" s="127">
        <f>P83</f>
        <v>3.4625524349891829E-2</v>
      </c>
      <c r="Q84" s="1116">
        <f>+Q83+0.0075</f>
        <v>2.6421853652733043E-2</v>
      </c>
      <c r="R84" s="1116">
        <f>+R83+0.0075</f>
        <v>2.303853368051921E-2</v>
      </c>
    </row>
    <row r="85" spans="1:18">
      <c r="A85" s="1113"/>
      <c r="B85" s="1113"/>
      <c r="C85" s="1113"/>
      <c r="D85" s="1113"/>
      <c r="E85" s="1113"/>
      <c r="F85" s="1113"/>
      <c r="G85" s="1113"/>
      <c r="H85" s="1113"/>
      <c r="I85" s="1113"/>
      <c r="J85" s="1113"/>
      <c r="K85" s="1113"/>
      <c r="L85" s="1113"/>
      <c r="M85" s="1113"/>
      <c r="N85" s="1113"/>
      <c r="O85" s="1113"/>
      <c r="P85" s="1113"/>
      <c r="Q85" s="1113"/>
      <c r="R85" s="1113"/>
    </row>
    <row r="86" spans="1:18">
      <c r="A86" s="1100" t="s">
        <v>864</v>
      </c>
      <c r="C86" s="70" t="s">
        <v>949</v>
      </c>
      <c r="D86" s="70" t="s">
        <v>982</v>
      </c>
      <c r="E86" s="70" t="s">
        <v>753</v>
      </c>
      <c r="F86" s="70" t="s">
        <v>144</v>
      </c>
      <c r="G86" s="70" t="s">
        <v>143</v>
      </c>
      <c r="H86" s="70" t="s">
        <v>991</v>
      </c>
      <c r="I86" s="70" t="s">
        <v>112</v>
      </c>
      <c r="J86" s="70" t="s">
        <v>432</v>
      </c>
      <c r="K86" s="70" t="s">
        <v>201</v>
      </c>
      <c r="L86" s="70" t="s">
        <v>853</v>
      </c>
      <c r="M86" s="70" t="s">
        <v>335</v>
      </c>
      <c r="N86" s="70" t="s">
        <v>1266</v>
      </c>
      <c r="O86" s="70" t="s">
        <v>1308</v>
      </c>
      <c r="P86" s="70" t="s">
        <v>315</v>
      </c>
      <c r="Q86" s="70" t="str">
        <f>Q3</f>
        <v>2018E</v>
      </c>
      <c r="R86" s="70" t="str">
        <f>R3</f>
        <v>2019E</v>
      </c>
    </row>
    <row r="87" spans="1:18">
      <c r="A87" s="27" t="s">
        <v>1206</v>
      </c>
      <c r="C87" s="133" t="s">
        <v>601</v>
      </c>
      <c r="D87" s="133" t="s">
        <v>601</v>
      </c>
      <c r="E87" s="133" t="s">
        <v>601</v>
      </c>
      <c r="F87" s="133" t="s">
        <v>601</v>
      </c>
      <c r="G87" s="133" t="s">
        <v>601</v>
      </c>
      <c r="H87" s="133" t="s">
        <v>601</v>
      </c>
      <c r="I87" s="133" t="s">
        <v>601</v>
      </c>
      <c r="J87" s="133" t="s">
        <v>601</v>
      </c>
      <c r="K87" s="133" t="s">
        <v>601</v>
      </c>
      <c r="L87" s="133" t="s">
        <v>601</v>
      </c>
      <c r="M87" s="133" t="s">
        <v>601</v>
      </c>
      <c r="N87" s="133" t="s">
        <v>601</v>
      </c>
      <c r="O87" s="133" t="s">
        <v>601</v>
      </c>
      <c r="P87" s="133" t="s">
        <v>828</v>
      </c>
      <c r="Q87" s="133" t="s">
        <v>601</v>
      </c>
      <c r="R87" s="133" t="s">
        <v>601</v>
      </c>
    </row>
    <row r="88" spans="1:18">
      <c r="A88" s="1101"/>
      <c r="P88" s="2845"/>
    </row>
    <row r="89" spans="1:18">
      <c r="A89" s="1101" t="s">
        <v>177</v>
      </c>
      <c r="C89" s="1114">
        <f>C6</f>
        <v>9408.3119999999999</v>
      </c>
      <c r="D89" s="1114">
        <f t="shared" ref="D89:J89" si="58">D6</f>
        <v>9698.9680000000008</v>
      </c>
      <c r="E89" s="1114">
        <f t="shared" si="58"/>
        <v>10670.598999999998</v>
      </c>
      <c r="F89" s="1114">
        <f t="shared" si="58"/>
        <v>10086.368</v>
      </c>
      <c r="G89" s="1114">
        <f t="shared" si="58"/>
        <v>9042.6810000000005</v>
      </c>
      <c r="H89" s="1114">
        <f t="shared" si="58"/>
        <v>8632.4880000000012</v>
      </c>
      <c r="I89" s="1114">
        <f t="shared" si="58"/>
        <v>9613.2780000000002</v>
      </c>
      <c r="J89" s="1114">
        <f t="shared" si="58"/>
        <v>10363.998</v>
      </c>
      <c r="K89" s="1114">
        <f t="shared" ref="K89:P89" si="59">K6</f>
        <v>10458.652000000002</v>
      </c>
      <c r="L89" s="1114">
        <f t="shared" si="59"/>
        <v>10773.210999999998</v>
      </c>
      <c r="M89" s="1114">
        <f t="shared" si="59"/>
        <v>11454.060000000001</v>
      </c>
      <c r="N89" s="1114">
        <f t="shared" si="59"/>
        <v>12153.786</v>
      </c>
      <c r="O89" s="1114">
        <f t="shared" si="59"/>
        <v>12574.142000000002</v>
      </c>
      <c r="P89" s="1114">
        <f t="shared" si="59"/>
        <v>12632.304</v>
      </c>
      <c r="Q89" s="1114">
        <f>(P89*(1+Q119))</f>
        <v>12691.408917945406</v>
      </c>
      <c r="R89" s="1114">
        <f>(Q89*(1+R119))</f>
        <v>12698.243669100963</v>
      </c>
    </row>
    <row r="90" spans="1:18" outlineLevel="1">
      <c r="A90" s="1101"/>
      <c r="C90" s="164"/>
      <c r="D90" s="164"/>
      <c r="E90" s="164"/>
      <c r="F90" s="164"/>
      <c r="G90" s="164"/>
      <c r="H90" s="164"/>
      <c r="I90" s="164"/>
      <c r="J90" s="164"/>
      <c r="K90" s="164"/>
      <c r="L90" s="164"/>
      <c r="M90" s="164"/>
      <c r="N90" s="164"/>
      <c r="O90" s="164"/>
      <c r="P90" s="164"/>
    </row>
    <row r="91" spans="1:18" outlineLevel="1">
      <c r="A91" s="1101" t="s">
        <v>1207</v>
      </c>
      <c r="C91" s="1114">
        <f>C8</f>
        <v>6014.2380000000003</v>
      </c>
      <c r="D91" s="1114">
        <f t="shared" ref="D91:J91" si="60">D8</f>
        <v>6219.2360000000008</v>
      </c>
      <c r="E91" s="1114">
        <f t="shared" si="60"/>
        <v>6657.0870000000004</v>
      </c>
      <c r="F91" s="1114">
        <f t="shared" si="60"/>
        <v>6622.8650000000007</v>
      </c>
      <c r="G91" s="1114">
        <f t="shared" si="60"/>
        <v>6036.2830000000004</v>
      </c>
      <c r="H91" s="1114">
        <f t="shared" si="60"/>
        <v>5604.3980000000001</v>
      </c>
      <c r="I91" s="1114">
        <f t="shared" si="60"/>
        <v>5982.4889999999996</v>
      </c>
      <c r="J91" s="1114">
        <f t="shared" si="60"/>
        <v>6290.2530000000006</v>
      </c>
      <c r="K91" s="1114">
        <f t="shared" ref="K91:P91" si="61">K8</f>
        <v>6032.6849999999995</v>
      </c>
      <c r="L91" s="1114">
        <f t="shared" si="61"/>
        <v>6344.1480000000001</v>
      </c>
      <c r="M91" s="1114">
        <f t="shared" si="61"/>
        <v>6646.4269999999997</v>
      </c>
      <c r="N91" s="1114">
        <f t="shared" si="61"/>
        <v>6950.2980000000007</v>
      </c>
      <c r="O91" s="1114">
        <f t="shared" si="61"/>
        <v>7437.7510000000002</v>
      </c>
      <c r="P91" s="1114">
        <f t="shared" si="61"/>
        <v>7673.0079999999998</v>
      </c>
      <c r="Q91" s="1114">
        <f>Q89-Q93</f>
        <v>7780.9054076445263</v>
      </c>
      <c r="R91" s="1114">
        <f>R89-R93</f>
        <v>7814.2750846166355</v>
      </c>
    </row>
    <row r="92" spans="1:18" outlineLevel="1">
      <c r="A92" s="1101"/>
      <c r="C92" s="164"/>
      <c r="D92" s="164"/>
      <c r="E92" s="164"/>
      <c r="F92" s="164"/>
      <c r="G92" s="164"/>
      <c r="H92" s="164"/>
      <c r="I92" s="164"/>
      <c r="J92" s="164"/>
      <c r="K92" s="164"/>
      <c r="L92" s="164"/>
      <c r="M92" s="164"/>
      <c r="N92" s="164"/>
      <c r="O92" s="164"/>
      <c r="P92" s="164"/>
    </row>
    <row r="93" spans="1:18">
      <c r="A93" s="1101" t="s">
        <v>46</v>
      </c>
      <c r="C93" s="1114">
        <f>C89-C91</f>
        <v>3394.0739999999996</v>
      </c>
      <c r="D93" s="1114">
        <f t="shared" ref="D93:J93" si="62">D89-D91</f>
        <v>3479.732</v>
      </c>
      <c r="E93" s="1114">
        <f t="shared" si="62"/>
        <v>4013.5119999999979</v>
      </c>
      <c r="F93" s="1114">
        <f t="shared" si="62"/>
        <v>3463.5029999999997</v>
      </c>
      <c r="G93" s="1114">
        <f t="shared" si="62"/>
        <v>3006.3980000000001</v>
      </c>
      <c r="H93" s="1114">
        <f t="shared" si="62"/>
        <v>3028.0900000000011</v>
      </c>
      <c r="I93" s="1114">
        <f t="shared" si="62"/>
        <v>3630.7890000000007</v>
      </c>
      <c r="J93" s="1114">
        <f t="shared" si="62"/>
        <v>4073.744999999999</v>
      </c>
      <c r="K93" s="1114">
        <f t="shared" ref="K93:P93" si="63">K89-K91</f>
        <v>4425.9670000000024</v>
      </c>
      <c r="L93" s="1114">
        <f t="shared" si="63"/>
        <v>4429.0629999999974</v>
      </c>
      <c r="M93" s="1114">
        <f t="shared" si="63"/>
        <v>4807.6330000000016</v>
      </c>
      <c r="N93" s="1114">
        <f t="shared" si="63"/>
        <v>5203.4879999999994</v>
      </c>
      <c r="O93" s="1114">
        <f t="shared" si="63"/>
        <v>5136.3910000000014</v>
      </c>
      <c r="P93" s="1114">
        <f t="shared" si="63"/>
        <v>4959.2960000000003</v>
      </c>
      <c r="Q93" s="1114">
        <f>Q89*Q113</f>
        <v>4910.5035103008795</v>
      </c>
      <c r="R93" s="1114">
        <f>R89*R113</f>
        <v>4883.968584484327</v>
      </c>
    </row>
    <row r="94" spans="1:18">
      <c r="A94" s="1101" t="s">
        <v>1208</v>
      </c>
      <c r="C94" s="164">
        <f>C12</f>
        <v>2367.2659999999996</v>
      </c>
      <c r="D94" s="164">
        <f t="shared" ref="D94:J95" si="64">D12</f>
        <v>2493.951</v>
      </c>
      <c r="E94" s="164">
        <f t="shared" si="64"/>
        <v>2837.4269999999997</v>
      </c>
      <c r="F94" s="164">
        <f t="shared" si="64"/>
        <v>2602.4579999999996</v>
      </c>
      <c r="G94" s="164">
        <f t="shared" si="64"/>
        <v>2288.9290000000001</v>
      </c>
      <c r="H94" s="164">
        <f t="shared" si="64"/>
        <v>2169.806</v>
      </c>
      <c r="I94" s="164">
        <f t="shared" si="64"/>
        <v>2346.7559999999999</v>
      </c>
      <c r="J94" s="164">
        <f t="shared" si="64"/>
        <v>2527.3199999999997</v>
      </c>
      <c r="K94" s="164">
        <f t="shared" ref="K94:M95" si="65">K12</f>
        <v>2718.6409999999996</v>
      </c>
      <c r="L94" s="164">
        <f t="shared" si="65"/>
        <v>2685.576</v>
      </c>
      <c r="M94" s="164">
        <f t="shared" si="65"/>
        <v>2854.5309999999999</v>
      </c>
      <c r="N94" s="164">
        <f t="shared" ref="N94:P95" si="66">N12</f>
        <v>3011.9810000000002</v>
      </c>
      <c r="O94" s="164">
        <f t="shared" si="66"/>
        <v>3098.989</v>
      </c>
      <c r="P94" s="164">
        <f t="shared" si="66"/>
        <v>3231.0349999999999</v>
      </c>
      <c r="Q94" s="164">
        <f>Q89*Q114</f>
        <v>3459.8015358275534</v>
      </c>
      <c r="R94" s="164">
        <f>R89*R114</f>
        <v>3530.1117400100679</v>
      </c>
    </row>
    <row r="95" spans="1:18" outlineLevel="1">
      <c r="A95" s="1101" t="s">
        <v>855</v>
      </c>
      <c r="C95" s="164">
        <f>C13</f>
        <v>333.47300000000001</v>
      </c>
      <c r="D95" s="164">
        <f t="shared" si="64"/>
        <v>298.76799999999997</v>
      </c>
      <c r="E95" s="164">
        <f t="shared" si="64"/>
        <v>315.76499999999999</v>
      </c>
      <c r="F95" s="164">
        <f t="shared" si="64"/>
        <v>352.04100000000005</v>
      </c>
      <c r="G95" s="164">
        <f t="shared" si="64"/>
        <v>342.83600000000001</v>
      </c>
      <c r="H95" s="164">
        <f t="shared" si="64"/>
        <v>356.983</v>
      </c>
      <c r="I95" s="164">
        <f t="shared" si="64"/>
        <v>366.89299999999997</v>
      </c>
      <c r="J95" s="164">
        <f t="shared" si="64"/>
        <v>356</v>
      </c>
      <c r="K95" s="164">
        <f t="shared" si="65"/>
        <v>353.565</v>
      </c>
      <c r="L95" s="164">
        <f t="shared" si="65"/>
        <v>367.96799999999996</v>
      </c>
      <c r="M95" s="164">
        <f t="shared" si="65"/>
        <v>397.80799999999999</v>
      </c>
      <c r="N95" s="164">
        <f t="shared" si="66"/>
        <v>414.97200000000004</v>
      </c>
      <c r="O95" s="164">
        <f t="shared" si="66"/>
        <v>471.53</v>
      </c>
      <c r="P95" s="164">
        <f t="shared" si="66"/>
        <v>524.68100000000004</v>
      </c>
      <c r="Q95" s="164">
        <f>Q13</f>
        <v>560</v>
      </c>
      <c r="R95" s="164">
        <f>R13</f>
        <v>616</v>
      </c>
    </row>
    <row r="96" spans="1:18">
      <c r="A96" s="1115" t="s">
        <v>651</v>
      </c>
      <c r="C96" s="1114">
        <f>C93-C94</f>
        <v>1026.808</v>
      </c>
      <c r="D96" s="1114">
        <f t="shared" ref="D96:K96" si="67">D93-D94</f>
        <v>985.78099999999995</v>
      </c>
      <c r="E96" s="1114">
        <f t="shared" si="67"/>
        <v>1176.0849999999982</v>
      </c>
      <c r="F96" s="1114">
        <f t="shared" si="67"/>
        <v>861.04500000000007</v>
      </c>
      <c r="G96" s="1114">
        <f t="shared" si="67"/>
        <v>717.46900000000005</v>
      </c>
      <c r="H96" s="1114">
        <f t="shared" si="67"/>
        <v>858.28400000000101</v>
      </c>
      <c r="I96" s="1114">
        <f t="shared" si="67"/>
        <v>1284.0330000000008</v>
      </c>
      <c r="J96" s="1114">
        <f t="shared" si="67"/>
        <v>1546.4249999999993</v>
      </c>
      <c r="K96" s="1114">
        <f t="shared" si="67"/>
        <v>1707.3260000000028</v>
      </c>
      <c r="L96" s="1114">
        <f t="shared" ref="L96:R96" si="68">L93-L94</f>
        <v>1743.4869999999974</v>
      </c>
      <c r="M96" s="1114">
        <f t="shared" si="68"/>
        <v>1953.1020000000017</v>
      </c>
      <c r="N96" s="1114">
        <f t="shared" si="68"/>
        <v>2191.5069999999992</v>
      </c>
      <c r="O96" s="1114">
        <f t="shared" si="68"/>
        <v>2037.4020000000014</v>
      </c>
      <c r="P96" s="1114">
        <f t="shared" si="68"/>
        <v>1728.2610000000004</v>
      </c>
      <c r="Q96" s="1114">
        <f t="shared" si="68"/>
        <v>1450.7019744733261</v>
      </c>
      <c r="R96" s="1114">
        <f t="shared" si="68"/>
        <v>1353.8568444742591</v>
      </c>
    </row>
    <row r="97" spans="1:22" outlineLevel="1">
      <c r="A97" s="1101"/>
      <c r="C97" s="164"/>
      <c r="D97" s="164"/>
      <c r="E97" s="164"/>
      <c r="F97" s="164"/>
      <c r="G97" s="164"/>
      <c r="H97" s="164"/>
      <c r="I97" s="164"/>
      <c r="J97" s="164"/>
      <c r="K97" s="164"/>
      <c r="L97" s="164"/>
      <c r="M97" s="164"/>
      <c r="N97" s="164"/>
      <c r="O97" s="164"/>
      <c r="P97" s="164"/>
    </row>
    <row r="98" spans="1:22" outlineLevel="1">
      <c r="A98" s="1101" t="s">
        <v>856</v>
      </c>
      <c r="C98" s="164">
        <f>C16</f>
        <v>-58.265999999999998</v>
      </c>
      <c r="D98" s="164">
        <f t="shared" ref="D98:J99" si="69">D16</f>
        <v>-94.365000000000009</v>
      </c>
      <c r="E98" s="164">
        <f t="shared" si="69"/>
        <v>-101.83500000000001</v>
      </c>
      <c r="F98" s="164">
        <f t="shared" si="69"/>
        <v>-149.49600000000001</v>
      </c>
      <c r="G98" s="164">
        <f t="shared" si="69"/>
        <v>-180.78899999999999</v>
      </c>
      <c r="H98" s="164">
        <f t="shared" si="69"/>
        <v>-237.143</v>
      </c>
      <c r="I98" s="164">
        <f t="shared" si="69"/>
        <v>-207.84100000000001</v>
      </c>
      <c r="J98" s="164">
        <f t="shared" si="69"/>
        <v>-245.93600000000001</v>
      </c>
      <c r="K98" s="164">
        <f t="shared" ref="K98:M99" si="70">K16</f>
        <v>-316.72699999999998</v>
      </c>
      <c r="L98" s="164">
        <f t="shared" si="70"/>
        <v>-314.40199999999999</v>
      </c>
      <c r="M98" s="164">
        <f t="shared" si="70"/>
        <v>-324.04200000000003</v>
      </c>
      <c r="N98" s="164">
        <f t="shared" ref="N98:R99" si="71">N16</f>
        <v>-333.738</v>
      </c>
      <c r="O98" s="164">
        <f t="shared" si="71"/>
        <v>-393.66300000000001</v>
      </c>
      <c r="P98" s="164">
        <f t="shared" si="71"/>
        <v>-405.98899999999998</v>
      </c>
      <c r="Q98" s="164">
        <f t="shared" si="71"/>
        <v>-371</v>
      </c>
      <c r="R98" s="164">
        <f t="shared" si="71"/>
        <v>-368</v>
      </c>
    </row>
    <row r="99" spans="1:22" outlineLevel="1">
      <c r="A99" s="1101" t="s">
        <v>809</v>
      </c>
      <c r="C99" s="164">
        <f>C17</f>
        <v>39.730000000000004</v>
      </c>
      <c r="D99" s="164">
        <f t="shared" si="69"/>
        <v>66.004000000000005</v>
      </c>
      <c r="E99" s="164">
        <f t="shared" si="69"/>
        <v>22.798999999999999</v>
      </c>
      <c r="F99" s="164">
        <f t="shared" si="69"/>
        <v>45.312000000000012</v>
      </c>
      <c r="G99" s="164">
        <f t="shared" si="69"/>
        <v>32.016000000000005</v>
      </c>
      <c r="H99" s="164">
        <f t="shared" si="69"/>
        <v>19.616999999999997</v>
      </c>
      <c r="I99" s="164">
        <f t="shared" si="69"/>
        <v>26.873000000000001</v>
      </c>
      <c r="J99" s="164">
        <f t="shared" si="69"/>
        <v>1.339999999999997</v>
      </c>
      <c r="K99" s="164">
        <f t="shared" si="70"/>
        <v>11.203000000000003</v>
      </c>
      <c r="L99" s="164">
        <f t="shared" si="70"/>
        <v>16.794</v>
      </c>
      <c r="M99" s="164">
        <f t="shared" si="70"/>
        <v>6.653999999999999</v>
      </c>
      <c r="N99" s="164">
        <f t="shared" si="71"/>
        <v>-1.4499999999999997</v>
      </c>
      <c r="O99" s="164">
        <f t="shared" si="71"/>
        <v>14.282999999999992</v>
      </c>
      <c r="P99" s="164">
        <f t="shared" si="71"/>
        <v>34.957999999999998</v>
      </c>
      <c r="Q99" s="164">
        <f t="shared" si="71"/>
        <v>0</v>
      </c>
      <c r="R99" s="164">
        <f t="shared" si="71"/>
        <v>0</v>
      </c>
    </row>
    <row r="100" spans="1:22" outlineLevel="1">
      <c r="A100" s="1115" t="s">
        <v>857</v>
      </c>
      <c r="C100" s="1114">
        <f>C96+C98+C99</f>
        <v>1008.272</v>
      </c>
      <c r="D100" s="1114">
        <f t="shared" ref="D100:Q100" si="72">D96+D98+D99</f>
        <v>957.42</v>
      </c>
      <c r="E100" s="1114">
        <f t="shared" si="72"/>
        <v>1097.0489999999982</v>
      </c>
      <c r="F100" s="1114">
        <f t="shared" si="72"/>
        <v>756.8610000000001</v>
      </c>
      <c r="G100" s="1114">
        <f t="shared" si="72"/>
        <v>568.69600000000003</v>
      </c>
      <c r="H100" s="1114">
        <f t="shared" si="72"/>
        <v>640.75800000000095</v>
      </c>
      <c r="I100" s="1114">
        <f t="shared" si="72"/>
        <v>1103.065000000001</v>
      </c>
      <c r="J100" s="1114">
        <f t="shared" si="72"/>
        <v>1301.8289999999993</v>
      </c>
      <c r="K100" s="1114">
        <f t="shared" si="72"/>
        <v>1401.8020000000029</v>
      </c>
      <c r="L100" s="1114">
        <f t="shared" si="72"/>
        <v>1445.8789999999974</v>
      </c>
      <c r="M100" s="1114">
        <f>M96+M98+M99</f>
        <v>1635.7140000000018</v>
      </c>
      <c r="N100" s="1114">
        <f>N96+N98+N99</f>
        <v>1856.3189999999991</v>
      </c>
      <c r="O100" s="1114">
        <f>O96+O98+O99</f>
        <v>1658.0220000000013</v>
      </c>
      <c r="P100" s="1114">
        <f>P96+P98+P99</f>
        <v>1357.2300000000005</v>
      </c>
      <c r="Q100" s="1114">
        <f t="shared" si="72"/>
        <v>1079.7019744733261</v>
      </c>
      <c r="R100" s="1114">
        <f>R96+R98+R99</f>
        <v>985.85684447425911</v>
      </c>
    </row>
    <row r="101" spans="1:22" outlineLevel="1">
      <c r="A101" s="1101"/>
      <c r="C101" s="164"/>
      <c r="D101" s="164"/>
      <c r="E101" s="164"/>
      <c r="F101" s="164"/>
      <c r="G101" s="164"/>
      <c r="H101" s="164"/>
      <c r="I101" s="164"/>
      <c r="J101" s="164"/>
      <c r="K101" s="164"/>
      <c r="L101" s="164"/>
      <c r="M101" s="164"/>
      <c r="N101" s="164"/>
      <c r="O101" s="164"/>
      <c r="P101" s="164"/>
    </row>
    <row r="102" spans="1:22">
      <c r="A102" s="1101" t="s">
        <v>1211</v>
      </c>
      <c r="C102" s="164">
        <f>C20</f>
        <v>371</v>
      </c>
      <c r="D102" s="164">
        <f t="shared" ref="D102:J102" si="73">D20</f>
        <v>291</v>
      </c>
      <c r="E102" s="164">
        <f t="shared" si="73"/>
        <v>422</v>
      </c>
      <c r="F102" s="164">
        <f t="shared" si="73"/>
        <v>294.89999999999998</v>
      </c>
      <c r="G102" s="164">
        <f t="shared" si="73"/>
        <v>215.41200000000001</v>
      </c>
      <c r="H102" s="164">
        <f t="shared" si="73"/>
        <v>238.99200000000002</v>
      </c>
      <c r="I102" s="164">
        <f t="shared" si="73"/>
        <v>418.58500000000004</v>
      </c>
      <c r="J102" s="164">
        <f t="shared" si="73"/>
        <v>484.48500000000001</v>
      </c>
      <c r="K102" s="164">
        <f t="shared" ref="K102:P102" si="74">K20</f>
        <v>535.18730000000005</v>
      </c>
      <c r="L102" s="164">
        <f t="shared" si="74"/>
        <v>542.851</v>
      </c>
      <c r="M102" s="164">
        <f t="shared" si="74"/>
        <v>593.67099999999994</v>
      </c>
      <c r="N102" s="164">
        <f t="shared" si="74"/>
        <v>672.31</v>
      </c>
      <c r="O102" s="164">
        <f t="shared" si="74"/>
        <v>567.92700000000002</v>
      </c>
      <c r="P102" s="164">
        <f t="shared" si="74"/>
        <v>437.88</v>
      </c>
      <c r="Q102" s="164">
        <f>Q100*Q116</f>
        <v>291.51953310779834</v>
      </c>
      <c r="R102" s="164">
        <f>R100*R116</f>
        <v>266.18134800805012</v>
      </c>
      <c r="S102" s="24"/>
      <c r="T102" s="24"/>
      <c r="U102" s="24"/>
      <c r="V102" s="24"/>
    </row>
    <row r="103" spans="1:22" outlineLevel="1">
      <c r="A103" s="1101"/>
      <c r="C103" s="164"/>
      <c r="D103" s="164"/>
      <c r="E103" s="164"/>
      <c r="F103" s="164"/>
      <c r="G103" s="164"/>
      <c r="H103" s="164"/>
      <c r="I103" s="164"/>
      <c r="J103" s="164"/>
      <c r="K103" s="164"/>
      <c r="L103" s="164"/>
      <c r="M103" s="164"/>
      <c r="N103" s="164"/>
      <c r="O103" s="164"/>
      <c r="P103" s="164"/>
      <c r="S103" s="24"/>
      <c r="T103" s="24"/>
      <c r="U103" s="24"/>
    </row>
    <row r="104" spans="1:22" outlineLevel="1">
      <c r="A104" s="1101"/>
      <c r="C104" s="164"/>
      <c r="D104" s="164"/>
      <c r="E104" s="164"/>
      <c r="F104" s="164"/>
      <c r="G104" s="164"/>
      <c r="H104" s="164"/>
      <c r="I104" s="164"/>
      <c r="J104" s="164"/>
      <c r="K104" s="164"/>
      <c r="L104" s="164"/>
      <c r="M104" s="164"/>
      <c r="N104" s="164"/>
      <c r="O104" s="164"/>
      <c r="P104" s="164"/>
      <c r="S104" s="24"/>
      <c r="T104" s="24"/>
      <c r="U104" s="24"/>
    </row>
    <row r="105" spans="1:22" outlineLevel="1">
      <c r="A105" s="1101" t="s">
        <v>858</v>
      </c>
      <c r="C105" s="1114">
        <f>C100-C102</f>
        <v>637.27200000000005</v>
      </c>
      <c r="D105" s="1114">
        <f t="shared" ref="D105:J105" si="75">D100-D102</f>
        <v>666.42</v>
      </c>
      <c r="E105" s="1114">
        <f t="shared" si="75"/>
        <v>675.04899999999816</v>
      </c>
      <c r="F105" s="1114">
        <f t="shared" si="75"/>
        <v>461.96100000000013</v>
      </c>
      <c r="G105" s="1114">
        <f t="shared" si="75"/>
        <v>353.28399999999999</v>
      </c>
      <c r="H105" s="1114">
        <f t="shared" si="75"/>
        <v>401.76600000000093</v>
      </c>
      <c r="I105" s="1114">
        <f t="shared" si="75"/>
        <v>684.48000000000093</v>
      </c>
      <c r="J105" s="1114">
        <f t="shared" si="75"/>
        <v>817.34399999999926</v>
      </c>
      <c r="K105" s="1114">
        <f t="shared" ref="K105:R105" si="76">K100-K102</f>
        <v>866.61470000000281</v>
      </c>
      <c r="L105" s="1114">
        <f t="shared" si="76"/>
        <v>903.02799999999741</v>
      </c>
      <c r="M105" s="1114">
        <f t="shared" si="76"/>
        <v>1042.0430000000019</v>
      </c>
      <c r="N105" s="1114">
        <f t="shared" si="76"/>
        <v>1184.0089999999991</v>
      </c>
      <c r="O105" s="1114">
        <f t="shared" si="76"/>
        <v>1090.0950000000012</v>
      </c>
      <c r="P105" s="1114">
        <f t="shared" si="76"/>
        <v>919.35000000000048</v>
      </c>
      <c r="Q105" s="1114">
        <f t="shared" si="76"/>
        <v>788.18244136552778</v>
      </c>
      <c r="R105" s="1114">
        <f t="shared" si="76"/>
        <v>719.67549646620898</v>
      </c>
      <c r="S105" s="24"/>
      <c r="T105" s="24"/>
      <c r="U105" s="24"/>
    </row>
    <row r="106" spans="1:22" outlineLevel="1">
      <c r="A106" s="1101"/>
      <c r="P106" s="2845"/>
      <c r="S106" s="24"/>
      <c r="T106" s="24"/>
      <c r="U106" s="24"/>
    </row>
    <row r="107" spans="1:22">
      <c r="A107" s="1107" t="s">
        <v>859</v>
      </c>
      <c r="B107" s="1107"/>
      <c r="C107" s="1108">
        <f t="shared" ref="C107:J107" si="77">C105/C108</f>
        <v>1.331475217343159</v>
      </c>
      <c r="D107" s="1108">
        <f t="shared" si="77"/>
        <v>1.6217123834368368</v>
      </c>
      <c r="E107" s="1108">
        <f t="shared" si="77"/>
        <v>1.6771445394895343</v>
      </c>
      <c r="F107" s="1108">
        <f t="shared" si="77"/>
        <v>1.2149514767377643</v>
      </c>
      <c r="G107" s="1108">
        <f t="shared" si="77"/>
        <v>1.0473849766232535</v>
      </c>
      <c r="H107" s="1108">
        <f t="shared" si="77"/>
        <v>1.2295258060073782</v>
      </c>
      <c r="I107" s="1108">
        <f t="shared" si="77"/>
        <v>2.0562735449449367</v>
      </c>
      <c r="J107" s="1108">
        <f t="shared" si="77"/>
        <v>2.6005131067809009</v>
      </c>
      <c r="K107" s="1108">
        <f t="shared" ref="K107:R107" si="78">K105/K108</f>
        <v>2.9201658529024352</v>
      </c>
      <c r="L107" s="1108">
        <f t="shared" si="78"/>
        <v>3.0502035094830262</v>
      </c>
      <c r="M107" s="1108">
        <f t="shared" si="78"/>
        <v>3.4972580212109077</v>
      </c>
      <c r="N107" s="1108">
        <f t="shared" si="78"/>
        <v>3.9894065887042331</v>
      </c>
      <c r="O107" s="1108">
        <f t="shared" si="78"/>
        <v>3.7451943723910506</v>
      </c>
      <c r="P107" s="1108">
        <f t="shared" si="78"/>
        <v>3.2021943573667726</v>
      </c>
      <c r="Q107" s="1108">
        <f t="shared" si="78"/>
        <v>2.7924975779115244</v>
      </c>
      <c r="R107" s="1108">
        <f t="shared" si="78"/>
        <v>2.5626427173870945</v>
      </c>
      <c r="S107" s="575">
        <f>M107*14</f>
        <v>48.961612296952708</v>
      </c>
      <c r="T107" s="1129"/>
      <c r="U107" s="165"/>
      <c r="V107" s="1130"/>
    </row>
    <row r="108" spans="1:22">
      <c r="A108" s="1101" t="s">
        <v>567</v>
      </c>
      <c r="C108" s="164">
        <f>C66</f>
        <v>478.62099999999998</v>
      </c>
      <c r="D108" s="164">
        <f t="shared" ref="D108:J108" si="79">D66</f>
        <v>410.93599999999998</v>
      </c>
      <c r="E108" s="164">
        <f t="shared" si="79"/>
        <v>402.49900000000002</v>
      </c>
      <c r="F108" s="164">
        <f t="shared" si="79"/>
        <v>380.23</v>
      </c>
      <c r="G108" s="164">
        <f t="shared" si="79"/>
        <v>337.30099999999999</v>
      </c>
      <c r="H108" s="164">
        <f t="shared" si="79"/>
        <v>326.76499999999999</v>
      </c>
      <c r="I108" s="164">
        <f t="shared" si="79"/>
        <v>332.87400000000002</v>
      </c>
      <c r="J108" s="164">
        <f t="shared" si="79"/>
        <v>314.30104999999998</v>
      </c>
      <c r="K108" s="164">
        <f t="shared" ref="K108:R108" si="80">K66</f>
        <v>296.76900000000001</v>
      </c>
      <c r="L108" s="164">
        <f t="shared" si="80"/>
        <v>296.05500000000001</v>
      </c>
      <c r="M108" s="164">
        <f t="shared" si="80"/>
        <v>297.95999999999998</v>
      </c>
      <c r="N108" s="164">
        <f t="shared" si="80"/>
        <v>296.78825000000001</v>
      </c>
      <c r="O108" s="164">
        <f t="shared" si="80"/>
        <v>291.065</v>
      </c>
      <c r="P108" s="164">
        <f t="shared" si="80"/>
        <v>287.10000000000002</v>
      </c>
      <c r="Q108" s="164">
        <f t="shared" si="80"/>
        <v>282.25</v>
      </c>
      <c r="R108" s="164">
        <f t="shared" si="80"/>
        <v>280.83333333333331</v>
      </c>
    </row>
    <row r="109" spans="1:22" ht="10.5" customHeight="1" outlineLevel="1">
      <c r="A109" s="1101"/>
      <c r="P109" s="2845"/>
    </row>
    <row r="110" spans="1:22" outlineLevel="1">
      <c r="A110" s="1101" t="s">
        <v>701</v>
      </c>
      <c r="C110" s="1114">
        <f>C95+C96</f>
        <v>1360.2809999999999</v>
      </c>
      <c r="D110" s="1114">
        <f t="shared" ref="D110:J110" si="81">D95+D96</f>
        <v>1284.549</v>
      </c>
      <c r="E110" s="1114">
        <f t="shared" si="81"/>
        <v>1491.8499999999981</v>
      </c>
      <c r="F110" s="1114">
        <f t="shared" si="81"/>
        <v>1213.0860000000002</v>
      </c>
      <c r="G110" s="1114">
        <f t="shared" si="81"/>
        <v>1060.3050000000001</v>
      </c>
      <c r="H110" s="1114">
        <f t="shared" si="81"/>
        <v>1215.267000000001</v>
      </c>
      <c r="I110" s="1114">
        <f t="shared" si="81"/>
        <v>1650.9260000000008</v>
      </c>
      <c r="J110" s="1114">
        <f t="shared" si="81"/>
        <v>1902.4249999999993</v>
      </c>
      <c r="K110" s="1114">
        <f t="shared" ref="K110:R110" si="82">K95+K96</f>
        <v>2060.8910000000028</v>
      </c>
      <c r="L110" s="1114">
        <f t="shared" si="82"/>
        <v>2111.4549999999972</v>
      </c>
      <c r="M110" s="1114">
        <f t="shared" si="82"/>
        <v>2350.9100000000017</v>
      </c>
      <c r="N110" s="1114">
        <f t="shared" si="82"/>
        <v>2606.4789999999994</v>
      </c>
      <c r="O110" s="1114">
        <f t="shared" si="82"/>
        <v>2508.9320000000016</v>
      </c>
      <c r="P110" s="1114">
        <f t="shared" si="82"/>
        <v>2252.9420000000005</v>
      </c>
      <c r="Q110" s="1114">
        <f t="shared" si="82"/>
        <v>2010.7019744733261</v>
      </c>
      <c r="R110" s="1114">
        <f t="shared" si="82"/>
        <v>1969.8568444742591</v>
      </c>
    </row>
    <row r="111" spans="1:22">
      <c r="A111" s="1101"/>
      <c r="P111" s="2845"/>
    </row>
    <row r="112" spans="1:22">
      <c r="A112" s="27" t="s">
        <v>1214</v>
      </c>
      <c r="P112" s="2845"/>
    </row>
    <row r="113" spans="1:22">
      <c r="A113" s="1101" t="s">
        <v>703</v>
      </c>
      <c r="C113" s="127">
        <f>C93/C89</f>
        <v>0.36075270462969339</v>
      </c>
      <c r="D113" s="127">
        <f t="shared" ref="D113:J113" si="83">D93/D89</f>
        <v>0.35877342826577008</v>
      </c>
      <c r="E113" s="127">
        <f t="shared" si="83"/>
        <v>0.37612808802954723</v>
      </c>
      <c r="F113" s="127">
        <f t="shared" si="83"/>
        <v>0.34338455626445513</v>
      </c>
      <c r="G113" s="127">
        <f t="shared" si="83"/>
        <v>0.33246755027629527</v>
      </c>
      <c r="H113" s="127">
        <f t="shared" si="83"/>
        <v>0.350778361927639</v>
      </c>
      <c r="I113" s="127">
        <f t="shared" si="83"/>
        <v>0.3776848022079462</v>
      </c>
      <c r="J113" s="127">
        <f t="shared" si="83"/>
        <v>0.3930669419272369</v>
      </c>
      <c r="K113" s="127">
        <f t="shared" ref="K113:P113" si="84">K93/K89</f>
        <v>0.42318713730985613</v>
      </c>
      <c r="L113" s="127">
        <f t="shared" si="84"/>
        <v>0.41111818936805361</v>
      </c>
      <c r="M113" s="127">
        <f t="shared" si="84"/>
        <v>0.41973178069610262</v>
      </c>
      <c r="N113" s="127">
        <f t="shared" si="84"/>
        <v>0.42813720761579965</v>
      </c>
      <c r="O113" s="127">
        <f t="shared" si="84"/>
        <v>0.40848838831309531</v>
      </c>
      <c r="P113" s="127">
        <f t="shared" si="84"/>
        <v>0.39258839875924456</v>
      </c>
      <c r="Q113" s="1116">
        <f>Q31-0.005</f>
        <v>0.38691555382456577</v>
      </c>
      <c r="R113" s="1116">
        <f>R31-0.01</f>
        <v>0.38461764569604551</v>
      </c>
    </row>
    <row r="114" spans="1:22">
      <c r="A114" s="1101" t="s">
        <v>1216</v>
      </c>
      <c r="C114" s="127">
        <f>C94/C89</f>
        <v>0.25161431721226929</v>
      </c>
      <c r="D114" s="127">
        <f t="shared" ref="D114:J114" si="85">D94/D89</f>
        <v>0.2571357076340493</v>
      </c>
      <c r="E114" s="127">
        <f t="shared" si="85"/>
        <v>0.26591075158948435</v>
      </c>
      <c r="F114" s="127">
        <f t="shared" si="85"/>
        <v>0.25801735570227058</v>
      </c>
      <c r="G114" s="127">
        <f t="shared" si="85"/>
        <v>0.25312504112441875</v>
      </c>
      <c r="H114" s="127">
        <f t="shared" si="85"/>
        <v>0.25135349160056752</v>
      </c>
      <c r="I114" s="127">
        <f t="shared" si="85"/>
        <v>0.24411610690963059</v>
      </c>
      <c r="J114" s="127">
        <f t="shared" si="85"/>
        <v>0.24385570124579334</v>
      </c>
      <c r="K114" s="127">
        <f t="shared" ref="K114:P114" si="86">K94/K89</f>
        <v>0.25994181659357241</v>
      </c>
      <c r="L114" s="127">
        <f t="shared" si="86"/>
        <v>0.24928278115039246</v>
      </c>
      <c r="M114" s="127">
        <f t="shared" si="86"/>
        <v>0.24921564929815276</v>
      </c>
      <c r="N114" s="127">
        <f t="shared" si="86"/>
        <v>0.24782244808325571</v>
      </c>
      <c r="O114" s="127">
        <f t="shared" si="86"/>
        <v>0.24645729307017525</v>
      </c>
      <c r="P114" s="127">
        <f t="shared" si="86"/>
        <v>0.25577558931450667</v>
      </c>
      <c r="Q114" s="1116">
        <f>Q32+0.004</f>
        <v>0.27260972821823282</v>
      </c>
      <c r="R114" s="1116">
        <f>R32+0.008</f>
        <v>0.27800000000000002</v>
      </c>
    </row>
    <row r="115" spans="1:22">
      <c r="A115" s="1101" t="s">
        <v>705</v>
      </c>
      <c r="C115" s="127">
        <f>C96/C89</f>
        <v>0.10913838741742408</v>
      </c>
      <c r="D115" s="127">
        <f t="shared" ref="D115:J115" si="87">D96/D89</f>
        <v>0.1016377206317208</v>
      </c>
      <c r="E115" s="127">
        <f t="shared" si="87"/>
        <v>0.11021733644006287</v>
      </c>
      <c r="F115" s="127">
        <f t="shared" si="87"/>
        <v>8.5367200562184525E-2</v>
      </c>
      <c r="G115" s="127">
        <f t="shared" si="87"/>
        <v>7.9342509151876531E-2</v>
      </c>
      <c r="H115" s="127">
        <f t="shared" si="87"/>
        <v>9.9424870327071507E-2</v>
      </c>
      <c r="I115" s="127">
        <f t="shared" si="87"/>
        <v>0.13356869529831561</v>
      </c>
      <c r="J115" s="127">
        <f t="shared" si="87"/>
        <v>0.14921124068144354</v>
      </c>
      <c r="K115" s="127">
        <f t="shared" ref="K115:R115" si="88">K96/K89</f>
        <v>0.16324532071628375</v>
      </c>
      <c r="L115" s="127">
        <f t="shared" si="88"/>
        <v>0.16183540821766118</v>
      </c>
      <c r="M115" s="127">
        <f t="shared" si="88"/>
        <v>0.17051613139794985</v>
      </c>
      <c r="N115" s="127">
        <f t="shared" si="88"/>
        <v>0.18031475953254394</v>
      </c>
      <c r="O115" s="127">
        <f t="shared" si="88"/>
        <v>0.16203109524292003</v>
      </c>
      <c r="P115" s="127">
        <f t="shared" ref="P115" si="89">P96/P89</f>
        <v>0.13681280944473789</v>
      </c>
      <c r="Q115" s="127">
        <f t="shared" si="88"/>
        <v>0.11430582560633293</v>
      </c>
      <c r="R115" s="127">
        <f t="shared" si="88"/>
        <v>0.10661764569604548</v>
      </c>
    </row>
    <row r="116" spans="1:22">
      <c r="A116" s="1101" t="s">
        <v>647</v>
      </c>
      <c r="C116" s="127">
        <f>C102/C100</f>
        <v>0.3679562657695542</v>
      </c>
      <c r="D116" s="127">
        <f t="shared" ref="D116:J116" si="90">D102/D100</f>
        <v>0.30394184370495708</v>
      </c>
      <c r="E116" s="127">
        <f t="shared" si="90"/>
        <v>0.3846683238396833</v>
      </c>
      <c r="F116" s="127">
        <f t="shared" si="90"/>
        <v>0.38963561340853858</v>
      </c>
      <c r="G116" s="127">
        <f t="shared" si="90"/>
        <v>0.37878233713618525</v>
      </c>
      <c r="H116" s="127">
        <f t="shared" si="90"/>
        <v>0.3729832479656901</v>
      </c>
      <c r="I116" s="127">
        <f t="shared" si="90"/>
        <v>0.37947446433347054</v>
      </c>
      <c r="J116" s="127">
        <f t="shared" si="90"/>
        <v>0.37215717271623255</v>
      </c>
      <c r="K116" s="127">
        <f t="shared" ref="K116:P116" si="91">K102/K100</f>
        <v>0.38178523072445247</v>
      </c>
      <c r="L116" s="127">
        <f t="shared" si="91"/>
        <v>0.37544704639876569</v>
      </c>
      <c r="M116" s="127">
        <f t="shared" si="91"/>
        <v>0.3629430328284769</v>
      </c>
      <c r="N116" s="127">
        <f t="shared" si="91"/>
        <v>0.36217374276727238</v>
      </c>
      <c r="O116" s="127">
        <f t="shared" si="91"/>
        <v>0.3425328493831804</v>
      </c>
      <c r="P116" s="127">
        <f t="shared" si="91"/>
        <v>0.32262770495789206</v>
      </c>
      <c r="Q116" s="1116">
        <f>+Q34</f>
        <v>0.27000000000000024</v>
      </c>
      <c r="R116" s="1116">
        <f>+R34</f>
        <v>0.27000000000000018</v>
      </c>
    </row>
    <row r="117" spans="1:22">
      <c r="A117" s="1101"/>
      <c r="P117" s="2845"/>
      <c r="Q117" s="1145"/>
      <c r="R117" s="1145"/>
    </row>
    <row r="118" spans="1:22">
      <c r="A118" s="27" t="s">
        <v>648</v>
      </c>
      <c r="P118" s="2845"/>
    </row>
    <row r="119" spans="1:22">
      <c r="A119" s="1101" t="s">
        <v>1173</v>
      </c>
      <c r="C119" s="113" t="s">
        <v>520</v>
      </c>
      <c r="D119" s="1118">
        <f>((D89/C89)-1)</f>
        <v>3.0893533292688513E-2</v>
      </c>
      <c r="E119" s="1118">
        <f t="shared" ref="E119:P119" si="92">((E89/D89)-1)</f>
        <v>0.10017880252826883</v>
      </c>
      <c r="F119" s="1118">
        <f t="shared" si="92"/>
        <v>-5.4751471777732208E-2</v>
      </c>
      <c r="G119" s="1118">
        <f t="shared" si="92"/>
        <v>-0.10347500705903256</v>
      </c>
      <c r="H119" s="1118">
        <f t="shared" si="92"/>
        <v>-4.5361878849867532E-2</v>
      </c>
      <c r="I119" s="1118">
        <f t="shared" si="92"/>
        <v>0.11361614403634257</v>
      </c>
      <c r="J119" s="1118">
        <f t="shared" si="92"/>
        <v>7.8091989017689878E-2</v>
      </c>
      <c r="K119" s="1118">
        <f t="shared" si="92"/>
        <v>9.1329620094486863E-3</v>
      </c>
      <c r="L119" s="1118">
        <f t="shared" si="92"/>
        <v>3.0076438149007734E-2</v>
      </c>
      <c r="M119" s="1118">
        <f t="shared" si="92"/>
        <v>6.3198335203868528E-2</v>
      </c>
      <c r="N119" s="1118">
        <f t="shared" si="92"/>
        <v>6.1089779519227116E-2</v>
      </c>
      <c r="O119" s="1118">
        <f t="shared" si="92"/>
        <v>3.4586424345467437E-2</v>
      </c>
      <c r="P119" s="1118">
        <f t="shared" si="92"/>
        <v>4.6255243498918297E-3</v>
      </c>
      <c r="Q119" s="1118">
        <f>Q120+Q126</f>
        <v>4.6788707701624112E-3</v>
      </c>
      <c r="R119" s="1118">
        <f>R120+R126</f>
        <v>5.3853368051920945E-4</v>
      </c>
    </row>
    <row r="120" spans="1:22">
      <c r="A120" s="1101" t="s">
        <v>860</v>
      </c>
      <c r="C120" s="127">
        <f>C38</f>
        <v>0.04</v>
      </c>
      <c r="D120" s="127">
        <f t="shared" ref="D120:J120" si="93">D38</f>
        <v>-0.01</v>
      </c>
      <c r="E120" s="127">
        <f t="shared" si="93"/>
        <v>7.0000000000000007E-2</v>
      </c>
      <c r="F120" s="127">
        <f t="shared" si="93"/>
        <v>-0.02</v>
      </c>
      <c r="G120" s="127">
        <f t="shared" si="93"/>
        <v>-0.09</v>
      </c>
      <c r="H120" s="127">
        <f t="shared" si="93"/>
        <v>-0.04</v>
      </c>
      <c r="I120" s="127">
        <f t="shared" si="93"/>
        <v>0.09</v>
      </c>
      <c r="J120" s="127">
        <f t="shared" si="93"/>
        <v>9.5188161934013527E-2</v>
      </c>
      <c r="K120" s="127">
        <f t="shared" ref="K120:P120" si="94">K38</f>
        <v>0.06</v>
      </c>
      <c r="L120" s="127">
        <f t="shared" si="94"/>
        <v>0.02</v>
      </c>
      <c r="M120" s="127">
        <f t="shared" si="94"/>
        <v>0.04</v>
      </c>
      <c r="N120" s="127">
        <f t="shared" si="94"/>
        <v>0.05</v>
      </c>
      <c r="O120" s="127">
        <f t="shared" si="94"/>
        <v>2.0243884366354766E-2</v>
      </c>
      <c r="P120" s="127">
        <f t="shared" si="94"/>
        <v>-0.03</v>
      </c>
      <c r="Q120" s="1116">
        <f>Q38-0.031</f>
        <v>-9.2429828825706314E-3</v>
      </c>
      <c r="R120" s="1116">
        <v>-0.01</v>
      </c>
    </row>
    <row r="121" spans="1:22">
      <c r="A121" s="1101" t="s">
        <v>1208</v>
      </c>
      <c r="C121" s="113" t="s">
        <v>520</v>
      </c>
      <c r="D121" s="1118">
        <f>((D94/C94)-1)</f>
        <v>5.3515321049683706E-2</v>
      </c>
      <c r="E121" s="1118">
        <f>((E94/D94)-1)</f>
        <v>0.13772363610993144</v>
      </c>
      <c r="F121" s="1118">
        <f t="shared" ref="F121:P121" si="95">((F94/E94)-1)</f>
        <v>-8.2810588607213576E-2</v>
      </c>
      <c r="G121" s="1118">
        <f t="shared" si="95"/>
        <v>-0.120474182484405</v>
      </c>
      <c r="H121" s="1118">
        <f t="shared" si="95"/>
        <v>-5.2043117108481751E-2</v>
      </c>
      <c r="I121" s="1118">
        <f t="shared" si="95"/>
        <v>8.1551069542622701E-2</v>
      </c>
      <c r="J121" s="1118">
        <f t="shared" si="95"/>
        <v>7.6941957323215515E-2</v>
      </c>
      <c r="K121" s="1118">
        <f t="shared" si="95"/>
        <v>7.570113796432576E-2</v>
      </c>
      <c r="L121" s="1118">
        <f t="shared" si="95"/>
        <v>-1.2162326691902203E-2</v>
      </c>
      <c r="M121" s="1118">
        <f t="shared" si="95"/>
        <v>6.2912015895286499E-2</v>
      </c>
      <c r="N121" s="1118">
        <f t="shared" si="95"/>
        <v>5.5157922614958554E-2</v>
      </c>
      <c r="O121" s="1118">
        <f t="shared" si="95"/>
        <v>2.8887300417897555E-2</v>
      </c>
      <c r="P121" s="1118">
        <f t="shared" si="95"/>
        <v>4.2609380026841004E-2</v>
      </c>
      <c r="Q121" s="1118">
        <f>((Q94/P94)-1)</f>
        <v>7.0802865282348693E-2</v>
      </c>
      <c r="R121" s="1118">
        <f>((R94/Q94)-1)</f>
        <v>2.0322033924323524E-2</v>
      </c>
    </row>
    <row r="122" spans="1:22">
      <c r="A122" s="1101" t="s">
        <v>651</v>
      </c>
      <c r="C122" s="113" t="s">
        <v>520</v>
      </c>
      <c r="D122" s="1118">
        <f>((D96/C96)-1)</f>
        <v>-3.9955863218829712E-2</v>
      </c>
      <c r="E122" s="1118">
        <f t="shared" ref="E122:P122" si="96">((E96/D96)-1)</f>
        <v>0.1930489632078507</v>
      </c>
      <c r="F122" s="1118">
        <f t="shared" si="96"/>
        <v>-0.26787179498080382</v>
      </c>
      <c r="G122" s="1118">
        <f t="shared" si="96"/>
        <v>-0.16674622116149562</v>
      </c>
      <c r="H122" s="1118">
        <f t="shared" si="96"/>
        <v>0.19626631952042661</v>
      </c>
      <c r="I122" s="1118">
        <f t="shared" si="96"/>
        <v>0.49604676307609052</v>
      </c>
      <c r="J122" s="1118">
        <f t="shared" si="96"/>
        <v>0.20434988820380662</v>
      </c>
      <c r="K122" s="1118">
        <f t="shared" si="96"/>
        <v>0.1040470763211947</v>
      </c>
      <c r="L122" s="1118">
        <f t="shared" si="96"/>
        <v>2.1179903545072598E-2</v>
      </c>
      <c r="M122" s="1118">
        <f t="shared" si="96"/>
        <v>0.12022745222648901</v>
      </c>
      <c r="N122" s="1118">
        <f t="shared" si="96"/>
        <v>0.12206479743505327</v>
      </c>
      <c r="O122" s="1118">
        <f t="shared" si="96"/>
        <v>-7.0319191314468954E-2</v>
      </c>
      <c r="P122" s="1118">
        <f t="shared" si="96"/>
        <v>-0.15173294224703848</v>
      </c>
      <c r="Q122" s="1118">
        <f>((Q96/P96)-1)</f>
        <v>-0.16060017875001187</v>
      </c>
      <c r="R122" s="1118">
        <f>((R96/Q96)-1)</f>
        <v>-6.6757426199979042E-2</v>
      </c>
    </row>
    <row r="123" spans="1:22">
      <c r="A123" s="1101" t="s">
        <v>551</v>
      </c>
      <c r="C123" s="113" t="s">
        <v>520</v>
      </c>
      <c r="D123" s="1118">
        <f>((D107/C107)-1)</f>
        <v>0.21798165096367339</v>
      </c>
      <c r="E123" s="1118">
        <f t="shared" ref="E123:P123" si="97">((E107/D107)-1)</f>
        <v>3.4181249781926271E-2</v>
      </c>
      <c r="F123" s="1118">
        <f t="shared" si="97"/>
        <v>-0.27558332145447995</v>
      </c>
      <c r="G123" s="1118">
        <f t="shared" si="97"/>
        <v>-0.13792032301112089</v>
      </c>
      <c r="H123" s="1118">
        <f t="shared" si="97"/>
        <v>0.1739005556212414</v>
      </c>
      <c r="I123" s="1118">
        <f t="shared" si="97"/>
        <v>0.6724118639056833</v>
      </c>
      <c r="J123" s="1118">
        <f t="shared" si="97"/>
        <v>0.26467274413654818</v>
      </c>
      <c r="K123" s="1118">
        <f t="shared" si="97"/>
        <v>0.12291910595952471</v>
      </c>
      <c r="L123" s="1118">
        <f t="shared" si="97"/>
        <v>4.4530914725731341E-2</v>
      </c>
      <c r="M123" s="1118">
        <f t="shared" si="97"/>
        <v>0.14656547025075461</v>
      </c>
      <c r="N123" s="1118">
        <f t="shared" si="97"/>
        <v>0.14072412287238723</v>
      </c>
      <c r="O123" s="1118">
        <f t="shared" si="97"/>
        <v>-6.121517345578531E-2</v>
      </c>
      <c r="P123" s="1118">
        <f t="shared" si="97"/>
        <v>-0.14498580341441925</v>
      </c>
      <c r="Q123" s="1144">
        <f>((Q107/P107)-1)</f>
        <v>-0.12794250870898105</v>
      </c>
      <c r="R123" s="1144">
        <f>((R107/Q107)-1)</f>
        <v>-8.2311570238258081E-2</v>
      </c>
    </row>
    <row r="124" spans="1:22">
      <c r="A124" s="1101" t="s">
        <v>701</v>
      </c>
      <c r="C124" s="113" t="s">
        <v>520</v>
      </c>
      <c r="D124" s="1118">
        <f>((D110/C110)-1)</f>
        <v>-5.5673790929962275E-2</v>
      </c>
      <c r="E124" s="1118">
        <f t="shared" ref="E124:P124" si="98">((E110/D110)-1)</f>
        <v>0.16138037552479356</v>
      </c>
      <c r="F124" s="1118">
        <f t="shared" si="98"/>
        <v>-0.18685792807587775</v>
      </c>
      <c r="G124" s="1118">
        <f t="shared" si="98"/>
        <v>-0.12594407980967559</v>
      </c>
      <c r="H124" s="1118">
        <f t="shared" si="98"/>
        <v>0.14614851387100969</v>
      </c>
      <c r="I124" s="1118">
        <f t="shared" si="98"/>
        <v>0.3584882992790881</v>
      </c>
      <c r="J124" s="1118">
        <f t="shared" si="98"/>
        <v>0.15233814235162457</v>
      </c>
      <c r="K124" s="1118">
        <f t="shared" si="98"/>
        <v>8.3296844816486137E-2</v>
      </c>
      <c r="L124" s="1118">
        <f t="shared" si="98"/>
        <v>2.4535019076697528E-2</v>
      </c>
      <c r="M124" s="1118">
        <f t="shared" si="98"/>
        <v>0.11340757913382227</v>
      </c>
      <c r="N124" s="1118">
        <f t="shared" si="98"/>
        <v>0.10871066948543229</v>
      </c>
      <c r="O124" s="1118">
        <f t="shared" si="98"/>
        <v>-3.7424817157551526E-2</v>
      </c>
      <c r="P124" s="1118">
        <f t="shared" si="98"/>
        <v>-0.10203146199259328</v>
      </c>
      <c r="Q124" s="1118">
        <f>((Q110/P110)-1)</f>
        <v>-0.10752164304570389</v>
      </c>
      <c r="R124" s="1118">
        <f>((R110/Q110)-1)</f>
        <v>-2.0313865763107786E-2</v>
      </c>
    </row>
    <row r="125" spans="1:22" outlineLevel="1">
      <c r="A125" s="1101" t="s">
        <v>862</v>
      </c>
      <c r="C125" s="113" t="s">
        <v>520</v>
      </c>
      <c r="D125" s="127">
        <f>D37-D38</f>
        <v>4.0893533292688515E-2</v>
      </c>
      <c r="E125" s="127">
        <f t="shared" ref="E125:J125" si="99">E37-E38</f>
        <v>3.0178802528268822E-2</v>
      </c>
      <c r="F125" s="127">
        <f t="shared" si="99"/>
        <v>-3.4751471777732204E-2</v>
      </c>
      <c r="G125" s="127">
        <f t="shared" si="99"/>
        <v>-1.3475007059032568E-2</v>
      </c>
      <c r="H125" s="127">
        <f t="shared" si="99"/>
        <v>-5.361878849867531E-3</v>
      </c>
      <c r="I125" s="127">
        <f t="shared" si="99"/>
        <v>2.3616144036342573E-2</v>
      </c>
      <c r="J125" s="127">
        <f t="shared" si="99"/>
        <v>-1.7096172916323649E-2</v>
      </c>
      <c r="K125" s="127">
        <f t="shared" ref="K125:Q125" si="100">K37-K38</f>
        <v>-5.0867037990551311E-2</v>
      </c>
      <c r="L125" s="127">
        <f t="shared" si="100"/>
        <v>1.0076438149007733E-2</v>
      </c>
      <c r="M125" s="127">
        <f t="shared" si="100"/>
        <v>2.3198335203868527E-2</v>
      </c>
      <c r="N125" s="127">
        <f>N37-N38</f>
        <v>1.1089779519227114E-2</v>
      </c>
      <c r="O125" s="127">
        <f>O37-O38</f>
        <v>1.4342539979112671E-2</v>
      </c>
      <c r="P125" s="127">
        <f>P37-P38</f>
        <v>3.4625524349891829E-2</v>
      </c>
      <c r="Q125" s="127">
        <f t="shared" si="100"/>
        <v>1.8921853652733044E-2</v>
      </c>
      <c r="R125" s="127">
        <f>R37-R38</f>
        <v>1.5538533680519211E-2</v>
      </c>
    </row>
    <row r="126" spans="1:22" outlineLevel="1">
      <c r="A126" s="1101" t="s">
        <v>865</v>
      </c>
      <c r="C126" s="113" t="s">
        <v>520</v>
      </c>
      <c r="D126" s="127">
        <f t="shared" ref="D126:L126" si="101">D125</f>
        <v>4.0893533292688515E-2</v>
      </c>
      <c r="E126" s="127">
        <f t="shared" si="101"/>
        <v>3.0178802528268822E-2</v>
      </c>
      <c r="F126" s="127">
        <f t="shared" si="101"/>
        <v>-3.4751471777732204E-2</v>
      </c>
      <c r="G126" s="127">
        <f t="shared" si="101"/>
        <v>-1.3475007059032568E-2</v>
      </c>
      <c r="H126" s="127">
        <f t="shared" si="101"/>
        <v>-5.361878849867531E-3</v>
      </c>
      <c r="I126" s="127">
        <f t="shared" si="101"/>
        <v>2.3616144036342573E-2</v>
      </c>
      <c r="J126" s="127">
        <f t="shared" si="101"/>
        <v>-1.7096172916323649E-2</v>
      </c>
      <c r="K126" s="127">
        <f t="shared" si="101"/>
        <v>-5.0867037990551311E-2</v>
      </c>
      <c r="L126" s="127">
        <f t="shared" si="101"/>
        <v>1.0076438149007733E-2</v>
      </c>
      <c r="M126" s="127">
        <f>M125</f>
        <v>2.3198335203868527E-2</v>
      </c>
      <c r="N126" s="127">
        <f>N125</f>
        <v>1.1089779519227114E-2</v>
      </c>
      <c r="O126" s="127">
        <f>O125</f>
        <v>1.4342539979112671E-2</v>
      </c>
      <c r="P126" s="127">
        <f>P125</f>
        <v>3.4625524349891829E-2</v>
      </c>
      <c r="Q126" s="1116">
        <f t="shared" ref="Q126:R126" si="102">Q83-0.005</f>
        <v>1.3921853652733043E-2</v>
      </c>
      <c r="R126" s="1116">
        <f t="shared" si="102"/>
        <v>1.053853368051921E-2</v>
      </c>
    </row>
    <row r="127" spans="1:22">
      <c r="A127" s="1133"/>
      <c r="B127" s="1133"/>
      <c r="C127" s="1133"/>
      <c r="D127" s="1133"/>
      <c r="E127" s="1133"/>
      <c r="F127" s="1133"/>
      <c r="G127" s="1133"/>
      <c r="H127" s="1133"/>
      <c r="I127" s="1133"/>
      <c r="J127" s="1133"/>
      <c r="K127" s="1133"/>
      <c r="L127" s="1133"/>
      <c r="M127" s="1133"/>
      <c r="N127" s="1133"/>
      <c r="O127" s="1133"/>
      <c r="P127" s="1133"/>
      <c r="Q127" s="1133"/>
      <c r="R127" s="1133"/>
      <c r="S127" s="23"/>
      <c r="T127" s="23"/>
      <c r="U127" s="23"/>
      <c r="V127" s="23"/>
    </row>
    <row r="128" spans="1:22">
      <c r="A128" s="1134" t="s">
        <v>300</v>
      </c>
      <c r="B128" s="23"/>
      <c r="C128" s="70" t="str">
        <f>C86</f>
        <v>2004A</v>
      </c>
      <c r="D128" s="70" t="str">
        <f t="shared" ref="D128:P128" si="103">D86</f>
        <v>2005A</v>
      </c>
      <c r="E128" s="70" t="str">
        <f t="shared" si="103"/>
        <v>2006A</v>
      </c>
      <c r="F128" s="70" t="str">
        <f t="shared" si="103"/>
        <v>2007A</v>
      </c>
      <c r="G128" s="70" t="str">
        <f t="shared" si="103"/>
        <v>2008A</v>
      </c>
      <c r="H128" s="70" t="str">
        <f t="shared" si="103"/>
        <v>2009A</v>
      </c>
      <c r="I128" s="70" t="str">
        <f t="shared" si="103"/>
        <v>2010A</v>
      </c>
      <c r="J128" s="70" t="str">
        <f t="shared" si="103"/>
        <v>2011A</v>
      </c>
      <c r="K128" s="70" t="str">
        <f>K86</f>
        <v>2012A</v>
      </c>
      <c r="L128" s="70" t="str">
        <f t="shared" si="103"/>
        <v>2013A</v>
      </c>
      <c r="M128" s="70" t="str">
        <f t="shared" si="103"/>
        <v>2014A</v>
      </c>
      <c r="N128" s="70" t="str">
        <f t="shared" si="103"/>
        <v>2015A</v>
      </c>
      <c r="O128" s="70" t="str">
        <f t="shared" si="103"/>
        <v>2016A</v>
      </c>
      <c r="P128" s="70" t="str">
        <f t="shared" si="103"/>
        <v>2017E</v>
      </c>
      <c r="Q128" s="70" t="str">
        <f>Q86</f>
        <v>2018E</v>
      </c>
      <c r="R128" s="70" t="str">
        <f>R86</f>
        <v>2019E</v>
      </c>
      <c r="S128" s="23"/>
      <c r="T128" s="23"/>
      <c r="U128" s="23"/>
      <c r="V128" s="23"/>
    </row>
    <row r="129" spans="1:29">
      <c r="A129" s="27" t="s">
        <v>1206</v>
      </c>
      <c r="B129" s="23"/>
      <c r="C129" s="133" t="str">
        <f>C87</f>
        <v>Jan</v>
      </c>
      <c r="D129" s="133" t="str">
        <f t="shared" ref="D129:P129" si="104">D87</f>
        <v>Jan</v>
      </c>
      <c r="E129" s="133" t="str">
        <f t="shared" si="104"/>
        <v>Jan</v>
      </c>
      <c r="F129" s="133" t="str">
        <f t="shared" si="104"/>
        <v>Jan</v>
      </c>
      <c r="G129" s="133" t="str">
        <f t="shared" si="104"/>
        <v>Jan</v>
      </c>
      <c r="H129" s="133" t="str">
        <f t="shared" si="104"/>
        <v>Jan</v>
      </c>
      <c r="I129" s="133" t="str">
        <f t="shared" si="104"/>
        <v>Jan</v>
      </c>
      <c r="J129" s="133" t="str">
        <f t="shared" si="104"/>
        <v>Jan</v>
      </c>
      <c r="K129" s="133" t="str">
        <f>K87</f>
        <v>Jan</v>
      </c>
      <c r="L129" s="133" t="str">
        <f t="shared" si="104"/>
        <v>Jan</v>
      </c>
      <c r="M129" s="133" t="str">
        <f t="shared" si="104"/>
        <v>Jan</v>
      </c>
      <c r="N129" s="133" t="str">
        <f t="shared" si="104"/>
        <v>Jan</v>
      </c>
      <c r="O129" s="133" t="str">
        <f t="shared" si="104"/>
        <v>Jan</v>
      </c>
      <c r="P129" s="133" t="str">
        <f t="shared" si="104"/>
        <v>Feb</v>
      </c>
      <c r="Q129" s="133" t="str">
        <f>Q87</f>
        <v>Jan</v>
      </c>
      <c r="R129" s="133" t="str">
        <f>R87</f>
        <v>Jan</v>
      </c>
      <c r="S129" s="23"/>
      <c r="T129" s="23"/>
      <c r="U129" s="23"/>
      <c r="V129" s="23"/>
    </row>
    <row r="130" spans="1:29">
      <c r="A130" s="24"/>
      <c r="B130" s="23"/>
      <c r="C130" s="23"/>
      <c r="D130" s="23"/>
      <c r="E130" s="23"/>
      <c r="F130" s="23"/>
      <c r="G130" s="23"/>
      <c r="H130" s="23"/>
      <c r="I130" s="23"/>
      <c r="J130" s="23"/>
      <c r="K130" s="23"/>
      <c r="L130" s="23"/>
      <c r="M130" s="23"/>
      <c r="N130" s="23"/>
      <c r="O130" s="23"/>
      <c r="P130" s="23"/>
      <c r="Q130" s="23"/>
      <c r="R130" s="23"/>
      <c r="S130" s="23"/>
      <c r="T130" s="23"/>
      <c r="U130" s="23"/>
      <c r="V130" s="23"/>
      <c r="W130" s="23"/>
      <c r="X130" s="23"/>
      <c r="Y130" s="23"/>
      <c r="Z130" s="23"/>
      <c r="AA130" s="23"/>
      <c r="AB130" s="23"/>
      <c r="AC130" s="23"/>
    </row>
    <row r="131" spans="1:29">
      <c r="A131" s="24" t="s">
        <v>177</v>
      </c>
      <c r="B131" s="23"/>
      <c r="C131" s="1114">
        <f>C6</f>
        <v>9408.3119999999999</v>
      </c>
      <c r="D131" s="1114">
        <f t="shared" ref="D131:J131" si="105">D6</f>
        <v>9698.9680000000008</v>
      </c>
      <c r="E131" s="1114">
        <f t="shared" si="105"/>
        <v>10670.598999999998</v>
      </c>
      <c r="F131" s="1114">
        <f t="shared" si="105"/>
        <v>10086.368</v>
      </c>
      <c r="G131" s="1114">
        <f t="shared" si="105"/>
        <v>9042.6810000000005</v>
      </c>
      <c r="H131" s="1114">
        <f t="shared" si="105"/>
        <v>8632.4880000000012</v>
      </c>
      <c r="I131" s="1114">
        <f t="shared" si="105"/>
        <v>9613.2780000000002</v>
      </c>
      <c r="J131" s="1114">
        <f t="shared" si="105"/>
        <v>10363.998</v>
      </c>
      <c r="K131" s="1114">
        <f>K6</f>
        <v>10458.652000000002</v>
      </c>
      <c r="L131" s="1114">
        <f>L6</f>
        <v>10773.210999999998</v>
      </c>
      <c r="M131" s="1114">
        <f t="shared" ref="M131:R131" si="106">(L131*(1+M173))</f>
        <v>11454.060000000001</v>
      </c>
      <c r="N131" s="1114">
        <f t="shared" si="106"/>
        <v>12153.786</v>
      </c>
      <c r="O131" s="1114">
        <f t="shared" si="106"/>
        <v>12574.142000000002</v>
      </c>
      <c r="P131" s="1114">
        <f t="shared" si="106"/>
        <v>12632.304</v>
      </c>
      <c r="Q131" s="1114">
        <f t="shared" si="106"/>
        <v>13146.171861945406</v>
      </c>
      <c r="R131" s="1114">
        <f t="shared" si="106"/>
        <v>13755.417944732872</v>
      </c>
      <c r="S131" s="23"/>
      <c r="T131" s="23"/>
      <c r="U131" s="23"/>
      <c r="V131" s="23"/>
      <c r="W131" s="23"/>
      <c r="X131" s="23"/>
      <c r="Y131" s="23"/>
      <c r="Z131" s="23"/>
      <c r="AA131" s="23"/>
      <c r="AB131" s="23"/>
      <c r="AC131" s="23"/>
    </row>
    <row r="132" spans="1:29">
      <c r="A132" s="24"/>
      <c r="B132" s="23"/>
      <c r="C132" s="164"/>
      <c r="D132" s="164"/>
      <c r="E132" s="164"/>
      <c r="F132" s="164"/>
      <c r="G132" s="164"/>
      <c r="H132" s="164"/>
      <c r="I132" s="164"/>
      <c r="J132" s="164"/>
      <c r="K132" s="164"/>
      <c r="L132" s="164"/>
      <c r="M132" s="164"/>
      <c r="S132" s="23"/>
      <c r="T132" s="23"/>
      <c r="U132" s="23"/>
      <c r="V132" s="23"/>
      <c r="W132" s="23"/>
      <c r="X132" s="23"/>
      <c r="Y132" s="23"/>
      <c r="Z132" s="23"/>
      <c r="AA132" s="23"/>
      <c r="AB132" s="23"/>
      <c r="AC132" s="23"/>
    </row>
    <row r="133" spans="1:29">
      <c r="A133" s="24" t="s">
        <v>1207</v>
      </c>
      <c r="B133" s="23"/>
      <c r="C133" s="1114">
        <f>C8</f>
        <v>6014.2380000000003</v>
      </c>
      <c r="D133" s="1114">
        <f t="shared" ref="D133:K133" si="107">D8</f>
        <v>6219.2360000000008</v>
      </c>
      <c r="E133" s="1114">
        <f t="shared" si="107"/>
        <v>6657.0870000000004</v>
      </c>
      <c r="F133" s="1114">
        <f t="shared" si="107"/>
        <v>6622.8650000000007</v>
      </c>
      <c r="G133" s="1114">
        <f t="shared" si="107"/>
        <v>6036.2830000000004</v>
      </c>
      <c r="H133" s="1114">
        <f t="shared" si="107"/>
        <v>5604.3980000000001</v>
      </c>
      <c r="I133" s="1114">
        <f t="shared" si="107"/>
        <v>5982.4889999999996</v>
      </c>
      <c r="J133" s="1114">
        <f t="shared" si="107"/>
        <v>6290.2530000000006</v>
      </c>
      <c r="K133" s="1114">
        <f t="shared" si="107"/>
        <v>6032.6849999999995</v>
      </c>
      <c r="L133" s="1114">
        <f>L8</f>
        <v>6344.1480000000001</v>
      </c>
      <c r="M133" s="1114">
        <f t="shared" ref="M133:R133" si="108">M8+M137</f>
        <v>7044.2349999999997</v>
      </c>
      <c r="N133" s="1114">
        <f t="shared" si="108"/>
        <v>7365.27</v>
      </c>
      <c r="O133" s="1114">
        <f t="shared" si="108"/>
        <v>7909.2809999999999</v>
      </c>
      <c r="P133" s="1114">
        <f t="shared" si="108"/>
        <v>8197.6890000000003</v>
      </c>
      <c r="Q133" s="1114">
        <f t="shared" si="108"/>
        <v>8553.9826359981489</v>
      </c>
      <c r="R133" s="1114">
        <f t="shared" si="108"/>
        <v>8943.2872998172497</v>
      </c>
      <c r="S133" s="23"/>
      <c r="T133" s="23"/>
      <c r="U133" s="23"/>
      <c r="V133" s="23"/>
      <c r="W133" s="23"/>
      <c r="X133" s="23"/>
      <c r="Y133" s="23"/>
      <c r="Z133" s="23"/>
      <c r="AA133" s="23"/>
      <c r="AB133" s="23"/>
      <c r="AC133" s="23"/>
    </row>
    <row r="134" spans="1:29">
      <c r="A134" s="24"/>
      <c r="B134" s="23"/>
      <c r="C134" s="164"/>
      <c r="D134" s="164"/>
      <c r="E134" s="164"/>
      <c r="F134" s="164"/>
      <c r="G134" s="164"/>
      <c r="H134" s="164"/>
      <c r="I134" s="164"/>
      <c r="J134" s="164"/>
      <c r="K134" s="164"/>
      <c r="L134" s="164"/>
      <c r="M134" s="164"/>
      <c r="S134" s="23"/>
      <c r="T134" s="23"/>
      <c r="U134" s="23"/>
      <c r="V134" s="23"/>
      <c r="W134" s="23"/>
      <c r="X134" s="23"/>
      <c r="Y134" s="23"/>
      <c r="Z134" s="23"/>
      <c r="AA134" s="23"/>
      <c r="AB134" s="23"/>
      <c r="AC134" s="23"/>
    </row>
    <row r="135" spans="1:29">
      <c r="A135" s="24" t="s">
        <v>46</v>
      </c>
      <c r="B135" s="23"/>
      <c r="C135" s="1114">
        <f>C131-C133</f>
        <v>3394.0739999999996</v>
      </c>
      <c r="D135" s="1114">
        <f t="shared" ref="D135:J135" si="109">D131-D133</f>
        <v>3479.732</v>
      </c>
      <c r="E135" s="1114">
        <f t="shared" si="109"/>
        <v>4013.5119999999979</v>
      </c>
      <c r="F135" s="1114">
        <f t="shared" si="109"/>
        <v>3463.5029999999997</v>
      </c>
      <c r="G135" s="1114">
        <f t="shared" si="109"/>
        <v>3006.3980000000001</v>
      </c>
      <c r="H135" s="1114">
        <f t="shared" si="109"/>
        <v>3028.0900000000011</v>
      </c>
      <c r="I135" s="1114">
        <f t="shared" si="109"/>
        <v>3630.7890000000007</v>
      </c>
      <c r="J135" s="1114">
        <f t="shared" si="109"/>
        <v>4073.744999999999</v>
      </c>
      <c r="K135" s="1114">
        <f>K131-K133</f>
        <v>4425.9670000000024</v>
      </c>
      <c r="L135" s="1114">
        <f>L131-L133</f>
        <v>4429.0629999999974</v>
      </c>
      <c r="M135" s="1114">
        <f t="shared" ref="M135:R135" si="110">M131*M158</f>
        <v>4807.6330000000016</v>
      </c>
      <c r="N135" s="1114">
        <f t="shared" si="110"/>
        <v>5203.4879999999994</v>
      </c>
      <c r="O135" s="1114">
        <f t="shared" si="110"/>
        <v>5136.3910000000014</v>
      </c>
      <c r="P135" s="1114">
        <f t="shared" si="110"/>
        <v>4959.2960000000003</v>
      </c>
      <c r="Q135" s="1114">
        <f t="shared" si="110"/>
        <v>5152.189225947257</v>
      </c>
      <c r="R135" s="1114">
        <f t="shared" si="110"/>
        <v>5428.1306449156227</v>
      </c>
      <c r="S135" s="23"/>
      <c r="T135" s="23"/>
      <c r="U135" s="23"/>
      <c r="V135" s="23"/>
      <c r="W135" s="23"/>
      <c r="X135" s="23"/>
      <c r="Y135" s="23"/>
      <c r="Z135" s="23"/>
      <c r="AA135" s="23"/>
      <c r="AB135" s="23"/>
      <c r="AC135" s="23"/>
    </row>
    <row r="136" spans="1:29">
      <c r="A136" s="24" t="s">
        <v>1208</v>
      </c>
      <c r="B136" s="23"/>
      <c r="C136" s="164">
        <f>C12</f>
        <v>2367.2659999999996</v>
      </c>
      <c r="D136" s="164">
        <f t="shared" ref="D136:J136" si="111">D12</f>
        <v>2493.951</v>
      </c>
      <c r="E136" s="164">
        <f t="shared" si="111"/>
        <v>2837.4269999999997</v>
      </c>
      <c r="F136" s="164">
        <f t="shared" si="111"/>
        <v>2602.4579999999996</v>
      </c>
      <c r="G136" s="164">
        <f t="shared" si="111"/>
        <v>2288.9290000000001</v>
      </c>
      <c r="H136" s="164">
        <f t="shared" si="111"/>
        <v>2169.806</v>
      </c>
      <c r="I136" s="164">
        <f t="shared" si="111"/>
        <v>2346.7559999999999</v>
      </c>
      <c r="J136" s="164">
        <f t="shared" si="111"/>
        <v>2527.3199999999997</v>
      </c>
      <c r="K136" s="164">
        <f>K12</f>
        <v>2718.6409999999996</v>
      </c>
      <c r="L136" s="164">
        <f>L12</f>
        <v>2685.576</v>
      </c>
      <c r="M136" s="164">
        <f t="shared" ref="M136:R136" si="112">M131*M162</f>
        <v>2854.5309999999999</v>
      </c>
      <c r="N136" s="164">
        <f t="shared" si="112"/>
        <v>3011.9810000000002</v>
      </c>
      <c r="O136" s="164">
        <f t="shared" si="112"/>
        <v>3098.989</v>
      </c>
      <c r="P136" s="164">
        <f t="shared" si="112"/>
        <v>3231.0349999999999</v>
      </c>
      <c r="Q136" s="164">
        <f t="shared" si="112"/>
        <v>3531.1896509473349</v>
      </c>
      <c r="R136" s="164">
        <f t="shared" si="112"/>
        <v>3713.9628450778755</v>
      </c>
      <c r="S136" s="23"/>
      <c r="T136" s="23"/>
      <c r="U136" s="23"/>
      <c r="V136" s="23"/>
      <c r="W136" s="23"/>
      <c r="X136" s="23"/>
      <c r="Y136" s="23"/>
      <c r="Z136" s="23"/>
      <c r="AA136" s="23"/>
      <c r="AB136" s="23"/>
      <c r="AC136" s="23"/>
    </row>
    <row r="137" spans="1:29">
      <c r="A137" s="24" t="s">
        <v>855</v>
      </c>
      <c r="B137" s="23"/>
      <c r="C137" s="164">
        <f>C13</f>
        <v>333.47300000000001</v>
      </c>
      <c r="D137" s="164">
        <f t="shared" ref="D137:P137" si="113">D13</f>
        <v>298.76799999999997</v>
      </c>
      <c r="E137" s="164">
        <f t="shared" si="113"/>
        <v>315.76499999999999</v>
      </c>
      <c r="F137" s="164">
        <f t="shared" si="113"/>
        <v>352.04100000000005</v>
      </c>
      <c r="G137" s="164">
        <f t="shared" si="113"/>
        <v>342.83600000000001</v>
      </c>
      <c r="H137" s="164">
        <f t="shared" si="113"/>
        <v>356.983</v>
      </c>
      <c r="I137" s="164">
        <f t="shared" si="113"/>
        <v>366.89299999999997</v>
      </c>
      <c r="J137" s="164">
        <f t="shared" si="113"/>
        <v>356</v>
      </c>
      <c r="K137" s="164">
        <f>K13</f>
        <v>353.565</v>
      </c>
      <c r="L137" s="164">
        <f>L13</f>
        <v>367.96799999999996</v>
      </c>
      <c r="M137" s="164">
        <f t="shared" si="113"/>
        <v>397.80799999999999</v>
      </c>
      <c r="N137" s="164">
        <f t="shared" si="113"/>
        <v>414.97200000000004</v>
      </c>
      <c r="O137" s="164">
        <f t="shared" si="113"/>
        <v>471.53</v>
      </c>
      <c r="P137" s="164">
        <f t="shared" si="113"/>
        <v>524.68100000000004</v>
      </c>
      <c r="Q137" s="164">
        <f>Q13</f>
        <v>560</v>
      </c>
      <c r="R137" s="164">
        <f>R13</f>
        <v>616</v>
      </c>
      <c r="S137" s="23"/>
      <c r="T137" s="23"/>
      <c r="U137" s="23"/>
      <c r="V137" s="23"/>
      <c r="W137" s="23"/>
      <c r="X137" s="23"/>
      <c r="Y137" s="23"/>
      <c r="Z137" s="23"/>
      <c r="AA137" s="23"/>
      <c r="AB137" s="23"/>
      <c r="AC137" s="23"/>
    </row>
    <row r="138" spans="1:29">
      <c r="A138" s="1135" t="s">
        <v>651</v>
      </c>
      <c r="B138" s="23"/>
      <c r="C138" s="1114">
        <f>C135-C136</f>
        <v>1026.808</v>
      </c>
      <c r="D138" s="1114">
        <f t="shared" ref="D138:P138" si="114">D135-D136</f>
        <v>985.78099999999995</v>
      </c>
      <c r="E138" s="1114">
        <f t="shared" si="114"/>
        <v>1176.0849999999982</v>
      </c>
      <c r="F138" s="1114">
        <f t="shared" si="114"/>
        <v>861.04500000000007</v>
      </c>
      <c r="G138" s="1114">
        <f t="shared" si="114"/>
        <v>717.46900000000005</v>
      </c>
      <c r="H138" s="1114">
        <f t="shared" si="114"/>
        <v>858.28400000000101</v>
      </c>
      <c r="I138" s="1114">
        <f t="shared" si="114"/>
        <v>1284.0330000000008</v>
      </c>
      <c r="J138" s="1114">
        <f t="shared" si="114"/>
        <v>1546.4249999999993</v>
      </c>
      <c r="K138" s="1114">
        <f t="shared" si="114"/>
        <v>1707.3260000000028</v>
      </c>
      <c r="L138" s="1114">
        <f>L135-L136</f>
        <v>1743.4869999999974</v>
      </c>
      <c r="M138" s="1114">
        <f t="shared" si="114"/>
        <v>1953.1020000000017</v>
      </c>
      <c r="N138" s="1114">
        <f t="shared" si="114"/>
        <v>2191.5069999999992</v>
      </c>
      <c r="O138" s="1114">
        <f t="shared" si="114"/>
        <v>2037.4020000000014</v>
      </c>
      <c r="P138" s="1114">
        <f t="shared" si="114"/>
        <v>1728.2610000000004</v>
      </c>
      <c r="Q138" s="1114">
        <f>Q135-Q136</f>
        <v>1620.9995749999221</v>
      </c>
      <c r="R138" s="1114">
        <f>R135-R136</f>
        <v>1714.1677998377472</v>
      </c>
      <c r="S138" s="23"/>
      <c r="T138" s="23"/>
      <c r="U138" s="23"/>
      <c r="V138" s="23"/>
      <c r="W138" s="23"/>
      <c r="X138" s="23"/>
      <c r="Y138" s="23"/>
      <c r="Z138" s="23"/>
      <c r="AA138" s="23"/>
      <c r="AB138" s="23"/>
      <c r="AC138" s="23"/>
    </row>
    <row r="139" spans="1:29">
      <c r="A139" s="24"/>
      <c r="B139" s="23"/>
      <c r="C139" s="164"/>
      <c r="D139" s="164"/>
      <c r="E139" s="164"/>
      <c r="F139" s="164"/>
      <c r="G139" s="164"/>
      <c r="H139" s="164"/>
      <c r="I139" s="164"/>
      <c r="J139" s="164"/>
      <c r="K139" s="164"/>
      <c r="L139" s="164"/>
      <c r="M139" s="164"/>
      <c r="S139" s="23"/>
      <c r="T139" s="23"/>
      <c r="U139" s="23"/>
      <c r="V139" s="23"/>
      <c r="W139" s="23"/>
      <c r="X139" s="23"/>
      <c r="Y139" s="23"/>
      <c r="Z139" s="23"/>
      <c r="AA139" s="23"/>
      <c r="AB139" s="23"/>
      <c r="AC139" s="23"/>
    </row>
    <row r="140" spans="1:29">
      <c r="A140" s="24" t="s">
        <v>856</v>
      </c>
      <c r="B140" s="23"/>
      <c r="C140" s="164">
        <f>C16</f>
        <v>-58.265999999999998</v>
      </c>
      <c r="D140" s="164">
        <f t="shared" ref="D140:P140" si="115">D16</f>
        <v>-94.365000000000009</v>
      </c>
      <c r="E140" s="164">
        <f t="shared" si="115"/>
        <v>-101.83500000000001</v>
      </c>
      <c r="F140" s="164">
        <f t="shared" si="115"/>
        <v>-149.49600000000001</v>
      </c>
      <c r="G140" s="164">
        <f t="shared" si="115"/>
        <v>-180.78899999999999</v>
      </c>
      <c r="H140" s="164">
        <f t="shared" si="115"/>
        <v>-237.143</v>
      </c>
      <c r="I140" s="164">
        <f t="shared" si="115"/>
        <v>-207.84100000000001</v>
      </c>
      <c r="J140" s="164">
        <f t="shared" si="115"/>
        <v>-245.93600000000001</v>
      </c>
      <c r="K140" s="164">
        <f>K16</f>
        <v>-316.72699999999998</v>
      </c>
      <c r="L140" s="164">
        <f>L16</f>
        <v>-314.40199999999999</v>
      </c>
      <c r="M140" s="164">
        <f t="shared" si="115"/>
        <v>-324.04200000000003</v>
      </c>
      <c r="N140" s="164">
        <f t="shared" si="115"/>
        <v>-333.738</v>
      </c>
      <c r="O140" s="164">
        <f t="shared" si="115"/>
        <v>-393.66300000000001</v>
      </c>
      <c r="P140" s="164">
        <f t="shared" si="115"/>
        <v>-405.98899999999998</v>
      </c>
      <c r="Q140" s="164">
        <f>Q16</f>
        <v>-371</v>
      </c>
      <c r="R140" s="164">
        <f>R16</f>
        <v>-368</v>
      </c>
      <c r="S140" s="23"/>
      <c r="T140" s="23"/>
      <c r="U140" s="23"/>
      <c r="V140" s="23"/>
      <c r="W140" s="23"/>
      <c r="X140" s="23"/>
      <c r="Y140" s="23"/>
      <c r="Z140" s="23"/>
      <c r="AA140" s="23"/>
      <c r="AB140" s="23"/>
      <c r="AC140" s="23"/>
    </row>
    <row r="141" spans="1:29">
      <c r="A141" s="24" t="s">
        <v>1220</v>
      </c>
      <c r="B141" s="23"/>
      <c r="C141" s="164">
        <f>C17</f>
        <v>39.730000000000004</v>
      </c>
      <c r="D141" s="164">
        <f t="shared" ref="D141:P141" si="116">D17</f>
        <v>66.004000000000005</v>
      </c>
      <c r="E141" s="164">
        <f t="shared" si="116"/>
        <v>22.798999999999999</v>
      </c>
      <c r="F141" s="164">
        <f t="shared" si="116"/>
        <v>45.312000000000012</v>
      </c>
      <c r="G141" s="164">
        <f t="shared" si="116"/>
        <v>32.016000000000005</v>
      </c>
      <c r="H141" s="164">
        <f t="shared" si="116"/>
        <v>19.616999999999997</v>
      </c>
      <c r="I141" s="164">
        <f t="shared" si="116"/>
        <v>26.873000000000001</v>
      </c>
      <c r="J141" s="164">
        <f t="shared" si="116"/>
        <v>1.339999999999997</v>
      </c>
      <c r="K141" s="164">
        <f>K17</f>
        <v>11.203000000000003</v>
      </c>
      <c r="L141" s="164">
        <f>L17</f>
        <v>16.794</v>
      </c>
      <c r="M141" s="164">
        <f t="shared" si="116"/>
        <v>6.653999999999999</v>
      </c>
      <c r="N141" s="164">
        <f t="shared" si="116"/>
        <v>-1.4499999999999997</v>
      </c>
      <c r="O141" s="164">
        <f t="shared" si="116"/>
        <v>14.282999999999992</v>
      </c>
      <c r="P141" s="164">
        <f t="shared" si="116"/>
        <v>34.957999999999998</v>
      </c>
      <c r="Q141" s="164">
        <f>Q17</f>
        <v>0</v>
      </c>
      <c r="R141" s="164">
        <f>R17</f>
        <v>0</v>
      </c>
      <c r="S141" s="23"/>
      <c r="T141" s="23"/>
      <c r="U141" s="23"/>
      <c r="V141" s="23"/>
      <c r="W141" s="23"/>
      <c r="X141" s="23"/>
      <c r="Y141" s="23"/>
      <c r="Z141" s="23"/>
      <c r="AA141" s="23"/>
      <c r="AB141" s="23"/>
      <c r="AC141" s="23"/>
    </row>
    <row r="142" spans="1:29">
      <c r="A142" s="1135" t="s">
        <v>857</v>
      </c>
      <c r="B142" s="23"/>
      <c r="C142" s="1114">
        <f>C138+C140+C141</f>
        <v>1008.272</v>
      </c>
      <c r="D142" s="1114">
        <f t="shared" ref="D142:Q142" si="117">D138+D140+D141</f>
        <v>957.42</v>
      </c>
      <c r="E142" s="1114">
        <f t="shared" si="117"/>
        <v>1097.0489999999982</v>
      </c>
      <c r="F142" s="1114">
        <f t="shared" si="117"/>
        <v>756.8610000000001</v>
      </c>
      <c r="G142" s="1114">
        <f t="shared" si="117"/>
        <v>568.69600000000003</v>
      </c>
      <c r="H142" s="1114">
        <f t="shared" si="117"/>
        <v>640.75800000000095</v>
      </c>
      <c r="I142" s="1114">
        <f t="shared" si="117"/>
        <v>1103.065000000001</v>
      </c>
      <c r="J142" s="1114">
        <f t="shared" si="117"/>
        <v>1301.8289999999993</v>
      </c>
      <c r="K142" s="1114">
        <f t="shared" si="117"/>
        <v>1401.8020000000029</v>
      </c>
      <c r="L142" s="1114">
        <f t="shared" si="117"/>
        <v>1445.8789999999974</v>
      </c>
      <c r="M142" s="1114">
        <f t="shared" si="117"/>
        <v>1635.7140000000018</v>
      </c>
      <c r="N142" s="1114">
        <f t="shared" si="117"/>
        <v>1856.3189999999991</v>
      </c>
      <c r="O142" s="1114">
        <f t="shared" si="117"/>
        <v>1658.0220000000013</v>
      </c>
      <c r="P142" s="1114">
        <f t="shared" si="117"/>
        <v>1357.2300000000005</v>
      </c>
      <c r="Q142" s="1114">
        <f t="shared" si="117"/>
        <v>1249.9995749999221</v>
      </c>
      <c r="R142" s="1114">
        <f>R138+R140+R141</f>
        <v>1346.1677998377472</v>
      </c>
      <c r="S142" s="23"/>
      <c r="T142" s="23"/>
      <c r="U142" s="23"/>
      <c r="V142" s="23"/>
      <c r="W142" s="23"/>
      <c r="X142" s="23"/>
      <c r="Y142" s="23"/>
      <c r="Z142" s="23"/>
      <c r="AA142" s="23"/>
      <c r="AB142" s="23"/>
      <c r="AC142" s="23"/>
    </row>
    <row r="143" spans="1:29">
      <c r="A143" s="24"/>
      <c r="B143" s="23"/>
      <c r="C143" s="164"/>
      <c r="D143" s="164"/>
      <c r="E143" s="164"/>
      <c r="F143" s="164"/>
      <c r="G143" s="164"/>
      <c r="H143" s="164"/>
      <c r="I143" s="164"/>
      <c r="J143" s="164"/>
      <c r="K143" s="164"/>
      <c r="L143" s="164"/>
      <c r="M143" s="164"/>
      <c r="S143" s="23"/>
      <c r="T143" s="23"/>
      <c r="U143" s="23"/>
      <c r="V143" s="23"/>
      <c r="W143" s="23"/>
      <c r="X143" s="23"/>
      <c r="Y143" s="23"/>
      <c r="Z143" s="23"/>
      <c r="AA143" s="23"/>
      <c r="AB143" s="23"/>
      <c r="AC143" s="23"/>
    </row>
    <row r="144" spans="1:29">
      <c r="A144" s="24" t="s">
        <v>1211</v>
      </c>
      <c r="B144" s="23"/>
      <c r="C144" s="164">
        <f>C20</f>
        <v>371</v>
      </c>
      <c r="D144" s="164">
        <f t="shared" ref="D144:J144" si="118">D20</f>
        <v>291</v>
      </c>
      <c r="E144" s="164">
        <f t="shared" si="118"/>
        <v>422</v>
      </c>
      <c r="F144" s="164">
        <f t="shared" si="118"/>
        <v>294.89999999999998</v>
      </c>
      <c r="G144" s="164">
        <f t="shared" si="118"/>
        <v>215.41200000000001</v>
      </c>
      <c r="H144" s="164">
        <f t="shared" si="118"/>
        <v>238.99200000000002</v>
      </c>
      <c r="I144" s="164">
        <f t="shared" si="118"/>
        <v>418.58500000000004</v>
      </c>
      <c r="J144" s="164">
        <f t="shared" si="118"/>
        <v>484.48500000000001</v>
      </c>
      <c r="K144" s="164">
        <f>K20</f>
        <v>535.18730000000005</v>
      </c>
      <c r="L144" s="164">
        <f>L20</f>
        <v>542.851</v>
      </c>
      <c r="M144" s="164">
        <f t="shared" ref="M144:R144" si="119">M142*M167</f>
        <v>593.67099999999994</v>
      </c>
      <c r="N144" s="164">
        <f t="shared" si="119"/>
        <v>672.31</v>
      </c>
      <c r="O144" s="164">
        <f t="shared" si="119"/>
        <v>567.92700000000002</v>
      </c>
      <c r="P144" s="164">
        <f t="shared" si="119"/>
        <v>437.88</v>
      </c>
      <c r="Q144" s="164">
        <f t="shared" si="119"/>
        <v>337.49988524997923</v>
      </c>
      <c r="R144" s="164">
        <f t="shared" si="119"/>
        <v>363.46530595619203</v>
      </c>
      <c r="S144" s="23"/>
      <c r="T144" s="23"/>
      <c r="U144" s="23"/>
      <c r="V144" s="23"/>
      <c r="W144" s="23"/>
      <c r="X144" s="23"/>
      <c r="Y144" s="23"/>
      <c r="Z144" s="23"/>
      <c r="AA144" s="23"/>
      <c r="AB144" s="23"/>
      <c r="AC144" s="23"/>
    </row>
    <row r="145" spans="1:29">
      <c r="A145" s="24"/>
      <c r="B145" s="23"/>
      <c r="C145" s="164"/>
      <c r="D145" s="164"/>
      <c r="E145" s="164"/>
      <c r="F145" s="164"/>
      <c r="G145" s="164"/>
      <c r="H145" s="164"/>
      <c r="I145" s="164"/>
      <c r="J145" s="164"/>
      <c r="K145" s="164"/>
      <c r="L145" s="164"/>
      <c r="M145" s="164"/>
      <c r="S145" s="23"/>
      <c r="T145" s="23"/>
      <c r="U145" s="23"/>
      <c r="V145" s="23"/>
      <c r="W145" s="23"/>
      <c r="X145" s="23"/>
      <c r="Y145" s="23"/>
      <c r="Z145" s="23"/>
      <c r="AA145" s="23"/>
      <c r="AB145" s="23"/>
      <c r="AC145" s="23"/>
    </row>
    <row r="146" spans="1:29">
      <c r="A146" s="24"/>
      <c r="B146" s="23"/>
      <c r="C146" s="164"/>
      <c r="D146" s="164"/>
      <c r="E146" s="164"/>
      <c r="F146" s="164"/>
      <c r="G146" s="164"/>
      <c r="H146" s="164"/>
      <c r="I146" s="164"/>
      <c r="J146" s="164"/>
      <c r="K146" s="164"/>
      <c r="L146" s="164"/>
      <c r="M146" s="164"/>
      <c r="S146" s="23"/>
      <c r="T146" s="23"/>
      <c r="U146" s="23"/>
      <c r="V146" s="23"/>
      <c r="W146" s="23"/>
      <c r="X146" s="23"/>
      <c r="Y146" s="23"/>
      <c r="Z146" s="23"/>
      <c r="AA146" s="23"/>
      <c r="AB146" s="23"/>
      <c r="AC146" s="23"/>
    </row>
    <row r="147" spans="1:29">
      <c r="A147" s="24" t="s">
        <v>858</v>
      </c>
      <c r="B147" s="23"/>
      <c r="C147" s="1114">
        <f t="shared" ref="C147:P147" si="120">C142-C144</f>
        <v>637.27200000000005</v>
      </c>
      <c r="D147" s="1114">
        <f t="shared" si="120"/>
        <v>666.42</v>
      </c>
      <c r="E147" s="1114">
        <f t="shared" si="120"/>
        <v>675.04899999999816</v>
      </c>
      <c r="F147" s="1114">
        <f t="shared" si="120"/>
        <v>461.96100000000013</v>
      </c>
      <c r="G147" s="1114">
        <f t="shared" si="120"/>
        <v>353.28399999999999</v>
      </c>
      <c r="H147" s="1114">
        <f t="shared" si="120"/>
        <v>401.76600000000093</v>
      </c>
      <c r="I147" s="1114">
        <f t="shared" si="120"/>
        <v>684.48000000000093</v>
      </c>
      <c r="J147" s="1114">
        <f t="shared" si="120"/>
        <v>817.34399999999926</v>
      </c>
      <c r="K147" s="1114">
        <f>K142-K144</f>
        <v>866.61470000000281</v>
      </c>
      <c r="L147" s="1114">
        <f>L142-L144</f>
        <v>903.02799999999741</v>
      </c>
      <c r="M147" s="1114">
        <f t="shared" si="120"/>
        <v>1042.0430000000019</v>
      </c>
      <c r="N147" s="1114">
        <f t="shared" si="120"/>
        <v>1184.0089999999991</v>
      </c>
      <c r="O147" s="1114">
        <f t="shared" si="120"/>
        <v>1090.0950000000012</v>
      </c>
      <c r="P147" s="1114">
        <f t="shared" si="120"/>
        <v>919.35000000000048</v>
      </c>
      <c r="Q147" s="1114">
        <f>Q142-Q144</f>
        <v>912.49968974994283</v>
      </c>
      <c r="R147" s="1114">
        <f>R142-R144</f>
        <v>982.70249388155526</v>
      </c>
      <c r="S147" s="23"/>
      <c r="T147" s="23"/>
      <c r="U147" s="23"/>
      <c r="V147" s="23"/>
      <c r="W147" s="23"/>
      <c r="X147" s="23"/>
      <c r="Y147" s="23"/>
      <c r="Z147" s="23"/>
      <c r="AA147" s="23"/>
      <c r="AB147" s="23"/>
      <c r="AC147" s="23"/>
    </row>
    <row r="148" spans="1:29">
      <c r="A148" s="24"/>
      <c r="B148" s="23"/>
      <c r="S148" s="23"/>
      <c r="T148" s="23"/>
      <c r="U148" s="23"/>
      <c r="V148" s="23"/>
      <c r="W148" s="23"/>
      <c r="X148" s="23"/>
      <c r="Y148" s="23"/>
      <c r="Z148" s="23"/>
      <c r="AA148" s="23"/>
      <c r="AB148" s="23"/>
      <c r="AC148" s="23"/>
    </row>
    <row r="149" spans="1:29">
      <c r="A149" s="383" t="s">
        <v>859</v>
      </c>
      <c r="B149" s="23"/>
      <c r="C149" s="1108">
        <f t="shared" ref="C149:P149" si="121">C147/C150</f>
        <v>1.331475217343159</v>
      </c>
      <c r="D149" s="1108">
        <f t="shared" si="121"/>
        <v>1.6217123834368368</v>
      </c>
      <c r="E149" s="1108">
        <f t="shared" si="121"/>
        <v>1.6771445394895343</v>
      </c>
      <c r="F149" s="1108">
        <f t="shared" si="121"/>
        <v>1.2149514767377643</v>
      </c>
      <c r="G149" s="1108">
        <f t="shared" si="121"/>
        <v>1.0473849766232535</v>
      </c>
      <c r="H149" s="1108">
        <f t="shared" si="121"/>
        <v>1.2295258060073782</v>
      </c>
      <c r="I149" s="1108">
        <f t="shared" si="121"/>
        <v>2.0562735449449367</v>
      </c>
      <c r="J149" s="1108">
        <f t="shared" si="121"/>
        <v>2.6005131067809009</v>
      </c>
      <c r="K149" s="1108">
        <f>K147/K150</f>
        <v>2.9201658529024352</v>
      </c>
      <c r="L149" s="1108">
        <f>L147/L150</f>
        <v>3.0502035094830262</v>
      </c>
      <c r="M149" s="1108">
        <f t="shared" si="121"/>
        <v>3.4972580212109077</v>
      </c>
      <c r="N149" s="1108">
        <f t="shared" si="121"/>
        <v>3.9894065887042331</v>
      </c>
      <c r="O149" s="1108">
        <f t="shared" si="121"/>
        <v>3.7451943723910506</v>
      </c>
      <c r="P149" s="1108">
        <f t="shared" si="121"/>
        <v>3.2021943573667726</v>
      </c>
      <c r="Q149" s="1108">
        <f>Q147/Q150</f>
        <v>3.2329484136401874</v>
      </c>
      <c r="R149" s="1108">
        <f>R147/R150</f>
        <v>3.4992373669372889</v>
      </c>
      <c r="S149" s="23"/>
      <c r="T149" s="23"/>
      <c r="U149" s="23"/>
      <c r="V149" s="23"/>
      <c r="W149" s="23"/>
      <c r="X149" s="23"/>
      <c r="Y149" s="23"/>
      <c r="Z149" s="23"/>
      <c r="AA149" s="23"/>
      <c r="AB149" s="23"/>
      <c r="AC149" s="23"/>
    </row>
    <row r="150" spans="1:29">
      <c r="A150" s="24" t="s">
        <v>567</v>
      </c>
      <c r="B150" s="23"/>
      <c r="C150" s="164">
        <f>C26</f>
        <v>478.62099999999998</v>
      </c>
      <c r="D150" s="164">
        <f t="shared" ref="D150:J150" si="122">D26</f>
        <v>410.93599999999998</v>
      </c>
      <c r="E150" s="164">
        <f t="shared" si="122"/>
        <v>402.49900000000002</v>
      </c>
      <c r="F150" s="164">
        <f t="shared" si="122"/>
        <v>380.23</v>
      </c>
      <c r="G150" s="164">
        <f t="shared" si="122"/>
        <v>337.30099999999999</v>
      </c>
      <c r="H150" s="164">
        <f t="shared" si="122"/>
        <v>326.76499999999999</v>
      </c>
      <c r="I150" s="164">
        <f t="shared" si="122"/>
        <v>332.87400000000002</v>
      </c>
      <c r="J150" s="164">
        <f t="shared" si="122"/>
        <v>314.30104999999998</v>
      </c>
      <c r="K150" s="164">
        <f>K26</f>
        <v>296.76900000000001</v>
      </c>
      <c r="L150" s="164">
        <f>L26</f>
        <v>296.05500000000001</v>
      </c>
      <c r="M150" s="1141">
        <f t="shared" ref="M150:R150" si="123">INDEX(M151:M153,MATCH($X$158,$AB$158:$AB$160,0))</f>
        <v>297.95999999999998</v>
      </c>
      <c r="N150" s="1141">
        <f t="shared" si="123"/>
        <v>296.78825000000001</v>
      </c>
      <c r="O150" s="1141">
        <f t="shared" si="123"/>
        <v>291.065</v>
      </c>
      <c r="P150" s="1141">
        <f t="shared" si="123"/>
        <v>287.10000000000002</v>
      </c>
      <c r="Q150" s="1141">
        <f t="shared" si="123"/>
        <v>282.25</v>
      </c>
      <c r="R150" s="1141">
        <f t="shared" si="123"/>
        <v>280.83333333333331</v>
      </c>
      <c r="S150" s="23"/>
      <c r="T150" s="23"/>
      <c r="U150" s="23"/>
      <c r="V150" s="23"/>
      <c r="W150" s="23"/>
      <c r="X150" s="23"/>
      <c r="Y150" s="23"/>
      <c r="Z150" s="23"/>
      <c r="AA150" s="23"/>
      <c r="AB150" s="23"/>
      <c r="AC150" s="23"/>
    </row>
    <row r="151" spans="1:29" outlineLevel="1">
      <c r="A151" s="1135" t="s">
        <v>134</v>
      </c>
      <c r="B151" s="23"/>
      <c r="C151" s="164"/>
      <c r="D151" s="164"/>
      <c r="E151" s="164"/>
      <c r="F151" s="164"/>
      <c r="G151" s="164"/>
      <c r="H151" s="164"/>
      <c r="I151" s="164"/>
      <c r="J151" s="164"/>
      <c r="K151" s="164"/>
      <c r="L151" s="164"/>
      <c r="M151" s="1142">
        <f t="shared" ref="M151:R151" si="124">M66</f>
        <v>297.95999999999998</v>
      </c>
      <c r="N151" s="1142">
        <f t="shared" si="124"/>
        <v>296.78825000000001</v>
      </c>
      <c r="O151" s="1142">
        <f t="shared" si="124"/>
        <v>291.065</v>
      </c>
      <c r="P151" s="1142">
        <f t="shared" si="124"/>
        <v>287.10000000000002</v>
      </c>
      <c r="Q151" s="1142">
        <f t="shared" si="124"/>
        <v>282.25</v>
      </c>
      <c r="R151" s="1142">
        <f t="shared" si="124"/>
        <v>280.83333333333331</v>
      </c>
      <c r="S151" s="23"/>
      <c r="T151" s="23"/>
      <c r="U151" s="23"/>
      <c r="V151" s="23"/>
      <c r="W151" s="23"/>
      <c r="X151" s="23"/>
      <c r="Y151" s="23"/>
      <c r="Z151" s="23"/>
      <c r="AA151" s="23"/>
      <c r="AB151" s="23"/>
      <c r="AC151" s="23"/>
    </row>
    <row r="152" spans="1:29" outlineLevel="1">
      <c r="A152" s="1135" t="s">
        <v>44</v>
      </c>
      <c r="B152" s="23"/>
      <c r="C152" s="164"/>
      <c r="D152" s="164"/>
      <c r="E152" s="164"/>
      <c r="F152" s="164"/>
      <c r="G152" s="164"/>
      <c r="H152" s="164"/>
      <c r="I152" s="164"/>
      <c r="J152" s="164"/>
      <c r="K152" s="164"/>
      <c r="L152" s="164"/>
      <c r="M152" s="1142">
        <f t="shared" ref="M152:R152" si="125">M26</f>
        <v>297.95999999999998</v>
      </c>
      <c r="N152" s="1142">
        <f t="shared" si="125"/>
        <v>296.78825000000001</v>
      </c>
      <c r="O152" s="1142">
        <f t="shared" si="125"/>
        <v>291.065</v>
      </c>
      <c r="P152" s="1142">
        <f t="shared" si="125"/>
        <v>287.10000000000002</v>
      </c>
      <c r="Q152" s="1142">
        <f t="shared" si="125"/>
        <v>282.25</v>
      </c>
      <c r="R152" s="1142">
        <f t="shared" si="125"/>
        <v>280.83333333333331</v>
      </c>
      <c r="S152" s="23"/>
      <c r="T152" s="23"/>
      <c r="U152" s="23"/>
      <c r="V152" s="23"/>
      <c r="W152" s="23"/>
      <c r="X152" s="23"/>
      <c r="Y152" s="23"/>
      <c r="Z152" s="23"/>
      <c r="AA152" s="23"/>
      <c r="AB152" s="23"/>
      <c r="AC152" s="23"/>
    </row>
    <row r="153" spans="1:29" outlineLevel="1">
      <c r="A153" s="1135" t="s">
        <v>135</v>
      </c>
      <c r="B153" s="23"/>
      <c r="C153" s="164"/>
      <c r="D153" s="164"/>
      <c r="E153" s="164"/>
      <c r="F153" s="164"/>
      <c r="G153" s="164"/>
      <c r="H153" s="164"/>
      <c r="I153" s="164"/>
      <c r="J153" s="164"/>
      <c r="K153" s="164"/>
      <c r="L153" s="164"/>
      <c r="M153" s="1142">
        <f t="shared" ref="M153:R153" si="126">M108</f>
        <v>297.95999999999998</v>
      </c>
      <c r="N153" s="1142">
        <f t="shared" si="126"/>
        <v>296.78825000000001</v>
      </c>
      <c r="O153" s="1142">
        <f t="shared" si="126"/>
        <v>291.065</v>
      </c>
      <c r="P153" s="1142">
        <f t="shared" si="126"/>
        <v>287.10000000000002</v>
      </c>
      <c r="Q153" s="1142">
        <f t="shared" si="126"/>
        <v>282.25</v>
      </c>
      <c r="R153" s="1142">
        <f t="shared" si="126"/>
        <v>280.83333333333331</v>
      </c>
      <c r="S153" s="23"/>
      <c r="T153" s="23"/>
      <c r="U153" s="23"/>
      <c r="V153" s="23"/>
      <c r="W153" s="23"/>
      <c r="X153" s="23"/>
      <c r="Y153" s="23"/>
      <c r="Z153" s="23"/>
      <c r="AA153" s="23"/>
      <c r="AB153" s="23"/>
      <c r="AC153" s="23"/>
    </row>
    <row r="154" spans="1:29">
      <c r="A154" s="24"/>
      <c r="B154" s="23"/>
      <c r="M154" s="966"/>
      <c r="N154" s="966"/>
      <c r="O154" s="966"/>
      <c r="P154" s="966"/>
      <c r="Q154" s="966"/>
      <c r="R154" s="966"/>
      <c r="S154" s="23"/>
      <c r="T154" s="23"/>
      <c r="U154" s="23"/>
      <c r="V154" s="23"/>
      <c r="W154" s="23"/>
      <c r="X154" s="23"/>
      <c r="Y154" s="23"/>
      <c r="Z154" s="23"/>
      <c r="AA154" s="23"/>
      <c r="AB154" s="23"/>
      <c r="AC154" s="23"/>
    </row>
    <row r="155" spans="1:29">
      <c r="A155" s="24" t="s">
        <v>701</v>
      </c>
      <c r="B155" s="23"/>
      <c r="C155" s="1114">
        <f>C137+C138</f>
        <v>1360.2809999999999</v>
      </c>
      <c r="D155" s="1114">
        <f>D137+D138</f>
        <v>1284.549</v>
      </c>
      <c r="E155" s="1114">
        <f>E137+E138</f>
        <v>1491.8499999999981</v>
      </c>
      <c r="F155" s="1114">
        <f>F137+F138</f>
        <v>1213.0860000000002</v>
      </c>
      <c r="G155" s="1114">
        <f t="shared" ref="G155:P155" si="127">G137+G138</f>
        <v>1060.3050000000001</v>
      </c>
      <c r="H155" s="1114">
        <f>H137+H138</f>
        <v>1215.267000000001</v>
      </c>
      <c r="I155" s="1114">
        <f>I137+I138</f>
        <v>1650.9260000000008</v>
      </c>
      <c r="J155" s="1114">
        <f>J137+J138</f>
        <v>1902.4249999999993</v>
      </c>
      <c r="K155" s="1114">
        <f>K137+K138</f>
        <v>2060.8910000000028</v>
      </c>
      <c r="L155" s="1114">
        <f>L137+L138</f>
        <v>2111.4549999999972</v>
      </c>
      <c r="M155" s="1143">
        <f t="shared" si="127"/>
        <v>2350.9100000000017</v>
      </c>
      <c r="N155" s="1143">
        <f t="shared" si="127"/>
        <v>2606.4789999999994</v>
      </c>
      <c r="O155" s="1143">
        <f t="shared" si="127"/>
        <v>2508.9320000000016</v>
      </c>
      <c r="P155" s="1143">
        <f t="shared" si="127"/>
        <v>2252.9420000000005</v>
      </c>
      <c r="Q155" s="1143">
        <f>Q137+Q138</f>
        <v>2180.9995749999221</v>
      </c>
      <c r="R155" s="1143">
        <f>R137+R138</f>
        <v>2330.1677998377472</v>
      </c>
      <c r="S155" s="23"/>
      <c r="T155" s="23"/>
      <c r="U155" s="23"/>
      <c r="V155" s="23"/>
      <c r="W155" s="23"/>
      <c r="X155" s="23"/>
      <c r="Y155" s="23"/>
      <c r="Z155" s="23"/>
      <c r="AA155" s="23"/>
      <c r="AB155" s="23"/>
      <c r="AC155" s="23"/>
    </row>
    <row r="156" spans="1:29">
      <c r="A156" s="24"/>
      <c r="B156" s="23"/>
      <c r="M156" s="966"/>
      <c r="N156" s="966"/>
      <c r="O156" s="966"/>
      <c r="P156" s="966"/>
      <c r="Q156" s="966"/>
      <c r="R156" s="966"/>
      <c r="S156" s="23"/>
      <c r="T156" s="23"/>
      <c r="U156" s="23"/>
      <c r="V156" s="23"/>
      <c r="W156" s="23"/>
      <c r="X156" s="23"/>
      <c r="Y156" s="23"/>
      <c r="Z156" s="23"/>
      <c r="AA156" s="23"/>
      <c r="AB156" s="23"/>
      <c r="AC156" s="23"/>
    </row>
    <row r="157" spans="1:29" ht="13.5" thickBot="1">
      <c r="A157" s="27" t="s">
        <v>1214</v>
      </c>
      <c r="B157" s="23"/>
      <c r="M157" s="966"/>
      <c r="N157" s="966"/>
      <c r="O157" s="966"/>
      <c r="P157" s="966"/>
      <c r="Q157" s="966"/>
      <c r="R157" s="966"/>
      <c r="S157" s="23"/>
      <c r="T157" s="23"/>
      <c r="U157" s="23"/>
      <c r="V157" s="23"/>
      <c r="W157" s="23"/>
      <c r="X157" s="23"/>
      <c r="Y157" s="23"/>
      <c r="Z157" s="23"/>
      <c r="AA157" s="23"/>
      <c r="AB157" s="23"/>
      <c r="AC157" s="23"/>
    </row>
    <row r="158" spans="1:29" ht="13.5" thickBot="1">
      <c r="A158" s="24" t="s">
        <v>703</v>
      </c>
      <c r="B158" s="23"/>
      <c r="C158" s="127">
        <f>C135/C131</f>
        <v>0.36075270462969339</v>
      </c>
      <c r="D158" s="127">
        <f t="shared" ref="D158:J158" si="128">D135/D131</f>
        <v>0.35877342826577008</v>
      </c>
      <c r="E158" s="127">
        <f t="shared" si="128"/>
        <v>0.37612808802954723</v>
      </c>
      <c r="F158" s="127">
        <f t="shared" si="128"/>
        <v>0.34338455626445513</v>
      </c>
      <c r="G158" s="127">
        <f t="shared" si="128"/>
        <v>0.33246755027629527</v>
      </c>
      <c r="H158" s="127">
        <f t="shared" si="128"/>
        <v>0.350778361927639</v>
      </c>
      <c r="I158" s="127">
        <f t="shared" si="128"/>
        <v>0.3776848022079462</v>
      </c>
      <c r="J158" s="127">
        <f t="shared" si="128"/>
        <v>0.3930669419272369</v>
      </c>
      <c r="K158" s="127">
        <f>K135/K131</f>
        <v>0.42318713730985613</v>
      </c>
      <c r="L158" s="127">
        <f>L135/L131</f>
        <v>0.41111818936805361</v>
      </c>
      <c r="M158" s="292">
        <f t="shared" ref="M158:R158" si="129">INDEX(M159:M161,MATCH($X$158,$AB$158:$AB$160,0))</f>
        <v>0.41973178069610262</v>
      </c>
      <c r="N158" s="292">
        <f t="shared" si="129"/>
        <v>0.42813720761579965</v>
      </c>
      <c r="O158" s="292">
        <f t="shared" si="129"/>
        <v>0.40848838831309531</v>
      </c>
      <c r="P158" s="292">
        <f t="shared" si="129"/>
        <v>0.39258839875924456</v>
      </c>
      <c r="Q158" s="292">
        <f t="shared" si="129"/>
        <v>0.39191555382456578</v>
      </c>
      <c r="R158" s="292">
        <f t="shared" si="129"/>
        <v>0.39461764569604552</v>
      </c>
      <c r="S158" s="23"/>
      <c r="T158" s="23"/>
      <c r="U158" s="23"/>
      <c r="V158" s="23"/>
      <c r="W158" s="1136" t="s">
        <v>301</v>
      </c>
      <c r="X158" s="1137" t="s">
        <v>333</v>
      </c>
      <c r="Y158" s="2822"/>
      <c r="Z158" s="23"/>
      <c r="AA158" s="23"/>
      <c r="AB158" s="1138" t="s">
        <v>134</v>
      </c>
      <c r="AC158" s="1138"/>
    </row>
    <row r="159" spans="1:29" outlineLevel="1">
      <c r="A159" s="1135" t="s">
        <v>134</v>
      </c>
      <c r="B159" s="23"/>
      <c r="C159" s="127"/>
      <c r="D159" s="127"/>
      <c r="E159" s="127"/>
      <c r="F159" s="127"/>
      <c r="G159" s="127"/>
      <c r="H159" s="127"/>
      <c r="I159" s="127"/>
      <c r="J159" s="127"/>
      <c r="K159" s="127"/>
      <c r="L159" s="127"/>
      <c r="M159" s="292">
        <f t="shared" ref="M159:R159" si="130">M71</f>
        <v>0.41973178069610262</v>
      </c>
      <c r="N159" s="292">
        <f t="shared" si="130"/>
        <v>0.42813720761579965</v>
      </c>
      <c r="O159" s="292">
        <f t="shared" si="130"/>
        <v>0.40848838831309531</v>
      </c>
      <c r="P159" s="292">
        <f t="shared" si="130"/>
        <v>0.39258839875924456</v>
      </c>
      <c r="Q159" s="292">
        <f t="shared" si="130"/>
        <v>0.39591555382456578</v>
      </c>
      <c r="R159" s="292">
        <f t="shared" si="130"/>
        <v>0.40061764569604552</v>
      </c>
      <c r="S159" s="23"/>
      <c r="T159" s="23"/>
      <c r="U159" s="23"/>
      <c r="V159" s="23"/>
      <c r="W159" s="23"/>
      <c r="X159" s="23"/>
      <c r="Y159" s="23"/>
      <c r="Z159" s="23"/>
      <c r="AA159" s="23"/>
      <c r="AB159" s="1138" t="s">
        <v>44</v>
      </c>
      <c r="AC159" s="1138"/>
    </row>
    <row r="160" spans="1:29" outlineLevel="1">
      <c r="A160" s="1135" t="s">
        <v>44</v>
      </c>
      <c r="B160" s="23"/>
      <c r="C160" s="127"/>
      <c r="D160" s="127"/>
      <c r="E160" s="127"/>
      <c r="F160" s="127"/>
      <c r="G160" s="127"/>
      <c r="H160" s="127"/>
      <c r="I160" s="127"/>
      <c r="J160" s="127"/>
      <c r="K160" s="127"/>
      <c r="L160" s="127"/>
      <c r="M160" s="292">
        <f t="shared" ref="M160:R160" si="131">M31</f>
        <v>0.41973178069610262</v>
      </c>
      <c r="N160" s="292">
        <f t="shared" si="131"/>
        <v>0.42813720761579965</v>
      </c>
      <c r="O160" s="292">
        <f t="shared" si="131"/>
        <v>0.40848838831309531</v>
      </c>
      <c r="P160" s="292">
        <f t="shared" si="131"/>
        <v>0.39258839875924456</v>
      </c>
      <c r="Q160" s="292">
        <f t="shared" si="131"/>
        <v>0.39191555382456578</v>
      </c>
      <c r="R160" s="292">
        <f t="shared" si="131"/>
        <v>0.39461764569604552</v>
      </c>
      <c r="S160" s="23"/>
      <c r="T160" s="23"/>
      <c r="U160" s="23"/>
      <c r="V160" s="23"/>
      <c r="W160" s="23"/>
      <c r="X160" s="23"/>
      <c r="Y160" s="23"/>
      <c r="Z160" s="23"/>
      <c r="AA160" s="23"/>
      <c r="AB160" s="1139" t="s">
        <v>135</v>
      </c>
      <c r="AC160" s="1139"/>
    </row>
    <row r="161" spans="1:29" outlineLevel="1">
      <c r="A161" s="1135" t="s">
        <v>135</v>
      </c>
      <c r="B161" s="23"/>
      <c r="C161" s="127"/>
      <c r="D161" s="127"/>
      <c r="E161" s="127"/>
      <c r="F161" s="127"/>
      <c r="G161" s="127"/>
      <c r="H161" s="127"/>
      <c r="I161" s="127"/>
      <c r="J161" s="127"/>
      <c r="K161" s="127"/>
      <c r="L161" s="127"/>
      <c r="M161" s="292">
        <f t="shared" ref="M161:R161" si="132">M113</f>
        <v>0.41973178069610262</v>
      </c>
      <c r="N161" s="292">
        <f t="shared" si="132"/>
        <v>0.42813720761579965</v>
      </c>
      <c r="O161" s="292">
        <f t="shared" si="132"/>
        <v>0.40848838831309531</v>
      </c>
      <c r="P161" s="292">
        <f t="shared" si="132"/>
        <v>0.39258839875924456</v>
      </c>
      <c r="Q161" s="292">
        <f t="shared" si="132"/>
        <v>0.38691555382456577</v>
      </c>
      <c r="R161" s="292">
        <f t="shared" si="132"/>
        <v>0.38461764569604551</v>
      </c>
      <c r="S161" s="23"/>
      <c r="T161" s="23"/>
      <c r="U161" s="23"/>
      <c r="V161" s="23"/>
      <c r="W161" s="23"/>
      <c r="X161" s="23"/>
      <c r="Y161" s="23"/>
      <c r="Z161" s="23"/>
      <c r="AA161" s="23"/>
      <c r="AB161" s="23"/>
      <c r="AC161" s="23"/>
    </row>
    <row r="162" spans="1:29">
      <c r="A162" s="24" t="s">
        <v>1216</v>
      </c>
      <c r="B162" s="23"/>
      <c r="C162" s="127">
        <f>C136/C131</f>
        <v>0.25161431721226929</v>
      </c>
      <c r="D162" s="127">
        <f t="shared" ref="D162:J162" si="133">D136/D131</f>
        <v>0.2571357076340493</v>
      </c>
      <c r="E162" s="127">
        <f t="shared" si="133"/>
        <v>0.26591075158948435</v>
      </c>
      <c r="F162" s="127">
        <f t="shared" si="133"/>
        <v>0.25801735570227058</v>
      </c>
      <c r="G162" s="127">
        <f t="shared" si="133"/>
        <v>0.25312504112441875</v>
      </c>
      <c r="H162" s="127">
        <f t="shared" si="133"/>
        <v>0.25135349160056752</v>
      </c>
      <c r="I162" s="127">
        <f t="shared" si="133"/>
        <v>0.24411610690963059</v>
      </c>
      <c r="J162" s="127">
        <f t="shared" si="133"/>
        <v>0.24385570124579334</v>
      </c>
      <c r="K162" s="127">
        <f>K136/K131</f>
        <v>0.25994181659357241</v>
      </c>
      <c r="L162" s="127">
        <f>L136/L131</f>
        <v>0.24928278115039246</v>
      </c>
      <c r="M162" s="292">
        <f t="shared" ref="M162:R162" si="134">INDEX(M163:M165,MATCH($X$158,$AB$158:$AB$160,0))</f>
        <v>0.24921564929815276</v>
      </c>
      <c r="N162" s="292">
        <f t="shared" si="134"/>
        <v>0.24782244808325571</v>
      </c>
      <c r="O162" s="292">
        <f t="shared" si="134"/>
        <v>0.24645729307017525</v>
      </c>
      <c r="P162" s="292">
        <f t="shared" si="134"/>
        <v>0.25577558931450667</v>
      </c>
      <c r="Q162" s="292">
        <f t="shared" si="134"/>
        <v>0.26860972821823281</v>
      </c>
      <c r="R162" s="292">
        <f t="shared" si="134"/>
        <v>0.27</v>
      </c>
      <c r="S162" s="23"/>
      <c r="T162" s="23"/>
      <c r="U162" s="23"/>
      <c r="V162" s="23"/>
      <c r="W162" s="23"/>
      <c r="X162" s="23"/>
      <c r="Y162" s="23"/>
      <c r="Z162" s="23"/>
      <c r="AA162" s="23"/>
      <c r="AB162" s="23"/>
      <c r="AC162" s="23"/>
    </row>
    <row r="163" spans="1:29" outlineLevel="1">
      <c r="A163" s="1135" t="s">
        <v>134</v>
      </c>
      <c r="B163" s="23"/>
      <c r="C163" s="127"/>
      <c r="D163" s="127"/>
      <c r="E163" s="127"/>
      <c r="F163" s="127"/>
      <c r="G163" s="127"/>
      <c r="H163" s="127"/>
      <c r="I163" s="127"/>
      <c r="J163" s="127"/>
      <c r="K163" s="127"/>
      <c r="L163" s="127"/>
      <c r="M163" s="292">
        <f t="shared" ref="M163:R163" si="135">M72</f>
        <v>0.24921564929815276</v>
      </c>
      <c r="N163" s="292">
        <f t="shared" si="135"/>
        <v>0.24782244808325571</v>
      </c>
      <c r="O163" s="292">
        <f t="shared" si="135"/>
        <v>0.24645729307017525</v>
      </c>
      <c r="P163" s="292">
        <f t="shared" si="135"/>
        <v>0.25577558931450667</v>
      </c>
      <c r="Q163" s="292">
        <f t="shared" si="135"/>
        <v>0.2612097282182328</v>
      </c>
      <c r="R163" s="292">
        <f t="shared" si="135"/>
        <v>0.26</v>
      </c>
      <c r="S163" s="23"/>
      <c r="T163" s="23"/>
      <c r="U163" s="23"/>
      <c r="V163" s="23"/>
      <c r="W163" s="23"/>
      <c r="X163" s="23"/>
      <c r="Y163" s="23"/>
      <c r="Z163" s="23"/>
      <c r="AA163" s="23"/>
      <c r="AB163" s="23"/>
      <c r="AC163" s="23"/>
    </row>
    <row r="164" spans="1:29" outlineLevel="1">
      <c r="A164" s="1135" t="s">
        <v>44</v>
      </c>
      <c r="B164" s="23"/>
      <c r="C164" s="127"/>
      <c r="D164" s="127"/>
      <c r="E164" s="127"/>
      <c r="F164" s="127"/>
      <c r="G164" s="127"/>
      <c r="H164" s="127"/>
      <c r="I164" s="127"/>
      <c r="J164" s="127"/>
      <c r="K164" s="127"/>
      <c r="L164" s="127"/>
      <c r="M164" s="292">
        <f t="shared" ref="M164:R164" si="136">M32</f>
        <v>0.24921564929815276</v>
      </c>
      <c r="N164" s="292">
        <f t="shared" si="136"/>
        <v>0.24782244808325571</v>
      </c>
      <c r="O164" s="292">
        <f t="shared" si="136"/>
        <v>0.24645729307017525</v>
      </c>
      <c r="P164" s="292">
        <f t="shared" si="136"/>
        <v>0.25577558931450667</v>
      </c>
      <c r="Q164" s="292">
        <f t="shared" si="136"/>
        <v>0.26860972821823281</v>
      </c>
      <c r="R164" s="292">
        <f t="shared" si="136"/>
        <v>0.27</v>
      </c>
      <c r="S164" s="23"/>
      <c r="T164" s="23"/>
      <c r="U164" s="23"/>
      <c r="V164" s="23"/>
      <c r="W164" s="23"/>
      <c r="X164" s="23"/>
      <c r="Y164" s="23"/>
      <c r="Z164" s="23"/>
      <c r="AA164" s="23"/>
      <c r="AB164" s="23"/>
      <c r="AC164" s="23"/>
    </row>
    <row r="165" spans="1:29" outlineLevel="1">
      <c r="A165" s="1135" t="s">
        <v>135</v>
      </c>
      <c r="B165" s="23"/>
      <c r="C165" s="127"/>
      <c r="D165" s="127"/>
      <c r="E165" s="127"/>
      <c r="F165" s="127"/>
      <c r="G165" s="127"/>
      <c r="H165" s="127"/>
      <c r="I165" s="127"/>
      <c r="J165" s="127"/>
      <c r="K165" s="127"/>
      <c r="L165" s="127"/>
      <c r="M165" s="292">
        <f t="shared" ref="M165:R165" si="137">M114</f>
        <v>0.24921564929815276</v>
      </c>
      <c r="N165" s="292">
        <f t="shared" si="137"/>
        <v>0.24782244808325571</v>
      </c>
      <c r="O165" s="292">
        <f t="shared" si="137"/>
        <v>0.24645729307017525</v>
      </c>
      <c r="P165" s="292">
        <f t="shared" si="137"/>
        <v>0.25577558931450667</v>
      </c>
      <c r="Q165" s="292">
        <f t="shared" si="137"/>
        <v>0.27260972821823282</v>
      </c>
      <c r="R165" s="292">
        <f t="shared" si="137"/>
        <v>0.27800000000000002</v>
      </c>
      <c r="S165" s="23"/>
      <c r="T165" s="23"/>
      <c r="U165" s="23"/>
      <c r="V165" s="23"/>
      <c r="W165" s="23"/>
      <c r="X165" s="23"/>
      <c r="Y165" s="23"/>
      <c r="Z165" s="23"/>
      <c r="AA165" s="23"/>
      <c r="AB165" s="23"/>
      <c r="AC165" s="23"/>
    </row>
    <row r="166" spans="1:29">
      <c r="A166" s="24" t="s">
        <v>705</v>
      </c>
      <c r="B166" s="23"/>
      <c r="C166" s="127">
        <f>C138/C131</f>
        <v>0.10913838741742408</v>
      </c>
      <c r="D166" s="127">
        <f>D138/D131</f>
        <v>0.1016377206317208</v>
      </c>
      <c r="E166" s="127">
        <f>E138/E131</f>
        <v>0.11021733644006287</v>
      </c>
      <c r="F166" s="127">
        <f>F138/F131</f>
        <v>8.5367200562184525E-2</v>
      </c>
      <c r="G166" s="127">
        <f t="shared" ref="G166:P166" si="138">G138/G131</f>
        <v>7.9342509151876531E-2</v>
      </c>
      <c r="H166" s="127">
        <f t="shared" si="138"/>
        <v>9.9424870327071507E-2</v>
      </c>
      <c r="I166" s="127">
        <f t="shared" si="138"/>
        <v>0.13356869529831561</v>
      </c>
      <c r="J166" s="127">
        <f t="shared" si="138"/>
        <v>0.14921124068144354</v>
      </c>
      <c r="K166" s="127">
        <f>K138/K131</f>
        <v>0.16324532071628375</v>
      </c>
      <c r="L166" s="127">
        <f>L138/L131</f>
        <v>0.16183540821766118</v>
      </c>
      <c r="M166" s="292">
        <f t="shared" si="138"/>
        <v>0.17051613139794985</v>
      </c>
      <c r="N166" s="292">
        <f t="shared" si="138"/>
        <v>0.18031475953254394</v>
      </c>
      <c r="O166" s="292">
        <f t="shared" si="138"/>
        <v>0.16203109524292003</v>
      </c>
      <c r="P166" s="292">
        <f t="shared" si="138"/>
        <v>0.13681280944473789</v>
      </c>
      <c r="Q166" s="292">
        <f>Q138/Q131</f>
        <v>0.12330582560633299</v>
      </c>
      <c r="R166" s="292">
        <f>R138/R131</f>
        <v>0.12461764569604548</v>
      </c>
      <c r="S166" s="23"/>
      <c r="T166" s="23"/>
      <c r="U166" s="23"/>
      <c r="V166" s="23"/>
      <c r="W166" s="23"/>
      <c r="X166" s="23"/>
      <c r="Y166" s="23"/>
      <c r="Z166" s="23"/>
      <c r="AA166" s="23"/>
      <c r="AB166" s="23"/>
      <c r="AC166" s="23"/>
    </row>
    <row r="167" spans="1:29">
      <c r="A167" s="24" t="s">
        <v>647</v>
      </c>
      <c r="B167" s="23"/>
      <c r="C167" s="127">
        <f t="shared" ref="C167:J167" si="139">C144/C142</f>
        <v>0.3679562657695542</v>
      </c>
      <c r="D167" s="127">
        <f t="shared" si="139"/>
        <v>0.30394184370495708</v>
      </c>
      <c r="E167" s="127">
        <f t="shared" si="139"/>
        <v>0.3846683238396833</v>
      </c>
      <c r="F167" s="127">
        <f t="shared" si="139"/>
        <v>0.38963561340853858</v>
      </c>
      <c r="G167" s="127">
        <f t="shared" si="139"/>
        <v>0.37878233713618525</v>
      </c>
      <c r="H167" s="127">
        <f t="shared" si="139"/>
        <v>0.3729832479656901</v>
      </c>
      <c r="I167" s="127">
        <f t="shared" si="139"/>
        <v>0.37947446433347054</v>
      </c>
      <c r="J167" s="127">
        <f t="shared" si="139"/>
        <v>0.37215717271623255</v>
      </c>
      <c r="K167" s="127">
        <f>K144/K142</f>
        <v>0.38178523072445247</v>
      </c>
      <c r="L167" s="127">
        <f>L144/L142</f>
        <v>0.37544704639876569</v>
      </c>
      <c r="M167" s="292">
        <f t="shared" ref="M167:R167" si="140">INDEX(M168:M170,MATCH($X$158,$AB$158:$AB$160,0))</f>
        <v>0.3629430328284769</v>
      </c>
      <c r="N167" s="292">
        <f t="shared" si="140"/>
        <v>0.36217374276727238</v>
      </c>
      <c r="O167" s="292">
        <f t="shared" si="140"/>
        <v>0.3425328493831804</v>
      </c>
      <c r="P167" s="292">
        <f t="shared" si="140"/>
        <v>0.32262770495789206</v>
      </c>
      <c r="Q167" s="292">
        <f t="shared" si="140"/>
        <v>0.27000000000000024</v>
      </c>
      <c r="R167" s="292">
        <f t="shared" si="140"/>
        <v>0.27000000000000018</v>
      </c>
      <c r="S167" s="23"/>
      <c r="T167" s="23"/>
      <c r="U167" s="23"/>
      <c r="V167" s="23"/>
      <c r="W167" s="23"/>
      <c r="X167" s="23"/>
      <c r="Y167" s="23"/>
      <c r="Z167" s="23"/>
      <c r="AA167" s="23"/>
      <c r="AB167" s="23"/>
      <c r="AC167" s="23"/>
    </row>
    <row r="168" spans="1:29" outlineLevel="1">
      <c r="A168" s="1135" t="s">
        <v>134</v>
      </c>
      <c r="B168" s="23"/>
      <c r="C168" s="127"/>
      <c r="D168" s="127"/>
      <c r="E168" s="127"/>
      <c r="F168" s="127"/>
      <c r="G168" s="127"/>
      <c r="H168" s="127"/>
      <c r="I168" s="127"/>
      <c r="J168" s="127"/>
      <c r="K168" s="127"/>
      <c r="L168" s="127"/>
      <c r="M168" s="292">
        <f t="shared" ref="M168:R168" si="141">M74</f>
        <v>0.3629430328284769</v>
      </c>
      <c r="N168" s="292">
        <f t="shared" si="141"/>
        <v>0.36217374276727238</v>
      </c>
      <c r="O168" s="292">
        <f t="shared" si="141"/>
        <v>0.3425328493831804</v>
      </c>
      <c r="P168" s="292">
        <f t="shared" si="141"/>
        <v>0.32262770495789206</v>
      </c>
      <c r="Q168" s="292">
        <f t="shared" si="141"/>
        <v>0.26450000000000023</v>
      </c>
      <c r="R168" s="292">
        <f t="shared" si="141"/>
        <v>0.26500000000000018</v>
      </c>
      <c r="S168" s="23"/>
      <c r="T168" s="23"/>
      <c r="U168" s="23"/>
      <c r="V168" s="23"/>
      <c r="W168" s="23"/>
      <c r="X168" s="23"/>
      <c r="Y168" s="23"/>
      <c r="Z168" s="23"/>
      <c r="AA168" s="23"/>
      <c r="AB168" s="23"/>
      <c r="AC168" s="23"/>
    </row>
    <row r="169" spans="1:29" outlineLevel="1">
      <c r="A169" s="1135" t="s">
        <v>44</v>
      </c>
      <c r="B169" s="23"/>
      <c r="C169" s="127"/>
      <c r="D169" s="127"/>
      <c r="E169" s="127"/>
      <c r="F169" s="127"/>
      <c r="G169" s="127"/>
      <c r="H169" s="127"/>
      <c r="I169" s="127"/>
      <c r="J169" s="127"/>
      <c r="K169" s="127"/>
      <c r="L169" s="127"/>
      <c r="M169" s="292">
        <f t="shared" ref="M169:R169" si="142">M34</f>
        <v>0.3629430328284769</v>
      </c>
      <c r="N169" s="292">
        <f t="shared" si="142"/>
        <v>0.36217374276727238</v>
      </c>
      <c r="O169" s="292">
        <f t="shared" si="142"/>
        <v>0.3425328493831804</v>
      </c>
      <c r="P169" s="292">
        <f t="shared" si="142"/>
        <v>0.32262770495789206</v>
      </c>
      <c r="Q169" s="292">
        <f t="shared" si="142"/>
        <v>0.27000000000000024</v>
      </c>
      <c r="R169" s="292">
        <f t="shared" si="142"/>
        <v>0.27000000000000018</v>
      </c>
      <c r="S169" s="23"/>
      <c r="T169" s="23"/>
      <c r="U169" s="23"/>
      <c r="V169" s="23"/>
      <c r="W169" s="23"/>
      <c r="X169" s="23"/>
      <c r="Y169" s="23"/>
      <c r="Z169" s="23"/>
      <c r="AA169" s="23"/>
      <c r="AB169" s="23"/>
      <c r="AC169" s="23"/>
    </row>
    <row r="170" spans="1:29" outlineLevel="1">
      <c r="A170" s="1135" t="s">
        <v>135</v>
      </c>
      <c r="B170" s="23"/>
      <c r="C170" s="127"/>
      <c r="D170" s="127"/>
      <c r="E170" s="127"/>
      <c r="F170" s="127"/>
      <c r="G170" s="127"/>
      <c r="H170" s="127"/>
      <c r="I170" s="127"/>
      <c r="J170" s="127"/>
      <c r="K170" s="127"/>
      <c r="L170" s="127"/>
      <c r="M170" s="292">
        <f t="shared" ref="M170:R170" si="143">M116</f>
        <v>0.3629430328284769</v>
      </c>
      <c r="N170" s="292">
        <f t="shared" si="143"/>
        <v>0.36217374276727238</v>
      </c>
      <c r="O170" s="292">
        <f t="shared" si="143"/>
        <v>0.3425328493831804</v>
      </c>
      <c r="P170" s="292">
        <f t="shared" si="143"/>
        <v>0.32262770495789206</v>
      </c>
      <c r="Q170" s="292">
        <f t="shared" si="143"/>
        <v>0.27000000000000024</v>
      </c>
      <c r="R170" s="292">
        <f t="shared" si="143"/>
        <v>0.27000000000000018</v>
      </c>
      <c r="S170" s="23"/>
      <c r="T170" s="23"/>
      <c r="U170" s="23"/>
      <c r="V170" s="23"/>
      <c r="W170" s="23"/>
      <c r="X170" s="23"/>
      <c r="Y170" s="23"/>
      <c r="Z170" s="23"/>
      <c r="AA170" s="23"/>
      <c r="AB170" s="23"/>
      <c r="AC170" s="23"/>
    </row>
    <row r="171" spans="1:29">
      <c r="A171" s="24"/>
      <c r="B171" s="23"/>
      <c r="M171" s="966"/>
      <c r="N171" s="966"/>
      <c r="O171" s="966"/>
      <c r="P171" s="966"/>
      <c r="Q171" s="966"/>
      <c r="R171" s="966"/>
      <c r="S171" s="23"/>
      <c r="T171" s="23"/>
      <c r="U171" s="23"/>
      <c r="V171" s="23"/>
      <c r="W171" s="23"/>
      <c r="X171" s="23"/>
      <c r="Y171" s="23"/>
      <c r="Z171" s="23"/>
      <c r="AA171" s="23"/>
      <c r="AB171" s="23"/>
      <c r="AC171" s="23"/>
    </row>
    <row r="172" spans="1:29">
      <c r="A172" s="27" t="s">
        <v>648</v>
      </c>
      <c r="B172" s="23"/>
      <c r="M172" s="966"/>
      <c r="N172" s="966"/>
      <c r="O172" s="966"/>
      <c r="P172" s="966"/>
      <c r="Q172" s="966"/>
      <c r="R172" s="966"/>
      <c r="S172" s="23"/>
      <c r="T172" s="23"/>
      <c r="U172" s="23"/>
      <c r="V172" s="23"/>
      <c r="W172" s="23"/>
      <c r="X172" s="23"/>
      <c r="Y172" s="23"/>
      <c r="Z172" s="23"/>
      <c r="AA172" s="23"/>
      <c r="AB172" s="23"/>
      <c r="AC172" s="23"/>
    </row>
    <row r="173" spans="1:29">
      <c r="A173" s="24" t="s">
        <v>1173</v>
      </c>
      <c r="B173" s="23"/>
      <c r="C173" s="1140" t="s">
        <v>520</v>
      </c>
      <c r="D173" s="1118">
        <f>((D131/C131)-1)</f>
        <v>3.0893533292688513E-2</v>
      </c>
      <c r="E173" s="1118">
        <f t="shared" ref="E173:L173" si="144">((E131/D131)-1)</f>
        <v>0.10017880252826883</v>
      </c>
      <c r="F173" s="1118">
        <f t="shared" si="144"/>
        <v>-5.4751471777732208E-2</v>
      </c>
      <c r="G173" s="1118">
        <f t="shared" si="144"/>
        <v>-0.10347500705903256</v>
      </c>
      <c r="H173" s="1118">
        <f t="shared" si="144"/>
        <v>-4.5361878849867532E-2</v>
      </c>
      <c r="I173" s="1118">
        <f t="shared" si="144"/>
        <v>0.11361614403634257</v>
      </c>
      <c r="J173" s="1118">
        <f t="shared" si="144"/>
        <v>7.8091989017689878E-2</v>
      </c>
      <c r="K173" s="1118">
        <f t="shared" si="144"/>
        <v>9.1329620094486863E-3</v>
      </c>
      <c r="L173" s="1118">
        <f t="shared" si="144"/>
        <v>3.0076438149007734E-2</v>
      </c>
      <c r="M173" s="1144">
        <f t="shared" ref="M173:R173" si="145">M174+M183</f>
        <v>6.3198335203868528E-2</v>
      </c>
      <c r="N173" s="1144">
        <f t="shared" si="145"/>
        <v>6.1089779519227116E-2</v>
      </c>
      <c r="O173" s="1144">
        <f t="shared" si="145"/>
        <v>3.4586424345467437E-2</v>
      </c>
      <c r="P173" s="1144">
        <f t="shared" si="145"/>
        <v>4.6255243498918297E-3</v>
      </c>
      <c r="Q173" s="1144">
        <f t="shared" si="145"/>
        <v>4.0678870770162412E-2</v>
      </c>
      <c r="R173" s="1144">
        <f t="shared" si="145"/>
        <v>4.6343991938144979E-2</v>
      </c>
      <c r="S173" s="23"/>
      <c r="T173" s="23"/>
      <c r="U173" s="23"/>
      <c r="V173" s="23"/>
      <c r="W173" s="23"/>
      <c r="X173" s="23"/>
      <c r="Y173" s="23"/>
      <c r="Z173" s="23"/>
      <c r="AA173" s="23"/>
      <c r="AB173" s="23"/>
      <c r="AC173" s="23"/>
    </row>
    <row r="174" spans="1:29">
      <c r="A174" s="24" t="s">
        <v>860</v>
      </c>
      <c r="B174" s="23"/>
      <c r="C174" s="127">
        <f t="shared" ref="C174:I174" si="146">C38</f>
        <v>0.04</v>
      </c>
      <c r="D174" s="127">
        <f t="shared" si="146"/>
        <v>-0.01</v>
      </c>
      <c r="E174" s="127">
        <f t="shared" si="146"/>
        <v>7.0000000000000007E-2</v>
      </c>
      <c r="F174" s="127">
        <f t="shared" si="146"/>
        <v>-0.02</v>
      </c>
      <c r="G174" s="127">
        <f t="shared" si="146"/>
        <v>-0.09</v>
      </c>
      <c r="H174" s="127">
        <f t="shared" si="146"/>
        <v>-0.04</v>
      </c>
      <c r="I174" s="127">
        <f t="shared" si="146"/>
        <v>0.09</v>
      </c>
      <c r="J174" s="127">
        <f>J38</f>
        <v>9.5188161934013527E-2</v>
      </c>
      <c r="K174" s="127">
        <f>K38</f>
        <v>0.06</v>
      </c>
      <c r="L174" s="127">
        <f>L38</f>
        <v>0.02</v>
      </c>
      <c r="M174" s="292">
        <f t="shared" ref="M174:R174" si="147">INDEX(M175:M177,MATCH($X$158,$AB$158:$AB$160,0))</f>
        <v>0.04</v>
      </c>
      <c r="N174" s="292">
        <f t="shared" si="147"/>
        <v>0.05</v>
      </c>
      <c r="O174" s="292">
        <f t="shared" si="147"/>
        <v>2.0243884366354766E-2</v>
      </c>
      <c r="P174" s="292">
        <f t="shared" si="147"/>
        <v>-0.03</v>
      </c>
      <c r="Q174" s="292">
        <f t="shared" si="147"/>
        <v>2.1757017117429368E-2</v>
      </c>
      <c r="R174" s="292">
        <f t="shared" si="147"/>
        <v>3.0805458257625769E-2</v>
      </c>
      <c r="S174" s="23"/>
      <c r="T174" s="23"/>
      <c r="U174" s="23"/>
      <c r="V174" s="23"/>
      <c r="W174" s="23"/>
      <c r="X174" s="23"/>
      <c r="Y174" s="23"/>
      <c r="Z174" s="23"/>
      <c r="AA174" s="23"/>
      <c r="AB174" s="23"/>
      <c r="AC174" s="23"/>
    </row>
    <row r="175" spans="1:29" outlineLevel="1">
      <c r="A175" s="1135" t="s">
        <v>134</v>
      </c>
      <c r="B175" s="23"/>
      <c r="C175" s="1117"/>
      <c r="D175" s="1117"/>
      <c r="E175" s="1117"/>
      <c r="F175" s="1117"/>
      <c r="G175" s="1117"/>
      <c r="H175" s="127"/>
      <c r="I175" s="127"/>
      <c r="J175" s="127"/>
      <c r="K175" s="127"/>
      <c r="L175" s="127"/>
      <c r="M175" s="292">
        <f t="shared" ref="M175:R175" si="148">M78</f>
        <v>0.04</v>
      </c>
      <c r="N175" s="292">
        <f t="shared" si="148"/>
        <v>0.05</v>
      </c>
      <c r="O175" s="292">
        <f t="shared" si="148"/>
        <v>2.0243884366354766E-2</v>
      </c>
      <c r="P175" s="292">
        <f t="shared" si="148"/>
        <v>-0.03</v>
      </c>
      <c r="Q175" s="292">
        <f t="shared" si="148"/>
        <v>3.5113731128024385E-2</v>
      </c>
      <c r="R175" s="292">
        <f t="shared" si="148"/>
        <v>3.5805458257625766E-2</v>
      </c>
      <c r="S175" s="23"/>
      <c r="T175" s="23"/>
      <c r="U175" s="23"/>
      <c r="V175" s="23"/>
      <c r="W175" s="23"/>
      <c r="X175" s="23"/>
      <c r="Y175" s="23"/>
      <c r="Z175" s="23"/>
      <c r="AA175" s="23"/>
      <c r="AB175" s="23"/>
      <c r="AC175" s="23"/>
    </row>
    <row r="176" spans="1:29" outlineLevel="1">
      <c r="A176" s="1135" t="s">
        <v>44</v>
      </c>
      <c r="B176" s="23"/>
      <c r="C176" s="1117"/>
      <c r="D176" s="1117"/>
      <c r="E176" s="1117"/>
      <c r="F176" s="1117"/>
      <c r="G176" s="1117"/>
      <c r="H176" s="127"/>
      <c r="I176" s="127"/>
      <c r="J176" s="127"/>
      <c r="K176" s="127"/>
      <c r="L176" s="127"/>
      <c r="M176" s="292">
        <f t="shared" ref="M176:R176" si="149">M38</f>
        <v>0.04</v>
      </c>
      <c r="N176" s="292">
        <f t="shared" si="149"/>
        <v>0.05</v>
      </c>
      <c r="O176" s="292">
        <f t="shared" si="149"/>
        <v>2.0243884366354766E-2</v>
      </c>
      <c r="P176" s="292">
        <f t="shared" si="149"/>
        <v>-0.03</v>
      </c>
      <c r="Q176" s="292">
        <f t="shared" si="149"/>
        <v>2.1757017117429368E-2</v>
      </c>
      <c r="R176" s="292">
        <f t="shared" si="149"/>
        <v>3.0805458257625769E-2</v>
      </c>
      <c r="S176" s="23"/>
      <c r="T176" s="23"/>
      <c r="U176" s="23"/>
      <c r="V176" s="23"/>
      <c r="W176" s="23"/>
      <c r="X176" s="23"/>
      <c r="Y176" s="23"/>
      <c r="Z176" s="23"/>
      <c r="AA176" s="23"/>
      <c r="AB176" s="23"/>
      <c r="AC176" s="23"/>
    </row>
    <row r="177" spans="1:29" outlineLevel="1">
      <c r="A177" s="1135" t="s">
        <v>135</v>
      </c>
      <c r="B177" s="23"/>
      <c r="C177" s="1117"/>
      <c r="D177" s="1117"/>
      <c r="E177" s="1117"/>
      <c r="F177" s="1117"/>
      <c r="G177" s="1117"/>
      <c r="H177" s="127"/>
      <c r="I177" s="127"/>
      <c r="J177" s="127"/>
      <c r="K177" s="127"/>
      <c r="L177" s="127"/>
      <c r="M177" s="292">
        <f t="shared" ref="M177:R177" si="150">M120</f>
        <v>0.04</v>
      </c>
      <c r="N177" s="292">
        <f t="shared" si="150"/>
        <v>0.05</v>
      </c>
      <c r="O177" s="292">
        <f t="shared" si="150"/>
        <v>2.0243884366354766E-2</v>
      </c>
      <c r="P177" s="292">
        <f t="shared" si="150"/>
        <v>-0.03</v>
      </c>
      <c r="Q177" s="292">
        <f t="shared" si="150"/>
        <v>-9.2429828825706314E-3</v>
      </c>
      <c r="R177" s="292">
        <f t="shared" si="150"/>
        <v>-0.01</v>
      </c>
      <c r="S177" s="23"/>
      <c r="T177" s="23"/>
      <c r="U177" s="23"/>
      <c r="V177" s="23"/>
      <c r="W177" s="23"/>
      <c r="X177" s="23"/>
      <c r="Y177" s="23"/>
      <c r="Z177" s="23"/>
      <c r="AA177" s="23"/>
      <c r="AB177" s="23"/>
      <c r="AC177" s="23"/>
    </row>
    <row r="178" spans="1:29">
      <c r="A178" s="24" t="s">
        <v>1208</v>
      </c>
      <c r="B178" s="23"/>
      <c r="C178" s="1140" t="s">
        <v>520</v>
      </c>
      <c r="D178" s="1118">
        <f>((D136/C136)-1)</f>
        <v>5.3515321049683706E-2</v>
      </c>
      <c r="E178" s="1118">
        <f>((E136/D136)-1)</f>
        <v>0.13772363610993144</v>
      </c>
      <c r="F178" s="1118">
        <f>((F136/E136)-1)</f>
        <v>-8.2810588607213576E-2</v>
      </c>
      <c r="G178" s="1118">
        <f>((G136/F136)-1)</f>
        <v>-0.120474182484405</v>
      </c>
      <c r="H178" s="1118">
        <f t="shared" ref="H178:R178" si="151">((H136/G136)-1)</f>
        <v>-5.2043117108481751E-2</v>
      </c>
      <c r="I178" s="1118">
        <f t="shared" si="151"/>
        <v>8.1551069542622701E-2</v>
      </c>
      <c r="J178" s="1118">
        <f t="shared" si="151"/>
        <v>7.6941957323215515E-2</v>
      </c>
      <c r="K178" s="1118">
        <f t="shared" si="151"/>
        <v>7.570113796432576E-2</v>
      </c>
      <c r="L178" s="1118">
        <f t="shared" si="151"/>
        <v>-1.2162326691902203E-2</v>
      </c>
      <c r="M178" s="1144">
        <f t="shared" si="151"/>
        <v>6.2912015895286499E-2</v>
      </c>
      <c r="N178" s="1144">
        <f t="shared" si="151"/>
        <v>5.5157922614958554E-2</v>
      </c>
      <c r="O178" s="1144">
        <f t="shared" si="151"/>
        <v>2.8887300417897555E-2</v>
      </c>
      <c r="P178" s="1144">
        <f t="shared" si="151"/>
        <v>4.2609380026841004E-2</v>
      </c>
      <c r="Q178" s="1144">
        <f t="shared" si="151"/>
        <v>9.289736909297952E-2</v>
      </c>
      <c r="R178" s="1144">
        <f t="shared" si="151"/>
        <v>5.1759665211271511E-2</v>
      </c>
      <c r="S178" s="23"/>
      <c r="T178" s="23"/>
      <c r="U178" s="23"/>
      <c r="V178" s="23"/>
      <c r="W178" s="23"/>
      <c r="X178" s="23"/>
      <c r="Y178" s="23"/>
      <c r="Z178" s="23"/>
      <c r="AA178" s="23"/>
      <c r="AB178" s="23"/>
      <c r="AC178" s="23"/>
    </row>
    <row r="179" spans="1:29">
      <c r="A179" s="24" t="s">
        <v>651</v>
      </c>
      <c r="B179" s="23"/>
      <c r="C179" s="1140" t="s">
        <v>520</v>
      </c>
      <c r="D179" s="1118">
        <f>((D138/C138)-1)</f>
        <v>-3.9955863218829712E-2</v>
      </c>
      <c r="E179" s="1118">
        <f>((E138/D138)-1)</f>
        <v>0.1930489632078507</v>
      </c>
      <c r="F179" s="1118">
        <f>((F138/E138)-1)</f>
        <v>-0.26787179498080382</v>
      </c>
      <c r="G179" s="1118">
        <f>((G138/F138)-1)</f>
        <v>-0.16674622116149562</v>
      </c>
      <c r="H179" s="1118">
        <f t="shared" ref="H179:R179" si="152">((H138/G138)-1)</f>
        <v>0.19626631952042661</v>
      </c>
      <c r="I179" s="1118">
        <f t="shared" si="152"/>
        <v>0.49604676307609052</v>
      </c>
      <c r="J179" s="1118">
        <f t="shared" si="152"/>
        <v>0.20434988820380662</v>
      </c>
      <c r="K179" s="1118">
        <f t="shared" si="152"/>
        <v>0.1040470763211947</v>
      </c>
      <c r="L179" s="1118">
        <f t="shared" si="152"/>
        <v>2.1179903545072598E-2</v>
      </c>
      <c r="M179" s="1144">
        <f t="shared" si="152"/>
        <v>0.12022745222648901</v>
      </c>
      <c r="N179" s="1144">
        <f t="shared" si="152"/>
        <v>0.12206479743505327</v>
      </c>
      <c r="O179" s="1144">
        <f t="shared" si="152"/>
        <v>-7.0319191314468954E-2</v>
      </c>
      <c r="P179" s="1144">
        <f t="shared" si="152"/>
        <v>-0.15173294224703848</v>
      </c>
      <c r="Q179" s="1144">
        <f t="shared" si="152"/>
        <v>-6.2063209781438311E-2</v>
      </c>
      <c r="R179" s="1144">
        <f t="shared" si="152"/>
        <v>5.7475786098111437E-2</v>
      </c>
      <c r="S179" s="23"/>
      <c r="T179" s="23"/>
      <c r="U179" s="23"/>
      <c r="V179" s="23"/>
      <c r="W179" s="23"/>
      <c r="X179" s="23"/>
      <c r="Y179" s="23"/>
      <c r="Z179" s="23"/>
      <c r="AA179" s="23"/>
      <c r="AB179" s="23"/>
      <c r="AC179" s="23"/>
    </row>
    <row r="180" spans="1:29">
      <c r="A180" s="24" t="s">
        <v>551</v>
      </c>
      <c r="B180" s="23"/>
      <c r="C180" s="1140" t="s">
        <v>520</v>
      </c>
      <c r="D180" s="1118">
        <f>((D149/C149)-1)</f>
        <v>0.21798165096367339</v>
      </c>
      <c r="E180" s="1118">
        <f>((E149/D149)-1)</f>
        <v>3.4181249781926271E-2</v>
      </c>
      <c r="F180" s="1118">
        <f>((F149/E149)-1)</f>
        <v>-0.27558332145447995</v>
      </c>
      <c r="G180" s="1118">
        <f>((G149/F149)-1)</f>
        <v>-0.13792032301112089</v>
      </c>
      <c r="H180" s="1118">
        <f t="shared" ref="H180:R180" si="153">((H149/G149)-1)</f>
        <v>0.1739005556212414</v>
      </c>
      <c r="I180" s="1118">
        <f t="shared" si="153"/>
        <v>0.6724118639056833</v>
      </c>
      <c r="J180" s="1118">
        <f t="shared" si="153"/>
        <v>0.26467274413654818</v>
      </c>
      <c r="K180" s="1118">
        <f t="shared" si="153"/>
        <v>0.12291910595952471</v>
      </c>
      <c r="L180" s="1118">
        <f t="shared" si="153"/>
        <v>4.4530914725731341E-2</v>
      </c>
      <c r="M180" s="1144">
        <f t="shared" si="153"/>
        <v>0.14656547025075461</v>
      </c>
      <c r="N180" s="1144">
        <f t="shared" si="153"/>
        <v>0.14072412287238723</v>
      </c>
      <c r="O180" s="1144">
        <f t="shared" si="153"/>
        <v>-6.121517345578531E-2</v>
      </c>
      <c r="P180" s="1144">
        <f t="shared" si="153"/>
        <v>-0.14498580341441925</v>
      </c>
      <c r="Q180" s="1144">
        <f t="shared" si="153"/>
        <v>9.6040567314921166E-3</v>
      </c>
      <c r="R180" s="1144">
        <f t="shared" si="153"/>
        <v>8.2367213832920338E-2</v>
      </c>
      <c r="S180" s="23"/>
      <c r="T180" s="23"/>
      <c r="U180" s="23"/>
      <c r="V180" s="23"/>
      <c r="W180" s="23"/>
      <c r="X180" s="23"/>
      <c r="Y180" s="23"/>
      <c r="Z180" s="23"/>
      <c r="AA180" s="23"/>
      <c r="AB180" s="23"/>
      <c r="AC180" s="23"/>
    </row>
    <row r="181" spans="1:29">
      <c r="A181" s="24" t="s">
        <v>701</v>
      </c>
      <c r="B181" s="23"/>
      <c r="C181" s="1140" t="s">
        <v>520</v>
      </c>
      <c r="D181" s="1118">
        <f>((D155/C155)-1)</f>
        <v>-5.5673790929962275E-2</v>
      </c>
      <c r="E181" s="1118">
        <f>((E155/D155)-1)</f>
        <v>0.16138037552479356</v>
      </c>
      <c r="F181" s="1118">
        <f>((F155/E155)-1)</f>
        <v>-0.18685792807587775</v>
      </c>
      <c r="G181" s="1118">
        <f>((G155/F155)-1)</f>
        <v>-0.12594407980967559</v>
      </c>
      <c r="H181" s="1118">
        <f t="shared" ref="H181:R181" si="154">((H155/G155)-1)</f>
        <v>0.14614851387100969</v>
      </c>
      <c r="I181" s="1118">
        <f t="shared" si="154"/>
        <v>0.3584882992790881</v>
      </c>
      <c r="J181" s="1118">
        <f t="shared" si="154"/>
        <v>0.15233814235162457</v>
      </c>
      <c r="K181" s="1118">
        <f t="shared" si="154"/>
        <v>8.3296844816486137E-2</v>
      </c>
      <c r="L181" s="1118">
        <f t="shared" si="154"/>
        <v>2.4535019076697528E-2</v>
      </c>
      <c r="M181" s="1144">
        <f t="shared" si="154"/>
        <v>0.11340757913382227</v>
      </c>
      <c r="N181" s="1144">
        <f t="shared" si="154"/>
        <v>0.10871066948543229</v>
      </c>
      <c r="O181" s="1144">
        <f t="shared" si="154"/>
        <v>-3.7424817157551526E-2</v>
      </c>
      <c r="P181" s="1144">
        <f t="shared" si="154"/>
        <v>-0.10203146199259328</v>
      </c>
      <c r="Q181" s="1144">
        <f t="shared" si="154"/>
        <v>-3.1932657387575225E-2</v>
      </c>
      <c r="R181" s="1144">
        <f t="shared" si="154"/>
        <v>6.8394430951611129E-2</v>
      </c>
      <c r="S181" s="23"/>
      <c r="T181" s="23"/>
      <c r="U181" s="23"/>
      <c r="V181" s="23"/>
      <c r="W181" s="23"/>
      <c r="X181" s="23"/>
      <c r="Y181" s="23"/>
      <c r="Z181" s="23"/>
      <c r="AA181" s="23"/>
      <c r="AB181" s="23"/>
      <c r="AC181" s="23"/>
    </row>
    <row r="182" spans="1:29">
      <c r="A182" s="24" t="s">
        <v>862</v>
      </c>
      <c r="B182" s="23"/>
      <c r="C182" s="1140" t="s">
        <v>520</v>
      </c>
      <c r="D182" s="127">
        <f>D37-D38</f>
        <v>4.0893533292688515E-2</v>
      </c>
      <c r="E182" s="127">
        <f t="shared" ref="E182:J182" si="155">E37-E38</f>
        <v>3.0178802528268822E-2</v>
      </c>
      <c r="F182" s="127">
        <f t="shared" si="155"/>
        <v>-3.4751471777732204E-2</v>
      </c>
      <c r="G182" s="127">
        <f t="shared" si="155"/>
        <v>-1.3475007059032568E-2</v>
      </c>
      <c r="H182" s="127">
        <f t="shared" si="155"/>
        <v>-5.361878849867531E-3</v>
      </c>
      <c r="I182" s="127">
        <f t="shared" si="155"/>
        <v>2.3616144036342573E-2</v>
      </c>
      <c r="J182" s="127">
        <f t="shared" si="155"/>
        <v>-1.7096172916323649E-2</v>
      </c>
      <c r="K182" s="127">
        <f>K37-K38</f>
        <v>-5.0867037990551311E-2</v>
      </c>
      <c r="L182" s="127">
        <f>L37-L38</f>
        <v>1.0076438149007733E-2</v>
      </c>
      <c r="M182" s="292">
        <f t="shared" ref="M182:R182" si="156">M39-M40</f>
        <v>-5.7315436331202507E-2</v>
      </c>
      <c r="N182" s="292">
        <f t="shared" si="156"/>
        <v>-6.6906874820094719E-2</v>
      </c>
      <c r="O182" s="292">
        <f t="shared" si="156"/>
        <v>9.9206491732366509E-2</v>
      </c>
      <c r="P182" s="292">
        <f t="shared" si="156"/>
        <v>0.19434232227387949</v>
      </c>
      <c r="Q182" s="292">
        <f t="shared" si="156"/>
        <v>0.15496057887441828</v>
      </c>
      <c r="R182" s="292">
        <f t="shared" si="156"/>
        <v>-5.7161208868405922E-3</v>
      </c>
      <c r="S182" s="23"/>
      <c r="T182" s="23"/>
      <c r="U182" s="23"/>
      <c r="V182" s="23"/>
      <c r="W182" s="23"/>
      <c r="X182" s="23"/>
      <c r="Y182" s="23"/>
      <c r="Z182" s="23"/>
      <c r="AA182" s="23"/>
      <c r="AB182" s="23"/>
      <c r="AC182" s="23"/>
    </row>
    <row r="183" spans="1:29">
      <c r="A183" s="24" t="s">
        <v>865</v>
      </c>
      <c r="B183" s="23"/>
      <c r="C183" s="1140" t="s">
        <v>520</v>
      </c>
      <c r="D183" s="127">
        <f t="shared" ref="D183:L183" si="157">D182</f>
        <v>4.0893533292688515E-2</v>
      </c>
      <c r="E183" s="127">
        <f t="shared" si="157"/>
        <v>3.0178802528268822E-2</v>
      </c>
      <c r="F183" s="127">
        <f>F182</f>
        <v>-3.4751471777732204E-2</v>
      </c>
      <c r="G183" s="127">
        <f t="shared" si="157"/>
        <v>-1.3475007059032568E-2</v>
      </c>
      <c r="H183" s="127">
        <f t="shared" si="157"/>
        <v>-5.361878849867531E-3</v>
      </c>
      <c r="I183" s="127">
        <f t="shared" si="157"/>
        <v>2.3616144036342573E-2</v>
      </c>
      <c r="J183" s="127">
        <f t="shared" si="157"/>
        <v>-1.7096172916323649E-2</v>
      </c>
      <c r="K183" s="127">
        <f t="shared" si="157"/>
        <v>-5.0867037990551311E-2</v>
      </c>
      <c r="L183" s="127">
        <f t="shared" si="157"/>
        <v>1.0076438149007733E-2</v>
      </c>
      <c r="M183" s="292">
        <f t="shared" ref="M183:R183" si="158">INDEX(M184:M186,MATCH($X$158,$AB$158:$AB$160,0))</f>
        <v>2.3198335203868527E-2</v>
      </c>
      <c r="N183" s="292">
        <f t="shared" si="158"/>
        <v>1.1089779519227114E-2</v>
      </c>
      <c r="O183" s="292">
        <f t="shared" si="158"/>
        <v>1.4342539979112671E-2</v>
      </c>
      <c r="P183" s="292">
        <f t="shared" si="158"/>
        <v>3.4625524349891829E-2</v>
      </c>
      <c r="Q183" s="292">
        <f t="shared" si="158"/>
        <v>1.8921853652733044E-2</v>
      </c>
      <c r="R183" s="292">
        <f t="shared" si="158"/>
        <v>1.5538533680519211E-2</v>
      </c>
      <c r="S183" s="23"/>
      <c r="T183" s="23"/>
      <c r="U183" s="23"/>
      <c r="V183" s="23"/>
      <c r="W183" s="23"/>
      <c r="X183" s="23"/>
      <c r="Y183" s="23"/>
      <c r="Z183" s="23"/>
      <c r="AA183" s="23"/>
      <c r="AB183" s="23"/>
      <c r="AC183" s="23"/>
    </row>
    <row r="184" spans="1:29" outlineLevel="1">
      <c r="A184" s="1135" t="s">
        <v>134</v>
      </c>
      <c r="B184" s="23"/>
      <c r="C184" s="1140"/>
      <c r="D184" s="1140"/>
      <c r="E184" s="1140"/>
      <c r="F184" s="1140"/>
      <c r="G184" s="1140"/>
      <c r="H184" s="127"/>
      <c r="I184" s="127"/>
      <c r="J184" s="127"/>
      <c r="K184" s="127"/>
      <c r="L184" s="292">
        <f t="shared" ref="L184:Q184" si="159">L84</f>
        <v>1.0076438149007733E-2</v>
      </c>
      <c r="M184" s="292">
        <f t="shared" si="159"/>
        <v>2.3198335203868527E-2</v>
      </c>
      <c r="N184" s="292">
        <f t="shared" si="159"/>
        <v>1.1089779519227114E-2</v>
      </c>
      <c r="O184" s="292">
        <f t="shared" si="159"/>
        <v>1.4342539979112671E-2</v>
      </c>
      <c r="P184" s="292">
        <f t="shared" si="159"/>
        <v>3.4625524349891829E-2</v>
      </c>
      <c r="Q184" s="292">
        <f t="shared" si="159"/>
        <v>2.6421853652733043E-2</v>
      </c>
      <c r="R184" s="292">
        <f>R84</f>
        <v>2.303853368051921E-2</v>
      </c>
      <c r="S184" s="23"/>
      <c r="T184" s="23"/>
      <c r="U184" s="23"/>
      <c r="V184" s="23"/>
      <c r="W184" s="23"/>
      <c r="X184" s="23"/>
      <c r="Y184" s="23"/>
      <c r="Z184" s="23"/>
      <c r="AA184" s="23"/>
      <c r="AB184" s="23"/>
      <c r="AC184" s="23"/>
    </row>
    <row r="185" spans="1:29" outlineLevel="1">
      <c r="A185" s="1135" t="s">
        <v>44</v>
      </c>
      <c r="B185" s="23"/>
      <c r="C185" s="1140"/>
      <c r="D185" s="1140"/>
      <c r="E185" s="1140"/>
      <c r="F185" s="1140"/>
      <c r="G185" s="1140"/>
      <c r="H185" s="127"/>
      <c r="I185" s="127"/>
      <c r="J185" s="127"/>
      <c r="K185" s="127"/>
      <c r="L185" s="127">
        <f t="shared" ref="L185:P186" si="160">L125</f>
        <v>1.0076438149007733E-2</v>
      </c>
      <c r="M185" s="127">
        <f t="shared" si="160"/>
        <v>2.3198335203868527E-2</v>
      </c>
      <c r="N185" s="127">
        <f t="shared" si="160"/>
        <v>1.1089779519227114E-2</v>
      </c>
      <c r="O185" s="127">
        <f t="shared" si="160"/>
        <v>1.4342539979112671E-2</v>
      </c>
      <c r="P185" s="127">
        <f t="shared" si="160"/>
        <v>3.4625524349891829E-2</v>
      </c>
      <c r="Q185" s="127">
        <f>Q125</f>
        <v>1.8921853652733044E-2</v>
      </c>
      <c r="R185" s="127">
        <f>R125</f>
        <v>1.5538533680519211E-2</v>
      </c>
      <c r="S185" s="23"/>
      <c r="T185" s="23"/>
      <c r="U185" s="23"/>
      <c r="V185" s="23"/>
      <c r="W185" s="23"/>
      <c r="X185" s="23"/>
      <c r="Y185" s="23"/>
      <c r="Z185" s="23"/>
      <c r="AA185" s="23"/>
      <c r="AB185" s="23"/>
      <c r="AC185" s="23"/>
    </row>
    <row r="186" spans="1:29" outlineLevel="1">
      <c r="A186" s="1135" t="s">
        <v>135</v>
      </c>
      <c r="B186" s="23"/>
      <c r="C186" s="1140"/>
      <c r="D186" s="1140"/>
      <c r="E186" s="1140"/>
      <c r="F186" s="1140"/>
      <c r="G186" s="1140"/>
      <c r="H186" s="127"/>
      <c r="I186" s="127"/>
      <c r="J186" s="127"/>
      <c r="K186" s="127"/>
      <c r="L186" s="127">
        <f t="shared" si="160"/>
        <v>1.0076438149007733E-2</v>
      </c>
      <c r="M186" s="127">
        <f t="shared" si="160"/>
        <v>2.3198335203868527E-2</v>
      </c>
      <c r="N186" s="127">
        <f t="shared" si="160"/>
        <v>1.1089779519227114E-2</v>
      </c>
      <c r="O186" s="127">
        <f t="shared" si="160"/>
        <v>1.4342539979112671E-2</v>
      </c>
      <c r="P186" s="127">
        <f t="shared" si="160"/>
        <v>3.4625524349891829E-2</v>
      </c>
      <c r="Q186" s="127">
        <f>Q126</f>
        <v>1.3921853652733043E-2</v>
      </c>
      <c r="R186" s="127">
        <f>R126</f>
        <v>1.053853368051921E-2</v>
      </c>
      <c r="S186" s="23"/>
      <c r="T186" s="23"/>
      <c r="U186" s="23"/>
      <c r="V186" s="23"/>
      <c r="W186" s="23"/>
      <c r="X186" s="23"/>
      <c r="Y186" s="23"/>
      <c r="Z186" s="23"/>
      <c r="AA186" s="23"/>
      <c r="AB186" s="23"/>
      <c r="AC186" s="23"/>
    </row>
    <row r="187" spans="1:29">
      <c r="A187" s="23"/>
      <c r="B187" s="23"/>
      <c r="C187" s="23"/>
      <c r="D187" s="23"/>
      <c r="E187" s="23"/>
      <c r="F187" s="23"/>
      <c r="G187" s="23"/>
      <c r="H187" s="23"/>
      <c r="I187" s="23"/>
      <c r="J187" s="23"/>
      <c r="K187" s="23"/>
      <c r="L187" s="23"/>
      <c r="M187" s="23"/>
      <c r="N187" s="23"/>
      <c r="O187" s="23"/>
      <c r="P187" s="23"/>
      <c r="Q187" s="23"/>
      <c r="R187" s="23"/>
      <c r="S187" s="23"/>
      <c r="T187" s="23"/>
      <c r="U187" s="23"/>
      <c r="V187" s="23"/>
      <c r="W187" s="23"/>
      <c r="X187" s="23"/>
      <c r="Y187" s="23"/>
      <c r="Z187" s="23"/>
      <c r="AA187" s="23"/>
      <c r="AB187" s="23"/>
      <c r="AC187" s="23"/>
    </row>
    <row r="188" spans="1:29">
      <c r="A188" s="23"/>
      <c r="B188" s="23"/>
      <c r="C188" s="23"/>
      <c r="D188" s="23"/>
      <c r="E188" s="23"/>
      <c r="F188" s="23"/>
      <c r="G188" s="23"/>
      <c r="H188" s="23"/>
      <c r="I188" s="23"/>
      <c r="J188" s="23"/>
      <c r="K188" s="23"/>
      <c r="L188" s="23"/>
      <c r="M188" s="23"/>
      <c r="N188" s="23"/>
      <c r="O188" s="23"/>
      <c r="P188" s="23"/>
      <c r="Q188" s="23"/>
      <c r="R188" s="23"/>
      <c r="S188" s="23"/>
      <c r="T188" s="23"/>
      <c r="U188" s="23"/>
      <c r="V188" s="23"/>
      <c r="W188" s="23"/>
      <c r="X188" s="23"/>
      <c r="Y188" s="23"/>
      <c r="Z188" s="23"/>
      <c r="AA188" s="23"/>
      <c r="AB188" s="23"/>
      <c r="AC188" s="23"/>
    </row>
    <row r="189" spans="1:29">
      <c r="A189" s="23"/>
      <c r="B189" s="23"/>
      <c r="C189" s="23"/>
      <c r="D189" s="23"/>
      <c r="E189" s="23"/>
      <c r="F189" s="23"/>
      <c r="G189" s="23"/>
      <c r="H189" s="23"/>
      <c r="I189" s="23"/>
      <c r="J189" s="23"/>
      <c r="K189" s="23"/>
      <c r="L189" s="23"/>
      <c r="M189" s="23"/>
      <c r="N189" s="23"/>
      <c r="O189" s="23"/>
      <c r="P189" s="23"/>
      <c r="Q189" s="23"/>
      <c r="R189" s="23"/>
      <c r="S189" s="23"/>
      <c r="T189" s="23"/>
      <c r="U189" s="23"/>
      <c r="V189" s="23"/>
      <c r="W189" s="23"/>
      <c r="X189" s="23"/>
      <c r="Y189" s="23"/>
      <c r="Z189" s="23"/>
      <c r="AA189" s="23"/>
      <c r="AB189" s="23"/>
      <c r="AC189" s="23"/>
    </row>
    <row r="190" spans="1:29">
      <c r="A190" s="23"/>
      <c r="B190" s="23"/>
      <c r="C190" s="23"/>
      <c r="D190" s="23"/>
      <c r="E190" s="23"/>
      <c r="F190" s="23"/>
      <c r="G190" s="23"/>
      <c r="H190" s="23"/>
      <c r="I190" s="23"/>
      <c r="J190" s="23"/>
      <c r="K190" s="23"/>
      <c r="L190" s="23"/>
      <c r="M190" s="23"/>
      <c r="N190" s="23"/>
      <c r="O190" s="23"/>
      <c r="P190" s="23"/>
      <c r="Q190" s="23"/>
      <c r="R190" s="23"/>
      <c r="S190" s="23"/>
      <c r="T190" s="23"/>
      <c r="U190" s="23"/>
      <c r="V190" s="23"/>
      <c r="W190" s="23"/>
      <c r="X190" s="23"/>
      <c r="Y190" s="23"/>
      <c r="Z190" s="23"/>
      <c r="AA190" s="23"/>
      <c r="AB190" s="23"/>
      <c r="AC190" s="23"/>
    </row>
    <row r="191" spans="1:29">
      <c r="A191" s="23"/>
      <c r="B191" s="23"/>
      <c r="C191" s="23"/>
      <c r="D191" s="23"/>
      <c r="E191" s="23"/>
      <c r="F191" s="23"/>
      <c r="G191" s="23"/>
      <c r="H191" s="23"/>
      <c r="I191" s="23"/>
      <c r="J191" s="23"/>
      <c r="K191" s="23"/>
      <c r="L191" s="23"/>
      <c r="M191" s="23"/>
      <c r="N191" s="23"/>
      <c r="O191" s="23"/>
      <c r="P191" s="23"/>
      <c r="Q191" s="23"/>
      <c r="R191" s="23"/>
      <c r="S191" s="23"/>
      <c r="T191" s="23"/>
      <c r="U191" s="23"/>
      <c r="V191" s="23"/>
      <c r="W191" s="23"/>
      <c r="X191" s="23"/>
      <c r="Y191" s="23"/>
      <c r="Z191" s="23"/>
      <c r="AA191" s="23"/>
      <c r="AB191" s="23"/>
      <c r="AC191" s="23"/>
    </row>
    <row r="192" spans="1:29">
      <c r="W192" s="23"/>
      <c r="X192" s="23"/>
      <c r="Y192" s="23"/>
      <c r="Z192" s="23"/>
      <c r="AA192" s="23"/>
      <c r="AB192" s="23"/>
      <c r="AC192" s="23"/>
    </row>
    <row r="193" spans="23:29">
      <c r="W193" s="23"/>
      <c r="X193" s="23"/>
      <c r="Y193" s="23"/>
      <c r="Z193" s="23"/>
      <c r="AA193" s="23"/>
      <c r="AB193" s="23"/>
      <c r="AC193" s="23"/>
    </row>
    <row r="194" spans="23:29">
      <c r="W194" s="23"/>
      <c r="X194" s="23"/>
      <c r="Y194" s="23"/>
      <c r="Z194" s="23"/>
      <c r="AA194" s="23"/>
      <c r="AB194" s="23"/>
      <c r="AC194" s="23"/>
    </row>
  </sheetData>
  <phoneticPr fontId="47" type="noConversion"/>
  <pageMargins left="0.75" right="0.75" top="1" bottom="1" header="0.5" footer="0.5"/>
  <pageSetup orientation="portrait" r:id="rId1"/>
  <headerFooter alignWithMargins="0"/>
  <ignoredErrors>
    <ignoredError sqref="X40"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X2"/>
  <sheetViews>
    <sheetView workbookViewId="0"/>
  </sheetViews>
  <sheetFormatPr defaultRowHeight="12.75"/>
  <sheetData>
    <row r="1" spans="1:50">
      <c r="A1" t="s">
        <v>1282</v>
      </c>
    </row>
    <row r="2" spans="1:50">
      <c r="A2" s="952" t="s">
        <v>628</v>
      </c>
      <c r="B2" s="952" t="s">
        <v>413</v>
      </c>
      <c r="C2" s="952" t="s">
        <v>1024</v>
      </c>
      <c r="D2" s="952" t="s">
        <v>520</v>
      </c>
      <c r="E2" s="952" t="s">
        <v>974</v>
      </c>
      <c r="F2" s="952" t="s">
        <v>413</v>
      </c>
      <c r="G2" s="952" t="s">
        <v>1025</v>
      </c>
      <c r="H2" s="952" t="s">
        <v>520</v>
      </c>
      <c r="I2" s="952" t="s">
        <v>1281</v>
      </c>
      <c r="J2" s="952" t="s">
        <v>1287</v>
      </c>
      <c r="K2" s="952" t="s">
        <v>245</v>
      </c>
      <c r="L2" s="952" t="s">
        <v>520</v>
      </c>
      <c r="M2" s="952" t="s">
        <v>243</v>
      </c>
      <c r="N2" s="952" t="s">
        <v>520</v>
      </c>
      <c r="O2" s="952" t="s">
        <v>629</v>
      </c>
      <c r="P2" s="952" t="s">
        <v>630</v>
      </c>
      <c r="Q2" s="952" t="s">
        <v>437</v>
      </c>
      <c r="R2" s="952" t="s">
        <v>413</v>
      </c>
      <c r="S2" s="952" t="s">
        <v>1026</v>
      </c>
      <c r="T2" s="952" t="s">
        <v>520</v>
      </c>
      <c r="U2" s="952" t="s">
        <v>1028</v>
      </c>
      <c r="V2" s="952" t="s">
        <v>520</v>
      </c>
      <c r="W2" s="952" t="s">
        <v>163</v>
      </c>
      <c r="X2" s="952" t="s">
        <v>810</v>
      </c>
      <c r="Y2" s="952" t="s">
        <v>244</v>
      </c>
      <c r="Z2" s="952" t="s">
        <v>520</v>
      </c>
      <c r="AA2" s="952" t="s">
        <v>1023</v>
      </c>
      <c r="AB2" s="952" t="s">
        <v>520</v>
      </c>
      <c r="AC2" s="952" t="s">
        <v>719</v>
      </c>
      <c r="AD2" s="952" t="s">
        <v>1423</v>
      </c>
      <c r="AE2" s="952" t="s">
        <v>718</v>
      </c>
      <c r="AF2" s="952" t="s">
        <v>413</v>
      </c>
      <c r="AG2" s="952" t="s">
        <v>1027</v>
      </c>
      <c r="AH2" s="952" t="s">
        <v>520</v>
      </c>
      <c r="AI2" s="952" t="s">
        <v>150</v>
      </c>
      <c r="AJ2" s="952" t="s">
        <v>413</v>
      </c>
      <c r="AK2" s="952" t="s">
        <v>246</v>
      </c>
      <c r="AL2" s="952" t="s">
        <v>711</v>
      </c>
      <c r="AM2" s="952" t="s">
        <v>161</v>
      </c>
      <c r="AN2" s="952" t="s">
        <v>413</v>
      </c>
      <c r="AO2" s="952" t="s">
        <v>162</v>
      </c>
      <c r="AP2" s="952" t="s">
        <v>302</v>
      </c>
      <c r="AQ2" s="952" t="s">
        <v>1029</v>
      </c>
      <c r="AR2" s="952" t="s">
        <v>520</v>
      </c>
      <c r="AS2" s="952" t="s">
        <v>149</v>
      </c>
      <c r="AT2" s="952" t="s">
        <v>302</v>
      </c>
      <c r="AU2" s="952" t="s">
        <v>666</v>
      </c>
      <c r="AV2" s="952" t="s">
        <v>667</v>
      </c>
      <c r="AW2" s="952" t="s">
        <v>627</v>
      </c>
      <c r="AX2" s="952" t="s">
        <v>520</v>
      </c>
    </row>
  </sheetData>
  <phoneticPr fontId="47" type="noConversion"/>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B1"/>
  <sheetViews>
    <sheetView workbookViewId="0"/>
  </sheetViews>
  <sheetFormatPr defaultRowHeight="12.75"/>
  <sheetData>
    <row r="1" spans="1:2">
      <c r="B1" t="s">
        <v>111</v>
      </c>
    </row>
  </sheetData>
  <phoneticPr fontId="47" type="noConversion"/>
  <pageMargins left="0.75" right="0.75" top="1" bottom="1" header="0.5" footer="0.5"/>
  <pageSetup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X137"/>
  <sheetViews>
    <sheetView zoomScaleNormal="100" workbookViewId="0">
      <selection activeCell="P61" sqref="P61"/>
    </sheetView>
  </sheetViews>
  <sheetFormatPr defaultRowHeight="12.75" outlineLevelRow="1"/>
  <cols>
    <col min="1" max="1" width="1.7109375" customWidth="1"/>
    <col min="2" max="2" width="10.7109375" customWidth="1"/>
    <col min="3" max="3" width="11.140625" customWidth="1"/>
    <col min="4" max="4" width="8.140625" customWidth="1"/>
    <col min="5" max="5" width="8.28515625" customWidth="1"/>
    <col min="6" max="6" width="5.7109375" bestFit="1" customWidth="1"/>
    <col min="7" max="7" width="6" customWidth="1"/>
    <col min="8" max="8" width="6.140625" customWidth="1"/>
    <col min="9" max="9" width="6.85546875" bestFit="1" customWidth="1"/>
    <col min="10" max="10" width="7.140625" customWidth="1"/>
    <col min="11" max="13" width="6.85546875" bestFit="1" customWidth="1"/>
    <col min="14" max="14" width="6" customWidth="1"/>
    <col min="15" max="15" width="5.7109375" customWidth="1"/>
    <col min="16" max="16" width="6.85546875" bestFit="1" customWidth="1"/>
    <col min="17" max="17" width="9" customWidth="1"/>
    <col min="18" max="18" width="7.28515625" bestFit="1" customWidth="1"/>
    <col min="19" max="19" width="5.28515625" bestFit="1" customWidth="1"/>
    <col min="20" max="21" width="3.140625" customWidth="1"/>
    <col min="22" max="23" width="6.7109375" customWidth="1"/>
    <col min="24" max="24" width="7.140625" bestFit="1" customWidth="1"/>
    <col min="25" max="25" width="6.5703125" customWidth="1"/>
    <col min="26" max="26" width="6.7109375" customWidth="1"/>
  </cols>
  <sheetData>
    <row r="1" spans="1:19" ht="15" customHeight="1">
      <c r="A1" s="215" t="str">
        <f>sumry!A1&amp;" Total Company"</f>
        <v>L Brands Inc. Total Company</v>
      </c>
      <c r="B1" s="25"/>
      <c r="C1" s="24"/>
      <c r="D1" s="24"/>
      <c r="E1" s="24"/>
      <c r="F1" s="141"/>
      <c r="G1" s="24"/>
      <c r="H1" s="24"/>
      <c r="I1" s="24"/>
      <c r="J1" s="141"/>
      <c r="K1" s="24"/>
      <c r="L1" s="24"/>
      <c r="M1" s="24"/>
      <c r="N1" s="141"/>
      <c r="O1" s="24"/>
      <c r="P1" s="24"/>
      <c r="Q1" s="24"/>
      <c r="R1" s="141"/>
      <c r="S1" s="424"/>
    </row>
    <row r="2" spans="1:19">
      <c r="A2" s="595" t="s">
        <v>832</v>
      </c>
      <c r="B2" s="26"/>
      <c r="C2" s="67"/>
      <c r="D2" s="67"/>
      <c r="E2" s="67"/>
      <c r="F2" s="66"/>
      <c r="G2" s="67"/>
      <c r="H2" s="67"/>
      <c r="I2" s="67"/>
      <c r="J2" s="66"/>
      <c r="K2" s="67"/>
      <c r="L2" s="67"/>
      <c r="M2" s="67"/>
      <c r="N2" s="66"/>
      <c r="O2" s="67"/>
      <c r="P2" s="67"/>
      <c r="Q2" s="67"/>
      <c r="R2" s="66"/>
      <c r="S2" s="596"/>
    </row>
    <row r="3" spans="1:19">
      <c r="A3" s="58" t="s">
        <v>1184</v>
      </c>
      <c r="B3" s="58"/>
      <c r="C3" s="24"/>
      <c r="D3" s="24"/>
      <c r="E3" s="24"/>
      <c r="F3" s="141"/>
      <c r="G3" s="24"/>
      <c r="H3" s="24"/>
      <c r="I3" s="24"/>
      <c r="J3" s="141"/>
      <c r="K3" s="24"/>
      <c r="L3" s="24"/>
      <c r="M3" s="24"/>
      <c r="N3" s="141"/>
      <c r="O3" s="24"/>
      <c r="P3" s="24"/>
      <c r="Q3" s="24"/>
      <c r="R3" s="141"/>
      <c r="S3" s="424"/>
    </row>
    <row r="4" spans="1:19" ht="6.75" customHeight="1">
      <c r="A4" s="58"/>
      <c r="B4" s="58"/>
      <c r="C4" s="24"/>
      <c r="D4" s="24"/>
      <c r="E4" s="24"/>
      <c r="F4" s="141"/>
      <c r="G4" s="24"/>
      <c r="H4" s="24"/>
      <c r="I4" s="24"/>
      <c r="J4" s="141"/>
      <c r="K4" s="24"/>
      <c r="L4" s="24"/>
      <c r="M4" s="24"/>
      <c r="N4" s="141"/>
      <c r="O4" s="24"/>
      <c r="P4" s="24"/>
      <c r="Q4" s="24"/>
      <c r="R4" s="141"/>
      <c r="S4" s="424"/>
    </row>
    <row r="5" spans="1:19">
      <c r="A5" s="58"/>
      <c r="B5" s="619" t="s">
        <v>671</v>
      </c>
      <c r="C5" s="24"/>
      <c r="D5" s="24"/>
      <c r="E5" s="24"/>
      <c r="F5" s="141"/>
      <c r="G5" s="24"/>
      <c r="H5" s="24"/>
      <c r="I5" s="24"/>
      <c r="J5" s="141"/>
      <c r="K5" s="24"/>
      <c r="L5" s="24"/>
      <c r="M5" s="24"/>
      <c r="N5" s="141"/>
      <c r="O5" s="24"/>
      <c r="P5" s="24"/>
      <c r="Q5" s="24"/>
      <c r="R5" s="141"/>
      <c r="S5" s="424"/>
    </row>
    <row r="6" spans="1:19">
      <c r="A6" s="24"/>
      <c r="B6" s="66"/>
      <c r="C6" s="230" t="s">
        <v>833</v>
      </c>
      <c r="D6" s="230" t="s">
        <v>834</v>
      </c>
      <c r="E6" s="230" t="s">
        <v>835</v>
      </c>
      <c r="F6" s="597" t="s">
        <v>119</v>
      </c>
      <c r="G6" s="230" t="s">
        <v>836</v>
      </c>
      <c r="H6" s="230" t="s">
        <v>837</v>
      </c>
      <c r="I6" s="230" t="s">
        <v>838</v>
      </c>
      <c r="J6" s="597" t="s">
        <v>120</v>
      </c>
      <c r="K6" s="230" t="s">
        <v>839</v>
      </c>
      <c r="L6" s="230" t="s">
        <v>840</v>
      </c>
      <c r="M6" s="230" t="s">
        <v>841</v>
      </c>
      <c r="N6" s="597" t="s">
        <v>1018</v>
      </c>
      <c r="O6" s="230" t="s">
        <v>842</v>
      </c>
      <c r="P6" s="230" t="s">
        <v>843</v>
      </c>
      <c r="Q6" s="230" t="s">
        <v>241</v>
      </c>
      <c r="R6" s="597" t="s">
        <v>1019</v>
      </c>
      <c r="S6" s="597" t="s">
        <v>1095</v>
      </c>
    </row>
    <row r="7" spans="1:19">
      <c r="A7" s="24"/>
      <c r="B7" s="598" t="s">
        <v>242</v>
      </c>
      <c r="C7" s="30"/>
      <c r="D7" s="30"/>
      <c r="E7" s="30"/>
      <c r="F7" s="599"/>
      <c r="G7" s="30"/>
      <c r="H7" s="30"/>
      <c r="I7" s="30"/>
      <c r="J7" s="599"/>
      <c r="K7" s="30"/>
      <c r="L7" s="30"/>
      <c r="M7" s="30"/>
      <c r="N7" s="599"/>
      <c r="O7" s="30"/>
      <c r="P7" s="30"/>
      <c r="Q7" s="30"/>
      <c r="R7" s="599"/>
      <c r="S7" s="599"/>
    </row>
    <row r="8" spans="1:19">
      <c r="A8" s="24"/>
      <c r="B8" s="600">
        <v>2003</v>
      </c>
      <c r="C8" s="601"/>
      <c r="D8" s="601"/>
      <c r="E8" s="601"/>
      <c r="F8" s="602"/>
      <c r="G8" s="601"/>
      <c r="H8" s="601"/>
      <c r="I8" s="601"/>
      <c r="J8" s="602"/>
      <c r="K8" s="603"/>
      <c r="L8" s="601" t="s">
        <v>928</v>
      </c>
      <c r="M8" s="603" t="s">
        <v>328</v>
      </c>
      <c r="N8" s="602"/>
      <c r="O8" s="601" t="s">
        <v>328</v>
      </c>
      <c r="P8" s="603" t="s">
        <v>876</v>
      </c>
      <c r="Q8" s="603" t="s">
        <v>328</v>
      </c>
      <c r="R8" s="602"/>
      <c r="S8" s="602"/>
    </row>
    <row r="9" spans="1:19">
      <c r="A9" s="24"/>
      <c r="B9" s="600">
        <v>2004</v>
      </c>
      <c r="C9" s="601" t="s">
        <v>192</v>
      </c>
      <c r="D9" s="601" t="s">
        <v>679</v>
      </c>
      <c r="E9" s="601" t="s">
        <v>192</v>
      </c>
      <c r="F9" s="602"/>
      <c r="G9" s="601" t="s">
        <v>189</v>
      </c>
      <c r="H9" s="601"/>
      <c r="I9" s="601"/>
      <c r="J9" s="602" t="s">
        <v>425</v>
      </c>
      <c r="K9" s="601" t="s">
        <v>682</v>
      </c>
      <c r="L9" s="603" t="s">
        <v>481</v>
      </c>
      <c r="M9" s="601"/>
      <c r="N9" s="602"/>
      <c r="O9" s="603" t="s">
        <v>928</v>
      </c>
      <c r="P9" s="603" t="s">
        <v>485</v>
      </c>
      <c r="Q9" s="603" t="s">
        <v>682</v>
      </c>
      <c r="R9" s="602" t="s">
        <v>429</v>
      </c>
      <c r="S9" s="602"/>
    </row>
    <row r="10" spans="1:19">
      <c r="A10" s="24"/>
      <c r="B10" s="600">
        <v>2005</v>
      </c>
      <c r="C10" s="525" t="s">
        <v>1147</v>
      </c>
      <c r="D10" s="605" t="s">
        <v>490</v>
      </c>
      <c r="E10" s="601" t="s">
        <v>676</v>
      </c>
      <c r="F10" s="602" t="s">
        <v>426</v>
      </c>
      <c r="G10" s="601" t="s">
        <v>492</v>
      </c>
      <c r="H10" s="605" t="s">
        <v>500</v>
      </c>
      <c r="I10" s="605" t="s">
        <v>487</v>
      </c>
      <c r="J10" s="602" t="s">
        <v>928</v>
      </c>
      <c r="K10" s="603" t="s">
        <v>492</v>
      </c>
      <c r="L10" s="606" t="s">
        <v>676</v>
      </c>
      <c r="M10" s="606" t="s">
        <v>492</v>
      </c>
      <c r="N10" s="607" t="s">
        <v>676</v>
      </c>
      <c r="O10" s="606" t="s">
        <v>189</v>
      </c>
      <c r="P10" s="606" t="s">
        <v>189</v>
      </c>
      <c r="Q10" s="606" t="s">
        <v>928</v>
      </c>
      <c r="R10" s="607" t="s">
        <v>979</v>
      </c>
      <c r="S10" s="607"/>
    </row>
    <row r="11" spans="1:19">
      <c r="A11" s="24"/>
      <c r="B11" s="600">
        <v>2006</v>
      </c>
      <c r="C11" s="601" t="s">
        <v>1147</v>
      </c>
      <c r="D11" s="605" t="s">
        <v>483</v>
      </c>
      <c r="E11" s="601" t="s">
        <v>481</v>
      </c>
      <c r="F11" s="602" t="s">
        <v>483</v>
      </c>
      <c r="G11" s="601" t="s">
        <v>123</v>
      </c>
      <c r="H11" s="605" t="s">
        <v>682</v>
      </c>
      <c r="I11" s="605" t="s">
        <v>430</v>
      </c>
      <c r="J11" s="602"/>
      <c r="K11" s="603" t="s">
        <v>727</v>
      </c>
      <c r="L11" s="606" t="s">
        <v>493</v>
      </c>
      <c r="M11" s="606" t="s">
        <v>408</v>
      </c>
      <c r="N11" s="607"/>
      <c r="O11" s="606" t="s">
        <v>1099</v>
      </c>
      <c r="P11" s="606" t="s">
        <v>499</v>
      </c>
      <c r="Q11" s="606" t="s">
        <v>188</v>
      </c>
      <c r="R11" s="607"/>
      <c r="S11" s="607"/>
    </row>
    <row r="12" spans="1:19">
      <c r="A12" s="24"/>
      <c r="B12" s="600">
        <v>2007</v>
      </c>
      <c r="C12" s="601" t="s">
        <v>917</v>
      </c>
      <c r="D12" s="605" t="s">
        <v>499</v>
      </c>
      <c r="E12" s="601" t="s">
        <v>676</v>
      </c>
      <c r="F12" s="602"/>
      <c r="G12" s="601" t="s">
        <v>917</v>
      </c>
      <c r="H12" s="605" t="s">
        <v>408</v>
      </c>
      <c r="I12" s="605" t="s">
        <v>952</v>
      </c>
      <c r="J12" s="602" t="s">
        <v>188</v>
      </c>
      <c r="K12" s="603" t="s">
        <v>189</v>
      </c>
      <c r="L12" s="606" t="s">
        <v>492</v>
      </c>
      <c r="M12" s="606" t="s">
        <v>928</v>
      </c>
      <c r="N12" s="607"/>
      <c r="O12" s="606" t="s">
        <v>676</v>
      </c>
      <c r="P12" s="606" t="s">
        <v>620</v>
      </c>
      <c r="Q12" s="606" t="s">
        <v>492</v>
      </c>
      <c r="R12" s="607"/>
      <c r="S12" s="607"/>
    </row>
    <row r="13" spans="1:19">
      <c r="A13" s="24"/>
      <c r="B13" s="600">
        <v>2008</v>
      </c>
      <c r="C13" s="601" t="s">
        <v>500</v>
      </c>
      <c r="D13" s="605" t="s">
        <v>633</v>
      </c>
      <c r="E13" s="601" t="s">
        <v>928</v>
      </c>
      <c r="F13" s="602"/>
      <c r="G13" s="601" t="s">
        <v>466</v>
      </c>
      <c r="H13" s="605" t="s">
        <v>488</v>
      </c>
      <c r="I13" s="605" t="s">
        <v>928</v>
      </c>
      <c r="J13" s="602"/>
      <c r="K13" s="603" t="s">
        <v>928</v>
      </c>
      <c r="L13" s="606" t="s">
        <v>492</v>
      </c>
      <c r="M13" s="606" t="s">
        <v>676</v>
      </c>
      <c r="N13" s="607"/>
      <c r="O13" s="606" t="s">
        <v>492</v>
      </c>
      <c r="P13" s="606" t="s">
        <v>716</v>
      </c>
      <c r="Q13" s="606" t="s">
        <v>676</v>
      </c>
      <c r="R13" s="607" t="s">
        <v>142</v>
      </c>
      <c r="S13" s="607"/>
    </row>
    <row r="14" spans="1:19">
      <c r="A14" s="24"/>
      <c r="B14" s="600">
        <v>2009</v>
      </c>
      <c r="C14" s="605" t="s">
        <v>492</v>
      </c>
      <c r="D14" s="605" t="s">
        <v>189</v>
      </c>
      <c r="E14" s="605" t="s">
        <v>634</v>
      </c>
      <c r="F14" s="607"/>
      <c r="G14" s="605" t="s">
        <v>189</v>
      </c>
      <c r="H14" s="605" t="s">
        <v>488</v>
      </c>
      <c r="I14" s="605" t="s">
        <v>676</v>
      </c>
      <c r="J14" s="607"/>
      <c r="K14" s="606" t="s">
        <v>928</v>
      </c>
      <c r="L14" s="606" t="s">
        <v>188</v>
      </c>
      <c r="M14" s="606" t="s">
        <v>492</v>
      </c>
      <c r="N14" s="607"/>
      <c r="O14" s="606" t="s">
        <v>492</v>
      </c>
      <c r="P14" s="606" t="s">
        <v>676</v>
      </c>
      <c r="Q14" s="606" t="s">
        <v>499</v>
      </c>
      <c r="R14" s="607" t="s">
        <v>633</v>
      </c>
      <c r="S14" s="607"/>
    </row>
    <row r="15" spans="1:19">
      <c r="A15" s="24"/>
      <c r="B15" s="600">
        <v>2010</v>
      </c>
      <c r="C15" s="605" t="s">
        <v>188</v>
      </c>
      <c r="D15" s="605" t="s">
        <v>493</v>
      </c>
      <c r="E15" s="605" t="s">
        <v>188</v>
      </c>
      <c r="F15" s="607"/>
      <c r="G15" s="605" t="s">
        <v>492</v>
      </c>
      <c r="H15" s="605" t="s">
        <v>1099</v>
      </c>
      <c r="I15" s="605" t="s">
        <v>188</v>
      </c>
      <c r="J15" s="607"/>
      <c r="K15" s="606" t="s">
        <v>499</v>
      </c>
      <c r="L15" s="606"/>
      <c r="M15" s="606" t="s">
        <v>188</v>
      </c>
      <c r="N15" s="607"/>
      <c r="O15" s="606" t="s">
        <v>618</v>
      </c>
      <c r="P15" s="606" t="s">
        <v>716</v>
      </c>
      <c r="Q15" s="606" t="s">
        <v>727</v>
      </c>
      <c r="R15" s="607" t="s">
        <v>668</v>
      </c>
      <c r="S15" s="607" t="s">
        <v>668</v>
      </c>
    </row>
    <row r="16" spans="1:19">
      <c r="A16" s="24"/>
      <c r="B16" s="600">
        <v>2011</v>
      </c>
      <c r="C16" s="605" t="s">
        <v>188</v>
      </c>
      <c r="D16" s="605" t="s">
        <v>499</v>
      </c>
      <c r="E16" s="605" t="s">
        <v>493</v>
      </c>
      <c r="F16" s="607" t="s">
        <v>513</v>
      </c>
      <c r="G16" s="605" t="s">
        <v>189</v>
      </c>
      <c r="H16" s="605" t="s">
        <v>499</v>
      </c>
      <c r="I16" s="605" t="s">
        <v>189</v>
      </c>
      <c r="J16" s="607" t="s">
        <v>513</v>
      </c>
      <c r="K16" s="606" t="s">
        <v>188</v>
      </c>
      <c r="L16" s="606" t="s">
        <v>188</v>
      </c>
      <c r="M16" s="606" t="s">
        <v>189</v>
      </c>
      <c r="N16" s="607" t="s">
        <v>513</v>
      </c>
      <c r="O16" s="606" t="s">
        <v>716</v>
      </c>
      <c r="P16" s="606" t="s">
        <v>716</v>
      </c>
      <c r="Q16" s="606" t="s">
        <v>188</v>
      </c>
      <c r="R16" s="607"/>
      <c r="S16" s="607"/>
    </row>
    <row r="17" spans="1:20">
      <c r="A17" s="24"/>
      <c r="B17" s="600">
        <v>2012</v>
      </c>
      <c r="C17" s="605" t="s">
        <v>189</v>
      </c>
      <c r="D17" s="605" t="s">
        <v>492</v>
      </c>
      <c r="E17" s="605" t="s">
        <v>189</v>
      </c>
      <c r="F17" s="607"/>
      <c r="G17" s="605" t="s">
        <v>716</v>
      </c>
      <c r="H17" s="605" t="s">
        <v>189</v>
      </c>
      <c r="I17" s="605" t="s">
        <v>499</v>
      </c>
      <c r="J17" s="607" t="s">
        <v>513</v>
      </c>
      <c r="K17" s="606" t="s">
        <v>716</v>
      </c>
      <c r="L17" s="606" t="s">
        <v>492</v>
      </c>
      <c r="M17" s="606" t="s">
        <v>492</v>
      </c>
      <c r="N17" s="607"/>
      <c r="O17" s="606" t="s">
        <v>928</v>
      </c>
      <c r="P17" s="606" t="s">
        <v>676</v>
      </c>
      <c r="Q17" s="606" t="s">
        <v>188</v>
      </c>
      <c r="R17" s="607"/>
      <c r="S17" s="607"/>
    </row>
    <row r="18" spans="1:20">
      <c r="A18" s="24"/>
      <c r="B18" s="600">
        <v>2013</v>
      </c>
      <c r="C18" s="605" t="s">
        <v>928</v>
      </c>
      <c r="D18" s="605" t="s">
        <v>189</v>
      </c>
      <c r="E18" s="605" t="s">
        <v>189</v>
      </c>
      <c r="F18" s="607" t="s">
        <v>916</v>
      </c>
      <c r="G18" s="605" t="s">
        <v>716</v>
      </c>
      <c r="H18" s="605" t="s">
        <v>676</v>
      </c>
      <c r="I18" s="605" t="s">
        <v>492</v>
      </c>
      <c r="J18" s="607" t="s">
        <v>334</v>
      </c>
      <c r="K18" s="606" t="s">
        <v>492</v>
      </c>
      <c r="L18" s="606" t="s">
        <v>1147</v>
      </c>
      <c r="M18" s="606" t="s">
        <v>499</v>
      </c>
      <c r="N18" s="607" t="s">
        <v>513</v>
      </c>
      <c r="O18" s="606" t="s">
        <v>500</v>
      </c>
      <c r="P18" s="606" t="s">
        <v>716</v>
      </c>
      <c r="Q18" s="606" t="s">
        <v>188</v>
      </c>
      <c r="R18" s="607" t="s">
        <v>513</v>
      </c>
      <c r="S18" s="607"/>
    </row>
    <row r="19" spans="1:20">
      <c r="A19" s="24"/>
      <c r="B19" s="600">
        <v>2014</v>
      </c>
      <c r="C19" s="605" t="s">
        <v>189</v>
      </c>
      <c r="D19" s="605" t="s">
        <v>492</v>
      </c>
      <c r="E19" s="605" t="s">
        <v>189</v>
      </c>
      <c r="F19" s="607" t="s">
        <v>344</v>
      </c>
      <c r="G19" s="605" t="s">
        <v>928</v>
      </c>
      <c r="H19" s="605" t="s">
        <v>189</v>
      </c>
      <c r="I19" s="605" t="s">
        <v>189</v>
      </c>
      <c r="J19" s="607" t="s">
        <v>513</v>
      </c>
      <c r="K19" s="606" t="s">
        <v>189</v>
      </c>
      <c r="L19" s="606" t="s">
        <v>189</v>
      </c>
      <c r="M19" s="606" t="s">
        <v>492</v>
      </c>
      <c r="N19" s="607" t="s">
        <v>513</v>
      </c>
      <c r="O19" s="606" t="s">
        <v>189</v>
      </c>
      <c r="P19" s="606" t="s">
        <v>492</v>
      </c>
      <c r="Q19" s="606" t="s">
        <v>928</v>
      </c>
      <c r="R19" s="607"/>
      <c r="S19" s="607"/>
    </row>
    <row r="20" spans="1:20">
      <c r="A20" s="24"/>
      <c r="B20" s="600">
        <v>2015</v>
      </c>
      <c r="C20" s="605" t="s">
        <v>189</v>
      </c>
      <c r="D20" s="605" t="s">
        <v>189</v>
      </c>
      <c r="E20" s="605" t="s">
        <v>676</v>
      </c>
      <c r="F20" s="607" t="s">
        <v>344</v>
      </c>
      <c r="G20" s="605" t="s">
        <v>189</v>
      </c>
      <c r="H20" s="605" t="s">
        <v>928</v>
      </c>
      <c r="I20" s="605" t="s">
        <v>189</v>
      </c>
      <c r="J20" s="607" t="s">
        <v>189</v>
      </c>
      <c r="K20" s="2373" t="s">
        <v>928</v>
      </c>
      <c r="L20" s="606" t="s">
        <v>499</v>
      </c>
      <c r="M20" s="606" t="s">
        <v>716</v>
      </c>
      <c r="N20" s="607" t="s">
        <v>513</v>
      </c>
      <c r="O20" s="2373" t="s">
        <v>189</v>
      </c>
      <c r="P20" s="2373" t="s">
        <v>189</v>
      </c>
      <c r="Q20" s="606" t="s">
        <v>500</v>
      </c>
      <c r="R20" s="607" t="s">
        <v>928</v>
      </c>
      <c r="S20" s="607"/>
    </row>
    <row r="21" spans="1:20">
      <c r="A21" s="24"/>
      <c r="B21" s="600">
        <v>2016</v>
      </c>
      <c r="C21" s="605" t="s">
        <v>716</v>
      </c>
      <c r="D21" s="605" t="s">
        <v>851</v>
      </c>
      <c r="E21" s="605" t="s">
        <v>188</v>
      </c>
      <c r="F21" s="2580" t="s">
        <v>344</v>
      </c>
      <c r="G21" s="605" t="s">
        <v>492</v>
      </c>
      <c r="H21" s="605" t="s">
        <v>716</v>
      </c>
      <c r="I21" s="605" t="s">
        <v>492</v>
      </c>
      <c r="J21" s="607" t="s">
        <v>1317</v>
      </c>
      <c r="K21" s="2373" t="s">
        <v>676</v>
      </c>
      <c r="L21" s="606" t="s">
        <v>676</v>
      </c>
      <c r="M21" s="606" t="s">
        <v>492</v>
      </c>
      <c r="N21" s="607" t="s">
        <v>1318</v>
      </c>
      <c r="O21" s="2373" t="s">
        <v>188</v>
      </c>
      <c r="P21" s="2373" t="s">
        <v>488</v>
      </c>
      <c r="Q21" s="606" t="s">
        <v>851</v>
      </c>
      <c r="R21" s="607" t="s">
        <v>1318</v>
      </c>
      <c r="S21" s="607"/>
    </row>
    <row r="22" spans="1:20" s="2579" customFormat="1">
      <c r="A22" s="24"/>
      <c r="B22" s="600">
        <v>2017</v>
      </c>
      <c r="C22" s="605" t="s">
        <v>1329</v>
      </c>
      <c r="D22" s="605" t="s">
        <v>1329</v>
      </c>
      <c r="E22" s="605" t="s">
        <v>1333</v>
      </c>
      <c r="F22" s="2580" t="s">
        <v>1335</v>
      </c>
      <c r="G22" s="605" t="s">
        <v>676</v>
      </c>
      <c r="H22" s="605" t="s">
        <v>488</v>
      </c>
      <c r="I22" s="605" t="s">
        <v>500</v>
      </c>
      <c r="J22" s="607" t="s">
        <v>500</v>
      </c>
      <c r="K22" s="2373" t="s">
        <v>488</v>
      </c>
      <c r="L22" s="606" t="s">
        <v>676</v>
      </c>
      <c r="M22" s="606" t="s">
        <v>492</v>
      </c>
      <c r="N22" s="607" t="s">
        <v>676</v>
      </c>
      <c r="O22" s="2373" t="s">
        <v>500</v>
      </c>
      <c r="P22" s="2373" t="s">
        <v>189</v>
      </c>
      <c r="Q22" s="606" t="s">
        <v>1371</v>
      </c>
      <c r="R22" s="607" t="s">
        <v>1318</v>
      </c>
      <c r="S22" s="607"/>
    </row>
    <row r="23" spans="1:20" s="2864" customFormat="1">
      <c r="A23" s="24"/>
      <c r="B23" s="608">
        <v>2018</v>
      </c>
      <c r="C23" s="609" t="s">
        <v>1422</v>
      </c>
      <c r="D23" s="609" t="s">
        <v>492</v>
      </c>
      <c r="E23" s="609"/>
      <c r="F23" s="1246"/>
      <c r="G23" s="609"/>
      <c r="H23" s="609"/>
      <c r="I23" s="609"/>
      <c r="J23" s="610"/>
      <c r="K23" s="1377"/>
      <c r="L23" s="611"/>
      <c r="M23" s="611"/>
      <c r="N23" s="610"/>
      <c r="O23" s="1377"/>
      <c r="P23" s="1377"/>
      <c r="Q23" s="611"/>
      <c r="R23" s="610"/>
      <c r="S23" s="610"/>
    </row>
    <row r="24" spans="1:20">
      <c r="A24" s="24"/>
      <c r="B24" s="598" t="s">
        <v>675</v>
      </c>
      <c r="C24" s="605"/>
      <c r="D24" s="605"/>
      <c r="E24" s="606"/>
      <c r="F24" s="2867"/>
      <c r="G24" s="606"/>
      <c r="H24" s="606"/>
      <c r="I24" s="606"/>
      <c r="J24" s="2867"/>
      <c r="K24" s="606"/>
      <c r="L24" s="606"/>
      <c r="M24" s="606"/>
      <c r="N24" s="2867"/>
      <c r="O24" s="606"/>
      <c r="P24" s="606"/>
      <c r="Q24" s="606"/>
      <c r="R24" s="2867"/>
      <c r="S24" s="2867"/>
      <c r="T24" s="966"/>
    </row>
    <row r="25" spans="1:20">
      <c r="A25" s="24"/>
      <c r="B25" s="600">
        <v>2003</v>
      </c>
      <c r="C25" s="603"/>
      <c r="D25" s="601"/>
      <c r="E25" s="601"/>
      <c r="F25" s="602"/>
      <c r="G25" s="601"/>
      <c r="H25" s="601"/>
      <c r="I25" s="601"/>
      <c r="J25" s="602"/>
      <c r="K25" s="603"/>
      <c r="L25" s="601" t="s">
        <v>328</v>
      </c>
      <c r="M25" s="603" t="s">
        <v>328</v>
      </c>
      <c r="N25" s="602"/>
      <c r="O25" s="603" t="s">
        <v>928</v>
      </c>
      <c r="P25" s="601" t="s">
        <v>492</v>
      </c>
      <c r="Q25" s="603" t="s">
        <v>328</v>
      </c>
      <c r="R25" s="602"/>
      <c r="S25" s="602"/>
    </row>
    <row r="26" spans="1:20">
      <c r="A26" s="24"/>
      <c r="B26" s="600">
        <v>2004</v>
      </c>
      <c r="C26" s="601" t="s">
        <v>928</v>
      </c>
      <c r="D26" s="601" t="s">
        <v>928</v>
      </c>
      <c r="E26" s="601" t="s">
        <v>195</v>
      </c>
      <c r="F26" s="602"/>
      <c r="G26" s="601" t="s">
        <v>928</v>
      </c>
      <c r="H26" s="603" t="s">
        <v>928</v>
      </c>
      <c r="I26" s="601"/>
      <c r="J26" s="602" t="s">
        <v>426</v>
      </c>
      <c r="K26" s="601" t="s">
        <v>928</v>
      </c>
      <c r="L26" s="603" t="s">
        <v>485</v>
      </c>
      <c r="M26" s="603"/>
      <c r="N26" s="602"/>
      <c r="O26" s="603" t="s">
        <v>928</v>
      </c>
      <c r="P26" s="603" t="s">
        <v>485</v>
      </c>
      <c r="Q26" s="603" t="s">
        <v>485</v>
      </c>
      <c r="R26" s="602" t="s">
        <v>485</v>
      </c>
      <c r="S26" s="602"/>
    </row>
    <row r="27" spans="1:20" ht="12.75" customHeight="1">
      <c r="A27" s="168"/>
      <c r="B27" s="600">
        <v>2005</v>
      </c>
      <c r="C27" s="525" t="s">
        <v>928</v>
      </c>
      <c r="D27" s="601" t="s">
        <v>481</v>
      </c>
      <c r="E27" s="603" t="s">
        <v>483</v>
      </c>
      <c r="F27" s="602" t="s">
        <v>189</v>
      </c>
      <c r="G27" s="603" t="s">
        <v>483</v>
      </c>
      <c r="H27" s="603" t="s">
        <v>499</v>
      </c>
      <c r="I27" s="601" t="s">
        <v>501</v>
      </c>
      <c r="J27" s="602" t="s">
        <v>682</v>
      </c>
      <c r="K27" s="603" t="s">
        <v>716</v>
      </c>
      <c r="L27" s="601" t="s">
        <v>716</v>
      </c>
      <c r="M27" s="603" t="s">
        <v>189</v>
      </c>
      <c r="N27" s="602" t="s">
        <v>483</v>
      </c>
      <c r="O27" s="603" t="s">
        <v>189</v>
      </c>
      <c r="P27" s="603" t="s">
        <v>189</v>
      </c>
      <c r="Q27" s="603" t="s">
        <v>483</v>
      </c>
      <c r="R27" s="602" t="s">
        <v>485</v>
      </c>
      <c r="S27" s="602"/>
    </row>
    <row r="28" spans="1:20" ht="12.75" customHeight="1">
      <c r="A28" s="58"/>
      <c r="B28" s="600">
        <v>2006</v>
      </c>
      <c r="C28" s="603" t="s">
        <v>483</v>
      </c>
      <c r="D28" s="601" t="s">
        <v>483</v>
      </c>
      <c r="E28" s="603" t="s">
        <v>485</v>
      </c>
      <c r="F28" s="602" t="s">
        <v>483</v>
      </c>
      <c r="G28" s="603" t="s">
        <v>485</v>
      </c>
      <c r="H28" s="603" t="s">
        <v>485</v>
      </c>
      <c r="I28" s="601" t="s">
        <v>485</v>
      </c>
      <c r="J28" s="602"/>
      <c r="K28" s="603" t="s">
        <v>676</v>
      </c>
      <c r="L28" s="601" t="s">
        <v>189</v>
      </c>
      <c r="M28" s="603" t="s">
        <v>189</v>
      </c>
      <c r="N28" s="602"/>
      <c r="O28" s="603" t="s">
        <v>928</v>
      </c>
      <c r="P28" s="603" t="s">
        <v>928</v>
      </c>
      <c r="Q28" s="603" t="s">
        <v>928</v>
      </c>
      <c r="R28" s="602"/>
      <c r="S28" s="602"/>
    </row>
    <row r="29" spans="1:20" ht="12.75" customHeight="1">
      <c r="A29" s="58"/>
      <c r="B29" s="600">
        <v>2007</v>
      </c>
      <c r="C29" s="603" t="s">
        <v>404</v>
      </c>
      <c r="D29" s="601" t="s">
        <v>928</v>
      </c>
      <c r="E29" s="603" t="s">
        <v>189</v>
      </c>
      <c r="F29" s="602"/>
      <c r="G29" s="603" t="s">
        <v>717</v>
      </c>
      <c r="H29" s="603" t="s">
        <v>676</v>
      </c>
      <c r="I29" s="601" t="s">
        <v>676</v>
      </c>
      <c r="J29" s="602" t="s">
        <v>492</v>
      </c>
      <c r="K29" s="603" t="s">
        <v>928</v>
      </c>
      <c r="L29" s="601" t="s">
        <v>492</v>
      </c>
      <c r="M29" s="603" t="s">
        <v>676</v>
      </c>
      <c r="N29" s="602"/>
      <c r="O29" s="603" t="s">
        <v>928</v>
      </c>
      <c r="P29" s="606" t="s">
        <v>620</v>
      </c>
      <c r="Q29" s="603" t="s">
        <v>492</v>
      </c>
      <c r="R29" s="602"/>
      <c r="S29" s="602"/>
    </row>
    <row r="30" spans="1:20">
      <c r="A30" s="58"/>
      <c r="B30" s="600">
        <v>2008</v>
      </c>
      <c r="C30" s="603" t="s">
        <v>741</v>
      </c>
      <c r="D30" s="601" t="s">
        <v>633</v>
      </c>
      <c r="E30" s="603" t="s">
        <v>952</v>
      </c>
      <c r="F30" s="602"/>
      <c r="G30" s="601" t="s">
        <v>928</v>
      </c>
      <c r="H30" s="603" t="s">
        <v>716</v>
      </c>
      <c r="I30" s="601" t="s">
        <v>189</v>
      </c>
      <c r="J30" s="602"/>
      <c r="K30" s="603" t="s">
        <v>928</v>
      </c>
      <c r="L30" s="601" t="s">
        <v>189</v>
      </c>
      <c r="M30" s="603" t="s">
        <v>189</v>
      </c>
      <c r="N30" s="602"/>
      <c r="O30" s="603" t="s">
        <v>492</v>
      </c>
      <c r="P30" s="606" t="s">
        <v>676</v>
      </c>
      <c r="Q30" s="603" t="s">
        <v>620</v>
      </c>
      <c r="R30" s="602" t="s">
        <v>195</v>
      </c>
      <c r="S30" s="602"/>
    </row>
    <row r="31" spans="1:20">
      <c r="A31" s="24"/>
      <c r="B31" s="600">
        <v>2009</v>
      </c>
      <c r="C31" s="603" t="s">
        <v>492</v>
      </c>
      <c r="D31" s="603" t="s">
        <v>500</v>
      </c>
      <c r="E31" s="603" t="s">
        <v>635</v>
      </c>
      <c r="F31" s="602"/>
      <c r="G31" s="603" t="s">
        <v>500</v>
      </c>
      <c r="H31" s="603" t="s">
        <v>676</v>
      </c>
      <c r="I31" s="603" t="s">
        <v>676</v>
      </c>
      <c r="J31" s="602"/>
      <c r="K31" s="603" t="s">
        <v>676</v>
      </c>
      <c r="L31" s="603" t="s">
        <v>500</v>
      </c>
      <c r="M31" s="603" t="s">
        <v>676</v>
      </c>
      <c r="N31" s="602"/>
      <c r="O31" s="603" t="s">
        <v>716</v>
      </c>
      <c r="P31" s="603" t="s">
        <v>928</v>
      </c>
      <c r="Q31" s="603" t="s">
        <v>716</v>
      </c>
      <c r="R31" s="602" t="s">
        <v>952</v>
      </c>
      <c r="S31" s="602"/>
    </row>
    <row r="32" spans="1:20">
      <c r="A32" s="24"/>
      <c r="B32" s="600">
        <v>2010</v>
      </c>
      <c r="C32" s="603" t="s">
        <v>189</v>
      </c>
      <c r="D32" s="603" t="s">
        <v>492</v>
      </c>
      <c r="E32" s="603" t="s">
        <v>492</v>
      </c>
      <c r="F32" s="602"/>
      <c r="G32" s="603" t="s">
        <v>499</v>
      </c>
      <c r="H32" s="603" t="s">
        <v>189</v>
      </c>
      <c r="I32" s="603" t="s">
        <v>716</v>
      </c>
      <c r="J32" s="602"/>
      <c r="K32" s="603" t="s">
        <v>716</v>
      </c>
      <c r="L32" s="603"/>
      <c r="M32" s="603" t="s">
        <v>716</v>
      </c>
      <c r="N32" s="602"/>
      <c r="O32" s="603" t="s">
        <v>851</v>
      </c>
      <c r="P32" s="603" t="s">
        <v>716</v>
      </c>
      <c r="Q32" s="603" t="s">
        <v>188</v>
      </c>
      <c r="R32" s="602" t="s">
        <v>121</v>
      </c>
      <c r="S32" s="602" t="s">
        <v>121</v>
      </c>
    </row>
    <row r="33" spans="1:19">
      <c r="A33" s="24"/>
      <c r="B33" s="600">
        <v>2011</v>
      </c>
      <c r="C33" s="603" t="s">
        <v>716</v>
      </c>
      <c r="D33" s="603" t="s">
        <v>716</v>
      </c>
      <c r="E33" s="603" t="s">
        <v>189</v>
      </c>
      <c r="F33" s="602" t="s">
        <v>121</v>
      </c>
      <c r="G33" s="603" t="s">
        <v>716</v>
      </c>
      <c r="H33" s="603" t="s">
        <v>716</v>
      </c>
      <c r="I33" s="603" t="s">
        <v>188</v>
      </c>
      <c r="J33" s="602" t="s">
        <v>121</v>
      </c>
      <c r="K33" s="603" t="s">
        <v>188</v>
      </c>
      <c r="L33" s="603" t="s">
        <v>716</v>
      </c>
      <c r="M33" s="603" t="s">
        <v>716</v>
      </c>
      <c r="N33" s="602" t="s">
        <v>121</v>
      </c>
      <c r="O33" s="603" t="s">
        <v>716</v>
      </c>
      <c r="P33" s="603" t="s">
        <v>716</v>
      </c>
      <c r="Q33" s="603" t="s">
        <v>188</v>
      </c>
      <c r="R33" s="602" t="s">
        <v>121</v>
      </c>
      <c r="S33" s="602" t="s">
        <v>121</v>
      </c>
    </row>
    <row r="34" spans="1:19">
      <c r="A34" s="24"/>
      <c r="B34" s="600">
        <v>2012</v>
      </c>
      <c r="C34" s="603" t="s">
        <v>188</v>
      </c>
      <c r="D34" s="603" t="s">
        <v>499</v>
      </c>
      <c r="E34" s="603" t="s">
        <v>716</v>
      </c>
      <c r="F34" s="602" t="s">
        <v>121</v>
      </c>
      <c r="G34" s="603" t="s">
        <v>189</v>
      </c>
      <c r="H34" s="603" t="s">
        <v>188</v>
      </c>
      <c r="I34" s="603" t="s">
        <v>189</v>
      </c>
      <c r="J34" s="602" t="s">
        <v>121</v>
      </c>
      <c r="K34" s="603" t="s">
        <v>716</v>
      </c>
      <c r="L34" s="603" t="s">
        <v>188</v>
      </c>
      <c r="M34" s="603" t="s">
        <v>716</v>
      </c>
      <c r="N34" s="602" t="s">
        <v>331</v>
      </c>
      <c r="O34" s="603" t="s">
        <v>716</v>
      </c>
      <c r="P34" s="603" t="s">
        <v>188</v>
      </c>
      <c r="Q34" s="603" t="s">
        <v>189</v>
      </c>
      <c r="R34" s="602" t="s">
        <v>121</v>
      </c>
      <c r="S34" s="602" t="s">
        <v>121</v>
      </c>
    </row>
    <row r="35" spans="1:19">
      <c r="A35" s="24"/>
      <c r="B35" s="600">
        <v>2013</v>
      </c>
      <c r="C35" s="603" t="s">
        <v>716</v>
      </c>
      <c r="D35" s="603" t="s">
        <v>189</v>
      </c>
      <c r="E35" s="603" t="s">
        <v>928</v>
      </c>
      <c r="F35" s="602" t="s">
        <v>121</v>
      </c>
      <c r="G35" s="603" t="s">
        <v>928</v>
      </c>
      <c r="H35" s="603" t="s">
        <v>189</v>
      </c>
      <c r="I35" s="603" t="s">
        <v>716</v>
      </c>
      <c r="J35" s="602" t="s">
        <v>121</v>
      </c>
      <c r="K35" s="603" t="s">
        <v>189</v>
      </c>
      <c r="L35" s="603" t="s">
        <v>928</v>
      </c>
      <c r="M35" s="603" t="s">
        <v>633</v>
      </c>
      <c r="N35" s="602"/>
      <c r="O35" s="603" t="s">
        <v>716</v>
      </c>
      <c r="P35" s="603" t="s">
        <v>492</v>
      </c>
      <c r="Q35" s="603" t="s">
        <v>189</v>
      </c>
      <c r="R35" s="602" t="s">
        <v>121</v>
      </c>
      <c r="S35" s="602"/>
    </row>
    <row r="36" spans="1:19">
      <c r="A36" s="24"/>
      <c r="B36" s="600">
        <v>2014</v>
      </c>
      <c r="C36" s="605" t="s">
        <v>928</v>
      </c>
      <c r="D36" s="605" t="s">
        <v>189</v>
      </c>
      <c r="E36" s="605" t="s">
        <v>716</v>
      </c>
      <c r="F36" s="607" t="s">
        <v>121</v>
      </c>
      <c r="G36" s="605" t="s">
        <v>189</v>
      </c>
      <c r="H36" s="605" t="s">
        <v>189</v>
      </c>
      <c r="I36" s="605" t="s">
        <v>189</v>
      </c>
      <c r="J36" s="607" t="s">
        <v>189</v>
      </c>
      <c r="K36" s="2373" t="s">
        <v>189</v>
      </c>
      <c r="L36" s="606" t="s">
        <v>189</v>
      </c>
      <c r="M36" s="606" t="s">
        <v>716</v>
      </c>
      <c r="N36" s="607" t="s">
        <v>331</v>
      </c>
      <c r="O36" s="606" t="s">
        <v>189</v>
      </c>
      <c r="P36" s="606" t="s">
        <v>716</v>
      </c>
      <c r="Q36" s="606" t="s">
        <v>716</v>
      </c>
      <c r="R36" s="607"/>
      <c r="S36" s="607"/>
    </row>
    <row r="37" spans="1:19">
      <c r="A37" s="24"/>
      <c r="B37" s="600">
        <v>2015</v>
      </c>
      <c r="C37" s="605" t="s">
        <v>716</v>
      </c>
      <c r="D37" s="605" t="s">
        <v>716</v>
      </c>
      <c r="E37" s="605" t="s">
        <v>716</v>
      </c>
      <c r="F37" s="607" t="s">
        <v>716</v>
      </c>
      <c r="G37" s="605" t="s">
        <v>189</v>
      </c>
      <c r="H37" s="605" t="s">
        <v>189</v>
      </c>
      <c r="I37" s="605" t="s">
        <v>928</v>
      </c>
      <c r="J37" s="607" t="s">
        <v>189</v>
      </c>
      <c r="K37" s="2373" t="s">
        <v>716</v>
      </c>
      <c r="L37" s="606" t="s">
        <v>317</v>
      </c>
      <c r="M37" s="606" t="s">
        <v>1143</v>
      </c>
      <c r="N37" s="607"/>
      <c r="O37" s="2373" t="s">
        <v>716</v>
      </c>
      <c r="P37" s="2373" t="s">
        <v>716</v>
      </c>
      <c r="Q37" s="606" t="s">
        <v>189</v>
      </c>
      <c r="R37" s="607" t="s">
        <v>716</v>
      </c>
      <c r="S37" s="607"/>
    </row>
    <row r="38" spans="1:19">
      <c r="A38" s="24"/>
      <c r="B38" s="600">
        <v>2016</v>
      </c>
      <c r="C38" s="605" t="s">
        <v>851</v>
      </c>
      <c r="D38" s="605" t="s">
        <v>1306</v>
      </c>
      <c r="E38" s="944" t="s">
        <v>194</v>
      </c>
      <c r="F38" s="2580" t="s">
        <v>620</v>
      </c>
      <c r="G38" s="605" t="s">
        <v>189</v>
      </c>
      <c r="H38" s="605" t="s">
        <v>492</v>
      </c>
      <c r="I38" s="605" t="s">
        <v>189</v>
      </c>
      <c r="J38" s="607" t="s">
        <v>189</v>
      </c>
      <c r="K38" s="2373" t="s">
        <v>189</v>
      </c>
      <c r="L38" s="606" t="s">
        <v>189</v>
      </c>
      <c r="M38" s="2373" t="s">
        <v>189</v>
      </c>
      <c r="N38" s="2580" t="s">
        <v>189</v>
      </c>
      <c r="O38" s="2373" t="s">
        <v>492</v>
      </c>
      <c r="P38" s="2373" t="s">
        <v>188</v>
      </c>
      <c r="Q38" s="606" t="s">
        <v>676</v>
      </c>
      <c r="R38" s="607"/>
      <c r="S38" s="607"/>
    </row>
    <row r="39" spans="1:19" s="2579" customFormat="1">
      <c r="A39" s="24"/>
      <c r="B39" s="600">
        <v>2017</v>
      </c>
      <c r="C39" s="605" t="s">
        <v>851</v>
      </c>
      <c r="D39" s="605" t="s">
        <v>716</v>
      </c>
      <c r="E39" s="605" t="s">
        <v>1334</v>
      </c>
      <c r="F39" s="2580"/>
      <c r="G39" s="605" t="s">
        <v>676</v>
      </c>
      <c r="H39" s="605" t="s">
        <v>851</v>
      </c>
      <c r="I39" s="605" t="s">
        <v>851</v>
      </c>
      <c r="J39" s="607" t="s">
        <v>492</v>
      </c>
      <c r="K39" s="2373" t="s">
        <v>716</v>
      </c>
      <c r="L39" s="606" t="s">
        <v>189</v>
      </c>
      <c r="M39" s="606" t="s">
        <v>492</v>
      </c>
      <c r="N39" s="607" t="s">
        <v>513</v>
      </c>
      <c r="O39" s="2373" t="s">
        <v>492</v>
      </c>
      <c r="P39" s="2373" t="s">
        <v>500</v>
      </c>
      <c r="Q39" s="606" t="s">
        <v>1371</v>
      </c>
      <c r="R39" s="607" t="s">
        <v>676</v>
      </c>
      <c r="S39" s="607"/>
    </row>
    <row r="40" spans="1:19" s="2864" customFormat="1">
      <c r="A40" s="24"/>
      <c r="B40" s="608">
        <v>2018</v>
      </c>
      <c r="C40" s="609" t="s">
        <v>676</v>
      </c>
      <c r="D40" s="609" t="s">
        <v>492</v>
      </c>
      <c r="E40" s="609"/>
      <c r="F40" s="1246"/>
      <c r="G40" s="609"/>
      <c r="H40" s="609"/>
      <c r="I40" s="609"/>
      <c r="J40" s="610"/>
      <c r="K40" s="1377"/>
      <c r="L40" s="611"/>
      <c r="M40" s="611"/>
      <c r="N40" s="610"/>
      <c r="O40" s="1377"/>
      <c r="P40" s="1377"/>
      <c r="Q40" s="611"/>
      <c r="R40" s="610"/>
      <c r="S40" s="610"/>
    </row>
    <row r="41" spans="1:19">
      <c r="A41" s="24"/>
      <c r="B41" s="619" t="s">
        <v>672</v>
      </c>
      <c r="C41" s="24"/>
      <c r="D41" s="24"/>
      <c r="E41" s="24"/>
      <c r="F41" s="141"/>
      <c r="G41" s="24"/>
      <c r="H41" s="24"/>
      <c r="I41" s="24"/>
      <c r="J41" s="141"/>
      <c r="K41" s="24"/>
      <c r="L41" s="24"/>
      <c r="M41" s="24"/>
      <c r="N41" s="141"/>
      <c r="O41" s="24"/>
      <c r="P41" s="24"/>
      <c r="Q41" s="24"/>
      <c r="R41" s="141"/>
      <c r="S41" s="424"/>
    </row>
    <row r="42" spans="1:19">
      <c r="A42" s="24"/>
      <c r="B42" s="66"/>
      <c r="C42" s="230" t="s">
        <v>833</v>
      </c>
      <c r="D42" s="230" t="s">
        <v>834</v>
      </c>
      <c r="E42" s="230" t="s">
        <v>835</v>
      </c>
      <c r="F42" s="597" t="s">
        <v>119</v>
      </c>
      <c r="G42" s="230" t="s">
        <v>836</v>
      </c>
      <c r="H42" s="230" t="s">
        <v>837</v>
      </c>
      <c r="I42" s="230" t="s">
        <v>838</v>
      </c>
      <c r="J42" s="597" t="s">
        <v>120</v>
      </c>
      <c r="K42" s="230" t="s">
        <v>839</v>
      </c>
      <c r="L42" s="230" t="s">
        <v>840</v>
      </c>
      <c r="M42" s="230" t="s">
        <v>841</v>
      </c>
      <c r="N42" s="597" t="s">
        <v>1018</v>
      </c>
      <c r="O42" s="230" t="s">
        <v>842</v>
      </c>
      <c r="P42" s="230" t="s">
        <v>843</v>
      </c>
      <c r="Q42" s="230" t="s">
        <v>241</v>
      </c>
      <c r="R42" s="597" t="s">
        <v>1019</v>
      </c>
      <c r="S42" s="597" t="s">
        <v>1095</v>
      </c>
    </row>
    <row r="43" spans="1:19">
      <c r="A43" s="24"/>
      <c r="B43" s="598" t="s">
        <v>242</v>
      </c>
      <c r="C43" s="30"/>
      <c r="D43" s="30"/>
      <c r="E43" s="30"/>
      <c r="F43" s="599"/>
      <c r="G43" s="30"/>
      <c r="H43" s="30"/>
      <c r="I43" s="30"/>
      <c r="J43" s="599"/>
      <c r="K43" s="30"/>
      <c r="L43" s="30"/>
      <c r="M43" s="30"/>
      <c r="N43" s="599"/>
      <c r="O43" s="30"/>
      <c r="P43" s="30"/>
      <c r="Q43" s="30"/>
      <c r="R43" s="599"/>
      <c r="S43" s="599"/>
    </row>
    <row r="44" spans="1:19">
      <c r="A44" s="24"/>
      <c r="B44" s="600">
        <v>2003</v>
      </c>
      <c r="C44" s="601"/>
      <c r="D44" s="601"/>
      <c r="E44" s="601"/>
      <c r="F44" s="602"/>
      <c r="G44" s="601"/>
      <c r="H44" s="601"/>
      <c r="I44" s="601"/>
      <c r="J44" s="602"/>
      <c r="K44" s="603"/>
      <c r="L44" s="601" t="s">
        <v>195</v>
      </c>
      <c r="M44" s="603" t="s">
        <v>328</v>
      </c>
      <c r="N44" s="602"/>
      <c r="O44" s="601" t="s">
        <v>328</v>
      </c>
      <c r="P44" s="603" t="s">
        <v>875</v>
      </c>
      <c r="Q44" s="603" t="s">
        <v>328</v>
      </c>
      <c r="R44" s="602"/>
      <c r="S44" s="602"/>
    </row>
    <row r="45" spans="1:19">
      <c r="A45" s="24"/>
      <c r="B45" s="600">
        <v>2004</v>
      </c>
      <c r="C45" s="601" t="s">
        <v>189</v>
      </c>
      <c r="D45" s="601" t="s">
        <v>493</v>
      </c>
      <c r="E45" s="601" t="s">
        <v>192</v>
      </c>
      <c r="F45" s="602"/>
      <c r="G45" s="601" t="s">
        <v>485</v>
      </c>
      <c r="H45" s="601" t="s">
        <v>533</v>
      </c>
      <c r="I45" s="601"/>
      <c r="J45" s="602" t="s">
        <v>190</v>
      </c>
      <c r="K45" s="601" t="s">
        <v>499</v>
      </c>
      <c r="L45" s="603" t="s">
        <v>492</v>
      </c>
      <c r="M45" s="601"/>
      <c r="N45" s="602"/>
      <c r="O45" s="603" t="s">
        <v>512</v>
      </c>
      <c r="P45" s="603" t="s">
        <v>481</v>
      </c>
      <c r="Q45" s="603" t="s">
        <v>482</v>
      </c>
      <c r="R45" s="602" t="s">
        <v>430</v>
      </c>
      <c r="S45" s="602"/>
    </row>
    <row r="46" spans="1:19">
      <c r="A46" s="24"/>
      <c r="B46" s="600">
        <v>2005</v>
      </c>
      <c r="C46" s="525" t="s">
        <v>483</v>
      </c>
      <c r="D46" s="605" t="s">
        <v>485</v>
      </c>
      <c r="E46" s="601" t="s">
        <v>492</v>
      </c>
      <c r="F46" s="602" t="s">
        <v>264</v>
      </c>
      <c r="G46" s="601" t="s">
        <v>485</v>
      </c>
      <c r="H46" s="605" t="s">
        <v>499</v>
      </c>
      <c r="I46" s="605" t="s">
        <v>502</v>
      </c>
      <c r="J46" s="602" t="s">
        <v>682</v>
      </c>
      <c r="K46" s="603" t="s">
        <v>716</v>
      </c>
      <c r="L46" s="606" t="s">
        <v>1147</v>
      </c>
      <c r="M46" s="606" t="s">
        <v>928</v>
      </c>
      <c r="N46" s="607" t="s">
        <v>485</v>
      </c>
      <c r="O46" s="606" t="s">
        <v>676</v>
      </c>
      <c r="P46" s="606" t="s">
        <v>189</v>
      </c>
      <c r="Q46" s="606" t="s">
        <v>1143</v>
      </c>
      <c r="R46" s="607" t="s">
        <v>928</v>
      </c>
      <c r="S46" s="607"/>
    </row>
    <row r="47" spans="1:19">
      <c r="A47" s="24"/>
      <c r="B47" s="600">
        <v>2006</v>
      </c>
      <c r="C47" s="601" t="s">
        <v>682</v>
      </c>
      <c r="D47" s="605" t="s">
        <v>483</v>
      </c>
      <c r="E47" s="601" t="s">
        <v>491</v>
      </c>
      <c r="F47" s="602" t="s">
        <v>682</v>
      </c>
      <c r="G47" s="601" t="s">
        <v>430</v>
      </c>
      <c r="H47" s="605" t="s">
        <v>481</v>
      </c>
      <c r="I47" s="605" t="s">
        <v>430</v>
      </c>
      <c r="J47" s="602"/>
      <c r="K47" s="603" t="s">
        <v>408</v>
      </c>
      <c r="L47" s="606" t="s">
        <v>493</v>
      </c>
      <c r="M47" s="606" t="s">
        <v>125</v>
      </c>
      <c r="N47" s="607"/>
      <c r="O47" s="606" t="s">
        <v>191</v>
      </c>
      <c r="P47" s="606" t="s">
        <v>499</v>
      </c>
      <c r="Q47" s="606" t="s">
        <v>493</v>
      </c>
      <c r="R47" s="607"/>
      <c r="S47" s="607"/>
    </row>
    <row r="48" spans="1:19">
      <c r="A48" s="24"/>
      <c r="B48" s="600">
        <v>2007</v>
      </c>
      <c r="C48" s="601" t="s">
        <v>917</v>
      </c>
      <c r="D48" s="605" t="s">
        <v>493</v>
      </c>
      <c r="E48" s="601" t="s">
        <v>188</v>
      </c>
      <c r="F48" s="602"/>
      <c r="G48" s="601" t="s">
        <v>716</v>
      </c>
      <c r="H48" s="605" t="s">
        <v>426</v>
      </c>
      <c r="I48" s="605" t="s">
        <v>716</v>
      </c>
      <c r="J48" s="602" t="s">
        <v>189</v>
      </c>
      <c r="K48" s="603" t="s">
        <v>716</v>
      </c>
      <c r="L48" s="606" t="s">
        <v>928</v>
      </c>
      <c r="M48" s="606" t="s">
        <v>676</v>
      </c>
      <c r="N48" s="607"/>
      <c r="O48" s="606" t="s">
        <v>676</v>
      </c>
      <c r="P48" s="606" t="s">
        <v>620</v>
      </c>
      <c r="Q48" s="606" t="s">
        <v>492</v>
      </c>
      <c r="R48" s="607"/>
      <c r="S48" s="607"/>
    </row>
    <row r="49" spans="1:19">
      <c r="A49" s="24"/>
      <c r="B49" s="600">
        <v>2008</v>
      </c>
      <c r="C49" s="601" t="s">
        <v>500</v>
      </c>
      <c r="D49" s="605" t="s">
        <v>500</v>
      </c>
      <c r="E49" s="601" t="s">
        <v>488</v>
      </c>
      <c r="F49" s="602"/>
      <c r="G49" s="601" t="s">
        <v>676</v>
      </c>
      <c r="H49" s="605" t="s">
        <v>676</v>
      </c>
      <c r="I49" s="605" t="s">
        <v>492</v>
      </c>
      <c r="J49" s="602"/>
      <c r="K49" s="603" t="s">
        <v>676</v>
      </c>
      <c r="L49" s="603" t="s">
        <v>676</v>
      </c>
      <c r="M49" s="606" t="s">
        <v>633</v>
      </c>
      <c r="N49" s="607"/>
      <c r="O49" s="603" t="s">
        <v>488</v>
      </c>
      <c r="P49" s="606" t="s">
        <v>952</v>
      </c>
      <c r="Q49" s="606" t="s">
        <v>716</v>
      </c>
      <c r="R49" s="607"/>
      <c r="S49" s="607" t="s">
        <v>141</v>
      </c>
    </row>
    <row r="50" spans="1:19">
      <c r="A50" s="24"/>
      <c r="B50" s="600">
        <v>2009</v>
      </c>
      <c r="C50" s="605" t="s">
        <v>499</v>
      </c>
      <c r="D50" s="605" t="s">
        <v>500</v>
      </c>
      <c r="E50" s="605" t="s">
        <v>499</v>
      </c>
      <c r="F50" s="607"/>
      <c r="G50" s="944" t="s">
        <v>492</v>
      </c>
      <c r="H50" s="605" t="s">
        <v>488</v>
      </c>
      <c r="I50" s="605" t="s">
        <v>492</v>
      </c>
      <c r="J50" s="607"/>
      <c r="K50" s="606" t="s">
        <v>716</v>
      </c>
      <c r="L50" s="606" t="s">
        <v>716</v>
      </c>
      <c r="M50" s="606" t="s">
        <v>189</v>
      </c>
      <c r="N50" s="607"/>
      <c r="O50" s="606" t="s">
        <v>492</v>
      </c>
      <c r="P50" s="606" t="s">
        <v>882</v>
      </c>
      <c r="Q50" s="606" t="s">
        <v>249</v>
      </c>
      <c r="R50" s="607" t="s">
        <v>676</v>
      </c>
      <c r="S50" s="607"/>
    </row>
    <row r="51" spans="1:19">
      <c r="A51" s="24"/>
      <c r="B51" s="600">
        <v>2010</v>
      </c>
      <c r="C51" s="605" t="s">
        <v>928</v>
      </c>
      <c r="D51" s="605" t="s">
        <v>1099</v>
      </c>
      <c r="E51" s="605" t="s">
        <v>676</v>
      </c>
      <c r="F51" s="607"/>
      <c r="G51" s="605" t="s">
        <v>189</v>
      </c>
      <c r="H51" s="605" t="s">
        <v>488</v>
      </c>
      <c r="I51" s="605" t="s">
        <v>1099</v>
      </c>
      <c r="J51" s="607"/>
      <c r="K51" s="606" t="s">
        <v>716</v>
      </c>
      <c r="L51" s="606"/>
      <c r="M51" s="606" t="s">
        <v>492</v>
      </c>
      <c r="N51" s="607"/>
      <c r="O51" s="606" t="s">
        <v>189</v>
      </c>
      <c r="P51" s="606" t="s">
        <v>189</v>
      </c>
      <c r="Q51" s="606" t="s">
        <v>1099</v>
      </c>
      <c r="R51" s="607" t="s">
        <v>668</v>
      </c>
      <c r="S51" s="607"/>
    </row>
    <row r="52" spans="1:19">
      <c r="A52" s="24"/>
      <c r="B52" s="600">
        <v>2011</v>
      </c>
      <c r="C52" s="605" t="s">
        <v>188</v>
      </c>
      <c r="D52" s="605" t="s">
        <v>716</v>
      </c>
      <c r="E52" s="605" t="s">
        <v>1099</v>
      </c>
      <c r="F52" s="607" t="s">
        <v>513</v>
      </c>
      <c r="G52" s="605" t="s">
        <v>189</v>
      </c>
      <c r="H52" s="605" t="s">
        <v>188</v>
      </c>
      <c r="I52" s="605" t="s">
        <v>189</v>
      </c>
      <c r="J52" s="607" t="s">
        <v>513</v>
      </c>
      <c r="K52" s="606" t="s">
        <v>716</v>
      </c>
      <c r="L52" s="606" t="s">
        <v>499</v>
      </c>
      <c r="M52" s="606" t="s">
        <v>188</v>
      </c>
      <c r="N52" s="607" t="s">
        <v>513</v>
      </c>
      <c r="O52" s="606" t="s">
        <v>716</v>
      </c>
      <c r="P52" s="606" t="s">
        <v>189</v>
      </c>
      <c r="Q52" s="606" t="s">
        <v>928</v>
      </c>
      <c r="R52" s="607"/>
      <c r="S52" s="607"/>
    </row>
    <row r="53" spans="1:19">
      <c r="A53" s="24"/>
      <c r="B53" s="600">
        <v>2012</v>
      </c>
      <c r="C53" s="605" t="s">
        <v>716</v>
      </c>
      <c r="D53" s="605" t="s">
        <v>492</v>
      </c>
      <c r="E53" s="605" t="s">
        <v>492</v>
      </c>
      <c r="F53" s="607"/>
      <c r="G53" s="605" t="s">
        <v>492</v>
      </c>
      <c r="H53" s="605" t="s">
        <v>492</v>
      </c>
      <c r="I53" s="605" t="s">
        <v>1099</v>
      </c>
      <c r="J53" s="607"/>
      <c r="K53" s="606" t="s">
        <v>492</v>
      </c>
      <c r="L53" s="606" t="s">
        <v>492</v>
      </c>
      <c r="M53" s="606" t="s">
        <v>676</v>
      </c>
      <c r="N53" s="607" t="s">
        <v>332</v>
      </c>
      <c r="O53" s="606" t="s">
        <v>928</v>
      </c>
      <c r="P53" s="606" t="s">
        <v>189</v>
      </c>
      <c r="Q53" s="606" t="s">
        <v>189</v>
      </c>
      <c r="R53" s="607" t="s">
        <v>513</v>
      </c>
      <c r="S53" s="607"/>
    </row>
    <row r="54" spans="1:19">
      <c r="A54" s="24"/>
      <c r="B54" s="600">
        <v>2013</v>
      </c>
      <c r="C54" s="605" t="s">
        <v>492</v>
      </c>
      <c r="D54" s="605" t="s">
        <v>716</v>
      </c>
      <c r="E54" s="605" t="s">
        <v>189</v>
      </c>
      <c r="F54" s="607" t="s">
        <v>513</v>
      </c>
      <c r="G54" s="605" t="s">
        <v>189</v>
      </c>
      <c r="H54" s="605" t="s">
        <v>492</v>
      </c>
      <c r="I54" s="605" t="s">
        <v>499</v>
      </c>
      <c r="J54" s="607" t="s">
        <v>916</v>
      </c>
      <c r="K54" s="606" t="s">
        <v>492</v>
      </c>
      <c r="L54" s="606" t="s">
        <v>317</v>
      </c>
      <c r="M54" s="606" t="s">
        <v>189</v>
      </c>
      <c r="N54" s="607"/>
      <c r="O54" s="606" t="s">
        <v>676</v>
      </c>
      <c r="P54" s="606" t="s">
        <v>492</v>
      </c>
      <c r="Q54" s="606" t="s">
        <v>188</v>
      </c>
      <c r="R54" s="607"/>
      <c r="S54" s="607"/>
    </row>
    <row r="55" spans="1:19">
      <c r="A55" s="24"/>
      <c r="B55" s="600">
        <v>2014</v>
      </c>
      <c r="C55" s="605" t="s">
        <v>189</v>
      </c>
      <c r="D55" s="605" t="s">
        <v>676</v>
      </c>
      <c r="E55" s="605" t="s">
        <v>188</v>
      </c>
      <c r="F55" s="607" t="s">
        <v>513</v>
      </c>
      <c r="G55" s="605" t="s">
        <v>189</v>
      </c>
      <c r="H55" s="605" t="s">
        <v>492</v>
      </c>
      <c r="I55" s="605" t="s">
        <v>189</v>
      </c>
      <c r="J55" s="607" t="s">
        <v>513</v>
      </c>
      <c r="K55" s="2373" t="s">
        <v>189</v>
      </c>
      <c r="L55" s="606" t="s">
        <v>716</v>
      </c>
      <c r="M55" s="606" t="s">
        <v>189</v>
      </c>
      <c r="N55" s="607" t="s">
        <v>513</v>
      </c>
      <c r="O55" s="606" t="s">
        <v>716</v>
      </c>
      <c r="P55" s="606" t="s">
        <v>189</v>
      </c>
      <c r="Q55" s="606" t="s">
        <v>1277</v>
      </c>
      <c r="R55" s="607"/>
      <c r="S55" s="607"/>
    </row>
    <row r="56" spans="1:19">
      <c r="A56" s="24"/>
      <c r="B56" s="600">
        <v>2015</v>
      </c>
      <c r="C56" s="605" t="s">
        <v>928</v>
      </c>
      <c r="D56" s="605" t="s">
        <v>716</v>
      </c>
      <c r="E56" s="605" t="s">
        <v>676</v>
      </c>
      <c r="F56" s="607" t="s">
        <v>928</v>
      </c>
      <c r="G56" s="605" t="s">
        <v>189</v>
      </c>
      <c r="H56" s="605" t="s">
        <v>189</v>
      </c>
      <c r="I56" s="605" t="s">
        <v>928</v>
      </c>
      <c r="J56" s="607" t="s">
        <v>189</v>
      </c>
      <c r="K56" s="2373" t="s">
        <v>928</v>
      </c>
      <c r="L56" s="606" t="s">
        <v>716</v>
      </c>
      <c r="M56" s="606" t="s">
        <v>928</v>
      </c>
      <c r="N56" s="607" t="s">
        <v>189</v>
      </c>
      <c r="O56" s="2373" t="s">
        <v>716</v>
      </c>
      <c r="P56" s="2373" t="s">
        <v>189</v>
      </c>
      <c r="Q56" s="606" t="s">
        <v>492</v>
      </c>
      <c r="R56" s="607" t="s">
        <v>189</v>
      </c>
      <c r="S56" s="607"/>
    </row>
    <row r="57" spans="1:19">
      <c r="A57" s="24"/>
      <c r="B57" s="600">
        <v>2016</v>
      </c>
      <c r="C57" s="605" t="s">
        <v>189</v>
      </c>
      <c r="D57" s="605" t="s">
        <v>1143</v>
      </c>
      <c r="E57" s="605" t="s">
        <v>189</v>
      </c>
      <c r="F57" s="2580" t="s">
        <v>189</v>
      </c>
      <c r="G57" s="605" t="s">
        <v>189</v>
      </c>
      <c r="H57" s="605" t="s">
        <v>851</v>
      </c>
      <c r="I57" s="605" t="s">
        <v>492</v>
      </c>
      <c r="J57" s="607" t="s">
        <v>1371</v>
      </c>
      <c r="K57" s="2373" t="s">
        <v>716</v>
      </c>
      <c r="L57" s="606" t="s">
        <v>189</v>
      </c>
      <c r="M57" s="2373" t="s">
        <v>716</v>
      </c>
      <c r="N57" s="607" t="s">
        <v>716</v>
      </c>
      <c r="O57" s="2373" t="s">
        <v>189</v>
      </c>
      <c r="P57" s="2373" t="s">
        <v>492</v>
      </c>
      <c r="Q57" s="606" t="s">
        <v>716</v>
      </c>
      <c r="R57" s="607"/>
      <c r="S57" s="607"/>
    </row>
    <row r="58" spans="1:19" s="2579" customFormat="1">
      <c r="A58" s="24"/>
      <c r="B58" s="600">
        <v>2017</v>
      </c>
      <c r="C58" s="605" t="s">
        <v>492</v>
      </c>
      <c r="D58" s="605" t="s">
        <v>676</v>
      </c>
      <c r="E58" s="944" t="s">
        <v>189</v>
      </c>
      <c r="F58" s="2580"/>
      <c r="G58" s="605" t="s">
        <v>928</v>
      </c>
      <c r="H58" s="605" t="s">
        <v>189</v>
      </c>
      <c r="I58" s="605" t="s">
        <v>492</v>
      </c>
      <c r="J58" s="607" t="s">
        <v>1371</v>
      </c>
      <c r="K58" s="2373" t="s">
        <v>492</v>
      </c>
      <c r="L58" s="606" t="s">
        <v>492</v>
      </c>
      <c r="M58" s="2373" t="s">
        <v>676</v>
      </c>
      <c r="N58" s="607" t="s">
        <v>492</v>
      </c>
      <c r="O58" s="2373" t="s">
        <v>189</v>
      </c>
      <c r="P58" s="2373" t="s">
        <v>676</v>
      </c>
      <c r="Q58" s="606" t="s">
        <v>716</v>
      </c>
      <c r="R58" s="607"/>
      <c r="S58" s="607"/>
    </row>
    <row r="59" spans="1:19" s="2864" customFormat="1">
      <c r="A59" s="24"/>
      <c r="B59" s="608">
        <v>2018</v>
      </c>
      <c r="C59" s="609" t="s">
        <v>189</v>
      </c>
      <c r="D59" s="609" t="s">
        <v>716</v>
      </c>
      <c r="E59" s="2374"/>
      <c r="F59" s="1246"/>
      <c r="G59" s="609"/>
      <c r="H59" s="609"/>
      <c r="I59" s="609"/>
      <c r="J59" s="610"/>
      <c r="K59" s="1377"/>
      <c r="L59" s="611"/>
      <c r="M59" s="1377"/>
      <c r="N59" s="610"/>
      <c r="O59" s="1377"/>
      <c r="P59" s="1377"/>
      <c r="Q59" s="611"/>
      <c r="R59" s="610"/>
      <c r="S59" s="610"/>
    </row>
    <row r="60" spans="1:19">
      <c r="A60" s="24"/>
      <c r="B60" s="598" t="s">
        <v>675</v>
      </c>
      <c r="C60" s="605"/>
      <c r="D60" s="605"/>
      <c r="E60" s="605"/>
      <c r="F60" s="607"/>
      <c r="G60" s="605"/>
      <c r="H60" s="605"/>
      <c r="I60" s="605"/>
      <c r="J60" s="607"/>
      <c r="K60" s="606"/>
      <c r="L60" s="606"/>
      <c r="M60" s="606"/>
      <c r="N60" s="607"/>
      <c r="O60" s="606"/>
      <c r="P60" s="606"/>
      <c r="Q60" s="606"/>
      <c r="R60" s="607"/>
      <c r="S60" s="607"/>
    </row>
    <row r="61" spans="1:19">
      <c r="A61" s="253"/>
      <c r="B61" s="600">
        <v>2003</v>
      </c>
      <c r="C61" s="603"/>
      <c r="D61" s="601"/>
      <c r="E61" s="601"/>
      <c r="F61" s="602"/>
      <c r="G61" s="601"/>
      <c r="H61" s="601"/>
      <c r="I61" s="601"/>
      <c r="J61" s="602"/>
      <c r="K61" s="603"/>
      <c r="L61" s="601" t="s">
        <v>328</v>
      </c>
      <c r="M61" s="603" t="s">
        <v>328</v>
      </c>
      <c r="N61" s="602"/>
      <c r="O61" s="603" t="s">
        <v>1147</v>
      </c>
      <c r="P61" s="601" t="s">
        <v>483</v>
      </c>
      <c r="Q61" s="603"/>
      <c r="R61" s="602"/>
      <c r="S61" s="602"/>
    </row>
    <row r="62" spans="1:19">
      <c r="A62" s="58"/>
      <c r="B62" s="600">
        <v>2004</v>
      </c>
      <c r="C62" s="601" t="s">
        <v>193</v>
      </c>
      <c r="D62" s="601" t="s">
        <v>676</v>
      </c>
      <c r="E62" s="601" t="s">
        <v>676</v>
      </c>
      <c r="F62" s="602"/>
      <c r="G62" s="601" t="s">
        <v>928</v>
      </c>
      <c r="H62" s="603" t="s">
        <v>928</v>
      </c>
      <c r="I62" s="601"/>
      <c r="J62" s="602" t="s">
        <v>404</v>
      </c>
      <c r="K62" s="603" t="s">
        <v>1143</v>
      </c>
      <c r="L62" s="603" t="s">
        <v>481</v>
      </c>
      <c r="M62" s="603"/>
      <c r="N62" s="602"/>
      <c r="O62" s="603" t="s">
        <v>681</v>
      </c>
      <c r="P62" s="603" t="s">
        <v>485</v>
      </c>
      <c r="Q62" s="603" t="s">
        <v>485</v>
      </c>
      <c r="R62" s="602" t="s">
        <v>928</v>
      </c>
      <c r="S62" s="602"/>
    </row>
    <row r="63" spans="1:19">
      <c r="A63" s="24"/>
      <c r="B63" s="600">
        <v>2005</v>
      </c>
      <c r="C63" s="525" t="s">
        <v>928</v>
      </c>
      <c r="D63" s="601" t="s">
        <v>682</v>
      </c>
      <c r="E63" s="603" t="s">
        <v>716</v>
      </c>
      <c r="F63" s="602" t="s">
        <v>264</v>
      </c>
      <c r="G63" s="603" t="s">
        <v>485</v>
      </c>
      <c r="H63" s="603" t="s">
        <v>716</v>
      </c>
      <c r="I63" s="601" t="s">
        <v>717</v>
      </c>
      <c r="J63" s="602" t="s">
        <v>485</v>
      </c>
      <c r="K63" s="603" t="s">
        <v>492</v>
      </c>
      <c r="L63" s="601" t="s">
        <v>492</v>
      </c>
      <c r="M63" s="603" t="s">
        <v>716</v>
      </c>
      <c r="N63" s="602" t="s">
        <v>928</v>
      </c>
      <c r="O63" s="603" t="s">
        <v>499</v>
      </c>
      <c r="P63" s="603" t="s">
        <v>928</v>
      </c>
      <c r="Q63" s="603" t="s">
        <v>928</v>
      </c>
      <c r="R63" s="602" t="s">
        <v>485</v>
      </c>
      <c r="S63" s="602"/>
    </row>
    <row r="64" spans="1:19">
      <c r="A64" s="24"/>
      <c r="B64" s="600">
        <v>2006</v>
      </c>
      <c r="C64" s="603" t="s">
        <v>1143</v>
      </c>
      <c r="D64" s="601" t="s">
        <v>676</v>
      </c>
      <c r="E64" s="603" t="s">
        <v>928</v>
      </c>
      <c r="F64" s="602" t="s">
        <v>492</v>
      </c>
      <c r="G64" s="603" t="s">
        <v>928</v>
      </c>
      <c r="H64" s="603" t="s">
        <v>492</v>
      </c>
      <c r="I64" s="601" t="s">
        <v>676</v>
      </c>
      <c r="J64" s="602"/>
      <c r="K64" s="603" t="s">
        <v>928</v>
      </c>
      <c r="L64" s="601" t="s">
        <v>492</v>
      </c>
      <c r="M64" s="603" t="s">
        <v>500</v>
      </c>
      <c r="N64" s="602"/>
      <c r="O64" s="603" t="s">
        <v>488</v>
      </c>
      <c r="P64" s="603" t="s">
        <v>676</v>
      </c>
      <c r="Q64" s="603" t="s">
        <v>492</v>
      </c>
      <c r="R64" s="602"/>
      <c r="S64" s="602"/>
    </row>
    <row r="65" spans="1:24">
      <c r="A65" s="24"/>
      <c r="B65" s="600">
        <v>2007</v>
      </c>
      <c r="C65" s="603" t="s">
        <v>918</v>
      </c>
      <c r="D65" s="601" t="s">
        <v>492</v>
      </c>
      <c r="E65" s="603" t="s">
        <v>500</v>
      </c>
      <c r="F65" s="602"/>
      <c r="G65" s="603" t="s">
        <v>676</v>
      </c>
      <c r="H65" s="603" t="s">
        <v>879</v>
      </c>
      <c r="I65" s="601" t="s">
        <v>676</v>
      </c>
      <c r="J65" s="602" t="s">
        <v>676</v>
      </c>
      <c r="K65" s="603" t="s">
        <v>492</v>
      </c>
      <c r="L65" s="601" t="s">
        <v>492</v>
      </c>
      <c r="M65" s="603" t="s">
        <v>928</v>
      </c>
      <c r="N65" s="602"/>
      <c r="O65" s="603" t="s">
        <v>928</v>
      </c>
      <c r="P65" s="606" t="s">
        <v>620</v>
      </c>
      <c r="Q65" s="603" t="s">
        <v>500</v>
      </c>
      <c r="R65" s="602"/>
      <c r="S65" s="602"/>
    </row>
    <row r="66" spans="1:24">
      <c r="A66" s="24"/>
      <c r="B66" s="600">
        <v>2008</v>
      </c>
      <c r="C66" s="603" t="s">
        <v>741</v>
      </c>
      <c r="D66" s="601" t="s">
        <v>492</v>
      </c>
      <c r="E66" s="603" t="s">
        <v>492</v>
      </c>
      <c r="F66" s="602"/>
      <c r="G66" s="603" t="s">
        <v>676</v>
      </c>
      <c r="H66" s="603" t="s">
        <v>492</v>
      </c>
      <c r="I66" s="601" t="s">
        <v>492</v>
      </c>
      <c r="J66" s="602"/>
      <c r="K66" s="603" t="s">
        <v>189</v>
      </c>
      <c r="L66" s="601" t="s">
        <v>492</v>
      </c>
      <c r="M66" s="603" t="s">
        <v>676</v>
      </c>
      <c r="N66" s="602"/>
      <c r="O66" s="603" t="s">
        <v>676</v>
      </c>
      <c r="P66" s="606" t="s">
        <v>500</v>
      </c>
      <c r="Q66" s="603" t="s">
        <v>676</v>
      </c>
      <c r="R66" s="602"/>
      <c r="S66" s="602" t="s">
        <v>133</v>
      </c>
    </row>
    <row r="67" spans="1:24">
      <c r="A67" s="24"/>
      <c r="B67" s="614">
        <v>2009</v>
      </c>
      <c r="C67" s="605" t="s">
        <v>500</v>
      </c>
      <c r="D67" s="605" t="s">
        <v>485</v>
      </c>
      <c r="E67" s="601" t="s">
        <v>492</v>
      </c>
      <c r="F67" s="964"/>
      <c r="G67" s="935" t="s">
        <v>189</v>
      </c>
      <c r="H67" s="935" t="s">
        <v>189</v>
      </c>
      <c r="I67" s="935" t="s">
        <v>189</v>
      </c>
      <c r="J67" s="964"/>
      <c r="K67" s="603" t="s">
        <v>676</v>
      </c>
      <c r="L67" s="615" t="s">
        <v>928</v>
      </c>
      <c r="M67" s="615" t="s">
        <v>928</v>
      </c>
      <c r="N67" s="964"/>
      <c r="O67" s="935" t="s">
        <v>716</v>
      </c>
      <c r="P67" s="935" t="s">
        <v>716</v>
      </c>
      <c r="Q67" s="935" t="s">
        <v>499</v>
      </c>
      <c r="R67" s="965" t="s">
        <v>188</v>
      </c>
      <c r="S67" s="964"/>
    </row>
    <row r="68" spans="1:24">
      <c r="A68" s="24"/>
      <c r="B68" s="614">
        <v>2010</v>
      </c>
      <c r="C68" s="605" t="s">
        <v>499</v>
      </c>
      <c r="D68" s="605" t="s">
        <v>492</v>
      </c>
      <c r="E68" s="601" t="s">
        <v>716</v>
      </c>
      <c r="F68" s="964"/>
      <c r="G68" s="935" t="s">
        <v>189</v>
      </c>
      <c r="H68" s="935" t="s">
        <v>189</v>
      </c>
      <c r="I68" s="615" t="s">
        <v>851</v>
      </c>
      <c r="J68" s="964"/>
      <c r="K68" s="603" t="s">
        <v>676</v>
      </c>
      <c r="L68" s="615"/>
      <c r="M68" s="935" t="s">
        <v>188</v>
      </c>
      <c r="N68" s="964"/>
      <c r="O68" s="935" t="s">
        <v>716</v>
      </c>
      <c r="P68" s="935" t="s">
        <v>189</v>
      </c>
      <c r="Q68" s="613" t="s">
        <v>492</v>
      </c>
      <c r="R68" s="964" t="s">
        <v>121</v>
      </c>
      <c r="S68" s="964"/>
    </row>
    <row r="69" spans="1:24">
      <c r="A69" s="24"/>
      <c r="B69" s="614">
        <v>2011</v>
      </c>
      <c r="C69" s="605" t="s">
        <v>189</v>
      </c>
      <c r="D69" s="605" t="s">
        <v>189</v>
      </c>
      <c r="E69" s="601" t="s">
        <v>189</v>
      </c>
      <c r="F69" s="964" t="s">
        <v>121</v>
      </c>
      <c r="G69" s="935" t="s">
        <v>851</v>
      </c>
      <c r="H69" s="935" t="s">
        <v>492</v>
      </c>
      <c r="I69" s="615" t="s">
        <v>851</v>
      </c>
      <c r="J69" s="964" t="s">
        <v>312</v>
      </c>
      <c r="K69" s="603" t="s">
        <v>189</v>
      </c>
      <c r="L69" s="615" t="s">
        <v>928</v>
      </c>
      <c r="M69" s="935" t="s">
        <v>492</v>
      </c>
      <c r="N69" s="964" t="s">
        <v>928</v>
      </c>
      <c r="O69" s="935" t="s">
        <v>928</v>
      </c>
      <c r="P69" s="935" t="s">
        <v>928</v>
      </c>
      <c r="Q69" s="613" t="s">
        <v>492</v>
      </c>
      <c r="R69" s="964"/>
      <c r="S69" s="964"/>
    </row>
    <row r="70" spans="1:24">
      <c r="A70" s="24"/>
      <c r="B70" s="614">
        <v>2012</v>
      </c>
      <c r="C70" s="605" t="s">
        <v>189</v>
      </c>
      <c r="D70" s="605" t="s">
        <v>188</v>
      </c>
      <c r="E70" s="601" t="s">
        <v>188</v>
      </c>
      <c r="F70" s="964" t="s">
        <v>121</v>
      </c>
      <c r="G70" s="605" t="s">
        <v>188</v>
      </c>
      <c r="H70" s="605" t="s">
        <v>716</v>
      </c>
      <c r="I70" s="615" t="s">
        <v>189</v>
      </c>
      <c r="J70" s="964" t="s">
        <v>121</v>
      </c>
      <c r="K70" s="603" t="s">
        <v>188</v>
      </c>
      <c r="L70" s="615" t="s">
        <v>188</v>
      </c>
      <c r="M70" s="935" t="s">
        <v>499</v>
      </c>
      <c r="N70" s="964" t="s">
        <v>121</v>
      </c>
      <c r="O70" s="935" t="s">
        <v>716</v>
      </c>
      <c r="P70" s="935" t="s">
        <v>716</v>
      </c>
      <c r="Q70" s="603" t="s">
        <v>188</v>
      </c>
      <c r="R70" s="964" t="s">
        <v>121</v>
      </c>
      <c r="S70" s="964" t="s">
        <v>121</v>
      </c>
    </row>
    <row r="71" spans="1:24">
      <c r="A71" s="24"/>
      <c r="B71" s="614">
        <v>2013</v>
      </c>
      <c r="C71" s="605" t="s">
        <v>189</v>
      </c>
      <c r="D71" s="605" t="s">
        <v>1143</v>
      </c>
      <c r="E71" s="601" t="s">
        <v>189</v>
      </c>
      <c r="F71" s="964" t="s">
        <v>121</v>
      </c>
      <c r="G71" s="605" t="s">
        <v>189</v>
      </c>
      <c r="H71" s="605" t="s">
        <v>189</v>
      </c>
      <c r="I71" s="935" t="s">
        <v>676</v>
      </c>
      <c r="J71" s="964" t="s">
        <v>928</v>
      </c>
      <c r="K71" s="603" t="s">
        <v>716</v>
      </c>
      <c r="L71" s="605" t="s">
        <v>189</v>
      </c>
      <c r="M71" s="605" t="s">
        <v>189</v>
      </c>
      <c r="N71" s="964" t="s">
        <v>121</v>
      </c>
      <c r="O71" s="613" t="s">
        <v>492</v>
      </c>
      <c r="P71" s="935" t="s">
        <v>189</v>
      </c>
      <c r="Q71" s="603" t="s">
        <v>676</v>
      </c>
      <c r="R71" s="964" t="s">
        <v>560</v>
      </c>
      <c r="S71" s="964"/>
    </row>
    <row r="72" spans="1:24">
      <c r="A72" s="24"/>
      <c r="B72" s="614">
        <v>2014</v>
      </c>
      <c r="C72" s="605" t="s">
        <v>928</v>
      </c>
      <c r="D72" s="605" t="s">
        <v>189</v>
      </c>
      <c r="E72" s="601" t="s">
        <v>189</v>
      </c>
      <c r="F72" s="964" t="s">
        <v>121</v>
      </c>
      <c r="G72" s="605" t="s">
        <v>189</v>
      </c>
      <c r="H72" s="605" t="s">
        <v>189</v>
      </c>
      <c r="I72" s="935" t="s">
        <v>716</v>
      </c>
      <c r="J72" s="964" t="s">
        <v>121</v>
      </c>
      <c r="K72" s="2373" t="s">
        <v>189</v>
      </c>
      <c r="L72" s="935" t="s">
        <v>716</v>
      </c>
      <c r="M72" s="605" t="s">
        <v>189</v>
      </c>
      <c r="N72" s="964" t="s">
        <v>121</v>
      </c>
      <c r="O72" s="935" t="s">
        <v>716</v>
      </c>
      <c r="P72" s="935" t="s">
        <v>189</v>
      </c>
      <c r="Q72" s="603" t="s">
        <v>716</v>
      </c>
      <c r="R72" s="964"/>
      <c r="S72" s="964"/>
    </row>
    <row r="73" spans="1:24">
      <c r="A73" s="24"/>
      <c r="B73" s="600">
        <v>2015</v>
      </c>
      <c r="C73" s="944" t="s">
        <v>716</v>
      </c>
      <c r="D73" s="605" t="s">
        <v>716</v>
      </c>
      <c r="E73" s="605" t="s">
        <v>716</v>
      </c>
      <c r="F73" s="964" t="s">
        <v>716</v>
      </c>
      <c r="G73" s="605" t="s">
        <v>189</v>
      </c>
      <c r="H73" s="605" t="s">
        <v>716</v>
      </c>
      <c r="I73" s="605" t="s">
        <v>716</v>
      </c>
      <c r="J73" s="964" t="s">
        <v>1284</v>
      </c>
      <c r="K73" s="2373" t="s">
        <v>716</v>
      </c>
      <c r="L73" s="606" t="s">
        <v>1288</v>
      </c>
      <c r="M73" s="606" t="s">
        <v>1293</v>
      </c>
      <c r="N73" s="607" t="s">
        <v>121</v>
      </c>
      <c r="O73" s="2373" t="s">
        <v>189</v>
      </c>
      <c r="P73" s="2373" t="s">
        <v>189</v>
      </c>
      <c r="Q73" s="606" t="s">
        <v>189</v>
      </c>
      <c r="R73" s="607" t="s">
        <v>189</v>
      </c>
      <c r="S73" s="607"/>
    </row>
    <row r="74" spans="1:24" s="129" customFormat="1">
      <c r="A74" s="30"/>
      <c r="B74" s="600">
        <v>2016</v>
      </c>
      <c r="C74" s="944" t="s">
        <v>716</v>
      </c>
      <c r="D74" s="605" t="s">
        <v>189</v>
      </c>
      <c r="E74" s="605" t="s">
        <v>189</v>
      </c>
      <c r="F74" s="2580" t="s">
        <v>189</v>
      </c>
      <c r="G74" s="605" t="s">
        <v>1310</v>
      </c>
      <c r="H74" s="605" t="s">
        <v>716</v>
      </c>
      <c r="I74" s="605" t="s">
        <v>188</v>
      </c>
      <c r="J74" s="2580" t="s">
        <v>1284</v>
      </c>
      <c r="K74" s="2373" t="s">
        <v>928</v>
      </c>
      <c r="L74" s="606" t="s">
        <v>716</v>
      </c>
      <c r="M74" s="2373" t="s">
        <v>492</v>
      </c>
      <c r="N74" s="607" t="s">
        <v>513</v>
      </c>
      <c r="O74" s="2373" t="s">
        <v>851</v>
      </c>
      <c r="P74" s="2373" t="s">
        <v>189</v>
      </c>
      <c r="Q74" s="606" t="s">
        <v>716</v>
      </c>
      <c r="R74" s="607"/>
      <c r="S74" s="607"/>
    </row>
    <row r="75" spans="1:24" s="129" customFormat="1">
      <c r="A75" s="30"/>
      <c r="B75" s="600">
        <v>2017</v>
      </c>
      <c r="C75" s="944" t="s">
        <v>492</v>
      </c>
      <c r="D75" s="605" t="s">
        <v>1310</v>
      </c>
      <c r="E75" s="944" t="s">
        <v>189</v>
      </c>
      <c r="F75" s="2580" t="s">
        <v>851</v>
      </c>
      <c r="G75" s="605" t="s">
        <v>716</v>
      </c>
      <c r="H75" s="605" t="s">
        <v>189</v>
      </c>
      <c r="I75" s="605" t="s">
        <v>189</v>
      </c>
      <c r="J75" s="2580" t="s">
        <v>189</v>
      </c>
      <c r="K75" s="2373" t="s">
        <v>189</v>
      </c>
      <c r="L75" s="606" t="s">
        <v>189</v>
      </c>
      <c r="M75" s="2373" t="s">
        <v>716</v>
      </c>
      <c r="N75" s="607" t="s">
        <v>189</v>
      </c>
      <c r="O75" s="2373" t="s">
        <v>189</v>
      </c>
      <c r="P75" s="2373" t="s">
        <v>188</v>
      </c>
      <c r="Q75" s="2373" t="s">
        <v>189</v>
      </c>
      <c r="R75" s="607" t="s">
        <v>716</v>
      </c>
      <c r="S75" s="607"/>
    </row>
    <row r="76" spans="1:24" s="129" customFormat="1">
      <c r="A76" s="30"/>
      <c r="B76" s="608">
        <v>2018</v>
      </c>
      <c r="C76" s="2374" t="s">
        <v>189</v>
      </c>
      <c r="D76" s="609" t="s">
        <v>716</v>
      </c>
      <c r="E76" s="609"/>
      <c r="F76" s="1246"/>
      <c r="G76" s="609"/>
      <c r="H76" s="609"/>
      <c r="I76" s="609"/>
      <c r="J76" s="1246"/>
      <c r="K76" s="1377"/>
      <c r="L76" s="611"/>
      <c r="M76" s="1377"/>
      <c r="N76" s="610"/>
      <c r="O76" s="1377"/>
      <c r="P76" s="1377"/>
      <c r="Q76" s="611"/>
      <c r="R76" s="610"/>
      <c r="S76" s="610"/>
    </row>
    <row r="77" spans="1:24" s="129" customFormat="1">
      <c r="A77" s="30"/>
      <c r="B77" s="600"/>
      <c r="C77" s="944"/>
      <c r="D77" s="605"/>
      <c r="E77" s="605"/>
      <c r="F77" s="2866"/>
      <c r="G77" s="606"/>
      <c r="H77" s="606"/>
      <c r="I77" s="606"/>
      <c r="J77" s="2866"/>
      <c r="K77" s="2373"/>
      <c r="L77" s="606"/>
      <c r="M77" s="2373"/>
      <c r="N77" s="2867"/>
      <c r="O77" s="2373"/>
      <c r="P77" s="2373"/>
      <c r="Q77" s="606"/>
      <c r="R77" s="2867"/>
      <c r="S77" s="2867"/>
      <c r="T77" s="954"/>
      <c r="U77" s="954"/>
      <c r="V77" s="954"/>
      <c r="W77" s="954"/>
      <c r="X77" s="954"/>
    </row>
    <row r="78" spans="1:24" s="129" customFormat="1" hidden="1" outlineLevel="1">
      <c r="A78" s="30"/>
      <c r="B78" s="600"/>
      <c r="C78" s="944"/>
      <c r="D78" s="605"/>
      <c r="E78" s="605"/>
      <c r="F78" s="2580"/>
      <c r="G78" s="605"/>
      <c r="H78" s="605"/>
      <c r="I78" s="605"/>
      <c r="J78" s="2580"/>
      <c r="K78" s="2373"/>
      <c r="L78" s="606"/>
      <c r="M78" s="2373"/>
      <c r="N78" s="607"/>
      <c r="O78" s="2373"/>
      <c r="P78" s="2373"/>
      <c r="Q78" s="606"/>
      <c r="R78" s="607"/>
      <c r="S78" s="607"/>
    </row>
    <row r="79" spans="1:24" hidden="1" outlineLevel="1">
      <c r="A79" s="24"/>
      <c r="B79" s="622" t="s">
        <v>673</v>
      </c>
      <c r="C79" s="24"/>
      <c r="D79" s="24"/>
      <c r="E79" s="24"/>
      <c r="F79" s="141"/>
      <c r="G79" s="24"/>
      <c r="H79" s="24"/>
      <c r="I79" s="24"/>
      <c r="J79" s="141"/>
      <c r="K79" s="24"/>
      <c r="L79" s="24"/>
      <c r="M79" s="24"/>
      <c r="N79" s="141"/>
      <c r="O79" s="24"/>
      <c r="P79" s="24"/>
      <c r="Q79" s="24"/>
      <c r="R79" s="141"/>
      <c r="S79" s="424"/>
    </row>
    <row r="80" spans="1:24" hidden="1" outlineLevel="1">
      <c r="A80" s="24"/>
      <c r="B80" s="66"/>
      <c r="C80" s="230" t="s">
        <v>833</v>
      </c>
      <c r="D80" s="230" t="s">
        <v>834</v>
      </c>
      <c r="E80" s="230" t="s">
        <v>835</v>
      </c>
      <c r="F80" s="597" t="s">
        <v>119</v>
      </c>
      <c r="G80" s="230" t="s">
        <v>836</v>
      </c>
      <c r="H80" s="230" t="s">
        <v>837</v>
      </c>
      <c r="I80" s="230" t="s">
        <v>838</v>
      </c>
      <c r="J80" s="597" t="s">
        <v>120</v>
      </c>
      <c r="K80" s="230" t="s">
        <v>839</v>
      </c>
      <c r="L80" s="230" t="s">
        <v>840</v>
      </c>
      <c r="M80" s="230" t="s">
        <v>841</v>
      </c>
      <c r="N80" s="597" t="s">
        <v>1018</v>
      </c>
      <c r="O80" s="230" t="s">
        <v>842</v>
      </c>
      <c r="P80" s="230" t="s">
        <v>843</v>
      </c>
      <c r="Q80" s="230" t="s">
        <v>241</v>
      </c>
      <c r="R80" s="597" t="s">
        <v>1019</v>
      </c>
      <c r="S80" s="597" t="s">
        <v>1095</v>
      </c>
    </row>
    <row r="81" spans="1:19" hidden="1" outlineLevel="1">
      <c r="A81" s="24"/>
      <c r="B81" s="598" t="s">
        <v>242</v>
      </c>
      <c r="C81" s="30"/>
      <c r="D81" s="30"/>
      <c r="E81" s="30"/>
      <c r="F81" s="599"/>
      <c r="G81" s="30"/>
      <c r="H81" s="30"/>
      <c r="I81" s="30"/>
      <c r="J81" s="599"/>
      <c r="K81" s="30"/>
      <c r="L81" s="30"/>
      <c r="M81" s="30"/>
      <c r="N81" s="599"/>
      <c r="O81" s="30"/>
      <c r="P81" s="30"/>
      <c r="Q81" s="30"/>
      <c r="R81" s="599"/>
      <c r="S81" s="599"/>
    </row>
    <row r="82" spans="1:19" hidden="1" outlineLevel="1">
      <c r="A82" s="24"/>
      <c r="B82" s="600">
        <v>2003</v>
      </c>
      <c r="C82" s="601"/>
      <c r="D82" s="601"/>
      <c r="E82" s="601"/>
      <c r="F82" s="602"/>
      <c r="G82" s="601"/>
      <c r="H82" s="601"/>
      <c r="I82" s="601"/>
      <c r="J82" s="602"/>
      <c r="K82" s="603"/>
      <c r="L82" s="601" t="s">
        <v>328</v>
      </c>
      <c r="M82" s="603" t="s">
        <v>328</v>
      </c>
      <c r="N82" s="602"/>
      <c r="O82" s="601" t="s">
        <v>406</v>
      </c>
      <c r="P82" s="603" t="s">
        <v>716</v>
      </c>
      <c r="Q82" s="603" t="s">
        <v>328</v>
      </c>
      <c r="R82" s="602"/>
      <c r="S82" s="602"/>
    </row>
    <row r="83" spans="1:19" hidden="1" outlineLevel="1">
      <c r="A83" s="24"/>
      <c r="B83" s="600">
        <v>2004</v>
      </c>
      <c r="C83" s="601" t="s">
        <v>194</v>
      </c>
      <c r="D83" s="601" t="s">
        <v>188</v>
      </c>
      <c r="E83" s="601" t="s">
        <v>194</v>
      </c>
      <c r="F83" s="602"/>
      <c r="G83" s="601" t="s">
        <v>485</v>
      </c>
      <c r="H83" s="601"/>
      <c r="I83" s="601"/>
      <c r="J83" s="602" t="s">
        <v>501</v>
      </c>
      <c r="K83" s="601" t="s">
        <v>196</v>
      </c>
      <c r="L83" s="603" t="s">
        <v>200</v>
      </c>
      <c r="M83" s="601"/>
      <c r="N83" s="602"/>
      <c r="O83" s="603" t="s">
        <v>494</v>
      </c>
      <c r="P83" s="603" t="s">
        <v>327</v>
      </c>
      <c r="Q83" s="603" t="s">
        <v>482</v>
      </c>
      <c r="R83" s="602" t="s">
        <v>489</v>
      </c>
      <c r="S83" s="602"/>
    </row>
    <row r="84" spans="1:19" hidden="1" outlineLevel="1">
      <c r="A84" s="24"/>
      <c r="B84" s="600">
        <v>2005</v>
      </c>
      <c r="C84" s="525" t="s">
        <v>494</v>
      </c>
      <c r="D84" s="605" t="s">
        <v>495</v>
      </c>
      <c r="E84" s="601" t="s">
        <v>500</v>
      </c>
      <c r="F84" s="602" t="s">
        <v>265</v>
      </c>
      <c r="G84" s="601" t="s">
        <v>488</v>
      </c>
      <c r="H84" s="605" t="s">
        <v>124</v>
      </c>
      <c r="I84" s="605" t="s">
        <v>927</v>
      </c>
      <c r="J84" s="602" t="s">
        <v>492</v>
      </c>
      <c r="K84" s="603" t="s">
        <v>188</v>
      </c>
      <c r="L84" s="606" t="s">
        <v>190</v>
      </c>
      <c r="M84" s="606" t="s">
        <v>716</v>
      </c>
      <c r="N84" s="607" t="s">
        <v>481</v>
      </c>
      <c r="O84" s="606" t="s">
        <v>191</v>
      </c>
      <c r="P84" s="606" t="s">
        <v>125</v>
      </c>
      <c r="Q84" s="606" t="s">
        <v>928</v>
      </c>
      <c r="R84" s="607" t="s">
        <v>430</v>
      </c>
      <c r="S84" s="607"/>
    </row>
    <row r="85" spans="1:19" hidden="1" outlineLevel="1">
      <c r="A85" s="24"/>
      <c r="B85" s="600">
        <v>2006</v>
      </c>
      <c r="C85" s="601" t="s">
        <v>679</v>
      </c>
      <c r="D85" s="605" t="s">
        <v>123</v>
      </c>
      <c r="E85" s="601" t="s">
        <v>679</v>
      </c>
      <c r="F85" s="602" t="s">
        <v>679</v>
      </c>
      <c r="G85" s="601" t="s">
        <v>492</v>
      </c>
      <c r="H85" s="605" t="s">
        <v>676</v>
      </c>
      <c r="I85" s="605" t="s">
        <v>488</v>
      </c>
      <c r="J85" s="602"/>
      <c r="K85" s="603" t="s">
        <v>716</v>
      </c>
      <c r="L85" s="606" t="s">
        <v>492</v>
      </c>
      <c r="M85" s="606" t="s">
        <v>716</v>
      </c>
      <c r="N85" s="607"/>
      <c r="O85" s="606" t="s">
        <v>1100</v>
      </c>
      <c r="P85" s="606" t="s">
        <v>716</v>
      </c>
      <c r="Q85" s="606" t="s">
        <v>499</v>
      </c>
      <c r="R85" s="607"/>
      <c r="S85" s="607"/>
    </row>
    <row r="86" spans="1:19" hidden="1" outlineLevel="1">
      <c r="A86" s="24"/>
      <c r="B86" s="600">
        <v>2007</v>
      </c>
      <c r="C86" s="601" t="s">
        <v>493</v>
      </c>
      <c r="D86" s="605" t="s">
        <v>500</v>
      </c>
      <c r="E86" s="601" t="s">
        <v>191</v>
      </c>
      <c r="F86" s="602"/>
      <c r="G86" s="601" t="s">
        <v>189</v>
      </c>
      <c r="H86" s="605" t="s">
        <v>928</v>
      </c>
      <c r="I86" s="605"/>
      <c r="J86" s="602" t="s">
        <v>928</v>
      </c>
      <c r="K86" s="603" t="s">
        <v>520</v>
      </c>
      <c r="L86" s="606"/>
      <c r="M86" s="606"/>
      <c r="N86" s="607"/>
      <c r="O86" s="606"/>
      <c r="P86" s="606"/>
      <c r="Q86" s="606"/>
      <c r="R86" s="607"/>
      <c r="S86" s="607"/>
    </row>
    <row r="87" spans="1:19" hidden="1" outlineLevel="1">
      <c r="A87" s="24"/>
      <c r="B87" s="600">
        <v>2008</v>
      </c>
      <c r="C87" s="601"/>
      <c r="D87" s="605"/>
      <c r="E87" s="601"/>
      <c r="F87" s="602"/>
      <c r="G87" s="601"/>
      <c r="H87" s="605"/>
      <c r="I87" s="605"/>
      <c r="J87" s="602"/>
      <c r="K87" s="603"/>
      <c r="L87" s="606"/>
      <c r="M87" s="606"/>
      <c r="N87" s="607"/>
      <c r="O87" s="606"/>
      <c r="P87" s="606"/>
      <c r="Q87" s="606"/>
      <c r="R87" s="607"/>
      <c r="S87" s="607"/>
    </row>
    <row r="88" spans="1:19" hidden="1" outlineLevel="1">
      <c r="A88" s="24"/>
      <c r="B88" s="608"/>
      <c r="C88" s="609"/>
      <c r="D88" s="609"/>
      <c r="E88" s="609"/>
      <c r="F88" s="610"/>
      <c r="G88" s="609"/>
      <c r="H88" s="609"/>
      <c r="I88" s="609"/>
      <c r="J88" s="610"/>
      <c r="K88" s="611"/>
      <c r="L88" s="611"/>
      <c r="M88" s="611"/>
      <c r="N88" s="610"/>
      <c r="O88" s="611"/>
      <c r="P88" s="611"/>
      <c r="Q88" s="611"/>
      <c r="R88" s="610"/>
      <c r="S88" s="610"/>
    </row>
    <row r="89" spans="1:19" hidden="1" outlineLevel="1">
      <c r="A89" s="168"/>
      <c r="B89" s="598" t="s">
        <v>675</v>
      </c>
      <c r="C89" s="605"/>
      <c r="D89" s="605"/>
      <c r="E89" s="605"/>
      <c r="F89" s="607"/>
      <c r="G89" s="605"/>
      <c r="H89" s="605"/>
      <c r="I89" s="605"/>
      <c r="J89" s="607"/>
      <c r="K89" s="606"/>
      <c r="L89" s="606"/>
      <c r="M89" s="606"/>
      <c r="N89" s="607"/>
      <c r="O89" s="606"/>
      <c r="P89" s="606"/>
      <c r="Q89" s="606"/>
      <c r="R89" s="607"/>
      <c r="S89" s="607"/>
    </row>
    <row r="90" spans="1:19" hidden="1" outlineLevel="1">
      <c r="A90" s="253"/>
      <c r="B90" s="600">
        <v>2003</v>
      </c>
      <c r="C90" s="603"/>
      <c r="D90" s="601"/>
      <c r="E90" s="601"/>
      <c r="F90" s="602"/>
      <c r="G90" s="601"/>
      <c r="H90" s="601"/>
      <c r="I90" s="601"/>
      <c r="J90" s="602"/>
      <c r="K90" s="603"/>
      <c r="L90" s="601" t="s">
        <v>195</v>
      </c>
      <c r="M90" s="603" t="s">
        <v>195</v>
      </c>
      <c r="N90" s="602"/>
      <c r="O90" s="603" t="s">
        <v>328</v>
      </c>
      <c r="P90" s="601" t="s">
        <v>716</v>
      </c>
      <c r="Q90" s="603"/>
      <c r="R90" s="602"/>
      <c r="S90" s="602"/>
    </row>
    <row r="91" spans="1:19" hidden="1" outlineLevel="1">
      <c r="A91" s="253"/>
      <c r="B91" s="600">
        <v>2004</v>
      </c>
      <c r="C91" s="601" t="s">
        <v>192</v>
      </c>
      <c r="D91" s="601" t="s">
        <v>189</v>
      </c>
      <c r="E91" s="601" t="s">
        <v>499</v>
      </c>
      <c r="F91" s="602"/>
      <c r="G91" s="601" t="s">
        <v>928</v>
      </c>
      <c r="H91" s="603"/>
      <c r="I91" s="601"/>
      <c r="J91" s="602" t="s">
        <v>501</v>
      </c>
      <c r="K91" s="601" t="s">
        <v>197</v>
      </c>
      <c r="L91" s="603" t="s">
        <v>199</v>
      </c>
      <c r="M91" s="603"/>
      <c r="N91" s="602"/>
      <c r="O91" s="603" t="s">
        <v>481</v>
      </c>
      <c r="P91" s="603" t="s">
        <v>682</v>
      </c>
      <c r="Q91" s="603" t="s">
        <v>483</v>
      </c>
      <c r="R91" s="602" t="s">
        <v>682</v>
      </c>
      <c r="S91" s="602"/>
    </row>
    <row r="92" spans="1:19" hidden="1" outlineLevel="1">
      <c r="A92" s="253"/>
      <c r="B92" s="600">
        <v>2005</v>
      </c>
      <c r="C92" s="525" t="s">
        <v>481</v>
      </c>
      <c r="D92" s="601" t="s">
        <v>496</v>
      </c>
      <c r="E92" s="603" t="s">
        <v>676</v>
      </c>
      <c r="F92" s="602" t="s">
        <v>976</v>
      </c>
      <c r="G92" s="603" t="s">
        <v>483</v>
      </c>
      <c r="H92" s="603" t="s">
        <v>928</v>
      </c>
      <c r="I92" s="601" t="s">
        <v>187</v>
      </c>
      <c r="J92" s="602" t="s">
        <v>483</v>
      </c>
      <c r="K92" s="603" t="s">
        <v>188</v>
      </c>
      <c r="L92" s="601" t="s">
        <v>511</v>
      </c>
      <c r="M92" s="603" t="s">
        <v>500</v>
      </c>
      <c r="N92" s="602" t="s">
        <v>488</v>
      </c>
      <c r="O92" s="603" t="s">
        <v>500</v>
      </c>
      <c r="P92" s="603" t="s">
        <v>676</v>
      </c>
      <c r="Q92" s="603" t="s">
        <v>485</v>
      </c>
      <c r="R92" s="602" t="s">
        <v>492</v>
      </c>
      <c r="S92" s="602"/>
    </row>
    <row r="93" spans="1:19" hidden="1" outlineLevel="1">
      <c r="A93" s="253"/>
      <c r="B93" s="600">
        <v>2006</v>
      </c>
      <c r="C93" s="603" t="s">
        <v>680</v>
      </c>
      <c r="D93" s="603" t="s">
        <v>490</v>
      </c>
      <c r="E93" s="603" t="s">
        <v>681</v>
      </c>
      <c r="F93" s="602" t="s">
        <v>500</v>
      </c>
      <c r="G93" s="603" t="s">
        <v>492</v>
      </c>
      <c r="H93" s="603" t="s">
        <v>189</v>
      </c>
      <c r="I93" s="603" t="s">
        <v>481</v>
      </c>
      <c r="J93" s="602"/>
      <c r="K93" s="603" t="s">
        <v>676</v>
      </c>
      <c r="L93" s="603" t="s">
        <v>499</v>
      </c>
      <c r="M93" s="603" t="s">
        <v>928</v>
      </c>
      <c r="N93" s="602"/>
      <c r="O93" s="603" t="s">
        <v>500</v>
      </c>
      <c r="P93" s="603" t="s">
        <v>676</v>
      </c>
      <c r="Q93" s="603" t="s">
        <v>188</v>
      </c>
      <c r="R93" s="602"/>
      <c r="S93" s="602"/>
    </row>
    <row r="94" spans="1:19" hidden="1" outlineLevel="1">
      <c r="A94" s="253"/>
      <c r="B94" s="600">
        <v>2007</v>
      </c>
      <c r="C94" s="603" t="s">
        <v>676</v>
      </c>
      <c r="D94" s="603" t="s">
        <v>1099</v>
      </c>
      <c r="E94" s="603" t="s">
        <v>409</v>
      </c>
      <c r="F94" s="602"/>
      <c r="G94" s="603" t="s">
        <v>15</v>
      </c>
      <c r="H94" s="603" t="s">
        <v>408</v>
      </c>
      <c r="I94" s="603"/>
      <c r="J94" s="602" t="s">
        <v>499</v>
      </c>
      <c r="K94" s="603" t="s">
        <v>520</v>
      </c>
      <c r="L94" s="603"/>
      <c r="M94" s="603"/>
      <c r="N94" s="602"/>
      <c r="O94" s="603"/>
      <c r="P94" s="603"/>
      <c r="Q94" s="603"/>
      <c r="R94" s="602"/>
      <c r="S94" s="602"/>
    </row>
    <row r="95" spans="1:19" hidden="1" outlineLevel="1">
      <c r="A95" s="253"/>
      <c r="B95" s="600">
        <v>2008</v>
      </c>
      <c r="C95" s="603"/>
      <c r="D95" s="603"/>
      <c r="E95" s="603"/>
      <c r="F95" s="602"/>
      <c r="G95" s="603"/>
      <c r="H95" s="603"/>
      <c r="I95" s="603"/>
      <c r="J95" s="602"/>
      <c r="K95" s="603"/>
      <c r="L95" s="603"/>
      <c r="M95" s="603"/>
      <c r="N95" s="602"/>
      <c r="O95" s="603"/>
      <c r="P95" s="603"/>
      <c r="Q95" s="603"/>
      <c r="R95" s="602"/>
      <c r="S95" s="602"/>
    </row>
    <row r="96" spans="1:19" hidden="1" outlineLevel="1">
      <c r="A96" s="253"/>
      <c r="B96" s="285"/>
      <c r="C96" s="603"/>
      <c r="D96" s="603"/>
      <c r="E96" s="603"/>
      <c r="F96" s="603"/>
      <c r="G96" s="603"/>
      <c r="H96" s="603"/>
      <c r="I96" s="603"/>
      <c r="J96" s="603"/>
      <c r="K96" s="603"/>
      <c r="L96" s="603"/>
      <c r="M96" s="603"/>
      <c r="N96" s="603"/>
      <c r="O96" s="603"/>
      <c r="P96" s="603"/>
      <c r="Q96" s="603"/>
      <c r="R96" s="603"/>
      <c r="S96" s="603"/>
    </row>
    <row r="97" spans="1:19" hidden="1" outlineLevel="1">
      <c r="A97" s="253"/>
      <c r="B97" s="622" t="s">
        <v>674</v>
      </c>
      <c r="C97" s="24"/>
      <c r="D97" s="24"/>
      <c r="E97" s="24"/>
      <c r="F97" s="141"/>
      <c r="G97" s="24"/>
      <c r="H97" s="24"/>
      <c r="I97" s="24"/>
      <c r="J97" s="141"/>
      <c r="K97" s="24"/>
      <c r="L97" s="24"/>
      <c r="M97" s="24"/>
      <c r="N97" s="141"/>
      <c r="O97" s="24"/>
      <c r="P97" s="24"/>
      <c r="Q97" s="24"/>
      <c r="R97" s="141"/>
      <c r="S97" s="424"/>
    </row>
    <row r="98" spans="1:19" hidden="1" outlineLevel="1">
      <c r="A98" s="253"/>
      <c r="B98" s="66"/>
      <c r="C98" s="230" t="s">
        <v>833</v>
      </c>
      <c r="D98" s="230" t="s">
        <v>834</v>
      </c>
      <c r="E98" s="230" t="s">
        <v>835</v>
      </c>
      <c r="F98" s="597" t="s">
        <v>119</v>
      </c>
      <c r="G98" s="230" t="s">
        <v>836</v>
      </c>
      <c r="H98" s="230" t="s">
        <v>837</v>
      </c>
      <c r="I98" s="230" t="s">
        <v>838</v>
      </c>
      <c r="J98" s="597" t="s">
        <v>120</v>
      </c>
      <c r="K98" s="230" t="s">
        <v>839</v>
      </c>
      <c r="L98" s="230" t="s">
        <v>840</v>
      </c>
      <c r="M98" s="230" t="s">
        <v>841</v>
      </c>
      <c r="N98" s="597" t="s">
        <v>1018</v>
      </c>
      <c r="O98" s="230" t="s">
        <v>842</v>
      </c>
      <c r="P98" s="230" t="s">
        <v>843</v>
      </c>
      <c r="Q98" s="230" t="s">
        <v>241</v>
      </c>
      <c r="R98" s="597" t="s">
        <v>1019</v>
      </c>
      <c r="S98" s="597" t="s">
        <v>1095</v>
      </c>
    </row>
    <row r="99" spans="1:19" hidden="1" outlineLevel="1">
      <c r="A99" s="253"/>
      <c r="B99" s="598" t="s">
        <v>242</v>
      </c>
      <c r="C99" s="30"/>
      <c r="D99" s="30"/>
      <c r="E99" s="30"/>
      <c r="F99" s="599"/>
      <c r="G99" s="30"/>
      <c r="H99" s="30"/>
      <c r="I99" s="30"/>
      <c r="J99" s="599"/>
      <c r="K99" s="30"/>
      <c r="L99" s="30"/>
      <c r="M99" s="30"/>
      <c r="N99" s="599"/>
      <c r="O99" s="30"/>
      <c r="P99" s="30"/>
      <c r="Q99" s="30"/>
      <c r="R99" s="599"/>
      <c r="S99" s="599"/>
    </row>
    <row r="100" spans="1:19" hidden="1" outlineLevel="1">
      <c r="A100" s="253"/>
      <c r="B100" s="600">
        <v>2003</v>
      </c>
      <c r="C100" s="601"/>
      <c r="D100" s="601"/>
      <c r="E100" s="601"/>
      <c r="F100" s="602"/>
      <c r="G100" s="601"/>
      <c r="H100" s="601"/>
      <c r="I100" s="601"/>
      <c r="J100" s="602"/>
      <c r="K100" s="603"/>
      <c r="L100" s="601" t="s">
        <v>328</v>
      </c>
      <c r="M100" s="603" t="s">
        <v>328</v>
      </c>
      <c r="N100" s="602"/>
      <c r="O100" s="601" t="s">
        <v>406</v>
      </c>
      <c r="P100" s="603" t="s">
        <v>928</v>
      </c>
      <c r="Q100" s="603" t="s">
        <v>328</v>
      </c>
      <c r="R100" s="602"/>
      <c r="S100" s="602"/>
    </row>
    <row r="101" spans="1:19" hidden="1" outlineLevel="1">
      <c r="A101" s="253"/>
      <c r="B101" s="600">
        <v>2004</v>
      </c>
      <c r="C101" s="601" t="s">
        <v>194</v>
      </c>
      <c r="D101" s="601" t="s">
        <v>125</v>
      </c>
      <c r="E101" s="601" t="s">
        <v>194</v>
      </c>
      <c r="F101" s="602"/>
      <c r="G101" s="601" t="s">
        <v>485</v>
      </c>
      <c r="H101" s="601"/>
      <c r="I101" s="601"/>
      <c r="J101" s="602" t="s">
        <v>928</v>
      </c>
      <c r="K101" s="601" t="s">
        <v>196</v>
      </c>
      <c r="L101" s="603" t="s">
        <v>198</v>
      </c>
      <c r="M101" s="601"/>
      <c r="N101" s="602"/>
      <c r="O101" s="603" t="s">
        <v>928</v>
      </c>
      <c r="P101" s="603" t="s">
        <v>189</v>
      </c>
      <c r="Q101" s="603" t="s">
        <v>980</v>
      </c>
      <c r="R101" s="602" t="s">
        <v>492</v>
      </c>
      <c r="S101" s="602"/>
    </row>
    <row r="102" spans="1:19" hidden="1" outlineLevel="1">
      <c r="A102" s="253"/>
      <c r="B102" s="600">
        <v>2005</v>
      </c>
      <c r="C102" s="525" t="s">
        <v>407</v>
      </c>
      <c r="D102" s="605" t="s">
        <v>497</v>
      </c>
      <c r="E102" s="601" t="s">
        <v>484</v>
      </c>
      <c r="F102" s="602" t="s">
        <v>977</v>
      </c>
      <c r="G102" s="601" t="s">
        <v>676</v>
      </c>
      <c r="H102" s="605" t="s">
        <v>498</v>
      </c>
      <c r="I102" s="605" t="s">
        <v>684</v>
      </c>
      <c r="J102" s="602" t="s">
        <v>488</v>
      </c>
      <c r="K102" s="603" t="s">
        <v>493</v>
      </c>
      <c r="L102" s="606" t="s">
        <v>499</v>
      </c>
      <c r="M102" s="606" t="s">
        <v>189</v>
      </c>
      <c r="N102" s="607" t="s">
        <v>481</v>
      </c>
      <c r="O102" s="606" t="s">
        <v>492</v>
      </c>
      <c r="P102" s="606" t="s">
        <v>676</v>
      </c>
      <c r="Q102" s="606" t="s">
        <v>680</v>
      </c>
      <c r="R102" s="607" t="s">
        <v>676</v>
      </c>
      <c r="S102" s="607"/>
    </row>
    <row r="103" spans="1:19" hidden="1" outlineLevel="1">
      <c r="A103" s="253"/>
      <c r="B103" s="600">
        <v>2006</v>
      </c>
      <c r="C103" s="601" t="s">
        <v>679</v>
      </c>
      <c r="D103" s="605" t="s">
        <v>430</v>
      </c>
      <c r="E103" s="601" t="s">
        <v>928</v>
      </c>
      <c r="F103" s="602" t="s">
        <v>481</v>
      </c>
      <c r="G103" s="601" t="s">
        <v>408</v>
      </c>
      <c r="H103" s="605" t="s">
        <v>682</v>
      </c>
      <c r="I103" s="605" t="s">
        <v>492</v>
      </c>
      <c r="J103" s="602"/>
      <c r="K103" s="603" t="s">
        <v>500</v>
      </c>
      <c r="L103" s="606" t="s">
        <v>492</v>
      </c>
      <c r="M103" s="606" t="s">
        <v>980</v>
      </c>
      <c r="N103" s="607"/>
      <c r="O103" s="606" t="s">
        <v>493</v>
      </c>
      <c r="P103" s="606" t="s">
        <v>492</v>
      </c>
      <c r="Q103" s="606" t="s">
        <v>676</v>
      </c>
      <c r="R103" s="607"/>
      <c r="S103" s="607"/>
    </row>
    <row r="104" spans="1:19" hidden="1" outlineLevel="1">
      <c r="A104" s="253"/>
      <c r="B104" s="600">
        <v>2007</v>
      </c>
      <c r="C104" s="601" t="s">
        <v>919</v>
      </c>
      <c r="D104" s="605" t="s">
        <v>716</v>
      </c>
      <c r="E104" s="601" t="s">
        <v>492</v>
      </c>
      <c r="F104" s="602"/>
      <c r="G104" s="601" t="s">
        <v>716</v>
      </c>
      <c r="H104" s="605" t="s">
        <v>918</v>
      </c>
      <c r="I104" s="605"/>
      <c r="J104" s="602" t="s">
        <v>716</v>
      </c>
      <c r="K104" s="603" t="s">
        <v>520</v>
      </c>
      <c r="L104" s="606"/>
      <c r="M104" s="606"/>
      <c r="N104" s="607"/>
      <c r="O104" s="606"/>
      <c r="P104" s="606"/>
      <c r="Q104" s="606"/>
      <c r="R104" s="607"/>
      <c r="S104" s="607"/>
    </row>
    <row r="105" spans="1:19" hidden="1" outlineLevel="1">
      <c r="A105" s="253"/>
      <c r="B105" s="600">
        <v>2008</v>
      </c>
      <c r="C105" s="601"/>
      <c r="D105" s="605"/>
      <c r="E105" s="601"/>
      <c r="F105" s="602"/>
      <c r="G105" s="601"/>
      <c r="H105" s="605"/>
      <c r="I105" s="605"/>
      <c r="J105" s="602"/>
      <c r="K105" s="603"/>
      <c r="L105" s="606"/>
      <c r="M105" s="606"/>
      <c r="N105" s="607"/>
      <c r="O105" s="606"/>
      <c r="P105" s="606"/>
      <c r="Q105" s="606"/>
      <c r="R105" s="607"/>
      <c r="S105" s="607"/>
    </row>
    <row r="106" spans="1:19" hidden="1" outlineLevel="1">
      <c r="A106" s="253"/>
      <c r="B106" s="608"/>
      <c r="C106" s="609"/>
      <c r="D106" s="609"/>
      <c r="E106" s="609"/>
      <c r="F106" s="610"/>
      <c r="G106" s="609"/>
      <c r="H106" s="609"/>
      <c r="I106" s="609"/>
      <c r="J106" s="610"/>
      <c r="K106" s="611"/>
      <c r="L106" s="611"/>
      <c r="M106" s="611"/>
      <c r="N106" s="610"/>
      <c r="O106" s="611"/>
      <c r="P106" s="611"/>
      <c r="Q106" s="611"/>
      <c r="R106" s="610"/>
      <c r="S106" s="610"/>
    </row>
    <row r="107" spans="1:19" hidden="1" outlineLevel="1">
      <c r="A107" s="253"/>
      <c r="B107" s="598" t="s">
        <v>675</v>
      </c>
      <c r="C107" s="605"/>
      <c r="D107" s="605"/>
      <c r="E107" s="605"/>
      <c r="F107" s="607"/>
      <c r="G107" s="605"/>
      <c r="H107" s="605"/>
      <c r="I107" s="605"/>
      <c r="J107" s="607"/>
      <c r="K107" s="606"/>
      <c r="L107" s="606"/>
      <c r="M107" s="606"/>
      <c r="N107" s="607"/>
      <c r="O107" s="606"/>
      <c r="P107" s="606"/>
      <c r="Q107" s="606"/>
      <c r="R107" s="607"/>
      <c r="S107" s="607"/>
    </row>
    <row r="108" spans="1:19" hidden="1" outlineLevel="1">
      <c r="A108" s="253"/>
      <c r="B108" s="600">
        <v>2003</v>
      </c>
      <c r="C108" s="603"/>
      <c r="D108" s="601"/>
      <c r="E108" s="601"/>
      <c r="F108" s="602"/>
      <c r="G108" s="601"/>
      <c r="H108" s="601"/>
      <c r="I108" s="601"/>
      <c r="J108" s="602"/>
      <c r="K108" s="603"/>
      <c r="L108" s="601" t="s">
        <v>195</v>
      </c>
      <c r="M108" s="603" t="s">
        <v>195</v>
      </c>
      <c r="N108" s="602"/>
      <c r="O108" s="603" t="s">
        <v>328</v>
      </c>
      <c r="P108" s="601" t="s">
        <v>682</v>
      </c>
      <c r="Q108" s="603"/>
      <c r="R108" s="602"/>
      <c r="S108" s="602"/>
    </row>
    <row r="109" spans="1:19" hidden="1" outlineLevel="1">
      <c r="A109" s="253"/>
      <c r="B109" s="600">
        <v>2004</v>
      </c>
      <c r="C109" s="601" t="s">
        <v>192</v>
      </c>
      <c r="D109" s="601" t="s">
        <v>488</v>
      </c>
      <c r="E109" s="601" t="s">
        <v>499</v>
      </c>
      <c r="F109" s="602"/>
      <c r="G109" s="601" t="s">
        <v>928</v>
      </c>
      <c r="H109" s="603"/>
      <c r="I109" s="601"/>
      <c r="J109" s="602" t="s">
        <v>427</v>
      </c>
      <c r="K109" s="601" t="s">
        <v>1144</v>
      </c>
      <c r="L109" s="603" t="s">
        <v>125</v>
      </c>
      <c r="M109" s="603"/>
      <c r="N109" s="602"/>
      <c r="O109" s="603" t="s">
        <v>928</v>
      </c>
      <c r="P109" s="603" t="s">
        <v>484</v>
      </c>
      <c r="Q109" s="603" t="s">
        <v>928</v>
      </c>
      <c r="R109" s="602" t="s">
        <v>928</v>
      </c>
      <c r="S109" s="602"/>
    </row>
    <row r="110" spans="1:19" hidden="1" outlineLevel="1">
      <c r="A110" s="253"/>
      <c r="B110" s="600">
        <v>2005</v>
      </c>
      <c r="C110" s="603" t="s">
        <v>493</v>
      </c>
      <c r="D110" s="601" t="s">
        <v>486</v>
      </c>
      <c r="E110" s="603" t="s">
        <v>481</v>
      </c>
      <c r="F110" s="602" t="s">
        <v>978</v>
      </c>
      <c r="G110" s="603" t="s">
        <v>408</v>
      </c>
      <c r="H110" s="603" t="s">
        <v>679</v>
      </c>
      <c r="I110" s="601" t="s">
        <v>684</v>
      </c>
      <c r="J110" s="602" t="s">
        <v>408</v>
      </c>
      <c r="K110" s="603" t="s">
        <v>409</v>
      </c>
      <c r="L110" s="601" t="s">
        <v>676</v>
      </c>
      <c r="M110" s="603" t="s">
        <v>492</v>
      </c>
      <c r="N110" s="602" t="s">
        <v>676</v>
      </c>
      <c r="O110" s="603" t="s">
        <v>716</v>
      </c>
      <c r="P110" s="603" t="s">
        <v>716</v>
      </c>
      <c r="Q110" s="603" t="s">
        <v>928</v>
      </c>
      <c r="R110" s="602" t="s">
        <v>483</v>
      </c>
      <c r="S110" s="602"/>
    </row>
    <row r="111" spans="1:19" hidden="1" outlineLevel="1">
      <c r="A111" s="253"/>
      <c r="B111" s="600">
        <v>2006</v>
      </c>
      <c r="C111" s="603" t="s">
        <v>489</v>
      </c>
      <c r="D111" s="603" t="s">
        <v>489</v>
      </c>
      <c r="E111" s="603" t="s">
        <v>928</v>
      </c>
      <c r="F111" s="602" t="s">
        <v>980</v>
      </c>
      <c r="G111" s="603" t="s">
        <v>488</v>
      </c>
      <c r="H111" s="603" t="s">
        <v>676</v>
      </c>
      <c r="I111" s="603" t="s">
        <v>676</v>
      </c>
      <c r="J111" s="602" t="s">
        <v>189</v>
      </c>
      <c r="K111" s="603" t="s">
        <v>408</v>
      </c>
      <c r="L111" s="603" t="s">
        <v>716</v>
      </c>
      <c r="M111" s="603" t="s">
        <v>125</v>
      </c>
      <c r="N111" s="602"/>
      <c r="O111" s="603" t="s">
        <v>488</v>
      </c>
      <c r="P111" s="603" t="s">
        <v>492</v>
      </c>
      <c r="Q111" s="603" t="s">
        <v>1099</v>
      </c>
      <c r="R111" s="602"/>
      <c r="S111" s="602"/>
    </row>
    <row r="112" spans="1:19" hidden="1" outlineLevel="1">
      <c r="A112" s="253"/>
      <c r="B112" s="600">
        <v>2007</v>
      </c>
      <c r="C112" s="603" t="s">
        <v>1099</v>
      </c>
      <c r="D112" s="603" t="s">
        <v>1099</v>
      </c>
      <c r="E112" s="603" t="s">
        <v>928</v>
      </c>
      <c r="F112" s="612"/>
      <c r="G112" s="603" t="s">
        <v>716</v>
      </c>
      <c r="H112" s="603" t="s">
        <v>502</v>
      </c>
      <c r="I112" s="603"/>
      <c r="J112" s="612"/>
      <c r="K112" s="603" t="s">
        <v>520</v>
      </c>
      <c r="L112" s="603"/>
      <c r="M112" s="603"/>
      <c r="N112" s="612"/>
      <c r="O112" s="603"/>
      <c r="P112" s="613"/>
      <c r="Q112" s="603"/>
      <c r="R112" s="612"/>
      <c r="S112" s="612"/>
    </row>
    <row r="113" spans="1:19" hidden="1" outlineLevel="1">
      <c r="A113" s="253"/>
      <c r="B113" s="600">
        <v>2008</v>
      </c>
      <c r="C113" s="603"/>
      <c r="D113" s="603"/>
      <c r="E113" s="603"/>
      <c r="F113" s="612"/>
      <c r="G113" s="603"/>
      <c r="H113" s="603"/>
      <c r="I113" s="603"/>
      <c r="J113" s="612"/>
      <c r="K113" s="603"/>
      <c r="L113" s="603"/>
      <c r="M113" s="603"/>
      <c r="N113" s="612"/>
      <c r="O113" s="603"/>
      <c r="P113" s="613"/>
      <c r="Q113" s="603"/>
      <c r="R113" s="612"/>
      <c r="S113" s="612"/>
    </row>
    <row r="114" spans="1:19" hidden="1" outlineLevel="1">
      <c r="A114" s="253"/>
      <c r="B114" s="285"/>
      <c r="C114" s="603"/>
      <c r="D114" s="603"/>
      <c r="E114" s="603"/>
      <c r="F114" s="603"/>
      <c r="G114" s="603"/>
      <c r="H114" s="603"/>
      <c r="I114" s="603"/>
      <c r="J114" s="603"/>
      <c r="K114" s="603"/>
      <c r="L114" s="603"/>
      <c r="M114" s="603"/>
      <c r="N114" s="603"/>
      <c r="O114" s="603"/>
      <c r="P114" s="603"/>
      <c r="Q114" s="603"/>
      <c r="R114" s="603"/>
      <c r="S114" s="603"/>
    </row>
    <row r="115" spans="1:19" hidden="1" outlineLevel="1">
      <c r="A115" s="616" t="s">
        <v>677</v>
      </c>
      <c r="B115" s="67"/>
      <c r="C115" s="67"/>
      <c r="D115" s="67"/>
      <c r="E115" s="67"/>
      <c r="F115" s="67"/>
      <c r="G115" s="67"/>
      <c r="H115" s="67"/>
      <c r="I115" s="67"/>
      <c r="J115" s="67"/>
      <c r="K115" s="67"/>
      <c r="L115" s="67"/>
      <c r="M115" s="67"/>
      <c r="N115" s="67"/>
      <c r="O115" s="67"/>
      <c r="P115" s="67"/>
      <c r="Q115" s="67"/>
      <c r="R115" s="67"/>
      <c r="S115" s="67"/>
    </row>
    <row r="116" spans="1:19" hidden="1" outlineLevel="1">
      <c r="A116" s="24"/>
      <c r="B116" s="67"/>
      <c r="C116" s="67"/>
      <c r="D116" s="67"/>
      <c r="E116" s="67"/>
      <c r="F116" s="66"/>
      <c r="G116" s="67"/>
      <c r="H116" s="67"/>
      <c r="I116" s="67"/>
      <c r="J116" s="66"/>
      <c r="K116" s="67"/>
      <c r="L116" s="67"/>
      <c r="M116" s="67"/>
      <c r="N116" s="66"/>
      <c r="O116" s="67"/>
      <c r="P116" s="67"/>
      <c r="Q116" s="67"/>
      <c r="R116" s="66"/>
      <c r="S116" s="596"/>
    </row>
    <row r="117" spans="1:19" hidden="1" outlineLevel="1">
      <c r="A117" s="24"/>
      <c r="B117" s="622" t="s">
        <v>673</v>
      </c>
      <c r="C117" s="30"/>
      <c r="D117" s="30"/>
      <c r="E117" s="30"/>
      <c r="F117" s="301"/>
      <c r="G117" s="30"/>
      <c r="H117" s="30"/>
      <c r="I117" s="30"/>
      <c r="J117" s="301"/>
      <c r="K117" s="30"/>
      <c r="L117" s="30"/>
      <c r="M117" s="30"/>
      <c r="N117" s="301"/>
      <c r="O117" s="30"/>
      <c r="P117" s="30"/>
      <c r="Q117" s="30"/>
      <c r="R117" s="301"/>
      <c r="S117" s="614"/>
    </row>
    <row r="118" spans="1:19" hidden="1" outlineLevel="1">
      <c r="A118" s="24"/>
      <c r="B118" s="66"/>
      <c r="C118" s="230" t="s">
        <v>833</v>
      </c>
      <c r="D118" s="230" t="s">
        <v>834</v>
      </c>
      <c r="E118" s="230" t="s">
        <v>835</v>
      </c>
      <c r="F118" s="597" t="s">
        <v>119</v>
      </c>
      <c r="G118" s="230" t="s">
        <v>836</v>
      </c>
      <c r="H118" s="230" t="s">
        <v>837</v>
      </c>
      <c r="I118" s="230" t="s">
        <v>838</v>
      </c>
      <c r="J118" s="597" t="s">
        <v>120</v>
      </c>
      <c r="K118" s="230" t="s">
        <v>839</v>
      </c>
      <c r="L118" s="230" t="s">
        <v>840</v>
      </c>
      <c r="M118" s="230" t="s">
        <v>841</v>
      </c>
      <c r="N118" s="597" t="s">
        <v>1018</v>
      </c>
      <c r="O118" s="230" t="s">
        <v>842</v>
      </c>
      <c r="P118" s="230" t="s">
        <v>843</v>
      </c>
      <c r="Q118" s="230" t="s">
        <v>241</v>
      </c>
      <c r="R118" s="597" t="s">
        <v>1019</v>
      </c>
      <c r="S118" s="597" t="s">
        <v>1095</v>
      </c>
    </row>
    <row r="119" spans="1:19" hidden="1" outlineLevel="1">
      <c r="A119" s="24"/>
      <c r="B119" s="614" t="s">
        <v>678</v>
      </c>
      <c r="C119" s="605"/>
      <c r="D119" s="605"/>
      <c r="E119" s="605"/>
      <c r="F119" s="607"/>
      <c r="G119" s="605"/>
      <c r="H119" s="605"/>
      <c r="I119" s="605"/>
      <c r="J119" s="607"/>
      <c r="K119" s="605"/>
      <c r="L119" s="605"/>
      <c r="M119" s="605"/>
      <c r="N119" s="607"/>
      <c r="O119" s="605"/>
      <c r="P119" s="605"/>
      <c r="Q119" s="605"/>
      <c r="R119" s="607"/>
      <c r="S119" s="607"/>
    </row>
    <row r="120" spans="1:19" hidden="1" outlineLevel="1">
      <c r="A120" s="24"/>
      <c r="B120" s="614">
        <v>2003</v>
      </c>
      <c r="C120" s="601"/>
      <c r="D120" s="601"/>
      <c r="E120" s="601"/>
      <c r="F120" s="602"/>
      <c r="G120" s="601"/>
      <c r="H120" s="601"/>
      <c r="I120" s="601"/>
      <c r="J120" s="602"/>
      <c r="K120" s="601" t="s">
        <v>398</v>
      </c>
      <c r="L120" s="603" t="s">
        <v>403</v>
      </c>
      <c r="M120" s="601" t="s">
        <v>403</v>
      </c>
      <c r="N120" s="602" t="s">
        <v>877</v>
      </c>
      <c r="O120" s="601" t="s">
        <v>403</v>
      </c>
      <c r="P120" s="601" t="s">
        <v>1141</v>
      </c>
      <c r="Q120" s="601" t="s">
        <v>403</v>
      </c>
      <c r="R120" s="602" t="s">
        <v>403</v>
      </c>
      <c r="S120" s="602"/>
    </row>
    <row r="121" spans="1:19" hidden="1" outlineLevel="1">
      <c r="A121" s="24"/>
      <c r="B121" s="614">
        <v>2004</v>
      </c>
      <c r="C121" s="603" t="s">
        <v>403</v>
      </c>
      <c r="D121" s="603" t="s">
        <v>403</v>
      </c>
      <c r="E121" s="601" t="s">
        <v>403</v>
      </c>
      <c r="F121" s="602" t="s">
        <v>403</v>
      </c>
      <c r="G121" s="601" t="s">
        <v>877</v>
      </c>
      <c r="H121" s="601" t="s">
        <v>481</v>
      </c>
      <c r="I121" s="603" t="s">
        <v>879</v>
      </c>
      <c r="J121" s="602"/>
      <c r="K121" s="620" t="s">
        <v>1145</v>
      </c>
      <c r="L121" s="601" t="s">
        <v>1141</v>
      </c>
      <c r="M121" s="601" t="s">
        <v>1141</v>
      </c>
      <c r="N121" s="602"/>
      <c r="O121" s="620" t="s">
        <v>1145</v>
      </c>
      <c r="P121" s="525" t="s">
        <v>1148</v>
      </c>
      <c r="Q121" s="601" t="s">
        <v>1148</v>
      </c>
      <c r="R121" s="602"/>
      <c r="S121" s="602"/>
    </row>
    <row r="122" spans="1:19" hidden="1" outlineLevel="1">
      <c r="A122" s="24"/>
      <c r="B122" s="614">
        <v>2005</v>
      </c>
      <c r="C122" s="603" t="s">
        <v>1148</v>
      </c>
      <c r="D122" s="603" t="s">
        <v>1148</v>
      </c>
      <c r="E122" s="601" t="s">
        <v>403</v>
      </c>
      <c r="F122" s="602"/>
      <c r="G122" s="601" t="s">
        <v>403</v>
      </c>
      <c r="H122" s="603" t="s">
        <v>403</v>
      </c>
      <c r="I122" s="601" t="s">
        <v>403</v>
      </c>
      <c r="J122" s="602" t="s">
        <v>981</v>
      </c>
      <c r="K122" s="603" t="s">
        <v>403</v>
      </c>
      <c r="L122" s="601" t="s">
        <v>403</v>
      </c>
      <c r="M122" s="601" t="s">
        <v>403</v>
      </c>
      <c r="N122" s="602"/>
      <c r="O122" s="601" t="s">
        <v>311</v>
      </c>
      <c r="P122" s="601" t="s">
        <v>877</v>
      </c>
      <c r="Q122" s="601" t="s">
        <v>878</v>
      </c>
      <c r="R122" s="602"/>
      <c r="S122" s="602"/>
    </row>
    <row r="123" spans="1:19" hidden="1" outlineLevel="1">
      <c r="A123" s="24"/>
      <c r="B123" s="614">
        <v>2006</v>
      </c>
      <c r="C123" s="603" t="s">
        <v>928</v>
      </c>
      <c r="D123" s="603" t="s">
        <v>1147</v>
      </c>
      <c r="E123" s="601" t="s">
        <v>967</v>
      </c>
      <c r="F123" s="602"/>
      <c r="G123" s="601" t="s">
        <v>969</v>
      </c>
      <c r="H123" s="603" t="s">
        <v>530</v>
      </c>
      <c r="I123" s="601" t="s">
        <v>927</v>
      </c>
      <c r="J123" s="602"/>
      <c r="K123" s="603" t="s">
        <v>928</v>
      </c>
      <c r="L123" s="601" t="s">
        <v>328</v>
      </c>
      <c r="M123" s="601" t="s">
        <v>328</v>
      </c>
      <c r="N123" s="602"/>
      <c r="O123" s="601" t="s">
        <v>189</v>
      </c>
      <c r="P123" s="601" t="s">
        <v>389</v>
      </c>
      <c r="Q123" s="601" t="s">
        <v>192</v>
      </c>
      <c r="R123" s="602"/>
      <c r="S123" s="602"/>
    </row>
    <row r="124" spans="1:19" hidden="1" outlineLevel="1">
      <c r="A124" s="24"/>
      <c r="B124" s="614">
        <v>2007</v>
      </c>
      <c r="C124" s="603" t="s">
        <v>189</v>
      </c>
      <c r="D124" s="603" t="s">
        <v>633</v>
      </c>
      <c r="E124" s="601" t="s">
        <v>408</v>
      </c>
      <c r="F124" s="602"/>
      <c r="G124" s="601" t="s">
        <v>499</v>
      </c>
      <c r="H124" s="603"/>
      <c r="I124" s="601"/>
      <c r="J124" s="602"/>
      <c r="K124" s="603" t="s">
        <v>520</v>
      </c>
      <c r="L124" s="601"/>
      <c r="M124" s="601"/>
      <c r="N124" s="602"/>
      <c r="O124" s="601"/>
      <c r="P124" s="601"/>
      <c r="Q124" s="601"/>
      <c r="R124" s="602"/>
      <c r="S124" s="602"/>
    </row>
    <row r="125" spans="1:19" hidden="1" outlineLevel="1">
      <c r="A125" s="24"/>
      <c r="B125" s="600">
        <v>2008</v>
      </c>
      <c r="C125" s="603"/>
      <c r="D125" s="603"/>
      <c r="E125" s="601"/>
      <c r="F125" s="602"/>
      <c r="G125" s="601"/>
      <c r="H125" s="603"/>
      <c r="I125" s="601"/>
      <c r="J125" s="602"/>
      <c r="K125" s="603"/>
      <c r="L125" s="601"/>
      <c r="M125" s="601"/>
      <c r="N125" s="602"/>
      <c r="O125" s="601"/>
      <c r="P125" s="601"/>
      <c r="Q125" s="601"/>
      <c r="R125" s="602"/>
      <c r="S125" s="602"/>
    </row>
    <row r="126" spans="1:19" hidden="1" outlineLevel="1">
      <c r="A126" s="24"/>
      <c r="B126" s="596"/>
      <c r="C126" s="617"/>
      <c r="D126" s="617"/>
      <c r="E126" s="617"/>
      <c r="F126" s="618"/>
      <c r="G126" s="617"/>
      <c r="H126" s="617"/>
      <c r="I126" s="617"/>
      <c r="J126" s="618"/>
      <c r="K126" s="617"/>
      <c r="L126" s="617"/>
      <c r="M126" s="617"/>
      <c r="N126" s="618"/>
      <c r="O126" s="617"/>
      <c r="P126" s="617"/>
      <c r="Q126" s="617"/>
      <c r="R126" s="618"/>
      <c r="S126" s="618"/>
    </row>
    <row r="127" spans="1:19" hidden="1" outlineLevel="1">
      <c r="A127" s="24"/>
      <c r="B127" s="614" t="s">
        <v>683</v>
      </c>
      <c r="C127" s="606"/>
      <c r="D127" s="606"/>
      <c r="E127" s="606"/>
      <c r="F127" s="607"/>
      <c r="G127" s="606"/>
      <c r="H127" s="606"/>
      <c r="I127" s="606"/>
      <c r="J127" s="607"/>
      <c r="K127" s="606"/>
      <c r="L127" s="606"/>
      <c r="M127" s="606"/>
      <c r="N127" s="607"/>
      <c r="O127" s="606"/>
      <c r="P127" s="606"/>
      <c r="Q127" s="606"/>
      <c r="R127" s="607"/>
      <c r="S127" s="607"/>
    </row>
    <row r="128" spans="1:19" hidden="1" outlineLevel="1">
      <c r="A128" s="24"/>
      <c r="B128" s="614">
        <v>2003</v>
      </c>
      <c r="C128" s="601"/>
      <c r="D128" s="601"/>
      <c r="E128" s="603"/>
      <c r="F128" s="602"/>
      <c r="G128" s="601"/>
      <c r="H128" s="603"/>
      <c r="I128" s="601"/>
      <c r="J128" s="602"/>
      <c r="K128" s="601" t="s">
        <v>402</v>
      </c>
      <c r="L128" s="601" t="s">
        <v>404</v>
      </c>
      <c r="M128" s="601" t="s">
        <v>405</v>
      </c>
      <c r="N128" s="602" t="s">
        <v>428</v>
      </c>
      <c r="O128" s="601" t="s">
        <v>405</v>
      </c>
      <c r="P128" s="603" t="s">
        <v>1142</v>
      </c>
      <c r="Q128" s="601" t="s">
        <v>405</v>
      </c>
      <c r="R128" s="602" t="s">
        <v>405</v>
      </c>
      <c r="S128" s="602"/>
    </row>
    <row r="129" spans="1:19" hidden="1" outlineLevel="1">
      <c r="A129" s="24"/>
      <c r="B129" s="614">
        <v>2004</v>
      </c>
      <c r="C129" s="601" t="s">
        <v>405</v>
      </c>
      <c r="D129" s="603" t="s">
        <v>405</v>
      </c>
      <c r="E129" s="603" t="s">
        <v>405</v>
      </c>
      <c r="F129" s="602" t="s">
        <v>405</v>
      </c>
      <c r="G129" s="601" t="s">
        <v>878</v>
      </c>
      <c r="H129" s="603" t="s">
        <v>481</v>
      </c>
      <c r="I129" s="601" t="s">
        <v>879</v>
      </c>
      <c r="J129" s="602"/>
      <c r="K129" s="621" t="s">
        <v>1146</v>
      </c>
      <c r="L129" s="601" t="s">
        <v>1142</v>
      </c>
      <c r="M129" s="601" t="s">
        <v>1142</v>
      </c>
      <c r="N129" s="602"/>
      <c r="O129" s="621" t="s">
        <v>1146</v>
      </c>
      <c r="P129" s="525" t="s">
        <v>1149</v>
      </c>
      <c r="Q129" s="601" t="s">
        <v>1149</v>
      </c>
      <c r="R129" s="602"/>
      <c r="S129" s="602"/>
    </row>
    <row r="130" spans="1:19" hidden="1" outlineLevel="1">
      <c r="A130" s="24"/>
      <c r="B130" s="614">
        <v>2005</v>
      </c>
      <c r="C130" s="601" t="s">
        <v>1149</v>
      </c>
      <c r="D130" s="601" t="s">
        <v>1149</v>
      </c>
      <c r="E130" s="601" t="s">
        <v>405</v>
      </c>
      <c r="F130" s="602"/>
      <c r="G130" s="603" t="s">
        <v>405</v>
      </c>
      <c r="H130" s="601" t="s">
        <v>405</v>
      </c>
      <c r="I130" s="601" t="s">
        <v>405</v>
      </c>
      <c r="J130" s="602" t="s">
        <v>405</v>
      </c>
      <c r="K130" s="601" t="s">
        <v>405</v>
      </c>
      <c r="L130" s="601" t="s">
        <v>405</v>
      </c>
      <c r="M130" s="601" t="s">
        <v>405</v>
      </c>
      <c r="N130" s="602"/>
      <c r="O130" s="601" t="s">
        <v>310</v>
      </c>
      <c r="P130" s="601" t="s">
        <v>877</v>
      </c>
      <c r="Q130" s="601" t="s">
        <v>928</v>
      </c>
      <c r="R130" s="602"/>
      <c r="S130" s="602"/>
    </row>
    <row r="131" spans="1:19" hidden="1" outlineLevel="1">
      <c r="A131" s="24"/>
      <c r="B131" s="614">
        <v>2006</v>
      </c>
      <c r="C131" s="601" t="s">
        <v>481</v>
      </c>
      <c r="D131" s="601" t="s">
        <v>1143</v>
      </c>
      <c r="E131" s="601" t="s">
        <v>968</v>
      </c>
      <c r="F131" s="602"/>
      <c r="G131" s="601" t="s">
        <v>970</v>
      </c>
      <c r="H131" s="601" t="s">
        <v>531</v>
      </c>
      <c r="I131" s="601" t="s">
        <v>927</v>
      </c>
      <c r="J131" s="602"/>
      <c r="K131" s="601" t="s">
        <v>500</v>
      </c>
      <c r="L131" s="601" t="s">
        <v>328</v>
      </c>
      <c r="M131" s="601" t="s">
        <v>928</v>
      </c>
      <c r="N131" s="602"/>
      <c r="O131" s="601" t="s">
        <v>499</v>
      </c>
      <c r="P131" s="601" t="s">
        <v>388</v>
      </c>
      <c r="Q131" s="601" t="s">
        <v>192</v>
      </c>
      <c r="R131" s="602"/>
      <c r="S131" s="602"/>
    </row>
    <row r="132" spans="1:19" hidden="1" outlineLevel="1">
      <c r="A132" s="24"/>
      <c r="B132" s="614">
        <v>2007</v>
      </c>
      <c r="C132" s="601" t="s">
        <v>188</v>
      </c>
      <c r="D132" s="601" t="s">
        <v>952</v>
      </c>
      <c r="E132" s="601" t="s">
        <v>188</v>
      </c>
      <c r="F132" s="602"/>
      <c r="G132" s="601" t="s">
        <v>928</v>
      </c>
      <c r="H132" s="601"/>
      <c r="I132" s="601"/>
      <c r="J132" s="602"/>
      <c r="K132" s="601" t="s">
        <v>520</v>
      </c>
      <c r="L132" s="601"/>
      <c r="M132" s="601"/>
      <c r="N132" s="602"/>
      <c r="O132" s="601"/>
      <c r="P132" s="601"/>
      <c r="Q132" s="601"/>
      <c r="R132" s="602"/>
      <c r="S132" s="602"/>
    </row>
    <row r="133" spans="1:19" hidden="1" outlineLevel="1">
      <c r="A133" s="24"/>
      <c r="B133" s="614"/>
      <c r="C133" s="601"/>
      <c r="D133" s="601"/>
      <c r="E133" s="601"/>
      <c r="F133" s="602"/>
      <c r="G133" s="601"/>
      <c r="H133" s="601"/>
      <c r="I133" s="601"/>
      <c r="J133" s="602"/>
      <c r="K133" s="601"/>
      <c r="L133" s="601"/>
      <c r="M133" s="601"/>
      <c r="N133" s="602"/>
      <c r="O133" s="601"/>
      <c r="P133" s="601"/>
      <c r="Q133" s="601"/>
      <c r="R133" s="602"/>
      <c r="S133" s="602"/>
    </row>
    <row r="134" spans="1:19" hidden="1" outlineLevel="1">
      <c r="A134" s="24"/>
      <c r="B134" s="596"/>
      <c r="C134" s="617"/>
      <c r="D134" s="617"/>
      <c r="E134" s="617"/>
      <c r="F134" s="618"/>
      <c r="G134" s="617"/>
      <c r="H134" s="617"/>
      <c r="I134" s="617"/>
      <c r="J134" s="618"/>
      <c r="K134" s="617"/>
      <c r="L134" s="617"/>
      <c r="M134" s="617"/>
      <c r="N134" s="618"/>
      <c r="O134" s="617"/>
      <c r="P134" s="617"/>
      <c r="Q134" s="617"/>
      <c r="R134" s="618"/>
      <c r="S134" s="618"/>
    </row>
    <row r="135" spans="1:19" hidden="1" outlineLevel="1">
      <c r="A135" s="24"/>
      <c r="B135" s="614"/>
      <c r="C135" s="604"/>
      <c r="D135" s="604"/>
      <c r="E135" s="604"/>
      <c r="F135" s="604"/>
      <c r="G135" s="604"/>
      <c r="H135" s="604"/>
      <c r="I135" s="604"/>
      <c r="J135" s="604"/>
      <c r="K135" s="604"/>
      <c r="L135" s="604"/>
      <c r="M135" s="604"/>
      <c r="N135" s="604"/>
      <c r="O135" s="604"/>
      <c r="P135" s="604"/>
      <c r="Q135" s="604"/>
      <c r="R135" s="604"/>
      <c r="S135" s="604"/>
    </row>
    <row r="136" spans="1:19" collapsed="1">
      <c r="A136" s="24"/>
      <c r="B136" s="285"/>
      <c r="C136" s="603"/>
      <c r="D136" s="603"/>
      <c r="E136" s="603"/>
      <c r="F136" s="612"/>
      <c r="G136" s="603"/>
      <c r="H136" s="603"/>
      <c r="I136" s="603"/>
      <c r="J136" s="612"/>
      <c r="K136" s="603"/>
      <c r="L136" s="603"/>
      <c r="M136" s="603"/>
      <c r="N136" s="612"/>
      <c r="O136" s="603"/>
      <c r="P136" s="603"/>
      <c r="Q136" s="603"/>
      <c r="R136" s="612"/>
      <c r="S136" s="612"/>
    </row>
    <row r="137" spans="1:19">
      <c r="A137" s="531" t="s">
        <v>549</v>
      </c>
      <c r="B137" s="285"/>
      <c r="C137" s="603"/>
      <c r="D137" s="603"/>
      <c r="E137" s="603"/>
      <c r="F137" s="612"/>
      <c r="G137" s="603"/>
      <c r="H137" s="603"/>
      <c r="I137" s="603"/>
      <c r="J137" s="612"/>
      <c r="K137" s="603"/>
      <c r="L137" s="603"/>
      <c r="M137" s="603"/>
      <c r="N137" s="612"/>
      <c r="O137" s="603"/>
      <c r="P137" s="603"/>
      <c r="Q137" s="603"/>
      <c r="R137" s="612"/>
      <c r="S137" s="612"/>
    </row>
  </sheetData>
  <phoneticPr fontId="47" type="noConversion"/>
  <pageMargins left="0.75" right="0.75" top="1" bottom="1" header="0.5" footer="0.5"/>
  <pageSetup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G102"/>
  <sheetViews>
    <sheetView showGridLines="0" zoomScaleNormal="100" zoomScaleSheetLayoutView="85" workbookViewId="0">
      <pane xSplit="2" ySplit="6" topLeftCell="CH20" activePane="bottomRight" state="frozen"/>
      <selection pane="topRight" activeCell="C1" sqref="C1"/>
      <selection pane="bottomLeft" activeCell="A8" sqref="A8"/>
      <selection pane="bottomRight" activeCell="DP26" sqref="DP26"/>
    </sheetView>
  </sheetViews>
  <sheetFormatPr defaultRowHeight="12.75" outlineLevelRow="1" outlineLevelCol="2"/>
  <cols>
    <col min="1" max="1" width="19.85546875" style="582" customWidth="1"/>
    <col min="2" max="2" width="1.140625" style="582" hidden="1" customWidth="1" outlineLevel="1"/>
    <col min="3" max="3" width="6" style="582" hidden="1" customWidth="1" outlineLevel="2"/>
    <col min="4" max="4" width="7.140625" style="582" hidden="1" customWidth="1" outlineLevel="2"/>
    <col min="5" max="6" width="6" style="582" hidden="1" customWidth="1" outlineLevel="2"/>
    <col min="7" max="7" width="2.140625" style="582" hidden="1" customWidth="1" outlineLevel="2"/>
    <col min="8" max="11" width="7.140625" style="582" hidden="1" customWidth="1" outlineLevel="2"/>
    <col min="12" max="12" width="2.140625" style="582" hidden="1" customWidth="1" outlineLevel="1" collapsed="1"/>
    <col min="13" max="13" width="7.140625" style="582" hidden="1" customWidth="1" outlineLevel="1" collapsed="1"/>
    <col min="14" max="16" width="7.140625" style="582" hidden="1" customWidth="1" outlineLevel="1"/>
    <col min="17" max="17" width="2.140625" style="582" hidden="1" customWidth="1" outlineLevel="1"/>
    <col min="18" max="18" width="7.140625" style="582" hidden="1" customWidth="1" outlineLevel="1" collapsed="1"/>
    <col min="19" max="19" width="7.28515625" style="582" hidden="1" customWidth="1" outlineLevel="1"/>
    <col min="20" max="21" width="7.140625" style="582" hidden="1" customWidth="1" outlineLevel="1"/>
    <col min="22" max="22" width="2.140625" style="582" hidden="1" customWidth="1" outlineLevel="1"/>
    <col min="23" max="23" width="6.5703125" style="582" hidden="1" customWidth="1" outlineLevel="1"/>
    <col min="24" max="26" width="6.140625" style="582" hidden="1" customWidth="1" outlineLevel="1"/>
    <col min="27" max="27" width="1" style="582" hidden="1" customWidth="1" outlineLevel="1"/>
    <col min="28" max="28" width="6.140625" style="582" hidden="1" customWidth="1" outlineLevel="1" collapsed="1"/>
    <col min="29" max="29" width="6.140625" style="582" hidden="1" customWidth="1" outlineLevel="1"/>
    <col min="30" max="30" width="6.5703125" style="582" hidden="1" customWidth="1" outlineLevel="1"/>
    <col min="31" max="31" width="6.140625" style="582" hidden="1" customWidth="1" outlineLevel="1"/>
    <col min="32" max="32" width="1.5703125" style="582" hidden="1" customWidth="1" outlineLevel="1"/>
    <col min="33" max="34" width="6.7109375" style="582" hidden="1" customWidth="1" outlineLevel="1"/>
    <col min="35" max="35" width="7.28515625" style="582" hidden="1" customWidth="1" outlineLevel="1"/>
    <col min="36" max="36" width="6.7109375" style="582" hidden="1" customWidth="1" outlineLevel="1"/>
    <col min="37" max="37" width="1.5703125" style="582" hidden="1" customWidth="1" outlineLevel="1" collapsed="1"/>
    <col min="38" max="41" width="6.42578125" style="582" hidden="1" customWidth="1" outlineLevel="1"/>
    <col min="42" max="42" width="1.5703125" style="582" hidden="1" customWidth="1" outlineLevel="1" collapsed="1"/>
    <col min="43" max="46" width="7" style="582" hidden="1" customWidth="1" outlineLevel="1"/>
    <col min="47" max="47" width="1.5703125" style="582" hidden="1" customWidth="1" outlineLevel="1"/>
    <col min="48" max="51" width="6.5703125" style="582" hidden="1" customWidth="1" outlineLevel="1"/>
    <col min="52" max="52" width="1.5703125" style="582" hidden="1" customWidth="1" outlineLevel="1"/>
    <col min="53" max="53" width="7.140625" style="582" hidden="1" customWidth="1" outlineLevel="1"/>
    <col min="54" max="54" width="6.5703125" style="582" hidden="1" customWidth="1" outlineLevel="1"/>
    <col min="55" max="56" width="6" style="582" hidden="1" customWidth="1" outlineLevel="1"/>
    <col min="57" max="57" width="1.5703125" style="582" hidden="1" customWidth="1" outlineLevel="1"/>
    <col min="58" max="58" width="7.28515625" style="582" hidden="1" customWidth="1" outlineLevel="1" collapsed="1"/>
    <col min="59" max="61" width="6" style="582" hidden="1" customWidth="1" outlineLevel="1"/>
    <col min="62" max="62" width="1.5703125" style="582" hidden="1" customWidth="1" outlineLevel="1"/>
    <col min="63" max="63" width="7.28515625" style="582" hidden="1" customWidth="1" outlineLevel="1"/>
    <col min="64" max="64" width="6" style="582" hidden="1" customWidth="1" outlineLevel="1"/>
    <col min="65" max="66" width="7" style="582" hidden="1" customWidth="1" outlineLevel="1"/>
    <col min="67" max="67" width="1.7109375" style="582" hidden="1" customWidth="1" outlineLevel="1"/>
    <col min="68" max="69" width="6.85546875" style="1494" hidden="1" customWidth="1" outlineLevel="1"/>
    <col min="70" max="70" width="7.28515625" style="1494" hidden="1" customWidth="1" outlineLevel="1"/>
    <col min="71" max="71" width="7.85546875" style="1494" hidden="1" customWidth="1" outlineLevel="1"/>
    <col min="72" max="72" width="1.5703125" style="1494" hidden="1" customWidth="1" outlineLevel="1"/>
    <col min="73" max="73" width="6.5703125" style="1494" hidden="1" customWidth="1" outlineLevel="1"/>
    <col min="74" max="74" width="6.7109375" style="1494" hidden="1" customWidth="1" outlineLevel="1"/>
    <col min="75" max="75" width="7.28515625" style="1494" hidden="1" customWidth="1" outlineLevel="1"/>
    <col min="76" max="76" width="7" style="1494" hidden="1" customWidth="1" outlineLevel="1"/>
    <col min="77" max="77" width="1.42578125" style="1494" hidden="1" customWidth="1" outlineLevel="1"/>
    <col min="78" max="79" width="7.5703125" style="1494" hidden="1" customWidth="1" outlineLevel="1"/>
    <col min="80" max="80" width="7.140625" style="1494" hidden="1" customWidth="1" outlineLevel="1"/>
    <col min="81" max="81" width="8.140625" style="1494" hidden="1" customWidth="1" outlineLevel="1"/>
    <col min="82" max="82" width="1.5703125" style="1494" hidden="1" customWidth="1" outlineLevel="1"/>
    <col min="83" max="83" width="7.42578125" style="1494" hidden="1" customWidth="1" outlineLevel="1"/>
    <col min="84" max="84" width="7.5703125" style="1494" hidden="1" customWidth="1" outlineLevel="1"/>
    <col min="85" max="85" width="7.140625" style="1494" hidden="1" customWidth="1" outlineLevel="1"/>
    <col min="86" max="86" width="6.7109375" style="1494" hidden="1" customWidth="1" outlineLevel="1"/>
    <col min="87" max="87" width="0.85546875" style="1494" hidden="1" customWidth="1" outlineLevel="1"/>
    <col min="88" max="88" width="7.85546875" style="1494" customWidth="1" collapsed="1"/>
    <col min="89" max="90" width="7.7109375" style="1494" customWidth="1"/>
    <col min="91" max="91" width="8.140625" style="1494" customWidth="1"/>
    <col min="92" max="92" width="1" style="1494" customWidth="1"/>
    <col min="93" max="94" width="6.85546875" style="1494" customWidth="1"/>
    <col min="95" max="95" width="7.28515625" style="1494" customWidth="1"/>
    <col min="96" max="96" width="6.85546875" style="1494" customWidth="1"/>
    <col min="97" max="97" width="1" style="1494" customWidth="1"/>
    <col min="98" max="99" width="6.85546875" style="1494" customWidth="1"/>
    <col min="100" max="100" width="7.28515625" style="1494" customWidth="1"/>
    <col min="101" max="101" width="7.42578125" style="1494" customWidth="1"/>
    <col min="102" max="102" width="1.42578125" style="1494" customWidth="1"/>
    <col min="103" max="105" width="7" style="582" hidden="1" customWidth="1" outlineLevel="1"/>
    <col min="106" max="106" width="7.28515625" style="582" hidden="1" customWidth="1" outlineLevel="1"/>
    <col min="107" max="107" width="6.85546875" style="582" hidden="1" customWidth="1" outlineLevel="1"/>
    <col min="108" max="108" width="6.85546875" style="582" hidden="1" customWidth="1" outlineLevel="1" collapsed="1"/>
    <col min="109" max="109" width="6.5703125" style="582" hidden="1" customWidth="1" outlineLevel="1" collapsed="1"/>
    <col min="110" max="110" width="6.42578125" style="582" hidden="1" customWidth="1" outlineLevel="1" collapsed="1"/>
    <col min="111" max="112" width="6.42578125" style="582" hidden="1" customWidth="1" outlineLevel="1"/>
    <col min="113" max="114" width="7.140625" style="582" hidden="1" customWidth="1" outlineLevel="1"/>
    <col min="115" max="116" width="6.42578125" style="582" hidden="1" customWidth="1" outlineLevel="1"/>
    <col min="117" max="117" width="6.7109375" style="582" hidden="1" customWidth="1" outlineLevel="1"/>
    <col min="118" max="118" width="8" style="582" customWidth="1" collapsed="1"/>
    <col min="119" max="119" width="8" style="582" customWidth="1"/>
    <col min="120" max="120" width="7.7109375" style="582" customWidth="1"/>
    <col min="121" max="121" width="7.85546875" style="1253" customWidth="1"/>
    <col min="122" max="123" width="7.7109375" style="582" customWidth="1"/>
    <col min="124" max="124" width="7.7109375" style="1253" customWidth="1"/>
    <col min="125" max="127" width="7.7109375" style="582" customWidth="1"/>
    <col min="128" max="128" width="7.85546875" style="582" customWidth="1"/>
    <col min="129" max="129" width="12.140625" hidden="1" customWidth="1" outlineLevel="1"/>
    <col min="130" max="134" width="9.140625" hidden="1" customWidth="1" outlineLevel="1"/>
    <col min="135" max="135" width="9.140625" style="582" collapsed="1"/>
    <col min="136" max="16384" width="9.140625" style="582"/>
  </cols>
  <sheetData>
    <row r="1" spans="1:128">
      <c r="A1" s="1423" t="s">
        <v>148</v>
      </c>
      <c r="B1" s="1424"/>
      <c r="C1" s="1424"/>
      <c r="D1" s="1424"/>
      <c r="E1" s="1424"/>
      <c r="F1" s="1424"/>
      <c r="G1" s="1424"/>
      <c r="H1" s="1424"/>
      <c r="I1" s="1424"/>
      <c r="J1" s="1424"/>
      <c r="K1" s="1424"/>
      <c r="L1" s="1425"/>
      <c r="M1" s="1424"/>
      <c r="N1" s="1424"/>
      <c r="O1" s="1424"/>
      <c r="P1" s="1424"/>
      <c r="Q1" s="1425"/>
      <c r="R1" s="1424"/>
      <c r="S1" s="1424"/>
      <c r="T1" s="1424"/>
      <c r="U1" s="1424"/>
      <c r="V1" s="1425"/>
      <c r="W1" s="1424"/>
      <c r="X1" s="1424"/>
      <c r="Y1" s="1424"/>
      <c r="Z1" s="1424"/>
      <c r="AA1" s="1425"/>
      <c r="AB1" s="1424"/>
      <c r="AC1" s="1424"/>
      <c r="AD1" s="1424"/>
      <c r="AE1" s="1424"/>
      <c r="AF1" s="1425"/>
      <c r="AG1" s="1424"/>
      <c r="AH1" s="1424"/>
      <c r="AI1" s="1424"/>
      <c r="AJ1" s="1424"/>
      <c r="AK1" s="1425"/>
      <c r="AL1" s="1424"/>
      <c r="AM1" s="1424"/>
      <c r="AN1" s="1424"/>
      <c r="AO1" s="1424"/>
      <c r="AP1" s="1424"/>
      <c r="AQ1" s="1424"/>
      <c r="AR1" s="1424"/>
      <c r="AS1" s="1424"/>
      <c r="AT1" s="1424"/>
      <c r="AU1" s="1424"/>
      <c r="AV1" s="1424"/>
      <c r="AW1" s="1424"/>
      <c r="AX1" s="1424"/>
      <c r="AY1" s="1424"/>
      <c r="AZ1" s="1424"/>
      <c r="BA1" s="1424"/>
      <c r="BB1" s="1424"/>
      <c r="BC1" s="1424"/>
      <c r="BD1" s="1424"/>
      <c r="BE1" s="1424"/>
      <c r="BF1" s="1424"/>
      <c r="BG1" s="1424"/>
      <c r="BH1" s="1424"/>
      <c r="BI1" s="1424"/>
      <c r="BJ1" s="1424"/>
      <c r="BK1" s="1424"/>
      <c r="BL1" s="1424"/>
      <c r="BM1" s="1424"/>
      <c r="BN1" s="1424"/>
      <c r="BO1" s="1424"/>
      <c r="BP1" s="1426"/>
      <c r="BQ1" s="1426"/>
      <c r="BR1" s="1426"/>
      <c r="BS1" s="1426"/>
      <c r="BT1" s="1426"/>
      <c r="BU1" s="1426"/>
      <c r="BV1" s="1426"/>
      <c r="BW1" s="1426"/>
      <c r="BX1" s="1426"/>
      <c r="BY1" s="1426"/>
      <c r="BZ1" s="1426"/>
      <c r="CA1" s="1426"/>
      <c r="CB1" s="1426"/>
      <c r="CC1" s="1426"/>
      <c r="CD1" s="1426"/>
      <c r="CE1" s="1426"/>
      <c r="CF1" s="1426"/>
      <c r="CG1" s="1426"/>
      <c r="CH1" s="1426"/>
      <c r="CI1" s="1426"/>
      <c r="CJ1" s="1426"/>
      <c r="CK1" s="1426"/>
      <c r="CL1" s="1426"/>
      <c r="CM1" s="1426"/>
      <c r="CN1" s="1426"/>
      <c r="CO1" s="1426"/>
      <c r="CP1" s="1426"/>
      <c r="CQ1" s="1426"/>
      <c r="CR1" s="1426"/>
      <c r="CS1" s="1426"/>
      <c r="CT1" s="1426"/>
      <c r="CU1" s="1426"/>
      <c r="CV1" s="1426"/>
      <c r="CW1" s="1426"/>
      <c r="CX1" s="1426"/>
      <c r="CY1" s="1425"/>
      <c r="CZ1" s="1425"/>
      <c r="DA1" s="1425"/>
      <c r="DB1" s="1424"/>
      <c r="DC1" s="1424"/>
      <c r="DD1" s="1425"/>
      <c r="DE1" s="1425"/>
      <c r="DF1" s="1425"/>
      <c r="DG1" s="1425"/>
      <c r="DH1" s="1425"/>
      <c r="DI1" s="1425"/>
    </row>
    <row r="2" spans="1:128">
      <c r="A2" s="1427" t="s">
        <v>297</v>
      </c>
      <c r="B2" s="1428"/>
      <c r="C2" s="1428"/>
      <c r="D2" s="1428"/>
      <c r="E2" s="1428"/>
      <c r="F2" s="1428"/>
      <c r="G2" s="1428"/>
      <c r="H2" s="1428"/>
      <c r="I2" s="1428"/>
      <c r="J2" s="1428"/>
      <c r="K2" s="1428"/>
      <c r="L2" s="1429"/>
      <c r="M2" s="1428"/>
      <c r="N2" s="1428"/>
      <c r="O2" s="1428"/>
      <c r="P2" s="1428"/>
      <c r="Q2" s="1429"/>
      <c r="R2" s="1428"/>
      <c r="S2" s="1428"/>
      <c r="T2" s="1428"/>
      <c r="U2" s="1428"/>
      <c r="V2" s="1429"/>
      <c r="W2" s="1428"/>
      <c r="X2" s="1428"/>
      <c r="Y2" s="1428"/>
      <c r="Z2" s="1428"/>
      <c r="AA2" s="1429"/>
      <c r="AB2" s="1428"/>
      <c r="AC2" s="1428"/>
      <c r="AD2" s="1428"/>
      <c r="AE2" s="1428"/>
      <c r="AF2" s="1429"/>
      <c r="AG2" s="1428"/>
      <c r="AH2" s="1428"/>
      <c r="AI2" s="1428"/>
      <c r="AJ2" s="1428"/>
      <c r="AK2" s="1429"/>
      <c r="AL2" s="1428"/>
      <c r="AM2" s="1428"/>
      <c r="AN2" s="1428"/>
      <c r="AO2" s="1428"/>
      <c r="AP2" s="1428"/>
      <c r="AQ2" s="1428"/>
      <c r="AR2" s="1428"/>
      <c r="AS2" s="1428"/>
      <c r="AT2" s="1428"/>
      <c r="AU2" s="1428"/>
      <c r="AV2" s="1428"/>
      <c r="AW2" s="1428"/>
      <c r="AX2" s="1428"/>
      <c r="AY2" s="1428"/>
      <c r="AZ2" s="1428"/>
      <c r="BA2" s="1428"/>
      <c r="BB2" s="1428"/>
      <c r="BC2" s="1428"/>
      <c r="BD2" s="1428"/>
      <c r="BE2" s="1428"/>
      <c r="BF2" s="1428"/>
      <c r="BG2" s="1428"/>
      <c r="BH2" s="1428"/>
      <c r="BI2" s="1428"/>
      <c r="BJ2" s="1428"/>
      <c r="BK2" s="1428"/>
      <c r="BL2" s="1428"/>
      <c r="BM2" s="1428"/>
      <c r="BN2" s="1428"/>
      <c r="BO2" s="1428"/>
      <c r="BP2" s="1430"/>
      <c r="BQ2" s="1430"/>
      <c r="BR2" s="1430"/>
      <c r="BS2" s="1430"/>
      <c r="BT2" s="1430"/>
      <c r="BU2" s="1430"/>
      <c r="BV2" s="1430"/>
      <c r="BW2" s="1430"/>
      <c r="BX2" s="1430"/>
      <c r="BY2" s="1430"/>
      <c r="BZ2" s="1430"/>
      <c r="CA2" s="1430"/>
      <c r="CB2" s="1430"/>
      <c r="CC2" s="1430"/>
      <c r="CD2" s="1430"/>
      <c r="CE2" s="1430"/>
      <c r="CF2" s="1430"/>
      <c r="CG2" s="1430"/>
      <c r="CH2" s="1430"/>
      <c r="CI2" s="1430"/>
      <c r="CJ2" s="1430"/>
      <c r="CK2" s="1430"/>
      <c r="CL2" s="1430"/>
      <c r="CM2" s="1430"/>
      <c r="CN2" s="1430"/>
      <c r="CO2" s="1430"/>
      <c r="CP2" s="1430"/>
      <c r="CQ2" s="1430"/>
      <c r="CR2" s="1430"/>
      <c r="CS2" s="1430"/>
      <c r="CT2" s="1430"/>
      <c r="CU2" s="1430"/>
      <c r="CV2" s="1430"/>
      <c r="CW2" s="1430"/>
      <c r="CX2" s="1430"/>
      <c r="CY2" s="1429"/>
      <c r="CZ2" s="1429"/>
      <c r="DA2" s="1429"/>
      <c r="DB2" s="1428"/>
      <c r="DC2" s="1428"/>
      <c r="DD2" s="1429"/>
      <c r="DE2" s="1429"/>
      <c r="DF2" s="1429"/>
      <c r="DG2" s="1429"/>
      <c r="DH2" s="1429"/>
      <c r="DI2" s="1429"/>
      <c r="DJ2" s="1431"/>
      <c r="DK2" s="1431"/>
      <c r="DL2" s="1431"/>
      <c r="DM2" s="1431"/>
      <c r="DN2" s="1431"/>
      <c r="DO2" s="1431"/>
      <c r="DP2" s="1431"/>
      <c r="DQ2" s="1431"/>
      <c r="DR2" s="1431"/>
      <c r="DS2" s="1431"/>
      <c r="DT2" s="1431"/>
      <c r="DU2" s="1431"/>
      <c r="DV2" s="1431"/>
      <c r="DW2" s="1253"/>
      <c r="DX2" s="1253"/>
    </row>
    <row r="3" spans="1:128">
      <c r="A3" s="1425" t="s">
        <v>1202</v>
      </c>
      <c r="B3" s="1424"/>
      <c r="C3" s="1424"/>
      <c r="D3" s="1424"/>
      <c r="E3" s="1424"/>
      <c r="F3" s="1424"/>
      <c r="G3" s="1424"/>
      <c r="H3" s="1424"/>
      <c r="I3" s="1424"/>
      <c r="J3" s="1424"/>
      <c r="K3" s="1424"/>
      <c r="L3" s="1425"/>
      <c r="M3" s="1424"/>
      <c r="N3" s="1424"/>
      <c r="O3" s="1424"/>
      <c r="P3" s="1424"/>
      <c r="Q3" s="1425"/>
      <c r="R3" s="1424"/>
      <c r="S3" s="1424"/>
      <c r="T3" s="1424"/>
      <c r="U3" s="1424"/>
      <c r="V3" s="1425"/>
      <c r="W3" s="1424"/>
      <c r="X3" s="1424"/>
      <c r="Y3" s="1424"/>
      <c r="Z3" s="1424"/>
      <c r="AA3" s="1425"/>
      <c r="AB3" s="1424"/>
      <c r="AC3" s="1424"/>
      <c r="AD3" s="1424"/>
      <c r="AE3" s="1424"/>
      <c r="AF3" s="1425"/>
      <c r="AG3" s="1424"/>
      <c r="AH3" s="1424"/>
      <c r="AI3" s="1424"/>
      <c r="AJ3" s="1424"/>
      <c r="AK3" s="1425"/>
      <c r="AL3" s="1424"/>
      <c r="AM3" s="1424"/>
      <c r="AN3" s="1424"/>
      <c r="AO3" s="1424"/>
      <c r="AP3" s="1424"/>
      <c r="AQ3" s="1424"/>
      <c r="AR3" s="1424"/>
      <c r="AS3" s="1424"/>
      <c r="AT3" s="1424"/>
      <c r="AU3" s="1424"/>
      <c r="AV3" s="1424"/>
      <c r="AW3" s="1424"/>
      <c r="AX3" s="1424"/>
      <c r="AY3" s="1424"/>
      <c r="AZ3" s="1424"/>
      <c r="BA3" s="1424"/>
      <c r="BB3" s="1424"/>
      <c r="BC3" s="1424"/>
      <c r="BD3" s="1424"/>
      <c r="BE3" s="1424"/>
      <c r="BF3" s="1424"/>
      <c r="BG3" s="1424"/>
      <c r="BH3" s="1424"/>
      <c r="BI3" s="1424"/>
      <c r="BJ3" s="1424"/>
      <c r="BK3" s="1424"/>
      <c r="BL3" s="1424"/>
      <c r="BM3" s="1424"/>
      <c r="BN3" s="1424"/>
      <c r="BO3" s="1424"/>
      <c r="BP3" s="1426"/>
      <c r="BQ3" s="1426"/>
      <c r="BR3" s="1426"/>
      <c r="BS3" s="1426"/>
      <c r="BT3" s="1426"/>
      <c r="BU3" s="1426"/>
      <c r="BV3" s="1426"/>
      <c r="BW3" s="1426"/>
      <c r="BX3" s="1426"/>
      <c r="BY3" s="1426"/>
      <c r="BZ3" s="1426"/>
      <c r="CA3" s="1426"/>
      <c r="CB3" s="1426"/>
      <c r="CC3" s="1426"/>
      <c r="CD3" s="1426"/>
      <c r="CE3" s="1426"/>
      <c r="CF3" s="1426"/>
      <c r="CG3" s="1426"/>
      <c r="CH3" s="1426"/>
      <c r="CI3" s="1426"/>
      <c r="CJ3" s="1426"/>
      <c r="CK3" s="1426"/>
      <c r="CL3" s="1426"/>
      <c r="CM3" s="1426"/>
      <c r="CN3" s="1426"/>
      <c r="CO3" s="1426"/>
      <c r="CP3" s="1426"/>
      <c r="CQ3" s="1426"/>
      <c r="CR3" s="1426"/>
      <c r="CS3" s="1426"/>
      <c r="CT3" s="1426"/>
      <c r="CU3" s="1426"/>
      <c r="CV3" s="1426"/>
      <c r="CW3" s="1426"/>
      <c r="CX3" s="1426"/>
      <c r="CY3" s="1425"/>
      <c r="CZ3" s="1425"/>
      <c r="DA3" s="1425"/>
      <c r="DB3" s="1424"/>
      <c r="DC3" s="1424"/>
      <c r="DD3" s="1425"/>
      <c r="DE3" s="1425"/>
      <c r="DF3" s="1425"/>
      <c r="DG3" s="1425"/>
      <c r="DH3" s="1425"/>
      <c r="DI3" s="1425"/>
    </row>
    <row r="4" spans="1:128" ht="7.5" customHeight="1">
      <c r="A4" s="1432"/>
      <c r="B4" s="1433"/>
      <c r="C4" s="1434" t="s">
        <v>1203</v>
      </c>
      <c r="D4" s="1434"/>
      <c r="E4" s="1434"/>
      <c r="F4" s="1434"/>
      <c r="G4" s="1434"/>
      <c r="H4" s="1434"/>
      <c r="I4" s="1434"/>
      <c r="J4" s="1434"/>
      <c r="K4" s="1434"/>
      <c r="L4" s="1435"/>
      <c r="M4" s="1434"/>
      <c r="N4" s="1434"/>
      <c r="O4" s="1434"/>
      <c r="P4" s="1434"/>
      <c r="Q4" s="1435"/>
      <c r="R4" s="1434"/>
      <c r="S4" s="1434"/>
      <c r="T4" s="1434"/>
      <c r="U4" s="1434"/>
      <c r="V4" s="1435" t="s">
        <v>1203</v>
      </c>
      <c r="W4" s="1434"/>
      <c r="X4" s="1434"/>
      <c r="Y4" s="1434"/>
      <c r="Z4" s="1434"/>
      <c r="AA4" s="1436"/>
      <c r="AH4" s="1435"/>
      <c r="AI4" s="1435"/>
      <c r="AJ4" s="1435"/>
      <c r="AK4" s="1435"/>
      <c r="AL4" s="1434"/>
      <c r="AM4" s="1434"/>
      <c r="AN4" s="1434"/>
      <c r="AO4" s="1434"/>
      <c r="AP4" s="1433"/>
      <c r="AQ4" s="1434" t="s">
        <v>1203</v>
      </c>
      <c r="AR4" s="1434"/>
      <c r="AS4" s="1434"/>
      <c r="AT4" s="1434"/>
      <c r="AU4" s="1434"/>
      <c r="AV4" s="1433"/>
      <c r="AW4" s="1433"/>
      <c r="AX4" s="1433"/>
      <c r="AY4" s="1433"/>
      <c r="AZ4" s="1434"/>
      <c r="BA4" s="1433"/>
      <c r="BB4" s="1433"/>
      <c r="BC4" s="1433"/>
      <c r="BD4" s="1433"/>
      <c r="BE4" s="1434"/>
      <c r="BF4" s="1433"/>
      <c r="BG4" s="1433"/>
      <c r="BH4" s="1433"/>
      <c r="BI4" s="1433"/>
      <c r="BJ4" s="1434"/>
      <c r="BK4" s="1433"/>
      <c r="BL4" s="1433"/>
      <c r="BM4" s="1433"/>
      <c r="BN4" s="1433"/>
      <c r="BO4" s="1433"/>
      <c r="BP4" s="1437"/>
      <c r="BQ4" s="1437"/>
      <c r="BR4" s="1437"/>
      <c r="BS4" s="1437"/>
      <c r="BT4" s="1437"/>
      <c r="BU4" s="1437"/>
      <c r="BV4" s="1437"/>
      <c r="BW4" s="1437"/>
      <c r="BX4" s="1437"/>
      <c r="BY4" s="1437"/>
      <c r="BZ4" s="1437"/>
      <c r="CA4" s="1437"/>
      <c r="CB4" s="1437"/>
      <c r="CC4" s="1437"/>
      <c r="CD4" s="1437"/>
      <c r="CE4" s="1437"/>
      <c r="CF4" s="1437"/>
      <c r="CG4" s="1437"/>
      <c r="CH4" s="1437"/>
      <c r="CI4" s="1437"/>
      <c r="CJ4" s="1437"/>
      <c r="CK4" s="1437"/>
      <c r="CL4" s="1437"/>
      <c r="CM4" s="1437"/>
      <c r="CN4" s="1437"/>
      <c r="CO4" s="1437"/>
      <c r="CP4" s="1437"/>
      <c r="CQ4" s="1437"/>
      <c r="CR4" s="1437"/>
      <c r="CS4" s="1437"/>
      <c r="CT4" s="1437"/>
      <c r="CU4" s="1437"/>
      <c r="CV4" s="1437"/>
      <c r="CW4" s="1437"/>
      <c r="CX4" s="1437"/>
      <c r="CY4" s="1433"/>
      <c r="CZ4" s="1433"/>
      <c r="DA4" s="1433"/>
      <c r="DB4" s="1433"/>
      <c r="DC4" s="1433"/>
      <c r="DD4" s="1433" t="s">
        <v>1204</v>
      </c>
      <c r="DE4" s="1438"/>
      <c r="DF4" s="1433"/>
      <c r="DG4" s="1433"/>
      <c r="DH4" s="1433"/>
      <c r="DI4" s="1433"/>
      <c r="DJ4" s="1433"/>
      <c r="DK4" s="1433"/>
      <c r="DL4" s="1433"/>
      <c r="DM4" s="1433"/>
      <c r="DN4" s="1433"/>
      <c r="DO4" s="1434"/>
      <c r="DP4" s="1433"/>
      <c r="DQ4" s="1433"/>
    </row>
    <row r="5" spans="1:128">
      <c r="A5" s="1439" t="s">
        <v>760</v>
      </c>
      <c r="B5" s="1440" t="s">
        <v>1205</v>
      </c>
      <c r="C5" s="1441">
        <v>1999</v>
      </c>
      <c r="D5" s="1442"/>
      <c r="E5" s="1442"/>
      <c r="F5" s="1442"/>
      <c r="G5" s="1443"/>
      <c r="H5" s="1444">
        <v>2000</v>
      </c>
      <c r="I5" s="1445"/>
      <c r="J5" s="1445"/>
      <c r="K5" s="1445"/>
      <c r="L5" s="1439"/>
      <c r="M5" s="1444" t="str">
        <f>+DD5</f>
        <v>2001A</v>
      </c>
      <c r="N5" s="1445"/>
      <c r="O5" s="1445"/>
      <c r="P5" s="1445"/>
      <c r="Q5" s="1439"/>
      <c r="R5" s="1444" t="str">
        <f>DE5</f>
        <v>2002A</v>
      </c>
      <c r="S5" s="1445"/>
      <c r="T5" s="1445"/>
      <c r="U5" s="1445"/>
      <c r="V5" s="1439"/>
      <c r="W5" s="1444" t="str">
        <f>+DF5</f>
        <v>2003A</v>
      </c>
      <c r="X5" s="1445"/>
      <c r="Y5" s="1445"/>
      <c r="Z5" s="1445"/>
      <c r="AA5" s="1446"/>
      <c r="AB5" s="1444">
        <v>2004</v>
      </c>
      <c r="AC5" s="1445"/>
      <c r="AD5" s="1445"/>
      <c r="AE5" s="1445"/>
      <c r="AF5" s="1439"/>
      <c r="AG5" s="1447">
        <v>2005</v>
      </c>
      <c r="AH5" s="1445"/>
      <c r="AI5" s="1445"/>
      <c r="AJ5" s="1445"/>
      <c r="AK5" s="1448"/>
      <c r="AL5" s="1444" t="str">
        <f>DI5</f>
        <v>2006A</v>
      </c>
      <c r="AM5" s="1445"/>
      <c r="AN5" s="1445"/>
      <c r="AO5" s="1445"/>
      <c r="AP5" s="1448"/>
      <c r="AQ5" s="1444" t="str">
        <f>DJ5</f>
        <v>2007A</v>
      </c>
      <c r="AR5" s="1449"/>
      <c r="AS5" s="1449"/>
      <c r="AT5" s="1449"/>
      <c r="AU5" s="1448"/>
      <c r="AV5" s="1450" t="str">
        <f>DK5</f>
        <v>2008A</v>
      </c>
      <c r="AW5" s="1449"/>
      <c r="AX5" s="1449"/>
      <c r="AY5" s="1449"/>
      <c r="AZ5" s="1448"/>
      <c r="BA5" s="1450" t="str">
        <f>DL5</f>
        <v>2009A</v>
      </c>
      <c r="BB5" s="1449"/>
      <c r="BC5" s="1449"/>
      <c r="BD5" s="1449"/>
      <c r="BE5" s="1448"/>
      <c r="BF5" s="1450" t="str">
        <f>DM5</f>
        <v>2010A</v>
      </c>
      <c r="BG5" s="1449"/>
      <c r="BH5" s="1449"/>
      <c r="BI5" s="1449"/>
      <c r="BJ5" s="1448"/>
      <c r="BK5" s="1450" t="s">
        <v>432</v>
      </c>
      <c r="BL5" s="1449"/>
      <c r="BM5" s="1449"/>
      <c r="BN5" s="1449"/>
      <c r="BO5" s="1448"/>
      <c r="BP5" s="1450" t="s">
        <v>201</v>
      </c>
      <c r="BQ5" s="1451"/>
      <c r="BR5" s="1451"/>
      <c r="BS5" s="1451"/>
      <c r="BT5" s="1452"/>
      <c r="BU5" s="1453" t="s">
        <v>1015</v>
      </c>
      <c r="BV5" s="1451"/>
      <c r="BW5" s="1451"/>
      <c r="BX5" s="1451"/>
      <c r="BY5" s="1452"/>
      <c r="BZ5" s="1453" t="s">
        <v>1278</v>
      </c>
      <c r="CA5" s="1451"/>
      <c r="CB5" s="1451"/>
      <c r="CC5" s="1451"/>
      <c r="CD5" s="1452"/>
      <c r="CE5" s="1453" t="s">
        <v>1303</v>
      </c>
      <c r="CF5" s="1451"/>
      <c r="CG5" s="1451"/>
      <c r="CH5" s="1451"/>
      <c r="CI5" s="1452"/>
      <c r="CJ5" s="1453" t="s">
        <v>1328</v>
      </c>
      <c r="CK5" s="1451"/>
      <c r="CL5" s="1451"/>
      <c r="CM5" s="1451"/>
      <c r="CN5" s="1452"/>
      <c r="CO5" s="1453" t="s">
        <v>1415</v>
      </c>
      <c r="CP5" s="1451"/>
      <c r="CQ5" s="1451"/>
      <c r="CR5" s="1451"/>
      <c r="CS5" s="1452"/>
      <c r="CT5" s="1454" t="s">
        <v>1380</v>
      </c>
      <c r="CU5" s="1451"/>
      <c r="CV5" s="1451"/>
      <c r="CW5" s="1451"/>
      <c r="CX5" s="1455"/>
      <c r="CY5" s="1456">
        <v>1996</v>
      </c>
      <c r="CZ5" s="1456">
        <v>1997</v>
      </c>
      <c r="DA5" s="1456">
        <v>1998</v>
      </c>
      <c r="DB5" s="1457">
        <v>1999</v>
      </c>
      <c r="DC5" s="1457">
        <v>2000</v>
      </c>
      <c r="DD5" s="1458" t="s">
        <v>752</v>
      </c>
      <c r="DE5" s="1458" t="s">
        <v>229</v>
      </c>
      <c r="DF5" s="1458" t="s">
        <v>744</v>
      </c>
      <c r="DG5" s="1458" t="s">
        <v>949</v>
      </c>
      <c r="DH5" s="1459" t="s">
        <v>982</v>
      </c>
      <c r="DI5" s="1457" t="s">
        <v>753</v>
      </c>
      <c r="DJ5" s="1457" t="s">
        <v>144</v>
      </c>
      <c r="DK5" s="1457" t="s">
        <v>143</v>
      </c>
      <c r="DL5" s="1457" t="s">
        <v>991</v>
      </c>
      <c r="DM5" s="1457" t="s">
        <v>112</v>
      </c>
      <c r="DN5" s="1457" t="s">
        <v>432</v>
      </c>
      <c r="DO5" s="1457" t="s">
        <v>201</v>
      </c>
      <c r="DP5" s="1457" t="s">
        <v>853</v>
      </c>
      <c r="DQ5" s="1457" t="s">
        <v>335</v>
      </c>
      <c r="DR5" s="1457" t="s">
        <v>1266</v>
      </c>
      <c r="DS5" s="1457" t="s">
        <v>1308</v>
      </c>
      <c r="DT5" s="1457" t="s">
        <v>1332</v>
      </c>
      <c r="DU5" s="1456" t="s">
        <v>299</v>
      </c>
      <c r="DV5" s="1456" t="s">
        <v>1300</v>
      </c>
      <c r="DW5" s="1460" t="s">
        <v>1300</v>
      </c>
      <c r="DX5"/>
    </row>
    <row r="6" spans="1:128">
      <c r="A6" s="1461" t="s">
        <v>1206</v>
      </c>
      <c r="B6" s="1462"/>
      <c r="C6" s="1463" t="s">
        <v>830</v>
      </c>
      <c r="D6" s="1463" t="s">
        <v>653</v>
      </c>
      <c r="E6" s="1463" t="s">
        <v>598</v>
      </c>
      <c r="F6" s="1463" t="s">
        <v>601</v>
      </c>
      <c r="G6" s="1462"/>
      <c r="H6" s="1464" t="str">
        <f>C6</f>
        <v>Apr</v>
      </c>
      <c r="I6" s="1464" t="str">
        <f>D6</f>
        <v>Jul</v>
      </c>
      <c r="J6" s="1464" t="str">
        <f>E6</f>
        <v>Oct</v>
      </c>
      <c r="K6" s="1464" t="str">
        <f>F6</f>
        <v>Jan</v>
      </c>
      <c r="L6" s="1465"/>
      <c r="M6" s="1464" t="str">
        <f>+H6</f>
        <v>Apr</v>
      </c>
      <c r="N6" s="1464" t="str">
        <f>+I6</f>
        <v>Jul</v>
      </c>
      <c r="O6" s="1464" t="str">
        <f>+J6</f>
        <v>Oct</v>
      </c>
      <c r="P6" s="1464" t="str">
        <f>+K6</f>
        <v>Jan</v>
      </c>
      <c r="Q6" s="1465"/>
      <c r="R6" s="1464" t="str">
        <f>+M6</f>
        <v>Apr</v>
      </c>
      <c r="S6" s="1464" t="str">
        <f>+N6</f>
        <v>Jul</v>
      </c>
      <c r="T6" s="1464" t="str">
        <f>+O6</f>
        <v>Oct</v>
      </c>
      <c r="U6" s="1464" t="str">
        <f>+P6</f>
        <v>Jan</v>
      </c>
      <c r="V6" s="1465"/>
      <c r="W6" s="1464" t="s">
        <v>830</v>
      </c>
      <c r="X6" s="1464" t="s">
        <v>653</v>
      </c>
      <c r="Y6" s="1464" t="s">
        <v>598</v>
      </c>
      <c r="Z6" s="1464" t="s">
        <v>601</v>
      </c>
      <c r="AA6" s="1466"/>
      <c r="AB6" s="1464" t="s">
        <v>830</v>
      </c>
      <c r="AC6" s="1464" t="s">
        <v>653</v>
      </c>
      <c r="AD6" s="1464" t="s">
        <v>598</v>
      </c>
      <c r="AE6" s="1464" t="s">
        <v>601</v>
      </c>
      <c r="AF6" s="1466"/>
      <c r="AG6" s="1464" t="s">
        <v>830</v>
      </c>
      <c r="AH6" s="1464" t="s">
        <v>653</v>
      </c>
      <c r="AI6" s="1464" t="s">
        <v>598</v>
      </c>
      <c r="AJ6" s="1464" t="s">
        <v>601</v>
      </c>
      <c r="AK6" s="1466"/>
      <c r="AL6" s="1464" t="s">
        <v>751</v>
      </c>
      <c r="AM6" s="1464" t="s">
        <v>653</v>
      </c>
      <c r="AN6" s="1464" t="s">
        <v>750</v>
      </c>
      <c r="AO6" s="1464" t="s">
        <v>601</v>
      </c>
      <c r="AP6" s="1463"/>
      <c r="AQ6" s="1464" t="s">
        <v>830</v>
      </c>
      <c r="AR6" s="1464" t="s">
        <v>653</v>
      </c>
      <c r="AS6" s="1464" t="s">
        <v>598</v>
      </c>
      <c r="AT6" s="1464" t="s">
        <v>601</v>
      </c>
      <c r="AU6" s="1464"/>
      <c r="AV6" s="1464" t="s">
        <v>830</v>
      </c>
      <c r="AW6" s="1464" t="s">
        <v>653</v>
      </c>
      <c r="AX6" s="1464" t="s">
        <v>598</v>
      </c>
      <c r="AY6" s="1464" t="s">
        <v>601</v>
      </c>
      <c r="AZ6" s="1464"/>
      <c r="BA6" s="1464" t="s">
        <v>830</v>
      </c>
      <c r="BB6" s="1464" t="s">
        <v>653</v>
      </c>
      <c r="BC6" s="1464" t="s">
        <v>598</v>
      </c>
      <c r="BD6" s="1464" t="s">
        <v>601</v>
      </c>
      <c r="BE6" s="1464"/>
      <c r="BF6" s="1464" t="s">
        <v>830</v>
      </c>
      <c r="BG6" s="1464" t="s">
        <v>653</v>
      </c>
      <c r="BH6" s="1464" t="s">
        <v>598</v>
      </c>
      <c r="BI6" s="1464" t="s">
        <v>601</v>
      </c>
      <c r="BJ6" s="1464"/>
      <c r="BK6" s="1464" t="s">
        <v>830</v>
      </c>
      <c r="BL6" s="1464" t="s">
        <v>653</v>
      </c>
      <c r="BM6" s="1464" t="s">
        <v>598</v>
      </c>
      <c r="BN6" s="1464" t="s">
        <v>601</v>
      </c>
      <c r="BO6" s="1464"/>
      <c r="BP6" s="1467" t="s">
        <v>830</v>
      </c>
      <c r="BQ6" s="1467" t="s">
        <v>653</v>
      </c>
      <c r="BR6" s="1467" t="s">
        <v>598</v>
      </c>
      <c r="BS6" s="1467" t="s">
        <v>601</v>
      </c>
      <c r="BT6" s="1468"/>
      <c r="BU6" s="1467" t="s">
        <v>830</v>
      </c>
      <c r="BV6" s="1467" t="s">
        <v>653</v>
      </c>
      <c r="BW6" s="1467" t="s">
        <v>598</v>
      </c>
      <c r="BX6" s="1467" t="s">
        <v>601</v>
      </c>
      <c r="BY6" s="1468"/>
      <c r="BZ6" s="1467" t="s">
        <v>830</v>
      </c>
      <c r="CA6" s="1467" t="s">
        <v>653</v>
      </c>
      <c r="CB6" s="1467" t="s">
        <v>598</v>
      </c>
      <c r="CC6" s="1467" t="s">
        <v>601</v>
      </c>
      <c r="CD6" s="1468"/>
      <c r="CE6" s="1467" t="s">
        <v>830</v>
      </c>
      <c r="CF6" s="1467" t="s">
        <v>653</v>
      </c>
      <c r="CG6" s="1467" t="s">
        <v>598</v>
      </c>
      <c r="CH6" s="1467" t="s">
        <v>601</v>
      </c>
      <c r="CI6" s="1468"/>
      <c r="CJ6" s="1467" t="s">
        <v>830</v>
      </c>
      <c r="CK6" s="1467" t="s">
        <v>653</v>
      </c>
      <c r="CL6" s="1467" t="s">
        <v>598</v>
      </c>
      <c r="CM6" s="1467" t="s">
        <v>601</v>
      </c>
      <c r="CN6" s="1468"/>
      <c r="CO6" s="1467" t="s">
        <v>830</v>
      </c>
      <c r="CP6" s="1467" t="s">
        <v>653</v>
      </c>
      <c r="CQ6" s="1467" t="s">
        <v>598</v>
      </c>
      <c r="CR6" s="1467" t="s">
        <v>601</v>
      </c>
      <c r="CS6" s="1468"/>
      <c r="CT6" s="2795" t="s">
        <v>830</v>
      </c>
      <c r="CU6" s="2795" t="s">
        <v>653</v>
      </c>
      <c r="CV6" s="2557" t="s">
        <v>598</v>
      </c>
      <c r="CW6" s="1468" t="s">
        <v>601</v>
      </c>
      <c r="CX6" s="1469"/>
      <c r="CY6" s="1470" t="s">
        <v>601</v>
      </c>
      <c r="CZ6" s="1470" t="s">
        <v>601</v>
      </c>
      <c r="DA6" s="1470" t="s">
        <v>601</v>
      </c>
      <c r="DB6" s="1471" t="str">
        <f t="shared" ref="DB6:DG6" si="0">DA6</f>
        <v>Jan</v>
      </c>
      <c r="DC6" s="1471" t="str">
        <f t="shared" si="0"/>
        <v>Jan</v>
      </c>
      <c r="DD6" s="1472" t="str">
        <f t="shared" si="0"/>
        <v>Jan</v>
      </c>
      <c r="DE6" s="1472" t="str">
        <f t="shared" si="0"/>
        <v>Jan</v>
      </c>
      <c r="DF6" s="1472" t="str">
        <f t="shared" si="0"/>
        <v>Jan</v>
      </c>
      <c r="DG6" s="1472" t="str">
        <f t="shared" si="0"/>
        <v>Jan</v>
      </c>
      <c r="DH6" s="1473" t="str">
        <f>DG6</f>
        <v>Jan</v>
      </c>
      <c r="DI6" s="1471" t="s">
        <v>274</v>
      </c>
      <c r="DJ6" s="1471" t="s">
        <v>275</v>
      </c>
      <c r="DK6" s="1471" t="s">
        <v>276</v>
      </c>
      <c r="DL6" s="1471" t="s">
        <v>277</v>
      </c>
      <c r="DM6" s="1471" t="s">
        <v>278</v>
      </c>
      <c r="DN6" s="1471" t="s">
        <v>279</v>
      </c>
      <c r="DO6" s="1471" t="s">
        <v>280</v>
      </c>
      <c r="DP6" s="1471" t="s">
        <v>281</v>
      </c>
      <c r="DQ6" s="1471" t="s">
        <v>282</v>
      </c>
      <c r="DR6" s="1471" t="s">
        <v>283</v>
      </c>
      <c r="DS6" s="1471" t="s">
        <v>286</v>
      </c>
      <c r="DT6" s="1471" t="s">
        <v>287</v>
      </c>
      <c r="DU6" s="1470" t="s">
        <v>295</v>
      </c>
      <c r="DV6" s="1470" t="s">
        <v>1305</v>
      </c>
      <c r="DW6" s="1474" t="s">
        <v>1381</v>
      </c>
      <c r="DX6" s="1470"/>
    </row>
    <row r="7" spans="1:128" ht="6.75" customHeight="1">
      <c r="A7" s="1425"/>
      <c r="B7" s="1475"/>
      <c r="C7" s="1475"/>
      <c r="D7" s="1475"/>
      <c r="E7" s="1475"/>
      <c r="F7" s="1475"/>
      <c r="G7" s="1475"/>
      <c r="H7" s="1475"/>
      <c r="I7" s="1475"/>
      <c r="J7" s="1475"/>
      <c r="K7" s="1475"/>
      <c r="L7" s="1476"/>
      <c r="M7" s="1475"/>
      <c r="N7" s="1475"/>
      <c r="O7" s="1475"/>
      <c r="P7" s="1475"/>
      <c r="Q7" s="1476"/>
      <c r="R7" s="1475"/>
      <c r="S7" s="1475"/>
      <c r="T7" s="1475"/>
      <c r="U7" s="1475"/>
      <c r="V7" s="1476"/>
      <c r="W7" s="1475"/>
      <c r="X7" s="1475"/>
      <c r="Y7" s="1475"/>
      <c r="Z7" s="1475"/>
      <c r="AA7" s="1476"/>
      <c r="AB7" s="1475"/>
      <c r="AC7" s="1475"/>
      <c r="AD7" s="1475"/>
      <c r="AE7" s="1475"/>
      <c r="AF7" s="1476"/>
      <c r="AG7" s="1475"/>
      <c r="AH7" s="1475"/>
      <c r="AI7" s="1475"/>
      <c r="AJ7" s="1475"/>
      <c r="AK7" s="1476"/>
      <c r="AL7" s="1475"/>
      <c r="AM7" s="1475"/>
      <c r="AN7" s="1475"/>
      <c r="AO7" s="1475"/>
      <c r="AP7" s="1475"/>
      <c r="AQ7" s="1475"/>
      <c r="AR7" s="1475"/>
      <c r="AS7" s="1475"/>
      <c r="AT7" s="1475"/>
      <c r="AU7" s="1475"/>
      <c r="AV7" s="1475"/>
      <c r="AW7" s="1475"/>
      <c r="AX7" s="1475"/>
      <c r="AY7" s="1475"/>
      <c r="AZ7" s="1475"/>
      <c r="BA7" s="1475"/>
      <c r="BB7" s="1475"/>
      <c r="BC7" s="1475"/>
      <c r="BD7" s="1475"/>
      <c r="BE7" s="1475"/>
      <c r="BF7" s="1475"/>
      <c r="BG7" s="1475"/>
      <c r="BH7" s="1475"/>
      <c r="BI7" s="1475"/>
      <c r="BJ7" s="1475"/>
      <c r="BK7" s="1475"/>
      <c r="BL7" s="1475"/>
      <c r="BM7" s="1475"/>
      <c r="BN7" s="1475"/>
      <c r="BO7" s="1475"/>
      <c r="BP7" s="1477"/>
      <c r="BQ7" s="1477"/>
      <c r="BR7" s="1477"/>
      <c r="BS7" s="1477"/>
      <c r="BT7" s="1477"/>
      <c r="BU7" s="1477"/>
      <c r="BV7" s="1477"/>
      <c r="BW7" s="1477"/>
      <c r="BX7" s="1477"/>
      <c r="BY7" s="1477"/>
      <c r="BZ7" s="1477"/>
      <c r="CA7" s="1477"/>
      <c r="CB7" s="1477"/>
      <c r="CC7" s="1477"/>
      <c r="CD7" s="1477"/>
      <c r="CE7" s="1477"/>
      <c r="CF7" s="1477"/>
      <c r="CG7" s="1477"/>
      <c r="CH7" s="1477"/>
      <c r="CI7" s="1477"/>
      <c r="CJ7"/>
      <c r="CK7"/>
      <c r="CL7" s="1477"/>
      <c r="CM7" s="1477"/>
      <c r="CN7" s="1477"/>
      <c r="CO7"/>
      <c r="CP7"/>
      <c r="CQ7" s="1477"/>
      <c r="CR7" s="1477"/>
      <c r="CS7" s="1477"/>
      <c r="CT7" s="2702"/>
      <c r="CU7" s="2702"/>
      <c r="CV7" s="1477"/>
      <c r="CW7" s="1477"/>
      <c r="CX7" s="1478"/>
      <c r="CY7" s="1479"/>
      <c r="CZ7" s="1479"/>
      <c r="DA7" s="1479"/>
      <c r="DB7" s="1479"/>
      <c r="DC7" s="1479"/>
      <c r="DD7" s="1480"/>
      <c r="DE7" s="1480"/>
      <c r="DF7" s="1480"/>
      <c r="DG7" s="1480"/>
      <c r="DH7" s="1481"/>
      <c r="DI7" s="1479"/>
      <c r="DJ7" s="1479"/>
      <c r="DK7" s="1479"/>
      <c r="DL7" s="1479"/>
      <c r="DM7" s="1479"/>
      <c r="DN7" s="1479"/>
      <c r="DO7" s="1479"/>
      <c r="DP7" s="1479"/>
      <c r="DQ7" s="1479"/>
      <c r="DR7" s="1479"/>
      <c r="DS7" s="1479"/>
      <c r="DT7" s="1479"/>
      <c r="DU7" s="1479"/>
      <c r="DV7" s="1479"/>
      <c r="DW7" s="1481"/>
      <c r="DX7" s="1479"/>
    </row>
    <row r="8" spans="1:128">
      <c r="A8" s="1482" t="s">
        <v>177</v>
      </c>
      <c r="B8" s="1483"/>
      <c r="C8" s="1483">
        <f>'qtrP&amp;L'!$AP10</f>
        <v>1568.739</v>
      </c>
      <c r="D8" s="1483">
        <f>'qtrP&amp;L'!$AP11</f>
        <v>1750.606</v>
      </c>
      <c r="E8" s="1483">
        <f>'qtrP&amp;L'!$AP12</f>
        <v>1582.3869999999999</v>
      </c>
      <c r="F8" s="1483">
        <f>'qtrP&amp;L'!$AP13</f>
        <v>2718.904</v>
      </c>
      <c r="G8" s="1483"/>
      <c r="H8" s="1483">
        <f>'qtrP&amp;L'!$AT10</f>
        <v>1690.23</v>
      </c>
      <c r="I8" s="1483">
        <f>'qtrP&amp;L'!$AT11</f>
        <v>1842.4359999999999</v>
      </c>
      <c r="J8" s="1483">
        <f>'qtrP&amp;L'!$AT12</f>
        <v>1715.9559999999999</v>
      </c>
      <c r="K8" s="1483">
        <f>'qtrP&amp;L'!$AT13</f>
        <v>2901.1509999999998</v>
      </c>
      <c r="L8" s="1483"/>
      <c r="M8" s="1483">
        <f>'qtrP&amp;L'!$AX10</f>
        <v>1661.8579999999999</v>
      </c>
      <c r="N8" s="1483">
        <f>'qtrP&amp;L'!$AX11</f>
        <v>1767.2950000000001</v>
      </c>
      <c r="O8" s="1483">
        <f>'qtrP&amp;L'!$AX12</f>
        <v>1659.335</v>
      </c>
      <c r="P8" s="1483">
        <f>'qtrP&amp;L'!$AX13</f>
        <v>2838.9450000000002</v>
      </c>
      <c r="Q8" s="1483"/>
      <c r="R8" s="1483">
        <f>'qtrP&amp;L'!$BB10</f>
        <v>1798.7070000000001</v>
      </c>
      <c r="S8" s="1483">
        <f>'qtrP&amp;L'!$BB11</f>
        <v>1912.4159999999999</v>
      </c>
      <c r="T8" s="1483">
        <f>'qtrP&amp;L'!$BB12</f>
        <v>1767.5650000000001</v>
      </c>
      <c r="U8" s="1483">
        <f>'qtrP&amp;L'!$BB13</f>
        <v>2965.9659999999999</v>
      </c>
      <c r="V8" s="1483"/>
      <c r="W8" s="1483">
        <f>'qtrP&amp;L'!$BG10</f>
        <v>2.4234074810405515</v>
      </c>
      <c r="X8" s="1483">
        <f>'qtrP&amp;L'!$BG11</f>
        <v>5.3173577296989905</v>
      </c>
      <c r="Y8" s="1483">
        <f>'qtrP&amp;L'!$BG12</f>
        <v>4.481023328703615</v>
      </c>
      <c r="Z8" s="1483">
        <f>'qtrP&amp;L'!$BG13</f>
        <v>8.9330761040416604</v>
      </c>
      <c r="AA8" s="1483"/>
      <c r="AB8" s="1483">
        <f>+'qtrP&amp;L'!$BJ$10</f>
        <v>1978.203</v>
      </c>
      <c r="AC8" s="1483">
        <f>+'qtrP&amp;L'!$BJ$11</f>
        <v>2210.8319999999999</v>
      </c>
      <c r="AD8" s="1483">
        <f>+'qtrP&amp;L'!$BJ$12</f>
        <v>1890.855</v>
      </c>
      <c r="AE8" s="1483">
        <f>+'qtrP&amp;L'!$BJ$13</f>
        <v>3328.422</v>
      </c>
      <c r="AF8" s="1483"/>
      <c r="AG8" s="1484">
        <f>+'qtrP&amp;L'!$BR$10</f>
        <v>1974.932</v>
      </c>
      <c r="AH8" s="1484">
        <f>+'qtrP&amp;L'!$BR$11</f>
        <v>2290.9009999999998</v>
      </c>
      <c r="AI8" s="1484">
        <f>+'qtrP&amp;L'!$BR$12</f>
        <v>1891.5509999999999</v>
      </c>
      <c r="AJ8" s="1484">
        <f>+'qtrP&amp;L'!$BR$13</f>
        <v>3541.5840000000003</v>
      </c>
      <c r="AK8" s="1483"/>
      <c r="AL8" s="1483">
        <f>+'qtrP&amp;L'!$BV$10</f>
        <v>2077.0909999999999</v>
      </c>
      <c r="AM8" s="1483">
        <f>+'qtrP&amp;L'!$BV$11</f>
        <v>2453.8519999999999</v>
      </c>
      <c r="AN8" s="1483">
        <f>+'qtrP&amp;L'!$BV$12</f>
        <v>2114.9540000000002</v>
      </c>
      <c r="AO8" s="1483">
        <f>+'qtrP&amp;L'!$BV$13</f>
        <v>4024.7020000000002</v>
      </c>
      <c r="AP8" s="1483"/>
      <c r="AQ8" s="1483">
        <f>+'qtrP&amp;L'!$BZ$10</f>
        <v>2310.8429999999998</v>
      </c>
      <c r="AR8" s="1483">
        <f>+'qtrP&amp;L'!$BZ$11</f>
        <v>2624.0770000000002</v>
      </c>
      <c r="AS8" s="1483">
        <f>+'qtrP&amp;L'!$BZ$12</f>
        <v>1923.104</v>
      </c>
      <c r="AT8" s="1483">
        <f>+'qtrP&amp;L'!$BZ$13</f>
        <v>3228.3440000000001</v>
      </c>
      <c r="AU8" s="1483"/>
      <c r="AV8" s="1483">
        <f>'qtrP&amp;L'!CD10</f>
        <v>1925.0809999999999</v>
      </c>
      <c r="AW8" s="1483">
        <f>'qtrP&amp;L'!CD11</f>
        <v>2284.3139999999999</v>
      </c>
      <c r="AX8" s="1483">
        <f>'qtrP&amp;L'!CD12</f>
        <v>1842.184</v>
      </c>
      <c r="AY8" s="1483">
        <f>'qtrP&amp;L'!CD13</f>
        <v>2991.1019999999999</v>
      </c>
      <c r="AZ8" s="1483"/>
      <c r="BA8" s="1483">
        <f>'qtrP&amp;L'!CH10</f>
        <v>1725.2370000000001</v>
      </c>
      <c r="BB8" s="1483">
        <f>'qtrP&amp;L'!CH11</f>
        <v>2066.61</v>
      </c>
      <c r="BC8" s="1483">
        <f>'qtrP&amp;L'!CH12</f>
        <v>1777.289</v>
      </c>
      <c r="BD8" s="1483">
        <f>'qtrP&amp;L'!CH13</f>
        <v>3063.3519999999999</v>
      </c>
      <c r="BE8" s="1483"/>
      <c r="BF8" s="1483">
        <f>'qtrP&amp;L'!CL10</f>
        <v>1931.5360000000001</v>
      </c>
      <c r="BG8" s="1483">
        <f>'qtrP&amp;L'!CL11</f>
        <v>2242.5100000000002</v>
      </c>
      <c r="BH8" s="1483">
        <f>'qtrP&amp;L'!CL12</f>
        <v>1983.3720000000001</v>
      </c>
      <c r="BI8" s="1483">
        <f>'qtrP&amp;L'!CL13</f>
        <v>3455.86</v>
      </c>
      <c r="BJ8" s="1483"/>
      <c r="BK8" s="1483">
        <f>'qtrP&amp;L'!$CP10</f>
        <v>2217.0169999999998</v>
      </c>
      <c r="BL8" s="1483">
        <f>'qtrP&amp;L'!$CP11</f>
        <v>2458.1350000000002</v>
      </c>
      <c r="BM8" s="1483">
        <f>'qtrP&amp;L'!$CP12</f>
        <v>2173.42</v>
      </c>
      <c r="BN8" s="1483">
        <f>'qtrP&amp;L'!$CP13</f>
        <v>3515.4259999999999</v>
      </c>
      <c r="BO8" s="1483"/>
      <c r="BP8" s="1484">
        <f>'qtrP&amp;L'!$CT10</f>
        <v>2153.7840000000001</v>
      </c>
      <c r="BQ8" s="1484">
        <f>'qtrP&amp;L'!$CT11</f>
        <v>2399.1</v>
      </c>
      <c r="BR8" s="1484">
        <f>'qtrP&amp;L'!$CT12</f>
        <v>2050.1889999999999</v>
      </c>
      <c r="BS8" s="1484">
        <f>'qtrP&amp;L'!$CT13</f>
        <v>3855.5830000000001</v>
      </c>
      <c r="BT8" s="1484"/>
      <c r="BU8" s="1484">
        <f>'qtrP&amp;L'!CX10</f>
        <v>2267.9560000000001</v>
      </c>
      <c r="BV8" s="1484">
        <f>'qtrP&amp;L'!CX11</f>
        <v>2515.953</v>
      </c>
      <c r="BW8" s="1484">
        <f>'qtrP&amp;L'!CX12</f>
        <v>2171.087</v>
      </c>
      <c r="BX8" s="1484">
        <f>'qtrP&amp;L'!CX13</f>
        <v>3818.2020000000002</v>
      </c>
      <c r="BY8" s="1484"/>
      <c r="BZ8" s="1484">
        <f>'qtrP&amp;L'!DB10</f>
        <v>2391.23</v>
      </c>
      <c r="CA8" s="1484">
        <f>'qtrP&amp;L'!DB11</f>
        <v>2675.3110000000001</v>
      </c>
      <c r="CB8" s="1484">
        <f>'qtrP&amp;L'!DB12</f>
        <v>2318.8510000000001</v>
      </c>
      <c r="CC8" s="1484">
        <f>'qtrP&amp;L'!DB13</f>
        <v>4068.6849999999999</v>
      </c>
      <c r="CD8" s="1484"/>
      <c r="CE8" s="1484">
        <f>'qtrP&amp;L'!DF10</f>
        <v>2511.9389999999999</v>
      </c>
      <c r="CF8" s="1484">
        <f>'qtrP&amp;L'!DF11</f>
        <v>2765.2370000000001</v>
      </c>
      <c r="CG8" s="1484">
        <f>'qtrP&amp;L'!DF12</f>
        <v>2481.5749999999998</v>
      </c>
      <c r="CH8" s="1484">
        <f>'qtrP&amp;L'!DF13</f>
        <v>4395.0389999999998</v>
      </c>
      <c r="CI8" s="1484"/>
      <c r="CJ8" s="1484">
        <f>'qtrP&amp;L'!DJ10</f>
        <v>2613.8150000000001</v>
      </c>
      <c r="CK8" s="1484">
        <f>'qtrP&amp;L'!DJ11</f>
        <v>2889.7440000000001</v>
      </c>
      <c r="CL8" s="1484">
        <f>'qtrP&amp;L'!DJ12</f>
        <v>2580.9789999999998</v>
      </c>
      <c r="CM8" s="1484">
        <f>'qtrP&amp;L'!DJ13</f>
        <v>4489.4830000000002</v>
      </c>
      <c r="CN8" s="1484"/>
      <c r="CO8" s="1484">
        <f>'qtrP&amp;L'!DN10</f>
        <v>2436.5230000000001</v>
      </c>
      <c r="CP8" s="1484">
        <f>'qtrP&amp;L'!DN11</f>
        <v>2755.02</v>
      </c>
      <c r="CQ8" s="1484">
        <f>'qtrP&amp;L'!DN12</f>
        <v>2617.7840000000001</v>
      </c>
      <c r="CR8" s="1484">
        <f>'qtrP&amp;L'!DN13</f>
        <v>4823.1000000000004</v>
      </c>
      <c r="CS8" s="1484"/>
      <c r="CT8" s="1484">
        <f>'qtrP&amp;L'!DR10</f>
        <v>2604.2240028011561</v>
      </c>
      <c r="CU8" s="1484">
        <f>'qtrP&amp;L'!DR11</f>
        <v>2904.7077276037385</v>
      </c>
      <c r="CV8" s="1484">
        <f>'qtrP&amp;L'!DR12</f>
        <v>2769.886125786235</v>
      </c>
      <c r="CW8" s="1484">
        <f>'qtrP&amp;L'!DR13</f>
        <v>4867.3540057542778</v>
      </c>
      <c r="CX8" s="1485"/>
      <c r="CY8" s="1486">
        <f>'yrP&amp;L'!H7</f>
        <v>8644.7909999999993</v>
      </c>
      <c r="CZ8" s="1486">
        <f>'yrP&amp;L'!I7</f>
        <v>8366.7350000000006</v>
      </c>
      <c r="DA8" s="1486">
        <f>'yrP&amp;L'!J7</f>
        <v>8836.5810000000001</v>
      </c>
      <c r="DB8" s="1486">
        <f>'yrP&amp;L'!K7</f>
        <v>7620.6360000000004</v>
      </c>
      <c r="DC8" s="1486">
        <f>'yrP&amp;L'!L7</f>
        <v>8149.7730000000001</v>
      </c>
      <c r="DD8" s="1487">
        <f>'yrP&amp;L'!M7</f>
        <v>7927.4330000000009</v>
      </c>
      <c r="DE8" s="1487">
        <f>'yrP&amp;L'!N7</f>
        <v>8444.6540000000005</v>
      </c>
      <c r="DF8" s="1487">
        <f>'yrP&amp;L'!O7</f>
        <v>8934.0910000000003</v>
      </c>
      <c r="DG8" s="1487">
        <f>'yrP&amp;L'!P7</f>
        <v>9408.3119999999999</v>
      </c>
      <c r="DH8" s="1488">
        <f>'yrP&amp;L'!Q7</f>
        <v>9698.9680000000008</v>
      </c>
      <c r="DI8" s="1486">
        <f>'yrP&amp;L'!R7</f>
        <v>10670.598999999998</v>
      </c>
      <c r="DJ8" s="1486">
        <f>'yrP&amp;L'!S7</f>
        <v>10086.368</v>
      </c>
      <c r="DK8" s="1486">
        <f>'yrP&amp;L'!T7</f>
        <v>9042.6810000000005</v>
      </c>
      <c r="DL8" s="1486">
        <f>'yrP&amp;L'!U7</f>
        <v>8632.4880000000012</v>
      </c>
      <c r="DM8" s="1486">
        <f>'yrP&amp;L'!V7</f>
        <v>9613.2780000000002</v>
      </c>
      <c r="DN8" s="1486">
        <f>'yrP&amp;L'!W7</f>
        <v>10363.998</v>
      </c>
      <c r="DO8" s="1486">
        <f>'yrP&amp;L'!X7</f>
        <v>10458.652000000002</v>
      </c>
      <c r="DP8" s="1486">
        <f>'yrP&amp;L'!Y7</f>
        <v>10773.210999999998</v>
      </c>
      <c r="DQ8" s="1486">
        <f>'yrP&amp;L'!Z7</f>
        <v>11454.060000000001</v>
      </c>
      <c r="DR8" s="1486">
        <f>'yrP&amp;L'!AA7</f>
        <v>12153.786</v>
      </c>
      <c r="DS8" s="1486">
        <f>'yrP&amp;L'!AB7</f>
        <v>12574.142000000002</v>
      </c>
      <c r="DT8" s="1486">
        <f>'yrP&amp;L'!AC7</f>
        <v>12632.304</v>
      </c>
      <c r="DU8" s="1486">
        <f>'yrP&amp;L'!AD7</f>
        <v>13146.171861945406</v>
      </c>
      <c r="DV8" s="1486">
        <f>'yrP&amp;L'!AE7</f>
        <v>13755.417944732873</v>
      </c>
      <c r="DW8" s="1488">
        <f>'yrP&amp;L'!AF7</f>
        <v>14404.356702864929</v>
      </c>
      <c r="DX8" s="1486"/>
    </row>
    <row r="9" spans="1:128" ht="5.25" customHeight="1">
      <c r="A9" s="1425"/>
      <c r="B9" s="1489"/>
      <c r="C9" s="1483"/>
      <c r="D9" s="1483"/>
      <c r="E9" s="1483"/>
      <c r="F9" s="1483"/>
      <c r="G9" s="1489"/>
      <c r="H9" s="1483"/>
      <c r="I9" s="1483"/>
      <c r="J9" s="1483"/>
      <c r="K9" s="1483"/>
      <c r="L9" s="1489"/>
      <c r="M9" s="1483"/>
      <c r="N9" s="1483"/>
      <c r="O9" s="1483"/>
      <c r="P9" s="1483"/>
      <c r="Q9" s="1489"/>
      <c r="R9" s="1483"/>
      <c r="S9" s="1483"/>
      <c r="T9" s="1483"/>
      <c r="U9" s="1483"/>
      <c r="V9" s="1489"/>
      <c r="W9" s="1483"/>
      <c r="X9" s="1483"/>
      <c r="Y9" s="1483"/>
      <c r="Z9" s="1483"/>
      <c r="AA9" s="1489"/>
      <c r="AB9" s="1483"/>
      <c r="AC9" s="1483"/>
      <c r="AD9" s="1483"/>
      <c r="AE9" s="1483"/>
      <c r="AF9" s="1489"/>
      <c r="AG9" s="1484"/>
      <c r="AH9" s="1484"/>
      <c r="AI9" s="1484"/>
      <c r="AJ9" s="1484"/>
      <c r="AK9" s="1489"/>
      <c r="AL9" s="1483"/>
      <c r="AM9" s="1483"/>
      <c r="AN9" s="1483"/>
      <c r="AO9" s="1483"/>
      <c r="AP9" s="1483"/>
      <c r="AQ9" s="1483"/>
      <c r="AR9" s="1483"/>
      <c r="AS9" s="1483"/>
      <c r="AT9" s="1483"/>
      <c r="AU9" s="1483"/>
      <c r="AV9" s="1483"/>
      <c r="AW9" s="1483"/>
      <c r="AX9" s="1483"/>
      <c r="AY9" s="1483"/>
      <c r="AZ9" s="1483"/>
      <c r="BA9" s="1483"/>
      <c r="BB9" s="1483"/>
      <c r="BC9" s="1483"/>
      <c r="BD9" s="1483"/>
      <c r="BE9" s="1483"/>
      <c r="BF9" s="1483"/>
      <c r="BG9" s="1483"/>
      <c r="BH9" s="1483"/>
      <c r="BI9" s="1483"/>
      <c r="BJ9" s="1483"/>
      <c r="BK9" s="1483"/>
      <c r="BL9" s="1483"/>
      <c r="BM9" s="1483"/>
      <c r="BN9" s="1483"/>
      <c r="BO9" s="1483"/>
      <c r="BP9" s="1484"/>
      <c r="BQ9" s="1484"/>
      <c r="BR9" s="1484"/>
      <c r="BS9" s="1484"/>
      <c r="BT9" s="1484"/>
      <c r="BU9" s="1484"/>
      <c r="BV9" s="1484"/>
      <c r="BW9" s="1484"/>
      <c r="BX9" s="1484"/>
      <c r="BY9" s="1484"/>
      <c r="BZ9" s="1484"/>
      <c r="CA9" s="1484"/>
      <c r="CB9" s="1484"/>
      <c r="CC9" s="1484"/>
      <c r="CD9" s="1484"/>
      <c r="CE9" s="1484"/>
      <c r="CF9" s="1484"/>
      <c r="CG9" s="1484"/>
      <c r="CH9" s="1484"/>
      <c r="CI9" s="1484"/>
      <c r="CJ9" s="1484"/>
      <c r="CK9" s="1484"/>
      <c r="CL9" s="1484"/>
      <c r="CM9" s="1484"/>
      <c r="CN9" s="1484"/>
      <c r="CO9" s="1484"/>
      <c r="CP9" s="1484"/>
      <c r="CQ9" s="1484"/>
      <c r="CR9" s="1484"/>
      <c r="CS9" s="1484"/>
      <c r="CT9" s="1484"/>
      <c r="CU9" s="1484"/>
      <c r="CV9" s="1484"/>
      <c r="CW9" s="1484"/>
      <c r="CX9" s="1485"/>
      <c r="CY9" s="1486"/>
      <c r="CZ9" s="1486"/>
      <c r="DA9" s="1486"/>
      <c r="DB9" s="1486"/>
      <c r="DC9" s="1486"/>
      <c r="DD9" s="1487"/>
      <c r="DE9" s="1487"/>
      <c r="DF9" s="1487"/>
      <c r="DG9" s="1487"/>
      <c r="DH9" s="1488"/>
      <c r="DI9" s="1486"/>
      <c r="DJ9" s="1486"/>
      <c r="DK9" s="1486"/>
      <c r="DL9" s="1486"/>
      <c r="DM9" s="1486"/>
      <c r="DN9" s="1486"/>
      <c r="DO9" s="1486"/>
      <c r="DP9" s="1486"/>
      <c r="DQ9" s="1486"/>
      <c r="DR9" s="1486"/>
      <c r="DS9" s="1486"/>
      <c r="DT9" s="1486"/>
      <c r="DU9" s="1486"/>
      <c r="DV9" s="1486"/>
      <c r="DW9" s="1488"/>
      <c r="DX9" s="1486"/>
    </row>
    <row r="10" spans="1:128">
      <c r="A10" s="1482" t="s">
        <v>49</v>
      </c>
      <c r="B10" s="1483"/>
      <c r="C10" s="1483">
        <f>'qtrP&amp;L'!$AP20</f>
        <v>1071.5999999999999</v>
      </c>
      <c r="D10" s="1483">
        <f>'qtrP&amp;L'!$AP21</f>
        <v>1179.9100000000001</v>
      </c>
      <c r="E10" s="1483">
        <f>'qtrP&amp;L'!$AP22</f>
        <v>1051.124</v>
      </c>
      <c r="F10" s="1483">
        <f>'qtrP&amp;L'!$AP23</f>
        <v>1606.7429999999999</v>
      </c>
      <c r="G10" s="1483"/>
      <c r="H10" s="1483">
        <f>'qtrP&amp;L'!$AT20</f>
        <v>1103.174</v>
      </c>
      <c r="I10" s="1483">
        <f>'qtrP&amp;L'!$AT21</f>
        <v>1201.5219999999999</v>
      </c>
      <c r="J10" s="1483">
        <f>'qtrP&amp;L'!$AT22</f>
        <v>1111.193</v>
      </c>
      <c r="K10" s="1483">
        <f>'qtrP&amp;L'!$AT23</f>
        <v>1797.346</v>
      </c>
      <c r="L10" s="1483"/>
      <c r="M10" s="1483">
        <f>'qtrP&amp;L'!$AX20</f>
        <v>1122.444</v>
      </c>
      <c r="N10" s="1483">
        <f>'qtrP&amp;L'!$AX21</f>
        <v>1176.498</v>
      </c>
      <c r="O10" s="1483">
        <f>'qtrP&amp;L'!$AX22</f>
        <v>1154.7059999999999</v>
      </c>
      <c r="P10" s="1483">
        <f>'qtrP&amp;L'!$AX23</f>
        <v>1612.259</v>
      </c>
      <c r="Q10" s="1483"/>
      <c r="R10" s="1483">
        <f>'qtrP&amp;L'!$BB20</f>
        <v>1177.046</v>
      </c>
      <c r="S10" s="1483">
        <f>'qtrP&amp;L'!$BB21</f>
        <v>1239.4480000000001</v>
      </c>
      <c r="T10" s="1483">
        <f>'qtrP&amp;L'!$BB22</f>
        <v>1203.4090000000001</v>
      </c>
      <c r="U10" s="1483">
        <f>'qtrP&amp;L'!$BB23</f>
        <v>1731.232</v>
      </c>
      <c r="V10" s="1483"/>
      <c r="W10" s="1483">
        <f>'qtrP&amp;L'!$BG20</f>
        <v>33.159528566783749</v>
      </c>
      <c r="X10" s="1483">
        <f>'qtrP&amp;L'!$BG21</f>
        <v>34.898659752763756</v>
      </c>
      <c r="Y10" s="1483">
        <f>'qtrP&amp;L'!$BG22</f>
        <v>32.396291904243633</v>
      </c>
      <c r="Z10" s="1483">
        <f>'qtrP&amp;L'!$BG23</f>
        <v>41.780540391306751</v>
      </c>
      <c r="AA10" s="1483"/>
      <c r="AB10" s="1483">
        <f>+'qtrP&amp;L'!$BJ$20</f>
        <v>1301.146</v>
      </c>
      <c r="AC10" s="1483">
        <f>+'qtrP&amp;L'!$BJ$21</f>
        <v>1409.682</v>
      </c>
      <c r="AD10" s="1483">
        <f>+'qtrP&amp;L'!$BJ$22</f>
        <v>1276.181</v>
      </c>
      <c r="AE10" s="1483">
        <f>+'qtrP&amp;L'!$BJ$23</f>
        <v>2027.229</v>
      </c>
      <c r="AF10" s="1483"/>
      <c r="AG10" s="1484">
        <f>+'qtrP&amp;L'!$BR$20</f>
        <v>1290.279</v>
      </c>
      <c r="AH10" s="1484">
        <f>+'qtrP&amp;L'!$BR$21</f>
        <v>1546.2280000000001</v>
      </c>
      <c r="AI10" s="1484">
        <f>+'qtrP&amp;L'!$BR$22</f>
        <v>1284.8710000000001</v>
      </c>
      <c r="AJ10" s="1484">
        <f>+'qtrP&amp;L'!$BR$23</f>
        <v>2097.8580000000002</v>
      </c>
      <c r="AK10" s="1483"/>
      <c r="AL10" s="1483">
        <f>+'qtrP&amp;L'!$BV$20</f>
        <v>1288.316</v>
      </c>
      <c r="AM10" s="1483">
        <f>+'qtrP&amp;L'!$BV$21</f>
        <v>1600.7170000000001</v>
      </c>
      <c r="AN10" s="1483">
        <f>+'qtrP&amp;L'!$BV$22</f>
        <v>1355.597</v>
      </c>
      <c r="AO10" s="1483">
        <f>+'qtrP&amp;L'!$BV$23</f>
        <v>2412.4570000000003</v>
      </c>
      <c r="AP10" s="1483"/>
      <c r="AQ10" s="1483">
        <f>+'qtrP&amp;L'!$BZ$20</f>
        <v>1516.085</v>
      </c>
      <c r="AR10" s="1483">
        <f>+'qtrP&amp;L'!$BZ$21</f>
        <v>1811.056</v>
      </c>
      <c r="AS10" s="1483">
        <f>+'qtrP&amp;L'!$BZ$22</f>
        <v>1316.2270000000001</v>
      </c>
      <c r="AT10" s="1483">
        <f>+'qtrP&amp;L'!$BZ$23</f>
        <v>1979.4970000000001</v>
      </c>
      <c r="AU10" s="1483"/>
      <c r="AV10" s="1483">
        <f>'qtrP&amp;L'!CD20</f>
        <v>1283.963</v>
      </c>
      <c r="AW10" s="1483">
        <f>'qtrP&amp;L'!CD21</f>
        <v>1523.9390000000001</v>
      </c>
      <c r="AX10" s="1483">
        <f>'qtrP&amp;L'!CD22</f>
        <v>1261.9390000000001</v>
      </c>
      <c r="AY10" s="1483">
        <f>'qtrP&amp;L'!CD23</f>
        <v>1966.442</v>
      </c>
      <c r="AZ10" s="1483"/>
      <c r="BA10" s="1483">
        <f>'qtrP&amp;L'!CH20</f>
        <v>1176.8810000000001</v>
      </c>
      <c r="BB10" s="1483">
        <f>'qtrP&amp;L'!CH21</f>
        <v>1398.6010000000001</v>
      </c>
      <c r="BC10" s="1483">
        <f>'qtrP&amp;L'!CH22</f>
        <v>1214.5409999999999</v>
      </c>
      <c r="BD10" s="1483">
        <f>'qtrP&amp;L'!CH23</f>
        <v>1814.375</v>
      </c>
      <c r="BE10" s="1483"/>
      <c r="BF10" s="1483">
        <f>'qtrP&amp;L'!$CL20</f>
        <v>1237.278</v>
      </c>
      <c r="BG10" s="1483">
        <f>'qtrP&amp;L'!CL21</f>
        <v>1465.0229999999999</v>
      </c>
      <c r="BH10" s="1483">
        <f>'qtrP&amp;L'!CL22</f>
        <v>1269.0809999999999</v>
      </c>
      <c r="BI10" s="1483">
        <f>'qtrP&amp;L'!CL23</f>
        <v>2011.107</v>
      </c>
      <c r="BJ10" s="1483"/>
      <c r="BK10" s="1483">
        <f>'qtrP&amp;L'!$CP20</f>
        <v>1375.289</v>
      </c>
      <c r="BL10" s="1483">
        <f>'qtrP&amp;L'!$CP21</f>
        <v>1556.037</v>
      </c>
      <c r="BM10" s="1483">
        <f>'qtrP&amp;L'!$CP22</f>
        <v>1388.143</v>
      </c>
      <c r="BN10" s="1483">
        <f>'qtrP&amp;L'!$CP23</f>
        <v>1970.7840000000001</v>
      </c>
      <c r="BO10" s="1483"/>
      <c r="BP10" s="1484">
        <f>'qtrP&amp;L'!$CT20</f>
        <v>1251.8209999999999</v>
      </c>
      <c r="BQ10" s="1484">
        <f>'qtrP&amp;L'!$CT21</f>
        <v>1453.8210000000001</v>
      </c>
      <c r="BR10" s="1484">
        <f>'qtrP&amp;L'!$CT22</f>
        <v>1214.6260000000002</v>
      </c>
      <c r="BS10" s="1484">
        <f>'qtrP&amp;L'!$CT23</f>
        <v>2112.4169999999999</v>
      </c>
      <c r="BT10" s="1484"/>
      <c r="BU10" s="1484">
        <f>'qtrP&amp;L'!CX20</f>
        <v>1326.5450000000001</v>
      </c>
      <c r="BV10" s="1484">
        <f>'qtrP&amp;L'!CX21</f>
        <v>1527.328</v>
      </c>
      <c r="BW10" s="1484">
        <f>'qtrP&amp;L'!CX22</f>
        <v>1314.3779999999999</v>
      </c>
      <c r="BX10" s="1484">
        <f>'qtrP&amp;L'!CX23</f>
        <v>2175.8969999999999</v>
      </c>
      <c r="BY10" s="1484"/>
      <c r="BZ10" s="1484">
        <f>'qtrP&amp;L'!DB20</f>
        <v>1409.1379999999999</v>
      </c>
      <c r="CA10" s="1484">
        <f>'qtrP&amp;L'!DB21</f>
        <v>1630.951</v>
      </c>
      <c r="CB10" s="1484">
        <f>'qtrP&amp;L'!DB22</f>
        <v>1372.424</v>
      </c>
      <c r="CC10" s="1484">
        <f>'qtrP&amp;L'!DB23</f>
        <v>2233.9140000000002</v>
      </c>
      <c r="CD10" s="1484"/>
      <c r="CE10" s="1484">
        <f>'qtrP&amp;L'!DF20</f>
        <v>1455.98</v>
      </c>
      <c r="CF10" s="1484">
        <f>'qtrP&amp;L'!DF21</f>
        <v>1651.3910000000001</v>
      </c>
      <c r="CG10" s="1484">
        <f>'qtrP&amp;L'!DF22</f>
        <v>1450.3009999999999</v>
      </c>
      <c r="CH10" s="1484">
        <f>'qtrP&amp;L'!DF23</f>
        <v>2392.6260000000002</v>
      </c>
      <c r="CI10" s="1484"/>
      <c r="CJ10" s="1484">
        <f>'qtrP&amp;L'!DJ20</f>
        <v>1559.758</v>
      </c>
      <c r="CK10" s="1484">
        <f>'qtrP&amp;L'!DJ21</f>
        <v>1776.84</v>
      </c>
      <c r="CL10" s="1484">
        <f>'qtrP&amp;L'!DJ22</f>
        <v>1555.693</v>
      </c>
      <c r="CM10" s="1484">
        <f>'qtrP&amp;L'!DJ23</f>
        <v>2545.46</v>
      </c>
      <c r="CN10" s="1484"/>
      <c r="CO10" s="1484">
        <f>'qtrP&amp;L'!DN20</f>
        <v>1533.673</v>
      </c>
      <c r="CP10" s="1484">
        <f>'qtrP&amp;L'!DN21</f>
        <v>1727.1289999999999</v>
      </c>
      <c r="CQ10" s="1484">
        <f>'qtrP&amp;L'!DN22</f>
        <v>1629.4369999999999</v>
      </c>
      <c r="CR10" s="1484">
        <f>'qtrP&amp;L'!DN23</f>
        <v>2782.7689999999998</v>
      </c>
      <c r="CS10" s="1484"/>
      <c r="CT10" s="1484">
        <f>'qtrP&amp;L'!DR20</f>
        <v>1673.213921799743</v>
      </c>
      <c r="CU10" s="1484">
        <f>'qtrP&amp;L'!DR21</f>
        <v>1821.251745207544</v>
      </c>
      <c r="CV10" s="1484">
        <f>'qtrP&amp;L'!DR22</f>
        <v>1715.3904776994152</v>
      </c>
      <c r="CW10" s="1484">
        <f>'qtrP&amp;L'!DR23</f>
        <v>2784.1264912914471</v>
      </c>
      <c r="CX10" s="1485"/>
      <c r="CY10" s="1486">
        <f>'yrP&amp;L'!H11</f>
        <v>5858.5689999999995</v>
      </c>
      <c r="CZ10" s="1486">
        <f>'yrP&amp;L'!I11</f>
        <v>5590.1439999999993</v>
      </c>
      <c r="DA10" s="1486">
        <f>'yrP&amp;L'!J11</f>
        <v>5787.6029999999992</v>
      </c>
      <c r="DB10" s="1486">
        <f>'yrP&amp;L'!K11</f>
        <v>4636.9340000000002</v>
      </c>
      <c r="DC10" s="1486">
        <f>'yrP&amp;L'!L11</f>
        <v>4942.2350000000006</v>
      </c>
      <c r="DD10" s="1487">
        <f>'yrP&amp;L'!M11+DD11</f>
        <v>5065.9070000000002</v>
      </c>
      <c r="DE10" s="1487">
        <f>'yrP&amp;L'!N11+DE11</f>
        <v>5351.1350000000002</v>
      </c>
      <c r="DF10" s="1487">
        <f>'yrP&amp;L'!O11+DF11</f>
        <v>5672.1180000000004</v>
      </c>
      <c r="DG10" s="1487">
        <f>'yrP&amp;L'!P11+DG11</f>
        <v>6014.2380000000003</v>
      </c>
      <c r="DH10" s="1488">
        <f>'yrP&amp;L'!Q11+DH11</f>
        <v>6219.2360000000008</v>
      </c>
      <c r="DI10" s="1486">
        <f>'yrP&amp;L'!R11+DI11</f>
        <v>6657.0870000000004</v>
      </c>
      <c r="DJ10" s="1486">
        <f>'yrP&amp;L'!S11+DJ11</f>
        <v>6622.8650000000007</v>
      </c>
      <c r="DK10" s="1486">
        <f>'yrP&amp;L'!T11+DK11</f>
        <v>6036.2830000000004</v>
      </c>
      <c r="DL10" s="1486">
        <f>'yrP&amp;L'!U11+DL11</f>
        <v>5604.3980000000001</v>
      </c>
      <c r="DM10" s="1486">
        <f>'yrP&amp;L'!V11+DM11</f>
        <v>5982.4889999999996</v>
      </c>
      <c r="DN10" s="1486">
        <f>'yrP&amp;L'!W11+DN11</f>
        <v>6290.2530000000006</v>
      </c>
      <c r="DO10" s="1486">
        <f>'yrP&amp;L'!X11+DO11</f>
        <v>6032.6849999999995</v>
      </c>
      <c r="DP10" s="1486">
        <f>'yrP&amp;L'!Y11+DP11</f>
        <v>6344.1480000000001</v>
      </c>
      <c r="DQ10" s="1486">
        <f>'yrP&amp;L'!Z11+DQ11</f>
        <v>6646.4269999999997</v>
      </c>
      <c r="DR10" s="1486">
        <f>'yrP&amp;L'!AA11+DR11</f>
        <v>6950.2980000000007</v>
      </c>
      <c r="DS10" s="1486">
        <f>'yrP&amp;L'!AB11+DS11</f>
        <v>7437.7510000000002</v>
      </c>
      <c r="DT10" s="1486">
        <f>'yrP&amp;L'!AC11+DT11</f>
        <v>7673.0079999999998</v>
      </c>
      <c r="DU10" s="1486">
        <f>'yrP&amp;L'!AD11+DU11</f>
        <v>7993.9826359981489</v>
      </c>
      <c r="DV10" s="1486">
        <f>'yrP&amp;L'!AE11+DV11</f>
        <v>8327.2872998172497</v>
      </c>
      <c r="DW10" s="1488">
        <f>'yrP&amp;L'!AF11+DW11</f>
        <v>8706.5884261769115</v>
      </c>
      <c r="DX10" s="1486"/>
    </row>
    <row r="11" spans="1:128">
      <c r="A11" s="1490" t="s">
        <v>50</v>
      </c>
      <c r="B11" s="1490"/>
      <c r="C11" s="1490"/>
      <c r="D11" s="1490"/>
      <c r="E11" s="1490"/>
      <c r="F11" s="1490"/>
      <c r="G11" s="1490"/>
      <c r="H11" s="1490"/>
      <c r="I11" s="1490"/>
      <c r="J11" s="1490"/>
      <c r="K11" s="1490"/>
      <c r="L11" s="1490"/>
      <c r="M11" s="1490">
        <f>+$DD$11/4</f>
        <v>69.25</v>
      </c>
      <c r="N11" s="1490">
        <f>+$DD$11/4</f>
        <v>69.25</v>
      </c>
      <c r="O11" s="1490">
        <f>+$DD$11/4</f>
        <v>69.25</v>
      </c>
      <c r="P11" s="1490">
        <f>+$DD$11/4</f>
        <v>69.25</v>
      </c>
      <c r="Q11" s="1490"/>
      <c r="R11" s="1490">
        <f>+$DE$11/4</f>
        <v>69</v>
      </c>
      <c r="S11" s="1490">
        <f>+$DE$11/4</f>
        <v>69</v>
      </c>
      <c r="T11" s="1490">
        <f>+$DE$11/4</f>
        <v>69</v>
      </c>
      <c r="U11" s="1490">
        <f>+$DE$11/4</f>
        <v>69</v>
      </c>
      <c r="V11" s="1490"/>
      <c r="W11" s="1490">
        <f>'qtrP&amp;L'!BG198</f>
        <v>0.5927946031290432</v>
      </c>
      <c r="X11" s="1490">
        <f>'qtrP&amp;L'!BG199</f>
        <v>4.9579284358443942</v>
      </c>
      <c r="Y11" s="1490">
        <f>'qtrP&amp;L'!BG200</f>
        <v>-2.3030058619348592</v>
      </c>
      <c r="Z11" s="1490">
        <f>'qtrP&amp;L'!BG201</f>
        <v>14.608249754920454</v>
      </c>
      <c r="AA11" s="1490"/>
      <c r="AB11" s="1490">
        <f>'qtrP&amp;L'!BJ198</f>
        <v>75.575000000000003</v>
      </c>
      <c r="AC11" s="1490">
        <f>'qtrP&amp;L'!BJ199</f>
        <v>77.11</v>
      </c>
      <c r="AD11" s="1490">
        <f>'qtrP&amp;L'!BJ200</f>
        <v>74.531999999999996</v>
      </c>
      <c r="AE11" s="1490">
        <f>'qtrP&amp;L'!BJ201</f>
        <v>106.256</v>
      </c>
      <c r="AF11" s="1490"/>
      <c r="AG11" s="1490">
        <f>'qtrP&amp;L'!BR198</f>
        <v>77.753</v>
      </c>
      <c r="AH11" s="1490">
        <f>'qtrP&amp;L'!BR199</f>
        <v>72.980999999999995</v>
      </c>
      <c r="AI11" s="1490">
        <f>'qtrP&amp;L'!BR200</f>
        <v>70.141000000000005</v>
      </c>
      <c r="AJ11" s="1490">
        <f>'qtrP&amp;L'!BR201</f>
        <v>77.893000000000001</v>
      </c>
      <c r="AK11" s="1490"/>
      <c r="AL11" s="1490">
        <f>'qtrP&amp;L'!BV198</f>
        <v>74.013999999999996</v>
      </c>
      <c r="AM11" s="1490">
        <f>'qtrP&amp;L'!BV199</f>
        <v>77.876000000000005</v>
      </c>
      <c r="AN11" s="1490">
        <f>'qtrP&amp;L'!BV200</f>
        <v>78.23</v>
      </c>
      <c r="AO11" s="1490">
        <f>'qtrP&amp;L'!BV201</f>
        <v>85.644999999999996</v>
      </c>
      <c r="AP11" s="1490"/>
      <c r="AQ11" s="1490">
        <f>'qtrP&amp;L'!BZ198</f>
        <v>94.302000000000007</v>
      </c>
      <c r="AR11" s="1490">
        <f>'qtrP&amp;L'!BZ199</f>
        <v>88.762</v>
      </c>
      <c r="AS11" s="1490">
        <f>'qtrP&amp;L'!BZ200</f>
        <v>81.138999999999996</v>
      </c>
      <c r="AT11" s="1490">
        <f>'qtrP&amp;L'!BZ201</f>
        <v>87.837999999999994</v>
      </c>
      <c r="AU11" s="1490"/>
      <c r="AV11" s="1490">
        <f>'qtrP&amp;L'!CD198</f>
        <v>83.87</v>
      </c>
      <c r="AW11" s="1490">
        <f>'qtrP&amp;L'!CD199</f>
        <v>83.655000000000001</v>
      </c>
      <c r="AX11" s="1490">
        <f>'qtrP&amp;L'!CD200</f>
        <v>82.347999999999999</v>
      </c>
      <c r="AY11" s="1490">
        <f>'qtrP&amp;L'!CD201</f>
        <v>92.962999999999994</v>
      </c>
      <c r="AZ11" s="1490"/>
      <c r="BA11" s="1490">
        <f>'qtrP&amp;L'!CH198</f>
        <v>85.233999999999995</v>
      </c>
      <c r="BB11" s="1490">
        <f>'qtrP&amp;L'!CH199</f>
        <v>88.67</v>
      </c>
      <c r="BC11" s="1490">
        <f>'qtrP&amp;L'!CH200</f>
        <v>88.238</v>
      </c>
      <c r="BD11" s="1490">
        <f>'qtrP&amp;L'!CH201</f>
        <v>94.840999999999994</v>
      </c>
      <c r="BE11" s="1490"/>
      <c r="BF11" s="1490">
        <f>'qtrP&amp;L'!$CL198</f>
        <v>88.793999999999997</v>
      </c>
      <c r="BG11" s="1490">
        <f>'qtrP&amp;L'!CL199</f>
        <v>88.605999999999995</v>
      </c>
      <c r="BH11" s="1490">
        <f>'qtrP&amp;L'!CL200</f>
        <v>88.525999999999996</v>
      </c>
      <c r="BI11" s="1490">
        <f>'qtrP&amp;L'!CL201</f>
        <v>100.967</v>
      </c>
      <c r="BJ11" s="1490"/>
      <c r="BK11" s="1490">
        <f>'qtrP&amp;L'!$CP198</f>
        <v>90.075999999999993</v>
      </c>
      <c r="BL11" s="1490">
        <f>'qtrP&amp;L'!$CP199</f>
        <v>89.995000000000005</v>
      </c>
      <c r="BM11" s="1490">
        <f>'qtrP&amp;L'!$CP200</f>
        <v>84.262</v>
      </c>
      <c r="BN11" s="1490">
        <f>'qtrP&amp;L'!$CP201</f>
        <v>91.667000000000002</v>
      </c>
      <c r="BO11" s="1490"/>
      <c r="BP11" s="1490">
        <f>'qtrP&amp;L'!$CT198</f>
        <v>85.885999999999996</v>
      </c>
      <c r="BQ11" s="1490">
        <f>'qtrP&amp;L'!$CT199</f>
        <v>87.65</v>
      </c>
      <c r="BR11" s="1490">
        <f>'qtrP&amp;L'!$CT200</f>
        <v>88.150999999999996</v>
      </c>
      <c r="BS11" s="1490">
        <f>'qtrP&amp;L'!$CT201</f>
        <v>91.878</v>
      </c>
      <c r="BT11" s="1490"/>
      <c r="BU11" s="1490">
        <f>'qtrP&amp;L'!CX198</f>
        <v>90.808000000000007</v>
      </c>
      <c r="BV11" s="1490">
        <f>'qtrP&amp;L'!CX199</f>
        <v>92.536000000000001</v>
      </c>
      <c r="BW11" s="1490">
        <f>'qtrP&amp;L'!CX200</f>
        <v>87.119</v>
      </c>
      <c r="BX11" s="1490">
        <f>'qtrP&amp;L'!CX201</f>
        <v>97.504999999999995</v>
      </c>
      <c r="BY11" s="1490"/>
      <c r="BZ11" s="1490">
        <f>'qtrP&amp;L'!DB198</f>
        <v>100.065</v>
      </c>
      <c r="CA11" s="1490">
        <f>'qtrP&amp;L'!DB199</f>
        <v>98.768000000000001</v>
      </c>
      <c r="CB11" s="1490">
        <f>'qtrP&amp;L'!DB200</f>
        <v>97.718999999999994</v>
      </c>
      <c r="CC11" s="1490">
        <f>'qtrP&amp;L'!DB201</f>
        <v>101.256</v>
      </c>
      <c r="CD11" s="1490"/>
      <c r="CE11" s="1490">
        <f>'qtrP&amp;L'!DF198</f>
        <v>100.51</v>
      </c>
      <c r="CF11" s="1490">
        <f>'qtrP&amp;L'!DF199</f>
        <v>103.208</v>
      </c>
      <c r="CG11" s="1490">
        <f>'qtrP&amp;L'!DF200</f>
        <v>100.684</v>
      </c>
      <c r="CH11" s="1490">
        <f>'qtrP&amp;L'!DF201</f>
        <v>110.57</v>
      </c>
      <c r="CI11" s="1490"/>
      <c r="CJ11" s="1490">
        <f>'qtrP&amp;L'!DJ198</f>
        <v>109.663</v>
      </c>
      <c r="CK11" s="1490">
        <f>'qtrP&amp;L'!DJ199</f>
        <v>112.85299999999999</v>
      </c>
      <c r="CL11" s="1490">
        <f>'qtrP&amp;L'!DJ200</f>
        <v>121.096</v>
      </c>
      <c r="CM11" s="1490">
        <f>'qtrP&amp;L'!DJ201</f>
        <v>127.91800000000001</v>
      </c>
      <c r="CN11" s="1490"/>
      <c r="CO11" s="1490">
        <f>'qtrP&amp;L'!DN198</f>
        <v>129.655</v>
      </c>
      <c r="CP11" s="1490">
        <f>'qtrP&amp;L'!DN199</f>
        <v>128.566</v>
      </c>
      <c r="CQ11" s="1490">
        <f>'qtrP&amp;L'!DN200</f>
        <v>132.49700000000001</v>
      </c>
      <c r="CR11" s="1490">
        <f>'qtrP&amp;L'!DN201</f>
        <v>133.96299999999999</v>
      </c>
      <c r="CS11" s="1490"/>
      <c r="CT11" s="1490">
        <f>'qtrP&amp;L'!DR198</f>
        <v>140</v>
      </c>
      <c r="CU11" s="1490">
        <f>'qtrP&amp;L'!DR199</f>
        <v>140</v>
      </c>
      <c r="CV11" s="1490">
        <f>'qtrP&amp;L'!DR200</f>
        <v>140</v>
      </c>
      <c r="CW11" s="1490">
        <f>'qtrP&amp;L'!DR201</f>
        <v>140</v>
      </c>
      <c r="CX11" s="1491"/>
      <c r="CY11" s="1492"/>
      <c r="CZ11" s="1492"/>
      <c r="DA11" s="1492"/>
      <c r="DB11" s="1492"/>
      <c r="DC11" s="1492">
        <f>+'yrP&amp;L'!L31</f>
        <v>271</v>
      </c>
      <c r="DD11" s="1493">
        <f>+'yrP&amp;L'!M31</f>
        <v>277</v>
      </c>
      <c r="DE11" s="1493">
        <f>+'yrP&amp;L'!N31</f>
        <v>276</v>
      </c>
      <c r="DF11" s="1493">
        <f>+'yrP&amp;L'!O31</f>
        <v>288</v>
      </c>
      <c r="DG11" s="1493">
        <f>+'yrP&amp;L'!P31</f>
        <v>333.47300000000001</v>
      </c>
      <c r="DH11" s="1491">
        <f>+'yrP&amp;L'!Q31</f>
        <v>298.76799999999997</v>
      </c>
      <c r="DI11" s="1492">
        <f>+'yrP&amp;L'!R31</f>
        <v>315.76499999999999</v>
      </c>
      <c r="DJ11" s="1492">
        <f>+'yrP&amp;L'!S31</f>
        <v>352.04100000000005</v>
      </c>
      <c r="DK11" s="1492">
        <f>+'yrP&amp;L'!T31</f>
        <v>342.83600000000001</v>
      </c>
      <c r="DL11" s="1492">
        <f>+'yrP&amp;L'!U31</f>
        <v>356.983</v>
      </c>
      <c r="DM11" s="1492">
        <f>+'yrP&amp;L'!V31</f>
        <v>366.89299999999997</v>
      </c>
      <c r="DN11" s="1492">
        <f>+'yrP&amp;L'!W31</f>
        <v>356</v>
      </c>
      <c r="DO11" s="1492">
        <f>+'yrP&amp;L'!X31</f>
        <v>353.565</v>
      </c>
      <c r="DP11" s="1492">
        <f>+'yrP&amp;L'!Y31</f>
        <v>367.96799999999996</v>
      </c>
      <c r="DQ11" s="1492">
        <f>+'yrP&amp;L'!Z31</f>
        <v>397.80799999999999</v>
      </c>
      <c r="DR11" s="1492">
        <f>+'yrP&amp;L'!AA31</f>
        <v>414.97200000000004</v>
      </c>
      <c r="DS11" s="1492">
        <f>+'yrP&amp;L'!AB31</f>
        <v>471.53</v>
      </c>
      <c r="DT11" s="1492">
        <f>+'yrP&amp;L'!AC31</f>
        <v>524.68100000000004</v>
      </c>
      <c r="DU11" s="1492">
        <f>+'yrP&amp;L'!AD31</f>
        <v>560</v>
      </c>
      <c r="DV11" s="1492">
        <f>+'yrP&amp;L'!AE31</f>
        <v>616</v>
      </c>
      <c r="DW11" s="1491">
        <f>+'yrP&amp;L'!AF31</f>
        <v>677.6</v>
      </c>
      <c r="DX11" s="1492"/>
    </row>
    <row r="12" spans="1:128" ht="7.5" customHeight="1">
      <c r="A12" s="1425"/>
      <c r="B12" s="1483"/>
      <c r="C12" s="1483"/>
      <c r="D12" s="1483"/>
      <c r="E12" s="1483"/>
      <c r="F12" s="1483"/>
      <c r="G12" s="1483"/>
      <c r="H12" s="1483"/>
      <c r="I12" s="1483"/>
      <c r="J12" s="1483"/>
      <c r="K12" s="1483"/>
      <c r="L12" s="1483"/>
      <c r="M12" s="1483"/>
      <c r="N12" s="1483"/>
      <c r="O12" s="1483"/>
      <c r="P12" s="1483"/>
      <c r="Q12" s="1483"/>
      <c r="R12" s="1483"/>
      <c r="S12" s="1483"/>
      <c r="T12" s="1483"/>
      <c r="U12" s="1483"/>
      <c r="V12" s="1483"/>
      <c r="W12" s="1483"/>
      <c r="X12" s="1483"/>
      <c r="Y12" s="1483"/>
      <c r="Z12" s="1483"/>
      <c r="AA12" s="1483"/>
      <c r="AB12" s="1483"/>
      <c r="AC12" s="1483"/>
      <c r="AD12" s="1483"/>
      <c r="AE12" s="1483"/>
      <c r="AF12" s="1483"/>
      <c r="AG12" s="1484"/>
      <c r="AH12" s="1484"/>
      <c r="AI12" s="1484"/>
      <c r="AJ12" s="1484"/>
      <c r="AK12" s="1483"/>
      <c r="AL12" s="1483"/>
      <c r="AM12" s="1483"/>
      <c r="AN12" s="1483"/>
      <c r="AO12" s="1483"/>
      <c r="AP12" s="1483"/>
      <c r="AQ12" s="1483"/>
      <c r="AR12" s="1483"/>
      <c r="AS12" s="1483"/>
      <c r="AT12" s="1483"/>
      <c r="AU12" s="1483"/>
      <c r="AV12" s="1483"/>
      <c r="AW12" s="1483"/>
      <c r="AX12" s="1483"/>
      <c r="AY12" s="1483"/>
      <c r="AZ12" s="1483"/>
      <c r="BA12" s="1483"/>
      <c r="BB12" s="1483"/>
      <c r="BC12" s="1483"/>
      <c r="BD12" s="1483"/>
      <c r="BE12" s="1483"/>
      <c r="BF12" s="1483"/>
      <c r="BG12" s="1483"/>
      <c r="BH12" s="1483"/>
      <c r="BI12" s="1483"/>
      <c r="BJ12" s="1483"/>
      <c r="BK12" s="1483"/>
      <c r="BL12" s="1483"/>
      <c r="BM12" s="1483"/>
      <c r="BN12" s="1483"/>
      <c r="BO12" s="1483"/>
      <c r="BP12" s="1484"/>
      <c r="BQ12" s="1484"/>
      <c r="BR12" s="1484"/>
      <c r="BS12" s="1484"/>
      <c r="BT12" s="1484"/>
      <c r="BU12" s="1484"/>
      <c r="BV12" s="1484"/>
      <c r="BW12" s="1484"/>
      <c r="BX12" s="1484"/>
      <c r="BY12" s="1484"/>
      <c r="BZ12" s="1484"/>
      <c r="CA12" s="1484"/>
      <c r="CB12" s="1484"/>
      <c r="CC12" s="1484"/>
      <c r="CD12" s="1484"/>
      <c r="CE12" s="1484"/>
      <c r="CF12" s="1484"/>
      <c r="CG12" s="1484"/>
      <c r="CH12" s="1484"/>
      <c r="CI12" s="1484"/>
      <c r="CJ12" s="1484"/>
      <c r="CK12" s="1484"/>
      <c r="CL12" s="1484"/>
      <c r="CM12" s="1484"/>
      <c r="CN12" s="1484"/>
      <c r="CO12" s="1484"/>
      <c r="CP12" s="1484"/>
      <c r="CQ12" s="1484"/>
      <c r="CR12" s="1484"/>
      <c r="CS12" s="1484"/>
      <c r="CT12" s="1484"/>
      <c r="CU12" s="1484"/>
      <c r="CV12" s="1484"/>
      <c r="CW12" s="1484"/>
      <c r="CX12" s="1485"/>
      <c r="CY12" s="1486"/>
      <c r="CZ12" s="1486"/>
      <c r="DA12" s="1486"/>
      <c r="DB12" s="1486"/>
      <c r="DC12" s="1486"/>
      <c r="DD12" s="1487"/>
      <c r="DE12" s="1487"/>
      <c r="DF12" s="1487"/>
      <c r="DG12" s="1487"/>
      <c r="DH12" s="1488"/>
      <c r="DI12" s="1486"/>
      <c r="DJ12" s="1486"/>
      <c r="DK12" s="1486"/>
      <c r="DL12" s="1486"/>
      <c r="DM12" s="1486"/>
      <c r="DN12" s="1486"/>
      <c r="DO12" s="1486"/>
      <c r="DP12" s="1486"/>
      <c r="DQ12" s="1486"/>
      <c r="DR12" s="1486"/>
      <c r="DS12" s="1486"/>
      <c r="DT12" s="1486"/>
      <c r="DU12" s="1486"/>
      <c r="DV12" s="1486"/>
      <c r="DW12" s="1488"/>
      <c r="DX12" s="1486"/>
    </row>
    <row r="13" spans="1:128">
      <c r="A13" s="1482" t="s">
        <v>46</v>
      </c>
      <c r="B13" s="1483"/>
      <c r="C13" s="1483">
        <f>C8-C10</f>
        <v>497.13900000000012</v>
      </c>
      <c r="D13" s="1483">
        <f>D8-D10</f>
        <v>570.69599999999991</v>
      </c>
      <c r="E13" s="1483">
        <f>E8-E10</f>
        <v>531.26299999999992</v>
      </c>
      <c r="F13" s="1483">
        <f>F8-F10</f>
        <v>1112.1610000000001</v>
      </c>
      <c r="G13" s="1483"/>
      <c r="H13" s="1483">
        <f>H8-H10</f>
        <v>587.05600000000004</v>
      </c>
      <c r="I13" s="1483">
        <f>I8-I10</f>
        <v>640.91399999999999</v>
      </c>
      <c r="J13" s="1483">
        <f>J8-J10</f>
        <v>604.76299999999992</v>
      </c>
      <c r="K13" s="1483">
        <f>K8-K10</f>
        <v>1103.8049999999998</v>
      </c>
      <c r="L13" s="1483"/>
      <c r="M13" s="1483">
        <f>M8-M10</f>
        <v>539.41399999999999</v>
      </c>
      <c r="N13" s="1483">
        <f>N8-N10</f>
        <v>590.79700000000003</v>
      </c>
      <c r="O13" s="1483">
        <f>O8-O10</f>
        <v>504.62900000000013</v>
      </c>
      <c r="P13" s="1483">
        <f>P8-P10</f>
        <v>1226.6860000000001</v>
      </c>
      <c r="Q13" s="1483"/>
      <c r="R13" s="1483">
        <f>R8-R10</f>
        <v>621.66100000000006</v>
      </c>
      <c r="S13" s="1483">
        <f>S8-S10</f>
        <v>672.96799999999985</v>
      </c>
      <c r="T13" s="1483">
        <f>T8-T10</f>
        <v>564.15599999999995</v>
      </c>
      <c r="U13" s="1483">
        <f>U8-U10</f>
        <v>1234.7339999999999</v>
      </c>
      <c r="V13" s="1483"/>
      <c r="W13" s="1483">
        <f>W8-W10</f>
        <v>-30.736121085743196</v>
      </c>
      <c r="X13" s="1483">
        <f>X8-X10</f>
        <v>-29.581302023064765</v>
      </c>
      <c r="Y13" s="1483">
        <f>Y8-Y10</f>
        <v>-27.915268575540019</v>
      </c>
      <c r="Z13" s="1483">
        <f>Z8-Z10</f>
        <v>-32.84746428726509</v>
      </c>
      <c r="AA13" s="1483"/>
      <c r="AB13" s="1483">
        <f>AB8-AB10</f>
        <v>677.05700000000002</v>
      </c>
      <c r="AC13" s="1483">
        <f>AC8-AC10</f>
        <v>801.14999999999986</v>
      </c>
      <c r="AD13" s="1483">
        <f>AD8-AD10</f>
        <v>614.67399999999998</v>
      </c>
      <c r="AE13" s="1483">
        <f>AE8-AE10</f>
        <v>1301.193</v>
      </c>
      <c r="AF13" s="1483"/>
      <c r="AG13" s="1484">
        <f>AG8-AG10</f>
        <v>684.65300000000002</v>
      </c>
      <c r="AH13" s="1484">
        <f>AH8-AH10</f>
        <v>744.67299999999977</v>
      </c>
      <c r="AI13" s="1484">
        <f>AI8-AI10</f>
        <v>606.67999999999984</v>
      </c>
      <c r="AJ13" s="1484">
        <f>AJ8-AJ10</f>
        <v>1443.7260000000001</v>
      </c>
      <c r="AK13" s="1483"/>
      <c r="AL13" s="1483">
        <f>AL8-AL10</f>
        <v>788.77499999999986</v>
      </c>
      <c r="AM13" s="1483">
        <f>AM8-AM10</f>
        <v>853.13499999999976</v>
      </c>
      <c r="AN13" s="1483">
        <f>AN8-AN10</f>
        <v>759.3570000000002</v>
      </c>
      <c r="AO13" s="1483">
        <f>AO8-AO10</f>
        <v>1612.2449999999999</v>
      </c>
      <c r="AP13" s="1483"/>
      <c r="AQ13" s="1483">
        <f>AQ8-AQ10</f>
        <v>794.75799999999981</v>
      </c>
      <c r="AR13" s="1483">
        <f>AR8-AR10</f>
        <v>813.02100000000019</v>
      </c>
      <c r="AS13" s="1483">
        <f>AS8-AS10</f>
        <v>606.87699999999995</v>
      </c>
      <c r="AT13" s="1483">
        <f>AT8-AT10</f>
        <v>1248.847</v>
      </c>
      <c r="AU13" s="1483"/>
      <c r="AV13" s="1483">
        <f>AV8-AV10</f>
        <v>641.11799999999994</v>
      </c>
      <c r="AW13" s="1483">
        <f>AW8-AW10</f>
        <v>760.37499999999977</v>
      </c>
      <c r="AX13" s="1483">
        <f>AX8-AX10</f>
        <v>580.24499999999989</v>
      </c>
      <c r="AY13" s="1483">
        <f>AY8-AY10</f>
        <v>1024.6599999999999</v>
      </c>
      <c r="AZ13" s="1483"/>
      <c r="BA13" s="1483">
        <f>BA8-BA10</f>
        <v>548.35599999999999</v>
      </c>
      <c r="BB13" s="1483">
        <f>BB8-BB10</f>
        <v>668.00900000000001</v>
      </c>
      <c r="BC13" s="1483">
        <f>BC8-BC10</f>
        <v>562.74800000000005</v>
      </c>
      <c r="BD13" s="1483">
        <f>BD8-BD10</f>
        <v>1248.9769999999999</v>
      </c>
      <c r="BE13" s="1483"/>
      <c r="BF13" s="1483">
        <f>BG8-BG10</f>
        <v>777.48700000000031</v>
      </c>
      <c r="BG13" s="1483">
        <f>BG8-BG10</f>
        <v>777.48700000000031</v>
      </c>
      <c r="BH13" s="1483">
        <f>BH8-BH10</f>
        <v>714.29100000000017</v>
      </c>
      <c r="BI13" s="1483">
        <f>BI8-BI10</f>
        <v>1444.7530000000002</v>
      </c>
      <c r="BJ13" s="1483"/>
      <c r="BK13" s="1483">
        <f>BK8-BK10</f>
        <v>841.72799999999984</v>
      </c>
      <c r="BL13" s="1483">
        <f>BL8-BL10</f>
        <v>902.09800000000018</v>
      </c>
      <c r="BM13" s="1483">
        <f>BM8-BM10</f>
        <v>785.27700000000004</v>
      </c>
      <c r="BN13" s="1483">
        <f>BN8-BN10</f>
        <v>1544.6419999999998</v>
      </c>
      <c r="BO13" s="1483"/>
      <c r="BP13" s="1484">
        <f>BP8-BP10</f>
        <v>901.96300000000019</v>
      </c>
      <c r="BQ13" s="1484">
        <f>BQ8-BQ10</f>
        <v>945.27899999999977</v>
      </c>
      <c r="BR13" s="1484">
        <f>BR8-BR10</f>
        <v>835.56299999999965</v>
      </c>
      <c r="BS13" s="1484">
        <f>BS8-BS10</f>
        <v>1743.1660000000002</v>
      </c>
      <c r="BT13" s="1484"/>
      <c r="BU13" s="1484">
        <f>BU8-BU10</f>
        <v>941.41100000000006</v>
      </c>
      <c r="BV13" s="1484">
        <f>BV8-BV10</f>
        <v>988.625</v>
      </c>
      <c r="BW13" s="1484">
        <f>BW8-BW10</f>
        <v>856.70900000000006</v>
      </c>
      <c r="BX13" s="1484">
        <f>BX8-BX10</f>
        <v>1642.3050000000003</v>
      </c>
      <c r="BY13" s="1484"/>
      <c r="BZ13" s="1484">
        <f>BZ8-BZ10</f>
        <v>982.0920000000001</v>
      </c>
      <c r="CA13" s="1484">
        <f>CA8-CA10</f>
        <v>1044.3600000000001</v>
      </c>
      <c r="CB13" s="1484">
        <f>CB8-CB10</f>
        <v>946.42700000000013</v>
      </c>
      <c r="CC13" s="1484">
        <f>CC8-CC10</f>
        <v>1834.7709999999997</v>
      </c>
      <c r="CD13" s="1484"/>
      <c r="CE13" s="1484">
        <f>CE8-CE10</f>
        <v>1055.9589999999998</v>
      </c>
      <c r="CF13" s="1484">
        <f>CF8-CF10</f>
        <v>1113.846</v>
      </c>
      <c r="CG13" s="1484">
        <f>CG8-CG10</f>
        <v>1031.2739999999999</v>
      </c>
      <c r="CH13" s="1484">
        <f>CH8-CH10</f>
        <v>2002.4129999999996</v>
      </c>
      <c r="CI13" s="1484"/>
      <c r="CJ13" s="1484">
        <f>CJ8-CJ10</f>
        <v>1054.057</v>
      </c>
      <c r="CK13" s="1484">
        <f>CK8-CK10</f>
        <v>1112.9040000000002</v>
      </c>
      <c r="CL13" s="1484">
        <f>CL8-CL10</f>
        <v>1025.2859999999998</v>
      </c>
      <c r="CM13" s="1484">
        <f>CM8-CM10</f>
        <v>1944.0230000000001</v>
      </c>
      <c r="CN13" s="1484"/>
      <c r="CO13" s="1484">
        <f>CO8-CO10</f>
        <v>902.85000000000014</v>
      </c>
      <c r="CP13" s="1484">
        <f>CP8-CP10</f>
        <v>1027.8910000000001</v>
      </c>
      <c r="CQ13" s="1484">
        <f>CQ8-CQ10</f>
        <v>988.34700000000021</v>
      </c>
      <c r="CR13" s="1484">
        <f>CR8-CR10</f>
        <v>2040.3310000000006</v>
      </c>
      <c r="CS13" s="1484"/>
      <c r="CT13" s="1484">
        <f>CT8-CT10</f>
        <v>931.01008100141303</v>
      </c>
      <c r="CU13" s="1484">
        <f>CU8-CU10</f>
        <v>1083.4559823961945</v>
      </c>
      <c r="CV13" s="1484">
        <f>CV8-CV10</f>
        <v>1054.4956480868198</v>
      </c>
      <c r="CW13" s="1484">
        <f>CW8-CW10</f>
        <v>2083.2275144628306</v>
      </c>
      <c r="CX13" s="1485"/>
      <c r="CY13" s="1486">
        <f>CY8-CY10</f>
        <v>2786.2219999999998</v>
      </c>
      <c r="CZ13" s="1486">
        <f>CZ8-CZ10</f>
        <v>2776.5910000000013</v>
      </c>
      <c r="DA13" s="1486">
        <f t="shared" ref="DA13:DF13" si="1">DA8-DA10</f>
        <v>3048.978000000001</v>
      </c>
      <c r="DB13" s="1486">
        <f t="shared" si="1"/>
        <v>2983.7020000000002</v>
      </c>
      <c r="DC13" s="1486">
        <f t="shared" si="1"/>
        <v>3207.5379999999996</v>
      </c>
      <c r="DD13" s="1487">
        <f t="shared" si="1"/>
        <v>2861.5260000000007</v>
      </c>
      <c r="DE13" s="1487">
        <f t="shared" si="1"/>
        <v>3093.5190000000002</v>
      </c>
      <c r="DF13" s="1487">
        <f t="shared" si="1"/>
        <v>3261.973</v>
      </c>
      <c r="DG13" s="1487">
        <f t="shared" ref="DG13:DL13" si="2">DG8-DG10</f>
        <v>3394.0739999999996</v>
      </c>
      <c r="DH13" s="1488">
        <f t="shared" si="2"/>
        <v>3479.732</v>
      </c>
      <c r="DI13" s="1486">
        <f t="shared" si="2"/>
        <v>4013.5119999999979</v>
      </c>
      <c r="DJ13" s="1486">
        <f t="shared" si="2"/>
        <v>3463.5029999999997</v>
      </c>
      <c r="DK13" s="1486">
        <f t="shared" si="2"/>
        <v>3006.3980000000001</v>
      </c>
      <c r="DL13" s="1486">
        <f t="shared" si="2"/>
        <v>3028.0900000000011</v>
      </c>
      <c r="DM13" s="1486">
        <f t="shared" ref="DM13:DT13" si="3">DM8-DM10</f>
        <v>3630.7890000000007</v>
      </c>
      <c r="DN13" s="1486">
        <f t="shared" si="3"/>
        <v>4073.744999999999</v>
      </c>
      <c r="DO13" s="1486">
        <f t="shared" si="3"/>
        <v>4425.9670000000024</v>
      </c>
      <c r="DP13" s="1486">
        <f t="shared" si="3"/>
        <v>4429.0629999999974</v>
      </c>
      <c r="DQ13" s="1486">
        <f t="shared" si="3"/>
        <v>4807.6330000000016</v>
      </c>
      <c r="DR13" s="1486">
        <f t="shared" si="3"/>
        <v>5203.4879999999994</v>
      </c>
      <c r="DS13" s="1486">
        <f t="shared" si="3"/>
        <v>5136.3910000000014</v>
      </c>
      <c r="DT13" s="1486">
        <f t="shared" si="3"/>
        <v>4959.2960000000003</v>
      </c>
      <c r="DU13" s="1486">
        <f>DU8-DU10</f>
        <v>5152.189225947257</v>
      </c>
      <c r="DV13" s="1486">
        <f>DV8-DV10</f>
        <v>5428.1306449156236</v>
      </c>
      <c r="DW13" s="1488">
        <f>DW8-DW10</f>
        <v>5697.7682766880171</v>
      </c>
      <c r="DX13" s="1486"/>
    </row>
    <row r="14" spans="1:128">
      <c r="A14" s="1495" t="s">
        <v>1208</v>
      </c>
      <c r="B14" s="1496"/>
      <c r="C14" s="1495">
        <f>'qtrP&amp;L'!$AP30</f>
        <v>434.93200000000002</v>
      </c>
      <c r="D14" s="1495">
        <f>'qtrP&amp;L'!$AP31</f>
        <v>466.25599999999997</v>
      </c>
      <c r="E14" s="1495">
        <f>'qtrP&amp;L'!$AP32</f>
        <v>449.935</v>
      </c>
      <c r="F14" s="1495">
        <f>'qtrP&amp;L'!$AP33</f>
        <v>587.18100000000004</v>
      </c>
      <c r="G14" s="1495"/>
      <c r="H14" s="1495">
        <f>'qtrP&amp;L'!$AT30</f>
        <v>474.62400000000002</v>
      </c>
      <c r="I14" s="1495">
        <f>'qtrP&amp;L'!$AT31</f>
        <v>486.56099999999998</v>
      </c>
      <c r="J14" s="1495">
        <f>'qtrP&amp;L'!$AT32</f>
        <v>502.786</v>
      </c>
      <c r="K14" s="1495">
        <f>'qtrP&amp;L'!$AT33</f>
        <v>660.38499999999999</v>
      </c>
      <c r="L14" s="1495"/>
      <c r="M14" s="1495">
        <f>'qtrP&amp;L'!$AX30</f>
        <v>500.863</v>
      </c>
      <c r="N14" s="1495">
        <f>'qtrP&amp;L'!$AX31</f>
        <v>512.07500000000005</v>
      </c>
      <c r="O14" s="1495">
        <f>'qtrP&amp;L'!$AX32</f>
        <v>522.33399999999995</v>
      </c>
      <c r="P14" s="1495">
        <f>'qtrP&amp;L'!$AX33</f>
        <v>638.24599999999998</v>
      </c>
      <c r="Q14" s="1495"/>
      <c r="R14" s="1495">
        <f>'qtrP&amp;L'!$BB30</f>
        <v>493.51799999999997</v>
      </c>
      <c r="S14" s="1495">
        <f>'qtrP&amp;L'!$BB31</f>
        <v>534.29499999999996</v>
      </c>
      <c r="T14" s="1495">
        <f>'qtrP&amp;L'!$BB32</f>
        <v>546.80799999999999</v>
      </c>
      <c r="U14" s="1495">
        <f>'qtrP&amp;L'!$BB33</f>
        <v>647.16399999999999</v>
      </c>
      <c r="V14" s="1495"/>
      <c r="W14" s="1495">
        <f>'qtrP&amp;L'!$BG30</f>
        <v>27.240233252293194</v>
      </c>
      <c r="X14" s="1495">
        <f>'qtrP&amp;L'!$BG31</f>
        <v>26.439968899352863</v>
      </c>
      <c r="Y14" s="1495">
        <f>'qtrP&amp;L'!$BG32</f>
        <v>30.112737373901467</v>
      </c>
      <c r="Z14" s="1495">
        <f>'qtrP&amp;L'!$BG33</f>
        <v>21.925749895231014</v>
      </c>
      <c r="AA14" s="1495"/>
      <c r="AB14" s="1495">
        <f>+'qtrP&amp;L'!$BJ$30</f>
        <v>557.68499999999995</v>
      </c>
      <c r="AC14" s="1495">
        <f>+'qtrP&amp;L'!$BJ$31</f>
        <v>574.20699999999999</v>
      </c>
      <c r="AD14" s="1495">
        <f>+'qtrP&amp;L'!$BJ$32</f>
        <v>561.529</v>
      </c>
      <c r="AE14" s="1495">
        <f>+'qtrP&amp;L'!$BJ$33</f>
        <v>673.84500000000003</v>
      </c>
      <c r="AF14" s="1495"/>
      <c r="AG14" s="1490">
        <f>+'qtrP&amp;L'!$BR$30</f>
        <v>566.11900000000003</v>
      </c>
      <c r="AH14" s="1490">
        <f>+'qtrP&amp;L'!$BR$31</f>
        <v>591.32500000000005</v>
      </c>
      <c r="AI14" s="1490">
        <f>+'qtrP&amp;L'!$BR$32</f>
        <v>586.38400000000001</v>
      </c>
      <c r="AJ14" s="1490">
        <f>+'qtrP&amp;L'!$BR$33</f>
        <v>750.12300000000005</v>
      </c>
      <c r="AK14" s="1495"/>
      <c r="AL14" s="1495">
        <f>+'qtrP&amp;L'!$BV$30</f>
        <v>602.82899999999995</v>
      </c>
      <c r="AM14" s="1495">
        <f>+'qtrP&amp;L'!$BV$31</f>
        <v>656.35500000000002</v>
      </c>
      <c r="AN14" s="1495">
        <f>+'qtrP&amp;L'!$BV$32</f>
        <v>692.81799999999998</v>
      </c>
      <c r="AO14" s="1495">
        <f>+'qtrP&amp;L'!$BV$33</f>
        <v>885.42499999999995</v>
      </c>
      <c r="AP14" s="1495"/>
      <c r="AQ14" s="1495">
        <f>+'qtrP&amp;L'!$BZ$30</f>
        <v>686.23299999999995</v>
      </c>
      <c r="AR14" s="1495">
        <f>+'qtrP&amp;L'!$BZ$31</f>
        <v>670.69200000000001</v>
      </c>
      <c r="AS14" s="1495">
        <f>+'qtrP&amp;L'!$BZ$32</f>
        <v>570.29300000000001</v>
      </c>
      <c r="AT14" s="1495">
        <f>+'qtrP&amp;L'!$BZ$33</f>
        <v>675.24</v>
      </c>
      <c r="AU14" s="1495"/>
      <c r="AV14" s="1495">
        <f>'qtrP&amp;L'!CD30</f>
        <v>540.67999999999995</v>
      </c>
      <c r="AW14" s="1495">
        <f>'qtrP&amp;L'!CD31</f>
        <v>575.21600000000001</v>
      </c>
      <c r="AX14" s="1495">
        <f>'qtrP&amp;L'!CD32</f>
        <v>539.10799999999995</v>
      </c>
      <c r="AY14" s="1495">
        <f>'qtrP&amp;L'!CD33</f>
        <v>633.92499999999995</v>
      </c>
      <c r="AZ14" s="1495"/>
      <c r="BA14" s="1495">
        <f>'qtrP&amp;L'!CH30</f>
        <v>483.14400000000001</v>
      </c>
      <c r="BB14" s="1495">
        <f>'qtrP&amp;L'!CH31</f>
        <v>519.36599999999999</v>
      </c>
      <c r="BC14" s="1495">
        <f>'qtrP&amp;L'!CH32</f>
        <v>503.863</v>
      </c>
      <c r="BD14" s="1495">
        <f>'qtrP&amp;L'!CH33</f>
        <v>663.43299999999999</v>
      </c>
      <c r="BE14" s="1495"/>
      <c r="BF14" s="1495">
        <f>'qtrP&amp;L'!$CL30</f>
        <v>509.28199999999998</v>
      </c>
      <c r="BG14" s="1495">
        <f>'qtrP&amp;L'!CL31</f>
        <v>541.03</v>
      </c>
      <c r="BH14" s="1495">
        <f>'qtrP&amp;L'!CL32</f>
        <v>565.19299999999998</v>
      </c>
      <c r="BI14" s="1495">
        <f>'qtrP&amp;L'!CL33</f>
        <v>731.25099999999998</v>
      </c>
      <c r="BJ14" s="1495"/>
      <c r="BK14" s="1495">
        <f>'qtrP&amp;L'!$CP30</f>
        <v>574.90499999999997</v>
      </c>
      <c r="BL14" s="1495">
        <f>'qtrP&amp;L'!$CP31</f>
        <v>595.13700000000006</v>
      </c>
      <c r="BM14" s="1495">
        <f>'qtrP&amp;L'!$CP32</f>
        <v>599.17499999999995</v>
      </c>
      <c r="BN14" s="1495">
        <f>'qtrP&amp;L'!$CP33</f>
        <v>758.10299999999995</v>
      </c>
      <c r="BO14" s="1495"/>
      <c r="BP14" s="1490">
        <f>'qtrP&amp;L'!$CT30</f>
        <v>608.73599999999999</v>
      </c>
      <c r="BQ14" s="1490">
        <f>'qtrP&amp;L'!$CT31</f>
        <v>636.4</v>
      </c>
      <c r="BR14" s="1490">
        <f>'qtrP&amp;L'!$CT32</f>
        <v>638.178</v>
      </c>
      <c r="BS14" s="1490">
        <f>'qtrP&amp;L'!$CT33</f>
        <v>835.327</v>
      </c>
      <c r="BT14" s="1490"/>
      <c r="BU14" s="1490">
        <f>'qtrP&amp;L'!CX30</f>
        <v>630.23</v>
      </c>
      <c r="BV14" s="1490">
        <f>'qtrP&amp;L'!CX31</f>
        <v>630.81899999999996</v>
      </c>
      <c r="BW14" s="1490">
        <f>'qtrP&amp;L'!CX32</f>
        <v>645.68299999999999</v>
      </c>
      <c r="BX14" s="1490">
        <f>'qtrP&amp;L'!CX33</f>
        <v>778.84400000000005</v>
      </c>
      <c r="BY14" s="1490"/>
      <c r="BZ14" s="1490">
        <f>'qtrP&amp;L'!DB30</f>
        <v>645.98099999999999</v>
      </c>
      <c r="CA14" s="1490">
        <f>'qtrP&amp;L'!DB31</f>
        <v>668.41800000000001</v>
      </c>
      <c r="CB14" s="1490">
        <f>'qtrP&amp;L'!DB32</f>
        <v>662.31399999999996</v>
      </c>
      <c r="CC14" s="1490">
        <f>'qtrP&amp;L'!DB33</f>
        <v>877.81799999999998</v>
      </c>
      <c r="CD14" s="1490"/>
      <c r="CE14" s="1490">
        <f>'qtrP&amp;L'!DF30</f>
        <v>684.11599999999999</v>
      </c>
      <c r="CF14" s="1490">
        <f>'qtrP&amp;L'!DF31</f>
        <v>710.92</v>
      </c>
      <c r="CG14" s="1490">
        <f>'qtrP&amp;L'!DF32</f>
        <v>692.51</v>
      </c>
      <c r="CH14" s="1490">
        <f>'qtrP&amp;L'!DF33</f>
        <v>924.43499999999995</v>
      </c>
      <c r="CI14" s="1490"/>
      <c r="CJ14" s="1490">
        <f>'qtrP&amp;L'!DJ30</f>
        <v>696.12400000000002</v>
      </c>
      <c r="CK14" s="1490">
        <f>'qtrP&amp;L'!DJ31</f>
        <v>704.68799999999999</v>
      </c>
      <c r="CL14" s="1490">
        <f>'qtrP&amp;L'!DJ32</f>
        <v>741.70600000000002</v>
      </c>
      <c r="CM14" s="1490">
        <f>'qtrP&amp;L'!DJ33</f>
        <v>956.471</v>
      </c>
      <c r="CN14" s="1490"/>
      <c r="CO14" s="1490">
        <f>'qtrP&amp;L'!DN30</f>
        <v>693.65800000000002</v>
      </c>
      <c r="CP14" s="1490">
        <f>'qtrP&amp;L'!DN31</f>
        <v>726.99599999999998</v>
      </c>
      <c r="CQ14" s="1490">
        <f>'qtrP&amp;L'!DN32</f>
        <v>756.68399999999997</v>
      </c>
      <c r="CR14" s="1490">
        <f>'qtrP&amp;L'!DN33</f>
        <v>1053.6969999999999</v>
      </c>
      <c r="CS14" s="1490"/>
      <c r="CT14" s="1490">
        <f>'qtrP&amp;L'!DR30</f>
        <v>765.64185682353991</v>
      </c>
      <c r="CU14" s="1490">
        <f>'qtrP&amp;L'!DR31</f>
        <v>797.34227122722621</v>
      </c>
      <c r="CV14" s="1490">
        <f>'qtrP&amp;L'!DR32</f>
        <v>826.81100854719114</v>
      </c>
      <c r="CW14" s="1490">
        <f>'qtrP&amp;L'!DR33</f>
        <v>1141.3945143493781</v>
      </c>
      <c r="CX14" s="1491"/>
      <c r="CY14" s="1497">
        <f>'yrP&amp;L'!H19</f>
        <v>1848.5120000000002</v>
      </c>
      <c r="CZ14" s="1497">
        <f>'yrP&amp;L'!I19</f>
        <v>1864.0070000000001</v>
      </c>
      <c r="DA14" s="1497">
        <f>'yrP&amp;L'!J19</f>
        <v>2120.17</v>
      </c>
      <c r="DB14" s="1497">
        <f>'yrP&amp;L'!K19</f>
        <v>1938.3040000000001</v>
      </c>
      <c r="DC14" s="1497">
        <f>'yrP&amp;L'!L19</f>
        <v>2124.3559999999998</v>
      </c>
      <c r="DD14" s="1498">
        <f>'yrP&amp;L'!M19</f>
        <v>2173.518</v>
      </c>
      <c r="DE14" s="1498">
        <f>'yrP&amp;L'!N19</f>
        <v>2221.7849999999999</v>
      </c>
      <c r="DF14" s="1498">
        <f>'yrP&amp;L'!O19</f>
        <v>2298.8910000000001</v>
      </c>
      <c r="DG14" s="1498">
        <f>'yrP&amp;L'!P19</f>
        <v>2367.2659999999996</v>
      </c>
      <c r="DH14" s="1499">
        <f>'yrP&amp;L'!Q19</f>
        <v>2493.951</v>
      </c>
      <c r="DI14" s="1497">
        <f>'yrP&amp;L'!R19</f>
        <v>2837.4269999999997</v>
      </c>
      <c r="DJ14" s="1497">
        <f>'yrP&amp;L'!S19</f>
        <v>2602.4579999999996</v>
      </c>
      <c r="DK14" s="1497">
        <f>'yrP&amp;L'!T19</f>
        <v>2288.9290000000001</v>
      </c>
      <c r="DL14" s="1497">
        <f>'yrP&amp;L'!U19</f>
        <v>2169.806</v>
      </c>
      <c r="DM14" s="1497">
        <f>'yrP&amp;L'!V19</f>
        <v>2346.7559999999999</v>
      </c>
      <c r="DN14" s="1497">
        <f>'yrP&amp;L'!W19</f>
        <v>2527.3199999999997</v>
      </c>
      <c r="DO14" s="1497">
        <f>'yrP&amp;L'!X19</f>
        <v>2718.6409999999996</v>
      </c>
      <c r="DP14" s="1497">
        <f>'yrP&amp;L'!Y19</f>
        <v>2685.576</v>
      </c>
      <c r="DQ14" s="1497">
        <f>'yrP&amp;L'!Z19</f>
        <v>2854.5309999999999</v>
      </c>
      <c r="DR14" s="1497">
        <f>'yrP&amp;L'!AA19</f>
        <v>3011.9810000000002</v>
      </c>
      <c r="DS14" s="1497">
        <f>'yrP&amp;L'!AB19</f>
        <v>3098.989</v>
      </c>
      <c r="DT14" s="1497">
        <f>'yrP&amp;L'!AC19</f>
        <v>3231.0349999999999</v>
      </c>
      <c r="DU14" s="1497">
        <f>'yrP&amp;L'!AD19</f>
        <v>3531.1896509473354</v>
      </c>
      <c r="DV14" s="1497">
        <f>'yrP&amp;L'!AE19</f>
        <v>3713.962845077876</v>
      </c>
      <c r="DW14" s="1499">
        <f>'yrP&amp;L'!AF19</f>
        <v>3889.1763097735311</v>
      </c>
      <c r="DX14" s="1497"/>
    </row>
    <row r="15" spans="1:128" hidden="1" outlineLevel="1">
      <c r="A15" s="1495" t="s">
        <v>706</v>
      </c>
      <c r="B15" s="1496"/>
      <c r="C15" s="1495"/>
      <c r="D15" s="1495"/>
      <c r="E15" s="1495"/>
      <c r="F15" s="1495"/>
      <c r="G15" s="1495"/>
      <c r="H15" s="1495"/>
      <c r="I15" s="1495"/>
      <c r="J15" s="1495"/>
      <c r="K15" s="1495"/>
      <c r="L15" s="1495"/>
      <c r="M15" s="1495"/>
      <c r="N15" s="1495"/>
      <c r="O15" s="1495"/>
      <c r="P15" s="1495"/>
      <c r="Q15" s="1495"/>
      <c r="R15" s="1495"/>
      <c r="S15" s="1495"/>
      <c r="T15" s="1495"/>
      <c r="U15" s="1495"/>
      <c r="V15" s="1495"/>
      <c r="W15" s="1495"/>
      <c r="X15" s="1495"/>
      <c r="Y15" s="1495"/>
      <c r="Z15" s="1495"/>
      <c r="AA15" s="1495"/>
      <c r="AB15" s="1495"/>
      <c r="AC15" s="1495"/>
      <c r="AD15" s="1495"/>
      <c r="AE15" s="1495"/>
      <c r="AF15" s="1495"/>
      <c r="AG15" s="1490">
        <f>'qtrP&amp;L'!$BR$50</f>
        <v>16.844000000000001</v>
      </c>
      <c r="AH15" s="1490"/>
      <c r="AI15" s="1490"/>
      <c r="AJ15" s="1490"/>
      <c r="AK15" s="1495"/>
      <c r="AL15" s="1495"/>
      <c r="AM15" s="1495"/>
      <c r="AN15" s="1495"/>
      <c r="AO15" s="1495"/>
      <c r="AP15" s="1495"/>
      <c r="AQ15" s="1495"/>
      <c r="AR15" s="1495"/>
      <c r="AS15" s="1495"/>
      <c r="AT15" s="1495"/>
      <c r="AU15" s="1495"/>
      <c r="AV15" s="1495"/>
      <c r="AW15" s="1495"/>
      <c r="AX15" s="1495"/>
      <c r="AY15" s="1495"/>
      <c r="AZ15" s="1495"/>
      <c r="BA15" s="1495"/>
      <c r="BB15" s="1495"/>
      <c r="BC15" s="1495"/>
      <c r="BD15" s="1495">
        <v>3.4030000000009299</v>
      </c>
      <c r="BE15" s="1495"/>
      <c r="BF15" s="1495"/>
      <c r="BG15" s="1495"/>
      <c r="BH15" s="1495"/>
      <c r="BI15" s="1495"/>
      <c r="BJ15" s="1495"/>
      <c r="BK15" s="1495"/>
      <c r="BL15" s="1495"/>
      <c r="BM15" s="1495"/>
      <c r="BN15" s="1495"/>
      <c r="BO15" s="1495"/>
      <c r="BP15" s="1490"/>
      <c r="BQ15" s="1490"/>
      <c r="BR15" s="1490"/>
      <c r="BS15" s="1490"/>
      <c r="BT15" s="1490"/>
      <c r="BU15" s="1490"/>
      <c r="BV15" s="1490"/>
      <c r="BW15" s="1490"/>
      <c r="BX15" s="1490"/>
      <c r="BY15" s="1490"/>
      <c r="BZ15" s="1490"/>
      <c r="CA15" s="1490"/>
      <c r="CB15" s="1490"/>
      <c r="CC15" s="1490"/>
      <c r="CD15" s="1490"/>
      <c r="CE15" s="1490"/>
      <c r="CF15" s="1490"/>
      <c r="CG15" s="1490"/>
      <c r="CH15" s="1490"/>
      <c r="CI15" s="1490"/>
      <c r="CJ15" s="1490"/>
      <c r="CK15" s="1490"/>
      <c r="CL15" s="1490"/>
      <c r="CM15" s="1490"/>
      <c r="CN15" s="1490"/>
      <c r="CO15" s="1490"/>
      <c r="CP15" s="1490"/>
      <c r="CQ15" s="1490"/>
      <c r="CR15" s="1490"/>
      <c r="CS15" s="1490"/>
      <c r="CT15" s="1490"/>
      <c r="CU15" s="1490"/>
      <c r="CV15" s="1490"/>
      <c r="CW15" s="1490"/>
      <c r="CX15" s="1491"/>
      <c r="CY15" s="1497"/>
      <c r="CZ15" s="1497"/>
      <c r="DA15" s="1497"/>
      <c r="DB15" s="1497"/>
      <c r="DC15" s="1497"/>
      <c r="DD15" s="1498"/>
      <c r="DE15" s="1498"/>
      <c r="DF15" s="1498"/>
      <c r="DG15" s="1498"/>
      <c r="DH15" s="1499"/>
      <c r="DI15" s="1497"/>
      <c r="DJ15" s="1497"/>
      <c r="DK15" s="1497"/>
      <c r="DL15" s="1497">
        <v>3.4030000000009299</v>
      </c>
      <c r="DM15" s="1497"/>
      <c r="DN15" s="1497"/>
      <c r="DO15" s="1497"/>
      <c r="DP15" s="1497"/>
      <c r="DQ15" s="1497"/>
      <c r="DR15" s="1497"/>
      <c r="DS15" s="1497"/>
      <c r="DT15" s="1497"/>
      <c r="DU15" s="1497"/>
      <c r="DV15" s="1497"/>
      <c r="DW15" s="1499"/>
      <c r="DX15" s="1497"/>
    </row>
    <row r="16" spans="1:128" hidden="1" outlineLevel="1">
      <c r="A16" s="1495" t="s">
        <v>172</v>
      </c>
      <c r="B16" s="1496"/>
      <c r="C16" s="1495"/>
      <c r="D16" s="1495"/>
      <c r="E16" s="1495"/>
      <c r="F16" s="1495"/>
      <c r="G16" s="1495"/>
      <c r="H16" s="1495"/>
      <c r="I16" s="1495"/>
      <c r="J16" s="1495"/>
      <c r="K16" s="1495"/>
      <c r="L16" s="1495"/>
      <c r="M16" s="1495"/>
      <c r="N16" s="1495"/>
      <c r="O16" s="1495"/>
      <c r="P16" s="1495"/>
      <c r="Q16" s="1495"/>
      <c r="R16" s="1495"/>
      <c r="S16" s="1495"/>
      <c r="T16" s="1495"/>
      <c r="U16" s="1495"/>
      <c r="V16" s="1495"/>
      <c r="W16" s="1500">
        <f>'qtrP&amp;L'!BG40</f>
        <v>0.86603260954906613</v>
      </c>
      <c r="X16" s="1500">
        <f>'qtrP&amp;L'!BG41</f>
        <v>0.813319419008946</v>
      </c>
      <c r="Y16" s="1500">
        <f>'qtrP&amp;L'!BG42</f>
        <v>0.854181312069204</v>
      </c>
      <c r="Z16" s="1500">
        <f>'qtrP&amp;L'!BG43</f>
        <v>0.56694285790164189</v>
      </c>
      <c r="AA16" s="1500"/>
      <c r="AB16" s="1500">
        <f>'qtrP&amp;L'!BJ40</f>
        <v>11.075182967398536</v>
      </c>
      <c r="AC16" s="1500">
        <f>'qtrP&amp;L'!BJ41</f>
        <v>11.075182967398536</v>
      </c>
      <c r="AD16" s="1500">
        <f>'qtrP&amp;L'!BJ42</f>
        <v>11.075182967398536</v>
      </c>
      <c r="AE16" s="1500">
        <f>'qtrP&amp;L'!BJ43</f>
        <v>11.075182967398536</v>
      </c>
      <c r="AF16" s="1495"/>
      <c r="AG16" s="1501">
        <f>'qtrP&amp;L'!BR40</f>
        <v>6.4743660000000007</v>
      </c>
      <c r="AH16" s="1501">
        <f>'qtrP&amp;L'!BR41</f>
        <v>6.4743660000000007</v>
      </c>
      <c r="AI16" s="1501">
        <f>'qtrP&amp;L'!BR42</f>
        <v>6.4743660000000007</v>
      </c>
      <c r="AJ16" s="1501">
        <f>'qtrP&amp;L'!BR43</f>
        <v>6.4743660000000007</v>
      </c>
      <c r="AK16" s="1495"/>
      <c r="AL16" s="1500">
        <f>'qtrP&amp;L'!BV40</f>
        <v>7.6</v>
      </c>
      <c r="AM16" s="1500">
        <f>'qtrP&amp;L'!BV41</f>
        <v>8.8000000000000007</v>
      </c>
      <c r="AN16" s="1500">
        <f>'qtrP&amp;L'!BV42</f>
        <v>8.3000000000000007</v>
      </c>
      <c r="AO16" s="1500">
        <f>'qtrP&amp;L'!BV43</f>
        <v>8.3000000000000007</v>
      </c>
      <c r="AP16" s="1500"/>
      <c r="AQ16" s="1500">
        <f>'qtrP&amp;L'!BZ40</f>
        <v>7.6</v>
      </c>
      <c r="AR16" s="1500">
        <f>'qtrP&amp;L'!BZ41</f>
        <v>8.8000000000000007</v>
      </c>
      <c r="AS16" s="1500">
        <f>'qtrP&amp;L'!BZ42</f>
        <v>8.3000000000000007</v>
      </c>
      <c r="AT16" s="1500">
        <f>'qtrP&amp;L'!BZ43</f>
        <v>8.3000000000000007</v>
      </c>
      <c r="AU16" s="1500"/>
      <c r="AV16" s="1500">
        <f>'qtrP&amp;L'!CD40</f>
        <v>7.6</v>
      </c>
      <c r="AW16" s="1500">
        <f>'qtrP&amp;L'!CD41</f>
        <v>8.8000000000000007</v>
      </c>
      <c r="AX16" s="1500">
        <f>'qtrP&amp;L'!CD42</f>
        <v>8.3000000000000007</v>
      </c>
      <c r="AY16" s="1500">
        <f>'qtrP&amp;L'!CD43</f>
        <v>8.3000000000000007</v>
      </c>
      <c r="AZ16" s="1500"/>
      <c r="BA16" s="1500">
        <f>'qtrP&amp;L'!CH40</f>
        <v>7.6</v>
      </c>
      <c r="BB16" s="1500">
        <f>'qtrP&amp;L'!CH41</f>
        <v>8.8000000000000007</v>
      </c>
      <c r="BC16" s="1500">
        <f>'qtrP&amp;L'!CH42</f>
        <v>8.3000000000000007</v>
      </c>
      <c r="BD16" s="1500">
        <f>'qtrP&amp;L'!CH43</f>
        <v>8.3000000000000007</v>
      </c>
      <c r="BE16" s="1500"/>
      <c r="BF16" s="1500">
        <f>'qtrP&amp;L'!CL40</f>
        <v>7.6</v>
      </c>
      <c r="BG16" s="1500">
        <f>'qtrP&amp;L'!CL41</f>
        <v>8.8000000000000007</v>
      </c>
      <c r="BH16" s="1500">
        <f>'qtrP&amp;L'!CL42</f>
        <v>8.3000000000000007</v>
      </c>
      <c r="BI16" s="1500">
        <f>'qtrP&amp;L'!CL43</f>
        <v>8.3000000000000007</v>
      </c>
      <c r="BJ16" s="1500"/>
      <c r="BK16" s="1500">
        <f>'qtrP&amp;L'!CQ40</f>
        <v>0.55261112391650036</v>
      </c>
      <c r="BL16" s="1500">
        <f>'qtrP&amp;L'!CQ41</f>
        <v>0.56553925131600347</v>
      </c>
      <c r="BM16" s="1500">
        <f>'qtrP&amp;L'!CQ42</f>
        <v>0.59792110755159955</v>
      </c>
      <c r="BN16" s="1500">
        <f>'qtrP&amp;L'!CQ43</f>
        <v>0.42115219120918379</v>
      </c>
      <c r="BO16" s="1500"/>
      <c r="BP16" s="1501">
        <f>'qtrP&amp;L'!CU40</f>
        <v>0.60711555406084416</v>
      </c>
      <c r="BQ16" s="1501">
        <f>'qtrP&amp;L'!CU41</f>
        <v>0.60530147796737011</v>
      </c>
      <c r="BR16" s="1501">
        <f>'qtrP&amp;L'!CU42</f>
        <v>0.68333791636273211</v>
      </c>
      <c r="BS16" s="1501">
        <f>'qtrP&amp;L'!CU43</f>
        <v>0.39291484588506914</v>
      </c>
      <c r="BT16" s="1501"/>
      <c r="BU16" s="1501">
        <f>'qtrP&amp;L'!CX40</f>
        <v>7.6</v>
      </c>
      <c r="BV16" s="1501">
        <f>'qtrP&amp;L'!CX41</f>
        <v>8.8000000000000007</v>
      </c>
      <c r="BW16" s="1501">
        <f>'qtrP&amp;L'!CX42</f>
        <v>8.3000000000000007</v>
      </c>
      <c r="BX16" s="1501">
        <f>'qtrP&amp;L'!CX43</f>
        <v>8.3000000000000007</v>
      </c>
      <c r="BY16" s="1501"/>
      <c r="BZ16" s="1501">
        <f>'qtrP&amp;L'!DB40</f>
        <v>8</v>
      </c>
      <c r="CA16" s="1501">
        <f>'qtrP&amp;L'!DB41</f>
        <v>9</v>
      </c>
      <c r="CB16" s="1501">
        <f>'qtrP&amp;L'!DB42</f>
        <v>9</v>
      </c>
      <c r="CC16" s="1501">
        <f>'qtrP&amp;L'!DB43</f>
        <v>9</v>
      </c>
      <c r="CD16" s="1501"/>
      <c r="CE16" s="1501">
        <f>'qtrP&amp;L'!DF40</f>
        <v>8</v>
      </c>
      <c r="CF16" s="1501">
        <f>'qtrP&amp;L'!DF41</f>
        <v>9</v>
      </c>
      <c r="CG16" s="1501">
        <f>'qtrP&amp;L'!DF42</f>
        <v>9</v>
      </c>
      <c r="CH16" s="1501">
        <f>'qtrP&amp;L'!DF43</f>
        <v>9</v>
      </c>
      <c r="CI16" s="1501"/>
      <c r="CJ16" s="1501">
        <f>'qtrP&amp;L'!DJ40</f>
        <v>8</v>
      </c>
      <c r="CK16" s="1501">
        <f>'qtrP&amp;L'!DJ41</f>
        <v>9</v>
      </c>
      <c r="CL16" s="1501">
        <f>'qtrP&amp;L'!DJ42</f>
        <v>9</v>
      </c>
      <c r="CM16" s="1501">
        <f>'qtrP&amp;L'!DJ43</f>
        <v>9</v>
      </c>
      <c r="CN16" s="1501"/>
      <c r="CO16" s="1501">
        <f>'qtrP&amp;L'!DN40</f>
        <v>8</v>
      </c>
      <c r="CP16" s="1501">
        <f>'qtrP&amp;L'!DN41</f>
        <v>9</v>
      </c>
      <c r="CQ16" s="1501">
        <f>'qtrP&amp;L'!DN42</f>
        <v>9</v>
      </c>
      <c r="CR16" s="1501">
        <f>'qtrP&amp;L'!DN43</f>
        <v>9</v>
      </c>
      <c r="CS16" s="1501"/>
      <c r="CT16" s="1501">
        <f>'qtrP&amp;L'!DR40</f>
        <v>8</v>
      </c>
      <c r="CU16" s="1501">
        <f>'qtrP&amp;L'!DR41</f>
        <v>9</v>
      </c>
      <c r="CV16" s="1501">
        <f>'qtrP&amp;L'!DR42</f>
        <v>9</v>
      </c>
      <c r="CW16" s="1501">
        <f>'qtrP&amp;L'!DR43</f>
        <v>9</v>
      </c>
      <c r="CX16" s="1502"/>
      <c r="CY16" s="1497"/>
      <c r="CZ16" s="1497"/>
      <c r="DA16" s="1497"/>
      <c r="DB16" s="1497"/>
      <c r="DC16" s="1497"/>
      <c r="DD16" s="1503">
        <f>'yrP&amp;L'!M28</f>
        <v>43.170424720361446</v>
      </c>
      <c r="DE16" s="1503">
        <f>'yrP&amp;L'!N28</f>
        <v>-13.286076716270964</v>
      </c>
      <c r="DF16" s="1503">
        <f>'yrP&amp;L'!O28</f>
        <v>42.657302215948803</v>
      </c>
      <c r="DG16" s="1503">
        <f>'yrP&amp;L'!P28</f>
        <v>44.300731869594145</v>
      </c>
      <c r="DH16" s="1504">
        <f>'yrP&amp;L'!Q28</f>
        <v>31.606554425137297</v>
      </c>
      <c r="DI16" s="1505">
        <f>'yrP&amp;L'!R28</f>
        <v>33</v>
      </c>
      <c r="DJ16" s="1506">
        <f>'yrP&amp;L'!S28</f>
        <v>33</v>
      </c>
      <c r="DK16" s="1506">
        <f>'yrP&amp;L'!T28</f>
        <v>27.128043000000002</v>
      </c>
      <c r="DL16" s="1506">
        <f>'yrP&amp;L'!U28</f>
        <v>25.897464000000003</v>
      </c>
      <c r="DM16" s="1506">
        <f>'yrP&amp;L'!V28</f>
        <v>28.839834</v>
      </c>
      <c r="DN16" s="1506">
        <f>'yrP&amp;L'!W28</f>
        <v>31.091994</v>
      </c>
      <c r="DO16" s="1506">
        <f>'yrP&amp;L'!X28</f>
        <v>31.375956000000006</v>
      </c>
      <c r="DP16" s="1506">
        <f>'yrP&amp;L'!Y28</f>
        <v>32.319632999999996</v>
      </c>
      <c r="DQ16" s="1506">
        <f>'yrP&amp;L'!Z28</f>
        <v>34.362180000000002</v>
      </c>
      <c r="DR16" s="1506">
        <f>'yrP&amp;L'!AA28</f>
        <v>36.461358000000004</v>
      </c>
      <c r="DS16" s="1506">
        <f>'yrP&amp;L'!AB28</f>
        <v>37.722426000000006</v>
      </c>
      <c r="DT16" s="1506">
        <f>'yrP&amp;L'!AC28</f>
        <v>37.896912</v>
      </c>
      <c r="DU16" s="1506">
        <f>'yrP&amp;L'!AD28</f>
        <v>39.438515585836221</v>
      </c>
      <c r="DV16" s="1506">
        <f>'yrP&amp;L'!AE28</f>
        <v>41.266253834198622</v>
      </c>
      <c r="DW16" s="1507">
        <f>'yrP&amp;L'!AF28</f>
        <v>43.213070108594785</v>
      </c>
      <c r="DX16" s="1506"/>
    </row>
    <row r="17" spans="1:135" collapsed="1">
      <c r="A17" s="1482" t="s">
        <v>1209</v>
      </c>
      <c r="B17" s="1483"/>
      <c r="C17" s="1483">
        <f>C13-C14</f>
        <v>62.207000000000107</v>
      </c>
      <c r="D17" s="1483">
        <f>D13-D14</f>
        <v>104.43999999999994</v>
      </c>
      <c r="E17" s="1483">
        <f>E13-E14</f>
        <v>81.327999999999918</v>
      </c>
      <c r="F17" s="1483">
        <f>F13-F14</f>
        <v>524.98</v>
      </c>
      <c r="G17" s="1483"/>
      <c r="H17" s="1483">
        <f>H13-H14</f>
        <v>112.43200000000002</v>
      </c>
      <c r="I17" s="1483">
        <f>I13-I14</f>
        <v>154.35300000000001</v>
      </c>
      <c r="J17" s="1483">
        <f>J13-J14</f>
        <v>101.97699999999992</v>
      </c>
      <c r="K17" s="1483">
        <f>K13-K14</f>
        <v>443.41999999999985</v>
      </c>
      <c r="L17" s="1483"/>
      <c r="M17" s="1483">
        <f>M13-M14</f>
        <v>38.550999999999988</v>
      </c>
      <c r="N17" s="1483">
        <f>N13-N14</f>
        <v>78.72199999999998</v>
      </c>
      <c r="O17" s="1483">
        <f>O13-O14</f>
        <v>-17.704999999999814</v>
      </c>
      <c r="P17" s="1483">
        <f>P13-P14</f>
        <v>588.44000000000017</v>
      </c>
      <c r="Q17" s="1483"/>
      <c r="R17" s="1483">
        <f>R13-R14</f>
        <v>128.14300000000009</v>
      </c>
      <c r="S17" s="1483">
        <f>S13-S14</f>
        <v>138.67299999999989</v>
      </c>
      <c r="T17" s="1483">
        <f>T13-T14</f>
        <v>17.347999999999956</v>
      </c>
      <c r="U17" s="1483">
        <f>U13-U14</f>
        <v>587.56999999999994</v>
      </c>
      <c r="V17" s="1483"/>
      <c r="W17" s="1483">
        <f>W13-W14</f>
        <v>-57.976354338036387</v>
      </c>
      <c r="X17" s="1483">
        <f>X13-X14</f>
        <v>-56.021270922417628</v>
      </c>
      <c r="Y17" s="1483">
        <f>Y13-Y14</f>
        <v>-58.028005949441486</v>
      </c>
      <c r="Z17" s="1483">
        <f>Z13-Z14</f>
        <v>-54.773214182496105</v>
      </c>
      <c r="AA17" s="1483"/>
      <c r="AB17" s="1483">
        <f>AB13-AB14</f>
        <v>119.37200000000007</v>
      </c>
      <c r="AC17" s="1483">
        <f>AC13-AC14</f>
        <v>226.94299999999987</v>
      </c>
      <c r="AD17" s="1483">
        <f>AD13-AD14</f>
        <v>53.144999999999982</v>
      </c>
      <c r="AE17" s="1483">
        <f>AE13-AE14</f>
        <v>627.34799999999996</v>
      </c>
      <c r="AF17" s="1483"/>
      <c r="AG17" s="1484">
        <f>AG13-AG14+AG15</f>
        <v>135.37799999999999</v>
      </c>
      <c r="AH17" s="1484">
        <f>AH13-AH14</f>
        <v>153.34799999999973</v>
      </c>
      <c r="AI17" s="1484">
        <f>AI13-AI14</f>
        <v>20.295999999999822</v>
      </c>
      <c r="AJ17" s="1484">
        <f>AJ13-AJ14</f>
        <v>693.60300000000007</v>
      </c>
      <c r="AK17" s="1483"/>
      <c r="AL17" s="1483">
        <f>AL13-AL14</f>
        <v>185.94599999999991</v>
      </c>
      <c r="AM17" s="1483">
        <f>AM13-AM14</f>
        <v>196.77999999999975</v>
      </c>
      <c r="AN17" s="1483">
        <f>AN13-AN14</f>
        <v>66.539000000000215</v>
      </c>
      <c r="AO17" s="1483">
        <f>AO13-AO14</f>
        <v>726.81999999999994</v>
      </c>
      <c r="AP17" s="1483"/>
      <c r="AQ17" s="1483">
        <f>AQ13-AQ14</f>
        <v>108.52499999999986</v>
      </c>
      <c r="AR17" s="1483">
        <f>AR13-AR14</f>
        <v>142.32900000000018</v>
      </c>
      <c r="AS17" s="1483">
        <f>AS13-AS14</f>
        <v>36.583999999999946</v>
      </c>
      <c r="AT17" s="1483">
        <f>AT13-AT14</f>
        <v>573.60699999999997</v>
      </c>
      <c r="AU17" s="1483"/>
      <c r="AV17" s="1483">
        <f>AV13-AV14</f>
        <v>100.43799999999999</v>
      </c>
      <c r="AW17" s="1483">
        <f>AW13-AW14</f>
        <v>185.15899999999976</v>
      </c>
      <c r="AX17" s="1483">
        <f>AX13-AX14</f>
        <v>41.136999999999944</v>
      </c>
      <c r="AY17" s="1483">
        <f>AY13-AY14</f>
        <v>390.7349999999999</v>
      </c>
      <c r="AZ17" s="1483"/>
      <c r="BA17" s="1483">
        <f>BA13-BA14</f>
        <v>65.211999999999989</v>
      </c>
      <c r="BB17" s="1483">
        <f>BB13-BB14</f>
        <v>148.64300000000003</v>
      </c>
      <c r="BC17" s="1483">
        <f>BC13-BC14</f>
        <v>58.885000000000048</v>
      </c>
      <c r="BD17" s="1483">
        <f>BD13-BD14-BD15</f>
        <v>582.14099999999894</v>
      </c>
      <c r="BE17" s="1483"/>
      <c r="BF17" s="1483">
        <f>BG13-BG14</f>
        <v>236.45700000000033</v>
      </c>
      <c r="BG17" s="1483">
        <f>BG13-BG14</f>
        <v>236.45700000000033</v>
      </c>
      <c r="BH17" s="1483">
        <f>BH13-BH14</f>
        <v>149.09800000000018</v>
      </c>
      <c r="BI17" s="1483">
        <f>BI13-BI14</f>
        <v>713.50200000000018</v>
      </c>
      <c r="BJ17" s="1483"/>
      <c r="BK17" s="1483">
        <f>BK13-BK14</f>
        <v>266.82299999999987</v>
      </c>
      <c r="BL17" s="1483">
        <f>BL13-BL14</f>
        <v>306.96100000000013</v>
      </c>
      <c r="BM17" s="1483">
        <f>BM13-BM14</f>
        <v>186.10200000000009</v>
      </c>
      <c r="BN17" s="1483">
        <f>BN13-BN14</f>
        <v>786.53899999999987</v>
      </c>
      <c r="BO17" s="1483"/>
      <c r="BP17" s="1484">
        <f>BP13-BP14</f>
        <v>293.2270000000002</v>
      </c>
      <c r="BQ17" s="1484">
        <f>BQ13-BQ14</f>
        <v>308.87899999999979</v>
      </c>
      <c r="BR17" s="1484">
        <f>BR13-BR14</f>
        <v>197.38499999999965</v>
      </c>
      <c r="BS17" s="1484">
        <f>BS13-BS14</f>
        <v>907.83900000000017</v>
      </c>
      <c r="BT17" s="1484"/>
      <c r="BU17" s="1484">
        <f>BU13-BU14</f>
        <v>311.18100000000004</v>
      </c>
      <c r="BV17" s="1484">
        <f>BV13-BV14</f>
        <v>357.80600000000004</v>
      </c>
      <c r="BW17" s="1484">
        <f>BW13-BW14</f>
        <v>211.02600000000007</v>
      </c>
      <c r="BX17" s="1484">
        <f>BX13-BX14</f>
        <v>863.46100000000024</v>
      </c>
      <c r="BY17" s="1484"/>
      <c r="BZ17" s="1484">
        <f>BZ13-BZ14</f>
        <v>336.1110000000001</v>
      </c>
      <c r="CA17" s="1484">
        <f>CA13-CA14</f>
        <v>375.94200000000012</v>
      </c>
      <c r="CB17" s="1484">
        <f>CB13-CB14</f>
        <v>284.11300000000017</v>
      </c>
      <c r="CC17" s="1484">
        <f>CC13-CC14</f>
        <v>956.95299999999975</v>
      </c>
      <c r="CD17" s="1484"/>
      <c r="CE17" s="1484">
        <f>CE13-CE14</f>
        <v>371.84299999999985</v>
      </c>
      <c r="CF17" s="1484">
        <f>CF13-CF14</f>
        <v>402.92600000000004</v>
      </c>
      <c r="CG17" s="1484">
        <f>CG13-CG14</f>
        <v>338.7639999999999</v>
      </c>
      <c r="CH17" s="1484">
        <f>CH13-CH14</f>
        <v>1077.9779999999996</v>
      </c>
      <c r="CI17" s="1484"/>
      <c r="CJ17" s="1484">
        <f>CJ13-CJ14</f>
        <v>357.93299999999999</v>
      </c>
      <c r="CK17" s="1484">
        <f>CK13-CK14</f>
        <v>408.21600000000024</v>
      </c>
      <c r="CL17" s="1484">
        <f>CL13-CL14</f>
        <v>283.57999999999981</v>
      </c>
      <c r="CM17" s="1484">
        <f>CM13-CM14</f>
        <v>987.55200000000013</v>
      </c>
      <c r="CN17" s="1484"/>
      <c r="CO17" s="1484">
        <f>CO13-CO14</f>
        <v>209.19200000000012</v>
      </c>
      <c r="CP17" s="1484">
        <f>CP13-CP14</f>
        <v>300.8950000000001</v>
      </c>
      <c r="CQ17" s="1484">
        <f>CQ13-CQ14</f>
        <v>231.66300000000024</v>
      </c>
      <c r="CR17" s="1484">
        <f>CR13-CR14</f>
        <v>986.6340000000007</v>
      </c>
      <c r="CS17" s="1484"/>
      <c r="CT17" s="1484">
        <f>CT13-CT14</f>
        <v>165.36822417787312</v>
      </c>
      <c r="CU17" s="1484">
        <f>CU13-CU14</f>
        <v>286.11371116896828</v>
      </c>
      <c r="CV17" s="1484">
        <f>CV13-CV14</f>
        <v>227.68463953962862</v>
      </c>
      <c r="CW17" s="1484">
        <f>CW13-CW14</f>
        <v>941.8330001134525</v>
      </c>
      <c r="CX17" s="1485"/>
      <c r="CY17" s="1486">
        <f>CY13-CY14</f>
        <v>937.70999999999958</v>
      </c>
      <c r="CZ17" s="1486">
        <f>CZ13-CZ14</f>
        <v>912.5840000000012</v>
      </c>
      <c r="DA17" s="1486">
        <f>DA13-DA14</f>
        <v>928.8080000000009</v>
      </c>
      <c r="DB17" s="1486">
        <f>DB13-DB14</f>
        <v>1045.3980000000001</v>
      </c>
      <c r="DC17" s="1486">
        <f>DC13-DC14-DC11</f>
        <v>812.18199999999979</v>
      </c>
      <c r="DD17" s="1487">
        <f t="shared" ref="DD17:DK17" si="4">DD13-DD14</f>
        <v>688.00800000000072</v>
      </c>
      <c r="DE17" s="1487">
        <f t="shared" si="4"/>
        <v>871.73400000000038</v>
      </c>
      <c r="DF17" s="1487">
        <f t="shared" si="4"/>
        <v>963.08199999999988</v>
      </c>
      <c r="DG17" s="1487">
        <f t="shared" si="4"/>
        <v>1026.808</v>
      </c>
      <c r="DH17" s="1488">
        <f t="shared" si="4"/>
        <v>985.78099999999995</v>
      </c>
      <c r="DI17" s="1486">
        <f t="shared" si="4"/>
        <v>1176.0849999999982</v>
      </c>
      <c r="DJ17" s="1486">
        <f t="shared" si="4"/>
        <v>861.04500000000007</v>
      </c>
      <c r="DK17" s="1486">
        <f t="shared" si="4"/>
        <v>717.46900000000005</v>
      </c>
      <c r="DL17" s="1486">
        <f>DL13-DL14-DL15</f>
        <v>854.88100000000009</v>
      </c>
      <c r="DM17" s="1486">
        <f t="shared" ref="DM17:DU17" si="5">DM13-DM14</f>
        <v>1284.0330000000008</v>
      </c>
      <c r="DN17" s="1486">
        <f t="shared" si="5"/>
        <v>1546.4249999999993</v>
      </c>
      <c r="DO17" s="1486">
        <f t="shared" si="5"/>
        <v>1707.3260000000028</v>
      </c>
      <c r="DP17" s="1486">
        <f t="shared" si="5"/>
        <v>1743.4869999999974</v>
      </c>
      <c r="DQ17" s="1486">
        <f t="shared" si="5"/>
        <v>1953.1020000000017</v>
      </c>
      <c r="DR17" s="1486">
        <f t="shared" si="5"/>
        <v>2191.5069999999992</v>
      </c>
      <c r="DS17" s="1486">
        <f t="shared" si="5"/>
        <v>2037.4020000000014</v>
      </c>
      <c r="DT17" s="1486">
        <f t="shared" si="5"/>
        <v>1728.2610000000004</v>
      </c>
      <c r="DU17" s="1486">
        <f t="shared" si="5"/>
        <v>1620.9995749999216</v>
      </c>
      <c r="DV17" s="1486">
        <f>DV13-DV14</f>
        <v>1714.1677998377477</v>
      </c>
      <c r="DW17" s="1488">
        <f>DW13-DW14</f>
        <v>1808.591966914486</v>
      </c>
      <c r="DX17" s="1486"/>
    </row>
    <row r="18" spans="1:135" ht="4.5" customHeight="1">
      <c r="A18" s="1425"/>
      <c r="B18" s="1483"/>
      <c r="C18" s="1483"/>
      <c r="D18" s="1483"/>
      <c r="E18" s="1483"/>
      <c r="F18" s="1483"/>
      <c r="G18" s="1483"/>
      <c r="H18" s="1483"/>
      <c r="I18" s="1483"/>
      <c r="J18" s="1483"/>
      <c r="K18" s="1483"/>
      <c r="L18" s="1483"/>
      <c r="M18" s="1483"/>
      <c r="N18" s="1483"/>
      <c r="O18" s="1483"/>
      <c r="P18" s="1483"/>
      <c r="Q18" s="1483"/>
      <c r="R18" s="1483"/>
      <c r="S18" s="1483"/>
      <c r="T18" s="1483"/>
      <c r="U18" s="1483"/>
      <c r="V18" s="1483"/>
      <c r="W18" s="1483"/>
      <c r="X18" s="1483"/>
      <c r="Y18" s="1483"/>
      <c r="Z18" s="1483"/>
      <c r="AA18" s="1483"/>
      <c r="AB18" s="1483"/>
      <c r="AC18" s="1483"/>
      <c r="AD18" s="1483"/>
      <c r="AE18" s="1483"/>
      <c r="AF18" s="1483"/>
      <c r="AG18" s="1484"/>
      <c r="AH18" s="1484"/>
      <c r="AI18" s="1484"/>
      <c r="AJ18" s="1484"/>
      <c r="AK18" s="1483"/>
      <c r="AL18" s="1483"/>
      <c r="AM18" s="1483"/>
      <c r="AN18" s="1483"/>
      <c r="AO18" s="1483"/>
      <c r="AP18" s="1483"/>
      <c r="AQ18" s="1483"/>
      <c r="AR18" s="1483"/>
      <c r="AS18" s="1483"/>
      <c r="AT18" s="1483"/>
      <c r="AU18" s="1483"/>
      <c r="AV18" s="1483"/>
      <c r="AW18" s="1483"/>
      <c r="AX18" s="1483"/>
      <c r="AY18" s="1483"/>
      <c r="AZ18" s="1483"/>
      <c r="BA18" s="1483"/>
      <c r="BB18" s="1483"/>
      <c r="BC18" s="1483"/>
      <c r="BD18" s="1483"/>
      <c r="BE18" s="1483"/>
      <c r="BF18" s="1483"/>
      <c r="BG18" s="1483"/>
      <c r="BH18" s="1483"/>
      <c r="BI18" s="1483"/>
      <c r="BJ18" s="1483"/>
      <c r="BK18" s="1483"/>
      <c r="BL18" s="1483"/>
      <c r="BM18" s="1483"/>
      <c r="BN18" s="1483"/>
      <c r="BO18" s="1483"/>
      <c r="BP18" s="1484"/>
      <c r="BQ18" s="1484"/>
      <c r="BR18" s="1484"/>
      <c r="BS18" s="1484"/>
      <c r="BT18" s="1484"/>
      <c r="BU18" s="1484"/>
      <c r="BV18" s="1484"/>
      <c r="BW18" s="1484"/>
      <c r="BX18" s="1484"/>
      <c r="BY18" s="1484"/>
      <c r="BZ18" s="1484"/>
      <c r="CA18" s="1484"/>
      <c r="CB18" s="1484"/>
      <c r="CC18" s="1484"/>
      <c r="CD18" s="1484"/>
      <c r="CE18" s="1484"/>
      <c r="CF18" s="1484"/>
      <c r="CG18" s="1484"/>
      <c r="CH18" s="1484"/>
      <c r="CI18" s="1484"/>
      <c r="CJ18" s="1484"/>
      <c r="CK18" s="1484"/>
      <c r="CL18" s="1484"/>
      <c r="CM18" s="1484"/>
      <c r="CN18" s="1484"/>
      <c r="CO18" s="1484"/>
      <c r="CP18" s="1484"/>
      <c r="CQ18" s="1484"/>
      <c r="CR18" s="1484"/>
      <c r="CS18" s="1484"/>
      <c r="CT18" s="1484"/>
      <c r="CU18" s="1484"/>
      <c r="CV18" s="1484"/>
      <c r="CW18" s="1484"/>
      <c r="CX18" s="1485"/>
      <c r="CY18" s="1486"/>
      <c r="CZ18" s="1486"/>
      <c r="DA18" s="1486"/>
      <c r="DB18" s="1486"/>
      <c r="DC18" s="1486"/>
      <c r="DD18" s="1487"/>
      <c r="DE18" s="1487"/>
      <c r="DF18" s="1487"/>
      <c r="DG18" s="1487"/>
      <c r="DH18" s="1488"/>
      <c r="DI18" s="1486"/>
      <c r="DJ18" s="1486"/>
      <c r="DK18" s="1486"/>
      <c r="DL18" s="1486"/>
      <c r="DM18" s="1486"/>
      <c r="DN18" s="1486"/>
      <c r="DO18" s="1486"/>
      <c r="DP18" s="1486"/>
      <c r="DQ18" s="1486"/>
      <c r="DR18" s="1486"/>
      <c r="DS18" s="1486"/>
      <c r="DT18" s="1486"/>
      <c r="DU18" s="1486"/>
      <c r="DV18" s="1486"/>
      <c r="DW18" s="1488"/>
      <c r="DX18" s="1486"/>
    </row>
    <row r="19" spans="1:135">
      <c r="A19" s="1495" t="s">
        <v>178</v>
      </c>
      <c r="B19" s="1495"/>
      <c r="C19" s="1495">
        <f>'qtrP&amp;L'!$AP70</f>
        <v>-16.79</v>
      </c>
      <c r="D19" s="1495">
        <f>'qtrP&amp;L'!$AP71</f>
        <v>-20.158999999999999</v>
      </c>
      <c r="E19" s="1495">
        <f>'qtrP&amp;L'!$AP72</f>
        <v>-20.411999999999999</v>
      </c>
      <c r="F19" s="1495">
        <f>'qtrP&amp;L'!$AP73</f>
        <v>-20.936</v>
      </c>
      <c r="G19" s="1495"/>
      <c r="H19" s="1495">
        <f>'qtrP&amp;L'!$AT70</f>
        <v>-14.007999999999999</v>
      </c>
      <c r="I19" s="1495">
        <f>'qtrP&amp;L'!$AT71</f>
        <v>-12.670999999999999</v>
      </c>
      <c r="J19" s="1495">
        <f>'qtrP&amp;L'!$AT72</f>
        <v>-14.826000000000001</v>
      </c>
      <c r="K19" s="1495">
        <f>'qtrP&amp;L'!$AT73</f>
        <v>-16.739000000000001</v>
      </c>
      <c r="L19" s="1495"/>
      <c r="M19" s="1495">
        <f>'qtrP&amp;L'!$AX70</f>
        <v>-8.2859999999999996</v>
      </c>
      <c r="N19" s="1495">
        <f>'qtrP&amp;L'!$AX71</f>
        <v>-8.41</v>
      </c>
      <c r="O19" s="1495">
        <f>'qtrP&amp;L'!$AX72</f>
        <v>-8.6739999999999995</v>
      </c>
      <c r="P19" s="1495">
        <f>'qtrP&amp;L'!$AX73</f>
        <v>-8.59</v>
      </c>
      <c r="Q19" s="1495"/>
      <c r="R19" s="1495">
        <f>'qtrP&amp;L'!$BB70</f>
        <v>-9.23</v>
      </c>
      <c r="S19" s="1495">
        <f>'qtrP&amp;L'!$BB71</f>
        <v>-6.1550000000000002</v>
      </c>
      <c r="T19" s="1495">
        <f>'qtrP&amp;L'!$BB72</f>
        <v>-6.4429999999999996</v>
      </c>
      <c r="U19" s="1495">
        <f>'qtrP&amp;L'!$BB73</f>
        <v>-7.7309999999999999</v>
      </c>
      <c r="V19" s="1495"/>
      <c r="W19" s="1495">
        <f>'qtrP&amp;L'!$BG70</f>
        <v>-1.4639333397383809</v>
      </c>
      <c r="X19" s="1495">
        <f>'qtrP&amp;L'!$BG71</f>
        <v>-0.56724919145268426</v>
      </c>
      <c r="Y19" s="1495">
        <f>'qtrP&amp;L'!$BG72</f>
        <v>-0.6329970705610336</v>
      </c>
      <c r="Z19" s="1495">
        <f>'qtrP&amp;L'!$BG73</f>
        <v>-0.36314756363361744</v>
      </c>
      <c r="AA19" s="1495"/>
      <c r="AB19" s="1495">
        <f>+'qtrP&amp;L'!$BJ$70</f>
        <v>-11.643000000000001</v>
      </c>
      <c r="AC19" s="1495">
        <f>+'qtrP&amp;L'!$BJ$71</f>
        <v>-12.047000000000001</v>
      </c>
      <c r="AD19" s="1495">
        <f>+'qtrP&amp;L'!$BJ$72</f>
        <v>-13.234</v>
      </c>
      <c r="AE19" s="1495">
        <f>+'qtrP&amp;L'!$BJ$73</f>
        <v>-21.341999999999999</v>
      </c>
      <c r="AF19" s="1495"/>
      <c r="AG19" s="1490">
        <f>+'qtrP&amp;L'!$BR$70</f>
        <v>-23.068999999999999</v>
      </c>
      <c r="AH19" s="1490">
        <f>+'qtrP&amp;L'!$BR$71</f>
        <v>-21.888999999999999</v>
      </c>
      <c r="AI19" s="1490">
        <f>+'qtrP&amp;L'!$BR$72</f>
        <v>-24.561</v>
      </c>
      <c r="AJ19" s="1490">
        <f>+'qtrP&amp;L'!$BR$73</f>
        <v>-24.846</v>
      </c>
      <c r="AK19" s="1495"/>
      <c r="AL19" s="1495">
        <f>+'qtrP&amp;L'!$BV$70</f>
        <v>-24.018000000000001</v>
      </c>
      <c r="AM19" s="1495">
        <f>+'qtrP&amp;L'!$BV$71</f>
        <v>-24.341000000000001</v>
      </c>
      <c r="AN19" s="1495">
        <f>+'qtrP&amp;L'!$BV$72</f>
        <v>-25.655000000000001</v>
      </c>
      <c r="AO19" s="1495">
        <f>+'qtrP&amp;L'!$BV$73</f>
        <v>-27.821000000000002</v>
      </c>
      <c r="AP19" s="1495"/>
      <c r="AQ19" s="1495">
        <f>+'qtrP&amp;L'!$BZ$70</f>
        <v>-25.363</v>
      </c>
      <c r="AR19" s="1495">
        <f>+'qtrP&amp;L'!$BZ$71</f>
        <v>-30.847000000000001</v>
      </c>
      <c r="AS19" s="1495">
        <f>+'qtrP&amp;L'!$BZ$72</f>
        <v>-46.994</v>
      </c>
      <c r="AT19" s="1495">
        <f>+'qtrP&amp;L'!$BZ$73</f>
        <v>-46.292000000000002</v>
      </c>
      <c r="AU19" s="1495"/>
      <c r="AV19" s="1495">
        <f>'qtrP&amp;L'!CD70</f>
        <v>-45.021000000000001</v>
      </c>
      <c r="AW19" s="1495">
        <f>'qtrP&amp;L'!CD71</f>
        <v>-46.728999999999999</v>
      </c>
      <c r="AX19" s="1495">
        <f>'qtrP&amp;L'!CD72</f>
        <v>-44.463999999999999</v>
      </c>
      <c r="AY19" s="1495">
        <f>'qtrP&amp;L'!CD73</f>
        <v>-44.575000000000003</v>
      </c>
      <c r="AZ19" s="1495"/>
      <c r="BA19" s="1495">
        <f>'qtrP&amp;L'!CH70</f>
        <v>-61.698</v>
      </c>
      <c r="BB19" s="1495">
        <f>'qtrP&amp;L'!CH71</f>
        <v>-57.828000000000003</v>
      </c>
      <c r="BC19" s="1495">
        <f>'qtrP&amp;L'!CH72</f>
        <v>-56.320999999999998</v>
      </c>
      <c r="BD19" s="1495">
        <f>'qtrP&amp;L'!CH73</f>
        <v>-61.295999999999999</v>
      </c>
      <c r="BE19" s="1495"/>
      <c r="BF19" s="1495">
        <f>'qtrP&amp;L'!$CL70</f>
        <v>-61.12</v>
      </c>
      <c r="BG19" s="1495">
        <f>'qtrP&amp;L'!CL71</f>
        <v>-51.750999999999998</v>
      </c>
      <c r="BH19" s="1495">
        <f>'qtrP&amp;L'!CL72</f>
        <v>-47.223999999999997</v>
      </c>
      <c r="BI19" s="1495">
        <f>'qtrP&amp;L'!CL73</f>
        <v>-47.746000000000002</v>
      </c>
      <c r="BJ19" s="1495"/>
      <c r="BK19" s="1495">
        <f>'qtrP&amp;L'!$CP70</f>
        <v>-54.667999999999999</v>
      </c>
      <c r="BL19" s="1495">
        <f>'qtrP&amp;L'!$CP71</f>
        <v>-63.921000000000006</v>
      </c>
      <c r="BM19" s="1495">
        <f>'qtrP&amp;L'!$CP72</f>
        <v>-63.86</v>
      </c>
      <c r="BN19" s="1495">
        <f>'qtrP&amp;L'!$CP73</f>
        <v>-63.487000000000002</v>
      </c>
      <c r="BO19" s="1495"/>
      <c r="BP19" s="1490">
        <f>'qtrP&amp;L'!$CT70</f>
        <v>-77.792000000000002</v>
      </c>
      <c r="BQ19" s="1490">
        <f>'qtrP&amp;L'!$CT71</f>
        <v>-79.525999999999996</v>
      </c>
      <c r="BR19" s="1490">
        <f>'qtrP&amp;L'!$CT72</f>
        <v>-77.155000000000001</v>
      </c>
      <c r="BS19" s="1490">
        <f>'qtrP&amp;L'!$CT73</f>
        <v>-82.254000000000005</v>
      </c>
      <c r="BT19" s="1490"/>
      <c r="BU19" s="1490">
        <f>'qtrP&amp;L'!CX70</f>
        <v>-79.373999999999995</v>
      </c>
      <c r="BV19" s="1490">
        <f>'qtrP&amp;L'!CX71</f>
        <v>-75.968000000000004</v>
      </c>
      <c r="BW19" s="1490">
        <f>'qtrP&amp;L'!CX72</f>
        <v>-76.84</v>
      </c>
      <c r="BX19" s="1490">
        <f>'qtrP&amp;L'!CX73</f>
        <v>-82.22</v>
      </c>
      <c r="BY19" s="1490"/>
      <c r="BZ19" s="1490">
        <f>'qtrP&amp;L'!DB70</f>
        <v>-84.322999999999993</v>
      </c>
      <c r="CA19" s="1490">
        <f>'qtrP&amp;L'!DB71</f>
        <v>-81.631</v>
      </c>
      <c r="CB19" s="1490">
        <f>'qtrP&amp;L'!DB72</f>
        <v>-80.343999999999994</v>
      </c>
      <c r="CC19" s="1490">
        <f>'qtrP&amp;L'!DB73</f>
        <v>-77.744</v>
      </c>
      <c r="CD19" s="1490"/>
      <c r="CE19" s="1490">
        <f>'qtrP&amp;L'!DF70</f>
        <v>-79.947999999999993</v>
      </c>
      <c r="CF19" s="1490">
        <f>'qtrP&amp;L'!DF71</f>
        <v>-77.777000000000001</v>
      </c>
      <c r="CG19" s="1490">
        <f>'qtrP&amp;L'!DF72</f>
        <v>-78.861999999999995</v>
      </c>
      <c r="CH19" s="1490">
        <f>'qtrP&amp;L'!DF73</f>
        <v>-97.150999999999996</v>
      </c>
      <c r="CI19" s="1490"/>
      <c r="CJ19" s="1490">
        <f>'qtrP&amp;L'!DJ70</f>
        <v>-97.328000000000003</v>
      </c>
      <c r="CK19" s="1490">
        <f>'qtrP&amp;L'!DJ71</f>
        <v>-101.172</v>
      </c>
      <c r="CL19" s="1490">
        <f>'qtrP&amp;L'!DJ72</f>
        <v>-96.816999999999993</v>
      </c>
      <c r="CM19" s="1490">
        <f>'qtrP&amp;L'!DJ73</f>
        <v>-98.346000000000004</v>
      </c>
      <c r="CN19" s="1490"/>
      <c r="CO19" s="1490">
        <f>'qtrP&amp;L'!DN70</f>
        <v>-100.608</v>
      </c>
      <c r="CP19" s="1490">
        <f>'qtrP&amp;L'!DN71</f>
        <v>-100.428</v>
      </c>
      <c r="CQ19" s="1490">
        <f>'qtrP&amp;L'!DN72</f>
        <v>-98.64</v>
      </c>
      <c r="CR19" s="1490">
        <f>'qtrP&amp;L'!DN73</f>
        <v>-106.313</v>
      </c>
      <c r="CS19" s="1490"/>
      <c r="CT19" s="1490">
        <f>'qtrP&amp;L'!DR70</f>
        <v>-95</v>
      </c>
      <c r="CU19" s="1490">
        <f>'qtrP&amp;L'!DR71</f>
        <v>-92</v>
      </c>
      <c r="CV19" s="1490">
        <f>'qtrP&amp;L'!DR72</f>
        <v>-92</v>
      </c>
      <c r="CW19" s="1490">
        <f>'qtrP&amp;L'!DR73</f>
        <v>-92</v>
      </c>
      <c r="CX19" s="1491"/>
      <c r="CY19" s="1497">
        <f>'yrP&amp;L'!H40</f>
        <v>-75.363</v>
      </c>
      <c r="CZ19" s="1497">
        <f>'yrP&amp;L'!I40</f>
        <v>-68.728000000000009</v>
      </c>
      <c r="DA19" s="1497">
        <f>'yrP&amp;L'!J40</f>
        <v>-68.527999999999992</v>
      </c>
      <c r="DB19" s="1497">
        <f>'yrP&amp;L'!K40</f>
        <v>-78.296999999999997</v>
      </c>
      <c r="DC19" s="1497">
        <f>'yrP&amp;L'!L40</f>
        <v>-58.244</v>
      </c>
      <c r="DD19" s="1498">
        <f>'yrP&amp;L'!M40</f>
        <v>-33.959999999999994</v>
      </c>
      <c r="DE19" s="1498">
        <f>'yrP&amp;L'!N40</f>
        <v>-29.559000000000005</v>
      </c>
      <c r="DF19" s="1498">
        <f>'yrP&amp;L'!O40</f>
        <v>-61.817999999999998</v>
      </c>
      <c r="DG19" s="1498">
        <f>'yrP&amp;L'!P40</f>
        <v>-58.265999999999998</v>
      </c>
      <c r="DH19" s="1499">
        <f>'yrP&amp;L'!Q40</f>
        <v>-94.365000000000009</v>
      </c>
      <c r="DI19" s="1497">
        <f>'yrP&amp;L'!R40</f>
        <v>-101.83500000000001</v>
      </c>
      <c r="DJ19" s="1497">
        <f>'yrP&amp;L'!S40</f>
        <v>-149.49600000000001</v>
      </c>
      <c r="DK19" s="1497">
        <f>'yrP&amp;L'!T40</f>
        <v>-180.78899999999999</v>
      </c>
      <c r="DL19" s="1497">
        <f>'yrP&amp;L'!U40</f>
        <v>-237.143</v>
      </c>
      <c r="DM19" s="1497">
        <f>'yrP&amp;L'!V40</f>
        <v>-207.84100000000001</v>
      </c>
      <c r="DN19" s="1497">
        <f>'yrP&amp;L'!W40</f>
        <v>-245.93600000000001</v>
      </c>
      <c r="DO19" s="1497">
        <f>'yrP&amp;L'!X40</f>
        <v>-316.72699999999998</v>
      </c>
      <c r="DP19" s="1497">
        <f>'yrP&amp;L'!Y40</f>
        <v>-314.40199999999999</v>
      </c>
      <c r="DQ19" s="1497">
        <f>'yrP&amp;L'!Z40</f>
        <v>-324.04200000000003</v>
      </c>
      <c r="DR19" s="1497">
        <f>'yrP&amp;L'!AA40</f>
        <v>-333.738</v>
      </c>
      <c r="DS19" s="1497">
        <f>'yrP&amp;L'!AB40</f>
        <v>-393.66300000000001</v>
      </c>
      <c r="DT19" s="1497">
        <f>'yrP&amp;L'!AC40</f>
        <v>-405.98899999999998</v>
      </c>
      <c r="DU19" s="1497">
        <f>'yrP&amp;L'!AD40</f>
        <v>-371</v>
      </c>
      <c r="DV19" s="1497">
        <f>'yrP&amp;L'!AE40</f>
        <v>-368</v>
      </c>
      <c r="DW19" s="1499">
        <f>'yrP&amp;L'!AF40</f>
        <v>-349.33333333333331</v>
      </c>
      <c r="DX19" s="1497"/>
    </row>
    <row r="20" spans="1:135">
      <c r="A20" s="1495" t="s">
        <v>1220</v>
      </c>
      <c r="B20" s="1495"/>
      <c r="C20" s="1495"/>
      <c r="D20" s="1495"/>
      <c r="E20" s="1495"/>
      <c r="F20" s="1495"/>
      <c r="G20" s="1495"/>
      <c r="H20" s="1495"/>
      <c r="I20" s="1495"/>
      <c r="J20" s="1495"/>
      <c r="K20" s="1495"/>
      <c r="L20" s="1495"/>
      <c r="M20" s="1495">
        <f>+'qtrP&amp;L'!$AX$80</f>
        <v>7.7809999999999997</v>
      </c>
      <c r="N20" s="1495">
        <f>+'qtrP&amp;L'!$AX$81</f>
        <v>9.02</v>
      </c>
      <c r="O20" s="1495">
        <f>+'qtrP&amp;L'!$AX$82</f>
        <v>4.5060000000000002</v>
      </c>
      <c r="P20" s="1495">
        <f>+'qtrP&amp;L'!$AX$83</f>
        <v>8.516</v>
      </c>
      <c r="Q20" s="1495"/>
      <c r="R20" s="1495">
        <f>+'qtrP&amp;L'!$BB$80</f>
        <v>8.9610000000000003</v>
      </c>
      <c r="S20" s="1495">
        <f>+'qtrP&amp;L'!$BB$81</f>
        <v>6.1180000000000003</v>
      </c>
      <c r="T20" s="1495">
        <f>+'qtrP&amp;L'!$BB$82</f>
        <v>6.48</v>
      </c>
      <c r="U20" s="1495">
        <f>+'qtrP&amp;L'!$BB$83</f>
        <v>13.446</v>
      </c>
      <c r="V20" s="1495"/>
      <c r="W20" s="1495">
        <f>+'qtrP&amp;L'!$BG$80</f>
        <v>4.1415689218405057E-2</v>
      </c>
      <c r="X20" s="1495">
        <f>+'qtrP&amp;L'!$BG$81</f>
        <v>0.44769242532418851</v>
      </c>
      <c r="Y20" s="1495">
        <f>+'qtrP&amp;L'!$BG$82</f>
        <v>2.2653606025655604</v>
      </c>
      <c r="Z20" s="1495">
        <f>+'qtrP&amp;L'!$BG$83</f>
        <v>0.15128827163053965</v>
      </c>
      <c r="AA20" s="1495"/>
      <c r="AB20" s="1495">
        <f>+'qtrP&amp;L'!$BJ$80</f>
        <v>4.0510000000000002</v>
      </c>
      <c r="AC20" s="1495">
        <f>+'qtrP&amp;L'!$BJ$81</f>
        <v>9.4390000000000001</v>
      </c>
      <c r="AD20" s="1495">
        <f>+'qtrP&amp;L'!$BJ$82</f>
        <v>14.766</v>
      </c>
      <c r="AE20" s="1495">
        <f>+'qtrP&amp;L'!$BJ$83</f>
        <v>11.474</v>
      </c>
      <c r="AF20" s="1495"/>
      <c r="AG20" s="1490">
        <f>+'qtrP&amp;L'!$BR$80</f>
        <v>7.9560000000000004</v>
      </c>
      <c r="AH20" s="1490">
        <f>+'qtrP&amp;L'!$BR$81</f>
        <v>3.0519999999999996</v>
      </c>
      <c r="AI20" s="1490">
        <f>+'qtrP&amp;L'!$BR$82</f>
        <v>2.5819999999999999</v>
      </c>
      <c r="AJ20" s="1490">
        <f>+'qtrP&amp;L'!$BR$83</f>
        <v>52.414000000000001</v>
      </c>
      <c r="AK20" s="1495"/>
      <c r="AL20" s="1495">
        <f>+'qtrP&amp;L'!$BV$80</f>
        <v>7.7559999999999993</v>
      </c>
      <c r="AM20" s="1495">
        <f>+'qtrP&amp;L'!$BV$81</f>
        <v>7.6400000000000006</v>
      </c>
      <c r="AN20" s="1495">
        <f>+'qtrP&amp;L'!$BV$82</f>
        <v>0.62400000000000011</v>
      </c>
      <c r="AO20" s="1495">
        <f>+'qtrP&amp;L'!$BV$83</f>
        <v>6.7789999999999999</v>
      </c>
      <c r="AP20" s="1495"/>
      <c r="AQ20" s="1495">
        <f>+'qtrP&amp;L'!$BZ$80</f>
        <v>8.7659999999999982</v>
      </c>
      <c r="AR20" s="1495">
        <f>+'qtrP&amp;L'!$BZ$81</f>
        <v>12.097000000000007</v>
      </c>
      <c r="AS20" s="1495">
        <f>+'qtrP&amp;L'!$BZ$82</f>
        <v>9.0449999999999999</v>
      </c>
      <c r="AT20" s="1495">
        <f>+'qtrP&amp;L'!$BZ$83</f>
        <v>15.404</v>
      </c>
      <c r="AU20" s="1495"/>
      <c r="AV20" s="1495">
        <f>'qtrP&amp;L'!CD80</f>
        <v>11.135</v>
      </c>
      <c r="AW20" s="1495">
        <f>'qtrP&amp;L'!CD81</f>
        <v>12.797000000000001</v>
      </c>
      <c r="AX20" s="1495">
        <f>'qtrP&amp;L'!CD82</f>
        <v>6.4340000000000002</v>
      </c>
      <c r="AY20" s="1495">
        <f>'qtrP&amp;L'!CD83</f>
        <v>1.65</v>
      </c>
      <c r="AZ20" s="1495"/>
      <c r="BA20" s="1495">
        <f>'qtrP&amp;L'!CH80</f>
        <v>-0.28100000000000003</v>
      </c>
      <c r="BB20" s="1495">
        <f>'qtrP&amp;L'!CH81</f>
        <v>-1.0680000000000001</v>
      </c>
      <c r="BC20" s="1495">
        <f>'qtrP&amp;L'!CH82</f>
        <v>8.802999999999999</v>
      </c>
      <c r="BD20" s="1495">
        <f>'qtrP&amp;L'!CH83</f>
        <v>12.163</v>
      </c>
      <c r="BE20" s="1495"/>
      <c r="BF20" s="1495">
        <f>'qtrP&amp;L'!$CL80</f>
        <v>14.276</v>
      </c>
      <c r="BG20" s="1495">
        <f>'qtrP&amp;L'!CL81</f>
        <v>12.702000000000002</v>
      </c>
      <c r="BH20" s="1495">
        <f>'qtrP&amp;L'!CL82</f>
        <v>-0.37099999999999994</v>
      </c>
      <c r="BI20" s="1495">
        <f>'qtrP&amp;L'!CL83</f>
        <v>0.26599999999999824</v>
      </c>
      <c r="BJ20" s="1495"/>
      <c r="BK20" s="1495">
        <f>'qtrP&amp;L'!$CP80</f>
        <v>6.1999999999997613E-2</v>
      </c>
      <c r="BL20" s="1495">
        <f>'qtrP&amp;L'!$CP81</f>
        <v>-0.64300000000000068</v>
      </c>
      <c r="BM20" s="1495">
        <f>'qtrP&amp;L'!$CP82</f>
        <v>-0.36800000000000005</v>
      </c>
      <c r="BN20" s="1495">
        <f>'qtrP&amp;L'!$CP83</f>
        <v>2.2890000000000001</v>
      </c>
      <c r="BO20" s="1495"/>
      <c r="BP20" s="1490">
        <f>'qtrP&amp;L'!$CT80</f>
        <v>-2.3090000000000002</v>
      </c>
      <c r="BQ20" s="1490">
        <f>'qtrP&amp;L'!$CT81</f>
        <v>3.7469999999999999</v>
      </c>
      <c r="BR20" s="1490">
        <f>'qtrP&amp;L'!$CT82</f>
        <v>4.8580000000000023</v>
      </c>
      <c r="BS20" s="1490">
        <f>'qtrP&amp;L'!$CT83</f>
        <v>4.907</v>
      </c>
      <c r="BT20" s="1490"/>
      <c r="BU20" s="1490">
        <f>'qtrP&amp;L'!CX80</f>
        <v>2.99</v>
      </c>
      <c r="BV20" s="1490">
        <f>'qtrP&amp;L'!CX81</f>
        <v>1.016</v>
      </c>
      <c r="BW20" s="1490">
        <f>'qtrP&amp;L'!CX82</f>
        <v>7.2380000000000004</v>
      </c>
      <c r="BX20" s="1490">
        <f>'qtrP&amp;L'!CX83</f>
        <v>5.55</v>
      </c>
      <c r="BY20" s="1490"/>
      <c r="BZ20" s="1490">
        <f>'qtrP&amp;L'!DB80</f>
        <v>3.6539999999999999</v>
      </c>
      <c r="CA20" s="1490">
        <f>'qtrP&amp;L'!DB81</f>
        <v>1.962</v>
      </c>
      <c r="CB20" s="1490">
        <f>'qtrP&amp;L'!DB82</f>
        <v>0.70099999999999996</v>
      </c>
      <c r="CC20" s="1490">
        <f>'qtrP&amp;L'!DB83</f>
        <v>0.33700000000000002</v>
      </c>
      <c r="CD20" s="1490"/>
      <c r="CE20" s="1490">
        <f>'qtrP&amp;L'!DF80</f>
        <v>-0.36299999999999955</v>
      </c>
      <c r="CF20" s="1490">
        <f>'qtrP&amp;L'!DF81</f>
        <v>-1.921</v>
      </c>
      <c r="CG20" s="1490">
        <f>'qtrP&amp;L'!DF82</f>
        <v>-0.44</v>
      </c>
      <c r="CH20" s="1490">
        <f>'qtrP&amp;L'!DF83</f>
        <v>1.274</v>
      </c>
      <c r="CI20" s="1490"/>
      <c r="CJ20" s="1490">
        <f>'qtrP&amp;L'!DJ80</f>
        <v>6.9180000000000001</v>
      </c>
      <c r="CK20" s="1490">
        <f>'qtrP&amp;L'!DJ81</f>
        <v>0.5309999999999917</v>
      </c>
      <c r="CL20" s="1490">
        <f>'qtrP&amp;L'!DJ82</f>
        <v>3.4169999999999998</v>
      </c>
      <c r="CM20" s="1490">
        <f>'qtrP&amp;L'!DJ83</f>
        <v>3.4169999999999998</v>
      </c>
      <c r="CN20" s="1490"/>
      <c r="CO20" s="1490">
        <f>'qtrP&amp;L'!DN80</f>
        <v>9.8629999999999995</v>
      </c>
      <c r="CP20" s="1490">
        <f>'qtrP&amp;L'!DN81</f>
        <v>16.617000000000001</v>
      </c>
      <c r="CQ20" s="1490">
        <f>'qtrP&amp;L'!DN82</f>
        <v>1.639</v>
      </c>
      <c r="CR20" s="1490">
        <f>'qtrP&amp;L'!DN83</f>
        <v>6.8389999999999986</v>
      </c>
      <c r="CS20" s="1490"/>
      <c r="CT20" s="1490">
        <f>'qtrP&amp;L'!DR80</f>
        <v>0</v>
      </c>
      <c r="CU20" s="1490">
        <f>'qtrP&amp;L'!DR81</f>
        <v>0</v>
      </c>
      <c r="CV20" s="1490">
        <f>'qtrP&amp;L'!DR82</f>
        <v>0</v>
      </c>
      <c r="CW20" s="1490">
        <f>'qtrP&amp;L'!DR83</f>
        <v>0</v>
      </c>
      <c r="CX20" s="1491"/>
      <c r="CY20" s="1497"/>
      <c r="CZ20" s="1497"/>
      <c r="DA20" s="1497"/>
      <c r="DB20" s="1497"/>
      <c r="DC20" s="1497">
        <f>+'yrP&amp;L'!L43</f>
        <v>27.878</v>
      </c>
      <c r="DD20" s="1498">
        <f>+'yrP&amp;L'!M43</f>
        <v>29.823</v>
      </c>
      <c r="DE20" s="1498">
        <f>+'yrP&amp;L'!N43</f>
        <v>35.005000000000003</v>
      </c>
      <c r="DF20" s="1498">
        <f>+'yrP&amp;L'!O43</f>
        <v>56.504000000000005</v>
      </c>
      <c r="DG20" s="1498">
        <f>+'yrP&amp;L'!P43</f>
        <v>39.730000000000004</v>
      </c>
      <c r="DH20" s="1499">
        <f>+'yrP&amp;L'!Q43</f>
        <v>66.004000000000005</v>
      </c>
      <c r="DI20" s="1497">
        <f>+'yrP&amp;L'!R43</f>
        <v>22.798999999999999</v>
      </c>
      <c r="DJ20" s="1497">
        <f>+'yrP&amp;L'!S43</f>
        <v>45.312000000000012</v>
      </c>
      <c r="DK20" s="1497">
        <f>+'yrP&amp;L'!T43</f>
        <v>32.016000000000005</v>
      </c>
      <c r="DL20" s="1497">
        <f>+'yrP&amp;L'!U43</f>
        <v>19.616999999999997</v>
      </c>
      <c r="DM20" s="1497">
        <f>+'yrP&amp;L'!V43</f>
        <v>26.873000000000001</v>
      </c>
      <c r="DN20" s="1497">
        <f>+'yrP&amp;L'!W43</f>
        <v>1.339999999999997</v>
      </c>
      <c r="DO20" s="1497">
        <f>+'yrP&amp;L'!X43</f>
        <v>11.203000000000003</v>
      </c>
      <c r="DP20" s="1497">
        <f>+'yrP&amp;L'!Y43</f>
        <v>16.794</v>
      </c>
      <c r="DQ20" s="1497">
        <f>+'yrP&amp;L'!Z43</f>
        <v>6.653999999999999</v>
      </c>
      <c r="DR20" s="1497">
        <f>+'yrP&amp;L'!AA43</f>
        <v>-1.4499999999999997</v>
      </c>
      <c r="DS20" s="1497">
        <f>+'yrP&amp;L'!AB43</f>
        <v>14.282999999999992</v>
      </c>
      <c r="DT20" s="1497">
        <f>+'yrP&amp;L'!AC43</f>
        <v>34.957999999999998</v>
      </c>
      <c r="DU20" s="1497">
        <f>+'yrP&amp;L'!AD43</f>
        <v>0</v>
      </c>
      <c r="DV20" s="1497">
        <f>+'yrP&amp;L'!AE43</f>
        <v>0</v>
      </c>
      <c r="DW20" s="1499">
        <f>+'yrP&amp;L'!AF43</f>
        <v>0</v>
      </c>
      <c r="DX20" s="1497"/>
    </row>
    <row r="21" spans="1:135">
      <c r="A21" s="1495" t="s">
        <v>1210</v>
      </c>
      <c r="B21" s="1483"/>
      <c r="C21" s="1483">
        <f>C17-C19</f>
        <v>78.997000000000099</v>
      </c>
      <c r="D21" s="1483">
        <f>D17-D19</f>
        <v>124.59899999999993</v>
      </c>
      <c r="E21" s="1483">
        <f>E17-E19</f>
        <v>101.73999999999992</v>
      </c>
      <c r="F21" s="1483">
        <f>F17-F19</f>
        <v>545.91600000000005</v>
      </c>
      <c r="G21" s="1483"/>
      <c r="H21" s="1483">
        <f>H17-H19</f>
        <v>126.44000000000001</v>
      </c>
      <c r="I21" s="1483">
        <f>I17-I19</f>
        <v>167.024</v>
      </c>
      <c r="J21" s="1483">
        <f>J17-J19</f>
        <v>116.80299999999991</v>
      </c>
      <c r="K21" s="1483">
        <f>K17-K19</f>
        <v>460.15899999999982</v>
      </c>
      <c r="L21" s="1483"/>
      <c r="M21" s="1483">
        <f>+M17+M19+M20</f>
        <v>38.045999999999985</v>
      </c>
      <c r="N21" s="1483">
        <f>+N17+N19+N20</f>
        <v>79.331999999999979</v>
      </c>
      <c r="O21" s="1483">
        <f>+O17+O19+O20</f>
        <v>-21.872999999999813</v>
      </c>
      <c r="P21" s="1483">
        <f>+P17+P19+P20</f>
        <v>588.3660000000001</v>
      </c>
      <c r="Q21" s="1483"/>
      <c r="R21" s="1483">
        <f>+R17+R19+R20</f>
        <v>127.87400000000008</v>
      </c>
      <c r="S21" s="1483">
        <f>+S17+S19+S20</f>
        <v>138.63599999999988</v>
      </c>
      <c r="T21" s="1483">
        <f>+T17+T19+T20</f>
        <v>17.384999999999955</v>
      </c>
      <c r="U21" s="1483">
        <f>+U17+U19+U20</f>
        <v>593.28499999999997</v>
      </c>
      <c r="V21" s="1483"/>
      <c r="W21" s="1483">
        <f>+W17+W19+W20</f>
        <v>-59.398871988556365</v>
      </c>
      <c r="X21" s="1483">
        <f>+X17+X19+X20</f>
        <v>-56.140827688546118</v>
      </c>
      <c r="Y21" s="1483">
        <f>+Y17+Y19+Y20</f>
        <v>-56.39564241743696</v>
      </c>
      <c r="Z21" s="1483">
        <f>+Z17+Z19+Z20</f>
        <v>-54.985073474499181</v>
      </c>
      <c r="AA21" s="1483"/>
      <c r="AB21" s="1483">
        <f>+AB17+AB19+AB20</f>
        <v>111.78000000000007</v>
      </c>
      <c r="AC21" s="1483">
        <f>+AC17+AC19+AC20</f>
        <v>224.33499999999987</v>
      </c>
      <c r="AD21" s="1483">
        <f>+AD17+AD19+AD20</f>
        <v>54.676999999999978</v>
      </c>
      <c r="AE21" s="1483">
        <f>+AE17+AE19+AE20</f>
        <v>617.48</v>
      </c>
      <c r="AF21" s="1483"/>
      <c r="AG21" s="1484">
        <f>+AG17+AG19+AG20</f>
        <v>120.26499999999999</v>
      </c>
      <c r="AH21" s="1484">
        <f>+AH17+AH19+AH20</f>
        <v>134.51099999999971</v>
      </c>
      <c r="AI21" s="1484">
        <f>+AI17+AI19+AI20</f>
        <v>-1.6830000000001784</v>
      </c>
      <c r="AJ21" s="1484">
        <f>+AJ17+AJ19+AJ20</f>
        <v>721.17100000000005</v>
      </c>
      <c r="AK21" s="1483"/>
      <c r="AL21" s="1483">
        <f>+AL17+AL19+AL20</f>
        <v>169.68399999999991</v>
      </c>
      <c r="AM21" s="1483">
        <f>+AM17+AM19+AM20</f>
        <v>180.07899999999972</v>
      </c>
      <c r="AN21" s="1483">
        <f>+AN17+AN19+AN20</f>
        <v>41.508000000000216</v>
      </c>
      <c r="AO21" s="1483">
        <f>+AO17+AO19+AO20</f>
        <v>705.77799999999991</v>
      </c>
      <c r="AP21" s="1483"/>
      <c r="AQ21" s="1483">
        <f>+AQ17+AQ19+AQ20</f>
        <v>91.927999999999855</v>
      </c>
      <c r="AR21" s="1483">
        <f>+AR17+AR19+AR20</f>
        <v>123.57900000000018</v>
      </c>
      <c r="AS21" s="1483">
        <f>+AS17+AS19+AS20</f>
        <v>-1.3650000000000535</v>
      </c>
      <c r="AT21" s="1483">
        <f>+AT17+AT19+AT20</f>
        <v>542.71899999999994</v>
      </c>
      <c r="AU21" s="1483"/>
      <c r="AV21" s="1483">
        <f>+AV17+AV19+AV20</f>
        <v>66.551999999999992</v>
      </c>
      <c r="AW21" s="1483">
        <f>+AW17+AW19+AW20</f>
        <v>151.22699999999978</v>
      </c>
      <c r="AX21" s="1483">
        <f>+AX17+AX19+AX20</f>
        <v>3.1069999999999451</v>
      </c>
      <c r="AY21" s="1483">
        <f>+AY17+AY19+AY20</f>
        <v>347.80999999999989</v>
      </c>
      <c r="AZ21" s="1483"/>
      <c r="BA21" s="1483">
        <f>+BA17+BA19+BA20</f>
        <v>3.2329999999999885</v>
      </c>
      <c r="BB21" s="1483">
        <f>+BB17+BB19+BB20</f>
        <v>89.747000000000028</v>
      </c>
      <c r="BC21" s="1483">
        <f>+BC17+BC19+BC20</f>
        <v>11.367000000000049</v>
      </c>
      <c r="BD21" s="1483">
        <f>+BD17+BD19+BD20</f>
        <v>533.0079999999989</v>
      </c>
      <c r="BE21" s="1483"/>
      <c r="BF21" s="1483">
        <f>+BG17+BG19+BG20</f>
        <v>197.40800000000033</v>
      </c>
      <c r="BG21" s="1483">
        <f>+BG17+BG19+BG20</f>
        <v>197.40800000000033</v>
      </c>
      <c r="BH21" s="1483">
        <f>+BH17+BH19+BH20</f>
        <v>101.5030000000002</v>
      </c>
      <c r="BI21" s="1483">
        <f>+BI17+BI19+BI20</f>
        <v>666.02200000000016</v>
      </c>
      <c r="BJ21" s="1483"/>
      <c r="BK21" s="1483">
        <f>+BK17+BK19+BK20</f>
        <v>212.21699999999987</v>
      </c>
      <c r="BL21" s="1483">
        <f>+BL17+BL19+BL20</f>
        <v>242.39700000000013</v>
      </c>
      <c r="BM21" s="1483">
        <f>+BM17+BM19+BM20</f>
        <v>121.87400000000009</v>
      </c>
      <c r="BN21" s="1483">
        <f>+BN17+BN19+BN20</f>
        <v>725.34099999999989</v>
      </c>
      <c r="BO21" s="1483"/>
      <c r="BP21" s="1484">
        <f>+BP17+BP19+BP20</f>
        <v>213.1260000000002</v>
      </c>
      <c r="BQ21" s="1484">
        <f>+BQ17+BQ19+BQ20</f>
        <v>233.0999999999998</v>
      </c>
      <c r="BR21" s="1484">
        <f>+BR17+BR19+BR20</f>
        <v>125.08799999999965</v>
      </c>
      <c r="BS21" s="1484">
        <f>+BS17+BS19+BS20</f>
        <v>830.49200000000019</v>
      </c>
      <c r="BT21" s="1484"/>
      <c r="BU21" s="1484">
        <f>+BU17+BU19+BU20</f>
        <v>234.79700000000005</v>
      </c>
      <c r="BV21" s="1484">
        <f>+BV17+BV19+BV20</f>
        <v>282.85400000000004</v>
      </c>
      <c r="BW21" s="1484">
        <f>+BW17+BW19+BW20</f>
        <v>141.42400000000006</v>
      </c>
      <c r="BX21" s="1484">
        <f>+BX17+BX19+BX20</f>
        <v>786.79100000000017</v>
      </c>
      <c r="BY21" s="1484"/>
      <c r="BZ21" s="1484">
        <f>+BZ17+BZ19+BZ20</f>
        <v>255.44200000000012</v>
      </c>
      <c r="CA21" s="1484">
        <f>+CA17+CA19+CA20</f>
        <v>296.27300000000014</v>
      </c>
      <c r="CB21" s="1484">
        <f>+CB17+CB19+CB20</f>
        <v>204.47000000000017</v>
      </c>
      <c r="CC21" s="1484">
        <f>+CC17+CC19+CC20</f>
        <v>879.54599999999971</v>
      </c>
      <c r="CD21" s="1484"/>
      <c r="CE21" s="1484">
        <f>+CE17+CE19+CE20</f>
        <v>291.53199999999987</v>
      </c>
      <c r="CF21" s="1484">
        <f>+CF17+CF19+CF20</f>
        <v>323.22800000000007</v>
      </c>
      <c r="CG21" s="1484">
        <f>+CG17+CG19+CG20</f>
        <v>259.46199999999993</v>
      </c>
      <c r="CH21" s="1484">
        <f>+CH17+CH19+CH20</f>
        <v>982.10099999999966</v>
      </c>
      <c r="CI21" s="1484"/>
      <c r="CJ21" s="1484">
        <f>+CJ17+CJ19+CJ20</f>
        <v>267.52300000000002</v>
      </c>
      <c r="CK21" s="1484">
        <f>+CK17+CK19+CK20</f>
        <v>307.57500000000022</v>
      </c>
      <c r="CL21" s="1484">
        <f>+CL17+CL19+CL20</f>
        <v>190.17999999999981</v>
      </c>
      <c r="CM21" s="1484">
        <f>+CM17+CM19+CM20</f>
        <v>892.62300000000016</v>
      </c>
      <c r="CN21" s="1484"/>
      <c r="CO21" s="1484">
        <f>+CO17+CO19+CO20</f>
        <v>118.44700000000012</v>
      </c>
      <c r="CP21" s="1484">
        <f>+CP17+CP19+CP20</f>
        <v>217.08400000000009</v>
      </c>
      <c r="CQ21" s="1484">
        <f>+CQ17+CQ19+CQ20</f>
        <v>134.66200000000026</v>
      </c>
      <c r="CR21" s="1484">
        <f>+CR17+CR19+CR20</f>
        <v>887.16000000000076</v>
      </c>
      <c r="CS21" s="1484"/>
      <c r="CT21" s="1484">
        <f>+CT17+CT19+CT20</f>
        <v>70.368224177873117</v>
      </c>
      <c r="CU21" s="1484">
        <f>+CU17+CU19+CU20</f>
        <v>194.11371116896828</v>
      </c>
      <c r="CV21" s="1484">
        <f>+CV17+CV19+CV20</f>
        <v>135.68463953962862</v>
      </c>
      <c r="CW21" s="1484">
        <f>+CW17+CW19+CW20</f>
        <v>849.8330001134525</v>
      </c>
      <c r="CX21" s="1485"/>
      <c r="CY21" s="1486">
        <f>CY17+CY19</f>
        <v>862.34699999999953</v>
      </c>
      <c r="CZ21" s="1486">
        <f>CZ17+CZ19</f>
        <v>843.85600000000113</v>
      </c>
      <c r="DA21" s="1486">
        <f>DA17+DA19</f>
        <v>860.28000000000088</v>
      </c>
      <c r="DB21" s="1486">
        <f>DB17+DB19</f>
        <v>967.10100000000011</v>
      </c>
      <c r="DC21" s="1486">
        <f t="shared" ref="DC21:DH21" si="6">DC17+DC19+DC20</f>
        <v>781.8159999999998</v>
      </c>
      <c r="DD21" s="1487">
        <f>DD17+DD19+DD20</f>
        <v>683.87100000000066</v>
      </c>
      <c r="DE21" s="1487">
        <f t="shared" si="6"/>
        <v>877.1800000000004</v>
      </c>
      <c r="DF21" s="1487">
        <f t="shared" si="6"/>
        <v>957.76799999999992</v>
      </c>
      <c r="DG21" s="1487">
        <f t="shared" si="6"/>
        <v>1008.272</v>
      </c>
      <c r="DH21" s="1488">
        <f t="shared" si="6"/>
        <v>957.42</v>
      </c>
      <c r="DI21" s="1486">
        <f t="shared" ref="DI21:DQ21" si="7">DI17+DI19+DI20</f>
        <v>1097.0489999999982</v>
      </c>
      <c r="DJ21" s="1486">
        <f t="shared" si="7"/>
        <v>756.8610000000001</v>
      </c>
      <c r="DK21" s="1486">
        <f t="shared" si="7"/>
        <v>568.69600000000003</v>
      </c>
      <c r="DL21" s="1486">
        <f t="shared" si="7"/>
        <v>637.35500000000002</v>
      </c>
      <c r="DM21" s="1486">
        <f t="shared" si="7"/>
        <v>1103.065000000001</v>
      </c>
      <c r="DN21" s="1486">
        <f t="shared" si="7"/>
        <v>1301.8289999999993</v>
      </c>
      <c r="DO21" s="1486">
        <f t="shared" si="7"/>
        <v>1401.8020000000029</v>
      </c>
      <c r="DP21" s="1486">
        <f t="shared" si="7"/>
        <v>1445.8789999999974</v>
      </c>
      <c r="DQ21" s="1486">
        <f t="shared" si="7"/>
        <v>1635.7140000000018</v>
      </c>
      <c r="DR21" s="1486">
        <f t="shared" ref="DR21:DW21" si="8">DR17+DR19+DR20</f>
        <v>1856.3189999999991</v>
      </c>
      <c r="DS21" s="1486">
        <f t="shared" si="8"/>
        <v>1658.0220000000013</v>
      </c>
      <c r="DT21" s="1486">
        <f t="shared" si="8"/>
        <v>1357.2300000000005</v>
      </c>
      <c r="DU21" s="1486">
        <f t="shared" si="8"/>
        <v>1249.9995749999216</v>
      </c>
      <c r="DV21" s="1486">
        <f t="shared" si="8"/>
        <v>1346.1677998377477</v>
      </c>
      <c r="DW21" s="1488">
        <f t="shared" si="8"/>
        <v>1459.2586335811527</v>
      </c>
      <c r="DX21" s="1486"/>
    </row>
    <row r="22" spans="1:135" ht="7.5" customHeight="1">
      <c r="A22" s="1495"/>
      <c r="B22" s="1508"/>
      <c r="C22" s="1508"/>
      <c r="D22" s="1508"/>
      <c r="E22" s="1508"/>
      <c r="F22" s="1508"/>
      <c r="G22" s="1508"/>
      <c r="H22" s="1508"/>
      <c r="I22" s="1508"/>
      <c r="J22" s="1508"/>
      <c r="K22" s="1508"/>
      <c r="L22" s="1508"/>
      <c r="M22" s="1508"/>
      <c r="N22" s="1508"/>
      <c r="O22" s="1508"/>
      <c r="P22" s="1508"/>
      <c r="Q22" s="1508"/>
      <c r="R22" s="1508"/>
      <c r="S22" s="1508"/>
      <c r="T22" s="1508"/>
      <c r="U22" s="1508"/>
      <c r="V22" s="1508"/>
      <c r="W22" s="1508"/>
      <c r="X22" s="1508"/>
      <c r="Y22" s="1508"/>
      <c r="Z22" s="1508"/>
      <c r="AA22" s="1508"/>
      <c r="AB22" s="1508"/>
      <c r="AC22" s="1508"/>
      <c r="AD22" s="1508"/>
      <c r="AE22" s="1508"/>
      <c r="AF22" s="1508"/>
      <c r="AG22" s="1509"/>
      <c r="AH22" s="1509"/>
      <c r="AI22" s="1509"/>
      <c r="AJ22" s="1509"/>
      <c r="AK22" s="1508"/>
      <c r="AL22" s="1508"/>
      <c r="AM22" s="1508"/>
      <c r="AN22" s="1508"/>
      <c r="AO22" s="1508"/>
      <c r="AP22" s="1508"/>
      <c r="AQ22" s="1508"/>
      <c r="AR22" s="1508"/>
      <c r="AS22" s="1508"/>
      <c r="AT22" s="1508"/>
      <c r="AU22" s="1508"/>
      <c r="AV22" s="1508"/>
      <c r="AW22" s="1508"/>
      <c r="AX22" s="1508"/>
      <c r="AY22" s="1508"/>
      <c r="AZ22" s="1508"/>
      <c r="BA22" s="1508"/>
      <c r="BB22" s="1508"/>
      <c r="BC22" s="1508"/>
      <c r="BD22" s="1508"/>
      <c r="BE22" s="1508"/>
      <c r="BF22" s="1508"/>
      <c r="BG22" s="1508"/>
      <c r="BH22" s="1508"/>
      <c r="BI22" s="1508"/>
      <c r="BJ22" s="1508"/>
      <c r="BK22" s="1508"/>
      <c r="BL22" s="1508"/>
      <c r="BM22" s="1508"/>
      <c r="BN22" s="1508"/>
      <c r="BO22" s="1508"/>
      <c r="BP22" s="1509"/>
      <c r="BQ22" s="1509"/>
      <c r="BR22" s="1509"/>
      <c r="BS22" s="1509"/>
      <c r="BT22" s="1509"/>
      <c r="BU22" s="1509"/>
      <c r="BV22" s="1509"/>
      <c r="BW22" s="1509"/>
      <c r="BX22" s="1509"/>
      <c r="BY22" s="1509"/>
      <c r="BZ22" s="1509"/>
      <c r="CA22" s="1509"/>
      <c r="CB22" s="1509"/>
      <c r="CC22" s="1509"/>
      <c r="CD22" s="1509"/>
      <c r="CE22" s="1509"/>
      <c r="CF22" s="1509"/>
      <c r="CG22" s="1509"/>
      <c r="CH22" s="1509"/>
      <c r="CI22" s="1509"/>
      <c r="CJ22" s="1509"/>
      <c r="CK22" s="1509"/>
      <c r="CL22" s="1509"/>
      <c r="CM22" s="1509"/>
      <c r="CN22" s="1509"/>
      <c r="CO22" s="1509"/>
      <c r="CP22" s="1509"/>
      <c r="CQ22" s="1509"/>
      <c r="CR22" s="1509"/>
      <c r="CS22" s="1509"/>
      <c r="CT22" s="1509"/>
      <c r="CU22" s="1509"/>
      <c r="CV22" s="1509"/>
      <c r="CW22" s="1509"/>
      <c r="CX22" s="1510"/>
      <c r="CY22" s="1511"/>
      <c r="CZ22" s="1511"/>
      <c r="DA22" s="1511"/>
      <c r="DB22" s="1511"/>
      <c r="DC22" s="1511"/>
      <c r="DD22" s="1512"/>
      <c r="DE22" s="1512"/>
      <c r="DF22" s="1512"/>
      <c r="DG22" s="1512"/>
      <c r="DH22" s="1513"/>
      <c r="DI22" s="1511"/>
      <c r="DJ22" s="1511"/>
      <c r="DK22" s="1511"/>
      <c r="DL22" s="1511"/>
      <c r="DM22" s="1511"/>
      <c r="DN22" s="1511"/>
      <c r="DO22" s="1511"/>
      <c r="DP22" s="1511"/>
      <c r="DQ22" s="1511"/>
      <c r="DR22" s="1511"/>
      <c r="DS22" s="1511"/>
      <c r="DT22" s="1511"/>
      <c r="DU22" s="1511"/>
      <c r="DV22" s="1511"/>
      <c r="DW22" s="1513"/>
      <c r="DX22" s="1511"/>
    </row>
    <row r="23" spans="1:135">
      <c r="A23" s="1495" t="s">
        <v>1211</v>
      </c>
      <c r="B23" s="1495"/>
      <c r="C23" s="1495">
        <f>'qtrP&amp;L'!$AP120</f>
        <v>25</v>
      </c>
      <c r="D23" s="1495">
        <f>'qtrP&amp;L'!$AP121</f>
        <v>39</v>
      </c>
      <c r="E23" s="1495">
        <f>'qtrP&amp;L'!$AP122</f>
        <v>29</v>
      </c>
      <c r="F23" s="1495">
        <f>'qtrP&amp;L'!$AP123</f>
        <v>202</v>
      </c>
      <c r="G23" s="1495"/>
      <c r="H23" s="1495">
        <f>'qtrP&amp;L'!$AT$120</f>
        <v>44</v>
      </c>
      <c r="I23" s="1495">
        <f>'qtrP&amp;L'!$AT121</f>
        <v>61</v>
      </c>
      <c r="J23" s="1495">
        <f>'qtrP&amp;L'!$AT122</f>
        <v>37</v>
      </c>
      <c r="K23" s="1495">
        <f>'qtrP&amp;L'!$AT123</f>
        <v>169</v>
      </c>
      <c r="L23" s="1495"/>
      <c r="M23" s="1495">
        <f>'qtrP&amp;L'!$AX$120</f>
        <v>15</v>
      </c>
      <c r="N23" s="1495">
        <f>'qtrP&amp;L'!$AX121</f>
        <v>32</v>
      </c>
      <c r="O23" s="1495">
        <f>'qtrP&amp;L'!$AX122</f>
        <v>-9</v>
      </c>
      <c r="P23" s="1495">
        <f>'qtrP&amp;L'!$AX123</f>
        <v>234</v>
      </c>
      <c r="Q23" s="1495"/>
      <c r="R23" s="1495">
        <f>'qtrP&amp;L'!$BB$120</f>
        <v>51</v>
      </c>
      <c r="S23" s="1495">
        <f>'qtrP&amp;L'!$BB121</f>
        <v>55</v>
      </c>
      <c r="T23" s="1495">
        <f>'qtrP&amp;L'!$BB122</f>
        <v>7</v>
      </c>
      <c r="U23" s="1495">
        <f>'qtrP&amp;L'!$BB123</f>
        <v>236</v>
      </c>
      <c r="V23" s="1495"/>
      <c r="W23" s="1495">
        <f>'qtrP&amp;L'!$BG$120</f>
        <v>39.833904688329902</v>
      </c>
      <c r="X23" s="1495">
        <f>'qtrP&amp;L'!$BG121</f>
        <v>39.295304211146778</v>
      </c>
      <c r="Y23" s="1495">
        <f>'qtrP&amp;L'!$BG122</f>
        <v>38.717884897259303</v>
      </c>
      <c r="Z23" s="1495">
        <f>'qtrP&amp;L'!$BG123</f>
        <v>38.919273233781915</v>
      </c>
      <c r="AA23" s="1495"/>
      <c r="AB23" s="1495">
        <f>+'qtrP&amp;L'!$BJ$120</f>
        <v>44</v>
      </c>
      <c r="AC23" s="1495">
        <f>+'qtrP&amp;L'!$BJ$121</f>
        <v>87</v>
      </c>
      <c r="AD23" s="1495">
        <f>+'qtrP&amp;L'!$BJ$122</f>
        <v>5</v>
      </c>
      <c r="AE23" s="1495">
        <f>+'qtrP&amp;L'!$BJ$123</f>
        <v>235</v>
      </c>
      <c r="AF23" s="1495"/>
      <c r="AG23" s="1490">
        <f>+'qtrP&amp;L'!$BR$120</f>
        <v>37</v>
      </c>
      <c r="AH23" s="1490">
        <f>+'qtrP&amp;L'!$BR$121</f>
        <v>53</v>
      </c>
      <c r="AI23" s="1490">
        <f>+'qtrP&amp;L'!$BR$122</f>
        <v>-1</v>
      </c>
      <c r="AJ23" s="1490">
        <f>+'qtrP&amp;L'!$BR$123</f>
        <v>202</v>
      </c>
      <c r="AK23" s="1495"/>
      <c r="AL23" s="1495">
        <f>+'qtrP&amp;L'!$BV$120</f>
        <v>71</v>
      </c>
      <c r="AM23" s="1495">
        <f>+'qtrP&amp;L'!$BV$121</f>
        <v>67</v>
      </c>
      <c r="AN23" s="1495">
        <f>+'qtrP&amp;L'!$BV$122</f>
        <v>18</v>
      </c>
      <c r="AO23" s="1495">
        <f>+'qtrP&amp;L'!$BV$123</f>
        <v>266</v>
      </c>
      <c r="AP23" s="1495"/>
      <c r="AQ23" s="1495">
        <f>+'qtrP&amp;L'!$BZ$120</f>
        <v>39.299999999999997</v>
      </c>
      <c r="AR23" s="1495">
        <f>+'qtrP&amp;L'!$BZ$121</f>
        <v>43.3</v>
      </c>
      <c r="AS23" s="1495">
        <f>+'qtrP&amp;L'!$BZ$122</f>
        <v>1.3000000000000007</v>
      </c>
      <c r="AT23" s="1495">
        <f>+'qtrP&amp;L'!$BZ$123</f>
        <v>211</v>
      </c>
      <c r="AU23" s="1495"/>
      <c r="AV23" s="1495">
        <f>'qtrP&amp;L'!CD120</f>
        <v>30.152000000000001</v>
      </c>
      <c r="AW23" s="1495">
        <f>'qtrP&amp;L'!CD121</f>
        <v>57.365000000000002</v>
      </c>
      <c r="AX23" s="1495">
        <f>'qtrP&amp;L'!CD122</f>
        <v>-0.98199999999999998</v>
      </c>
      <c r="AY23" s="1495">
        <f>'qtrP&amp;L'!CD123</f>
        <v>128.87700000000001</v>
      </c>
      <c r="AZ23" s="1495"/>
      <c r="BA23" s="1495">
        <f>'qtrP&amp;L'!CH120</f>
        <v>0.63200000000000001</v>
      </c>
      <c r="BB23" s="1495">
        <f>'qtrP&amp;L'!CH121</f>
        <v>29.484000000000002</v>
      </c>
      <c r="BC23" s="1495">
        <f>'qtrP&amp;L'!CH122</f>
        <v>5.2680000000000007</v>
      </c>
      <c r="BD23" s="1495">
        <f>'qtrP&amp;L'!CH123</f>
        <v>203.608</v>
      </c>
      <c r="BE23" s="1495"/>
      <c r="BF23" s="1495">
        <f>'qtrP&amp;L'!$CL120</f>
        <v>55.262</v>
      </c>
      <c r="BG23" s="1495">
        <f>'qtrP&amp;L'!CL121</f>
        <v>76.805000000000007</v>
      </c>
      <c r="BH23" s="1495">
        <f>'qtrP&amp;L'!CL122</f>
        <v>40.176000000000002</v>
      </c>
      <c r="BI23" s="1495">
        <f>'qtrP&amp;L'!CL123</f>
        <v>246.34200000000001</v>
      </c>
      <c r="BJ23" s="1495"/>
      <c r="BK23" s="1495">
        <f>'qtrP&amp;L'!$CP120</f>
        <v>82.38600000000001</v>
      </c>
      <c r="BL23" s="1495">
        <f>'qtrP&amp;L'!$CP121</f>
        <v>91.677999999999997</v>
      </c>
      <c r="BM23" s="1495">
        <f>'qtrP&amp;L'!$CP122</f>
        <v>44.287999999999997</v>
      </c>
      <c r="BN23" s="1495">
        <f>'qtrP&amp;L'!$CP123</f>
        <v>266.13299999999998</v>
      </c>
      <c r="BO23" s="1495"/>
      <c r="BP23" s="1490">
        <f>'qtrP&amp;L'!$CT120</f>
        <v>88.567999999999998</v>
      </c>
      <c r="BQ23" s="1490">
        <f>'qtrP&amp;L'!$CT121</f>
        <v>85.91</v>
      </c>
      <c r="BR23" s="1490">
        <f>'qtrP&amp;L'!$CT122</f>
        <v>49.448</v>
      </c>
      <c r="BS23" s="1490">
        <f>'qtrP&amp;L'!$CT123</f>
        <v>311.26130000000001</v>
      </c>
      <c r="BT23" s="1490"/>
      <c r="BU23" s="1490">
        <f>'qtrP&amp;L'!CX120</f>
        <v>92.3</v>
      </c>
      <c r="BV23" s="1490">
        <f>'qtrP&amp;L'!CX121</f>
        <v>103.94</v>
      </c>
      <c r="BW23" s="1490">
        <f>'qtrP&amp;L'!CX122</f>
        <v>49.44</v>
      </c>
      <c r="BX23" s="1490">
        <f>'qtrP&amp;L'!CX123</f>
        <v>297.17099999999999</v>
      </c>
      <c r="BY23" s="1490"/>
      <c r="BZ23" s="1490">
        <f>'qtrP&amp;L'!DB120</f>
        <v>98.46</v>
      </c>
      <c r="CA23" s="1490">
        <f>'qtrP&amp;L'!DB121</f>
        <v>107.916</v>
      </c>
      <c r="CB23" s="1490">
        <f>'qtrP&amp;L'!DB122</f>
        <v>72.662000000000006</v>
      </c>
      <c r="CC23" s="1490">
        <f>'qtrP&amp;L'!DB123</f>
        <v>314.733</v>
      </c>
      <c r="CD23" s="1490"/>
      <c r="CE23" s="1490">
        <f>'qtrP&amp;L'!DF120</f>
        <v>110.04400000000001</v>
      </c>
      <c r="CF23" s="1490">
        <f>'qtrP&amp;L'!DF121</f>
        <v>120.751</v>
      </c>
      <c r="CG23" s="1490">
        <f>'qtrP&amp;L'!DF122</f>
        <v>95.430999999999997</v>
      </c>
      <c r="CH23" s="1490">
        <f>'qtrP&amp;L'!DF123</f>
        <v>346.084</v>
      </c>
      <c r="CI23" s="1490"/>
      <c r="CJ23" s="1490">
        <f>'qtrP&amp;L'!DJ120</f>
        <v>93.846999999999994</v>
      </c>
      <c r="CK23" s="1490">
        <f>'qtrP&amp;L'!DJ121</f>
        <v>102.91200000000001</v>
      </c>
      <c r="CL23" s="1490">
        <f>'qtrP&amp;L'!DJ122</f>
        <v>68.540000000000006</v>
      </c>
      <c r="CM23" s="1490">
        <f>'qtrP&amp;L'!DJ123</f>
        <v>302.62799999999999</v>
      </c>
      <c r="CN23" s="1490"/>
      <c r="CO23" s="1490">
        <f>'qtrP&amp;L'!DN120</f>
        <v>24.393000000000001</v>
      </c>
      <c r="CP23" s="1490">
        <f>'qtrP&amp;L'!DN121</f>
        <v>78.209999999999994</v>
      </c>
      <c r="CQ23" s="1490">
        <f>'qtrP&amp;L'!DN122</f>
        <v>48.677</v>
      </c>
      <c r="CR23" s="1490">
        <f>'qtrP&amp;L'!DN123</f>
        <v>286.60000000000002</v>
      </c>
      <c r="CS23" s="1490"/>
      <c r="CT23" s="1490">
        <f>'qtrP&amp;L'!DR120</f>
        <v>18.999420528025741</v>
      </c>
      <c r="CU23" s="1490">
        <f>'qtrP&amp;L'!DR121</f>
        <v>52.410702015621439</v>
      </c>
      <c r="CV23" s="1490">
        <f>'qtrP&amp;L'!DR122</f>
        <v>36.634852675699733</v>
      </c>
      <c r="CW23" s="1490">
        <f>'qtrP&amp;L'!DR123</f>
        <v>229.45491003063219</v>
      </c>
      <c r="CX23" s="1491"/>
      <c r="CY23" s="1497">
        <f>'yrP&amp;L'!H53</f>
        <v>241</v>
      </c>
      <c r="CZ23" s="1497">
        <f>'yrP&amp;L'!I53</f>
        <v>227.1</v>
      </c>
      <c r="DA23" s="1497">
        <f>'yrP&amp;L'!J53</f>
        <v>253.8</v>
      </c>
      <c r="DB23" s="1497">
        <f>'yrP&amp;L'!K53</f>
        <v>295</v>
      </c>
      <c r="DC23" s="1497">
        <f>'yrP&amp;L'!L53</f>
        <v>311</v>
      </c>
      <c r="DD23" s="1498">
        <f>'yrP&amp;L'!M53</f>
        <v>272</v>
      </c>
      <c r="DE23" s="1498">
        <f>'yrP&amp;L'!N53</f>
        <v>349</v>
      </c>
      <c r="DF23" s="1498">
        <f>'yrP&amp;L'!O53</f>
        <v>374</v>
      </c>
      <c r="DG23" s="1498">
        <f>'yrP&amp;L'!P53</f>
        <v>371</v>
      </c>
      <c r="DH23" s="1499">
        <f>'yrP&amp;L'!Q53</f>
        <v>291</v>
      </c>
      <c r="DI23" s="1497">
        <f>'yrP&amp;L'!R53</f>
        <v>422</v>
      </c>
      <c r="DJ23" s="1497">
        <f>'yrP&amp;L'!S53</f>
        <v>294.89999999999998</v>
      </c>
      <c r="DK23" s="1497">
        <f>'yrP&amp;L'!T53</f>
        <v>215.41200000000001</v>
      </c>
      <c r="DL23" s="1497">
        <f>'yrP&amp;L'!U53</f>
        <v>238.99200000000002</v>
      </c>
      <c r="DM23" s="1497">
        <f>'yrP&amp;L'!V53</f>
        <v>418.58500000000004</v>
      </c>
      <c r="DN23" s="1497">
        <f>'yrP&amp;L'!W53</f>
        <v>484.48500000000001</v>
      </c>
      <c r="DO23" s="1497">
        <f>'yrP&amp;L'!X53</f>
        <v>535.18730000000005</v>
      </c>
      <c r="DP23" s="1497">
        <f>'yrP&amp;L'!Y53</f>
        <v>542.851</v>
      </c>
      <c r="DQ23" s="1497">
        <f>'yrP&amp;L'!Z53</f>
        <v>593.67099999999994</v>
      </c>
      <c r="DR23" s="1497">
        <f>'yrP&amp;L'!AA53</f>
        <v>672.31</v>
      </c>
      <c r="DS23" s="1497">
        <f>'yrP&amp;L'!AB53</f>
        <v>567.92700000000002</v>
      </c>
      <c r="DT23" s="1497">
        <f>'yrP&amp;L'!AC53</f>
        <v>437.88</v>
      </c>
      <c r="DU23" s="1497">
        <f>'yrP&amp;L'!AD53</f>
        <v>337.49988524997912</v>
      </c>
      <c r="DV23" s="1497">
        <f>'yrP&amp;L'!AE53</f>
        <v>363.46530595619214</v>
      </c>
      <c r="DW23" s="1499">
        <f>'yrP&amp;L'!AF53</f>
        <v>393.99983106691138</v>
      </c>
      <c r="DX23" s="1497"/>
    </row>
    <row r="24" spans="1:135" ht="6" customHeight="1">
      <c r="A24" s="1425"/>
      <c r="B24" s="1508"/>
      <c r="C24" s="1508"/>
      <c r="D24" s="1508"/>
      <c r="E24" s="1508"/>
      <c r="F24" s="1508"/>
      <c r="G24" s="1508"/>
      <c r="H24" s="1508"/>
      <c r="I24" s="1508"/>
      <c r="J24" s="1508"/>
      <c r="K24" s="1508"/>
      <c r="L24" s="1508"/>
      <c r="M24" s="1508"/>
      <c r="N24" s="1508"/>
      <c r="O24" s="1508"/>
      <c r="P24" s="1508"/>
      <c r="Q24" s="1508"/>
      <c r="R24" s="1508"/>
      <c r="S24" s="1508"/>
      <c r="T24" s="1508"/>
      <c r="U24" s="1508"/>
      <c r="V24" s="1508"/>
      <c r="W24" s="1508"/>
      <c r="X24" s="1508"/>
      <c r="Y24" s="1508"/>
      <c r="Z24" s="1508"/>
      <c r="AA24" s="1508"/>
      <c r="AB24" s="1508"/>
      <c r="AC24" s="1508"/>
      <c r="AD24" s="1508"/>
      <c r="AE24" s="1508"/>
      <c r="AF24" s="1508"/>
      <c r="AG24" s="1509"/>
      <c r="AH24" s="1509"/>
      <c r="AI24" s="1509"/>
      <c r="AJ24" s="1509"/>
      <c r="AK24" s="1508"/>
      <c r="AL24" s="1508"/>
      <c r="AM24" s="1508"/>
      <c r="AN24" s="1508"/>
      <c r="AO24" s="1508"/>
      <c r="AP24" s="1508"/>
      <c r="AQ24" s="1508"/>
      <c r="AR24" s="1508"/>
      <c r="AS24" s="1508"/>
      <c r="AT24" s="1508"/>
      <c r="AU24" s="1508"/>
      <c r="AV24" s="1508"/>
      <c r="AW24" s="1508"/>
      <c r="AX24" s="1508"/>
      <c r="AY24" s="1508"/>
      <c r="AZ24" s="1508"/>
      <c r="BA24" s="1508"/>
      <c r="BB24" s="1508"/>
      <c r="BC24" s="1508"/>
      <c r="BD24" s="1508"/>
      <c r="BE24" s="1508"/>
      <c r="BF24" s="1508"/>
      <c r="BG24" s="1508"/>
      <c r="BH24" s="1508"/>
      <c r="BI24" s="1508"/>
      <c r="BJ24" s="1508"/>
      <c r="BK24" s="1508"/>
      <c r="BL24" s="1508"/>
      <c r="BM24" s="1508"/>
      <c r="BN24" s="1508"/>
      <c r="BO24" s="1508"/>
      <c r="BP24" s="1509"/>
      <c r="BQ24" s="1509"/>
      <c r="BR24" s="1509"/>
      <c r="BS24" s="1509"/>
      <c r="BT24" s="1509"/>
      <c r="BU24" s="1509"/>
      <c r="BV24" s="1509"/>
      <c r="BW24" s="1509"/>
      <c r="BX24" s="1509"/>
      <c r="BY24" s="1509"/>
      <c r="BZ24" s="1509"/>
      <c r="CA24" s="1509"/>
      <c r="CB24" s="1509"/>
      <c r="CC24" s="1509"/>
      <c r="CD24" s="1509"/>
      <c r="CE24" s="1509"/>
      <c r="CF24" s="1509"/>
      <c r="CG24" s="1509"/>
      <c r="CH24" s="1509"/>
      <c r="CI24" s="1509"/>
      <c r="CJ24" s="1509"/>
      <c r="CK24" s="1509"/>
      <c r="CL24" s="1509"/>
      <c r="CM24" s="1509"/>
      <c r="CN24" s="1509"/>
      <c r="CO24" s="1509"/>
      <c r="CP24" s="1509"/>
      <c r="CQ24" s="1509"/>
      <c r="CR24" s="1509"/>
      <c r="CS24" s="1509"/>
      <c r="CT24" s="1509"/>
      <c r="CU24" s="1509"/>
      <c r="CV24" s="1509"/>
      <c r="CW24" s="1509"/>
      <c r="CX24" s="1510"/>
      <c r="CY24" s="1511"/>
      <c r="CZ24" s="1511"/>
      <c r="DA24" s="1511"/>
      <c r="DB24" s="1511"/>
      <c r="DC24" s="1511"/>
      <c r="DD24" s="1512"/>
      <c r="DE24" s="1512"/>
      <c r="DF24" s="1512"/>
      <c r="DG24" s="1512"/>
      <c r="DH24" s="1513"/>
      <c r="DI24" s="1511"/>
      <c r="DJ24" s="1511"/>
      <c r="DK24" s="1511"/>
      <c r="DL24" s="1511"/>
      <c r="DM24" s="1511"/>
      <c r="DN24" s="1511"/>
      <c r="DO24" s="1511"/>
      <c r="DP24" s="1511"/>
      <c r="DQ24" s="1511"/>
      <c r="DR24" s="1511"/>
      <c r="DS24" s="1511"/>
      <c r="DT24" s="1511"/>
      <c r="DU24" s="1511"/>
      <c r="DV24" s="1511"/>
      <c r="DW24" s="1513"/>
      <c r="DX24" s="1511"/>
    </row>
    <row r="25" spans="1:135">
      <c r="A25" s="1482" t="s">
        <v>1046</v>
      </c>
      <c r="B25" s="1483"/>
      <c r="C25" s="1483">
        <f>C21-C23</f>
        <v>53.997000000000099</v>
      </c>
      <c r="D25" s="1483">
        <f>D21-D23</f>
        <v>85.598999999999933</v>
      </c>
      <c r="E25" s="1483">
        <f>E21-E23</f>
        <v>72.739999999999924</v>
      </c>
      <c r="F25" s="1483">
        <f>F21-F23</f>
        <v>343.91600000000005</v>
      </c>
      <c r="G25" s="1483"/>
      <c r="H25" s="1483">
        <f>H21-H23</f>
        <v>82.440000000000012</v>
      </c>
      <c r="I25" s="1483">
        <f>I21-I23</f>
        <v>106.024</v>
      </c>
      <c r="J25" s="1483">
        <f>J21-J23</f>
        <v>79.802999999999912</v>
      </c>
      <c r="K25" s="1483">
        <f>K21-K23</f>
        <v>291.15899999999982</v>
      </c>
      <c r="L25" s="1483"/>
      <c r="M25" s="1483">
        <f>M21-M23</f>
        <v>23.045999999999985</v>
      </c>
      <c r="N25" s="1483">
        <f>N21-N23</f>
        <v>47.331999999999979</v>
      </c>
      <c r="O25" s="1483">
        <f>O21-O23</f>
        <v>-12.872999999999813</v>
      </c>
      <c r="P25" s="1483">
        <f>P21-P23</f>
        <v>354.3660000000001</v>
      </c>
      <c r="Q25" s="1483"/>
      <c r="R25" s="1483">
        <f>R21-R23</f>
        <v>76.87400000000008</v>
      </c>
      <c r="S25" s="1483">
        <f>S21-S23</f>
        <v>83.635999999999882</v>
      </c>
      <c r="T25" s="1483">
        <f>T21-T23</f>
        <v>10.384999999999955</v>
      </c>
      <c r="U25" s="1483">
        <f>U21-U23</f>
        <v>357.28499999999997</v>
      </c>
      <c r="V25" s="1483"/>
      <c r="W25" s="1483">
        <f>W21-W23</f>
        <v>-99.23277667688626</v>
      </c>
      <c r="X25" s="1483">
        <f>X21-X23</f>
        <v>-95.436131899692896</v>
      </c>
      <c r="Y25" s="1483">
        <f>Y21-Y23</f>
        <v>-95.113527314696256</v>
      </c>
      <c r="Z25" s="1483">
        <f>Z21-Z23</f>
        <v>-93.904346708281096</v>
      </c>
      <c r="AA25" s="1483"/>
      <c r="AB25" s="1483">
        <f>AB21-AB23</f>
        <v>67.780000000000072</v>
      </c>
      <c r="AC25" s="1483">
        <f>AC21-AC23</f>
        <v>137.33499999999987</v>
      </c>
      <c r="AD25" s="1483">
        <f>AD21-AD23</f>
        <v>49.676999999999978</v>
      </c>
      <c r="AE25" s="1483">
        <f>AE21-AE23</f>
        <v>382.48</v>
      </c>
      <c r="AF25" s="1483"/>
      <c r="AG25" s="1484">
        <f>AG21-AG23</f>
        <v>83.264999999999986</v>
      </c>
      <c r="AH25" s="1484">
        <f>AH21-AH23</f>
        <v>81.510999999999711</v>
      </c>
      <c r="AI25" s="1484">
        <f>AI21-AI23</f>
        <v>-0.68300000000017835</v>
      </c>
      <c r="AJ25" s="1484">
        <f>AJ21-AJ23</f>
        <v>519.17100000000005</v>
      </c>
      <c r="AK25" s="1483"/>
      <c r="AL25" s="1483">
        <f>AL21-AL23</f>
        <v>98.683999999999912</v>
      </c>
      <c r="AM25" s="1483">
        <f>AM21-AM23</f>
        <v>113.07899999999972</v>
      </c>
      <c r="AN25" s="1483">
        <f>AN21-AN23</f>
        <v>23.508000000000216</v>
      </c>
      <c r="AO25" s="1483">
        <f>AO21-AO23</f>
        <v>439.77799999999991</v>
      </c>
      <c r="AP25" s="1483"/>
      <c r="AQ25" s="1483">
        <f>AQ21-AQ23</f>
        <v>52.627999999999858</v>
      </c>
      <c r="AR25" s="1483">
        <f>AR21-AR23</f>
        <v>80.279000000000181</v>
      </c>
      <c r="AS25" s="1483">
        <f>AS21-AS23</f>
        <v>-2.6650000000000542</v>
      </c>
      <c r="AT25" s="1483">
        <f>AT21-AT23</f>
        <v>331.71899999999994</v>
      </c>
      <c r="AU25" s="1483"/>
      <c r="AV25" s="1483">
        <f>AV21-AV23</f>
        <v>36.399999999999991</v>
      </c>
      <c r="AW25" s="1483">
        <f>AW21-AW23</f>
        <v>93.861999999999767</v>
      </c>
      <c r="AX25" s="1483">
        <f>AX21-AX23</f>
        <v>4.0889999999999453</v>
      </c>
      <c r="AY25" s="1483">
        <f>AY21-AY23</f>
        <v>218.93299999999988</v>
      </c>
      <c r="AZ25" s="1483"/>
      <c r="BA25" s="1483">
        <f>BA21-BA23</f>
        <v>2.6009999999999884</v>
      </c>
      <c r="BB25" s="1483">
        <f>BB21-BB23</f>
        <v>60.263000000000027</v>
      </c>
      <c r="BC25" s="1483">
        <f>BC21-BC23</f>
        <v>6.0990000000000482</v>
      </c>
      <c r="BD25" s="1483">
        <f>BD21-BD23</f>
        <v>329.3999999999989</v>
      </c>
      <c r="BE25" s="1483"/>
      <c r="BF25" s="1483">
        <f>BG21-BG23</f>
        <v>120.60300000000032</v>
      </c>
      <c r="BG25" s="1483">
        <f>BG21-BG23</f>
        <v>120.60300000000032</v>
      </c>
      <c r="BH25" s="1483">
        <f>BH21-BH23</f>
        <v>61.327000000000197</v>
      </c>
      <c r="BI25" s="1483">
        <f>BI21-BI23</f>
        <v>419.68000000000018</v>
      </c>
      <c r="BJ25" s="1483"/>
      <c r="BK25" s="1483">
        <f>BK21-BK23</f>
        <v>129.83099999999985</v>
      </c>
      <c r="BL25" s="1483">
        <f>BL21-BL23</f>
        <v>150.71900000000014</v>
      </c>
      <c r="BM25" s="1483">
        <f>BM21-BM23</f>
        <v>77.586000000000098</v>
      </c>
      <c r="BN25" s="1483">
        <f>BN21-BN23</f>
        <v>459.20799999999991</v>
      </c>
      <c r="BO25" s="1483"/>
      <c r="BP25" s="1484">
        <f>BP21-BP23</f>
        <v>124.55800000000021</v>
      </c>
      <c r="BQ25" s="1484">
        <f>BQ21-BQ23</f>
        <v>147.1899999999998</v>
      </c>
      <c r="BR25" s="1484">
        <f>BR21-BR23</f>
        <v>75.639999999999645</v>
      </c>
      <c r="BS25" s="1484">
        <f>BS21-BS23</f>
        <v>519.23070000000018</v>
      </c>
      <c r="BT25" s="1484"/>
      <c r="BU25" s="1484">
        <f>BU21-BU23</f>
        <v>142.49700000000007</v>
      </c>
      <c r="BV25" s="1484">
        <f>BV21-BV23</f>
        <v>178.91400000000004</v>
      </c>
      <c r="BW25" s="1484">
        <f>BW21-BW23</f>
        <v>91.984000000000066</v>
      </c>
      <c r="BX25" s="1484">
        <f>BX21-BX23</f>
        <v>489.62000000000018</v>
      </c>
      <c r="BY25" s="1484"/>
      <c r="BZ25" s="1484">
        <f>BZ21-BZ23</f>
        <v>156.98200000000014</v>
      </c>
      <c r="CA25" s="1484">
        <f>CA21-CA23</f>
        <v>188.35700000000014</v>
      </c>
      <c r="CB25" s="1484">
        <f>CB21-CB23</f>
        <v>131.80800000000016</v>
      </c>
      <c r="CC25" s="1484">
        <f>CC21-CC23</f>
        <v>564.81299999999965</v>
      </c>
      <c r="CD25" s="1484"/>
      <c r="CE25" s="1484">
        <f>CE21-CE23</f>
        <v>181.48799999999986</v>
      </c>
      <c r="CF25" s="1484">
        <f>CF21-CF23</f>
        <v>202.47700000000006</v>
      </c>
      <c r="CG25" s="1484">
        <f>CG21-CG23</f>
        <v>164.03099999999995</v>
      </c>
      <c r="CH25" s="1484">
        <f>CH21-CH23</f>
        <v>636.0169999999996</v>
      </c>
      <c r="CI25" s="1484"/>
      <c r="CJ25" s="1484">
        <f>CJ21-CJ23</f>
        <v>173.67600000000004</v>
      </c>
      <c r="CK25" s="1484">
        <f>CK21-CK23</f>
        <v>204.66300000000021</v>
      </c>
      <c r="CL25" s="1484">
        <f>CL21-CL23</f>
        <v>121.6399999999998</v>
      </c>
      <c r="CM25" s="1484">
        <f>CM21-CM23</f>
        <v>589.99500000000012</v>
      </c>
      <c r="CN25" s="1484"/>
      <c r="CO25" s="1484">
        <f>CO21-CO23</f>
        <v>94.054000000000116</v>
      </c>
      <c r="CP25" s="1484">
        <f>CP21-CP23</f>
        <v>138.87400000000008</v>
      </c>
      <c r="CQ25" s="1484">
        <f>CQ21-CQ23</f>
        <v>85.985000000000269</v>
      </c>
      <c r="CR25" s="1484">
        <f>CR21-CR23</f>
        <v>600.56000000000074</v>
      </c>
      <c r="CS25" s="1484"/>
      <c r="CT25" s="1484">
        <f>CT21-CT23</f>
        <v>51.368803649847379</v>
      </c>
      <c r="CU25" s="1484">
        <f>CU21-CU23</f>
        <v>141.70300915334684</v>
      </c>
      <c r="CV25" s="1484">
        <f>CV21-CV23</f>
        <v>99.049786863928887</v>
      </c>
      <c r="CW25" s="1484">
        <f>CW21-CW23</f>
        <v>620.37809008282034</v>
      </c>
      <c r="CX25" s="1485"/>
      <c r="CY25" s="1486">
        <f>CY21-CY23</f>
        <v>621.34699999999953</v>
      </c>
      <c r="CZ25" s="1486">
        <f>CZ21-CZ23</f>
        <v>616.75600000000111</v>
      </c>
      <c r="DA25" s="1486">
        <f t="shared" ref="DA25:DF25" si="9">DA21-DA23</f>
        <v>606.48000000000093</v>
      </c>
      <c r="DB25" s="1486">
        <f t="shared" si="9"/>
        <v>672.10100000000011</v>
      </c>
      <c r="DC25" s="1486">
        <f t="shared" si="9"/>
        <v>470.8159999999998</v>
      </c>
      <c r="DD25" s="1487">
        <f t="shared" si="9"/>
        <v>411.87100000000066</v>
      </c>
      <c r="DE25" s="1487">
        <f t="shared" si="9"/>
        <v>528.1800000000004</v>
      </c>
      <c r="DF25" s="1487">
        <f t="shared" si="9"/>
        <v>583.76799999999992</v>
      </c>
      <c r="DG25" s="1487">
        <f t="shared" ref="DG25:DL25" si="10">DG21-DG23</f>
        <v>637.27200000000005</v>
      </c>
      <c r="DH25" s="1488">
        <f t="shared" si="10"/>
        <v>666.42</v>
      </c>
      <c r="DI25" s="1486">
        <f t="shared" si="10"/>
        <v>675.04899999999816</v>
      </c>
      <c r="DJ25" s="1486">
        <f t="shared" si="10"/>
        <v>461.96100000000013</v>
      </c>
      <c r="DK25" s="1486">
        <f t="shared" si="10"/>
        <v>353.28399999999999</v>
      </c>
      <c r="DL25" s="1486">
        <f t="shared" si="10"/>
        <v>398.363</v>
      </c>
      <c r="DM25" s="1486">
        <f t="shared" ref="DM25:DT25" si="11">DM21-DM23</f>
        <v>684.48000000000093</v>
      </c>
      <c r="DN25" s="1486">
        <f t="shared" si="11"/>
        <v>817.34399999999926</v>
      </c>
      <c r="DO25" s="1486">
        <f t="shared" si="11"/>
        <v>866.61470000000281</v>
      </c>
      <c r="DP25" s="1486">
        <f t="shared" si="11"/>
        <v>903.02799999999741</v>
      </c>
      <c r="DQ25" s="1486">
        <f t="shared" si="11"/>
        <v>1042.0430000000019</v>
      </c>
      <c r="DR25" s="1486">
        <f t="shared" si="11"/>
        <v>1184.0089999999991</v>
      </c>
      <c r="DS25" s="1486">
        <f t="shared" si="11"/>
        <v>1090.0950000000012</v>
      </c>
      <c r="DT25" s="1486">
        <f t="shared" si="11"/>
        <v>919.35000000000048</v>
      </c>
      <c r="DU25" s="1486">
        <f>DU21-DU23</f>
        <v>912.49968974994249</v>
      </c>
      <c r="DV25" s="1486">
        <f>DV21-DV23</f>
        <v>982.70249388155548</v>
      </c>
      <c r="DW25" s="1488">
        <f>DW21-DW23</f>
        <v>1065.2588025142413</v>
      </c>
      <c r="DX25" s="1486"/>
    </row>
    <row r="26" spans="1:135" ht="6.75" customHeight="1">
      <c r="A26" s="1425"/>
      <c r="B26" s="1514"/>
      <c r="C26" s="1514"/>
      <c r="D26" s="1514"/>
      <c r="E26" s="1514"/>
      <c r="F26" s="1514"/>
      <c r="G26" s="1514"/>
      <c r="H26" s="1514"/>
      <c r="I26" s="1514"/>
      <c r="J26" s="1514"/>
      <c r="K26" s="1514"/>
      <c r="L26" s="1514"/>
      <c r="M26" s="1514"/>
      <c r="N26" s="1514"/>
      <c r="O26" s="1514"/>
      <c r="P26" s="1514"/>
      <c r="Q26" s="1514"/>
      <c r="R26" s="1514"/>
      <c r="S26" s="1514"/>
      <c r="T26" s="1514"/>
      <c r="U26" s="1514"/>
      <c r="V26" s="1514"/>
      <c r="W26" s="1514"/>
      <c r="X26" s="1514"/>
      <c r="Y26" s="1514"/>
      <c r="Z26" s="1514"/>
      <c r="AA26" s="1514"/>
      <c r="AB26" s="1514"/>
      <c r="AC26" s="1514"/>
      <c r="AD26" s="1514"/>
      <c r="AE26" s="1514"/>
      <c r="AF26" s="1514"/>
      <c r="AG26" s="1515"/>
      <c r="AH26" s="1515"/>
      <c r="AI26" s="1515"/>
      <c r="AJ26" s="1515"/>
      <c r="AK26" s="1514"/>
      <c r="AL26" s="1514"/>
      <c r="AM26" s="1514"/>
      <c r="AN26" s="1514"/>
      <c r="AO26" s="1514"/>
      <c r="AP26" s="1514"/>
      <c r="AQ26" s="1514"/>
      <c r="AR26" s="1514"/>
      <c r="AS26" s="1514"/>
      <c r="AT26" s="1514"/>
      <c r="AU26" s="1514"/>
      <c r="AV26" s="1514"/>
      <c r="AW26" s="1514"/>
      <c r="AX26" s="1514"/>
      <c r="AY26" s="1514"/>
      <c r="AZ26" s="1514"/>
      <c r="BA26" s="1514"/>
      <c r="BB26" s="1514"/>
      <c r="BC26" s="1514"/>
      <c r="BD26" s="1514"/>
      <c r="BE26" s="1514"/>
      <c r="BF26" s="1514"/>
      <c r="BG26" s="1514"/>
      <c r="BH26" s="1514"/>
      <c r="BI26" s="1514"/>
      <c r="BJ26" s="1514"/>
      <c r="BK26" s="1514"/>
      <c r="BL26" s="1514"/>
      <c r="BM26" s="1514"/>
      <c r="BN26" s="1514"/>
      <c r="BO26" s="1514"/>
      <c r="BP26" s="1515"/>
      <c r="BQ26" s="1515"/>
      <c r="BR26" s="1515"/>
      <c r="BS26" s="1515"/>
      <c r="BT26" s="1515"/>
      <c r="BU26" s="1515"/>
      <c r="BV26" s="1515"/>
      <c r="BW26" s="1515"/>
      <c r="BX26" s="1515"/>
      <c r="BY26" s="1515"/>
      <c r="BZ26" s="1515"/>
      <c r="CA26" s="1515"/>
      <c r="CB26" s="1515"/>
      <c r="CC26" s="1515"/>
      <c r="CD26" s="1515"/>
      <c r="CE26" s="1515"/>
      <c r="CF26" s="1515"/>
      <c r="CG26" s="1515"/>
      <c r="CH26" s="1515"/>
      <c r="CI26" s="1515"/>
      <c r="CJ26" s="1515"/>
      <c r="CK26" s="1515"/>
      <c r="CL26" s="1515"/>
      <c r="CM26" s="1515"/>
      <c r="CN26" s="1515"/>
      <c r="CO26" s="1515"/>
      <c r="CP26" s="1515"/>
      <c r="CQ26" s="1515"/>
      <c r="CR26" s="1515"/>
      <c r="CS26" s="1515"/>
      <c r="CT26" s="1515"/>
      <c r="CU26" s="1515"/>
      <c r="CV26" s="1515"/>
      <c r="CW26" s="1515"/>
      <c r="CX26" s="1516"/>
      <c r="CY26" s="1517"/>
      <c r="CZ26" s="1517"/>
      <c r="DA26" s="1517"/>
      <c r="DB26" s="1517"/>
      <c r="DC26" s="1517"/>
      <c r="DD26" s="1518"/>
      <c r="DE26" s="1518"/>
      <c r="DF26" s="1518"/>
      <c r="DG26" s="1518"/>
      <c r="DH26" s="1519"/>
      <c r="DI26" s="1517"/>
      <c r="DJ26" s="1517"/>
      <c r="DK26" s="1517"/>
      <c r="DL26" s="1517"/>
      <c r="DM26" s="1517"/>
      <c r="DN26" s="1517"/>
      <c r="DO26" s="1517"/>
      <c r="DP26" s="1517"/>
      <c r="DQ26" s="1517"/>
      <c r="DR26" s="1517"/>
      <c r="DS26" s="1517"/>
      <c r="DT26" s="1517"/>
      <c r="DU26" s="1517"/>
      <c r="DV26" s="1517"/>
      <c r="DW26" s="1519"/>
      <c r="DX26" s="1517"/>
    </row>
    <row r="27" spans="1:135">
      <c r="A27" s="1520" t="s">
        <v>1212</v>
      </c>
      <c r="B27" s="1521"/>
      <c r="C27" s="1522">
        <f>C25/C28</f>
        <v>9.5187309063922018E-2</v>
      </c>
      <c r="D27" s="1522">
        <f>D25/D28</f>
        <v>0.15379791867301018</v>
      </c>
      <c r="E27" s="1522">
        <f>E25/E28</f>
        <v>0.1345927892755043</v>
      </c>
      <c r="F27" s="1522">
        <f>F25/F28</f>
        <v>0.63802401708244216</v>
      </c>
      <c r="G27" s="1522"/>
      <c r="H27" s="1522">
        <f>H25/H28</f>
        <v>0.1529257909235093</v>
      </c>
      <c r="I27" s="1522">
        <f>I25/I28</f>
        <v>0.19592530652597734</v>
      </c>
      <c r="J27" s="1522">
        <f>J25/J28</f>
        <v>0.14926129657927648</v>
      </c>
      <c r="K27" s="1522">
        <f>K25/K28</f>
        <v>0.54737057807238987</v>
      </c>
      <c r="L27" s="1522"/>
      <c r="M27" s="1522">
        <f>M25/M28</f>
        <v>4.3695892062841968E-2</v>
      </c>
      <c r="N27" s="1522">
        <f>N25/N28</f>
        <v>8.9734183430684983E-2</v>
      </c>
      <c r="O27" s="1523">
        <f>O25/O28</f>
        <v>-2.4617014481833763E-2</v>
      </c>
      <c r="P27" s="1522">
        <f>P25/P28</f>
        <v>0.6734973144948857</v>
      </c>
      <c r="Q27" s="1522"/>
      <c r="R27" s="1522">
        <f>R25/R28</f>
        <v>0.14385185545577553</v>
      </c>
      <c r="S27" s="1522">
        <f>S25/S28</f>
        <v>0.15579228936579204</v>
      </c>
      <c r="T27" s="1522">
        <f>T25/T28</f>
        <v>1.9549744074366129E-2</v>
      </c>
      <c r="U27" s="1522">
        <f>U25/U28</f>
        <v>0.67306478685386928</v>
      </c>
      <c r="V27" s="1522"/>
      <c r="W27" s="1522">
        <f>W25/W28</f>
        <v>72.002305713235657</v>
      </c>
      <c r="X27" s="1522">
        <f>X25/X28</f>
        <v>48.817741169534941</v>
      </c>
      <c r="Y27" s="1522">
        <f>Y25/Y28</f>
        <v>73.986179135030952</v>
      </c>
      <c r="Z27" s="1522">
        <f>Z25/Z28</f>
        <v>87.945529421660083</v>
      </c>
      <c r="AA27" s="1522"/>
      <c r="AB27" s="1522">
        <f>AB25/AB28</f>
        <v>0.13149955668857047</v>
      </c>
      <c r="AC27" s="1522">
        <f>AC25/AC28</f>
        <v>0.28593825474290824</v>
      </c>
      <c r="AD27" s="1522">
        <f>AD25/AD28</f>
        <v>0.10351574709625791</v>
      </c>
      <c r="AE27" s="1522">
        <f>AE25/AE28</f>
        <v>0.87155064372792523</v>
      </c>
      <c r="AF27" s="1522"/>
      <c r="AG27" s="1524">
        <f>AG25/AG28</f>
        <v>0.19956427328549445</v>
      </c>
      <c r="AH27" s="1524">
        <f>AH25/AH28</f>
        <v>0.19785760059033641</v>
      </c>
      <c r="AI27" s="1524">
        <f>AI25/AI28</f>
        <v>-1.6729739990941407E-3</v>
      </c>
      <c r="AJ27" s="1524">
        <f>AJ25/AJ28</f>
        <v>1.2778492929839891</v>
      </c>
      <c r="AK27" s="1522"/>
      <c r="AL27" s="1522">
        <f>AL25/AL28</f>
        <v>0.24645430365995258</v>
      </c>
      <c r="AM27" s="1522">
        <f>AM25/AM28</f>
        <v>0.28105124234794621</v>
      </c>
      <c r="AN27" s="1522">
        <f>AN25/AN28</f>
        <v>5.8492744391584424E-2</v>
      </c>
      <c r="AO27" s="1522">
        <f>AO25/AO28</f>
        <v>1.0849607736714855</v>
      </c>
      <c r="AP27" s="1522"/>
      <c r="AQ27" s="1522">
        <f>AQ25/AQ28</f>
        <v>0.1295732758196193</v>
      </c>
      <c r="AR27" s="1522">
        <f>AR25/AR28</f>
        <v>0.20272679522015422</v>
      </c>
      <c r="AS27" s="1522">
        <f>AS25/AS28</f>
        <v>-7.3018699910954287E-3</v>
      </c>
      <c r="AT27" s="1522">
        <f>AT25/AT28</f>
        <v>0.93762613557348207</v>
      </c>
      <c r="AU27" s="1522"/>
      <c r="AV27" s="1522">
        <f>'qtrP&amp;L'!CD140</f>
        <v>0.10576875579330923</v>
      </c>
      <c r="AW27" s="1522">
        <f>'qtrP&amp;L'!CD141</f>
        <v>0.2748778802113222</v>
      </c>
      <c r="AX27" s="1522">
        <f>'qtrP&amp;L'!CD142</f>
        <v>1.2022050716648131E-2</v>
      </c>
      <c r="AY27" s="1522">
        <f>'qtrP&amp;L'!CD143</f>
        <v>0.67684093698506431</v>
      </c>
      <c r="AZ27" s="1522"/>
      <c r="BA27" s="1522">
        <f>'qtrP&amp;L'!CH140</f>
        <v>8.04553257961238E-3</v>
      </c>
      <c r="BB27" s="1522">
        <f>'qtrP&amp;L'!CH141</f>
        <v>0.18502780191404902</v>
      </c>
      <c r="BC27" s="1522">
        <f>'qtrP&amp;L'!CH142</f>
        <v>1.8940993788820026E-2</v>
      </c>
      <c r="BD27" s="1522">
        <f>'qtrP&amp;L'!CH143</f>
        <v>1.0090473865968905</v>
      </c>
      <c r="BE27" s="1522"/>
      <c r="BF27" s="1522">
        <f>'qtrP&amp;L'!CL140</f>
        <v>0.24893510925268417</v>
      </c>
      <c r="BG27" s="1522">
        <f>'qtrP&amp;L'!CL141</f>
        <v>0.36136596532651066</v>
      </c>
      <c r="BH27" s="1522">
        <f>'qtrP&amp;L'!CL142</f>
        <v>0.18473045144149874</v>
      </c>
      <c r="BI27" s="1522">
        <f>'qtrP&amp;L'!CL143</f>
        <v>1.2607735636500192</v>
      </c>
      <c r="BJ27" s="1522"/>
      <c r="BK27" s="1522">
        <f>'qtrP&amp;L'!$CP140</f>
        <v>0.39525743442363381</v>
      </c>
      <c r="BL27" s="1522">
        <f>'qtrP&amp;L'!$CP141</f>
        <v>0.47877700127064843</v>
      </c>
      <c r="BM27" s="1522">
        <f>'qtrP&amp;L'!$CP142</f>
        <v>0.25196149749292074</v>
      </c>
      <c r="BN27" s="1522">
        <f>'qtrP&amp;L'!$CP143</f>
        <v>1.5006591412797599</v>
      </c>
      <c r="BO27" s="1522"/>
      <c r="BP27" s="1524">
        <f>'qtrP&amp;L'!$CT140</f>
        <v>0.41348701027094925</v>
      </c>
      <c r="BQ27" s="1524">
        <f>'qtrP&amp;L'!$CT141</f>
        <v>0.49721312029186243</v>
      </c>
      <c r="BR27" s="1524">
        <f>'qtrP&amp;L'!$CT142</f>
        <v>0.25694156651471073</v>
      </c>
      <c r="BS27" s="1524">
        <f>'qtrP&amp;L'!$CT143</f>
        <v>1.7575838712625631</v>
      </c>
      <c r="BT27" s="1524"/>
      <c r="BU27" s="1524">
        <f>'qtrP&amp;L'!CX140</f>
        <v>0.48271341463414658</v>
      </c>
      <c r="BV27" s="1524">
        <f>'qtrP&amp;L'!CX141</f>
        <v>0.60551725538374079</v>
      </c>
      <c r="BW27" s="1524">
        <f>'qtrP&amp;L'!CX142</f>
        <v>0.31018668393223292</v>
      </c>
      <c r="BX27" s="1524">
        <f>'qtrP&amp;L'!CX143</f>
        <v>1.6484522823532588</v>
      </c>
      <c r="BY27" s="1524"/>
      <c r="BZ27" s="1524">
        <f>'qtrP&amp;L'!DB140</f>
        <v>0.52798294116855726</v>
      </c>
      <c r="CA27" s="1524">
        <f>'qtrP&amp;L'!DB141</f>
        <v>0.63346920381244542</v>
      </c>
      <c r="CB27" s="1524">
        <f>'qtrP&amp;L'!DB142</f>
        <v>0.44210992372557362</v>
      </c>
      <c r="CC27" s="1524">
        <f>'qtrP&amp;L'!DB143</f>
        <v>1.8887540128410902</v>
      </c>
      <c r="CD27" s="1524"/>
      <c r="CE27" s="1524">
        <f>'qtrP&amp;L'!DF140</f>
        <v>0.60669312001283626</v>
      </c>
      <c r="CF27" s="1524">
        <f>'qtrP&amp;L'!DF141</f>
        <v>0.68194050108954496</v>
      </c>
      <c r="CG27" s="1524">
        <f>'qtrP&amp;L'!DF142</f>
        <v>0.55430297746373192</v>
      </c>
      <c r="CH27" s="1524">
        <f>'qtrP&amp;L'!DF143</f>
        <v>2.1547189115572496</v>
      </c>
      <c r="CI27" s="1524"/>
      <c r="CJ27" s="1524">
        <f>'qtrP&amp;L'!DJ140</f>
        <v>0.5932003087663692</v>
      </c>
      <c r="CK27" s="1524">
        <f>'qtrP&amp;L'!DJ141</f>
        <v>0.70334311616366496</v>
      </c>
      <c r="CL27" s="1524">
        <f>'qtrP&amp;L'!DJ142</f>
        <v>0.41906533684736297</v>
      </c>
      <c r="CM27" s="1524">
        <f>'qtrP&amp;L'!DJ143</f>
        <v>2.0328462500559903</v>
      </c>
      <c r="CN27" s="1524"/>
      <c r="CO27" s="1524">
        <f>'qtrP&amp;L'!DN140</f>
        <v>0.32507854434601718</v>
      </c>
      <c r="CP27" s="1524">
        <f>'qtrP&amp;L'!DN141</f>
        <v>0.48063931112772412</v>
      </c>
      <c r="CQ27" s="1524">
        <f>'qtrP&amp;L'!DN142</f>
        <v>0.30123985327760683</v>
      </c>
      <c r="CR27" s="1524">
        <f>'qtrP&amp;L'!DN143</f>
        <v>2.1109314586994752</v>
      </c>
      <c r="CS27" s="1524"/>
      <c r="CT27" s="1524">
        <f>'qtrP&amp;L'!DR140</f>
        <v>0.18119507460263626</v>
      </c>
      <c r="CU27" s="1524">
        <f>'qtrP&amp;L'!DR141</f>
        <v>0.50160357222423657</v>
      </c>
      <c r="CV27" s="1524">
        <f>'qtrP&amp;L'!DR142</f>
        <v>0.35186425173686992</v>
      </c>
      <c r="CW27" s="1524">
        <f>'qtrP&amp;L'!DR143</f>
        <v>2.2038298049123282</v>
      </c>
      <c r="CX27" s="1525"/>
      <c r="CY27" s="1522">
        <f>CY25/CY28</f>
        <v>1.4686294183480872</v>
      </c>
      <c r="CZ27" s="1522">
        <f>CZ25/CZ28</f>
        <v>1.3560560754239102</v>
      </c>
      <c r="DA27" s="1522">
        <f t="shared" ref="DA27:DF27" si="12">DA25/DA28</f>
        <v>1.3043646577569801</v>
      </c>
      <c r="DB27" s="1522">
        <f t="shared" si="12"/>
        <v>1.2201627002209401</v>
      </c>
      <c r="DC27" s="1522">
        <f t="shared" si="12"/>
        <v>0.87723913829275801</v>
      </c>
      <c r="DD27" s="1526">
        <f t="shared" si="12"/>
        <v>0.78303364677163745</v>
      </c>
      <c r="DE27" s="1526">
        <f t="shared" si="12"/>
        <v>0.99036133056951747</v>
      </c>
      <c r="DF27" s="1526">
        <f t="shared" si="12"/>
        <v>1.1103929576152061</v>
      </c>
      <c r="DG27" s="1526">
        <f t="shared" ref="DG27:DL27" si="13">DG25/DG28</f>
        <v>1.331475217343159</v>
      </c>
      <c r="DH27" s="1527">
        <f t="shared" si="13"/>
        <v>1.6217123834368368</v>
      </c>
      <c r="DI27" s="1522">
        <f t="shared" si="13"/>
        <v>1.6771445394895343</v>
      </c>
      <c r="DJ27" s="1522">
        <f t="shared" si="13"/>
        <v>1.2149514767377643</v>
      </c>
      <c r="DK27" s="1522">
        <f t="shared" si="13"/>
        <v>1.0473849766232535</v>
      </c>
      <c r="DL27" s="1522">
        <f t="shared" si="13"/>
        <v>1.2191115939589614</v>
      </c>
      <c r="DM27" s="1522">
        <f t="shared" ref="DM27:DS27" si="14">DM25/DM28</f>
        <v>2.0562735449449367</v>
      </c>
      <c r="DN27" s="1522">
        <f t="shared" si="14"/>
        <v>2.6005131067809009</v>
      </c>
      <c r="DO27" s="1522">
        <f t="shared" si="14"/>
        <v>2.9201658529024352</v>
      </c>
      <c r="DP27" s="1522">
        <f t="shared" si="14"/>
        <v>3.0502035094830262</v>
      </c>
      <c r="DQ27" s="1522">
        <f t="shared" si="14"/>
        <v>3.4972580212109077</v>
      </c>
      <c r="DR27" s="1522">
        <f t="shared" si="14"/>
        <v>3.9894065887042331</v>
      </c>
      <c r="DS27" s="1522">
        <f t="shared" si="14"/>
        <v>3.7451943723910506</v>
      </c>
      <c r="DT27" s="1522">
        <f>DT25/DT28</f>
        <v>3.2021943573667726</v>
      </c>
      <c r="DU27" s="1522">
        <f>DU25/DU28</f>
        <v>3.232948413640186</v>
      </c>
      <c r="DV27" s="1522">
        <f>DV25/DV28</f>
        <v>3.4992373669372898</v>
      </c>
      <c r="DW27" s="1527">
        <f>DW25/DW28</f>
        <v>3.799003965831548</v>
      </c>
      <c r="DX27"/>
    </row>
    <row r="28" spans="1:135">
      <c r="A28" s="1528" t="s">
        <v>567</v>
      </c>
      <c r="B28" s="1529"/>
      <c r="C28" s="1529">
        <f>'qtrP&amp;L'!$AP160</f>
        <v>567.27099999999996</v>
      </c>
      <c r="D28" s="1529">
        <f>'qtrP&amp;L'!$AP161</f>
        <v>556.56799999999998</v>
      </c>
      <c r="E28" s="1529">
        <f>'qtrP&amp;L'!$AP162</f>
        <v>540.44500000000005</v>
      </c>
      <c r="F28" s="1529">
        <f>'qtrP&amp;L'!$AP163</f>
        <v>539.03300000000002</v>
      </c>
      <c r="G28" s="1529"/>
      <c r="H28" s="1529">
        <f>'qtrP&amp;L'!$AT160</f>
        <v>539.08500000000004</v>
      </c>
      <c r="I28" s="1529">
        <f>'qtrP&amp;L'!$AT161</f>
        <v>541.14499999999998</v>
      </c>
      <c r="J28" s="1529">
        <f>'qtrP&amp;L'!$AT162</f>
        <v>534.65300000000002</v>
      </c>
      <c r="K28" s="1529">
        <f>'qtrP&amp;L'!$AT163</f>
        <v>531.923</v>
      </c>
      <c r="L28" s="1529"/>
      <c r="M28" s="1529">
        <f>'qtrP&amp;L'!$AX160</f>
        <v>527.41800000000001</v>
      </c>
      <c r="N28" s="1529">
        <f>'qtrP&amp;L'!$AX161</f>
        <v>527.46900000000005</v>
      </c>
      <c r="O28" s="1529">
        <f>'qtrP&amp;L'!$AX162</f>
        <v>522.93100000000004</v>
      </c>
      <c r="P28" s="1529">
        <f>'qtrP&amp;L'!$AX163</f>
        <v>526.15800000000002</v>
      </c>
      <c r="Q28" s="1529"/>
      <c r="R28" s="1529">
        <f>'qtrP&amp;L'!$BB160</f>
        <v>534.39700000000005</v>
      </c>
      <c r="S28" s="1529">
        <f>'qtrP&amp;L'!$BB161</f>
        <v>536.84299999999996</v>
      </c>
      <c r="T28" s="1529">
        <f>'qtrP&amp;L'!$BB162</f>
        <v>531.20899999999995</v>
      </c>
      <c r="U28" s="1529">
        <f>'qtrP&amp;L'!$BB163</f>
        <v>530.83299999999997</v>
      </c>
      <c r="V28" s="1529"/>
      <c r="W28" s="1529">
        <f>'qtrP&amp;L'!$BG160</f>
        <v>-1.3781888745632909</v>
      </c>
      <c r="X28" s="1529">
        <f>'qtrP&amp;L'!$BG161</f>
        <v>-1.9549477221459499</v>
      </c>
      <c r="Y28" s="1529">
        <f>'qtrP&amp;L'!$BG162</f>
        <v>-1.285558038361545</v>
      </c>
      <c r="Z28" s="1529">
        <f>'qtrP&amp;L'!$BG163</f>
        <v>-1.0677557725310982</v>
      </c>
      <c r="AA28" s="1529"/>
      <c r="AB28" s="1529">
        <f>+'qtrP&amp;L'!$BJ$160</f>
        <v>515.43899999999996</v>
      </c>
      <c r="AC28" s="1529">
        <f>+'qtrP&amp;L'!$BJ$161</f>
        <v>480.29599999999999</v>
      </c>
      <c r="AD28" s="1529">
        <f>+'qtrP&amp;L'!$BJ$162</f>
        <v>479.89800000000002</v>
      </c>
      <c r="AE28" s="1529">
        <f>+'qtrP&amp;L'!$BJ$163</f>
        <v>438.85</v>
      </c>
      <c r="AF28" s="1529"/>
      <c r="AG28" s="1529">
        <f>+'qtrP&amp;L'!$BN$160</f>
        <v>417.23399999999998</v>
      </c>
      <c r="AH28" s="1529">
        <f>+'qtrP&amp;L'!$BN$161</f>
        <v>411.96800000000002</v>
      </c>
      <c r="AI28" s="1529">
        <f>+'qtrP&amp;L'!$BN$162</f>
        <v>408.255</v>
      </c>
      <c r="AJ28" s="1529">
        <f>+'qtrP&amp;L'!$BN$163</f>
        <v>406.28500000000003</v>
      </c>
      <c r="AK28" s="1529"/>
      <c r="AL28" s="1529">
        <f>+'qtrP&amp;L'!$BV$160</f>
        <v>400.41500000000002</v>
      </c>
      <c r="AM28" s="1529">
        <f>+'qtrP&amp;L'!$BV$161</f>
        <v>402.34300000000002</v>
      </c>
      <c r="AN28" s="1529">
        <f>+'qtrP&amp;L'!$BV$162</f>
        <v>401.89600000000002</v>
      </c>
      <c r="AO28" s="1529">
        <f>+'qtrP&amp;L'!$BV$163</f>
        <v>405.34</v>
      </c>
      <c r="AP28" s="1529"/>
      <c r="AQ28" s="1529">
        <f>+'qtrP&amp;L'!$BZ$160</f>
        <v>406.16399999999999</v>
      </c>
      <c r="AR28" s="1529">
        <f>+'qtrP&amp;L'!$BZ$161</f>
        <v>395.99599999999998</v>
      </c>
      <c r="AS28" s="1529">
        <f>+'qtrP&amp;L'!$BZ$162</f>
        <v>364.97500000000002</v>
      </c>
      <c r="AT28" s="1529">
        <f>+'qtrP&amp;L'!$BZ$163</f>
        <v>353.786</v>
      </c>
      <c r="AU28" s="1529"/>
      <c r="AV28" s="1529">
        <f>'qtrP&amp;L'!CD160</f>
        <v>344.14699999999999</v>
      </c>
      <c r="AW28" s="1529">
        <f>'qtrP&amp;L'!CD161</f>
        <v>341.46800000000002</v>
      </c>
      <c r="AX28" s="1529">
        <f>'qtrP&amp;L'!CD162</f>
        <v>340.125</v>
      </c>
      <c r="AY28" s="1529">
        <f>'qtrP&amp;L'!CD163</f>
        <v>323.46300000000002</v>
      </c>
      <c r="AZ28" s="1529"/>
      <c r="BA28" s="1529">
        <f>'qtrP&amp;L'!CH160</f>
        <v>323.28500000000003</v>
      </c>
      <c r="BB28" s="1529">
        <f>'qtrP&amp;L'!CH161</f>
        <v>325.697</v>
      </c>
      <c r="BC28" s="1529">
        <f>'qtrP&amp;L'!CH162</f>
        <v>328.25900000000001</v>
      </c>
      <c r="BD28" s="1529">
        <f>'qtrP&amp;L'!CH163</f>
        <v>329.81900000000002</v>
      </c>
      <c r="BE28" s="1529"/>
      <c r="BF28" s="1529">
        <f>'qtrP&amp;L'!$CL160</f>
        <v>332.89800000000002</v>
      </c>
      <c r="BG28" s="1529">
        <f>'qtrP&amp;L'!CL161</f>
        <v>333.74200000000002</v>
      </c>
      <c r="BH28" s="1529">
        <f>'qtrP&amp;L'!CL162</f>
        <v>331.98099999999999</v>
      </c>
      <c r="BI28" s="1529">
        <f>'qtrP&amp;L'!CL163</f>
        <v>332.875</v>
      </c>
      <c r="BJ28" s="1529"/>
      <c r="BK28" s="1529">
        <f>'qtrP&amp;L'!$CP160</f>
        <v>328.47199999999998</v>
      </c>
      <c r="BL28" s="1529">
        <f>'qtrP&amp;L'!$CP161</f>
        <v>314.8</v>
      </c>
      <c r="BM28" s="1529">
        <f>'qtrP&amp;L'!$CP162</f>
        <v>307.928</v>
      </c>
      <c r="BN28" s="1529">
        <f>'qtrP&amp;L'!$CP163</f>
        <v>306.00420000000003</v>
      </c>
      <c r="BO28" s="1529"/>
      <c r="BP28" s="1530">
        <f>'qtrP&amp;L'!$CT160</f>
        <v>301.238</v>
      </c>
      <c r="BQ28" s="1530">
        <f>'qtrP&amp;L'!$CT161</f>
        <v>296.02999999999997</v>
      </c>
      <c r="BR28" s="1530">
        <f>'qtrP&amp;L'!$CT162</f>
        <v>294.38600000000002</v>
      </c>
      <c r="BS28" s="1530">
        <f>'qtrP&amp;L'!$CT163</f>
        <v>295.423</v>
      </c>
      <c r="BT28" s="1530"/>
      <c r="BU28" s="1530">
        <f>'qtrP&amp;L'!$CX160</f>
        <v>295.2</v>
      </c>
      <c r="BV28" s="1530">
        <f>'qtrP&amp;L'!$CX161</f>
        <v>295.47300000000001</v>
      </c>
      <c r="BW28" s="1530">
        <f>'qtrP&amp;L'!$CX162</f>
        <v>296.54399999999998</v>
      </c>
      <c r="BX28" s="1530">
        <f>'qtrP&amp;L'!$CX163</f>
        <v>297.01799999999997</v>
      </c>
      <c r="BY28" s="1530"/>
      <c r="BZ28" s="1530">
        <f>'qtrP&amp;L'!$DB160</f>
        <v>297.32400000000001</v>
      </c>
      <c r="CA28" s="1530">
        <f>'qtrP&amp;L'!$DB161</f>
        <v>297.34199999999998</v>
      </c>
      <c r="CB28" s="1530">
        <f>'qtrP&amp;L'!$DB162</f>
        <v>298.13400000000001</v>
      </c>
      <c r="CC28" s="1530">
        <f>'qtrP&amp;L'!$DB163</f>
        <v>299.04000000000002</v>
      </c>
      <c r="CD28" s="1530"/>
      <c r="CE28" s="1530">
        <f>'qtrP&amp;L'!$DF160</f>
        <v>299.14299999999997</v>
      </c>
      <c r="CF28" s="1530">
        <f>'qtrP&amp;L'!$DF161</f>
        <v>296.91300000000001</v>
      </c>
      <c r="CG28" s="1530">
        <f>'qtrP&amp;L'!$DF162</f>
        <v>295.923</v>
      </c>
      <c r="CH28" s="1530">
        <f>'qtrP&amp;L'!$DF163</f>
        <v>295.17399999999998</v>
      </c>
      <c r="CI28" s="1530"/>
      <c r="CJ28" s="1530">
        <f>'qtrP&amp;L'!$DJ160</f>
        <v>292.77800000000002</v>
      </c>
      <c r="CK28" s="1530">
        <f>'qtrP&amp;L'!$DJ161</f>
        <v>290.98599999999999</v>
      </c>
      <c r="CL28" s="1530">
        <f>'qtrP&amp;L'!$DJ162</f>
        <v>290.26499999999999</v>
      </c>
      <c r="CM28" s="1530">
        <f>'qtrP&amp;L'!$DJ163</f>
        <v>290.23099999999999</v>
      </c>
      <c r="CN28" s="1530"/>
      <c r="CO28" s="1530">
        <f>'qtrP&amp;L'!$DN160</f>
        <v>289.327</v>
      </c>
      <c r="CP28" s="1530">
        <f>'qtrP&amp;L'!$DN161</f>
        <v>288.93599999999998</v>
      </c>
      <c r="CQ28" s="1530">
        <f>'qtrP&amp;L'!$DN162</f>
        <v>285.43700000000001</v>
      </c>
      <c r="CR28" s="1530">
        <f>'qtrP&amp;L'!$DN163</f>
        <v>284.5</v>
      </c>
      <c r="CS28" s="1530"/>
      <c r="CT28" s="1530">
        <f>'qtrP&amp;L'!$DR160</f>
        <v>283.5</v>
      </c>
      <c r="CU28" s="1530">
        <f>'qtrP&amp;L'!$DR161</f>
        <v>282.5</v>
      </c>
      <c r="CV28" s="1530">
        <f>'qtrP&amp;L'!$DR162</f>
        <v>281.5</v>
      </c>
      <c r="CW28" s="1530">
        <f>'qtrP&amp;L'!$DR163</f>
        <v>281.5</v>
      </c>
      <c r="CX28" s="1531"/>
      <c r="CY28" s="1532">
        <f>'yrP&amp;L'!H65</f>
        <v>423.0795</v>
      </c>
      <c r="CZ28" s="1532">
        <f>'yrP&amp;L'!I65</f>
        <v>454.81599999999997</v>
      </c>
      <c r="DA28" s="1532">
        <f>'yrP&amp;L'!J65</f>
        <v>464.96199999999999</v>
      </c>
      <c r="DB28" s="1532">
        <f>'yrP&amp;L'!K65</f>
        <v>550.82899999999995</v>
      </c>
      <c r="DC28" s="1532">
        <f>'yrP&amp;L'!L65</f>
        <v>536.702</v>
      </c>
      <c r="DD28" s="1533">
        <f>'yrP&amp;L'!M65</f>
        <v>525.99400000000003</v>
      </c>
      <c r="DE28" s="1533">
        <f>'yrP&amp;L'!N65</f>
        <v>533.32050000000004</v>
      </c>
      <c r="DF28" s="1533">
        <f>'yrP&amp;L'!O65</f>
        <v>525.73099999999999</v>
      </c>
      <c r="DG28" s="1533">
        <f>'yrP&amp;L'!P65</f>
        <v>478.62099999999998</v>
      </c>
      <c r="DH28" s="1534">
        <f>'yrP&amp;L'!Q65</f>
        <v>410.93599999999998</v>
      </c>
      <c r="DI28" s="1532">
        <f>'yrP&amp;L'!R65</f>
        <v>402.49900000000002</v>
      </c>
      <c r="DJ28" s="1532">
        <f>'yrP&amp;L'!S65</f>
        <v>380.23</v>
      </c>
      <c r="DK28" s="1532">
        <f>'yrP&amp;L'!T65</f>
        <v>337.30099999999999</v>
      </c>
      <c r="DL28" s="1532">
        <f>'yrP&amp;L'!U65</f>
        <v>326.76499999999999</v>
      </c>
      <c r="DM28" s="1532">
        <f>'yrP&amp;L'!V65</f>
        <v>332.87400000000002</v>
      </c>
      <c r="DN28" s="1532">
        <f>'yrP&amp;L'!W65</f>
        <v>314.30104999999998</v>
      </c>
      <c r="DO28" s="1532">
        <f>'yrP&amp;L'!X65</f>
        <v>296.76900000000001</v>
      </c>
      <c r="DP28" s="1532">
        <f>'yrP&amp;L'!Y65</f>
        <v>296.05500000000001</v>
      </c>
      <c r="DQ28" s="1532">
        <f>'yrP&amp;L'!Z65</f>
        <v>297.95999999999998</v>
      </c>
      <c r="DR28" s="1532">
        <f>'yrP&amp;L'!AA65</f>
        <v>296.78825000000001</v>
      </c>
      <c r="DS28" s="1532">
        <f>'yrP&amp;L'!AB65</f>
        <v>291.065</v>
      </c>
      <c r="DT28" s="1532">
        <f>'yrP&amp;L'!AC65</f>
        <v>287.10000000000002</v>
      </c>
      <c r="DU28" s="1532">
        <f>'yrP&amp;L'!AD65</f>
        <v>282.25</v>
      </c>
      <c r="DV28" s="1532">
        <f>'yrP&amp;L'!AE65</f>
        <v>280.83333333333331</v>
      </c>
      <c r="DW28" s="1534">
        <f>'yrP&amp;L'!AF65</f>
        <v>280.40476190476187</v>
      </c>
      <c r="DX28" s="1532"/>
    </row>
    <row r="29" spans="1:135" hidden="1">
      <c r="A29" s="1528" t="s">
        <v>568</v>
      </c>
      <c r="B29" s="1529"/>
      <c r="C29" s="1529"/>
      <c r="D29" s="1529"/>
      <c r="E29" s="1529"/>
      <c r="F29" s="1529"/>
      <c r="G29" s="1529"/>
      <c r="H29" s="1529">
        <f>'qtrP&amp;L'!$AT188</f>
        <v>430.48399999999998</v>
      </c>
      <c r="I29" s="1529">
        <f>'qtrP&amp;L'!$AT189</f>
        <v>428.61599999999999</v>
      </c>
      <c r="J29" s="1529">
        <f>'qtrP&amp;L'!$AT190</f>
        <v>425.57799999999997</v>
      </c>
      <c r="K29" s="1529">
        <f>'qtrP&amp;L'!$AT191</f>
        <v>439.28699999999998</v>
      </c>
      <c r="L29" s="1529"/>
      <c r="M29" s="1529">
        <f>'qtrP&amp;L'!$AX188</f>
        <v>426.339</v>
      </c>
      <c r="N29" s="1529">
        <f>'qtrP&amp;L'!$AX189</f>
        <v>427.58699999999999</v>
      </c>
      <c r="O29" s="1529">
        <f>'qtrP&amp;L'!$AX190</f>
        <v>428.59100000000001</v>
      </c>
      <c r="P29" s="1529">
        <f>'qtrP&amp;L'!$AX191</f>
        <v>435.28899999999999</v>
      </c>
      <c r="Q29" s="1529"/>
      <c r="R29" s="1529">
        <f>'qtrP&amp;L'!$BB188</f>
        <v>474.18599999999998</v>
      </c>
      <c r="S29" s="1529">
        <f>'qtrP&amp;L'!$BB189</f>
        <v>521.51199999999994</v>
      </c>
      <c r="T29" s="1529">
        <f>'qtrP&amp;L'!$BB190</f>
        <v>523.01800000000003</v>
      </c>
      <c r="U29" s="1529">
        <f>'qtrP&amp;L'!$BB191</f>
        <v>530.83299999999997</v>
      </c>
      <c r="V29" s="1529"/>
      <c r="W29" s="1529">
        <f>'qtrP&amp;L'!$BG188</f>
        <v>10.242394334712547</v>
      </c>
      <c r="X29" s="1529">
        <f>'qtrP&amp;L'!$BG189</f>
        <v>-0.26384819524766234</v>
      </c>
      <c r="Y29" s="1529">
        <f>'qtrP&amp;L'!$BG190</f>
        <v>-1.1347601803379681</v>
      </c>
      <c r="Z29" s="1529">
        <f>'qtrP&amp;L'!$BG191</f>
        <v>-2.6042088566460508</v>
      </c>
      <c r="AA29" s="1529"/>
      <c r="AB29" s="1529">
        <f>'qtrP&amp;L'!$BJ188</f>
        <v>505.99200000000002</v>
      </c>
      <c r="AC29" s="1529">
        <f>'qtrP&amp;L'!$BJ189</f>
        <v>472.11599999999999</v>
      </c>
      <c r="AD29" s="1529">
        <f>'qtrP&amp;L'!$BJ190</f>
        <v>470.774</v>
      </c>
      <c r="AE29" s="1529">
        <f>'qtrP&amp;L'!$BJ191</f>
        <v>428.18</v>
      </c>
      <c r="AF29" s="1529"/>
      <c r="AG29" s="1529">
        <f>'qtrP&amp;L'!$BN188</f>
        <v>406.959</v>
      </c>
      <c r="AH29" s="1529">
        <f>'qtrP&amp;L'!$BN189</f>
        <v>403.66699999999997</v>
      </c>
      <c r="AI29" s="1529">
        <f>'qtrP&amp;L'!$BN190</f>
        <v>400.803</v>
      </c>
      <c r="AJ29" s="1529">
        <f>'qtrP&amp;L'!$BN191</f>
        <v>398.44299999999998</v>
      </c>
      <c r="AK29" s="1529"/>
      <c r="AL29" s="1529">
        <f>'qtrP&amp;L'!$BV188</f>
        <v>394.19499999999999</v>
      </c>
      <c r="AM29" s="1529">
        <f>'qtrP&amp;L'!$BV189</f>
        <v>395.83600000000001</v>
      </c>
      <c r="AN29" s="1529">
        <f>'qtrP&amp;L'!$BV190</f>
        <v>395.15300000000002</v>
      </c>
      <c r="AO29" s="1529">
        <f>'qtrP&amp;L'!$BV191</f>
        <v>397.64499999999998</v>
      </c>
      <c r="AP29" s="1529"/>
      <c r="AQ29" s="1529">
        <f>'qtrP&amp;L'!$BZ188</f>
        <v>399.75</v>
      </c>
      <c r="AR29" s="1529">
        <f>'qtrP&amp;L'!$BZ189</f>
        <v>390.298</v>
      </c>
      <c r="AS29" s="1529">
        <f>'qtrP&amp;L'!$BZ190</f>
        <v>360.90899999999999</v>
      </c>
      <c r="AT29" s="1529">
        <f>'qtrP&amp;L'!$BZ191</f>
        <v>350.95100000000002</v>
      </c>
      <c r="AU29" s="1529"/>
      <c r="AV29" s="1529">
        <f>'qtrP&amp;L'!$CD188</f>
        <v>341</v>
      </c>
      <c r="AW29" s="1529">
        <f>'qtrP&amp;L'!$CD189</f>
        <v>339</v>
      </c>
      <c r="AX29" s="1529">
        <f>'qtrP&amp;L'!$CD190</f>
        <v>337</v>
      </c>
      <c r="AY29" s="1529">
        <f>'qtrP&amp;L'!$CD191</f>
        <v>320.33800000000002</v>
      </c>
      <c r="AZ29" s="1529"/>
      <c r="BA29" s="1529">
        <f>'qtrP&amp;L'!$CH188</f>
        <v>321</v>
      </c>
      <c r="BB29" s="1529">
        <f>'qtrP&amp;L'!$CH189</f>
        <v>322</v>
      </c>
      <c r="BC29" s="1529">
        <f>'qtrP&amp;L'!$CH190</f>
        <v>322</v>
      </c>
      <c r="BD29" s="1529">
        <f>'qtrP&amp;L'!$CH191</f>
        <v>323.56</v>
      </c>
      <c r="BE29" s="1529"/>
      <c r="BF29" s="1529">
        <f>'qtrP&amp;L'!$CL188</f>
        <v>323</v>
      </c>
      <c r="BG29" s="1529">
        <f>'qtrP&amp;L'!$CL189</f>
        <v>325</v>
      </c>
      <c r="BH29" s="1529">
        <f>'qtrP&amp;L'!$CL190</f>
        <v>322</v>
      </c>
      <c r="BI29" s="1529">
        <f>'qtrP&amp;L'!$CL191</f>
        <v>322.89400000000001</v>
      </c>
      <c r="BJ29" s="1529"/>
      <c r="BK29" s="1529">
        <f>'qtrP&amp;L'!$CP188</f>
        <v>317</v>
      </c>
      <c r="BL29" s="1529">
        <f>'qtrP&amp;L'!$CP189</f>
        <v>305</v>
      </c>
      <c r="BM29" s="1529">
        <f>'qtrP&amp;L'!$CP190</f>
        <v>298.12799999999999</v>
      </c>
      <c r="BN29" s="1529">
        <f>'qtrP&amp;L'!$CP191</f>
        <v>296.20420000000001</v>
      </c>
      <c r="BO29" s="1529"/>
      <c r="BP29" s="1530">
        <f>'qtrP&amp;L'!$CT188</f>
        <v>291.43799999999999</v>
      </c>
      <c r="BQ29" s="1530">
        <f>'qtrP&amp;L'!$CT189</f>
        <v>286.22999999999996</v>
      </c>
      <c r="BR29" s="1530">
        <f>'qtrP&amp;L'!$CT190</f>
        <v>284.58600000000001</v>
      </c>
      <c r="BS29" s="1530">
        <f>'qtrP&amp;L'!$CT191</f>
        <v>285.62299999999999</v>
      </c>
      <c r="BT29" s="1530"/>
      <c r="BU29" s="1530"/>
      <c r="BV29" s="1530"/>
      <c r="BW29" s="1530"/>
      <c r="BX29" s="1530"/>
      <c r="BY29" s="1530"/>
      <c r="BZ29" s="1530"/>
      <c r="CA29" s="1530"/>
      <c r="CB29" s="1530"/>
      <c r="CC29" s="1530"/>
      <c r="CD29" s="1530"/>
      <c r="CE29" s="1530"/>
      <c r="CF29" s="1530"/>
      <c r="CG29" s="1530"/>
      <c r="CH29" s="1530"/>
      <c r="CI29" s="1530"/>
      <c r="CJ29" s="1530"/>
      <c r="CK29" s="1530"/>
      <c r="CL29" s="1530"/>
      <c r="CM29" s="1530"/>
      <c r="CN29" s="1530"/>
      <c r="CO29" s="1530"/>
      <c r="CP29" s="1530"/>
      <c r="CQ29" s="1530"/>
      <c r="CR29" s="1530"/>
      <c r="CS29" s="1530"/>
      <c r="CT29" s="1530"/>
      <c r="CU29" s="1530"/>
      <c r="CV29" s="1530"/>
      <c r="CW29" s="1530"/>
      <c r="CX29" s="1531"/>
      <c r="CY29" s="1532"/>
      <c r="CZ29" s="1532"/>
      <c r="DA29" s="1532"/>
      <c r="DB29" s="1532"/>
      <c r="DC29" s="1532">
        <f>'yrP&amp;L'!L74</f>
        <v>430.99124999999998</v>
      </c>
      <c r="DD29" s="1533">
        <f>'yrP&amp;L'!M74</f>
        <v>429.45149999999995</v>
      </c>
      <c r="DE29" s="1533">
        <f>'yrP&amp;L'!N74</f>
        <v>512.38724999999999</v>
      </c>
      <c r="DF29" s="1533">
        <f>'yrP&amp;L'!O74</f>
        <v>519.24549999999999</v>
      </c>
      <c r="DG29" s="1533">
        <f>'yrP&amp;L'!P74</f>
        <v>469.26550000000003</v>
      </c>
      <c r="DH29" s="1534">
        <f>'yrP&amp;L'!Q74</f>
        <v>402.90352389051048</v>
      </c>
      <c r="DI29" s="1532">
        <f>'yrP&amp;L'!R74</f>
        <v>394.63144008411678</v>
      </c>
      <c r="DJ29" s="1532">
        <f>'yrP&amp;L'!S74</f>
        <v>372.79772735630081</v>
      </c>
      <c r="DK29" s="1532">
        <f>'yrP&amp;L'!T74</f>
        <v>330.70785112959948</v>
      </c>
      <c r="DL29" s="1532">
        <f>'yrP&amp;L'!U74</f>
        <v>320.37779601709917</v>
      </c>
      <c r="DM29" s="1532">
        <f>'yrP&amp;L'!V74</f>
        <v>326.36738473029811</v>
      </c>
      <c r="DN29" s="1532">
        <f>'yrP&amp;L'!W74</f>
        <v>308.15747612155542</v>
      </c>
      <c r="DO29" s="1532">
        <f>'yrP&amp;L'!X74</f>
        <v>290.96812126818503</v>
      </c>
      <c r="DP29" s="1532">
        <f>'yrP&amp;L'!Y74</f>
        <v>290.26807767001446</v>
      </c>
      <c r="DQ29" s="1532">
        <f>'yrP&amp;L'!Z74</f>
        <v>292.13584105168803</v>
      </c>
      <c r="DR29" s="1532">
        <f>'yrP&amp;L'!AA74</f>
        <v>290.98699499264552</v>
      </c>
      <c r="DS29" s="1532">
        <f>'yrP&amp;L'!AB74</f>
        <v>285.37561610857023</v>
      </c>
      <c r="DT29" s="1532">
        <f>'yrP&amp;L'!AC74</f>
        <v>281.48811909632047</v>
      </c>
      <c r="DU29" s="1532">
        <f>'yrP&amp;L'!AD74</f>
        <v>276.73292098549791</v>
      </c>
      <c r="DV29" s="1532">
        <f>'yrP&amp;L'!AE74</f>
        <v>275.3439455923023</v>
      </c>
      <c r="DW29" s="1534">
        <f>'yrP&amp;L'!AF74</f>
        <v>274.92375135570529</v>
      </c>
      <c r="DX29" s="1532"/>
    </row>
    <row r="30" spans="1:135">
      <c r="A30" s="1528" t="s">
        <v>473</v>
      </c>
      <c r="B30" s="1529"/>
      <c r="C30" s="1529"/>
      <c r="D30" s="1529"/>
      <c r="E30" s="1529"/>
      <c r="F30" s="1529"/>
      <c r="G30" s="1529"/>
      <c r="H30" s="1529">
        <f>'qtrP&amp;L'!$AT180</f>
        <v>431.59199999999998</v>
      </c>
      <c r="I30" s="1529">
        <f>'qtrP&amp;L'!$AT181</f>
        <v>425.57400000000001</v>
      </c>
      <c r="J30" s="1529">
        <f>'qtrP&amp;L'!$AT182</f>
        <v>425.70319999999998</v>
      </c>
      <c r="K30" s="1529">
        <f>'qtrP&amp;L'!$AT183</f>
        <v>426.40159999999997</v>
      </c>
      <c r="L30" s="1529"/>
      <c r="M30" s="1529">
        <f>'qtrP&amp;L'!$AX180</f>
        <v>426.95</v>
      </c>
      <c r="N30" s="1529">
        <f>'qtrP&amp;L'!$AX181</f>
        <v>428.59899999999999</v>
      </c>
      <c r="O30" s="1529">
        <f>'qtrP&amp;L'!$AX182</f>
        <v>428.85</v>
      </c>
      <c r="P30" s="1529">
        <f>'qtrP&amp;L'!$AX183</f>
        <v>429</v>
      </c>
      <c r="Q30" s="1529"/>
      <c r="R30" s="1529">
        <f>'qtrP&amp;L'!$BB180</f>
        <v>521.19200000000001</v>
      </c>
      <c r="S30" s="1529">
        <f>'qtrP&amp;L'!$BB181</f>
        <v>522.85900000000004</v>
      </c>
      <c r="T30" s="1529">
        <f>'qtrP&amp;L'!$BB182</f>
        <v>523.01800000000003</v>
      </c>
      <c r="U30" s="1529">
        <f>'qtrP&amp;L'!$BB183</f>
        <v>523</v>
      </c>
      <c r="V30" s="1529"/>
      <c r="W30" s="1529">
        <f>'qtrP&amp;L'!$BG180</f>
        <v>0.29969761623356295</v>
      </c>
      <c r="X30" s="1529">
        <f>'qtrP&amp;L'!$BG181</f>
        <v>-0.93212510447366892</v>
      </c>
      <c r="Y30" s="1529">
        <f>'qtrP&amp;L'!$BG182</f>
        <v>-1.2103407530907329</v>
      </c>
      <c r="Z30" s="1529">
        <f>'qtrP&amp;L'!$BG183</f>
        <v>-0.95602294455067183</v>
      </c>
      <c r="AA30" s="1529"/>
      <c r="AB30" s="1529">
        <f>'qtrP&amp;L'!$BJ180</f>
        <v>472.57799999999997</v>
      </c>
      <c r="AC30" s="1529">
        <f>'qtrP&amp;L'!$BJ181</f>
        <v>469.4</v>
      </c>
      <c r="AD30" s="1529">
        <f>'qtrP&amp;L'!$BJ182</f>
        <v>472.85822086006328</v>
      </c>
      <c r="AE30" s="1529">
        <f>'qtrP&amp;L'!$BJ183</f>
        <v>432.86262412765518</v>
      </c>
      <c r="AF30" s="1529"/>
      <c r="AG30" s="1529">
        <f>'qtrP&amp;L'!$BN180</f>
        <v>432.86262412765518</v>
      </c>
      <c r="AH30" s="1529">
        <f>'qtrP&amp;L'!$BN181</f>
        <v>432.86262412765518</v>
      </c>
      <c r="AI30" s="1529">
        <f>'qtrP&amp;L'!$BN182</f>
        <v>429.14962412765516</v>
      </c>
      <c r="AJ30" s="1529">
        <f>'qtrP&amp;L'!$BN183</f>
        <v>427.17962412765519</v>
      </c>
      <c r="AK30" s="1529"/>
      <c r="AL30" s="1529">
        <f>'qtrP&amp;L'!$BV180</f>
        <v>356.03524588162105</v>
      </c>
      <c r="AM30" s="1529">
        <f>'qtrP&amp;L'!$BV181</f>
        <v>356.03524588162105</v>
      </c>
      <c r="AN30" s="1529">
        <f>'qtrP&amp;L'!$BV182</f>
        <v>355.58824588162105</v>
      </c>
      <c r="AO30" s="1529">
        <f>'qtrP&amp;L'!$BV183</f>
        <v>359.03224588162101</v>
      </c>
      <c r="AP30" s="1529"/>
      <c r="AQ30" s="1529">
        <f>'qtrP&amp;L'!$BZ180</f>
        <v>359.03224588162101</v>
      </c>
      <c r="AR30" s="1529">
        <f>'qtrP&amp;L'!$BZ181</f>
        <v>359.03224588162101</v>
      </c>
      <c r="AS30" s="1529">
        <f>'qtrP&amp;L'!$BZ182</f>
        <v>328.01124588162105</v>
      </c>
      <c r="AT30" s="1529">
        <f>'qtrP&amp;L'!$BZ183</f>
        <v>316.82224588162103</v>
      </c>
      <c r="AU30" s="1529"/>
      <c r="AV30" s="1529">
        <f>'qtrP&amp;L'!$CD180</f>
        <v>316.82224588162103</v>
      </c>
      <c r="AW30" s="1529">
        <f>'qtrP&amp;L'!$CD181</f>
        <v>316.82224588162103</v>
      </c>
      <c r="AX30" s="1529">
        <f>'qtrP&amp;L'!$CD182</f>
        <v>315.47924588162101</v>
      </c>
      <c r="AY30" s="1529">
        <f>'qtrP&amp;L'!$CD183</f>
        <v>298.81724588162103</v>
      </c>
      <c r="AZ30" s="1529"/>
      <c r="BA30" s="1529">
        <f>'qtrP&amp;L'!$CH180</f>
        <v>298.81724588162103</v>
      </c>
      <c r="BB30" s="1529">
        <f>'qtrP&amp;L'!$CH181</f>
        <v>298.81724588162103</v>
      </c>
      <c r="BC30" s="1529">
        <f>'qtrP&amp;L'!$CH182</f>
        <v>301.37924588162105</v>
      </c>
      <c r="BD30" s="1529">
        <f>'qtrP&amp;L'!$CH183</f>
        <v>302.93924588162105</v>
      </c>
      <c r="BE30" s="1529"/>
      <c r="BF30" s="1529">
        <f>'qtrP&amp;L'!$CL180</f>
        <v>302.93924588162105</v>
      </c>
      <c r="BG30" s="1529">
        <f>'qtrP&amp;L'!$CL181</f>
        <v>302.93924588162105</v>
      </c>
      <c r="BH30" s="1529">
        <f>'qtrP&amp;L'!$CL182</f>
        <v>301.17824588162102</v>
      </c>
      <c r="BI30" s="1529">
        <f>'qtrP&amp;L'!$CL183</f>
        <v>302.07224588162103</v>
      </c>
      <c r="BJ30" s="1529"/>
      <c r="BK30" s="1529">
        <f>'qtrP&amp;L'!$CP180</f>
        <v>302.07224588162103</v>
      </c>
      <c r="BL30" s="1529">
        <f>'qtrP&amp;L'!$CP181</f>
        <v>302.07224588162103</v>
      </c>
      <c r="BM30" s="1529">
        <f>'qtrP&amp;L'!$CP182</f>
        <v>295.20024588162102</v>
      </c>
      <c r="BN30" s="1529">
        <f>'qtrP&amp;L'!$CP183</f>
        <v>293.27644588162104</v>
      </c>
      <c r="BO30" s="1529"/>
      <c r="BP30" s="1530">
        <f>'qtrP&amp;L'!$CT180</f>
        <v>293.27644588162104</v>
      </c>
      <c r="BQ30" s="1530">
        <f>'qtrP&amp;L'!$CT181</f>
        <v>293.27644588162104</v>
      </c>
      <c r="BR30" s="1530">
        <f>'qtrP&amp;L'!$CT182</f>
        <v>291.63244588162109</v>
      </c>
      <c r="BS30" s="1530">
        <f>'qtrP&amp;L'!$CT183</f>
        <v>292.66944588162107</v>
      </c>
      <c r="BT30" s="1530"/>
      <c r="BU30" s="1530">
        <f>'qtrP&amp;L'!$CX180</f>
        <v>292.66944588162107</v>
      </c>
      <c r="BV30" s="1530">
        <f>'qtrP&amp;L'!$CX181</f>
        <v>292.66944588162107</v>
      </c>
      <c r="BW30" s="1530">
        <f>'qtrP&amp;L'!$CX182</f>
        <v>293.74044588162104</v>
      </c>
      <c r="BX30" s="1530">
        <f>'qtrP&amp;L'!$CX183</f>
        <v>294.21444588162103</v>
      </c>
      <c r="BY30" s="1530"/>
      <c r="BZ30" s="1530">
        <f>'qtrP&amp;L'!$DB180</f>
        <v>294.21444588162103</v>
      </c>
      <c r="CA30" s="1530">
        <f>'qtrP&amp;L'!$DB181</f>
        <v>294.21444588162103</v>
      </c>
      <c r="CB30" s="1530">
        <f>'qtrP&amp;L'!$DB182</f>
        <v>295.00644588162106</v>
      </c>
      <c r="CC30" s="1530">
        <f>'qtrP&amp;L'!$DB183</f>
        <v>295.91244588162107</v>
      </c>
      <c r="CD30" s="1530"/>
      <c r="CE30" s="1530">
        <f>'qtrP&amp;L'!$DF180</f>
        <v>295.91244588162107</v>
      </c>
      <c r="CF30" s="1530">
        <f>'qtrP&amp;L'!$DF181</f>
        <v>295.91244588162107</v>
      </c>
      <c r="CG30" s="1530">
        <f>'qtrP&amp;L'!$DF182</f>
        <v>294.92244588162106</v>
      </c>
      <c r="CH30" s="1530">
        <f>'qtrP&amp;L'!$DF183</f>
        <v>294.17344588162103</v>
      </c>
      <c r="CI30" s="1530"/>
      <c r="CJ30" s="1530">
        <f>'qtrP&amp;L'!$DF180</f>
        <v>295.91244588162107</v>
      </c>
      <c r="CK30" s="1530">
        <f>'qtrP&amp;L'!$DF181</f>
        <v>295.91244588162107</v>
      </c>
      <c r="CL30" s="1530">
        <f>'qtrP&amp;L'!$DF182</f>
        <v>294.92244588162106</v>
      </c>
      <c r="CM30" s="1530">
        <f>'qtrP&amp;L'!$DF183</f>
        <v>294.17344588162103</v>
      </c>
      <c r="CN30" s="1530"/>
      <c r="CO30" s="1530">
        <f>'qtrP&amp;L'!$DN180</f>
        <v>293.41844588162104</v>
      </c>
      <c r="CP30" s="1530">
        <f>'qtrP&amp;L'!$DN181</f>
        <v>293.41844588162104</v>
      </c>
      <c r="CQ30" s="1530">
        <f>'qtrP&amp;L'!$DN182</f>
        <v>289.91944588162107</v>
      </c>
      <c r="CR30" s="1530">
        <f>'qtrP&amp;L'!$DN183</f>
        <v>288.98244588162106</v>
      </c>
      <c r="CS30" s="1530"/>
      <c r="CT30" s="1530">
        <f>'qtrP&amp;L'!$DR180</f>
        <v>288.98244588162106</v>
      </c>
      <c r="CU30" s="1530">
        <f>'qtrP&amp;L'!$DR181</f>
        <v>288.98244588162106</v>
      </c>
      <c r="CV30" s="1530">
        <f>'qtrP&amp;L'!$DR182</f>
        <v>287.98244588162106</v>
      </c>
      <c r="CW30" s="1530">
        <f>'qtrP&amp;L'!$DR183</f>
        <v>287.98244588162106</v>
      </c>
      <c r="CX30" s="1531"/>
      <c r="CY30" s="1532"/>
      <c r="CZ30" s="1532"/>
      <c r="DA30" s="1532"/>
      <c r="DB30" s="1532"/>
      <c r="DC30" s="1532">
        <f>'yrP&amp;L'!L73</f>
        <v>426.40159999999997</v>
      </c>
      <c r="DD30" s="1533">
        <f>'yrP&amp;L'!M73</f>
        <v>429</v>
      </c>
      <c r="DE30" s="1533">
        <f>'yrP&amp;L'!N73</f>
        <v>523</v>
      </c>
      <c r="DF30" s="1533">
        <f>'yrP&amp;L'!O73</f>
        <v>518</v>
      </c>
      <c r="DG30" s="1533">
        <f>'yrP&amp;L'!P73</f>
        <v>432.86262412765518</v>
      </c>
      <c r="DH30" s="1534">
        <f>'yrP&amp;L'!Q73</f>
        <v>371.64862241423197</v>
      </c>
      <c r="DI30" s="1532">
        <f>'yrP&amp;L'!R73</f>
        <v>364.01823854105254</v>
      </c>
      <c r="DJ30" s="1532">
        <f>'yrP&amp;L'!S73</f>
        <v>343.87825768626607</v>
      </c>
      <c r="DK30" s="1532">
        <f>'yrP&amp;L'!T73</f>
        <v>305.05346815305268</v>
      </c>
      <c r="DL30" s="1532">
        <f>'yrP&amp;L'!U73</f>
        <v>295.5247583642867</v>
      </c>
      <c r="DM30" s="1532">
        <f>'yrP&amp;L'!V73</f>
        <v>301.04970977844499</v>
      </c>
      <c r="DN30" s="1532">
        <f>'yrP&amp;L'!W73</f>
        <v>284.25241949073978</v>
      </c>
      <c r="DO30" s="1532">
        <f>'yrP&amp;L'!X73</f>
        <v>268.39651436050679</v>
      </c>
      <c r="DP30" s="1532">
        <f>'yrP&amp;L'!Y73</f>
        <v>267.75077605477605</v>
      </c>
      <c r="DQ30" s="1532">
        <f>'yrP&amp;L'!Z73</f>
        <v>269.47364926544412</v>
      </c>
      <c r="DR30" s="1532">
        <f>'yrP&amp;L'!AA73</f>
        <v>268.41392397169068</v>
      </c>
      <c r="DS30" s="1532">
        <f>'yrP&amp;L'!AB73</f>
        <v>263.23784307775037</v>
      </c>
      <c r="DT30" s="1532">
        <f>'yrP&amp;L'!AC73</f>
        <v>259.65191537155664</v>
      </c>
      <c r="DU30" s="1532">
        <f>'yrP&amp;L'!AD73</f>
        <v>255.26559774859581</v>
      </c>
      <c r="DV30" s="1532">
        <f>'yrP&amp;L'!AE73</f>
        <v>253.98437095151101</v>
      </c>
      <c r="DW30" s="1534">
        <f>'yrP&amp;L'!AF73</f>
        <v>253.59677292886352</v>
      </c>
      <c r="DX30" s="1532"/>
    </row>
    <row r="31" spans="1:135" ht="6.75" customHeight="1">
      <c r="A31" s="1425"/>
      <c r="B31" s="1425"/>
      <c r="C31" s="1425"/>
      <c r="D31" s="1425"/>
      <c r="E31" s="1425"/>
      <c r="F31" s="1535"/>
      <c r="G31" s="1425"/>
      <c r="H31" s="1425"/>
      <c r="I31" s="1425"/>
      <c r="J31" s="1425"/>
      <c r="K31" s="1535"/>
      <c r="L31" s="1425"/>
      <c r="M31" s="1425"/>
      <c r="N31" s="1425"/>
      <c r="O31" s="1425"/>
      <c r="P31" s="1535"/>
      <c r="Q31" s="1425"/>
      <c r="R31" s="1425"/>
      <c r="S31" s="1425"/>
      <c r="T31" s="1425"/>
      <c r="U31" s="1535"/>
      <c r="V31" s="1425"/>
      <c r="W31" s="1425"/>
      <c r="X31" s="1425"/>
      <c r="Y31" s="1425"/>
      <c r="Z31" s="1535"/>
      <c r="AA31" s="1425"/>
      <c r="AB31" s="1425"/>
      <c r="AC31" s="1425"/>
      <c r="AD31" s="1425"/>
      <c r="AE31" s="1535"/>
      <c r="AF31" s="1425"/>
      <c r="AG31" s="1425"/>
      <c r="AH31" s="1425"/>
      <c r="AI31" s="1425"/>
      <c r="AJ31" s="1535"/>
      <c r="AK31" s="1425"/>
      <c r="AL31" s="1425"/>
      <c r="AM31" s="1425"/>
      <c r="AN31" s="1425"/>
      <c r="AO31" s="1535"/>
      <c r="AP31" s="1535"/>
      <c r="AQ31" s="1425"/>
      <c r="AR31" s="1425"/>
      <c r="AS31" s="1425"/>
      <c r="AT31" s="1535"/>
      <c r="AU31" s="1535"/>
      <c r="AV31" s="1535"/>
      <c r="AW31" s="1535"/>
      <c r="AX31" s="1535"/>
      <c r="AY31" s="1535"/>
      <c r="AZ31" s="1535"/>
      <c r="BA31" s="1535"/>
      <c r="BB31" s="1535"/>
      <c r="BC31" s="1535"/>
      <c r="BD31" s="1535"/>
      <c r="BE31" s="1535"/>
      <c r="BF31" s="1535"/>
      <c r="BG31" s="1535"/>
      <c r="BH31" s="1535"/>
      <c r="BI31" s="1535"/>
      <c r="BJ31" s="1535"/>
      <c r="BK31" s="1535"/>
      <c r="BL31" s="1535"/>
      <c r="BM31" s="1535"/>
      <c r="BN31" s="1535"/>
      <c r="BO31" s="1535"/>
      <c r="BP31" s="1536"/>
      <c r="BQ31" s="1536"/>
      <c r="BR31" s="1536"/>
      <c r="BS31" s="1536"/>
      <c r="BT31" s="1536"/>
      <c r="BU31" s="1536"/>
      <c r="BV31" s="1536"/>
      <c r="BW31" s="1536"/>
      <c r="BX31" s="1536"/>
      <c r="BY31" s="1536"/>
      <c r="BZ31" s="1536"/>
      <c r="CA31" s="1536"/>
      <c r="CB31" s="1536"/>
      <c r="CC31" s="1536"/>
      <c r="CD31" s="1536"/>
      <c r="CE31" s="1536"/>
      <c r="CF31" s="1536"/>
      <c r="CG31" s="1536"/>
      <c r="CH31" s="1536"/>
      <c r="CI31" s="1536"/>
      <c r="CJ31" s="1536"/>
      <c r="CK31" s="1536"/>
      <c r="CL31" s="1536"/>
      <c r="CM31" s="1536"/>
      <c r="CN31" s="1536"/>
      <c r="CO31" s="1536"/>
      <c r="CP31" s="1536"/>
      <c r="CQ31" s="1536"/>
      <c r="CR31" s="1536"/>
      <c r="CS31" s="1536"/>
      <c r="CT31" s="1536"/>
      <c r="CU31" s="1536"/>
      <c r="CV31" s="1536"/>
      <c r="CW31" s="1536"/>
      <c r="CX31" s="1537"/>
      <c r="CY31" s="1479"/>
      <c r="CZ31" s="1479"/>
      <c r="DA31" s="1479"/>
      <c r="DB31" s="1479"/>
      <c r="DC31" s="1479"/>
      <c r="DD31" s="1480"/>
      <c r="DE31" s="1480"/>
      <c r="DF31" s="1480"/>
      <c r="DG31" s="1480"/>
      <c r="DH31" s="1481"/>
      <c r="DI31" s="1479"/>
      <c r="DJ31" s="1479"/>
      <c r="DK31" s="1479"/>
      <c r="DL31" s="1479"/>
      <c r="DM31" s="1479"/>
      <c r="DN31" s="1479"/>
      <c r="DO31" s="1479"/>
      <c r="DP31" s="1479"/>
      <c r="DQ31" s="1479"/>
      <c r="DR31" s="1479"/>
      <c r="DS31" s="1479"/>
      <c r="DT31" s="1479"/>
      <c r="DU31" s="1479"/>
      <c r="DV31" s="1479"/>
      <c r="DW31" s="1481"/>
      <c r="DX31" s="1479"/>
    </row>
    <row r="32" spans="1:135">
      <c r="A32" s="1482" t="s">
        <v>1213</v>
      </c>
      <c r="B32" s="1486"/>
      <c r="C32" s="1483">
        <f>C17+C11</f>
        <v>62.207000000000107</v>
      </c>
      <c r="D32" s="1483">
        <f>D17+D11</f>
        <v>104.43999999999994</v>
      </c>
      <c r="E32" s="1483">
        <f>E17+E11</f>
        <v>81.327999999999918</v>
      </c>
      <c r="F32" s="1483">
        <f>F17+F11</f>
        <v>524.98</v>
      </c>
      <c r="G32" s="1538"/>
      <c r="H32" s="1483">
        <f>H17+H11</f>
        <v>112.43200000000002</v>
      </c>
      <c r="I32" s="1483">
        <f>I17+I11</f>
        <v>154.35300000000001</v>
      </c>
      <c r="J32" s="1483">
        <f>J17+J11</f>
        <v>101.97699999999992</v>
      </c>
      <c r="K32" s="1483">
        <f>K17+K11</f>
        <v>443.41999999999985</v>
      </c>
      <c r="L32" s="1483"/>
      <c r="M32" s="1483">
        <f>M17+M11</f>
        <v>107.80099999999999</v>
      </c>
      <c r="N32" s="1483">
        <f>N17+N11</f>
        <v>147.97199999999998</v>
      </c>
      <c r="O32" s="1483">
        <f>O17+O11</f>
        <v>51.545000000000186</v>
      </c>
      <c r="P32" s="1483">
        <f>P17+P11</f>
        <v>657.69000000000017</v>
      </c>
      <c r="Q32" s="1483"/>
      <c r="R32" s="1483">
        <f>R17+R11</f>
        <v>197.14300000000009</v>
      </c>
      <c r="S32" s="1483">
        <f>S17+S11</f>
        <v>207.67299999999989</v>
      </c>
      <c r="T32" s="1483">
        <f>T17+T11</f>
        <v>86.347999999999956</v>
      </c>
      <c r="U32" s="1483">
        <f>U17+U11</f>
        <v>656.56999999999994</v>
      </c>
      <c r="V32" s="1483"/>
      <c r="W32" s="1483">
        <f>W17+W11</f>
        <v>-57.383559734907344</v>
      </c>
      <c r="X32" s="1483">
        <f>X17+X11</f>
        <v>-51.063342486573234</v>
      </c>
      <c r="Y32" s="1483">
        <f>Y17+Y11</f>
        <v>-60.331011811376342</v>
      </c>
      <c r="Z32" s="1483">
        <f>Z17+Z11</f>
        <v>-40.164964427575654</v>
      </c>
      <c r="AA32" s="1483"/>
      <c r="AB32" s="1483">
        <f>AB17+AB11</f>
        <v>194.94700000000006</v>
      </c>
      <c r="AC32" s="1483">
        <f>AC17+AC11</f>
        <v>304.05299999999988</v>
      </c>
      <c r="AD32" s="1483">
        <f>AD17+AD11</f>
        <v>127.67699999999998</v>
      </c>
      <c r="AE32" s="1483">
        <f>AE17+AE11</f>
        <v>733.60399999999993</v>
      </c>
      <c r="AF32" s="1483"/>
      <c r="AG32" s="1483">
        <f>AG17+AG11</f>
        <v>213.13099999999997</v>
      </c>
      <c r="AH32" s="1483">
        <f>AH17+AH11</f>
        <v>226.32899999999972</v>
      </c>
      <c r="AI32" s="1483">
        <f>AI17+AI11</f>
        <v>90.436999999999827</v>
      </c>
      <c r="AJ32" s="1483">
        <f>AJ17+AJ11</f>
        <v>771.49600000000009</v>
      </c>
      <c r="AK32" s="1483"/>
      <c r="AL32" s="1483">
        <f>AL17+AL11</f>
        <v>259.95999999999992</v>
      </c>
      <c r="AM32" s="1483">
        <f>AM17+AM11</f>
        <v>274.65599999999972</v>
      </c>
      <c r="AN32" s="1483">
        <f>AN17+AN11</f>
        <v>144.76900000000023</v>
      </c>
      <c r="AO32" s="1483">
        <f>AO17+AO11</f>
        <v>812.46499999999992</v>
      </c>
      <c r="AP32" s="1483"/>
      <c r="AQ32" s="1483">
        <f>AQ17+AQ11</f>
        <v>202.82699999999988</v>
      </c>
      <c r="AR32" s="1483">
        <f>AR17+AR11</f>
        <v>231.09100000000018</v>
      </c>
      <c r="AS32" s="1483">
        <f>AS17+AS11</f>
        <v>117.72299999999994</v>
      </c>
      <c r="AT32" s="1483">
        <f>AT17+AT11</f>
        <v>661.44499999999994</v>
      </c>
      <c r="AU32" s="1483"/>
      <c r="AV32" s="1483">
        <f>AV17+AV11</f>
        <v>184.30799999999999</v>
      </c>
      <c r="AW32" s="1483">
        <f>AW17+AW11</f>
        <v>268.81399999999974</v>
      </c>
      <c r="AX32" s="1483">
        <f>AX17+AX11</f>
        <v>123.48499999999994</v>
      </c>
      <c r="AY32" s="1483">
        <f>AY17+AY11</f>
        <v>483.69799999999987</v>
      </c>
      <c r="AZ32" s="1483"/>
      <c r="BA32" s="1483">
        <f>BA17+BA11</f>
        <v>150.44599999999997</v>
      </c>
      <c r="BB32" s="1483">
        <f>BB17+BB11</f>
        <v>237.31300000000005</v>
      </c>
      <c r="BC32" s="1483">
        <f>BC17+BC11</f>
        <v>147.12300000000005</v>
      </c>
      <c r="BD32" s="1483">
        <f>BD17+BD11</f>
        <v>676.98199999999895</v>
      </c>
      <c r="BE32" s="1483"/>
      <c r="BF32" s="1483">
        <f>BG17+BG11</f>
        <v>325.06300000000033</v>
      </c>
      <c r="BG32" s="1483">
        <f>BG17+BG11</f>
        <v>325.06300000000033</v>
      </c>
      <c r="BH32" s="1483">
        <f>BH17+BH11</f>
        <v>237.62400000000019</v>
      </c>
      <c r="BI32" s="1483">
        <f>BI17+BI11</f>
        <v>814.46900000000016</v>
      </c>
      <c r="BJ32" s="1483"/>
      <c r="BK32" s="1483">
        <f>BK17+BK11</f>
        <v>356.89899999999989</v>
      </c>
      <c r="BL32" s="1483">
        <f>BL17+BL11</f>
        <v>396.95600000000013</v>
      </c>
      <c r="BM32" s="1483">
        <f>BM17+BM11</f>
        <v>270.36400000000009</v>
      </c>
      <c r="BN32" s="1483">
        <f>BN17+BN11</f>
        <v>878.2059999999999</v>
      </c>
      <c r="BO32" s="1483"/>
      <c r="BP32" s="1484">
        <f>BP17+BP11</f>
        <v>379.11300000000017</v>
      </c>
      <c r="BQ32" s="1484">
        <f>BQ17+BQ11</f>
        <v>396.52899999999977</v>
      </c>
      <c r="BR32" s="1484">
        <f>BR17+BR11</f>
        <v>285.53599999999966</v>
      </c>
      <c r="BS32" s="1484">
        <f>BS17+BS11</f>
        <v>999.71700000000021</v>
      </c>
      <c r="BT32" s="1484"/>
      <c r="BU32" s="1484">
        <f>BU17+BU11</f>
        <v>401.98900000000003</v>
      </c>
      <c r="BV32" s="1484">
        <f>BV17+BV11</f>
        <v>450.34200000000004</v>
      </c>
      <c r="BW32" s="1484">
        <f>BW17+BW11</f>
        <v>298.1450000000001</v>
      </c>
      <c r="BX32" s="1484">
        <f>BX17+BX11</f>
        <v>960.96600000000024</v>
      </c>
      <c r="BY32" s="1484"/>
      <c r="BZ32" s="1484">
        <f>BZ17+BZ11</f>
        <v>436.1760000000001</v>
      </c>
      <c r="CA32" s="1484">
        <f>CA17+CA11</f>
        <v>474.71000000000015</v>
      </c>
      <c r="CB32" s="1484">
        <f>CB17+CB11</f>
        <v>381.83200000000016</v>
      </c>
      <c r="CC32" s="1484">
        <f>CC17+CC11</f>
        <v>1058.2089999999998</v>
      </c>
      <c r="CD32" s="1484"/>
      <c r="CE32" s="1484">
        <f>CE17+CE11</f>
        <v>472.35299999999984</v>
      </c>
      <c r="CF32" s="1484">
        <f>CF17+CF11</f>
        <v>506.13400000000001</v>
      </c>
      <c r="CG32" s="1484">
        <f>CG17+CG11</f>
        <v>439.44799999999987</v>
      </c>
      <c r="CH32" s="1484">
        <f>CH17+CH11</f>
        <v>1188.5479999999995</v>
      </c>
      <c r="CI32" s="1484"/>
      <c r="CJ32" s="1484">
        <f>CJ17+CJ11</f>
        <v>467.596</v>
      </c>
      <c r="CK32" s="1484">
        <f>CK17+CK11</f>
        <v>521.06900000000019</v>
      </c>
      <c r="CL32" s="1484">
        <f>CL17+CL11</f>
        <v>404.67599999999982</v>
      </c>
      <c r="CM32" s="1484">
        <f>CM17+CM11</f>
        <v>1115.4700000000003</v>
      </c>
      <c r="CN32" s="1484"/>
      <c r="CO32" s="1484">
        <f>CO17+CO11</f>
        <v>338.84700000000009</v>
      </c>
      <c r="CP32" s="1484">
        <f>CP17+CP11</f>
        <v>429.46100000000013</v>
      </c>
      <c r="CQ32" s="1484">
        <f>CQ17+CQ11</f>
        <v>364.16000000000025</v>
      </c>
      <c r="CR32" s="1484">
        <f>CR17+CR11</f>
        <v>1120.5970000000007</v>
      </c>
      <c r="CS32" s="1484"/>
      <c r="CT32" s="1484">
        <f>CT17+CT11</f>
        <v>305.36822417787312</v>
      </c>
      <c r="CU32" s="1484">
        <f>CU17+CU11</f>
        <v>426.11371116896828</v>
      </c>
      <c r="CV32" s="1484">
        <f>CV17+CV11</f>
        <v>367.68463953962862</v>
      </c>
      <c r="CW32" s="1484">
        <f>CW17+CW11</f>
        <v>1081.8330001134525</v>
      </c>
      <c r="CX32" s="1485"/>
      <c r="CY32" s="1486">
        <f t="shared" ref="CY32:DU32" si="15">CY17+CY11</f>
        <v>937.70999999999958</v>
      </c>
      <c r="CZ32" s="1486">
        <f t="shared" si="15"/>
        <v>912.5840000000012</v>
      </c>
      <c r="DA32" s="1486">
        <f t="shared" si="15"/>
        <v>928.8080000000009</v>
      </c>
      <c r="DB32" s="1486">
        <f t="shared" si="15"/>
        <v>1045.3980000000001</v>
      </c>
      <c r="DC32" s="1486">
        <f t="shared" si="15"/>
        <v>1083.1819999999998</v>
      </c>
      <c r="DD32" s="1487">
        <f t="shared" si="15"/>
        <v>965.00800000000072</v>
      </c>
      <c r="DE32" s="1487">
        <f t="shared" si="15"/>
        <v>1147.7340000000004</v>
      </c>
      <c r="DF32" s="1487">
        <f t="shared" si="15"/>
        <v>1251.0819999999999</v>
      </c>
      <c r="DG32" s="1487">
        <f t="shared" si="15"/>
        <v>1360.2809999999999</v>
      </c>
      <c r="DH32" s="1488">
        <f t="shared" si="15"/>
        <v>1284.549</v>
      </c>
      <c r="DI32" s="1486">
        <f t="shared" si="15"/>
        <v>1491.8499999999981</v>
      </c>
      <c r="DJ32" s="1486">
        <f t="shared" si="15"/>
        <v>1213.0860000000002</v>
      </c>
      <c r="DK32" s="1486">
        <f t="shared" si="15"/>
        <v>1060.3050000000001</v>
      </c>
      <c r="DL32" s="1486">
        <f t="shared" si="15"/>
        <v>1211.864</v>
      </c>
      <c r="DM32" s="1486">
        <f t="shared" si="15"/>
        <v>1650.9260000000008</v>
      </c>
      <c r="DN32" s="1486">
        <f t="shared" si="15"/>
        <v>1902.4249999999993</v>
      </c>
      <c r="DO32" s="1486">
        <f t="shared" si="15"/>
        <v>2060.8910000000028</v>
      </c>
      <c r="DP32" s="1486">
        <f t="shared" si="15"/>
        <v>2111.4549999999972</v>
      </c>
      <c r="DQ32" s="1486">
        <f t="shared" si="15"/>
        <v>2350.9100000000017</v>
      </c>
      <c r="DR32" s="1486">
        <f t="shared" si="15"/>
        <v>2606.4789999999994</v>
      </c>
      <c r="DS32" s="1486">
        <f>DS17+DS11</f>
        <v>2508.9320000000016</v>
      </c>
      <c r="DT32" s="1486">
        <f t="shared" si="15"/>
        <v>2252.9420000000005</v>
      </c>
      <c r="DU32" s="1486">
        <f t="shared" si="15"/>
        <v>2180.9995749999216</v>
      </c>
      <c r="DV32" s="1486">
        <f>DV17+DV11</f>
        <v>2330.1677998377477</v>
      </c>
      <c r="DW32" s="1488">
        <f>DW17+DW11</f>
        <v>2486.1919669144859</v>
      </c>
      <c r="DX32" s="1486"/>
      <c r="EE32"/>
    </row>
    <row r="33" spans="1:134">
      <c r="A33" s="1482" t="s">
        <v>220</v>
      </c>
      <c r="B33" s="1486"/>
      <c r="C33" s="1483"/>
      <c r="D33" s="1483"/>
      <c r="E33" s="1483"/>
      <c r="F33" s="1483"/>
      <c r="G33" s="1538"/>
      <c r="H33" s="1483"/>
      <c r="I33" s="1483"/>
      <c r="J33" s="1483"/>
      <c r="K33" s="1483"/>
      <c r="L33" s="1483"/>
      <c r="M33" s="1483"/>
      <c r="N33" s="1483"/>
      <c r="O33" s="1483"/>
      <c r="P33" s="1483"/>
      <c r="Q33" s="1483"/>
      <c r="R33" s="1483"/>
      <c r="S33" s="1483"/>
      <c r="T33" s="1483"/>
      <c r="U33" s="1483"/>
      <c r="V33" s="1483"/>
      <c r="W33" s="1483"/>
      <c r="X33" s="1483"/>
      <c r="Y33" s="1483"/>
      <c r="Z33" s="1483"/>
      <c r="AA33" s="1483"/>
      <c r="AB33" s="1483"/>
      <c r="AC33" s="1483"/>
      <c r="AD33" s="1483"/>
      <c r="AE33" s="1483"/>
      <c r="AF33" s="1483"/>
      <c r="AG33" s="1483"/>
      <c r="AH33" s="1483"/>
      <c r="AI33" s="1483"/>
      <c r="AJ33" s="1483"/>
      <c r="AK33" s="1483"/>
      <c r="AL33" s="1483"/>
      <c r="AM33" s="1483"/>
      <c r="AN33" s="1483"/>
      <c r="AO33" s="1483"/>
      <c r="AP33" s="1483"/>
      <c r="AQ33" s="1483"/>
      <c r="AR33" s="1483"/>
      <c r="AS33" s="1483"/>
      <c r="AT33" s="1483"/>
      <c r="AU33" s="1483"/>
      <c r="AV33" s="1483"/>
      <c r="AW33" s="1483"/>
      <c r="AX33" s="1483"/>
      <c r="AY33" s="1483"/>
      <c r="AZ33" s="1483"/>
      <c r="BA33" s="1483"/>
      <c r="BB33" s="1483"/>
      <c r="BC33" s="1483"/>
      <c r="BD33" s="1483"/>
      <c r="BE33" s="1483"/>
      <c r="BF33" s="1483"/>
      <c r="BG33" s="1483"/>
      <c r="BH33" s="1483"/>
      <c r="BI33" s="1483"/>
      <c r="BJ33" s="1483"/>
      <c r="BK33" s="1483"/>
      <c r="BL33" s="1483"/>
      <c r="BM33" s="1483"/>
      <c r="BN33" s="1483"/>
      <c r="BO33" s="1483"/>
      <c r="BP33" s="1484"/>
      <c r="BQ33" s="1484"/>
      <c r="BR33" s="1484"/>
      <c r="BS33" s="1484"/>
      <c r="BT33" s="1484"/>
      <c r="BU33" s="1484"/>
      <c r="BV33" s="1484"/>
      <c r="BW33" s="1484"/>
      <c r="BX33" s="1484"/>
      <c r="BY33" s="1484"/>
      <c r="BZ33" s="1484"/>
      <c r="CA33" s="1484"/>
      <c r="CB33" s="1484"/>
      <c r="CC33" s="1484"/>
      <c r="CD33" s="1484"/>
      <c r="CE33" s="1484"/>
      <c r="CF33" s="1484"/>
      <c r="CG33" s="1484"/>
      <c r="CH33" s="1484"/>
      <c r="CI33" s="1484"/>
      <c r="CJ33" s="1484"/>
      <c r="CK33" s="1484"/>
      <c r="CL33" s="1484"/>
      <c r="CM33" s="1484"/>
      <c r="CN33" s="1484"/>
      <c r="CO33" s="1484"/>
      <c r="CP33" s="1484"/>
      <c r="CQ33" s="1484"/>
      <c r="CR33" s="1484"/>
      <c r="CS33" s="1484"/>
      <c r="CT33" s="1484"/>
      <c r="CU33" s="1484"/>
      <c r="CV33" s="1484"/>
      <c r="CW33" s="1484"/>
      <c r="CX33" s="1485"/>
      <c r="CY33" s="1486">
        <f>flow!P22</f>
        <v>409.26</v>
      </c>
      <c r="CZ33" s="1486">
        <f>flow!R22</f>
        <v>404.60199999999998</v>
      </c>
      <c r="DA33" s="1486">
        <f>flow!T22</f>
        <v>347.35599999999999</v>
      </c>
      <c r="DB33" s="1486">
        <f>flow!V22</f>
        <v>376</v>
      </c>
      <c r="DC33" s="1486">
        <f>flow!X22</f>
        <v>487</v>
      </c>
      <c r="DD33" s="1487">
        <f>flow!Z22</f>
        <v>377</v>
      </c>
      <c r="DE33" s="1487">
        <f>flow!AB22</f>
        <v>306</v>
      </c>
      <c r="DF33" s="1487">
        <f>flow!AD22</f>
        <v>293</v>
      </c>
      <c r="DG33" s="1487">
        <f>flow!AF22</f>
        <v>430.62200000000001</v>
      </c>
      <c r="DH33" s="1488">
        <f>flow!AH22</f>
        <v>479.72299999999996</v>
      </c>
      <c r="DI33" s="1486">
        <f>flow!AJ22</f>
        <v>548.10400000000004</v>
      </c>
      <c r="DJ33" s="1486">
        <f>flow!AL22</f>
        <v>748.75699999999995</v>
      </c>
      <c r="DK33" s="1486">
        <f>flow!AN22</f>
        <v>479</v>
      </c>
      <c r="DL33" s="1486">
        <f>flow!AP22</f>
        <v>202</v>
      </c>
      <c r="DM33" s="1486">
        <f>flow!AR22</f>
        <v>274</v>
      </c>
      <c r="DN33" s="1486">
        <f>flow!AT22</f>
        <v>426</v>
      </c>
      <c r="DO33" s="1486">
        <f>flow!AV22</f>
        <v>588.08199999999999</v>
      </c>
      <c r="DP33" s="1486">
        <f>flow!AX22</f>
        <v>690.53</v>
      </c>
      <c r="DQ33" s="1486">
        <f>flow!AZ22</f>
        <v>714.96799999999996</v>
      </c>
      <c r="DR33" s="1486">
        <f>flow!BB22</f>
        <v>726.95100000000002</v>
      </c>
      <c r="DS33" s="1486">
        <f>flow!BD22</f>
        <v>990.48900000000003</v>
      </c>
      <c r="DT33" s="1486">
        <f>flow!BG22</f>
        <v>0</v>
      </c>
      <c r="DU33" s="1486">
        <f>flow!BH22</f>
        <v>750</v>
      </c>
      <c r="DV33" s="1486">
        <f>flow!BJ22</f>
        <v>750</v>
      </c>
      <c r="DW33" s="1488">
        <f>flow!BL22</f>
        <v>750</v>
      </c>
      <c r="DX33" s="1486"/>
    </row>
    <row r="34" spans="1:134" ht="7.5" customHeight="1">
      <c r="A34" s="1425"/>
      <c r="B34" s="1425"/>
      <c r="C34" s="1425"/>
      <c r="D34" s="1425"/>
      <c r="E34" s="1425"/>
      <c r="F34" s="1425"/>
      <c r="G34" s="1425"/>
      <c r="H34" s="1425"/>
      <c r="I34" s="1425"/>
      <c r="J34" s="1425"/>
      <c r="K34" s="1425"/>
      <c r="L34" s="1425"/>
      <c r="M34" s="1425"/>
      <c r="N34" s="1425"/>
      <c r="O34" s="1425"/>
      <c r="P34" s="1425"/>
      <c r="Q34" s="1425"/>
      <c r="R34" s="1425"/>
      <c r="S34" s="1425"/>
      <c r="T34" s="1425"/>
      <c r="U34" s="1425"/>
      <c r="V34" s="1425"/>
      <c r="W34" s="1425"/>
      <c r="X34" s="1425"/>
      <c r="Y34" s="1425"/>
      <c r="Z34" s="1425"/>
      <c r="AA34" s="1425"/>
      <c r="AB34" s="1425"/>
      <c r="AC34" s="1425"/>
      <c r="AD34" s="1425"/>
      <c r="AE34" s="1425"/>
      <c r="AF34" s="1425"/>
      <c r="AG34" s="1425"/>
      <c r="AH34" s="1425"/>
      <c r="AI34" s="1425"/>
      <c r="AJ34" s="1425"/>
      <c r="AK34" s="1425"/>
      <c r="AL34" s="1425"/>
      <c r="AM34" s="1425"/>
      <c r="AN34" s="1425"/>
      <c r="AO34" s="1425"/>
      <c r="AP34" s="1425"/>
      <c r="AQ34" s="1425"/>
      <c r="AR34" s="1425"/>
      <c r="AS34" s="1425"/>
      <c r="AT34" s="1425"/>
      <c r="AU34" s="1425"/>
      <c r="AV34" s="1425"/>
      <c r="AW34" s="1425"/>
      <c r="AX34" s="1425"/>
      <c r="AY34" s="1425"/>
      <c r="AZ34" s="1425"/>
      <c r="BA34" s="1425"/>
      <c r="BB34" s="1425"/>
      <c r="BC34" s="1425"/>
      <c r="BD34" s="1425"/>
      <c r="BE34" s="1425"/>
      <c r="BF34" s="1425"/>
      <c r="BG34" s="1425"/>
      <c r="BH34" s="1425"/>
      <c r="BI34" s="1425"/>
      <c r="BJ34" s="1425"/>
      <c r="BK34" s="1425"/>
      <c r="BL34" s="1425"/>
      <c r="BM34" s="1425"/>
      <c r="BN34" s="1425"/>
      <c r="BO34" s="1425"/>
      <c r="BP34" s="1539"/>
      <c r="BQ34" s="1539"/>
      <c r="BR34" s="1539"/>
      <c r="BS34" s="1539"/>
      <c r="BT34" s="1539"/>
      <c r="BU34" s="1539"/>
      <c r="BV34" s="1539"/>
      <c r="BW34" s="1539"/>
      <c r="BX34" s="1539"/>
      <c r="BY34" s="1539"/>
      <c r="BZ34" s="1539"/>
      <c r="CA34" s="1539"/>
      <c r="CB34" s="1539"/>
      <c r="CC34" s="1539"/>
      <c r="CD34" s="1539"/>
      <c r="CE34" s="1539"/>
      <c r="CF34" s="1539"/>
      <c r="CG34" s="1539"/>
      <c r="CH34" s="1539"/>
      <c r="CI34" s="1539"/>
      <c r="CJ34" s="1539"/>
      <c r="CK34" s="1539"/>
      <c r="CL34" s="1539"/>
      <c r="CM34" s="1539"/>
      <c r="CN34" s="1539"/>
      <c r="CO34" s="1539"/>
      <c r="CP34" s="1539"/>
      <c r="CQ34" s="1539"/>
      <c r="CR34" s="1539"/>
      <c r="CS34" s="1539"/>
      <c r="CT34" s="1539"/>
      <c r="CU34" s="1539"/>
      <c r="CV34" s="1539"/>
      <c r="CW34" s="1539"/>
      <c r="CX34" s="1540"/>
      <c r="CY34" s="1479"/>
      <c r="CZ34" s="1479"/>
      <c r="DA34" s="1479"/>
      <c r="DB34" s="1479"/>
      <c r="DC34" s="1479"/>
      <c r="DD34" s="1480"/>
      <c r="DE34" s="1480"/>
      <c r="DF34" s="1480"/>
      <c r="DG34" s="1480"/>
      <c r="DH34" s="1481"/>
      <c r="DI34" s="1479"/>
      <c r="DJ34" s="1479"/>
      <c r="DK34" s="1479"/>
      <c r="DL34" s="1479"/>
      <c r="DM34" s="1479"/>
      <c r="DN34" s="1479"/>
      <c r="DO34" s="1479"/>
      <c r="DP34" s="1479"/>
      <c r="DQ34" s="1479"/>
      <c r="DR34" s="1479"/>
      <c r="DS34" s="1479"/>
      <c r="DT34" s="1479"/>
      <c r="DU34" s="1479"/>
      <c r="DV34" s="1479"/>
      <c r="DW34" s="1481"/>
      <c r="DX34" s="1479"/>
    </row>
    <row r="35" spans="1:134">
      <c r="A35" s="1461" t="s">
        <v>1214</v>
      </c>
      <c r="B35" s="1425"/>
      <c r="C35" s="1425"/>
      <c r="D35" s="1425"/>
      <c r="E35" s="1425"/>
      <c r="F35" s="1425"/>
      <c r="G35" s="1425"/>
      <c r="H35" s="1425"/>
      <c r="I35" s="1425"/>
      <c r="J35" s="1425"/>
      <c r="K35" s="1425"/>
      <c r="L35" s="1425"/>
      <c r="M35" s="1425"/>
      <c r="N35" s="1425"/>
      <c r="O35" s="1425"/>
      <c r="P35" s="1425"/>
      <c r="Q35" s="1425"/>
      <c r="R35" s="1425"/>
      <c r="S35" s="1425"/>
      <c r="T35" s="1425"/>
      <c r="U35" s="1425"/>
      <c r="V35" s="1425"/>
      <c r="W35" s="1425"/>
      <c r="X35" s="1425"/>
      <c r="Y35" s="1425"/>
      <c r="Z35" s="1425"/>
      <c r="AA35" s="1425"/>
      <c r="AB35" s="1425"/>
      <c r="AC35" s="1425"/>
      <c r="AD35" s="1425"/>
      <c r="AE35" s="1425"/>
      <c r="AF35" s="1425"/>
      <c r="AG35" s="1425"/>
      <c r="AH35" s="1425"/>
      <c r="AI35" s="1425"/>
      <c r="AJ35" s="1425"/>
      <c r="AK35" s="1425"/>
      <c r="AL35" s="1425"/>
      <c r="AM35" s="1425"/>
      <c r="AN35" s="1425"/>
      <c r="AO35" s="1425"/>
      <c r="AP35" s="1425"/>
      <c r="AQ35" s="1425"/>
      <c r="AR35" s="1425"/>
      <c r="AS35" s="1425"/>
      <c r="AT35" s="1425"/>
      <c r="AU35" s="1425"/>
      <c r="AV35" s="1425"/>
      <c r="AW35" s="1425"/>
      <c r="AX35" s="1425"/>
      <c r="AY35" s="1425"/>
      <c r="AZ35" s="1425"/>
      <c r="BA35" s="1425"/>
      <c r="BB35" s="1425"/>
      <c r="BC35" s="1425"/>
      <c r="BD35" s="1425"/>
      <c r="BE35" s="1425"/>
      <c r="BF35" s="1425"/>
      <c r="BG35" s="1425"/>
      <c r="BH35" s="1425"/>
      <c r="BI35" s="1425"/>
      <c r="BJ35" s="1425"/>
      <c r="BK35" s="1425"/>
      <c r="BL35" s="1425"/>
      <c r="BM35" s="1425"/>
      <c r="BN35" s="1425"/>
      <c r="BO35" s="1425"/>
      <c r="BP35" s="1539"/>
      <c r="BQ35" s="1539"/>
      <c r="BR35" s="1539"/>
      <c r="BS35" s="1539"/>
      <c r="BT35" s="1539"/>
      <c r="BU35" s="1539"/>
      <c r="BV35" s="1539"/>
      <c r="BW35" s="1539"/>
      <c r="BX35" s="1539"/>
      <c r="BY35" s="1539"/>
      <c r="BZ35" s="1539"/>
      <c r="CA35" s="1539"/>
      <c r="CB35" s="1539"/>
      <c r="CC35" s="1539"/>
      <c r="CD35" s="1539"/>
      <c r="CE35" s="1539"/>
      <c r="CF35" s="1539"/>
      <c r="CG35" s="1539"/>
      <c r="CH35" s="1539"/>
      <c r="CI35" s="1539"/>
      <c r="CJ35" s="1539"/>
      <c r="CK35" s="1539"/>
      <c r="CL35" s="1539"/>
      <c r="CM35" s="1539"/>
      <c r="CN35" s="1539"/>
      <c r="CO35" s="1539"/>
      <c r="CP35" s="1539"/>
      <c r="CQ35" s="1539"/>
      <c r="CR35" s="1539"/>
      <c r="CS35" s="1539"/>
      <c r="CT35" s="1539"/>
      <c r="CU35" s="1539"/>
      <c r="CV35" s="1539"/>
      <c r="CW35" s="1539"/>
      <c r="CX35" s="1540"/>
      <c r="CY35" s="1479"/>
      <c r="CZ35" s="1479"/>
      <c r="DA35" s="1479"/>
      <c r="DB35" s="1479"/>
      <c r="DC35" s="1479"/>
      <c r="DD35" s="1480"/>
      <c r="DE35" s="1480"/>
      <c r="DF35" s="1480"/>
      <c r="DG35" s="1480"/>
      <c r="DH35" s="1481"/>
      <c r="DI35" s="1479"/>
      <c r="DJ35" s="1479"/>
      <c r="DK35" s="1479"/>
      <c r="DL35" s="1479"/>
      <c r="DM35" s="1479"/>
      <c r="DN35" s="1479"/>
      <c r="DO35" s="1479"/>
      <c r="DP35" s="1479"/>
      <c r="DQ35" s="1479"/>
      <c r="DR35" s="1479"/>
      <c r="DS35" s="1479"/>
      <c r="DT35" s="1479"/>
      <c r="DU35" s="1479"/>
      <c r="DV35" s="1479"/>
      <c r="DW35" s="1481"/>
      <c r="DX35" s="1479"/>
    </row>
    <row r="36" spans="1:134" s="1494" customFormat="1">
      <c r="A36" s="2856" t="s">
        <v>1215</v>
      </c>
      <c r="B36" s="2857"/>
      <c r="C36" s="2857">
        <f>C13/C8</f>
        <v>0.31690357669440239</v>
      </c>
      <c r="D36" s="2857">
        <f>D13/D8</f>
        <v>0.32599911116493369</v>
      </c>
      <c r="E36" s="2857">
        <f>E13/E8</f>
        <v>0.33573518993773327</v>
      </c>
      <c r="F36" s="2857">
        <f>F13/F8</f>
        <v>0.40904754268631777</v>
      </c>
      <c r="G36" s="2857"/>
      <c r="H36" s="1543">
        <f>H13/H8</f>
        <v>0.34732314537074838</v>
      </c>
      <c r="I36" s="1543">
        <f>I13/I8</f>
        <v>0.34786228666830221</v>
      </c>
      <c r="J36" s="1543">
        <f>J13/J8</f>
        <v>0.35243502747156685</v>
      </c>
      <c r="K36" s="1543">
        <f>K13/K8</f>
        <v>0.38047140600403079</v>
      </c>
      <c r="L36" s="1543"/>
      <c r="M36" s="1543">
        <f>M13/M8</f>
        <v>0.3245848923313544</v>
      </c>
      <c r="N36" s="1543">
        <f>N13/N8</f>
        <v>0.33429450091806973</v>
      </c>
      <c r="O36" s="1543">
        <f>O13/O8</f>
        <v>0.30411520277701615</v>
      </c>
      <c r="P36" s="1543">
        <f>P13/P8</f>
        <v>0.43209220326564979</v>
      </c>
      <c r="Q36" s="1543"/>
      <c r="R36" s="1543">
        <f>R13/R8</f>
        <v>0.34561548934873776</v>
      </c>
      <c r="S36" s="1543">
        <f>S13/S8</f>
        <v>0.35189414855345275</v>
      </c>
      <c r="T36" s="1543">
        <f>T13/T8</f>
        <v>0.31917128931609301</v>
      </c>
      <c r="U36" s="1543">
        <f>U13/U8</f>
        <v>0.41630079373802664</v>
      </c>
      <c r="V36" s="2857"/>
      <c r="W36" s="1543">
        <f>W13/W8</f>
        <v>-12.683018157782472</v>
      </c>
      <c r="X36" s="1543">
        <f>X13/X8</f>
        <v>-5.5631581561354402</v>
      </c>
      <c r="Y36" s="1543">
        <f>Y13/Y8</f>
        <v>-6.2296637459408322</v>
      </c>
      <c r="Z36" s="1543">
        <f>Z13/Z8</f>
        <v>-3.6770608360096317</v>
      </c>
      <c r="AA36" s="2857"/>
      <c r="AB36" s="1543">
        <f>AB13/AB8</f>
        <v>0.34225860541107261</v>
      </c>
      <c r="AC36" s="1543">
        <f>AC13/AC8</f>
        <v>0.36237488872967277</v>
      </c>
      <c r="AD36" s="1543">
        <f>AD13/AD8</f>
        <v>0.32507727985488044</v>
      </c>
      <c r="AE36" s="1543">
        <f>AE13/AE8</f>
        <v>0.39093390201122336</v>
      </c>
      <c r="AF36" s="2857"/>
      <c r="AG36" s="1543">
        <f>AG13/AG8</f>
        <v>0.34667168287313183</v>
      </c>
      <c r="AH36" s="1543">
        <f>AH13/AH8</f>
        <v>0.32505682262131791</v>
      </c>
      <c r="AI36" s="1543">
        <f>AI13/AI8</f>
        <v>0.32073150552113044</v>
      </c>
      <c r="AJ36" s="1543">
        <f>AJ13/AJ8</f>
        <v>0.40764979737879997</v>
      </c>
      <c r="AK36" s="2857"/>
      <c r="AL36" s="1543">
        <f>AL13/AL8</f>
        <v>0.37974985207677464</v>
      </c>
      <c r="AM36" s="1543">
        <f>AM13/AM8</f>
        <v>0.34767174222406233</v>
      </c>
      <c r="AN36" s="1543">
        <f>AN13/AN8</f>
        <v>0.35904185150126205</v>
      </c>
      <c r="AO36" s="1543">
        <f>AO13/AO8</f>
        <v>0.40058742237313466</v>
      </c>
      <c r="AP36" s="1543"/>
      <c r="AQ36" s="1543">
        <f>AQ13/AQ8</f>
        <v>0.3439255717502227</v>
      </c>
      <c r="AR36" s="1543">
        <f>AR13/AR8</f>
        <v>0.3098312282756947</v>
      </c>
      <c r="AS36" s="1543">
        <f>AS13/AS8</f>
        <v>0.3155715967519177</v>
      </c>
      <c r="AT36" s="1543">
        <f>AT13/AT8</f>
        <v>0.38683826754521822</v>
      </c>
      <c r="AU36" s="1543"/>
      <c r="AV36" s="1543">
        <f>AV13/AV8</f>
        <v>0.33303429829705866</v>
      </c>
      <c r="AW36" s="1543">
        <f>AW13/AW8</f>
        <v>0.33286798574976989</v>
      </c>
      <c r="AX36" s="1543">
        <f>AX13/AX8</f>
        <v>0.31497667985391248</v>
      </c>
      <c r="AY36" s="1543">
        <f>AY13/AY8</f>
        <v>0.3425693941564012</v>
      </c>
      <c r="AZ36" s="1543"/>
      <c r="BA36" s="1543">
        <f>BA13/BA8</f>
        <v>0.31784386724838382</v>
      </c>
      <c r="BB36" s="1543">
        <f>BB13/BB8</f>
        <v>0.32323902429582746</v>
      </c>
      <c r="BC36" s="1543">
        <f>BC13/BC8</f>
        <v>0.31663280423161344</v>
      </c>
      <c r="BD36" s="1543">
        <f>BD13/BD8</f>
        <v>0.40771579629112159</v>
      </c>
      <c r="BE36" s="1543"/>
      <c r="BF36" s="1543">
        <f>BG13/BG8</f>
        <v>0.34670391659346012</v>
      </c>
      <c r="BG36" s="1543">
        <f>BG13/BG8</f>
        <v>0.34670391659346012</v>
      </c>
      <c r="BH36" s="1543">
        <f>BH13/BH8</f>
        <v>0.36013970147808888</v>
      </c>
      <c r="BI36" s="1543">
        <f>BI13/BI8</f>
        <v>0.41805889127453083</v>
      </c>
      <c r="BJ36" s="1543"/>
      <c r="BK36" s="1543">
        <f>BK13/BK8</f>
        <v>0.37966691279318104</v>
      </c>
      <c r="BL36" s="1543">
        <f>BL13/BL8</f>
        <v>0.36698472622537009</v>
      </c>
      <c r="BM36" s="1543">
        <f>BM13/BM8</f>
        <v>0.36130936496397381</v>
      </c>
      <c r="BN36" s="1543">
        <f>BN13/BN8</f>
        <v>0.43938970696581292</v>
      </c>
      <c r="BO36" s="1543"/>
      <c r="BP36" s="1543">
        <f>BP13/BP8</f>
        <v>0.41878062052647813</v>
      </c>
      <c r="BQ36" s="1543">
        <f>BQ13/BQ8</f>
        <v>0.39401400525196939</v>
      </c>
      <c r="BR36" s="1543">
        <f>BR13/BR8</f>
        <v>0.40755413281409653</v>
      </c>
      <c r="BS36" s="1543">
        <f>BS13/BS8</f>
        <v>0.45211476448568222</v>
      </c>
      <c r="BT36" s="1543"/>
      <c r="BU36" s="1543">
        <f>BU13/BU8</f>
        <v>0.41509226810396677</v>
      </c>
      <c r="BV36" s="1543">
        <f>BV13/BV8</f>
        <v>0.39294255496823671</v>
      </c>
      <c r="BW36" s="1543">
        <f>BW13/BW8</f>
        <v>0.39459911095225575</v>
      </c>
      <c r="BX36" s="1543">
        <f>BX13/BX8</f>
        <v>0.43012522648094581</v>
      </c>
      <c r="BY36" s="1543"/>
      <c r="BZ36" s="1543">
        <f>BZ13/BZ8</f>
        <v>0.41070578739811731</v>
      </c>
      <c r="CA36" s="1543">
        <f>CA13/CA8</f>
        <v>0.39036956824832703</v>
      </c>
      <c r="CB36" s="1543">
        <f>CB13/CB8</f>
        <v>0.4081448096492617</v>
      </c>
      <c r="CC36" s="1543">
        <f>CC13/CC8</f>
        <v>0.45094938536652501</v>
      </c>
      <c r="CD36" s="1543"/>
      <c r="CE36" s="1543">
        <f>CE13/CE8</f>
        <v>0.42037605212546958</v>
      </c>
      <c r="CF36" s="1543">
        <f>CF13/CF8</f>
        <v>0.40280308704100226</v>
      </c>
      <c r="CG36" s="1543">
        <f>CG13/CG8</f>
        <v>0.41557236835477468</v>
      </c>
      <c r="CH36" s="1543">
        <f>CH13/CH8</f>
        <v>0.45560756116157325</v>
      </c>
      <c r="CI36" s="1543"/>
      <c r="CJ36" s="1543">
        <f>CJ13/CJ8</f>
        <v>0.40326381170817366</v>
      </c>
      <c r="CK36" s="1543">
        <f>CK13/CK8</f>
        <v>0.38512200388684953</v>
      </c>
      <c r="CL36" s="1543">
        <f>CL13/CL8</f>
        <v>0.39724693614322315</v>
      </c>
      <c r="CM36" s="1543">
        <f>CM13/CM8</f>
        <v>0.4330171202341116</v>
      </c>
      <c r="CN36" s="1543"/>
      <c r="CO36" s="1543">
        <f>CO13/CO8</f>
        <v>0.37054852344919381</v>
      </c>
      <c r="CP36" s="1543">
        <f>CP13/CP8</f>
        <v>0.37309747297660273</v>
      </c>
      <c r="CQ36" s="1543">
        <f>CQ13/CQ8</f>
        <v>0.3775510126121942</v>
      </c>
      <c r="CR36" s="1543">
        <f>CR13/CR8</f>
        <v>0.42303311148431516</v>
      </c>
      <c r="CS36" s="1543"/>
      <c r="CT36" s="1543">
        <f>CT13/CT8</f>
        <v>0.35749999999999987</v>
      </c>
      <c r="CU36" s="1543">
        <f>CU13/CU8</f>
        <v>0.373</v>
      </c>
      <c r="CV36" s="1543">
        <f>CV13/CV8</f>
        <v>0.38070000000000004</v>
      </c>
      <c r="CW36" s="1543">
        <f>CW13/CW8</f>
        <v>0.42799999999999994</v>
      </c>
      <c r="CX36" s="1544"/>
      <c r="CY36" s="1612">
        <f t="shared" ref="CY36:DU36" si="16">CY13/CY8</f>
        <v>0.3223006779458289</v>
      </c>
      <c r="CZ36" s="1612">
        <f t="shared" si="16"/>
        <v>0.33186075571892754</v>
      </c>
      <c r="DA36" s="1612">
        <f t="shared" si="16"/>
        <v>0.34504046304786895</v>
      </c>
      <c r="DB36" s="1612">
        <f t="shared" si="16"/>
        <v>0.391529263436805</v>
      </c>
      <c r="DC36" s="1612">
        <f t="shared" si="16"/>
        <v>0.39357390690513705</v>
      </c>
      <c r="DD36" s="2858">
        <f t="shared" si="16"/>
        <v>0.36096501856275548</v>
      </c>
      <c r="DE36" s="2858">
        <f t="shared" si="16"/>
        <v>0.36632868558024995</v>
      </c>
      <c r="DF36" s="2858">
        <f t="shared" si="16"/>
        <v>0.3651152646643066</v>
      </c>
      <c r="DG36" s="2858">
        <f t="shared" si="16"/>
        <v>0.36075270462969339</v>
      </c>
      <c r="DH36" s="2859">
        <f t="shared" si="16"/>
        <v>0.35877342826577008</v>
      </c>
      <c r="DI36" s="1612">
        <f t="shared" si="16"/>
        <v>0.37612808802954723</v>
      </c>
      <c r="DJ36" s="1612">
        <f t="shared" si="16"/>
        <v>0.34338455626445513</v>
      </c>
      <c r="DK36" s="1612">
        <f t="shared" si="16"/>
        <v>0.33246755027629527</v>
      </c>
      <c r="DL36" s="1612">
        <f t="shared" si="16"/>
        <v>0.350778361927639</v>
      </c>
      <c r="DM36" s="1612">
        <f t="shared" si="16"/>
        <v>0.3776848022079462</v>
      </c>
      <c r="DN36" s="1612">
        <f t="shared" si="16"/>
        <v>0.3930669419272369</v>
      </c>
      <c r="DO36" s="1612">
        <f t="shared" si="16"/>
        <v>0.42318713730985613</v>
      </c>
      <c r="DP36" s="1612">
        <f t="shared" si="16"/>
        <v>0.41111818936805361</v>
      </c>
      <c r="DQ36" s="1612">
        <f t="shared" si="16"/>
        <v>0.41973178069610262</v>
      </c>
      <c r="DR36" s="1612">
        <f t="shared" si="16"/>
        <v>0.42813720761579965</v>
      </c>
      <c r="DS36" s="1612">
        <f t="shared" si="16"/>
        <v>0.40848838831309531</v>
      </c>
      <c r="DT36" s="1612">
        <f t="shared" si="16"/>
        <v>0.39258839875924456</v>
      </c>
      <c r="DU36" s="1612">
        <f t="shared" si="16"/>
        <v>0.39191555382456578</v>
      </c>
      <c r="DV36" s="1612">
        <f>DV13/DV8</f>
        <v>0.39461764569604552</v>
      </c>
      <c r="DW36" s="2859">
        <f>DW13/DW8</f>
        <v>0.39555867674082035</v>
      </c>
      <c r="DX36" s="1612"/>
      <c r="DY36"/>
      <c r="DZ36"/>
      <c r="EA36"/>
      <c r="EB36"/>
      <c r="EC36"/>
      <c r="ED36"/>
    </row>
    <row r="37" spans="1:134">
      <c r="A37" s="1528" t="s">
        <v>1216</v>
      </c>
      <c r="B37" s="1529"/>
      <c r="C37" s="1548">
        <f>(C14/C8)</f>
        <v>0.27724943409961761</v>
      </c>
      <c r="D37" s="1541">
        <f>(D14/D8)</f>
        <v>0.26633977034238426</v>
      </c>
      <c r="E37" s="1541">
        <f>(E14/E8)</f>
        <v>0.28433941886529657</v>
      </c>
      <c r="F37" s="1541">
        <f>(F14/F8)</f>
        <v>0.21596238778566659</v>
      </c>
      <c r="G37" s="1541"/>
      <c r="H37" s="1542">
        <f>(H14/H8)</f>
        <v>0.28080438756855575</v>
      </c>
      <c r="I37" s="1542">
        <f>(I14/I8)</f>
        <v>0.26408569958468026</v>
      </c>
      <c r="J37" s="1542">
        <f>(J14/J8)</f>
        <v>0.2930063474821033</v>
      </c>
      <c r="K37" s="1542">
        <f>(K14/K8)</f>
        <v>0.22762862050269014</v>
      </c>
      <c r="L37" s="1542"/>
      <c r="M37" s="1542">
        <f>(M14/M8)</f>
        <v>0.30138736281920597</v>
      </c>
      <c r="N37" s="1542">
        <f>(N14/N8)</f>
        <v>0.28975072073422942</v>
      </c>
      <c r="O37" s="1542">
        <f>(O14/O8)</f>
        <v>0.31478513983011264</v>
      </c>
      <c r="P37" s="1542">
        <f>(P14/P8)</f>
        <v>0.22481802218781974</v>
      </c>
      <c r="Q37" s="1542"/>
      <c r="R37" s="1542">
        <f>(R14/R8)</f>
        <v>0.27437375848317708</v>
      </c>
      <c r="S37" s="1542">
        <f>(S14/S8)</f>
        <v>0.27938220554523702</v>
      </c>
      <c r="T37" s="1542">
        <f>(T14/T8)</f>
        <v>0.30935665732236156</v>
      </c>
      <c r="U37" s="1542">
        <f>(U14/U8)</f>
        <v>0.21819670218741549</v>
      </c>
      <c r="V37" s="1541"/>
      <c r="W37" s="1542">
        <f>(W14/W8)</f>
        <v>11.240467591771612</v>
      </c>
      <c r="X37" s="1542">
        <f>(X14/X8)</f>
        <v>4.9723885891065676</v>
      </c>
      <c r="Y37" s="1542">
        <f>(Y14/Y8)</f>
        <v>6.7200581574774461</v>
      </c>
      <c r="Z37" s="1542">
        <f>(Z14/Z8)</f>
        <v>2.4544456623750222</v>
      </c>
      <c r="AA37" s="1541"/>
      <c r="AB37" s="1542">
        <f>(AB14/AB8)</f>
        <v>0.28191495008348483</v>
      </c>
      <c r="AC37" s="1542">
        <f>(AC14/AC8)</f>
        <v>0.25972439335055764</v>
      </c>
      <c r="AD37" s="1542">
        <f>(AD14/AD8)</f>
        <v>0.29697094700545518</v>
      </c>
      <c r="AE37" s="1542">
        <f>(AE14/AE8)</f>
        <v>0.20245179247102682</v>
      </c>
      <c r="AF37" s="1541"/>
      <c r="AG37" s="1542">
        <f>(AG14/AG8)</f>
        <v>0.28665240119659818</v>
      </c>
      <c r="AH37" s="1542">
        <f>(AH14/AH8)</f>
        <v>0.25811896716619359</v>
      </c>
      <c r="AI37" s="1542">
        <f>(AI14/AI8)</f>
        <v>0.31000168644673076</v>
      </c>
      <c r="AJ37" s="1542">
        <f>(AJ14/AJ8)</f>
        <v>0.21180437905750646</v>
      </c>
      <c r="AK37" s="1541"/>
      <c r="AL37" s="1542">
        <f>(AL14/AL8)</f>
        <v>0.2902275345663719</v>
      </c>
      <c r="AM37" s="1542">
        <f>(AM14/AM8)</f>
        <v>0.26747945678875501</v>
      </c>
      <c r="AN37" s="1542">
        <f>(AN14/AN8)</f>
        <v>0.32758064714409862</v>
      </c>
      <c r="AO37" s="1542">
        <f>(AO14/AO8)</f>
        <v>0.21999765448472952</v>
      </c>
      <c r="AP37" s="1542"/>
      <c r="AQ37" s="1542">
        <f>(AQ14/AQ8)</f>
        <v>0.29696219085416015</v>
      </c>
      <c r="AR37" s="1542">
        <f>(AR14/AR8)</f>
        <v>0.25559158515546609</v>
      </c>
      <c r="AS37" s="1542">
        <f>(AS14/AS8)</f>
        <v>0.29654818460156079</v>
      </c>
      <c r="AT37" s="1542">
        <f>(AT14/AT8)</f>
        <v>0.2091598664826301</v>
      </c>
      <c r="AU37" s="1542"/>
      <c r="AV37" s="1542">
        <f>(AV14/AV8)</f>
        <v>0.28086090922927398</v>
      </c>
      <c r="AW37" s="1542">
        <f>(AW14/AW8)</f>
        <v>0.25181126587675778</v>
      </c>
      <c r="AX37" s="1542">
        <f>(AX14/AX8)</f>
        <v>0.29264612004012625</v>
      </c>
      <c r="AY37" s="1542">
        <f>(AY14/AY8)</f>
        <v>0.21193693829230831</v>
      </c>
      <c r="AZ37" s="1542"/>
      <c r="BA37" s="1542">
        <f>(BA14/BA8)</f>
        <v>0.28004500251269826</v>
      </c>
      <c r="BB37" s="1542">
        <f>(BB14/BB8)</f>
        <v>0.25131301987312554</v>
      </c>
      <c r="BC37" s="1542">
        <f>(BC14/BC8)</f>
        <v>0.28350088252388889</v>
      </c>
      <c r="BD37" s="1542">
        <f>(BD14/BD8)</f>
        <v>0.21657093275601369</v>
      </c>
      <c r="BE37" s="1542"/>
      <c r="BF37" s="1542">
        <f>(BG14/BG8)</f>
        <v>0.2412609085355249</v>
      </c>
      <c r="BG37" s="1542">
        <f>(BG14/BG8)</f>
        <v>0.2412609085355249</v>
      </c>
      <c r="BH37" s="1542">
        <f>(BH14/BH8)</f>
        <v>0.2849657048702916</v>
      </c>
      <c r="BI37" s="1542">
        <f>(BI14/BI8)</f>
        <v>0.21159740267256194</v>
      </c>
      <c r="BJ37" s="1542"/>
      <c r="BK37" s="1542">
        <f>(BK14/BK8)</f>
        <v>0.25931465568374079</v>
      </c>
      <c r="BL37" s="1542">
        <f>(BL14/BL8)</f>
        <v>0.24210915999324692</v>
      </c>
      <c r="BM37" s="1542">
        <f>(BM14/BM8)</f>
        <v>0.27568302491004959</v>
      </c>
      <c r="BN37" s="1542">
        <f>(BN14/BN8)</f>
        <v>0.2156503934373814</v>
      </c>
      <c r="BO37" s="1542"/>
      <c r="BP37" s="1543">
        <f>(BP14/BP8)</f>
        <v>0.28263558462687066</v>
      </c>
      <c r="BQ37" s="1543">
        <f>(BQ14/BQ8)</f>
        <v>0.26526614146971783</v>
      </c>
      <c r="BR37" s="1543">
        <f>(BR14/BR8)</f>
        <v>0.31127764318314072</v>
      </c>
      <c r="BS37" s="1543">
        <f>(BS14/BS8)</f>
        <v>0.21665387569143238</v>
      </c>
      <c r="BT37" s="1543"/>
      <c r="BU37" s="1543">
        <f>(BU14/BU8)</f>
        <v>0.27788457977138886</v>
      </c>
      <c r="BV37" s="1543">
        <f>(BV14/BV8)</f>
        <v>0.25072765667721136</v>
      </c>
      <c r="BW37" s="1543">
        <f>(BW14/BW8)</f>
        <v>0.29740079508559536</v>
      </c>
      <c r="BX37" s="1543">
        <f>(BX14/BX8)</f>
        <v>0.20398187419104594</v>
      </c>
      <c r="BY37" s="1543"/>
      <c r="BZ37" s="1543">
        <f>(BZ14/BZ8)</f>
        <v>0.27014590817278139</v>
      </c>
      <c r="CA37" s="1543">
        <f>(CA14/CA8)</f>
        <v>0.24984684023651829</v>
      </c>
      <c r="CB37" s="1543">
        <f>(CB14/CB8)</f>
        <v>0.28562162898780469</v>
      </c>
      <c r="CC37" s="1543">
        <f>(CC14/CC8)</f>
        <v>0.21574980614129627</v>
      </c>
      <c r="CD37" s="1543"/>
      <c r="CE37" s="1543">
        <f>(CE14/CE8)</f>
        <v>0.27234578546692417</v>
      </c>
      <c r="CF37" s="1543">
        <f>(CF14/CF8)</f>
        <v>0.25709188760312407</v>
      </c>
      <c r="CG37" s="1543">
        <f>(CG14/CG8)</f>
        <v>0.27906067719089694</v>
      </c>
      <c r="CH37" s="1543">
        <f>(CH14/CH8)</f>
        <v>0.21033601749609049</v>
      </c>
      <c r="CI37" s="1543"/>
      <c r="CJ37" s="1543">
        <f>(CJ14/CJ8)</f>
        <v>0.26632489292470968</v>
      </c>
      <c r="CK37" s="1543">
        <f>(CK14/CK8)</f>
        <v>0.24385827948773314</v>
      </c>
      <c r="CL37" s="1543">
        <f>(CL14/CL8)</f>
        <v>0.2873738995939138</v>
      </c>
      <c r="CM37" s="1543">
        <f>(CM14/CM8)</f>
        <v>0.21304702568202172</v>
      </c>
      <c r="CN37" s="1543"/>
      <c r="CO37" s="1543">
        <f>(CO14/CO8)</f>
        <v>0.28469175131940061</v>
      </c>
      <c r="CP37" s="1543">
        <f>(CP14/CP8)</f>
        <v>0.26388047999651543</v>
      </c>
      <c r="CQ37" s="1543">
        <f>(CQ14/CQ8)</f>
        <v>0.28905517032726913</v>
      </c>
      <c r="CR37" s="1543">
        <f>(CR14/CR8)</f>
        <v>0.21846882710290058</v>
      </c>
      <c r="CS37" s="1543"/>
      <c r="CT37" s="1543">
        <f>(CT14/CT8)</f>
        <v>0.29399999999999998</v>
      </c>
      <c r="CU37" s="1543">
        <f>(CU14/CU8)</f>
        <v>0.27450000000000002</v>
      </c>
      <c r="CV37" s="1543">
        <f>(CV14/CV8)</f>
        <v>0.29849999999999999</v>
      </c>
      <c r="CW37" s="1543">
        <f>(CW14/CW8)</f>
        <v>0.23450000000000001</v>
      </c>
      <c r="CX37" s="1544"/>
      <c r="CY37" s="1545">
        <f t="shared" ref="CY37:DU37" si="17">(CY14/CY8)</f>
        <v>0.21382957667802499</v>
      </c>
      <c r="CZ37" s="1545">
        <f t="shared" si="17"/>
        <v>0.22278786169276307</v>
      </c>
      <c r="DA37" s="1545">
        <f t="shared" si="17"/>
        <v>0.23993103214919889</v>
      </c>
      <c r="DB37" s="1545">
        <f t="shared" si="17"/>
        <v>0.25434937451414819</v>
      </c>
      <c r="DC37" s="1545">
        <f t="shared" si="17"/>
        <v>0.26066443813833828</v>
      </c>
      <c r="DD37" s="1546">
        <f t="shared" si="17"/>
        <v>0.2741767732379447</v>
      </c>
      <c r="DE37" s="1546">
        <f t="shared" si="17"/>
        <v>0.26309958939703149</v>
      </c>
      <c r="DF37" s="1546">
        <f t="shared" si="17"/>
        <v>0.25731672086169705</v>
      </c>
      <c r="DG37" s="1546">
        <f t="shared" si="17"/>
        <v>0.25161431721226929</v>
      </c>
      <c r="DH37" s="1547">
        <f t="shared" si="17"/>
        <v>0.2571357076340493</v>
      </c>
      <c r="DI37" s="1545">
        <f t="shared" si="17"/>
        <v>0.26591075158948435</v>
      </c>
      <c r="DJ37" s="1545">
        <f t="shared" si="17"/>
        <v>0.25801735570227058</v>
      </c>
      <c r="DK37" s="1545">
        <f t="shared" si="17"/>
        <v>0.25312504112441875</v>
      </c>
      <c r="DL37" s="1545">
        <f t="shared" si="17"/>
        <v>0.25135349160056752</v>
      </c>
      <c r="DM37" s="1545">
        <f t="shared" si="17"/>
        <v>0.24411610690963059</v>
      </c>
      <c r="DN37" s="1545">
        <f t="shared" si="17"/>
        <v>0.24385570124579334</v>
      </c>
      <c r="DO37" s="1545">
        <f t="shared" si="17"/>
        <v>0.25994181659357241</v>
      </c>
      <c r="DP37" s="1545">
        <f t="shared" si="17"/>
        <v>0.24928278115039246</v>
      </c>
      <c r="DQ37" s="1545">
        <f t="shared" si="17"/>
        <v>0.24921564929815276</v>
      </c>
      <c r="DR37" s="1545">
        <f t="shared" si="17"/>
        <v>0.24782244808325571</v>
      </c>
      <c r="DS37" s="1545">
        <f t="shared" si="17"/>
        <v>0.24645729307017525</v>
      </c>
      <c r="DT37" s="1545">
        <f t="shared" si="17"/>
        <v>0.25577558931450667</v>
      </c>
      <c r="DU37" s="1545">
        <f t="shared" si="17"/>
        <v>0.26860972821823281</v>
      </c>
      <c r="DV37" s="1545">
        <f>(DV14/DV8)</f>
        <v>0.27</v>
      </c>
      <c r="DW37" s="1547">
        <f>(DW14/DW8)</f>
        <v>0.27</v>
      </c>
      <c r="DX37" s="1545"/>
    </row>
    <row r="38" spans="1:134">
      <c r="A38" s="1528" t="s">
        <v>705</v>
      </c>
      <c r="B38" s="1529"/>
      <c r="C38" s="1548">
        <f>(C17/C8)</f>
        <v>3.9654142594784794E-2</v>
      </c>
      <c r="D38" s="1548">
        <f>(D17/D8)</f>
        <v>5.9659340822549416E-2</v>
      </c>
      <c r="E38" s="1548">
        <f>(E17/E8)</f>
        <v>5.1395771072436716E-2</v>
      </c>
      <c r="F38" s="1548">
        <f>(F17/F8)</f>
        <v>0.19308515490065115</v>
      </c>
      <c r="G38" s="1541"/>
      <c r="H38" s="1542">
        <f>(H17/H8)</f>
        <v>6.6518757802192616E-2</v>
      </c>
      <c r="I38" s="1542">
        <f>(I17/I8)</f>
        <v>8.3776587083621915E-2</v>
      </c>
      <c r="J38" s="1542">
        <f>(J17/J8)</f>
        <v>5.9428679989463558E-2</v>
      </c>
      <c r="K38" s="1542">
        <f>(K17/K8)</f>
        <v>0.15284278550134062</v>
      </c>
      <c r="L38" s="1542"/>
      <c r="M38" s="1542">
        <f>(M17/M8)</f>
        <v>2.3197529512148443E-2</v>
      </c>
      <c r="N38" s="1542">
        <f>(N17/N8)</f>
        <v>4.4543780183840261E-2</v>
      </c>
      <c r="O38" s="1542">
        <f>(O17/O8)</f>
        <v>-1.0669937053096459E-2</v>
      </c>
      <c r="P38" s="1542">
        <f>(P17/P8)</f>
        <v>0.20727418107783002</v>
      </c>
      <c r="Q38" s="1542"/>
      <c r="R38" s="1542">
        <f>(R17/R8)</f>
        <v>7.1241730865560696E-2</v>
      </c>
      <c r="S38" s="1542">
        <f>(S17/S8)</f>
        <v>7.2511943008215729E-2</v>
      </c>
      <c r="T38" s="1542">
        <f>(T17/T8)</f>
        <v>9.8146319937314642E-3</v>
      </c>
      <c r="U38" s="1542">
        <f>(U17/U8)</f>
        <v>0.19810409155061115</v>
      </c>
      <c r="V38" s="1541"/>
      <c r="W38" s="1542">
        <f>(W17/W8)</f>
        <v>-23.923485749554082</v>
      </c>
      <c r="X38" s="1542">
        <f>(X17/X8)</f>
        <v>-10.535546745242007</v>
      </c>
      <c r="Y38" s="1542">
        <f>(Y17/Y8)</f>
        <v>-12.949721903418277</v>
      </c>
      <c r="Z38" s="1542">
        <f>(Z17/Z8)</f>
        <v>-6.1315064983846534</v>
      </c>
      <c r="AA38" s="1541"/>
      <c r="AB38" s="1542">
        <f>(AB17/AB8)</f>
        <v>6.0343655327587752E-2</v>
      </c>
      <c r="AC38" s="1542">
        <f>(AC17/AC8)</f>
        <v>0.10265049537911514</v>
      </c>
      <c r="AD38" s="1542">
        <f>(AD17/AD8)</f>
        <v>2.810633284942525E-2</v>
      </c>
      <c r="AE38" s="1542">
        <f>(AE17/AE8)</f>
        <v>0.18848210954019651</v>
      </c>
      <c r="AF38" s="1541"/>
      <c r="AG38" s="1542">
        <f>(AG17/AG8)</f>
        <v>6.8548182924779169E-2</v>
      </c>
      <c r="AH38" s="1542">
        <f>(AH17/AH8)</f>
        <v>6.6937855455124318E-2</v>
      </c>
      <c r="AI38" s="1542">
        <f>(AI17/AI8)</f>
        <v>1.0729819074399698E-2</v>
      </c>
      <c r="AJ38" s="1542">
        <f>(AJ17/AJ8)</f>
        <v>0.19584541832129351</v>
      </c>
      <c r="AK38" s="1541"/>
      <c r="AL38" s="1542">
        <f>(AL17/AL8)</f>
        <v>8.9522317510402738E-2</v>
      </c>
      <c r="AM38" s="1542">
        <f>(AM17/AM8)</f>
        <v>8.0192285435307334E-2</v>
      </c>
      <c r="AN38" s="1542">
        <f>(AN17/AN8)</f>
        <v>3.1461204357163423E-2</v>
      </c>
      <c r="AO38" s="1542">
        <f>(AO17/AO8)</f>
        <v>0.18058976788840514</v>
      </c>
      <c r="AP38" s="1542"/>
      <c r="AQ38" s="1542">
        <f>(AQ17/AQ8)</f>
        <v>4.696338089606255E-2</v>
      </c>
      <c r="AR38" s="1542">
        <f>(AR17/AR8)</f>
        <v>5.4239643120228623E-2</v>
      </c>
      <c r="AS38" s="1542">
        <f>(AS17/AS8)</f>
        <v>1.9023412150356894E-2</v>
      </c>
      <c r="AT38" s="1542">
        <f>(AT17/AT8)</f>
        <v>0.17767840106258811</v>
      </c>
      <c r="AU38" s="1542"/>
      <c r="AV38" s="1542">
        <f>(AV17/AV8)</f>
        <v>5.2173389067784674E-2</v>
      </c>
      <c r="AW38" s="1542">
        <f>(AW17/AW8)</f>
        <v>8.1056719873012106E-2</v>
      </c>
      <c r="AX38" s="1542">
        <f>(AX17/AX8)</f>
        <v>2.2330559813786215E-2</v>
      </c>
      <c r="AY38" s="1542">
        <f>(AY17/AY8)</f>
        <v>0.13063245586409286</v>
      </c>
      <c r="AZ38" s="1542"/>
      <c r="BA38" s="1542">
        <f>(BA17/BA8)</f>
        <v>3.7798864735685583E-2</v>
      </c>
      <c r="BB38" s="1542">
        <f>(BB17/BB8)</f>
        <v>7.1926004422701917E-2</v>
      </c>
      <c r="BC38" s="1542">
        <f>(BC17/BC8)</f>
        <v>3.3131921707724547E-2</v>
      </c>
      <c r="BD38" s="1542">
        <f>(BD17/BD8)</f>
        <v>0.1900339889114927</v>
      </c>
      <c r="BE38" s="1542"/>
      <c r="BF38" s="1542">
        <f>(BG17/BG8)</f>
        <v>0.10544300805793522</v>
      </c>
      <c r="BG38" s="1542">
        <f>(BG17/BG8)</f>
        <v>0.10544300805793522</v>
      </c>
      <c r="BH38" s="1542">
        <f>(BH17/BH8)</f>
        <v>7.5173996607797319E-2</v>
      </c>
      <c r="BI38" s="1542">
        <f>(BI17/BI8)</f>
        <v>0.20646148860196886</v>
      </c>
      <c r="BJ38" s="1542"/>
      <c r="BK38" s="1542">
        <f>(BK17/BK8)</f>
        <v>0.12035225710944025</v>
      </c>
      <c r="BL38" s="1542">
        <f>(BL17/BL8)</f>
        <v>0.12487556623212318</v>
      </c>
      <c r="BM38" s="1542">
        <f>(BM17/BM8)</f>
        <v>8.5626340053924263E-2</v>
      </c>
      <c r="BN38" s="1542">
        <f>(BN17/BN8)</f>
        <v>0.22373931352843152</v>
      </c>
      <c r="BO38" s="1542"/>
      <c r="BP38" s="1543">
        <f>(BP17/BP8)</f>
        <v>0.13614503589960747</v>
      </c>
      <c r="BQ38" s="1543">
        <f>(BQ17/BQ8)</f>
        <v>0.12874786378225159</v>
      </c>
      <c r="BR38" s="1543">
        <f>(BR17/BR8)</f>
        <v>9.6276489630955808E-2</v>
      </c>
      <c r="BS38" s="1543">
        <f>(BS17/BS8)</f>
        <v>0.23546088879424984</v>
      </c>
      <c r="BT38" s="1543"/>
      <c r="BU38" s="1543">
        <f>(BU17/BU8)</f>
        <v>0.1372076883325779</v>
      </c>
      <c r="BV38" s="1543">
        <f>(BV17/BV8)</f>
        <v>0.14221489829102532</v>
      </c>
      <c r="BW38" s="1543">
        <f>(BW17/BW8)</f>
        <v>9.7198315866660376E-2</v>
      </c>
      <c r="BX38" s="1543">
        <f>(BX17/BX8)</f>
        <v>0.22614335228989985</v>
      </c>
      <c r="BY38" s="1543"/>
      <c r="BZ38" s="1543">
        <f>(BZ17/BZ8)</f>
        <v>0.14055987922533597</v>
      </c>
      <c r="CA38" s="1543">
        <f>(CA17/CA8)</f>
        <v>0.14052272801180876</v>
      </c>
      <c r="CB38" s="1543">
        <f>(CB17/CB8)</f>
        <v>0.12252318066145697</v>
      </c>
      <c r="CC38" s="1543">
        <f>(CC17/CC8)</f>
        <v>0.23519957922522874</v>
      </c>
      <c r="CD38" s="1543"/>
      <c r="CE38" s="1543">
        <f>(CE17/CE8)</f>
        <v>0.14803026665854541</v>
      </c>
      <c r="CF38" s="1543">
        <f>(CF17/CF8)</f>
        <v>0.14571119943787822</v>
      </c>
      <c r="CG38" s="1543">
        <f>(CG17/CG8)</f>
        <v>0.13651169116387774</v>
      </c>
      <c r="CH38" s="1543">
        <f>(CH17/CH8)</f>
        <v>0.24527154366548276</v>
      </c>
      <c r="CI38" s="1543"/>
      <c r="CJ38" s="1543">
        <f>(CJ17/CJ8)</f>
        <v>0.13693891878346401</v>
      </c>
      <c r="CK38" s="1543">
        <f>(CK17/CK8)</f>
        <v>0.14126372439911639</v>
      </c>
      <c r="CL38" s="1543">
        <f>(CL17/CL8)</f>
        <v>0.10987303654930933</v>
      </c>
      <c r="CM38" s="1543">
        <f>(CM17/CM8)</f>
        <v>0.21997009455208988</v>
      </c>
      <c r="CN38" s="1543"/>
      <c r="CO38" s="1543">
        <f>(CO17/CO8)</f>
        <v>8.5856772129793202E-2</v>
      </c>
      <c r="CP38" s="1543">
        <f>(CP17/CP8)</f>
        <v>0.10921699298008729</v>
      </c>
      <c r="CQ38" s="1543">
        <f>(CQ17/CQ8)</f>
        <v>8.8495842284925047E-2</v>
      </c>
      <c r="CR38" s="1543">
        <f>(CR17/CR8)</f>
        <v>0.20456428438141458</v>
      </c>
      <c r="CS38" s="1543"/>
      <c r="CT38" s="1543">
        <f>(CT17/CT8)</f>
        <v>6.349999999999989E-2</v>
      </c>
      <c r="CU38" s="1543">
        <f>(CU17/CU8)</f>
        <v>9.8500000000000018E-2</v>
      </c>
      <c r="CV38" s="1543">
        <f>(CV17/CV8)</f>
        <v>8.2200000000000037E-2</v>
      </c>
      <c r="CW38" s="1543">
        <f>(CW17/CW8)</f>
        <v>0.19349999999999995</v>
      </c>
      <c r="CX38" s="1544"/>
      <c r="CY38" s="1545">
        <f t="shared" ref="CY38:DU38" si="18">(CY17/CY8)</f>
        <v>0.10847110126780389</v>
      </c>
      <c r="CZ38" s="1545">
        <f t="shared" si="18"/>
        <v>0.10907289402616446</v>
      </c>
      <c r="DA38" s="1545">
        <f t="shared" si="18"/>
        <v>0.10510943089867007</v>
      </c>
      <c r="DB38" s="1545">
        <f t="shared" si="18"/>
        <v>0.13717988892265687</v>
      </c>
      <c r="DC38" s="1545">
        <f t="shared" si="18"/>
        <v>9.9657008851657555E-2</v>
      </c>
      <c r="DD38" s="1546">
        <f t="shared" si="18"/>
        <v>8.6788245324810775E-2</v>
      </c>
      <c r="DE38" s="1546">
        <f t="shared" si="18"/>
        <v>0.10322909618321845</v>
      </c>
      <c r="DF38" s="1546">
        <f t="shared" si="18"/>
        <v>0.10779854380260956</v>
      </c>
      <c r="DG38" s="1546">
        <f t="shared" si="18"/>
        <v>0.10913838741742408</v>
      </c>
      <c r="DH38" s="1547">
        <f t="shared" si="18"/>
        <v>0.1016377206317208</v>
      </c>
      <c r="DI38" s="1545">
        <f t="shared" si="18"/>
        <v>0.11021733644006287</v>
      </c>
      <c r="DJ38" s="1545">
        <f t="shared" si="18"/>
        <v>8.5367200562184525E-2</v>
      </c>
      <c r="DK38" s="1545">
        <f t="shared" si="18"/>
        <v>7.9342509151876531E-2</v>
      </c>
      <c r="DL38" s="1545">
        <f t="shared" si="18"/>
        <v>9.9030661843955065E-2</v>
      </c>
      <c r="DM38" s="1545">
        <f t="shared" si="18"/>
        <v>0.13356869529831561</v>
      </c>
      <c r="DN38" s="1545">
        <f t="shared" si="18"/>
        <v>0.14921124068144354</v>
      </c>
      <c r="DO38" s="1545">
        <f t="shared" si="18"/>
        <v>0.16324532071628375</v>
      </c>
      <c r="DP38" s="1545">
        <f t="shared" si="18"/>
        <v>0.16183540821766118</v>
      </c>
      <c r="DQ38" s="1545">
        <f t="shared" si="18"/>
        <v>0.17051613139794985</v>
      </c>
      <c r="DR38" s="1545">
        <f t="shared" si="18"/>
        <v>0.18031475953254394</v>
      </c>
      <c r="DS38" s="1545">
        <f t="shared" si="18"/>
        <v>0.16203109524292003</v>
      </c>
      <c r="DT38" s="1545">
        <f t="shared" si="18"/>
        <v>0.13681280944473789</v>
      </c>
      <c r="DU38" s="1545">
        <f t="shared" si="18"/>
        <v>0.12330582560633295</v>
      </c>
      <c r="DV38" s="1545">
        <f>(DV17/DV8)</f>
        <v>0.12461764569604551</v>
      </c>
      <c r="DW38" s="1547">
        <f>(DW17/DW8)</f>
        <v>0.12555867674082033</v>
      </c>
      <c r="DX38" s="1545"/>
    </row>
    <row r="39" spans="1:134">
      <c r="A39" s="1528" t="s">
        <v>296</v>
      </c>
      <c r="B39" s="1529"/>
      <c r="C39" s="1548"/>
      <c r="D39" s="1541"/>
      <c r="E39" s="1541"/>
      <c r="F39" s="1541"/>
      <c r="G39" s="1541"/>
      <c r="H39" s="1542"/>
      <c r="I39" s="1542"/>
      <c r="J39" s="1542"/>
      <c r="K39" s="1542"/>
      <c r="L39" s="1542"/>
      <c r="M39" s="1542"/>
      <c r="N39" s="1542"/>
      <c r="O39" s="1542"/>
      <c r="P39" s="1542"/>
      <c r="Q39" s="1542"/>
      <c r="R39" s="1542"/>
      <c r="S39" s="1542"/>
      <c r="T39" s="1542"/>
      <c r="U39" s="1542"/>
      <c r="V39" s="1541"/>
      <c r="W39" s="1542"/>
      <c r="X39" s="1542"/>
      <c r="Y39" s="1542"/>
      <c r="Z39" s="1542"/>
      <c r="AA39" s="1541"/>
      <c r="AB39" s="1542"/>
      <c r="AC39" s="1542"/>
      <c r="AD39" s="1542"/>
      <c r="AE39" s="1542"/>
      <c r="AF39" s="1541"/>
      <c r="AG39" s="1542"/>
      <c r="AH39" s="1542"/>
      <c r="AI39" s="1542"/>
      <c r="AJ39" s="1542"/>
      <c r="AK39" s="1541"/>
      <c r="AL39" s="1542"/>
      <c r="AM39" s="1542"/>
      <c r="AN39" s="1542"/>
      <c r="AO39" s="1542"/>
      <c r="AP39" s="1542"/>
      <c r="AQ39" s="1542"/>
      <c r="AR39" s="1542"/>
      <c r="AS39" s="1542"/>
      <c r="AT39" s="1542"/>
      <c r="AU39" s="1542"/>
      <c r="AV39" s="1542"/>
      <c r="AW39" s="1542"/>
      <c r="AX39" s="1542"/>
      <c r="AY39" s="1542"/>
      <c r="AZ39" s="1542"/>
      <c r="BA39" s="1542"/>
      <c r="BB39" s="1542"/>
      <c r="BC39" s="1542"/>
      <c r="BD39" s="1542"/>
      <c r="BE39" s="1542"/>
      <c r="BF39" s="1542"/>
      <c r="BG39" s="1542"/>
      <c r="BH39" s="1542"/>
      <c r="BI39" s="1542"/>
      <c r="BJ39" s="1542"/>
      <c r="BK39" s="1542">
        <f>(BK19+BK20)/BK8</f>
        <v>-2.4630393001046004E-2</v>
      </c>
      <c r="BL39" s="1542">
        <f>(BL19+BL20)/BL8</f>
        <v>-2.6265441076263104E-2</v>
      </c>
      <c r="BM39" s="1542">
        <f>(BM19+BM20)/BM8</f>
        <v>-2.955158229886538E-2</v>
      </c>
      <c r="BN39" s="1542">
        <f>(BN19+BN20)/BN8</f>
        <v>-1.7408416504856028E-2</v>
      </c>
      <c r="BO39" s="1542"/>
      <c r="BP39" s="1542">
        <f>(BP19+BP20)/BP8</f>
        <v>-3.7190823220898658E-2</v>
      </c>
      <c r="BQ39" s="1542">
        <f>(BQ19+BQ20)/BQ8</f>
        <v>-3.1586428243924804E-2</v>
      </c>
      <c r="BR39" s="1542">
        <f>(BR19+BR20)/BR8</f>
        <v>-3.5263578138405777E-2</v>
      </c>
      <c r="BS39" s="1542">
        <f>(BS19+BS20)/BS8</f>
        <v>-2.0061038758600193E-2</v>
      </c>
      <c r="BT39" s="1542"/>
      <c r="BU39" s="1542">
        <f>(BU19+BU20)/BU8</f>
        <v>-3.3679665743074377E-2</v>
      </c>
      <c r="BV39" s="1542">
        <f>(BV19+BV20)/BV8</f>
        <v>-2.9790699587790393E-2</v>
      </c>
      <c r="BW39" s="1542">
        <f>(BW19+BW20)/BW8</f>
        <v>-3.2058595533021018E-2</v>
      </c>
      <c r="BX39" s="1542">
        <f>(BX19+BX20)/BX8</f>
        <v>-2.0080131957397749E-2</v>
      </c>
      <c r="BY39" s="1542"/>
      <c r="BZ39" s="1542">
        <f>(BZ19+BZ20)/BZ8</f>
        <v>-3.3735357953856383E-2</v>
      </c>
      <c r="CA39" s="1542">
        <f>(CA19+CA20)/CA8</f>
        <v>-2.9779341541973994E-2</v>
      </c>
      <c r="CB39" s="1542">
        <f>(CB19+CB20)/CB8</f>
        <v>-3.4345889408159469E-2</v>
      </c>
      <c r="CC39" s="1542">
        <f>(CC19+CC20)/CC8</f>
        <v>-1.9025065838225372E-2</v>
      </c>
      <c r="CD39" s="1542"/>
      <c r="CE39" s="1542">
        <f>(CE19+CE20)/CE8</f>
        <v>-3.197171587367368E-2</v>
      </c>
      <c r="CF39" s="1542">
        <f>(CF19+CF20)/CF8</f>
        <v>-2.8821399395422529E-2</v>
      </c>
      <c r="CG39" s="1542">
        <f>(CG19+CG20)/CG8</f>
        <v>-3.1956318064132655E-2</v>
      </c>
      <c r="CH39" s="1542">
        <f>(CH19+CH20)/CH8</f>
        <v>-2.1814823486207974E-2</v>
      </c>
      <c r="CI39" s="1542"/>
      <c r="CJ39" s="1542">
        <f>(CJ19+CJ20)/CJ8</f>
        <v>-3.4589288071267474E-2</v>
      </c>
      <c r="CK39" s="1542">
        <f>(CK19+CK20)/CK8</f>
        <v>-3.482696045047589E-2</v>
      </c>
      <c r="CL39" s="1542">
        <f>(CL19+CL20)/CL8</f>
        <v>-3.6187818653309459E-2</v>
      </c>
      <c r="CM39" s="1542">
        <f>(CM19+CM20)/CM8</f>
        <v>-2.1144750965757082E-2</v>
      </c>
      <c r="CN39" s="1542"/>
      <c r="CO39" s="1542">
        <f>(CO19+CO20)/CO8</f>
        <v>-3.7243645965993347E-2</v>
      </c>
      <c r="CP39" s="1542">
        <f>(CP19+CP20)/CP8</f>
        <v>-3.0421194764466319E-2</v>
      </c>
      <c r="CQ39" s="1542">
        <f>(CQ19+CQ20)/CQ8</f>
        <v>-3.7054623299706928E-2</v>
      </c>
      <c r="CR39" s="1542">
        <f>(CR19+CR20)/CR8</f>
        <v>-2.0624494619642969E-2</v>
      </c>
      <c r="CS39" s="1542"/>
      <c r="CT39" s="1542">
        <f>(CT19+CT20)/CT8</f>
        <v>-3.6479196834763861E-2</v>
      </c>
      <c r="CU39" s="1542">
        <f>(CU19+CU20)/CU8</f>
        <v>-3.1672721880316723E-2</v>
      </c>
      <c r="CV39" s="1542">
        <f>(CV19+CV20)/CV8</f>
        <v>-3.3214361826476066E-2</v>
      </c>
      <c r="CW39" s="1542">
        <f>(CW19+CW20)/CW8</f>
        <v>-1.8901440061938349E-2</v>
      </c>
      <c r="CX39" s="1544"/>
      <c r="CY39" s="1545">
        <f t="shared" ref="CY39:DU39" si="19">(CY19+CY20)/CY8</f>
        <v>-8.7177353391192456E-3</v>
      </c>
      <c r="CZ39" s="1545">
        <f t="shared" si="19"/>
        <v>-8.2144349020257003E-3</v>
      </c>
      <c r="DA39" s="1545">
        <f t="shared" si="19"/>
        <v>-7.7550355731475775E-3</v>
      </c>
      <c r="DB39" s="1545">
        <f t="shared" si="19"/>
        <v>-1.0274339307112948E-2</v>
      </c>
      <c r="DC39" s="1545">
        <f t="shared" si="19"/>
        <v>-3.7259933497534223E-3</v>
      </c>
      <c r="DD39" s="1545">
        <f t="shared" si="19"/>
        <v>-5.218587151729939E-4</v>
      </c>
      <c r="DE39" s="1545">
        <f t="shared" si="19"/>
        <v>6.4490504880365706E-4</v>
      </c>
      <c r="DF39" s="1545">
        <f t="shared" si="19"/>
        <v>-5.9480029921342784E-4</v>
      </c>
      <c r="DG39" s="1545">
        <f t="shared" si="19"/>
        <v>-1.9701727578762263E-3</v>
      </c>
      <c r="DH39" s="1545">
        <f t="shared" si="19"/>
        <v>-2.9241255358302041E-3</v>
      </c>
      <c r="DI39" s="1545">
        <f t="shared" si="19"/>
        <v>-7.4068944020855825E-3</v>
      </c>
      <c r="DJ39" s="1545">
        <f t="shared" si="19"/>
        <v>-1.0329188861639789E-2</v>
      </c>
      <c r="DK39" s="1545">
        <f t="shared" si="19"/>
        <v>-1.6452310990512656E-2</v>
      </c>
      <c r="DL39" s="1545">
        <f t="shared" si="19"/>
        <v>-2.519852909149714E-2</v>
      </c>
      <c r="DM39" s="1545">
        <f t="shared" si="19"/>
        <v>-1.8824796286968922E-2</v>
      </c>
      <c r="DN39" s="1545">
        <f t="shared" si="19"/>
        <v>-2.3600544886249498E-2</v>
      </c>
      <c r="DO39" s="1545">
        <f t="shared" si="19"/>
        <v>-2.9212560089005728E-2</v>
      </c>
      <c r="DP39" s="1545">
        <f t="shared" si="19"/>
        <v>-2.7624818635780927E-2</v>
      </c>
      <c r="DQ39" s="1545">
        <f t="shared" si="19"/>
        <v>-2.7709650551856722E-2</v>
      </c>
      <c r="DR39" s="1545">
        <f t="shared" si="19"/>
        <v>-2.7578895991751045E-2</v>
      </c>
      <c r="DS39" s="1545">
        <f t="shared" si="19"/>
        <v>-3.017144231391692E-2</v>
      </c>
      <c r="DT39" s="1545">
        <f t="shared" si="19"/>
        <v>-2.9371601570069874E-2</v>
      </c>
      <c r="DU39" s="1545">
        <f t="shared" si="19"/>
        <v>-2.8221143302860976E-2</v>
      </c>
      <c r="DV39" s="1545">
        <f>(DV19+DV20)/DV8</f>
        <v>-2.6753094778985756E-2</v>
      </c>
      <c r="DW39" s="1547">
        <f>(DW19+DW20)/DW8</f>
        <v>-2.4251921869155969E-2</v>
      </c>
      <c r="DX39" s="1545"/>
    </row>
    <row r="40" spans="1:134">
      <c r="A40" s="1528" t="s">
        <v>1217</v>
      </c>
      <c r="B40" s="1529"/>
      <c r="C40" s="1548">
        <f>(C21/C8)</f>
        <v>5.0357006487376225E-2</v>
      </c>
      <c r="D40" s="1548">
        <f>(D21/D8)</f>
        <v>7.1174781761287192E-2</v>
      </c>
      <c r="E40" s="1548">
        <f>(E21/E8)</f>
        <v>6.4295270373176686E-2</v>
      </c>
      <c r="F40" s="1548">
        <f>(F21/F8)</f>
        <v>0.20078531643632877</v>
      </c>
      <c r="G40" s="1541"/>
      <c r="H40" s="1542">
        <f>(H21/H8)</f>
        <v>7.4806387296403459E-2</v>
      </c>
      <c r="I40" s="1542">
        <f>(I21/I8)</f>
        <v>9.0653895169221621E-2</v>
      </c>
      <c r="J40" s="1542">
        <f>(J21/J8)</f>
        <v>6.8068761669879602E-2</v>
      </c>
      <c r="K40" s="1542">
        <f>(K21/K8)</f>
        <v>0.15861256446148436</v>
      </c>
      <c r="L40" s="1542"/>
      <c r="M40" s="1542">
        <f>(M21/M8)</f>
        <v>2.2893652766963233E-2</v>
      </c>
      <c r="N40" s="1542">
        <f>(N21/N8)</f>
        <v>4.4888940442880207E-2</v>
      </c>
      <c r="O40" s="1542">
        <f>(O21/O8)</f>
        <v>-1.3181786679603463E-2</v>
      </c>
      <c r="P40" s="1542">
        <f>(P21/P8)</f>
        <v>0.20724811505682572</v>
      </c>
      <c r="Q40" s="1542"/>
      <c r="R40" s="1542">
        <f>(R21/R8)</f>
        <v>7.1092178993021143E-2</v>
      </c>
      <c r="S40" s="1542">
        <f>(S21/S8)</f>
        <v>7.2492595753225184E-2</v>
      </c>
      <c r="T40" s="1542">
        <f>(T21/T8)</f>
        <v>9.8355647458509051E-3</v>
      </c>
      <c r="U40" s="1542">
        <f>(U21/U8)</f>
        <v>0.20003095113025571</v>
      </c>
      <c r="V40" s="1541"/>
      <c r="W40" s="1542">
        <f>(W21/W8)</f>
        <v>-24.510476448249616</v>
      </c>
      <c r="X40" s="1542">
        <f>(X21/X8)</f>
        <v>-10.558030988771595</v>
      </c>
      <c r="Y40" s="1542">
        <f>(Y21/Y8)</f>
        <v>-12.585438253844693</v>
      </c>
      <c r="Z40" s="1542">
        <f>(Z21/Z8)</f>
        <v>-6.1552227736671652</v>
      </c>
      <c r="AA40" s="1541"/>
      <c r="AB40" s="1542">
        <f>(AB21/AB8)</f>
        <v>5.6505828774903323E-2</v>
      </c>
      <c r="AC40" s="1542">
        <f>(AC21/AC8)</f>
        <v>0.10147084898355004</v>
      </c>
      <c r="AD40" s="1542">
        <f>(AD21/AD8)</f>
        <v>2.8916548333954732E-2</v>
      </c>
      <c r="AE40" s="1542">
        <f>(AE21/AE8)</f>
        <v>0.18551734125059863</v>
      </c>
      <c r="AF40" s="1541"/>
      <c r="AG40" s="1542">
        <f>(AG21/AG8)</f>
        <v>6.0895767550477681E-2</v>
      </c>
      <c r="AH40" s="1542">
        <f>(AH21/AH8)</f>
        <v>5.8715326415239993E-2</v>
      </c>
      <c r="AI40" s="1542" t="s">
        <v>886</v>
      </c>
      <c r="AJ40" s="1542">
        <f>(AJ21/AJ8)</f>
        <v>0.20362950589340814</v>
      </c>
      <c r="AK40" s="1541"/>
      <c r="AL40" s="1542">
        <f>(AL21/AL8)</f>
        <v>8.1693098665393052E-2</v>
      </c>
      <c r="AM40" s="1542">
        <f>(AM21/AM8)</f>
        <v>7.3386251493570004E-2</v>
      </c>
      <c r="AN40" s="1542">
        <f>(AN21/AN8)</f>
        <v>1.9625958767897654E-2</v>
      </c>
      <c r="AO40" s="1542">
        <f>(AO21/AO8)</f>
        <v>0.1753615547188338</v>
      </c>
      <c r="AP40" s="1542"/>
      <c r="AQ40" s="1542">
        <f>(AQ21/AQ8)</f>
        <v>3.9781153457850604E-2</v>
      </c>
      <c r="AR40" s="1542">
        <f>(AR21/AR8)</f>
        <v>4.7094273529321037E-2</v>
      </c>
      <c r="AS40" s="1542">
        <f>(AS21/AS8)</f>
        <v>-7.097900061567411E-4</v>
      </c>
      <c r="AT40" s="1542">
        <f>(AT21/AT8)</f>
        <v>0.16811064744029755</v>
      </c>
      <c r="AU40" s="1542"/>
      <c r="AV40" s="1542">
        <f>(AV21/AV8)</f>
        <v>3.4571012856082418E-2</v>
      </c>
      <c r="AW40" s="1542">
        <f>(AW21/AW8)</f>
        <v>6.6202369726753765E-2</v>
      </c>
      <c r="AX40" s="1542">
        <f>(AX21/AX8)</f>
        <v>1.6865850533931167E-3</v>
      </c>
      <c r="AY40" s="1542">
        <f>(AY21/AY8)</f>
        <v>0.11628155776700357</v>
      </c>
      <c r="AZ40" s="1542"/>
      <c r="BA40" s="1542">
        <f>(BA21/BA8)</f>
        <v>1.873945434743162E-3</v>
      </c>
      <c r="BB40" s="1542">
        <f>(BB21/BB8)</f>
        <v>4.3427158486603674E-2</v>
      </c>
      <c r="BC40" s="1542">
        <f>(BC21/BC8)</f>
        <v>6.3956959166461104E-3</v>
      </c>
      <c r="BD40" s="1542">
        <f>(BD21/BD8)</f>
        <v>0.17399502244599999</v>
      </c>
      <c r="BE40" s="1542"/>
      <c r="BF40" s="1542">
        <f>(BG21/BG8)</f>
        <v>8.8029930747243176E-2</v>
      </c>
      <c r="BG40" s="1542">
        <f>(BG21/BG8)</f>
        <v>8.8029930747243176E-2</v>
      </c>
      <c r="BH40" s="1542">
        <f>(BH21/BH8)</f>
        <v>5.1176985457090346E-2</v>
      </c>
      <c r="BI40" s="1542">
        <f>(BI21/BI8)</f>
        <v>0.19272250612003963</v>
      </c>
      <c r="BJ40" s="1542"/>
      <c r="BK40" s="1542">
        <f>(BK21/BK8)</f>
        <v>9.5721864108394242E-2</v>
      </c>
      <c r="BL40" s="1542">
        <f>(BL21/BL8)</f>
        <v>9.8610125155860082E-2</v>
      </c>
      <c r="BM40" s="1542">
        <f>(BM21/BM8)</f>
        <v>5.6074757755058886E-2</v>
      </c>
      <c r="BN40" s="1542">
        <f>(BN21/BN8)</f>
        <v>0.20633089702357549</v>
      </c>
      <c r="BO40" s="1542"/>
      <c r="BP40" s="1543">
        <f>(BP21/BP8)</f>
        <v>9.8954212678708825E-2</v>
      </c>
      <c r="BQ40" s="1543">
        <f>(BQ21/BQ8)</f>
        <v>9.716143553832679E-2</v>
      </c>
      <c r="BR40" s="1543">
        <f>(BR21/BR8)</f>
        <v>6.1012911492550032E-2</v>
      </c>
      <c r="BS40" s="1543">
        <f>(BS21/BS8)</f>
        <v>0.21539985003564965</v>
      </c>
      <c r="BT40" s="1543"/>
      <c r="BU40" s="1543">
        <f>(BU21/BU8)</f>
        <v>0.10352802258950351</v>
      </c>
      <c r="BV40" s="1543">
        <f>(BV21/BV8)</f>
        <v>0.11242419870323493</v>
      </c>
      <c r="BW40" s="1543">
        <f>(BW21/BW8)</f>
        <v>6.513972033363935E-2</v>
      </c>
      <c r="BX40" s="1543">
        <f>(BX21/BX8)</f>
        <v>0.20606322033250207</v>
      </c>
      <c r="BY40" s="1543"/>
      <c r="BZ40" s="1543">
        <f>(BZ21/BZ8)</f>
        <v>0.10682452127147958</v>
      </c>
      <c r="CA40" s="1543">
        <f>(CA21/CA8)</f>
        <v>0.11074338646983477</v>
      </c>
      <c r="CB40" s="1543">
        <f>(CB21/CB8)</f>
        <v>8.8177291253297499E-2</v>
      </c>
      <c r="CC40" s="1543">
        <f>(CC21/CC8)</f>
        <v>0.21617451338700336</v>
      </c>
      <c r="CD40" s="1543"/>
      <c r="CE40" s="1543">
        <f>(CE21/CE8)</f>
        <v>0.11605855078487172</v>
      </c>
      <c r="CF40" s="1543">
        <f>(CF21/CF8)</f>
        <v>0.11688980004245569</v>
      </c>
      <c r="CG40" s="1543">
        <f>(CG21/CG8)</f>
        <v>0.10455537309974511</v>
      </c>
      <c r="CH40" s="1543">
        <f>(CH21/CH8)</f>
        <v>0.22345672017927479</v>
      </c>
      <c r="CI40" s="1543"/>
      <c r="CJ40" s="1543">
        <f>(CJ21/CJ8)</f>
        <v>0.10234963071219655</v>
      </c>
      <c r="CK40" s="1543">
        <f>(CK21/CK8)</f>
        <v>0.1064367639486405</v>
      </c>
      <c r="CL40" s="1543">
        <f>(CL21/CL8)</f>
        <v>7.3685217895999855E-2</v>
      </c>
      <c r="CM40" s="1543">
        <f>(CM21/CM8)</f>
        <v>0.1988253435863328</v>
      </c>
      <c r="CN40" s="1543"/>
      <c r="CO40" s="1543">
        <f>(CO21/CO8)</f>
        <v>4.8613126163799855E-2</v>
      </c>
      <c r="CP40" s="1543">
        <f>(CP21/CP8)</f>
        <v>7.8795798215620966E-2</v>
      </c>
      <c r="CQ40" s="1543">
        <f>(CQ21/CQ8)</f>
        <v>5.1441218985218133E-2</v>
      </c>
      <c r="CR40" s="1543">
        <f>(CR21/CR8)</f>
        <v>0.18393978976177161</v>
      </c>
      <c r="CS40" s="1543"/>
      <c r="CT40" s="1543">
        <f>(CT21/CT8)</f>
        <v>2.7020803165236029E-2</v>
      </c>
      <c r="CU40" s="1543">
        <f>(CU21/CU8)</f>
        <v>6.6827278119683295E-2</v>
      </c>
      <c r="CV40" s="1543">
        <f>(CV21/CV8)</f>
        <v>4.8985638173523971E-2</v>
      </c>
      <c r="CW40" s="1543">
        <f>(CW21/CW8)</f>
        <v>0.17459855993806161</v>
      </c>
      <c r="CX40" s="1544"/>
      <c r="CY40" s="1545">
        <f t="shared" ref="CY40:DU40" si="20">(CY21/CY8)</f>
        <v>9.975336592868464E-2</v>
      </c>
      <c r="CZ40" s="1545">
        <f t="shared" si="20"/>
        <v>0.10085845912413875</v>
      </c>
      <c r="DA40" s="1545">
        <f t="shared" si="20"/>
        <v>9.7354395325522494E-2</v>
      </c>
      <c r="DB40" s="1545">
        <f t="shared" si="20"/>
        <v>0.1269055496155439</v>
      </c>
      <c r="DC40" s="1545">
        <f t="shared" si="20"/>
        <v>9.5931015501904138E-2</v>
      </c>
      <c r="DD40" s="1546">
        <f t="shared" si="20"/>
        <v>8.6266386609637771E-2</v>
      </c>
      <c r="DE40" s="1546">
        <f t="shared" si="20"/>
        <v>0.1038740012320221</v>
      </c>
      <c r="DF40" s="1546">
        <f t="shared" si="20"/>
        <v>0.10720374350339613</v>
      </c>
      <c r="DG40" s="1546">
        <f t="shared" si="20"/>
        <v>0.10716821465954786</v>
      </c>
      <c r="DH40" s="1547">
        <f t="shared" si="20"/>
        <v>9.8713595095890602E-2</v>
      </c>
      <c r="DI40" s="1545">
        <f t="shared" si="20"/>
        <v>0.10281044203797728</v>
      </c>
      <c r="DJ40" s="1545">
        <f t="shared" si="20"/>
        <v>7.5038011700544749E-2</v>
      </c>
      <c r="DK40" s="1545">
        <f t="shared" si="20"/>
        <v>6.2890198161363875E-2</v>
      </c>
      <c r="DL40" s="1545">
        <f t="shared" si="20"/>
        <v>7.383213275245791E-2</v>
      </c>
      <c r="DM40" s="1545">
        <f t="shared" si="20"/>
        <v>0.1147438990113467</v>
      </c>
      <c r="DN40" s="1545">
        <f t="shared" si="20"/>
        <v>0.12561069579519402</v>
      </c>
      <c r="DO40" s="1545">
        <f t="shared" si="20"/>
        <v>0.13403276062727804</v>
      </c>
      <c r="DP40" s="1545">
        <f t="shared" si="20"/>
        <v>0.13421058958188026</v>
      </c>
      <c r="DQ40" s="1545">
        <f t="shared" si="20"/>
        <v>0.14280648084609313</v>
      </c>
      <c r="DR40" s="1545">
        <f t="shared" si="20"/>
        <v>0.15273586354079288</v>
      </c>
      <c r="DS40" s="1545">
        <f t="shared" si="20"/>
        <v>0.13185965292900312</v>
      </c>
      <c r="DT40" s="1545">
        <f t="shared" si="20"/>
        <v>0.10744120787466803</v>
      </c>
      <c r="DU40" s="1545">
        <f t="shared" si="20"/>
        <v>9.5084682303471973E-2</v>
      </c>
      <c r="DV40" s="1545">
        <f>(DV21/DV8)</f>
        <v>9.7864550917059756E-2</v>
      </c>
      <c r="DW40" s="1547">
        <f>(DW21/DW8)</f>
        <v>0.10130675487166435</v>
      </c>
      <c r="DX40" s="1545"/>
    </row>
    <row r="41" spans="1:134">
      <c r="A41" s="1528" t="s">
        <v>647</v>
      </c>
      <c r="B41" s="1529"/>
      <c r="C41" s="1548">
        <f>(C23/C21)</f>
        <v>0.31646771396382101</v>
      </c>
      <c r="D41" s="1548">
        <f>(D23/D21)</f>
        <v>0.31300411720800342</v>
      </c>
      <c r="E41" s="1548">
        <f>(E23/E21)</f>
        <v>0.28504029880086518</v>
      </c>
      <c r="F41" s="1548">
        <f>(F23/F21)</f>
        <v>0.37002029616277959</v>
      </c>
      <c r="G41" s="1541"/>
      <c r="H41" s="1542">
        <f>(H23/H21)</f>
        <v>0.34799114204365705</v>
      </c>
      <c r="I41" s="1542">
        <f>(I23/I21)</f>
        <v>0.36521697480601589</v>
      </c>
      <c r="J41" s="1542">
        <f>(J23/J21)</f>
        <v>0.31677268563307476</v>
      </c>
      <c r="K41" s="1542">
        <f>(K23/K21)</f>
        <v>0.36726435862386714</v>
      </c>
      <c r="L41" s="1542"/>
      <c r="M41" s="1542">
        <f>(M23/M21)</f>
        <v>0.39425958050780652</v>
      </c>
      <c r="N41" s="1542">
        <f>(N23/N21)</f>
        <v>0.4033681238340141</v>
      </c>
      <c r="O41" s="1542">
        <f>(O23/O21)</f>
        <v>0.41146619119462702</v>
      </c>
      <c r="P41" s="1542">
        <f>(P23/P21)</f>
        <v>0.39771162847615255</v>
      </c>
      <c r="Q41" s="1542"/>
      <c r="R41" s="1542">
        <f>(R23/R21)</f>
        <v>0.39883009837809069</v>
      </c>
      <c r="S41" s="1542">
        <f>(S23/S21)</f>
        <v>0.39672235205862871</v>
      </c>
      <c r="T41" s="1542">
        <f>(T23/T21)</f>
        <v>0.40264595916019663</v>
      </c>
      <c r="U41" s="1542">
        <f>(U23/U21)</f>
        <v>0.39778521284037183</v>
      </c>
      <c r="V41" s="1541"/>
      <c r="W41" s="1542">
        <f>(W23/W21)</f>
        <v>-0.67061719111440699</v>
      </c>
      <c r="X41" s="1542">
        <f>(X23/X21)</f>
        <v>-0.69994166151497317</v>
      </c>
      <c r="Y41" s="1542">
        <f>(Y23/Y21)</f>
        <v>-0.68654036442517985</v>
      </c>
      <c r="Z41" s="1542">
        <f>(Z23/Z21)</f>
        <v>-0.70781524465602075</v>
      </c>
      <c r="AA41" s="1541"/>
      <c r="AB41" s="1542">
        <f>(AB23/AB21)</f>
        <v>0.39363034532116631</v>
      </c>
      <c r="AC41" s="1542">
        <f>(AC23/AC21)</f>
        <v>0.38781286914658902</v>
      </c>
      <c r="AD41" s="1542">
        <f>(AD23/AD21)</f>
        <v>9.1446129085355848E-2</v>
      </c>
      <c r="AE41" s="1542">
        <f>(AE23/AE21)</f>
        <v>0.3805791280689253</v>
      </c>
      <c r="AF41" s="1541"/>
      <c r="AG41" s="1542">
        <f>(AG23/AG21)</f>
        <v>0.30765393090259013</v>
      </c>
      <c r="AH41" s="1542">
        <f>(AH23/AH21)</f>
        <v>0.39401981994037749</v>
      </c>
      <c r="AI41" s="1542" t="s">
        <v>886</v>
      </c>
      <c r="AJ41" s="1542">
        <f>(AJ23/AJ21)</f>
        <v>0.28010000402123764</v>
      </c>
      <c r="AK41" s="1541"/>
      <c r="AL41" s="1542">
        <f>(AL23/AL21)</f>
        <v>0.41842483675538078</v>
      </c>
      <c r="AM41" s="1542">
        <f>(AM23/AM21)</f>
        <v>0.37205892969196908</v>
      </c>
      <c r="AN41" s="1542">
        <f>(AN23/AN21)</f>
        <v>0.43365134431916513</v>
      </c>
      <c r="AO41" s="1542">
        <f>(AO23/AO21)</f>
        <v>0.37688905009790619</v>
      </c>
      <c r="AP41" s="1542"/>
      <c r="AQ41" s="1542">
        <f>(AQ23/AQ21)</f>
        <v>0.42750848490122767</v>
      </c>
      <c r="AR41" s="1542">
        <f>(AR23/AR21)</f>
        <v>0.35038315571415801</v>
      </c>
      <c r="AS41" s="1542">
        <f>(AS23/AS21)</f>
        <v>-0.95238095238091558</v>
      </c>
      <c r="AT41" s="1542">
        <f>(AT23/AT21)</f>
        <v>0.38878314560573707</v>
      </c>
      <c r="AU41" s="1542"/>
      <c r="AV41" s="1542">
        <f>(AV23/AV21)</f>
        <v>0.45305926193052054</v>
      </c>
      <c r="AW41" s="1542">
        <f>(AW23/AW21)</f>
        <v>0.3793304105748318</v>
      </c>
      <c r="AX41" s="1542">
        <f>(AX23/AX21)</f>
        <v>-0.31606050852913337</v>
      </c>
      <c r="AY41" s="1542">
        <f>(AY23/AY21)</f>
        <v>0.37053851240619895</v>
      </c>
      <c r="AZ41" s="1542"/>
      <c r="BA41" s="1542">
        <f>(BA23/BA21)</f>
        <v>0.195484070522735</v>
      </c>
      <c r="BB41" s="1542">
        <f>(BB23/BB21)</f>
        <v>0.32852351610638786</v>
      </c>
      <c r="BC41" s="1542">
        <f>(BC23/BC21)</f>
        <v>0.46344681974135465</v>
      </c>
      <c r="BD41" s="1542">
        <f>(BD23/BD21)</f>
        <v>0.38199801879146361</v>
      </c>
      <c r="BE41" s="1542"/>
      <c r="BF41" s="1542">
        <f>(BG23/BG21)</f>
        <v>0.38906731236829245</v>
      </c>
      <c r="BG41" s="1542">
        <f>(BG23/BG21)</f>
        <v>0.38906731236829245</v>
      </c>
      <c r="BH41" s="1542">
        <f>(BH23/BH21)</f>
        <v>0.39581096125237603</v>
      </c>
      <c r="BI41" s="1542">
        <f>(BI23/BI21)</f>
        <v>0.36987066493299015</v>
      </c>
      <c r="BJ41" s="1542"/>
      <c r="BK41" s="1542">
        <f>(BK23/BK21)</f>
        <v>0.38821583567763213</v>
      </c>
      <c r="BL41" s="1542">
        <f>(BL23/BL21)</f>
        <v>0.37821425182654878</v>
      </c>
      <c r="BM41" s="1542">
        <f>(BM23/BM21)</f>
        <v>0.36339169962420176</v>
      </c>
      <c r="BN41" s="1542">
        <f>(BN23/BN21)</f>
        <v>0.36690742698951256</v>
      </c>
      <c r="BO41" s="1542"/>
      <c r="BP41" s="1543">
        <f>(BP23/BP21)</f>
        <v>0.41556637857417639</v>
      </c>
      <c r="BQ41" s="1543">
        <f>(BQ23/BQ21)</f>
        <v>0.36855426855426887</v>
      </c>
      <c r="BR41" s="1543">
        <f>(BR23/BR21)</f>
        <v>0.39530570478383326</v>
      </c>
      <c r="BS41" s="1543">
        <f>(BS23/BS21)</f>
        <v>0.37479144892425204</v>
      </c>
      <c r="BT41" s="1543"/>
      <c r="BU41" s="1543">
        <f>(BU23/BU21)</f>
        <v>0.39310553371635915</v>
      </c>
      <c r="BV41" s="1543">
        <f>(BV23/BV21)</f>
        <v>0.36746872945052916</v>
      </c>
      <c r="BW41" s="1543">
        <f>(BW23/BW21)</f>
        <v>0.34958705735942963</v>
      </c>
      <c r="BX41" s="1543">
        <f>(BX23/BX21)</f>
        <v>0.37770004994973244</v>
      </c>
      <c r="BY41" s="1543"/>
      <c r="BZ41" s="1543">
        <f>(BZ23/BZ21)</f>
        <v>0.38544953453230069</v>
      </c>
      <c r="CA41" s="1543">
        <f>(CA23/CA21)</f>
        <v>0.36424513877403591</v>
      </c>
      <c r="CB41" s="1543">
        <f>(CB23/CB21)</f>
        <v>0.35536753557979139</v>
      </c>
      <c r="CC41" s="1543">
        <f>(CC23/CC21)</f>
        <v>0.3578357470786066</v>
      </c>
      <c r="CD41" s="1543"/>
      <c r="CE41" s="1543">
        <f>(CE23/CE21)</f>
        <v>0.37746799665216874</v>
      </c>
      <c r="CF41" s="1543">
        <f>(CF23/CF21)</f>
        <v>0.37357840286113819</v>
      </c>
      <c r="CG41" s="1543">
        <f>(CG23/CG21)</f>
        <v>0.36780337775859284</v>
      </c>
      <c r="CH41" s="1543">
        <f>(CH23/CH21)</f>
        <v>0.35239145464672178</v>
      </c>
      <c r="CI41" s="1543"/>
      <c r="CJ41" s="1543">
        <f>(CJ23/CJ21)</f>
        <v>0.35079974432104899</v>
      </c>
      <c r="CK41" s="1543">
        <f>(CK23/CK21)</f>
        <v>0.33459156303340626</v>
      </c>
      <c r="CL41" s="1543">
        <f>(CL23/CL21)</f>
        <v>0.36039541487012344</v>
      </c>
      <c r="CM41" s="1543">
        <f>(CM23/CM21)</f>
        <v>0.33903226782191354</v>
      </c>
      <c r="CN41" s="1543"/>
      <c r="CO41" s="1543">
        <f>(CO23/CO21)</f>
        <v>0.20594020954519723</v>
      </c>
      <c r="CP41" s="1543">
        <f>(CP23/CP21)</f>
        <v>0.36027528514307811</v>
      </c>
      <c r="CQ41" s="1543">
        <f>(CQ23/CQ21)</f>
        <v>0.36147539766229453</v>
      </c>
      <c r="CR41" s="1543">
        <f>(CR23/CR21)</f>
        <v>0.32305333874385656</v>
      </c>
      <c r="CS41" s="1543"/>
      <c r="CT41" s="1543">
        <f>(CT23/CT21)</f>
        <v>0.27</v>
      </c>
      <c r="CU41" s="1543">
        <f>(CU23/CU21)</f>
        <v>0.27</v>
      </c>
      <c r="CV41" s="1543">
        <f>(CV23/CV21)</f>
        <v>0.27</v>
      </c>
      <c r="CW41" s="1543">
        <f>(CW23/CW21)</f>
        <v>0.27</v>
      </c>
      <c r="CX41" s="1544"/>
      <c r="CY41" s="1545">
        <f>(CY23/CY21)</f>
        <v>0.27946986537901813</v>
      </c>
      <c r="CZ41" s="1545">
        <f>(CZ23/CZ21)</f>
        <v>0.2691217458902937</v>
      </c>
      <c r="DA41" s="1545">
        <f t="shared" ref="DA41:DF41" si="21">(DA23/DA21)</f>
        <v>0.29502022597293875</v>
      </c>
      <c r="DB41" s="1545">
        <f t="shared" si="21"/>
        <v>0.30503535825110301</v>
      </c>
      <c r="DC41" s="1545">
        <f t="shared" si="21"/>
        <v>0.39779180779109163</v>
      </c>
      <c r="DD41" s="1546">
        <f t="shared" si="21"/>
        <v>0.39773583029547932</v>
      </c>
      <c r="DE41" s="1546">
        <f t="shared" si="21"/>
        <v>0.39786588841514836</v>
      </c>
      <c r="DF41" s="1546">
        <f t="shared" si="21"/>
        <v>0.39049122543246384</v>
      </c>
      <c r="DG41" s="1546">
        <f t="shared" ref="DG41:DL41" si="22">(DG23/DG21)</f>
        <v>0.3679562657695542</v>
      </c>
      <c r="DH41" s="1547">
        <f t="shared" si="22"/>
        <v>0.30394184370495708</v>
      </c>
      <c r="DI41" s="1545">
        <f t="shared" si="22"/>
        <v>0.3846683238396833</v>
      </c>
      <c r="DJ41" s="1545">
        <f t="shared" si="22"/>
        <v>0.38963561340853858</v>
      </c>
      <c r="DK41" s="1545">
        <f t="shared" si="22"/>
        <v>0.37878233713618525</v>
      </c>
      <c r="DL41" s="1545">
        <f t="shared" si="22"/>
        <v>0.37497470012787226</v>
      </c>
      <c r="DM41" s="1545">
        <f t="shared" ref="DM41:DT41" si="23">(DM23/DM21)</f>
        <v>0.37947446433347054</v>
      </c>
      <c r="DN41" s="1545">
        <f t="shared" si="23"/>
        <v>0.37215717271623255</v>
      </c>
      <c r="DO41" s="1545">
        <f t="shared" si="23"/>
        <v>0.38178523072445247</v>
      </c>
      <c r="DP41" s="1545">
        <f t="shared" si="23"/>
        <v>0.37544704639876569</v>
      </c>
      <c r="DQ41" s="1545">
        <f t="shared" si="23"/>
        <v>0.3629430328284769</v>
      </c>
      <c r="DR41" s="1545">
        <f t="shared" si="23"/>
        <v>0.36217374276727238</v>
      </c>
      <c r="DS41" s="1545">
        <f t="shared" si="23"/>
        <v>0.3425328493831804</v>
      </c>
      <c r="DT41" s="1545">
        <f t="shared" si="23"/>
        <v>0.32262770495789206</v>
      </c>
      <c r="DU41" s="1545">
        <f>(DU23/DU21)</f>
        <v>0.27000000000000024</v>
      </c>
      <c r="DV41" s="1545">
        <f>(DV23/DV21)</f>
        <v>0.27000000000000018</v>
      </c>
      <c r="DW41" s="1547">
        <f>(DW23/DW21)</f>
        <v>0.27000000000000013</v>
      </c>
      <c r="DX41" s="1545"/>
    </row>
    <row r="42" spans="1:134">
      <c r="A42" s="1528" t="s">
        <v>122</v>
      </c>
      <c r="B42" s="1529"/>
      <c r="C42" s="1548">
        <f>(C25/C8)</f>
        <v>3.442063976225497E-2</v>
      </c>
      <c r="D42" s="1548">
        <f>(D25/D8)</f>
        <v>4.8896782028623194E-2</v>
      </c>
      <c r="E42" s="1548">
        <f>(E25/E8)</f>
        <v>4.5968527294523984E-2</v>
      </c>
      <c r="F42" s="1548">
        <f>(F25/F8)</f>
        <v>0.126490674183421</v>
      </c>
      <c r="G42" s="1541"/>
      <c r="H42" s="1542">
        <f>(H25/H8)</f>
        <v>4.8774427148967896E-2</v>
      </c>
      <c r="I42" s="1542">
        <f>(I25/I8)</f>
        <v>5.7545553821136804E-2</v>
      </c>
      <c r="J42" s="1542">
        <f>(J25/J8)</f>
        <v>4.6506437227994142E-2</v>
      </c>
      <c r="K42" s="1542">
        <f>(K25/K8)</f>
        <v>0.10035982270485054</v>
      </c>
      <c r="L42" s="1542"/>
      <c r="M42" s="1542">
        <f>(M25/M8)</f>
        <v>1.3867610830768927E-2</v>
      </c>
      <c r="N42" s="1542">
        <f>(N25/N8)</f>
        <v>2.6782172755538819E-2</v>
      </c>
      <c r="O42" s="1542">
        <f>(O25/O8)</f>
        <v>-7.7579271214069569E-3</v>
      </c>
      <c r="P42" s="1542">
        <f>(P25/P8)</f>
        <v>0.12482312971896253</v>
      </c>
      <c r="Q42" s="1542"/>
      <c r="R42" s="1542">
        <f>(R25/R8)</f>
        <v>4.2738478251321689E-2</v>
      </c>
      <c r="S42" s="1542">
        <f>(S25/S8)</f>
        <v>4.3733162659170328E-2</v>
      </c>
      <c r="T42" s="1542">
        <f>(T25/T8)</f>
        <v>5.8753143448755521E-3</v>
      </c>
      <c r="U42" s="1542">
        <f>(U25/U8)</f>
        <v>0.12046159666024492</v>
      </c>
      <c r="V42" s="1541"/>
      <c r="W42" s="1542">
        <f>(W25/W8)</f>
        <v>-40.947623316850596</v>
      </c>
      <c r="X42" s="1542">
        <f>(X25/X8)</f>
        <v>-17.94803674137896</v>
      </c>
      <c r="Y42" s="1542">
        <f>(Y25/Y8)</f>
        <v>-21.225849619089828</v>
      </c>
      <c r="Z42" s="1542">
        <f>(Z25/Z8)</f>
        <v>-10.5119832871227</v>
      </c>
      <c r="AA42" s="1541"/>
      <c r="AB42" s="1542">
        <f>(AB25/AB8)</f>
        <v>3.4263419881579431E-2</v>
      </c>
      <c r="AC42" s="1542">
        <f>(AC25/AC8)</f>
        <v>6.2119147904499246E-2</v>
      </c>
      <c r="AD42" s="1542">
        <f>(AD25/AD8)</f>
        <v>2.6272241922304977E-2</v>
      </c>
      <c r="AE42" s="1542">
        <f>(AE25/AE8)</f>
        <v>0.11491331327578054</v>
      </c>
      <c r="AF42" s="1541"/>
      <c r="AG42" s="1542">
        <f>(AG25/AG8)</f>
        <v>4.2160945288242831E-2</v>
      </c>
      <c r="AH42" s="1542">
        <f>(AH25/AH8)</f>
        <v>3.5580324073366643E-2</v>
      </c>
      <c r="AI42" s="1542" t="s">
        <v>886</v>
      </c>
      <c r="AJ42" s="1542">
        <f>(AJ25/AJ8)</f>
        <v>0.14659288047382188</v>
      </c>
      <c r="AK42" s="1541"/>
      <c r="AL42" s="1542">
        <f>(AL25/AL8)</f>
        <v>4.7510677192284745E-2</v>
      </c>
      <c r="AM42" s="1542">
        <f>(AM25/AM8)</f>
        <v>4.6082241308766675E-2</v>
      </c>
      <c r="AN42" s="1542">
        <f>(AN25/AN8)</f>
        <v>1.111513536464633E-2</v>
      </c>
      <c r="AO42" s="1542">
        <f>(AO25/AO8)</f>
        <v>0.10926970493716054</v>
      </c>
      <c r="AP42" s="1542"/>
      <c r="AQ42" s="1542">
        <f>(AQ25/AQ8)</f>
        <v>2.2774372815461658E-2</v>
      </c>
      <c r="AR42" s="1542">
        <f>(AR25/AR8)</f>
        <v>3.0593233354051796E-2</v>
      </c>
      <c r="AS42" s="1542">
        <f>(AS25/AS8)</f>
        <v>-1.3857804882107542E-3</v>
      </c>
      <c r="AT42" s="1542">
        <f>(AT25/AT8)</f>
        <v>0.10275206111864162</v>
      </c>
      <c r="AU42" s="1542"/>
      <c r="AV42" s="1542">
        <f>(AV25/AV8)</f>
        <v>1.8908295287315181E-2</v>
      </c>
      <c r="AW42" s="1542">
        <f>(AW25/AW8)</f>
        <v>4.1089797637277437E-2</v>
      </c>
      <c r="AX42" s="1542">
        <f>(AX25/AX8)</f>
        <v>2.2196479830461809E-3</v>
      </c>
      <c r="AY42" s="1542">
        <f>(AY25/AY8)</f>
        <v>7.3194762331742574E-2</v>
      </c>
      <c r="AZ42" s="1542"/>
      <c r="BA42" s="1542">
        <f>(BA25/BA8)</f>
        <v>1.5076189532220723E-3</v>
      </c>
      <c r="BB42" s="1542">
        <f>(BB25/BB8)</f>
        <v>2.9160315686075276E-2</v>
      </c>
      <c r="BC42" s="1542">
        <f>(BC25/BC8)</f>
        <v>3.4316309840437026E-3</v>
      </c>
      <c r="BD42" s="1542">
        <f>(BD25/BD8)</f>
        <v>0.10752926859205175</v>
      </c>
      <c r="BE42" s="1542"/>
      <c r="BF42" s="1542">
        <f>(BG25/BG8)</f>
        <v>5.3780362183446367E-2</v>
      </c>
      <c r="BG42" s="1542">
        <f>(BG25/BG8)</f>
        <v>5.3780362183446367E-2</v>
      </c>
      <c r="BH42" s="1542">
        <f>(BH25/BH8)</f>
        <v>3.0920573649320549E-2</v>
      </c>
      <c r="BI42" s="1542">
        <f>(BI25/BI8)</f>
        <v>0.12144010463386831</v>
      </c>
      <c r="BJ42" s="1542"/>
      <c r="BK42" s="1542">
        <f>(BK25/BK8)</f>
        <v>5.8561120640933224E-2</v>
      </c>
      <c r="BL42" s="1542">
        <f>(BL25/BL8)</f>
        <v>6.1314370447514123E-2</v>
      </c>
      <c r="BM42" s="1542">
        <f>(BM25/BM8)</f>
        <v>3.5697656228432649E-2</v>
      </c>
      <c r="BN42" s="1542">
        <f>(BN25/BN8)</f>
        <v>0.13062655848821733</v>
      </c>
      <c r="BO42" s="1542"/>
      <c r="BP42" s="1543">
        <f>(BP25/BP8)</f>
        <v>5.7832168871158947E-2</v>
      </c>
      <c r="BQ42" s="1543">
        <f>(BQ25/BQ8)</f>
        <v>6.1352173731816013E-2</v>
      </c>
      <c r="BR42" s="1543">
        <f>(BR25/BR8)</f>
        <v>3.6894159514073897E-2</v>
      </c>
      <c r="BS42" s="1543">
        <f>(BS25/BS8)</f>
        <v>0.13466982814272191</v>
      </c>
      <c r="BT42" s="1543"/>
      <c r="BU42" s="1543">
        <f>(BU25/BU8)</f>
        <v>6.2830584014857457E-2</v>
      </c>
      <c r="BV42" s="1543">
        <f>(BV25/BV8)</f>
        <v>7.1111821246263363E-2</v>
      </c>
      <c r="BW42" s="1543">
        <f>(BW25/BW8)</f>
        <v>4.2367717184986171E-2</v>
      </c>
      <c r="BX42" s="1543">
        <f>(BX25/BX8)</f>
        <v>0.12823313172011333</v>
      </c>
      <c r="BY42" s="1543"/>
      <c r="BZ42" s="1543">
        <f>(BZ25/BZ8)</f>
        <v>6.564905927075193E-2</v>
      </c>
      <c r="CA42" s="1543">
        <f>(CA25/CA8)</f>
        <v>7.040564629682311E-2</v>
      </c>
      <c r="CB42" s="1543">
        <f>(CB25/CB8)</f>
        <v>5.6841944566511669E-2</v>
      </c>
      <c r="CC42" s="1543">
        <f>(CC25/CC8)</f>
        <v>0.13881954488981074</v>
      </c>
      <c r="CD42" s="1543"/>
      <c r="CE42" s="1543">
        <f>(CE25/CE8)</f>
        <v>7.2250162125752207E-2</v>
      </c>
      <c r="CF42" s="1543">
        <f>(CF25/CF8)</f>
        <v>7.3222295231837292E-2</v>
      </c>
      <c r="CG42" s="1543">
        <f>(CG25/CG8)</f>
        <v>6.6099553710848941E-2</v>
      </c>
      <c r="CH42" s="1543">
        <f>(CH25/CH8)</f>
        <v>0.14471248150471466</v>
      </c>
      <c r="CI42" s="1543"/>
      <c r="CJ42" s="1543">
        <f>(CJ25/CJ8)</f>
        <v>6.6445406427004222E-2</v>
      </c>
      <c r="CK42" s="1543">
        <f>(CK25/CK8)</f>
        <v>7.0823920734847168E-2</v>
      </c>
      <c r="CL42" s="1543">
        <f>(CL25/CL8)</f>
        <v>4.7129403222575549E-2</v>
      </c>
      <c r="CM42" s="1543">
        <f>(CM25/CM8)</f>
        <v>0.13141713644978723</v>
      </c>
      <c r="CN42" s="1543"/>
      <c r="CO42" s="1543">
        <f>(CO25/CO8)</f>
        <v>3.8601728774979804E-2</v>
      </c>
      <c r="CP42" s="1543">
        <f>(CP25/CP8)</f>
        <v>5.0407619545411675E-2</v>
      </c>
      <c r="CQ42" s="1543">
        <f>(CQ25/CQ8)</f>
        <v>3.2846483896303236E-2</v>
      </c>
      <c r="CR42" s="1543">
        <f>(CR25/CR8)</f>
        <v>0.12451742655138825</v>
      </c>
      <c r="CS42" s="1543"/>
      <c r="CT42" s="1543">
        <f>(CT25/CT8)</f>
        <v>1.9725186310622301E-2</v>
      </c>
      <c r="CU42" s="1543">
        <f>(CU25/CU8)</f>
        <v>4.87839130273688E-2</v>
      </c>
      <c r="CV42" s="1543">
        <f>(CV25/CV8)</f>
        <v>3.5759515866672496E-2</v>
      </c>
      <c r="CW42" s="1543">
        <f>(CW25/CW8)</f>
        <v>0.12745694875478497</v>
      </c>
      <c r="CX42" s="1544"/>
      <c r="CY42" s="1545">
        <f t="shared" ref="CY42:DU42" si="24">(CY25/CY8)</f>
        <v>7.1875306181491211E-2</v>
      </c>
      <c r="CZ42" s="1545">
        <f t="shared" si="24"/>
        <v>7.3715254516845713E-2</v>
      </c>
      <c r="DA42" s="1545">
        <f t="shared" si="24"/>
        <v>6.8632879617128037E-2</v>
      </c>
      <c r="DB42" s="1545">
        <f t="shared" si="24"/>
        <v>8.8194869824513342E-2</v>
      </c>
      <c r="DC42" s="1545">
        <f t="shared" si="24"/>
        <v>5.7770443422166459E-2</v>
      </c>
      <c r="DD42" s="1546">
        <f t="shared" si="24"/>
        <v>5.1955153704862672E-2</v>
      </c>
      <c r="DE42" s="1546">
        <f t="shared" si="24"/>
        <v>6.2546079448607406E-2</v>
      </c>
      <c r="DF42" s="1546">
        <f t="shared" si="24"/>
        <v>6.5341622331807445E-2</v>
      </c>
      <c r="DG42" s="1546">
        <f t="shared" si="24"/>
        <v>6.7734998584230627E-2</v>
      </c>
      <c r="DH42" s="1547">
        <f t="shared" si="24"/>
        <v>6.8710403003701001E-2</v>
      </c>
      <c r="DI42" s="1545">
        <f t="shared" si="24"/>
        <v>6.3262521626011647E-2</v>
      </c>
      <c r="DJ42" s="1545">
        <f t="shared" si="24"/>
        <v>4.5800529982645895E-2</v>
      </c>
      <c r="DK42" s="1545">
        <f t="shared" si="24"/>
        <v>3.9068501918844638E-2</v>
      </c>
      <c r="DL42" s="1545">
        <f t="shared" si="24"/>
        <v>4.6146950913803754E-2</v>
      </c>
      <c r="DM42" s="1545">
        <f t="shared" si="24"/>
        <v>7.1201519398482072E-2</v>
      </c>
      <c r="DN42" s="1545">
        <f t="shared" si="24"/>
        <v>7.8863774385135865E-2</v>
      </c>
      <c r="DO42" s="1545">
        <f t="shared" si="24"/>
        <v>8.2861032186557368E-2</v>
      </c>
      <c r="DP42" s="1545">
        <f t="shared" si="24"/>
        <v>8.382162012792635E-2</v>
      </c>
      <c r="DQ42" s="1545">
        <f t="shared" si="24"/>
        <v>9.097586358025031E-2</v>
      </c>
      <c r="DR42" s="1545">
        <f t="shared" si="24"/>
        <v>9.7418944187432549E-2</v>
      </c>
      <c r="DS42" s="1545">
        <f t="shared" si="24"/>
        <v>8.6693390292554434E-2</v>
      </c>
      <c r="DT42" s="1545">
        <f t="shared" si="24"/>
        <v>7.2777697560160087E-2</v>
      </c>
      <c r="DU42" s="1545">
        <f t="shared" si="24"/>
        <v>6.9411818081534529E-2</v>
      </c>
      <c r="DV42" s="1545">
        <f>(DV25/DV8)</f>
        <v>7.14411221694536E-2</v>
      </c>
      <c r="DW42" s="1547">
        <f>(DW25/DW8)</f>
        <v>7.3953931056314967E-2</v>
      </c>
      <c r="DX42" s="1545"/>
    </row>
    <row r="43" spans="1:134">
      <c r="A43" s="1528" t="s">
        <v>704</v>
      </c>
      <c r="B43" s="1529"/>
      <c r="C43" s="1548">
        <f>(C32/C8)</f>
        <v>3.9654142594784794E-2</v>
      </c>
      <c r="D43" s="1548">
        <f>(D32/D8)</f>
        <v>5.9659340822549416E-2</v>
      </c>
      <c r="E43" s="1548">
        <f>(E32/E8)</f>
        <v>5.1395771072436716E-2</v>
      </c>
      <c r="F43" s="1548">
        <f>(F32/F8)</f>
        <v>0.19308515490065115</v>
      </c>
      <c r="G43" s="1541"/>
      <c r="H43" s="1542">
        <f>(H32/H8)</f>
        <v>6.6518757802192616E-2</v>
      </c>
      <c r="I43" s="1542">
        <f>(I32/I8)</f>
        <v>8.3776587083621915E-2</v>
      </c>
      <c r="J43" s="1542">
        <f>(J32/J8)</f>
        <v>5.9428679989463558E-2</v>
      </c>
      <c r="K43" s="1542">
        <f>(K32/K8)</f>
        <v>0.15284278550134062</v>
      </c>
      <c r="L43" s="1542"/>
      <c r="M43" s="1542">
        <f>(M32/M8)</f>
        <v>6.4867756450912167E-2</v>
      </c>
      <c r="N43" s="1542">
        <f>(N32/N8)</f>
        <v>8.3727957132227485E-2</v>
      </c>
      <c r="O43" s="1542">
        <f>(O32/O8)</f>
        <v>3.1063648991915549E-2</v>
      </c>
      <c r="P43" s="1542">
        <f>(P32/P8)</f>
        <v>0.23166704532845833</v>
      </c>
      <c r="Q43" s="1542"/>
      <c r="R43" s="1542">
        <f>(R32/R8)</f>
        <v>0.10960262010433054</v>
      </c>
      <c r="S43" s="1542">
        <f>(S32/S8)</f>
        <v>0.10859195907166636</v>
      </c>
      <c r="T43" s="1542">
        <f>(T32/T8)</f>
        <v>4.8851385946202801E-2</v>
      </c>
      <c r="U43" s="1542">
        <f>(U32/U8)</f>
        <v>0.22136801298463973</v>
      </c>
      <c r="V43" s="1541"/>
      <c r="W43" s="1542">
        <f>(W32/W8)</f>
        <v>-23.678873727941227</v>
      </c>
      <c r="X43" s="1542">
        <f>(X32/X8)</f>
        <v>-9.6031422150459438</v>
      </c>
      <c r="Y43" s="1542">
        <f>(Y32/Y8)</f>
        <v>-13.463668315431519</v>
      </c>
      <c r="Z43" s="1542">
        <f>(Z32/Z8)</f>
        <v>-4.4962075728206896</v>
      </c>
      <c r="AA43" s="1541"/>
      <c r="AB43" s="1542">
        <f>(AB32/AB8)</f>
        <v>9.8547520148336676E-2</v>
      </c>
      <c r="AC43" s="1542">
        <f>(AC32/AC8)</f>
        <v>0.13752876745044396</v>
      </c>
      <c r="AD43" s="1542">
        <f>(AD32/AD8)</f>
        <v>6.7523421944041179E-2</v>
      </c>
      <c r="AE43" s="1542">
        <f>(AE32/AE8)</f>
        <v>0.22040594612101469</v>
      </c>
      <c r="AF43" s="1541"/>
      <c r="AG43" s="1542">
        <f>(AG32/AG8)</f>
        <v>0.10791814604249664</v>
      </c>
      <c r="AH43" s="1542">
        <f>(AH32/AH8)</f>
        <v>9.8794753679883912E-2</v>
      </c>
      <c r="AI43" s="1542">
        <f>(AI32/AI8)</f>
        <v>4.7811029150152354E-2</v>
      </c>
      <c r="AJ43" s="1542">
        <f>(AJ32/AJ8)</f>
        <v>0.21783924933024321</v>
      </c>
      <c r="AK43" s="1541"/>
      <c r="AL43" s="1542">
        <f>(AL32/AL8)</f>
        <v>0.12515580684717229</v>
      </c>
      <c r="AM43" s="1542">
        <f>(AM32/AM8)</f>
        <v>0.11192851076593036</v>
      </c>
      <c r="AN43" s="1542">
        <f>(AN32/AN8)</f>
        <v>6.8450188514738483E-2</v>
      </c>
      <c r="AO43" s="1542">
        <f>(AO32/AO8)</f>
        <v>0.20186960425889913</v>
      </c>
      <c r="AP43" s="1542"/>
      <c r="AQ43" s="1542">
        <f>(AQ32/AQ8)</f>
        <v>8.7771865072616306E-2</v>
      </c>
      <c r="AR43" s="1542">
        <f>(AR32/AR8)</f>
        <v>8.8065632220396026E-2</v>
      </c>
      <c r="AS43" s="1542">
        <f>(AS32/AS8)</f>
        <v>6.121509809141884E-2</v>
      </c>
      <c r="AT43" s="1542">
        <f>(AT32/AT8)</f>
        <v>0.20488677786506021</v>
      </c>
      <c r="AU43" s="1542"/>
      <c r="AV43" s="1542">
        <f>(AV32/AV8)</f>
        <v>9.5740387027870522E-2</v>
      </c>
      <c r="AW43" s="1542">
        <f>(AW32/AW8)</f>
        <v>0.11767821761806817</v>
      </c>
      <c r="AX43" s="1542">
        <f>(AX32/AX8)</f>
        <v>6.7031849152961884E-2</v>
      </c>
      <c r="AY43" s="1542">
        <f>(AY32/AY8)</f>
        <v>0.16171230536437736</v>
      </c>
      <c r="AZ43" s="1542"/>
      <c r="BA43" s="1542">
        <f>(BA32/BA8)</f>
        <v>8.7203091517281367E-2</v>
      </c>
      <c r="BB43" s="1542">
        <f>(BB32/BB8)</f>
        <v>0.11483201958763387</v>
      </c>
      <c r="BC43" s="1542">
        <f>(BC32/BC8)</f>
        <v>8.2779446674119989E-2</v>
      </c>
      <c r="BD43" s="1542">
        <f>(BD32/BD8)</f>
        <v>0.22099386554336523</v>
      </c>
      <c r="BE43" s="1542"/>
      <c r="BF43" s="1542">
        <f>(BG32/BG8)</f>
        <v>0.14495498347833469</v>
      </c>
      <c r="BG43" s="1542">
        <f>(BG32/BG8)</f>
        <v>0.14495498347833469</v>
      </c>
      <c r="BH43" s="1542">
        <f>(BH32/BH8)</f>
        <v>0.11980808441381656</v>
      </c>
      <c r="BI43" s="1542">
        <f>(BI32/BI8)</f>
        <v>0.23567766055337894</v>
      </c>
      <c r="BJ43" s="1542"/>
      <c r="BK43" s="1542">
        <f>(BK32/BK8)</f>
        <v>0.16098162531004495</v>
      </c>
      <c r="BL43" s="1542">
        <f>(BL32/BL8)</f>
        <v>0.16148665553356512</v>
      </c>
      <c r="BM43" s="1542">
        <f>(BM32/BM8)</f>
        <v>0.12439565293408548</v>
      </c>
      <c r="BN43" s="1542">
        <f>(BN32/BN8)</f>
        <v>0.24981495841471274</v>
      </c>
      <c r="BO43" s="1542"/>
      <c r="BP43" s="1543">
        <f>(BP32/BP8)</f>
        <v>0.17602182948707956</v>
      </c>
      <c r="BQ43" s="1543">
        <f>(BQ32/BQ8)</f>
        <v>0.16528239756575375</v>
      </c>
      <c r="BR43" s="1543">
        <f>(BR32/BR8)</f>
        <v>0.13927301336608464</v>
      </c>
      <c r="BS43" s="1543">
        <f>(BS32/BS8)</f>
        <v>0.25929074798804752</v>
      </c>
      <c r="BT43" s="1543"/>
      <c r="BU43" s="1543">
        <f>(BU32/BU8)</f>
        <v>0.17724726581997183</v>
      </c>
      <c r="BV43" s="1543">
        <f>(BV32/BV8)</f>
        <v>0.17899459966064551</v>
      </c>
      <c r="BW43" s="1543">
        <f>(BW32/BW8)</f>
        <v>0.13732522003954706</v>
      </c>
      <c r="BX43" s="1543">
        <f>(BX32/BX8)</f>
        <v>0.25168024111872556</v>
      </c>
      <c r="BY43" s="1543"/>
      <c r="BZ43" s="1543">
        <f>(BZ32/BZ8)</f>
        <v>0.18240654391254715</v>
      </c>
      <c r="CA43" s="1543">
        <f>(CA32/CA8)</f>
        <v>0.1774410526477109</v>
      </c>
      <c r="CB43" s="1543">
        <f>(CB32/CB8)</f>
        <v>0.16466431003975682</v>
      </c>
      <c r="CC43" s="1543">
        <f>(CC32/CC8)</f>
        <v>0.26008624408131864</v>
      </c>
      <c r="CD43" s="1543"/>
      <c r="CE43" s="1543">
        <f>(CE32/CE8)</f>
        <v>0.18804318098488851</v>
      </c>
      <c r="CF43" s="1543">
        <f>(CF32/CF8)</f>
        <v>0.18303458256923366</v>
      </c>
      <c r="CG43" s="1543">
        <f>(CG32/CG8)</f>
        <v>0.17708431137483246</v>
      </c>
      <c r="CH43" s="1543">
        <f>(CH32/CH8)</f>
        <v>0.27042945466467977</v>
      </c>
      <c r="CI43" s="1543"/>
      <c r="CJ43" s="1543">
        <f>(CJ32/CJ8)</f>
        <v>0.17889406863148311</v>
      </c>
      <c r="CK43" s="1543">
        <f>(CK32/CK8)</f>
        <v>0.1803166647287788</v>
      </c>
      <c r="CL43" s="1543">
        <f>(CL32/CL8)</f>
        <v>0.15679166703797273</v>
      </c>
      <c r="CM43" s="1543">
        <f>(CM32/CM8)</f>
        <v>0.24846290764437692</v>
      </c>
      <c r="CN43" s="1543"/>
      <c r="CO43" s="1543">
        <f>(CO32/CO8)</f>
        <v>0.13906989591315169</v>
      </c>
      <c r="CP43" s="1543">
        <f>(CP32/CP8)</f>
        <v>0.15588307888871955</v>
      </c>
      <c r="CQ43" s="1543">
        <f>(CQ32/CQ8)</f>
        <v>0.13911002588448865</v>
      </c>
      <c r="CR43" s="1543">
        <f>(CR32/CR8)</f>
        <v>0.23233957413281925</v>
      </c>
      <c r="CS43" s="1543"/>
      <c r="CT43" s="1543">
        <f>(CT32/CT8)</f>
        <v>0.11725881638807294</v>
      </c>
      <c r="CU43" s="1543">
        <f>(CU32/CU8)</f>
        <v>0.1466976202526559</v>
      </c>
      <c r="CV43" s="1543">
        <f>(CV32/CV8)</f>
        <v>0.13274359408376796</v>
      </c>
      <c r="CW43" s="1543">
        <f>(CW32/CW8)</f>
        <v>0.22226306096381918</v>
      </c>
      <c r="CX43" s="1544"/>
      <c r="CY43" s="1545">
        <f t="shared" ref="CY43:DU43" si="25">(CY32/CY8)</f>
        <v>0.10847110126780389</v>
      </c>
      <c r="CZ43" s="1545">
        <f t="shared" si="25"/>
        <v>0.10907289402616446</v>
      </c>
      <c r="DA43" s="1545">
        <f t="shared" si="25"/>
        <v>0.10510943089867007</v>
      </c>
      <c r="DB43" s="1545">
        <f t="shared" si="25"/>
        <v>0.13717988892265687</v>
      </c>
      <c r="DC43" s="1545">
        <f t="shared" si="25"/>
        <v>0.13290946876679877</v>
      </c>
      <c r="DD43" s="1546">
        <f t="shared" si="25"/>
        <v>0.12173019942268835</v>
      </c>
      <c r="DE43" s="1546">
        <f t="shared" si="25"/>
        <v>0.13591249564517391</v>
      </c>
      <c r="DF43" s="1546">
        <f t="shared" si="25"/>
        <v>0.14003461572083828</v>
      </c>
      <c r="DG43" s="1546">
        <f t="shared" si="25"/>
        <v>0.14458289648557573</v>
      </c>
      <c r="DH43" s="1547">
        <f t="shared" si="25"/>
        <v>0.13244182267639196</v>
      </c>
      <c r="DI43" s="1545">
        <f t="shared" si="25"/>
        <v>0.13980939589239538</v>
      </c>
      <c r="DJ43" s="1545">
        <f t="shared" si="25"/>
        <v>0.12026985333075298</v>
      </c>
      <c r="DK43" s="1545">
        <f t="shared" si="25"/>
        <v>0.11725560151906277</v>
      </c>
      <c r="DL43" s="1545">
        <f t="shared" si="25"/>
        <v>0.14038409320696418</v>
      </c>
      <c r="DM43" s="1545">
        <f t="shared" si="25"/>
        <v>0.17173392884300243</v>
      </c>
      <c r="DN43" s="1545">
        <f t="shared" si="25"/>
        <v>0.18356091925143167</v>
      </c>
      <c r="DO43" s="1545">
        <f t="shared" si="25"/>
        <v>0.19705130259616654</v>
      </c>
      <c r="DP43" s="1545">
        <f t="shared" si="25"/>
        <v>0.19599124160846731</v>
      </c>
      <c r="DQ43" s="1545">
        <f t="shared" si="25"/>
        <v>0.20524687316113252</v>
      </c>
      <c r="DR43" s="1545">
        <f t="shared" si="25"/>
        <v>0.21445819434372132</v>
      </c>
      <c r="DS43" s="1545">
        <f t="shared" si="25"/>
        <v>0.19953106939622611</v>
      </c>
      <c r="DT43" s="1545">
        <f t="shared" si="25"/>
        <v>0.17834767117700781</v>
      </c>
      <c r="DU43" s="1545">
        <f t="shared" si="25"/>
        <v>0.16590377776159482</v>
      </c>
      <c r="DV43" s="1545">
        <f>(DV32/DV8)</f>
        <v>0.16939999999999991</v>
      </c>
      <c r="DW43" s="1547">
        <f>(DW32/DW8)</f>
        <v>0.17259999999999995</v>
      </c>
      <c r="DX43" s="1545"/>
    </row>
    <row r="44" spans="1:134" ht="8.25" customHeight="1">
      <c r="A44" s="1528"/>
      <c r="B44" s="1425"/>
      <c r="C44" s="1549"/>
      <c r="D44" s="1549"/>
      <c r="E44" s="1549"/>
      <c r="F44" s="1549"/>
      <c r="G44" s="1549"/>
      <c r="H44" s="1549"/>
      <c r="I44" s="1549"/>
      <c r="J44" s="1549"/>
      <c r="K44" s="1549"/>
      <c r="L44" s="1549"/>
      <c r="M44" s="1549"/>
      <c r="N44" s="1549"/>
      <c r="O44" s="1549"/>
      <c r="P44" s="1549"/>
      <c r="Q44" s="1549"/>
      <c r="R44" s="1549"/>
      <c r="S44" s="1549"/>
      <c r="T44" s="1549"/>
      <c r="U44" s="1549"/>
      <c r="V44" s="1549"/>
      <c r="W44" s="1549"/>
      <c r="X44" s="1549"/>
      <c r="Y44" s="1549"/>
      <c r="Z44" s="1549"/>
      <c r="AA44" s="1549"/>
      <c r="AB44" s="1549"/>
      <c r="AC44" s="1549"/>
      <c r="AD44" s="1549"/>
      <c r="AE44" s="1549"/>
      <c r="AF44" s="1549"/>
      <c r="AG44" s="1549"/>
      <c r="AH44" s="1549"/>
      <c r="AI44" s="1549"/>
      <c r="AJ44" s="1549"/>
      <c r="AK44" s="1549"/>
      <c r="AL44" s="1549"/>
      <c r="AM44" s="1549"/>
      <c r="AN44" s="1549"/>
      <c r="AO44" s="1549"/>
      <c r="AP44" s="1549"/>
      <c r="AQ44" s="1549"/>
      <c r="AR44" s="1549"/>
      <c r="AS44" s="1549"/>
      <c r="AT44" s="1549"/>
      <c r="AU44" s="1549"/>
      <c r="AV44" s="1549"/>
      <c r="AW44" s="1549"/>
      <c r="AX44" s="1549"/>
      <c r="AY44" s="1549"/>
      <c r="AZ44" s="1549"/>
      <c r="BA44" s="1549"/>
      <c r="BB44" s="1549"/>
      <c r="BC44" s="1549"/>
      <c r="BD44" s="1549"/>
      <c r="BE44" s="1549"/>
      <c r="BF44" s="1549"/>
      <c r="BG44" s="1549"/>
      <c r="BH44" s="1549"/>
      <c r="BI44" s="1549"/>
      <c r="BJ44" s="1549"/>
      <c r="BK44" s="1549"/>
      <c r="BL44" s="1549"/>
      <c r="BM44" s="1549"/>
      <c r="BN44" s="1549"/>
      <c r="BO44" s="1549"/>
      <c r="BP44" s="1550"/>
      <c r="BQ44" s="1550"/>
      <c r="BR44" s="1550"/>
      <c r="BS44" s="1550"/>
      <c r="BT44" s="1550"/>
      <c r="BU44" s="1550"/>
      <c r="BV44" s="1550"/>
      <c r="BW44" s="1550"/>
      <c r="BX44" s="1550"/>
      <c r="BY44" s="1550"/>
      <c r="BZ44" s="1550"/>
      <c r="CA44" s="1550"/>
      <c r="CB44" s="1550"/>
      <c r="CC44" s="1550"/>
      <c r="CD44" s="1550"/>
      <c r="CE44" s="1550"/>
      <c r="CF44" s="1550"/>
      <c r="CG44" s="1550"/>
      <c r="CH44" s="1550"/>
      <c r="CI44" s="1550"/>
      <c r="CJ44" s="1550"/>
      <c r="CK44" s="1550"/>
      <c r="CL44" s="1550"/>
      <c r="CM44" s="1550"/>
      <c r="CN44" s="1550"/>
      <c r="CO44" s="1550"/>
      <c r="CP44" s="1550"/>
      <c r="CQ44" s="1550"/>
      <c r="CR44" s="1550"/>
      <c r="CS44" s="1550"/>
      <c r="CT44" s="1550"/>
      <c r="CU44" s="1550"/>
      <c r="CV44" s="1550"/>
      <c r="CW44" s="1550"/>
      <c r="CX44" s="1551"/>
      <c r="CY44" s="1552"/>
      <c r="CZ44" s="1552"/>
      <c r="DA44" s="1552"/>
      <c r="DB44" s="1552"/>
      <c r="DC44" s="1552"/>
      <c r="DD44" s="1553"/>
      <c r="DE44" s="1553"/>
      <c r="DF44" s="1553"/>
      <c r="DG44" s="1553"/>
      <c r="DH44" s="1554"/>
      <c r="DI44" s="1552"/>
      <c r="DJ44" s="1552"/>
      <c r="DK44" s="1552"/>
      <c r="DL44" s="1552"/>
      <c r="DM44" s="1552"/>
      <c r="DN44" s="1552"/>
      <c r="DO44" s="1552"/>
      <c r="DP44" s="1552"/>
      <c r="DQ44" s="1552"/>
      <c r="DR44" s="1552"/>
      <c r="DS44" s="1552"/>
      <c r="DT44" s="1552"/>
      <c r="DU44" s="1552"/>
      <c r="DV44" s="1552"/>
      <c r="DW44" s="1554"/>
      <c r="DX44" s="1552"/>
    </row>
    <row r="45" spans="1:134">
      <c r="A45" s="1461" t="s">
        <v>648</v>
      </c>
      <c r="B45" s="1439"/>
      <c r="C45" s="1549"/>
      <c r="D45" s="1549"/>
      <c r="E45" s="1549"/>
      <c r="F45" s="1549"/>
      <c r="G45" s="1549"/>
      <c r="H45" s="1549"/>
      <c r="I45" s="1549"/>
      <c r="J45" s="1549"/>
      <c r="K45" s="1549"/>
      <c r="L45" s="1549"/>
      <c r="M45" s="1549"/>
      <c r="N45" s="1549"/>
      <c r="O45" s="1549"/>
      <c r="P45" s="1549"/>
      <c r="Q45" s="1549"/>
      <c r="R45" s="1549"/>
      <c r="S45" s="1549"/>
      <c r="T45" s="1549"/>
      <c r="U45" s="1549"/>
      <c r="V45" s="1549"/>
      <c r="W45" s="1549"/>
      <c r="X45" s="1549"/>
      <c r="Y45" s="1549"/>
      <c r="Z45" s="1549"/>
      <c r="AA45" s="1549"/>
      <c r="AB45" s="1549"/>
      <c r="AC45" s="1549"/>
      <c r="AD45" s="1549"/>
      <c r="AE45" s="1549"/>
      <c r="AF45" s="1549"/>
      <c r="AG45" s="1549"/>
      <c r="AH45" s="1549"/>
      <c r="AI45" s="1549"/>
      <c r="AJ45" s="1549"/>
      <c r="AK45" s="1549"/>
      <c r="AL45" s="1549"/>
      <c r="AM45" s="1549"/>
      <c r="AN45" s="1549"/>
      <c r="AO45" s="1549"/>
      <c r="AP45" s="1549"/>
      <c r="AQ45" s="1549"/>
      <c r="AR45" s="1549"/>
      <c r="AS45" s="1549"/>
      <c r="AT45" s="1549"/>
      <c r="AU45" s="1549"/>
      <c r="AV45" s="1549"/>
      <c r="AW45" s="1549"/>
      <c r="AX45" s="1549"/>
      <c r="AY45" s="1549"/>
      <c r="AZ45" s="1549"/>
      <c r="BA45" s="1549"/>
      <c r="BB45" s="1549"/>
      <c r="BC45" s="1549"/>
      <c r="BD45" s="1549"/>
      <c r="BE45" s="1549"/>
      <c r="BF45" s="1549"/>
      <c r="BG45" s="1549"/>
      <c r="BH45" s="1549"/>
      <c r="BI45" s="1549"/>
      <c r="BJ45" s="1549"/>
      <c r="BK45" s="1549"/>
      <c r="BL45" s="1549"/>
      <c r="BM45" s="1549"/>
      <c r="BN45" s="1549"/>
      <c r="BO45" s="1549"/>
      <c r="BP45" s="1550"/>
      <c r="BQ45" s="1550"/>
      <c r="BR45" s="1550"/>
      <c r="BS45" s="1550"/>
      <c r="BT45" s="1550"/>
      <c r="BU45" s="1550"/>
      <c r="BV45" s="1550"/>
      <c r="BW45" s="1550"/>
      <c r="BX45" s="1550"/>
      <c r="BY45" s="1550"/>
      <c r="BZ45" s="1550"/>
      <c r="CA45" s="1550"/>
      <c r="CB45" s="1550"/>
      <c r="CC45" s="1550"/>
      <c r="CD45" s="1550"/>
      <c r="CE45" s="1550"/>
      <c r="CF45" s="1550"/>
      <c r="CG45" s="1550"/>
      <c r="CH45" s="1550"/>
      <c r="CI45" s="1550"/>
      <c r="CJ45" s="1550"/>
      <c r="CK45" s="1550"/>
      <c r="CL45" s="1550"/>
      <c r="CM45" s="1550"/>
      <c r="CN45" s="1550"/>
      <c r="CO45" s="1550"/>
      <c r="CP45" s="1550"/>
      <c r="CQ45" s="1550"/>
      <c r="CR45" s="1550"/>
      <c r="CS45" s="1550"/>
      <c r="CT45" s="1550"/>
      <c r="CU45" s="1550"/>
      <c r="CV45" s="1550"/>
      <c r="CW45" s="1550"/>
      <c r="CX45" s="1551"/>
      <c r="CY45" s="1555"/>
      <c r="CZ45" s="1555"/>
      <c r="DA45" s="1555"/>
      <c r="DB45" s="1555"/>
      <c r="DC45" s="1555"/>
      <c r="DD45" s="1556"/>
      <c r="DE45" s="1556"/>
      <c r="DF45" s="1556"/>
      <c r="DG45" s="1556"/>
      <c r="DH45" s="1557"/>
      <c r="DI45" s="1552"/>
      <c r="DJ45" s="1552"/>
      <c r="DK45" s="1552"/>
      <c r="DL45" s="1552"/>
      <c r="DM45" s="1552"/>
      <c r="DN45" s="1552"/>
      <c r="DO45" s="1552"/>
      <c r="DP45" s="1552"/>
      <c r="DQ45" s="1552"/>
      <c r="DR45" s="1552"/>
      <c r="DS45" s="1552"/>
      <c r="DT45" s="1552"/>
      <c r="DU45" s="1552"/>
      <c r="DV45" s="1552"/>
      <c r="DW45" s="1554"/>
      <c r="DX45" s="1552"/>
    </row>
    <row r="46" spans="1:134">
      <c r="A46" s="1528" t="s">
        <v>1173</v>
      </c>
      <c r="B46" s="1558"/>
      <c r="C46" s="1559"/>
      <c r="D46" s="1559"/>
      <c r="E46" s="1559"/>
      <c r="F46" s="1559"/>
      <c r="G46" s="1559"/>
      <c r="H46" s="1542">
        <f>((H8/C8)-1)</f>
        <v>7.7445005192068317E-2</v>
      </c>
      <c r="I46" s="1542">
        <f>((I8/D8)-1)</f>
        <v>5.2456120908987991E-2</v>
      </c>
      <c r="J46" s="1542">
        <f>((J8/E8)-1)</f>
        <v>8.440981883698484E-2</v>
      </c>
      <c r="K46" s="1542">
        <f>((K8/F8)-1)</f>
        <v>6.7029582508245866E-2</v>
      </c>
      <c r="L46" s="1542"/>
      <c r="M46" s="1542">
        <f>((M8/H8)-1)</f>
        <v>-1.6785881211432763E-2</v>
      </c>
      <c r="N46" s="1542">
        <f>((N8/I8)-1)</f>
        <v>-4.0783506184203899E-2</v>
      </c>
      <c r="O46" s="1542">
        <f>((O8/J8)-1)</f>
        <v>-3.2996766816864698E-2</v>
      </c>
      <c r="P46" s="1542">
        <f>((P8/K8)-1)</f>
        <v>-2.1441834637355939E-2</v>
      </c>
      <c r="Q46" s="1542"/>
      <c r="R46" s="1542">
        <f>((R8/M8)-1)</f>
        <v>8.234698752841707E-2</v>
      </c>
      <c r="S46" s="1542">
        <f>((S8/N8)-1)</f>
        <v>8.2114757298583418E-2</v>
      </c>
      <c r="T46" s="1542">
        <f>((T8/O8)-1)</f>
        <v>6.5224924442623067E-2</v>
      </c>
      <c r="U46" s="1542">
        <f>((U8/P8)-1)</f>
        <v>4.474232505384923E-2</v>
      </c>
      <c r="V46" s="1541"/>
      <c r="W46" s="1542">
        <f>((W8/R8)-1)</f>
        <v>-0.9986526946962232</v>
      </c>
      <c r="X46" s="1542">
        <f>((X8/S8)-1)</f>
        <v>-0.99721956011155577</v>
      </c>
      <c r="Y46" s="1542">
        <f>((Y8/T8)-1)</f>
        <v>-0.9974648607951031</v>
      </c>
      <c r="Z46" s="1542">
        <f>((Z8/U8)-1)</f>
        <v>-0.99698813941088948</v>
      </c>
      <c r="AA46" s="1541"/>
      <c r="AB46" s="1542">
        <f>((AB8/W8)-1)</f>
        <v>815.28987922023259</v>
      </c>
      <c r="AC46" s="1542">
        <f>((AC8/X8)-1)</f>
        <v>414.77642738833606</v>
      </c>
      <c r="AD46" s="1542">
        <f>((AD8/Y8)-1)</f>
        <v>420.96946128085318</v>
      </c>
      <c r="AE46" s="1542">
        <f>((AE8/Z8)-1)</f>
        <v>371.5952808679304</v>
      </c>
      <c r="AF46" s="1541"/>
      <c r="AG46" s="1542">
        <f>((AG8/AB8)-1)</f>
        <v>-1.6535208975013704E-3</v>
      </c>
      <c r="AH46" s="1542">
        <f>((AH8/AC8)-1)</f>
        <v>3.6216682226419827E-2</v>
      </c>
      <c r="AI46" s="1542">
        <f>((AI8/AD8)-1)</f>
        <v>3.6808745250160868E-4</v>
      </c>
      <c r="AJ46" s="1542">
        <f>((AJ8/AE8)-1)</f>
        <v>6.4042960898587964E-2</v>
      </c>
      <c r="AK46" s="1541"/>
      <c r="AL46" s="1542">
        <f>((AL8/AG8)-1)</f>
        <v>5.1727856959125518E-2</v>
      </c>
      <c r="AM46" s="1542">
        <f>((AM8/AH8)-1)</f>
        <v>7.1129655973785066E-2</v>
      </c>
      <c r="AN46" s="1542">
        <f>((AN8/AI8)-1)</f>
        <v>0.11810572382135098</v>
      </c>
      <c r="AO46" s="1542">
        <f>((AO8/AJ8)-1)</f>
        <v>0.13641297227455285</v>
      </c>
      <c r="AP46" s="1542"/>
      <c r="AQ46" s="1542">
        <f>((AQ8/AL8)-1)</f>
        <v>0.11253816034059172</v>
      </c>
      <c r="AR46" s="1542">
        <f>((AR8/AM8)-1)</f>
        <v>6.9370524383703724E-2</v>
      </c>
      <c r="AS46" s="1542">
        <f>((AS8/AN8)-1)</f>
        <v>-9.0711192772987115E-2</v>
      </c>
      <c r="AT46" s="1542">
        <f>((AT8/AO8)-1)</f>
        <v>-0.19786756882869838</v>
      </c>
      <c r="AU46" s="1542"/>
      <c r="AV46" s="1542">
        <f>((AV8/AQ8)-1)</f>
        <v>-0.166935616136622</v>
      </c>
      <c r="AW46" s="1542">
        <f>((AW8/AR8)-1)</f>
        <v>-0.12947905111016189</v>
      </c>
      <c r="AX46" s="1542">
        <f>((AX8/AS8)-1)</f>
        <v>-4.207780754446977E-2</v>
      </c>
      <c r="AY46" s="1542">
        <f>((AY8/AT8)-1)</f>
        <v>-7.3487212019537007E-2</v>
      </c>
      <c r="AZ46" s="1542"/>
      <c r="BA46" s="1542">
        <f>((BA8/AV8)-1)</f>
        <v>-0.10381069679665422</v>
      </c>
      <c r="BB46" s="1542">
        <f>((BB8/AW8)-1)</f>
        <v>-9.5303885542880606E-2</v>
      </c>
      <c r="BC46" s="1542">
        <f>((BC8/AX8)-1)</f>
        <v>-3.522720857417061E-2</v>
      </c>
      <c r="BD46" s="1542">
        <f>((BD8/AY8)-1)</f>
        <v>2.415497699510083E-2</v>
      </c>
      <c r="BE46" s="1542"/>
      <c r="BF46" s="1542">
        <f>((BG8/BA8)-1)</f>
        <v>0.2998272121453458</v>
      </c>
      <c r="BG46" s="1542">
        <f>((BG8/BB8)-1)</f>
        <v>8.5115237030692903E-2</v>
      </c>
      <c r="BH46" s="1542">
        <f>((BH8/BC8)-1)</f>
        <v>0.11595356748396024</v>
      </c>
      <c r="BI46" s="1542">
        <f>((BI8/BD8)-1)</f>
        <v>0.12813023119772082</v>
      </c>
      <c r="BJ46" s="1542"/>
      <c r="BK46" s="1542">
        <f>((BK8/BG8)-1)</f>
        <v>-1.1368065248315684E-2</v>
      </c>
      <c r="BL46" s="1542">
        <f>((BL8/BG8)-1)</f>
        <v>9.6153417376065198E-2</v>
      </c>
      <c r="BM46" s="1542">
        <f>((BM8/BH8)-1)</f>
        <v>9.5820652908279458E-2</v>
      </c>
      <c r="BN46" s="1542">
        <f>((BN8/BI8)-1)</f>
        <v>1.7236230634342764E-2</v>
      </c>
      <c r="BO46" s="1542"/>
      <c r="BP46" s="1543">
        <f>((BP8/BK8)-1)</f>
        <v>-2.8521657704924985E-2</v>
      </c>
      <c r="BQ46" s="1543">
        <f>((BQ8/BL8)-1)</f>
        <v>-2.4016174864277318E-2</v>
      </c>
      <c r="BR46" s="1543">
        <f>((BR8/BM8)-1)</f>
        <v>-5.6699119360271055E-2</v>
      </c>
      <c r="BS46" s="1543">
        <f>((BS8/BN8)-1)</f>
        <v>9.6761246005462764E-2</v>
      </c>
      <c r="BT46" s="1543"/>
      <c r="BU46" s="1543">
        <f>((BU8/BP8)-1)</f>
        <v>5.3009958287367764E-2</v>
      </c>
      <c r="BV46" s="1543">
        <f>((BV8/BQ8)-1)</f>
        <v>4.8707015130674103E-2</v>
      </c>
      <c r="BW46" s="1543">
        <f>((BW8/BR8)-1)</f>
        <v>5.8969197473988988E-2</v>
      </c>
      <c r="BX46" s="1560">
        <f>((BX8/BS8)-1)</f>
        <v>-9.6952912179558703E-3</v>
      </c>
      <c r="BY46" s="1543"/>
      <c r="BZ46" s="1543">
        <f>((BZ8/BU8)-1)</f>
        <v>5.4354670020053231E-2</v>
      </c>
      <c r="CA46" s="1543">
        <f>((CA8/BV8)-1)</f>
        <v>6.3339021038946397E-2</v>
      </c>
      <c r="CB46" s="1543">
        <f>((CB8/BW8)-1)</f>
        <v>6.8059916530291087E-2</v>
      </c>
      <c r="CC46" s="1560">
        <f>((CC8/BX8)-1)</f>
        <v>6.5602343720944978E-2</v>
      </c>
      <c r="CD46" s="1543"/>
      <c r="CE46" s="1543">
        <f>((CE8/BZ8)-1)</f>
        <v>5.0479878556224156E-2</v>
      </c>
      <c r="CF46" s="1543">
        <f>((CF8/CA8)-1)</f>
        <v>3.3613288324235935E-2</v>
      </c>
      <c r="CG46" s="1543">
        <f>((CG8/CB8)-1)</f>
        <v>7.0174409653746439E-2</v>
      </c>
      <c r="CH46" s="1560">
        <f>((CH8/CC8)-1)</f>
        <v>8.021117388050425E-2</v>
      </c>
      <c r="CI46" s="1543"/>
      <c r="CJ46" s="1543">
        <f>((CJ8/CE8)-1)</f>
        <v>4.0556717340668014E-2</v>
      </c>
      <c r="CK46" s="1543">
        <f>((CK8/CF8)-1)</f>
        <v>4.5025797065495698E-2</v>
      </c>
      <c r="CL46" s="1543">
        <f>((CL8/CG8)-1)</f>
        <v>4.0056818754218515E-2</v>
      </c>
      <c r="CM46" s="1560">
        <f>((CM8/CH8)-1)</f>
        <v>2.1488774047283776E-2</v>
      </c>
      <c r="CN46" s="1543"/>
      <c r="CO46" s="1543">
        <f>((CO8/CJ8)-1)</f>
        <v>-6.7828824916836061E-2</v>
      </c>
      <c r="CP46" s="1543">
        <f>((CP8/CK8)-1)</f>
        <v>-4.6621430825706467E-2</v>
      </c>
      <c r="CQ46" s="1543">
        <f>((CQ8/CL8)-1)</f>
        <v>1.4260092778747957E-2</v>
      </c>
      <c r="CR46" s="1560">
        <f>((CR8/CM8)-1)</f>
        <v>7.4310783669299996E-2</v>
      </c>
      <c r="CS46" s="1543"/>
      <c r="CT46" s="1543">
        <f>((CT8/CO8)-1)</f>
        <v>6.8827999079489777E-2</v>
      </c>
      <c r="CU46" s="1543">
        <f>((CU8/CP8)-1)</f>
        <v>5.4332719037879507E-2</v>
      </c>
      <c r="CV46" s="1543">
        <f>((CV8/CQ8)-1)</f>
        <v>5.8103390419620204E-2</v>
      </c>
      <c r="CW46" s="1560">
        <f>((CW8/CR8)-1)</f>
        <v>9.1754277859212863E-3</v>
      </c>
      <c r="CX46" s="1544"/>
      <c r="CY46" s="1561">
        <f>'yrP&amp;L'!H8</f>
        <v>9.6854672567959293E-2</v>
      </c>
      <c r="CZ46" s="1561">
        <f>'yrP&amp;L'!I8</f>
        <v>-3.2164571705666299E-2</v>
      </c>
      <c r="DA46" s="1561">
        <f>'yrP&amp;L'!J8</f>
        <v>5.6156433782114469E-2</v>
      </c>
      <c r="DB46" s="1545">
        <f t="shared" ref="DB46:DW46" si="26">((DB8/DA8)-1)</f>
        <v>-0.13760355956675996</v>
      </c>
      <c r="DC46" s="1545">
        <f t="shared" si="26"/>
        <v>6.9434755839276274E-2</v>
      </c>
      <c r="DD46" s="1562">
        <f t="shared" si="26"/>
        <v>-2.7281741466909426E-2</v>
      </c>
      <c r="DE46" s="1562">
        <f t="shared" si="26"/>
        <v>6.5244449243531788E-2</v>
      </c>
      <c r="DF46" s="1562">
        <f t="shared" si="26"/>
        <v>5.7958206458192274E-2</v>
      </c>
      <c r="DG46" s="1562">
        <f t="shared" si="26"/>
        <v>5.3079938406716431E-2</v>
      </c>
      <c r="DH46" s="1563">
        <f t="shared" si="26"/>
        <v>3.0893533292688513E-2</v>
      </c>
      <c r="DI46" s="1563">
        <f t="shared" si="26"/>
        <v>0.10017880252826883</v>
      </c>
      <c r="DJ46" s="1563">
        <f t="shared" si="26"/>
        <v>-5.4751471777732208E-2</v>
      </c>
      <c r="DK46" s="1563">
        <f t="shared" si="26"/>
        <v>-0.10347500705903256</v>
      </c>
      <c r="DL46" s="1563">
        <f t="shared" si="26"/>
        <v>-4.5361878849867532E-2</v>
      </c>
      <c r="DM46" s="1563">
        <f t="shared" si="26"/>
        <v>0.11361614403634257</v>
      </c>
      <c r="DN46" s="1563">
        <f t="shared" si="26"/>
        <v>7.8091989017689878E-2</v>
      </c>
      <c r="DO46" s="1563">
        <f t="shared" si="26"/>
        <v>9.1329620094486863E-3</v>
      </c>
      <c r="DP46" s="1563">
        <f t="shared" si="26"/>
        <v>3.0076438149007734E-2</v>
      </c>
      <c r="DQ46" s="1563">
        <f t="shared" si="26"/>
        <v>6.3198335203868528E-2</v>
      </c>
      <c r="DR46" s="1563">
        <f t="shared" si="26"/>
        <v>6.1089779519227116E-2</v>
      </c>
      <c r="DS46" s="1563">
        <f t="shared" si="26"/>
        <v>3.4586424345467437E-2</v>
      </c>
      <c r="DT46" s="1563">
        <f t="shared" si="26"/>
        <v>4.6255243498918297E-3</v>
      </c>
      <c r="DU46" s="1563">
        <f t="shared" si="26"/>
        <v>4.0678870770162412E-2</v>
      </c>
      <c r="DV46" s="1563">
        <f t="shared" si="26"/>
        <v>4.6343991938144979E-2</v>
      </c>
      <c r="DW46" s="1564">
        <f t="shared" si="26"/>
        <v>4.7176956799087399E-2</v>
      </c>
      <c r="DX46" s="1563"/>
    </row>
    <row r="47" spans="1:134">
      <c r="A47" s="1528" t="s">
        <v>649</v>
      </c>
      <c r="B47" s="1565"/>
      <c r="C47" s="1548"/>
      <c r="D47" s="1548"/>
      <c r="E47" s="1548"/>
      <c r="F47" s="1548"/>
      <c r="G47" s="1566"/>
      <c r="H47" s="1567">
        <f>'qtrP&amp;L'!$AV10/100</f>
        <v>0.09</v>
      </c>
      <c r="I47" s="1567">
        <f>'qtrP&amp;L'!$AV11/100</f>
        <v>7.0000000000000007E-2</v>
      </c>
      <c r="J47" s="1567">
        <f>'qtrP&amp;L'!$AV12/100</f>
        <v>0.08</v>
      </c>
      <c r="K47" s="1567">
        <f>'qtrP&amp;L'!$AV13/100</f>
        <v>0.01</v>
      </c>
      <c r="L47" s="1567"/>
      <c r="M47" s="1568">
        <f>'qtrP&amp;L'!$AZ10/100</f>
        <v>-0.03</v>
      </c>
      <c r="N47" s="1568">
        <f>'qtrP&amp;L'!$AZ11/100</f>
        <v>-0.05</v>
      </c>
      <c r="O47" s="1568">
        <f>'qtrP&amp;L'!$AZ12/100</f>
        <v>-7.0000000000000007E-2</v>
      </c>
      <c r="P47" s="1568">
        <f>'qtrP&amp;L'!$AZ13/100</f>
        <v>-0.01</v>
      </c>
      <c r="Q47" s="1568"/>
      <c r="R47" s="1568">
        <f>+'qtrP&amp;L'!$BD$10/100</f>
        <v>0.04</v>
      </c>
      <c r="S47" s="1568">
        <f>+'qtrP&amp;L'!$BD$11/100</f>
        <v>0.04</v>
      </c>
      <c r="T47" s="1568">
        <f>+'qtrP&amp;L'!$BD$12/100</f>
        <v>0.04</v>
      </c>
      <c r="U47" s="1568">
        <f>+'qtrP&amp;L'!$BD$13/100</f>
        <v>0</v>
      </c>
      <c r="V47" s="1569"/>
      <c r="W47" s="1568">
        <f>+'qtrP&amp;L'!$BH$10/100</f>
        <v>-0.01</v>
      </c>
      <c r="X47" s="1568">
        <f>+'qtrP&amp;L'!$BH$11/100</f>
        <v>0.03</v>
      </c>
      <c r="Y47" s="1568">
        <f>+'qtrP&amp;L'!$BH$12/100</f>
        <v>0.02</v>
      </c>
      <c r="Z47" s="1568">
        <f>+'qtrP&amp;L'!$BH$13/100</f>
        <v>0.08</v>
      </c>
      <c r="AA47" s="1569"/>
      <c r="AB47" s="1568">
        <f>+'qtrP&amp;L'!$BL$10/100</f>
        <v>0.08</v>
      </c>
      <c r="AC47" s="1568">
        <f>+'qtrP&amp;L'!$BL$11/100</f>
        <v>0.09</v>
      </c>
      <c r="AD47" s="1568">
        <f>+'qtrP&amp;L'!$BL$12/100</f>
        <v>0.01</v>
      </c>
      <c r="AE47" s="1568">
        <f>+'qtrP&amp;L'!$BL$13/100</f>
        <v>0.02</v>
      </c>
      <c r="AF47" s="1569"/>
      <c r="AG47" s="1568">
        <f>+'qtrP&amp;L'!$BP$10/100</f>
        <v>-0.05</v>
      </c>
      <c r="AH47" s="1568">
        <f>+'qtrP&amp;L'!$BP$11/100</f>
        <v>0</v>
      </c>
      <c r="AI47" s="1568">
        <f>+'qtrP&amp;L'!$BP$12/100</f>
        <v>-0.03</v>
      </c>
      <c r="AJ47" s="1568">
        <f>+'qtrP&amp;L'!$BP$13/100</f>
        <v>0.03</v>
      </c>
      <c r="AK47" s="1569"/>
      <c r="AL47" s="1568">
        <f>+'qtrP&amp;L'!$BX$10/100</f>
        <v>0.05</v>
      </c>
      <c r="AM47" s="1568">
        <f>+'qtrP&amp;L'!$BX$11/100</f>
        <v>0.05</v>
      </c>
      <c r="AN47" s="1568">
        <f>+'qtrP&amp;L'!$BX$12/100</f>
        <v>0.1</v>
      </c>
      <c r="AO47" s="1568">
        <f>+'qtrP&amp;L'!$BX$13/100</f>
        <v>0.08</v>
      </c>
      <c r="AP47" s="1568"/>
      <c r="AQ47" s="1568">
        <f>+'qtrP&amp;L'!$CB$10/100</f>
        <v>0.04</v>
      </c>
      <c r="AR47" s="1568">
        <f>+'qtrP&amp;L'!$CB$11/100</f>
        <v>0.02</v>
      </c>
      <c r="AS47" s="1568">
        <f>+'qtrP&amp;L'!$CB$12/100</f>
        <v>-0.03</v>
      </c>
      <c r="AT47" s="1568">
        <f>+'qtrP&amp;L'!$CB$13/100</f>
        <v>-0.08</v>
      </c>
      <c r="AU47" s="1568"/>
      <c r="AV47" s="1568">
        <f>'qtrP&amp;L'!CF10/100</f>
        <v>-0.08</v>
      </c>
      <c r="AW47" s="1568">
        <f>'qtrP&amp;L'!CF11/100</f>
        <v>-7.0000000000000007E-2</v>
      </c>
      <c r="AX47" s="1568">
        <f>'qtrP&amp;L'!CF12/100</f>
        <v>-7.0000000000000007E-2</v>
      </c>
      <c r="AY47" s="1568">
        <f>'qtrP&amp;L'!CF13/100</f>
        <v>-0.1</v>
      </c>
      <c r="AZ47" s="1568"/>
      <c r="BA47" s="1568">
        <f>0.01*'qtrP&amp;L'!$CJ$10</f>
        <v>-7.0000000000000007E-2</v>
      </c>
      <c r="BB47" s="1568">
        <f>0.01*'qtrP&amp;L'!$CJ$11</f>
        <v>-0.09</v>
      </c>
      <c r="BC47" s="1568">
        <f>0.01*'qtrP&amp;L'!$CJ$12</f>
        <v>-0.02</v>
      </c>
      <c r="BD47" s="1568">
        <f>0.01*'qtrP&amp;L'!$CJ$13</f>
        <v>0.01</v>
      </c>
      <c r="BE47" s="1568"/>
      <c r="BF47" s="1568">
        <f>0.01*'qtrP&amp;L'!$CN$10</f>
        <v>0.1</v>
      </c>
      <c r="BG47" s="1568">
        <f>0.01*'qtrP&amp;L'!$CN$11</f>
        <v>7.0000000000000007E-2</v>
      </c>
      <c r="BH47" s="1568">
        <f>0.01*'qtrP&amp;L'!$CN$12</f>
        <v>0.1</v>
      </c>
      <c r="BI47" s="1568">
        <f>0.01*'qtrP&amp;L'!$CN$13</f>
        <v>0.1</v>
      </c>
      <c r="BJ47" s="1568"/>
      <c r="BK47" s="1568">
        <f>0.01*'qtrP&amp;L'!$CR$10</f>
        <v>0.15</v>
      </c>
      <c r="BL47" s="1568">
        <f>0.01*'qtrP&amp;L'!$CR$11</f>
        <v>0.09</v>
      </c>
      <c r="BM47" s="1568">
        <f>0.01*'qtrP&amp;L'!$CR$12</f>
        <v>0.09</v>
      </c>
      <c r="BN47" s="1568">
        <f>0.01*'qtrP&amp;L'!$CR$13</f>
        <v>7.0999999999999994E-2</v>
      </c>
      <c r="BO47" s="1568"/>
      <c r="BP47" s="1570">
        <f>0.01*'qtrP&amp;L'!$CV$10</f>
        <v>7.0000000000000007E-2</v>
      </c>
      <c r="BQ47" s="1570">
        <f>0.01*'qtrP&amp;L'!$CV$11</f>
        <v>0.08</v>
      </c>
      <c r="BR47" s="1570">
        <f>0.01*'qtrP&amp;L'!$CV$12</f>
        <v>0.05</v>
      </c>
      <c r="BS47" s="1570">
        <f>0.01*'qtrP&amp;L'!$CV$13</f>
        <v>0.05</v>
      </c>
      <c r="BT47" s="1570"/>
      <c r="BU47" s="1570">
        <f>0.01*'qtrP&amp;L'!$CZ$10</f>
        <v>0.03</v>
      </c>
      <c r="BV47" s="1570">
        <f>0.01*'qtrP&amp;L'!$CZ$11</f>
        <v>0.02</v>
      </c>
      <c r="BW47" s="1570">
        <f>0.01*'qtrP&amp;L'!$CZ$12</f>
        <v>0.03</v>
      </c>
      <c r="BX47" s="1571">
        <f>0.01*'qtrP&amp;L'!$CZ$13</f>
        <v>0.01</v>
      </c>
      <c r="BY47" s="1570"/>
      <c r="BZ47" s="1687">
        <f>0.01*'qtrP&amp;L'!$DD$10</f>
        <v>0.02</v>
      </c>
      <c r="CA47" s="1687">
        <f>0.01*'qtrP&amp;L'!$DD$11</f>
        <v>0.03</v>
      </c>
      <c r="CB47" s="1687">
        <f>0.01*'qtrP&amp;L'!$DD$12</f>
        <v>0.05</v>
      </c>
      <c r="CC47" s="1688">
        <f>0.01*'qtrP&amp;L'!$DD$13</f>
        <v>0.06</v>
      </c>
      <c r="CD47" s="1570"/>
      <c r="CE47" s="1687">
        <f>0.01*'qtrP&amp;L'!$DH$10</f>
        <v>0.05</v>
      </c>
      <c r="CF47" s="1687">
        <f>0.01*'qtrP&amp;L'!$DH$11</f>
        <v>0.04</v>
      </c>
      <c r="CG47" s="1687">
        <f>0.01*'qtrP&amp;L'!$DH$12</f>
        <v>7.0000000000000007E-2</v>
      </c>
      <c r="CH47" s="1688">
        <f>0.01*'qtrP&amp;L'!$DH$13</f>
        <v>0.06</v>
      </c>
      <c r="CI47" s="1687"/>
      <c r="CJ47" s="1687">
        <f>0.01*'qtrP&amp;L'!$DL$10</f>
        <v>0.03</v>
      </c>
      <c r="CK47" s="1688">
        <f>0.01*'qtrP&amp;L'!$DL$11</f>
        <v>0.03</v>
      </c>
      <c r="CL47" s="1687">
        <f>0.01*'qtrP&amp;L'!$DL$12</f>
        <v>0.02</v>
      </c>
      <c r="CM47" s="1688">
        <f>0.01*'qtrP&amp;L'!$DL$13</f>
        <v>0</v>
      </c>
      <c r="CN47" s="1687"/>
      <c r="CO47" s="1687">
        <f>0.01*'qtrP&amp;L'!$DP$10</f>
        <v>-0.09</v>
      </c>
      <c r="CP47" s="1688">
        <f>0.01*'qtrP&amp;L'!$DP$11</f>
        <v>-0.08</v>
      </c>
      <c r="CQ47" s="1687">
        <f>0.01*'qtrP&amp;L'!$DP$12</f>
        <v>-0.01</v>
      </c>
      <c r="CR47" s="1688">
        <f>0.01*'qtrP&amp;L'!$DP$13</f>
        <v>0.02</v>
      </c>
      <c r="CS47" s="1687"/>
      <c r="CT47" s="1687">
        <f>0.01*'qtrP&amp;L'!$DT$10</f>
        <v>2.3243581195333797E-2</v>
      </c>
      <c r="CU47" s="1688">
        <f>0.01*'qtrP&amp;L'!$DT$11</f>
        <v>2.1069722228087021E-2</v>
      </c>
      <c r="CV47" s="1687">
        <f>0.01*'qtrP&amp;L'!$DT$12</f>
        <v>2.4935549770768138E-2</v>
      </c>
      <c r="CW47" s="1688">
        <f>0.01*'qtrP&amp;L'!$DT$13</f>
        <v>1.9552233969749644E-2</v>
      </c>
      <c r="CX47" s="1572"/>
      <c r="CY47" s="1573">
        <f>yrSales!R39</f>
        <v>0.03</v>
      </c>
      <c r="CZ47" s="1573">
        <f>yrSales!S39</f>
        <v>0</v>
      </c>
      <c r="DA47" s="1573">
        <f>yrSales!T39</f>
        <v>0.06</v>
      </c>
      <c r="DB47" s="1573">
        <f>yrSales!U39</f>
        <v>0.08</v>
      </c>
      <c r="DC47" s="1573">
        <f>yrSales!V39</f>
        <v>0.05</v>
      </c>
      <c r="DD47" s="1574">
        <f>yrSales!W39</f>
        <v>-0.03</v>
      </c>
      <c r="DE47" s="1575">
        <f>yrSales!X39</f>
        <v>0.03</v>
      </c>
      <c r="DF47" s="1575">
        <f>yrSales!Y39</f>
        <v>0.04</v>
      </c>
      <c r="DG47" s="1575">
        <f>yrSales!Z39</f>
        <v>0.04</v>
      </c>
      <c r="DH47" s="1576">
        <f>yrSales!AA39</f>
        <v>-0.01</v>
      </c>
      <c r="DI47" s="1576">
        <f>yrSales!AB39</f>
        <v>7.0000000000000007E-2</v>
      </c>
      <c r="DJ47" s="1576">
        <f>yrSales!AC39</f>
        <v>-0.02</v>
      </c>
      <c r="DK47" s="1576">
        <f>yrSales!AD39</f>
        <v>-0.09</v>
      </c>
      <c r="DL47" s="1576">
        <f>yrSales!AE39</f>
        <v>-0.04</v>
      </c>
      <c r="DM47">
        <f>yrSales!AF39</f>
        <v>0.09</v>
      </c>
      <c r="DN47" s="2796">
        <f>yrSales!AG39</f>
        <v>9.5188161934013527E-2</v>
      </c>
      <c r="DO47" s="2796">
        <f>yrSales!AH39</f>
        <v>0.06</v>
      </c>
      <c r="DP47" s="2796">
        <f>yrSales!AI39</f>
        <v>0.02</v>
      </c>
      <c r="DQ47" s="2796">
        <f>yrSales!AJ39</f>
        <v>0.04</v>
      </c>
      <c r="DR47" s="2796">
        <f>yrSales!AK39</f>
        <v>0.05</v>
      </c>
      <c r="DS47" s="2797">
        <f>yrSales!AL39</f>
        <v>2.0243884366354766E-2</v>
      </c>
      <c r="DT47" s="1573">
        <f>yrSales!AM39</f>
        <v>-0.03</v>
      </c>
      <c r="DU47" s="1573">
        <f>yrSales!AN39</f>
        <v>2.1757017117429368E-2</v>
      </c>
      <c r="DV47" s="1573">
        <f>yrSales!AO39</f>
        <v>3.0805458257625769E-2</v>
      </c>
      <c r="DW47" s="2578">
        <f>yrSales!AP39</f>
        <v>3.1595720783191367E-2</v>
      </c>
      <c r="DX47" s="1576"/>
    </row>
    <row r="48" spans="1:134">
      <c r="A48" s="1528" t="s">
        <v>650</v>
      </c>
      <c r="B48" s="1529"/>
      <c r="C48" s="1548"/>
      <c r="D48" s="1548"/>
      <c r="E48" s="1548"/>
      <c r="F48" s="1548"/>
      <c r="G48" s="1541"/>
      <c r="H48" s="1542">
        <f>((H14/C14)-1)</f>
        <v>9.126024298051183E-2</v>
      </c>
      <c r="I48" s="1542">
        <f>((I14/D14)-1)</f>
        <v>4.3549037438660232E-2</v>
      </c>
      <c r="J48" s="1542">
        <f>((J14/E14)-1)</f>
        <v>0.11746363363596957</v>
      </c>
      <c r="K48" s="1542">
        <f>((K14/F14)-1)</f>
        <v>0.12467024648277092</v>
      </c>
      <c r="L48" s="1542"/>
      <c r="M48" s="1542">
        <f>((M14/H14)-1)</f>
        <v>5.5283761461704328E-2</v>
      </c>
      <c r="N48" s="1542">
        <f>((N14/I14)-1)</f>
        <v>5.2437412780720338E-2</v>
      </c>
      <c r="O48" s="1542">
        <f>((O14/J14)-1)</f>
        <v>3.8879364182773379E-2</v>
      </c>
      <c r="P48" s="1542">
        <f>((P14/K14)-1)</f>
        <v>-3.3524383503562349E-2</v>
      </c>
      <c r="Q48" s="1542"/>
      <c r="R48" s="1542">
        <f>((R14/M14)-1)</f>
        <v>-1.4664688747222376E-2</v>
      </c>
      <c r="S48" s="1542">
        <f>((S14/N14)-1)</f>
        <v>4.3392081238099678E-2</v>
      </c>
      <c r="T48" s="1542">
        <f>((T14/O14)-1)</f>
        <v>4.6855077402581546E-2</v>
      </c>
      <c r="U48" s="1542">
        <f>((U14/P14)-1)</f>
        <v>1.3972668845554814E-2</v>
      </c>
      <c r="V48" s="1541"/>
      <c r="W48" s="1542">
        <f>((W14/R14)-1)</f>
        <v>-0.9448039721908964</v>
      </c>
      <c r="X48" s="1542">
        <f>((X14/S14)-1)</f>
        <v>-0.95051428723953457</v>
      </c>
      <c r="Y48" s="1542">
        <f>((Y14/T14)-1)</f>
        <v>-0.94492996193563106</v>
      </c>
      <c r="Z48" s="1542">
        <f>((Z14/U14)-1)</f>
        <v>-0.96612025716011551</v>
      </c>
      <c r="AA48" s="1541"/>
      <c r="AB48" s="1542">
        <f>((AB14/W14)-1)</f>
        <v>19.47284231507275</v>
      </c>
      <c r="AC48" s="1542">
        <f>((AC14/X14)-1)</f>
        <v>20.71738560607967</v>
      </c>
      <c r="AD48" s="1542">
        <f>((AD14/Y14)-1)</f>
        <v>17.647557444799883</v>
      </c>
      <c r="AE48" s="1542">
        <f>((AE14/Z14)-1)</f>
        <v>29.733042346093963</v>
      </c>
      <c r="AF48" s="1541"/>
      <c r="AG48" s="1542">
        <f>((AG14/AB14)-1)</f>
        <v>1.5123232649255636E-2</v>
      </c>
      <c r="AH48" s="1542">
        <f>((AH14/AC14)-1)</f>
        <v>2.9811548796862652E-2</v>
      </c>
      <c r="AI48" s="1542">
        <f>((AI14/AD14)-1)</f>
        <v>4.4263074569612648E-2</v>
      </c>
      <c r="AJ48" s="1542">
        <f>((AJ14/AE14)-1)</f>
        <v>0.11319813903790932</v>
      </c>
      <c r="AK48" s="1541"/>
      <c r="AL48" s="1542">
        <f>((AL14/AG14)-1)</f>
        <v>6.484502374942358E-2</v>
      </c>
      <c r="AM48" s="1542">
        <f>((AM14/AH14)-1)</f>
        <v>0.10997336490085829</v>
      </c>
      <c r="AN48" s="1542">
        <f>((AN14/AI14)-1)</f>
        <v>0.18150904526726519</v>
      </c>
      <c r="AO48" s="1542">
        <f>((AO14/AJ14)-1)</f>
        <v>0.18037308548064779</v>
      </c>
      <c r="AP48" s="1542"/>
      <c r="AQ48" s="1542">
        <f>((AQ14/AL14)-1)</f>
        <v>0.13835432601948483</v>
      </c>
      <c r="AR48" s="1542">
        <f>((AR14/AM14)-1)</f>
        <v>2.1843362204904349E-2</v>
      </c>
      <c r="AS48" s="1542">
        <f>((AS14/AN14)-1)</f>
        <v>-0.17685019731011609</v>
      </c>
      <c r="AT48" s="1542">
        <f>((AT14/AO14)-1)</f>
        <v>-0.23738317757009342</v>
      </c>
      <c r="AU48" s="1542"/>
      <c r="AV48" s="1542">
        <f>((AV14/AQ14)-1)</f>
        <v>-0.2121043435684381</v>
      </c>
      <c r="AW48" s="1542">
        <f>((AW14/AR14)-1)</f>
        <v>-0.14235446374789018</v>
      </c>
      <c r="AX48" s="1542">
        <f>((AX14/AS14)-1)</f>
        <v>-5.4682417634444147E-2</v>
      </c>
      <c r="AY48" s="1542">
        <f>((AY14/AT14)-1)</f>
        <v>-6.1185652508737753E-2</v>
      </c>
      <c r="AZ48" s="1542"/>
      <c r="BA48" s="1542">
        <f>((BA14/AV14)-1)</f>
        <v>-0.10641414515055103</v>
      </c>
      <c r="BB48" s="1542">
        <f>((BB14/AW14)-1)</f>
        <v>-9.7093961225000691E-2</v>
      </c>
      <c r="BC48" s="1542">
        <f>((BC14/AX14)-1)</f>
        <v>-6.5376510828998868E-2</v>
      </c>
      <c r="BD48" s="1542">
        <f>((BD14/AY14)-1)</f>
        <v>4.6548093228694354E-2</v>
      </c>
      <c r="BE48" s="1542"/>
      <c r="BF48" s="1542">
        <f>((BG14/BA14)-1)</f>
        <v>0.11981107081946574</v>
      </c>
      <c r="BG48" s="1542">
        <f>((BG14/BB14)-1)</f>
        <v>4.1712395497587318E-2</v>
      </c>
      <c r="BH48" s="1542">
        <f>((BH14/BC14)-1)</f>
        <v>0.12171959441356073</v>
      </c>
      <c r="BI48" s="1542">
        <f>((BI14/BD14)-1)</f>
        <v>0.10222283184586844</v>
      </c>
      <c r="BJ48" s="1542"/>
      <c r="BK48" s="1542">
        <f>((BK14/BG14)-1)</f>
        <v>6.261205478439269E-2</v>
      </c>
      <c r="BL48" s="1542">
        <f>((BL14/BG14)-1)</f>
        <v>0.10000739330536224</v>
      </c>
      <c r="BM48" s="1542">
        <f>((BM14/BH14)-1)</f>
        <v>6.0124594607505744E-2</v>
      </c>
      <c r="BN48" s="1542">
        <f>((BN14/BI14)-1)</f>
        <v>3.6720633544432779E-2</v>
      </c>
      <c r="BO48" s="1542"/>
      <c r="BP48" s="1543">
        <f>((BP14/BK14)-1)</f>
        <v>5.8846244162078953E-2</v>
      </c>
      <c r="BQ48" s="1543">
        <f>((BQ14/BL14)-1)</f>
        <v>6.9333615621276934E-2</v>
      </c>
      <c r="BR48" s="1543">
        <f>((BR14/BM14)-1)</f>
        <v>6.5094504944298581E-2</v>
      </c>
      <c r="BS48" s="1543">
        <f>((BS14/BN14)-1)</f>
        <v>0.10186478618340788</v>
      </c>
      <c r="BT48" s="1543"/>
      <c r="BU48" s="1543">
        <f>((BU14/BP14)-1)</f>
        <v>3.5309230930978375E-2</v>
      </c>
      <c r="BV48" s="1543">
        <f>((BV14/BQ14)-1)</f>
        <v>-8.7696417347580269E-3</v>
      </c>
      <c r="BW48" s="1543">
        <f>((BW14/BR14)-1)</f>
        <v>1.1760041869196325E-2</v>
      </c>
      <c r="BX48" s="1560">
        <f>((BX14/BS14)-1)</f>
        <v>-6.7617831100874159E-2</v>
      </c>
      <c r="BY48" s="1543"/>
      <c r="BZ48" s="1543">
        <f>((BZ14/BU14)-1)</f>
        <v>2.4992463069038351E-2</v>
      </c>
      <c r="CA48" s="1543">
        <f>((CA14/BV14)-1)</f>
        <v>5.9603467872717975E-2</v>
      </c>
      <c r="CB48" s="1543">
        <f>((CB14/BW14)-1)</f>
        <v>2.575722142289627E-2</v>
      </c>
      <c r="CC48" s="1560">
        <f>((CC14/BX14)-1)</f>
        <v>0.12707807982086261</v>
      </c>
      <c r="CD48" s="1543"/>
      <c r="CE48" s="1543">
        <f>((CE14/BZ14)-1)</f>
        <v>5.9034244041233475E-2</v>
      </c>
      <c r="CF48" s="1543">
        <f>((CF14/CA14)-1)</f>
        <v>6.3585959683910342E-2</v>
      </c>
      <c r="CG48" s="1543">
        <f>((CG14/CB14)-1)</f>
        <v>4.5591668000374508E-2</v>
      </c>
      <c r="CH48" s="1560">
        <f>((CH14/CC14)-1)</f>
        <v>5.310554123975586E-2</v>
      </c>
      <c r="CI48" s="1543"/>
      <c r="CJ48" s="1543">
        <f>((CJ14/CE14)-1)</f>
        <v>1.7552578802425334E-2</v>
      </c>
      <c r="CK48" s="1543">
        <f>((CK14/CF14)-1)</f>
        <v>-8.7661058909581646E-3</v>
      </c>
      <c r="CL48" s="1543">
        <f>((CL14/CG14)-1)</f>
        <v>7.1040129384413175E-2</v>
      </c>
      <c r="CM48" s="1560">
        <f>((CM14/CH14)-1)</f>
        <v>3.4654680967293627E-2</v>
      </c>
      <c r="CN48" s="1543"/>
      <c r="CO48" s="1543">
        <f>((CO14/CJ14)-1)</f>
        <v>-3.5424723181501916E-3</v>
      </c>
      <c r="CP48" s="1543">
        <f>((CP14/CK14)-1)</f>
        <v>3.1656562904434304E-2</v>
      </c>
      <c r="CQ48" s="1543">
        <f>((CQ14/CL14)-1)</f>
        <v>2.0193985217862531E-2</v>
      </c>
      <c r="CR48" s="1560">
        <f>((CR14/CM14)-1)</f>
        <v>0.10165075574690707</v>
      </c>
      <c r="CS48" s="1543"/>
      <c r="CT48" s="1543">
        <f>((CT14/CO14)-1)</f>
        <v>0.10377427611811574</v>
      </c>
      <c r="CU48" s="1543">
        <f>((CU14/CP14)-1)</f>
        <v>9.6762941236576472E-2</v>
      </c>
      <c r="CV48" s="1543">
        <f>((CV14/CQ14)-1)</f>
        <v>9.2676742929930001E-2</v>
      </c>
      <c r="CW48" s="1560">
        <f>((CW14/CR14)-1)</f>
        <v>8.3228399007853504E-2</v>
      </c>
      <c r="CX48" s="1544"/>
      <c r="CY48" s="1577">
        <f>CY14/'yrP&amp;L'!G19-1</f>
        <v>0.25280634254085266</v>
      </c>
      <c r="CZ48" s="1545">
        <f t="shared" ref="CZ48:DW48" si="27">((CZ14/CY14)-1)</f>
        <v>8.3824178582556641E-3</v>
      </c>
      <c r="DA48" s="1545">
        <f t="shared" si="27"/>
        <v>0.13742598606121104</v>
      </c>
      <c r="DB48" s="1545">
        <f t="shared" si="27"/>
        <v>-8.5778970554247991E-2</v>
      </c>
      <c r="DC48" s="1545">
        <f t="shared" si="27"/>
        <v>9.5987007198045093E-2</v>
      </c>
      <c r="DD48" s="1546">
        <f t="shared" si="27"/>
        <v>2.3142072232714472E-2</v>
      </c>
      <c r="DE48" s="1562">
        <f t="shared" si="27"/>
        <v>2.2206855429768524E-2</v>
      </c>
      <c r="DF48" s="1562">
        <f t="shared" si="27"/>
        <v>3.4704528115906852E-2</v>
      </c>
      <c r="DG48" s="1562">
        <f t="shared" si="27"/>
        <v>2.9742601976344041E-2</v>
      </c>
      <c r="DH48" s="1563">
        <f t="shared" si="27"/>
        <v>5.3515321049683706E-2</v>
      </c>
      <c r="DI48" s="1563">
        <f t="shared" si="27"/>
        <v>0.13772363610993144</v>
      </c>
      <c r="DJ48" s="1563">
        <f t="shared" si="27"/>
        <v>-8.2810588607213576E-2</v>
      </c>
      <c r="DK48" s="1563">
        <f t="shared" si="27"/>
        <v>-0.120474182484405</v>
      </c>
      <c r="DL48" s="1563">
        <f t="shared" si="27"/>
        <v>-5.2043117108481751E-2</v>
      </c>
      <c r="DM48" s="1563">
        <f t="shared" si="27"/>
        <v>8.1551069542622701E-2</v>
      </c>
      <c r="DN48" s="1563">
        <f t="shared" si="27"/>
        <v>7.6941957323215515E-2</v>
      </c>
      <c r="DO48" s="1563">
        <f t="shared" si="27"/>
        <v>7.570113796432576E-2</v>
      </c>
      <c r="DP48" s="1563">
        <f t="shared" si="27"/>
        <v>-1.2162326691902203E-2</v>
      </c>
      <c r="DQ48" s="1563">
        <f t="shared" si="27"/>
        <v>6.2912015895286499E-2</v>
      </c>
      <c r="DR48" s="1563">
        <f t="shared" si="27"/>
        <v>5.5157922614958554E-2</v>
      </c>
      <c r="DS48" s="1563">
        <f t="shared" si="27"/>
        <v>2.8887300417897555E-2</v>
      </c>
      <c r="DT48" s="1563">
        <f t="shared" si="27"/>
        <v>4.2609380026841004E-2</v>
      </c>
      <c r="DU48" s="1563">
        <f t="shared" si="27"/>
        <v>9.2897369092979742E-2</v>
      </c>
      <c r="DV48" s="1563">
        <f t="shared" si="27"/>
        <v>5.1759665211271511E-2</v>
      </c>
      <c r="DW48" s="1564">
        <f t="shared" si="27"/>
        <v>4.7176956799087622E-2</v>
      </c>
      <c r="DX48" s="1563"/>
    </row>
    <row r="49" spans="1:137">
      <c r="A49" s="1528" t="s">
        <v>651</v>
      </c>
      <c r="B49" s="1529"/>
      <c r="C49" s="1548"/>
      <c r="D49" s="1578"/>
      <c r="E49" s="1548"/>
      <c r="F49" s="1548"/>
      <c r="G49" s="1541"/>
      <c r="H49" s="1542">
        <f>((H17/C17)-1)</f>
        <v>0.80738502097834353</v>
      </c>
      <c r="I49" s="1542">
        <f>((I17/D17)-1)</f>
        <v>0.47791076216009287</v>
      </c>
      <c r="J49" s="1542">
        <f>((J17/E17)-1)</f>
        <v>0.25389779657682499</v>
      </c>
      <c r="K49" s="1542">
        <f>((K17/F17)-1)</f>
        <v>-0.15535829936378565</v>
      </c>
      <c r="L49" s="1542"/>
      <c r="M49" s="1542">
        <f>((M17/H17)-1)</f>
        <v>-0.65711719083534947</v>
      </c>
      <c r="N49" s="1542">
        <f>((N17/I17)-1)</f>
        <v>-0.48998723704754699</v>
      </c>
      <c r="O49" s="1542">
        <f>((O17/J17)-1)</f>
        <v>-1.1736175804348021</v>
      </c>
      <c r="P49" s="1542">
        <f>((P17/K17)-1)</f>
        <v>0.32704884759370434</v>
      </c>
      <c r="Q49" s="1542"/>
      <c r="R49" s="1542">
        <f>((R17/M17)-1)</f>
        <v>2.3239864076158887</v>
      </c>
      <c r="S49" s="1542">
        <f>((S17/N17)-1)</f>
        <v>0.76155331419425232</v>
      </c>
      <c r="T49" s="1542">
        <f>((T17/O17)-1)</f>
        <v>-1.9798362044620244</v>
      </c>
      <c r="U49" s="1542">
        <f>((U17/P17)-1)</f>
        <v>-1.4784854870508735E-3</v>
      </c>
      <c r="V49" s="1541"/>
      <c r="W49" s="1542">
        <f>((W17/R17)-1)</f>
        <v>-1.4524348137474254</v>
      </c>
      <c r="X49" s="1542">
        <f>((X17/S17)-1)</f>
        <v>-1.4039810988614776</v>
      </c>
      <c r="Y49" s="1542">
        <f>((Y17/T17)-1)</f>
        <v>-4.3449392408024918</v>
      </c>
      <c r="Z49" s="1542">
        <f>((Z17/U17)-1)</f>
        <v>-1.0932198958124073</v>
      </c>
      <c r="AA49" s="1541"/>
      <c r="AB49" s="1542">
        <f>((AB17/W17)-1)</f>
        <v>-3.0589773427972169</v>
      </c>
      <c r="AC49" s="1542">
        <f>((AC17/X17)-1)</f>
        <v>-5.0510148424566665</v>
      </c>
      <c r="AD49" s="1542">
        <f>((AD17/Y17)-1)</f>
        <v>-1.915850874598449</v>
      </c>
      <c r="AE49" s="1542">
        <f>((AE17/Z17)-1)</f>
        <v>-12.453554613570255</v>
      </c>
      <c r="AF49" s="1541"/>
      <c r="AG49" s="1542">
        <f>((AG17/AB17)-1)</f>
        <v>0.13408504506919461</v>
      </c>
      <c r="AH49" s="1542">
        <f>((AH17/AC17)-1)</f>
        <v>-0.32428847772348202</v>
      </c>
      <c r="AI49" s="1542">
        <f>((AI17/AD17)-1)</f>
        <v>-0.61810142064164397</v>
      </c>
      <c r="AJ49" s="1542">
        <f>((AJ17/AE17)-1)</f>
        <v>0.10561123969471509</v>
      </c>
      <c r="AK49" s="1541"/>
      <c r="AL49" s="1542">
        <f>((AL17/AG17)-1)</f>
        <v>0.37353188849000518</v>
      </c>
      <c r="AM49" s="1542">
        <f>((AM17/AH17)-1)</f>
        <v>0.28322508281816572</v>
      </c>
      <c r="AN49" s="1542">
        <f>((AN17/AI17)-1)</f>
        <v>2.2784292471423333</v>
      </c>
      <c r="AO49" s="1542">
        <f>((AO17/AJ17)-1)</f>
        <v>4.7890507970697715E-2</v>
      </c>
      <c r="AP49" s="1542"/>
      <c r="AQ49" s="1542">
        <f>((AQ17/AL17)-1)</f>
        <v>-0.41636281501081007</v>
      </c>
      <c r="AR49" s="1542">
        <f>((AR17/AM17)-1)</f>
        <v>-0.27671003150726514</v>
      </c>
      <c r="AS49" s="1542">
        <f>((AS17/AN17)-1)</f>
        <v>-0.45018710831242081</v>
      </c>
      <c r="AT49" s="1542">
        <f>((AT17/AO17)-1)</f>
        <v>-0.21079909743815517</v>
      </c>
      <c r="AU49" s="1542"/>
      <c r="AV49" s="1542">
        <f>((AV17/AQ17)-1)</f>
        <v>-7.451739230591925E-2</v>
      </c>
      <c r="AW49" s="1542">
        <f>((AW17/AR17)-1)</f>
        <v>0.3009225105213944</v>
      </c>
      <c r="AX49" s="1542">
        <f>((AX17/AS17)-1)</f>
        <v>0.12445331292368267</v>
      </c>
      <c r="AY49" s="1542">
        <f>((AY17/AT17)-1)</f>
        <v>-0.31881061423587942</v>
      </c>
      <c r="AZ49" s="1542"/>
      <c r="BA49" s="1542">
        <f>((BA17/AV17)-1)</f>
        <v>-0.35072382962623716</v>
      </c>
      <c r="BB49" s="1542">
        <f>((BB17/AW17)-1)</f>
        <v>-0.19721428610005332</v>
      </c>
      <c r="BC49" s="1542">
        <f>((BC17/AX17)-1)</f>
        <v>0.4314364197680951</v>
      </c>
      <c r="BD49" s="1542">
        <f>((BD17/AY17)-1)</f>
        <v>0.48986141502552649</v>
      </c>
      <c r="BE49" s="1542"/>
      <c r="BF49" s="1542">
        <f>((BG17/BA17)-1)</f>
        <v>2.6259737471631044</v>
      </c>
      <c r="BG49" s="1542">
        <f>((BG17/BB17)-1)</f>
        <v>0.59077117657743905</v>
      </c>
      <c r="BH49" s="1542">
        <f>((BH17/BC17)-1)</f>
        <v>1.532020039059184</v>
      </c>
      <c r="BI49" s="1542">
        <f>((BI17/BD17)-1)</f>
        <v>0.2256515174158864</v>
      </c>
      <c r="BJ49" s="1542"/>
      <c r="BK49" s="1542">
        <f>((BK17/BG17)-1)</f>
        <v>0.12842081224070112</v>
      </c>
      <c r="BL49" s="1542">
        <f>((BL17/BG17)-1)</f>
        <v>0.29816837733710444</v>
      </c>
      <c r="BM49" s="1542">
        <f>((BM17/BH17)-1)</f>
        <v>0.24818575701887258</v>
      </c>
      <c r="BN49" s="1542">
        <f>((BN17/BI17)-1)</f>
        <v>0.10236411390577693</v>
      </c>
      <c r="BO49" s="1542"/>
      <c r="BP49" s="1543">
        <f>((BP17/BK17)-1)</f>
        <v>9.8956986466685271E-2</v>
      </c>
      <c r="BQ49" s="1543">
        <f>((BQ17/BL17)-1)</f>
        <v>6.2483507676860395E-3</v>
      </c>
      <c r="BR49" s="1543">
        <f>((BR17/BM17)-1)</f>
        <v>6.0628042686266426E-2</v>
      </c>
      <c r="BS49" s="1543">
        <f>((BS17/BN17)-1)</f>
        <v>0.1542199433213105</v>
      </c>
      <c r="BT49" s="1543"/>
      <c r="BU49" s="1543">
        <f>((BU17/BP17)-1)</f>
        <v>6.1229013699283685E-2</v>
      </c>
      <c r="BV49" s="1543">
        <f>((BV17/BQ17)-1)</f>
        <v>0.15840183372777128</v>
      </c>
      <c r="BW49" s="1543">
        <f>((BW17/BR17)-1)</f>
        <v>6.9108594878032559E-2</v>
      </c>
      <c r="BX49" s="1560">
        <f>((BX17/BS17)-1)</f>
        <v>-4.8883116940338422E-2</v>
      </c>
      <c r="BY49" s="1543"/>
      <c r="BZ49" s="1543">
        <f>((BZ17/BU17)-1)</f>
        <v>8.0114145786535973E-2</v>
      </c>
      <c r="CA49" s="1543">
        <f>((CA17/BV17)-1)</f>
        <v>5.0686684963360262E-2</v>
      </c>
      <c r="CB49" s="1543">
        <f>((CB17/BW17)-1)</f>
        <v>0.34634120914010635</v>
      </c>
      <c r="CC49" s="1560">
        <f>((CC17/BX17)-1)</f>
        <v>0.10827588043930114</v>
      </c>
      <c r="CD49" s="1543"/>
      <c r="CE49" s="1543">
        <f>((CE17/BZ17)-1)</f>
        <v>0.10631011778846799</v>
      </c>
      <c r="CF49" s="1543">
        <f>((CF17/CA17)-1)</f>
        <v>7.1777029435391437E-2</v>
      </c>
      <c r="CG49" s="1543">
        <f>((CG17/CB17)-1)</f>
        <v>0.19235656235371024</v>
      </c>
      <c r="CH49" s="1560">
        <f>((CH17/CC17)-1)</f>
        <v>0.12646911603809152</v>
      </c>
      <c r="CI49" s="1543"/>
      <c r="CJ49" s="1543">
        <f>((CJ17/CE17)-1)</f>
        <v>-3.7408261013384347E-2</v>
      </c>
      <c r="CK49" s="1543">
        <f>((CK17/CF17)-1)</f>
        <v>1.3128961645563209E-2</v>
      </c>
      <c r="CL49" s="1543">
        <f>((CL17/CG17)-1)</f>
        <v>-0.16289806472942847</v>
      </c>
      <c r="CM49" s="1560">
        <f>((CM17/CH17)-1)</f>
        <v>-8.3884828818398427E-2</v>
      </c>
      <c r="CN49" s="1543"/>
      <c r="CO49" s="1543">
        <f>((CO17/CJ17)-1)</f>
        <v>-0.41555542517733735</v>
      </c>
      <c r="CP49" s="1543">
        <f>((CP17/CK17)-1)</f>
        <v>-0.26290248299919672</v>
      </c>
      <c r="CQ49" s="1543">
        <f>((CQ17/CL17)-1)</f>
        <v>-0.18307708583115734</v>
      </c>
      <c r="CR49" s="1560">
        <f>((CR17/CM17)-1)</f>
        <v>-9.2957130358650719E-4</v>
      </c>
      <c r="CS49" s="1543"/>
      <c r="CT49" s="1543">
        <f>((CT17/CO17)-1)</f>
        <v>-0.20949068713013397</v>
      </c>
      <c r="CU49" s="1543">
        <f>((CU17/CP17)-1)</f>
        <v>-4.9124408285387999E-2</v>
      </c>
      <c r="CV49" s="1543">
        <f>((CV17/CQ17)-1)</f>
        <v>-1.717305076931408E-2</v>
      </c>
      <c r="CW49" s="1560">
        <f>((CW17/CR17)-1)</f>
        <v>-4.5407922174330317E-2</v>
      </c>
      <c r="CX49" s="1544"/>
      <c r="CY49" s="1577">
        <f>CY17/'yrP&amp;L'!G37-1</f>
        <v>0.53211826121054995</v>
      </c>
      <c r="CZ49" s="1545">
        <f t="shared" ref="CZ49:DH49" si="28">((CZ17/CY17)-1)</f>
        <v>-2.6795064572200822E-2</v>
      </c>
      <c r="DA49" s="1545">
        <f t="shared" si="28"/>
        <v>1.7778089469023817E-2</v>
      </c>
      <c r="DB49" s="1545">
        <f t="shared" si="28"/>
        <v>0.1255264812533905</v>
      </c>
      <c r="DC49" s="1563">
        <f t="shared" si="28"/>
        <v>-0.22308824007698536</v>
      </c>
      <c r="DD49" s="1562">
        <f t="shared" si="28"/>
        <v>-0.15288937701155536</v>
      </c>
      <c r="DE49" s="1562">
        <f t="shared" si="28"/>
        <v>0.26704049952907449</v>
      </c>
      <c r="DF49" s="1562">
        <f t="shared" si="28"/>
        <v>0.10478884613884443</v>
      </c>
      <c r="DG49" s="1562">
        <f t="shared" si="28"/>
        <v>6.6168820515802418E-2</v>
      </c>
      <c r="DH49" s="1563">
        <f t="shared" si="28"/>
        <v>-3.9955863218829712E-2</v>
      </c>
      <c r="DI49" s="1563">
        <f t="shared" ref="DI49:DQ49" si="29">((DI17/DH17)-1)</f>
        <v>0.1930489632078507</v>
      </c>
      <c r="DJ49" s="1563">
        <f t="shared" si="29"/>
        <v>-0.26787179498080382</v>
      </c>
      <c r="DK49" s="1563">
        <f t="shared" si="29"/>
        <v>-0.16674622116149562</v>
      </c>
      <c r="DL49" s="1563">
        <f t="shared" si="29"/>
        <v>0.19152325745084453</v>
      </c>
      <c r="DM49" s="1563">
        <f t="shared" si="29"/>
        <v>0.50200203303149871</v>
      </c>
      <c r="DN49" s="1563">
        <f t="shared" si="29"/>
        <v>0.20434988820380662</v>
      </c>
      <c r="DO49" s="1563">
        <f t="shared" si="29"/>
        <v>0.1040470763211947</v>
      </c>
      <c r="DP49" s="1563">
        <f t="shared" si="29"/>
        <v>2.1179903545072598E-2</v>
      </c>
      <c r="DQ49" s="1563">
        <f t="shared" si="29"/>
        <v>0.12022745222648901</v>
      </c>
      <c r="DR49" s="1563">
        <f t="shared" ref="DR49:DW49" si="30">((DR17/DQ17)-1)</f>
        <v>0.12206479743505327</v>
      </c>
      <c r="DS49" s="1563">
        <f t="shared" si="30"/>
        <v>-7.0319191314468954E-2</v>
      </c>
      <c r="DT49" s="1563">
        <f t="shared" si="30"/>
        <v>-0.15173294224703848</v>
      </c>
      <c r="DU49" s="1563">
        <f t="shared" si="30"/>
        <v>-6.2063209781438533E-2</v>
      </c>
      <c r="DV49" s="1563">
        <f t="shared" si="30"/>
        <v>5.7475786098112103E-2</v>
      </c>
      <c r="DW49" s="1564">
        <f t="shared" si="30"/>
        <v>5.5084553032483718E-2</v>
      </c>
      <c r="DX49" s="1563"/>
    </row>
    <row r="50" spans="1:137">
      <c r="A50" s="1528" t="s">
        <v>551</v>
      </c>
      <c r="B50" s="1529"/>
      <c r="C50" s="1548"/>
      <c r="D50" s="1578"/>
      <c r="E50" s="1548"/>
      <c r="F50" s="1548"/>
      <c r="G50" s="1541"/>
      <c r="H50" s="1542">
        <f>((H27/C27)-1)</f>
        <v>0.6065775199172152</v>
      </c>
      <c r="I50" s="1542">
        <f>((I27/D27)-1)</f>
        <v>0.27391390089312084</v>
      </c>
      <c r="J50" s="1542">
        <f>((J27/E27)-1)</f>
        <v>0.1089843473987786</v>
      </c>
      <c r="K50" s="1542">
        <f>((K27/F27)-1)</f>
        <v>-0.14208468111371819</v>
      </c>
      <c r="L50" s="1542"/>
      <c r="M50" s="1542">
        <f>((M27/H27)-1)</f>
        <v>-0.71426734627975308</v>
      </c>
      <c r="N50" s="1542">
        <f>((N27/I27)-1)</f>
        <v>-0.54199799392026315</v>
      </c>
      <c r="O50" s="1542">
        <f>((O27/J27)-1)</f>
        <v>-1.1649256374291177</v>
      </c>
      <c r="P50" s="1542">
        <f>((P27/K27)-1)</f>
        <v>0.23042293735746888</v>
      </c>
      <c r="Q50" s="1542"/>
      <c r="R50" s="1542">
        <f>((R27/M27)-1)</f>
        <v>2.2921139417154501</v>
      </c>
      <c r="S50" s="1542">
        <f>((S27/N27)-1)</f>
        <v>0.73615319613548968</v>
      </c>
      <c r="T50" s="1542">
        <f>((T27/O27)-1)</f>
        <v>-1.7941557693274688</v>
      </c>
      <c r="U50" s="1542">
        <f>((U27/P27)-1)</f>
        <v>-6.4221138185360793E-4</v>
      </c>
      <c r="V50" s="1541"/>
      <c r="W50" s="1542">
        <f>((W27/R27)-1)</f>
        <v>499.5309489064698</v>
      </c>
      <c r="X50" s="1542">
        <f>((X27/S27)-1)</f>
        <v>312.35145897312975</v>
      </c>
      <c r="Y50" s="1542">
        <f>((Y27/T27)-1)</f>
        <v>3783.508833138259</v>
      </c>
      <c r="Z50" s="1542">
        <f>((Z27/U27)-1)</f>
        <v>129.66428542896591</v>
      </c>
      <c r="AA50" s="1541"/>
      <c r="AB50" s="1542">
        <f>((AB27/W27)-1)</f>
        <v>-0.99817367575404747</v>
      </c>
      <c r="AC50" s="1542">
        <f>((AC27/X27)-1)</f>
        <v>-0.99414273893276017</v>
      </c>
      <c r="AD50" s="1542">
        <f>((AD27/Y27)-1)</f>
        <v>-0.9986008772407704</v>
      </c>
      <c r="AE50" s="1542">
        <f>((AE27/Z27)-1)</f>
        <v>-0.99008988120875108</v>
      </c>
      <c r="AF50" s="1541"/>
      <c r="AG50" s="1542">
        <f>((AG27/AB27)-1)</f>
        <v>0.5176041525228956</v>
      </c>
      <c r="AH50" s="1542">
        <f>((AH27/AC27)-1)</f>
        <v>-0.30804081892353496</v>
      </c>
      <c r="AI50" s="1542" t="s">
        <v>886</v>
      </c>
      <c r="AJ50" s="1542">
        <f>((AJ27/AE27)-1)</f>
        <v>0.46617904786138786</v>
      </c>
      <c r="AK50" s="1541"/>
      <c r="AL50" s="1542">
        <f>((AL27/AG27)-1)</f>
        <v>0.2349620480785044</v>
      </c>
      <c r="AM50" s="1542">
        <f>((AM27/AH27)-1)</f>
        <v>0.42047230689844461</v>
      </c>
      <c r="AN50" s="1542" t="s">
        <v>886</v>
      </c>
      <c r="AO50" s="1542">
        <f>((AO27/AJ27)-1)</f>
        <v>-0.15094778419611365</v>
      </c>
      <c r="AP50" s="1542"/>
      <c r="AQ50" s="1542">
        <f>((AQ27/AL27)-1)</f>
        <v>-0.47425030159587256</v>
      </c>
      <c r="AR50" s="1542">
        <f>((AR27/AM27)-1)</f>
        <v>-0.27868386730283512</v>
      </c>
      <c r="AS50" s="1542" t="s">
        <v>886</v>
      </c>
      <c r="AT50" s="1542">
        <f>((AT27/AO27)-1)</f>
        <v>-0.13579720269464302</v>
      </c>
      <c r="AU50" s="1542"/>
      <c r="AV50" s="1542">
        <f>((AV27/AQ27)-1)</f>
        <v>-0.18371473496933632</v>
      </c>
      <c r="AW50" s="1542">
        <f>((AW27/AR27)-1)</f>
        <v>0.35590305126075927</v>
      </c>
      <c r="AX50" s="1542" t="s">
        <v>886</v>
      </c>
      <c r="AY50" s="1542">
        <f>((AY27/AT27)-1)</f>
        <v>-0.2781334571363171</v>
      </c>
      <c r="AZ50" s="1542"/>
      <c r="BA50" s="1542">
        <f>((BA27/AV27)-1)</f>
        <v>-0.92393280492648733</v>
      </c>
      <c r="BB50" s="1542">
        <f>((BB27/AW27)-1)</f>
        <v>-0.32687271245033511</v>
      </c>
      <c r="BC50" s="1542" t="s">
        <v>886</v>
      </c>
      <c r="BD50" s="1542">
        <f>((BD27/AY27)-1)</f>
        <v>0.49081908534021923</v>
      </c>
      <c r="BE50" s="1542"/>
      <c r="BF50" s="1542">
        <f>((BG27/BA27)-1)</f>
        <v>43.915108074041342</v>
      </c>
      <c r="BG50" s="1542">
        <f>((BG27/BB27)-1)</f>
        <v>0.95303603884553523</v>
      </c>
      <c r="BH50" s="1542" t="s">
        <v>886</v>
      </c>
      <c r="BI50" s="1542">
        <f>((BI27/BD27)-1)</f>
        <v>0.24946913335963283</v>
      </c>
      <c r="BJ50" s="1542"/>
      <c r="BK50" s="1542">
        <f>((BK27/BG27)-1)</f>
        <v>9.3787108773513372E-2</v>
      </c>
      <c r="BL50" s="1542">
        <f>((BL27/BG27)-1)</f>
        <v>0.32490894884926846</v>
      </c>
      <c r="BM50" s="1542">
        <f>((BM27/BH27)-1)</f>
        <v>0.36394132925460321</v>
      </c>
      <c r="BN50" s="1542">
        <f>((BN27/BI27)-1)</f>
        <v>0.19026856570124817</v>
      </c>
      <c r="BO50" s="1542"/>
      <c r="BP50" s="1543">
        <f>((BP27/BK27)-1)</f>
        <v>4.6120766517391054E-2</v>
      </c>
      <c r="BQ50" s="1543">
        <f>((BQ27/BL27)-1)</f>
        <v>3.8506693037229311E-2</v>
      </c>
      <c r="BR50" s="1543">
        <f>((BR27/BM27)-1)</f>
        <v>1.9765198537645245E-2</v>
      </c>
      <c r="BS50" s="1543">
        <f>((BS27/BN27)-1)</f>
        <v>0.17120791985027206</v>
      </c>
      <c r="BT50" s="1543"/>
      <c r="BU50" s="1543">
        <f>((BU27/BP27)-1)</f>
        <v>0.1674209893990013</v>
      </c>
      <c r="BV50" s="1543">
        <f>((BV27/BQ27)-1)</f>
        <v>0.2178223596117177</v>
      </c>
      <c r="BW50" s="1543">
        <f>((BW27/BR27)-1)</f>
        <v>0.20722656182013166</v>
      </c>
      <c r="BX50" s="1560">
        <f>((BX27/BS27)-1)</f>
        <v>-6.2091824289960851E-2</v>
      </c>
      <c r="BY50" s="1543"/>
      <c r="BZ50" s="1543">
        <f>((BZ27/BU27)-1)</f>
        <v>9.3781372470704838E-2</v>
      </c>
      <c r="CA50" s="1543">
        <f>((CA27/BV27)-1)</f>
        <v>4.6162100551520036E-2</v>
      </c>
      <c r="CB50" s="1543">
        <f>((CB27/BW27)-1)</f>
        <v>0.42530271809528175</v>
      </c>
      <c r="CC50" s="1560">
        <f>((CC27/BX27)-1)</f>
        <v>0.14577415012874195</v>
      </c>
      <c r="CD50" s="1543"/>
      <c r="CE50" s="1543">
        <f>((CE27/BZ27)-1)</f>
        <v>0.14907712485951508</v>
      </c>
      <c r="CF50" s="1543">
        <f>((CF27/CA27)-1)</f>
        <v>7.6517211863468493E-2</v>
      </c>
      <c r="CG50" s="1543">
        <f>((CG27/CB27)-1)</f>
        <v>0.25376732734865892</v>
      </c>
      <c r="CH50" s="1560">
        <f>((CH27/CC27)-1)</f>
        <v>0.14081500126958901</v>
      </c>
      <c r="CI50" s="1543"/>
      <c r="CJ50" s="1543">
        <f>((CJ27/CE27)-1)</f>
        <v>-2.2239927899926681E-2</v>
      </c>
      <c r="CK50" s="1543">
        <f>((CK27/CF27)-1)</f>
        <v>3.1384871612589071E-2</v>
      </c>
      <c r="CL50" s="1543">
        <f>((CL27/CG27)-1)</f>
        <v>-0.24397783543426399</v>
      </c>
      <c r="CM50" s="1560">
        <f>((CM27/CH27)-1)</f>
        <v>-5.6560816748566056E-2</v>
      </c>
      <c r="CN50" s="1543"/>
      <c r="CO50" s="1543">
        <f>((CO27/CJ27)-1)</f>
        <v>-0.45199195020303207</v>
      </c>
      <c r="CP50" s="1543">
        <f>((CP27/CK27)-1)</f>
        <v>-0.31663607692737927</v>
      </c>
      <c r="CQ50" s="1543">
        <f>((CQ27/CL27)-1)</f>
        <v>-0.28116256156178332</v>
      </c>
      <c r="CR50" s="1560">
        <f>((CR27/CM27)-1)</f>
        <v>3.8411763133259225E-2</v>
      </c>
      <c r="CS50" s="1543"/>
      <c r="CT50" s="1543">
        <f>((CT27/CO27)-1)</f>
        <v>-0.44261140037045865</v>
      </c>
      <c r="CU50" s="1543">
        <f>((CU27/CP27)-1)</f>
        <v>4.361744994874428E-2</v>
      </c>
      <c r="CV50" s="1543">
        <f>((CV27/CQ27)-1)</f>
        <v>0.16805345610300204</v>
      </c>
      <c r="CW50" s="1560">
        <f>((CW27/CR27)-1)</f>
        <v>4.4008224819429564E-2</v>
      </c>
      <c r="CX50" s="1544"/>
      <c r="CY50" s="1577">
        <f>CY27/'yrP&amp;L'!G59-1</f>
        <v>1.3700444603614264</v>
      </c>
      <c r="CZ50" s="1545">
        <f t="shared" ref="CZ50:DH50" si="31">((CZ27/CY27)-1)</f>
        <v>-7.6651973273693108E-2</v>
      </c>
      <c r="DA50" s="1545">
        <f t="shared" si="31"/>
        <v>-3.8118938149936832E-2</v>
      </c>
      <c r="DB50" s="1545">
        <f t="shared" si="31"/>
        <v>-6.4554001088036106E-2</v>
      </c>
      <c r="DC50" s="1563">
        <f t="shared" si="31"/>
        <v>-0.28104740610910939</v>
      </c>
      <c r="DD50" s="1562">
        <f t="shared" si="31"/>
        <v>-0.10738860979739107</v>
      </c>
      <c r="DE50" s="1562">
        <f t="shared" si="31"/>
        <v>0.26477493611247671</v>
      </c>
      <c r="DF50" s="1562">
        <f t="shared" si="31"/>
        <v>0.12119983216293706</v>
      </c>
      <c r="DG50" s="1562">
        <f t="shared" si="31"/>
        <v>0.19910272143905883</v>
      </c>
      <c r="DH50" s="1563">
        <f t="shared" si="31"/>
        <v>0.21798165096367339</v>
      </c>
      <c r="DI50" s="1563">
        <f t="shared" ref="DI50:DQ50" si="32">((DI27/DH27)-1)</f>
        <v>3.4181249781926271E-2</v>
      </c>
      <c r="DJ50" s="1563">
        <f t="shared" si="32"/>
        <v>-0.27558332145447995</v>
      </c>
      <c r="DK50" s="1563">
        <f t="shared" si="32"/>
        <v>-0.13792032301112089</v>
      </c>
      <c r="DL50" s="1563">
        <f t="shared" si="32"/>
        <v>0.1639574952558045</v>
      </c>
      <c r="DM50" s="1563">
        <f t="shared" si="32"/>
        <v>0.68669837538609824</v>
      </c>
      <c r="DN50" s="1563">
        <f t="shared" si="32"/>
        <v>0.26467274413654818</v>
      </c>
      <c r="DO50" s="1563">
        <f t="shared" si="32"/>
        <v>0.12291910595952471</v>
      </c>
      <c r="DP50" s="1563">
        <f t="shared" si="32"/>
        <v>4.4530914725731341E-2</v>
      </c>
      <c r="DQ50" s="1563">
        <f t="shared" si="32"/>
        <v>0.14656547025075461</v>
      </c>
      <c r="DR50" s="1563">
        <f t="shared" ref="DR50:DW50" si="33">((DR27/DQ27)-1)</f>
        <v>0.14072412287238723</v>
      </c>
      <c r="DS50" s="1563">
        <f t="shared" si="33"/>
        <v>-6.121517345578531E-2</v>
      </c>
      <c r="DT50" s="1563">
        <f t="shared" si="33"/>
        <v>-0.14498580341441925</v>
      </c>
      <c r="DU50" s="1563">
        <f t="shared" si="33"/>
        <v>9.6040567314918945E-3</v>
      </c>
      <c r="DV50" s="1563">
        <f t="shared" si="33"/>
        <v>8.2367213832921005E-2</v>
      </c>
      <c r="DW50" s="1564">
        <f t="shared" si="33"/>
        <v>8.5666265948865616E-2</v>
      </c>
      <c r="DX50" s="1563"/>
    </row>
    <row r="51" spans="1:137">
      <c r="A51" s="1482" t="s">
        <v>701</v>
      </c>
      <c r="B51" s="1529"/>
      <c r="C51" s="1579"/>
      <c r="D51" s="1579"/>
      <c r="E51" s="1579"/>
      <c r="F51" s="1579"/>
      <c r="G51" s="1541"/>
      <c r="H51" s="1542">
        <f>((H32/C32)-1)</f>
        <v>0.80738502097834353</v>
      </c>
      <c r="I51" s="1542">
        <f>((I32/D32)-1)</f>
        <v>0.47791076216009287</v>
      </c>
      <c r="J51" s="1542">
        <f>((J32/E32)-1)</f>
        <v>0.25389779657682499</v>
      </c>
      <c r="K51" s="1542">
        <f>((K32/F32)-1)</f>
        <v>-0.15535829936378565</v>
      </c>
      <c r="L51" s="1542"/>
      <c r="M51" s="1542">
        <f>((M32/H32)-1)</f>
        <v>-4.1189341112850664E-2</v>
      </c>
      <c r="N51" s="1542">
        <f>((N32/I32)-1)</f>
        <v>-4.1340304367262215E-2</v>
      </c>
      <c r="O51" s="1542">
        <f>((O32/J32)-1)</f>
        <v>-0.49454288712160366</v>
      </c>
      <c r="P51" s="1542">
        <f>((P32/K32)-1)</f>
        <v>0.48322132515448191</v>
      </c>
      <c r="Q51" s="1542"/>
      <c r="R51" s="1542">
        <f>((R32/M32)-1)</f>
        <v>0.82876782219088985</v>
      </c>
      <c r="S51" s="1542">
        <f>((S32/N32)-1)</f>
        <v>0.40346146568269625</v>
      </c>
      <c r="T51" s="1542">
        <f>((T32/O32)-1)</f>
        <v>0.67519643030361132</v>
      </c>
      <c r="U51" s="1542">
        <f>((U32/P32)-1)</f>
        <v>-1.7029299518013241E-3</v>
      </c>
      <c r="V51" s="1541"/>
      <c r="W51" s="1542">
        <f>((W32/R32)-1)</f>
        <v>-1.2910758167163294</v>
      </c>
      <c r="X51" s="1542">
        <f>((X32/S32)-1)</f>
        <v>-1.2458833959473463</v>
      </c>
      <c r="Y51" s="1542">
        <f>((Y32/T32)-1)</f>
        <v>-1.6986961112171257</v>
      </c>
      <c r="Z51" s="1542">
        <f>((Z32/U32)-1)</f>
        <v>-1.0611739257467987</v>
      </c>
      <c r="AA51" s="1541"/>
      <c r="AB51" s="1542">
        <f>((AB32/W32)-1)</f>
        <v>-4.3972622280769844</v>
      </c>
      <c r="AC51" s="1542">
        <f>((AC32/X32)-1)</f>
        <v>-6.9544280729360519</v>
      </c>
      <c r="AD51" s="1542">
        <f>((AD32/Y32)-1)</f>
        <v>-3.1162748007472421</v>
      </c>
      <c r="AE51" s="1542">
        <f>((AE32/Z32)-1)</f>
        <v>-19.264774050100659</v>
      </c>
      <c r="AF51" s="1541"/>
      <c r="AG51" s="1542">
        <f>((AG32/AB32)-1)</f>
        <v>9.3276634162105188E-2</v>
      </c>
      <c r="AH51" s="1542">
        <f>((AH32/AC32)-1)</f>
        <v>-0.25562648617181938</v>
      </c>
      <c r="AI51" s="1542">
        <f>((AI32/AD32)-1)</f>
        <v>-0.29167351989786849</v>
      </c>
      <c r="AJ51" s="1542">
        <f>((AJ32/AE32)-1)</f>
        <v>5.1651844864532004E-2</v>
      </c>
      <c r="AK51" s="1541"/>
      <c r="AL51" s="1542">
        <f>((AL32/AG32)-1)</f>
        <v>0.21971932754972268</v>
      </c>
      <c r="AM51" s="1542">
        <f>((AM32/AH32)-1)</f>
        <v>0.21352544304971999</v>
      </c>
      <c r="AN51" s="1542">
        <f>((AN32/AI32)-1)</f>
        <v>0.60077180799894414</v>
      </c>
      <c r="AO51" s="1542">
        <f>((AO32/AJ32)-1)</f>
        <v>5.310332133931972E-2</v>
      </c>
      <c r="AP51" s="1542"/>
      <c r="AQ51" s="1542">
        <f>((AQ32/AL32)-1)</f>
        <v>-0.21977611940298525</v>
      </c>
      <c r="AR51" s="1542">
        <f>((AR32/AM32)-1)</f>
        <v>-0.15861659676103779</v>
      </c>
      <c r="AS51" s="1542">
        <f>((AS32/AN32)-1)</f>
        <v>-0.18682176432800013</v>
      </c>
      <c r="AT51" s="1542">
        <f>((AT32/AO32)-1)</f>
        <v>-0.18587877631651828</v>
      </c>
      <c r="AU51" s="1542"/>
      <c r="AV51" s="1542">
        <f>((AV32/AQ32)-1)</f>
        <v>-9.1304412134478707E-2</v>
      </c>
      <c r="AW51" s="1542">
        <f>((AW32/AR32)-1)</f>
        <v>0.16323872413897345</v>
      </c>
      <c r="AX51" s="1542">
        <f>((AX32/AS32)-1)</f>
        <v>4.8945405740594472E-2</v>
      </c>
      <c r="AY51" s="1542">
        <f>((AY32/AT32)-1)</f>
        <v>-0.26872529084050845</v>
      </c>
      <c r="AZ51" s="1542"/>
      <c r="BA51" s="1542">
        <f>((BA32/AV32)-1)</f>
        <v>-0.18372506890639595</v>
      </c>
      <c r="BB51" s="1542">
        <f>((BB32/AW32)-1)</f>
        <v>-0.11718511684659183</v>
      </c>
      <c r="BC51" s="1542">
        <f>((BC32/AX32)-1)</f>
        <v>0.19142405960238174</v>
      </c>
      <c r="BD51" s="1542">
        <f>((BD32/AY32)-1)</f>
        <v>0.39959644240827785</v>
      </c>
      <c r="BE51" s="1542"/>
      <c r="BF51" s="1542">
        <f>((BG32/BA32)-1)</f>
        <v>1.1606622974356275</v>
      </c>
      <c r="BG51" s="1542">
        <f>((BG32/BB32)-1)</f>
        <v>0.36976482535722988</v>
      </c>
      <c r="BH51" s="1542">
        <f>((BH32/BC32)-1)</f>
        <v>0.61513835362247993</v>
      </c>
      <c r="BI51" s="1542">
        <f>((BI32/BD32)-1)</f>
        <v>0.20308811755704204</v>
      </c>
      <c r="BJ51" s="1542"/>
      <c r="BK51" s="1542">
        <f>((BK32/BG32)-1)</f>
        <v>9.7937938184288864E-2</v>
      </c>
      <c r="BL51" s="1542">
        <f>((BL32/BG32)-1)</f>
        <v>0.22116635852127042</v>
      </c>
      <c r="BM51" s="1542">
        <f>((BM32/BH32)-1)</f>
        <v>0.13778069555263728</v>
      </c>
      <c r="BN51" s="1542">
        <f>((BN32/BI32)-1)</f>
        <v>7.8255894331152875E-2</v>
      </c>
      <c r="BO51" s="1542"/>
      <c r="BP51" s="1580">
        <f>((BP32/BK32)-1)</f>
        <v>6.2241698631826603E-2</v>
      </c>
      <c r="BQ51" s="1580">
        <f>((BQ32/BL32)-1)</f>
        <v>-1.0756859702344412E-3</v>
      </c>
      <c r="BR51" s="1580">
        <f>((BR32/BM32)-1)</f>
        <v>5.6116938645676129E-2</v>
      </c>
      <c r="BS51" s="1580">
        <f>((BS32/BN32)-1)</f>
        <v>0.13836275315814328</v>
      </c>
      <c r="BT51" s="1543"/>
      <c r="BU51" s="1580">
        <f>((BU32/BP32)-1)</f>
        <v>6.034084824313557E-2</v>
      </c>
      <c r="BV51" s="1580">
        <f>((BV32/BQ32)-1)</f>
        <v>0.13571012460627174</v>
      </c>
      <c r="BW51" s="1580">
        <f>((BW32/BR32)-1)</f>
        <v>4.4159055250477808E-2</v>
      </c>
      <c r="BX51" s="1580">
        <f>((BX32/BS32)-1)</f>
        <v>-3.8761969637407301E-2</v>
      </c>
      <c r="BY51" s="1543"/>
      <c r="BZ51" s="1580">
        <f>((BZ32/BU32)-1)</f>
        <v>8.5044615648687039E-2</v>
      </c>
      <c r="CA51" s="1580">
        <f>((CA32/BV32)-1)</f>
        <v>5.4109987520595704E-2</v>
      </c>
      <c r="CB51" s="1580">
        <f>((CB32/BW32)-1)</f>
        <v>0.28069228060172069</v>
      </c>
      <c r="CC51" s="1580">
        <f>((CC32/BX32)-1)</f>
        <v>0.1011929662443829</v>
      </c>
      <c r="CD51" s="1543"/>
      <c r="CE51" s="1580">
        <f>((CE32/BZ32)-1)</f>
        <v>8.2941289754593805E-2</v>
      </c>
      <c r="CF51" s="1580">
        <f>((CF32/CA32)-1)</f>
        <v>6.619620399823023E-2</v>
      </c>
      <c r="CG51" s="1580">
        <f>((CG32/CB32)-1)</f>
        <v>0.15089358670828967</v>
      </c>
      <c r="CH51" s="1580">
        <f>((CH32/CC32)-1)</f>
        <v>0.123169430613423</v>
      </c>
      <c r="CI51" s="1543"/>
      <c r="CJ51" s="1580">
        <f>((CJ32/CE32)-1)</f>
        <v>-1.0070858023554119E-2</v>
      </c>
      <c r="CK51" s="1580">
        <f>((CK32/CF32)-1)</f>
        <v>2.9507995906222773E-2</v>
      </c>
      <c r="CL51" s="1580">
        <f>((CL32/CG32)-1)</f>
        <v>-7.9126540569077752E-2</v>
      </c>
      <c r="CM51" s="1580">
        <f>((CM32/CH32)-1)</f>
        <v>-6.1485106196804251E-2</v>
      </c>
      <c r="CN51" s="1543"/>
      <c r="CO51" s="1580">
        <f>((CO32/CJ32)-1)</f>
        <v>-0.27534238958417079</v>
      </c>
      <c r="CP51" s="1580">
        <f>((CP32/CK32)-1)</f>
        <v>-0.17580781048191318</v>
      </c>
      <c r="CQ51" s="1580">
        <f>((CQ32/CL32)-1)</f>
        <v>-0.10011960185432189</v>
      </c>
      <c r="CR51" s="1580">
        <f>((CR32/CM32)-1)</f>
        <v>4.5962688373515359E-3</v>
      </c>
      <c r="CS51" s="1543"/>
      <c r="CT51" s="1580">
        <f>((CT32/CO32)-1)</f>
        <v>-9.8802042875182461E-2</v>
      </c>
      <c r="CU51" s="1580">
        <f>((CU32/CP32)-1)</f>
        <v>-7.7941625223986177E-3</v>
      </c>
      <c r="CV51" s="1580">
        <f>((CV32/CQ32)-1)</f>
        <v>9.6788212314047328E-3</v>
      </c>
      <c r="CW51" s="1580">
        <f>((CW32/CR32)-1)</f>
        <v>-3.4592275266262629E-2</v>
      </c>
      <c r="CX51" s="1544"/>
      <c r="CY51" s="1581">
        <f>CY32/('yrP&amp;L'!G37+flow!P9)-1</f>
        <v>3.996105039714748E-2</v>
      </c>
      <c r="CZ51" s="1582">
        <f t="shared" ref="CZ51:DH51" si="34">((CZ32/CY32)-1)</f>
        <v>-2.6795064572200822E-2</v>
      </c>
      <c r="DA51" s="1582">
        <f t="shared" si="34"/>
        <v>1.7778089469023817E-2</v>
      </c>
      <c r="DB51" s="1582">
        <f t="shared" si="34"/>
        <v>0.1255264812533905</v>
      </c>
      <c r="DC51" s="1583">
        <f t="shared" si="34"/>
        <v>3.6143172265490797E-2</v>
      </c>
      <c r="DD51" s="1584">
        <f t="shared" si="34"/>
        <v>-0.10909893258935166</v>
      </c>
      <c r="DE51" s="1584">
        <f t="shared" si="34"/>
        <v>0.18935179811980785</v>
      </c>
      <c r="DF51" s="1584">
        <f t="shared" si="34"/>
        <v>9.0045254388211537E-2</v>
      </c>
      <c r="DG51" s="1584">
        <f t="shared" si="34"/>
        <v>8.7283647274918996E-2</v>
      </c>
      <c r="DH51" s="1583">
        <f t="shared" si="34"/>
        <v>-5.5673790929962275E-2</v>
      </c>
      <c r="DI51" s="1583">
        <f t="shared" ref="DI51:DQ51" si="35">((DI32/DH32)-1)</f>
        <v>0.16138037552479356</v>
      </c>
      <c r="DJ51" s="1583">
        <f t="shared" si="35"/>
        <v>-0.18685792807587775</v>
      </c>
      <c r="DK51" s="1583">
        <f t="shared" si="35"/>
        <v>-0.12594407980967559</v>
      </c>
      <c r="DL51" s="1583">
        <f t="shared" si="35"/>
        <v>0.14293905998745648</v>
      </c>
      <c r="DM51" s="1583">
        <f t="shared" si="35"/>
        <v>0.36230303070311587</v>
      </c>
      <c r="DN51" s="1583">
        <f t="shared" si="35"/>
        <v>0.15233814235162457</v>
      </c>
      <c r="DO51" s="1583">
        <f t="shared" si="35"/>
        <v>8.3296844816486137E-2</v>
      </c>
      <c r="DP51" s="1583">
        <f t="shared" si="35"/>
        <v>2.4535019076697528E-2</v>
      </c>
      <c r="DQ51" s="1583">
        <f t="shared" si="35"/>
        <v>0.11340757913382227</v>
      </c>
      <c r="DR51" s="1583">
        <f t="shared" ref="DR51:DW51" si="36">((DR32/DQ32)-1)</f>
        <v>0.10871066948543229</v>
      </c>
      <c r="DS51" s="1583">
        <f t="shared" si="36"/>
        <v>-3.7424817157551526E-2</v>
      </c>
      <c r="DT51" s="1583">
        <f t="shared" si="36"/>
        <v>-0.10203146199259328</v>
      </c>
      <c r="DU51" s="1583">
        <f t="shared" si="36"/>
        <v>-3.1932657387575336E-2</v>
      </c>
      <c r="DV51" s="1583">
        <f t="shared" si="36"/>
        <v>6.8394430951611351E-2</v>
      </c>
      <c r="DW51" s="1585">
        <f t="shared" si="36"/>
        <v>6.6958339690215585E-2</v>
      </c>
      <c r="DX51" s="1563"/>
    </row>
    <row r="52" spans="1:137" ht="9.75" customHeight="1">
      <c r="A52" s="1586"/>
      <c r="B52" s="1587"/>
      <c r="C52" s="1483"/>
      <c r="D52" s="1586"/>
      <c r="E52" s="1586"/>
      <c r="F52" s="1586"/>
      <c r="G52" s="1586"/>
      <c r="H52" s="1542"/>
      <c r="I52" s="1542"/>
      <c r="J52" s="1542"/>
      <c r="K52" s="1542"/>
      <c r="L52" s="1542"/>
      <c r="M52" s="1542"/>
      <c r="N52" s="1542"/>
      <c r="O52" s="1542"/>
      <c r="P52" s="1542"/>
      <c r="Q52" s="1542"/>
      <c r="R52" s="1542"/>
      <c r="S52" s="1542"/>
      <c r="T52" s="1542"/>
      <c r="U52" s="1542"/>
      <c r="V52" s="1586"/>
      <c r="W52" s="1542"/>
      <c r="X52" s="1542"/>
      <c r="Y52" s="1542"/>
      <c r="Z52" s="1542"/>
      <c r="AA52" s="1586"/>
      <c r="AB52" s="1542"/>
      <c r="AC52" s="1542"/>
      <c r="AD52" s="1542"/>
      <c r="AE52" s="1542"/>
      <c r="AF52" s="1586"/>
      <c r="AG52" s="1542"/>
      <c r="AH52" s="1542"/>
      <c r="AI52" s="1542"/>
      <c r="AJ52" s="1542"/>
      <c r="AK52" s="1586"/>
      <c r="AL52" s="1542"/>
      <c r="AM52" s="1542"/>
      <c r="AN52" s="1542"/>
      <c r="AO52" s="1542"/>
      <c r="AP52" s="1542"/>
      <c r="AQ52" s="1542"/>
      <c r="AR52" s="1542"/>
      <c r="AS52" s="1542"/>
      <c r="AT52" s="1542"/>
      <c r="AU52" s="1542"/>
      <c r="AV52" s="1542"/>
      <c r="AW52" s="1542"/>
      <c r="AX52" s="1542"/>
      <c r="AY52" s="1542"/>
      <c r="AZ52" s="1542"/>
      <c r="BA52" s="1542"/>
      <c r="BB52" s="1542"/>
      <c r="BC52" s="1542"/>
      <c r="BD52" s="1542"/>
      <c r="BE52" s="1542"/>
      <c r="BF52" s="1542"/>
      <c r="BG52" s="1542"/>
      <c r="BH52" s="1542"/>
      <c r="BI52" s="1542"/>
      <c r="BJ52" s="1542"/>
      <c r="BK52" s="1542"/>
      <c r="BL52" s="1542"/>
      <c r="BM52" s="1542"/>
      <c r="BN52" s="1542"/>
      <c r="BO52" s="1542"/>
      <c r="BP52" s="1543"/>
      <c r="BQ52" s="1543"/>
      <c r="BR52" s="1543"/>
      <c r="BS52" s="1543"/>
      <c r="BT52" s="1543"/>
      <c r="BU52" s="1543"/>
      <c r="BV52" s="1543"/>
      <c r="BW52" s="1543"/>
      <c r="BX52" s="1543"/>
      <c r="BY52" s="1543"/>
      <c r="BZ52" s="1543"/>
      <c r="CA52" s="1543"/>
      <c r="CB52" s="1543"/>
      <c r="CC52" s="1543"/>
      <c r="CD52" s="1543"/>
      <c r="CE52" s="1543"/>
      <c r="CF52" s="1543"/>
      <c r="CG52" s="1543"/>
      <c r="CH52" s="1543"/>
      <c r="CI52" s="1543"/>
      <c r="CJ52" s="1543"/>
      <c r="CK52" s="1543"/>
      <c r="CL52" s="1543"/>
      <c r="CM52" s="1543"/>
      <c r="CN52" s="1543"/>
      <c r="CO52" s="1543"/>
      <c r="CP52" s="1543"/>
      <c r="CQ52" s="1543"/>
      <c r="CR52" s="1543"/>
      <c r="CS52" s="1543"/>
      <c r="CT52" s="1543"/>
      <c r="CU52" s="1543"/>
      <c r="CV52" s="1543"/>
      <c r="CW52" s="1543"/>
      <c r="CX52" s="1543"/>
      <c r="CY52" s="1588"/>
      <c r="CZ52" s="1588"/>
      <c r="DA52" s="1588"/>
      <c r="DB52" s="1587"/>
      <c r="DC52" s="1587"/>
      <c r="DD52" s="1587"/>
      <c r="DE52" s="1587"/>
      <c r="DF52" s="1587"/>
      <c r="DG52" s="1587"/>
      <c r="DH52" s="1587"/>
      <c r="DI52" s="1587"/>
      <c r="DJ52" s="1587"/>
      <c r="DK52" s="1587"/>
      <c r="DL52" s="1587"/>
      <c r="DM52" s="1587"/>
      <c r="DN52" s="1587"/>
      <c r="DO52" s="1587"/>
      <c r="DP52" s="1589"/>
      <c r="DQ52" s="1589"/>
      <c r="DR52" s="1587"/>
      <c r="DS52" s="1589"/>
      <c r="DT52" s="1587"/>
      <c r="DU52" s="1589"/>
      <c r="DV52" s="1589"/>
      <c r="DW52" s="1589"/>
      <c r="DX52" s="1587"/>
    </row>
    <row r="53" spans="1:137">
      <c r="A53" s="1590" t="s">
        <v>1128</v>
      </c>
      <c r="B53" s="1591"/>
      <c r="C53" s="626"/>
      <c r="D53" s="626"/>
      <c r="E53" s="626"/>
      <c r="F53" s="626"/>
      <c r="G53" s="626"/>
      <c r="H53" s="626"/>
      <c r="I53" s="626"/>
      <c r="J53" s="1592">
        <f>DA5</f>
        <v>1998</v>
      </c>
      <c r="K53" s="1592">
        <f>DB5</f>
        <v>1999</v>
      </c>
      <c r="L53" s="1591"/>
      <c r="M53" s="1592">
        <f>DC5</f>
        <v>2000</v>
      </c>
      <c r="N53" s="1592" t="str">
        <f>DD5</f>
        <v>2001A</v>
      </c>
      <c r="O53" s="626"/>
      <c r="P53" s="626"/>
      <c r="Q53" s="626"/>
      <c r="R53" s="626"/>
      <c r="S53" s="626"/>
      <c r="T53" s="626"/>
      <c r="U53" s="626"/>
      <c r="V53" s="1591"/>
      <c r="W53" s="626"/>
      <c r="X53" s="626"/>
      <c r="Y53" s="626"/>
      <c r="Z53" s="626"/>
      <c r="AA53" s="1591"/>
      <c r="AB53" s="626"/>
      <c r="AC53" s="626"/>
      <c r="AD53" s="626"/>
      <c r="AE53" s="626"/>
      <c r="AF53" s="626"/>
      <c r="AG53" s="1593" t="str">
        <f>DE5</f>
        <v>2002A</v>
      </c>
      <c r="AH53" s="1593" t="str">
        <f>DF5</f>
        <v>2003A</v>
      </c>
      <c r="AI53" s="1593" t="str">
        <f>DG5</f>
        <v>2004A</v>
      </c>
      <c r="AJ53" s="1593" t="str">
        <f>DH5</f>
        <v>2005A</v>
      </c>
      <c r="AK53" s="626"/>
      <c r="AL53" s="1593" t="str">
        <f>DI5</f>
        <v>2006A</v>
      </c>
      <c r="AM53" s="626"/>
      <c r="AN53" s="626"/>
      <c r="AO53" s="626"/>
      <c r="AP53" s="626"/>
      <c r="AQ53" s="1593" t="str">
        <f>DJ5</f>
        <v>2007A</v>
      </c>
      <c r="AR53" s="1593" t="str">
        <f>DK5</f>
        <v>2008A</v>
      </c>
      <c r="AS53" s="1593" t="str">
        <f>DM5</f>
        <v>2010A</v>
      </c>
      <c r="AT53" s="626"/>
      <c r="AU53" s="626"/>
      <c r="AV53" s="626"/>
      <c r="AW53" s="626"/>
      <c r="AX53" s="626"/>
      <c r="AY53" s="626"/>
      <c r="AZ53" s="626"/>
      <c r="BA53" s="626"/>
      <c r="BB53" s="626"/>
      <c r="BC53" s="626"/>
      <c r="BD53" s="626"/>
      <c r="BE53" s="626"/>
      <c r="BF53" s="626"/>
      <c r="BG53" s="626"/>
      <c r="BH53" s="626"/>
      <c r="BI53" s="626"/>
      <c r="BJ53" s="626"/>
      <c r="BK53" s="626"/>
      <c r="BL53" s="626"/>
      <c r="BM53" s="626"/>
      <c r="BO53" s="626"/>
      <c r="BY53" s="1253"/>
      <c r="BZ53" s="1602"/>
      <c r="CA53" s="1602"/>
      <c r="CB53" s="1602"/>
      <c r="CC53" s="1602"/>
      <c r="CD53" s="1602"/>
      <c r="CE53" s="1602"/>
      <c r="CF53" s="1593" t="str">
        <f>DN5</f>
        <v>2011A</v>
      </c>
      <c r="CG53" s="1593" t="str">
        <f>DO5</f>
        <v>2012A</v>
      </c>
      <c r="CH53" s="1593" t="str">
        <f>DP5</f>
        <v>2013A</v>
      </c>
      <c r="CI53" s="1602"/>
      <c r="CJ53" s="1593" t="str">
        <f>DQ5</f>
        <v>2014A</v>
      </c>
      <c r="CK53" s="1593" t="str">
        <f>DR5</f>
        <v>2015A</v>
      </c>
      <c r="CL53" s="1593" t="s">
        <v>1308</v>
      </c>
      <c r="CM53" s="1594" t="s">
        <v>315</v>
      </c>
      <c r="CN53" s="1602"/>
      <c r="CO53" s="2558"/>
      <c r="CP53" s="1602"/>
      <c r="CQ53" s="1602"/>
      <c r="CR53" s="1602"/>
      <c r="CS53" s="1653"/>
      <c r="CT53" s="1595" t="s">
        <v>1128</v>
      </c>
      <c r="CU53" s="1596"/>
      <c r="CV53" s="1596"/>
      <c r="CW53" s="1596"/>
      <c r="CX53" s="1596"/>
      <c r="CY53" s="626"/>
      <c r="CZ53" s="626"/>
      <c r="DA53" s="626"/>
      <c r="DB53" s="626"/>
      <c r="DC53" s="1593"/>
      <c r="DD53" s="1593" t="str">
        <f t="shared" ref="DD53:DU53" si="37">DD5</f>
        <v>2001A</v>
      </c>
      <c r="DE53" s="1592" t="str">
        <f t="shared" si="37"/>
        <v>2002A</v>
      </c>
      <c r="DF53" s="1592" t="str">
        <f t="shared" si="37"/>
        <v>2003A</v>
      </c>
      <c r="DG53" s="1592" t="str">
        <f t="shared" si="37"/>
        <v>2004A</v>
      </c>
      <c r="DH53" s="1592" t="str">
        <f t="shared" si="37"/>
        <v>2005A</v>
      </c>
      <c r="DI53" s="1592" t="str">
        <f t="shared" si="37"/>
        <v>2006A</v>
      </c>
      <c r="DJ53" s="1592" t="str">
        <f t="shared" si="37"/>
        <v>2007A</v>
      </c>
      <c r="DK53" s="1592" t="str">
        <f t="shared" si="37"/>
        <v>2008A</v>
      </c>
      <c r="DL53" s="1592" t="str">
        <f t="shared" si="37"/>
        <v>2009A</v>
      </c>
      <c r="DM53" s="1592" t="str">
        <f t="shared" si="37"/>
        <v>2010A</v>
      </c>
      <c r="DN53" s="1592" t="str">
        <f t="shared" si="37"/>
        <v>2011A</v>
      </c>
      <c r="DO53" s="1592" t="str">
        <f t="shared" si="37"/>
        <v>2012A</v>
      </c>
      <c r="DP53" s="1592" t="str">
        <f t="shared" si="37"/>
        <v>2013A</v>
      </c>
      <c r="DQ53" s="1592" t="str">
        <f t="shared" si="37"/>
        <v>2014A</v>
      </c>
      <c r="DR53" s="1592" t="str">
        <f t="shared" si="37"/>
        <v>2015A</v>
      </c>
      <c r="DS53" s="1592" t="str">
        <f t="shared" si="37"/>
        <v>2016A</v>
      </c>
      <c r="DT53" s="1592" t="str">
        <f t="shared" si="37"/>
        <v>2017A</v>
      </c>
      <c r="DU53" s="1592" t="str">
        <f t="shared" si="37"/>
        <v>2018E</v>
      </c>
      <c r="DV53" s="1592" t="str">
        <f>DV5</f>
        <v>2019E</v>
      </c>
      <c r="DW53" s="1597" t="str">
        <f>DW5</f>
        <v>2019E</v>
      </c>
      <c r="DX53"/>
    </row>
    <row r="54" spans="1:137">
      <c r="A54" s="1251" t="s">
        <v>1132</v>
      </c>
      <c r="B54" s="1598"/>
      <c r="C54" s="1253"/>
      <c r="D54" s="1253"/>
      <c r="E54" s="1253"/>
      <c r="F54" s="1253"/>
      <c r="G54" s="1253"/>
      <c r="H54" s="1253"/>
      <c r="I54" s="1253"/>
      <c r="J54" s="1599" t="e">
        <f>yrSales!#REF!</f>
        <v>#REF!</v>
      </c>
      <c r="K54" s="1599" t="e">
        <f>yrSales!#REF!</f>
        <v>#REF!</v>
      </c>
      <c r="L54" s="1598"/>
      <c r="M54" s="1599">
        <f>yrSales!V20</f>
        <v>5129</v>
      </c>
      <c r="N54" s="1599">
        <f>yrSales!W20</f>
        <v>4614</v>
      </c>
      <c r="O54" s="1253"/>
      <c r="P54" s="1253"/>
      <c r="Q54" s="1253"/>
      <c r="R54" s="1253"/>
      <c r="S54" s="1253"/>
      <c r="T54" s="1253"/>
      <c r="U54" s="1253"/>
      <c r="V54" s="1600"/>
      <c r="W54" s="1253"/>
      <c r="X54" s="1253"/>
      <c r="Y54" s="1253"/>
      <c r="Z54" s="1253"/>
      <c r="AA54" s="1600"/>
      <c r="AB54" s="1253"/>
      <c r="AC54" s="1253"/>
      <c r="AD54" s="1253"/>
      <c r="AE54" s="1253"/>
      <c r="AF54" s="1253"/>
      <c r="AG54" s="1601">
        <f>+turn!R99</f>
        <v>4.796845152135309</v>
      </c>
      <c r="AH54" s="1601">
        <f>+turn!R106</f>
        <v>5.1893204871656877</v>
      </c>
      <c r="AI54" s="1601">
        <f>+turn!R113</f>
        <v>5.0867052707565357</v>
      </c>
      <c r="AJ54" s="1601">
        <f>+turn!R120</f>
        <v>4.6560201485287074</v>
      </c>
      <c r="AK54" s="1253"/>
      <c r="AL54" s="1601">
        <f>+turn!R127</f>
        <v>4.1058312434131858</v>
      </c>
      <c r="AM54" s="1253"/>
      <c r="AN54" s="1253"/>
      <c r="AO54" s="1253"/>
      <c r="AP54" s="1253"/>
      <c r="AQ54" s="1601">
        <f>+turn!R134</f>
        <v>4.0217865889538595</v>
      </c>
      <c r="AR54" s="1601">
        <f>turn!R141</f>
        <v>4.5479340588012924</v>
      </c>
      <c r="AS54" s="1601">
        <f>turn!$R$155</f>
        <v>5.1225674449430016</v>
      </c>
      <c r="AT54" s="1253"/>
      <c r="AU54" s="1253"/>
      <c r="AV54" s="1253"/>
      <c r="AW54" s="1253"/>
      <c r="AX54" s="1253"/>
      <c r="AY54" s="1253"/>
      <c r="AZ54" s="1253"/>
      <c r="BA54" s="1253"/>
      <c r="BB54" s="1253"/>
      <c r="BC54" s="1253"/>
      <c r="BD54" s="1253"/>
      <c r="BE54" s="1253"/>
      <c r="BF54" s="1253"/>
      <c r="BG54" s="1253"/>
      <c r="BH54" s="1253"/>
      <c r="BI54" s="1253"/>
      <c r="BJ54" s="1253"/>
      <c r="BK54" s="1253"/>
      <c r="BL54" s="1253"/>
      <c r="BM54" s="1253"/>
      <c r="BO54" s="1253"/>
      <c r="BY54" s="1602"/>
      <c r="BZ54" s="1602"/>
      <c r="CA54" s="1602"/>
      <c r="CB54" s="1602"/>
      <c r="CC54" s="1602"/>
      <c r="CD54" s="1602"/>
      <c r="CE54" s="1602"/>
      <c r="CF54" s="1601">
        <f>turn!$R$162</f>
        <v>5.3174922396477928</v>
      </c>
      <c r="CG54" s="1601">
        <f>turn!$R$169</f>
        <v>5.2409395393739837</v>
      </c>
      <c r="CH54" s="1601">
        <f>turn!$R$176</f>
        <v>5.1071147859458215</v>
      </c>
      <c r="CI54" s="1602"/>
      <c r="CJ54" s="1601">
        <f>'yrP&amp;L'!Z11/bal!BA11</f>
        <v>6.0330811430822431</v>
      </c>
      <c r="CK54" s="1601">
        <f>'yrP&amp;L'!AA11/bal!BC11</f>
        <v>5.8250123446666588</v>
      </c>
      <c r="CL54" s="1601">
        <f>'yrP&amp;L'!AB11/bal!BE11</f>
        <v>6.3560410583941609</v>
      </c>
      <c r="CM54" s="1603">
        <f>'yrP&amp;L'!AC11/bal!BG11</f>
        <v>5.766002789301278</v>
      </c>
      <c r="CN54" s="1602"/>
      <c r="CO54" s="1602"/>
      <c r="CP54" s="1602"/>
      <c r="CQ54" s="1602"/>
      <c r="CR54" s="1602"/>
      <c r="CS54" s="1602"/>
      <c r="CT54" s="1604" t="s">
        <v>1131</v>
      </c>
      <c r="CU54" s="1602"/>
      <c r="CV54" s="1602"/>
      <c r="CW54" s="1602"/>
      <c r="CX54" s="1602"/>
      <c r="CY54" s="1253"/>
      <c r="CZ54" s="1253"/>
      <c r="DA54" s="1253"/>
      <c r="DB54" s="1253"/>
      <c r="DC54" s="1605"/>
      <c r="DD54" s="1605">
        <f>yrSales!W20</f>
        <v>4614</v>
      </c>
      <c r="DE54" s="1599">
        <f>yrSales!X20</f>
        <v>4036</v>
      </c>
      <c r="DF54" s="1599">
        <f>yrSales!Y20</f>
        <v>3911</v>
      </c>
      <c r="DG54" s="1599">
        <f>yrSales!Z20</f>
        <v>3779</v>
      </c>
      <c r="DH54" s="1599">
        <f>yrSales!AA20</f>
        <v>3590</v>
      </c>
      <c r="DI54" s="1599">
        <f>yrSales!AB20</f>
        <v>3766</v>
      </c>
      <c r="DJ54" s="1599">
        <f>yrSales!AC20</f>
        <v>2926</v>
      </c>
      <c r="DK54" s="1599">
        <f>yrSales!AD20</f>
        <v>3014</v>
      </c>
      <c r="DL54" s="1599">
        <f>yrSales!AE20</f>
        <v>2971</v>
      </c>
      <c r="DM54" s="1599">
        <f>yrSales!AF20</f>
        <v>2968</v>
      </c>
      <c r="DN54" s="1599">
        <f>yrSales!AG20</f>
        <v>2941</v>
      </c>
      <c r="DO54" s="1599">
        <f>yrSales!AH20</f>
        <v>2876</v>
      </c>
      <c r="DP54" s="1599">
        <f>yrSales!AI20</f>
        <v>2918</v>
      </c>
      <c r="DQ54" s="1599">
        <f>'store&amp;sf'!AQ164</f>
        <v>2969</v>
      </c>
      <c r="DR54" s="1599">
        <f>'store&amp;sf'!AQ170</f>
        <v>3005</v>
      </c>
      <c r="DS54" s="1599">
        <f>'store&amp;sf'!AQ176</f>
        <v>3074</v>
      </c>
      <c r="DT54" s="1599">
        <f>yrSales!AM20</f>
        <v>3021</v>
      </c>
      <c r="DU54" s="1599">
        <f>yrSales!AN20</f>
        <v>3045</v>
      </c>
      <c r="DV54" s="1599">
        <f>yrSales!AO20</f>
        <v>3040</v>
      </c>
      <c r="DW54" s="1606">
        <f>yrSales!AP20</f>
        <v>3035</v>
      </c>
      <c r="DX54" s="1599"/>
    </row>
    <row r="55" spans="1:137">
      <c r="A55" s="1251" t="s">
        <v>738</v>
      </c>
      <c r="B55" s="1253"/>
      <c r="C55" s="1253"/>
      <c r="D55" s="1253"/>
      <c r="E55" s="1253"/>
      <c r="F55" s="1253"/>
      <c r="G55" s="1253"/>
      <c r="H55" s="1253"/>
      <c r="I55" s="1253"/>
      <c r="J55" s="1253"/>
      <c r="K55" s="1253"/>
      <c r="L55" s="1253"/>
      <c r="M55" s="1253"/>
      <c r="N55" s="1607">
        <f>+yrSales!W376</f>
        <v>1002</v>
      </c>
      <c r="O55" s="1253"/>
      <c r="P55" s="1253"/>
      <c r="Q55" s="1253"/>
      <c r="R55" s="1253"/>
      <c r="S55" s="1253"/>
      <c r="T55" s="1253"/>
      <c r="U55" s="1253"/>
      <c r="V55" s="1532"/>
      <c r="W55" s="1253"/>
      <c r="X55" s="1253"/>
      <c r="Y55" s="1253"/>
      <c r="Z55" s="1253"/>
      <c r="AA55" s="1532"/>
      <c r="AB55" s="1253"/>
      <c r="AC55" s="1253"/>
      <c r="AD55" s="1253"/>
      <c r="AE55" s="1253"/>
      <c r="AF55" s="1253"/>
      <c r="AG55" s="1608">
        <f>+bal!AC33/bal!AC11</f>
        <v>0.47204968944099379</v>
      </c>
      <c r="AH55" s="1608">
        <f>+bal!AE33/bal!AE11</f>
        <v>0.45387062566277836</v>
      </c>
      <c r="AI55" s="1608">
        <f>+bal!AG33/bal!AG11</f>
        <v>0.43406159285089863</v>
      </c>
      <c r="AJ55" s="1608">
        <f>+bal!AI33/bal!AI11</f>
        <v>0.46133018306616419</v>
      </c>
      <c r="AK55" s="1253"/>
      <c r="AL55" s="1608">
        <f>+bal!AK33/bal!AK11</f>
        <v>0.33488401524542172</v>
      </c>
      <c r="AM55" s="1253"/>
      <c r="AN55" s="1253"/>
      <c r="AO55" s="1253"/>
      <c r="AP55" s="1253"/>
      <c r="AQ55" s="1608">
        <f>+bal!AM33/bal!AM11</f>
        <v>0.41326938449240608</v>
      </c>
      <c r="AR55" s="1608">
        <f>+bal!AO33/bal!AO11</f>
        <v>0.41793570219966159</v>
      </c>
      <c r="AS55" s="1608">
        <f>+bal!AS33/bal!AS11</f>
        <v>0.5281007751937985</v>
      </c>
      <c r="AT55" s="1253"/>
      <c r="AU55" s="1253"/>
      <c r="AV55" s="1253"/>
      <c r="AW55" s="1253"/>
      <c r="AX55" s="1253"/>
      <c r="AY55" s="1253"/>
      <c r="AZ55" s="1253"/>
      <c r="BA55" s="1253"/>
      <c r="BB55" s="1253"/>
      <c r="BC55" s="1253"/>
      <c r="BD55" s="1253"/>
      <c r="BE55" s="1253"/>
      <c r="BF55" s="1253"/>
      <c r="BG55" s="1253"/>
      <c r="BH55" s="1253"/>
      <c r="BI55" s="1253"/>
      <c r="BJ55" s="1253"/>
      <c r="BK55" s="1253"/>
      <c r="BL55" s="1253"/>
      <c r="BM55" s="1253"/>
      <c r="BO55" s="1253"/>
      <c r="BY55" s="1602"/>
      <c r="BZ55" s="1602"/>
      <c r="CA55" s="1602"/>
      <c r="CB55" s="1602"/>
      <c r="CC55" s="1602"/>
      <c r="CD55" s="1602"/>
      <c r="CE55" s="1602"/>
      <c r="CF55" s="1608">
        <f>+bal!AU33/bal!AU11</f>
        <v>0.54162487462387165</v>
      </c>
      <c r="CG55" s="1608">
        <f>+bal!AW33/bal!AW11</f>
        <v>0.53935856573705176</v>
      </c>
      <c r="CH55" s="1608">
        <f>+bal!AY33/bal!AY11</f>
        <v>0.51444252869615392</v>
      </c>
      <c r="CI55" s="1602"/>
      <c r="CJ55" s="1608">
        <f>bal!BA33/bal!BA11</f>
        <v>0.59181096158636537</v>
      </c>
      <c r="CK55" s="1608">
        <f>bal!BC33/bal!BC11</f>
        <v>0.59545145827502666</v>
      </c>
      <c r="CL55" s="1608">
        <f>bal!BE33/bal!BE11</f>
        <v>0.62317518248175185</v>
      </c>
      <c r="CM55" s="1609">
        <f>bal!BG33/bal!BG11</f>
        <v>0.5782710365182292</v>
      </c>
      <c r="CN55" s="1602"/>
      <c r="CO55" s="1602"/>
      <c r="CP55" s="1602"/>
      <c r="CQ55" s="1602"/>
      <c r="CR55" s="1602"/>
      <c r="CS55" s="1602"/>
      <c r="CT55" s="1604" t="s">
        <v>293</v>
      </c>
      <c r="CU55" s="1602"/>
      <c r="CV55" s="1602"/>
      <c r="CW55" s="1602"/>
      <c r="CX55" s="1602"/>
      <c r="CY55" s="1253"/>
      <c r="CZ55" s="1253"/>
      <c r="DA55" s="1253"/>
      <c r="DB55" s="1253"/>
      <c r="DC55" s="1601"/>
      <c r="DD55" s="1610">
        <f>+yrSales!W376</f>
        <v>1002</v>
      </c>
      <c r="DE55" s="1610">
        <f>+yrSales!X376</f>
        <v>1014</v>
      </c>
      <c r="DF55" s="1610">
        <f>+yrSales!Y376</f>
        <v>1009</v>
      </c>
      <c r="DG55" s="1610">
        <f>+yrSales!Z376</f>
        <v>1001</v>
      </c>
      <c r="DH55" s="1610">
        <f>+yrSales!AA376</f>
        <v>998</v>
      </c>
      <c r="DI55" s="1610">
        <f>+yrSales!AB376</f>
        <v>1003</v>
      </c>
      <c r="DJ55" s="1610">
        <f>+yrSales!AC376</f>
        <v>1020</v>
      </c>
      <c r="DK55" s="1607">
        <f>yrSales!AD71</f>
        <v>1043</v>
      </c>
      <c r="DL55" s="1607">
        <f>+yrSales!AE376</f>
        <v>1044</v>
      </c>
      <c r="DM55" s="1607">
        <f>+yrSales!AF376</f>
        <v>1040</v>
      </c>
      <c r="DN55" s="1607">
        <f>+yrSales!AG376</f>
        <v>1036</v>
      </c>
      <c r="DO55" s="1607">
        <f>+yrSales!AH376</f>
        <v>1047</v>
      </c>
      <c r="DP55" s="1607">
        <f>+yrSales!AI376</f>
        <v>1094</v>
      </c>
      <c r="DQ55" s="1607">
        <f>'store&amp;sf'!J164</f>
        <v>1139</v>
      </c>
      <c r="DR55" s="1607">
        <f>'store&amp;sf'!J170</f>
        <v>1164</v>
      </c>
      <c r="DS55" s="1607">
        <f>'store&amp;sf'!J176</f>
        <v>1177</v>
      </c>
      <c r="DT55" s="1607">
        <f>+yrSales!AM376</f>
        <v>1137</v>
      </c>
      <c r="DU55" s="1607">
        <f>+yrSales!AN376</f>
        <v>1131</v>
      </c>
      <c r="DV55" s="1607">
        <f>+yrSales!AO376</f>
        <v>1126</v>
      </c>
      <c r="DW55" s="1611">
        <f>+yrSales!AP376</f>
        <v>1121</v>
      </c>
      <c r="DX55" s="1607"/>
    </row>
    <row r="56" spans="1:137">
      <c r="A56" s="1251" t="s">
        <v>739</v>
      </c>
      <c r="B56" s="1253"/>
      <c r="C56" s="1253"/>
      <c r="D56" s="1253"/>
      <c r="E56" s="1253"/>
      <c r="F56" s="1253"/>
      <c r="G56" s="1253"/>
      <c r="H56" s="1253"/>
      <c r="I56" s="1253"/>
      <c r="J56" s="1253"/>
      <c r="K56" s="1253"/>
      <c r="L56" s="1253"/>
      <c r="M56" s="1253"/>
      <c r="N56" s="1607">
        <f>+yrSales!W377</f>
        <v>1615</v>
      </c>
      <c r="O56" s="1253"/>
      <c r="P56" s="1253"/>
      <c r="Q56" s="1253"/>
      <c r="R56" s="1253"/>
      <c r="S56" s="1253"/>
      <c r="T56" s="1253"/>
      <c r="U56" s="1253"/>
      <c r="V56" s="1479"/>
      <c r="W56" s="1253"/>
      <c r="X56" s="1253"/>
      <c r="Y56" s="1253"/>
      <c r="Z56" s="1253"/>
      <c r="AA56" s="1479"/>
      <c r="AB56" s="1253"/>
      <c r="AC56" s="1253"/>
      <c r="AD56" s="1253"/>
      <c r="AE56" s="1253"/>
      <c r="AF56" s="1253"/>
      <c r="AG56" s="1612">
        <f>+(bal!AC41+bal!AC34)/(bal!AC41+bal!AC34+bal!AC57)</f>
        <v>0.10116515627889773</v>
      </c>
      <c r="AH56" s="1612">
        <f>+(bal!AE41+bal!AE34)/(bal!AE41+bal!AE34+bal!AE57)</f>
        <v>0.10957051065268854</v>
      </c>
      <c r="AI56" s="1612">
        <f>+(bal!AG41+bal!AG34)/(bal!AG41+bal!AG34+bal!AG57)</f>
        <v>0.41350915735461335</v>
      </c>
      <c r="AJ56" s="1612">
        <f>+(bal!AI41+bal!AI34)/(bal!AI41+bal!AI34+bal!AI57)</f>
        <v>0.40326646700656227</v>
      </c>
      <c r="AK56" s="1253"/>
      <c r="AL56" s="1612">
        <f>+(bal!AK41+bal!AK34)/(bal!AK41+bal!AK34+bal!AK57)</f>
        <v>0.36041585587426395</v>
      </c>
      <c r="AM56" s="1253"/>
      <c r="AN56" s="1253"/>
      <c r="AO56" s="1253"/>
      <c r="AP56" s="1253"/>
      <c r="AQ56" s="1612">
        <f>+(bal!AM41+bal!AM34)/(bal!AM41+bal!AM34+bal!AM57)</f>
        <v>0.56693989071038253</v>
      </c>
      <c r="AR56" s="1612">
        <f>+(bal!AO41+bal!AO34)/(bal!AO41+bal!AO34+bal!AO57)</f>
        <v>0.60721022846363448</v>
      </c>
      <c r="AS56" s="1612">
        <f>+(bal!AS41+bal!AS34)/(bal!AS41+bal!AS34+bal!AS57)</f>
        <v>0.62942505649008285</v>
      </c>
      <c r="AT56" s="1253"/>
      <c r="AU56" s="1253"/>
      <c r="AV56" s="1253"/>
      <c r="AW56" s="1253"/>
      <c r="AX56" s="1253"/>
      <c r="AY56" s="1253"/>
      <c r="AZ56" s="1253"/>
      <c r="BA56" s="1253"/>
      <c r="BB56" s="1253"/>
      <c r="BC56" s="1253"/>
      <c r="BD56" s="1253"/>
      <c r="BE56" s="1253"/>
      <c r="BF56" s="1253"/>
      <c r="BG56" s="1253"/>
      <c r="BH56" s="1253"/>
      <c r="BI56" s="1253"/>
      <c r="BJ56" s="1253"/>
      <c r="BK56" s="1253"/>
      <c r="BL56" s="1253"/>
      <c r="BM56" s="1253"/>
      <c r="BO56" s="1253"/>
      <c r="BY56" s="1602"/>
      <c r="BZ56" s="1602"/>
      <c r="CA56" s="1602"/>
      <c r="CB56" s="1602"/>
      <c r="CC56" s="1602"/>
      <c r="CD56" s="1602"/>
      <c r="CE56" s="1602"/>
      <c r="CF56" s="1612">
        <f>+(bal!AU41+bal!AU34)/(bal!AU41+bal!AU34+bal!AU57)</f>
        <v>0.96272108843537418</v>
      </c>
      <c r="CG56" s="1612">
        <f>+(bal!AW41+bal!AW34)/(bal!AW41+bal!AW34+bal!AW57)</f>
        <v>1.2930243334893212</v>
      </c>
      <c r="CH56" s="1612">
        <f>+(bal!AY41+bal!AY34)/(bal!AY41+bal!AY34+bal!AY57)</f>
        <v>1.0803319859557765</v>
      </c>
      <c r="CI56" s="1602"/>
      <c r="CJ56" s="1613">
        <f>(bal!BA34+bal!BA41)/(bal!BA34+bal!BA41+bal!BA57)</f>
        <v>0.99612082782851685</v>
      </c>
      <c r="CK56" s="1613">
        <f>(bal!BC34+bal!BC41)/(bal!BC34+bal!BC41+bal!BC57)</f>
        <v>1.0474550819784709</v>
      </c>
      <c r="CL56" s="1613">
        <f>(bal!BE34+bal!BE41)/(bal!BE34+bal!BE41+bal!BE57)</f>
        <v>1.1451616123300525</v>
      </c>
      <c r="CM56" s="1614">
        <f>(bal!BG34+bal!BG41)/(bal!BG34+bal!BG41+bal!BG57)</f>
        <v>1.1488847942390883</v>
      </c>
      <c r="CN56" s="1602"/>
      <c r="CO56" s="1602"/>
      <c r="CP56" s="1602"/>
      <c r="CQ56" s="1602"/>
      <c r="CR56" s="1602"/>
      <c r="CS56" s="1602"/>
      <c r="CT56" s="1604" t="s">
        <v>298</v>
      </c>
      <c r="CU56" s="1602"/>
      <c r="CV56" s="1602"/>
      <c r="CW56" s="1602"/>
      <c r="CX56" s="1602"/>
      <c r="CY56" s="1253"/>
      <c r="CZ56" s="1253"/>
      <c r="DA56" s="1253"/>
      <c r="DB56" s="1253"/>
      <c r="DC56" s="1601"/>
      <c r="DD56" s="1610"/>
      <c r="DE56" s="1610"/>
      <c r="DF56" s="1610"/>
      <c r="DG56" s="1610"/>
      <c r="DH56" s="1610"/>
      <c r="DI56" s="1610">
        <f>DI55-DI57-DI58-DI59-DI60</f>
        <v>1000</v>
      </c>
      <c r="DJ56" s="1610">
        <f t="shared" ref="DJ56:DP56" si="38">DJ55-DJ57-DJ58-DJ59-DJ60</f>
        <v>1016</v>
      </c>
      <c r="DK56" s="1610">
        <f t="shared" si="38"/>
        <v>1034</v>
      </c>
      <c r="DL56" s="1610">
        <f t="shared" si="38"/>
        <v>1024</v>
      </c>
      <c r="DM56" s="1610">
        <f t="shared" si="38"/>
        <v>1015</v>
      </c>
      <c r="DN56" s="1610">
        <f t="shared" si="38"/>
        <v>1002</v>
      </c>
      <c r="DO56" s="1610">
        <f t="shared" si="38"/>
        <v>985</v>
      </c>
      <c r="DP56" s="1610">
        <f t="shared" si="38"/>
        <v>972</v>
      </c>
      <c r="DQ56" s="1610">
        <f t="shared" ref="DQ56:DV56" si="39">DQ55-DQ57-DQ59-DQ60</f>
        <v>983</v>
      </c>
      <c r="DR56" s="1610">
        <f t="shared" si="39"/>
        <v>990</v>
      </c>
      <c r="DS56" s="1610">
        <f t="shared" si="39"/>
        <v>999</v>
      </c>
      <c r="DT56" s="1610">
        <f t="shared" si="39"/>
        <v>952</v>
      </c>
      <c r="DU56" s="1610">
        <f t="shared" si="39"/>
        <v>937</v>
      </c>
      <c r="DV56" s="1610">
        <f t="shared" si="39"/>
        <v>923</v>
      </c>
      <c r="DW56" s="1615">
        <f t="shared" ref="DW56" si="40">DW55-DW57-DW59-DW60</f>
        <v>909</v>
      </c>
      <c r="DX56" s="1610"/>
      <c r="EE56" s="1616"/>
      <c r="EF56" s="1616"/>
      <c r="EG56" s="1616"/>
    </row>
    <row r="57" spans="1:137" s="1494" customFormat="1">
      <c r="A57" s="1604" t="s">
        <v>342</v>
      </c>
      <c r="B57" s="1602"/>
      <c r="C57" s="1602"/>
      <c r="D57" s="1602"/>
      <c r="E57" s="1602"/>
      <c r="F57" s="1602"/>
      <c r="G57" s="1602"/>
      <c r="H57" s="1602"/>
      <c r="I57" s="1602"/>
      <c r="J57" s="1602"/>
      <c r="K57" s="1602"/>
      <c r="L57" s="1602"/>
      <c r="M57" s="1602"/>
      <c r="N57" s="1610">
        <f>+yrSales!W378+yrSales!W379+yrSales!W380</f>
        <v>1106</v>
      </c>
      <c r="O57" s="1602"/>
      <c r="P57" s="1602"/>
      <c r="Q57" s="1602"/>
      <c r="R57" s="1602"/>
      <c r="S57" s="1602"/>
      <c r="T57" s="1602"/>
      <c r="U57" s="1602"/>
      <c r="V57" s="2860"/>
      <c r="W57" s="1602"/>
      <c r="X57" s="1602"/>
      <c r="Y57" s="1602"/>
      <c r="Z57" s="1602"/>
      <c r="AA57" s="2860"/>
      <c r="AB57" s="1602"/>
      <c r="AC57" s="1602"/>
      <c r="AD57" s="1602"/>
      <c r="AE57" s="1602"/>
      <c r="AF57" s="1602"/>
      <c r="AG57" s="1612">
        <f>+DE25/((bal!AC57+bal!AA57)/2)</f>
        <v>0.1389216201998949</v>
      </c>
      <c r="AH57" s="1612">
        <f>+DF25/((bal!AC57+bal!AE57)/2)</f>
        <v>0.11530080979656329</v>
      </c>
      <c r="AI57" s="1612">
        <f>+DG25/((bal!AG57+bal!AE57)/2)</f>
        <v>0.16767295470065985</v>
      </c>
      <c r="AJ57" s="1612">
        <f>+DH25/((bal!AI57+bal!AG57)/2)</f>
        <v>0.27734749882846665</v>
      </c>
      <c r="AK57" s="1602"/>
      <c r="AL57" s="1612">
        <f>+DI25/((bal!AI57+bal!AK57)/2)</f>
        <v>0.2488588346583944</v>
      </c>
      <c r="AM57" s="1602"/>
      <c r="AN57" s="1602"/>
      <c r="AO57" s="1602"/>
      <c r="AP57" s="1602"/>
      <c r="AQ57" s="1612">
        <f>+DJ25/((bal!AK57+bal!AM57)/2)</f>
        <v>0.1785750939772785</v>
      </c>
      <c r="AR57" s="1612">
        <f>+DK25/((bal!AM57+bal!AO57)/2)</f>
        <v>0.1726283899340337</v>
      </c>
      <c r="AS57" s="1612">
        <f>+DM25/((bal!AQ57+bal!AS57)/2)</f>
        <v>0.37413500956545553</v>
      </c>
      <c r="AT57" s="1602"/>
      <c r="AU57" s="1602"/>
      <c r="AV57" s="1602"/>
      <c r="AW57" s="1602"/>
      <c r="AX57" s="1602"/>
      <c r="AY57" s="1602"/>
      <c r="AZ57" s="1602"/>
      <c r="BA57" s="1602"/>
      <c r="BB57" s="1602"/>
      <c r="BC57" s="1602"/>
      <c r="BD57" s="1602"/>
      <c r="BE57" s="1602"/>
      <c r="BF57" s="1602"/>
      <c r="BG57" s="1602"/>
      <c r="BH57" s="1602"/>
      <c r="BI57" s="1602"/>
      <c r="BJ57" s="1602"/>
      <c r="BK57" s="1602"/>
      <c r="BL57" s="1602"/>
      <c r="BM57" s="1602"/>
      <c r="BO57" s="1602"/>
      <c r="BY57" s="1602"/>
      <c r="BZ57" s="1602"/>
      <c r="CA57" s="1602"/>
      <c r="CB57" s="1602"/>
      <c r="CC57" s="1602"/>
      <c r="CD57" s="1602"/>
      <c r="CE57" s="1602"/>
      <c r="CF57" s="1612">
        <f>+DN25/((bal!AS57+bal!AU57)/2)</f>
        <v>1.0134457532548038</v>
      </c>
      <c r="CG57" s="1612">
        <f>+DO25/((bal!AU57+bal!AW57)/2)</f>
        <v>-1.9751487832050083</v>
      </c>
      <c r="CH57" s="1612">
        <f>+DP25/((bal!AW57+bal!AY57)/2)</f>
        <v>-1.3044764545689314</v>
      </c>
      <c r="CI57" s="1602"/>
      <c r="CJ57" s="1613">
        <f>DQ25/((bal!AY57+bal!BA57)/2)</f>
        <v>-5.9302462231097737</v>
      </c>
      <c r="CK57" s="1613">
        <f>DR25/((bal!BC57+bal!BA57)/2)</f>
        <v>-9.8484686537852824</v>
      </c>
      <c r="CL57" s="1613">
        <f>DS25/((bal!BE57+bal!BC57)/2)</f>
        <v>-2.2109218132035315</v>
      </c>
      <c r="CM57" s="1614">
        <f>DT25/((bal!BG57+bal!BE57)/2)</f>
        <v>-1.2441282485317202</v>
      </c>
      <c r="CN57" s="1602"/>
      <c r="CO57" s="1602"/>
      <c r="CP57" s="1602"/>
      <c r="CQ57" s="1602"/>
      <c r="CR57" s="1602"/>
      <c r="CS57" s="1602"/>
      <c r="CT57" s="1604" t="s">
        <v>288</v>
      </c>
      <c r="CU57" s="1602"/>
      <c r="CV57" s="1602"/>
      <c r="CW57" s="1602"/>
      <c r="CX57" s="1602"/>
      <c r="CY57" s="1602"/>
      <c r="CZ57" s="1602"/>
      <c r="DA57" s="1602"/>
      <c r="DB57" s="1602"/>
      <c r="DC57" s="1601"/>
      <c r="DD57" s="1610"/>
      <c r="DE57" s="1610"/>
      <c r="DF57" s="1610"/>
      <c r="DG57" s="1610"/>
      <c r="DH57" s="1610"/>
      <c r="DI57" s="1610">
        <v>0</v>
      </c>
      <c r="DJ57" s="1610">
        <v>0</v>
      </c>
      <c r="DK57" s="1610">
        <v>0</v>
      </c>
      <c r="DL57" s="1610">
        <v>3</v>
      </c>
      <c r="DM57" s="1610">
        <v>4</v>
      </c>
      <c r="DN57" s="1610">
        <v>11</v>
      </c>
      <c r="DO57" s="1610">
        <v>16</v>
      </c>
      <c r="DP57" s="1610">
        <v>24</v>
      </c>
      <c r="DQ57" s="1610">
        <f>DP57+7</f>
        <v>31</v>
      </c>
      <c r="DR57" s="1610">
        <f>DQ57+6</f>
        <v>37</v>
      </c>
      <c r="DS57" s="1610">
        <f>DR57+1</f>
        <v>38</v>
      </c>
      <c r="DT57" s="1610">
        <f>DS57+2</f>
        <v>40</v>
      </c>
      <c r="DU57" s="1610">
        <f>DT57+4</f>
        <v>44</v>
      </c>
      <c r="DV57" s="1610">
        <f>DU57+4</f>
        <v>48</v>
      </c>
      <c r="DW57" s="1615">
        <f>DV57+4</f>
        <v>52</v>
      </c>
      <c r="DX57" s="1610"/>
      <c r="DY57"/>
      <c r="DZ57"/>
      <c r="EA57"/>
      <c r="EB57"/>
      <c r="EC57"/>
      <c r="ED57"/>
    </row>
    <row r="58" spans="1:137">
      <c r="A58" s="1617" t="s">
        <v>284</v>
      </c>
      <c r="B58" s="1431"/>
      <c r="C58" s="1431"/>
      <c r="D58" s="1431"/>
      <c r="E58" s="1431"/>
      <c r="F58" s="1431"/>
      <c r="G58" s="1431"/>
      <c r="H58" s="1431"/>
      <c r="I58" s="1431"/>
      <c r="J58" s="1431"/>
      <c r="K58" s="1431"/>
      <c r="L58" s="1431"/>
      <c r="M58" s="1431"/>
      <c r="N58" s="1431"/>
      <c r="O58" s="1431"/>
      <c r="P58" s="1431"/>
      <c r="Q58" s="1431"/>
      <c r="R58" s="1431"/>
      <c r="S58" s="1431"/>
      <c r="T58" s="1431"/>
      <c r="U58" s="1431"/>
      <c r="V58" s="1431"/>
      <c r="W58" s="1431"/>
      <c r="X58" s="1431"/>
      <c r="Y58" s="1431"/>
      <c r="Z58" s="1431"/>
      <c r="AA58" s="1431"/>
      <c r="AB58" s="1431"/>
      <c r="AC58" s="1431"/>
      <c r="AD58" s="1431"/>
      <c r="AE58" s="1431"/>
      <c r="AF58" s="1431"/>
      <c r="AG58" s="1431"/>
      <c r="AH58" s="1431"/>
      <c r="AI58" s="1431"/>
      <c r="AJ58" s="1431"/>
      <c r="AK58" s="1431"/>
      <c r="AL58" s="1431"/>
      <c r="AM58" s="1431"/>
      <c r="AN58" s="1431"/>
      <c r="AO58" s="1431"/>
      <c r="AP58" s="1431"/>
      <c r="AQ58" s="1431"/>
      <c r="AR58" s="1431"/>
      <c r="AS58" s="1431"/>
      <c r="AT58" s="1431"/>
      <c r="AU58" s="1431"/>
      <c r="AV58" s="1431"/>
      <c r="AW58" s="1431"/>
      <c r="AX58" s="1431"/>
      <c r="AY58" s="1431"/>
      <c r="AZ58" s="1431"/>
      <c r="BA58" s="1431"/>
      <c r="BB58" s="1431"/>
      <c r="BC58" s="1431"/>
      <c r="BD58" s="1431"/>
      <c r="BE58" s="1431"/>
      <c r="BF58" s="1431"/>
      <c r="BG58" s="1431"/>
      <c r="BH58" s="1431"/>
      <c r="BI58" s="1431"/>
      <c r="BJ58" s="1431"/>
      <c r="BK58" s="1618"/>
      <c r="BL58" s="1618"/>
      <c r="BM58" s="1618"/>
      <c r="BN58" s="1618"/>
      <c r="BO58" s="1431"/>
      <c r="BY58" s="1253"/>
      <c r="BZ58" s="1602"/>
      <c r="CA58" s="1602"/>
      <c r="CB58" s="1602"/>
      <c r="CC58" s="1602"/>
      <c r="CD58" s="1602"/>
      <c r="CE58" s="1602"/>
      <c r="CF58" s="1638"/>
      <c r="CG58" s="1619">
        <f>flow!AV22</f>
        <v>588.08199999999999</v>
      </c>
      <c r="CH58" s="1619">
        <f>flow!AX22</f>
        <v>690.53</v>
      </c>
      <c r="CI58" s="1602"/>
      <c r="CJ58" s="1619">
        <f>flow!AZ22</f>
        <v>714.96799999999996</v>
      </c>
      <c r="CK58" s="1619">
        <f>flow!BB22</f>
        <v>726.95100000000002</v>
      </c>
      <c r="CL58" s="1619">
        <f>flow!BD22</f>
        <v>990.48900000000003</v>
      </c>
      <c r="CM58" s="1620">
        <f>flow!BF22</f>
        <v>706.67499999999995</v>
      </c>
      <c r="CN58" s="1602"/>
      <c r="CO58" s="1602"/>
      <c r="CP58" s="1602"/>
      <c r="CQ58" s="1602"/>
      <c r="CR58" s="1602"/>
      <c r="CS58" s="1602"/>
      <c r="CT58" s="1604" t="s">
        <v>1330</v>
      </c>
      <c r="CU58" s="1602"/>
      <c r="CV58" s="1602"/>
      <c r="CW58" s="1602"/>
      <c r="CX58" s="1602"/>
      <c r="CY58" s="1253"/>
      <c r="CZ58" s="1253"/>
      <c r="DA58" s="1253"/>
      <c r="DB58" s="1253"/>
      <c r="DC58" s="1601"/>
      <c r="DD58" s="1607"/>
      <c r="DE58" s="1607"/>
      <c r="DF58" s="1607"/>
      <c r="DG58" s="1607"/>
      <c r="DH58" s="1607"/>
      <c r="DI58" s="1607">
        <v>0</v>
      </c>
      <c r="DJ58" s="1607">
        <v>0</v>
      </c>
      <c r="DK58" s="1607">
        <v>0</v>
      </c>
      <c r="DL58" s="1607">
        <v>0</v>
      </c>
      <c r="DM58" s="1607">
        <v>0</v>
      </c>
      <c r="DN58" s="1607">
        <v>0</v>
      </c>
      <c r="DO58" s="1607">
        <v>2</v>
      </c>
      <c r="DP58" s="1607">
        <v>5</v>
      </c>
      <c r="DQ58" s="1607">
        <f>'store&amp;sf'!X164</f>
        <v>10</v>
      </c>
      <c r="DR58" s="1607">
        <f>'Intl Est'!D107</f>
        <v>14</v>
      </c>
      <c r="DS58" s="1607">
        <f>'Intl Est'!D112</f>
        <v>49</v>
      </c>
      <c r="DT58" s="1607">
        <f t="shared" ref="DT58:DW59" si="41">DS58+5</f>
        <v>54</v>
      </c>
      <c r="DU58" s="1607">
        <f t="shared" si="41"/>
        <v>59</v>
      </c>
      <c r="DV58" s="1607">
        <f t="shared" si="41"/>
        <v>64</v>
      </c>
      <c r="DW58" s="1611">
        <f t="shared" si="41"/>
        <v>69</v>
      </c>
      <c r="DX58" s="1607"/>
      <c r="EE58" s="1616"/>
    </row>
    <row r="59" spans="1:137">
      <c r="A59" s="1253"/>
      <c r="B59" s="1253"/>
      <c r="C59" s="1253"/>
      <c r="D59" s="1253"/>
      <c r="E59" s="1253"/>
      <c r="F59" s="1253"/>
      <c r="G59" s="1253"/>
      <c r="H59" s="1253"/>
      <c r="I59" s="1253"/>
      <c r="J59" s="1253"/>
      <c r="K59" s="1253"/>
      <c r="L59" s="1253"/>
      <c r="M59" s="1253"/>
      <c r="N59" s="1253"/>
      <c r="O59" s="1253"/>
      <c r="P59" s="1253"/>
      <c r="Q59" s="1253"/>
      <c r="R59" s="1253"/>
      <c r="S59" s="1253"/>
      <c r="T59" s="1253"/>
      <c r="U59" s="1253"/>
      <c r="V59" s="1253"/>
      <c r="W59" s="1253"/>
      <c r="X59" s="1253"/>
      <c r="Y59" s="1253"/>
      <c r="Z59" s="1253"/>
      <c r="AA59" s="1253"/>
      <c r="AB59" s="1253"/>
      <c r="AC59" s="1253"/>
      <c r="AD59" s="1253"/>
      <c r="AE59" s="1253"/>
      <c r="AF59" s="1253"/>
      <c r="AG59" s="1253"/>
      <c r="AH59" s="1253"/>
      <c r="AI59" s="1253"/>
      <c r="AJ59" s="1253"/>
      <c r="AK59" s="1253"/>
      <c r="AL59" s="1253"/>
      <c r="AM59" s="1253"/>
      <c r="AN59" s="1253"/>
      <c r="AO59" s="1253"/>
      <c r="AP59" s="1253"/>
      <c r="AQ59" s="1253"/>
      <c r="AR59" s="1253"/>
      <c r="AS59" s="1253"/>
      <c r="AT59" s="1253"/>
      <c r="AU59" s="1253"/>
      <c r="AV59" s="1253"/>
      <c r="AW59" s="1253"/>
      <c r="AX59" s="1253"/>
      <c r="AY59" s="1253"/>
      <c r="AZ59" s="1253"/>
      <c r="BA59" s="1253"/>
      <c r="BB59" s="1253"/>
      <c r="BC59" s="1253"/>
      <c r="BD59" s="1253"/>
      <c r="BE59" s="1253"/>
      <c r="BF59" s="1253"/>
      <c r="BG59" s="1253"/>
      <c r="BH59" s="1253"/>
      <c r="BI59" s="1253"/>
      <c r="BJ59" s="1253"/>
      <c r="BK59" s="1446"/>
      <c r="BL59" s="1446"/>
      <c r="BM59" s="1446"/>
      <c r="BN59" s="1446"/>
      <c r="BO59" s="1253"/>
      <c r="BY59" s="1253"/>
      <c r="BZ59" s="1610"/>
      <c r="CA59" s="1610"/>
      <c r="CB59" s="1610"/>
      <c r="CC59" s="1610"/>
      <c r="CD59" s="1602"/>
      <c r="CE59" s="1602"/>
      <c r="CF59" s="1602"/>
      <c r="CG59" s="1602"/>
      <c r="CH59" s="1602"/>
      <c r="CI59" s="1602"/>
      <c r="CJ59" s="1602"/>
      <c r="CK59" s="1602"/>
      <c r="CL59" s="1602"/>
      <c r="CM59" s="1602"/>
      <c r="CN59" s="1602"/>
      <c r="CO59" s="1602"/>
      <c r="CP59" s="1602"/>
      <c r="CQ59" s="1602"/>
      <c r="CR59" s="1602"/>
      <c r="CS59" s="1602"/>
      <c r="CT59" s="1604" t="s">
        <v>292</v>
      </c>
      <c r="CU59" s="1602"/>
      <c r="CV59" s="1602"/>
      <c r="CW59" s="1602"/>
      <c r="CX59" s="1602"/>
      <c r="CY59" s="1253"/>
      <c r="CZ59" s="1253"/>
      <c r="DA59" s="1253"/>
      <c r="DB59" s="1253"/>
      <c r="DC59" s="1601"/>
      <c r="DD59" s="1607"/>
      <c r="DE59" s="1607"/>
      <c r="DF59" s="1607"/>
      <c r="DG59" s="1607"/>
      <c r="DH59" s="1607"/>
      <c r="DI59" s="1607">
        <v>3</v>
      </c>
      <c r="DJ59" s="1607">
        <v>4</v>
      </c>
      <c r="DK59" s="1607">
        <v>9</v>
      </c>
      <c r="DL59" s="1607">
        <v>13</v>
      </c>
      <c r="DM59" s="1607">
        <v>13</v>
      </c>
      <c r="DN59" s="1607">
        <v>15</v>
      </c>
      <c r="DO59" s="1607">
        <v>34</v>
      </c>
      <c r="DP59" s="1607">
        <v>83</v>
      </c>
      <c r="DQ59" s="1607">
        <v>115</v>
      </c>
      <c r="DR59" s="1607">
        <f>DP59+45</f>
        <v>128</v>
      </c>
      <c r="DS59" s="1607">
        <f>DR59+4</f>
        <v>132</v>
      </c>
      <c r="DT59" s="1607">
        <f t="shared" si="41"/>
        <v>137</v>
      </c>
      <c r="DU59" s="1607">
        <f t="shared" si="41"/>
        <v>142</v>
      </c>
      <c r="DV59" s="1607">
        <f t="shared" si="41"/>
        <v>147</v>
      </c>
      <c r="DW59" s="1611">
        <f t="shared" si="41"/>
        <v>152</v>
      </c>
      <c r="DX59" s="1607"/>
    </row>
    <row r="60" spans="1:137">
      <c r="A60" s="1590" t="s">
        <v>1382</v>
      </c>
      <c r="B60" s="626"/>
      <c r="C60" s="626"/>
      <c r="D60" s="626"/>
      <c r="E60" s="626"/>
      <c r="F60" s="626"/>
      <c r="G60" s="626"/>
      <c r="H60" s="626"/>
      <c r="I60" s="626"/>
      <c r="J60" s="626"/>
      <c r="K60" s="626"/>
      <c r="L60" s="626"/>
      <c r="M60" s="626"/>
      <c r="N60" s="1621">
        <f>+yrSales!W382</f>
        <v>1</v>
      </c>
      <c r="O60" s="626"/>
      <c r="P60" s="626"/>
      <c r="Q60" s="626"/>
      <c r="R60" s="626"/>
      <c r="S60" s="626"/>
      <c r="T60" s="626"/>
      <c r="U60" s="626"/>
      <c r="V60" s="1622"/>
      <c r="W60" s="626"/>
      <c r="X60" s="626"/>
      <c r="Y60" s="626"/>
      <c r="Z60" s="626"/>
      <c r="AA60" s="1622"/>
      <c r="AB60" s="1623"/>
      <c r="AC60" s="626"/>
      <c r="AD60" s="626"/>
      <c r="AE60" s="1623"/>
      <c r="AF60" s="1622"/>
      <c r="AG60" s="1623"/>
      <c r="AH60" s="1623"/>
      <c r="AI60" s="1623"/>
      <c r="AJ60" s="1623"/>
      <c r="AK60" s="1622"/>
      <c r="AL60" s="1623"/>
      <c r="AM60" s="1623"/>
      <c r="AN60" s="1623"/>
      <c r="AO60" s="1623"/>
      <c r="AP60" s="1623"/>
      <c r="AQ60" s="1623"/>
      <c r="AR60" s="1623"/>
      <c r="AS60" s="1623"/>
      <c r="AT60" s="1623"/>
      <c r="AU60" s="1623"/>
      <c r="AV60" s="1623"/>
      <c r="AW60" s="1623"/>
      <c r="AX60" s="1623"/>
      <c r="AY60" s="1623"/>
      <c r="AZ60" s="1623"/>
      <c r="BA60" s="1623"/>
      <c r="BB60" s="1623"/>
      <c r="BC60" s="1623"/>
      <c r="BD60" s="1623"/>
      <c r="BE60" s="1623"/>
      <c r="BF60" s="1623"/>
      <c r="BG60" s="1623"/>
      <c r="BH60" s="1623"/>
      <c r="BI60" s="1623"/>
      <c r="BJ60" s="1623"/>
      <c r="BK60" s="1623"/>
      <c r="BL60" s="1623"/>
      <c r="BM60" s="1623"/>
      <c r="BN60" s="1623"/>
      <c r="BO60" s="1623"/>
      <c r="CA60" s="1602"/>
      <c r="CB60" s="1602"/>
      <c r="CC60" s="1602"/>
      <c r="CD60" s="1602"/>
      <c r="CE60" s="1602"/>
      <c r="CJ60" s="1624" t="s">
        <v>1289</v>
      </c>
      <c r="CK60" s="1624" t="s">
        <v>1290</v>
      </c>
      <c r="CL60" s="1624" t="s">
        <v>1291</v>
      </c>
      <c r="CM60" s="1625" t="s">
        <v>1292</v>
      </c>
      <c r="CN60" s="1602"/>
      <c r="CO60" s="1602"/>
      <c r="CP60" s="1602"/>
      <c r="CQ60" s="1602"/>
      <c r="CR60" s="1602"/>
      <c r="CS60" s="1602"/>
      <c r="CT60" s="1604" t="s">
        <v>289</v>
      </c>
      <c r="CU60" s="1602"/>
      <c r="CV60" s="1602"/>
      <c r="CW60" s="1602"/>
      <c r="CX60" s="1602"/>
      <c r="CY60" s="1253"/>
      <c r="CZ60" s="1253"/>
      <c r="DA60" s="1253"/>
      <c r="DB60" s="1253"/>
      <c r="DC60" s="1601"/>
      <c r="DD60" s="1607"/>
      <c r="DE60" s="1607"/>
      <c r="DF60" s="1607"/>
      <c r="DG60" s="1607"/>
      <c r="DH60" s="1607"/>
      <c r="DI60" s="1607">
        <v>0</v>
      </c>
      <c r="DJ60" s="1607">
        <v>0</v>
      </c>
      <c r="DK60" s="1607">
        <v>0</v>
      </c>
      <c r="DL60" s="1607">
        <v>4</v>
      </c>
      <c r="DM60" s="1607">
        <v>8</v>
      </c>
      <c r="DN60" s="1607">
        <v>8</v>
      </c>
      <c r="DO60" s="1607">
        <v>10</v>
      </c>
      <c r="DP60" s="1607">
        <v>10</v>
      </c>
      <c r="DQ60" s="1607">
        <v>10</v>
      </c>
      <c r="DR60" s="1607">
        <f>DQ60-1</f>
        <v>9</v>
      </c>
      <c r="DS60" s="1607">
        <f>DR60-1</f>
        <v>8</v>
      </c>
      <c r="DT60" s="1607">
        <f t="shared" ref="DT60:DW61" si="42">DS60</f>
        <v>8</v>
      </c>
      <c r="DU60" s="1607">
        <f t="shared" si="42"/>
        <v>8</v>
      </c>
      <c r="DV60" s="1607">
        <f t="shared" si="42"/>
        <v>8</v>
      </c>
      <c r="DW60" s="1611">
        <f t="shared" si="42"/>
        <v>8</v>
      </c>
      <c r="DX60" s="1607"/>
    </row>
    <row r="61" spans="1:137">
      <c r="A61" s="1626" t="s">
        <v>1215</v>
      </c>
      <c r="B61" s="1253"/>
      <c r="C61" s="1253"/>
      <c r="D61" s="1253"/>
      <c r="E61" s="1253"/>
      <c r="F61" s="1253"/>
      <c r="G61" s="1253"/>
      <c r="H61" s="1253"/>
      <c r="I61" s="1253"/>
      <c r="J61" s="1253"/>
      <c r="K61" s="1253"/>
      <c r="L61" s="1253"/>
      <c r="M61" s="1253"/>
      <c r="N61" s="1607">
        <f>+yrSales!W383</f>
        <v>522</v>
      </c>
      <c r="O61" s="1253"/>
      <c r="P61" s="1253"/>
      <c r="Q61" s="1253"/>
      <c r="R61" s="1253"/>
      <c r="S61" s="1253"/>
      <c r="T61" s="1253"/>
      <c r="U61" s="1253"/>
      <c r="V61" s="1253"/>
      <c r="W61" s="1253"/>
      <c r="X61" s="1253"/>
      <c r="Y61" s="1253"/>
      <c r="Z61" s="1253"/>
      <c r="AA61" s="1253"/>
      <c r="AB61" s="1253"/>
      <c r="AC61" s="1253"/>
      <c r="AD61" s="1253"/>
      <c r="AE61" s="1253"/>
      <c r="AF61" s="1253"/>
      <c r="AG61" s="1253"/>
      <c r="AH61" s="1253"/>
      <c r="AI61" s="1253"/>
      <c r="AJ61" s="1253"/>
      <c r="AK61" s="1253"/>
      <c r="AL61" s="1253"/>
      <c r="AM61" s="1253"/>
      <c r="AN61" s="1253"/>
      <c r="AO61" s="1253"/>
      <c r="AP61" s="1253"/>
      <c r="AQ61" s="1253"/>
      <c r="AR61" s="1253"/>
      <c r="AS61" s="1253"/>
      <c r="AT61" s="1253"/>
      <c r="AU61" s="1253"/>
      <c r="AV61" s="1253"/>
      <c r="AW61" s="1253"/>
      <c r="AX61" s="1253"/>
      <c r="AY61" s="1253"/>
      <c r="AZ61" s="1253"/>
      <c r="BA61" s="1253"/>
      <c r="BB61" s="1253"/>
      <c r="BC61" s="1253"/>
      <c r="BD61" s="1253"/>
      <c r="BE61" s="1253"/>
      <c r="BF61" s="1253"/>
      <c r="BG61" s="1253"/>
      <c r="BH61" s="1253"/>
      <c r="BI61" s="1253"/>
      <c r="BJ61" s="1253"/>
      <c r="BK61" s="1446"/>
      <c r="BL61" s="1446"/>
      <c r="BM61" s="1446"/>
      <c r="BN61" s="1446"/>
      <c r="BO61" s="1253"/>
      <c r="CA61" s="1602"/>
      <c r="CB61" s="1602"/>
      <c r="CC61" s="1627"/>
      <c r="CD61" s="1602"/>
      <c r="CE61" s="1602"/>
      <c r="CJ61" s="1628">
        <f>(CJ36-CE36)*10000</f>
        <v>-171.12240417295922</v>
      </c>
      <c r="CK61" s="1628">
        <f t="shared" ref="CK61:CM61" si="43">(CK36-CF36)*10000</f>
        <v>-176.81083154152734</v>
      </c>
      <c r="CL61" s="1628">
        <f t="shared" si="43"/>
        <v>-183.25432211551529</v>
      </c>
      <c r="CM61" s="1629">
        <f t="shared" si="43"/>
        <v>-225.90440927461651</v>
      </c>
      <c r="CN61" s="1602"/>
      <c r="CO61" s="1602"/>
      <c r="CP61" s="1602"/>
      <c r="CQ61" s="1602"/>
      <c r="CR61" s="1602"/>
      <c r="CS61" s="1602"/>
      <c r="CT61" s="1604" t="s">
        <v>954</v>
      </c>
      <c r="CU61" s="1602"/>
      <c r="CV61" s="1602"/>
      <c r="CW61" s="1602"/>
      <c r="CX61" s="1602"/>
      <c r="CY61" s="1253"/>
      <c r="CZ61" s="1253"/>
      <c r="DA61" s="1253"/>
      <c r="DB61" s="1253"/>
      <c r="DC61" s="1605"/>
      <c r="DD61" s="1610"/>
      <c r="DE61" s="1607"/>
      <c r="DF61" s="1607"/>
      <c r="DG61" s="1607"/>
      <c r="DH61" s="1607"/>
      <c r="DI61" s="1607">
        <f>'store&amp;sf'!H116</f>
        <v>291</v>
      </c>
      <c r="DJ61" s="1607">
        <f>'store&amp;sf'!H122</f>
        <v>312</v>
      </c>
      <c r="DK61" s="1607">
        <f>'store&amp;sf'!H128</f>
        <v>322</v>
      </c>
      <c r="DL61" s="1607">
        <f>'store&amp;sf'!$H$134</f>
        <v>258</v>
      </c>
      <c r="DM61" s="1607">
        <f>'store&amp;sf'!H140</f>
        <v>252</v>
      </c>
      <c r="DN61" s="1607">
        <f>'store&amp;sf'!H146</f>
        <v>230</v>
      </c>
      <c r="DO61" s="1607">
        <f>'store&amp;sf'!H152</f>
        <v>158</v>
      </c>
      <c r="DP61" s="1607">
        <f>'store&amp;sf'!H158</f>
        <v>157</v>
      </c>
      <c r="DQ61" s="1607">
        <f>'store&amp;sf'!H164</f>
        <v>145</v>
      </c>
      <c r="DR61" s="1610">
        <f>'store&amp;sf'!H170</f>
        <v>126</v>
      </c>
      <c r="DS61" s="1610">
        <f>'store&amp;sf'!H176</f>
        <v>126</v>
      </c>
      <c r="DT61" s="1610">
        <f t="shared" si="42"/>
        <v>126</v>
      </c>
      <c r="DU61" s="1610">
        <f t="shared" si="42"/>
        <v>126</v>
      </c>
      <c r="DV61" s="1610">
        <f t="shared" si="42"/>
        <v>126</v>
      </c>
      <c r="DW61" s="1615">
        <f t="shared" si="42"/>
        <v>126</v>
      </c>
      <c r="DX61" s="1610"/>
    </row>
    <row r="62" spans="1:137">
      <c r="A62" s="1626" t="s">
        <v>1216</v>
      </c>
      <c r="B62" s="1630"/>
      <c r="C62" s="1253"/>
      <c r="D62" s="1253"/>
      <c r="E62" s="1253"/>
      <c r="F62" s="1253"/>
      <c r="G62" s="1253"/>
      <c r="H62" s="1253"/>
      <c r="I62" s="1253"/>
      <c r="J62" s="1631">
        <f>yrSales!T194</f>
        <v>6.6289999999999996</v>
      </c>
      <c r="K62" s="1631">
        <f>yrSales!U194</f>
        <v>6.407</v>
      </c>
      <c r="L62" s="1630"/>
      <c r="M62" s="1631">
        <f>yrSales!V46</f>
        <v>29.029999999999998</v>
      </c>
      <c r="N62" s="1631">
        <f>+yrSales!W46</f>
        <v>25.182499999999997</v>
      </c>
      <c r="O62" s="1253"/>
      <c r="P62" s="1253"/>
      <c r="Q62" s="1253"/>
      <c r="R62" s="1253"/>
      <c r="S62" s="1253"/>
      <c r="T62" s="1253"/>
      <c r="U62" s="1253"/>
      <c r="V62" s="1253"/>
      <c r="W62" s="1253"/>
      <c r="X62" s="1253"/>
      <c r="Y62" s="1253"/>
      <c r="Z62" s="1253"/>
      <c r="AA62" s="1253"/>
      <c r="AB62" s="1253"/>
      <c r="AC62" s="1632"/>
      <c r="AD62" s="1253"/>
      <c r="AE62" s="1253"/>
      <c r="AF62" s="1253"/>
      <c r="AG62" s="1253"/>
      <c r="AH62" s="1253"/>
      <c r="AI62" s="1253"/>
      <c r="AJ62" s="1253"/>
      <c r="AK62" s="1253"/>
      <c r="AL62" s="1253"/>
      <c r="AM62" s="1253"/>
      <c r="AN62" s="1253"/>
      <c r="AO62" s="1253"/>
      <c r="AP62" s="1253"/>
      <c r="AQ62" s="1253"/>
      <c r="AR62" s="1253"/>
      <c r="AS62" s="1253"/>
      <c r="AT62" s="1253"/>
      <c r="AU62" s="1253"/>
      <c r="AV62" s="1253"/>
      <c r="AW62" s="1253"/>
      <c r="AX62" s="1253"/>
      <c r="AY62" s="1253"/>
      <c r="AZ62" s="1253"/>
      <c r="BA62" s="1253"/>
      <c r="BB62" s="1253"/>
      <c r="BC62" s="1253"/>
      <c r="BD62" s="1253"/>
      <c r="BE62" s="1253"/>
      <c r="BF62" s="1253"/>
      <c r="BG62" s="1253"/>
      <c r="BH62" s="1253"/>
      <c r="BI62" s="1253"/>
      <c r="BJ62" s="1253"/>
      <c r="BK62" s="1446"/>
      <c r="BL62" s="1446"/>
      <c r="BM62" s="1446"/>
      <c r="BN62" s="1446"/>
      <c r="BO62" s="1253"/>
      <c r="CA62" s="1602"/>
      <c r="CB62" s="1602"/>
      <c r="CC62" s="1633"/>
      <c r="CD62" s="1602"/>
      <c r="CE62" s="1602"/>
      <c r="CJ62" s="1634">
        <f>(CJ37-CE37)*10000</f>
        <v>-60.208925422144958</v>
      </c>
      <c r="CK62" s="1634">
        <f t="shared" ref="CK62:CM64" si="44">(CK37-CF37)*10000</f>
        <v>-132.33608115390928</v>
      </c>
      <c r="CL62" s="1634">
        <f t="shared" si="44"/>
        <v>83.132224030168516</v>
      </c>
      <c r="CM62" s="1635">
        <f t="shared" si="44"/>
        <v>27.110081859312295</v>
      </c>
      <c r="CN62" s="1602"/>
      <c r="CO62" s="1602"/>
      <c r="CP62" s="1602"/>
      <c r="CQ62" s="1602"/>
      <c r="CR62" s="1602"/>
      <c r="CS62" s="1602"/>
      <c r="CT62" s="1604" t="s">
        <v>294</v>
      </c>
      <c r="CU62" s="1602"/>
      <c r="CV62" s="1602"/>
      <c r="CW62" s="1602"/>
      <c r="CX62" s="1602"/>
      <c r="CY62" s="1253"/>
      <c r="CZ62" s="1253"/>
      <c r="DA62" s="1253"/>
      <c r="DB62" s="1253"/>
      <c r="DC62" s="1605"/>
      <c r="DD62" s="1610">
        <f>yrSales!W119</f>
        <v>1615</v>
      </c>
      <c r="DE62" s="1607">
        <f>yrSales!X119</f>
        <v>1639</v>
      </c>
      <c r="DF62" s="1607">
        <f>yrSales!Y119</f>
        <v>1604</v>
      </c>
      <c r="DG62" s="1607">
        <f>yrSales!Z119</f>
        <v>1569</v>
      </c>
      <c r="DH62" s="1607">
        <f>yrSales!AA119</f>
        <v>1555</v>
      </c>
      <c r="DI62" s="1607">
        <f>yrSales!AB119</f>
        <v>1546</v>
      </c>
      <c r="DJ62" s="1607">
        <f>yrSales!AC119</f>
        <v>1592</v>
      </c>
      <c r="DK62" s="1607">
        <f>yrSales!AD119</f>
        <v>1644</v>
      </c>
      <c r="DL62" s="1607">
        <f>yrSales!AE119</f>
        <v>1658</v>
      </c>
      <c r="DM62" s="1607">
        <f>yrSales!AF119</f>
        <v>1665</v>
      </c>
      <c r="DN62" s="1607">
        <f>yrSales!AG119</f>
        <v>1656</v>
      </c>
      <c r="DO62" s="1607">
        <f>yrSales!AH119</f>
        <v>1642</v>
      </c>
      <c r="DP62" s="1607">
        <f>yrSales!AI119</f>
        <v>1638</v>
      </c>
      <c r="DQ62" s="1607">
        <f>yrSales!AJ119</f>
        <v>1646</v>
      </c>
      <c r="DR62" s="1607">
        <f>yrSales!AK119</f>
        <v>1672</v>
      </c>
      <c r="DS62" s="1607">
        <f>yrSales!AL119</f>
        <v>1693</v>
      </c>
      <c r="DT62" s="1607">
        <f>yrSales!AM119</f>
        <v>1694</v>
      </c>
      <c r="DU62" s="1607">
        <f>yrSales!AN119</f>
        <v>1724</v>
      </c>
      <c r="DV62" s="1607">
        <f>yrSales!AO119</f>
        <v>1724</v>
      </c>
      <c r="DW62" s="1611">
        <f>yrSales!AP119</f>
        <v>1724</v>
      </c>
      <c r="DX62" s="1607"/>
    </row>
    <row r="63" spans="1:137">
      <c r="A63" s="1626" t="s">
        <v>705</v>
      </c>
      <c r="B63" s="1253"/>
      <c r="C63" s="1253"/>
      <c r="D63" s="1253"/>
      <c r="E63" s="1253"/>
      <c r="F63" s="1253"/>
      <c r="G63" s="1253"/>
      <c r="H63" s="1253"/>
      <c r="I63" s="1253"/>
      <c r="J63" s="1253"/>
      <c r="K63" s="1253"/>
      <c r="L63" s="1253"/>
      <c r="M63" s="1253"/>
      <c r="N63" s="1563">
        <f>+N62/M62-1</f>
        <v>-0.13253530830175686</v>
      </c>
      <c r="O63" s="1253"/>
      <c r="P63" s="1253"/>
      <c r="Q63" s="1253"/>
      <c r="R63" s="1253"/>
      <c r="S63" s="1253"/>
      <c r="T63" s="1253"/>
      <c r="U63" s="1253"/>
      <c r="V63" s="1253"/>
      <c r="W63" s="1253"/>
      <c r="X63" s="1253"/>
      <c r="Y63" s="1253"/>
      <c r="Z63" s="1253"/>
      <c r="AA63" s="1253"/>
      <c r="AB63" s="1253"/>
      <c r="AC63" s="1632"/>
      <c r="AD63" s="1253"/>
      <c r="AE63" s="1253"/>
      <c r="AF63" s="1253"/>
      <c r="AG63" s="1253"/>
      <c r="AH63" s="1253"/>
      <c r="AI63" s="1253"/>
      <c r="AJ63" s="1253"/>
      <c r="AK63" s="1253"/>
      <c r="AL63" s="1253"/>
      <c r="AM63" s="1253"/>
      <c r="AN63" s="1253"/>
      <c r="AO63" s="1253"/>
      <c r="AP63" s="1253"/>
      <c r="AQ63" s="1253"/>
      <c r="AR63" s="1253"/>
      <c r="AS63" s="1253"/>
      <c r="AT63" s="1253"/>
      <c r="AU63" s="1253"/>
      <c r="AV63" s="1253"/>
      <c r="AW63" s="1253"/>
      <c r="AX63" s="1253"/>
      <c r="AY63" s="1253"/>
      <c r="AZ63" s="1253"/>
      <c r="BA63" s="1253"/>
      <c r="BB63" s="1253"/>
      <c r="BC63" s="1253"/>
      <c r="BD63" s="1253"/>
      <c r="BE63" s="1253"/>
      <c r="BF63" s="1253"/>
      <c r="BG63" s="1253"/>
      <c r="BH63" s="1253"/>
      <c r="BI63" s="1253"/>
      <c r="BJ63" s="1253"/>
      <c r="BK63" s="1446"/>
      <c r="BL63" s="1446"/>
      <c r="BM63" s="1446"/>
      <c r="BN63" s="1446"/>
      <c r="BO63" s="1253"/>
      <c r="CA63" s="1602"/>
      <c r="CB63" s="1602"/>
      <c r="CC63" s="1602"/>
      <c r="CD63" s="1602"/>
      <c r="CE63" s="1602"/>
      <c r="CJ63" s="1634">
        <f t="shared" ref="CJ63:CJ64" si="45">(CJ38-CE38)*10000</f>
        <v>-110.91347875081398</v>
      </c>
      <c r="CK63" s="1634">
        <f t="shared" si="44"/>
        <v>-44.474750387618336</v>
      </c>
      <c r="CL63" s="1634">
        <f t="shared" si="44"/>
        <v>-266.38654614568406</v>
      </c>
      <c r="CM63" s="1635">
        <f t="shared" si="44"/>
        <v>-253.01449113392883</v>
      </c>
      <c r="CN63" s="1633"/>
      <c r="CO63" s="1602"/>
      <c r="CP63" s="1602"/>
      <c r="CQ63" s="1602"/>
      <c r="CR63" s="1633"/>
      <c r="CS63" s="1633"/>
      <c r="CT63" s="1604" t="s">
        <v>290</v>
      </c>
      <c r="CU63" s="1602"/>
      <c r="CV63" s="1602"/>
      <c r="CW63" s="1633"/>
      <c r="CX63" s="1633"/>
      <c r="CY63" s="1479"/>
      <c r="CZ63" s="1479"/>
      <c r="DA63" s="1479"/>
      <c r="DB63" s="1479"/>
      <c r="DC63" s="1479"/>
      <c r="DI63" s="1607">
        <v>0</v>
      </c>
      <c r="DJ63" s="1607">
        <v>0</v>
      </c>
      <c r="DK63" s="1607">
        <v>6</v>
      </c>
      <c r="DL63" s="1607">
        <v>31</v>
      </c>
      <c r="DM63" s="1607">
        <v>59</v>
      </c>
      <c r="DN63" s="1607">
        <v>69</v>
      </c>
      <c r="DO63" s="1607">
        <v>71</v>
      </c>
      <c r="DP63" s="1607">
        <v>78</v>
      </c>
      <c r="DQ63" s="1607">
        <f>DP63+10</f>
        <v>88</v>
      </c>
      <c r="DR63" s="1607">
        <f>DQ63+10</f>
        <v>98</v>
      </c>
      <c r="DS63" s="1607">
        <f>DR63+4</f>
        <v>102</v>
      </c>
      <c r="DT63" s="1607">
        <f>DS63+5</f>
        <v>107</v>
      </c>
      <c r="DU63" s="1607">
        <f>DT63+5</f>
        <v>112</v>
      </c>
      <c r="DV63" s="1607">
        <f>DU63+5</f>
        <v>117</v>
      </c>
      <c r="DW63" s="1611">
        <f>DV63+5</f>
        <v>122</v>
      </c>
      <c r="DX63" s="1607"/>
    </row>
    <row r="64" spans="1:137">
      <c r="A64" s="1636" t="s">
        <v>704</v>
      </c>
      <c r="B64" s="1428"/>
      <c r="C64" s="1431"/>
      <c r="D64" s="1431"/>
      <c r="E64" s="1431"/>
      <c r="F64" s="1431"/>
      <c r="G64" s="1431"/>
      <c r="H64" s="1431"/>
      <c r="I64" s="1431"/>
      <c r="J64" s="1637">
        <f>yrSales!T203</f>
        <v>5371.9611021069686</v>
      </c>
      <c r="K64" s="1637">
        <f>yrSales!U203</f>
        <v>5397.6411120471776</v>
      </c>
      <c r="L64" s="1428"/>
      <c r="M64" s="1637">
        <f>yrSales!V33</f>
        <v>4527.978163384676</v>
      </c>
      <c r="N64" s="1637">
        <f>+yrSales!W48</f>
        <v>5457.8456870394448</v>
      </c>
      <c r="O64" s="1431"/>
      <c r="P64" s="1431"/>
      <c r="Q64" s="1431"/>
      <c r="R64" s="1431"/>
      <c r="S64" s="1431"/>
      <c r="T64" s="1431"/>
      <c r="U64" s="1431"/>
      <c r="V64" s="1431"/>
      <c r="W64" s="1431"/>
      <c r="X64" s="1431"/>
      <c r="Y64" s="1431"/>
      <c r="Z64" s="1431"/>
      <c r="AA64" s="1431"/>
      <c r="AB64" s="1431"/>
      <c r="AC64" s="1429"/>
      <c r="AD64" s="1431"/>
      <c r="AE64" s="1431"/>
      <c r="AF64" s="1431"/>
      <c r="AG64" s="1431"/>
      <c r="AH64" s="1431"/>
      <c r="AI64" s="1431"/>
      <c r="AJ64" s="1431"/>
      <c r="AK64" s="1431"/>
      <c r="AL64" s="1431"/>
      <c r="AM64" s="1431"/>
      <c r="AN64" s="1431"/>
      <c r="AO64" s="1431"/>
      <c r="AP64" s="1431"/>
      <c r="AQ64" s="1431"/>
      <c r="AR64" s="1431"/>
      <c r="AS64" s="1431"/>
      <c r="AT64" s="1431"/>
      <c r="AU64" s="1431"/>
      <c r="AV64" s="1431"/>
      <c r="AW64" s="1431"/>
      <c r="AX64" s="1431"/>
      <c r="AY64" s="1431"/>
      <c r="AZ64" s="1431"/>
      <c r="BA64" s="1431"/>
      <c r="BB64" s="1431"/>
      <c r="BC64" s="1431"/>
      <c r="BD64" s="1431"/>
      <c r="BE64" s="1431"/>
      <c r="BF64" s="1431"/>
      <c r="BG64" s="1431"/>
      <c r="BH64" s="1431"/>
      <c r="BI64" s="1431"/>
      <c r="BJ64" s="1431"/>
      <c r="BK64" s="1618"/>
      <c r="BL64" s="1618"/>
      <c r="BM64" s="1618"/>
      <c r="BN64" s="1618"/>
      <c r="BO64" s="1431"/>
      <c r="CA64" s="1602"/>
      <c r="CB64" s="1602"/>
      <c r="CC64" s="1602"/>
      <c r="CD64" s="1602"/>
      <c r="CE64" s="1602"/>
      <c r="CJ64" s="1639">
        <f t="shared" si="45"/>
        <v>-26.17572197593794</v>
      </c>
      <c r="CK64" s="1639">
        <f t="shared" si="44"/>
        <v>-60.055610550533608</v>
      </c>
      <c r="CL64" s="1639">
        <f t="shared" si="44"/>
        <v>-42.315005891768038</v>
      </c>
      <c r="CM64" s="1640">
        <f t="shared" si="44"/>
        <v>6.7007252045089141</v>
      </c>
      <c r="CN64" s="1633"/>
      <c r="CO64" s="1602"/>
      <c r="CP64" s="1602"/>
      <c r="CQ64" s="1602"/>
      <c r="CR64" s="1633"/>
      <c r="CS64" s="1633"/>
      <c r="CT64" s="1604" t="s">
        <v>291</v>
      </c>
      <c r="CU64" s="1602"/>
      <c r="CV64" s="1602"/>
      <c r="CW64" s="1633"/>
      <c r="CX64" s="1633"/>
      <c r="CY64" s="1479"/>
      <c r="CZ64" s="1479"/>
      <c r="DA64" s="1479"/>
      <c r="DB64" s="1479"/>
      <c r="DC64" s="1479"/>
      <c r="DD64" s="1607"/>
      <c r="DE64" s="1607"/>
      <c r="DF64" s="1607"/>
      <c r="DG64" s="1607"/>
      <c r="DH64" s="1607"/>
      <c r="DI64" s="1610">
        <v>0</v>
      </c>
      <c r="DJ64" s="1610">
        <v>0</v>
      </c>
      <c r="DK64" s="1610">
        <v>0</v>
      </c>
      <c r="DL64" s="1607">
        <v>8</v>
      </c>
      <c r="DM64" s="1607">
        <v>18</v>
      </c>
      <c r="DN64" s="1610">
        <v>57</v>
      </c>
      <c r="DO64" s="1610">
        <v>108</v>
      </c>
      <c r="DP64" s="1610">
        <v>198</v>
      </c>
      <c r="DQ64" s="1607">
        <f>'Intl Est'!C64</f>
        <v>290</v>
      </c>
      <c r="DR64" s="1607">
        <f>'Intl Est'!C69</f>
        <v>373</v>
      </c>
      <c r="DS64" s="1607">
        <f>'Intl Est'!C74</f>
        <v>391</v>
      </c>
      <c r="DT64" s="1607">
        <f>DS64+150</f>
        <v>541</v>
      </c>
      <c r="DU64" s="1607">
        <f>DT64+150</f>
        <v>691</v>
      </c>
      <c r="DV64" s="1607">
        <f>DU64+150</f>
        <v>841</v>
      </c>
      <c r="DW64" s="1611">
        <f>DV64+150</f>
        <v>991</v>
      </c>
      <c r="DX64" s="1607"/>
    </row>
    <row r="65" spans="1:128">
      <c r="BT65" s="1602"/>
      <c r="BW65" s="1602"/>
      <c r="BX65" s="1602"/>
      <c r="BY65" s="1602"/>
      <c r="BZ65" s="582"/>
      <c r="CA65" s="1602"/>
      <c r="CB65" s="1602"/>
      <c r="CC65" s="1602"/>
      <c r="CD65" s="1602"/>
      <c r="CE65" s="1633"/>
      <c r="CF65" s="1602"/>
      <c r="CG65" s="1602"/>
      <c r="CH65" s="1602"/>
      <c r="CI65" s="1602"/>
      <c r="CJ65" s="1633"/>
      <c r="CK65" s="1602"/>
      <c r="CL65" s="1602"/>
      <c r="CM65" s="1602"/>
      <c r="CN65" s="1602"/>
      <c r="CO65" s="1633"/>
      <c r="CP65" s="1602"/>
      <c r="CQ65" s="1602"/>
      <c r="CR65" s="1602"/>
      <c r="CS65" s="1602"/>
      <c r="CT65" s="1641" t="s">
        <v>770</v>
      </c>
      <c r="CU65" s="1602"/>
      <c r="CV65" s="1602"/>
      <c r="CW65" s="1602"/>
      <c r="CX65" s="1602"/>
      <c r="CY65" s="1253"/>
      <c r="CZ65" s="1253"/>
      <c r="DA65" s="1253"/>
      <c r="DB65" s="1253"/>
      <c r="DC65" s="1642"/>
      <c r="DD65" s="1610">
        <f>+yrSales!W382</f>
        <v>1</v>
      </c>
      <c r="DE65" s="1607">
        <f>+yrSales!X382</f>
        <v>1</v>
      </c>
      <c r="DF65" s="1607">
        <f>+yrSales!Y382</f>
        <v>1</v>
      </c>
      <c r="DG65" s="1607">
        <f>+yrSales!Z382</f>
        <v>2</v>
      </c>
      <c r="DH65" s="1607">
        <f>+yrSales!AA382</f>
        <v>2</v>
      </c>
      <c r="DI65" s="1607">
        <f>+yrSales!AB382</f>
        <v>2</v>
      </c>
      <c r="DJ65" s="1607">
        <f>+yrSales!AC382</f>
        <v>2</v>
      </c>
      <c r="DK65" s="1607">
        <f>+yrSales!AD382</f>
        <v>5</v>
      </c>
      <c r="DL65" s="1607">
        <f>+yrSales!AE382</f>
        <v>11</v>
      </c>
      <c r="DM65" s="1607">
        <f>+yrSales!AF382</f>
        <v>11</v>
      </c>
      <c r="DN65" s="1607">
        <f>+yrSales!AG382</f>
        <v>19</v>
      </c>
      <c r="DO65" s="1607">
        <f>+yrSales!AH382</f>
        <v>29</v>
      </c>
      <c r="DP65" s="1607">
        <f>+yrSales!AI382</f>
        <v>29</v>
      </c>
      <c r="DQ65" s="1607">
        <f>+yrSales!AJ382</f>
        <v>29</v>
      </c>
      <c r="DR65" s="1607">
        <f>+yrSales!AK382</f>
        <v>29</v>
      </c>
      <c r="DS65" s="1607">
        <f>+yrSales!AL382</f>
        <v>29</v>
      </c>
      <c r="DT65" s="1607">
        <f>+yrSales!AM382</f>
        <v>29</v>
      </c>
      <c r="DU65" s="1607">
        <f>+yrSales!AN382</f>
        <v>29</v>
      </c>
      <c r="DV65" s="1607">
        <f>+yrSales!AO382</f>
        <v>29</v>
      </c>
      <c r="DW65" s="1611">
        <f>+yrSales!AP382</f>
        <v>29</v>
      </c>
      <c r="DX65" s="1607"/>
    </row>
    <row r="66" spans="1:128" hidden="1" outlineLevel="1">
      <c r="BT66" s="1602"/>
      <c r="BW66" s="1627"/>
      <c r="BX66" s="1627"/>
      <c r="BY66" s="1627"/>
      <c r="BZ66" s="1602"/>
      <c r="CA66" s="1602"/>
      <c r="CB66" s="1602"/>
      <c r="CC66" s="1627"/>
      <c r="CD66" s="1627"/>
      <c r="CE66" s="1602"/>
      <c r="CF66" s="1602"/>
      <c r="CG66" s="1602"/>
      <c r="CH66" s="1627"/>
      <c r="CI66" s="1627"/>
      <c r="CJ66" s="1602"/>
      <c r="CK66" s="1602"/>
      <c r="CL66" s="1602"/>
      <c r="CM66" s="1627"/>
      <c r="CN66" s="1627"/>
      <c r="CO66" s="1602"/>
      <c r="CP66" s="1602"/>
      <c r="CQ66" s="1602"/>
      <c r="CR66" s="1627"/>
      <c r="CS66" s="1627"/>
      <c r="CT66" s="1604" t="s">
        <v>673</v>
      </c>
      <c r="CU66" s="1602"/>
      <c r="CV66" s="1602"/>
      <c r="CW66" s="1627"/>
      <c r="CX66" s="1627"/>
      <c r="CY66" s="1479"/>
      <c r="CZ66" s="1479"/>
      <c r="DA66" s="1479"/>
      <c r="DB66" s="1479"/>
      <c r="DC66" s="1479"/>
      <c r="DD66" s="1610">
        <f>+yrSales!W381</f>
        <v>368</v>
      </c>
      <c r="DE66" s="1607">
        <f>+yrSales!X381</f>
        <v>351</v>
      </c>
      <c r="DF66" s="1607">
        <f>+yrSales!Y381</f>
        <v>341</v>
      </c>
      <c r="DG66" s="1607">
        <f>+yrSales!Z381</f>
        <v>323</v>
      </c>
      <c r="DH66" s="1607">
        <f>+yrSales!AA381</f>
        <v>292</v>
      </c>
      <c r="DI66" s="1607">
        <f>+yrSales!AB378+yrSales!AB379+yrSales!AB380</f>
        <v>658</v>
      </c>
      <c r="DJ66" s="1643" t="s">
        <v>401</v>
      </c>
      <c r="DK66" s="1643" t="s">
        <v>401</v>
      </c>
      <c r="DL66" s="1643" t="s">
        <v>401</v>
      </c>
      <c r="DM66" s="1643" t="s">
        <v>401</v>
      </c>
      <c r="DN66" s="1643" t="s">
        <v>401</v>
      </c>
      <c r="DO66" s="1643" t="s">
        <v>401</v>
      </c>
      <c r="DP66" s="1643" t="s">
        <v>401</v>
      </c>
      <c r="DQ66" s="1643" t="s">
        <v>401</v>
      </c>
      <c r="DR66" s="1643" t="s">
        <v>401</v>
      </c>
      <c r="DS66" s="1643" t="s">
        <v>401</v>
      </c>
      <c r="DT66" s="1643" t="s">
        <v>401</v>
      </c>
      <c r="DU66" s="1643" t="s">
        <v>401</v>
      </c>
      <c r="DV66" s="1643" t="s">
        <v>401</v>
      </c>
      <c r="DW66" s="1644" t="s">
        <v>401</v>
      </c>
      <c r="DX66" s="1643"/>
    </row>
    <row r="67" spans="1:128" hidden="1" outlineLevel="1">
      <c r="BT67" s="1602"/>
      <c r="BW67" s="1602"/>
      <c r="BX67" s="1602"/>
      <c r="BY67" s="1602"/>
      <c r="BZ67" s="1627"/>
      <c r="CA67" s="1602"/>
      <c r="CB67" s="1602"/>
      <c r="CC67" s="1602"/>
      <c r="CD67" s="1602"/>
      <c r="CE67" s="1627"/>
      <c r="CF67" s="1602"/>
      <c r="CG67" s="1602"/>
      <c r="CH67" s="1602"/>
      <c r="CI67" s="1602"/>
      <c r="CJ67" s="1627"/>
      <c r="CK67" s="1602"/>
      <c r="CL67" s="1602"/>
      <c r="CM67" s="1602"/>
      <c r="CN67" s="1602"/>
      <c r="CO67" s="1627"/>
      <c r="CP67" s="1602"/>
      <c r="CQ67" s="1602"/>
      <c r="CR67" s="1602"/>
      <c r="CS67" s="1602"/>
      <c r="CT67" s="1645" t="s">
        <v>674</v>
      </c>
      <c r="CU67" s="1602"/>
      <c r="CV67" s="1602"/>
      <c r="CW67" s="1602"/>
      <c r="CX67" s="1602"/>
      <c r="CY67" s="1253"/>
      <c r="CZ67" s="1253"/>
      <c r="DA67" s="1253"/>
      <c r="DB67" s="1253"/>
      <c r="DC67" s="1253"/>
      <c r="DD67" s="1610">
        <f>+yrSales!W383</f>
        <v>522</v>
      </c>
      <c r="DE67" s="1607">
        <f>+yrSales!X383</f>
        <v>0</v>
      </c>
      <c r="DF67" s="1607">
        <f>+yrSales!Y383</f>
        <v>0</v>
      </c>
      <c r="DG67" s="1607">
        <f>+yrSales!Z383</f>
        <v>0</v>
      </c>
      <c r="DH67" s="1607">
        <f>+yrSales!AA383</f>
        <v>0</v>
      </c>
      <c r="DI67" s="1607">
        <f>+yrSales!AB381</f>
        <v>260</v>
      </c>
      <c r="DJ67" s="1643" t="s">
        <v>401</v>
      </c>
      <c r="DK67" s="1643" t="s">
        <v>401</v>
      </c>
      <c r="DL67" s="1643" t="s">
        <v>401</v>
      </c>
      <c r="DM67" s="1643" t="s">
        <v>401</v>
      </c>
      <c r="DN67" s="1643" t="s">
        <v>401</v>
      </c>
      <c r="DO67" s="1643" t="s">
        <v>401</v>
      </c>
      <c r="DP67" s="1643" t="s">
        <v>401</v>
      </c>
      <c r="DQ67" s="1643" t="s">
        <v>401</v>
      </c>
      <c r="DR67" s="1643" t="s">
        <v>401</v>
      </c>
      <c r="DS67" s="1643" t="s">
        <v>401</v>
      </c>
      <c r="DT67" s="1643" t="s">
        <v>401</v>
      </c>
      <c r="DU67" s="1643" t="s">
        <v>401</v>
      </c>
      <c r="DV67" s="1643" t="s">
        <v>401</v>
      </c>
      <c r="DW67" s="1644" t="s">
        <v>401</v>
      </c>
      <c r="DX67" s="1643"/>
    </row>
    <row r="68" spans="1:128" hidden="1" outlineLevel="1">
      <c r="A68" s="1253"/>
      <c r="B68" s="1646"/>
      <c r="C68" s="1253"/>
      <c r="D68" s="1253"/>
      <c r="E68" s="1253"/>
      <c r="F68" s="1253"/>
      <c r="G68" s="1253"/>
      <c r="H68" s="1253"/>
      <c r="I68" s="1253"/>
      <c r="J68" s="1599"/>
      <c r="K68" s="1599"/>
      <c r="L68" s="1646"/>
      <c r="M68" s="1599"/>
      <c r="N68" s="1599"/>
      <c r="O68" s="1253"/>
      <c r="P68" s="1253"/>
      <c r="Q68" s="1253"/>
      <c r="R68" s="1253"/>
      <c r="S68" s="1253"/>
      <c r="T68" s="1253"/>
      <c r="U68" s="1253"/>
      <c r="V68" s="1253"/>
      <c r="W68" s="1253"/>
      <c r="X68" s="1253"/>
      <c r="Y68" s="1253"/>
      <c r="Z68" s="1253"/>
      <c r="AA68" s="1253"/>
      <c r="AB68" s="1253"/>
      <c r="AC68" s="1479"/>
      <c r="AD68" s="1253"/>
      <c r="AE68" s="1253"/>
      <c r="AF68" s="1253"/>
      <c r="AG68" s="1253"/>
      <c r="AH68" s="1253"/>
      <c r="AI68" s="1253"/>
      <c r="AJ68" s="1253"/>
      <c r="AK68" s="1253"/>
      <c r="AL68" s="1253"/>
      <c r="AM68" s="1253"/>
      <c r="AN68" s="1253"/>
      <c r="AO68" s="1253"/>
      <c r="AP68" s="1253"/>
      <c r="AQ68" s="1253"/>
      <c r="AR68" s="1253"/>
      <c r="AS68" s="1253"/>
      <c r="AT68" s="1253"/>
      <c r="AU68" s="1253"/>
      <c r="AV68" s="1253"/>
      <c r="AW68" s="1253"/>
      <c r="AX68" s="1253"/>
      <c r="AY68" s="1253"/>
      <c r="AZ68" s="1253"/>
      <c r="BA68" s="1253"/>
      <c r="BB68" s="1253"/>
      <c r="BC68" s="1253"/>
      <c r="BD68" s="1253"/>
      <c r="BE68" s="1253"/>
      <c r="BF68" s="1253"/>
      <c r="BG68" s="1253"/>
      <c r="BH68" s="1253"/>
      <c r="BI68" s="1253"/>
      <c r="BJ68" s="1253"/>
      <c r="BK68" s="1446"/>
      <c r="BL68" s="1446"/>
      <c r="BM68" s="1446"/>
      <c r="BN68" s="1446"/>
      <c r="BO68" s="1253"/>
      <c r="BP68" s="1602"/>
      <c r="BQ68" s="1602"/>
      <c r="BR68" s="1602"/>
      <c r="BS68" s="1602"/>
      <c r="BT68" s="1602"/>
      <c r="BW68" s="1602"/>
      <c r="BX68" s="1602"/>
      <c r="BY68" s="1602"/>
      <c r="BZ68" s="1602"/>
      <c r="CA68" s="1602"/>
      <c r="CB68" s="1602"/>
      <c r="CC68" s="1602"/>
      <c r="CD68" s="1602"/>
      <c r="CE68" s="1602"/>
      <c r="CF68" s="1602"/>
      <c r="CG68" s="1602"/>
      <c r="CH68" s="1602"/>
      <c r="CI68" s="1602"/>
      <c r="CJ68" s="1602"/>
      <c r="CK68" s="1602"/>
      <c r="CL68" s="1602"/>
      <c r="CM68" s="1602"/>
      <c r="CN68" s="1602"/>
      <c r="CO68" s="1602"/>
      <c r="CP68" s="1602"/>
      <c r="CQ68" s="1602"/>
      <c r="CR68" s="1602"/>
      <c r="CS68" s="1602"/>
      <c r="CT68" s="1604" t="s">
        <v>6</v>
      </c>
      <c r="CU68" s="1602"/>
      <c r="CV68" s="1602"/>
      <c r="CW68" s="1602"/>
      <c r="CX68" s="1602"/>
      <c r="CY68" s="1253"/>
      <c r="CZ68" s="1253"/>
      <c r="DA68" s="1253"/>
      <c r="DB68" s="1253"/>
      <c r="DC68" s="1253"/>
      <c r="DD68" s="1602"/>
      <c r="DE68" s="1253"/>
      <c r="DF68" s="1253"/>
      <c r="DG68" s="1253"/>
      <c r="DH68" s="1253"/>
      <c r="DI68" s="1607">
        <f>'store&amp;sf'!Z116</f>
        <v>6</v>
      </c>
      <c r="DJ68" s="1607">
        <f>+yrSales!AC383</f>
        <v>0</v>
      </c>
      <c r="DK68" s="1607">
        <f>+yrSales!AD383</f>
        <v>0</v>
      </c>
      <c r="DL68" s="1607">
        <f>+yrSales!AE383</f>
        <v>0</v>
      </c>
      <c r="DM68" s="1607">
        <f>+yrSales!AF383</f>
        <v>0</v>
      </c>
      <c r="DN68" s="1607">
        <f>+yrSales!AG383</f>
        <v>0</v>
      </c>
      <c r="DO68" s="1607">
        <f>+yrSales!AH383</f>
        <v>0</v>
      </c>
      <c r="DP68" s="1607">
        <f>+yrSales!AI383</f>
        <v>0</v>
      </c>
      <c r="DQ68" s="1607">
        <f>+yrSales!AJ383</f>
        <v>0</v>
      </c>
      <c r="DR68" s="1607">
        <f>+yrSales!AK383</f>
        <v>0</v>
      </c>
      <c r="DS68" s="1607">
        <f>+yrSales!AL383</f>
        <v>0</v>
      </c>
      <c r="DT68" s="1607">
        <f>+yrSales!AM383</f>
        <v>0</v>
      </c>
      <c r="DU68" s="1607">
        <f>+yrSales!AN383</f>
        <v>0</v>
      </c>
      <c r="DV68" s="1607">
        <f>+yrSales!AO383</f>
        <v>0</v>
      </c>
      <c r="DW68" s="1611">
        <f>+yrSales!AP383</f>
        <v>0</v>
      </c>
      <c r="DX68" s="1607"/>
    </row>
    <row r="69" spans="1:128" collapsed="1">
      <c r="A69" s="1253"/>
      <c r="B69" s="1646"/>
      <c r="C69" s="1253"/>
      <c r="D69" s="1253"/>
      <c r="E69" s="1253"/>
      <c r="F69" s="1253"/>
      <c r="G69" s="1253"/>
      <c r="H69" s="1253"/>
      <c r="I69" s="1253"/>
      <c r="J69" s="1599"/>
      <c r="K69" s="1599"/>
      <c r="L69" s="1646"/>
      <c r="M69" s="1599"/>
      <c r="N69" s="1599"/>
      <c r="O69" s="1253"/>
      <c r="P69" s="1253"/>
      <c r="Q69" s="1253"/>
      <c r="R69" s="1253"/>
      <c r="S69" s="1253"/>
      <c r="T69" s="1253"/>
      <c r="U69" s="1253"/>
      <c r="V69" s="1253"/>
      <c r="W69" s="1253"/>
      <c r="X69" s="1253"/>
      <c r="Y69" s="1253"/>
      <c r="Z69" s="1253"/>
      <c r="AA69" s="1253"/>
      <c r="AB69" s="1253"/>
      <c r="AC69" s="1479"/>
      <c r="AD69" s="1253"/>
      <c r="AE69" s="1253"/>
      <c r="AF69" s="1253"/>
      <c r="AG69" s="1253"/>
      <c r="AH69" s="1253"/>
      <c r="AI69" s="1253"/>
      <c r="AJ69" s="1253"/>
      <c r="AK69" s="1253"/>
      <c r="AL69" s="1253"/>
      <c r="AM69" s="1253"/>
      <c r="AN69" s="1253"/>
      <c r="AO69" s="1253"/>
      <c r="AP69" s="1253"/>
      <c r="AQ69" s="1253"/>
      <c r="AR69" s="1253"/>
      <c r="AS69" s="1253"/>
      <c r="AT69" s="1253"/>
      <c r="AU69" s="1253"/>
      <c r="AV69" s="1253"/>
      <c r="AW69" s="1253"/>
      <c r="AX69" s="1253"/>
      <c r="AY69" s="1253"/>
      <c r="AZ69" s="1253"/>
      <c r="BA69" s="1253"/>
      <c r="BB69" s="1253"/>
      <c r="BC69" s="1253"/>
      <c r="BD69" s="1253"/>
      <c r="BE69" s="1253"/>
      <c r="BF69" s="1253"/>
      <c r="BG69" s="1253"/>
      <c r="BH69" s="1253"/>
      <c r="BI69" s="1253"/>
      <c r="BJ69" s="1253"/>
      <c r="BK69" s="1446"/>
      <c r="BL69" s="1446"/>
      <c r="BM69" s="1446"/>
      <c r="BN69" s="1446"/>
      <c r="BO69" s="1253"/>
      <c r="BP69" s="1602"/>
      <c r="BQ69" s="1602"/>
      <c r="BR69" s="1602"/>
      <c r="BS69" s="1602"/>
      <c r="BT69" s="1602"/>
      <c r="BW69" s="1602"/>
      <c r="BX69" s="1602"/>
      <c r="BY69" s="1602"/>
      <c r="BZ69" s="1602"/>
      <c r="CA69" s="1602"/>
      <c r="CB69" s="1602"/>
      <c r="CC69" s="1602"/>
      <c r="CD69" s="1602"/>
      <c r="CE69" s="1602"/>
      <c r="CF69" s="1602"/>
      <c r="CG69" s="1602"/>
      <c r="CH69" s="1602"/>
      <c r="CI69" s="1602"/>
      <c r="CJ69" s="1602"/>
      <c r="CK69" s="1602"/>
      <c r="CL69" s="1602"/>
      <c r="CM69" s="1602"/>
      <c r="CN69" s="1602"/>
      <c r="CO69" s="1602"/>
      <c r="CP69" s="1602"/>
      <c r="CQ69" s="1602"/>
      <c r="CR69" s="1602"/>
      <c r="CS69" s="1602"/>
      <c r="CT69" s="1604" t="s">
        <v>562</v>
      </c>
      <c r="CU69" s="1602"/>
      <c r="CV69" s="1602"/>
      <c r="CW69" s="1602"/>
      <c r="CX69" s="1602"/>
      <c r="CY69" s="1253"/>
      <c r="CZ69" s="1253"/>
      <c r="DA69" s="1253"/>
      <c r="DB69" s="1253"/>
      <c r="DC69" s="1253"/>
      <c r="DD69" s="1601">
        <f>+yrSales!W46</f>
        <v>25.182499999999997</v>
      </c>
      <c r="DE69" s="1631">
        <f>+yrSales!X46</f>
        <v>20.371249999999996</v>
      </c>
      <c r="DF69" s="1631">
        <f>+yrSales!Y46</f>
        <v>20.047499999999999</v>
      </c>
      <c r="DG69" s="1631">
        <f>+yrSales!Z46</f>
        <v>19.751249999999999</v>
      </c>
      <c r="DH69" s="1631">
        <f>+yrSales!AA46</f>
        <v>19.165000000000003</v>
      </c>
      <c r="DI69" s="1631">
        <f>+yrSales!AB46</f>
        <v>18.463750000000001</v>
      </c>
      <c r="DJ69" s="1631">
        <f>+yrSales!AC46</f>
        <v>12.887499999999999</v>
      </c>
      <c r="DK69" s="1631">
        <f>+yrSales!AD46</f>
        <v>13.622499999999999</v>
      </c>
      <c r="DL69" s="1631">
        <f>+yrSales!AE46</f>
        <v>13.667499999999999</v>
      </c>
      <c r="DM69" s="1631">
        <f>+yrSales!AF46</f>
        <v>13.718749999999998</v>
      </c>
      <c r="DN69" s="1631">
        <f>+yrSales!AG46</f>
        <v>13.6775</v>
      </c>
      <c r="DO69" s="1631">
        <f>+yrSales!AH46</f>
        <v>13.561249999999999</v>
      </c>
      <c r="DP69" s="1631">
        <f>+yrSales!AI46</f>
        <v>13.96125</v>
      </c>
      <c r="DQ69" s="1631">
        <f>+yrSales!AJ46</f>
        <v>14.419999999999998</v>
      </c>
      <c r="DR69" s="1631">
        <f>+yrSales!AK46</f>
        <v>14.877499999999998</v>
      </c>
      <c r="DS69" s="1631">
        <f>+yrSales!AL46</f>
        <v>15.50525</v>
      </c>
      <c r="DT69" s="1631">
        <f>+yrSales!AM46</f>
        <v>15.916478124999998</v>
      </c>
      <c r="DU69" s="1631">
        <f>+yrSales!AN46</f>
        <v>16.039178807533183</v>
      </c>
      <c r="DV69" s="1631">
        <f>+yrSales!AO46</f>
        <v>16.311347119558182</v>
      </c>
      <c r="DW69" s="1647">
        <f>+yrSales!AP46</f>
        <v>16.366103735845684</v>
      </c>
      <c r="DX69" s="1631"/>
    </row>
    <row r="70" spans="1:128">
      <c r="A70" s="1253"/>
      <c r="B70" s="1646"/>
      <c r="C70" s="1253"/>
      <c r="D70" s="1253"/>
      <c r="E70" s="1253"/>
      <c r="F70" s="1253"/>
      <c r="G70" s="1253"/>
      <c r="H70" s="1253"/>
      <c r="I70" s="1253"/>
      <c r="J70" s="1599"/>
      <c r="K70" s="1599"/>
      <c r="L70" s="1646"/>
      <c r="M70" s="1599"/>
      <c r="N70" s="1599"/>
      <c r="O70" s="1253"/>
      <c r="P70" s="1253"/>
      <c r="Q70" s="1253"/>
      <c r="R70" s="1253"/>
      <c r="S70" s="1253"/>
      <c r="T70" s="1253"/>
      <c r="U70" s="1253"/>
      <c r="V70" s="1253"/>
      <c r="W70" s="1253"/>
      <c r="X70" s="1253"/>
      <c r="Y70" s="1253"/>
      <c r="Z70" s="1253"/>
      <c r="AA70" s="1253"/>
      <c r="AB70" s="1253"/>
      <c r="AC70" s="1479"/>
      <c r="AD70" s="1253"/>
      <c r="AE70" s="1253"/>
      <c r="AF70" s="1253"/>
      <c r="AG70" s="1253"/>
      <c r="AH70" s="1253"/>
      <c r="AI70" s="1253"/>
      <c r="AJ70" s="1253"/>
      <c r="AK70" s="1253"/>
      <c r="AL70" s="1253"/>
      <c r="AM70" s="1253"/>
      <c r="AN70" s="1253"/>
      <c r="AO70" s="1253"/>
      <c r="AP70" s="1253"/>
      <c r="AQ70" s="1253"/>
      <c r="AR70" s="1253"/>
      <c r="AS70" s="1253"/>
      <c r="AT70" s="1253"/>
      <c r="AU70" s="1253"/>
      <c r="AV70" s="1253"/>
      <c r="AW70" s="1253"/>
      <c r="AX70" s="1253"/>
      <c r="AY70" s="1253"/>
      <c r="AZ70" s="1253"/>
      <c r="BA70" s="1253"/>
      <c r="BB70" s="1253"/>
      <c r="BC70" s="1253"/>
      <c r="BD70" s="1253"/>
      <c r="BE70" s="1253"/>
      <c r="BF70" s="1253"/>
      <c r="BG70" s="1253"/>
      <c r="BH70" s="1253"/>
      <c r="BI70" s="1253"/>
      <c r="BJ70" s="1253"/>
      <c r="BK70" s="1446"/>
      <c r="BL70" s="1446"/>
      <c r="BM70" s="1446"/>
      <c r="BN70" s="1446"/>
      <c r="BO70" s="1253"/>
      <c r="BP70" s="1602"/>
      <c r="BQ70" s="1602"/>
      <c r="BR70" s="1602"/>
      <c r="BS70" s="1602"/>
      <c r="BT70" s="1602"/>
      <c r="BW70" s="1602"/>
      <c r="BX70" s="1602"/>
      <c r="BY70" s="1602"/>
      <c r="BZ70" s="1602"/>
      <c r="CA70" s="1602"/>
      <c r="CB70" s="1602"/>
      <c r="CC70" s="1602"/>
      <c r="CD70" s="1602"/>
      <c r="CE70" s="1602"/>
      <c r="CF70" s="1602"/>
      <c r="CG70" s="1602"/>
      <c r="CH70" s="1602"/>
      <c r="CI70" s="1602"/>
      <c r="CJ70" s="1602"/>
      <c r="CK70" s="1602"/>
      <c r="CL70" s="1602"/>
      <c r="CM70" s="1602"/>
      <c r="CN70" s="1602"/>
      <c r="CO70" s="1602"/>
      <c r="CP70" s="1602"/>
      <c r="CQ70" s="1602"/>
      <c r="CR70" s="1602"/>
      <c r="CS70" s="1602"/>
      <c r="CT70" s="1604" t="s">
        <v>85</v>
      </c>
      <c r="CU70" s="1602"/>
      <c r="CV70" s="1602"/>
      <c r="CW70" s="1602"/>
      <c r="CX70" s="1602"/>
      <c r="CY70" s="1253"/>
      <c r="CZ70" s="1253"/>
      <c r="DA70" s="1253"/>
      <c r="DB70" s="1253"/>
      <c r="DC70" s="1253"/>
      <c r="DD70" s="1560">
        <f>+DD69/M62-1</f>
        <v>-0.13253530830175686</v>
      </c>
      <c r="DE70" s="1563">
        <f>+DE69/N62-1</f>
        <v>-0.1910552963367419</v>
      </c>
      <c r="DF70" s="1563">
        <f t="shared" ref="DF70:DW70" si="46">+DF69/DE69-1</f>
        <v>-1.5892495551328323E-2</v>
      </c>
      <c r="DG70" s="1563">
        <f t="shared" si="46"/>
        <v>-1.4777403666292543E-2</v>
      </c>
      <c r="DH70" s="1563">
        <f t="shared" si="46"/>
        <v>-2.9681665717359418E-2</v>
      </c>
      <c r="DI70" s="1563">
        <f t="shared" si="46"/>
        <v>-3.6590138272893369E-2</v>
      </c>
      <c r="DJ70" s="1563">
        <f t="shared" si="46"/>
        <v>-0.302010696635299</v>
      </c>
      <c r="DK70" s="1563">
        <f t="shared" si="46"/>
        <v>5.7032007759456826E-2</v>
      </c>
      <c r="DL70" s="1563">
        <f t="shared" si="46"/>
        <v>3.3033584143880024E-3</v>
      </c>
      <c r="DM70" s="1563">
        <f t="shared" si="46"/>
        <v>3.7497713554051071E-3</v>
      </c>
      <c r="DN70" s="1563">
        <f t="shared" si="46"/>
        <v>-3.0068337129839362E-3</v>
      </c>
      <c r="DO70" s="1563">
        <f t="shared" si="46"/>
        <v>-8.4993602632060794E-3</v>
      </c>
      <c r="DP70" s="1563">
        <f t="shared" si="46"/>
        <v>2.9495806065075181E-2</v>
      </c>
      <c r="DQ70" s="1563">
        <f t="shared" si="46"/>
        <v>3.2858805622705489E-2</v>
      </c>
      <c r="DR70" s="1563">
        <f>+DR69/DQ69-1</f>
        <v>3.1726768377253745E-2</v>
      </c>
      <c r="DS70" s="1563">
        <f>+DS69/DR69-1</f>
        <v>4.2194589144681771E-2</v>
      </c>
      <c r="DT70" s="1563">
        <f t="shared" si="46"/>
        <v>2.6521863562341652E-2</v>
      </c>
      <c r="DU70" s="1563">
        <f t="shared" si="46"/>
        <v>7.7090347229804568E-3</v>
      </c>
      <c r="DV70" s="1563">
        <f t="shared" si="46"/>
        <v>1.6968968005841356E-2</v>
      </c>
      <c r="DW70" s="1564">
        <f t="shared" si="46"/>
        <v>3.3569646875974968E-3</v>
      </c>
      <c r="DX70" s="1563"/>
    </row>
    <row r="71" spans="1:128">
      <c r="A71" s="1253"/>
      <c r="B71" s="1646"/>
      <c r="C71" s="1253"/>
      <c r="D71" s="1253"/>
      <c r="E71" s="1253"/>
      <c r="F71" s="1253"/>
      <c r="G71" s="1253"/>
      <c r="H71" s="1253"/>
      <c r="I71" s="1253"/>
      <c r="J71" s="1599"/>
      <c r="K71" s="1599"/>
      <c r="L71" s="1646"/>
      <c r="M71" s="1599"/>
      <c r="N71" s="1599"/>
      <c r="O71" s="1253"/>
      <c r="P71" s="1253"/>
      <c r="Q71" s="1253"/>
      <c r="R71" s="1253"/>
      <c r="S71" s="1253"/>
      <c r="T71" s="1253"/>
      <c r="U71" s="1253"/>
      <c r="V71" s="1253"/>
      <c r="W71" s="1253"/>
      <c r="X71" s="1253"/>
      <c r="Y71" s="1253"/>
      <c r="Z71" s="1253"/>
      <c r="AA71" s="1253"/>
      <c r="AB71" s="1253"/>
      <c r="AC71" s="1479"/>
      <c r="AD71" s="1253"/>
      <c r="AE71" s="1253"/>
      <c r="AF71" s="1253"/>
      <c r="AG71" s="1253"/>
      <c r="AH71" s="1253"/>
      <c r="AI71" s="1253"/>
      <c r="AJ71" s="1253"/>
      <c r="AK71" s="1253"/>
      <c r="AL71" s="1253"/>
      <c r="AM71" s="1253"/>
      <c r="AN71" s="1253"/>
      <c r="AO71" s="1253"/>
      <c r="AP71" s="1253"/>
      <c r="AQ71" s="1253"/>
      <c r="AR71" s="1253"/>
      <c r="AS71" s="1253"/>
      <c r="AT71" s="1253"/>
      <c r="AU71" s="1253"/>
      <c r="AV71" s="1253"/>
      <c r="AW71" s="1253"/>
      <c r="AX71" s="1253"/>
      <c r="AY71" s="1253"/>
      <c r="AZ71" s="1253"/>
      <c r="BA71" s="1253"/>
      <c r="BB71" s="1253"/>
      <c r="BC71" s="1253"/>
      <c r="BD71" s="1253"/>
      <c r="BE71" s="1253"/>
      <c r="BF71" s="1253"/>
      <c r="BG71" s="1253"/>
      <c r="BH71" s="1253"/>
      <c r="BI71" s="1253"/>
      <c r="BJ71" s="1253"/>
      <c r="BK71" s="1446"/>
      <c r="BL71" s="1446"/>
      <c r="BM71" s="1446"/>
      <c r="BN71" s="1446"/>
      <c r="BO71" s="1253"/>
      <c r="BP71" s="1602"/>
      <c r="BQ71" s="1602"/>
      <c r="BR71" s="1602"/>
      <c r="BS71" s="1602"/>
      <c r="BT71" s="1602"/>
      <c r="BW71" s="1602"/>
      <c r="BX71" s="1602"/>
      <c r="BY71" s="1602"/>
      <c r="BZ71" s="1602"/>
      <c r="CA71" s="1602"/>
      <c r="CB71" s="1602"/>
      <c r="CC71" s="1602"/>
      <c r="CD71" s="1602"/>
      <c r="CE71" s="1602"/>
      <c r="CF71" s="1602"/>
      <c r="CG71" s="1602"/>
      <c r="CH71" s="1602"/>
      <c r="CI71" s="1602"/>
      <c r="CJ71" s="1602"/>
      <c r="CK71" s="1602"/>
      <c r="CL71" s="1602"/>
      <c r="CM71" s="1602"/>
      <c r="CN71" s="1602"/>
      <c r="CO71" s="1602"/>
      <c r="CP71" s="1602"/>
      <c r="CQ71" s="1602"/>
      <c r="CR71" s="1602"/>
      <c r="CS71" s="1602"/>
      <c r="CT71" s="1604" t="s">
        <v>285</v>
      </c>
      <c r="CU71" s="1602"/>
      <c r="CV71" s="1602"/>
      <c r="CW71" s="1602"/>
      <c r="CX71" s="1602"/>
      <c r="CY71" s="1253"/>
      <c r="CZ71" s="1253"/>
      <c r="DA71" s="1253"/>
      <c r="DB71" s="1253"/>
      <c r="DC71" s="1253"/>
      <c r="DD71" s="1605">
        <f>+yrSales!W48</f>
        <v>5457.8456870394448</v>
      </c>
      <c r="DE71" s="1599">
        <f>+yrSales!X48</f>
        <v>5047.3860257680863</v>
      </c>
      <c r="DF71" s="1599">
        <f>+yrSales!Y48</f>
        <v>5125.9268729225259</v>
      </c>
      <c r="DG71" s="1599">
        <f>+yrSales!Z48</f>
        <v>5226.5811061127279</v>
      </c>
      <c r="DH71" s="1599">
        <f>+yrSales!AA48</f>
        <v>5338.4401114206139</v>
      </c>
      <c r="DI71" s="1599">
        <f>+yrSales!AB48</f>
        <v>4902.7482740308023</v>
      </c>
      <c r="DJ71" s="1599">
        <f>+yrSales!AC48</f>
        <v>4404.4771018455231</v>
      </c>
      <c r="DK71" s="1599">
        <f>+yrSales!AD48</f>
        <v>4519.7412076974124</v>
      </c>
      <c r="DL71" s="1599">
        <f>+yrSales!AE48</f>
        <v>4600.3029283069664</v>
      </c>
      <c r="DM71" s="1599">
        <f>+yrSales!AF48</f>
        <v>4622.2203504043118</v>
      </c>
      <c r="DN71" s="1599">
        <f>+yrSales!AG48</f>
        <v>4650.6290377422647</v>
      </c>
      <c r="DO71" s="1599">
        <f>+yrSales!AH48</f>
        <v>4715.3164116828921</v>
      </c>
      <c r="DP71" s="1599">
        <f>+yrSales!AI48</f>
        <v>4784.5270733379029</v>
      </c>
      <c r="DQ71" s="1599">
        <f>+yrSales!AJ48</f>
        <v>4873.2679959445759</v>
      </c>
      <c r="DR71" s="1599">
        <f>+yrSales!AK48</f>
        <v>4967.4457429048407</v>
      </c>
      <c r="DS71" s="1599">
        <f>+yrSales!AL48</f>
        <v>5118.9336414658301</v>
      </c>
      <c r="DT71" s="1599">
        <f>+yrSales!AM48</f>
        <v>5268.6124213836474</v>
      </c>
      <c r="DU71" s="1599">
        <f>+yrSales!AN48</f>
        <v>5267.3822028023596</v>
      </c>
      <c r="DV71" s="1599">
        <f>+yrSales!AO48</f>
        <v>5365.5747103809808</v>
      </c>
      <c r="DW71" s="1606">
        <f>+yrSales!AP48</f>
        <v>5392.4559261435534</v>
      </c>
      <c r="DX71" s="1599"/>
    </row>
    <row r="72" spans="1:128">
      <c r="A72" s="1253"/>
      <c r="B72" s="1632"/>
      <c r="C72" s="1253"/>
      <c r="D72" s="1253"/>
      <c r="E72" s="1253"/>
      <c r="F72" s="1253"/>
      <c r="G72" s="1253"/>
      <c r="H72" s="1253"/>
      <c r="I72" s="1253"/>
      <c r="J72" s="1648">
        <f>yrSales!T209</f>
        <v>291.02213011620165</v>
      </c>
      <c r="K72" s="1648">
        <f>yrSales!U209</f>
        <v>302.78122123350721</v>
      </c>
      <c r="L72" s="1649"/>
      <c r="M72" s="1648">
        <f>yrSales!V36</f>
        <v>307.04588174982911</v>
      </c>
      <c r="N72" s="1648">
        <f>+yrSales!W49</f>
        <v>251.28662208900167</v>
      </c>
      <c r="O72" s="1253"/>
      <c r="P72" s="1253"/>
      <c r="Q72" s="1253"/>
      <c r="R72" s="1253"/>
      <c r="S72" s="1253"/>
      <c r="T72" s="1253"/>
      <c r="U72" s="1253"/>
      <c r="V72" s="1253"/>
      <c r="W72" s="1253"/>
      <c r="X72" s="1253"/>
      <c r="Y72" s="1253"/>
      <c r="Z72" s="1253"/>
      <c r="AA72" s="1253"/>
      <c r="AB72" s="1253"/>
      <c r="AC72" s="1632"/>
      <c r="AD72" s="1253"/>
      <c r="AE72" s="1253"/>
      <c r="AF72" s="1253"/>
      <c r="AG72" s="1253"/>
      <c r="AH72" s="1253"/>
      <c r="AI72" s="1253"/>
      <c r="AJ72" s="1253"/>
      <c r="AK72" s="1253"/>
      <c r="AL72" s="1253"/>
      <c r="AM72" s="1253"/>
      <c r="AN72" s="1253"/>
      <c r="AO72" s="1253"/>
      <c r="AP72" s="1253"/>
      <c r="AQ72" s="1253"/>
      <c r="AR72" s="1253"/>
      <c r="AS72" s="1253"/>
      <c r="AT72" s="1253"/>
      <c r="AU72" s="1253"/>
      <c r="AV72" s="1253"/>
      <c r="AW72" s="1253"/>
      <c r="AX72" s="1253"/>
      <c r="AY72" s="1253"/>
      <c r="AZ72" s="1253"/>
      <c r="BA72" s="1617" t="s">
        <v>563</v>
      </c>
      <c r="BB72" s="1431"/>
      <c r="BC72" s="1431"/>
      <c r="BD72" s="1431"/>
      <c r="BE72" s="1253"/>
      <c r="BF72" s="1617" t="s">
        <v>563</v>
      </c>
      <c r="BG72" s="1431"/>
      <c r="BH72" s="1431"/>
      <c r="BI72" s="1431"/>
      <c r="BJ72" s="1253"/>
      <c r="BK72" s="1446"/>
      <c r="BL72" s="1446"/>
      <c r="BM72" s="1446"/>
      <c r="BN72" s="1446"/>
      <c r="BO72" s="1253"/>
      <c r="BS72" s="1602"/>
      <c r="BT72" s="1602"/>
      <c r="BW72" s="1602"/>
      <c r="BX72" s="1602"/>
      <c r="BY72" s="1602"/>
      <c r="BZ72" s="1602"/>
      <c r="CA72" s="1602"/>
      <c r="CB72" s="1602"/>
      <c r="CC72" s="1602"/>
      <c r="CD72" s="1602"/>
      <c r="CE72" s="1602"/>
      <c r="CF72" s="1602"/>
      <c r="CG72" s="1602"/>
      <c r="CH72" s="1602"/>
      <c r="CI72" s="1602"/>
      <c r="CJ72" s="1602"/>
      <c r="CK72" s="1602"/>
      <c r="CL72" s="1602"/>
      <c r="CM72" s="1602"/>
      <c r="CN72" s="1602"/>
      <c r="CO72" s="1602"/>
      <c r="CP72" s="1602"/>
      <c r="CQ72" s="1602"/>
      <c r="CR72" s="1602"/>
      <c r="CS72" s="1602"/>
      <c r="CT72" s="1604" t="s">
        <v>1313</v>
      </c>
      <c r="CU72" s="1602"/>
      <c r="CV72" s="1602"/>
      <c r="CW72" s="1602"/>
      <c r="CX72" s="1602"/>
      <c r="CY72" s="1602"/>
      <c r="CZ72" s="1602"/>
      <c r="DA72" s="1602"/>
      <c r="DB72" s="1602"/>
      <c r="DC72" s="1602"/>
      <c r="DD72" s="1605">
        <f>yrSales!W87</f>
        <v>554.65804962492791</v>
      </c>
      <c r="DE72" s="1605">
        <f>yrSales!X87</f>
        <v>464.3350509812521</v>
      </c>
      <c r="DF72" s="1605">
        <f>yrSales!Y87</f>
        <v>480.32347307937869</v>
      </c>
      <c r="DG72" s="1605">
        <f>yrSales!Z87</f>
        <v>518.66108507757986</v>
      </c>
      <c r="DH72" s="1605">
        <f>yrSales!AA87</f>
        <v>522.36506231634405</v>
      </c>
      <c r="DI72" s="2549">
        <f>yrSales!AB87</f>
        <v>584.57588624469236</v>
      </c>
      <c r="DJ72" s="1605">
        <f>yrSales!AC87</f>
        <v>555.3584335664334</v>
      </c>
      <c r="DK72" s="1605">
        <f>yrSales!AD87</f>
        <v>496.3290701693744</v>
      </c>
      <c r="DL72" s="1605">
        <f>yrSales!AE87</f>
        <v>464.10754294249449</v>
      </c>
      <c r="DM72" s="2549">
        <f>yrSales!AF87</f>
        <v>526.7442241520564</v>
      </c>
      <c r="DN72" s="2549">
        <f>yrSales!AG87</f>
        <v>593.54628952288056</v>
      </c>
      <c r="DO72" s="2549">
        <f>yrSales!AH87</f>
        <v>656.61310795726376</v>
      </c>
      <c r="DP72" s="2549">
        <f>yrSales!AI87</f>
        <v>656.78623537508599</v>
      </c>
      <c r="DQ72" s="2549">
        <f>yrSales!AJ87</f>
        <v>664.92855059784199</v>
      </c>
      <c r="DR72" s="2549">
        <f>yrSales!AK87</f>
        <v>683.18826405867969</v>
      </c>
      <c r="DS72" s="2549">
        <f>yrSales!AL87</f>
        <v>666.27972591696914</v>
      </c>
      <c r="DT72" s="2549">
        <f>yrSales!AM87</f>
        <v>619.06542056074784</v>
      </c>
      <c r="DU72" s="2549">
        <f>yrSales!AN87</f>
        <v>621.87501854769096</v>
      </c>
      <c r="DV72" s="2549">
        <f>yrSales!AO87</f>
        <v>619.93358827380951</v>
      </c>
      <c r="DW72" s="2559">
        <f>yrSales!AP87</f>
        <v>624.01507402889047</v>
      </c>
      <c r="DX72" s="2549"/>
    </row>
    <row r="73" spans="1:128">
      <c r="A73" s="1253"/>
      <c r="B73" s="1632"/>
      <c r="C73" s="1253"/>
      <c r="D73" s="1253"/>
      <c r="E73" s="1253"/>
      <c r="F73" s="1253"/>
      <c r="G73" s="1253"/>
      <c r="H73" s="1253"/>
      <c r="I73" s="1253"/>
      <c r="J73" s="1648"/>
      <c r="K73" s="1648"/>
      <c r="L73" s="1649"/>
      <c r="M73" s="1648"/>
      <c r="N73" s="1648"/>
      <c r="O73" s="1253"/>
      <c r="P73" s="1253"/>
      <c r="Q73" s="1253"/>
      <c r="R73" s="1253"/>
      <c r="S73" s="1253"/>
      <c r="T73" s="1253"/>
      <c r="U73" s="1253"/>
      <c r="V73" s="1253"/>
      <c r="W73" s="1253"/>
      <c r="X73" s="1253"/>
      <c r="Y73" s="1253"/>
      <c r="Z73" s="1253"/>
      <c r="AA73" s="1253"/>
      <c r="AB73" s="1253"/>
      <c r="AC73" s="1632"/>
      <c r="AD73" s="1253"/>
      <c r="AE73" s="1253"/>
      <c r="AF73" s="1253"/>
      <c r="AG73" s="1253"/>
      <c r="AH73" s="1253"/>
      <c r="AI73" s="1253"/>
      <c r="AJ73" s="1253"/>
      <c r="AK73" s="1253"/>
      <c r="AL73" s="1253"/>
      <c r="AM73" s="1253"/>
      <c r="AN73" s="1253"/>
      <c r="AO73" s="1253"/>
      <c r="AP73" s="1253"/>
      <c r="AQ73" s="1253"/>
      <c r="AR73" s="1253"/>
      <c r="AS73" s="1253"/>
      <c r="AT73" s="1253"/>
      <c r="AU73" s="1253"/>
      <c r="AV73" s="1253"/>
      <c r="AW73" s="1253"/>
      <c r="AX73" s="1253"/>
      <c r="AY73" s="1253"/>
      <c r="AZ73" s="1253"/>
      <c r="BA73" s="1253"/>
      <c r="BB73" s="1253"/>
      <c r="BC73" s="1253"/>
      <c r="BD73" s="1253"/>
      <c r="BE73" s="1253"/>
      <c r="BF73" s="1253"/>
      <c r="BG73" s="1253"/>
      <c r="BH73" s="1253"/>
      <c r="BI73" s="1253"/>
      <c r="BJ73" s="1253"/>
      <c r="BK73" s="1446"/>
      <c r="BL73" s="1446"/>
      <c r="BM73" s="1446"/>
      <c r="BN73" s="1446"/>
      <c r="BO73" s="1253"/>
      <c r="BS73" s="1602"/>
      <c r="BT73" s="1602"/>
      <c r="BW73" s="1602"/>
      <c r="BX73" s="1602"/>
      <c r="BY73" s="1602"/>
      <c r="BZ73" s="1602"/>
      <c r="CA73" s="1602"/>
      <c r="CB73" s="1602"/>
      <c r="CC73" s="1602"/>
      <c r="CD73" s="1602"/>
      <c r="CE73" s="1602"/>
      <c r="CF73" s="1602"/>
      <c r="CG73" s="1602"/>
      <c r="CH73" s="1602"/>
      <c r="CI73" s="1602"/>
      <c r="CJ73" s="1602"/>
      <c r="CK73" s="1602"/>
      <c r="CL73" s="1602"/>
      <c r="CM73" s="1602"/>
      <c r="CN73" s="1602"/>
      <c r="CO73" s="1602"/>
      <c r="CP73" s="1602"/>
      <c r="CQ73" s="1602"/>
      <c r="CR73" s="1602"/>
      <c r="CS73" s="1602"/>
      <c r="CT73" s="1604" t="s">
        <v>1314</v>
      </c>
      <c r="CU73" s="1602"/>
      <c r="CV73" s="1602"/>
      <c r="CW73" s="1602"/>
      <c r="CX73" s="1602"/>
      <c r="CY73" s="1602"/>
      <c r="CZ73" s="1602"/>
      <c r="DA73" s="1602"/>
      <c r="DB73" s="1602"/>
      <c r="DC73" s="1602"/>
      <c r="DD73" s="1605"/>
      <c r="DE73" s="1605"/>
      <c r="DF73" s="1605"/>
      <c r="DG73" s="1605"/>
      <c r="DH73" s="1605"/>
      <c r="DI73" s="2549"/>
      <c r="DJ73" s="1605"/>
      <c r="DK73" s="1605"/>
      <c r="DL73" s="1605"/>
      <c r="DM73" s="1605">
        <f>(yrSales!AF59+yrSales!AF63)/(yrSales!AF78/0.8)</f>
        <v>723.6441094543668</v>
      </c>
      <c r="DN73" s="1605">
        <f>(yrSales!AG59+yrSales!AG63)/(yrSales!AG78/0.8)</f>
        <v>796.09201007884258</v>
      </c>
      <c r="DO73" s="1605">
        <f>(yrSales!AH59+yrSales!AH63)/(yrSales!AH78/0.8)</f>
        <v>859.85979907510773</v>
      </c>
      <c r="DP73" s="1605">
        <f>(yrSales!AI59+yrSales!AI63)/(yrSales!AI78/0.8)</f>
        <v>842.29667354897913</v>
      </c>
      <c r="DQ73" s="1605">
        <f>(yrSales!AJ59+yrSales!AJ63)/(yrSales!AJ78/0.8)</f>
        <v>840.78156897054544</v>
      </c>
      <c r="DR73" s="1605">
        <f>(yrSales!AK59+yrSales!AK63)/(yrSales!AK78/0.8)</f>
        <v>857.51728955640931</v>
      </c>
      <c r="DS73" s="1605">
        <f>(yrSales!AL59+yrSales!AL63)/(yrSales!AL78/0.8)</f>
        <v>836.35093376326768</v>
      </c>
      <c r="DT73" s="1605">
        <f>(yrSales!AM59+yrSales!AM63)/(yrSales!AM78/0.8)</f>
        <v>777.89653810714776</v>
      </c>
      <c r="DU73" s="1605">
        <f>(yrSales!AN59+yrSales!AN63)/(yrSales!AN78/0.8)</f>
        <v>797.97140381804638</v>
      </c>
      <c r="DV73" s="1605">
        <f>(yrSales!AO59+yrSales!AO63)/(yrSales!AO78/0.8)</f>
        <v>811.81552191716503</v>
      </c>
      <c r="DW73" s="2560">
        <f>(yrSales!AP59+yrSales!AP63)/(yrSales!AP78/0.8)</f>
        <v>832.38341673293087</v>
      </c>
      <c r="DX73" s="1605"/>
    </row>
    <row r="74" spans="1:128">
      <c r="A74" s="1253"/>
      <c r="B74" s="1632"/>
      <c r="C74" s="1253"/>
      <c r="D74" s="1253"/>
      <c r="E74" s="1253"/>
      <c r="F74" s="1253"/>
      <c r="G74" s="1253"/>
      <c r="H74" s="1253"/>
      <c r="I74" s="1253"/>
      <c r="J74" s="1648"/>
      <c r="K74" s="1648"/>
      <c r="L74" s="1649"/>
      <c r="M74" s="1648"/>
      <c r="N74" s="1648"/>
      <c r="O74" s="1253"/>
      <c r="P74" s="1253"/>
      <c r="Q74" s="1253"/>
      <c r="R74" s="1253"/>
      <c r="S74" s="1253"/>
      <c r="T74" s="1253"/>
      <c r="U74" s="1253"/>
      <c r="V74" s="1253"/>
      <c r="W74" s="1253"/>
      <c r="X74" s="1253"/>
      <c r="Y74" s="1253"/>
      <c r="Z74" s="1253"/>
      <c r="AA74" s="1253"/>
      <c r="AB74" s="1253"/>
      <c r="AC74" s="1632"/>
      <c r="AD74" s="1253"/>
      <c r="AE74" s="1253"/>
      <c r="AF74" s="1253"/>
      <c r="AG74" s="1253"/>
      <c r="AH74" s="1253"/>
      <c r="AI74" s="1253"/>
      <c r="AJ74" s="1253"/>
      <c r="AK74" s="1253"/>
      <c r="AL74" s="1253"/>
      <c r="AM74" s="1253"/>
      <c r="AN74" s="1253"/>
      <c r="AO74" s="1253"/>
      <c r="AP74" s="1253"/>
      <c r="AQ74" s="1253"/>
      <c r="AR74" s="1253"/>
      <c r="AS74" s="1253"/>
      <c r="AT74" s="1253"/>
      <c r="AU74" s="1253"/>
      <c r="AV74" s="1253"/>
      <c r="AW74" s="1253"/>
      <c r="AX74" s="1253"/>
      <c r="AY74" s="1253"/>
      <c r="AZ74" s="1253"/>
      <c r="BA74" s="1253"/>
      <c r="BB74" s="1253"/>
      <c r="BC74" s="1253"/>
      <c r="BD74" s="1253"/>
      <c r="BE74" s="1253"/>
      <c r="BF74" s="1253"/>
      <c r="BG74" s="1253"/>
      <c r="BH74" s="1253"/>
      <c r="BI74" s="1253"/>
      <c r="BJ74" s="1253"/>
      <c r="BK74" s="1446"/>
      <c r="BL74" s="1446"/>
      <c r="BM74" s="1446"/>
      <c r="BN74" s="1446"/>
      <c r="BO74" s="1253"/>
      <c r="BS74" s="1602"/>
      <c r="BT74" s="1602"/>
      <c r="BW74" s="1602"/>
      <c r="BX74" s="1602"/>
      <c r="BY74" s="1602"/>
      <c r="BZ74" s="1602"/>
      <c r="CA74" s="1602"/>
      <c r="CB74" s="1602"/>
      <c r="CC74" s="1602"/>
      <c r="CD74" s="1602"/>
      <c r="CE74" s="1602"/>
      <c r="CF74" s="1602"/>
      <c r="CG74" s="1602"/>
      <c r="CH74" s="1602"/>
      <c r="CI74" s="1602"/>
      <c r="CJ74" s="1602"/>
      <c r="CK74" s="1602"/>
      <c r="CL74" s="1602"/>
      <c r="CM74" s="1602"/>
      <c r="CN74" s="1602"/>
      <c r="CO74" s="1602"/>
      <c r="CP74" s="1602"/>
      <c r="CQ74" s="1602"/>
      <c r="CR74" s="1602"/>
      <c r="CS74" s="1602"/>
      <c r="CT74" s="1604" t="s">
        <v>1315</v>
      </c>
      <c r="CU74" s="1602"/>
      <c r="CV74" s="1602"/>
      <c r="CW74" s="1602"/>
      <c r="CX74" s="1602"/>
      <c r="CY74" s="1602"/>
      <c r="CZ74" s="1602"/>
      <c r="DA74" s="1602"/>
      <c r="DB74" s="1602"/>
      <c r="DC74" s="1602"/>
      <c r="DD74" s="1605"/>
      <c r="DE74" s="1605"/>
      <c r="DF74" s="1605"/>
      <c r="DG74" s="1605"/>
      <c r="DH74" s="1605"/>
      <c r="DI74" s="2549"/>
      <c r="DJ74" s="1605"/>
      <c r="DK74" s="1605"/>
      <c r="DL74" s="1605"/>
      <c r="DM74" s="1605" t="s">
        <v>520</v>
      </c>
      <c r="DN74" s="1605">
        <f>(yrSales!AG113-183)/(yrSales!AG126/0.8)</f>
        <v>504.95910818343049</v>
      </c>
      <c r="DO74" s="1605">
        <f>(yrSales!AH113-216)/(yrSales!AH126/0.8)</f>
        <v>583.80168496298199</v>
      </c>
      <c r="DP74" s="1605">
        <f>(yrSales!AI113-250)/(yrSales!AI126/0.8)</f>
        <v>590.5511454311453</v>
      </c>
      <c r="DQ74" s="1605">
        <f>(yrSales!AJ113-301.8)/(yrSales!AJ126/0.8)</f>
        <v>627.60545688545687</v>
      </c>
      <c r="DR74" s="1605">
        <f>(yrSales!AK113-361.6)/(yrSales!AK126/0.8)</f>
        <v>654.5652162882152</v>
      </c>
      <c r="DS74" s="1605">
        <f>(yrSales!AL113-452)/(yrSales!AL126/0.8)</f>
        <v>666.937910740559</v>
      </c>
      <c r="DT74" s="1605">
        <f>(yrSales!AM113-495)/(yrSales!AM126/0.8)</f>
        <v>691.57789610696943</v>
      </c>
      <c r="DU74" s="1605">
        <f>(yrSales!AN113-550)/(yrSales!AN126/0.8)</f>
        <v>676.79215649868547</v>
      </c>
      <c r="DV74" s="1605">
        <f>(yrSales!AO113-600)/(yrSales!AO126/0.8)</f>
        <v>690.88923879748472</v>
      </c>
      <c r="DW74" s="2560">
        <f>(yrSales!AP113-650)/(yrSales!AP126/0.8)</f>
        <v>705.22465838695302</v>
      </c>
      <c r="DX74" s="1605"/>
    </row>
    <row r="75" spans="1:128">
      <c r="A75" s="1651"/>
      <c r="B75" s="1632"/>
      <c r="C75" s="1253"/>
      <c r="D75" s="1253"/>
      <c r="E75" s="1253"/>
      <c r="F75" s="1253"/>
      <c r="G75" s="1253"/>
      <c r="H75" s="1253"/>
      <c r="I75" s="1253"/>
      <c r="J75" s="1648"/>
      <c r="K75" s="1648"/>
      <c r="L75" s="1649"/>
      <c r="M75" s="1648"/>
      <c r="N75" s="1648"/>
      <c r="O75" s="1253"/>
      <c r="P75" s="1253"/>
      <c r="Q75" s="1253"/>
      <c r="R75" s="1253"/>
      <c r="S75" s="1253"/>
      <c r="T75" s="1253"/>
      <c r="U75" s="1253"/>
      <c r="V75" s="1253"/>
      <c r="W75" s="1253"/>
      <c r="X75" s="1253"/>
      <c r="Y75" s="1253"/>
      <c r="Z75" s="1253"/>
      <c r="AA75" s="1253"/>
      <c r="AB75" s="1253"/>
      <c r="AC75" s="1632"/>
      <c r="AD75" s="1253"/>
      <c r="AE75" s="1253"/>
      <c r="AF75" s="1253"/>
      <c r="AG75" s="1253"/>
      <c r="AH75" s="1253"/>
      <c r="AI75" s="1253"/>
      <c r="AJ75" s="1253"/>
      <c r="AK75" s="1253"/>
      <c r="AL75" s="1253"/>
      <c r="AM75" s="1253"/>
      <c r="AN75" s="1253"/>
      <c r="AO75" s="1253"/>
      <c r="AP75" s="1253"/>
      <c r="AQ75" s="1253"/>
      <c r="AR75" s="1253"/>
      <c r="AS75" s="1253"/>
      <c r="AT75" s="1253"/>
      <c r="AU75" s="1253"/>
      <c r="AV75" s="1253"/>
      <c r="AW75" s="1253"/>
      <c r="AX75" s="1253"/>
      <c r="AY75" s="1253"/>
      <c r="AZ75" s="1253"/>
      <c r="BA75" s="1253"/>
      <c r="BB75" s="1253"/>
      <c r="BC75" s="1253"/>
      <c r="BD75" s="1253"/>
      <c r="BE75" s="1253"/>
      <c r="BF75" s="1253"/>
      <c r="BG75" s="1253"/>
      <c r="BH75" s="1253"/>
      <c r="BI75" s="1253"/>
      <c r="BJ75" s="1253"/>
      <c r="BK75" s="1253"/>
      <c r="BL75" s="1253"/>
      <c r="BM75" s="1253"/>
      <c r="BN75" s="1253"/>
      <c r="BO75" s="1253"/>
      <c r="BP75" s="1602"/>
      <c r="BQ75" s="1602"/>
      <c r="BR75" s="1602"/>
      <c r="BS75" s="1602"/>
      <c r="BT75" s="1652"/>
      <c r="BW75" s="1602"/>
      <c r="BX75" s="1602"/>
      <c r="BY75" s="1602"/>
      <c r="BZ75" s="1602"/>
      <c r="CA75" s="1602"/>
      <c r="CB75" s="1602"/>
      <c r="CC75" s="1602"/>
      <c r="CD75" s="1602"/>
      <c r="CE75" s="1602"/>
      <c r="CF75" s="1602"/>
      <c r="CG75" s="1602"/>
      <c r="CH75" s="1602"/>
      <c r="CI75" s="1602"/>
      <c r="CJ75" s="1602"/>
      <c r="CK75" s="1602"/>
      <c r="CL75" s="1602"/>
      <c r="CM75" s="1602"/>
      <c r="CN75" s="1602"/>
      <c r="CO75" s="1602"/>
      <c r="CP75" s="1602"/>
      <c r="CQ75" s="1602"/>
      <c r="CR75" s="1602"/>
      <c r="CS75" s="1653"/>
      <c r="CT75" s="1654" t="s">
        <v>1316</v>
      </c>
      <c r="CU75" s="1638"/>
      <c r="CV75" s="1638"/>
      <c r="CW75" s="1638"/>
      <c r="CX75" s="1638"/>
      <c r="CY75" s="1638"/>
      <c r="CZ75" s="1638"/>
      <c r="DA75" s="1638"/>
      <c r="DB75" s="1638"/>
      <c r="DC75" s="1638"/>
      <c r="DD75" s="95">
        <f>yrSales!W135</f>
        <v>537.24084896954776</v>
      </c>
      <c r="DE75" s="95">
        <f>yrSales!X135</f>
        <v>405.29085478594794</v>
      </c>
      <c r="DF75" s="95">
        <f>yrSales!Y135</f>
        <v>435.32399437412101</v>
      </c>
      <c r="DG75" s="95">
        <f>yrSales!Z135</f>
        <v>488.84621020005648</v>
      </c>
      <c r="DH75" s="95">
        <f>yrSales!AA135</f>
        <v>512.99511647488077</v>
      </c>
      <c r="DI75" s="95">
        <f>yrSales!AB135</f>
        <v>569.92584332311117</v>
      </c>
      <c r="DJ75" s="95">
        <f>yrSales!AC135</f>
        <v>540.93880981428777</v>
      </c>
      <c r="DK75" s="95">
        <f>yrSales!AD135</f>
        <v>494.37354855506379</v>
      </c>
      <c r="DL75" s="95">
        <f>yrSales!AE135</f>
        <v>486.05543797016452</v>
      </c>
      <c r="DM75" s="2561">
        <f>yrSales!AF135</f>
        <v>510.31722039056558</v>
      </c>
      <c r="DN75" s="2561">
        <f>yrSales!AG135</f>
        <v>542.05057005320498</v>
      </c>
      <c r="DO75" s="2561">
        <f>yrSales!AH135</f>
        <v>627.91707939749824</v>
      </c>
      <c r="DP75" s="2561">
        <f>yrSales!AI135</f>
        <v>642.03119691119684</v>
      </c>
      <c r="DQ75" s="2561">
        <f>yrSales!AJ135</f>
        <v>689.75217503217516</v>
      </c>
      <c r="DR75" s="2561">
        <f>yrSales!AK135</f>
        <v>727.95859444373968</v>
      </c>
      <c r="DS75" s="2561">
        <f>yrSales!AL135</f>
        <v>755.60882785679246</v>
      </c>
      <c r="DT75" s="2561">
        <f>yrSales!AM135</f>
        <v>785.29461602177241</v>
      </c>
      <c r="DU75" s="2561">
        <f>yrSales!AN135</f>
        <v>776.82316576313883</v>
      </c>
      <c r="DV75" s="2561">
        <f>yrSales!AO135</f>
        <v>796.14611750422318</v>
      </c>
      <c r="DW75" s="2562">
        <f>yrSales!AP135</f>
        <v>816.85403438268918</v>
      </c>
      <c r="DX75"/>
    </row>
    <row r="76" spans="1:128">
      <c r="A76" s="1655" t="s">
        <v>549</v>
      </c>
      <c r="B76" s="1632"/>
      <c r="C76" s="1253"/>
      <c r="D76" s="1253"/>
      <c r="E76" s="1253"/>
      <c r="F76" s="1253"/>
      <c r="G76" s="1253"/>
      <c r="H76" s="1656">
        <f>qtrSales!$Z89</f>
        <v>29.153749999999999</v>
      </c>
      <c r="I76" s="1656">
        <f>qtrSales!$Z90</f>
        <v>29.078749999999999</v>
      </c>
      <c r="J76" s="1656">
        <f>qtrSales!$Z91</f>
        <v>29.348749999999995</v>
      </c>
      <c r="K76" s="1656">
        <f>qtrSales!$Z92</f>
        <v>29.029999999999998</v>
      </c>
      <c r="L76" s="1649"/>
      <c r="BT76" s="1642"/>
      <c r="BW76" s="1602"/>
      <c r="BX76" s="1602"/>
      <c r="BY76" s="1602"/>
      <c r="CC76" s="1602"/>
      <c r="CD76" s="1602"/>
      <c r="CH76" s="1602"/>
      <c r="CI76" s="1602"/>
      <c r="CM76" s="1602"/>
      <c r="CN76" s="1602"/>
      <c r="CR76" s="1602"/>
      <c r="CS76" s="1602"/>
      <c r="CW76" s="1602"/>
      <c r="CX76" s="1602"/>
      <c r="CY76" s="1253"/>
      <c r="CZ76" s="1253"/>
      <c r="DA76" s="1253"/>
      <c r="DB76" s="1253"/>
      <c r="DC76" s="1253"/>
      <c r="DD76" s="1599"/>
      <c r="DE76" s="1599"/>
      <c r="DF76" s="1599"/>
      <c r="DG76" s="1599"/>
      <c r="DH76" s="1599"/>
      <c r="DQ76" s="1607"/>
      <c r="DR76" s="1607"/>
      <c r="DS76" s="1607"/>
      <c r="DT76" s="1607"/>
    </row>
    <row r="77" spans="1:128">
      <c r="A77" s="1657"/>
      <c r="B77" s="1632"/>
      <c r="C77" s="1253"/>
      <c r="D77" s="1253"/>
      <c r="E77" s="1253"/>
      <c r="F77" s="1253"/>
      <c r="G77" s="1253"/>
      <c r="H77" s="1253"/>
      <c r="I77" s="1253"/>
      <c r="J77" s="1648"/>
      <c r="K77" s="1648"/>
      <c r="L77" s="1649"/>
      <c r="BT77" s="1658"/>
      <c r="BU77" s="1602"/>
      <c r="BW77" s="1602"/>
      <c r="BX77" s="1602"/>
      <c r="BY77" s="1602"/>
      <c r="BZ77" s="1602"/>
      <c r="CA77" s="1602"/>
      <c r="CB77" s="1602"/>
      <c r="CC77" s="1602"/>
      <c r="CD77" s="1602"/>
      <c r="CE77" s="1602"/>
      <c r="CF77" s="1602"/>
      <c r="CG77" s="1602"/>
      <c r="CH77" s="1602"/>
      <c r="CI77" s="1602"/>
      <c r="CJ77" s="1602"/>
      <c r="CK77" s="1602"/>
      <c r="CL77" s="1602"/>
      <c r="CM77" s="1602"/>
      <c r="CN77" s="1602"/>
      <c r="CO77" s="1602"/>
      <c r="CP77" s="1602"/>
      <c r="CQ77" s="1602"/>
      <c r="CR77" s="1602"/>
      <c r="CS77" s="1602"/>
      <c r="CT77" s="1602"/>
      <c r="CU77" s="1602"/>
      <c r="CV77" s="1602"/>
      <c r="CW77" s="1602"/>
      <c r="CX77" s="1602"/>
      <c r="CY77" s="1253"/>
      <c r="CZ77" s="1253"/>
      <c r="DA77" s="1253"/>
      <c r="DB77" s="1253"/>
      <c r="DC77" s="1253"/>
      <c r="DD77" s="1599"/>
      <c r="DE77" s="1599"/>
      <c r="DF77" s="1599"/>
      <c r="DG77" s="1599"/>
      <c r="DH77" s="1599"/>
      <c r="DI77" s="1650"/>
      <c r="DJ77" s="1599"/>
      <c r="DK77" s="1599"/>
      <c r="DL77" s="1599"/>
      <c r="DM77" s="1599"/>
      <c r="DN77" s="1599"/>
      <c r="DO77" s="1599"/>
      <c r="DP77" s="1599"/>
      <c r="DQ77" s="1599"/>
      <c r="DR77" s="1599"/>
      <c r="DS77" s="1599"/>
      <c r="DT77" s="1599"/>
      <c r="DU77" s="1659"/>
      <c r="DV77" s="1659"/>
      <c r="DW77" s="1659"/>
      <c r="DX77" s="1659"/>
    </row>
    <row r="78" spans="1:128" outlineLevel="1">
      <c r="A78" s="1660"/>
      <c r="B78" s="1661"/>
      <c r="C78" s="1662"/>
      <c r="D78" s="1662"/>
      <c r="E78" s="1662"/>
      <c r="F78" s="1662"/>
      <c r="G78" s="1662"/>
      <c r="H78" s="1662"/>
      <c r="I78" s="1662"/>
      <c r="J78" s="1545"/>
      <c r="K78" s="1545"/>
      <c r="L78" s="1663"/>
      <c r="BT78" s="1658"/>
      <c r="BU78" s="1602" t="s">
        <v>563</v>
      </c>
      <c r="BV78" s="1602"/>
      <c r="BW78" s="1602"/>
      <c r="BX78" s="1602"/>
      <c r="BY78" s="1602"/>
      <c r="BZ78" s="1638"/>
      <c r="CA78" s="1638"/>
      <c r="CB78" s="1638"/>
      <c r="CC78" s="1638"/>
      <c r="CD78" s="1602"/>
      <c r="CE78" s="1638"/>
      <c r="CF78" s="1638"/>
      <c r="CG78" s="1638"/>
      <c r="CH78" s="1638"/>
      <c r="CI78" s="1602"/>
      <c r="CJ78" s="1638"/>
      <c r="CK78" s="1638"/>
      <c r="CL78" s="1638"/>
      <c r="CM78" s="1638"/>
      <c r="CN78" s="1602"/>
      <c r="CO78" s="1638"/>
      <c r="CP78" s="1638"/>
      <c r="CQ78" s="1638"/>
      <c r="CR78" s="1638"/>
      <c r="CS78" s="1602"/>
      <c r="CT78" s="1638"/>
      <c r="CU78" s="1638"/>
      <c r="CV78" s="1638"/>
      <c r="CW78" s="1638"/>
      <c r="CX78" s="1602"/>
      <c r="CY78" s="1664"/>
      <c r="CZ78" s="1664"/>
      <c r="DA78" s="1664"/>
      <c r="DB78" s="1664"/>
      <c r="DC78" s="1664"/>
      <c r="DD78" s="1665">
        <f>+yrSales!W49</f>
        <v>251.28662208900167</v>
      </c>
      <c r="DE78" s="1665">
        <f>+yrSales!X49</f>
        <v>313.43193480229405</v>
      </c>
      <c r="DF78" s="1665">
        <f>+yrSales!Y49</f>
        <v>368.76306169785067</v>
      </c>
      <c r="DG78" s="1665">
        <f>+yrSales!Z49</f>
        <v>390.5465372656177</v>
      </c>
      <c r="DH78" s="1665">
        <f>+yrSales!AA49</f>
        <v>403.22091671217026</v>
      </c>
      <c r="DI78" s="1665">
        <f>+yrSales!AB49</f>
        <v>332.48008504135788</v>
      </c>
      <c r="DJ78" s="1665">
        <f>+yrSales!AC49</f>
        <v>396.58405964674449</v>
      </c>
      <c r="DK78" s="1665">
        <f>+yrSales!AD49</f>
        <v>449.89143719351188</v>
      </c>
      <c r="DL78" s="1665">
        <f>+yrSales!AE49</f>
        <v>430.79391718578233</v>
      </c>
      <c r="DM78" s="1665">
        <f>+yrSales!AF49</f>
        <v>477.14645123008819</v>
      </c>
      <c r="DN78" s="1665">
        <f>+yrSales!AG49</f>
        <v>528.41845143039654</v>
      </c>
      <c r="DO78" s="1665">
        <f>+yrSales!AH49</f>
        <v>603.65949245101194</v>
      </c>
      <c r="DP78" s="1665">
        <f>+yrSales!AI49</f>
        <v>616.64892360795704</v>
      </c>
      <c r="DQ78" s="1665">
        <f>+yrSales!AJ49</f>
        <v>637.72448359392217</v>
      </c>
      <c r="DR78" s="1666"/>
      <c r="DT78" s="1599"/>
      <c r="DU78" s="1659"/>
      <c r="DV78" s="1659"/>
      <c r="DW78" s="1659"/>
      <c r="DX78" s="1659"/>
    </row>
    <row r="79" spans="1:128" outlineLevel="1">
      <c r="A79" s="1660"/>
      <c r="B79" s="1661"/>
      <c r="C79" s="1662"/>
      <c r="D79" s="1662"/>
      <c r="E79" s="1662"/>
      <c r="F79" s="1662"/>
      <c r="G79" s="1662"/>
      <c r="H79" s="1662"/>
      <c r="I79" s="1662"/>
      <c r="J79" s="1545"/>
      <c r="K79" s="1545"/>
      <c r="L79" s="1663"/>
      <c r="BP79" s="1658"/>
      <c r="BQ79" s="1658"/>
      <c r="BR79" s="1658"/>
      <c r="BS79" s="1658"/>
      <c r="BT79" s="1658"/>
      <c r="BX79" s="1602"/>
      <c r="BY79" s="1602"/>
      <c r="BZ79" s="1602"/>
      <c r="CA79" s="1602"/>
      <c r="CB79" s="1602"/>
      <c r="CC79" s="1602"/>
      <c r="CD79" s="1602"/>
      <c r="CE79" s="1602"/>
      <c r="CF79" s="1602"/>
      <c r="CG79" s="1602"/>
      <c r="CH79" s="1602"/>
      <c r="CI79" s="1602"/>
      <c r="CJ79" s="1602"/>
      <c r="CK79" s="1602"/>
      <c r="CL79" s="1602"/>
      <c r="CM79" s="1602"/>
      <c r="CN79" s="1602"/>
      <c r="CO79" s="1602"/>
      <c r="CP79" s="1602"/>
      <c r="CQ79" s="1602"/>
      <c r="CR79" s="1602"/>
      <c r="CS79" s="1602"/>
      <c r="CT79" s="1602"/>
      <c r="CU79" s="1602"/>
      <c r="CV79" s="1602"/>
      <c r="CW79" s="1602"/>
      <c r="CX79" s="1602"/>
      <c r="CY79" s="1253"/>
      <c r="CZ79" s="1253"/>
      <c r="DA79" s="1253"/>
      <c r="DB79" s="1253"/>
      <c r="DC79" s="1253"/>
      <c r="DD79" s="1648"/>
      <c r="DE79" s="1648"/>
      <c r="DF79" s="1648"/>
      <c r="DG79" s="1648"/>
      <c r="DH79" s="1648"/>
      <c r="DI79" s="1648"/>
      <c r="DJ79" s="1648"/>
      <c r="DK79" s="1648"/>
      <c r="DL79" s="1648"/>
      <c r="DM79" s="1648"/>
      <c r="DN79" s="1648"/>
      <c r="DO79" s="1648"/>
      <c r="DP79" s="1648"/>
      <c r="DQ79" s="1648"/>
      <c r="DU79" s="1659"/>
      <c r="DV79" s="1659"/>
      <c r="DW79" s="1659"/>
      <c r="DX79" s="1659"/>
    </row>
    <row r="80" spans="1:128" outlineLevel="1">
      <c r="A80" s="1651" t="s">
        <v>569</v>
      </c>
      <c r="B80" s="1642"/>
      <c r="C80" s="1662"/>
      <c r="D80" s="1662"/>
      <c r="E80" s="1662"/>
      <c r="F80" s="1662"/>
      <c r="G80" s="1662"/>
      <c r="H80" s="1662"/>
      <c r="I80" s="1662"/>
      <c r="J80" s="1545"/>
      <c r="K80" s="1545"/>
      <c r="L80" s="1663"/>
      <c r="M80" s="1656">
        <f>qtrSales!$Z96</f>
        <v>28.976249999999997</v>
      </c>
      <c r="N80" s="1656">
        <f>qtrSales!$Z97</f>
        <v>29.057499999999994</v>
      </c>
      <c r="O80" s="1656">
        <f>qtrSales!$Z98</f>
        <v>25.451249999999998</v>
      </c>
      <c r="P80" s="1656">
        <f>qtrSales!$Z99</f>
        <v>25.182499999999997</v>
      </c>
      <c r="Q80" s="1253"/>
      <c r="R80" s="1656">
        <f>qtrSales!$Z103</f>
        <v>24.931249999999999</v>
      </c>
      <c r="S80" s="1656">
        <f>qtrSales!$Z104</f>
        <v>24.864999999999995</v>
      </c>
      <c r="T80" s="1656">
        <f>qtrSales!$Z105</f>
        <v>25.181249999999999</v>
      </c>
      <c r="U80" s="1656">
        <f>qtrSales!$Z106</f>
        <v>20.371249999999996</v>
      </c>
      <c r="V80" s="1253"/>
      <c r="W80" s="1656">
        <f>qtrSales!$Z110</f>
        <v>20.183749999999996</v>
      </c>
      <c r="X80" s="1656">
        <f>qtrSales!$Z111</f>
        <v>20.031249999999996</v>
      </c>
      <c r="Y80" s="1656">
        <f>qtrSales!$Z112</f>
        <v>20.251249999999999</v>
      </c>
      <c r="Z80" s="1656">
        <f>qtrSales!$Z113</f>
        <v>20.047499999999999</v>
      </c>
      <c r="AA80" s="1253"/>
      <c r="AB80" s="1656">
        <f>qtrSales!$Z117</f>
        <v>19.916250000000002</v>
      </c>
      <c r="AC80" s="1656">
        <f>qtrSales!$Z118</f>
        <v>19.883749999999996</v>
      </c>
      <c r="AD80" s="1656">
        <f>qtrSales!$Z119</f>
        <v>19.979999999999997</v>
      </c>
      <c r="AE80" s="1656">
        <f>qtrSales!$Z120</f>
        <v>19.751249999999999</v>
      </c>
      <c r="AF80" s="1253"/>
      <c r="AG80" s="1656">
        <f>qtrSales!$Z124</f>
        <v>19.625</v>
      </c>
      <c r="AH80" s="1656">
        <f>qtrSales!$Z125</f>
        <v>19.53125</v>
      </c>
      <c r="AI80" s="1656">
        <f>qtrSales!$Z126</f>
        <v>19.671250000000001</v>
      </c>
      <c r="AJ80" s="1656">
        <f>qtrSales!$Z127</f>
        <v>19.164999999999996</v>
      </c>
      <c r="AK80" s="1253"/>
      <c r="AL80" s="1656">
        <f>qtrSales!$Z131</f>
        <v>18.9925</v>
      </c>
      <c r="AM80" s="1656">
        <f>qtrSales!$Z132</f>
        <v>18.766249999999999</v>
      </c>
      <c r="AN80" s="1656">
        <f>qtrSales!$Z133</f>
        <v>18.827499999999997</v>
      </c>
      <c r="AO80" s="1656">
        <f>qtrSales!$Z134</f>
        <v>19.647500000000001</v>
      </c>
      <c r="AP80" s="1253"/>
      <c r="AQ80" s="1656">
        <f>qtrSales!$Z138</f>
        <v>19.241250000000001</v>
      </c>
      <c r="AR80" s="1656">
        <f>qtrSales!$Z139</f>
        <v>12.241249999999999</v>
      </c>
      <c r="AS80" s="1656">
        <f>qtrSales!$Z140</f>
        <v>12.741250000000001</v>
      </c>
      <c r="AT80" s="1656">
        <f>qtrSales!$Z141</f>
        <v>12.887499999999999</v>
      </c>
      <c r="AU80" s="1253"/>
      <c r="AV80" s="1656">
        <f>qtrSales!$Z145</f>
        <v>13.106250000000001</v>
      </c>
      <c r="AW80" s="1656">
        <f>qtrSales!$Z146</f>
        <v>13.3475</v>
      </c>
      <c r="AX80" s="1656">
        <f>qtrSales!$Z147</f>
        <v>13.5825</v>
      </c>
      <c r="AY80" s="1656">
        <f>qtrSales!$Z148</f>
        <v>13.6225</v>
      </c>
      <c r="AZ80" s="1253"/>
      <c r="BA80" s="1656">
        <f>qtrSales!$Z152</f>
        <v>13.612499999999999</v>
      </c>
      <c r="BB80" s="1656">
        <f>qtrSales!$Z153</f>
        <v>13.659999999999998</v>
      </c>
      <c r="BC80" s="1656">
        <f>qtrSales!$Z154</f>
        <v>13.782499999999999</v>
      </c>
      <c r="BD80" s="1656">
        <f>qtrSales!$Z155</f>
        <v>13.667499999999999</v>
      </c>
      <c r="BE80" s="1253"/>
      <c r="BF80" s="1656">
        <f>qtrSales!$Z159</f>
        <v>13.656249999999998</v>
      </c>
      <c r="BG80" s="1656">
        <f>qtrSales!$Z160</f>
        <v>13.683749999999998</v>
      </c>
      <c r="BH80" s="1656">
        <f>qtrSales!$Z161</f>
        <v>13.796249999999999</v>
      </c>
      <c r="BI80" s="1656">
        <f>qtrSales!$Z162</f>
        <v>13.718749999999998</v>
      </c>
      <c r="BJ80" s="1253"/>
      <c r="BK80" s="1656">
        <f>qtrSales!$Z166</f>
        <v>13.666249999999998</v>
      </c>
      <c r="BL80" s="1656">
        <f>qtrSales!$Z167</f>
        <v>13.668749999999999</v>
      </c>
      <c r="BM80" s="1656">
        <f>qtrSales!$Z168</f>
        <v>13.721250000000001</v>
      </c>
      <c r="BN80" s="1656">
        <f>qtrSales!$Z169</f>
        <v>13.6775</v>
      </c>
      <c r="BO80" s="1253"/>
      <c r="BP80" s="1652">
        <f>qtrSales!$Z173</f>
        <v>13.668749999999999</v>
      </c>
      <c r="BQ80" s="1652">
        <f>qtrSales!$Z174</f>
        <v>13.721250000000001</v>
      </c>
      <c r="BR80" s="1652">
        <f>qtrSales!$Z175</f>
        <v>13.678749999999999</v>
      </c>
      <c r="BS80" s="1652">
        <f>qtrSales!$Z176</f>
        <v>13.561249999999999</v>
      </c>
      <c r="BT80" s="1652"/>
      <c r="BU80" s="1652">
        <f>qtrSales!$Z180</f>
        <v>13.501250000000001</v>
      </c>
      <c r="BV80" s="1652">
        <f>qtrSales!$Z181</f>
        <v>13.60125</v>
      </c>
      <c r="BW80" s="1652">
        <f>qtrSales!$Z182</f>
        <v>13.91</v>
      </c>
      <c r="BX80" s="1652">
        <f>qtrSales!$Z183</f>
        <v>13.961250000000001</v>
      </c>
      <c r="BY80" s="1652"/>
      <c r="BZ80" s="1652">
        <f>qtrSales!$Z187</f>
        <v>13.892499999999998</v>
      </c>
      <c r="CA80" s="1652">
        <f>qtrSales!$Z188</f>
        <v>14.013749999999998</v>
      </c>
      <c r="CB80" s="1652">
        <f>qtrSales!$Z189</f>
        <v>14.263749999999998</v>
      </c>
      <c r="CC80" s="1652">
        <f>qtrSales!$Z190</f>
        <v>14.28875</v>
      </c>
      <c r="CD80" s="1652"/>
      <c r="CE80" s="1652">
        <f>qtrSales!$Z187</f>
        <v>13.892499999999998</v>
      </c>
      <c r="CF80" s="1652">
        <f>qtrSales!$Z188</f>
        <v>14.013749999999998</v>
      </c>
      <c r="CG80" s="1652">
        <f>qtrSales!$Z189</f>
        <v>14.263749999999998</v>
      </c>
      <c r="CH80" s="1652">
        <f>qtrSales!$Z190</f>
        <v>14.28875</v>
      </c>
      <c r="CI80" s="1652"/>
      <c r="CJ80" s="1652">
        <f>qtrSales!$Z187</f>
        <v>13.892499999999998</v>
      </c>
      <c r="CK80" s="1652">
        <f>qtrSales!$Z188</f>
        <v>14.013749999999998</v>
      </c>
      <c r="CL80" s="1652">
        <f>qtrSales!$Z189</f>
        <v>14.263749999999998</v>
      </c>
      <c r="CM80" s="1652">
        <f>qtrSales!$Z190</f>
        <v>14.28875</v>
      </c>
      <c r="CN80" s="1652"/>
      <c r="CO80" s="1652">
        <f>qtrSales!$Z187</f>
        <v>13.892499999999998</v>
      </c>
      <c r="CP80" s="1652">
        <f>qtrSales!$Z188</f>
        <v>14.013749999999998</v>
      </c>
      <c r="CQ80" s="1652">
        <f>qtrSales!$Z189</f>
        <v>14.263749999999998</v>
      </c>
      <c r="CR80" s="1652">
        <f>qtrSales!$Z190</f>
        <v>14.28875</v>
      </c>
      <c r="CS80" s="1652"/>
      <c r="CT80" s="1652">
        <f>qtrSales!$Z187</f>
        <v>13.892499999999998</v>
      </c>
      <c r="CU80" s="1652">
        <f>qtrSales!$Z188</f>
        <v>14.013749999999998</v>
      </c>
      <c r="CV80" s="1652">
        <f>qtrSales!$Z189</f>
        <v>14.263749999999998</v>
      </c>
      <c r="CW80" s="1652">
        <f>qtrSales!$Z190</f>
        <v>14.28875</v>
      </c>
      <c r="CX80" s="1652"/>
      <c r="CY80" s="1253"/>
      <c r="CZ80" s="1253"/>
      <c r="DA80" s="1253"/>
      <c r="DB80" s="1253"/>
      <c r="DC80" s="1253"/>
      <c r="DD80" s="1648">
        <f t="shared" ref="DD80:DS80" si="47">DD69</f>
        <v>25.182499999999997</v>
      </c>
      <c r="DE80" s="1648">
        <f t="shared" si="47"/>
        <v>20.371249999999996</v>
      </c>
      <c r="DF80" s="1648">
        <f t="shared" si="47"/>
        <v>20.047499999999999</v>
      </c>
      <c r="DG80" s="1648">
        <f t="shared" si="47"/>
        <v>19.751249999999999</v>
      </c>
      <c r="DH80" s="1648">
        <f t="shared" si="47"/>
        <v>19.165000000000003</v>
      </c>
      <c r="DI80" s="1648">
        <f t="shared" si="47"/>
        <v>18.463750000000001</v>
      </c>
      <c r="DJ80" s="1648">
        <f t="shared" si="47"/>
        <v>12.887499999999999</v>
      </c>
      <c r="DK80" s="1648">
        <f t="shared" si="47"/>
        <v>13.622499999999999</v>
      </c>
      <c r="DL80" s="1648">
        <f t="shared" si="47"/>
        <v>13.667499999999999</v>
      </c>
      <c r="DM80" s="1648">
        <f t="shared" si="47"/>
        <v>13.718749999999998</v>
      </c>
      <c r="DN80" s="1648">
        <f t="shared" si="47"/>
        <v>13.6775</v>
      </c>
      <c r="DO80" s="1648">
        <f t="shared" si="47"/>
        <v>13.561249999999999</v>
      </c>
      <c r="DP80" s="1648">
        <f t="shared" si="47"/>
        <v>13.96125</v>
      </c>
      <c r="DQ80" s="1648">
        <f t="shared" si="47"/>
        <v>14.419999999999998</v>
      </c>
      <c r="DR80" s="1648"/>
      <c r="DS80" s="1648">
        <f t="shared" si="47"/>
        <v>15.50525</v>
      </c>
      <c r="DT80" s="1648">
        <f>DT69</f>
        <v>15.916478124999998</v>
      </c>
      <c r="DU80" s="1648">
        <f>DU69</f>
        <v>16.039178807533183</v>
      </c>
      <c r="DV80" s="1648">
        <f>DV69</f>
        <v>16.311347119558182</v>
      </c>
      <c r="DW80" s="1648">
        <f>DW69</f>
        <v>16.366103735845684</v>
      </c>
      <c r="DX80" s="1648"/>
    </row>
    <row r="81" spans="1:134" outlineLevel="1">
      <c r="A81" s="582" t="s">
        <v>1186</v>
      </c>
      <c r="B81" s="1658"/>
      <c r="C81" s="1439"/>
      <c r="D81" s="1439"/>
      <c r="E81" s="1439"/>
      <c r="F81" s="1439"/>
      <c r="G81" s="1439"/>
      <c r="H81" s="1439"/>
      <c r="I81" s="1439"/>
      <c r="J81" s="1439"/>
      <c r="K81" s="1439"/>
      <c r="L81" s="1425"/>
      <c r="M81" s="1648">
        <f>qtrSales!$J96</f>
        <v>5155</v>
      </c>
      <c r="N81" s="1648">
        <f>qtrSales!$J97</f>
        <v>5218</v>
      </c>
      <c r="O81" s="1648">
        <f>qtrSales!$J98</f>
        <v>4653</v>
      </c>
      <c r="P81" s="1648">
        <f>qtrSales!$J99</f>
        <v>4614</v>
      </c>
      <c r="Q81" s="1253"/>
      <c r="R81" s="1648">
        <f>qtrSales!$J103</f>
        <v>4602</v>
      </c>
      <c r="S81" s="1648">
        <f>qtrSales!$J104</f>
        <v>4564</v>
      </c>
      <c r="T81" s="1648">
        <f>qtrSales!$J105</f>
        <v>4594</v>
      </c>
      <c r="U81" s="1648">
        <f>qtrSales!$J106</f>
        <v>4036</v>
      </c>
      <c r="V81" s="1253"/>
      <c r="W81" s="1648">
        <f>qtrSales!$J110</f>
        <v>3981</v>
      </c>
      <c r="X81" s="1648">
        <f>qtrSales!$J111</f>
        <v>3970</v>
      </c>
      <c r="Y81" s="1648">
        <f>qtrSales!$J112</f>
        <v>3971</v>
      </c>
      <c r="Z81" s="1648">
        <f>qtrSales!$J113</f>
        <v>3911</v>
      </c>
      <c r="AA81" s="1253"/>
      <c r="AB81" s="1648">
        <f>qtrSales!$J117</f>
        <v>3871</v>
      </c>
      <c r="AC81" s="1648">
        <f>qtrSales!$J118</f>
        <v>3836</v>
      </c>
      <c r="AD81" s="1648">
        <f>qtrSales!$J119</f>
        <v>3835</v>
      </c>
      <c r="AE81" s="1648">
        <f>qtrSales!$J120</f>
        <v>3779</v>
      </c>
      <c r="AF81" s="1253"/>
      <c r="AG81" s="1648">
        <f>qtrSales!$J124</f>
        <v>3699</v>
      </c>
      <c r="AH81" s="1648">
        <f>qtrSales!$J125</f>
        <v>3666</v>
      </c>
      <c r="AI81" s="1648">
        <f>qtrSales!$J126</f>
        <v>3677</v>
      </c>
      <c r="AJ81" s="1648">
        <f>qtrSales!$J127</f>
        <v>3590</v>
      </c>
      <c r="AK81" s="1253"/>
      <c r="AL81" s="1648">
        <f>qtrSales!$J131</f>
        <v>3559</v>
      </c>
      <c r="AM81" s="1648">
        <f>qtrSales!$J132</f>
        <v>3519</v>
      </c>
      <c r="AN81" s="1648">
        <f>qtrSales!$J133</f>
        <v>3534</v>
      </c>
      <c r="AO81" s="1648">
        <f>qtrSales!$J134</f>
        <v>3766</v>
      </c>
      <c r="AP81" s="1253"/>
      <c r="AQ81" s="1648">
        <f>qtrSales!$J138</f>
        <v>3736</v>
      </c>
      <c r="AR81" s="1648">
        <f>qtrSales!$J139</f>
        <v>2854</v>
      </c>
      <c r="AS81" s="1648">
        <f>qtrSales!$J140</f>
        <v>2918</v>
      </c>
      <c r="AT81" s="1648">
        <f>qtrSales!$J141</f>
        <v>2926</v>
      </c>
      <c r="AU81" s="1253"/>
      <c r="AV81" s="1648">
        <f>qtrSales!$J145</f>
        <v>2974</v>
      </c>
      <c r="AW81" s="1648">
        <f>qtrSales!$J146</f>
        <v>2992</v>
      </c>
      <c r="AX81" s="1648">
        <f>qtrSales!$J147</f>
        <v>3021</v>
      </c>
      <c r="AY81" s="1648">
        <f>qtrSales!$J148</f>
        <v>3014</v>
      </c>
      <c r="AZ81" s="1253"/>
      <c r="BA81" s="1648">
        <f>qtrSales!$J152</f>
        <v>3008</v>
      </c>
      <c r="BB81" s="1648">
        <f>qtrSales!$J153</f>
        <v>3009</v>
      </c>
      <c r="BC81" s="1648">
        <f>qtrSales!$J154</f>
        <v>3025</v>
      </c>
      <c r="BD81" s="1648">
        <f>qtrSales!$J155</f>
        <v>2971</v>
      </c>
      <c r="BE81" s="1253"/>
      <c r="BF81" s="1648">
        <f>qtrSales!$J159</f>
        <v>2969</v>
      </c>
      <c r="BG81" s="1648">
        <f>qtrSales!$J160</f>
        <v>2969</v>
      </c>
      <c r="BH81" s="1648">
        <f>qtrSales!$J161</f>
        <v>2988</v>
      </c>
      <c r="BI81" s="1648">
        <f>qtrSales!$J162</f>
        <v>2968</v>
      </c>
      <c r="BJ81" s="1253"/>
      <c r="BK81" s="1648">
        <f>qtrSales!$J166</f>
        <v>2956</v>
      </c>
      <c r="BL81" s="1648">
        <f>qtrSales!$J167</f>
        <v>2951</v>
      </c>
      <c r="BM81" s="1648">
        <f>qtrSales!$J168</f>
        <v>2959</v>
      </c>
      <c r="BN81" s="1648">
        <f>qtrSales!$J169</f>
        <v>2941</v>
      </c>
      <c r="BO81" s="1253"/>
      <c r="BP81" s="1642">
        <f>qtrSales!$J173</f>
        <v>2899</v>
      </c>
      <c r="BQ81" s="1642">
        <f>qtrSales!$J174</f>
        <v>2893</v>
      </c>
      <c r="BR81" s="1642">
        <f>qtrSales!$J175</f>
        <v>2889</v>
      </c>
      <c r="BS81" s="1642">
        <f>qtrSales!$J176</f>
        <v>2878</v>
      </c>
      <c r="BT81" s="1642"/>
      <c r="BU81" s="1642">
        <f>qtrSales!$J180</f>
        <v>2878</v>
      </c>
      <c r="BV81" s="1642">
        <f>qtrSales!$J181</f>
        <v>2894</v>
      </c>
      <c r="BW81" s="1642">
        <f>qtrSales!$J182</f>
        <v>2932</v>
      </c>
      <c r="BX81" s="1642">
        <f>qtrSales!$J183</f>
        <v>2923</v>
      </c>
      <c r="BY81" s="1642"/>
      <c r="BZ81" s="1642">
        <f>qtrSales!$J187</f>
        <v>2923</v>
      </c>
      <c r="CA81" s="1642">
        <f>qtrSales!$J188</f>
        <v>2942</v>
      </c>
      <c r="CB81" s="1642">
        <f>qtrSales!$J189</f>
        <v>2971</v>
      </c>
      <c r="CC81" s="1642">
        <f>qtrSales!$J190</f>
        <v>2969</v>
      </c>
      <c r="CD81" s="1642"/>
      <c r="CE81" s="1642">
        <f>qtrSales!$J187</f>
        <v>2923</v>
      </c>
      <c r="CF81" s="1642">
        <f>qtrSales!$J188</f>
        <v>2942</v>
      </c>
      <c r="CG81" s="1642">
        <f>qtrSales!$J189</f>
        <v>2971</v>
      </c>
      <c r="CH81" s="1642">
        <f>qtrSales!$J190</f>
        <v>2969</v>
      </c>
      <c r="CI81" s="1642"/>
      <c r="CJ81" s="1642">
        <f>qtrSales!$J187</f>
        <v>2923</v>
      </c>
      <c r="CK81" s="1642">
        <f>qtrSales!$J188</f>
        <v>2942</v>
      </c>
      <c r="CL81" s="1642">
        <f>qtrSales!$J189</f>
        <v>2971</v>
      </c>
      <c r="CM81" s="1642">
        <f>qtrSales!$J190</f>
        <v>2969</v>
      </c>
      <c r="CN81" s="1642"/>
      <c r="CO81" s="1642">
        <f>qtrSales!$J187</f>
        <v>2923</v>
      </c>
      <c r="CP81" s="1642">
        <f>qtrSales!$J188</f>
        <v>2942</v>
      </c>
      <c r="CQ81" s="1642">
        <f>qtrSales!$J189</f>
        <v>2971</v>
      </c>
      <c r="CR81" s="1642">
        <f>qtrSales!$J190</f>
        <v>2969</v>
      </c>
      <c r="CS81" s="1642"/>
      <c r="CT81" s="1642">
        <f>qtrSales!$J187</f>
        <v>2923</v>
      </c>
      <c r="CU81" s="1642">
        <f>qtrSales!$J188</f>
        <v>2942</v>
      </c>
      <c r="CV81" s="1642">
        <f>qtrSales!$J189</f>
        <v>2971</v>
      </c>
      <c r="CW81" s="1642">
        <f>qtrSales!$J190</f>
        <v>2969</v>
      </c>
      <c r="CX81" s="1642"/>
      <c r="CY81" s="1253"/>
      <c r="CZ81" s="1253"/>
      <c r="DA81" s="1253"/>
      <c r="DB81" s="1253"/>
      <c r="DC81" s="1253"/>
      <c r="DD81" s="1648">
        <f t="shared" ref="DD81:DS81" si="48">DD54</f>
        <v>4614</v>
      </c>
      <c r="DE81" s="1648">
        <f t="shared" si="48"/>
        <v>4036</v>
      </c>
      <c r="DF81" s="1648">
        <f t="shared" si="48"/>
        <v>3911</v>
      </c>
      <c r="DG81" s="1648">
        <f t="shared" si="48"/>
        <v>3779</v>
      </c>
      <c r="DH81" s="1648">
        <f t="shared" si="48"/>
        <v>3590</v>
      </c>
      <c r="DI81" s="1648">
        <f t="shared" si="48"/>
        <v>3766</v>
      </c>
      <c r="DJ81" s="1648">
        <f t="shared" si="48"/>
        <v>2926</v>
      </c>
      <c r="DK81" s="1648">
        <f t="shared" si="48"/>
        <v>3014</v>
      </c>
      <c r="DL81" s="1648">
        <f t="shared" si="48"/>
        <v>2971</v>
      </c>
      <c r="DM81" s="1648">
        <f t="shared" si="48"/>
        <v>2968</v>
      </c>
      <c r="DN81" s="1648">
        <f t="shared" si="48"/>
        <v>2941</v>
      </c>
      <c r="DO81" s="1648">
        <f t="shared" si="48"/>
        <v>2876</v>
      </c>
      <c r="DP81" s="1648">
        <f t="shared" si="48"/>
        <v>2918</v>
      </c>
      <c r="DQ81" s="1648">
        <f t="shared" si="48"/>
        <v>2969</v>
      </c>
      <c r="DR81" s="1648"/>
      <c r="DS81" s="1648">
        <f t="shared" si="48"/>
        <v>3074</v>
      </c>
      <c r="DT81" s="1648">
        <f>DT54</f>
        <v>3021</v>
      </c>
      <c r="DU81" s="1648">
        <f>DU54</f>
        <v>3045</v>
      </c>
      <c r="DV81" s="1648">
        <f>DV54</f>
        <v>3040</v>
      </c>
      <c r="DW81" s="1648">
        <f>DW54</f>
        <v>3035</v>
      </c>
      <c r="DX81" s="1648"/>
    </row>
    <row r="82" spans="1:134" outlineLevel="1">
      <c r="A82" s="1657" t="s">
        <v>570</v>
      </c>
      <c r="B82" s="1658"/>
      <c r="C82" s="1425"/>
      <c r="D82" s="1425"/>
      <c r="E82" s="1425"/>
      <c r="F82" s="1425"/>
      <c r="G82" s="1479"/>
      <c r="H82" s="1425"/>
      <c r="I82" s="1425"/>
      <c r="J82" s="1425"/>
      <c r="K82" s="1425"/>
      <c r="L82" s="1425"/>
      <c r="M82" s="1545">
        <f>$DD$82</f>
        <v>0.39299999999999996</v>
      </c>
      <c r="N82" s="1545">
        <f>$DD$82</f>
        <v>0.39299999999999996</v>
      </c>
      <c r="O82" s="1545">
        <f>$DD$82</f>
        <v>0.39299999999999996</v>
      </c>
      <c r="P82" s="1545">
        <f>$DD$82</f>
        <v>0.39299999999999996</v>
      </c>
      <c r="Q82" s="1662"/>
      <c r="R82" s="1662">
        <f>$DE$82</f>
        <v>0.39299999999999996</v>
      </c>
      <c r="S82" s="1662">
        <f>$DE$82</f>
        <v>0.39299999999999996</v>
      </c>
      <c r="T82" s="1662">
        <f>$DE$82</f>
        <v>0.39299999999999996</v>
      </c>
      <c r="U82" s="1662">
        <f>$DE$82</f>
        <v>0.39299999999999996</v>
      </c>
      <c r="V82" s="1662"/>
      <c r="W82" s="1662">
        <f>$DF$82</f>
        <v>0.38500000000000001</v>
      </c>
      <c r="X82" s="1662">
        <f>$DF$82</f>
        <v>0.38500000000000001</v>
      </c>
      <c r="Y82" s="1662">
        <f>$DF$82</f>
        <v>0.38500000000000001</v>
      </c>
      <c r="Z82" s="1662">
        <f>$DF$82</f>
        <v>0.38500000000000001</v>
      </c>
      <c r="AA82" s="1662"/>
      <c r="AB82" s="1662">
        <f>$DG$82</f>
        <v>0.39199999999999996</v>
      </c>
      <c r="AC82" s="1662">
        <f>$DG$82</f>
        <v>0.39199999999999996</v>
      </c>
      <c r="AD82" s="1662">
        <f>$DG$82</f>
        <v>0.39199999999999996</v>
      </c>
      <c r="AE82" s="1662">
        <f>$DG$82</f>
        <v>0.39199999999999996</v>
      </c>
      <c r="AF82" s="1662"/>
      <c r="AG82" s="1662">
        <f>$DH$82</f>
        <v>0.38500000000000001</v>
      </c>
      <c r="AH82" s="1662">
        <f>$DH$82</f>
        <v>0.38500000000000001</v>
      </c>
      <c r="AI82" s="1662">
        <f>$DH$82</f>
        <v>0.38500000000000001</v>
      </c>
      <c r="AJ82" s="1662">
        <f>$DH$82</f>
        <v>0.38500000000000001</v>
      </c>
      <c r="AK82" s="1662"/>
      <c r="AL82" s="1662">
        <f>$DI$82</f>
        <v>0.38466832383968314</v>
      </c>
      <c r="AM82" s="1662">
        <f>$DI$82</f>
        <v>0.38466832383968314</v>
      </c>
      <c r="AN82" s="1662">
        <f>$DI$82</f>
        <v>0.38466832383968314</v>
      </c>
      <c r="AO82" s="1662">
        <f>$DI$82</f>
        <v>0.38466832383968314</v>
      </c>
      <c r="AP82" s="1662"/>
      <c r="AQ82" s="1662">
        <f>$DJ$82</f>
        <v>0.38963561340853853</v>
      </c>
      <c r="AR82" s="1662">
        <f>$DJ$82</f>
        <v>0.38963561340853853</v>
      </c>
      <c r="AS82" s="1662">
        <f>$DJ$82</f>
        <v>0.38963561340853853</v>
      </c>
      <c r="AT82" s="1662">
        <f>$DJ$82</f>
        <v>0.38963561340853853</v>
      </c>
      <c r="AU82" s="1662"/>
      <c r="AV82" s="1662">
        <f>$DK$82</f>
        <v>0.37878233713618509</v>
      </c>
      <c r="AW82" s="1662">
        <f>$DK$82</f>
        <v>0.37878233713618509</v>
      </c>
      <c r="AX82" s="1662">
        <f>$DK$82</f>
        <v>0.37878233713618509</v>
      </c>
      <c r="AY82" s="1662">
        <f>$DK$82</f>
        <v>0.37878233713618509</v>
      </c>
      <c r="AZ82" s="1662"/>
      <c r="BA82" s="1662">
        <f>$DL$82</f>
        <v>0.37298324796568999</v>
      </c>
      <c r="BB82" s="1662">
        <f>$DL$82</f>
        <v>0.37298324796568999</v>
      </c>
      <c r="BC82" s="1662">
        <f>$DL$82</f>
        <v>0.37298324796568999</v>
      </c>
      <c r="BD82" s="1662">
        <f>$DL$82</f>
        <v>0.37298324796568999</v>
      </c>
      <c r="BE82" s="1662"/>
      <c r="BF82" s="1662">
        <f>$DM$82</f>
        <v>0.37947446433347054</v>
      </c>
      <c r="BG82" s="1662">
        <f>$DM$82</f>
        <v>0.37947446433347054</v>
      </c>
      <c r="BH82" s="1662">
        <f>$DM$82</f>
        <v>0.37947446433347054</v>
      </c>
      <c r="BI82" s="1662">
        <f>$DM$82</f>
        <v>0.37947446433347054</v>
      </c>
      <c r="BJ82" s="1662"/>
      <c r="BK82" s="1662">
        <f>$DN$82</f>
        <v>0.37215717271623255</v>
      </c>
      <c r="BL82" s="1662">
        <f>$DN$82</f>
        <v>0.37215717271623255</v>
      </c>
      <c r="BM82" s="1662">
        <f>$DN$82</f>
        <v>0.37215717271623255</v>
      </c>
      <c r="BN82" s="1662">
        <f>$DN$82</f>
        <v>0.37215717271623255</v>
      </c>
      <c r="BO82" s="1662"/>
      <c r="BP82" s="1658">
        <f>$DN$82</f>
        <v>0.37215717271623255</v>
      </c>
      <c r="BQ82" s="1658">
        <f>$DN$82</f>
        <v>0.37215717271623255</v>
      </c>
      <c r="BR82" s="1658">
        <f>$DN$82</f>
        <v>0.37215717271623255</v>
      </c>
      <c r="BS82" s="1658">
        <f>$DN$82</f>
        <v>0.37215717271623255</v>
      </c>
      <c r="BT82" s="1658">
        <f t="shared" ref="BT82:CR82" si="49">$DN$82</f>
        <v>0.37215717271623255</v>
      </c>
      <c r="BU82" s="1658">
        <f t="shared" si="49"/>
        <v>0.37215717271623255</v>
      </c>
      <c r="BV82" s="1658">
        <f t="shared" si="49"/>
        <v>0.37215717271623255</v>
      </c>
      <c r="BW82" s="1658">
        <f t="shared" si="49"/>
        <v>0.37215717271623255</v>
      </c>
      <c r="BX82" s="1658">
        <f t="shared" si="49"/>
        <v>0.37215717271623255</v>
      </c>
      <c r="BY82" s="1658"/>
      <c r="BZ82" s="1658">
        <f t="shared" si="49"/>
        <v>0.37215717271623255</v>
      </c>
      <c r="CA82" s="1658">
        <f t="shared" si="49"/>
        <v>0.37215717271623255</v>
      </c>
      <c r="CB82" s="1658">
        <f t="shared" si="49"/>
        <v>0.37215717271623255</v>
      </c>
      <c r="CC82" s="1658">
        <f t="shared" si="49"/>
        <v>0.37215717271623255</v>
      </c>
      <c r="CD82" s="1658"/>
      <c r="CE82" s="1658">
        <f t="shared" si="49"/>
        <v>0.37215717271623255</v>
      </c>
      <c r="CF82" s="1658">
        <f t="shared" si="49"/>
        <v>0.37215717271623255</v>
      </c>
      <c r="CG82" s="1658">
        <f t="shared" si="49"/>
        <v>0.37215717271623255</v>
      </c>
      <c r="CH82" s="1658">
        <f t="shared" si="49"/>
        <v>0.37215717271623255</v>
      </c>
      <c r="CI82" s="1658"/>
      <c r="CJ82" s="1658">
        <f t="shared" si="49"/>
        <v>0.37215717271623255</v>
      </c>
      <c r="CK82" s="1658">
        <f t="shared" si="49"/>
        <v>0.37215717271623255</v>
      </c>
      <c r="CL82" s="1658">
        <f t="shared" si="49"/>
        <v>0.37215717271623255</v>
      </c>
      <c r="CM82" s="1658">
        <f t="shared" si="49"/>
        <v>0.37215717271623255</v>
      </c>
      <c r="CN82" s="1658"/>
      <c r="CO82" s="1658">
        <f t="shared" si="49"/>
        <v>0.37215717271623255</v>
      </c>
      <c r="CP82" s="1658">
        <f t="shared" si="49"/>
        <v>0.37215717271623255</v>
      </c>
      <c r="CQ82" s="1658">
        <f t="shared" si="49"/>
        <v>0.37215717271623255</v>
      </c>
      <c r="CR82" s="1658">
        <f t="shared" si="49"/>
        <v>0.37215717271623255</v>
      </c>
      <c r="CS82" s="1658"/>
      <c r="CT82" s="1658">
        <f>+CT41</f>
        <v>0.27</v>
      </c>
      <c r="CU82" s="1658">
        <f t="shared" ref="CU82:CW82" si="50">+CU41</f>
        <v>0.27</v>
      </c>
      <c r="CV82" s="1658">
        <f t="shared" si="50"/>
        <v>0.27</v>
      </c>
      <c r="CW82" s="1658">
        <f t="shared" si="50"/>
        <v>0.27</v>
      </c>
      <c r="CX82" s="1658"/>
      <c r="CY82" s="1662"/>
      <c r="CZ82" s="1662"/>
      <c r="DA82" s="1662"/>
      <c r="DB82" s="1662"/>
      <c r="DC82" s="1662"/>
      <c r="DD82" s="1545">
        <f>DD83+DD84</f>
        <v>0.39299999999999996</v>
      </c>
      <c r="DE82" s="1545">
        <f>DE83+DE84</f>
        <v>0.39299999999999996</v>
      </c>
      <c r="DF82" s="1545">
        <f>DF83+DF84</f>
        <v>0.38500000000000001</v>
      </c>
      <c r="DG82" s="1545">
        <f>DG83+DG84</f>
        <v>0.39199999999999996</v>
      </c>
      <c r="DH82" s="1545">
        <f>DH83+DH84</f>
        <v>0.38500000000000001</v>
      </c>
      <c r="DI82" s="1545">
        <f>'yrP&amp;L'!R54</f>
        <v>0.38466832383968314</v>
      </c>
      <c r="DJ82" s="1545">
        <f>'yrP&amp;L'!S54</f>
        <v>0.38963561340853853</v>
      </c>
      <c r="DK82" s="1545">
        <f>'yrP&amp;L'!T54</f>
        <v>0.37878233713618509</v>
      </c>
      <c r="DL82" s="1545">
        <f>'yrP&amp;L'!U54</f>
        <v>0.37298324796568999</v>
      </c>
      <c r="DM82" s="1545">
        <f>'yrP&amp;L'!V54</f>
        <v>0.37947446433347054</v>
      </c>
      <c r="DN82" s="1545">
        <f>'yrP&amp;L'!W54</f>
        <v>0.37215717271623255</v>
      </c>
      <c r="DO82" s="1545">
        <f>'yrP&amp;L'!X54</f>
        <v>0.38178523072445264</v>
      </c>
      <c r="DP82" s="1545">
        <f>'yrP&amp;L'!Y54</f>
        <v>0.37544704639876569</v>
      </c>
      <c r="DQ82" s="1545">
        <f>'yrP&amp;L'!Z54</f>
        <v>0.3629430328284769</v>
      </c>
      <c r="DR82" s="1545"/>
      <c r="DS82" s="1545">
        <f>'yrP&amp;L'!AB54</f>
        <v>0.34253284938318046</v>
      </c>
      <c r="DT82" s="1545">
        <f>'yrP&amp;L'!AC54</f>
        <v>0.32262770495789195</v>
      </c>
      <c r="DU82" s="1545">
        <f>'yrP&amp;L'!AD54</f>
        <v>0.27000000000000024</v>
      </c>
      <c r="DV82" s="1545">
        <f>'yrP&amp;L'!AE54</f>
        <v>0.27</v>
      </c>
      <c r="DW82" s="1545">
        <f>'yrP&amp;L'!AF54</f>
        <v>0.27</v>
      </c>
      <c r="DX82" s="1545"/>
    </row>
    <row r="83" spans="1:134" outlineLevel="1">
      <c r="A83" s="1660" t="s">
        <v>571</v>
      </c>
      <c r="B83" s="1658"/>
      <c r="M83" s="1545">
        <f>$DD$83</f>
        <v>0.35</v>
      </c>
      <c r="N83" s="1545">
        <f>$DD$83</f>
        <v>0.35</v>
      </c>
      <c r="O83" s="1545">
        <f>$DD$83</f>
        <v>0.35</v>
      </c>
      <c r="P83" s="1545">
        <f>$DD$83</f>
        <v>0.35</v>
      </c>
      <c r="Q83" s="1662"/>
      <c r="R83" s="1662">
        <f>$DE$83</f>
        <v>0.35</v>
      </c>
      <c r="S83" s="1662">
        <f>$DE$83</f>
        <v>0.35</v>
      </c>
      <c r="T83" s="1662">
        <f>$DE$83</f>
        <v>0.35</v>
      </c>
      <c r="U83" s="1662">
        <f>$DE$83</f>
        <v>0.35</v>
      </c>
      <c r="V83" s="1662"/>
      <c r="W83" s="1662">
        <f>$DF$83</f>
        <v>0.35</v>
      </c>
      <c r="X83" s="1662">
        <f>$DF$83</f>
        <v>0.35</v>
      </c>
      <c r="Y83" s="1662">
        <f>$DF$83</f>
        <v>0.35</v>
      </c>
      <c r="Z83" s="1662">
        <f>$DF$83</f>
        <v>0.35</v>
      </c>
      <c r="AA83" s="1662"/>
      <c r="AB83" s="1662">
        <f>$DG$83</f>
        <v>0.35</v>
      </c>
      <c r="AC83" s="1662">
        <f>$DG$83</f>
        <v>0.35</v>
      </c>
      <c r="AD83" s="1662">
        <f>$DG$83</f>
        <v>0.35</v>
      </c>
      <c r="AE83" s="1662">
        <f>$DG$83</f>
        <v>0.35</v>
      </c>
      <c r="AF83" s="1662"/>
      <c r="AG83" s="1662">
        <f>$DH$83</f>
        <v>0.35</v>
      </c>
      <c r="AH83" s="1662">
        <f>$DH$83</f>
        <v>0.35</v>
      </c>
      <c r="AI83" s="1662">
        <f>$DH$83</f>
        <v>0.35</v>
      </c>
      <c r="AJ83" s="1662">
        <f>$DH$83</f>
        <v>0.35</v>
      </c>
      <c r="AK83" s="1662"/>
      <c r="AL83" s="1662">
        <f>$DI$83</f>
        <v>0.35</v>
      </c>
      <c r="AM83" s="1662">
        <f>$DI$83</f>
        <v>0.35</v>
      </c>
      <c r="AN83" s="1662">
        <f>$DI$83</f>
        <v>0.35</v>
      </c>
      <c r="AO83" s="1662">
        <f>$DI$83</f>
        <v>0.35</v>
      </c>
      <c r="AP83" s="1662"/>
      <c r="AQ83" s="1662">
        <f>$DJ$83</f>
        <v>0.35</v>
      </c>
      <c r="AR83" s="1662">
        <f>$DJ$83</f>
        <v>0.35</v>
      </c>
      <c r="AS83" s="1662">
        <f>$DJ$83</f>
        <v>0.35</v>
      </c>
      <c r="AT83" s="1662">
        <f>$DJ$83</f>
        <v>0.35</v>
      </c>
      <c r="AU83" s="1662"/>
      <c r="AV83" s="1662">
        <f>$DK$83</f>
        <v>0.35</v>
      </c>
      <c r="AW83" s="1662">
        <f>$DK$83</f>
        <v>0.35</v>
      </c>
      <c r="AX83" s="1662">
        <f>$DK$83</f>
        <v>0.35</v>
      </c>
      <c r="AY83" s="1662">
        <f>$DK$83</f>
        <v>0.35</v>
      </c>
      <c r="AZ83" s="1662"/>
      <c r="BA83" s="1662">
        <f>$DL$83</f>
        <v>0.35</v>
      </c>
      <c r="BB83" s="1662">
        <f>$DL$83</f>
        <v>0.35</v>
      </c>
      <c r="BC83" s="1662">
        <f>$DL$83</f>
        <v>0.35</v>
      </c>
      <c r="BD83" s="1662">
        <f>$DL$83</f>
        <v>0.35</v>
      </c>
      <c r="BE83" s="1662"/>
      <c r="BF83" s="1662">
        <f t="shared" ref="BF83:CR83" si="51">$DL$83</f>
        <v>0.35</v>
      </c>
      <c r="BG83" s="1662">
        <f t="shared" si="51"/>
        <v>0.35</v>
      </c>
      <c r="BH83" s="1662">
        <f t="shared" si="51"/>
        <v>0.35</v>
      </c>
      <c r="BI83" s="1662">
        <f t="shared" si="51"/>
        <v>0.35</v>
      </c>
      <c r="BJ83" s="1662"/>
      <c r="BK83" s="1662">
        <f t="shared" si="51"/>
        <v>0.35</v>
      </c>
      <c r="BL83" s="1662">
        <f t="shared" si="51"/>
        <v>0.35</v>
      </c>
      <c r="BM83" s="1662">
        <f>$DL$83</f>
        <v>0.35</v>
      </c>
      <c r="BN83" s="1662">
        <f t="shared" si="51"/>
        <v>0.35</v>
      </c>
      <c r="BO83" s="1662"/>
      <c r="BP83" s="1662">
        <f t="shared" si="51"/>
        <v>0.35</v>
      </c>
      <c r="BQ83" s="1662">
        <f t="shared" si="51"/>
        <v>0.35</v>
      </c>
      <c r="BR83" s="1662">
        <f t="shared" si="51"/>
        <v>0.35</v>
      </c>
      <c r="BS83" s="1662">
        <f t="shared" si="51"/>
        <v>0.35</v>
      </c>
      <c r="BT83" s="1662">
        <f t="shared" si="51"/>
        <v>0.35</v>
      </c>
      <c r="BU83" s="1662">
        <f t="shared" si="51"/>
        <v>0.35</v>
      </c>
      <c r="BV83" s="1662">
        <f t="shared" si="51"/>
        <v>0.35</v>
      </c>
      <c r="BW83" s="1662">
        <f t="shared" si="51"/>
        <v>0.35</v>
      </c>
      <c r="BX83" s="1662">
        <f t="shared" si="51"/>
        <v>0.35</v>
      </c>
      <c r="BY83" s="1662"/>
      <c r="BZ83" s="1662">
        <f t="shared" si="51"/>
        <v>0.35</v>
      </c>
      <c r="CA83" s="1662">
        <f t="shared" si="51"/>
        <v>0.35</v>
      </c>
      <c r="CB83" s="1662">
        <f t="shared" si="51"/>
        <v>0.35</v>
      </c>
      <c r="CC83" s="1662">
        <f t="shared" si="51"/>
        <v>0.35</v>
      </c>
      <c r="CD83" s="1662"/>
      <c r="CE83" s="1662">
        <f t="shared" si="51"/>
        <v>0.35</v>
      </c>
      <c r="CF83" s="1662">
        <f t="shared" si="51"/>
        <v>0.35</v>
      </c>
      <c r="CG83" s="1662">
        <f t="shared" si="51"/>
        <v>0.35</v>
      </c>
      <c r="CH83" s="1662">
        <f t="shared" si="51"/>
        <v>0.35</v>
      </c>
      <c r="CI83" s="1662"/>
      <c r="CJ83" s="1662">
        <f t="shared" si="51"/>
        <v>0.35</v>
      </c>
      <c r="CK83" s="1662">
        <f t="shared" si="51"/>
        <v>0.35</v>
      </c>
      <c r="CL83" s="1662">
        <f t="shared" si="51"/>
        <v>0.35</v>
      </c>
      <c r="CM83" s="1662">
        <f t="shared" si="51"/>
        <v>0.35</v>
      </c>
      <c r="CN83" s="1662"/>
      <c r="CO83" s="1662">
        <f t="shared" si="51"/>
        <v>0.35</v>
      </c>
      <c r="CP83" s="1662">
        <f t="shared" si="51"/>
        <v>0.35</v>
      </c>
      <c r="CQ83" s="1662">
        <f t="shared" si="51"/>
        <v>0.35</v>
      </c>
      <c r="CR83" s="1662">
        <f t="shared" si="51"/>
        <v>0.35</v>
      </c>
      <c r="CS83" s="1662"/>
      <c r="CT83" s="1662">
        <v>0.21</v>
      </c>
      <c r="CU83" s="1662">
        <v>0.21</v>
      </c>
      <c r="CV83" s="1662">
        <v>0.21</v>
      </c>
      <c r="CW83" s="1662">
        <v>0.21</v>
      </c>
      <c r="CX83" s="1658"/>
      <c r="CY83" s="1662"/>
      <c r="CZ83" s="1662"/>
      <c r="DA83" s="1662"/>
      <c r="DB83" s="1662"/>
      <c r="DC83" s="1662"/>
      <c r="DD83" s="1545">
        <v>0.35</v>
      </c>
      <c r="DE83" s="1545">
        <v>0.35</v>
      </c>
      <c r="DF83" s="1545">
        <v>0.35</v>
      </c>
      <c r="DG83" s="1545">
        <v>0.35</v>
      </c>
      <c r="DH83" s="1545">
        <v>0.35</v>
      </c>
      <c r="DI83" s="1545">
        <v>0.35</v>
      </c>
      <c r="DJ83" s="1545">
        <v>0.35</v>
      </c>
      <c r="DK83" s="1545">
        <v>0.35</v>
      </c>
      <c r="DL83" s="1545">
        <v>0.35</v>
      </c>
      <c r="DM83" s="1545">
        <v>0.35</v>
      </c>
      <c r="DN83" s="1545">
        <v>0.35</v>
      </c>
      <c r="DO83" s="1545">
        <v>0.35</v>
      </c>
      <c r="DP83" s="1545">
        <v>0.35</v>
      </c>
      <c r="DQ83" s="1545">
        <v>0.35</v>
      </c>
      <c r="DR83" s="1545"/>
      <c r="DS83" s="1545">
        <v>0.35</v>
      </c>
      <c r="DT83" s="1545">
        <v>0.35</v>
      </c>
      <c r="DU83" s="1545">
        <v>0.35</v>
      </c>
      <c r="DV83" s="1545">
        <v>0.35</v>
      </c>
      <c r="DW83" s="1545">
        <v>0.35</v>
      </c>
      <c r="DX83" s="1545"/>
    </row>
    <row r="84" spans="1:134" outlineLevel="1">
      <c r="A84" s="1660" t="s">
        <v>572</v>
      </c>
      <c r="B84" s="1602"/>
      <c r="M84" s="1545">
        <f>$DD$84</f>
        <v>4.2999999999999997E-2</v>
      </c>
      <c r="N84" s="1545">
        <f>$DD$84</f>
        <v>4.2999999999999997E-2</v>
      </c>
      <c r="O84" s="1545">
        <f>$DD$84</f>
        <v>4.2999999999999997E-2</v>
      </c>
      <c r="P84" s="1545">
        <f>$DD$84</f>
        <v>4.2999999999999997E-2</v>
      </c>
      <c r="Q84" s="1662"/>
      <c r="R84" s="1662">
        <f>$DE$84</f>
        <v>4.2999999999999997E-2</v>
      </c>
      <c r="S84" s="1662">
        <f>$DE$84</f>
        <v>4.2999999999999997E-2</v>
      </c>
      <c r="T84" s="1662">
        <f>$DE$84</f>
        <v>4.2999999999999997E-2</v>
      </c>
      <c r="U84" s="1662">
        <f>$DE$84</f>
        <v>4.2999999999999997E-2</v>
      </c>
      <c r="V84" s="1662"/>
      <c r="W84" s="1662">
        <f>$DF$84</f>
        <v>3.5000000000000003E-2</v>
      </c>
      <c r="X84" s="1662">
        <f>$DF$84</f>
        <v>3.5000000000000003E-2</v>
      </c>
      <c r="Y84" s="1662">
        <f>$DF$84</f>
        <v>3.5000000000000003E-2</v>
      </c>
      <c r="Z84" s="1662">
        <f>$DF$84</f>
        <v>3.5000000000000003E-2</v>
      </c>
      <c r="AA84" s="1662"/>
      <c r="AB84" s="1662">
        <f>$DG$84</f>
        <v>4.2000000000000003E-2</v>
      </c>
      <c r="AC84" s="1662">
        <f>$DG$84</f>
        <v>4.2000000000000003E-2</v>
      </c>
      <c r="AD84" s="1662">
        <f>$DG$84</f>
        <v>4.2000000000000003E-2</v>
      </c>
      <c r="AE84" s="1662">
        <f>$DG$84</f>
        <v>4.2000000000000003E-2</v>
      </c>
      <c r="AF84" s="1662"/>
      <c r="AG84" s="1662">
        <f>$DH$84</f>
        <v>3.5000000000000003E-2</v>
      </c>
      <c r="AH84" s="1662">
        <f>$DH$84</f>
        <v>3.5000000000000003E-2</v>
      </c>
      <c r="AI84" s="1662">
        <f>$DH$84</f>
        <v>3.5000000000000003E-2</v>
      </c>
      <c r="AJ84" s="1662">
        <f>$DH$84</f>
        <v>3.5000000000000003E-2</v>
      </c>
      <c r="AK84" s="1662"/>
      <c r="AL84" s="1662">
        <f>$DI$84</f>
        <v>3.2000000000000001E-2</v>
      </c>
      <c r="AM84" s="1662">
        <f>$DI$84</f>
        <v>3.2000000000000001E-2</v>
      </c>
      <c r="AN84" s="1662">
        <f>$DI$84</f>
        <v>3.2000000000000001E-2</v>
      </c>
      <c r="AO84" s="1662">
        <f>$DI$84</f>
        <v>3.2000000000000001E-2</v>
      </c>
      <c r="AP84" s="1662"/>
      <c r="AQ84" s="1662">
        <f>$DJ$84</f>
        <v>3.5000000000000003E-2</v>
      </c>
      <c r="AR84" s="1662">
        <f>$DJ$84</f>
        <v>3.5000000000000003E-2</v>
      </c>
      <c r="AS84" s="1662">
        <f>$DJ$84</f>
        <v>3.5000000000000003E-2</v>
      </c>
      <c r="AT84" s="1662">
        <f>$DJ$84</f>
        <v>3.5000000000000003E-2</v>
      </c>
      <c r="AU84" s="1662"/>
      <c r="AV84" s="1662">
        <f>$DK$84</f>
        <v>0.05</v>
      </c>
      <c r="AW84" s="1662">
        <f>$DK$84</f>
        <v>0.05</v>
      </c>
      <c r="AX84" s="1662">
        <f>$DK$84</f>
        <v>0.05</v>
      </c>
      <c r="AY84" s="1662">
        <f>$DK$84</f>
        <v>0.05</v>
      </c>
      <c r="AZ84" s="1662"/>
      <c r="BA84" s="1662">
        <f>$DL$84</f>
        <v>3.6999999999999998E-2</v>
      </c>
      <c r="BB84" s="1662">
        <f>$DL$84</f>
        <v>3.6999999999999998E-2</v>
      </c>
      <c r="BC84" s="1662">
        <f>$DL$84</f>
        <v>3.6999999999999998E-2</v>
      </c>
      <c r="BD84" s="1662">
        <f>$DL$84</f>
        <v>3.6999999999999998E-2</v>
      </c>
      <c r="BE84" s="1662"/>
      <c r="BF84" s="1662">
        <f t="shared" ref="BF84:CW84" si="52">$DL$84</f>
        <v>3.6999999999999998E-2</v>
      </c>
      <c r="BG84" s="1662">
        <f t="shared" si="52"/>
        <v>3.6999999999999998E-2</v>
      </c>
      <c r="BH84" s="1662">
        <f t="shared" si="52"/>
        <v>3.6999999999999998E-2</v>
      </c>
      <c r="BI84" s="1662">
        <f t="shared" si="52"/>
        <v>3.6999999999999998E-2</v>
      </c>
      <c r="BJ84" s="1662"/>
      <c r="BK84" s="1662">
        <f t="shared" si="52"/>
        <v>3.6999999999999998E-2</v>
      </c>
      <c r="BL84" s="1662">
        <f t="shared" si="52"/>
        <v>3.6999999999999998E-2</v>
      </c>
      <c r="BM84" s="1662">
        <f t="shared" si="52"/>
        <v>3.6999999999999998E-2</v>
      </c>
      <c r="BN84" s="1662">
        <f t="shared" si="52"/>
        <v>3.6999999999999998E-2</v>
      </c>
      <c r="BO84" s="1662"/>
      <c r="BP84" s="1662">
        <f t="shared" si="52"/>
        <v>3.6999999999999998E-2</v>
      </c>
      <c r="BQ84" s="1662">
        <f t="shared" si="52"/>
        <v>3.6999999999999998E-2</v>
      </c>
      <c r="BR84" s="1662">
        <f t="shared" si="52"/>
        <v>3.6999999999999998E-2</v>
      </c>
      <c r="BS84" s="1662">
        <f t="shared" si="52"/>
        <v>3.6999999999999998E-2</v>
      </c>
      <c r="BT84" s="1662">
        <f t="shared" si="52"/>
        <v>3.6999999999999998E-2</v>
      </c>
      <c r="BU84" s="1662">
        <f t="shared" si="52"/>
        <v>3.6999999999999998E-2</v>
      </c>
      <c r="BV84" s="1662">
        <f t="shared" si="52"/>
        <v>3.6999999999999998E-2</v>
      </c>
      <c r="BW84" s="1662">
        <f t="shared" si="52"/>
        <v>3.6999999999999998E-2</v>
      </c>
      <c r="BX84" s="1662">
        <f t="shared" si="52"/>
        <v>3.6999999999999998E-2</v>
      </c>
      <c r="BY84" s="1662"/>
      <c r="BZ84" s="1662">
        <f t="shared" si="52"/>
        <v>3.6999999999999998E-2</v>
      </c>
      <c r="CA84" s="1662">
        <f t="shared" si="52"/>
        <v>3.6999999999999998E-2</v>
      </c>
      <c r="CB84" s="1662">
        <f t="shared" si="52"/>
        <v>3.6999999999999998E-2</v>
      </c>
      <c r="CC84" s="1662">
        <f t="shared" si="52"/>
        <v>3.6999999999999998E-2</v>
      </c>
      <c r="CD84" s="1662"/>
      <c r="CE84" s="1662">
        <f t="shared" si="52"/>
        <v>3.6999999999999998E-2</v>
      </c>
      <c r="CF84" s="1662">
        <f t="shared" si="52"/>
        <v>3.6999999999999998E-2</v>
      </c>
      <c r="CG84" s="1662">
        <f t="shared" si="52"/>
        <v>3.6999999999999998E-2</v>
      </c>
      <c r="CH84" s="1662">
        <f t="shared" si="52"/>
        <v>3.6999999999999998E-2</v>
      </c>
      <c r="CI84" s="1662"/>
      <c r="CJ84" s="1662">
        <f t="shared" si="52"/>
        <v>3.6999999999999998E-2</v>
      </c>
      <c r="CK84" s="1662">
        <f t="shared" si="52"/>
        <v>3.6999999999999998E-2</v>
      </c>
      <c r="CL84" s="1662">
        <f t="shared" si="52"/>
        <v>3.6999999999999998E-2</v>
      </c>
      <c r="CM84" s="1662">
        <f t="shared" si="52"/>
        <v>3.6999999999999998E-2</v>
      </c>
      <c r="CN84" s="1662"/>
      <c r="CO84" s="1662">
        <f t="shared" si="52"/>
        <v>3.6999999999999998E-2</v>
      </c>
      <c r="CP84" s="1662">
        <f t="shared" si="52"/>
        <v>3.6999999999999998E-2</v>
      </c>
      <c r="CQ84" s="1662">
        <f t="shared" si="52"/>
        <v>3.6999999999999998E-2</v>
      </c>
      <c r="CR84" s="1662">
        <f t="shared" si="52"/>
        <v>3.6999999999999998E-2</v>
      </c>
      <c r="CS84" s="1662"/>
      <c r="CT84" s="1662">
        <f t="shared" si="52"/>
        <v>3.6999999999999998E-2</v>
      </c>
      <c r="CU84" s="1662">
        <f t="shared" si="52"/>
        <v>3.6999999999999998E-2</v>
      </c>
      <c r="CV84" s="1662">
        <f t="shared" si="52"/>
        <v>3.6999999999999998E-2</v>
      </c>
      <c r="CW84" s="1662">
        <f t="shared" si="52"/>
        <v>3.6999999999999998E-2</v>
      </c>
      <c r="CX84" s="1658"/>
      <c r="CY84" s="1662"/>
      <c r="CZ84" s="1662"/>
      <c r="DA84" s="1662"/>
      <c r="DB84" s="1662"/>
      <c r="DC84" s="1662"/>
      <c r="DD84" s="1545">
        <v>4.2999999999999997E-2</v>
      </c>
      <c r="DE84" s="1545">
        <v>4.2999999999999997E-2</v>
      </c>
      <c r="DF84" s="1545">
        <v>3.5000000000000003E-2</v>
      </c>
      <c r="DG84" s="1545">
        <v>4.2000000000000003E-2</v>
      </c>
      <c r="DH84" s="1545">
        <v>3.5000000000000003E-2</v>
      </c>
      <c r="DI84" s="1545">
        <v>3.2000000000000001E-2</v>
      </c>
      <c r="DJ84" s="1545">
        <v>3.5000000000000003E-2</v>
      </c>
      <c r="DK84" s="1545">
        <v>0.05</v>
      </c>
      <c r="DL84" s="1545">
        <v>3.6999999999999998E-2</v>
      </c>
      <c r="DM84" s="1545">
        <v>3.6999999999999998E-2</v>
      </c>
      <c r="DN84" s="1545">
        <v>3.6999999999999998E-2</v>
      </c>
      <c r="DO84" s="1545">
        <v>3.6999999999999998E-2</v>
      </c>
      <c r="DP84" s="1545">
        <v>3.6999999999999998E-2</v>
      </c>
      <c r="DQ84" s="1545">
        <v>3.6999999999999998E-2</v>
      </c>
      <c r="DR84" s="1545"/>
      <c r="DS84" s="1545">
        <v>3.6999999999999998E-2</v>
      </c>
      <c r="DT84" s="1545">
        <v>3.6999999999999998E-2</v>
      </c>
      <c r="DU84" s="1545">
        <v>3.6999999999999998E-2</v>
      </c>
      <c r="DV84" s="1545">
        <v>3.6999999999999998E-2</v>
      </c>
      <c r="DW84" s="1545">
        <v>3.6999999999999998E-2</v>
      </c>
      <c r="DX84" s="1545"/>
    </row>
    <row r="85" spans="1:134">
      <c r="AC85" s="1253"/>
      <c r="AD85" s="1253"/>
      <c r="AE85" s="1253"/>
      <c r="AG85" s="1253"/>
      <c r="AH85" s="1253"/>
      <c r="AI85" s="1253"/>
      <c r="AJ85" s="1253"/>
      <c r="AL85" s="1253"/>
      <c r="AM85" s="1253"/>
      <c r="AN85" s="1253"/>
      <c r="AO85" s="1253"/>
      <c r="AP85" s="1253"/>
      <c r="AQ85" s="1253"/>
      <c r="AR85" s="1253"/>
      <c r="AS85" s="1253"/>
      <c r="AT85" s="1253"/>
      <c r="AU85" s="1253"/>
      <c r="AV85" s="1253"/>
      <c r="AW85" s="1253"/>
      <c r="AX85" s="1253"/>
      <c r="AY85" s="1253"/>
      <c r="AZ85" s="1253"/>
      <c r="BA85" s="1253"/>
      <c r="BB85" s="1253"/>
      <c r="BC85" s="1253"/>
      <c r="BD85" s="1253"/>
      <c r="BE85" s="1253"/>
      <c r="BF85" s="1253"/>
      <c r="BG85" s="1253"/>
      <c r="BH85" s="1253"/>
      <c r="BI85" s="1253"/>
      <c r="BJ85" s="1253"/>
      <c r="BK85" s="1253"/>
      <c r="BL85" s="1253"/>
      <c r="BM85" s="1253"/>
      <c r="BN85" s="1253"/>
      <c r="BO85" s="1253"/>
      <c r="BP85" s="1602"/>
      <c r="BQ85" s="1602"/>
      <c r="BR85" s="1602"/>
      <c r="BS85" s="1602"/>
      <c r="BT85" s="1602"/>
      <c r="BU85" s="1658"/>
      <c r="BX85" s="1602"/>
      <c r="BY85" s="1602"/>
      <c r="BZ85" s="1602"/>
      <c r="CA85" s="1602"/>
      <c r="CB85" s="1602"/>
      <c r="CC85" s="1602"/>
      <c r="CD85" s="1602"/>
      <c r="CE85" s="1602"/>
      <c r="CF85" s="1602"/>
      <c r="CG85" s="1602"/>
      <c r="CH85" s="1602"/>
      <c r="CI85" s="1602"/>
      <c r="CJ85" s="1602"/>
      <c r="CK85" s="1602"/>
      <c r="CL85" s="1602"/>
      <c r="CM85" s="1602"/>
      <c r="CN85" s="1602"/>
      <c r="CO85" s="1602"/>
      <c r="CP85" s="1602"/>
      <c r="CQ85" s="1602"/>
      <c r="CR85" s="1602"/>
      <c r="CS85" s="1602"/>
      <c r="CT85" s="1602"/>
      <c r="CU85" s="1602"/>
      <c r="CV85" s="1602"/>
      <c r="CW85" s="1602"/>
      <c r="CX85" s="1602"/>
      <c r="CY85" s="1253"/>
      <c r="CZ85" s="1253"/>
      <c r="DA85" s="1253"/>
      <c r="DB85" s="1253"/>
      <c r="DC85" s="1253"/>
      <c r="DD85" s="1253"/>
      <c r="DR85"/>
      <c r="DT85" s="1662"/>
    </row>
    <row r="86" spans="1:134">
      <c r="AC86" s="1253"/>
      <c r="AD86" s="1253"/>
      <c r="AE86" s="1253"/>
      <c r="AG86" s="1253"/>
      <c r="AH86" s="1253"/>
      <c r="AI86" s="1253"/>
      <c r="AJ86" s="1253"/>
      <c r="AL86" s="1253"/>
      <c r="AM86" s="1253"/>
      <c r="AN86" s="1253"/>
      <c r="AO86" s="1253"/>
      <c r="AP86" s="1253"/>
      <c r="AQ86" s="1253"/>
      <c r="AR86" s="1253"/>
      <c r="AS86" s="1253"/>
      <c r="AT86" s="1253"/>
      <c r="AU86" s="1253"/>
      <c r="AV86" s="1253"/>
      <c r="AW86" s="1253"/>
      <c r="AX86" s="1253"/>
      <c r="AY86" s="1253"/>
      <c r="AZ86" s="1253"/>
      <c r="BA86" s="1253"/>
      <c r="BB86" s="1253"/>
      <c r="BC86" s="1253"/>
      <c r="BD86" s="1253"/>
      <c r="BE86" s="1253"/>
      <c r="BF86" s="1253"/>
      <c r="BG86" s="1253"/>
      <c r="BH86" s="1253"/>
      <c r="BI86" s="1253"/>
      <c r="BJ86" s="1253"/>
      <c r="BK86" s="1253"/>
      <c r="BL86" s="1253"/>
      <c r="BM86" s="1253"/>
      <c r="BN86" s="1253"/>
      <c r="BO86" s="1253"/>
      <c r="BP86" s="1602"/>
      <c r="BQ86" s="1602"/>
      <c r="BR86" s="1602"/>
      <c r="BS86" s="1602"/>
      <c r="BT86" s="1602"/>
      <c r="BU86" s="1602"/>
      <c r="BV86" s="1602"/>
      <c r="BW86" s="1602"/>
      <c r="BX86" s="1602"/>
      <c r="BY86" s="1602"/>
      <c r="BZ86" s="1602"/>
      <c r="CA86" s="1602"/>
      <c r="CB86" s="1602"/>
      <c r="CC86" s="1602"/>
      <c r="CD86" s="1602"/>
      <c r="CE86" s="1602"/>
      <c r="CF86" s="1602"/>
      <c r="CG86" s="1602"/>
      <c r="CH86" s="1602"/>
      <c r="CI86" s="1602"/>
      <c r="CJ86" s="1602"/>
      <c r="CK86" s="1602"/>
      <c r="CL86" s="1602"/>
      <c r="CM86" s="1602"/>
      <c r="CN86" s="1602"/>
      <c r="CO86" s="1602"/>
      <c r="CP86" s="1602"/>
      <c r="CQ86" s="1602"/>
      <c r="CR86" s="1602"/>
      <c r="CS86" s="1602"/>
      <c r="CT86" s="1602"/>
      <c r="CU86" s="1602"/>
      <c r="CV86" s="1602"/>
      <c r="CW86" s="1602"/>
      <c r="CX86" s="1602"/>
      <c r="CY86" s="1253"/>
      <c r="CZ86" s="1253"/>
      <c r="DA86" s="1253"/>
      <c r="DB86" s="1253"/>
      <c r="DC86" s="1253"/>
      <c r="DD86" s="1253"/>
      <c r="DR86" s="1616"/>
    </row>
    <row r="87" spans="1:134">
      <c r="AC87" s="1253"/>
      <c r="AD87" s="1253"/>
      <c r="AE87" s="1253"/>
      <c r="AG87" s="1253"/>
      <c r="AH87" s="1253"/>
      <c r="AI87" s="1253"/>
      <c r="AJ87" s="1253"/>
      <c r="AL87" s="1253"/>
      <c r="AM87" s="1253"/>
      <c r="AN87" s="1253"/>
      <c r="AO87" s="1253"/>
      <c r="AP87" s="1253"/>
      <c r="AQ87" s="1253"/>
      <c r="AR87" s="1253"/>
      <c r="AS87" s="1253"/>
      <c r="AT87" s="1253"/>
      <c r="AU87" s="1253"/>
      <c r="AV87" s="1253"/>
      <c r="AW87" s="1253"/>
      <c r="AX87" s="1253"/>
      <c r="AY87" s="1253"/>
      <c r="AZ87" s="1253"/>
      <c r="BA87" s="1253"/>
      <c r="BB87" s="1253"/>
      <c r="BC87" s="1253"/>
      <c r="BD87" s="1253"/>
      <c r="BE87" s="1253"/>
      <c r="BF87" s="1253"/>
      <c r="BG87" s="1253"/>
      <c r="BH87" s="1253"/>
      <c r="BI87" s="1253"/>
      <c r="BJ87" s="1253"/>
      <c r="BK87" s="1253"/>
      <c r="BL87" s="1253"/>
      <c r="BM87" s="1253"/>
      <c r="BN87" s="1253"/>
      <c r="BO87" s="1253"/>
      <c r="BP87" s="1602"/>
      <c r="BQ87" s="1602"/>
      <c r="BR87" s="1602"/>
      <c r="BS87" s="1602"/>
      <c r="BT87" s="1634"/>
      <c r="BU87" s="1602"/>
      <c r="BV87" s="1602"/>
      <c r="BW87" s="1602"/>
      <c r="BX87" s="1602"/>
      <c r="BY87" s="1602"/>
      <c r="BZ87" s="1602"/>
      <c r="CA87" s="1602"/>
      <c r="CB87" s="1602"/>
      <c r="CC87" s="1602"/>
      <c r="CD87" s="1602"/>
      <c r="CE87" s="1602"/>
      <c r="CF87" s="1602"/>
      <c r="CG87" s="1602"/>
      <c r="CH87" s="1602"/>
      <c r="CI87" s="1602"/>
      <c r="CJ87" s="1602"/>
      <c r="CK87" s="1602"/>
      <c r="CL87" s="1602"/>
      <c r="CM87" s="1602"/>
      <c r="CN87" s="1602"/>
      <c r="CO87" s="1602"/>
      <c r="CP87" s="1602"/>
      <c r="CQ87" s="1602"/>
      <c r="CR87" s="1602"/>
      <c r="CS87" s="1602"/>
      <c r="CT87" s="1602"/>
      <c r="CU87" s="1602"/>
      <c r="CV87" s="1602"/>
      <c r="CW87" s="1602"/>
      <c r="CX87" s="1602"/>
      <c r="CY87" s="1253"/>
      <c r="CZ87" s="1253"/>
      <c r="DA87" s="1253"/>
      <c r="DB87" s="1253"/>
      <c r="DC87" s="1253"/>
      <c r="DD87" s="1253"/>
    </row>
    <row r="88" spans="1:134" hidden="1" outlineLevel="1">
      <c r="A88" s="582" t="s">
        <v>1157</v>
      </c>
      <c r="AC88" s="1253"/>
      <c r="AD88" s="1253"/>
      <c r="AE88" s="1253"/>
      <c r="AG88" s="1253"/>
      <c r="AH88" s="1253"/>
      <c r="AI88" s="1253"/>
      <c r="AJ88" s="1253"/>
      <c r="AL88" s="1253"/>
      <c r="AM88" s="1253"/>
      <c r="AN88" s="1253"/>
      <c r="AO88" s="1253"/>
      <c r="AP88" s="1253"/>
      <c r="AQ88" s="1253"/>
      <c r="AR88" s="1253"/>
      <c r="AS88" s="1253"/>
      <c r="AT88" s="1253"/>
      <c r="AU88" s="1253"/>
      <c r="AV88" s="582">
        <v>430</v>
      </c>
      <c r="AW88" s="582">
        <v>430</v>
      </c>
      <c r="AX88" s="582">
        <v>430</v>
      </c>
      <c r="AY88" s="582">
        <v>430</v>
      </c>
      <c r="AZ88" s="1253"/>
      <c r="BA88" s="1667">
        <f>'yrP&amp;L'!$T$13*0.75+'yrP&amp;L'!$U$13*0.25</f>
        <v>496</v>
      </c>
      <c r="BB88" s="1667">
        <f>'yrP&amp;L'!$T$13*0.5+'yrP&amp;L'!$U$13*0.5</f>
        <v>500</v>
      </c>
      <c r="BC88" s="1667">
        <f>'yrP&amp;L'!$T$13*0.25+'yrP&amp;L'!$U$13*0.75</f>
        <v>504</v>
      </c>
      <c r="BD88" s="1667">
        <f>'yrP&amp;L'!$T$13*0+'yrP&amp;L'!$U$13*1</f>
        <v>508</v>
      </c>
      <c r="BE88" s="1253"/>
      <c r="BF88" s="1667">
        <f>'yrP&amp;L'!$T$13*0.75+'yrP&amp;L'!$U$13*0.25</f>
        <v>496</v>
      </c>
      <c r="BG88" s="1667">
        <f>'yrP&amp;L'!$T$13*0.5+'yrP&amp;L'!$U$13*0.5</f>
        <v>500</v>
      </c>
      <c r="BH88" s="1667">
        <f>'yrP&amp;L'!$T$13*0.25+'yrP&amp;L'!$U$13*0.75</f>
        <v>504</v>
      </c>
      <c r="BI88" s="1667">
        <f>'yrP&amp;L'!$T$13*0+'yrP&amp;L'!$U$13*1</f>
        <v>508</v>
      </c>
      <c r="BJ88" s="1253"/>
      <c r="BK88" s="1667">
        <f>'yrP&amp;L'!$T$13*0.75+'yrP&amp;L'!$U$13*0.25</f>
        <v>496</v>
      </c>
      <c r="BL88" s="1667">
        <f>'yrP&amp;L'!$T$13*0.5+'yrP&amp;L'!$U$13*0.5</f>
        <v>500</v>
      </c>
      <c r="BM88" s="1667">
        <f>'yrP&amp;L'!$T$13*0.25+'yrP&amp;L'!$U$13*0.75</f>
        <v>504</v>
      </c>
      <c r="BN88" s="1667">
        <f>'yrP&amp;L'!$T$13*0+'yrP&amp;L'!$U$13*1</f>
        <v>508</v>
      </c>
      <c r="BO88" s="1253"/>
      <c r="BP88" s="1634">
        <f>'yrP&amp;L'!$T$13*0.75+'yrP&amp;L'!$U$13*0.25</f>
        <v>496</v>
      </c>
      <c r="BQ88" s="1634">
        <f>'yrP&amp;L'!$T$13*0.5+'yrP&amp;L'!$U$13*0.5</f>
        <v>500</v>
      </c>
      <c r="BR88" s="1634">
        <f>'yrP&amp;L'!$T$13*0.25+'yrP&amp;L'!$U$13*0.75</f>
        <v>504</v>
      </c>
      <c r="BS88" s="1634">
        <f>'yrP&amp;L'!$T$13*0+'yrP&amp;L'!$U$13*1</f>
        <v>508</v>
      </c>
      <c r="BT88" s="1668"/>
      <c r="BU88" s="1602"/>
      <c r="BV88" s="1602"/>
      <c r="BW88" s="1602"/>
      <c r="BX88" s="1602"/>
      <c r="BY88" s="1602"/>
      <c r="BZ88" s="1602"/>
      <c r="CA88" s="1602"/>
      <c r="CB88" s="1602"/>
      <c r="CC88" s="1602"/>
      <c r="CD88" s="1602"/>
      <c r="CE88" s="1602"/>
      <c r="CF88" s="1602"/>
      <c r="CG88" s="1602"/>
      <c r="CH88" s="1602"/>
      <c r="CI88" s="1602"/>
      <c r="CJ88" s="1602"/>
      <c r="CK88" s="1602"/>
      <c r="CL88" s="1602"/>
      <c r="CM88" s="1602"/>
      <c r="CN88" s="1602"/>
      <c r="CO88" s="1602"/>
      <c r="CP88" s="1602"/>
      <c r="CQ88" s="1602"/>
      <c r="CR88" s="1602"/>
      <c r="CS88" s="1602"/>
      <c r="CT88" s="1602"/>
      <c r="CU88" s="1602"/>
      <c r="CV88" s="1602"/>
      <c r="CW88" s="1602"/>
      <c r="CX88" s="1602"/>
      <c r="CY88" s="1253"/>
      <c r="CZ88" s="1253"/>
      <c r="DA88" s="1253"/>
      <c r="DB88" s="1253"/>
      <c r="DC88" s="1253"/>
      <c r="DD88" s="1253"/>
    </row>
    <row r="89" spans="1:134" hidden="1" outlineLevel="1">
      <c r="A89" s="1253" t="s">
        <v>685</v>
      </c>
      <c r="B89" s="1253"/>
      <c r="C89" s="1253"/>
      <c r="D89" s="1253"/>
      <c r="E89" s="1253"/>
      <c r="F89" s="1253"/>
      <c r="G89" s="1253"/>
      <c r="H89" s="1253"/>
      <c r="I89" s="1253"/>
      <c r="J89" s="1253"/>
      <c r="K89" s="1253"/>
      <c r="L89" s="1253"/>
      <c r="M89" s="1253"/>
      <c r="N89" s="1253"/>
      <c r="O89" s="1253"/>
      <c r="P89" s="1253"/>
      <c r="Q89" s="1253"/>
      <c r="R89" s="1253"/>
      <c r="S89" s="1253"/>
      <c r="T89" s="1253"/>
      <c r="U89" s="1253"/>
      <c r="V89" s="1253"/>
      <c r="W89" s="1253"/>
      <c r="X89" s="1253"/>
      <c r="Y89" s="1253"/>
      <c r="Z89" s="1253"/>
      <c r="AA89" s="1253"/>
      <c r="AB89" s="1253"/>
      <c r="AC89" s="1253"/>
      <c r="AD89" s="1253"/>
      <c r="AE89" s="1253"/>
      <c r="AF89" s="1253"/>
      <c r="AG89" s="1253"/>
      <c r="AH89" s="1253"/>
      <c r="AI89" s="1253"/>
      <c r="AJ89" s="1253"/>
      <c r="AK89" s="1253"/>
      <c r="AL89" s="1253"/>
      <c r="AM89" s="1253"/>
      <c r="AN89" s="1253"/>
      <c r="AO89" s="1253"/>
      <c r="AP89" s="1253"/>
      <c r="AQ89" s="1253"/>
      <c r="AR89" s="1253"/>
      <c r="AS89" s="1253"/>
      <c r="AT89" s="1253"/>
      <c r="AU89" s="1253"/>
      <c r="AV89" s="1669">
        <f>(bal!$AO$41+AV88*6)/(AV32+AT32+AS32+AR32+AV88)</f>
        <v>3.3713598762008585</v>
      </c>
      <c r="AW89" s="1669">
        <f>(bal!$AO$41+AW88*6)/(AW32+AV32+AT32+AS32+AW88)</f>
        <v>3.2948522820927768</v>
      </c>
      <c r="AX89" s="1669">
        <f>(bal!$AO$41+AX88*6)/(AX32+AW32+AV32+AT32+AX88)</f>
        <v>3.2834707790884226</v>
      </c>
      <c r="AY89" s="1669">
        <f>(bal!$AO$41+AY88*6)/(AY32+AX32+AW32+AV32+AY88)</f>
        <v>3.6750866433381102</v>
      </c>
      <c r="AZ89" s="1253"/>
      <c r="BA89" s="1670">
        <f>(bal!$AO$41+BA88*6)/(BA32+AY32+AX32+AW32+BA88)</f>
        <v>3.8576156874181842</v>
      </c>
      <c r="BB89" s="1670">
        <f>(bal!$AO$41+BB88*6)/(BB32+BA32+AY32+AX32+BB88)</f>
        <v>3.9446346413439457</v>
      </c>
      <c r="BC89" s="1670">
        <f>(bal!$AO$41+BC88*6)/(BC32+BB32+BA32+AY32+BC88)</f>
        <v>3.8887940206754328</v>
      </c>
      <c r="BD89" s="1670">
        <f>(bal!$AO$41+BD88*6)/(BD32+BC32+BB32+BA32+BD88)</f>
        <v>3.4566686668248208</v>
      </c>
      <c r="BE89" s="1253"/>
      <c r="BF89" s="1670">
        <f>(bal!$AO$41+BG88*6)/(BG32+BD32+BC32+BB32+BG88)</f>
        <v>3.1259259966042605</v>
      </c>
      <c r="BG89" s="1670">
        <f>(bal!$AO$41+BG88*6)/(BG32+BG32+BD32+BC32+BG88)</f>
        <v>2.9869858187820983</v>
      </c>
      <c r="BH89" s="1670">
        <f>(bal!$AO$41+BH88*6)/(BH32+BG32+BG32+BD32+BH88)</f>
        <v>2.8621397068349115</v>
      </c>
      <c r="BI89" s="1670">
        <f>(bal!$AO$41+BI88*6)/(BI32+BH32+BG32+BG32+BI88)</f>
        <v>2.6897787051871318</v>
      </c>
      <c r="BJ89" s="1253"/>
      <c r="BK89" s="1670">
        <f>(bal!$AO$41+BK88*6)/(BK32+BI32+BH32+BG32+BK88)</f>
        <v>2.6335673335411007</v>
      </c>
      <c r="BL89" s="1670">
        <f>(bal!$AO$41+BL88*6)/(BL32+BK32+BI32+BH32+BL88)</f>
        <v>2.5572996442244142</v>
      </c>
      <c r="BM89" s="1670">
        <f>(bal!$AO$41+BM88*6)/(BM32+BL32+BK32+BI32+BM88)</f>
        <v>2.5274385662964933</v>
      </c>
      <c r="BN89" s="1670">
        <f>(bal!$AO$41+BN88*6)/(BN32+BM32+BL32+BK32+BN88)</f>
        <v>2.4663700384786913</v>
      </c>
      <c r="BO89" s="1253"/>
      <c r="BP89" s="1668">
        <f>(bal!$AO$41+BP88*6)/(BP32+BN32+BM32+BL32+BP88)</f>
        <v>2.4262188620442782</v>
      </c>
      <c r="BQ89" s="1668">
        <f>(bal!$AO$41+BQ88*6)/(BQ32+BP32+BN32+BM32+BQ88)</f>
        <v>2.4325430284150067</v>
      </c>
      <c r="BR89" s="1668">
        <f>(bal!$AO$41+BR88*6)/(BR32+BQ32+BP32+BN32+BR88)</f>
        <v>2.4232785350153732</v>
      </c>
      <c r="BS89" s="1668">
        <f>(bal!$AO$41+BS88*6)/(BS32+BR32+BQ32+BP32+BS88)</f>
        <v>2.314224598514147</v>
      </c>
      <c r="BT89" s="1668"/>
      <c r="BU89" s="1602"/>
      <c r="BV89" s="1602"/>
      <c r="BW89" s="1602"/>
      <c r="BX89" s="1602"/>
      <c r="BY89" s="1602"/>
      <c r="BZ89" s="1602"/>
      <c r="CA89" s="1602"/>
      <c r="CB89" s="1602"/>
      <c r="CC89" s="1602"/>
      <c r="CD89" s="1602"/>
      <c r="CE89" s="1602"/>
      <c r="CF89" s="1602"/>
      <c r="CG89" s="1602"/>
      <c r="CH89" s="1602"/>
      <c r="CI89" s="1602"/>
      <c r="CJ89" s="1602"/>
      <c r="CK89" s="1602"/>
      <c r="CL89" s="1602"/>
      <c r="CM89" s="1602"/>
      <c r="CN89" s="1602"/>
      <c r="CO89" s="1602"/>
      <c r="CP89" s="1602"/>
      <c r="CQ89" s="1602"/>
      <c r="CR89" s="1602"/>
      <c r="CS89" s="1602"/>
      <c r="CT89" s="1602"/>
      <c r="CU89" s="1602"/>
      <c r="CV89" s="1602"/>
      <c r="CW89" s="1602"/>
      <c r="CX89" s="1602"/>
      <c r="CY89" s="1253"/>
      <c r="CZ89" s="1253"/>
      <c r="DA89" s="1253"/>
      <c r="DB89" s="1253"/>
      <c r="DC89" s="1253"/>
      <c r="DD89" s="1253"/>
    </row>
    <row r="90" spans="1:134" hidden="1" outlineLevel="1">
      <c r="A90" s="1253"/>
      <c r="B90" s="1253"/>
      <c r="C90" s="1253"/>
      <c r="D90" s="1253"/>
      <c r="E90" s="1253"/>
      <c r="F90" s="1253"/>
      <c r="G90" s="1253"/>
      <c r="H90" s="1253"/>
      <c r="I90" s="1253"/>
      <c r="J90" s="1253"/>
      <c r="K90" s="1253"/>
      <c r="L90" s="1253"/>
      <c r="M90" s="1253"/>
      <c r="N90" s="1253"/>
      <c r="O90" s="1253"/>
      <c r="P90" s="1253"/>
      <c r="Q90" s="1253"/>
      <c r="R90" s="1253"/>
      <c r="S90" s="1253"/>
      <c r="T90" s="1253"/>
      <c r="U90" s="1253"/>
      <c r="V90" s="1253"/>
      <c r="W90" s="1253"/>
      <c r="X90" s="1253"/>
      <c r="Y90" s="1253"/>
      <c r="Z90" s="1253"/>
      <c r="AA90" s="1253"/>
      <c r="AB90" s="1253"/>
      <c r="AC90" s="1253"/>
      <c r="AD90" s="1253"/>
      <c r="AE90" s="1253"/>
      <c r="AF90" s="1253"/>
      <c r="AG90" s="1253"/>
      <c r="AH90" s="1253"/>
      <c r="AI90" s="1253"/>
      <c r="AJ90" s="1253"/>
      <c r="AK90" s="1253"/>
      <c r="AL90" s="1253"/>
      <c r="AM90" s="1253"/>
      <c r="AN90" s="1253"/>
      <c r="AO90" s="1253"/>
      <c r="AP90" s="1253"/>
      <c r="AQ90" s="1253"/>
      <c r="AR90" s="1253"/>
      <c r="AS90" s="1253"/>
      <c r="AT90" s="1253"/>
      <c r="AU90" s="1253"/>
      <c r="AV90" s="1669"/>
      <c r="AW90" s="1669"/>
      <c r="AX90" s="1669"/>
      <c r="AY90" s="1669"/>
      <c r="AZ90" s="1253"/>
      <c r="BA90" s="1670"/>
      <c r="BB90" s="1670"/>
      <c r="BC90" s="1670"/>
      <c r="BD90" s="1670"/>
      <c r="BE90" s="1253"/>
      <c r="BF90" s="1670"/>
      <c r="BG90" s="1670"/>
      <c r="BH90" s="1670"/>
      <c r="BI90" s="1670"/>
      <c r="BJ90" s="1253"/>
      <c r="BK90" s="1670"/>
      <c r="BL90" s="1670"/>
      <c r="BM90" s="1670"/>
      <c r="BN90" s="1670"/>
      <c r="BO90" s="1253"/>
      <c r="BP90" s="1668"/>
      <c r="BQ90" s="1668"/>
      <c r="BR90" s="1668"/>
      <c r="BS90" s="1668"/>
      <c r="BT90" s="1668"/>
      <c r="BU90" s="1602"/>
      <c r="BV90" s="1602"/>
      <c r="BW90" s="1602"/>
      <c r="BX90" s="1602"/>
      <c r="BY90" s="1602"/>
      <c r="BZ90" s="1602"/>
      <c r="CA90" s="1602"/>
      <c r="CB90" s="1602"/>
      <c r="CC90" s="1602"/>
      <c r="CD90" s="1602"/>
      <c r="CE90" s="1602"/>
      <c r="CF90" s="1602"/>
      <c r="CG90" s="1602"/>
      <c r="CH90" s="1602"/>
      <c r="CI90" s="1602"/>
      <c r="CJ90" s="1602"/>
      <c r="CK90" s="1602"/>
      <c r="CL90" s="1602"/>
      <c r="CM90" s="1602"/>
      <c r="CN90" s="1602"/>
      <c r="CO90" s="1602"/>
      <c r="CP90" s="1602"/>
      <c r="CQ90" s="1602"/>
      <c r="CR90" s="1602"/>
      <c r="CS90" s="1602"/>
      <c r="CT90" s="1602"/>
      <c r="CU90" s="1602"/>
      <c r="CV90" s="1602"/>
      <c r="CW90" s="1602"/>
      <c r="CX90" s="1602"/>
      <c r="CY90" s="1253"/>
      <c r="CZ90" s="1253"/>
      <c r="DA90" s="1253"/>
      <c r="DB90" s="1253"/>
      <c r="DC90" s="1253"/>
      <c r="DD90" s="1253"/>
    </row>
    <row r="91" spans="1:134" hidden="1" outlineLevel="1">
      <c r="A91" s="1422" t="s">
        <v>686</v>
      </c>
      <c r="B91" s="626"/>
      <c r="C91" s="626"/>
      <c r="D91" s="626"/>
      <c r="E91" s="626"/>
      <c r="F91" s="626"/>
      <c r="G91" s="626"/>
      <c r="H91" s="626"/>
      <c r="I91" s="626"/>
      <c r="J91" s="626"/>
      <c r="K91" s="626"/>
      <c r="L91" s="626"/>
      <c r="M91" s="626"/>
      <c r="N91" s="626"/>
      <c r="O91" s="626"/>
      <c r="P91" s="626"/>
      <c r="Q91" s="626"/>
      <c r="R91" s="626"/>
      <c r="S91" s="626"/>
      <c r="T91" s="626"/>
      <c r="U91" s="626"/>
      <c r="V91" s="626"/>
      <c r="W91" s="626"/>
      <c r="X91" s="626"/>
      <c r="Y91" s="626"/>
      <c r="Z91" s="626"/>
      <c r="AA91" s="626"/>
      <c r="AB91" s="626"/>
      <c r="AC91" s="626"/>
      <c r="AD91" s="626"/>
      <c r="AE91" s="626"/>
      <c r="AF91" s="626"/>
      <c r="AG91" s="626"/>
      <c r="AH91" s="626"/>
      <c r="AI91" s="626"/>
      <c r="AJ91" s="626"/>
      <c r="AK91" s="626"/>
      <c r="AL91" s="626"/>
      <c r="AM91" s="626"/>
      <c r="AN91" s="626"/>
      <c r="AO91" s="626"/>
      <c r="AP91" s="626"/>
      <c r="AQ91" s="626"/>
      <c r="AR91" s="1671"/>
      <c r="AS91" s="1253"/>
      <c r="BA91" s="1672">
        <f>(BA32+AY32+AX32+AW32+BA88)/(-BA19-AY19-AX19-AW19+BA88)</f>
        <v>2.1954111665171752</v>
      </c>
      <c r="BB91" s="1673">
        <f>(BB32+BA32+AY32+AX32+BB88)/(-BB19-BA19-AY19-AX19+BB88)</f>
        <v>2.1098163188980541</v>
      </c>
      <c r="BC91" s="1673">
        <f>(BC32+BB32+BA32+AY32+BC88)/(-BC19-BB19-BA19-AY19+BC88)</f>
        <v>2.1017859755777706</v>
      </c>
      <c r="BD91" s="1674">
        <f>(BD32+BC32+BB32+BA32+BD88)/(-BD19-BC19-BB19-BA19+BD88)</f>
        <v>2.3080992507478415</v>
      </c>
      <c r="BF91" s="1672">
        <f>(BG32+BD32+BC32+BB32+BG88)/(-BG19-BD19-BC19-BB19+BG88)</f>
        <v>2.5941850615239899</v>
      </c>
      <c r="BG91" s="1673">
        <f>(BG32+BG32+BD32+BC32+BG88)/(-BG19-BG19-BD19-BC19+BG88)</f>
        <v>2.7377326072395816</v>
      </c>
      <c r="BH91" s="1673">
        <f>(BH32+BG32+BG32+BD32+BH88)/(-BH19-BG19-BG19-BD19+BH88)</f>
        <v>2.8892017284385121</v>
      </c>
      <c r="BI91" s="1674">
        <f>(BI32+BH32+BG32+BG32+BI88)/(-BI19-BH19-BG19-BG19+BI88)</f>
        <v>3.1285302177581009</v>
      </c>
      <c r="BK91" s="1672">
        <f>(BK32+BI32+BH32+BG32+BK88)/(-BK19-BI19-BH19-BG19+BK88)</f>
        <v>3.1977203540635144</v>
      </c>
      <c r="BL91" s="1673">
        <f>(BL32+BK32+BI32+BH32+BL88)/(-BL19-BK19-BI19-BH19+BL88)</f>
        <v>3.231615045146933</v>
      </c>
      <c r="BM91" s="1673">
        <f>(BM32+BL32+BK32+BI32+BM88)/(-BM19-BL19-BK19-BI19+BM88)</f>
        <v>3.1908253256968515</v>
      </c>
      <c r="BN91" s="1674">
        <f>(BN32+BM32+BL32+BK32+BN88)/(-BN19-BM19-BL19-BK19+BN88)</f>
        <v>3.1971215063347551</v>
      </c>
      <c r="BP91" s="1675">
        <f>(BP32+BN32+BM32+BL32+BP88)/(-BP19-BN19-BM19-BL19+BP88)</f>
        <v>3.1639858311766402</v>
      </c>
      <c r="BQ91" s="1676">
        <f>(BQ32+BP32+BN32+BM32+BQ88)/(-BQ19-BP19-BN19-BM19+BQ88)</f>
        <v>3.0894865961907314</v>
      </c>
      <c r="BR91" s="1676">
        <f>(BR32+BQ32+BP32+BN32+BR88)/(-BR19-BQ19-BP19-BN19+BR88)</f>
        <v>3.0467654247094607</v>
      </c>
      <c r="BS91" s="1677">
        <f>(BS32+BR32+BQ32+BP32+BS88)/(-BS19-BR19-BQ19-BP19+BS88)</f>
        <v>3.1148428510282797</v>
      </c>
      <c r="BT91" s="1602"/>
      <c r="BU91" s="1602"/>
      <c r="BV91" s="1602"/>
      <c r="BW91" s="1602"/>
      <c r="BX91" s="1602"/>
      <c r="BY91" s="1602"/>
      <c r="BZ91" s="1602"/>
      <c r="CA91" s="1602"/>
      <c r="CB91" s="1602"/>
      <c r="CC91" s="1602"/>
      <c r="CD91" s="1602"/>
      <c r="CE91" s="1602"/>
      <c r="CF91" s="1602"/>
      <c r="CG91" s="1602"/>
      <c r="CH91" s="1602"/>
      <c r="CI91" s="1602"/>
      <c r="CJ91" s="1602"/>
      <c r="CK91" s="1602"/>
      <c r="CL91" s="1602"/>
      <c r="CM91" s="1602"/>
      <c r="CN91" s="1602"/>
      <c r="CO91" s="1602"/>
      <c r="CP91" s="1602"/>
      <c r="CQ91" s="1602"/>
      <c r="CR91" s="1602"/>
      <c r="CS91" s="1602"/>
      <c r="CT91" s="1602"/>
      <c r="CU91" s="1602"/>
      <c r="CV91" s="1602"/>
      <c r="CW91" s="1602"/>
      <c r="CX91" s="1602"/>
      <c r="CY91" s="1253"/>
      <c r="CZ91" s="1253"/>
      <c r="DA91" s="1253"/>
      <c r="DB91" s="1253"/>
      <c r="DC91" s="1253"/>
      <c r="DD91" s="1253"/>
    </row>
    <row r="92" spans="1:134" hidden="1" outlineLevel="1">
      <c r="A92" s="1251"/>
      <c r="B92" s="1253"/>
      <c r="C92" s="1253"/>
      <c r="D92" s="1253"/>
      <c r="E92" s="1253"/>
      <c r="F92" s="1253"/>
      <c r="G92" s="1253"/>
      <c r="H92" s="1253"/>
      <c r="I92" s="1253"/>
      <c r="J92" s="1253"/>
      <c r="K92" s="1253"/>
      <c r="L92" s="1253"/>
      <c r="M92" s="1253"/>
      <c r="N92" s="1253"/>
      <c r="O92" s="1253"/>
      <c r="P92" s="1253"/>
      <c r="Q92" s="1253"/>
      <c r="R92" s="1253"/>
      <c r="S92" s="1253"/>
      <c r="T92" s="1253"/>
      <c r="U92" s="1253"/>
      <c r="V92" s="1253"/>
      <c r="W92" s="1253"/>
      <c r="X92" s="1253"/>
      <c r="Y92" s="1253"/>
      <c r="Z92" s="1253"/>
      <c r="AA92" s="1253"/>
      <c r="AB92" s="1253"/>
      <c r="AC92" s="1253"/>
      <c r="AD92" s="1253"/>
      <c r="AE92" s="1253"/>
      <c r="AF92" s="1253"/>
      <c r="AG92" s="1253"/>
      <c r="AH92" s="1253"/>
      <c r="AI92" s="1253"/>
      <c r="AJ92" s="1253"/>
      <c r="AK92" s="1253"/>
      <c r="AL92" s="1253"/>
      <c r="AM92" s="1253"/>
      <c r="AN92" s="1253"/>
      <c r="AO92" s="1253"/>
      <c r="AP92" s="1253"/>
      <c r="AQ92" s="1253"/>
      <c r="AR92" s="1254"/>
      <c r="BA92" s="1251"/>
      <c r="BB92" s="1253"/>
      <c r="BC92" s="1253"/>
      <c r="BD92" s="1254"/>
      <c r="BF92" s="1251"/>
      <c r="BG92" s="1253"/>
      <c r="BH92" s="1253"/>
      <c r="BI92" s="1254"/>
      <c r="BK92" s="1251"/>
      <c r="BL92" s="1253"/>
      <c r="BM92" s="1253"/>
      <c r="BN92" s="1254"/>
      <c r="BP92" s="1604"/>
      <c r="BQ92" s="1602"/>
      <c r="BR92" s="1602"/>
      <c r="BS92" s="1653"/>
      <c r="BT92" s="1668"/>
      <c r="BU92" s="1602"/>
      <c r="BV92" s="1634"/>
      <c r="BW92" s="1634"/>
      <c r="BX92" s="1634"/>
      <c r="BY92" s="1634"/>
      <c r="BZ92" s="1634"/>
      <c r="CA92" s="1634"/>
      <c r="CB92" s="1634"/>
      <c r="CC92" s="1634"/>
      <c r="CD92" s="1634"/>
      <c r="CE92" s="1634"/>
      <c r="CF92" s="1634"/>
      <c r="CG92" s="1634"/>
      <c r="CH92" s="1634"/>
      <c r="CI92" s="1634"/>
      <c r="CJ92" s="1634"/>
      <c r="CK92" s="1634"/>
      <c r="CL92" s="1634"/>
      <c r="CM92" s="1634"/>
      <c r="CN92" s="1634"/>
      <c r="CO92" s="1634"/>
      <c r="CP92" s="1634"/>
      <c r="CQ92" s="1634"/>
      <c r="CR92" s="1634"/>
      <c r="CS92" s="1634"/>
      <c r="CT92" s="1634"/>
      <c r="CU92" s="1634"/>
      <c r="CV92" s="1634"/>
      <c r="CW92" s="1634"/>
      <c r="CX92" s="1634"/>
      <c r="CY92" s="1253"/>
      <c r="CZ92" s="1253"/>
      <c r="DA92" s="1253"/>
      <c r="DB92" s="1253"/>
      <c r="DC92" s="1253"/>
      <c r="DD92" s="1253"/>
      <c r="DE92" s="1253"/>
      <c r="DF92" s="1253"/>
      <c r="DG92" s="1253"/>
      <c r="DH92" s="1253"/>
    </row>
    <row r="93" spans="1:134" hidden="1" outlineLevel="1">
      <c r="A93" s="1617" t="s">
        <v>423</v>
      </c>
      <c r="B93" s="1431"/>
      <c r="C93" s="1431"/>
      <c r="D93" s="1431"/>
      <c r="E93" s="1431"/>
      <c r="F93" s="1431"/>
      <c r="G93" s="1431"/>
      <c r="H93" s="1431"/>
      <c r="I93" s="1431"/>
      <c r="J93" s="1431"/>
      <c r="K93" s="1431"/>
      <c r="L93" s="1431"/>
      <c r="M93" s="1431"/>
      <c r="N93" s="1431"/>
      <c r="O93" s="1431"/>
      <c r="P93" s="1431"/>
      <c r="Q93" s="1431"/>
      <c r="R93" s="1431"/>
      <c r="S93" s="1431"/>
      <c r="T93" s="1431"/>
      <c r="U93" s="1431"/>
      <c r="V93" s="1431"/>
      <c r="W93" s="1431"/>
      <c r="X93" s="1431"/>
      <c r="Y93" s="1431"/>
      <c r="Z93" s="1431"/>
      <c r="AA93" s="1431"/>
      <c r="AB93" s="1431"/>
      <c r="AC93" s="1431"/>
      <c r="AD93" s="1431"/>
      <c r="AE93" s="1431"/>
      <c r="AF93" s="1431"/>
      <c r="AG93" s="1431"/>
      <c r="AH93" s="1431"/>
      <c r="AI93" s="1431"/>
      <c r="AJ93" s="1431"/>
      <c r="AK93" s="1431"/>
      <c r="AL93" s="1431"/>
      <c r="AM93" s="1431"/>
      <c r="AN93" s="1431"/>
      <c r="AO93" s="1431"/>
      <c r="AP93" s="1431"/>
      <c r="AQ93" s="1431"/>
      <c r="AR93" s="1678"/>
      <c r="BA93" s="1679">
        <f>bal!$AO$41/(BA32+AY32+AX32+AW32)</f>
        <v>2.8223681198079209</v>
      </c>
      <c r="BB93" s="1680">
        <f>bal!$AO$41/(BB32+BA32+AY32+AX32)</f>
        <v>2.9117275177849571</v>
      </c>
      <c r="BC93" s="1680">
        <f>bal!$AO$41/(BC32+BB32+BA32+AY32)</f>
        <v>2.8441555891535275</v>
      </c>
      <c r="BD93" s="1681">
        <f>bal!$AO$41/(BD32+BC32+BB32+BA32)</f>
        <v>2.3905322709478973</v>
      </c>
      <c r="BF93" s="1679">
        <f>bal!$AO$41/(BG32+BD32+BC32+BB32)</f>
        <v>2.0894624592763993</v>
      </c>
      <c r="BG93" s="1680">
        <f>bal!$AO$41/(BG32+BG32+BD32+BC32)</f>
        <v>1.9650923091428687</v>
      </c>
      <c r="BH93" s="1680">
        <f>bal!$AO$41/(BH32+BG32+BG32+BD32)</f>
        <v>1.8514352617572849</v>
      </c>
      <c r="BI93" s="1681">
        <f>bal!$AO$41/(BI32+BH32+BG32+BG32)</f>
        <v>1.7018961719966692</v>
      </c>
      <c r="BK93" s="1679">
        <f>bal!$AO$41/(BK32+BI32+BH32+BG32)</f>
        <v>1.6706505849007092</v>
      </c>
      <c r="BL93" s="1680">
        <f>bal!$AO$41/(BL32+BK32+BI32+BH32)</f>
        <v>1.6041436409021741</v>
      </c>
      <c r="BM93" s="1680">
        <f>bal!$AO$41/(BM32+BL32+BK32+BI32)</f>
        <v>1.5755799787674689</v>
      </c>
      <c r="BN93" s="1681">
        <f>bal!$AO$41/(BN32+BM32+BL32+BK32)</f>
        <v>1.5227932770017216</v>
      </c>
      <c r="BP93" s="1682">
        <f>bal!$AO$41/(BP32+BN32+BM32+BL32)</f>
        <v>1.5052173420573935</v>
      </c>
      <c r="BQ93" s="1683">
        <f>bal!$AO$41/(BQ32+BP32+BN32+BM32)</f>
        <v>1.5055513633632884</v>
      </c>
      <c r="BR93" s="1683">
        <f>bal!$AO$41/(BR32+BQ32+BP32+BN32)</f>
        <v>1.4937732805880635</v>
      </c>
      <c r="BS93" s="1684">
        <f>bal!$AO$41/(BS32+BR32+BQ32+BP32)</f>
        <v>1.4056999507495529</v>
      </c>
      <c r="BU93" s="1634"/>
      <c r="BV93" s="1668"/>
      <c r="BW93" s="1668"/>
      <c r="BX93" s="1668"/>
      <c r="BY93" s="1668"/>
      <c r="BZ93" s="1668"/>
      <c r="CA93" s="1668"/>
      <c r="CB93" s="1668"/>
      <c r="CC93" s="1668"/>
      <c r="CD93" s="1668"/>
      <c r="CE93" s="1668"/>
      <c r="CF93" s="1668"/>
      <c r="CG93" s="1668"/>
      <c r="CH93" s="1668"/>
      <c r="CI93" s="1668"/>
      <c r="CJ93" s="1668"/>
      <c r="CK93" s="1668"/>
      <c r="CL93" s="1668"/>
      <c r="CM93" s="1668"/>
      <c r="CN93" s="1668"/>
      <c r="CO93" s="1668"/>
      <c r="CP93" s="1668"/>
      <c r="CQ93" s="1668"/>
      <c r="CR93" s="1668"/>
      <c r="CS93" s="1668"/>
      <c r="CT93" s="1668"/>
      <c r="CU93" s="1668"/>
      <c r="CV93" s="1668"/>
      <c r="CW93" s="1668"/>
      <c r="CX93" s="1668"/>
      <c r="CY93" s="1253"/>
      <c r="CZ93" s="1253"/>
      <c r="DA93" s="1253"/>
      <c r="DB93" s="1253"/>
      <c r="DC93" s="1253"/>
      <c r="DD93" s="1253"/>
      <c r="DE93" s="1253"/>
      <c r="DF93" s="1253"/>
      <c r="DG93" s="1253"/>
      <c r="DH93" s="1253"/>
      <c r="DI93" s="1253"/>
    </row>
    <row r="94" spans="1:134" hidden="1" outlineLevel="1">
      <c r="BU94" s="1668"/>
      <c r="BV94" s="1668"/>
      <c r="BW94" s="1668"/>
      <c r="BX94" s="1668"/>
      <c r="BY94" s="1668"/>
      <c r="BZ94" s="1668"/>
      <c r="CA94" s="1668"/>
      <c r="CB94" s="1668"/>
      <c r="CC94" s="1668"/>
      <c r="CD94" s="1668"/>
      <c r="CE94" s="1668"/>
      <c r="CF94" s="1668"/>
      <c r="CG94" s="1668"/>
      <c r="CH94" s="1668"/>
      <c r="CI94" s="1668"/>
      <c r="CJ94" s="1668"/>
      <c r="CK94" s="1668"/>
      <c r="CL94" s="1668"/>
      <c r="CM94" s="1668"/>
      <c r="CN94" s="1668"/>
      <c r="CO94" s="1668"/>
      <c r="CP94" s="1668"/>
      <c r="CQ94" s="1668"/>
      <c r="CR94" s="1668"/>
      <c r="CS94" s="1668"/>
      <c r="CT94" s="1668"/>
      <c r="CU94" s="1668"/>
      <c r="CV94" s="1668"/>
      <c r="CW94" s="1668"/>
      <c r="CX94" s="1668"/>
      <c r="CY94" s="1253"/>
      <c r="CZ94" s="1253"/>
      <c r="DA94" s="1253"/>
      <c r="DB94" s="1253"/>
      <c r="DC94" s="1253"/>
      <c r="DD94" s="1253"/>
      <c r="DE94" s="1253"/>
      <c r="DF94" s="1253"/>
      <c r="DG94" s="1253"/>
      <c r="DH94" s="1253"/>
      <c r="DI94" s="1253"/>
    </row>
    <row r="95" spans="1:134" collapsed="1">
      <c r="BU95" s="1668"/>
      <c r="BV95" s="1668"/>
      <c r="BW95" s="1668"/>
      <c r="BX95" s="1668"/>
      <c r="BY95" s="1668"/>
      <c r="BZ95" s="1668"/>
      <c r="CA95" s="1668"/>
      <c r="CB95" s="1668"/>
      <c r="CC95" s="1668"/>
      <c r="CD95" s="1668"/>
      <c r="CE95" s="1668"/>
      <c r="CF95" s="1668"/>
      <c r="CG95" s="1668"/>
      <c r="CH95" s="1668"/>
      <c r="CI95" s="1668"/>
      <c r="CJ95" s="1668"/>
      <c r="CK95" s="1668"/>
      <c r="CL95" s="1668"/>
      <c r="CM95" s="1668"/>
      <c r="CN95" s="1668"/>
      <c r="CO95" s="1668"/>
      <c r="CP95" s="1668"/>
      <c r="CQ95" s="1668"/>
      <c r="CR95" s="1668"/>
      <c r="CS95" s="1668"/>
      <c r="CT95" s="1668"/>
      <c r="CU95" s="1668"/>
      <c r="CV95" s="1668"/>
      <c r="CW95" s="1668"/>
      <c r="CX95" s="1668"/>
      <c r="DI95" s="1253"/>
    </row>
    <row r="96" spans="1:134" s="1494" customFormat="1">
      <c r="M96" s="1685"/>
      <c r="N96" s="1685"/>
      <c r="O96" s="1685"/>
      <c r="P96" s="1685"/>
      <c r="R96" s="1685"/>
      <c r="S96" s="1685"/>
      <c r="T96" s="1685"/>
      <c r="U96" s="1685"/>
      <c r="W96" s="1685"/>
      <c r="X96" s="1685"/>
      <c r="Y96" s="1685"/>
      <c r="Z96" s="1685"/>
      <c r="AB96" s="1685"/>
      <c r="AC96" s="1685"/>
      <c r="AD96" s="1685"/>
      <c r="AE96" s="1685"/>
      <c r="AG96" s="1685"/>
      <c r="AH96" s="1685"/>
      <c r="AI96" s="1685"/>
      <c r="AJ96" s="1685"/>
      <c r="AL96" s="1685"/>
      <c r="AM96" s="1685"/>
      <c r="AN96" s="1685"/>
      <c r="AO96" s="1685"/>
      <c r="AQ96" s="1685"/>
      <c r="AR96" s="1685"/>
      <c r="AS96" s="1685"/>
      <c r="AT96" s="1685"/>
      <c r="AV96" s="1685"/>
      <c r="AW96" s="1685"/>
      <c r="AX96" s="1685"/>
      <c r="AY96" s="1685"/>
      <c r="BA96" s="1685"/>
      <c r="BB96" s="1685"/>
      <c r="BC96" s="1685"/>
      <c r="BD96" s="1685"/>
      <c r="BF96" s="1685"/>
      <c r="BG96" s="1685"/>
      <c r="BH96" s="1685"/>
      <c r="BI96" s="1685"/>
      <c r="BK96" s="1685"/>
      <c r="BL96" s="1685"/>
      <c r="BM96" s="1685"/>
      <c r="BN96" s="1685"/>
      <c r="BP96" s="1685"/>
      <c r="BQ96" s="1685"/>
      <c r="BR96" s="1685"/>
      <c r="BS96" s="1685"/>
      <c r="BT96" s="1685"/>
      <c r="BU96" s="1685"/>
      <c r="BV96" s="1685"/>
      <c r="BW96" s="1685"/>
      <c r="BX96" s="1685"/>
      <c r="BY96" s="1685"/>
      <c r="BZ96" s="1685"/>
      <c r="CA96" s="1685"/>
      <c r="CB96" s="1685"/>
      <c r="CC96" s="1685"/>
      <c r="CD96" s="1685"/>
      <c r="CE96" s="1685"/>
      <c r="CF96" s="1685"/>
      <c r="CG96" s="1685"/>
      <c r="CH96" s="1685"/>
      <c r="CI96" s="1685"/>
      <c r="CJ96" s="1685"/>
      <c r="CK96" s="1685"/>
      <c r="CL96" s="1685"/>
      <c r="CM96" s="1685"/>
      <c r="CN96" s="1685"/>
      <c r="CO96" s="1685"/>
      <c r="CP96" s="1685"/>
      <c r="CQ96" s="1685"/>
      <c r="CR96" s="1685"/>
      <c r="CS96" s="1685"/>
      <c r="CT96" s="1685"/>
      <c r="CU96" s="1685"/>
      <c r="CV96" s="1685"/>
      <c r="CW96" s="1685"/>
      <c r="CX96" s="1685"/>
      <c r="CY96" s="1686"/>
      <c r="CZ96" s="1686"/>
      <c r="DA96" s="1686"/>
      <c r="DB96" s="1686"/>
      <c r="DC96" s="1686"/>
      <c r="DD96" s="1686"/>
      <c r="DE96" s="1686"/>
      <c r="DF96" s="1686"/>
      <c r="DG96" s="1686"/>
      <c r="DH96" s="1686"/>
      <c r="DI96" s="1686"/>
      <c r="DJ96" s="1686"/>
      <c r="DK96" s="1686"/>
      <c r="DL96" s="1686"/>
      <c r="DM96" s="1686"/>
      <c r="DN96" s="1686"/>
      <c r="DO96" s="1686"/>
      <c r="DP96" s="1686"/>
      <c r="DQ96" s="1686"/>
      <c r="DR96" s="1686"/>
      <c r="DS96" s="1686"/>
      <c r="DT96" s="1602"/>
      <c r="DY96"/>
      <c r="DZ96"/>
      <c r="EA96"/>
      <c r="EB96"/>
      <c r="EC96"/>
      <c r="ED96"/>
    </row>
    <row r="97" spans="73:73" customFormat="1"/>
    <row r="98" spans="73:73">
      <c r="BU98" s="1668"/>
    </row>
    <row r="102" spans="73:73">
      <c r="BU102" s="1685"/>
    </row>
  </sheetData>
  <phoneticPr fontId="0" type="noConversion"/>
  <dataValidations count="1">
    <dataValidation type="custom" allowBlank="1" showInputMessage="1" showErrorMessage="1" sqref="BZ67:BZ75 BZ65 AD60:BO64 BU78:BW78 BP81:BS95 AE85:AU95 AB85:AB95 AZ85:BO95 AC88:AD95 AV89:AY95 DI78:DQ82 W81:Z81 AB81:AE84 R81:U81 BA81:BD84 AL81:AO84 AG81:AJ84 BO80:BO84 AQ81:AT84 BJ80:BJ84 BE80:BE84 AZ80:AZ84 AU80:AU84 AP80:AP84 AK80:AK84 AF80:AF84 L81:L96 BP79:BS79 BT76:BT79 BX85:CW96 B80:B84 DE98:DH100 BW66:BY67 AB68:AB75 AB60:AB64 J62:K62 AD68:BO75 BK58:BN59 BP75:BR75 BP68:BR71 BS68:BS75 CW63:CX64 M52:P52 R48:U52 W48:Z52 DD72:DH84 DR80:DX82 BZ78:CB79 BT82:BU95 M68:N75 M64:N64 J68:K75 J64:K64 DC65 AQ53:AS57 AG53:AJ57 AA53:AA57 AL53:AL57 AV81:AY87 M53:N54 J53:K54 V53:V57 J77:K80 M85:U96 BT81:CW81 BW69:BX71 BV86:BW96 W98:Z65536 CW69:CX79 AB98:BU65536 DW54:DX54 DC53:DC62 BU77 M62:N62 DE102:DH65536 BY69:BY79 BX75:BX79 DD53:DD54 DE1:DH3 M1:P7 BZ28:CC28 BZ19:CC20 BZ11:CC11 BZ30:CC30 BZ23:CC23 BU28:BX28 BU19:BX20 BU11:BX11 BU30:BX30 R12:U18 DE5:DE7 DE9 R24:U27 DE12:DE13 DE22 H17:K17 C17:F17 R22:U22 M17:P17 W24:Z27 W22:Z22 V4 AA4 BU23:BX23 DE24:DE37 CJ53:CK55 R31:U46 W31:Z46 DW40:DX53 CJ67:CJ75 DI77:DS77 DR78 DT77:DT78 CL54:CM55 BF81:BI84 BK81:BN84 M81:P84 BW75:BW77 L98:U65536 BJ6:BJ10 BK5:BN10 AZ6:AZ10 AB5:AT10 AU6:AU10 AV5:AY10 DF5:DI15 BA5:BD10 BE6:BE10 BF5:BI10 BO6:BO10 BV82:CW84 R1:U10 W1:Z10 W12:Z18 Q1:Q52 L1:L52 CE23:CH23 CC66:CD67 CC69:CD79 CE28:CH28 CE67:CE75 CE65 CE78:CG79 CE19:CH20 CE11:CH11 CE30:CH30 BT65:BT74 CC61:CC64 CJ30:CM30 CH66:CI67 CH69:CI79 CJ23:CM23 CJ28:CM28 CJ19:CM20 CJ78:CL79 CJ11:CM11 CK60:CM64 CM69:CN79 CM66:CN67 CO30:CR30 CO67:CO75 CO23:CR23 CO28:CR28 CO19:CR20 CO11:CR11 CO65 CO78:CQ79 CN63:CN64 DD69:DX69 BP5:CX10 AB48:CX52 AB31:CX46 AB1:CX3 AB22:CX22 AH4:CX4 AB24:CX27 AB12:CX18 BV98:CX100 BV102:CX65536 CR69:CS79 CR63:CS64 CR66:CS67 CW66:CX67 CT30:CW30 CT67:CT75 CT23:CW23 CT28:CW28 CT19:CW20 CT11:CW11 CT65 CT78:CV79 CF53:CH57 DI72:DX75 DJ5:DX16 DD71:DX71 DE40:DV54 DE38:DX38 DF22:DX37 CY17:DX17 DE18:DX20 CJ60:CJ65 DI83:DX84 CX81:CX96 AB96:BU96 W85:Z96 DE92:DH96">
      <formula1>-1</formula1>
    </dataValidation>
  </dataValidations>
  <printOptions horizontalCentered="1"/>
  <pageMargins left="0" right="0" top="0" bottom="0" header="0" footer="0"/>
  <pageSetup paperSize="5" scale="74" orientation="landscape"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JD36"/>
  <sheetViews>
    <sheetView showGridLines="0" zoomScale="115" zoomScaleNormal="115" zoomScaleSheetLayoutView="100" workbookViewId="0">
      <pane xSplit="4" ySplit="8" topLeftCell="GP9" activePane="bottomRight" state="frozen"/>
      <selection pane="topRight" activeCell="E1" sqref="E1"/>
      <selection pane="bottomLeft" activeCell="A9" sqref="A9"/>
      <selection pane="bottomRight" activeCell="HM29" sqref="HM29"/>
    </sheetView>
  </sheetViews>
  <sheetFormatPr defaultColWidth="5.5703125" defaultRowHeight="12.75" outlineLevelCol="1"/>
  <cols>
    <col min="1" max="1" width="1.42578125" customWidth="1"/>
    <col min="2" max="2" width="5.7109375" customWidth="1"/>
    <col min="3" max="3" width="1.140625" customWidth="1"/>
    <col min="4" max="4" width="5.140625" customWidth="1"/>
    <col min="5" max="5" width="1.28515625" customWidth="1"/>
    <col min="6" max="6" width="6" hidden="1" customWidth="1" outlineLevel="1"/>
    <col min="7" max="7" width="1.28515625" hidden="1" customWidth="1" outlineLevel="1"/>
    <col min="8" max="8" width="5.5703125" hidden="1" customWidth="1" outlineLevel="1"/>
    <col min="9" max="9" width="1.28515625" hidden="1" customWidth="1" outlineLevel="1"/>
    <col min="10" max="10" width="5.7109375" hidden="1" customWidth="1" outlineLevel="1"/>
    <col min="11" max="11" width="1.85546875" hidden="1" customWidth="1" outlineLevel="1"/>
    <col min="12" max="12" width="5.7109375" hidden="1" customWidth="1" outlineLevel="1"/>
    <col min="13" max="13" width="1.85546875" hidden="1" customWidth="1" outlineLevel="1"/>
    <col min="14" max="14" width="6" hidden="1" customWidth="1" outlineLevel="1"/>
    <col min="15" max="15" width="1.28515625" hidden="1" customWidth="1" outlineLevel="1"/>
    <col min="16" max="16" width="6.42578125" hidden="1" customWidth="1" outlineLevel="1"/>
    <col min="17" max="17" width="1.28515625" hidden="1" customWidth="1" outlineLevel="1"/>
    <col min="18" max="18" width="5.7109375" hidden="1" customWidth="1" outlineLevel="1"/>
    <col min="19" max="19" width="1.85546875" hidden="1" customWidth="1" outlineLevel="1"/>
    <col min="20" max="20" width="5.7109375" hidden="1" customWidth="1" outlineLevel="1"/>
    <col min="21" max="21" width="1.85546875" hidden="1" customWidth="1" outlineLevel="1"/>
    <col min="22" max="22" width="6" hidden="1" customWidth="1" outlineLevel="1"/>
    <col min="23" max="23" width="1.28515625" hidden="1" customWidth="1" outlineLevel="1"/>
    <col min="24" max="24" width="6.42578125" hidden="1" customWidth="1" outlineLevel="1"/>
    <col min="25" max="25" width="1.28515625" hidden="1" customWidth="1" outlineLevel="1"/>
    <col min="26" max="26" width="5.7109375" hidden="1" customWidth="1" outlineLevel="1"/>
    <col min="27" max="27" width="1.85546875" hidden="1" customWidth="1" outlineLevel="1"/>
    <col min="28" max="28" width="5.7109375" hidden="1" customWidth="1" outlineLevel="1"/>
    <col min="29" max="29" width="1.85546875" hidden="1" customWidth="1" outlineLevel="1"/>
    <col min="30" max="30" width="6" hidden="1" customWidth="1" outlineLevel="1"/>
    <col min="31" max="31" width="1.28515625" hidden="1" customWidth="1" outlineLevel="1"/>
    <col min="32" max="32" width="6.85546875" hidden="1" customWidth="1" outlineLevel="1"/>
    <col min="33" max="33" width="1.28515625" hidden="1" customWidth="1" outlineLevel="1"/>
    <col min="34" max="34" width="5.7109375" hidden="1" customWidth="1" outlineLevel="1"/>
    <col min="35" max="35" width="1.85546875" hidden="1" customWidth="1" outlineLevel="1"/>
    <col min="36" max="36" width="5.7109375" hidden="1" customWidth="1" outlineLevel="1"/>
    <col min="37" max="37" width="1.85546875" hidden="1" customWidth="1" outlineLevel="1"/>
    <col min="38" max="38" width="6" hidden="1" customWidth="1" outlineLevel="1"/>
    <col min="39" max="39" width="1.28515625" hidden="1" customWidth="1" outlineLevel="1"/>
    <col min="40" max="40" width="6.85546875" hidden="1" customWidth="1" outlineLevel="1"/>
    <col min="41" max="41" width="1.28515625" hidden="1" customWidth="1" outlineLevel="1"/>
    <col min="42" max="42" width="5.7109375" hidden="1" customWidth="1" outlineLevel="1"/>
    <col min="43" max="43" width="1.85546875" hidden="1" customWidth="1" outlineLevel="1"/>
    <col min="44" max="44" width="5.7109375" hidden="1" customWidth="1" outlineLevel="1"/>
    <col min="45" max="45" width="1.85546875" hidden="1" customWidth="1" outlineLevel="1"/>
    <col min="46" max="46" width="6" hidden="1" customWidth="1" outlineLevel="1" collapsed="1"/>
    <col min="47" max="47" width="1.28515625" hidden="1" customWidth="1" outlineLevel="1"/>
    <col min="48" max="48" width="6.28515625" hidden="1" customWidth="1" outlineLevel="1"/>
    <col min="49" max="49" width="1.28515625" hidden="1" customWidth="1" outlineLevel="1"/>
    <col min="50" max="50" width="5.7109375" hidden="1" customWidth="1" outlineLevel="1"/>
    <col min="51" max="51" width="1.85546875" hidden="1" customWidth="1" outlineLevel="1"/>
    <col min="52" max="52" width="5.7109375" hidden="1" customWidth="1" outlineLevel="1"/>
    <col min="53" max="53" width="1.85546875" hidden="1" customWidth="1" outlineLevel="1"/>
    <col min="54" max="54" width="6" hidden="1" customWidth="1" outlineLevel="1"/>
    <col min="55" max="55" width="1.28515625" hidden="1" customWidth="1" outlineLevel="1"/>
    <col min="56" max="56" width="7.5703125" hidden="1" customWidth="1" outlineLevel="1"/>
    <col min="57" max="57" width="1.28515625" hidden="1" customWidth="1" outlineLevel="1"/>
    <col min="58" max="58" width="5.7109375" hidden="1" customWidth="1" outlineLevel="1"/>
    <col min="59" max="59" width="1.85546875" hidden="1" customWidth="1" outlineLevel="1"/>
    <col min="60" max="60" width="5.7109375" hidden="1" customWidth="1" outlineLevel="1"/>
    <col min="61" max="61" width="1.85546875" hidden="1" customWidth="1" outlineLevel="1"/>
    <col min="62" max="62" width="6" hidden="1" customWidth="1" outlineLevel="1"/>
    <col min="63" max="63" width="1.28515625" hidden="1" customWidth="1" outlineLevel="1"/>
    <col min="64" max="64" width="7.5703125" hidden="1" customWidth="1" outlineLevel="1"/>
    <col min="65" max="65" width="1.28515625" hidden="1" customWidth="1" outlineLevel="1"/>
    <col min="66" max="66" width="5.7109375" hidden="1" customWidth="1" outlineLevel="1"/>
    <col min="67" max="67" width="1.85546875" hidden="1" customWidth="1" outlineLevel="1"/>
    <col min="68" max="68" width="5.7109375" hidden="1" customWidth="1" outlineLevel="1"/>
    <col min="69" max="69" width="1.85546875" hidden="1" customWidth="1" outlineLevel="1"/>
    <col min="70" max="70" width="6" hidden="1" customWidth="1" outlineLevel="1"/>
    <col min="71" max="71" width="1.28515625" hidden="1" customWidth="1" outlineLevel="1"/>
    <col min="72" max="72" width="7.5703125" hidden="1" customWidth="1" outlineLevel="1"/>
    <col min="73" max="73" width="1.28515625" hidden="1" customWidth="1" outlineLevel="1"/>
    <col min="74" max="74" width="5.7109375" hidden="1" customWidth="1" outlineLevel="1"/>
    <col min="75" max="75" width="1.85546875" hidden="1" customWidth="1" outlineLevel="1"/>
    <col min="76" max="76" width="5.7109375" hidden="1" customWidth="1" outlineLevel="1"/>
    <col min="77" max="77" width="1.85546875" hidden="1" customWidth="1" outlineLevel="1"/>
    <col min="78" max="78" width="6" hidden="1" customWidth="1" outlineLevel="1"/>
    <col min="79" max="79" width="1.28515625" hidden="1" customWidth="1" outlineLevel="1"/>
    <col min="80" max="80" width="7.7109375" hidden="1" customWidth="1" outlineLevel="1"/>
    <col min="81" max="81" width="1.28515625" hidden="1" customWidth="1" outlineLevel="1"/>
    <col min="82" max="82" width="5.7109375" hidden="1" customWidth="1" outlineLevel="1"/>
    <col min="83" max="83" width="1.85546875" hidden="1" customWidth="1" outlineLevel="1"/>
    <col min="84" max="84" width="5.7109375" hidden="1" customWidth="1" outlineLevel="1"/>
    <col min="85" max="85" width="1.85546875" hidden="1" customWidth="1" outlineLevel="1"/>
    <col min="86" max="86" width="6" hidden="1" customWidth="1" outlineLevel="1" collapsed="1"/>
    <col min="87" max="87" width="1.28515625" hidden="1" customWidth="1" outlineLevel="1"/>
    <col min="88" max="88" width="8.140625" hidden="1" customWidth="1" outlineLevel="1"/>
    <col min="89" max="89" width="1.28515625" hidden="1" customWidth="1" outlineLevel="1"/>
    <col min="90" max="90" width="5.7109375" hidden="1" customWidth="1" outlineLevel="1"/>
    <col min="91" max="91" width="1.85546875" hidden="1" customWidth="1" outlineLevel="1"/>
    <col min="92" max="92" width="5.7109375" hidden="1" customWidth="1" outlineLevel="1"/>
    <col min="93" max="93" width="1.85546875" hidden="1" customWidth="1" outlineLevel="1"/>
    <col min="94" max="94" width="6" hidden="1" customWidth="1" outlineLevel="1" collapsed="1"/>
    <col min="95" max="95" width="1.28515625" hidden="1" customWidth="1" outlineLevel="1"/>
    <col min="96" max="96" width="8.28515625" hidden="1" customWidth="1" outlineLevel="1"/>
    <col min="97" max="97" width="1.28515625" hidden="1" customWidth="1" outlineLevel="1"/>
    <col min="98" max="98" width="5.7109375" hidden="1" customWidth="1" outlineLevel="1"/>
    <col min="99" max="99" width="1.85546875" hidden="1" customWidth="1" outlineLevel="1"/>
    <col min="100" max="100" width="5.7109375" hidden="1" customWidth="1" outlineLevel="1"/>
    <col min="101" max="101" width="1.85546875" hidden="1" customWidth="1" outlineLevel="1"/>
    <col min="102" max="102" width="6" hidden="1" customWidth="1" outlineLevel="1" collapsed="1"/>
    <col min="103" max="103" width="1.28515625" hidden="1" customWidth="1" outlineLevel="1"/>
    <col min="104" max="104" width="7.28515625" hidden="1" customWidth="1" outlineLevel="1"/>
    <col min="105" max="105" width="1.28515625" hidden="1" customWidth="1" outlineLevel="1"/>
    <col min="106" max="106" width="5.7109375" hidden="1" customWidth="1" outlineLevel="1"/>
    <col min="107" max="107" width="1.85546875" hidden="1" customWidth="1" outlineLevel="1"/>
    <col min="108" max="108" width="5.7109375" hidden="1" customWidth="1" outlineLevel="1"/>
    <col min="109" max="109" width="1.85546875" hidden="1" customWidth="1" outlineLevel="1"/>
    <col min="110" max="110" width="6" hidden="1" customWidth="1" outlineLevel="1" collapsed="1"/>
    <col min="111" max="111" width="1.28515625" hidden="1" customWidth="1" outlineLevel="1"/>
    <col min="112" max="112" width="7.28515625" hidden="1" customWidth="1" outlineLevel="1"/>
    <col min="113" max="113" width="1.28515625" hidden="1" customWidth="1" outlineLevel="1"/>
    <col min="114" max="114" width="5.7109375" hidden="1" customWidth="1" outlineLevel="1"/>
    <col min="115" max="115" width="1.85546875" hidden="1" customWidth="1" outlineLevel="1"/>
    <col min="116" max="116" width="5.7109375" hidden="1" customWidth="1" outlineLevel="1"/>
    <col min="117" max="117" width="1.85546875" hidden="1" customWidth="1" outlineLevel="1"/>
    <col min="118" max="118" width="6" hidden="1" customWidth="1" outlineLevel="1"/>
    <col min="119" max="119" width="1.28515625" hidden="1" customWidth="1" outlineLevel="1"/>
    <col min="120" max="120" width="7.28515625" hidden="1" customWidth="1" outlineLevel="1"/>
    <col min="121" max="121" width="1.28515625" hidden="1" customWidth="1" outlineLevel="1"/>
    <col min="122" max="122" width="5.7109375" hidden="1" customWidth="1" outlineLevel="1"/>
    <col min="123" max="123" width="1.85546875" hidden="1" customWidth="1" outlineLevel="1"/>
    <col min="124" max="124" width="5.7109375" hidden="1" customWidth="1" outlineLevel="1"/>
    <col min="125" max="125" width="1.85546875" hidden="1" customWidth="1" outlineLevel="1"/>
    <col min="126" max="126" width="6" hidden="1" customWidth="1" outlineLevel="1"/>
    <col min="127" max="127" width="1.28515625" hidden="1" customWidth="1" outlineLevel="1"/>
    <col min="128" max="128" width="7.28515625" hidden="1" customWidth="1" outlineLevel="1"/>
    <col min="129" max="129" width="1.28515625" hidden="1" customWidth="1" outlineLevel="1"/>
    <col min="130" max="130" width="5.7109375" hidden="1" customWidth="1" outlineLevel="1"/>
    <col min="131" max="131" width="1.85546875" hidden="1" customWidth="1" outlineLevel="1"/>
    <col min="132" max="132" width="5.7109375" hidden="1" customWidth="1" outlineLevel="1"/>
    <col min="133" max="133" width="1.85546875" hidden="1" customWidth="1" outlineLevel="1"/>
    <col min="134" max="134" width="6" hidden="1" customWidth="1" outlineLevel="1" collapsed="1"/>
    <col min="135" max="135" width="1.28515625" hidden="1" customWidth="1" outlineLevel="1"/>
    <col min="136" max="136" width="7.28515625" hidden="1" customWidth="1" outlineLevel="1"/>
    <col min="137" max="137" width="1.28515625" hidden="1" customWidth="1" outlineLevel="1"/>
    <col min="138" max="138" width="5.7109375" hidden="1" customWidth="1" outlineLevel="1"/>
    <col min="139" max="139" width="1.85546875" hidden="1" customWidth="1" outlineLevel="1"/>
    <col min="140" max="140" width="5.7109375" hidden="1" customWidth="1" outlineLevel="1"/>
    <col min="141" max="141" width="1.85546875" hidden="1" customWidth="1" outlineLevel="1"/>
    <col min="142" max="142" width="6" hidden="1" customWidth="1" outlineLevel="1"/>
    <col min="143" max="143" width="1.28515625" hidden="1" customWidth="1" outlineLevel="1"/>
    <col min="144" max="144" width="7.28515625" hidden="1" customWidth="1" outlineLevel="1"/>
    <col min="145" max="145" width="1.28515625" hidden="1" customWidth="1" outlineLevel="1"/>
    <col min="146" max="146" width="5.7109375" hidden="1" customWidth="1" outlineLevel="1"/>
    <col min="147" max="147" width="1.85546875" hidden="1" customWidth="1" outlineLevel="1"/>
    <col min="148" max="148" width="5.7109375" hidden="1" customWidth="1" outlineLevel="1"/>
    <col min="149" max="149" width="1.85546875" hidden="1" customWidth="1" outlineLevel="1"/>
    <col min="150" max="150" width="6" hidden="1" customWidth="1" outlineLevel="1"/>
    <col min="151" max="151" width="1.28515625" hidden="1" customWidth="1" outlineLevel="1"/>
    <col min="152" max="152" width="7.28515625" hidden="1" customWidth="1" outlineLevel="1"/>
    <col min="153" max="153" width="1.28515625" hidden="1" customWidth="1" outlineLevel="1"/>
    <col min="154" max="154" width="5.7109375" hidden="1" customWidth="1" outlineLevel="1"/>
    <col min="155" max="155" width="1.85546875" hidden="1" customWidth="1" outlineLevel="1"/>
    <col min="156" max="156" width="5.7109375" hidden="1" customWidth="1" outlineLevel="1"/>
    <col min="157" max="157" width="1.85546875" hidden="1" customWidth="1" outlineLevel="1"/>
    <col min="158" max="158" width="6" hidden="1" customWidth="1" outlineLevel="1"/>
    <col min="159" max="159" width="1.28515625" hidden="1" customWidth="1" outlineLevel="1"/>
    <col min="160" max="160" width="7.28515625" hidden="1" customWidth="1" outlineLevel="1"/>
    <col min="161" max="161" width="1.28515625" hidden="1" customWidth="1" outlineLevel="1"/>
    <col min="162" max="162" width="5.7109375" hidden="1" customWidth="1" outlineLevel="1"/>
    <col min="163" max="163" width="1.85546875" hidden="1" customWidth="1" outlineLevel="1"/>
    <col min="164" max="164" width="5.7109375" hidden="1" customWidth="1" outlineLevel="1"/>
    <col min="165" max="165" width="1.85546875" hidden="1" customWidth="1" outlineLevel="1"/>
    <col min="166" max="166" width="6" customWidth="1" collapsed="1"/>
    <col min="167" max="167" width="1.28515625" customWidth="1"/>
    <col min="168" max="168" width="8.7109375" customWidth="1"/>
    <col min="169" max="169" width="1.28515625" customWidth="1"/>
    <col min="170" max="170" width="5.7109375" customWidth="1"/>
    <col min="171" max="171" width="1.85546875" customWidth="1"/>
    <col min="172" max="172" width="5.7109375" customWidth="1"/>
    <col min="173" max="173" width="1.85546875" customWidth="1"/>
    <col min="174" max="174" width="6" customWidth="1"/>
    <col min="175" max="175" width="1.28515625" customWidth="1"/>
    <col min="176" max="176" width="8.7109375" customWidth="1"/>
    <col min="177" max="177" width="1.28515625" customWidth="1"/>
    <col min="178" max="178" width="5.7109375" customWidth="1"/>
    <col min="179" max="179" width="1.85546875" customWidth="1"/>
    <col min="180" max="180" width="5.7109375" customWidth="1"/>
    <col min="181" max="181" width="1.85546875" customWidth="1"/>
    <col min="182" max="182" width="6" customWidth="1"/>
    <col min="183" max="183" width="8.7109375" customWidth="1"/>
    <col min="184" max="185" width="5.7109375" customWidth="1"/>
    <col min="186" max="186" width="1.85546875" customWidth="1"/>
    <col min="187" max="187" width="5.42578125" customWidth="1"/>
    <col min="188" max="188" width="1.28515625" customWidth="1"/>
    <col min="189" max="189" width="8.7109375" customWidth="1"/>
    <col min="190" max="190" width="6.140625" customWidth="1"/>
    <col min="191" max="191" width="5.42578125" customWidth="1"/>
    <col min="192" max="192" width="1.85546875" customWidth="1"/>
    <col min="193" max="193" width="5.42578125" customWidth="1"/>
    <col min="194" max="194" width="1.28515625" customWidth="1"/>
    <col min="195" max="195" width="8.7109375" customWidth="1"/>
    <col min="196" max="196" width="6.140625" customWidth="1"/>
    <col min="197" max="197" width="5.42578125" customWidth="1"/>
    <col min="198" max="198" width="1.85546875" customWidth="1"/>
    <col min="199" max="199" width="5.42578125" customWidth="1"/>
    <col min="200" max="200" width="7.5703125" customWidth="1"/>
    <col min="201" max="201" width="6.140625" customWidth="1"/>
    <col min="202" max="202" width="5" customWidth="1"/>
    <col min="203" max="203" width="4.85546875" customWidth="1"/>
    <col min="204" max="204" width="1.85546875" customWidth="1"/>
    <col min="205" max="205" width="5.140625" customWidth="1"/>
    <col min="206" max="206" width="7.7109375" customWidth="1"/>
    <col min="207" max="207" width="5.5703125" customWidth="1"/>
    <col min="208" max="208" width="4.85546875" customWidth="1"/>
    <col min="209" max="209" width="5.28515625" customWidth="1"/>
    <col min="210" max="210" width="1.85546875" customWidth="1"/>
    <col min="211" max="211" width="5.42578125" customWidth="1"/>
    <col min="212" max="212" width="7.7109375" customWidth="1"/>
    <col min="213" max="213" width="4.28515625" customWidth="1"/>
    <col min="214" max="214" width="4.85546875" customWidth="1"/>
    <col min="215" max="215" width="5.28515625" customWidth="1"/>
    <col min="216" max="216" width="1.85546875" style="2702" customWidth="1"/>
    <col min="217" max="217" width="5" style="2702" customWidth="1"/>
    <col min="218" max="218" width="7.7109375" style="2702" customWidth="1"/>
    <col min="219" max="220" width="4.85546875" style="2702" customWidth="1"/>
    <col min="221" max="221" width="5.28515625" style="2702" customWidth="1"/>
    <col min="222" max="223" width="5.42578125" customWidth="1"/>
    <col min="224" max="224" width="1.85546875" customWidth="1"/>
    <col min="225" max="227" width="5.85546875" hidden="1" customWidth="1" outlineLevel="1"/>
    <col min="228" max="230" width="5.7109375" hidden="1" customWidth="1" outlineLevel="1"/>
    <col min="231" max="231" width="5.7109375" customWidth="1" collapsed="1"/>
    <col min="232" max="232" width="5.28515625" customWidth="1"/>
    <col min="233" max="233" width="5" customWidth="1"/>
    <col min="234" max="234" width="5.140625" customWidth="1"/>
    <col min="235" max="236" width="5.42578125" customWidth="1"/>
    <col min="237" max="237" width="5.28515625" customWidth="1"/>
    <col min="238" max="241" width="5.7109375" hidden="1" customWidth="1" outlineLevel="1"/>
    <col min="242" max="242" width="3.7109375" hidden="1" customWidth="1" outlineLevel="1"/>
    <col min="243" max="247" width="5.7109375" hidden="1" customWidth="1" outlineLevel="1"/>
    <col min="248" max="248" width="3.7109375" hidden="1" customWidth="1" outlineLevel="1"/>
    <col min="249" max="249" width="4.7109375" hidden="1" customWidth="1" outlineLevel="1"/>
    <col min="250" max="253" width="5.7109375" hidden="1" customWidth="1" outlineLevel="1"/>
    <col min="254" max="254" width="3.7109375" hidden="1" customWidth="1" outlineLevel="1"/>
    <col min="255" max="259" width="5.7109375" hidden="1" customWidth="1" outlineLevel="1"/>
    <col min="260" max="261" width="5.7109375" hidden="1" customWidth="1"/>
    <col min="263" max="263" width="5.85546875" customWidth="1"/>
  </cols>
  <sheetData>
    <row r="1" spans="1:263" s="215" customFormat="1">
      <c r="A1" s="215" t="str">
        <f>sumry!A1&amp;" Total Company"</f>
        <v>L Brands Inc. Total Company</v>
      </c>
      <c r="C1" s="216"/>
      <c r="F1" s="217"/>
      <c r="K1" s="217"/>
      <c r="L1" s="218"/>
      <c r="M1" s="218"/>
      <c r="N1" s="217"/>
      <c r="S1" s="217"/>
      <c r="T1" s="218"/>
      <c r="U1" s="218"/>
      <c r="V1" s="217"/>
      <c r="AA1" s="217"/>
      <c r="AB1" s="218"/>
      <c r="AC1" s="218"/>
      <c r="AD1" s="217"/>
      <c r="AI1" s="217"/>
      <c r="AJ1" s="218"/>
      <c r="AK1" s="218"/>
      <c r="AL1" s="217"/>
      <c r="AQ1" s="217"/>
      <c r="AR1" s="218"/>
      <c r="AS1" s="218"/>
      <c r="AT1" s="217"/>
      <c r="AY1" s="217"/>
      <c r="AZ1" s="218"/>
      <c r="BA1" s="218"/>
      <c r="BB1" s="217"/>
      <c r="BG1" s="217"/>
      <c r="BH1" s="218"/>
      <c r="BI1" s="218"/>
      <c r="BJ1" s="217"/>
      <c r="BO1" s="217"/>
      <c r="BP1" s="218"/>
      <c r="BQ1" s="218"/>
      <c r="BR1" s="217"/>
      <c r="BW1" s="217"/>
      <c r="BX1" s="218"/>
      <c r="BY1" s="218"/>
      <c r="BZ1" s="217"/>
      <c r="CE1" s="217"/>
      <c r="CF1" s="218"/>
      <c r="CG1" s="218"/>
      <c r="CH1" s="217"/>
      <c r="CM1" s="217"/>
      <c r="CN1" s="218"/>
      <c r="CO1" s="218"/>
      <c r="CP1" s="217"/>
      <c r="CU1" s="217"/>
      <c r="CV1" s="218"/>
      <c r="CW1" s="218"/>
      <c r="CX1" s="217"/>
      <c r="DC1" s="217"/>
      <c r="DD1" s="218"/>
      <c r="DE1" s="218"/>
      <c r="DF1" s="217"/>
      <c r="DK1" s="217"/>
      <c r="DL1" s="218"/>
      <c r="DM1" s="218"/>
      <c r="DN1" s="217"/>
      <c r="DS1" s="217"/>
      <c r="DT1" s="218"/>
      <c r="DU1" s="218"/>
      <c r="DV1" s="217"/>
      <c r="EA1" s="217"/>
      <c r="EB1" s="218"/>
      <c r="EC1" s="218"/>
      <c r="ED1" s="217"/>
      <c r="EI1" s="217"/>
      <c r="EJ1" s="218"/>
      <c r="EK1" s="218"/>
      <c r="EL1" s="217"/>
      <c r="EQ1" s="217"/>
      <c r="ER1" s="218"/>
      <c r="ES1" s="218"/>
      <c r="ET1" s="217"/>
      <c r="EY1" s="217"/>
      <c r="EZ1" s="218"/>
      <c r="FA1" s="218"/>
      <c r="FB1" s="217"/>
      <c r="FG1" s="217"/>
      <c r="FH1" s="218"/>
      <c r="FI1" s="218"/>
      <c r="FJ1" s="217"/>
      <c r="FO1" s="217"/>
      <c r="FP1" s="218"/>
      <c r="FQ1" s="218"/>
      <c r="FR1" s="217"/>
      <c r="FW1" s="217"/>
      <c r="FX1" s="218"/>
      <c r="FY1" s="218"/>
      <c r="FZ1" s="217"/>
      <c r="GC1" s="218"/>
      <c r="GD1" s="218"/>
      <c r="GE1" s="218"/>
      <c r="GF1" s="218"/>
      <c r="GG1" s="218"/>
      <c r="GH1" s="218"/>
      <c r="GI1" s="218"/>
      <c r="GJ1" s="218"/>
      <c r="GK1" s="218"/>
      <c r="GL1" s="218"/>
      <c r="GM1" s="218"/>
      <c r="GN1" s="218"/>
      <c r="GO1" s="218"/>
      <c r="GP1" s="218"/>
      <c r="GQ1" s="218"/>
      <c r="GR1" s="218"/>
      <c r="GS1" s="218"/>
      <c r="GT1" s="218"/>
      <c r="GU1" s="218"/>
      <c r="GV1" s="218"/>
      <c r="GW1" s="218"/>
      <c r="GX1" s="218"/>
      <c r="GY1" s="218"/>
      <c r="GZ1" s="218"/>
      <c r="HA1" s="218"/>
      <c r="HB1" s="218"/>
      <c r="HC1" s="218"/>
      <c r="HD1" s="218"/>
      <c r="HE1" s="218"/>
      <c r="HF1" s="218"/>
      <c r="HG1" s="218"/>
      <c r="HH1" s="218"/>
      <c r="HI1" s="218"/>
      <c r="HJ1" s="218"/>
      <c r="HK1" s="218"/>
      <c r="HL1" s="218"/>
      <c r="HM1" s="218"/>
      <c r="HN1" s="218"/>
      <c r="HO1" s="218"/>
      <c r="HP1" s="218"/>
      <c r="HQ1" s="218"/>
      <c r="HR1" s="218"/>
      <c r="HS1" s="218"/>
      <c r="HT1" s="218"/>
      <c r="HU1" s="218"/>
      <c r="HV1" s="218"/>
      <c r="HW1" s="218"/>
      <c r="HX1" s="218"/>
      <c r="HY1" s="218"/>
      <c r="HZ1" s="218"/>
      <c r="IA1" s="218"/>
      <c r="IB1" s="218"/>
      <c r="IC1" s="218"/>
      <c r="ID1" s="218"/>
      <c r="IE1" s="218"/>
      <c r="IF1" s="218"/>
      <c r="IG1" s="218"/>
      <c r="IH1" s="218"/>
      <c r="II1" s="218"/>
      <c r="IJ1" s="218"/>
      <c r="IK1" s="218"/>
      <c r="IL1" s="218"/>
      <c r="IM1" s="218"/>
      <c r="IN1" s="218"/>
      <c r="IO1" s="218"/>
      <c r="IP1" s="218"/>
      <c r="IQ1" s="218"/>
      <c r="IR1" s="218"/>
      <c r="IS1" s="218"/>
      <c r="IT1" s="218"/>
      <c r="IU1" s="218"/>
      <c r="IV1" s="218"/>
      <c r="IW1" s="218"/>
      <c r="IX1" s="218"/>
      <c r="IY1" s="218"/>
    </row>
    <row r="2" spans="1:263" s="215" customFormat="1">
      <c r="A2" s="220" t="s">
        <v>850</v>
      </c>
      <c r="B2" s="220"/>
      <c r="C2" s="221"/>
      <c r="D2" s="220"/>
      <c r="E2" s="220"/>
      <c r="F2" s="222"/>
      <c r="G2" s="220"/>
      <c r="H2" s="220"/>
      <c r="I2" s="220"/>
      <c r="J2" s="220"/>
      <c r="K2" s="222"/>
      <c r="L2" s="220"/>
      <c r="M2" s="220"/>
      <c r="N2" s="222"/>
      <c r="O2" s="220"/>
      <c r="P2" s="220"/>
      <c r="Q2" s="220"/>
      <c r="R2" s="220"/>
      <c r="S2" s="222"/>
      <c r="T2" s="220"/>
      <c r="U2" s="220"/>
      <c r="V2" s="222"/>
      <c r="W2" s="220"/>
      <c r="X2" s="220"/>
      <c r="Y2" s="220"/>
      <c r="Z2" s="220"/>
      <c r="AA2" s="222"/>
      <c r="AB2" s="220"/>
      <c r="AC2" s="220"/>
      <c r="AD2" s="222"/>
      <c r="AE2" s="220"/>
      <c r="AF2" s="220"/>
      <c r="AG2" s="220"/>
      <c r="AH2" s="220"/>
      <c r="AI2" s="222"/>
      <c r="AJ2" s="220"/>
      <c r="AK2" s="220"/>
      <c r="AL2" s="222"/>
      <c r="AM2" s="220"/>
      <c r="AN2" s="220"/>
      <c r="AO2" s="220"/>
      <c r="AP2" s="220"/>
      <c r="AQ2" s="222"/>
      <c r="AR2" s="220"/>
      <c r="AS2" s="220"/>
      <c r="AT2" s="222"/>
      <c r="AU2" s="220"/>
      <c r="AV2" s="220"/>
      <c r="AW2" s="220"/>
      <c r="AX2" s="220"/>
      <c r="AY2" s="222"/>
      <c r="AZ2" s="220"/>
      <c r="BA2" s="220"/>
      <c r="BB2" s="222"/>
      <c r="BC2" s="220"/>
      <c r="BD2" s="220"/>
      <c r="BE2" s="220"/>
      <c r="BF2" s="220"/>
      <c r="BG2" s="222"/>
      <c r="BH2" s="220"/>
      <c r="BI2" s="220"/>
      <c r="BJ2" s="222"/>
      <c r="BK2" s="220"/>
      <c r="BL2" s="220"/>
      <c r="BM2" s="220"/>
      <c r="BN2" s="220"/>
      <c r="BO2" s="222"/>
      <c r="BP2" s="220"/>
      <c r="BQ2" s="220"/>
      <c r="BR2" s="222"/>
      <c r="BS2" s="220"/>
      <c r="BT2" s="220"/>
      <c r="BU2" s="220"/>
      <c r="BV2" s="220"/>
      <c r="BW2" s="222"/>
      <c r="BX2" s="220"/>
      <c r="BY2" s="220"/>
      <c r="BZ2" s="222"/>
      <c r="CA2" s="220"/>
      <c r="CB2" s="220"/>
      <c r="CC2" s="220"/>
      <c r="CD2" s="220"/>
      <c r="CE2" s="222"/>
      <c r="CF2" s="220"/>
      <c r="CG2" s="220"/>
      <c r="CH2" s="222"/>
      <c r="CI2" s="220"/>
      <c r="CJ2" s="220"/>
      <c r="CK2" s="220"/>
      <c r="CL2" s="220"/>
      <c r="CM2" s="222"/>
      <c r="CN2" s="220"/>
      <c r="CO2" s="220"/>
      <c r="CP2" s="222"/>
      <c r="CQ2" s="220"/>
      <c r="CR2" s="220"/>
      <c r="CS2" s="220"/>
      <c r="CT2" s="220"/>
      <c r="CU2" s="222"/>
      <c r="CV2" s="220"/>
      <c r="CW2" s="220"/>
      <c r="CX2" s="222"/>
      <c r="CY2" s="220"/>
      <c r="CZ2" s="220"/>
      <c r="DA2" s="220"/>
      <c r="DB2" s="220"/>
      <c r="DC2" s="222"/>
      <c r="DD2" s="220"/>
      <c r="DE2" s="220"/>
      <c r="DF2" s="222"/>
      <c r="DG2" s="220"/>
      <c r="DH2" s="220"/>
      <c r="DI2" s="220"/>
      <c r="DJ2" s="220"/>
      <c r="DK2" s="222"/>
      <c r="DL2" s="220"/>
      <c r="DM2" s="220"/>
      <c r="DN2" s="222"/>
      <c r="DO2" s="220"/>
      <c r="DP2" s="220"/>
      <c r="DQ2" s="220"/>
      <c r="DR2" s="220"/>
      <c r="DS2" s="222"/>
      <c r="DT2" s="220"/>
      <c r="DU2" s="218"/>
      <c r="DV2" s="222"/>
      <c r="DW2" s="220"/>
      <c r="DX2" s="220"/>
      <c r="DY2" s="220"/>
      <c r="DZ2" s="220"/>
      <c r="EA2" s="222"/>
      <c r="EB2" s="220"/>
      <c r="EC2" s="218"/>
      <c r="ED2" s="222"/>
      <c r="EE2" s="220"/>
      <c r="EF2" s="220"/>
      <c r="EG2" s="220"/>
      <c r="EH2" s="220"/>
      <c r="EI2" s="222"/>
      <c r="EJ2" s="220"/>
      <c r="EK2" s="218"/>
      <c r="EL2" s="222"/>
      <c r="EM2" s="220"/>
      <c r="EN2" s="220"/>
      <c r="EO2" s="220"/>
      <c r="EP2" s="220"/>
      <c r="EQ2" s="222"/>
      <c r="ER2" s="220"/>
      <c r="ES2" s="218"/>
      <c r="ET2" s="222"/>
      <c r="EU2" s="220"/>
      <c r="EV2" s="220"/>
      <c r="EW2" s="220"/>
      <c r="EX2" s="220"/>
      <c r="EY2" s="222"/>
      <c r="EZ2" s="220"/>
      <c r="FA2" s="218"/>
      <c r="FB2" s="222"/>
      <c r="FC2" s="220"/>
      <c r="FD2" s="220"/>
      <c r="FE2" s="220"/>
      <c r="FF2" s="220"/>
      <c r="FG2" s="222"/>
      <c r="FH2" s="220"/>
      <c r="FI2" s="218"/>
      <c r="FJ2" s="222"/>
      <c r="FK2" s="220"/>
      <c r="FL2" s="220"/>
      <c r="FM2" s="220"/>
      <c r="FN2" s="220"/>
      <c r="FO2" s="222"/>
      <c r="FP2" s="220"/>
      <c r="FQ2" s="218"/>
      <c r="FR2" s="222"/>
      <c r="FS2" s="220"/>
      <c r="FT2" s="220"/>
      <c r="FU2" s="220"/>
      <c r="FV2" s="220"/>
      <c r="FW2" s="222"/>
      <c r="FX2" s="220"/>
      <c r="FY2" s="218"/>
      <c r="FZ2" s="222"/>
      <c r="GA2" s="220"/>
      <c r="GB2" s="220"/>
      <c r="GC2" s="220"/>
      <c r="GD2" s="218"/>
      <c r="GE2" s="220"/>
      <c r="GF2" s="220"/>
      <c r="GG2" s="220"/>
      <c r="GH2" s="220"/>
      <c r="GI2" s="220"/>
      <c r="GJ2" s="218"/>
      <c r="GK2" s="220"/>
      <c r="GL2" s="220"/>
      <c r="GM2" s="220"/>
      <c r="GN2" s="220"/>
      <c r="GO2" s="220"/>
      <c r="GP2" s="218"/>
      <c r="GQ2" s="220"/>
      <c r="GR2" s="220"/>
      <c r="GS2" s="220"/>
      <c r="GT2" s="220"/>
      <c r="GU2" s="218"/>
      <c r="GV2" s="218"/>
      <c r="GW2" s="220"/>
      <c r="GX2" s="220"/>
      <c r="GY2" s="220"/>
      <c r="GZ2" s="220"/>
      <c r="HA2" s="218"/>
      <c r="HB2" s="218"/>
      <c r="HC2" s="220"/>
      <c r="HD2" s="220"/>
      <c r="HE2" s="220"/>
      <c r="HF2" s="220"/>
      <c r="HG2" s="218"/>
      <c r="HH2" s="218"/>
      <c r="HI2" s="220"/>
      <c r="HJ2" s="220"/>
      <c r="HK2" s="220"/>
      <c r="HL2" s="220"/>
      <c r="HM2" s="218"/>
      <c r="HN2" s="218"/>
      <c r="HO2" s="218"/>
      <c r="HP2" s="218"/>
      <c r="HQ2" s="218"/>
      <c r="HR2" s="218"/>
      <c r="HS2" s="218"/>
      <c r="HT2" s="218"/>
      <c r="HU2" s="218"/>
      <c r="HV2" s="218"/>
      <c r="HW2" s="218"/>
      <c r="HX2" s="218"/>
      <c r="HY2" s="218"/>
      <c r="HZ2" s="218"/>
      <c r="IA2" s="218"/>
      <c r="IB2" s="218"/>
      <c r="IC2" s="218"/>
      <c r="ID2" s="218"/>
      <c r="IE2" s="218"/>
      <c r="IF2" s="218"/>
      <c r="IG2" s="218"/>
      <c r="IH2" s="218"/>
      <c r="II2" s="218"/>
      <c r="IJ2" s="218"/>
      <c r="IK2" s="218"/>
      <c r="IL2" s="218"/>
      <c r="IM2" s="218"/>
      <c r="IN2" s="218"/>
      <c r="IO2" s="218"/>
      <c r="IP2" s="218"/>
      <c r="IQ2" s="218"/>
      <c r="IR2" s="218"/>
      <c r="IS2" s="218"/>
      <c r="IT2" s="218"/>
      <c r="IU2" s="218"/>
      <c r="IV2" s="218"/>
      <c r="IW2" s="218"/>
      <c r="IX2" s="218"/>
      <c r="IY2" s="218"/>
    </row>
    <row r="3" spans="1:263" s="168" customFormat="1" ht="11.25">
      <c r="A3" s="223" t="s">
        <v>1182</v>
      </c>
      <c r="B3" s="223"/>
    </row>
    <row r="4" spans="1:263" s="168" customFormat="1" ht="11.25"/>
    <row r="5" spans="1:263" s="207" customFormat="1" ht="12.75" customHeight="1">
      <c r="G5" s="208"/>
      <c r="H5" s="208">
        <v>1990</v>
      </c>
      <c r="I5" s="208"/>
      <c r="J5" s="208"/>
      <c r="K5" s="208"/>
      <c r="L5" s="208"/>
      <c r="N5" s="209">
        <f>H5+1</f>
        <v>1991</v>
      </c>
      <c r="O5" s="208"/>
      <c r="P5" s="208"/>
      <c r="Q5" s="208"/>
      <c r="R5" s="208"/>
      <c r="S5" s="208"/>
      <c r="T5" s="208"/>
      <c r="V5" s="209">
        <f>N5+1</f>
        <v>1992</v>
      </c>
      <c r="W5" s="208"/>
      <c r="X5" s="209"/>
      <c r="Y5" s="208"/>
      <c r="Z5" s="208"/>
      <c r="AA5" s="208"/>
      <c r="AB5" s="208"/>
      <c r="AD5" s="209">
        <f>V5+1</f>
        <v>1993</v>
      </c>
      <c r="AE5" s="208"/>
      <c r="AF5" s="208"/>
      <c r="AG5" s="208"/>
      <c r="AH5" s="208"/>
      <c r="AI5" s="208"/>
      <c r="AJ5" s="208"/>
      <c r="AL5" s="209">
        <f>AD5+1</f>
        <v>1994</v>
      </c>
      <c r="AM5" s="208"/>
      <c r="AN5" s="208"/>
      <c r="AO5" s="208"/>
      <c r="AP5" s="208"/>
      <c r="AQ5" s="208"/>
      <c r="AR5" s="208"/>
      <c r="AT5" s="209">
        <f>AL5+1</f>
        <v>1995</v>
      </c>
      <c r="AU5" s="208"/>
      <c r="AV5" s="208"/>
      <c r="AW5" s="208"/>
      <c r="AX5" s="208"/>
      <c r="AY5" s="208"/>
      <c r="AZ5" s="208"/>
      <c r="BB5" s="209">
        <f>AT5+1</f>
        <v>1996</v>
      </c>
      <c r="BC5" s="208"/>
      <c r="BD5" s="208"/>
      <c r="BE5" s="208"/>
      <c r="BF5" s="208"/>
      <c r="BG5" s="208"/>
      <c r="BH5" s="208"/>
      <c r="BJ5" s="209">
        <f>BB5+1</f>
        <v>1997</v>
      </c>
      <c r="BK5" s="208"/>
      <c r="BL5" s="208"/>
      <c r="BM5" s="208"/>
      <c r="BN5" s="208"/>
      <c r="BO5" s="208"/>
      <c r="BP5" s="208"/>
      <c r="BR5" s="209">
        <f>BJ5+1</f>
        <v>1998</v>
      </c>
      <c r="BS5" s="208"/>
      <c r="BT5" s="208"/>
      <c r="BU5" s="208"/>
      <c r="BV5" s="208"/>
      <c r="BW5" s="208"/>
      <c r="BX5" s="208"/>
      <c r="BZ5" s="209">
        <f>BR5+1</f>
        <v>1999</v>
      </c>
      <c r="CA5" s="208"/>
      <c r="CB5" s="208"/>
      <c r="CC5" s="208"/>
      <c r="CD5" s="208"/>
      <c r="CE5" s="208"/>
      <c r="CF5" s="208"/>
      <c r="CH5" s="209">
        <f>BZ5+1</f>
        <v>2000</v>
      </c>
      <c r="CI5" s="208"/>
      <c r="CJ5" s="208"/>
      <c r="CK5" s="208"/>
      <c r="CL5" s="208"/>
      <c r="CM5" s="208"/>
      <c r="CN5" s="208"/>
      <c r="CP5" s="209">
        <f>CH5+1</f>
        <v>2001</v>
      </c>
      <c r="CQ5" s="208"/>
      <c r="CR5" s="208"/>
      <c r="CS5" s="208"/>
      <c r="CT5" s="208"/>
      <c r="CU5" s="208"/>
      <c r="CV5" s="208"/>
      <c r="CX5" s="209">
        <f>CP5+1</f>
        <v>2002</v>
      </c>
      <c r="CY5" s="208"/>
      <c r="CZ5" s="208"/>
      <c r="DA5" s="208"/>
      <c r="DB5" s="208"/>
      <c r="DC5" s="208"/>
      <c r="DD5" s="208"/>
      <c r="DF5" s="209">
        <f>CX5+1</f>
        <v>2003</v>
      </c>
      <c r="DG5" s="208"/>
      <c r="DH5" s="208"/>
      <c r="DI5" s="208"/>
      <c r="DJ5" s="208"/>
      <c r="DK5" s="208"/>
      <c r="DL5" s="208"/>
      <c r="DN5" s="209">
        <f>DF5+1</f>
        <v>2004</v>
      </c>
      <c r="DO5" s="208"/>
      <c r="DP5" s="208"/>
      <c r="DQ5" s="208"/>
      <c r="DR5" s="208"/>
      <c r="DS5" s="208"/>
      <c r="DT5" s="208"/>
      <c r="DV5" s="585">
        <f>DN5+1</f>
        <v>2005</v>
      </c>
      <c r="DW5" s="208"/>
      <c r="DX5" s="208"/>
      <c r="DY5" s="208"/>
      <c r="DZ5" s="208"/>
      <c r="EA5" s="208"/>
      <c r="EB5" s="208"/>
      <c r="ED5" s="585">
        <f>DV5+1</f>
        <v>2006</v>
      </c>
      <c r="EE5" s="208"/>
      <c r="EF5" s="208"/>
      <c r="EG5" s="208"/>
      <c r="EH5" s="208"/>
      <c r="EI5" s="208"/>
      <c r="EJ5" s="208"/>
      <c r="EL5" s="585">
        <f>ED5+1</f>
        <v>2007</v>
      </c>
      <c r="EM5" s="208"/>
      <c r="EN5" s="208"/>
      <c r="EO5" s="208"/>
      <c r="EP5" s="208"/>
      <c r="EQ5" s="208"/>
      <c r="ER5" s="208"/>
      <c r="ET5" s="585">
        <f>EL5+1</f>
        <v>2008</v>
      </c>
      <c r="EU5" s="208"/>
      <c r="EV5" s="208"/>
      <c r="EW5" s="208"/>
      <c r="EX5" s="208"/>
      <c r="EY5" s="208"/>
      <c r="EZ5" s="208"/>
      <c r="FB5" s="585">
        <f>ET5+1</f>
        <v>2009</v>
      </c>
      <c r="FC5" s="208"/>
      <c r="FD5" s="208"/>
      <c r="FE5" s="208"/>
      <c r="FF5" s="208"/>
      <c r="FG5" s="208"/>
      <c r="FH5" s="208"/>
      <c r="FJ5" s="585">
        <f>FB5+1</f>
        <v>2010</v>
      </c>
      <c r="FK5" s="208"/>
      <c r="FL5" s="208"/>
      <c r="FM5" s="208"/>
      <c r="FN5" s="208"/>
      <c r="FO5" s="208"/>
      <c r="FP5" s="208"/>
      <c r="FR5" s="585">
        <f>FJ5+1</f>
        <v>2011</v>
      </c>
      <c r="FS5" s="208"/>
      <c r="FT5" s="208"/>
      <c r="FU5" s="208"/>
      <c r="FV5" s="208"/>
      <c r="FW5" s="208"/>
      <c r="FX5" s="208"/>
      <c r="FZ5" s="209">
        <f>FR5+1</f>
        <v>2012</v>
      </c>
      <c r="GA5" s="208"/>
      <c r="GB5" s="208"/>
      <c r="GC5" s="208"/>
      <c r="GE5" s="209">
        <f>FZ5+1</f>
        <v>2013</v>
      </c>
      <c r="GF5" s="208"/>
      <c r="GG5" s="208"/>
      <c r="GH5" s="208"/>
      <c r="GI5" s="208"/>
      <c r="GK5" s="2912">
        <f>GE5+1</f>
        <v>2014</v>
      </c>
      <c r="GL5" s="2912"/>
      <c r="GM5" s="2912"/>
      <c r="GN5" s="2912"/>
      <c r="GO5" s="2912"/>
      <c r="GQ5" s="2912">
        <f>GK5+1</f>
        <v>2015</v>
      </c>
      <c r="GR5" s="2912"/>
      <c r="GS5" s="2912"/>
      <c r="GT5" s="2912"/>
      <c r="GU5" s="1182"/>
      <c r="GV5" s="1182"/>
      <c r="GW5" s="2912">
        <f>GQ5+1</f>
        <v>2016</v>
      </c>
      <c r="GX5" s="2912"/>
      <c r="GY5" s="2912"/>
      <c r="GZ5" s="2912"/>
      <c r="HA5" s="1182"/>
      <c r="HB5" s="1182"/>
      <c r="HC5" s="2912" t="s">
        <v>1332</v>
      </c>
      <c r="HD5" s="2912"/>
      <c r="HE5" s="2912"/>
      <c r="HF5" s="2912"/>
      <c r="HG5" s="1182"/>
      <c r="HH5" s="1182"/>
      <c r="HI5" s="2912" t="s">
        <v>299</v>
      </c>
      <c r="HJ5" s="2912"/>
      <c r="HK5" s="2912"/>
      <c r="HL5" s="2912"/>
      <c r="HM5" s="1182"/>
      <c r="HN5" s="1182"/>
    </row>
    <row r="6" spans="1:263" s="69" customFormat="1" ht="11.25">
      <c r="A6" s="207"/>
      <c r="B6" s="207"/>
      <c r="C6" s="207"/>
      <c r="D6" s="207"/>
      <c r="E6" s="207"/>
      <c r="F6" s="207"/>
      <c r="G6" s="207"/>
      <c r="H6" s="207"/>
      <c r="I6" s="207"/>
      <c r="J6" s="230"/>
      <c r="K6" s="230" t="s">
        <v>1184</v>
      </c>
      <c r="L6" s="230"/>
      <c r="M6" s="207"/>
      <c r="N6" s="207"/>
      <c r="O6" s="207"/>
      <c r="P6" s="207"/>
      <c r="Q6" s="207"/>
      <c r="R6" s="230"/>
      <c r="S6" s="230" t="s">
        <v>1184</v>
      </c>
      <c r="T6" s="230"/>
      <c r="U6" s="207"/>
      <c r="V6" s="207"/>
      <c r="W6" s="207"/>
      <c r="X6" s="207"/>
      <c r="Y6" s="207"/>
      <c r="Z6" s="230"/>
      <c r="AA6" s="230" t="s">
        <v>1184</v>
      </c>
      <c r="AB6" s="230"/>
      <c r="AC6" s="207"/>
      <c r="AD6" s="207"/>
      <c r="AE6" s="207"/>
      <c r="AF6" s="207"/>
      <c r="AG6" s="207"/>
      <c r="AH6" s="230"/>
      <c r="AI6" s="230" t="s">
        <v>1184</v>
      </c>
      <c r="AJ6" s="230"/>
      <c r="AK6" s="207"/>
      <c r="AL6" s="207"/>
      <c r="AM6" s="207"/>
      <c r="AN6" s="207"/>
      <c r="AO6" s="207"/>
      <c r="AP6" s="230"/>
      <c r="AQ6" s="230" t="s">
        <v>1184</v>
      </c>
      <c r="AR6" s="230"/>
      <c r="AS6" s="207"/>
      <c r="AT6" s="207"/>
      <c r="AU6" s="207"/>
      <c r="AV6" s="207"/>
      <c r="AW6" s="207"/>
      <c r="AX6" s="230"/>
      <c r="AY6" s="230" t="s">
        <v>1184</v>
      </c>
      <c r="AZ6" s="230"/>
      <c r="BA6" s="207"/>
      <c r="BB6" s="207"/>
      <c r="BC6" s="207"/>
      <c r="BD6" s="207"/>
      <c r="BE6" s="207"/>
      <c r="BF6" s="230"/>
      <c r="BG6" s="230" t="s">
        <v>1184</v>
      </c>
      <c r="BH6" s="230"/>
      <c r="BI6" s="207"/>
      <c r="BJ6" s="207"/>
      <c r="BK6" s="207"/>
      <c r="BL6" s="207"/>
      <c r="BM6" s="207"/>
      <c r="BN6" s="230"/>
      <c r="BO6" s="230" t="s">
        <v>1184</v>
      </c>
      <c r="BP6" s="230"/>
      <c r="BQ6" s="207"/>
      <c r="BR6" s="207"/>
      <c r="BS6" s="207"/>
      <c r="BT6" s="207"/>
      <c r="BU6" s="207"/>
      <c r="BV6" s="230"/>
      <c r="BW6" s="230" t="s">
        <v>1184</v>
      </c>
      <c r="BX6" s="230"/>
      <c r="BY6" s="207"/>
      <c r="BZ6" s="207"/>
      <c r="CA6" s="207"/>
      <c r="CB6" s="207"/>
      <c r="CC6" s="207"/>
      <c r="CD6" s="230"/>
      <c r="CE6" s="230" t="s">
        <v>1184</v>
      </c>
      <c r="CF6" s="230"/>
      <c r="CG6" s="207"/>
      <c r="CH6" s="207"/>
      <c r="CI6" s="207"/>
      <c r="CJ6" s="207"/>
      <c r="CK6" s="207"/>
      <c r="CL6" s="230"/>
      <c r="CM6" s="230" t="s">
        <v>1184</v>
      </c>
      <c r="CN6" s="230"/>
      <c r="CO6" s="207"/>
      <c r="CP6" s="207"/>
      <c r="CQ6" s="207"/>
      <c r="CR6" s="207"/>
      <c r="CS6" s="207"/>
      <c r="CT6" s="230"/>
      <c r="CU6" s="230" t="s">
        <v>1184</v>
      </c>
      <c r="CV6" s="230"/>
      <c r="CW6" s="207"/>
      <c r="CX6" s="207"/>
      <c r="DB6" s="68"/>
      <c r="DC6" s="68" t="s">
        <v>1184</v>
      </c>
      <c r="DD6" s="68"/>
      <c r="DF6" s="207"/>
      <c r="DJ6" s="68"/>
      <c r="DK6" s="68" t="s">
        <v>1184</v>
      </c>
      <c r="DL6" s="68"/>
      <c r="DN6" s="207"/>
      <c r="DR6" s="68"/>
      <c r="DS6" s="68" t="s">
        <v>1184</v>
      </c>
      <c r="DT6" s="68"/>
      <c r="DV6" s="207"/>
      <c r="DZ6" s="68"/>
      <c r="EA6" s="68" t="s">
        <v>1184</v>
      </c>
      <c r="EB6" s="68"/>
      <c r="ED6" s="207"/>
      <c r="EH6" s="68"/>
      <c r="EI6" s="68" t="s">
        <v>1184</v>
      </c>
      <c r="EJ6" s="68"/>
      <c r="EL6" s="207"/>
      <c r="EP6" s="68"/>
      <c r="EQ6" s="68" t="s">
        <v>1184</v>
      </c>
      <c r="ER6" s="68"/>
      <c r="ET6" s="207"/>
      <c r="EX6" s="68"/>
      <c r="EY6" s="68" t="s">
        <v>1184</v>
      </c>
      <c r="EZ6" s="68"/>
      <c r="FB6" s="207"/>
      <c r="FF6" s="68"/>
      <c r="FG6" s="68" t="s">
        <v>1184</v>
      </c>
      <c r="FH6" s="68"/>
      <c r="FJ6" s="207"/>
      <c r="FN6" s="68"/>
      <c r="FO6" s="68" t="s">
        <v>1184</v>
      </c>
      <c r="FP6" s="68"/>
      <c r="FR6" s="207"/>
      <c r="FV6" s="68"/>
      <c r="FW6" s="68" t="s">
        <v>1184</v>
      </c>
      <c r="FX6" s="68"/>
      <c r="FZ6" s="207"/>
      <c r="GB6" s="68"/>
      <c r="GC6" s="68"/>
      <c r="GE6" s="207"/>
      <c r="GH6" s="68"/>
      <c r="GI6" s="68"/>
      <c r="GK6" s="207"/>
      <c r="GN6" s="68" t="s">
        <v>1184</v>
      </c>
      <c r="GO6" s="68"/>
      <c r="GQ6" s="207"/>
      <c r="GS6" s="82" t="s">
        <v>1184</v>
      </c>
      <c r="GT6" s="68"/>
      <c r="GU6" s="70"/>
      <c r="GV6" s="70"/>
      <c r="GW6" s="207"/>
      <c r="GY6" s="82" t="s">
        <v>1184</v>
      </c>
      <c r="GZ6" s="68"/>
      <c r="HA6" s="70"/>
      <c r="HB6" s="70"/>
      <c r="HC6" s="207"/>
      <c r="HE6" s="82" t="s">
        <v>1184</v>
      </c>
      <c r="HF6" s="68"/>
      <c r="HG6" s="70"/>
      <c r="HH6" s="70"/>
      <c r="HI6" s="207"/>
      <c r="HK6" s="82" t="s">
        <v>1184</v>
      </c>
      <c r="HL6" s="68"/>
      <c r="HM6" s="70"/>
      <c r="HN6" s="70"/>
      <c r="IC6" s="2546"/>
    </row>
    <row r="7" spans="1:263" s="69" customFormat="1" ht="11.25">
      <c r="A7" s="207"/>
      <c r="B7" s="207"/>
      <c r="C7" s="207"/>
      <c r="D7" s="207" t="s">
        <v>1078</v>
      </c>
      <c r="E7" s="207"/>
      <c r="F7" s="207" t="s">
        <v>999</v>
      </c>
      <c r="G7" s="207"/>
      <c r="H7" s="207" t="s">
        <v>922</v>
      </c>
      <c r="I7" s="207"/>
      <c r="J7" s="207"/>
      <c r="K7" s="207"/>
      <c r="L7" s="207" t="s">
        <v>1000</v>
      </c>
      <c r="M7" s="207"/>
      <c r="N7" s="207" t="s">
        <v>999</v>
      </c>
      <c r="O7" s="207"/>
      <c r="P7" s="207" t="s">
        <v>922</v>
      </c>
      <c r="Q7" s="207"/>
      <c r="R7" s="207"/>
      <c r="S7" s="207"/>
      <c r="T7" s="207" t="s">
        <v>1000</v>
      </c>
      <c r="U7" s="207"/>
      <c r="V7" s="207" t="s">
        <v>999</v>
      </c>
      <c r="W7" s="207"/>
      <c r="X7" s="207" t="s">
        <v>922</v>
      </c>
      <c r="Y7" s="207"/>
      <c r="Z7" s="207"/>
      <c r="AA7" s="207"/>
      <c r="AB7" s="207" t="s">
        <v>1000</v>
      </c>
      <c r="AC7" s="207"/>
      <c r="AD7" s="207" t="s">
        <v>999</v>
      </c>
      <c r="AE7" s="207"/>
      <c r="AF7" s="207" t="s">
        <v>922</v>
      </c>
      <c r="AG7" s="207"/>
      <c r="AH7" s="207"/>
      <c r="AI7" s="207"/>
      <c r="AJ7" s="207" t="s">
        <v>1000</v>
      </c>
      <c r="AK7" s="207"/>
      <c r="AL7" s="207" t="s">
        <v>999</v>
      </c>
      <c r="AM7" s="207"/>
      <c r="AN7" s="207" t="s">
        <v>922</v>
      </c>
      <c r="AO7" s="207"/>
      <c r="AP7" s="207"/>
      <c r="AQ7" s="207"/>
      <c r="AR7" s="207" t="s">
        <v>1000</v>
      </c>
      <c r="AS7" s="207"/>
      <c r="AT7" s="207" t="s">
        <v>999</v>
      </c>
      <c r="AU7" s="207"/>
      <c r="AV7" s="207" t="s">
        <v>922</v>
      </c>
      <c r="AW7" s="207"/>
      <c r="AX7" s="207"/>
      <c r="AY7" s="207"/>
      <c r="AZ7" s="207" t="s">
        <v>1000</v>
      </c>
      <c r="BA7" s="207"/>
      <c r="BB7" s="207" t="s">
        <v>999</v>
      </c>
      <c r="BC7" s="207"/>
      <c r="BD7" s="207" t="s">
        <v>922</v>
      </c>
      <c r="BE7" s="207"/>
      <c r="BF7" s="207"/>
      <c r="BG7" s="207"/>
      <c r="BH7" s="207" t="s">
        <v>1000</v>
      </c>
      <c r="BI7" s="207"/>
      <c r="BJ7" s="207" t="s">
        <v>999</v>
      </c>
      <c r="BK7" s="207"/>
      <c r="BL7" s="207" t="s">
        <v>922</v>
      </c>
      <c r="BM7" s="207"/>
      <c r="BN7" s="207"/>
      <c r="BO7" s="207"/>
      <c r="BP7" s="207" t="s">
        <v>1000</v>
      </c>
      <c r="BQ7" s="207"/>
      <c r="BR7" s="207" t="s">
        <v>999</v>
      </c>
      <c r="BS7" s="207"/>
      <c r="BT7" s="207" t="s">
        <v>922</v>
      </c>
      <c r="BU7" s="207"/>
      <c r="BV7" s="207"/>
      <c r="BW7" s="207"/>
      <c r="BX7" s="207" t="s">
        <v>1000</v>
      </c>
      <c r="BY7" s="207"/>
      <c r="BZ7" s="207" t="s">
        <v>999</v>
      </c>
      <c r="CA7" s="207"/>
      <c r="CB7" s="207" t="s">
        <v>922</v>
      </c>
      <c r="CC7" s="207"/>
      <c r="CD7" s="207"/>
      <c r="CE7" s="207"/>
      <c r="CF7" s="207" t="s">
        <v>1000</v>
      </c>
      <c r="CG7" s="207"/>
      <c r="CH7" s="207" t="s">
        <v>999</v>
      </c>
      <c r="CI7" s="207"/>
      <c r="CJ7" s="207" t="s">
        <v>922</v>
      </c>
      <c r="CK7" s="207"/>
      <c r="CL7" s="207"/>
      <c r="CM7" s="207"/>
      <c r="CN7" s="207" t="s">
        <v>1000</v>
      </c>
      <c r="CO7" s="207"/>
      <c r="CP7" s="207" t="s">
        <v>999</v>
      </c>
      <c r="CQ7" s="207"/>
      <c r="CR7" s="207" t="s">
        <v>922</v>
      </c>
      <c r="CS7" s="207"/>
      <c r="CT7" s="207"/>
      <c r="CU7" s="207"/>
      <c r="CV7" s="207" t="s">
        <v>1000</v>
      </c>
      <c r="CW7" s="207"/>
      <c r="CX7" s="207" t="s">
        <v>999</v>
      </c>
      <c r="CZ7" s="69" t="s">
        <v>922</v>
      </c>
      <c r="DD7" s="69" t="s">
        <v>1000</v>
      </c>
      <c r="DF7" s="207" t="s">
        <v>999</v>
      </c>
      <c r="DH7" s="69" t="s">
        <v>922</v>
      </c>
      <c r="DL7" s="69" t="s">
        <v>1000</v>
      </c>
      <c r="DN7" s="207" t="s">
        <v>999</v>
      </c>
      <c r="DP7" s="69" t="s">
        <v>922</v>
      </c>
      <c r="DT7" s="69" t="s">
        <v>1000</v>
      </c>
      <c r="DV7" s="207" t="s">
        <v>999</v>
      </c>
      <c r="DX7" s="69" t="s">
        <v>922</v>
      </c>
      <c r="EB7" s="69" t="s">
        <v>1000</v>
      </c>
      <c r="ED7" s="207" t="s">
        <v>999</v>
      </c>
      <c r="EF7" s="69" t="s">
        <v>922</v>
      </c>
      <c r="EJ7" s="69" t="s">
        <v>1000</v>
      </c>
      <c r="EL7" s="207" t="s">
        <v>999</v>
      </c>
      <c r="EN7" s="69" t="s">
        <v>922</v>
      </c>
      <c r="ER7" s="69" t="s">
        <v>1000</v>
      </c>
      <c r="ET7" s="207" t="s">
        <v>999</v>
      </c>
      <c r="EV7" s="69" t="s">
        <v>922</v>
      </c>
      <c r="EZ7" s="69" t="s">
        <v>1000</v>
      </c>
      <c r="FB7" s="207" t="s">
        <v>999</v>
      </c>
      <c r="FD7" s="69" t="s">
        <v>922</v>
      </c>
      <c r="FH7" s="69" t="s">
        <v>1000</v>
      </c>
      <c r="FJ7" s="207" t="s">
        <v>999</v>
      </c>
      <c r="FL7" s="69" t="s">
        <v>922</v>
      </c>
      <c r="FP7" s="69" t="s">
        <v>1000</v>
      </c>
      <c r="FR7" s="207" t="s">
        <v>999</v>
      </c>
      <c r="FT7" s="69" t="s">
        <v>922</v>
      </c>
      <c r="FX7" s="69" t="s">
        <v>1000</v>
      </c>
      <c r="FZ7" s="207" t="s">
        <v>999</v>
      </c>
      <c r="GA7" s="69" t="s">
        <v>922</v>
      </c>
      <c r="GC7" s="69" t="s">
        <v>1000</v>
      </c>
      <c r="GE7" s="207" t="s">
        <v>999</v>
      </c>
      <c r="GG7" s="69" t="s">
        <v>922</v>
      </c>
      <c r="GI7" s="69" t="s">
        <v>1000</v>
      </c>
      <c r="GK7" s="207" t="s">
        <v>999</v>
      </c>
      <c r="GM7" s="69" t="s">
        <v>922</v>
      </c>
      <c r="GO7" s="69" t="s">
        <v>1000</v>
      </c>
      <c r="GQ7" s="207" t="s">
        <v>999</v>
      </c>
      <c r="GR7" s="69" t="s">
        <v>922</v>
      </c>
      <c r="GT7" s="69" t="s">
        <v>1000</v>
      </c>
      <c r="GU7" s="69" t="s">
        <v>1000</v>
      </c>
      <c r="GW7" s="207" t="s">
        <v>999</v>
      </c>
      <c r="GX7" s="69" t="s">
        <v>922</v>
      </c>
      <c r="GZ7" s="69" t="s">
        <v>1000</v>
      </c>
      <c r="HA7" s="69" t="s">
        <v>1000</v>
      </c>
      <c r="HC7" s="207" t="s">
        <v>999</v>
      </c>
      <c r="HD7" s="69" t="s">
        <v>922</v>
      </c>
      <c r="HF7" s="69" t="s">
        <v>1000</v>
      </c>
      <c r="HG7" s="69" t="s">
        <v>1000</v>
      </c>
      <c r="HI7" s="207" t="s">
        <v>999</v>
      </c>
      <c r="HJ7" s="69" t="s">
        <v>922</v>
      </c>
      <c r="HL7" s="69" t="s">
        <v>1000</v>
      </c>
      <c r="HM7" s="69" t="s">
        <v>1000</v>
      </c>
      <c r="HQ7" s="69" t="s">
        <v>829</v>
      </c>
      <c r="HR7" s="69" t="s">
        <v>829</v>
      </c>
      <c r="HS7" s="69" t="s">
        <v>830</v>
      </c>
      <c r="HT7" s="69" t="s">
        <v>829</v>
      </c>
      <c r="HU7" s="69" t="s">
        <v>830</v>
      </c>
    </row>
    <row r="8" spans="1:263" s="69" customFormat="1" ht="11.25">
      <c r="A8" s="271" t="s">
        <v>1077</v>
      </c>
      <c r="B8" s="271"/>
      <c r="C8" s="207"/>
      <c r="D8" s="230" t="s">
        <v>920</v>
      </c>
      <c r="E8" s="207"/>
      <c r="F8" s="230" t="s">
        <v>1001</v>
      </c>
      <c r="G8" s="207"/>
      <c r="H8" s="230" t="s">
        <v>923</v>
      </c>
      <c r="I8" s="207"/>
      <c r="J8" s="230" t="s">
        <v>360</v>
      </c>
      <c r="K8" s="207"/>
      <c r="L8" s="230" t="s">
        <v>1186</v>
      </c>
      <c r="M8" s="207"/>
      <c r="N8" s="230" t="s">
        <v>1001</v>
      </c>
      <c r="O8" s="207"/>
      <c r="P8" s="230" t="s">
        <v>923</v>
      </c>
      <c r="Q8" s="207"/>
      <c r="R8" s="230" t="s">
        <v>360</v>
      </c>
      <c r="S8" s="207"/>
      <c r="T8" s="230" t="s">
        <v>1186</v>
      </c>
      <c r="U8" s="207"/>
      <c r="V8" s="230" t="s">
        <v>1001</v>
      </c>
      <c r="W8" s="207"/>
      <c r="X8" s="230" t="s">
        <v>923</v>
      </c>
      <c r="Y8" s="207"/>
      <c r="Z8" s="230" t="s">
        <v>360</v>
      </c>
      <c r="AA8" s="207"/>
      <c r="AB8" s="230" t="s">
        <v>1186</v>
      </c>
      <c r="AC8" s="207"/>
      <c r="AD8" s="230" t="s">
        <v>1001</v>
      </c>
      <c r="AE8" s="207"/>
      <c r="AF8" s="230" t="s">
        <v>923</v>
      </c>
      <c r="AG8" s="207"/>
      <c r="AH8" s="230" t="s">
        <v>360</v>
      </c>
      <c r="AI8" s="207"/>
      <c r="AJ8" s="230" t="s">
        <v>1186</v>
      </c>
      <c r="AK8" s="207"/>
      <c r="AL8" s="230" t="s">
        <v>1001</v>
      </c>
      <c r="AM8" s="207"/>
      <c r="AN8" s="230" t="s">
        <v>923</v>
      </c>
      <c r="AO8" s="207"/>
      <c r="AP8" s="230" t="s">
        <v>360</v>
      </c>
      <c r="AQ8" s="207"/>
      <c r="AR8" s="230" t="s">
        <v>1186</v>
      </c>
      <c r="AS8" s="207"/>
      <c r="AT8" s="230" t="s">
        <v>1001</v>
      </c>
      <c r="AU8" s="207"/>
      <c r="AV8" s="230" t="s">
        <v>923</v>
      </c>
      <c r="AW8" s="207"/>
      <c r="AX8" s="230" t="s">
        <v>360</v>
      </c>
      <c r="AY8" s="207"/>
      <c r="AZ8" s="230" t="s">
        <v>1186</v>
      </c>
      <c r="BA8" s="207"/>
      <c r="BB8" s="230" t="s">
        <v>1001</v>
      </c>
      <c r="BC8" s="207"/>
      <c r="BD8" s="230" t="s">
        <v>923</v>
      </c>
      <c r="BE8" s="207"/>
      <c r="BF8" s="230" t="s">
        <v>360</v>
      </c>
      <c r="BG8" s="207"/>
      <c r="BH8" s="230" t="s">
        <v>1186</v>
      </c>
      <c r="BI8" s="207"/>
      <c r="BJ8" s="230" t="s">
        <v>1001</v>
      </c>
      <c r="BK8" s="207"/>
      <c r="BL8" s="230" t="s">
        <v>923</v>
      </c>
      <c r="BM8" s="207"/>
      <c r="BN8" s="230" t="s">
        <v>360</v>
      </c>
      <c r="BO8" s="207"/>
      <c r="BP8" s="230" t="s">
        <v>1186</v>
      </c>
      <c r="BQ8" s="207"/>
      <c r="BR8" s="230" t="s">
        <v>1001</v>
      </c>
      <c r="BS8" s="207"/>
      <c r="BT8" s="230" t="s">
        <v>923</v>
      </c>
      <c r="BU8" s="207"/>
      <c r="BV8" s="230" t="s">
        <v>360</v>
      </c>
      <c r="BW8" s="207"/>
      <c r="BX8" s="230" t="s">
        <v>1186</v>
      </c>
      <c r="BY8" s="207"/>
      <c r="BZ8" s="230" t="s">
        <v>1001</v>
      </c>
      <c r="CA8" s="207"/>
      <c r="CB8" s="230" t="s">
        <v>923</v>
      </c>
      <c r="CC8" s="207"/>
      <c r="CD8" s="230" t="s">
        <v>360</v>
      </c>
      <c r="CE8" s="207"/>
      <c r="CF8" s="230" t="s">
        <v>1186</v>
      </c>
      <c r="CG8" s="207"/>
      <c r="CH8" s="230" t="s">
        <v>1001</v>
      </c>
      <c r="CI8" s="207"/>
      <c r="CJ8" s="230" t="s">
        <v>923</v>
      </c>
      <c r="CK8" s="207"/>
      <c r="CL8" s="230" t="s">
        <v>360</v>
      </c>
      <c r="CM8" s="207"/>
      <c r="CN8" s="230" t="s">
        <v>1186</v>
      </c>
      <c r="CO8" s="207"/>
      <c r="CP8" s="230" t="s">
        <v>1001</v>
      </c>
      <c r="CQ8" s="207"/>
      <c r="CR8" s="230" t="s">
        <v>923</v>
      </c>
      <c r="CS8" s="207"/>
      <c r="CT8" s="230" t="s">
        <v>360</v>
      </c>
      <c r="CU8" s="207"/>
      <c r="CV8" s="230" t="s">
        <v>1186</v>
      </c>
      <c r="CW8" s="207"/>
      <c r="CX8" s="230" t="s">
        <v>1001</v>
      </c>
      <c r="CZ8" s="68" t="s">
        <v>923</v>
      </c>
      <c r="DB8" s="68" t="s">
        <v>360</v>
      </c>
      <c r="DD8" s="68" t="s">
        <v>1186</v>
      </c>
      <c r="DF8" s="230" t="s">
        <v>1001</v>
      </c>
      <c r="DH8" s="68" t="s">
        <v>923</v>
      </c>
      <c r="DJ8" s="68" t="s">
        <v>360</v>
      </c>
      <c r="DL8" s="68" t="s">
        <v>1186</v>
      </c>
      <c r="DN8" s="230" t="s">
        <v>1001</v>
      </c>
      <c r="DP8" s="68" t="s">
        <v>923</v>
      </c>
      <c r="DR8" s="68" t="s">
        <v>360</v>
      </c>
      <c r="DT8" s="68" t="s">
        <v>1186</v>
      </c>
      <c r="DV8" s="230" t="s">
        <v>1001</v>
      </c>
      <c r="DX8" s="68" t="s">
        <v>923</v>
      </c>
      <c r="DZ8" s="68" t="s">
        <v>360</v>
      </c>
      <c r="EB8" s="68" t="s">
        <v>1186</v>
      </c>
      <c r="ED8" s="230" t="s">
        <v>1001</v>
      </c>
      <c r="EF8" s="68" t="s">
        <v>923</v>
      </c>
      <c r="EH8" s="68" t="s">
        <v>360</v>
      </c>
      <c r="EJ8" s="68" t="s">
        <v>1186</v>
      </c>
      <c r="EL8" s="230" t="s">
        <v>1001</v>
      </c>
      <c r="EN8" s="68" t="s">
        <v>923</v>
      </c>
      <c r="EP8" s="68" t="s">
        <v>360</v>
      </c>
      <c r="ER8" s="68" t="s">
        <v>1186</v>
      </c>
      <c r="ET8" s="230" t="s">
        <v>1001</v>
      </c>
      <c r="EV8" s="68" t="s">
        <v>923</v>
      </c>
      <c r="EX8" s="68" t="s">
        <v>360</v>
      </c>
      <c r="EZ8" s="68" t="s">
        <v>1186</v>
      </c>
      <c r="FB8" s="230" t="s">
        <v>1001</v>
      </c>
      <c r="FD8" s="68" t="s">
        <v>923</v>
      </c>
      <c r="FF8" s="68" t="s">
        <v>360</v>
      </c>
      <c r="FH8" s="68" t="s">
        <v>1186</v>
      </c>
      <c r="FJ8" s="230" t="s">
        <v>1001</v>
      </c>
      <c r="FL8" s="68" t="s">
        <v>923</v>
      </c>
      <c r="FN8" s="68" t="s">
        <v>360</v>
      </c>
      <c r="FP8" s="68" t="s">
        <v>1186</v>
      </c>
      <c r="FR8" s="230" t="s">
        <v>1001</v>
      </c>
      <c r="FT8" s="68" t="s">
        <v>923</v>
      </c>
      <c r="FV8" s="68" t="s">
        <v>360</v>
      </c>
      <c r="FX8" s="68" t="s">
        <v>1186</v>
      </c>
      <c r="FZ8" s="230" t="s">
        <v>1001</v>
      </c>
      <c r="GA8" s="68" t="s">
        <v>923</v>
      </c>
      <c r="GB8" s="68" t="s">
        <v>360</v>
      </c>
      <c r="GC8" s="68" t="s">
        <v>1186</v>
      </c>
      <c r="GE8" s="230" t="s">
        <v>1001</v>
      </c>
      <c r="GG8" s="68" t="s">
        <v>923</v>
      </c>
      <c r="GH8" s="68" t="s">
        <v>360</v>
      </c>
      <c r="GI8" s="68" t="s">
        <v>1186</v>
      </c>
      <c r="GK8" s="230" t="s">
        <v>1001</v>
      </c>
      <c r="GM8" s="68" t="s">
        <v>923</v>
      </c>
      <c r="GN8" s="68" t="s">
        <v>360</v>
      </c>
      <c r="GO8" s="68" t="s">
        <v>1186</v>
      </c>
      <c r="GQ8" s="230" t="s">
        <v>1001</v>
      </c>
      <c r="GR8" s="68" t="s">
        <v>923</v>
      </c>
      <c r="GS8" s="68" t="s">
        <v>360</v>
      </c>
      <c r="GT8" s="68" t="s">
        <v>1186</v>
      </c>
      <c r="GU8" s="70" t="s">
        <v>360</v>
      </c>
      <c r="GV8" s="70"/>
      <c r="GW8" s="230" t="s">
        <v>1001</v>
      </c>
      <c r="GX8" s="68" t="s">
        <v>923</v>
      </c>
      <c r="GY8" s="68" t="s">
        <v>360</v>
      </c>
      <c r="GZ8" s="68" t="s">
        <v>1186</v>
      </c>
      <c r="HA8" s="70" t="s">
        <v>360</v>
      </c>
      <c r="HB8" s="70"/>
      <c r="HC8" s="230" t="s">
        <v>1001</v>
      </c>
      <c r="HD8" s="68" t="s">
        <v>923</v>
      </c>
      <c r="HE8" s="68" t="s">
        <v>360</v>
      </c>
      <c r="HF8" s="68" t="s">
        <v>1186</v>
      </c>
      <c r="HG8" s="70" t="s">
        <v>360</v>
      </c>
      <c r="HH8" s="70"/>
      <c r="HI8" s="230" t="s">
        <v>1001</v>
      </c>
      <c r="HJ8" s="68" t="s">
        <v>923</v>
      </c>
      <c r="HK8" s="68" t="s">
        <v>360</v>
      </c>
      <c r="HL8" s="68" t="s">
        <v>1186</v>
      </c>
      <c r="HM8" s="70" t="s">
        <v>360</v>
      </c>
      <c r="HN8" s="70"/>
      <c r="HQ8" s="93">
        <v>2004</v>
      </c>
      <c r="HR8" s="93">
        <v>2005</v>
      </c>
      <c r="HS8" s="93">
        <v>2006</v>
      </c>
      <c r="HT8" s="93">
        <v>2007</v>
      </c>
      <c r="HU8" s="93">
        <v>2008</v>
      </c>
      <c r="HV8" s="93">
        <v>2009</v>
      </c>
      <c r="HW8" s="93">
        <v>2010</v>
      </c>
      <c r="HX8" s="93">
        <v>2011</v>
      </c>
      <c r="HY8" s="93">
        <v>2012</v>
      </c>
      <c r="HZ8" s="93">
        <v>2013</v>
      </c>
      <c r="IA8" s="93">
        <v>2014</v>
      </c>
      <c r="IB8" s="93">
        <v>2015</v>
      </c>
      <c r="IC8" s="93">
        <v>2016</v>
      </c>
      <c r="ID8" s="264"/>
      <c r="IE8" s="264"/>
      <c r="IF8" s="264"/>
      <c r="II8" s="264" t="s">
        <v>1164</v>
      </c>
      <c r="IJ8" s="264"/>
      <c r="IK8" s="264"/>
      <c r="IL8" s="264"/>
      <c r="IO8" s="264" t="s">
        <v>581</v>
      </c>
      <c r="IP8" s="264"/>
      <c r="IQ8" s="264"/>
      <c r="IR8" s="264"/>
      <c r="IU8" s="264" t="s">
        <v>582</v>
      </c>
      <c r="IV8" s="264"/>
      <c r="IW8" s="264"/>
      <c r="IX8" s="264"/>
      <c r="JB8" s="93">
        <v>2017</v>
      </c>
      <c r="JC8" s="93">
        <v>2018</v>
      </c>
    </row>
    <row r="9" spans="1:263" s="69" customFormat="1" ht="11.25">
      <c r="A9" s="272"/>
      <c r="B9" s="272"/>
      <c r="C9" s="207"/>
      <c r="D9" s="225"/>
      <c r="E9" s="207"/>
      <c r="F9" s="225"/>
      <c r="G9" s="207"/>
      <c r="H9" s="225"/>
      <c r="I9" s="207"/>
      <c r="J9" s="225"/>
      <c r="K9" s="207"/>
      <c r="L9" s="225"/>
      <c r="M9" s="207"/>
      <c r="N9" s="225"/>
      <c r="O9" s="207"/>
      <c r="P9" s="225"/>
      <c r="Q9" s="207"/>
      <c r="R9" s="225"/>
      <c r="S9" s="207"/>
      <c r="T9" s="225"/>
      <c r="U9" s="207"/>
      <c r="V9" s="225"/>
      <c r="W9" s="207"/>
      <c r="X9" s="225"/>
      <c r="Y9" s="207"/>
      <c r="Z9" s="225"/>
      <c r="AA9" s="207"/>
      <c r="AB9" s="225"/>
      <c r="AC9" s="207"/>
      <c r="AD9" s="225"/>
      <c r="AE9" s="207"/>
      <c r="AF9" s="273"/>
      <c r="AG9" s="207"/>
      <c r="AH9" s="225"/>
      <c r="AI9" s="207"/>
      <c r="AJ9" s="225"/>
      <c r="AK9" s="207"/>
      <c r="AL9" s="225"/>
      <c r="AM9" s="207"/>
      <c r="AN9" s="273"/>
      <c r="AO9" s="207"/>
      <c r="AP9" s="225"/>
      <c r="AQ9" s="207"/>
      <c r="AR9" s="225"/>
      <c r="AS9" s="207"/>
      <c r="AT9" s="225"/>
      <c r="AU9" s="207"/>
      <c r="AV9" s="225"/>
      <c r="AW9" s="207"/>
      <c r="AX9" s="225"/>
      <c r="AY9" s="207"/>
      <c r="AZ9" s="225"/>
      <c r="BA9" s="207"/>
      <c r="BB9" s="225"/>
      <c r="BC9" s="207"/>
      <c r="BD9" s="225"/>
      <c r="BE9" s="207"/>
      <c r="BF9" s="225"/>
      <c r="BG9" s="207"/>
      <c r="BH9" s="225"/>
      <c r="BI9" s="207"/>
      <c r="BJ9" s="225"/>
      <c r="BK9" s="207"/>
      <c r="BL9" s="225"/>
      <c r="BM9" s="207"/>
      <c r="BN9" s="225"/>
      <c r="BO9" s="207"/>
      <c r="BP9" s="225"/>
      <c r="BQ9" s="207"/>
      <c r="BR9" s="225"/>
      <c r="BS9" s="207"/>
      <c r="BT9" s="225"/>
      <c r="BU9" s="207"/>
      <c r="BV9" s="225"/>
      <c r="BW9" s="207"/>
      <c r="BX9" s="225"/>
      <c r="BY9" s="207"/>
      <c r="BZ9" s="225"/>
      <c r="CA9" s="207"/>
      <c r="CB9" s="225"/>
      <c r="CC9" s="207"/>
      <c r="CD9" s="225"/>
      <c r="CE9" s="207"/>
      <c r="CF9" s="225"/>
      <c r="CG9" s="207"/>
      <c r="CH9" s="225"/>
      <c r="CI9" s="207"/>
      <c r="CJ9" s="225"/>
      <c r="CK9" s="207"/>
      <c r="CL9" s="225"/>
      <c r="CM9" s="207"/>
      <c r="CN9" s="225"/>
      <c r="CO9" s="207"/>
      <c r="CP9" s="225"/>
      <c r="CQ9" s="207"/>
      <c r="CR9" s="225"/>
      <c r="CS9" s="207"/>
      <c r="CT9" s="225"/>
      <c r="CU9" s="207"/>
      <c r="CV9" s="225"/>
      <c r="CW9" s="207"/>
      <c r="CX9" s="225"/>
      <c r="CZ9" s="70"/>
      <c r="DB9" s="70"/>
      <c r="DD9" s="70"/>
      <c r="DF9" s="225"/>
      <c r="DH9" s="70"/>
      <c r="DJ9" s="70"/>
      <c r="DL9" s="70"/>
      <c r="DN9" s="225"/>
      <c r="DP9" s="70"/>
      <c r="DR9" s="70"/>
      <c r="DT9" s="70"/>
      <c r="DV9" s="225"/>
      <c r="DX9" s="70"/>
      <c r="DZ9" s="70"/>
      <c r="EB9" s="70"/>
      <c r="ED9" s="225"/>
      <c r="EF9" s="70"/>
      <c r="EH9" s="70"/>
      <c r="EJ9" s="70"/>
      <c r="EL9" s="225"/>
      <c r="EN9" s="70"/>
      <c r="EP9" s="70"/>
      <c r="ER9" s="70"/>
      <c r="ET9" s="225"/>
      <c r="EV9" s="70"/>
      <c r="EX9" s="70"/>
      <c r="EZ9" s="70"/>
      <c r="FB9" s="225"/>
      <c r="FD9" s="70"/>
      <c r="FF9" s="70"/>
      <c r="FH9" s="70"/>
      <c r="FJ9" s="225"/>
      <c r="FL9" s="70"/>
      <c r="FN9" s="70"/>
      <c r="FP9" s="70"/>
      <c r="FR9" s="225"/>
      <c r="FT9" s="70"/>
      <c r="FV9" s="70"/>
      <c r="FX9" s="70"/>
      <c r="FZ9" s="225"/>
      <c r="GA9" s="70"/>
      <c r="GB9" s="70"/>
      <c r="GC9" s="70"/>
      <c r="ID9" s="69">
        <v>2000</v>
      </c>
      <c r="IE9" s="69">
        <v>2001</v>
      </c>
      <c r="IF9" s="69">
        <v>2002</v>
      </c>
      <c r="IH9" s="69">
        <v>1998</v>
      </c>
      <c r="II9" s="69">
        <v>1999</v>
      </c>
      <c r="IJ9" s="69">
        <v>2000</v>
      </c>
      <c r="IK9" s="69">
        <v>2001</v>
      </c>
      <c r="IL9" s="69">
        <v>2002</v>
      </c>
      <c r="IN9" s="69">
        <v>1998</v>
      </c>
      <c r="IO9" s="69">
        <v>1999</v>
      </c>
      <c r="IP9" s="69">
        <v>2000</v>
      </c>
      <c r="IQ9" s="69">
        <v>2001</v>
      </c>
      <c r="IR9" s="69">
        <v>2002</v>
      </c>
      <c r="IT9" s="69">
        <v>1998</v>
      </c>
      <c r="IU9" s="69">
        <v>1999</v>
      </c>
      <c r="IV9" s="69">
        <v>2000</v>
      </c>
      <c r="IW9" s="69">
        <v>2001</v>
      </c>
      <c r="IX9" s="69">
        <v>2002</v>
      </c>
    </row>
    <row r="10" spans="1:263" s="24" customFormat="1" ht="11.25">
      <c r="A10" s="150" t="s">
        <v>828</v>
      </c>
      <c r="B10" s="168"/>
      <c r="C10" s="168"/>
      <c r="D10" s="274">
        <v>4</v>
      </c>
      <c r="E10" s="168"/>
      <c r="F10" s="275"/>
      <c r="G10" s="168"/>
      <c r="H10" s="205"/>
      <c r="I10" s="168"/>
      <c r="J10" s="226"/>
      <c r="K10" s="168" t="s">
        <v>1084</v>
      </c>
      <c r="L10" s="227"/>
      <c r="M10" s="168" t="s">
        <v>1084</v>
      </c>
      <c r="N10" s="275" t="s">
        <v>1003</v>
      </c>
      <c r="O10" s="168"/>
      <c r="P10" s="205"/>
      <c r="Q10" s="168"/>
      <c r="R10" s="226"/>
      <c r="S10" s="168" t="s">
        <v>1084</v>
      </c>
      <c r="T10" s="227"/>
      <c r="U10" s="168" t="s">
        <v>1084</v>
      </c>
      <c r="V10" s="275" t="s">
        <v>765</v>
      </c>
      <c r="W10" s="168"/>
      <c r="X10" s="205"/>
      <c r="Y10" s="168"/>
      <c r="Z10" s="226"/>
      <c r="AA10" s="168" t="s">
        <v>1084</v>
      </c>
      <c r="AB10" s="227"/>
      <c r="AC10" s="168" t="s">
        <v>1084</v>
      </c>
      <c r="AD10" s="275" t="s">
        <v>477</v>
      </c>
      <c r="AE10" s="168"/>
      <c r="AF10" s="205"/>
      <c r="AG10" s="168"/>
      <c r="AH10" s="226"/>
      <c r="AI10" s="168" t="s">
        <v>1084</v>
      </c>
      <c r="AJ10" s="227">
        <v>-6</v>
      </c>
      <c r="AK10" s="168" t="s">
        <v>1084</v>
      </c>
      <c r="AL10" s="275" t="s">
        <v>1004</v>
      </c>
      <c r="AM10" s="168"/>
      <c r="AN10" s="205"/>
      <c r="AO10" s="168"/>
      <c r="AP10" s="226"/>
      <c r="AQ10" s="168" t="s">
        <v>1084</v>
      </c>
      <c r="AR10" s="227">
        <v>0</v>
      </c>
      <c r="AS10" s="168" t="s">
        <v>1084</v>
      </c>
      <c r="AT10" s="280" t="s">
        <v>1002</v>
      </c>
      <c r="AU10" s="168"/>
      <c r="AV10" s="205"/>
      <c r="AW10" s="168"/>
      <c r="AX10" s="226"/>
      <c r="AY10" s="168" t="s">
        <v>1084</v>
      </c>
      <c r="AZ10" s="227">
        <v>2</v>
      </c>
      <c r="BA10" s="168" t="s">
        <v>1084</v>
      </c>
      <c r="BB10" s="120" t="s">
        <v>1003</v>
      </c>
      <c r="BC10" s="168"/>
      <c r="BD10" s="205"/>
      <c r="BE10" s="168"/>
      <c r="BF10" s="226"/>
      <c r="BG10" s="168" t="s">
        <v>1084</v>
      </c>
      <c r="BH10" s="227">
        <v>7</v>
      </c>
      <c r="BI10" s="168" t="s">
        <v>1084</v>
      </c>
      <c r="BJ10" s="120" t="s">
        <v>1003</v>
      </c>
      <c r="BK10" s="168"/>
      <c r="BL10" s="205">
        <v>568.33000000000004</v>
      </c>
      <c r="BM10" s="168"/>
      <c r="BN10" s="226"/>
      <c r="BO10" s="168"/>
      <c r="BP10" s="227">
        <v>-2</v>
      </c>
      <c r="BQ10" s="168" t="s">
        <v>1084</v>
      </c>
      <c r="BR10" s="123" t="s">
        <v>1004</v>
      </c>
      <c r="BS10" s="168"/>
      <c r="BT10" s="205">
        <v>608.08799999999997</v>
      </c>
      <c r="BU10" s="168"/>
      <c r="BV10" s="226">
        <f>(BT10/BL10-1)*100</f>
        <v>6.9955835518096698</v>
      </c>
      <c r="BW10" s="168"/>
      <c r="BX10" s="227">
        <v>4</v>
      </c>
      <c r="BY10" s="168" t="s">
        <v>1084</v>
      </c>
      <c r="BZ10" s="267" t="s">
        <v>1005</v>
      </c>
      <c r="CA10" s="168"/>
      <c r="CB10" s="205">
        <v>485.113</v>
      </c>
      <c r="CC10" s="168"/>
      <c r="CD10" s="228" t="s">
        <v>886</v>
      </c>
      <c r="CE10" s="168"/>
      <c r="CF10" s="227">
        <v>11</v>
      </c>
      <c r="CG10" s="168" t="s">
        <v>1084</v>
      </c>
      <c r="CH10" s="267" t="s">
        <v>687</v>
      </c>
      <c r="CI10" s="168"/>
      <c r="CJ10" s="205">
        <v>523.54</v>
      </c>
      <c r="CK10" s="168"/>
      <c r="CL10" s="226">
        <f>(CJ10/CB10-1)*100</f>
        <v>7.9212472145664847</v>
      </c>
      <c r="CM10" s="168"/>
      <c r="CN10" s="227">
        <v>8</v>
      </c>
      <c r="CO10" s="168" t="s">
        <v>1084</v>
      </c>
      <c r="CP10" s="267" t="s">
        <v>939</v>
      </c>
      <c r="CQ10" s="168"/>
      <c r="CR10" s="205">
        <v>527.59500000000003</v>
      </c>
      <c r="CS10" s="168"/>
      <c r="CT10" s="226">
        <f>(CR10/CJ10-1)*100</f>
        <v>0.77453489704704115</v>
      </c>
      <c r="CU10" s="168"/>
      <c r="CV10" s="227">
        <v>-1</v>
      </c>
      <c r="CW10" s="168" t="s">
        <v>1084</v>
      </c>
      <c r="CX10" s="267" t="s">
        <v>1003</v>
      </c>
      <c r="CZ10" s="205">
        <v>555.37099999999998</v>
      </c>
      <c r="DA10" s="168"/>
      <c r="DB10" s="226">
        <f>(CZ10/CR10-1)*100</f>
        <v>5.264644282072406</v>
      </c>
      <c r="DC10" s="168"/>
      <c r="DD10" s="227">
        <v>2</v>
      </c>
      <c r="DE10" s="24" t="s">
        <v>1084</v>
      </c>
      <c r="DF10" s="407">
        <v>37681</v>
      </c>
      <c r="DH10" s="205">
        <v>571.6</v>
      </c>
      <c r="DI10" s="168"/>
      <c r="DJ10" s="226">
        <f>(DH10/CZ10-1)*100</f>
        <v>2.9221907517677392</v>
      </c>
      <c r="DK10" s="168"/>
      <c r="DL10" s="227">
        <v>-1</v>
      </c>
      <c r="DM10" s="24" t="s">
        <v>1084</v>
      </c>
      <c r="DN10" s="407">
        <v>38046</v>
      </c>
      <c r="DP10" s="205">
        <v>607.9</v>
      </c>
      <c r="DQ10" s="168"/>
      <c r="DR10" s="226">
        <f>(DP10/DH10-1)*100</f>
        <v>6.3505948215535346</v>
      </c>
      <c r="DS10" s="168"/>
      <c r="DT10" s="227">
        <v>5</v>
      </c>
      <c r="DU10" s="24" t="s">
        <v>1084</v>
      </c>
      <c r="DV10" s="407">
        <v>38409</v>
      </c>
      <c r="DX10" s="205">
        <v>611.4</v>
      </c>
      <c r="DY10" s="168"/>
      <c r="DZ10" s="226">
        <f>(DX10/DP10-1)*100</f>
        <v>0.57575259088666897</v>
      </c>
      <c r="EA10" s="168"/>
      <c r="EB10" s="227">
        <v>-4</v>
      </c>
      <c r="EC10" s="24" t="s">
        <v>1084</v>
      </c>
      <c r="ED10" s="407">
        <v>38408</v>
      </c>
      <c r="EF10" s="587">
        <v>635.79999999999995</v>
      </c>
      <c r="EG10" s="168"/>
      <c r="EH10" s="226">
        <f>(EF10/DX10-1)*100</f>
        <v>3.9908406934903384</v>
      </c>
      <c r="EI10" s="168"/>
      <c r="EJ10" s="227">
        <v>5</v>
      </c>
      <c r="EK10" s="24" t="s">
        <v>1084</v>
      </c>
      <c r="EL10" s="407">
        <v>39144</v>
      </c>
      <c r="EN10" s="205">
        <v>730.5</v>
      </c>
      <c r="EO10" s="168"/>
      <c r="EP10" s="226">
        <f>(EN10/EF10-1)*100</f>
        <v>14.894620949984283</v>
      </c>
      <c r="EQ10" s="168"/>
      <c r="ER10" s="227">
        <v>3</v>
      </c>
      <c r="ES10" s="24" t="s">
        <v>1084</v>
      </c>
      <c r="ET10" s="407">
        <v>39142</v>
      </c>
      <c r="EV10" s="205">
        <v>614.4</v>
      </c>
      <c r="EW10" s="168"/>
      <c r="EX10" s="226">
        <f>(EV10/EN10-1)*100</f>
        <v>-15.893223819301848</v>
      </c>
      <c r="EY10" s="168"/>
      <c r="EZ10" s="227">
        <v>-9</v>
      </c>
      <c r="FA10" s="24" t="s">
        <v>1084</v>
      </c>
      <c r="FB10" s="407">
        <v>39872</v>
      </c>
      <c r="FD10" s="205">
        <v>547.79999999999995</v>
      </c>
      <c r="FE10" s="168"/>
      <c r="FF10" s="226">
        <f>(FD10/EV10-1)*100</f>
        <v>-10.83984375</v>
      </c>
      <c r="FG10" s="168"/>
      <c r="FH10" s="227">
        <v>-7</v>
      </c>
      <c r="FI10" s="24" t="s">
        <v>1084</v>
      </c>
      <c r="FJ10" s="407">
        <v>40236</v>
      </c>
      <c r="FL10" s="205">
        <v>600.1</v>
      </c>
      <c r="FM10" s="168"/>
      <c r="FN10" s="226">
        <f>(FL10/FD10-1)*100</f>
        <v>9.5472800292077498</v>
      </c>
      <c r="FO10" s="168"/>
      <c r="FP10" s="227">
        <v>10</v>
      </c>
      <c r="FQ10" s="24" t="s">
        <v>1084</v>
      </c>
      <c r="FR10" s="407">
        <v>40600</v>
      </c>
      <c r="FT10" s="205">
        <v>670.9</v>
      </c>
      <c r="FU10" s="168"/>
      <c r="FV10" s="226">
        <f>(FT10/FL10-1)*100</f>
        <v>11.798033661056472</v>
      </c>
      <c r="FW10" s="168"/>
      <c r="FX10" s="227">
        <v>12</v>
      </c>
      <c r="FY10" s="24" t="s">
        <v>1084</v>
      </c>
      <c r="FZ10" s="407">
        <v>41336</v>
      </c>
      <c r="GA10" s="205">
        <v>653.9</v>
      </c>
      <c r="GB10" s="226">
        <f>(GA10/FT10-1)*100</f>
        <v>-2.5339096735728095</v>
      </c>
      <c r="GC10" s="227">
        <v>8</v>
      </c>
      <c r="GD10" s="24" t="s">
        <v>1084</v>
      </c>
      <c r="GE10" s="407">
        <v>41335</v>
      </c>
      <c r="GF10" s="405"/>
      <c r="GG10" s="205">
        <v>712.7</v>
      </c>
      <c r="GH10" s="226">
        <f>(GG10/GA10-1)*100</f>
        <v>8.9922006423000624</v>
      </c>
      <c r="GI10" s="227">
        <v>3</v>
      </c>
      <c r="GJ10" s="24" t="s">
        <v>1084</v>
      </c>
      <c r="GK10" s="1158">
        <v>41334</v>
      </c>
      <c r="GL10" s="405"/>
      <c r="GM10" s="205">
        <v>750</v>
      </c>
      <c r="GN10" s="226">
        <f>(GM10/GG10-1)*100</f>
        <v>5.2336186333660661</v>
      </c>
      <c r="GO10" s="1185">
        <v>2</v>
      </c>
      <c r="GP10" s="24" t="s">
        <v>1084</v>
      </c>
      <c r="GQ10" s="1158">
        <v>42794</v>
      </c>
      <c r="GR10" s="205">
        <v>806.1</v>
      </c>
      <c r="GS10" s="226">
        <f>(GR10/GM10-1)*100</f>
        <v>7.4799999999999978</v>
      </c>
      <c r="GT10" s="2728">
        <v>6</v>
      </c>
      <c r="GU10" s="2728">
        <v>4</v>
      </c>
      <c r="GV10" s="1185"/>
      <c r="GW10" s="1158">
        <v>42062</v>
      </c>
      <c r="GX10" s="205">
        <v>849.3</v>
      </c>
      <c r="GY10" s="226">
        <f>(GX10/GR10-1)*100</f>
        <v>5.3591365835504279</v>
      </c>
      <c r="GZ10" s="2728">
        <v>5</v>
      </c>
      <c r="HA10" s="2728">
        <v>5</v>
      </c>
      <c r="HB10" s="1185"/>
      <c r="HC10" s="1158">
        <v>42791</v>
      </c>
      <c r="HD10" s="205">
        <v>765.5</v>
      </c>
      <c r="HE10" s="226">
        <f>(HD10/GX10-1)*100</f>
        <v>-9.8669492523254405</v>
      </c>
      <c r="HF10" s="2728">
        <v>-13</v>
      </c>
      <c r="HG10" s="2728">
        <v>-13</v>
      </c>
      <c r="HH10" s="1185"/>
      <c r="HI10" s="1158">
        <v>42062</v>
      </c>
      <c r="HJ10" s="2816">
        <v>853.9</v>
      </c>
      <c r="HK10" s="226">
        <f>(HJ10/HD10-1)*100</f>
        <v>11.548007838014374</v>
      </c>
      <c r="HL10" s="2693">
        <v>-3</v>
      </c>
      <c r="HM10" s="2693">
        <v>3</v>
      </c>
      <c r="HN10" s="405">
        <f>HA10+HG10</f>
        <v>-8</v>
      </c>
      <c r="HO10" s="405">
        <f>HM10+HG10</f>
        <v>-10</v>
      </c>
      <c r="HQ10" s="127">
        <f>+DP10/DP13</f>
        <v>0.30729909923299076</v>
      </c>
      <c r="HR10" s="127">
        <f>DX10/DX13</f>
        <v>0.30958027921974018</v>
      </c>
      <c r="HS10" s="127">
        <f>EF10/EF13</f>
        <v>0.30610117707890505</v>
      </c>
      <c r="HT10" s="127">
        <f>EN10/EN13</f>
        <v>0.3161184035436419</v>
      </c>
      <c r="HU10" s="127">
        <f>EV10/EV13</f>
        <v>0.31915540177270463</v>
      </c>
      <c r="HV10" s="127">
        <f>FD10/$FD$13</f>
        <v>0.31752508958288173</v>
      </c>
      <c r="HW10" s="127">
        <f>FL10/FL$13</f>
        <v>0.31069422893624121</v>
      </c>
      <c r="HX10" s="127">
        <f>FT10/FT$13</f>
        <v>0.30261287203025317</v>
      </c>
      <c r="HY10" s="127">
        <f>GA10/$GA$13</f>
        <v>0.30360518974976131</v>
      </c>
      <c r="HZ10" s="292">
        <f>GG10/GG13</f>
        <v>0.31424591782339178</v>
      </c>
      <c r="IA10" s="292">
        <f>GM10/GM13</f>
        <v>0.31364991901559097</v>
      </c>
      <c r="IB10" s="292">
        <f>GR10/GR13</f>
        <v>0.32090619674205167</v>
      </c>
      <c r="IC10" s="292">
        <f>GX10/GX13</f>
        <v>0.32492300629339854</v>
      </c>
      <c r="ID10" s="265">
        <v>3058</v>
      </c>
      <c r="IE10" s="265">
        <v>3740</v>
      </c>
      <c r="IF10" s="265">
        <v>4176</v>
      </c>
      <c r="IJ10" s="266">
        <f>AVERAGE(ID10,IC27)</f>
        <v>1529.0896753620787</v>
      </c>
      <c r="IK10" s="266">
        <f>AVERAGE(IE10,ID27)</f>
        <v>3708</v>
      </c>
      <c r="IL10" s="266">
        <f>AVERAGE(IF10,IE27)</f>
        <v>4173.5</v>
      </c>
      <c r="IP10" s="266">
        <f>+ID10-IC27</f>
        <v>3057.8206492758427</v>
      </c>
      <c r="IQ10" s="266">
        <f>+IE10-ID27</f>
        <v>64</v>
      </c>
      <c r="IR10" s="266">
        <f>+IF10-IE27</f>
        <v>5</v>
      </c>
      <c r="IT10" s="265"/>
      <c r="IU10" s="265"/>
      <c r="IV10" s="251"/>
      <c r="IW10" s="251">
        <f>+(IK10/IJ10-1)*100</f>
        <v>142.49722300439765</v>
      </c>
      <c r="IX10" s="251">
        <f>+(IF10/IE10-1)*100</f>
        <v>11.657754010695198</v>
      </c>
      <c r="JB10" s="292">
        <f>HD10/HD13</f>
        <v>0.31418933201008531</v>
      </c>
      <c r="JC10" s="2793">
        <v>0.32708120863697954</v>
      </c>
    </row>
    <row r="11" spans="1:263" s="24" customFormat="1" ht="11.25">
      <c r="A11" s="150" t="s">
        <v>829</v>
      </c>
      <c r="B11" s="168"/>
      <c r="C11" s="168"/>
      <c r="D11" s="274">
        <v>5</v>
      </c>
      <c r="E11" s="168"/>
      <c r="F11" s="276"/>
      <c r="G11" s="168"/>
      <c r="H11" s="229"/>
      <c r="I11" s="168"/>
      <c r="J11" s="226"/>
      <c r="K11" s="168"/>
      <c r="L11" s="227"/>
      <c r="M11" s="168"/>
      <c r="N11" s="276" t="s">
        <v>260</v>
      </c>
      <c r="O11" s="168"/>
      <c r="P11" s="229"/>
      <c r="Q11" s="168"/>
      <c r="R11" s="226"/>
      <c r="S11" s="168"/>
      <c r="T11" s="227"/>
      <c r="U11" s="168"/>
      <c r="V11" s="276" t="s">
        <v>766</v>
      </c>
      <c r="W11" s="168"/>
      <c r="X11" s="229"/>
      <c r="Y11" s="168"/>
      <c r="Z11" s="226"/>
      <c r="AA11" s="168"/>
      <c r="AB11" s="227"/>
      <c r="AC11" s="168"/>
      <c r="AD11" s="276" t="s">
        <v>478</v>
      </c>
      <c r="AE11" s="168"/>
      <c r="AF11" s="229"/>
      <c r="AG11" s="168"/>
      <c r="AH11" s="226"/>
      <c r="AI11" s="168"/>
      <c r="AJ11" s="227">
        <v>-3</v>
      </c>
      <c r="AK11" s="168"/>
      <c r="AL11" s="276" t="s">
        <v>767</v>
      </c>
      <c r="AM11" s="168"/>
      <c r="AN11" s="229"/>
      <c r="AO11" s="168"/>
      <c r="AP11" s="226"/>
      <c r="AQ11" s="168"/>
      <c r="AR11" s="227">
        <v>7</v>
      </c>
      <c r="AS11" s="168"/>
      <c r="AT11" s="281" t="s">
        <v>1006</v>
      </c>
      <c r="AU11" s="168"/>
      <c r="AV11" s="229"/>
      <c r="AW11" s="168"/>
      <c r="AX11" s="226"/>
      <c r="AY11" s="168"/>
      <c r="AZ11" s="227">
        <v>-5</v>
      </c>
      <c r="BA11" s="168"/>
      <c r="BB11" s="120" t="s">
        <v>260</v>
      </c>
      <c r="BC11" s="168"/>
      <c r="BD11" s="229"/>
      <c r="BE11" s="168"/>
      <c r="BF11" s="226"/>
      <c r="BG11" s="168"/>
      <c r="BH11" s="227">
        <v>8</v>
      </c>
      <c r="BI11" s="168"/>
      <c r="BJ11" s="120" t="s">
        <v>261</v>
      </c>
      <c r="BK11" s="168"/>
      <c r="BL11" s="229">
        <v>723.55899999999997</v>
      </c>
      <c r="BM11" s="168"/>
      <c r="BN11" s="226"/>
      <c r="BO11" s="168"/>
      <c r="BP11" s="227">
        <v>-6</v>
      </c>
      <c r="BQ11" s="168"/>
      <c r="BR11" s="279" t="s">
        <v>262</v>
      </c>
      <c r="BS11" s="168"/>
      <c r="BT11" s="229">
        <v>769.81299999999999</v>
      </c>
      <c r="BU11" s="168"/>
      <c r="BV11" s="226">
        <f>(BT11/BL11-1)*100</f>
        <v>6.3925678486481452</v>
      </c>
      <c r="BW11" s="168"/>
      <c r="BX11" s="227">
        <v>4</v>
      </c>
      <c r="BY11" s="168"/>
      <c r="BZ11" s="268" t="s">
        <v>263</v>
      </c>
      <c r="CA11" s="168"/>
      <c r="CB11" s="229">
        <v>610.86699999999996</v>
      </c>
      <c r="CC11" s="168"/>
      <c r="CD11" s="228" t="s">
        <v>886</v>
      </c>
      <c r="CE11" s="168"/>
      <c r="CF11" s="227">
        <v>17</v>
      </c>
      <c r="CG11" s="168"/>
      <c r="CH11" s="268" t="s">
        <v>1006</v>
      </c>
      <c r="CI11" s="168"/>
      <c r="CJ11" s="229">
        <v>631.25599999999997</v>
      </c>
      <c r="CK11" s="168"/>
      <c r="CL11" s="226">
        <f>(CJ11/CB11-1)*100</f>
        <v>3.3377150836434222</v>
      </c>
      <c r="CM11" s="168"/>
      <c r="CN11" s="227">
        <v>5</v>
      </c>
      <c r="CO11" s="168"/>
      <c r="CP11" s="268" t="s">
        <v>940</v>
      </c>
      <c r="CQ11" s="168"/>
      <c r="CR11" s="229">
        <v>617.53200000000004</v>
      </c>
      <c r="CS11" s="168"/>
      <c r="CT11" s="226">
        <f>(CR11/CJ11-1)*100</f>
        <v>-2.1740783453939372</v>
      </c>
      <c r="CU11" s="168"/>
      <c r="CV11" s="227">
        <v>-5</v>
      </c>
      <c r="CW11" s="168"/>
      <c r="CX11" s="268" t="s">
        <v>260</v>
      </c>
      <c r="CZ11" s="229">
        <v>693.66300000000001</v>
      </c>
      <c r="DA11" s="168"/>
      <c r="DB11" s="226">
        <f>(CZ11/CR11-1)*100</f>
        <v>12.32826800878335</v>
      </c>
      <c r="DC11" s="168"/>
      <c r="DD11" s="227">
        <v>9</v>
      </c>
      <c r="DF11" s="407">
        <v>37716</v>
      </c>
      <c r="DH11" s="229">
        <v>690.1</v>
      </c>
      <c r="DI11" s="168"/>
      <c r="DJ11" s="226">
        <f>(DH11/CZ11-1)*100</f>
        <v>-0.51365000007207451</v>
      </c>
      <c r="DK11" s="168"/>
      <c r="DL11" s="227">
        <v>-4</v>
      </c>
      <c r="DN11" s="407">
        <v>38081</v>
      </c>
      <c r="DP11" s="229">
        <v>783.7</v>
      </c>
      <c r="DQ11" s="168"/>
      <c r="DR11" s="226">
        <f>(DP11/DH11-1)*100</f>
        <v>13.563251702651801</v>
      </c>
      <c r="DS11" s="168"/>
      <c r="DT11" s="227">
        <v>15</v>
      </c>
      <c r="DV11" s="407">
        <v>38444</v>
      </c>
      <c r="DX11" s="205">
        <v>766.1</v>
      </c>
      <c r="DY11" s="168"/>
      <c r="DZ11" s="226">
        <f>(DX11/DP11-1)*100</f>
        <v>-2.2457573050912338</v>
      </c>
      <c r="EA11" s="168"/>
      <c r="EB11" s="227">
        <v>-7</v>
      </c>
      <c r="ED11" s="407">
        <v>38443</v>
      </c>
      <c r="EF11" s="588">
        <v>788.2</v>
      </c>
      <c r="EG11" s="168"/>
      <c r="EH11" s="226">
        <f>(EF11/DX11-1)*100</f>
        <v>2.8847408954444598</v>
      </c>
      <c r="EI11" s="168"/>
      <c r="EJ11" s="227">
        <v>2</v>
      </c>
      <c r="EL11" s="407">
        <v>39179</v>
      </c>
      <c r="EN11" s="357">
        <v>892.3</v>
      </c>
      <c r="EO11" s="168"/>
      <c r="EP11" s="226">
        <f>(EN11/EF11-1)*100</f>
        <v>13.207307789901023</v>
      </c>
      <c r="EQ11" s="168"/>
      <c r="ER11" s="227">
        <v>8</v>
      </c>
      <c r="ET11" s="407">
        <v>39177</v>
      </c>
      <c r="EV11" s="357">
        <v>733.2</v>
      </c>
      <c r="EW11" s="168"/>
      <c r="EX11" s="226">
        <f>(EV11/EN11-1)*100</f>
        <v>-17.830326123501049</v>
      </c>
      <c r="EY11" s="168"/>
      <c r="EZ11" s="227">
        <v>-8</v>
      </c>
      <c r="FB11" s="407">
        <v>39907</v>
      </c>
      <c r="FD11" s="357">
        <v>646.20000000000005</v>
      </c>
      <c r="FE11" s="168"/>
      <c r="FF11" s="226">
        <f>(FD11/EV11-1)*100</f>
        <v>-11.865793780687394</v>
      </c>
      <c r="FG11" s="168"/>
      <c r="FH11" s="227">
        <v>-9</v>
      </c>
      <c r="FJ11" s="407">
        <v>40271</v>
      </c>
      <c r="FL11" s="357">
        <v>746.9</v>
      </c>
      <c r="FM11" s="168"/>
      <c r="FN11" s="226">
        <f>(FL11/FD11-1)*100</f>
        <v>15.583410708758883</v>
      </c>
      <c r="FO11" s="168"/>
      <c r="FP11" s="227">
        <v>15</v>
      </c>
      <c r="FR11" s="407">
        <v>40635</v>
      </c>
      <c r="FT11" s="357">
        <v>863</v>
      </c>
      <c r="FU11" s="168"/>
      <c r="FV11" s="226">
        <f>(FT11/FL11-1)*100</f>
        <v>15.544249564868128</v>
      </c>
      <c r="FW11" s="168"/>
      <c r="FX11" s="227">
        <v>14</v>
      </c>
      <c r="FZ11" s="407">
        <v>41371</v>
      </c>
      <c r="GA11" s="357">
        <v>840.9</v>
      </c>
      <c r="GB11" s="226">
        <f>(GA11/FT11-1)*100</f>
        <v>-2.5608342989571264</v>
      </c>
      <c r="GC11" s="227">
        <v>8</v>
      </c>
      <c r="GE11" s="407">
        <v>41370</v>
      </c>
      <c r="GF11" s="405"/>
      <c r="GG11" s="357">
        <v>894.8</v>
      </c>
      <c r="GH11" s="226">
        <f>(GG11/GA11-1)*100</f>
        <v>6.4097990248543235</v>
      </c>
      <c r="GI11" s="227">
        <v>3</v>
      </c>
      <c r="GK11" s="1158">
        <v>41369</v>
      </c>
      <c r="GL11" s="405"/>
      <c r="GM11" s="1186">
        <v>923.7</v>
      </c>
      <c r="GN11" s="226">
        <f>(GM11/GG11-1)*100</f>
        <v>3.2297720160930021</v>
      </c>
      <c r="GO11" s="1185">
        <v>-1</v>
      </c>
      <c r="GQ11" s="1158">
        <v>42829</v>
      </c>
      <c r="GR11" s="2166">
        <v>981.2</v>
      </c>
      <c r="GS11" s="226">
        <f>(GR11/GM11-1)*100</f>
        <v>6.2249648154162562</v>
      </c>
      <c r="GT11" s="2804">
        <v>9</v>
      </c>
      <c r="GU11" s="2804">
        <v>7</v>
      </c>
      <c r="GV11" s="2165"/>
      <c r="GW11" s="1158">
        <v>42096</v>
      </c>
      <c r="GX11" s="2166">
        <v>1027</v>
      </c>
      <c r="GY11" s="226">
        <f>(GX11/GR11-1)*100</f>
        <v>4.6677537708927686</v>
      </c>
      <c r="GZ11" s="2728">
        <v>1</v>
      </c>
      <c r="HA11" s="2728">
        <v>3</v>
      </c>
      <c r="HB11" s="2165"/>
      <c r="HC11" s="1158">
        <v>42826</v>
      </c>
      <c r="HD11" s="2593">
        <v>951.4</v>
      </c>
      <c r="HE11" s="226">
        <f>(HD11/GX11-1)*100</f>
        <v>-7.3612463485881241</v>
      </c>
      <c r="HF11" s="2728">
        <v>-9</v>
      </c>
      <c r="HG11" s="2728">
        <v>-10</v>
      </c>
      <c r="HH11" s="2165"/>
      <c r="HI11" s="1158">
        <v>42096</v>
      </c>
      <c r="HJ11" s="2593">
        <v>1020</v>
      </c>
      <c r="HK11" s="226">
        <f>(HJ11/HD11-1)*100</f>
        <v>7.210426739541731</v>
      </c>
      <c r="HL11" s="2693">
        <v>0</v>
      </c>
      <c r="HM11" s="2693">
        <v>4</v>
      </c>
      <c r="HN11" s="405">
        <f t="shared" ref="HN11:HN13" si="0">HA11+HG11</f>
        <v>-7</v>
      </c>
      <c r="HO11" s="405">
        <f t="shared" ref="HO11:HO13" si="1">HM11+HG11</f>
        <v>-6</v>
      </c>
      <c r="HQ11" s="127">
        <f>+DP11/DP13</f>
        <v>0.39616763294768031</v>
      </c>
      <c r="HR11" s="127">
        <f>DX11/DX13</f>
        <v>0.38791209013778705</v>
      </c>
      <c r="HS11" s="127">
        <f>EF11/EF13</f>
        <v>0.37947302260709814</v>
      </c>
      <c r="HT11" s="127">
        <f>EN11/EN13</f>
        <v>0.38613614165912613</v>
      </c>
      <c r="HU11" s="127">
        <f>EV11/EV13</f>
        <v>0.38086709078734871</v>
      </c>
      <c r="HV11" s="127">
        <f>FD11/$FD$13</f>
        <v>0.37456135978177835</v>
      </c>
      <c r="HW11" s="127">
        <f>FL11/FL$13</f>
        <v>0.38669808297363528</v>
      </c>
      <c r="HX11" s="127">
        <f>FT11/FT$13</f>
        <v>0.38926055829797063</v>
      </c>
      <c r="HY11" s="292">
        <f>GA11/$GA$13</f>
        <v>0.39042912381185851</v>
      </c>
      <c r="HZ11" s="292">
        <f>GG11/GG13</f>
        <v>0.39453802058141002</v>
      </c>
      <c r="IA11" s="292">
        <f>GM11/GM13</f>
        <v>0.38629124025960188</v>
      </c>
      <c r="IB11" s="292">
        <f>GR11/GR13</f>
        <v>0.3906130259810211</v>
      </c>
      <c r="IC11" s="292">
        <f>GX11/GX13</f>
        <v>0.39290701455707094</v>
      </c>
      <c r="ID11" s="265">
        <v>3094</v>
      </c>
      <c r="IE11" s="265">
        <v>3799</v>
      </c>
      <c r="IF11" s="265">
        <v>4199</v>
      </c>
      <c r="II11" s="266">
        <f t="shared" ref="II11:IL12" si="2">AVERAGE(IC10:IC11)</f>
        <v>0.35891501042523477</v>
      </c>
      <c r="IJ11" s="266">
        <f t="shared" si="2"/>
        <v>3076</v>
      </c>
      <c r="IK11" s="266">
        <f t="shared" si="2"/>
        <v>3769.5</v>
      </c>
      <c r="IL11" s="266">
        <f t="shared" si="2"/>
        <v>4187.5</v>
      </c>
      <c r="IP11" s="266">
        <f t="shared" ref="IP11:IR12" si="3">+ID11-ID10</f>
        <v>36</v>
      </c>
      <c r="IQ11" s="266">
        <f t="shared" si="3"/>
        <v>59</v>
      </c>
      <c r="IR11" s="266">
        <f t="shared" si="3"/>
        <v>23</v>
      </c>
      <c r="IT11" s="265"/>
      <c r="IU11" s="265"/>
      <c r="IV11" s="251">
        <f>+(IJ11/II11-1)*100</f>
        <v>856927.4049992006</v>
      </c>
      <c r="IW11" s="251">
        <f>+(IK11/IJ11-1)*100</f>
        <v>22.545513654096226</v>
      </c>
      <c r="IX11" s="251">
        <f>+(IL11/IK11-1)*100</f>
        <v>11.089003846664003</v>
      </c>
      <c r="JB11" s="292">
        <f>HD11/HD13</f>
        <v>0.3904895238071785</v>
      </c>
      <c r="JC11" s="2793">
        <v>0.39029999999999998</v>
      </c>
    </row>
    <row r="12" spans="1:263" s="24" customFormat="1" ht="12" customHeight="1">
      <c r="A12" s="150" t="s">
        <v>830</v>
      </c>
      <c r="B12" s="168"/>
      <c r="C12" s="168"/>
      <c r="D12" s="274">
        <v>4</v>
      </c>
      <c r="E12" s="168"/>
      <c r="F12" s="274"/>
      <c r="G12" s="168"/>
      <c r="H12" s="233"/>
      <c r="I12" s="168"/>
      <c r="J12" s="206"/>
      <c r="K12" s="168"/>
      <c r="L12" s="231"/>
      <c r="M12" s="168"/>
      <c r="N12" s="276" t="s">
        <v>885</v>
      </c>
      <c r="O12" s="168"/>
      <c r="P12" s="233"/>
      <c r="Q12" s="168"/>
      <c r="R12" s="206"/>
      <c r="S12" s="168"/>
      <c r="T12" s="231"/>
      <c r="U12" s="168"/>
      <c r="V12" s="276" t="s">
        <v>768</v>
      </c>
      <c r="W12" s="168"/>
      <c r="X12" s="233"/>
      <c r="Y12" s="168"/>
      <c r="Z12" s="206"/>
      <c r="AA12" s="168"/>
      <c r="AB12" s="231"/>
      <c r="AC12" s="168"/>
      <c r="AD12" s="276" t="s">
        <v>1079</v>
      </c>
      <c r="AE12" s="168"/>
      <c r="AF12" s="233"/>
      <c r="AG12" s="168"/>
      <c r="AH12" s="206"/>
      <c r="AI12" s="168"/>
      <c r="AJ12" s="231">
        <v>0</v>
      </c>
      <c r="AK12" s="168"/>
      <c r="AL12" s="276" t="s">
        <v>769</v>
      </c>
      <c r="AM12" s="168"/>
      <c r="AN12" s="233"/>
      <c r="AO12" s="168"/>
      <c r="AP12" s="206"/>
      <c r="AQ12" s="168"/>
      <c r="AR12" s="231">
        <v>-8</v>
      </c>
      <c r="AS12" s="168"/>
      <c r="AT12" s="120" t="s">
        <v>902</v>
      </c>
      <c r="AU12" s="168"/>
      <c r="AV12" s="233"/>
      <c r="AW12" s="168"/>
      <c r="AX12" s="206"/>
      <c r="AY12" s="168"/>
      <c r="AZ12" s="231">
        <v>2</v>
      </c>
      <c r="BA12" s="168"/>
      <c r="BB12" s="120" t="s">
        <v>902</v>
      </c>
      <c r="BC12" s="168"/>
      <c r="BD12" s="233"/>
      <c r="BE12" s="168"/>
      <c r="BF12" s="206"/>
      <c r="BG12" s="168"/>
      <c r="BH12" s="231">
        <v>-3</v>
      </c>
      <c r="BI12" s="168"/>
      <c r="BJ12" s="120" t="s">
        <v>903</v>
      </c>
      <c r="BK12" s="168"/>
      <c r="BL12" s="233">
        <v>543.86500000000001</v>
      </c>
      <c r="BM12" s="168"/>
      <c r="BN12" s="206"/>
      <c r="BO12" s="168"/>
      <c r="BP12" s="231">
        <v>-5</v>
      </c>
      <c r="BQ12" s="168"/>
      <c r="BR12" s="279" t="s">
        <v>904</v>
      </c>
      <c r="BS12" s="168"/>
      <c r="BT12" s="233">
        <v>641.822</v>
      </c>
      <c r="BU12" s="168"/>
      <c r="BV12" s="206">
        <f>(BT12/BL12-1)*100</f>
        <v>18.011271179428711</v>
      </c>
      <c r="BW12" s="168"/>
      <c r="BX12" s="231">
        <v>18</v>
      </c>
      <c r="BY12" s="168"/>
      <c r="BZ12" s="268" t="s">
        <v>905</v>
      </c>
      <c r="CA12" s="168"/>
      <c r="CB12" s="233">
        <v>472.75900000000001</v>
      </c>
      <c r="CC12" s="150"/>
      <c r="CD12" s="284" t="s">
        <v>886</v>
      </c>
      <c r="CE12" s="168"/>
      <c r="CF12" s="231">
        <v>3</v>
      </c>
      <c r="CG12" s="150"/>
      <c r="CH12" s="268" t="s">
        <v>902</v>
      </c>
      <c r="CI12" s="168"/>
      <c r="CJ12" s="233">
        <v>535.43399999999997</v>
      </c>
      <c r="CK12" s="150"/>
      <c r="CL12" s="206">
        <f>(CJ12/CB12-1)*100</f>
        <v>13.25728330925482</v>
      </c>
      <c r="CM12" s="168"/>
      <c r="CN12" s="231">
        <v>16</v>
      </c>
      <c r="CO12" s="150"/>
      <c r="CP12" s="268" t="s">
        <v>941</v>
      </c>
      <c r="CQ12" s="168"/>
      <c r="CR12" s="233">
        <v>516.73099999999999</v>
      </c>
      <c r="CS12" s="150"/>
      <c r="CT12" s="206">
        <f>(CR12/CJ12-1)*100</f>
        <v>-3.4930542326411795</v>
      </c>
      <c r="CU12" s="168"/>
      <c r="CV12" s="231">
        <v>-2</v>
      </c>
      <c r="CW12" s="150"/>
      <c r="CX12" s="268" t="s">
        <v>885</v>
      </c>
      <c r="CZ12" s="233">
        <v>549.673</v>
      </c>
      <c r="DA12" s="150"/>
      <c r="DB12" s="206">
        <f>(CZ12/CR12-1)*100</f>
        <v>6.3750771678107165</v>
      </c>
      <c r="DC12" s="168"/>
      <c r="DD12" s="231">
        <v>1</v>
      </c>
      <c r="DE12" s="31"/>
      <c r="DF12" s="407">
        <v>37744</v>
      </c>
      <c r="DH12" s="233">
        <v>580.6</v>
      </c>
      <c r="DI12" s="150"/>
      <c r="DJ12" s="206">
        <f>(DH12/CZ12-1)*100</f>
        <v>5.6264360810882152</v>
      </c>
      <c r="DK12" s="168"/>
      <c r="DL12" s="231">
        <v>3</v>
      </c>
      <c r="DM12" s="31"/>
      <c r="DN12" s="407">
        <v>38109</v>
      </c>
      <c r="DP12" s="233">
        <v>586.6</v>
      </c>
      <c r="DQ12" s="150"/>
      <c r="DR12" s="206">
        <f>(DP12/DH12-1)*100</f>
        <v>1.0334137099552221</v>
      </c>
      <c r="DS12" s="168"/>
      <c r="DT12" s="231">
        <v>2</v>
      </c>
      <c r="DU12" s="31"/>
      <c r="DV12" s="407">
        <v>38472</v>
      </c>
      <c r="DX12" s="549">
        <v>597.5</v>
      </c>
      <c r="DY12" s="150"/>
      <c r="DZ12" s="206">
        <f>(DX12/DP12-1)*100</f>
        <v>1.858165700647807</v>
      </c>
      <c r="EA12" s="168"/>
      <c r="EB12" s="231">
        <v>-4</v>
      </c>
      <c r="EC12" s="31"/>
      <c r="ED12" s="407">
        <v>38471</v>
      </c>
      <c r="EF12" s="592">
        <v>653.20000000000005</v>
      </c>
      <c r="EG12" s="150"/>
      <c r="EH12" s="206">
        <f>(EF12/DX12-1)*100</f>
        <v>9.3221757322175858</v>
      </c>
      <c r="EI12" s="168"/>
      <c r="EJ12" s="231">
        <v>9</v>
      </c>
      <c r="EK12" s="31"/>
      <c r="EL12" s="407">
        <v>39207</v>
      </c>
      <c r="EN12" s="592">
        <v>688</v>
      </c>
      <c r="EO12" s="150"/>
      <c r="EP12" s="206">
        <f>(EN12/EF12-1)*100</f>
        <v>5.3276178812002417</v>
      </c>
      <c r="EQ12" s="168"/>
      <c r="ER12" s="231">
        <v>-1</v>
      </c>
      <c r="ES12" s="31"/>
      <c r="ET12" s="407">
        <v>39205</v>
      </c>
      <c r="EV12" s="592">
        <v>577.5</v>
      </c>
      <c r="EW12" s="150"/>
      <c r="EX12" s="206">
        <f>(EV12/EN12-1)*100</f>
        <v>-16.061046511627907</v>
      </c>
      <c r="EY12" s="168"/>
      <c r="EZ12" s="231">
        <v>-5</v>
      </c>
      <c r="FA12" s="31"/>
      <c r="FB12" s="407">
        <v>39935</v>
      </c>
      <c r="FD12" s="592">
        <v>531.20000000000005</v>
      </c>
      <c r="FE12" s="150"/>
      <c r="FF12" s="206">
        <f>(FD12/EV12-1)*100</f>
        <v>-8.0173160173160127</v>
      </c>
      <c r="FG12" s="168"/>
      <c r="FH12" s="231">
        <v>-6</v>
      </c>
      <c r="FI12" s="31"/>
      <c r="FJ12" s="407">
        <v>40299</v>
      </c>
      <c r="FL12" s="592">
        <v>584.6</v>
      </c>
      <c r="FM12" s="150"/>
      <c r="FN12" s="206">
        <f>(FL12/FD12-1)*100</f>
        <v>10.052710843373491</v>
      </c>
      <c r="FO12" s="168"/>
      <c r="FP12" s="231">
        <v>4</v>
      </c>
      <c r="FQ12" s="31"/>
      <c r="FR12" s="407">
        <v>40663</v>
      </c>
      <c r="FT12" s="592">
        <v>683.2</v>
      </c>
      <c r="FU12" s="150"/>
      <c r="FV12" s="206">
        <f>(FT12/FL12-1)*100</f>
        <v>16.866233321929535</v>
      </c>
      <c r="FW12" s="168"/>
      <c r="FX12" s="231">
        <v>20</v>
      </c>
      <c r="FY12" s="31"/>
      <c r="FZ12" s="407">
        <v>41399</v>
      </c>
      <c r="GA12" s="592">
        <v>659</v>
      </c>
      <c r="GB12" s="206">
        <f>(GA12/FT12-1)*100</f>
        <v>-3.5421545667447374</v>
      </c>
      <c r="GC12" s="231">
        <v>6</v>
      </c>
      <c r="GD12" s="31"/>
      <c r="GE12" s="407">
        <v>41398</v>
      </c>
      <c r="GF12" s="405"/>
      <c r="GG12" s="592">
        <v>660.5</v>
      </c>
      <c r="GH12" s="206">
        <f>(GG12/GA12-1)*100</f>
        <v>0.22761760242793194</v>
      </c>
      <c r="GI12" s="231">
        <v>2</v>
      </c>
      <c r="GJ12" s="31"/>
      <c r="GK12" s="1159">
        <v>41397</v>
      </c>
      <c r="GL12" s="405"/>
      <c r="GM12" s="1201">
        <v>717.6</v>
      </c>
      <c r="GN12" s="206">
        <f>(GM12/GG12-1)*100</f>
        <v>8.6449659348978081</v>
      </c>
      <c r="GO12" s="231">
        <v>8</v>
      </c>
      <c r="GP12" s="31"/>
      <c r="GQ12" s="1159">
        <v>42857</v>
      </c>
      <c r="GR12" s="2353">
        <v>724.6</v>
      </c>
      <c r="GS12" s="206">
        <f>(GR12/GM12-1)*100</f>
        <v>0.97547380156075558</v>
      </c>
      <c r="GT12" s="2803">
        <v>-1</v>
      </c>
      <c r="GU12" s="2803">
        <v>-2</v>
      </c>
      <c r="GV12" s="2165"/>
      <c r="GW12" s="1159">
        <v>42124</v>
      </c>
      <c r="GX12" s="2353">
        <v>737.5</v>
      </c>
      <c r="GY12" s="206">
        <f>(GX12/GR12-1)*100</f>
        <v>1.7802925752139043</v>
      </c>
      <c r="GZ12" s="2803">
        <v>0</v>
      </c>
      <c r="HA12" s="2803">
        <v>1</v>
      </c>
      <c r="HB12" s="2165"/>
      <c r="HC12" s="1159">
        <v>42844</v>
      </c>
      <c r="HD12" s="2596">
        <v>719.6</v>
      </c>
      <c r="HE12" s="206">
        <f>(HD12/GX12-1)*100</f>
        <v>-2.4271186440677939</v>
      </c>
      <c r="HF12" s="2733">
        <v>-3</v>
      </c>
      <c r="HG12" s="2733">
        <v>-5</v>
      </c>
      <c r="HH12" s="2165"/>
      <c r="HI12" s="1159">
        <v>42124</v>
      </c>
      <c r="HJ12" s="250">
        <f>JC12*$HJ$13</f>
        <v>736.00264011023</v>
      </c>
      <c r="HK12" s="206">
        <f>(HJ12/HD12-1)*100</f>
        <v>2.2794107990870005</v>
      </c>
      <c r="HL12" s="2545">
        <f>(segmthSales!DU13*63%)+(segmthSales!DU36*37%)</f>
        <v>-3.52</v>
      </c>
      <c r="HM12" s="2545">
        <f>(segmthSales!DV13*63%)+(37%*segmthSales!DV36)</f>
        <v>-0.89</v>
      </c>
      <c r="HN12" s="405">
        <f t="shared" si="0"/>
        <v>-4</v>
      </c>
      <c r="HO12" s="405">
        <f t="shared" si="1"/>
        <v>-5.89</v>
      </c>
      <c r="HP12" s="31"/>
      <c r="HQ12" s="198">
        <f>DP12/DP13</f>
        <v>0.29653175129144987</v>
      </c>
      <c r="HR12" s="198">
        <f>DX12/DX13</f>
        <v>0.30254206220771146</v>
      </c>
      <c r="HS12" s="198">
        <f>EF12/EF13</f>
        <v>0.31447827755259644</v>
      </c>
      <c r="HT12" s="198">
        <f>EN12/EN13</f>
        <v>0.29772684686930267</v>
      </c>
      <c r="HU12" s="198">
        <f>EV12/EV13</f>
        <v>0.29998737715451973</v>
      </c>
      <c r="HV12" s="198">
        <f>FD12/$FD$13</f>
        <v>0.30790311717127927</v>
      </c>
      <c r="HW12" s="198">
        <f>FL12/FL$13</f>
        <v>0.30266929884373706</v>
      </c>
      <c r="HX12" s="198">
        <f>FT12/FT$13</f>
        <v>0.30816084985999254</v>
      </c>
      <c r="HY12" s="198">
        <f>1-HY11-HY10</f>
        <v>0.30596568643838024</v>
      </c>
      <c r="HZ12" s="198">
        <f>1-HZ10-HZ11</f>
        <v>0.29121606159519814</v>
      </c>
      <c r="IA12" s="198">
        <f>1-IA10-IA11</f>
        <v>0.3000588407248071</v>
      </c>
      <c r="IB12" s="198">
        <f>1-IB10-IB11</f>
        <v>0.28848077727692722</v>
      </c>
      <c r="IC12" s="198">
        <f>1-IC11-IC10</f>
        <v>0.28216997914953046</v>
      </c>
      <c r="ID12" s="265">
        <v>3145</v>
      </c>
      <c r="IE12" s="265">
        <v>3850</v>
      </c>
      <c r="IF12" s="265">
        <v>4228</v>
      </c>
      <c r="II12" s="266">
        <f t="shared" si="2"/>
        <v>0.33753849685330073</v>
      </c>
      <c r="IJ12" s="266">
        <f t="shared" si="2"/>
        <v>3119.5</v>
      </c>
      <c r="IK12" s="266">
        <f t="shared" si="2"/>
        <v>3824.5</v>
      </c>
      <c r="IL12" s="266">
        <f t="shared" si="2"/>
        <v>4213.5</v>
      </c>
      <c r="IP12" s="266">
        <f t="shared" si="3"/>
        <v>51</v>
      </c>
      <c r="IQ12" s="266">
        <f t="shared" si="3"/>
        <v>51</v>
      </c>
      <c r="IR12" s="266">
        <f t="shared" si="3"/>
        <v>29</v>
      </c>
      <c r="IT12" s="265"/>
      <c r="IU12" s="265"/>
      <c r="IV12" s="251">
        <f>+(IJ12/II12-1)*100</f>
        <v>924090.87869428459</v>
      </c>
      <c r="IW12" s="251">
        <f>+(IK12/IJ12-1)*100</f>
        <v>22.59977560506492</v>
      </c>
      <c r="IX12" s="251">
        <f>+(IL12/IK12-1)*100</f>
        <v>10.171264217544774</v>
      </c>
      <c r="JB12" s="198">
        <f>1-JB11-JB10</f>
        <v>0.29532114418273619</v>
      </c>
      <c r="JC12" s="198">
        <f>1-JC11-JC10</f>
        <v>0.28261879136302048</v>
      </c>
    </row>
    <row r="13" spans="1:263" s="24" customFormat="1" ht="11.25">
      <c r="A13" s="245"/>
      <c r="B13" s="247" t="s">
        <v>921</v>
      </c>
      <c r="C13" s="245"/>
      <c r="D13" s="269"/>
      <c r="E13" s="245"/>
      <c r="F13" s="269"/>
      <c r="G13" s="245"/>
      <c r="H13" s="234">
        <f>SUM(H10:H12)</f>
        <v>0</v>
      </c>
      <c r="I13" s="245"/>
      <c r="J13" s="232">
        <f>qtrSales!$D19</f>
        <v>14.796338857805758</v>
      </c>
      <c r="K13" s="245"/>
      <c r="L13" s="232">
        <f>'qtrP&amp;L'!H10</f>
        <v>11</v>
      </c>
      <c r="M13" s="245"/>
      <c r="N13" s="290"/>
      <c r="O13" s="245"/>
      <c r="P13" s="234">
        <f>'qtrP&amp;L'!J10</f>
        <v>1284.482</v>
      </c>
      <c r="Q13" s="245"/>
      <c r="R13" s="232">
        <f>qtrSales!$D26</f>
        <v>15.996550307266478</v>
      </c>
      <c r="S13" s="245"/>
      <c r="T13" s="232">
        <f>'qtrP&amp;L'!L10</f>
        <v>1</v>
      </c>
      <c r="U13" s="245"/>
      <c r="V13" s="290"/>
      <c r="W13" s="245"/>
      <c r="X13" s="234">
        <f>'qtrP&amp;L'!N10</f>
        <v>1415.625</v>
      </c>
      <c r="Y13" s="245"/>
      <c r="Z13" s="232">
        <f>qtrSales!$D33</f>
        <v>10.209796633973856</v>
      </c>
      <c r="AA13" s="245"/>
      <c r="AB13" s="232">
        <f>'qtrP&amp;L'!P10</f>
        <v>0</v>
      </c>
      <c r="AC13" s="245"/>
      <c r="AD13" s="290"/>
      <c r="AE13" s="245"/>
      <c r="AF13" s="234">
        <f>'qtrP&amp;L'!R10</f>
        <v>1518.5609999999999</v>
      </c>
      <c r="AG13" s="245"/>
      <c r="AH13" s="232">
        <f>qtrSales!$D40</f>
        <v>7.2714172185430304</v>
      </c>
      <c r="AI13" s="245"/>
      <c r="AJ13" s="232">
        <f>'qtrP&amp;L'!T10</f>
        <v>-3</v>
      </c>
      <c r="AK13" s="245"/>
      <c r="AL13" s="290"/>
      <c r="AM13" s="245"/>
      <c r="AN13" s="234">
        <f>'qtrP&amp;L'!V10</f>
        <v>1481.6279999999999</v>
      </c>
      <c r="AO13" s="245"/>
      <c r="AP13" s="232">
        <f>qtrSales!D47</f>
        <v>-16.985356531611174</v>
      </c>
      <c r="AQ13" s="245"/>
      <c r="AR13" s="232">
        <f>'qtrP&amp;L'!X10</f>
        <v>0</v>
      </c>
      <c r="AS13" s="245"/>
      <c r="AT13" s="121"/>
      <c r="AU13" s="245"/>
      <c r="AV13" s="234">
        <f>'qtrP&amp;L'!Z10</f>
        <v>1588.134</v>
      </c>
      <c r="AW13" s="245"/>
      <c r="AX13" s="232">
        <f>qtrSales!D54</f>
        <v>4.4823691049223235</v>
      </c>
      <c r="AY13" s="245"/>
      <c r="AZ13" s="232">
        <f>'qtrP&amp;L'!AB10</f>
        <v>-1</v>
      </c>
      <c r="BA13" s="245"/>
      <c r="BB13" s="121"/>
      <c r="BC13" s="245"/>
      <c r="BD13" s="234">
        <f>'qtrP&amp;L'!AD10</f>
        <v>1787.943</v>
      </c>
      <c r="BE13" s="245"/>
      <c r="BF13" s="232">
        <f>qtrSales!D61</f>
        <v>11.070172055386918</v>
      </c>
      <c r="BG13" s="245"/>
      <c r="BH13" s="232">
        <f>'qtrP&amp;L'!AF10</f>
        <v>4</v>
      </c>
      <c r="BI13" s="245"/>
      <c r="BJ13" s="121"/>
      <c r="BK13" s="245"/>
      <c r="BL13" s="234">
        <f>'qtrP&amp;L'!AH10</f>
        <v>1697.2539999999999</v>
      </c>
      <c r="BM13" s="245"/>
      <c r="BN13" s="232">
        <f>qtrSales!D68</f>
        <v>-11.189021034995905</v>
      </c>
      <c r="BO13" s="245"/>
      <c r="BP13" s="232">
        <f>'qtrP&amp;L'!AJ10</f>
        <v>-4</v>
      </c>
      <c r="BQ13" s="245"/>
      <c r="BR13" s="121"/>
      <c r="BS13" s="245"/>
      <c r="BT13" s="234">
        <f>'qtrP&amp;L'!AL10</f>
        <v>1805.8440000000001</v>
      </c>
      <c r="BU13" s="245"/>
      <c r="BV13" s="232">
        <f>qtrSales!D75</f>
        <v>3.0471332010522989</v>
      </c>
      <c r="BW13" s="245"/>
      <c r="BX13" s="232">
        <f>'qtrP&amp;L'!AN10</f>
        <v>8</v>
      </c>
      <c r="BY13" s="245"/>
      <c r="BZ13" s="269"/>
      <c r="CA13" s="245"/>
      <c r="CB13" s="234">
        <f>'qtrP&amp;L'!AP10</f>
        <v>1568.739</v>
      </c>
      <c r="CC13" s="247"/>
      <c r="CD13" s="291" t="s">
        <v>886</v>
      </c>
      <c r="CE13" s="245"/>
      <c r="CF13" s="232">
        <f>'qtrP&amp;L'!AR10</f>
        <v>11</v>
      </c>
      <c r="CG13" s="247"/>
      <c r="CH13" s="269"/>
      <c r="CI13" s="245"/>
      <c r="CJ13" s="234">
        <f>'qtrP&amp;L'!AT10</f>
        <v>1690.23</v>
      </c>
      <c r="CK13" s="247"/>
      <c r="CL13" s="232">
        <f>qtrSales!D89</f>
        <v>12.039576614834434</v>
      </c>
      <c r="CM13" s="245"/>
      <c r="CN13" s="232">
        <f>'qtrP&amp;L'!AV10</f>
        <v>9</v>
      </c>
      <c r="CO13" s="247"/>
      <c r="CP13" s="269"/>
      <c r="CQ13" s="245"/>
      <c r="CR13" s="234">
        <f>'qtrP&amp;L'!AX10</f>
        <v>1661.8579999999999</v>
      </c>
      <c r="CS13" s="247"/>
      <c r="CT13" s="232">
        <f>qtrSales!$D96</f>
        <v>-0.53014170122692716</v>
      </c>
      <c r="CU13" s="245"/>
      <c r="CV13" s="232">
        <f>'qtrP&amp;L'!AZ10</f>
        <v>-3</v>
      </c>
      <c r="CW13" s="247"/>
      <c r="CX13" s="269"/>
      <c r="CY13" s="116"/>
      <c r="CZ13" s="234">
        <f>'qtrP&amp;L'!BB10</f>
        <v>1798.7070000000001</v>
      </c>
      <c r="DA13" s="247"/>
      <c r="DB13" s="232">
        <f>(CZ13/CR13-1)*100</f>
        <v>8.234698752841707</v>
      </c>
      <c r="DC13" s="245"/>
      <c r="DD13" s="232">
        <f>'qtrP&amp;L'!BD10</f>
        <v>4</v>
      </c>
      <c r="DE13" s="118"/>
      <c r="DF13" s="121"/>
      <c r="DG13" s="116"/>
      <c r="DH13" s="234">
        <f>+'qtrP&amp;L'!BF10</f>
        <v>1842.297</v>
      </c>
      <c r="DI13" s="247"/>
      <c r="DJ13" s="232">
        <f>(DH13/CZ13-1)*100</f>
        <v>2.4234074810405515</v>
      </c>
      <c r="DK13" s="245"/>
      <c r="DL13" s="232">
        <f>+'qtrP&amp;L'!BH10</f>
        <v>-1</v>
      </c>
      <c r="DM13" s="118"/>
      <c r="DN13" s="121"/>
      <c r="DO13" s="116"/>
      <c r="DP13" s="234">
        <f>+'qtrP&amp;L'!BJ10</f>
        <v>1978.203</v>
      </c>
      <c r="DQ13" s="247"/>
      <c r="DR13" s="232">
        <f>(DP13/DH13-1)*100</f>
        <v>7.3769864468106849</v>
      </c>
      <c r="DS13" s="245"/>
      <c r="DT13" s="354">
        <v>8</v>
      </c>
      <c r="DU13" s="118"/>
      <c r="DV13" s="121"/>
      <c r="DW13" s="116"/>
      <c r="DX13" s="234">
        <f>+'qtrP&amp;L'!BN10</f>
        <v>1974.932</v>
      </c>
      <c r="DY13" s="247"/>
      <c r="DZ13" s="232">
        <f>(DX13/DP13-1)*100</f>
        <v>-0.16535208975013704</v>
      </c>
      <c r="EA13" s="245"/>
      <c r="EB13" s="232">
        <f>'qtrP&amp;L'!BP10</f>
        <v>-5</v>
      </c>
      <c r="EC13" s="118"/>
      <c r="ED13" s="121"/>
      <c r="EE13" s="116"/>
      <c r="EF13" s="234">
        <f>'qtrP&amp;L'!$BV$10</f>
        <v>2077.0909999999999</v>
      </c>
      <c r="EG13" s="247"/>
      <c r="EH13" s="232">
        <f>(EF13/DX13-1)*100</f>
        <v>5.1727856959125518</v>
      </c>
      <c r="EI13" s="245"/>
      <c r="EJ13" s="354">
        <f>'qtrP&amp;L'!BX10</f>
        <v>5</v>
      </c>
      <c r="EK13" s="118"/>
      <c r="EL13" s="121"/>
      <c r="EM13" s="116"/>
      <c r="EN13" s="234">
        <f>'qtrP&amp;L'!BZ10</f>
        <v>2310.8429999999998</v>
      </c>
      <c r="EO13" s="247"/>
      <c r="EP13" s="232">
        <f>(EN13/EF13-1)*100</f>
        <v>11.253816034059172</v>
      </c>
      <c r="EQ13" s="245"/>
      <c r="ER13" s="232">
        <f>'qtrP&amp;L'!CB10</f>
        <v>4</v>
      </c>
      <c r="ES13" s="118"/>
      <c r="ET13" s="121"/>
      <c r="EU13" s="116"/>
      <c r="EV13" s="234">
        <f>'qtrP&amp;L'!CD10</f>
        <v>1925.0809999999999</v>
      </c>
      <c r="EW13" s="247"/>
      <c r="EX13" s="232">
        <f>(EV13/EN13-1)*100</f>
        <v>-16.693561613662201</v>
      </c>
      <c r="EY13" s="245"/>
      <c r="EZ13" s="232">
        <f>'qtrP&amp;L'!CF10</f>
        <v>-8</v>
      </c>
      <c r="FA13" s="118"/>
      <c r="FB13" s="121"/>
      <c r="FC13" s="116"/>
      <c r="FD13" s="234">
        <f>'segSales&amp;OM'!$BI$164</f>
        <v>1725.2179999999998</v>
      </c>
      <c r="FE13" s="247"/>
      <c r="FF13" s="232">
        <f>(FD13/EV13-1)*100</f>
        <v>-10.38205665112274</v>
      </c>
      <c r="FG13" s="245"/>
      <c r="FH13" s="354">
        <v>-7</v>
      </c>
      <c r="FI13" s="118"/>
      <c r="FJ13" s="121"/>
      <c r="FK13" s="116"/>
      <c r="FL13" s="234">
        <f>'segSales&amp;OM'!$BI$171</f>
        <v>1931.4809999999998</v>
      </c>
      <c r="FM13" s="247"/>
      <c r="FN13" s="232">
        <f>(FL13/FD13-1)*100</f>
        <v>11.955764430929893</v>
      </c>
      <c r="FO13" s="245"/>
      <c r="FP13" s="354">
        <v>10</v>
      </c>
      <c r="FQ13" s="118"/>
      <c r="FR13" s="121"/>
      <c r="FS13" s="116"/>
      <c r="FT13" s="234">
        <f>'segSales&amp;OM'!$BI$178</f>
        <v>2217.0239999999999</v>
      </c>
      <c r="FU13" s="247"/>
      <c r="FV13" s="232">
        <f>(FT13/FL13-1)*100</f>
        <v>14.783629763896201</v>
      </c>
      <c r="FW13" s="245"/>
      <c r="FX13" s="354">
        <v>15</v>
      </c>
      <c r="FY13" s="118"/>
      <c r="FZ13" s="121"/>
      <c r="GA13" s="1074">
        <f>'segSales&amp;OM'!$BI$202</f>
        <v>2153.7840000000001</v>
      </c>
      <c r="GB13" s="232">
        <f>(GA13/FT13-1)*100</f>
        <v>-2.8524725036806031</v>
      </c>
      <c r="GC13" s="232">
        <v>7.4096693880761659</v>
      </c>
      <c r="GD13" s="118"/>
      <c r="GE13" s="121"/>
      <c r="GF13" s="114"/>
      <c r="GG13" s="1074">
        <f>'segSales&amp;OM'!BI209</f>
        <v>2267.9690000000001</v>
      </c>
      <c r="GH13" s="232">
        <f>(GG13/GA13-1)*100</f>
        <v>5.3015994175831915</v>
      </c>
      <c r="GI13" s="354">
        <v>3</v>
      </c>
      <c r="GJ13" s="118"/>
      <c r="GK13" s="1160"/>
      <c r="GL13" s="114"/>
      <c r="GM13" s="234">
        <f>'segSales&amp;OM'!BI216</f>
        <v>2391.2009999999996</v>
      </c>
      <c r="GN13" s="232">
        <f>(GM13/GG13-1)*100</f>
        <v>5.4335839687402965</v>
      </c>
      <c r="GO13" s="1200">
        <v>2</v>
      </c>
      <c r="GP13" s="118"/>
      <c r="GQ13" s="1160"/>
      <c r="GR13" s="1074">
        <f>'segSales&amp;OM'!BI223</f>
        <v>2511.9490000000001</v>
      </c>
      <c r="GS13" s="232">
        <f>(GR13/GM13-1)*100</f>
        <v>5.049680056172634</v>
      </c>
      <c r="GT13" s="2811">
        <v>5</v>
      </c>
      <c r="GU13" s="2811">
        <v>3</v>
      </c>
      <c r="GV13" s="2165"/>
      <c r="GW13" s="1160"/>
      <c r="GX13" s="1074">
        <f>'segSales&amp;OM'!BI230</f>
        <v>2613.8500000000004</v>
      </c>
      <c r="GY13" s="232">
        <f>(GX13/GR13-1)*100</f>
        <v>4.0566508316848937</v>
      </c>
      <c r="GZ13" s="2811">
        <v>2</v>
      </c>
      <c r="HA13" s="2811">
        <v>3</v>
      </c>
      <c r="HB13" s="2165"/>
      <c r="HC13" s="1160"/>
      <c r="HD13" s="1074">
        <f>'segSales&amp;OM'!BI237</f>
        <v>2436.4289999999996</v>
      </c>
      <c r="HE13" s="232">
        <f>(HD13/GX13-1)*100</f>
        <v>-6.7877269162347043</v>
      </c>
      <c r="HF13" s="2811">
        <v>-9</v>
      </c>
      <c r="HG13" s="2811">
        <v>-9</v>
      </c>
      <c r="HH13" s="2165"/>
      <c r="HI13" s="1160"/>
      <c r="HJ13" s="1074">
        <f>'segSales&amp;OM'!BI244</f>
        <v>2604.2240028011561</v>
      </c>
      <c r="HK13" s="232">
        <f>(HJ13/HD13-1)*100</f>
        <v>6.8869235590758526</v>
      </c>
      <c r="HL13" s="2539">
        <f>(segmthSales!DU14*63%)+(segmthSales!DU37*37%)</f>
        <v>-1.1801240624320701</v>
      </c>
      <c r="HM13" s="2539">
        <f>(segmthSales!DV14*64%)+(36%*segmthSales!DV37)</f>
        <v>2.3243581195333798</v>
      </c>
      <c r="HN13" s="405">
        <f t="shared" si="0"/>
        <v>-6</v>
      </c>
      <c r="HO13" s="405">
        <f t="shared" si="1"/>
        <v>-6.6756418804666202</v>
      </c>
      <c r="HP13" s="114"/>
      <c r="HQ13" s="356">
        <f t="shared" ref="HQ13:HZ13" si="4">SUM(HQ10:HQ12)</f>
        <v>0.99999848347212095</v>
      </c>
      <c r="HR13" s="356">
        <f t="shared" si="4"/>
        <v>1.0000344315652387</v>
      </c>
      <c r="HS13" s="356">
        <f t="shared" si="4"/>
        <v>1.0000524772385997</v>
      </c>
      <c r="HT13" s="356">
        <f t="shared" si="4"/>
        <v>0.9999813920720706</v>
      </c>
      <c r="HU13" s="356">
        <f t="shared" si="4"/>
        <v>1.0000098697145732</v>
      </c>
      <c r="HV13" s="356">
        <f t="shared" si="4"/>
        <v>0.9999895665359394</v>
      </c>
      <c r="HW13" s="356">
        <f t="shared" si="4"/>
        <v>1.0000616107536136</v>
      </c>
      <c r="HX13" s="356">
        <f t="shared" si="4"/>
        <v>1.0000342801882163</v>
      </c>
      <c r="HY13" s="356">
        <f t="shared" si="4"/>
        <v>1</v>
      </c>
      <c r="HZ13" s="356">
        <f t="shared" si="4"/>
        <v>1</v>
      </c>
      <c r="IA13" s="356">
        <f>SUM(IA10:IA12)</f>
        <v>1</v>
      </c>
      <c r="IB13" s="356">
        <f>SUM(IB10:IB12)</f>
        <v>1</v>
      </c>
      <c r="IC13" s="356">
        <f>SUM(IC10:IC12)</f>
        <v>1</v>
      </c>
      <c r="ID13" s="265"/>
      <c r="IE13" s="265"/>
      <c r="IF13" s="265"/>
      <c r="IT13" s="265"/>
      <c r="IU13" s="265"/>
      <c r="IV13" s="263">
        <v>22.281746031746042</v>
      </c>
      <c r="IW13" s="263">
        <v>22.115852669154634</v>
      </c>
      <c r="IX13" s="263">
        <v>11.599787403667294</v>
      </c>
      <c r="JB13" s="356">
        <f>SUM(JB10:JB12)</f>
        <v>1</v>
      </c>
      <c r="JC13" s="356">
        <f>SUM(JC10:JC12)</f>
        <v>1</v>
      </c>
    </row>
    <row r="14" spans="1:263" s="24" customFormat="1" ht="11.25">
      <c r="A14" s="246"/>
      <c r="B14" s="246"/>
      <c r="C14" s="246"/>
      <c r="D14" s="270"/>
      <c r="E14" s="246"/>
      <c r="F14" s="277"/>
      <c r="G14" s="246"/>
      <c r="H14" s="246"/>
      <c r="I14" s="246"/>
      <c r="J14" s="246"/>
      <c r="K14" s="246"/>
      <c r="L14" s="246"/>
      <c r="M14" s="246"/>
      <c r="N14" s="277"/>
      <c r="O14" s="246"/>
      <c r="P14" s="246"/>
      <c r="Q14" s="246"/>
      <c r="R14" s="246"/>
      <c r="S14" s="246"/>
      <c r="T14" s="246"/>
      <c r="U14" s="246"/>
      <c r="V14" s="277"/>
      <c r="W14" s="246"/>
      <c r="X14" s="246"/>
      <c r="Y14" s="246"/>
      <c r="Z14" s="246"/>
      <c r="AA14" s="246"/>
      <c r="AB14" s="246"/>
      <c r="AC14" s="246"/>
      <c r="AD14" s="277"/>
      <c r="AE14" s="246"/>
      <c r="AF14" s="246"/>
      <c r="AG14" s="246"/>
      <c r="AH14" s="246"/>
      <c r="AI14" s="246"/>
      <c r="AJ14" s="246"/>
      <c r="AK14" s="246"/>
      <c r="AL14" s="277"/>
      <c r="AM14" s="246"/>
      <c r="AN14" s="246"/>
      <c r="AO14" s="246"/>
      <c r="AP14" s="246"/>
      <c r="AQ14" s="246"/>
      <c r="AR14" s="246"/>
      <c r="AS14" s="246"/>
      <c r="AT14" s="282"/>
      <c r="AU14" s="246"/>
      <c r="AV14" s="246"/>
      <c r="AW14" s="246"/>
      <c r="AX14" s="246"/>
      <c r="AY14" s="246"/>
      <c r="AZ14" s="246"/>
      <c r="BA14" s="246"/>
      <c r="BB14" s="122"/>
      <c r="BC14" s="246"/>
      <c r="BD14" s="246"/>
      <c r="BE14" s="246"/>
      <c r="BF14" s="246"/>
      <c r="BG14" s="246"/>
      <c r="BH14" s="246"/>
      <c r="BI14" s="246"/>
      <c r="BJ14" s="122"/>
      <c r="BK14" s="246"/>
      <c r="BL14" s="246"/>
      <c r="BM14" s="246"/>
      <c r="BN14" s="246"/>
      <c r="BO14" s="246"/>
      <c r="BP14" s="246"/>
      <c r="BQ14" s="246"/>
      <c r="BR14" s="122"/>
      <c r="BS14" s="246"/>
      <c r="BT14" s="246"/>
      <c r="BU14" s="246"/>
      <c r="BV14" s="246"/>
      <c r="BW14" s="246"/>
      <c r="BX14" s="246"/>
      <c r="BY14" s="246"/>
      <c r="BZ14" s="270"/>
      <c r="CA14" s="246"/>
      <c r="CB14" s="246"/>
      <c r="CC14" s="246"/>
      <c r="CD14" s="246"/>
      <c r="CE14" s="246"/>
      <c r="CF14" s="246"/>
      <c r="CG14" s="246"/>
      <c r="CH14" s="270"/>
      <c r="CI14" s="246"/>
      <c r="CJ14" s="246"/>
      <c r="CK14" s="246"/>
      <c r="CL14" s="246"/>
      <c r="CM14" s="246"/>
      <c r="CN14" s="246"/>
      <c r="CO14" s="246"/>
      <c r="CP14" s="270"/>
      <c r="CQ14" s="246"/>
      <c r="CR14" s="246"/>
      <c r="CS14" s="246"/>
      <c r="CT14" s="246"/>
      <c r="CU14" s="246"/>
      <c r="CV14" s="246"/>
      <c r="CW14" s="246"/>
      <c r="CX14" s="270"/>
      <c r="CY14" s="119"/>
      <c r="CZ14" s="246"/>
      <c r="DA14" s="246"/>
      <c r="DB14" s="246"/>
      <c r="DC14" s="246"/>
      <c r="DD14" s="246"/>
      <c r="DE14" s="119"/>
      <c r="DF14" s="122"/>
      <c r="DG14" s="119"/>
      <c r="DH14" s="246"/>
      <c r="DI14" s="246"/>
      <c r="DJ14" s="246"/>
      <c r="DK14" s="246"/>
      <c r="DL14" s="246"/>
      <c r="DM14" s="119"/>
      <c r="DN14" s="122"/>
      <c r="DO14" s="119"/>
      <c r="DP14" s="246"/>
      <c r="DQ14" s="246"/>
      <c r="DR14" s="246"/>
      <c r="DS14" s="246"/>
      <c r="DT14" s="246"/>
      <c r="DU14" s="119"/>
      <c r="DV14" s="122"/>
      <c r="DW14" s="119"/>
      <c r="DX14" s="246"/>
      <c r="DY14" s="246"/>
      <c r="DZ14" s="246"/>
      <c r="EA14" s="246"/>
      <c r="EB14" s="246"/>
      <c r="EC14" s="119"/>
      <c r="ED14" s="122"/>
      <c r="EE14" s="119"/>
      <c r="EF14" s="246"/>
      <c r="EG14" s="246"/>
      <c r="EH14" s="246"/>
      <c r="EI14" s="246"/>
      <c r="EJ14" s="246"/>
      <c r="EK14" s="119"/>
      <c r="EL14" s="122"/>
      <c r="EM14" s="119"/>
      <c r="EN14" s="246"/>
      <c r="EO14" s="246"/>
      <c r="EP14" s="246"/>
      <c r="EQ14" s="246"/>
      <c r="ER14" s="246"/>
      <c r="ES14" s="119"/>
      <c r="ET14" s="122"/>
      <c r="EU14" s="119"/>
      <c r="EV14" s="246"/>
      <c r="EW14" s="246"/>
      <c r="EX14" s="246"/>
      <c r="EY14" s="246"/>
      <c r="EZ14" s="246"/>
      <c r="FA14" s="119"/>
      <c r="FB14" s="122"/>
      <c r="FC14" s="119"/>
      <c r="FD14" s="246"/>
      <c r="FE14" s="246"/>
      <c r="FF14" s="246"/>
      <c r="FG14" s="246"/>
      <c r="FH14" s="246"/>
      <c r="FI14" s="119"/>
      <c r="FJ14" s="122"/>
      <c r="FK14" s="119"/>
      <c r="FL14" s="246"/>
      <c r="FM14" s="246"/>
      <c r="FN14" s="246"/>
      <c r="FO14" s="246"/>
      <c r="FP14" s="246"/>
      <c r="FQ14" s="119"/>
      <c r="FR14" s="122"/>
      <c r="FS14" s="119"/>
      <c r="FT14" s="246"/>
      <c r="FU14" s="246"/>
      <c r="FV14" s="246"/>
      <c r="FW14" s="246"/>
      <c r="FX14" s="246"/>
      <c r="FY14" s="119"/>
      <c r="FZ14" s="122"/>
      <c r="GA14" s="246"/>
      <c r="GB14" s="246"/>
      <c r="GC14" s="246"/>
      <c r="GD14" s="119"/>
      <c r="GE14" s="122"/>
      <c r="GF14" s="30"/>
      <c r="GG14" s="1131"/>
      <c r="GH14" s="1132"/>
      <c r="GI14" s="30"/>
      <c r="GJ14" s="119"/>
      <c r="GK14" s="1158"/>
      <c r="GL14" s="30"/>
      <c r="GM14" s="1131"/>
      <c r="GN14" s="1132"/>
      <c r="GO14" s="226"/>
      <c r="GP14" s="119"/>
      <c r="GQ14" s="1158"/>
      <c r="GR14" s="1131"/>
      <c r="GS14" s="1132"/>
      <c r="GT14" s="2729"/>
      <c r="GU14" s="2729"/>
      <c r="GV14" s="1183"/>
      <c r="GW14" s="1158"/>
      <c r="GX14" s="1131"/>
      <c r="GY14" s="1132"/>
      <c r="GZ14" s="2729"/>
      <c r="HA14" s="2729"/>
      <c r="HB14" s="1183"/>
      <c r="HC14" s="1158"/>
      <c r="HD14" s="2594"/>
      <c r="HE14" s="1132"/>
      <c r="HF14" s="2729"/>
      <c r="HG14" s="2729"/>
      <c r="HH14" s="1183"/>
      <c r="HI14" s="1158"/>
      <c r="HJ14" s="2594"/>
      <c r="HK14" s="1132"/>
      <c r="HL14" s="1183"/>
      <c r="HM14" s="1183"/>
      <c r="HN14" s="405"/>
      <c r="HO14" s="405"/>
      <c r="HP14" s="30"/>
      <c r="HQ14" s="93"/>
      <c r="HR14" s="93"/>
      <c r="HS14" s="93"/>
      <c r="HT14" s="93"/>
      <c r="HU14" s="93"/>
      <c r="HV14" s="93"/>
      <c r="HW14" s="93"/>
      <c r="HX14" s="93"/>
      <c r="HY14" s="93"/>
      <c r="HZ14" s="93"/>
      <c r="IA14" s="1187"/>
      <c r="IB14" s="1187"/>
      <c r="IC14" s="265"/>
      <c r="ID14" s="265"/>
      <c r="IE14" s="265"/>
      <c r="IF14" s="265"/>
      <c r="IT14" s="265"/>
      <c r="IU14" s="265"/>
      <c r="IV14" s="265"/>
      <c r="IW14" s="265"/>
      <c r="IX14" s="265"/>
      <c r="JB14" s="265"/>
      <c r="JC14" s="265"/>
    </row>
    <row r="15" spans="1:263" s="24" customFormat="1" ht="11.25">
      <c r="A15" s="150" t="s">
        <v>831</v>
      </c>
      <c r="B15" s="168"/>
      <c r="C15" s="168"/>
      <c r="D15" s="224">
        <f>$D$10</f>
        <v>4</v>
      </c>
      <c r="E15" s="168"/>
      <c r="F15" s="276"/>
      <c r="G15" s="168"/>
      <c r="H15" s="229"/>
      <c r="I15" s="168"/>
      <c r="J15" s="226"/>
      <c r="K15" s="168" t="s">
        <v>1084</v>
      </c>
      <c r="L15" s="227"/>
      <c r="M15" s="168" t="s">
        <v>1084</v>
      </c>
      <c r="N15" s="276" t="s">
        <v>698</v>
      </c>
      <c r="O15" s="168"/>
      <c r="P15" s="229"/>
      <c r="Q15" s="168"/>
      <c r="R15" s="226"/>
      <c r="S15" s="168" t="s">
        <v>1084</v>
      </c>
      <c r="T15" s="227"/>
      <c r="U15" s="168" t="s">
        <v>1084</v>
      </c>
      <c r="V15" s="276" t="s">
        <v>772</v>
      </c>
      <c r="W15" s="168"/>
      <c r="X15" s="229"/>
      <c r="Y15" s="168"/>
      <c r="Z15" s="226"/>
      <c r="AA15" s="168" t="s">
        <v>1084</v>
      </c>
      <c r="AB15" s="227"/>
      <c r="AC15" s="168" t="s">
        <v>1084</v>
      </c>
      <c r="AD15" s="276" t="s">
        <v>1080</v>
      </c>
      <c r="AE15" s="168"/>
      <c r="AF15" s="229"/>
      <c r="AG15" s="168"/>
      <c r="AH15" s="226"/>
      <c r="AI15" s="168" t="s">
        <v>1084</v>
      </c>
      <c r="AJ15" s="227">
        <v>2</v>
      </c>
      <c r="AK15" s="168" t="s">
        <v>1084</v>
      </c>
      <c r="AL15" s="276" t="s">
        <v>773</v>
      </c>
      <c r="AM15" s="168"/>
      <c r="AN15" s="229"/>
      <c r="AO15" s="168"/>
      <c r="AP15" s="226"/>
      <c r="AQ15" s="168" t="s">
        <v>1084</v>
      </c>
      <c r="AR15" s="227">
        <v>-8</v>
      </c>
      <c r="AS15" s="168" t="s">
        <v>1084</v>
      </c>
      <c r="AT15" s="281" t="s">
        <v>906</v>
      </c>
      <c r="AU15" s="168"/>
      <c r="AV15" s="229"/>
      <c r="AW15" s="168"/>
      <c r="AX15" s="226"/>
      <c r="AY15" s="168" t="s">
        <v>1084</v>
      </c>
      <c r="AZ15" s="227">
        <v>1</v>
      </c>
      <c r="BA15" s="168" t="s">
        <v>1084</v>
      </c>
      <c r="BB15" s="279" t="s">
        <v>698</v>
      </c>
      <c r="BC15" s="168"/>
      <c r="BD15" s="229"/>
      <c r="BE15" s="168"/>
      <c r="BF15" s="226"/>
      <c r="BG15" s="168" t="s">
        <v>1084</v>
      </c>
      <c r="BH15" s="227">
        <v>6</v>
      </c>
      <c r="BI15" s="168" t="s">
        <v>1084</v>
      </c>
      <c r="BJ15" s="279" t="s">
        <v>695</v>
      </c>
      <c r="BK15" s="168"/>
      <c r="BL15" s="229">
        <v>634.35400000000004</v>
      </c>
      <c r="BM15" s="168"/>
      <c r="BN15" s="226"/>
      <c r="BO15" s="168"/>
      <c r="BP15" s="227">
        <v>-7</v>
      </c>
      <c r="BQ15" s="168" t="s">
        <v>1084</v>
      </c>
      <c r="BR15" s="279" t="s">
        <v>692</v>
      </c>
      <c r="BS15" s="168"/>
      <c r="BT15" s="205">
        <v>680.05499999999995</v>
      </c>
      <c r="BU15" s="168"/>
      <c r="BV15" s="226">
        <f>(BT15/BL15-1)*100</f>
        <v>7.204337010565065</v>
      </c>
      <c r="BW15" s="168"/>
      <c r="BX15" s="227">
        <v>9</v>
      </c>
      <c r="BY15" s="168" t="s">
        <v>1084</v>
      </c>
      <c r="BZ15" s="268" t="s">
        <v>689</v>
      </c>
      <c r="CA15" s="168"/>
      <c r="CB15" s="205">
        <v>550.41099999999994</v>
      </c>
      <c r="CC15" s="168"/>
      <c r="CD15" s="228" t="s">
        <v>886</v>
      </c>
      <c r="CE15" s="168"/>
      <c r="CF15" s="227">
        <v>10</v>
      </c>
      <c r="CG15" s="168" t="s">
        <v>1084</v>
      </c>
      <c r="CH15" s="267" t="s">
        <v>906</v>
      </c>
      <c r="CI15" s="168"/>
      <c r="CJ15" s="205">
        <v>584.89300000000003</v>
      </c>
      <c r="CK15" s="168"/>
      <c r="CL15" s="226">
        <f>(CJ15/CB15-1)*100</f>
        <v>6.2647730514106881</v>
      </c>
      <c r="CM15" s="168"/>
      <c r="CN15" s="227">
        <v>9</v>
      </c>
      <c r="CO15" s="168" t="s">
        <v>1084</v>
      </c>
      <c r="CP15" s="267" t="s">
        <v>942</v>
      </c>
      <c r="CQ15" s="168"/>
      <c r="CR15" s="205">
        <v>549.84100000000001</v>
      </c>
      <c r="CS15" s="168"/>
      <c r="CT15" s="226">
        <f>(CR15/CJ15-1)*100</f>
        <v>-5.9928910074150359</v>
      </c>
      <c r="CU15" s="168"/>
      <c r="CV15" s="227">
        <v>-6</v>
      </c>
      <c r="CW15" s="168" t="s">
        <v>1084</v>
      </c>
      <c r="CX15" s="267" t="s">
        <v>698</v>
      </c>
      <c r="CZ15" s="205">
        <v>599.38599999999997</v>
      </c>
      <c r="DA15" s="168"/>
      <c r="DB15" s="226">
        <f>(CZ15/CR15-1)*100</f>
        <v>9.01078675471636</v>
      </c>
      <c r="DC15" s="168"/>
      <c r="DD15" s="227">
        <v>5</v>
      </c>
      <c r="DE15" s="24" t="s">
        <v>1084</v>
      </c>
      <c r="DF15" s="407">
        <v>37772</v>
      </c>
      <c r="DH15" s="205">
        <v>618.1</v>
      </c>
      <c r="DI15" s="168"/>
      <c r="DJ15" s="226">
        <f>(DH15/CZ15-1)*100</f>
        <v>3.1221950462640091</v>
      </c>
      <c r="DK15" s="168"/>
      <c r="DL15" s="227">
        <v>1</v>
      </c>
      <c r="DM15" s="24" t="s">
        <v>1084</v>
      </c>
      <c r="DN15" s="407">
        <v>38137</v>
      </c>
      <c r="DP15" s="205">
        <v>641.4</v>
      </c>
      <c r="DQ15" s="168"/>
      <c r="DR15" s="226">
        <f>(DP15/DH15-1)*100</f>
        <v>3.7696165668985593</v>
      </c>
      <c r="DS15" s="168"/>
      <c r="DT15" s="227">
        <v>3</v>
      </c>
      <c r="DU15" s="24" t="s">
        <v>1084</v>
      </c>
      <c r="DV15" s="407">
        <v>38500</v>
      </c>
      <c r="DX15" s="205">
        <v>672.9</v>
      </c>
      <c r="DY15" s="168"/>
      <c r="DZ15" s="226">
        <f>(DX15/DP15-1)*100</f>
        <v>4.9111318989710107</v>
      </c>
      <c r="EA15" s="168"/>
      <c r="EB15" s="227">
        <v>-1</v>
      </c>
      <c r="EC15" s="24" t="s">
        <v>1084</v>
      </c>
      <c r="ED15" s="407">
        <v>38499</v>
      </c>
      <c r="EF15" s="205">
        <v>719.4</v>
      </c>
      <c r="EG15" s="168"/>
      <c r="EH15" s="226">
        <f>(EF15/DX15-1)*100</f>
        <v>6.9103878733838719</v>
      </c>
      <c r="EI15" s="168"/>
      <c r="EJ15" s="227">
        <v>7</v>
      </c>
      <c r="EK15" s="24" t="s">
        <v>1084</v>
      </c>
      <c r="EL15" s="407">
        <v>39235</v>
      </c>
      <c r="EN15" s="205">
        <v>774.7</v>
      </c>
      <c r="EO15" s="168"/>
      <c r="EP15" s="226">
        <f>(EN15/EF15-1)*100</f>
        <v>7.6869613566861394</v>
      </c>
      <c r="EQ15" s="168"/>
      <c r="ER15" s="227">
        <v>3</v>
      </c>
      <c r="ES15" s="24" t="s">
        <v>1084</v>
      </c>
      <c r="ET15" s="407">
        <v>39233</v>
      </c>
      <c r="EV15" s="205">
        <v>661.3</v>
      </c>
      <c r="EW15" s="168"/>
      <c r="EX15" s="226">
        <f>(EV15/EN15-1)*100</f>
        <v>-14.637924357815935</v>
      </c>
      <c r="EY15" s="168"/>
      <c r="EZ15" s="227">
        <v>-6</v>
      </c>
      <c r="FA15" s="24" t="s">
        <v>1084</v>
      </c>
      <c r="FB15" s="407">
        <v>39963</v>
      </c>
      <c r="FD15" s="205">
        <v>618.70000000000005</v>
      </c>
      <c r="FE15" s="168"/>
      <c r="FF15" s="226">
        <f>(FD15/EV15-1)*100</f>
        <v>-6.4418569484348875</v>
      </c>
      <c r="FG15" s="168"/>
      <c r="FH15" s="227">
        <v>-7</v>
      </c>
      <c r="FI15" s="24" t="s">
        <v>1084</v>
      </c>
      <c r="FJ15" s="407">
        <v>40327</v>
      </c>
      <c r="FL15" s="205">
        <v>657.3</v>
      </c>
      <c r="FM15" s="168"/>
      <c r="FN15" s="226">
        <f>(FL15/FD15-1)*100</f>
        <v>6.2388879909487382</v>
      </c>
      <c r="FO15" s="168"/>
      <c r="FP15" s="227">
        <v>5</v>
      </c>
      <c r="FQ15" s="24" t="s">
        <v>1084</v>
      </c>
      <c r="FR15" s="407">
        <v>40691</v>
      </c>
      <c r="FT15" s="205">
        <v>717.4</v>
      </c>
      <c r="FU15" s="168"/>
      <c r="FV15" s="226">
        <f>(FT15/FL15-1)*100</f>
        <v>9.1434656929864744</v>
      </c>
      <c r="FW15" s="168"/>
      <c r="FX15" s="227">
        <v>6</v>
      </c>
      <c r="FY15" s="24" t="s">
        <v>1084</v>
      </c>
      <c r="FZ15" s="407">
        <v>41427</v>
      </c>
      <c r="GA15" s="205">
        <v>671.9</v>
      </c>
      <c r="GB15" s="226">
        <f>(GA15/FT15-1)*100</f>
        <v>-6.3423473654864786</v>
      </c>
      <c r="GC15" s="227">
        <v>6</v>
      </c>
      <c r="GD15" s="24" t="s">
        <v>1084</v>
      </c>
      <c r="GE15" s="407">
        <v>41426</v>
      </c>
      <c r="GF15" s="405"/>
      <c r="GG15" s="205">
        <v>737</v>
      </c>
      <c r="GH15" s="226">
        <f>(GG15/GA15-1)*100</f>
        <v>9.6889418068164979</v>
      </c>
      <c r="GI15" s="227">
        <v>3</v>
      </c>
      <c r="GJ15" s="24" t="s">
        <v>1084</v>
      </c>
      <c r="GK15" s="1158">
        <v>41425</v>
      </c>
      <c r="GL15" s="405"/>
      <c r="GM15" s="1244">
        <v>763.6</v>
      </c>
      <c r="GN15" s="226">
        <f>(GM15/GG15-1)*100</f>
        <v>3.6092265943012292</v>
      </c>
      <c r="GO15" s="1243">
        <v>3</v>
      </c>
      <c r="GP15" s="24" t="s">
        <v>1084</v>
      </c>
      <c r="GQ15" s="1158">
        <v>42885</v>
      </c>
      <c r="GR15" s="1244">
        <v>799.1</v>
      </c>
      <c r="GS15" s="226">
        <f>(GR15/GM15-1)*100</f>
        <v>4.649030906233631</v>
      </c>
      <c r="GT15" s="2804">
        <v>5</v>
      </c>
      <c r="GU15" s="2804">
        <v>4</v>
      </c>
      <c r="GV15" s="2165"/>
      <c r="GW15" s="1158">
        <v>42152</v>
      </c>
      <c r="GX15" s="205">
        <v>816.6</v>
      </c>
      <c r="GY15" s="226">
        <f>(GX15/GR15-1)*100</f>
        <v>2.1899637091728152</v>
      </c>
      <c r="GZ15" s="2805">
        <v>-1</v>
      </c>
      <c r="HA15" s="2805">
        <v>0</v>
      </c>
      <c r="HB15" s="2165"/>
      <c r="HC15" s="1158">
        <v>42882</v>
      </c>
      <c r="HD15" s="205">
        <v>774.3</v>
      </c>
      <c r="HE15" s="226">
        <f>(HD15/GX15-1)*100</f>
        <v>-5.1800146950771619</v>
      </c>
      <c r="HF15" s="2728">
        <v>-5</v>
      </c>
      <c r="HG15" s="2728">
        <v>-7</v>
      </c>
      <c r="HH15" s="2165"/>
      <c r="HI15" s="1158">
        <v>42152</v>
      </c>
      <c r="HJ15" s="2770">
        <f>JC15*$HJ$18</f>
        <v>831.31100630421315</v>
      </c>
      <c r="HK15" s="226">
        <f>(HJ15/HD15-1)*100</f>
        <v>7.3629092476059865</v>
      </c>
      <c r="HL15" s="2539">
        <f>(segmthSales!DU16*63%)+(segmthSales!DU39*37%)</f>
        <v>-1.26</v>
      </c>
      <c r="HM15" s="2539">
        <f>(segmthSales!DV16*63%)+(37%*segmthSales!DV39)</f>
        <v>0.99199999999999999</v>
      </c>
      <c r="HN15" s="405">
        <f>HA15+HG15</f>
        <v>-7</v>
      </c>
      <c r="HO15" s="405">
        <f>HM15+HG15</f>
        <v>-6.008</v>
      </c>
      <c r="HQ15" s="127">
        <f>DP15/DP18</f>
        <v>0.29011702381727783</v>
      </c>
      <c r="HR15" s="127">
        <f>DX15/DX18</f>
        <v>0.29372722784616184</v>
      </c>
      <c r="HS15" s="127">
        <f>EF15/EF18</f>
        <v>0.2931717153275748</v>
      </c>
      <c r="HT15" s="127">
        <f>EN15/EN18</f>
        <v>0.29522761717739227</v>
      </c>
      <c r="HU15" s="292">
        <f>EV15/$EV$18</f>
        <v>0.28949610254982461</v>
      </c>
      <c r="HV15" s="292">
        <f>FD15/$FD$18</f>
        <v>0.2993812046476429</v>
      </c>
      <c r="HW15" s="292">
        <f>FL15/FL$18</f>
        <v>0.29311010647928071</v>
      </c>
      <c r="HX15" s="292">
        <f>FT15/FT$18</f>
        <v>0.29184573101375505</v>
      </c>
      <c r="HY15" s="292">
        <f>GA15/GA$18</f>
        <v>0.28006382404038854</v>
      </c>
      <c r="HZ15" s="292">
        <f>GG15/GG18</f>
        <v>0.29293086672559726</v>
      </c>
      <c r="IA15" s="292">
        <f>GM15/GM18</f>
        <v>0.2854278539608161</v>
      </c>
      <c r="IB15" s="292">
        <f>GR15/$GR$18</f>
        <v>0.28898180474218021</v>
      </c>
      <c r="IC15" s="292">
        <f>GX15/GX18</f>
        <v>0.28258186949742231</v>
      </c>
      <c r="ID15" s="265">
        <v>3190</v>
      </c>
      <c r="IE15" s="265">
        <v>3881</v>
      </c>
      <c r="IF15" s="265">
        <v>4249</v>
      </c>
      <c r="II15" s="266">
        <f>AVERAGE(IC15,IC12)</f>
        <v>0.28237592432347636</v>
      </c>
      <c r="IJ15" s="266">
        <f>AVERAGE(ID15,ID12)</f>
        <v>3167.5</v>
      </c>
      <c r="IK15" s="266">
        <f>AVERAGE(IE15,IE12)</f>
        <v>3865.5</v>
      </c>
      <c r="IL15" s="266">
        <f>AVERAGE(IF15,IF12)</f>
        <v>4238.5</v>
      </c>
      <c r="IP15" s="266">
        <f>+ID15-ID12</f>
        <v>45</v>
      </c>
      <c r="IQ15" s="266">
        <f>+IE15-IE12</f>
        <v>31</v>
      </c>
      <c r="IR15" s="266">
        <f>+IF15-IF12</f>
        <v>21</v>
      </c>
      <c r="IT15" s="265"/>
      <c r="IU15" s="265"/>
      <c r="IV15" s="251">
        <f t="shared" ref="IV15:IX17" si="5">+(IJ15/II15-1)*100</f>
        <v>1121631.6092328974</v>
      </c>
      <c r="IW15" s="251">
        <f t="shared" si="5"/>
        <v>22.036306235201252</v>
      </c>
      <c r="IX15" s="251">
        <f t="shared" si="5"/>
        <v>9.6494632001034688</v>
      </c>
      <c r="JB15" s="292">
        <f>HD15/HD18</f>
        <v>0.28104946913483003</v>
      </c>
      <c r="JC15" s="292">
        <f>AVERAGE(JB15,IC15,IB15,IA15,HZ15)</f>
        <v>0.2861943728121692</v>
      </c>
    </row>
    <row r="16" spans="1:263" s="24" customFormat="1" ht="11.25">
      <c r="A16" s="150" t="s">
        <v>652</v>
      </c>
      <c r="B16" s="168"/>
      <c r="C16" s="168"/>
      <c r="D16" s="224">
        <f>$D$11</f>
        <v>5</v>
      </c>
      <c r="E16" s="168"/>
      <c r="F16" s="274"/>
      <c r="G16" s="168"/>
      <c r="H16" s="229"/>
      <c r="I16" s="168"/>
      <c r="J16" s="226"/>
      <c r="K16" s="168"/>
      <c r="L16" s="227"/>
      <c r="M16" s="168"/>
      <c r="N16" s="276" t="s">
        <v>699</v>
      </c>
      <c r="O16" s="168"/>
      <c r="P16" s="229"/>
      <c r="Q16" s="168"/>
      <c r="R16" s="226"/>
      <c r="S16" s="168"/>
      <c r="T16" s="227"/>
      <c r="U16" s="168"/>
      <c r="V16" s="276" t="s">
        <v>774</v>
      </c>
      <c r="W16" s="168"/>
      <c r="X16" s="229"/>
      <c r="Y16" s="168"/>
      <c r="Z16" s="226"/>
      <c r="AA16" s="168"/>
      <c r="AB16" s="227"/>
      <c r="AC16" s="168"/>
      <c r="AD16" s="276" t="s">
        <v>1081</v>
      </c>
      <c r="AE16" s="168"/>
      <c r="AF16" s="229"/>
      <c r="AG16" s="168"/>
      <c r="AH16" s="226"/>
      <c r="AI16" s="168"/>
      <c r="AJ16" s="227">
        <v>4</v>
      </c>
      <c r="AK16" s="168"/>
      <c r="AL16" s="276" t="s">
        <v>775</v>
      </c>
      <c r="AM16" s="168"/>
      <c r="AN16" s="229"/>
      <c r="AO16" s="168"/>
      <c r="AP16" s="226"/>
      <c r="AQ16" s="168"/>
      <c r="AR16" s="227">
        <v>-4</v>
      </c>
      <c r="AS16" s="168"/>
      <c r="AT16" s="120" t="s">
        <v>907</v>
      </c>
      <c r="AU16" s="168"/>
      <c r="AV16" s="229"/>
      <c r="AW16" s="168"/>
      <c r="AX16" s="226"/>
      <c r="AY16" s="168"/>
      <c r="AZ16" s="227">
        <v>1</v>
      </c>
      <c r="BA16" s="168"/>
      <c r="BB16" s="279" t="s">
        <v>699</v>
      </c>
      <c r="BC16" s="168"/>
      <c r="BD16" s="229"/>
      <c r="BE16" s="168"/>
      <c r="BF16" s="226"/>
      <c r="BG16" s="168"/>
      <c r="BH16" s="227">
        <v>1</v>
      </c>
      <c r="BI16" s="168"/>
      <c r="BJ16" s="279" t="s">
        <v>696</v>
      </c>
      <c r="BK16" s="168"/>
      <c r="BL16" s="229">
        <v>830.70699999999999</v>
      </c>
      <c r="BM16" s="168"/>
      <c r="BN16" s="226"/>
      <c r="BO16" s="168"/>
      <c r="BP16" s="227">
        <v>4</v>
      </c>
      <c r="BQ16" s="168"/>
      <c r="BR16" s="279" t="s">
        <v>693</v>
      </c>
      <c r="BS16" s="168"/>
      <c r="BT16" s="229">
        <v>831.99699999999996</v>
      </c>
      <c r="BU16" s="168"/>
      <c r="BV16" s="226">
        <f>(BT16/BL16-1)*100</f>
        <v>0.15528941010487518</v>
      </c>
      <c r="BW16" s="168"/>
      <c r="BX16" s="227">
        <v>1</v>
      </c>
      <c r="BY16" s="168"/>
      <c r="BZ16" s="268" t="s">
        <v>690</v>
      </c>
      <c r="CA16" s="168"/>
      <c r="CB16" s="229">
        <v>716.18</v>
      </c>
      <c r="CC16" s="168"/>
      <c r="CD16" s="228" t="s">
        <v>886</v>
      </c>
      <c r="CE16" s="168"/>
      <c r="CF16" s="227">
        <v>12</v>
      </c>
      <c r="CG16" s="168"/>
      <c r="CH16" s="268" t="s">
        <v>907</v>
      </c>
      <c r="CI16" s="168"/>
      <c r="CJ16" s="229">
        <v>763.77300000000002</v>
      </c>
      <c r="CK16" s="168"/>
      <c r="CL16" s="226">
        <f>(CJ16/CB16-1)*100</f>
        <v>6.6453964087240802</v>
      </c>
      <c r="CM16" s="168"/>
      <c r="CN16" s="227">
        <v>7</v>
      </c>
      <c r="CO16" s="168"/>
      <c r="CP16" s="268" t="s">
        <v>943</v>
      </c>
      <c r="CQ16" s="168"/>
      <c r="CR16" s="229">
        <v>720.58699999999999</v>
      </c>
      <c r="CS16" s="168"/>
      <c r="CT16" s="226">
        <f>(CR16/CJ16-1)*100</f>
        <v>-5.6542978083802486</v>
      </c>
      <c r="CU16" s="168"/>
      <c r="CV16" s="227">
        <v>-3</v>
      </c>
      <c r="CW16" s="168"/>
      <c r="CX16" s="268" t="s">
        <v>699</v>
      </c>
      <c r="CZ16" s="229">
        <v>783.61199999999997</v>
      </c>
      <c r="DA16" s="168"/>
      <c r="DB16" s="226">
        <f>(CZ16/CR16-1)*100</f>
        <v>8.746341524340572</v>
      </c>
      <c r="DC16" s="168"/>
      <c r="DD16" s="227">
        <v>5</v>
      </c>
      <c r="DF16" s="407">
        <v>37807</v>
      </c>
      <c r="DH16" s="229">
        <v>832.8</v>
      </c>
      <c r="DI16" s="168"/>
      <c r="DJ16" s="226">
        <f>(DH16/CZ16-1)*100</f>
        <v>6.2770861089416652</v>
      </c>
      <c r="DK16" s="168"/>
      <c r="DL16" s="227">
        <v>5</v>
      </c>
      <c r="DN16" s="407">
        <v>38172</v>
      </c>
      <c r="DP16" s="229">
        <v>994.1</v>
      </c>
      <c r="DQ16" s="168"/>
      <c r="DR16" s="226">
        <f>(DP16/DH16-1)*100</f>
        <v>19.368395773294921</v>
      </c>
      <c r="DS16" s="168"/>
      <c r="DT16" s="227">
        <v>19</v>
      </c>
      <c r="DV16" s="407">
        <v>38535</v>
      </c>
      <c r="DX16" s="294">
        <v>1022</v>
      </c>
      <c r="DY16" s="168"/>
      <c r="DZ16" s="226">
        <f>(DX16/DP16-1)*100</f>
        <v>2.8065586963082145</v>
      </c>
      <c r="EA16" s="168"/>
      <c r="EB16" s="227">
        <v>0</v>
      </c>
      <c r="ED16" s="407">
        <v>38534</v>
      </c>
      <c r="EF16" s="357">
        <v>1078</v>
      </c>
      <c r="EG16" s="168"/>
      <c r="EH16" s="226">
        <f>(EF16/DX16-1)*100</f>
        <v>5.4794520547945202</v>
      </c>
      <c r="EI16" s="168"/>
      <c r="EJ16" s="227">
        <v>3</v>
      </c>
      <c r="EL16" s="407">
        <v>39270</v>
      </c>
      <c r="EN16" s="357">
        <v>1205</v>
      </c>
      <c r="EO16" s="168"/>
      <c r="EP16" s="226">
        <f>(EN16/EF16-1)*100</f>
        <v>11.781076066790352</v>
      </c>
      <c r="EQ16" s="168"/>
      <c r="ER16" s="227">
        <v>3</v>
      </c>
      <c r="ET16" s="407">
        <v>39268</v>
      </c>
      <c r="EV16" s="357">
        <v>1022</v>
      </c>
      <c r="EW16" s="168"/>
      <c r="EX16" s="226">
        <f>(EV16/EN16-1)*100</f>
        <v>-15.186721991701246</v>
      </c>
      <c r="EY16" s="168"/>
      <c r="EZ16" s="227">
        <v>-9</v>
      </c>
      <c r="FB16" s="407">
        <v>39998</v>
      </c>
      <c r="FD16" s="357">
        <v>891.8</v>
      </c>
      <c r="FE16" s="168"/>
      <c r="FF16" s="226">
        <f>(FD16/EV16-1)*100</f>
        <v>-12.739726027397269</v>
      </c>
      <c r="FG16" s="168"/>
      <c r="FH16" s="227">
        <v>-12</v>
      </c>
      <c r="FJ16" s="407">
        <v>40362</v>
      </c>
      <c r="FL16" s="357">
        <v>965.4</v>
      </c>
      <c r="FM16" s="168"/>
      <c r="FN16" s="226">
        <f>(FL16/FD16-1)*100</f>
        <v>8.25297151827764</v>
      </c>
      <c r="FO16" s="168"/>
      <c r="FP16" s="227">
        <v>6</v>
      </c>
      <c r="FR16" s="407">
        <v>40726</v>
      </c>
      <c r="FT16" s="357">
        <v>1080</v>
      </c>
      <c r="FU16" s="168"/>
      <c r="FV16" s="226">
        <f>(FT16/FL16-1)*100</f>
        <v>11.870727159726545</v>
      </c>
      <c r="FW16" s="168"/>
      <c r="FX16" s="227">
        <v>12</v>
      </c>
      <c r="FZ16" s="407">
        <v>41462</v>
      </c>
      <c r="GA16" s="357">
        <v>1077</v>
      </c>
      <c r="GB16" s="226">
        <f>(GA16/FT16-1)*100</f>
        <v>-0.27777777777777679</v>
      </c>
      <c r="GC16" s="227">
        <v>7</v>
      </c>
      <c r="GE16" s="407">
        <v>41461</v>
      </c>
      <c r="GF16" s="405"/>
      <c r="GG16" s="357">
        <v>1101</v>
      </c>
      <c r="GH16" s="226">
        <f>(GG16/GA16-1)*100</f>
        <v>2.2284122562674202</v>
      </c>
      <c r="GI16" s="227">
        <v>0</v>
      </c>
      <c r="GK16" s="1161">
        <v>41460</v>
      </c>
      <c r="GL16" s="405"/>
      <c r="GM16" s="1247">
        <v>1176</v>
      </c>
      <c r="GN16" s="226">
        <f>(GM16/GG16-1)*100</f>
        <v>6.8119891008174394</v>
      </c>
      <c r="GO16" s="1243">
        <v>2</v>
      </c>
      <c r="GQ16" s="1161">
        <v>42920</v>
      </c>
      <c r="GR16" s="2383">
        <v>1207</v>
      </c>
      <c r="GS16" s="226">
        <f>(GR16/GM16-1)*100</f>
        <v>2.6360544217687076</v>
      </c>
      <c r="GT16" s="2806">
        <v>3</v>
      </c>
      <c r="GU16" s="2806">
        <v>2</v>
      </c>
      <c r="GV16" s="2382"/>
      <c r="GW16" s="1161">
        <v>42187</v>
      </c>
      <c r="GX16" s="2383">
        <v>1296</v>
      </c>
      <c r="GY16" s="226">
        <f>(GX16/GR16-1)*100</f>
        <v>7.3736536868268532</v>
      </c>
      <c r="GZ16" s="2806">
        <v>4</v>
      </c>
      <c r="HA16" s="2806">
        <v>6</v>
      </c>
      <c r="HB16" s="2382"/>
      <c r="HC16" s="1161">
        <v>42917</v>
      </c>
      <c r="HD16" s="2383">
        <v>1213</v>
      </c>
      <c r="HE16" s="226">
        <f>(HD16/GX16-1)*100</f>
        <v>-6.4043209876543212</v>
      </c>
      <c r="HF16" s="2728">
        <v>-6</v>
      </c>
      <c r="HG16" s="2728">
        <v>-9</v>
      </c>
      <c r="HH16" s="2382"/>
      <c r="HI16" s="1161">
        <v>42187</v>
      </c>
      <c r="HJ16" s="579">
        <f t="shared" ref="HJ16:HJ17" si="6">JC16*$HJ$18</f>
        <v>1279.4900914692209</v>
      </c>
      <c r="HK16" s="226">
        <f>(HJ16/HD16-1)*100</f>
        <v>5.4814584888063456</v>
      </c>
      <c r="HL16" s="2539">
        <f>(segmthSales!DU17*63%)+(segmthSales!DU40*37%)</f>
        <v>0.63</v>
      </c>
      <c r="HM16" s="2539">
        <f>(segmthSales!DV17*63%)+(37%*segmthSales!DV40)</f>
        <v>2.5039999999999996</v>
      </c>
      <c r="HN16" s="405">
        <f t="shared" ref="HN16:HN18" si="7">HA16+HG16</f>
        <v>-3</v>
      </c>
      <c r="HO16" s="405">
        <f t="shared" ref="HO16:HO18" si="8">HM16+HG16</f>
        <v>-6.4960000000000004</v>
      </c>
      <c r="HQ16" s="127">
        <f>DP16/DP18</f>
        <v>0.44964972462855618</v>
      </c>
      <c r="HR16" s="127">
        <f>DX16/DX18</f>
        <v>0.446112686667822</v>
      </c>
      <c r="HS16" s="127">
        <f>EF16/EF18</f>
        <v>0.43930929819728332</v>
      </c>
      <c r="HT16" s="127">
        <f>EN16/EN18</f>
        <v>0.45920908570899399</v>
      </c>
      <c r="HU16" s="292">
        <f>EV16/$EV$18</f>
        <v>0.44739908786620408</v>
      </c>
      <c r="HV16" s="292">
        <f>FD16/$FD$18</f>
        <v>0.43153088460444139</v>
      </c>
      <c r="HW16" s="292">
        <f>FL16/FL$18</f>
        <v>0.43050128829316542</v>
      </c>
      <c r="HX16" s="292">
        <f>FT16/FT$18</f>
        <v>0.43935515680910991</v>
      </c>
      <c r="HY16" s="292">
        <f>GA16/GA$18</f>
        <v>0.44891909285830994</v>
      </c>
      <c r="HZ16" s="292">
        <f>GG16/GG18</f>
        <v>0.43760771270676069</v>
      </c>
      <c r="IA16" s="292">
        <f>GM16/GM18</f>
        <v>0.43957982747239355</v>
      </c>
      <c r="IB16" s="292">
        <f>GR16/$GR$18</f>
        <v>0.43649235180053997</v>
      </c>
      <c r="IC16" s="292">
        <f>GX16/GX18</f>
        <v>0.44847673630744467</v>
      </c>
      <c r="ID16" s="265">
        <v>3224</v>
      </c>
      <c r="IE16" s="265">
        <v>3913</v>
      </c>
      <c r="IF16" s="265">
        <v>4258</v>
      </c>
      <c r="II16" s="266">
        <f t="shared" ref="II16:IL17" si="9">AVERAGE(IC15:IC16)</f>
        <v>0.36552930290243346</v>
      </c>
      <c r="IJ16" s="266">
        <f t="shared" si="9"/>
        <v>3207</v>
      </c>
      <c r="IK16" s="266">
        <f t="shared" si="9"/>
        <v>3897</v>
      </c>
      <c r="IL16" s="266">
        <f t="shared" si="9"/>
        <v>4253.5</v>
      </c>
      <c r="IP16" s="266">
        <f t="shared" ref="IP16:IR17" si="10">+ID16-ID15</f>
        <v>34</v>
      </c>
      <c r="IQ16" s="266">
        <f t="shared" si="10"/>
        <v>32</v>
      </c>
      <c r="IR16" s="266">
        <f t="shared" si="10"/>
        <v>9</v>
      </c>
      <c r="IT16" s="265"/>
      <c r="IU16" s="265"/>
      <c r="IV16" s="251">
        <f t="shared" si="5"/>
        <v>877257.8409542744</v>
      </c>
      <c r="IW16" s="251">
        <f t="shared" si="5"/>
        <v>21.515434985968195</v>
      </c>
      <c r="IX16" s="251">
        <f t="shared" si="5"/>
        <v>9.1480626122658393</v>
      </c>
      <c r="JB16" s="292">
        <f>HD16/HD18</f>
        <v>0.44028542691534145</v>
      </c>
      <c r="JC16" s="292">
        <f>AVERAGE(JB16,IC16,IB16,IA16,HZ16)</f>
        <v>0.44048841104049608</v>
      </c>
    </row>
    <row r="17" spans="1:264" s="24" customFormat="1" ht="11.25">
      <c r="A17" s="150" t="s">
        <v>653</v>
      </c>
      <c r="B17" s="168"/>
      <c r="C17" s="168"/>
      <c r="D17" s="224">
        <f>$D$12</f>
        <v>4</v>
      </c>
      <c r="E17" s="168"/>
      <c r="F17" s="274"/>
      <c r="G17" s="168"/>
      <c r="H17" s="233"/>
      <c r="I17" s="168"/>
      <c r="J17" s="206"/>
      <c r="K17" s="168"/>
      <c r="L17" s="231"/>
      <c r="M17" s="168"/>
      <c r="N17" s="276" t="s">
        <v>700</v>
      </c>
      <c r="O17" s="168"/>
      <c r="P17" s="233"/>
      <c r="Q17" s="168"/>
      <c r="R17" s="206"/>
      <c r="S17" s="168"/>
      <c r="T17" s="231"/>
      <c r="U17" s="168"/>
      <c r="V17" s="276" t="s">
        <v>776</v>
      </c>
      <c r="W17" s="168"/>
      <c r="X17" s="233"/>
      <c r="Y17" s="168"/>
      <c r="Z17" s="206"/>
      <c r="AA17" s="168"/>
      <c r="AB17" s="231"/>
      <c r="AC17" s="168"/>
      <c r="AD17" s="276" t="s">
        <v>777</v>
      </c>
      <c r="AE17" s="168"/>
      <c r="AF17" s="233"/>
      <c r="AG17" s="168"/>
      <c r="AH17" s="206"/>
      <c r="AI17" s="168"/>
      <c r="AJ17" s="231">
        <v>8</v>
      </c>
      <c r="AK17" s="168"/>
      <c r="AL17" s="276" t="s">
        <v>778</v>
      </c>
      <c r="AM17" s="168"/>
      <c r="AN17" s="233"/>
      <c r="AO17" s="168"/>
      <c r="AP17" s="206"/>
      <c r="AQ17" s="168"/>
      <c r="AR17" s="231">
        <v>-8</v>
      </c>
      <c r="AS17" s="168"/>
      <c r="AT17" s="120" t="s">
        <v>908</v>
      </c>
      <c r="AU17" s="168"/>
      <c r="AV17" s="233"/>
      <c r="AW17" s="168"/>
      <c r="AX17" s="206"/>
      <c r="AY17" s="168"/>
      <c r="AZ17" s="231">
        <v>-3</v>
      </c>
      <c r="BA17" s="168"/>
      <c r="BB17" s="279" t="s">
        <v>700</v>
      </c>
      <c r="BC17" s="168"/>
      <c r="BD17" s="233"/>
      <c r="BE17" s="168"/>
      <c r="BF17" s="206"/>
      <c r="BG17" s="168"/>
      <c r="BH17" s="231">
        <v>3</v>
      </c>
      <c r="BI17" s="168"/>
      <c r="BJ17" s="279" t="s">
        <v>697</v>
      </c>
      <c r="BK17" s="168"/>
      <c r="BL17" s="233">
        <v>571.971</v>
      </c>
      <c r="BM17" s="168"/>
      <c r="BN17" s="206"/>
      <c r="BO17" s="168"/>
      <c r="BP17" s="231">
        <v>1</v>
      </c>
      <c r="BQ17" s="168"/>
      <c r="BR17" s="279" t="s">
        <v>694</v>
      </c>
      <c r="BS17" s="168"/>
      <c r="BT17" s="233">
        <v>584.221</v>
      </c>
      <c r="BU17" s="168"/>
      <c r="BV17" s="206">
        <f>(BT17/BL17-1)*100</f>
        <v>2.141716975161323</v>
      </c>
      <c r="BW17" s="168"/>
      <c r="BX17" s="231">
        <v>3</v>
      </c>
      <c r="BY17" s="168"/>
      <c r="BZ17" s="268" t="s">
        <v>691</v>
      </c>
      <c r="CA17" s="168"/>
      <c r="CB17" s="233">
        <v>484.01499999999999</v>
      </c>
      <c r="CC17" s="168"/>
      <c r="CD17" s="284" t="s">
        <v>886</v>
      </c>
      <c r="CE17" s="168"/>
      <c r="CF17" s="231">
        <v>8</v>
      </c>
      <c r="CG17" s="168"/>
      <c r="CH17" s="268" t="s">
        <v>908</v>
      </c>
      <c r="CI17" s="168"/>
      <c r="CJ17" s="233">
        <v>493.77</v>
      </c>
      <c r="CK17" s="168"/>
      <c r="CL17" s="206">
        <f>(CJ17/CB17-1)*100</f>
        <v>2.0154334059894863</v>
      </c>
      <c r="CM17" s="168"/>
      <c r="CN17" s="231">
        <v>4</v>
      </c>
      <c r="CO17" s="168"/>
      <c r="CP17" s="268" t="s">
        <v>944</v>
      </c>
      <c r="CQ17" s="168"/>
      <c r="CR17" s="233">
        <v>496.86700000000002</v>
      </c>
      <c r="CS17" s="168"/>
      <c r="CT17" s="206">
        <f>(CR17/CJ17-1)*100</f>
        <v>0.62721510014784876</v>
      </c>
      <c r="CU17" s="168"/>
      <c r="CV17" s="231">
        <v>-5</v>
      </c>
      <c r="CW17" s="168"/>
      <c r="CX17" s="268" t="s">
        <v>700</v>
      </c>
      <c r="CZ17" s="233">
        <v>529.41800000000001</v>
      </c>
      <c r="DA17" s="168"/>
      <c r="DB17" s="206">
        <f>(CZ17/CR17-1)*100</f>
        <v>6.5512501333354844</v>
      </c>
      <c r="DC17" s="168"/>
      <c r="DD17" s="231">
        <v>2</v>
      </c>
      <c r="DF17" s="407">
        <v>37835</v>
      </c>
      <c r="DH17" s="233">
        <v>563.20000000000005</v>
      </c>
      <c r="DI17" s="168"/>
      <c r="DJ17" s="206">
        <f>(DH17/CZ17-1)*100</f>
        <v>6.3809692908061377</v>
      </c>
      <c r="DK17" s="168"/>
      <c r="DL17" s="231">
        <v>2</v>
      </c>
      <c r="DN17" s="407">
        <v>38200</v>
      </c>
      <c r="DP17" s="233">
        <v>575.29999999999995</v>
      </c>
      <c r="DQ17" s="168"/>
      <c r="DR17" s="206">
        <f>(DP17/DH17-1)*100</f>
        <v>2.1484374999999778</v>
      </c>
      <c r="DS17" s="168"/>
      <c r="DT17" s="231">
        <v>0</v>
      </c>
      <c r="DV17" s="407">
        <v>38563</v>
      </c>
      <c r="DX17" s="233">
        <v>596.20000000000005</v>
      </c>
      <c r="DY17" s="168"/>
      <c r="DZ17" s="206">
        <f>(DX17/DP17-1)*100</f>
        <v>3.6328871892925552</v>
      </c>
      <c r="EA17" s="168"/>
      <c r="EB17" s="231">
        <v>1</v>
      </c>
      <c r="ED17" s="407">
        <v>38562</v>
      </c>
      <c r="EF17" s="592">
        <v>656.6</v>
      </c>
      <c r="EG17" s="168"/>
      <c r="EH17" s="206">
        <f>(EF17/DX17-1)*100</f>
        <v>10.130828581013084</v>
      </c>
      <c r="EI17" s="168"/>
      <c r="EJ17" s="231">
        <v>7</v>
      </c>
      <c r="EL17" s="407">
        <v>39298</v>
      </c>
      <c r="EN17" s="592">
        <v>644.5</v>
      </c>
      <c r="EO17" s="168"/>
      <c r="EP17" s="206">
        <f>(EN17/EF17-1)*100</f>
        <v>-1.8428266829119688</v>
      </c>
      <c r="EQ17" s="168"/>
      <c r="ER17" s="231">
        <v>-3</v>
      </c>
      <c r="ET17" s="407">
        <v>39296</v>
      </c>
      <c r="EV17" s="592">
        <v>601.29999999999995</v>
      </c>
      <c r="EW17" s="168"/>
      <c r="EX17" s="206">
        <f>(EV17/EN17-1)*100</f>
        <v>-6.7028704422032686</v>
      </c>
      <c r="EY17" s="168"/>
      <c r="EZ17" s="231">
        <v>-5</v>
      </c>
      <c r="FB17" s="407">
        <v>40026</v>
      </c>
      <c r="FD17" s="592">
        <v>556.20000000000005</v>
      </c>
      <c r="FE17" s="168"/>
      <c r="FF17" s="206">
        <f>(FD17/EV17-1)*100</f>
        <v>-7.5004157658406623</v>
      </c>
      <c r="FG17" s="168"/>
      <c r="FH17" s="231">
        <v>-7</v>
      </c>
      <c r="FJ17" s="407">
        <v>40390</v>
      </c>
      <c r="FL17" s="592">
        <v>619.70000000000005</v>
      </c>
      <c r="FM17" s="168"/>
      <c r="FN17" s="206">
        <f>(FL17/FD17-1)*100</f>
        <v>11.416756562387631</v>
      </c>
      <c r="FO17" s="168"/>
      <c r="FP17" s="231">
        <v>12</v>
      </c>
      <c r="FR17" s="407">
        <v>40754</v>
      </c>
      <c r="FT17" s="592">
        <v>660.4</v>
      </c>
      <c r="FU17" s="168"/>
      <c r="FV17" s="206">
        <f>(FT17/FL17-1)*100</f>
        <v>6.5676940455058785</v>
      </c>
      <c r="FW17" s="168"/>
      <c r="FX17" s="231">
        <v>6</v>
      </c>
      <c r="FZ17" s="407">
        <v>41490</v>
      </c>
      <c r="GA17" s="592">
        <v>649.79999999999995</v>
      </c>
      <c r="GB17" s="206">
        <f>(GA17/FT17-1)*100</f>
        <v>-1.6050878255602696</v>
      </c>
      <c r="GC17" s="231">
        <v>12</v>
      </c>
      <c r="GE17" s="407">
        <v>41489</v>
      </c>
      <c r="GF17" s="405"/>
      <c r="GG17" s="592">
        <v>678.4</v>
      </c>
      <c r="GH17" s="206">
        <f>(GG17/GA17-1)*100</f>
        <v>4.4013542628501101</v>
      </c>
      <c r="GI17" s="231">
        <v>3</v>
      </c>
      <c r="GK17" s="1158">
        <v>41488</v>
      </c>
      <c r="GL17" s="405"/>
      <c r="GM17" s="1366">
        <v>735.3</v>
      </c>
      <c r="GN17" s="206">
        <f>(GM17/GG17-1)*100</f>
        <v>8.3873820754716952</v>
      </c>
      <c r="GO17" s="231">
        <v>6</v>
      </c>
      <c r="GQ17" s="1158">
        <v>42948</v>
      </c>
      <c r="GR17" s="2387">
        <v>759.5</v>
      </c>
      <c r="GS17" s="206">
        <f>(GR17/GM17-1)*100</f>
        <v>3.2911736706106476</v>
      </c>
      <c r="GT17" s="2808">
        <v>3</v>
      </c>
      <c r="GU17" s="2808">
        <v>3</v>
      </c>
      <c r="GV17" s="2392"/>
      <c r="GW17" s="1158">
        <v>42215</v>
      </c>
      <c r="GX17" s="2353">
        <v>777</v>
      </c>
      <c r="GY17" s="206">
        <f>(GX17/GR17-1)*100</f>
        <v>2.3041474654377891</v>
      </c>
      <c r="GZ17" s="2803">
        <v>0</v>
      </c>
      <c r="HA17" s="2803">
        <v>2</v>
      </c>
      <c r="HB17" s="2392"/>
      <c r="HC17" s="1158">
        <v>42945</v>
      </c>
      <c r="HD17" s="2596">
        <v>767.7</v>
      </c>
      <c r="HE17" s="206">
        <f>(HD17/GX17-1)*100</f>
        <v>-1.1969111969111879</v>
      </c>
      <c r="HF17" s="2733">
        <v>-7</v>
      </c>
      <c r="HG17" s="2733">
        <v>-7</v>
      </c>
      <c r="HH17" s="2392"/>
      <c r="HI17" s="1158">
        <v>42215</v>
      </c>
      <c r="HJ17" s="250">
        <f t="shared" si="6"/>
        <v>793.9066298303045</v>
      </c>
      <c r="HK17" s="206">
        <f>(HJ17/HD17-1)*100</f>
        <v>3.4136550514920483</v>
      </c>
      <c r="HL17" s="2545">
        <f>(segmthSales!DU18*63%)+(segmthSales!DU41*37%)</f>
        <v>0.74</v>
      </c>
      <c r="HM17" s="2545">
        <f>(segmthSales!DV18*63%)+(37%*segmthSales!DV41)</f>
        <v>2.74</v>
      </c>
      <c r="HN17" s="405">
        <f t="shared" si="7"/>
        <v>-5</v>
      </c>
      <c r="HO17" s="405">
        <f t="shared" si="8"/>
        <v>-4.26</v>
      </c>
      <c r="HQ17" s="198">
        <f>DP17/DP18</f>
        <v>0.26021877736526339</v>
      </c>
      <c r="HR17" s="198">
        <f>DX17/DX18</f>
        <v>0.26024695087216781</v>
      </c>
      <c r="HS17" s="198">
        <f>EF17/EF18</f>
        <v>0.26757929981107259</v>
      </c>
      <c r="HT17" s="198">
        <f>EN17/EN18</f>
        <v>0.24561017073812999</v>
      </c>
      <c r="HU17" s="198">
        <f>EV17/EV18</f>
        <v>0.26323001128566387</v>
      </c>
      <c r="HV17" s="198">
        <f>FD17/$FD$18</f>
        <v>0.2691382350493276</v>
      </c>
      <c r="HW17" s="198">
        <f>FL17/FL$18</f>
        <v>0.27634312031828739</v>
      </c>
      <c r="HX17" s="198">
        <f>FT17/FT$18</f>
        <v>0.26865754218216314</v>
      </c>
      <c r="HY17" s="198">
        <f>GA17/GA$18</f>
        <v>0.2708520209278828</v>
      </c>
      <c r="HZ17" s="198">
        <f>1-HZ15-HZ16</f>
        <v>0.26946142056764211</v>
      </c>
      <c r="IA17" s="293">
        <f>IA18-IA15-IA16</f>
        <v>0.27499231856679029</v>
      </c>
      <c r="IB17" s="2391">
        <f>GR17/$GR$18</f>
        <v>0.27466109460854193</v>
      </c>
      <c r="IC17" s="198">
        <f>1-IC16-IC15</f>
        <v>0.26894139419513302</v>
      </c>
      <c r="ID17" s="265">
        <v>3284</v>
      </c>
      <c r="IE17" s="265">
        <v>3973</v>
      </c>
      <c r="IF17" s="265">
        <v>4261</v>
      </c>
      <c r="II17" s="266">
        <f t="shared" si="9"/>
        <v>0.35870906525128887</v>
      </c>
      <c r="IJ17" s="266">
        <f t="shared" si="9"/>
        <v>3254</v>
      </c>
      <c r="IK17" s="266">
        <f t="shared" si="9"/>
        <v>3943</v>
      </c>
      <c r="IL17" s="266">
        <f t="shared" si="9"/>
        <v>4259.5</v>
      </c>
      <c r="IP17" s="266">
        <f t="shared" si="10"/>
        <v>60</v>
      </c>
      <c r="IQ17" s="266">
        <f t="shared" si="10"/>
        <v>60</v>
      </c>
      <c r="IR17" s="266">
        <f t="shared" si="10"/>
        <v>3</v>
      </c>
      <c r="IT17" s="265"/>
      <c r="IU17" s="265"/>
      <c r="IV17" s="251">
        <f t="shared" si="5"/>
        <v>907041.83588319796</v>
      </c>
      <c r="IW17" s="251">
        <f t="shared" si="5"/>
        <v>21.173939766441308</v>
      </c>
      <c r="IX17" s="251">
        <f t="shared" si="5"/>
        <v>8.0268830839462346</v>
      </c>
      <c r="JB17" s="198">
        <f>1-JB16-JB15</f>
        <v>0.27866510394982852</v>
      </c>
      <c r="JC17" s="198">
        <f>1-JC16-JC15</f>
        <v>0.27331721614733473</v>
      </c>
    </row>
    <row r="18" spans="1:264" s="24" customFormat="1" ht="11.25">
      <c r="A18" s="245"/>
      <c r="B18" s="247" t="s">
        <v>924</v>
      </c>
      <c r="C18" s="245"/>
      <c r="D18" s="269"/>
      <c r="E18" s="245"/>
      <c r="F18" s="269"/>
      <c r="G18" s="245"/>
      <c r="H18" s="234">
        <f>SUM(H15:H17)</f>
        <v>0</v>
      </c>
      <c r="I18" s="245"/>
      <c r="J18" s="232">
        <f>qtrSales!$D20</f>
        <v>16.588978515254205</v>
      </c>
      <c r="K18" s="245"/>
      <c r="L18" s="232">
        <f>'qtrP&amp;L'!H11</f>
        <v>5</v>
      </c>
      <c r="M18" s="245"/>
      <c r="N18" s="290"/>
      <c r="O18" s="245"/>
      <c r="P18" s="234">
        <f>'qtrP&amp;L'!J11</f>
        <v>1375.1849999999999</v>
      </c>
      <c r="Q18" s="245"/>
      <c r="R18" s="232">
        <f>qtrSales!$D27</f>
        <v>19.108804897441622</v>
      </c>
      <c r="S18" s="245"/>
      <c r="T18" s="232">
        <f>'qtrP&amp;L'!L11</f>
        <v>6</v>
      </c>
      <c r="U18" s="245"/>
      <c r="V18" s="290"/>
      <c r="W18" s="245"/>
      <c r="X18" s="234">
        <f>'qtrP&amp;L'!N11</f>
        <v>1489.393</v>
      </c>
      <c r="Y18" s="245"/>
      <c r="Z18" s="232">
        <f>qtrSales!$D34</f>
        <v>8.3049189745379781</v>
      </c>
      <c r="AA18" s="245"/>
      <c r="AB18" s="232">
        <f>'qtrP&amp;L'!P11</f>
        <v>-4</v>
      </c>
      <c r="AC18" s="245"/>
      <c r="AD18" s="290"/>
      <c r="AE18" s="245"/>
      <c r="AF18" s="234">
        <f>'qtrP&amp;L'!R11</f>
        <v>1689.0550000000001</v>
      </c>
      <c r="AG18" s="245"/>
      <c r="AH18" s="232">
        <f>qtrSales!$D41</f>
        <v>13.405595433844519</v>
      </c>
      <c r="AI18" s="245"/>
      <c r="AJ18" s="232">
        <f>'qtrP&amp;L'!T11</f>
        <v>4</v>
      </c>
      <c r="AK18" s="245"/>
      <c r="AL18" s="290"/>
      <c r="AM18" s="245"/>
      <c r="AN18" s="234">
        <f>'qtrP&amp;L'!V11</f>
        <v>1585.3920000000001</v>
      </c>
      <c r="AO18" s="245"/>
      <c r="AP18" s="232">
        <f>qtrSales!D48</f>
        <v>-26.371373341898284</v>
      </c>
      <c r="AQ18" s="245"/>
      <c r="AR18" s="232">
        <f>'qtrP&amp;L'!X11</f>
        <v>-6</v>
      </c>
      <c r="AS18" s="245"/>
      <c r="AT18" s="121"/>
      <c r="AU18" s="245"/>
      <c r="AV18" s="234">
        <f>'qtrP&amp;L'!Z11</f>
        <v>1718.643</v>
      </c>
      <c r="AW18" s="245"/>
      <c r="AX18" s="232">
        <f>qtrSales!D55</f>
        <v>3.9807723853113597</v>
      </c>
      <c r="AY18" s="245"/>
      <c r="AZ18" s="232">
        <f>'qtrP&amp;L'!AB11</f>
        <v>0</v>
      </c>
      <c r="BA18" s="245"/>
      <c r="BB18" s="121"/>
      <c r="BC18" s="245"/>
      <c r="BD18" s="234">
        <f>'qtrP&amp;L'!AD11</f>
        <v>1895.6010000000001</v>
      </c>
      <c r="BE18" s="245"/>
      <c r="BF18" s="232">
        <f>qtrSales!D62</f>
        <v>20.064973931549247</v>
      </c>
      <c r="BG18" s="245"/>
      <c r="BH18" s="232">
        <f>'qtrP&amp;L'!AF11</f>
        <v>3</v>
      </c>
      <c r="BI18" s="245"/>
      <c r="BJ18" s="121"/>
      <c r="BK18" s="245"/>
      <c r="BL18" s="234">
        <f>'qtrP&amp;L'!AH11</f>
        <v>1890.979</v>
      </c>
      <c r="BM18" s="245"/>
      <c r="BN18" s="232">
        <f>qtrSales!D69</f>
        <v>-5.6435619969328883</v>
      </c>
      <c r="BO18" s="245"/>
      <c r="BP18" s="232">
        <f>'qtrP&amp;L'!AJ11</f>
        <v>0</v>
      </c>
      <c r="BQ18" s="245"/>
      <c r="BR18" s="121"/>
      <c r="BS18" s="245"/>
      <c r="BT18" s="234">
        <f>'qtrP&amp;L'!AL11</f>
        <v>2000.576</v>
      </c>
      <c r="BU18" s="245"/>
      <c r="BV18" s="232">
        <f>qtrSales!D76</f>
        <v>10.21154569451166</v>
      </c>
      <c r="BW18" s="245"/>
      <c r="BX18" s="232">
        <f>'qtrP&amp;L'!AN11</f>
        <v>6</v>
      </c>
      <c r="BY18" s="245"/>
      <c r="BZ18" s="269"/>
      <c r="CA18" s="245"/>
      <c r="CB18" s="234">
        <f>'qtrP&amp;L'!AP11</f>
        <v>1750.606</v>
      </c>
      <c r="CC18" s="245"/>
      <c r="CD18" s="291" t="s">
        <v>886</v>
      </c>
      <c r="CE18" s="245"/>
      <c r="CF18" s="232">
        <f>'qtrP&amp;L'!AR11</f>
        <v>10</v>
      </c>
      <c r="CG18" s="245"/>
      <c r="CH18" s="269"/>
      <c r="CI18" s="245"/>
      <c r="CJ18" s="234">
        <f>'qtrP&amp;L'!AT11</f>
        <v>1842.4359999999999</v>
      </c>
      <c r="CK18" s="245"/>
      <c r="CL18" s="232">
        <f>qtrSales!D90</f>
        <v>9.2536999190500957</v>
      </c>
      <c r="CM18" s="245"/>
      <c r="CN18" s="232">
        <f>'qtrP&amp;L'!AV11</f>
        <v>7</v>
      </c>
      <c r="CO18" s="245"/>
      <c r="CP18" s="269"/>
      <c r="CQ18" s="245"/>
      <c r="CR18" s="234">
        <f>'qtrP&amp;L'!AX11</f>
        <v>1767.2950000000001</v>
      </c>
      <c r="CS18" s="245"/>
      <c r="CT18" s="232">
        <f>qtrSales!$D97</f>
        <v>-1.1421698436061889</v>
      </c>
      <c r="CU18" s="245"/>
      <c r="CV18" s="232">
        <f>'qtrP&amp;L'!AZ11</f>
        <v>-5</v>
      </c>
      <c r="CW18" s="245"/>
      <c r="CX18" s="269"/>
      <c r="CY18" s="116"/>
      <c r="CZ18" s="234">
        <f>'qtrP&amp;L'!BB11</f>
        <v>1912.4159999999999</v>
      </c>
      <c r="DA18" s="245"/>
      <c r="DB18" s="232">
        <f>(CZ18/CR18-1)*100</f>
        <v>8.2114757298583427</v>
      </c>
      <c r="DC18" s="245"/>
      <c r="DD18" s="232">
        <f>'qtrP&amp;L'!BD11</f>
        <v>4</v>
      </c>
      <c r="DE18" s="116"/>
      <c r="DF18" s="269"/>
      <c r="DG18" s="116"/>
      <c r="DH18" s="234">
        <f>+'qtrP&amp;L'!BF11</f>
        <v>2014.106</v>
      </c>
      <c r="DI18" s="245"/>
      <c r="DJ18" s="232">
        <f>(DH18/CZ18-1)*100</f>
        <v>5.3173577296989905</v>
      </c>
      <c r="DK18" s="245"/>
      <c r="DL18" s="232">
        <f>+'qtrP&amp;L'!BH11</f>
        <v>3</v>
      </c>
      <c r="DM18" s="116"/>
      <c r="DN18" s="269"/>
      <c r="DO18" s="116"/>
      <c r="DP18" s="234">
        <f>+'qtrP&amp;L'!BJ11</f>
        <v>2210.8319999999999</v>
      </c>
      <c r="DQ18" s="245"/>
      <c r="DR18" s="232">
        <f>(DP18/DH18-1)*100</f>
        <v>9.7674104540674591</v>
      </c>
      <c r="DS18" s="245"/>
      <c r="DT18" s="354">
        <v>9</v>
      </c>
      <c r="DU18" s="116"/>
      <c r="DV18" s="269"/>
      <c r="DW18" s="116"/>
      <c r="DX18" s="234">
        <f>+'qtrP&amp;L'!BN11</f>
        <v>2290.9009999999998</v>
      </c>
      <c r="DY18" s="245"/>
      <c r="DZ18" s="232">
        <f>(DX18/DP18-1)*100</f>
        <v>3.6216682226419827</v>
      </c>
      <c r="EA18" s="245"/>
      <c r="EB18" s="232">
        <f>'qtrP&amp;L'!BP11</f>
        <v>0</v>
      </c>
      <c r="EC18" s="116"/>
      <c r="ED18" s="269"/>
      <c r="EE18" s="116"/>
      <c r="EF18" s="234">
        <f>'qtrP&amp;L'!$BV$11</f>
        <v>2453.8519999999999</v>
      </c>
      <c r="EG18" s="245"/>
      <c r="EH18" s="232">
        <f>(EF18/DX18-1)*100</f>
        <v>7.1129655973785066</v>
      </c>
      <c r="EI18" s="245"/>
      <c r="EJ18" s="232">
        <f>'qtrP&amp;L'!BX11</f>
        <v>5</v>
      </c>
      <c r="EK18" s="116"/>
      <c r="EL18" s="269"/>
      <c r="EM18" s="116"/>
      <c r="EN18" s="234">
        <f>+'qtrP&amp;L'!BZ11</f>
        <v>2624.0770000000002</v>
      </c>
      <c r="EO18" s="245"/>
      <c r="EP18" s="232">
        <f>(EN18/EF18-1)*100</f>
        <v>6.9370524383703724</v>
      </c>
      <c r="EQ18" s="245"/>
      <c r="ER18" s="232">
        <f>+'qtrP&amp;L'!CB11</f>
        <v>2</v>
      </c>
      <c r="ES18" s="116"/>
      <c r="ET18" s="269"/>
      <c r="EU18" s="116"/>
      <c r="EV18" s="234">
        <f>'qtrP&amp;L'!CD11</f>
        <v>2284.3139999999999</v>
      </c>
      <c r="EW18" s="245"/>
      <c r="EX18" s="232">
        <f>(EV18/EN18-1)*100</f>
        <v>-12.947905111016189</v>
      </c>
      <c r="EY18" s="245"/>
      <c r="EZ18" s="232">
        <f>'qtrP&amp;L'!CF11</f>
        <v>-7</v>
      </c>
      <c r="FA18" s="116"/>
      <c r="FB18" s="269"/>
      <c r="FC18" s="116"/>
      <c r="FD18" s="234">
        <f>'segSales&amp;OM'!$BI$165</f>
        <v>2066.5959999999995</v>
      </c>
      <c r="FE18" s="245"/>
      <c r="FF18" s="232">
        <f>(FD18/EV18-1)*100</f>
        <v>-9.5310014297509191</v>
      </c>
      <c r="FG18" s="245"/>
      <c r="FH18" s="232">
        <f>'qtrP&amp;L'!CJ11</f>
        <v>-9</v>
      </c>
      <c r="FI18" s="116"/>
      <c r="FJ18" s="269"/>
      <c r="FK18" s="116"/>
      <c r="FL18" s="234">
        <f>'segSales&amp;OM'!$BI$172</f>
        <v>2242.502</v>
      </c>
      <c r="FM18" s="245"/>
      <c r="FN18" s="232">
        <f>(FL18/FD18-1)*100</f>
        <v>8.511871696258023</v>
      </c>
      <c r="FO18" s="245"/>
      <c r="FP18" s="354">
        <v>7</v>
      </c>
      <c r="FQ18" s="116"/>
      <c r="FR18" s="269"/>
      <c r="FS18" s="116"/>
      <c r="FT18" s="234">
        <f>'segSales&amp;OM'!$BI$179</f>
        <v>2458.1480000000001</v>
      </c>
      <c r="FU18" s="245"/>
      <c r="FV18" s="232">
        <f>(FT18/FL18-1)*100</f>
        <v>9.6163124938127176</v>
      </c>
      <c r="FW18" s="245"/>
      <c r="FX18" s="354">
        <v>9</v>
      </c>
      <c r="FY18" s="116"/>
      <c r="FZ18" s="269"/>
      <c r="GA18" s="1074">
        <f>'segSales&amp;OM'!$BI$203</f>
        <v>2399.096</v>
      </c>
      <c r="GB18" s="232">
        <f>(GA18/FT18-1)*100</f>
        <v>-2.402296362952927</v>
      </c>
      <c r="GC18" s="232">
        <v>9.0224997540586784</v>
      </c>
      <c r="GD18" s="116"/>
      <c r="GE18" s="269"/>
      <c r="GF18" s="30"/>
      <c r="GG18" s="1074">
        <f>'segSales&amp;OM'!BI210</f>
        <v>2515.9520000000002</v>
      </c>
      <c r="GH18" s="232">
        <f>(GG18/GA18-1)*100</f>
        <v>4.8708346810632186</v>
      </c>
      <c r="GI18" s="354">
        <v>2</v>
      </c>
      <c r="GJ18" s="116"/>
      <c r="GK18" s="1160"/>
      <c r="GL18" s="30"/>
      <c r="GM18" s="1074">
        <f>'segSales&amp;OM'!BI217</f>
        <v>2675.2820000000002</v>
      </c>
      <c r="GN18" s="232">
        <f>(GM18/GG18-1)*100</f>
        <v>6.3327917225765695</v>
      </c>
      <c r="GO18" s="1367">
        <v>3</v>
      </c>
      <c r="GP18" s="116"/>
      <c r="GQ18" s="1160"/>
      <c r="GR18" s="1074">
        <f>'segSales&amp;OM'!BI224</f>
        <v>2765.2260000000001</v>
      </c>
      <c r="GS18" s="232">
        <f>(GR18/GM18-1)*100</f>
        <v>3.3620380954232143</v>
      </c>
      <c r="GT18" s="2811">
        <v>4</v>
      </c>
      <c r="GU18" s="2811">
        <v>3</v>
      </c>
      <c r="GV18" s="2392"/>
      <c r="GW18" s="1160"/>
      <c r="GX18" s="1074">
        <f>'segSales&amp;OM'!BI231</f>
        <v>2889.7819999999997</v>
      </c>
      <c r="GY18" s="232">
        <f>(GX18/GR18-1)*100</f>
        <v>4.5043696247612175</v>
      </c>
      <c r="GZ18" s="2811">
        <v>1</v>
      </c>
      <c r="HA18" s="2811">
        <v>3</v>
      </c>
      <c r="HB18" s="2392"/>
      <c r="HC18" s="1160"/>
      <c r="HD18" s="1074">
        <f>'segSales&amp;OM'!BI238</f>
        <v>2755.0309999999999</v>
      </c>
      <c r="HE18" s="232">
        <f>(HD18/GX18-1)*100</f>
        <v>-4.6630161029447841</v>
      </c>
      <c r="HF18" s="2811">
        <v>-6</v>
      </c>
      <c r="HG18" s="2811">
        <v>-8</v>
      </c>
      <c r="HH18" s="2392"/>
      <c r="HI18" s="1160"/>
      <c r="HJ18" s="1074">
        <f>'segSales&amp;OM'!BI245</f>
        <v>2904.7077276037385</v>
      </c>
      <c r="HK18" s="232">
        <f>(HJ18/HD18-1)*100</f>
        <v>5.4328509408329229</v>
      </c>
      <c r="HL18" s="2539">
        <f>(segmthSales!DU19*63%)+(segmthSales!DU42*37%)</f>
        <v>9.2301451220055133E-2</v>
      </c>
      <c r="HM18" s="2539">
        <f>(segmthSales!DV19*64%)+(36%*segmthSales!DV42)</f>
        <v>2.106972222808702</v>
      </c>
      <c r="HN18" s="405">
        <f t="shared" si="7"/>
        <v>-5</v>
      </c>
      <c r="HO18" s="405">
        <f t="shared" si="8"/>
        <v>-5.893027777191298</v>
      </c>
      <c r="HP18" s="30"/>
      <c r="HQ18" s="356">
        <f t="shared" ref="HQ18:HZ18" si="11">SUM(HQ15:HQ17)</f>
        <v>0.99998552581109745</v>
      </c>
      <c r="HR18" s="356">
        <f t="shared" si="11"/>
        <v>1.0000868653861517</v>
      </c>
      <c r="HS18" s="356">
        <f t="shared" si="11"/>
        <v>1.0000603133359307</v>
      </c>
      <c r="HT18" s="356">
        <f t="shared" si="11"/>
        <v>1.0000468736245163</v>
      </c>
      <c r="HU18" s="356">
        <f t="shared" si="11"/>
        <v>1.0001252017016926</v>
      </c>
      <c r="HV18" s="356">
        <f t="shared" si="11"/>
        <v>1.0000503243014118</v>
      </c>
      <c r="HW18" s="356">
        <f t="shared" si="11"/>
        <v>0.99995451509073341</v>
      </c>
      <c r="HX18" s="356">
        <f t="shared" si="11"/>
        <v>0.99985843000502816</v>
      </c>
      <c r="HY18" s="356">
        <f t="shared" si="11"/>
        <v>0.99983493782658139</v>
      </c>
      <c r="HZ18" s="356">
        <f t="shared" si="11"/>
        <v>1</v>
      </c>
      <c r="IA18" s="356">
        <v>1</v>
      </c>
      <c r="IB18" s="356">
        <v>1</v>
      </c>
      <c r="IC18" s="356">
        <f>SUM(IC15:IC17)</f>
        <v>1</v>
      </c>
      <c r="ID18" s="265"/>
      <c r="IE18" s="265"/>
      <c r="IF18" s="265"/>
      <c r="IT18" s="265"/>
      <c r="IU18" s="265"/>
      <c r="IV18" s="263">
        <v>22.808022922636106</v>
      </c>
      <c r="IW18" s="263">
        <v>21.682998911183702</v>
      </c>
      <c r="IX18" s="263">
        <v>8.5133580467851253</v>
      </c>
      <c r="JB18" s="356">
        <f>SUM(JB15:JB17)</f>
        <v>1</v>
      </c>
      <c r="JC18" s="356">
        <f>SUM(JC15:JC17)</f>
        <v>1</v>
      </c>
    </row>
    <row r="19" spans="1:264" s="24" customFormat="1">
      <c r="A19" s="168"/>
      <c r="B19" s="168"/>
      <c r="C19" s="168"/>
      <c r="D19" s="224"/>
      <c r="E19" s="168"/>
      <c r="F19" s="275"/>
      <c r="G19" s="168"/>
      <c r="H19" s="168"/>
      <c r="I19" s="168"/>
      <c r="J19" s="168"/>
      <c r="K19" s="168"/>
      <c r="L19" s="168"/>
      <c r="M19" s="168"/>
      <c r="N19" s="275"/>
      <c r="O19" s="168"/>
      <c r="P19" s="168"/>
      <c r="Q19" s="168"/>
      <c r="R19" s="168"/>
      <c r="S19" s="168"/>
      <c r="T19" s="168"/>
      <c r="U19" s="168"/>
      <c r="V19" s="275"/>
      <c r="W19" s="168"/>
      <c r="X19" s="168"/>
      <c r="Y19" s="168"/>
      <c r="Z19" s="168"/>
      <c r="AA19" s="168"/>
      <c r="AB19" s="168"/>
      <c r="AC19" s="168"/>
      <c r="AD19" s="275"/>
      <c r="AE19" s="168"/>
      <c r="AF19" s="168"/>
      <c r="AG19" s="168"/>
      <c r="AH19" s="168"/>
      <c r="AI19" s="168"/>
      <c r="AJ19" s="168"/>
      <c r="AK19" s="168"/>
      <c r="AL19" s="275"/>
      <c r="AM19" s="168"/>
      <c r="AN19" s="168"/>
      <c r="AO19" s="168"/>
      <c r="AP19" s="168"/>
      <c r="AQ19" s="168"/>
      <c r="AR19" s="168"/>
      <c r="AS19" s="168"/>
      <c r="AT19" s="280"/>
      <c r="AU19" s="168"/>
      <c r="AV19" s="168"/>
      <c r="AW19" s="168"/>
      <c r="AX19" s="168"/>
      <c r="AY19" s="168"/>
      <c r="AZ19" s="168"/>
      <c r="BA19" s="168"/>
      <c r="BB19" s="113"/>
      <c r="BC19" s="168"/>
      <c r="BD19" s="168"/>
      <c r="BE19" s="168"/>
      <c r="BF19" s="168"/>
      <c r="BG19" s="168"/>
      <c r="BH19" s="168"/>
      <c r="BI19" s="168"/>
      <c r="BJ19" s="113"/>
      <c r="BK19" s="168"/>
      <c r="BL19" s="168"/>
      <c r="BM19" s="168"/>
      <c r="BN19" s="168"/>
      <c r="BO19" s="168"/>
      <c r="BP19" s="168"/>
      <c r="BQ19" s="168"/>
      <c r="BR19" s="113"/>
      <c r="BS19" s="168"/>
      <c r="BT19" s="168"/>
      <c r="BU19" s="168"/>
      <c r="BV19" s="168"/>
      <c r="BW19" s="168"/>
      <c r="BX19" s="168"/>
      <c r="BY19" s="168"/>
      <c r="BZ19" s="224"/>
      <c r="CA19" s="168"/>
      <c r="CB19" s="168"/>
      <c r="CC19" s="168"/>
      <c r="CD19" s="168"/>
      <c r="CE19" s="168"/>
      <c r="CF19" s="168"/>
      <c r="CG19" s="168"/>
      <c r="CH19" s="224"/>
      <c r="CI19" s="168"/>
      <c r="CJ19" s="168"/>
      <c r="CK19" s="168"/>
      <c r="CL19" s="168"/>
      <c r="CM19" s="168"/>
      <c r="CN19" s="168"/>
      <c r="CO19" s="168"/>
      <c r="CP19" s="224"/>
      <c r="CQ19" s="168"/>
      <c r="CR19" s="168"/>
      <c r="CS19" s="168"/>
      <c r="CT19" s="168"/>
      <c r="CU19" s="168"/>
      <c r="CV19" s="168"/>
      <c r="CW19" s="168"/>
      <c r="CX19" s="224"/>
      <c r="CZ19" s="168"/>
      <c r="DA19" s="168"/>
      <c r="DB19" s="168"/>
      <c r="DC19" s="168"/>
      <c r="DD19" s="168"/>
      <c r="DF19" s="224"/>
      <c r="DH19" s="168"/>
      <c r="DI19" s="168"/>
      <c r="DJ19" s="168"/>
      <c r="DK19" s="168"/>
      <c r="DL19" s="168"/>
      <c r="DN19" s="224"/>
      <c r="DP19" s="168"/>
      <c r="DQ19" s="168"/>
      <c r="DR19" s="168"/>
      <c r="DS19" s="168"/>
      <c r="DT19" s="168"/>
      <c r="DV19" s="224"/>
      <c r="DX19" s="168"/>
      <c r="DY19" s="168"/>
      <c r="DZ19" s="168"/>
      <c r="EA19" s="168"/>
      <c r="EB19" s="168"/>
      <c r="ED19" s="224"/>
      <c r="EF19" s="240"/>
      <c r="EG19" s="168"/>
      <c r="EH19" s="168"/>
      <c r="EI19" s="168"/>
      <c r="EJ19" s="168"/>
      <c r="EL19" s="224"/>
      <c r="EN19" s="240"/>
      <c r="EO19" s="168"/>
      <c r="EP19" s="168"/>
      <c r="EQ19" s="168"/>
      <c r="ER19" s="168"/>
      <c r="ET19" s="224"/>
      <c r="EV19" s="240"/>
      <c r="EW19" s="168"/>
      <c r="EX19" s="168"/>
      <c r="EY19" s="168"/>
      <c r="EZ19" s="168"/>
      <c r="FB19" s="224"/>
      <c r="FD19" s="240"/>
      <c r="FE19" s="168"/>
      <c r="FF19" s="168"/>
      <c r="FG19" s="168"/>
      <c r="FH19" s="168"/>
      <c r="FJ19" s="224"/>
      <c r="FL19" s="240"/>
      <c r="FM19" s="168"/>
      <c r="FN19" s="168"/>
      <c r="FO19" s="168"/>
      <c r="FP19" s="168"/>
      <c r="FR19" s="224"/>
      <c r="FT19" s="240"/>
      <c r="FU19" s="168"/>
      <c r="FV19" s="168"/>
      <c r="FW19" s="168"/>
      <c r="FX19" s="168"/>
      <c r="FZ19" s="224"/>
      <c r="GA19" s="240"/>
      <c r="GB19" s="168"/>
      <c r="GC19" s="168"/>
      <c r="GE19" s="224"/>
      <c r="GG19" s="127"/>
      <c r="GH19" s="168"/>
      <c r="GK19" s="1158"/>
      <c r="GM19" s="1248"/>
      <c r="GN19" s="168"/>
      <c r="GO19" s="226"/>
      <c r="GQ19" s="1158"/>
      <c r="GR19" s="1248"/>
      <c r="GS19" s="168"/>
      <c r="GT19" s="2729"/>
      <c r="GU19" s="2729"/>
      <c r="GV19" s="1183"/>
      <c r="GW19" s="1158"/>
      <c r="GX19" s="1248"/>
      <c r="GY19" s="168"/>
      <c r="GZ19" s="2375"/>
      <c r="HA19" s="2729"/>
      <c r="HB19" s="1183"/>
      <c r="HC19" s="1158"/>
      <c r="HD19" s="37"/>
      <c r="HE19" s="168"/>
      <c r="HF19" s="2729"/>
      <c r="HG19" s="2729"/>
      <c r="HH19" s="1183"/>
      <c r="HI19" s="1158"/>
      <c r="HJ19" s="37"/>
      <c r="HK19" s="168"/>
      <c r="HL19" s="1183"/>
      <c r="HM19" s="1183"/>
      <c r="HN19" s="405"/>
      <c r="HO19" s="405"/>
      <c r="HQ19" s="93"/>
      <c r="HR19" s="577"/>
      <c r="HS19" s="578"/>
      <c r="HT19" s="578"/>
      <c r="HU19" s="578"/>
      <c r="HV19" s="578"/>
      <c r="HW19" s="578"/>
      <c r="HX19" s="578"/>
      <c r="HY19" s="578"/>
      <c r="HZ19" s="578"/>
      <c r="IA19" s="1245"/>
      <c r="IB19" s="1245"/>
      <c r="IC19" s="265"/>
      <c r="ID19" s="265"/>
      <c r="IE19" s="265"/>
      <c r="IF19" s="265"/>
      <c r="IT19" s="265"/>
      <c r="IU19" s="265"/>
      <c r="IV19" s="265"/>
      <c r="IW19" s="265"/>
      <c r="IX19" s="265"/>
      <c r="JB19" s="265"/>
      <c r="JC19" s="265"/>
    </row>
    <row r="20" spans="1:264" s="24" customFormat="1" ht="11.25">
      <c r="A20" s="150" t="s">
        <v>654</v>
      </c>
      <c r="B20" s="150"/>
      <c r="C20" s="168"/>
      <c r="D20" s="224">
        <f>$D$10</f>
        <v>4</v>
      </c>
      <c r="E20" s="168"/>
      <c r="F20" s="276"/>
      <c r="G20" s="168"/>
      <c r="H20" s="229"/>
      <c r="I20" s="168"/>
      <c r="J20" s="226"/>
      <c r="K20" s="168" t="s">
        <v>1084</v>
      </c>
      <c r="L20" s="227"/>
      <c r="M20" s="168" t="s">
        <v>1084</v>
      </c>
      <c r="N20" s="276" t="s">
        <v>909</v>
      </c>
      <c r="O20" s="168"/>
      <c r="P20" s="229"/>
      <c r="Q20" s="168"/>
      <c r="R20" s="226"/>
      <c r="S20" s="168" t="s">
        <v>1084</v>
      </c>
      <c r="T20" s="227"/>
      <c r="U20" s="168" t="s">
        <v>1084</v>
      </c>
      <c r="V20" s="276" t="s">
        <v>779</v>
      </c>
      <c r="W20" s="168"/>
      <c r="X20" s="229"/>
      <c r="Y20" s="168"/>
      <c r="Z20" s="226"/>
      <c r="AA20" s="168" t="s">
        <v>1084</v>
      </c>
      <c r="AB20" s="227"/>
      <c r="AC20" s="168" t="s">
        <v>1084</v>
      </c>
      <c r="AD20" s="276" t="s">
        <v>780</v>
      </c>
      <c r="AE20" s="168"/>
      <c r="AF20" s="229"/>
      <c r="AG20" s="168"/>
      <c r="AH20" s="226"/>
      <c r="AI20" s="168" t="s">
        <v>1084</v>
      </c>
      <c r="AJ20" s="227">
        <v>-1</v>
      </c>
      <c r="AK20" s="168" t="s">
        <v>1084</v>
      </c>
      <c r="AL20" s="276" t="s">
        <v>781</v>
      </c>
      <c r="AM20" s="168"/>
      <c r="AN20" s="229"/>
      <c r="AO20" s="168"/>
      <c r="AP20" s="226"/>
      <c r="AQ20" s="168" t="s">
        <v>1084</v>
      </c>
      <c r="AR20" s="227">
        <v>0</v>
      </c>
      <c r="AS20" s="168" t="s">
        <v>1084</v>
      </c>
      <c r="AT20" s="281" t="s">
        <v>909</v>
      </c>
      <c r="AU20" s="168"/>
      <c r="AV20" s="229"/>
      <c r="AW20" s="168"/>
      <c r="AX20" s="226"/>
      <c r="AY20" s="168" t="s">
        <v>1084</v>
      </c>
      <c r="AZ20" s="227">
        <v>-6</v>
      </c>
      <c r="BA20" s="168" t="s">
        <v>1084</v>
      </c>
      <c r="BB20" s="120" t="s">
        <v>909</v>
      </c>
      <c r="BC20" s="168"/>
      <c r="BD20" s="229"/>
      <c r="BE20" s="168"/>
      <c r="BF20" s="226"/>
      <c r="BG20" s="168" t="s">
        <v>1084</v>
      </c>
      <c r="BH20" s="227">
        <v>2</v>
      </c>
      <c r="BI20" s="168" t="s">
        <v>1084</v>
      </c>
      <c r="BJ20" s="120" t="s">
        <v>910</v>
      </c>
      <c r="BK20" s="168"/>
      <c r="BL20" s="229">
        <v>678.2</v>
      </c>
      <c r="BM20" s="168"/>
      <c r="BN20" s="226"/>
      <c r="BO20" s="168"/>
      <c r="BP20" s="227">
        <v>5</v>
      </c>
      <c r="BQ20" s="168" t="s">
        <v>1084</v>
      </c>
      <c r="BR20" s="123" t="s">
        <v>911</v>
      </c>
      <c r="BS20" s="168"/>
      <c r="BT20" s="205">
        <v>661.42899999999997</v>
      </c>
      <c r="BU20" s="168"/>
      <c r="BV20" s="226">
        <f>(BT20/BL20-1)*100</f>
        <v>-2.4728693600707841</v>
      </c>
      <c r="BW20" s="168"/>
      <c r="BX20" s="227">
        <v>7</v>
      </c>
      <c r="BY20" s="168" t="s">
        <v>1084</v>
      </c>
      <c r="BZ20" s="267" t="s">
        <v>912</v>
      </c>
      <c r="CA20" s="168"/>
      <c r="CB20" s="205">
        <v>555.048</v>
      </c>
      <c r="CC20" s="168"/>
      <c r="CD20" s="228" t="s">
        <v>886</v>
      </c>
      <c r="CE20" s="168"/>
      <c r="CF20" s="227">
        <v>12</v>
      </c>
      <c r="CG20" s="168" t="s">
        <v>1084</v>
      </c>
      <c r="CH20" s="267" t="s">
        <v>688</v>
      </c>
      <c r="CI20" s="168"/>
      <c r="CJ20" s="205">
        <v>573.96799999999996</v>
      </c>
      <c r="CK20" s="168"/>
      <c r="CL20" s="226">
        <f>(CJ20/CB20-1)*100</f>
        <v>3.4087142012942939</v>
      </c>
      <c r="CM20" s="168"/>
      <c r="CN20" s="227">
        <v>5</v>
      </c>
      <c r="CO20" s="168" t="s">
        <v>1084</v>
      </c>
      <c r="CP20" s="267" t="s">
        <v>945</v>
      </c>
      <c r="CQ20" s="168"/>
      <c r="CR20" s="205">
        <v>546.92100000000005</v>
      </c>
      <c r="CS20" s="168"/>
      <c r="CT20" s="226">
        <f>(CR20/CJ20-1)*100</f>
        <v>-4.7122836116298972</v>
      </c>
      <c r="CU20" s="168"/>
      <c r="CV20" s="227">
        <v>-5</v>
      </c>
      <c r="CW20" s="168" t="s">
        <v>1084</v>
      </c>
      <c r="CX20" s="267" t="s">
        <v>909</v>
      </c>
      <c r="CZ20" s="205">
        <v>577.76800000000003</v>
      </c>
      <c r="DA20" s="168"/>
      <c r="DB20" s="226">
        <f>(CZ20/CR20-1)*100</f>
        <v>5.6401198710599898</v>
      </c>
      <c r="DC20" s="168"/>
      <c r="DD20" s="227">
        <v>1</v>
      </c>
      <c r="DE20" s="24" t="s">
        <v>1084</v>
      </c>
      <c r="DF20" s="407">
        <v>37863</v>
      </c>
      <c r="DH20" s="205">
        <v>575.70000000000005</v>
      </c>
      <c r="DI20" s="168"/>
      <c r="DJ20" s="226">
        <f>(DH20/CZ20-1)*100</f>
        <v>-0.35792913418534189</v>
      </c>
      <c r="DK20" s="168"/>
      <c r="DL20" s="227">
        <v>-2</v>
      </c>
      <c r="DM20" s="24" t="s">
        <v>1084</v>
      </c>
      <c r="DN20" s="407">
        <v>38228</v>
      </c>
      <c r="DP20" s="205">
        <v>577.79999999999995</v>
      </c>
      <c r="DQ20" s="168"/>
      <c r="DR20" s="226">
        <f>(DP20/DH20-1)*100</f>
        <v>0.36477331943718383</v>
      </c>
      <c r="DS20" s="168"/>
      <c r="DT20" s="227">
        <v>-2</v>
      </c>
      <c r="DU20" s="24" t="s">
        <v>1084</v>
      </c>
      <c r="DV20" s="407">
        <v>38591</v>
      </c>
      <c r="DX20" s="205">
        <v>575.29999999999995</v>
      </c>
      <c r="DY20" s="168"/>
      <c r="DZ20" s="226">
        <f>(DX20/DP20-1)*100</f>
        <v>-0.43267566632052556</v>
      </c>
      <c r="EA20" s="168"/>
      <c r="EB20" s="227">
        <v>-3</v>
      </c>
      <c r="EC20" s="24" t="s">
        <v>1084</v>
      </c>
      <c r="ED20" s="407">
        <v>38590</v>
      </c>
      <c r="EF20" s="205">
        <v>638.79999999999995</v>
      </c>
      <c r="EG20" s="168"/>
      <c r="EH20" s="226">
        <f>(EF20/DX20-1)*100</f>
        <v>11.037719450721362</v>
      </c>
      <c r="EI20" s="168"/>
      <c r="EJ20" s="227">
        <v>9</v>
      </c>
      <c r="EK20" s="24" t="s">
        <v>1084</v>
      </c>
      <c r="EL20" s="407">
        <v>39326</v>
      </c>
      <c r="EN20" s="205">
        <v>565.20000000000005</v>
      </c>
      <c r="EO20" s="168"/>
      <c r="EP20" s="226">
        <f>(EN20/EF20-1)*100</f>
        <v>-11.52160300563555</v>
      </c>
      <c r="EQ20" s="168"/>
      <c r="ER20" s="227">
        <v>1</v>
      </c>
      <c r="ES20" s="24" t="s">
        <v>1084</v>
      </c>
      <c r="ET20" s="407">
        <v>39324</v>
      </c>
      <c r="EV20" s="205">
        <v>588.4</v>
      </c>
      <c r="EW20" s="168"/>
      <c r="EX20" s="226">
        <f>(EV20/EN20-1)*100</f>
        <v>4.104741684359503</v>
      </c>
      <c r="EY20" s="168"/>
      <c r="EZ20" s="227">
        <v>-7</v>
      </c>
      <c r="FA20" s="24" t="s">
        <v>1084</v>
      </c>
      <c r="FB20" s="407">
        <v>40054</v>
      </c>
      <c r="FD20" s="205">
        <v>561.4</v>
      </c>
      <c r="FE20" s="168"/>
      <c r="FF20" s="226">
        <f>(FD20/EV20-1)*100</f>
        <v>-4.5887151597552638</v>
      </c>
      <c r="FG20" s="168"/>
      <c r="FH20" s="227">
        <v>-4</v>
      </c>
      <c r="FI20" s="24" t="s">
        <v>1084</v>
      </c>
      <c r="FJ20" s="407">
        <v>40418</v>
      </c>
      <c r="FL20" s="205">
        <v>630.29999999999995</v>
      </c>
      <c r="FM20" s="168"/>
      <c r="FN20" s="226">
        <f>(FL20/FD20-1)*100</f>
        <v>12.272889205557536</v>
      </c>
      <c r="FO20" s="168"/>
      <c r="FP20" s="227">
        <v>10</v>
      </c>
      <c r="FQ20" s="24" t="s">
        <v>1084</v>
      </c>
      <c r="FR20" s="407">
        <v>40782</v>
      </c>
      <c r="FT20" s="205">
        <v>702.4</v>
      </c>
      <c r="FU20" s="168"/>
      <c r="FV20" s="226">
        <f>(FT20/FL20-1)*100</f>
        <v>11.438997302871655</v>
      </c>
      <c r="FW20" s="168"/>
      <c r="FX20" s="227">
        <v>11</v>
      </c>
      <c r="FY20" s="24" t="s">
        <v>1084</v>
      </c>
      <c r="FZ20" s="407">
        <v>41518</v>
      </c>
      <c r="GA20" s="205">
        <v>665.6</v>
      </c>
      <c r="GB20" s="226">
        <f>(GA20/FT20-1)*100</f>
        <v>-5.2391799544419086</v>
      </c>
      <c r="GC20" s="227">
        <v>8</v>
      </c>
      <c r="GD20" s="24" t="s">
        <v>1084</v>
      </c>
      <c r="GE20" s="407">
        <v>41517</v>
      </c>
      <c r="GF20" s="405"/>
      <c r="GG20" s="205">
        <v>704.7</v>
      </c>
      <c r="GH20" s="226">
        <f>(GG20/GA20-1)*100</f>
        <v>5.8743990384615419</v>
      </c>
      <c r="GI20" s="227">
        <v>2</v>
      </c>
      <c r="GJ20" s="24" t="s">
        <v>1084</v>
      </c>
      <c r="GK20" s="1158">
        <v>41516</v>
      </c>
      <c r="GL20" s="405"/>
      <c r="GM20" s="1376">
        <v>765.3</v>
      </c>
      <c r="GN20" s="226">
        <f>(GM20/GG20-1)*100</f>
        <v>8.5994040017028475</v>
      </c>
      <c r="GO20" s="1367">
        <v>5</v>
      </c>
      <c r="GP20" s="24" t="s">
        <v>1084</v>
      </c>
      <c r="GQ20" s="1158">
        <v>42976</v>
      </c>
      <c r="GR20" s="1244">
        <v>826</v>
      </c>
      <c r="GS20" s="226">
        <f>(GR20/GM20-1)*100</f>
        <v>7.9315301189076148</v>
      </c>
      <c r="GT20" s="2804">
        <v>6</v>
      </c>
      <c r="GU20" s="2804">
        <v>6</v>
      </c>
      <c r="GV20" s="2165"/>
      <c r="GW20" s="1158">
        <v>42243</v>
      </c>
      <c r="GX20" s="205">
        <v>852.9</v>
      </c>
      <c r="GY20" s="226">
        <f>(GX20/GR20-1)*100</f>
        <v>3.2566585956416372</v>
      </c>
      <c r="GZ20" s="2805">
        <v>0</v>
      </c>
      <c r="HA20" s="2805">
        <v>2</v>
      </c>
      <c r="HB20" s="2165"/>
      <c r="HC20" s="1158">
        <v>42973</v>
      </c>
      <c r="HD20" s="205">
        <v>842.1</v>
      </c>
      <c r="HE20" s="226">
        <f>(HD20/GX20-1)*100</f>
        <v>-1.2662680267323201</v>
      </c>
      <c r="HF20" s="2728">
        <v>-5</v>
      </c>
      <c r="HG20" s="2728">
        <v>-4</v>
      </c>
      <c r="HH20" s="2165"/>
      <c r="HI20" s="1158">
        <v>42243</v>
      </c>
      <c r="HJ20" s="2770">
        <f>JC20*$HJ$23</f>
        <v>908.30183516582804</v>
      </c>
      <c r="HK20" s="226">
        <f>(HJ20/HD20-1)*100</f>
        <v>7.8615170604237061</v>
      </c>
      <c r="HL20" s="2539">
        <f>(segmthSales!DU21*63%)+(segmthSales!DU44*37%)</f>
        <v>0.37</v>
      </c>
      <c r="HM20" s="2539">
        <f>(segmthSales!DV21*63%)+(37%*segmthSales!DV44)</f>
        <v>2.37</v>
      </c>
      <c r="HN20" s="405">
        <f>HA20+HG20</f>
        <v>-2</v>
      </c>
      <c r="HO20" s="405">
        <f>HM20+HG20</f>
        <v>-1.63</v>
      </c>
      <c r="HQ20" s="127">
        <f>DP20/DP23</f>
        <v>0.30557604893024581</v>
      </c>
      <c r="HR20" s="127">
        <f>DX20/DX23</f>
        <v>0.30414194489072721</v>
      </c>
      <c r="HS20" s="127">
        <f>EF20/EF23</f>
        <v>0.30203966611094135</v>
      </c>
      <c r="HT20" s="127">
        <f>EN20/EN23</f>
        <v>0.2938998618899446</v>
      </c>
      <c r="HU20" s="292">
        <f>EV20/EV23</f>
        <v>0.31940349063937151</v>
      </c>
      <c r="HV20" s="292">
        <f>FD20/$FD$23</f>
        <v>0.31588038857676581</v>
      </c>
      <c r="HW20" s="127">
        <f>FL20/$FL$23</f>
        <v>0.31779356577691525</v>
      </c>
      <c r="HX20" s="127">
        <f>FT20/$FT$23</f>
        <v>0.32317045677273076</v>
      </c>
      <c r="HY20" s="292">
        <f>GA20/GA23</f>
        <v>0.3246529954067649</v>
      </c>
      <c r="HZ20" s="292">
        <f>GG20/GG23</f>
        <v>0.32458395264676176</v>
      </c>
      <c r="IA20" s="292">
        <f>GM20/GM23</f>
        <v>0.33002773733707758</v>
      </c>
      <c r="IB20" s="292">
        <f>GR20/GR23</f>
        <v>0.33284923783166043</v>
      </c>
      <c r="IC20" s="292">
        <f>GX20/GX23</f>
        <v>0.33045126415334108</v>
      </c>
      <c r="ID20" s="265">
        <v>3348</v>
      </c>
      <c r="IE20" s="265">
        <v>4024</v>
      </c>
      <c r="IF20" s="265">
        <v>4263</v>
      </c>
      <c r="II20" s="266">
        <f>AVERAGE(IC20,IC17)</f>
        <v>0.29969632917423705</v>
      </c>
      <c r="IJ20" s="266">
        <f>AVERAGE(ID20,ID17)</f>
        <v>3316</v>
      </c>
      <c r="IK20" s="266">
        <f>AVERAGE(IE20,IE17)</f>
        <v>3998.5</v>
      </c>
      <c r="IL20" s="266">
        <f>AVERAGE(IF20,IF17)</f>
        <v>4262</v>
      </c>
      <c r="IP20" s="266">
        <f>+ID20-ID17</f>
        <v>64</v>
      </c>
      <c r="IQ20" s="266">
        <f>+IE20-IE17</f>
        <v>51</v>
      </c>
      <c r="IR20" s="266">
        <f>+IF20-IF17</f>
        <v>2</v>
      </c>
      <c r="IT20" s="265"/>
      <c r="IU20" s="265"/>
      <c r="IV20" s="251">
        <f t="shared" ref="IV20:IX22" si="12">+(IJ20/II20-1)*100</f>
        <v>1106353.3253165567</v>
      </c>
      <c r="IW20" s="251">
        <f t="shared" si="12"/>
        <v>20.582026537997589</v>
      </c>
      <c r="IX20" s="251">
        <f t="shared" si="12"/>
        <v>6.5899712392146981</v>
      </c>
      <c r="JB20" s="292">
        <f>HD20/HD23</f>
        <v>0.32168921025126979</v>
      </c>
      <c r="JC20" s="292">
        <f>AVERAGE(JB20,IC20,IB20,IA20,HZ20)</f>
        <v>0.32792028044402211</v>
      </c>
      <c r="JD20" s="405"/>
    </row>
    <row r="21" spans="1:264" s="24" customFormat="1" ht="11.25">
      <c r="A21" s="150" t="s">
        <v>655</v>
      </c>
      <c r="B21" s="150"/>
      <c r="C21" s="168"/>
      <c r="D21" s="224">
        <f>$D$11</f>
        <v>5</v>
      </c>
      <c r="E21" s="168"/>
      <c r="F21" s="274"/>
      <c r="G21" s="168"/>
      <c r="H21" s="229"/>
      <c r="I21" s="168"/>
      <c r="J21" s="226"/>
      <c r="K21" s="168"/>
      <c r="L21" s="227"/>
      <c r="M21" s="168"/>
      <c r="N21" s="276" t="s">
        <v>914</v>
      </c>
      <c r="O21" s="168"/>
      <c r="P21" s="229"/>
      <c r="Q21" s="168"/>
      <c r="R21" s="226"/>
      <c r="S21" s="168"/>
      <c r="T21" s="227"/>
      <c r="U21" s="168"/>
      <c r="V21" s="276" t="s">
        <v>509</v>
      </c>
      <c r="W21" s="168"/>
      <c r="X21" s="229"/>
      <c r="Y21" s="168"/>
      <c r="Z21" s="226"/>
      <c r="AA21" s="168"/>
      <c r="AB21" s="227"/>
      <c r="AC21" s="168"/>
      <c r="AD21" s="276" t="s">
        <v>510</v>
      </c>
      <c r="AE21" s="168"/>
      <c r="AF21" s="229"/>
      <c r="AG21" s="168"/>
      <c r="AH21" s="226"/>
      <c r="AI21" s="168"/>
      <c r="AJ21" s="227">
        <v>4</v>
      </c>
      <c r="AK21" s="168"/>
      <c r="AL21" s="276" t="s">
        <v>782</v>
      </c>
      <c r="AM21" s="168"/>
      <c r="AN21" s="229"/>
      <c r="AO21" s="168"/>
      <c r="AP21" s="226"/>
      <c r="AQ21" s="168"/>
      <c r="AR21" s="227">
        <v>-6</v>
      </c>
      <c r="AS21" s="168"/>
      <c r="AT21" s="120" t="s">
        <v>913</v>
      </c>
      <c r="AU21" s="168"/>
      <c r="AV21" s="229"/>
      <c r="AW21" s="168"/>
      <c r="AX21" s="226"/>
      <c r="AY21" s="168"/>
      <c r="AZ21" s="227">
        <v>1</v>
      </c>
      <c r="BA21" s="168"/>
      <c r="BB21" s="120" t="s">
        <v>914</v>
      </c>
      <c r="BC21" s="168"/>
      <c r="BD21" s="229"/>
      <c r="BE21" s="168"/>
      <c r="BF21" s="226"/>
      <c r="BG21" s="168"/>
      <c r="BH21" s="227">
        <v>6</v>
      </c>
      <c r="BI21" s="168"/>
      <c r="BJ21" s="120" t="s">
        <v>508</v>
      </c>
      <c r="BK21" s="168"/>
      <c r="BL21" s="229">
        <v>765.50800000000004</v>
      </c>
      <c r="BM21" s="168"/>
      <c r="BN21" s="226"/>
      <c r="BO21" s="168"/>
      <c r="BP21" s="227">
        <v>-7</v>
      </c>
      <c r="BQ21" s="168"/>
      <c r="BR21" s="279" t="s">
        <v>509</v>
      </c>
      <c r="BS21" s="168"/>
      <c r="BT21" s="229">
        <v>742.95899999999995</v>
      </c>
      <c r="BU21" s="168"/>
      <c r="BV21" s="226">
        <f>(BT21/BL21-1)*100</f>
        <v>-2.9456256498952449</v>
      </c>
      <c r="BW21" s="168"/>
      <c r="BX21" s="227">
        <v>5</v>
      </c>
      <c r="BY21" s="168"/>
      <c r="BZ21" s="268" t="s">
        <v>510</v>
      </c>
      <c r="CA21" s="168"/>
      <c r="CB21" s="229">
        <v>564.17899999999997</v>
      </c>
      <c r="CC21" s="168"/>
      <c r="CD21" s="228" t="s">
        <v>886</v>
      </c>
      <c r="CE21" s="168"/>
      <c r="CF21" s="227">
        <v>7</v>
      </c>
      <c r="CG21" s="168"/>
      <c r="CH21" s="268" t="s">
        <v>913</v>
      </c>
      <c r="CI21" s="168"/>
      <c r="CJ21" s="229">
        <v>631.18200000000002</v>
      </c>
      <c r="CK21" s="168"/>
      <c r="CL21" s="226">
        <f>(CJ21/CB21-1)*100</f>
        <v>11.876195320988558</v>
      </c>
      <c r="CM21" s="168"/>
      <c r="CN21" s="227">
        <v>11</v>
      </c>
      <c r="CO21" s="168"/>
      <c r="CP21" s="268" t="s">
        <v>946</v>
      </c>
      <c r="CQ21" s="168"/>
      <c r="CR21" s="229">
        <v>590.20500000000004</v>
      </c>
      <c r="CS21" s="168"/>
      <c r="CT21" s="226">
        <f>(CR21/CJ21-1)*100</f>
        <v>-6.4921052881736108</v>
      </c>
      <c r="CU21" s="168"/>
      <c r="CV21" s="227">
        <v>-11</v>
      </c>
      <c r="CW21" s="168"/>
      <c r="CX21" s="268" t="s">
        <v>914</v>
      </c>
      <c r="CZ21" s="115">
        <v>642.54</v>
      </c>
      <c r="DB21" s="226">
        <f>(CZ21/CR21-1)*100</f>
        <v>8.8672579866317491</v>
      </c>
      <c r="DD21" s="227">
        <v>7</v>
      </c>
      <c r="DF21" s="407">
        <v>37898</v>
      </c>
      <c r="DH21" s="229">
        <v>714.4</v>
      </c>
      <c r="DJ21" s="226">
        <f>(DH21/CZ21-1)*100</f>
        <v>11.183739533725534</v>
      </c>
      <c r="DL21" s="227">
        <v>8</v>
      </c>
      <c r="DN21" s="407">
        <v>38263</v>
      </c>
      <c r="DP21" s="229">
        <v>679.3</v>
      </c>
      <c r="DR21" s="226">
        <f>(DP21/DH21-1)*100</f>
        <v>-4.9132138857782781</v>
      </c>
      <c r="DT21" s="227">
        <v>-5</v>
      </c>
      <c r="DV21" s="407">
        <v>38626</v>
      </c>
      <c r="DX21" s="229">
        <v>687.3</v>
      </c>
      <c r="DZ21" s="226">
        <f>(DX21/DP21-1)*100</f>
        <v>1.1776829088767871</v>
      </c>
      <c r="EB21" s="227">
        <v>-2</v>
      </c>
      <c r="ED21" s="407">
        <v>38625</v>
      </c>
      <c r="EF21" s="357">
        <v>781.3</v>
      </c>
      <c r="EH21" s="226">
        <f>(EF21/DX21-1)*100</f>
        <v>13.676705950822065</v>
      </c>
      <c r="EJ21" s="227">
        <v>12</v>
      </c>
      <c r="EL21" s="407">
        <v>39361</v>
      </c>
      <c r="EN21" s="357">
        <v>713.2</v>
      </c>
      <c r="EP21" s="226">
        <f>(EN21/EF21-1)*100</f>
        <v>-8.7162421605017197</v>
      </c>
      <c r="ER21" s="227">
        <v>-4</v>
      </c>
      <c r="ET21" s="407">
        <v>39359</v>
      </c>
      <c r="EV21" s="357">
        <v>673.4</v>
      </c>
      <c r="EX21" s="226">
        <f>(EV21/EN21-1)*100</f>
        <v>-5.5804823331463975</v>
      </c>
      <c r="EZ21" s="227">
        <v>-6</v>
      </c>
      <c r="FB21" s="407">
        <v>40089</v>
      </c>
      <c r="FD21" s="357">
        <v>654.79999999999995</v>
      </c>
      <c r="FF21" s="226">
        <f>(FD21/EV21-1)*100</f>
        <v>-2.7621027621027694</v>
      </c>
      <c r="FH21" s="227">
        <v>1</v>
      </c>
      <c r="FJ21" s="407">
        <v>40453</v>
      </c>
      <c r="FL21" s="357">
        <v>735.8</v>
      </c>
      <c r="FN21" s="226">
        <f>(FL21/FD21-1)*100</f>
        <v>12.370189370800254</v>
      </c>
      <c r="FP21" s="227">
        <v>12</v>
      </c>
      <c r="FR21" s="407">
        <v>40817</v>
      </c>
      <c r="FT21" s="357">
        <v>818.6</v>
      </c>
      <c r="FV21" s="226">
        <f>(FT21/FL21-1)*100</f>
        <v>11.253057896167441</v>
      </c>
      <c r="FX21" s="227">
        <v>11</v>
      </c>
      <c r="FZ21" s="407">
        <v>41553</v>
      </c>
      <c r="GA21" s="357">
        <v>773.6</v>
      </c>
      <c r="GB21" s="226">
        <f>(GA21/FT21-1)*100</f>
        <v>-5.4971903249450227</v>
      </c>
      <c r="GC21" s="227">
        <v>5</v>
      </c>
      <c r="GE21" s="407">
        <v>41552</v>
      </c>
      <c r="GF21" s="405"/>
      <c r="GG21" s="357">
        <v>786</v>
      </c>
      <c r="GH21" s="226">
        <f>(GG21/GA21-1)*100</f>
        <v>1.6028955532574996</v>
      </c>
      <c r="GI21" s="227">
        <v>1</v>
      </c>
      <c r="GK21" s="1158">
        <v>41551</v>
      </c>
      <c r="GL21" s="405"/>
      <c r="GM21" s="1379">
        <v>853.5</v>
      </c>
      <c r="GN21" s="226">
        <f>(GM21/GG21-1)*100</f>
        <v>8.5877862595419749</v>
      </c>
      <c r="GO21" s="1378">
        <v>6</v>
      </c>
      <c r="GQ21" s="1158">
        <v>43011</v>
      </c>
      <c r="GR21" s="2508">
        <v>919.9</v>
      </c>
      <c r="GS21" s="226">
        <f>(GR21/GM21-1)*100</f>
        <v>7.7797305213825441</v>
      </c>
      <c r="GT21" s="2809">
        <v>9</v>
      </c>
      <c r="GU21" s="2809">
        <v>8</v>
      </c>
      <c r="GV21" s="2509"/>
      <c r="GW21" s="1158">
        <v>42278</v>
      </c>
      <c r="GX21" s="2383">
        <v>971.4</v>
      </c>
      <c r="GY21" s="226">
        <f>(GX21/GR21-1)*100</f>
        <v>5.598434612457881</v>
      </c>
      <c r="GZ21" s="2805">
        <v>1</v>
      </c>
      <c r="HA21" s="2805">
        <v>3</v>
      </c>
      <c r="HB21" s="2509"/>
      <c r="HC21" s="1158">
        <v>43008</v>
      </c>
      <c r="HD21" s="2593">
        <v>981.6</v>
      </c>
      <c r="HE21" s="226">
        <f>(HD21/GX21-1)*100</f>
        <v>1.050030883261277</v>
      </c>
      <c r="HF21" s="2693">
        <v>-2</v>
      </c>
      <c r="HG21" s="2693">
        <v>-2</v>
      </c>
      <c r="HH21" s="2509"/>
      <c r="HI21" s="1158">
        <v>42278</v>
      </c>
      <c r="HJ21" s="579">
        <f>JC21*$HJ$23</f>
        <v>1026.0346067582827</v>
      </c>
      <c r="HK21" s="226">
        <f>(HJ21/HD21-1)*100</f>
        <v>4.5267529297354114</v>
      </c>
      <c r="HL21" s="2539">
        <f>(segmthSales!DU22*63%)+(segmthSales!DU45*37%)</f>
        <v>0.74</v>
      </c>
      <c r="HM21" s="2539">
        <f>(segmthSales!DV22*63%)+(37%*segmthSales!DV45)</f>
        <v>2.74</v>
      </c>
      <c r="HN21" s="405">
        <f t="shared" ref="HN21:HN23" si="13">HA21+HG21</f>
        <v>1</v>
      </c>
      <c r="HO21" s="405">
        <f t="shared" ref="HO21:HO23" si="14">HM21+HG21</f>
        <v>0.74000000000000021</v>
      </c>
      <c r="HQ21" s="127">
        <f>DP21/DP23</f>
        <v>0.35925546908673589</v>
      </c>
      <c r="HR21" s="292">
        <f>DX21/DX23</f>
        <v>0.36335261380739931</v>
      </c>
      <c r="HS21" s="127">
        <f>EF21/EF23</f>
        <v>0.3694170180533477</v>
      </c>
      <c r="HT21" s="292">
        <f>EN21/EN23</f>
        <v>0.37085877830840142</v>
      </c>
      <c r="HU21" s="292">
        <f>EV21/EV23</f>
        <v>0.36554437558897485</v>
      </c>
      <c r="HV21" s="292">
        <f>FD21/FD23</f>
        <v>0.36843334242975823</v>
      </c>
      <c r="HW21" s="127">
        <f>FL21/$FL$23</f>
        <v>0.37098604743559294</v>
      </c>
      <c r="HX21" s="127">
        <f>FT21/$FT$23</f>
        <v>0.37663345090284367</v>
      </c>
      <c r="HY21" s="292">
        <f>GA21/GA23</f>
        <v>0.3773310655749299</v>
      </c>
      <c r="HZ21" s="292">
        <f>GG21/GG23</f>
        <v>0.36203063258174362</v>
      </c>
      <c r="IA21" s="292">
        <f>GM21/GM23</f>
        <v>0.36806307829242879</v>
      </c>
      <c r="IB21" s="292">
        <f>GR21/GR23</f>
        <v>0.37068766813722087</v>
      </c>
      <c r="IC21" s="292">
        <f>GX21/GX23</f>
        <v>0.37636341657703781</v>
      </c>
      <c r="ID21" s="265">
        <v>3463</v>
      </c>
      <c r="IE21" s="265">
        <v>4071</v>
      </c>
      <c r="IF21" s="265"/>
      <c r="II21" s="266">
        <f t="shared" ref="II21:IK22" si="15">AVERAGE(IC20:IC21)</f>
        <v>0.35340734036518945</v>
      </c>
      <c r="IJ21" s="266">
        <f t="shared" si="15"/>
        <v>3405.5</v>
      </c>
      <c r="IK21" s="266">
        <f t="shared" si="15"/>
        <v>4047.5</v>
      </c>
      <c r="IL21" s="266"/>
      <c r="IP21" s="266">
        <f>+ID21-ID20</f>
        <v>115</v>
      </c>
      <c r="IQ21" s="266">
        <f>+IE21-IE20</f>
        <v>47</v>
      </c>
      <c r="IR21" s="266"/>
      <c r="IT21" s="265"/>
      <c r="IU21" s="265"/>
      <c r="IV21" s="251">
        <f t="shared" si="12"/>
        <v>963518.92101079889</v>
      </c>
      <c r="IW21" s="251">
        <f t="shared" si="12"/>
        <v>18.851857289678463</v>
      </c>
      <c r="IX21" s="251"/>
      <c r="JB21" s="292">
        <f>HD21/HD23</f>
        <v>0.37497937155046479</v>
      </c>
      <c r="JC21" s="292">
        <f>AVERAGE(JB21,IC21,IB21,IA21,HZ21)</f>
        <v>0.37042483342777921</v>
      </c>
      <c r="JD21" s="405"/>
    </row>
    <row r="22" spans="1:264" s="24" customFormat="1" ht="11.25">
      <c r="A22" s="150" t="s">
        <v>598</v>
      </c>
      <c r="B22" s="150"/>
      <c r="C22" s="168"/>
      <c r="D22" s="224">
        <f>$D$12</f>
        <v>4</v>
      </c>
      <c r="E22" s="168"/>
      <c r="F22" s="274"/>
      <c r="G22" s="168"/>
      <c r="H22" s="233"/>
      <c r="I22" s="168"/>
      <c r="J22" s="206"/>
      <c r="K22" s="168"/>
      <c r="L22" s="231"/>
      <c r="M22" s="168"/>
      <c r="N22" s="276" t="s">
        <v>515</v>
      </c>
      <c r="O22" s="168"/>
      <c r="P22" s="233"/>
      <c r="Q22" s="168"/>
      <c r="R22" s="206"/>
      <c r="S22" s="168"/>
      <c r="T22" s="231"/>
      <c r="U22" s="168"/>
      <c r="V22" s="276" t="s">
        <v>517</v>
      </c>
      <c r="W22" s="168"/>
      <c r="X22" s="233"/>
      <c r="Y22" s="168"/>
      <c r="Z22" s="206"/>
      <c r="AA22" s="168"/>
      <c r="AB22" s="231"/>
      <c r="AC22" s="168"/>
      <c r="AD22" s="276" t="s">
        <v>370</v>
      </c>
      <c r="AE22" s="168"/>
      <c r="AF22" s="233"/>
      <c r="AG22" s="168"/>
      <c r="AH22" s="206"/>
      <c r="AI22" s="168"/>
      <c r="AJ22" s="231">
        <v>0</v>
      </c>
      <c r="AK22" s="168"/>
      <c r="AL22" s="276" t="s">
        <v>783</v>
      </c>
      <c r="AM22" s="168"/>
      <c r="AN22" s="233"/>
      <c r="AO22" s="168"/>
      <c r="AP22" s="206"/>
      <c r="AQ22" s="168"/>
      <c r="AR22" s="231">
        <v>2</v>
      </c>
      <c r="AS22" s="168"/>
      <c r="AT22" s="120" t="s">
        <v>514</v>
      </c>
      <c r="AU22" s="168"/>
      <c r="AV22" s="233"/>
      <c r="AW22" s="168"/>
      <c r="AX22" s="206"/>
      <c r="AY22" s="168"/>
      <c r="AZ22" s="231">
        <v>-5</v>
      </c>
      <c r="BA22" s="168"/>
      <c r="BB22" s="120" t="s">
        <v>515</v>
      </c>
      <c r="BC22" s="168"/>
      <c r="BD22" s="233"/>
      <c r="BE22" s="168"/>
      <c r="BF22" s="206"/>
      <c r="BG22" s="168"/>
      <c r="BH22" s="231">
        <v>4</v>
      </c>
      <c r="BI22" s="168"/>
      <c r="BJ22" s="120" t="s">
        <v>516</v>
      </c>
      <c r="BK22" s="168"/>
      <c r="BL22" s="233">
        <v>623.85299999999995</v>
      </c>
      <c r="BM22" s="168"/>
      <c r="BN22" s="206"/>
      <c r="BO22" s="168"/>
      <c r="BP22" s="231">
        <v>-3</v>
      </c>
      <c r="BQ22" s="168"/>
      <c r="BR22" s="279" t="s">
        <v>517</v>
      </c>
      <c r="BS22" s="168"/>
      <c r="BT22" s="233">
        <v>594.33000000000004</v>
      </c>
      <c r="BU22" s="168"/>
      <c r="BV22" s="206">
        <f>(BT22/BL22-1)*100</f>
        <v>-4.7323648359469122</v>
      </c>
      <c r="BW22" s="168"/>
      <c r="BX22" s="231">
        <v>3</v>
      </c>
      <c r="BY22" s="168"/>
      <c r="BZ22" s="268" t="s">
        <v>370</v>
      </c>
      <c r="CA22" s="168"/>
      <c r="CB22" s="233">
        <v>463.16</v>
      </c>
      <c r="CC22" s="168"/>
      <c r="CD22" s="284" t="s">
        <v>886</v>
      </c>
      <c r="CE22" s="168"/>
      <c r="CF22" s="231">
        <v>7</v>
      </c>
      <c r="CG22" s="168"/>
      <c r="CH22" s="268" t="s">
        <v>514</v>
      </c>
      <c r="CI22" s="168"/>
      <c r="CJ22" s="233">
        <v>510.80599999999998</v>
      </c>
      <c r="CK22" s="168"/>
      <c r="CL22" s="206">
        <f>(CJ22/CB22-1)*100</f>
        <v>10.287157785646418</v>
      </c>
      <c r="CM22" s="168"/>
      <c r="CN22" s="231">
        <v>9</v>
      </c>
      <c r="CO22" s="168"/>
      <c r="CP22" s="268" t="s">
        <v>947</v>
      </c>
      <c r="CQ22" s="168"/>
      <c r="CR22" s="233">
        <v>522.20899999999995</v>
      </c>
      <c r="CS22" s="168"/>
      <c r="CT22" s="206">
        <f>(CR22/CJ22-1)*100</f>
        <v>2.2323543576230342</v>
      </c>
      <c r="CU22" s="168"/>
      <c r="CV22" s="231">
        <v>-6</v>
      </c>
      <c r="CW22" s="168"/>
      <c r="CX22" s="268" t="s">
        <v>515</v>
      </c>
      <c r="CZ22" s="39">
        <v>547.25699999999995</v>
      </c>
      <c r="DB22" s="206">
        <f>(CZ22/CR22-1)*100</f>
        <v>4.7965469764021718</v>
      </c>
      <c r="DD22" s="231">
        <v>3</v>
      </c>
      <c r="DF22" s="407">
        <v>37926</v>
      </c>
      <c r="DH22" s="233">
        <v>556.6</v>
      </c>
      <c r="DJ22" s="206">
        <f>(DH22/CZ22-1)*100</f>
        <v>1.7072417529606865</v>
      </c>
      <c r="DL22" s="231">
        <v>-2</v>
      </c>
      <c r="DN22" s="407">
        <v>38291</v>
      </c>
      <c r="DP22" s="233">
        <v>633.79999999999995</v>
      </c>
      <c r="DR22" s="206">
        <f>(DP22/DH22-1)*100</f>
        <v>13.869924541861289</v>
      </c>
      <c r="DT22" s="231">
        <v>14</v>
      </c>
      <c r="DV22" s="407">
        <v>38654</v>
      </c>
      <c r="DX22" s="233">
        <v>629</v>
      </c>
      <c r="DZ22" s="206">
        <f>(DX22/DP22-1)*100</f>
        <v>-0.75733669927421365</v>
      </c>
      <c r="EB22" s="231">
        <v>-4</v>
      </c>
      <c r="ED22" s="407">
        <v>38653</v>
      </c>
      <c r="EF22" s="592">
        <v>694.8</v>
      </c>
      <c r="EH22" s="206">
        <f>(EF22/DX22-1)*100</f>
        <v>10.461049284578694</v>
      </c>
      <c r="EJ22" s="231">
        <v>9</v>
      </c>
      <c r="EL22" s="407">
        <v>39389</v>
      </c>
      <c r="EN22" s="592">
        <v>644.70000000000005</v>
      </c>
      <c r="EP22" s="206">
        <f>(EN22/EF22-1)*100</f>
        <v>-7.2107081174438541</v>
      </c>
      <c r="ER22" s="231">
        <v>-6</v>
      </c>
      <c r="ET22" s="407">
        <v>39387</v>
      </c>
      <c r="EV22" s="592">
        <v>580.4</v>
      </c>
      <c r="EX22" s="206">
        <f>(EV22/EN22-1)*100</f>
        <v>-9.9736311462695895</v>
      </c>
      <c r="EZ22" s="231">
        <v>-9</v>
      </c>
      <c r="FB22" s="407">
        <v>40117</v>
      </c>
      <c r="FD22" s="592">
        <v>561.1</v>
      </c>
      <c r="FF22" s="206">
        <f>(FD22/EV22-1)*100</f>
        <v>-3.3252929014472743</v>
      </c>
      <c r="FH22" s="231">
        <v>-4</v>
      </c>
      <c r="FJ22" s="407">
        <v>40481</v>
      </c>
      <c r="FL22" s="592">
        <v>617.29999999999995</v>
      </c>
      <c r="FN22" s="206">
        <f>(FL22/FD22-1)*100</f>
        <v>10.016039921582598</v>
      </c>
      <c r="FP22" s="231">
        <v>9</v>
      </c>
      <c r="FR22" s="407">
        <v>40845</v>
      </c>
      <c r="FT22" s="592">
        <v>652.4</v>
      </c>
      <c r="FU22" s="168"/>
      <c r="FV22" s="206">
        <f>(FT22/FL22-1)*100</f>
        <v>5.6860521626437732</v>
      </c>
      <c r="FW22" s="168"/>
      <c r="FX22" s="231">
        <v>6</v>
      </c>
      <c r="FZ22" s="407">
        <v>41581</v>
      </c>
      <c r="GA22" s="592">
        <v>611</v>
      </c>
      <c r="GB22" s="206">
        <f>(GA22/FT22-1)*100</f>
        <v>-6.3458001226241567</v>
      </c>
      <c r="GC22" s="231">
        <v>3</v>
      </c>
      <c r="GE22" s="407">
        <v>41580</v>
      </c>
      <c r="GF22" s="405"/>
      <c r="GG22" s="592">
        <v>680.5</v>
      </c>
      <c r="GH22" s="206">
        <f>(GG22/GA22-1)*100</f>
        <v>11.374795417348604</v>
      </c>
      <c r="GI22" s="231">
        <v>8</v>
      </c>
      <c r="GK22" s="1158">
        <v>41579</v>
      </c>
      <c r="GL22" s="405"/>
      <c r="GM22" s="1366">
        <v>700</v>
      </c>
      <c r="GN22" s="206">
        <f>(GM22/GG22-1)*100</f>
        <v>2.8655400440852352</v>
      </c>
      <c r="GO22" s="231">
        <v>3</v>
      </c>
      <c r="GQ22" s="1158">
        <v>43039</v>
      </c>
      <c r="GR22" s="2518">
        <v>735.6</v>
      </c>
      <c r="GS22" s="206">
        <f>(GR22/GM22-1)*100</f>
        <v>5.0857142857142934</v>
      </c>
      <c r="GT22" s="2810">
        <v>5</v>
      </c>
      <c r="GU22" s="2810">
        <v>6</v>
      </c>
      <c r="GV22" s="2509"/>
      <c r="GW22" s="1158">
        <v>42306</v>
      </c>
      <c r="GX22" s="2550">
        <v>756.7</v>
      </c>
      <c r="GY22" s="206">
        <f>(GX22/GR22-1)*100</f>
        <v>2.8684067427950044</v>
      </c>
      <c r="GZ22" s="2803">
        <v>1</v>
      </c>
      <c r="HA22" s="2803">
        <v>1</v>
      </c>
      <c r="HB22" s="2509"/>
      <c r="HC22" s="1158">
        <v>43036</v>
      </c>
      <c r="HD22" s="2596">
        <v>794.1</v>
      </c>
      <c r="HE22" s="206">
        <f>(HD22/GX22-1)*100</f>
        <v>4.9425135456587777</v>
      </c>
      <c r="HF22" s="2733">
        <v>-2</v>
      </c>
      <c r="HG22" s="2733">
        <v>2</v>
      </c>
      <c r="HH22" s="2509"/>
      <c r="HI22" s="1158">
        <v>42306</v>
      </c>
      <c r="HJ22" s="250">
        <f>JC22*$HJ$23</f>
        <v>835.54968386212408</v>
      </c>
      <c r="HK22" s="206">
        <f>(HJ22/HD22-1)*100</f>
        <v>5.2197058131373986</v>
      </c>
      <c r="HL22" s="2545">
        <f>(segmthSales!DU23*63%)+(segmthSales!DU46*37%)</f>
        <v>0.37</v>
      </c>
      <c r="HM22" s="2545">
        <f>(segmthSales!DV23*63%)+(37%*segmthSales!DV46)</f>
        <v>2.37</v>
      </c>
      <c r="HN22" s="405">
        <f t="shared" si="13"/>
        <v>3</v>
      </c>
      <c r="HO22" s="405">
        <f t="shared" si="14"/>
        <v>4.37</v>
      </c>
      <c r="HQ22" s="293">
        <f>DP22/DP23</f>
        <v>0.3351922807407231</v>
      </c>
      <c r="HR22" s="293">
        <f>DX22/DX23</f>
        <v>0.33253134596952449</v>
      </c>
      <c r="HS22" s="198">
        <f>EF22/EF23</f>
        <v>0.32851778336550103</v>
      </c>
      <c r="HT22" s="198">
        <f>EN22/EN23</f>
        <v>0.33523927983093998</v>
      </c>
      <c r="HU22" s="198">
        <f>EV22/EV23</f>
        <v>0.31506081911470296</v>
      </c>
      <c r="HV22" s="198">
        <f>FD22/$FD$23</f>
        <v>0.31571158893912238</v>
      </c>
      <c r="HW22" s="198">
        <f>FL22/$FL$23</f>
        <v>0.31123904197063268</v>
      </c>
      <c r="HX22" s="198">
        <f>FT22/$FT$23</f>
        <v>0.3001657260799111</v>
      </c>
      <c r="HY22" s="198">
        <f>1-SUM(HY20:HY21)</f>
        <v>0.29801593901830525</v>
      </c>
      <c r="HZ22" s="198">
        <f>1-SUM(HZ20:HZ21)</f>
        <v>0.31338541477149462</v>
      </c>
      <c r="IA22" s="198">
        <f>1-SUM(IA20:IA21)</f>
        <v>0.30190918437049363</v>
      </c>
      <c r="IB22" s="198">
        <f>1-SUM(IB20:IB21)</f>
        <v>0.2964630940311187</v>
      </c>
      <c r="IC22" s="198">
        <f>1-IC21-IC20</f>
        <v>0.29318531926962116</v>
      </c>
      <c r="ID22" s="265">
        <v>3542</v>
      </c>
      <c r="IE22" s="265">
        <v>4147</v>
      </c>
      <c r="IF22" s="265"/>
      <c r="II22" s="266">
        <f t="shared" si="15"/>
        <v>0.33477436792332949</v>
      </c>
      <c r="IJ22" s="266">
        <f t="shared" si="15"/>
        <v>3502.5</v>
      </c>
      <c r="IK22" s="266">
        <f t="shared" si="15"/>
        <v>4109</v>
      </c>
      <c r="IL22" s="266"/>
      <c r="IP22" s="266">
        <f>+ID22-ID21</f>
        <v>79</v>
      </c>
      <c r="IQ22" s="266">
        <f>+IE22-IE21</f>
        <v>76</v>
      </c>
      <c r="IR22" s="266"/>
      <c r="IT22" s="265"/>
      <c r="IU22" s="265"/>
      <c r="IV22" s="251">
        <f t="shared" si="12"/>
        <v>1046127.0518877204</v>
      </c>
      <c r="IW22" s="251">
        <f t="shared" si="12"/>
        <v>17.316202712348328</v>
      </c>
      <c r="IX22" s="251"/>
      <c r="JB22" s="198">
        <f>1-JB21-JB20</f>
        <v>0.30333141819826542</v>
      </c>
      <c r="JC22" s="198">
        <f>1-JC21-JC20</f>
        <v>0.30165488612819868</v>
      </c>
      <c r="JD22" s="405"/>
    </row>
    <row r="23" spans="1:264" s="24" customFormat="1" ht="11.25">
      <c r="A23" s="247"/>
      <c r="B23" s="247" t="s">
        <v>925</v>
      </c>
      <c r="C23" s="245"/>
      <c r="D23" s="269"/>
      <c r="E23" s="245"/>
      <c r="F23" s="269"/>
      <c r="G23" s="245"/>
      <c r="H23" s="234">
        <f>SUM(H20:H22)</f>
        <v>0</v>
      </c>
      <c r="I23" s="245"/>
      <c r="J23" s="232">
        <f>qtrSales!$D21</f>
        <v>12.377335654316401</v>
      </c>
      <c r="K23" s="245"/>
      <c r="L23" s="232">
        <f>'qtrP&amp;L'!H12</f>
        <v>-1</v>
      </c>
      <c r="M23" s="245"/>
      <c r="N23" s="290"/>
      <c r="O23" s="245"/>
      <c r="P23" s="234">
        <f>'qtrP&amp;L'!J12</f>
        <v>1433.412</v>
      </c>
      <c r="Q23" s="245"/>
      <c r="R23" s="232">
        <f>qtrSales!$D28</f>
        <v>14.86657910574063</v>
      </c>
      <c r="S23" s="245"/>
      <c r="T23" s="232">
        <f>'qtrP&amp;L'!L12</f>
        <v>2</v>
      </c>
      <c r="U23" s="245"/>
      <c r="V23" s="290"/>
      <c r="W23" s="245"/>
      <c r="X23" s="234">
        <f>'qtrP&amp;L'!N12</f>
        <v>1611.32</v>
      </c>
      <c r="Y23" s="245"/>
      <c r="Z23" s="232">
        <f>qtrSales!$D35</f>
        <v>12.411504856942734</v>
      </c>
      <c r="AA23" s="245"/>
      <c r="AB23" s="232">
        <f>'qtrP&amp;L'!P12</f>
        <v>2</v>
      </c>
      <c r="AC23" s="245"/>
      <c r="AD23" s="290"/>
      <c r="AE23" s="245"/>
      <c r="AF23" s="234">
        <f>'qtrP&amp;L'!R12</f>
        <v>1616.6669999999999</v>
      </c>
      <c r="AG23" s="245"/>
      <c r="AH23" s="232">
        <f>qtrSales!$D42</f>
        <v>0.33183973388277721</v>
      </c>
      <c r="AI23" s="245"/>
      <c r="AJ23" s="232">
        <f>'qtrP&amp;L'!T12</f>
        <v>1</v>
      </c>
      <c r="AK23" s="245"/>
      <c r="AL23" s="290"/>
      <c r="AM23" s="245"/>
      <c r="AN23" s="234">
        <f>'qtrP&amp;L'!V12</f>
        <v>1715.1759999999999</v>
      </c>
      <c r="AO23" s="245"/>
      <c r="AP23" s="232">
        <f>qtrSales!D49</f>
        <v>-24.187974394232082</v>
      </c>
      <c r="AQ23" s="245"/>
      <c r="AR23" s="232">
        <f>'qtrP&amp;L'!X12</f>
        <v>-2</v>
      </c>
      <c r="AS23" s="245"/>
      <c r="AT23" s="121"/>
      <c r="AU23" s="245"/>
      <c r="AV23" s="234">
        <f>'qtrP&amp;L'!Z12</f>
        <v>1803.2950000000001</v>
      </c>
      <c r="AW23" s="245"/>
      <c r="AX23" s="232">
        <f>qtrSales!D56</f>
        <v>4.447189522432593</v>
      </c>
      <c r="AY23" s="245"/>
      <c r="AZ23" s="232">
        <f>'qtrP&amp;L'!AB12</f>
        <v>-3</v>
      </c>
      <c r="BA23" s="245"/>
      <c r="BB23" s="121"/>
      <c r="BC23" s="245"/>
      <c r="BD23" s="234">
        <f>'qtrP&amp;L'!AD12</f>
        <v>1994.9860000000001</v>
      </c>
      <c r="BE23" s="245"/>
      <c r="BF23" s="232">
        <f>qtrSales!D63</f>
        <v>26.860625528265025</v>
      </c>
      <c r="BG23" s="245"/>
      <c r="BH23" s="232">
        <f>'qtrP&amp;L'!AF12</f>
        <v>4</v>
      </c>
      <c r="BI23" s="245"/>
      <c r="BJ23" s="121"/>
      <c r="BK23" s="245"/>
      <c r="BL23" s="234">
        <f>'qtrP&amp;L'!AH12</f>
        <v>1835.0550000000001</v>
      </c>
      <c r="BM23" s="245"/>
      <c r="BN23" s="232">
        <f>qtrSales!D70</f>
        <v>-16.128895199835469</v>
      </c>
      <c r="BO23" s="245"/>
      <c r="BP23" s="232">
        <f>'qtrP&amp;L'!AJ12</f>
        <v>-2</v>
      </c>
      <c r="BQ23" s="245"/>
      <c r="BR23" s="121"/>
      <c r="BS23" s="245"/>
      <c r="BT23" s="234">
        <f>'qtrP&amp;L'!AL12</f>
        <v>1902.59</v>
      </c>
      <c r="BU23" s="245"/>
      <c r="BV23" s="232">
        <f>qtrSales!D77</f>
        <v>15.82425085624295</v>
      </c>
      <c r="BW23" s="245"/>
      <c r="BX23" s="232">
        <f>'qtrP&amp;L'!AN12</f>
        <v>5</v>
      </c>
      <c r="BY23" s="245"/>
      <c r="BZ23" s="269"/>
      <c r="CA23" s="245"/>
      <c r="CB23" s="234">
        <f>'qtrP&amp;L'!AP12</f>
        <v>1582.3869999999999</v>
      </c>
      <c r="CC23" s="245"/>
      <c r="CD23" s="291" t="s">
        <v>886</v>
      </c>
      <c r="CE23" s="245"/>
      <c r="CF23" s="232">
        <f>'qtrP&amp;L'!AR12</f>
        <v>9</v>
      </c>
      <c r="CG23" s="245"/>
      <c r="CH23" s="269"/>
      <c r="CI23" s="245"/>
      <c r="CJ23" s="234">
        <f>'qtrP&amp;L'!AT12</f>
        <v>1715.9559999999999</v>
      </c>
      <c r="CK23" s="245"/>
      <c r="CL23" s="232">
        <f>qtrSales!D91</f>
        <v>11.174375851886364</v>
      </c>
      <c r="CM23" s="245"/>
      <c r="CN23" s="232">
        <f>'qtrP&amp;L'!AV12</f>
        <v>8</v>
      </c>
      <c r="CO23" s="245"/>
      <c r="CP23" s="269"/>
      <c r="CQ23" s="245"/>
      <c r="CR23" s="234">
        <f>'qtrP&amp;L'!AX12</f>
        <v>1659.335</v>
      </c>
      <c r="CS23" s="245"/>
      <c r="CT23" s="232">
        <f>qtrSales!$D98</f>
        <v>-5.4266316782309083</v>
      </c>
      <c r="CU23" s="245"/>
      <c r="CV23" s="232">
        <f>'qtrP&amp;L'!AZ12</f>
        <v>-7</v>
      </c>
      <c r="CW23" s="245"/>
      <c r="CX23" s="269"/>
      <c r="CY23" s="116"/>
      <c r="CZ23" s="117">
        <f>'qtrP&amp;L'!BB12</f>
        <v>1767.5650000000001</v>
      </c>
      <c r="DA23" s="116"/>
      <c r="DB23" s="232">
        <f>(CZ23/CR23-1)*100</f>
        <v>6.5224924442623067</v>
      </c>
      <c r="DC23" s="116"/>
      <c r="DD23" s="232">
        <f>'qtrP&amp;L'!BD12</f>
        <v>4</v>
      </c>
      <c r="DE23" s="116"/>
      <c r="DF23" s="269"/>
      <c r="DG23" s="116"/>
      <c r="DH23" s="117">
        <f>+'qtrP&amp;L'!BF12</f>
        <v>1846.77</v>
      </c>
      <c r="DI23" s="116"/>
      <c r="DJ23" s="232">
        <f>(DH23/CZ23-1)*100</f>
        <v>4.481023328703615</v>
      </c>
      <c r="DK23" s="116"/>
      <c r="DL23" s="232">
        <f>+'qtrP&amp;L'!BH12</f>
        <v>2</v>
      </c>
      <c r="DM23" s="116"/>
      <c r="DN23" s="269"/>
      <c r="DO23" s="116"/>
      <c r="DP23" s="117">
        <f>+'qtrP&amp;L'!BJ12</f>
        <v>1890.855</v>
      </c>
      <c r="DQ23" s="116"/>
      <c r="DR23" s="232">
        <f>(DP23/DH23-1)*100</f>
        <v>2.3871407917607446</v>
      </c>
      <c r="DS23" s="116"/>
      <c r="DT23" s="354">
        <v>1</v>
      </c>
      <c r="DU23" s="116"/>
      <c r="DV23" s="269"/>
      <c r="DW23" s="116"/>
      <c r="DX23" s="117">
        <f>+'qtrP&amp;L'!BN12</f>
        <v>1891.5509999999999</v>
      </c>
      <c r="DY23" s="116"/>
      <c r="DZ23" s="232">
        <f>(DX23/DP23-1)*100</f>
        <v>3.6808745250160868E-2</v>
      </c>
      <c r="EA23" s="116"/>
      <c r="EB23" s="232">
        <f>'qtrP&amp;L'!BP12</f>
        <v>-3</v>
      </c>
      <c r="EC23" s="116"/>
      <c r="ED23" s="269"/>
      <c r="EE23" s="116"/>
      <c r="EF23" s="234">
        <f>'qtrP&amp;L'!$BV$12</f>
        <v>2114.9540000000002</v>
      </c>
      <c r="EG23" s="116"/>
      <c r="EH23" s="232">
        <f>(EF23/DX23-1)*100</f>
        <v>11.810572382135099</v>
      </c>
      <c r="EI23" s="116"/>
      <c r="EJ23" s="232">
        <f>'qtrP&amp;L'!BX12</f>
        <v>10</v>
      </c>
      <c r="EK23" s="116"/>
      <c r="EL23" s="269"/>
      <c r="EM23" s="116"/>
      <c r="EN23" s="117">
        <f>'qtrP&amp;L'!BZ12</f>
        <v>1923.104</v>
      </c>
      <c r="EO23" s="116"/>
      <c r="EP23" s="232">
        <f>(EN23/EF23-1)*100</f>
        <v>-9.0711192772987115</v>
      </c>
      <c r="EQ23" s="116"/>
      <c r="ER23" s="232">
        <f>'qtrP&amp;L'!CB12</f>
        <v>-3</v>
      </c>
      <c r="ES23" s="116"/>
      <c r="ET23" s="269"/>
      <c r="EU23" s="116"/>
      <c r="EV23" s="234">
        <f>'qtrP&amp;L'!CD12</f>
        <v>1842.184</v>
      </c>
      <c r="EW23" s="116"/>
      <c r="EX23" s="232">
        <f>(EV23/EN23-1)*100</f>
        <v>-4.2077807544469774</v>
      </c>
      <c r="EY23" s="116"/>
      <c r="EZ23" s="232">
        <f>'qtrP&amp;L'!CF12</f>
        <v>-7</v>
      </c>
      <c r="FA23" s="116"/>
      <c r="FB23" s="269"/>
      <c r="FC23" s="116"/>
      <c r="FD23" s="234">
        <f>'segSales&amp;OM'!$BI$166</f>
        <v>1777.2550000000001</v>
      </c>
      <c r="FE23" s="116"/>
      <c r="FF23" s="232">
        <f>(FD23/EV23-1)*100</f>
        <v>-3.52456649281504</v>
      </c>
      <c r="FG23" s="116"/>
      <c r="FH23" s="232">
        <f>'qtrP&amp;L'!$CJ$12</f>
        <v>-2</v>
      </c>
      <c r="FI23" s="116"/>
      <c r="FJ23" s="269"/>
      <c r="FK23" s="116"/>
      <c r="FL23" s="234">
        <f>'segSales&amp;OM'!$BI$173</f>
        <v>1983.3630000000001</v>
      </c>
      <c r="FM23" s="116"/>
      <c r="FN23" s="232">
        <f>(FL23/FD23-1)*100</f>
        <v>11.59698523847168</v>
      </c>
      <c r="FO23" s="116"/>
      <c r="FP23" s="232">
        <v>10.101794739512279</v>
      </c>
      <c r="FQ23" s="116"/>
      <c r="FR23" s="269"/>
      <c r="FS23" s="116"/>
      <c r="FT23" s="234">
        <f>'segSales&amp;OM'!$BI$180</f>
        <v>2173.4659999999999</v>
      </c>
      <c r="FU23" s="245"/>
      <c r="FV23" s="232">
        <f>(FT23/FL23-1)*100</f>
        <v>9.5848818395825486</v>
      </c>
      <c r="FW23" s="245"/>
      <c r="FX23" s="354">
        <v>9</v>
      </c>
      <c r="FY23" s="116"/>
      <c r="FZ23" s="1163"/>
      <c r="GA23" s="1074">
        <f>'segSales&amp;OM'!$BI$204</f>
        <v>2050.1890000000003</v>
      </c>
      <c r="GB23" s="232">
        <f>(GA23/FT23-1)*100</f>
        <v>-5.6719083712374445</v>
      </c>
      <c r="GC23" s="354">
        <v>5</v>
      </c>
      <c r="GD23" s="116"/>
      <c r="GE23" s="269"/>
      <c r="GF23" s="30"/>
      <c r="GG23" s="1074">
        <f>'segSales&amp;OM'!BI211</f>
        <v>2171.087</v>
      </c>
      <c r="GH23" s="232">
        <f>(GG23/GA23-1)*100</f>
        <v>5.8969197473988766</v>
      </c>
      <c r="GI23" s="354">
        <v>4</v>
      </c>
      <c r="GJ23" s="116"/>
      <c r="GK23" s="1160"/>
      <c r="GL23" s="30"/>
      <c r="GM23" s="1074">
        <f>'segSales&amp;OM'!BI218</f>
        <v>2318.8960000000002</v>
      </c>
      <c r="GN23" s="232">
        <f>(GM23/GG23-1)*100</f>
        <v>6.8080643474904612</v>
      </c>
      <c r="GO23" s="2382">
        <v>5</v>
      </c>
      <c r="GP23" s="116"/>
      <c r="GQ23" s="1160"/>
      <c r="GR23" s="1074">
        <f>'segSales&amp;OM'!BI225</f>
        <v>2481.6040000000003</v>
      </c>
      <c r="GS23" s="232">
        <f>(GR23/GM23-1)*100</f>
        <v>7.016614802906207</v>
      </c>
      <c r="GT23" s="2811">
        <v>7</v>
      </c>
      <c r="GU23" s="2811">
        <v>7</v>
      </c>
      <c r="GV23" s="2516"/>
      <c r="GW23" s="1160"/>
      <c r="GX23" s="1074">
        <f>'segSales&amp;OM'!BI232</f>
        <v>2581.0160000000005</v>
      </c>
      <c r="GY23" s="232">
        <f>(GX23/GR23-1)*100</f>
        <v>4.0059574372059537</v>
      </c>
      <c r="GZ23" s="2811">
        <v>0</v>
      </c>
      <c r="HA23" s="2811">
        <v>2</v>
      </c>
      <c r="HB23" s="2516"/>
      <c r="HC23" s="1160"/>
      <c r="HD23" s="1074">
        <f>'segSales&amp;OM'!BI239</f>
        <v>2617.7440000000001</v>
      </c>
      <c r="HE23" s="232">
        <f>(HD23/GX23-1)*100</f>
        <v>1.4230055141076114</v>
      </c>
      <c r="HF23" s="2811">
        <v>-3</v>
      </c>
      <c r="HG23" s="2811">
        <v>-1</v>
      </c>
      <c r="HH23" s="2516"/>
      <c r="HI23" s="1160"/>
      <c r="HJ23" s="1074">
        <f>'segSales&amp;OM'!BI246</f>
        <v>2769.886125786235</v>
      </c>
      <c r="HK23" s="232">
        <f>(HJ23/HD23-1)*100</f>
        <v>5.8119558591762432</v>
      </c>
      <c r="HL23" s="2540">
        <f>(segmthSales!DU24*63%)+(segmthSales!DU47*37%)</f>
        <v>0.50726483755116947</v>
      </c>
      <c r="HM23" s="2540">
        <f>(segmthSales!DV24*64%)+(36%*segmthSales!DV47)</f>
        <v>2.4935549770768137</v>
      </c>
      <c r="HN23" s="405">
        <f t="shared" si="13"/>
        <v>1</v>
      </c>
      <c r="HO23" s="405">
        <f t="shared" si="14"/>
        <v>1.4935549770768137</v>
      </c>
      <c r="HP23" s="30"/>
      <c r="HQ23" s="356">
        <f>SUM(HQ20:HQ22)</f>
        <v>1.0000237987577048</v>
      </c>
      <c r="HR23" s="356">
        <f>SUM(HR20:HR22)</f>
        <v>1.000025904667651</v>
      </c>
      <c r="HS23" s="356">
        <f>SUM(HS20:HS22)</f>
        <v>0.99997446752979013</v>
      </c>
      <c r="HT23" s="356">
        <f>SUM(HT20:HT22)</f>
        <v>0.99999792002928611</v>
      </c>
      <c r="HU23" s="356">
        <f>SUM(HU20:HU22)</f>
        <v>1.0000086853430492</v>
      </c>
      <c r="HV23" s="356">
        <v>1</v>
      </c>
      <c r="HW23" s="356">
        <f t="shared" ref="HW23:IC23" si="16">SUM(HW20:HW22)</f>
        <v>1.0000186551831409</v>
      </c>
      <c r="HX23" s="356">
        <f t="shared" si="16"/>
        <v>0.99996963375548553</v>
      </c>
      <c r="HY23" s="356">
        <f t="shared" si="16"/>
        <v>1</v>
      </c>
      <c r="HZ23" s="356">
        <f t="shared" si="16"/>
        <v>1</v>
      </c>
      <c r="IA23" s="356">
        <f t="shared" si="16"/>
        <v>1</v>
      </c>
      <c r="IB23" s="356">
        <f t="shared" si="16"/>
        <v>1</v>
      </c>
      <c r="IC23" s="356">
        <f t="shared" si="16"/>
        <v>1</v>
      </c>
      <c r="ID23" s="265"/>
      <c r="IE23" s="265"/>
      <c r="IF23" s="265"/>
      <c r="IT23" s="265"/>
      <c r="IU23" s="265"/>
      <c r="IV23" s="263">
        <v>23.212996389891693</v>
      </c>
      <c r="IW23" s="263">
        <v>18.956929387635512</v>
      </c>
      <c r="IX23" s="263">
        <v>5.0615763546798087</v>
      </c>
      <c r="JB23" s="356">
        <f t="shared" ref="JB23" si="17">SUM(JB20:JB22)</f>
        <v>1</v>
      </c>
      <c r="JC23" s="356">
        <f>SUM(JC20:JC22)</f>
        <v>1</v>
      </c>
    </row>
    <row r="24" spans="1:264" s="24" customFormat="1" ht="11.25">
      <c r="A24" s="168"/>
      <c r="B24" s="168"/>
      <c r="C24" s="168"/>
      <c r="D24" s="224"/>
      <c r="E24" s="168"/>
      <c r="F24" s="224"/>
      <c r="G24" s="168"/>
      <c r="H24" s="168"/>
      <c r="I24" s="168"/>
      <c r="J24" s="168"/>
      <c r="K24" s="168"/>
      <c r="L24" s="168"/>
      <c r="M24" s="168"/>
      <c r="N24" s="274"/>
      <c r="O24" s="168"/>
      <c r="P24" s="168"/>
      <c r="Q24" s="168"/>
      <c r="R24" s="168"/>
      <c r="S24" s="168"/>
      <c r="T24" s="168"/>
      <c r="U24" s="168"/>
      <c r="V24" s="274"/>
      <c r="W24" s="168"/>
      <c r="X24" s="168"/>
      <c r="Y24" s="168"/>
      <c r="Z24" s="168"/>
      <c r="AA24" s="168"/>
      <c r="AB24" s="168"/>
      <c r="AC24" s="168"/>
      <c r="AD24" s="274"/>
      <c r="AE24" s="168"/>
      <c r="AF24" s="168"/>
      <c r="AG24" s="168"/>
      <c r="AH24" s="168"/>
      <c r="AI24" s="168"/>
      <c r="AJ24" s="168"/>
      <c r="AK24" s="168"/>
      <c r="AL24" s="274"/>
      <c r="AM24" s="168"/>
      <c r="AN24" s="168"/>
      <c r="AO24" s="168"/>
      <c r="AP24" s="168"/>
      <c r="AQ24" s="168"/>
      <c r="AR24" s="168"/>
      <c r="AS24" s="168"/>
      <c r="AT24" s="113"/>
      <c r="AU24" s="168"/>
      <c r="AV24" s="168"/>
      <c r="AW24" s="168"/>
      <c r="AX24" s="168"/>
      <c r="AY24" s="168"/>
      <c r="AZ24" s="168"/>
      <c r="BA24" s="168"/>
      <c r="BB24" s="113"/>
      <c r="BC24" s="168"/>
      <c r="BD24" s="168"/>
      <c r="BE24" s="168"/>
      <c r="BF24" s="168"/>
      <c r="BG24" s="168"/>
      <c r="BH24" s="168"/>
      <c r="BI24" s="168"/>
      <c r="BJ24" s="113"/>
      <c r="BK24" s="168"/>
      <c r="BL24" s="168"/>
      <c r="BM24" s="168"/>
      <c r="BN24" s="168"/>
      <c r="BO24" s="168"/>
      <c r="BP24" s="168"/>
      <c r="BQ24" s="168"/>
      <c r="BR24" s="113"/>
      <c r="BS24" s="168"/>
      <c r="BT24" s="168"/>
      <c r="BU24" s="168"/>
      <c r="BV24" s="168"/>
      <c r="BW24" s="168"/>
      <c r="BX24" s="168"/>
      <c r="BY24" s="168"/>
      <c r="BZ24" s="224"/>
      <c r="CA24" s="168"/>
      <c r="CB24" s="168"/>
      <c r="CC24" s="168"/>
      <c r="CD24" s="168"/>
      <c r="CE24" s="168"/>
      <c r="CF24" s="168"/>
      <c r="CG24" s="168"/>
      <c r="CH24" s="224"/>
      <c r="CI24" s="168"/>
      <c r="CJ24" s="168"/>
      <c r="CK24" s="168"/>
      <c r="CL24" s="168"/>
      <c r="CM24" s="168"/>
      <c r="CN24" s="168"/>
      <c r="CO24" s="168"/>
      <c r="CP24" s="224"/>
      <c r="CQ24" s="168"/>
      <c r="CR24" s="168"/>
      <c r="CS24" s="168"/>
      <c r="CT24" s="168"/>
      <c r="CU24" s="168"/>
      <c r="CV24" s="168"/>
      <c r="CW24" s="168"/>
      <c r="CX24" s="224"/>
      <c r="DD24" s="168"/>
      <c r="DF24" s="224"/>
      <c r="DL24" s="168"/>
      <c r="DN24" s="224"/>
      <c r="DT24" s="168"/>
      <c r="DV24" s="224"/>
      <c r="EB24" s="168"/>
      <c r="ED24" s="224"/>
      <c r="EJ24" s="168"/>
      <c r="EL24" s="224"/>
      <c r="ER24" s="168"/>
      <c r="ET24" s="224"/>
      <c r="EZ24" s="168"/>
      <c r="FB24" s="224"/>
      <c r="FH24" s="168"/>
      <c r="FJ24" s="224"/>
      <c r="FP24" s="168"/>
      <c r="FR24" s="224"/>
      <c r="FX24" s="168"/>
      <c r="FZ24" s="1164"/>
      <c r="GC24" s="168"/>
      <c r="GE24" s="224"/>
      <c r="GG24" s="33"/>
      <c r="GK24" s="1158"/>
      <c r="GM24" s="33"/>
      <c r="GO24" s="226"/>
      <c r="GQ24" s="1158"/>
      <c r="GR24" s="33"/>
      <c r="GT24" s="2729"/>
      <c r="GU24" s="2729"/>
      <c r="GV24" s="1183"/>
      <c r="GW24" s="1158"/>
      <c r="GX24" s="33"/>
      <c r="GZ24" s="2729"/>
      <c r="HA24" s="2729"/>
      <c r="HB24" s="1183"/>
      <c r="HC24" s="1158"/>
      <c r="HD24" s="240"/>
      <c r="HF24" s="2597"/>
      <c r="HG24" s="2597"/>
      <c r="HH24" s="1183"/>
      <c r="HI24" s="1158"/>
      <c r="HJ24" s="240"/>
      <c r="HK24" s="168"/>
      <c r="HL24" s="1183"/>
      <c r="HM24" s="1183"/>
      <c r="HN24" s="405"/>
      <c r="HO24" s="405"/>
      <c r="HQ24" s="93"/>
      <c r="HR24" s="93"/>
      <c r="HS24" s="93"/>
      <c r="HT24" s="577"/>
      <c r="HU24" s="93"/>
      <c r="HV24" s="93"/>
      <c r="HW24" s="577"/>
      <c r="HX24" s="93"/>
      <c r="HY24" s="93"/>
      <c r="HZ24" s="1146"/>
      <c r="IA24" s="1146"/>
      <c r="IB24" s="1146"/>
      <c r="IC24" s="265"/>
      <c r="ID24" s="265"/>
      <c r="IE24" s="265"/>
      <c r="IF24" s="265"/>
      <c r="IT24" s="265"/>
      <c r="IU24" s="265"/>
      <c r="IV24" s="265"/>
      <c r="IW24" s="265"/>
      <c r="IX24" s="265"/>
      <c r="JB24" s="265"/>
      <c r="JC24" s="265"/>
    </row>
    <row r="25" spans="1:264" s="24" customFormat="1" ht="11.25">
      <c r="A25" s="150" t="s">
        <v>599</v>
      </c>
      <c r="B25" s="150"/>
      <c r="C25" s="168"/>
      <c r="D25" s="224">
        <f>$D$10</f>
        <v>4</v>
      </c>
      <c r="E25" s="168"/>
      <c r="F25" s="276"/>
      <c r="G25" s="168"/>
      <c r="H25" s="229"/>
      <c r="I25" s="168"/>
      <c r="J25" s="226"/>
      <c r="K25" s="168" t="s">
        <v>1084</v>
      </c>
      <c r="L25" s="227"/>
      <c r="M25" s="168" t="s">
        <v>1084</v>
      </c>
      <c r="N25" s="276" t="s">
        <v>372</v>
      </c>
      <c r="O25" s="168"/>
      <c r="P25" s="229"/>
      <c r="Q25" s="168"/>
      <c r="R25" s="226"/>
      <c r="S25" s="168" t="s">
        <v>1084</v>
      </c>
      <c r="T25" s="227"/>
      <c r="U25" s="168" t="s">
        <v>1084</v>
      </c>
      <c r="V25" s="276" t="s">
        <v>764</v>
      </c>
      <c r="W25" s="168"/>
      <c r="X25" s="229"/>
      <c r="Y25" s="168"/>
      <c r="Z25" s="226"/>
      <c r="AA25" s="168" t="s">
        <v>1084</v>
      </c>
      <c r="AB25" s="227"/>
      <c r="AC25" s="168" t="s">
        <v>1084</v>
      </c>
      <c r="AD25" s="276" t="s">
        <v>127</v>
      </c>
      <c r="AE25" s="168"/>
      <c r="AF25" s="229"/>
      <c r="AG25" s="168"/>
      <c r="AH25" s="226"/>
      <c r="AI25" s="168" t="s">
        <v>1084</v>
      </c>
      <c r="AJ25" s="227">
        <v>-7</v>
      </c>
      <c r="AK25" s="168" t="s">
        <v>1084</v>
      </c>
      <c r="AL25" s="276" t="s">
        <v>784</v>
      </c>
      <c r="AM25" s="168"/>
      <c r="AN25" s="229"/>
      <c r="AO25" s="168"/>
      <c r="AP25" s="226"/>
      <c r="AQ25" s="168" t="s">
        <v>1084</v>
      </c>
      <c r="AR25" s="227">
        <v>-4</v>
      </c>
      <c r="AS25" s="168" t="s">
        <v>1084</v>
      </c>
      <c r="AT25" s="281" t="s">
        <v>371</v>
      </c>
      <c r="AU25" s="168"/>
      <c r="AV25" s="229"/>
      <c r="AW25" s="168"/>
      <c r="AX25" s="226"/>
      <c r="AY25" s="168" t="s">
        <v>1084</v>
      </c>
      <c r="AZ25" s="227">
        <v>-3</v>
      </c>
      <c r="BA25" s="168" t="s">
        <v>1084</v>
      </c>
      <c r="BB25" s="120" t="s">
        <v>372</v>
      </c>
      <c r="BC25" s="168"/>
      <c r="BD25" s="229"/>
      <c r="BE25" s="168"/>
      <c r="BF25" s="226"/>
      <c r="BG25" s="168" t="s">
        <v>1084</v>
      </c>
      <c r="BH25" s="227">
        <v>4</v>
      </c>
      <c r="BI25" s="168" t="s">
        <v>1084</v>
      </c>
      <c r="BJ25" s="120" t="s">
        <v>126</v>
      </c>
      <c r="BK25" s="168"/>
      <c r="BL25" s="229">
        <v>830.48900000000003</v>
      </c>
      <c r="BM25" s="168"/>
      <c r="BN25" s="226"/>
      <c r="BO25" s="168"/>
      <c r="BP25" s="227">
        <v>2</v>
      </c>
      <c r="BQ25" s="168" t="s">
        <v>1084</v>
      </c>
      <c r="BR25" s="123" t="s">
        <v>591</v>
      </c>
      <c r="BS25" s="168"/>
      <c r="BT25" s="205">
        <v>835.84100000000001</v>
      </c>
      <c r="BU25" s="168"/>
      <c r="BV25" s="226">
        <f>(BT25/BL25-1)*100</f>
        <v>0.64443960124698219</v>
      </c>
      <c r="BW25" s="168"/>
      <c r="BX25" s="227">
        <v>8</v>
      </c>
      <c r="BY25" s="168" t="s">
        <v>1084</v>
      </c>
      <c r="BZ25" s="267" t="s">
        <v>127</v>
      </c>
      <c r="CA25" s="168"/>
      <c r="CB25" s="205">
        <v>668.10400000000004</v>
      </c>
      <c r="CC25" s="168"/>
      <c r="CD25" s="228" t="s">
        <v>886</v>
      </c>
      <c r="CE25" s="168"/>
      <c r="CF25" s="227">
        <v>5</v>
      </c>
      <c r="CG25" s="168" t="s">
        <v>1084</v>
      </c>
      <c r="CH25" s="267" t="s">
        <v>371</v>
      </c>
      <c r="CI25" s="168"/>
      <c r="CJ25" s="205">
        <v>692.14400000000001</v>
      </c>
      <c r="CK25" s="168"/>
      <c r="CL25" s="226">
        <f>(CJ25/CB25-1)*100</f>
        <v>3.5982421898387074</v>
      </c>
      <c r="CM25" s="168"/>
      <c r="CN25" s="227">
        <v>2</v>
      </c>
      <c r="CO25" s="168" t="s">
        <v>1084</v>
      </c>
      <c r="CP25" s="267" t="s">
        <v>948</v>
      </c>
      <c r="CQ25" s="168"/>
      <c r="CR25" s="205">
        <v>726.54</v>
      </c>
      <c r="CS25" s="168"/>
      <c r="CT25" s="226">
        <f>(CR25/CJ25-1)*100</f>
        <v>4.9694861184955696</v>
      </c>
      <c r="CU25" s="168"/>
      <c r="CV25" s="227">
        <v>-6</v>
      </c>
      <c r="CW25" s="168" t="s">
        <v>1084</v>
      </c>
      <c r="CX25" s="267" t="s">
        <v>372</v>
      </c>
      <c r="CZ25" s="205">
        <v>751.12199999999996</v>
      </c>
      <c r="DB25" s="226">
        <f>(CZ25/CR25-1)*100</f>
        <v>3.3834338095631411</v>
      </c>
      <c r="DD25" s="227">
        <v>-1</v>
      </c>
      <c r="DE25" s="24" t="s">
        <v>1084</v>
      </c>
      <c r="DF25" s="407">
        <v>37954</v>
      </c>
      <c r="DH25" s="205">
        <v>785.6</v>
      </c>
      <c r="DJ25" s="226">
        <f>(DH25/CZ25-1)*100</f>
        <v>4.5901997278737783</v>
      </c>
      <c r="DL25" s="227">
        <v>1</v>
      </c>
      <c r="DM25" s="24" t="s">
        <v>1084</v>
      </c>
      <c r="DN25" s="407">
        <v>38319</v>
      </c>
      <c r="DP25" s="205">
        <v>762.7</v>
      </c>
      <c r="DR25" s="226">
        <f>(DP25/DH25-1)*100</f>
        <v>-2.9149694501018342</v>
      </c>
      <c r="DT25" s="227">
        <v>-5</v>
      </c>
      <c r="DU25" s="24" t="s">
        <v>1084</v>
      </c>
      <c r="DV25" s="407">
        <v>38682</v>
      </c>
      <c r="DX25" s="205">
        <v>817.7</v>
      </c>
      <c r="DZ25" s="226">
        <f>(DX25/DP25-1)*100</f>
        <v>7.2112232856955449</v>
      </c>
      <c r="EB25" s="227">
        <v>5</v>
      </c>
      <c r="EC25" s="24" t="s">
        <v>1084</v>
      </c>
      <c r="ED25" s="407">
        <v>38681</v>
      </c>
      <c r="EF25" s="205">
        <v>937.7</v>
      </c>
      <c r="EH25" s="226">
        <f>(EF25/DX25-1)*100</f>
        <v>14.675308792955843</v>
      </c>
      <c r="EJ25" s="227">
        <v>12</v>
      </c>
      <c r="EK25" s="24" t="s">
        <v>1084</v>
      </c>
      <c r="EL25" s="407">
        <v>39417</v>
      </c>
      <c r="EN25" s="205">
        <v>858.7</v>
      </c>
      <c r="EP25" s="226">
        <f>(EN25/EF25-1)*100</f>
        <v>-8.4248693612029477</v>
      </c>
      <c r="ER25" s="227">
        <v>-7</v>
      </c>
      <c r="ES25" s="24" t="s">
        <v>1084</v>
      </c>
      <c r="ET25" s="407">
        <v>39415</v>
      </c>
      <c r="EV25" s="205">
        <v>755.6</v>
      </c>
      <c r="EX25" s="226">
        <f>(EV25/EN25-1)*100</f>
        <v>-12.006521485967159</v>
      </c>
      <c r="EZ25" s="227">
        <v>-12</v>
      </c>
      <c r="FA25" s="24" t="s">
        <v>1084</v>
      </c>
      <c r="FB25" s="407">
        <v>40145</v>
      </c>
      <c r="FD25" s="205">
        <v>781.1</v>
      </c>
      <c r="FF25" s="226">
        <f>(FD25/EV25-1)*100</f>
        <v>3.3748014822657435</v>
      </c>
      <c r="FH25" s="227">
        <v>3</v>
      </c>
      <c r="FI25" s="24" t="s">
        <v>1084</v>
      </c>
      <c r="FJ25" s="407">
        <v>40509</v>
      </c>
      <c r="FL25" s="205">
        <v>893</v>
      </c>
      <c r="FN25" s="226">
        <f>(FL25/FD25-1)*100</f>
        <v>14.325950582511847</v>
      </c>
      <c r="FP25" s="227">
        <v>10</v>
      </c>
      <c r="FQ25" s="24" t="s">
        <v>1084</v>
      </c>
      <c r="FR25" s="407">
        <v>40873</v>
      </c>
      <c r="FT25" s="205">
        <v>872.6</v>
      </c>
      <c r="FV25" s="226">
        <f>(FT25/FL25-1)*100</f>
        <v>-2.2844344904815239</v>
      </c>
      <c r="FX25" s="227">
        <v>7</v>
      </c>
      <c r="FY25" s="24" t="s">
        <v>1084</v>
      </c>
      <c r="FZ25" s="407">
        <v>41609</v>
      </c>
      <c r="GA25" s="205">
        <v>922</v>
      </c>
      <c r="GB25" s="226">
        <f>(GA25/FT25-1)*100</f>
        <v>5.6612422644969129</v>
      </c>
      <c r="GC25" s="227">
        <v>5</v>
      </c>
      <c r="GD25" s="24" t="s">
        <v>1084</v>
      </c>
      <c r="GE25" s="407">
        <v>41608</v>
      </c>
      <c r="GF25" s="405"/>
      <c r="GG25" s="205">
        <v>988.5</v>
      </c>
      <c r="GH25" s="226">
        <f>(GG25/GA25-1)*100</f>
        <v>7.2125813449023912</v>
      </c>
      <c r="GI25" s="227">
        <v>-5</v>
      </c>
      <c r="GJ25" s="24" t="s">
        <v>1084</v>
      </c>
      <c r="GK25" s="1158">
        <v>41607</v>
      </c>
      <c r="GL25" s="405"/>
      <c r="GM25" s="1376">
        <v>1078</v>
      </c>
      <c r="GN25" s="226">
        <f>(GM25/GG25-1)*100</f>
        <v>9.0541224076884141</v>
      </c>
      <c r="GO25" s="1367">
        <v>8</v>
      </c>
      <c r="GP25" s="24" t="s">
        <v>1084</v>
      </c>
      <c r="GQ25" s="1158">
        <v>43067</v>
      </c>
      <c r="GR25" s="1244">
        <v>1169</v>
      </c>
      <c r="GS25" s="226">
        <f>(GR25/GM25-1)*100</f>
        <v>8.441558441558449</v>
      </c>
      <c r="GT25" s="2804">
        <v>7</v>
      </c>
      <c r="GU25" s="2804">
        <v>8</v>
      </c>
      <c r="GV25" s="1183"/>
      <c r="GW25" s="1158">
        <v>42334</v>
      </c>
      <c r="GX25" s="205">
        <v>1246.0999999999999</v>
      </c>
      <c r="GY25" s="226">
        <f>(GX25/GR25-1)*100</f>
        <v>6.5953806672369497</v>
      </c>
      <c r="GZ25" s="2732">
        <v>3</v>
      </c>
      <c r="HA25" s="2732">
        <v>4</v>
      </c>
      <c r="HB25" s="2553"/>
      <c r="HC25" s="1158">
        <v>43064</v>
      </c>
      <c r="HD25" s="2816">
        <v>1267</v>
      </c>
      <c r="HE25" s="226">
        <f>(HD25/GX25-1)*100</f>
        <v>1.6772329668566011</v>
      </c>
      <c r="HF25" s="2693">
        <v>-3</v>
      </c>
      <c r="HG25" s="2693">
        <v>-1</v>
      </c>
      <c r="HH25" s="2553"/>
      <c r="HI25" s="1158">
        <v>42334</v>
      </c>
      <c r="HJ25" s="2771">
        <f>JC25*$HJ$28</f>
        <v>1309.3182275479007</v>
      </c>
      <c r="HK25" s="226">
        <f>(HJ25/HD25-1)*100</f>
        <v>3.3400337449013939</v>
      </c>
      <c r="HL25" s="2539">
        <f>(segmthSales!DU26*63%)+(segmthSales!DU49*37%)</f>
        <v>0.37</v>
      </c>
      <c r="HM25" s="2539">
        <f>(segmthSales!DV26*63%)+(37%*segmthSales!DV49)</f>
        <v>2.37</v>
      </c>
      <c r="HN25" s="405">
        <f>HA25+HG25</f>
        <v>3</v>
      </c>
      <c r="HO25" s="405">
        <f>HM25+HG25</f>
        <v>1.37</v>
      </c>
      <c r="HQ25" s="292">
        <f>DP25/DP28</f>
        <v>0.2291476261123139</v>
      </c>
      <c r="HR25" s="292">
        <f>DX25/DX28</f>
        <v>0.23288500288365005</v>
      </c>
      <c r="HS25" s="292">
        <f>EF25/EF28</f>
        <v>0.23298619376043245</v>
      </c>
      <c r="HT25" s="292">
        <f>EN25/$EN$28</f>
        <v>0.26598669230199762</v>
      </c>
      <c r="HU25" s="292">
        <f>EV25/EV28</f>
        <v>0.25261330739890203</v>
      </c>
      <c r="HV25" s="292">
        <f>FD25/FD28</f>
        <v>0.25497996003105067</v>
      </c>
      <c r="HW25" s="292">
        <f>+FL25/$FL$28</f>
        <v>0.25837610185978716</v>
      </c>
      <c r="HX25" s="292">
        <f>FT25/$FT$28</f>
        <v>0.24821829556011829</v>
      </c>
      <c r="HY25" s="292">
        <f>GA25/GA28</f>
        <v>0.23913374449467176</v>
      </c>
      <c r="HZ25" s="292">
        <f>GG25/GG28</f>
        <v>0.25889142091187922</v>
      </c>
      <c r="IA25" s="292">
        <f>GM25/GM28</f>
        <v>0.26495072973280531</v>
      </c>
      <c r="IB25" s="292">
        <f>GR25/GR28</f>
        <v>0.26598364917279999</v>
      </c>
      <c r="IC25" s="292">
        <f>GX25/GX28</f>
        <v>0.27755911913458398</v>
      </c>
      <c r="ID25" s="265">
        <v>3647</v>
      </c>
      <c r="IE25" s="265">
        <v>4176</v>
      </c>
      <c r="IF25" s="265"/>
      <c r="II25" s="266">
        <f>AVERAGE(IC25,IC22)</f>
        <v>0.28537221920210254</v>
      </c>
      <c r="IJ25" s="266">
        <f>AVERAGE(ID25,ID22)</f>
        <v>3594.5</v>
      </c>
      <c r="IK25" s="266">
        <f>AVERAGE(IE25,IE22)</f>
        <v>4161.5</v>
      </c>
      <c r="IL25" s="266"/>
      <c r="IP25" s="266">
        <f>+ID25-ID22</f>
        <v>105</v>
      </c>
      <c r="IQ25" s="266">
        <f>+IE25-IE22</f>
        <v>29</v>
      </c>
      <c r="IR25" s="266"/>
      <c r="IT25" s="265"/>
      <c r="IU25" s="265"/>
      <c r="IV25" s="251">
        <f t="shared" ref="IV25:IW27" si="18">+(IJ25/II25-1)*100</f>
        <v>1259483.0140895217</v>
      </c>
      <c r="IW25" s="251">
        <f t="shared" si="18"/>
        <v>15.774099318403124</v>
      </c>
      <c r="IX25" s="251"/>
      <c r="JB25" s="292">
        <f>HD25/HD28</f>
        <v>0.26269411789098296</v>
      </c>
      <c r="JC25" s="2793">
        <v>0.26900000000000002</v>
      </c>
      <c r="JD25" s="405"/>
    </row>
    <row r="26" spans="1:264" s="24" customFormat="1" ht="11.25">
      <c r="A26" s="150" t="s">
        <v>600</v>
      </c>
      <c r="B26" s="150"/>
      <c r="C26" s="168"/>
      <c r="D26" s="224">
        <f>$D$11</f>
        <v>5</v>
      </c>
      <c r="E26" s="168"/>
      <c r="F26" s="274"/>
      <c r="G26" s="168"/>
      <c r="H26" s="229"/>
      <c r="I26" s="168"/>
      <c r="J26" s="226"/>
      <c r="K26" s="168"/>
      <c r="L26" s="227"/>
      <c r="M26" s="168"/>
      <c r="N26" s="276" t="s">
        <v>129</v>
      </c>
      <c r="O26" s="168"/>
      <c r="P26" s="229"/>
      <c r="Q26" s="168"/>
      <c r="R26" s="226"/>
      <c r="S26" s="168"/>
      <c r="T26" s="227"/>
      <c r="U26" s="168"/>
      <c r="V26" s="276" t="s">
        <v>785</v>
      </c>
      <c r="W26" s="168"/>
      <c r="X26" s="229"/>
      <c r="Y26" s="168"/>
      <c r="Z26" s="226"/>
      <c r="AA26" s="168"/>
      <c r="AB26" s="227"/>
      <c r="AC26" s="168"/>
      <c r="AD26" s="276" t="s">
        <v>1072</v>
      </c>
      <c r="AE26" s="168"/>
      <c r="AF26" s="229"/>
      <c r="AG26" s="168"/>
      <c r="AH26" s="226"/>
      <c r="AI26" s="168"/>
      <c r="AJ26" s="227">
        <v>-1</v>
      </c>
      <c r="AK26" s="168"/>
      <c r="AL26" s="276" t="s">
        <v>217</v>
      </c>
      <c r="AM26" s="168"/>
      <c r="AN26" s="229"/>
      <c r="AO26" s="168"/>
      <c r="AP26" s="226"/>
      <c r="AQ26" s="168"/>
      <c r="AR26" s="227">
        <v>-4</v>
      </c>
      <c r="AS26" s="168"/>
      <c r="AT26" s="120" t="s">
        <v>128</v>
      </c>
      <c r="AU26" s="168"/>
      <c r="AV26" s="229"/>
      <c r="AW26" s="168"/>
      <c r="AX26" s="226"/>
      <c r="AY26" s="168"/>
      <c r="AZ26" s="227">
        <v>-5</v>
      </c>
      <c r="BA26" s="168"/>
      <c r="BB26" s="120" t="s">
        <v>129</v>
      </c>
      <c r="BC26" s="168"/>
      <c r="BD26" s="229"/>
      <c r="BE26" s="168"/>
      <c r="BF26" s="226"/>
      <c r="BG26" s="168"/>
      <c r="BH26" s="227">
        <v>-1</v>
      </c>
      <c r="BI26" s="168"/>
      <c r="BJ26" s="120" t="s">
        <v>1070</v>
      </c>
      <c r="BK26" s="168"/>
      <c r="BL26" s="229">
        <v>1873.35</v>
      </c>
      <c r="BM26" s="168"/>
      <c r="BN26" s="226"/>
      <c r="BO26" s="168"/>
      <c r="BP26" s="227">
        <v>7</v>
      </c>
      <c r="BQ26" s="168"/>
      <c r="BR26" s="279" t="s">
        <v>1071</v>
      </c>
      <c r="BS26" s="168"/>
      <c r="BT26" s="229">
        <v>1831.567</v>
      </c>
      <c r="BU26" s="168"/>
      <c r="BV26" s="226">
        <f>(BT26/BL26-1)*100</f>
        <v>-2.230389409346889</v>
      </c>
      <c r="BW26" s="168"/>
      <c r="BX26" s="227">
        <v>4</v>
      </c>
      <c r="BY26" s="168"/>
      <c r="BZ26" s="268" t="s">
        <v>1072</v>
      </c>
      <c r="CA26" s="168"/>
      <c r="CB26" s="357">
        <v>1538.5419999999999</v>
      </c>
      <c r="CC26" s="168"/>
      <c r="CD26" s="228" t="s">
        <v>886</v>
      </c>
      <c r="CE26" s="168"/>
      <c r="CF26" s="227">
        <v>4</v>
      </c>
      <c r="CG26" s="168"/>
      <c r="CH26" s="268" t="s">
        <v>128</v>
      </c>
      <c r="CI26" s="168"/>
      <c r="CJ26" s="294">
        <v>1585.655</v>
      </c>
      <c r="CK26" s="168"/>
      <c r="CL26" s="226">
        <f>(CJ26/CB26-1)*100</f>
        <v>3.0621848477324631</v>
      </c>
      <c r="CM26" s="168"/>
      <c r="CN26" s="227">
        <v>-1</v>
      </c>
      <c r="CO26" s="168"/>
      <c r="CP26" s="268" t="s">
        <v>883</v>
      </c>
      <c r="CQ26" s="168"/>
      <c r="CR26" s="294">
        <v>1590.375</v>
      </c>
      <c r="CS26" s="168"/>
      <c r="CT26" s="226">
        <f>(CR26/CJ26-1)*100</f>
        <v>0.29766878671591002</v>
      </c>
      <c r="CU26" s="168"/>
      <c r="CV26" s="227">
        <v>0</v>
      </c>
      <c r="CW26" s="168"/>
      <c r="CX26" s="268" t="s">
        <v>129</v>
      </c>
      <c r="CZ26" s="294">
        <v>1651</v>
      </c>
      <c r="DB26" s="226">
        <f>(CZ26/CR26-1)*100</f>
        <v>3.8119940265660679</v>
      </c>
      <c r="DD26" s="227">
        <v>0</v>
      </c>
      <c r="DF26" s="407">
        <v>37624</v>
      </c>
      <c r="DH26" s="294">
        <v>1768</v>
      </c>
      <c r="DJ26" s="226">
        <f>(DH26/CZ26-1)*100</f>
        <v>7.0866141732283561</v>
      </c>
      <c r="DL26" s="227">
        <v>6</v>
      </c>
      <c r="DN26" s="407">
        <v>38354</v>
      </c>
      <c r="DP26" s="294">
        <v>1815</v>
      </c>
      <c r="DR26" s="226">
        <f>(DP26/DH26-1)*100</f>
        <v>2.6583710407239725</v>
      </c>
      <c r="DT26" s="227">
        <v>2</v>
      </c>
      <c r="DV26" s="407">
        <v>38717</v>
      </c>
      <c r="DX26" s="294">
        <v>1911</v>
      </c>
      <c r="DZ26" s="226">
        <f>(DX26/DP26-1)*100</f>
        <v>5.2892561983471031</v>
      </c>
      <c r="EB26" s="227">
        <v>3</v>
      </c>
      <c r="ED26" s="407">
        <v>38716</v>
      </c>
      <c r="EF26" s="357">
        <v>2027</v>
      </c>
      <c r="EH26" s="226">
        <f>(EF26/DX26-1)*100</f>
        <v>6.0701203558346517</v>
      </c>
      <c r="EJ26" s="227">
        <v>4</v>
      </c>
      <c r="EL26" s="407">
        <v>39087</v>
      </c>
      <c r="EN26" s="357">
        <v>1744</v>
      </c>
      <c r="EP26" s="226">
        <f>(EN26/EF26-1)*100</f>
        <v>-13.961519486926488</v>
      </c>
      <c r="ER26" s="227">
        <v>-8</v>
      </c>
      <c r="ET26" s="407">
        <v>39085</v>
      </c>
      <c r="EV26" s="357">
        <v>1644</v>
      </c>
      <c r="EX26" s="226">
        <f>(EV26/EN26-1)*100</f>
        <v>-5.7339449541284448</v>
      </c>
      <c r="EZ26" s="227">
        <v>-10</v>
      </c>
      <c r="FB26" s="407">
        <v>40180</v>
      </c>
      <c r="FD26" s="357">
        <v>1660</v>
      </c>
      <c r="FF26" s="226">
        <f>(FD26/EV26-1)*100</f>
        <v>0.97323600973235891</v>
      </c>
      <c r="FH26" s="227">
        <v>-2</v>
      </c>
      <c r="FJ26" s="407">
        <v>40179</v>
      </c>
      <c r="FL26" s="357">
        <v>1790</v>
      </c>
      <c r="FN26" s="226">
        <f>(FL26/FD26-1)*100</f>
        <v>7.8313253012048278</v>
      </c>
      <c r="FP26" s="227">
        <v>5</v>
      </c>
      <c r="FR26" s="407">
        <v>40908</v>
      </c>
      <c r="FT26" s="357">
        <v>1868.3</v>
      </c>
      <c r="FV26" s="226">
        <f>(FT26/FL26-1)*100</f>
        <v>4.3743016759776543</v>
      </c>
      <c r="FX26" s="227">
        <v>7</v>
      </c>
      <c r="FZ26" s="407">
        <v>41279</v>
      </c>
      <c r="GA26" s="357">
        <v>1947</v>
      </c>
      <c r="GB26" s="226">
        <f>(GA26/FT26-1)*100</f>
        <v>4.2123855911791575</v>
      </c>
      <c r="GC26" s="227">
        <v>3</v>
      </c>
      <c r="GE26" s="407">
        <v>41278</v>
      </c>
      <c r="GF26" s="405"/>
      <c r="GG26" s="357">
        <v>2098</v>
      </c>
      <c r="GH26" s="226">
        <f>(GG26/GA26-1)*100</f>
        <v>7.7555213148433388</v>
      </c>
      <c r="GI26" s="227">
        <v>2</v>
      </c>
      <c r="GK26" s="1158">
        <v>41277</v>
      </c>
      <c r="GL26" s="405"/>
      <c r="GM26" s="2166">
        <v>2207</v>
      </c>
      <c r="GN26" s="226">
        <f>(GM26/GG26-1)*100</f>
        <v>5.1954242135366924</v>
      </c>
      <c r="GO26" s="2165">
        <v>4</v>
      </c>
      <c r="GQ26" s="1158">
        <v>42737</v>
      </c>
      <c r="GR26" s="2508">
        <v>2415</v>
      </c>
      <c r="GS26" s="226">
        <f>(GR26/GM26-1)*100</f>
        <v>9.424558223833257</v>
      </c>
      <c r="GT26" s="2809">
        <v>8</v>
      </c>
      <c r="GU26" s="2809">
        <v>9</v>
      </c>
      <c r="GV26" s="1183"/>
      <c r="GW26" s="1158">
        <v>42369</v>
      </c>
      <c r="GX26" s="2508">
        <v>2438.1999999999998</v>
      </c>
      <c r="GY26" s="226">
        <f>(GX26/GR26-1)*100</f>
        <v>0.96066252587991841</v>
      </c>
      <c r="GZ26" s="2732">
        <v>-2</v>
      </c>
      <c r="HA26" s="2732">
        <v>-1</v>
      </c>
      <c r="HB26" s="1183"/>
      <c r="HC26" s="1158">
        <v>43099</v>
      </c>
      <c r="HD26" s="2593">
        <v>2516</v>
      </c>
      <c r="HE26" s="226">
        <f>(HD26/GX26-1)*100</f>
        <v>3.1908785169387333</v>
      </c>
      <c r="HF26" s="2693">
        <v>-3</v>
      </c>
      <c r="HG26" s="2693">
        <v>1</v>
      </c>
      <c r="HH26" s="1183"/>
      <c r="HI26" s="1158">
        <v>42369</v>
      </c>
      <c r="HJ26" s="579">
        <f>JC26*$HJ$28</f>
        <v>2634.3511054744768</v>
      </c>
      <c r="HK26" s="226">
        <f>(HJ26/HD26-1)*100</f>
        <v>4.7039390093194244</v>
      </c>
      <c r="HL26" s="2539">
        <f>(segmthSales!DU27*63%)+(segmthSales!DU50*37%)</f>
        <v>0</v>
      </c>
      <c r="HM26" s="2539">
        <f>(segmthSales!DV27*63%)+(37%*segmthSales!DV50)</f>
        <v>2</v>
      </c>
      <c r="HN26" s="405">
        <f t="shared" ref="HN26:HN28" si="19">HA26+HG26</f>
        <v>0</v>
      </c>
      <c r="HO26" s="405">
        <f t="shared" ref="HO26:HO28" si="20">HM26+HG26</f>
        <v>3</v>
      </c>
      <c r="HQ26" s="292">
        <f>DP26/DP28</f>
        <v>0.54530345010338233</v>
      </c>
      <c r="HR26" s="292">
        <f>DX26/DX28</f>
        <v>0.54426224839263204</v>
      </c>
      <c r="HS26" s="292">
        <f>EF26/EF28</f>
        <v>0.50363977258440495</v>
      </c>
      <c r="HT26" s="292">
        <f>EN26/$EN$28</f>
        <v>0.54021286989016393</v>
      </c>
      <c r="HU26" s="292">
        <f>EV26/EV28</f>
        <v>0.54962450683403241</v>
      </c>
      <c r="HV26" s="292">
        <f>FD26/FD28</f>
        <v>0.54188546108250435</v>
      </c>
      <c r="HW26" s="292">
        <f>+FL26/$FL$28</f>
        <v>0.51790954348154428</v>
      </c>
      <c r="HX26" s="292">
        <f>FT26/$FT$28</f>
        <v>0.53145340544919661</v>
      </c>
      <c r="HY26" s="292">
        <f>GA26/GA28</f>
        <v>0.50498199623766371</v>
      </c>
      <c r="HZ26" s="292">
        <f>GG26/GG28</f>
        <v>0.54947314220852062</v>
      </c>
      <c r="IA26" s="292">
        <f>GM26/GM28</f>
        <v>0.54243623424888809</v>
      </c>
      <c r="IB26" s="292">
        <f>GR26/GR28</f>
        <v>0.54948717942883829</v>
      </c>
      <c r="IC26" s="292">
        <f>GX26/GX28</f>
        <v>0.54309015670808336</v>
      </c>
      <c r="ID26" s="265">
        <v>3693</v>
      </c>
      <c r="IE26" s="265">
        <v>4179</v>
      </c>
      <c r="IF26" s="265"/>
      <c r="II26" s="266">
        <f t="shared" ref="II26:IK27" si="21">AVERAGE(IC25:IC26)</f>
        <v>0.41032463792133367</v>
      </c>
      <c r="IJ26" s="266">
        <f t="shared" si="21"/>
        <v>3670</v>
      </c>
      <c r="IK26" s="266">
        <f t="shared" si="21"/>
        <v>4177.5</v>
      </c>
      <c r="IL26" s="266"/>
      <c r="IP26" s="266">
        <f>+ID26-ID25</f>
        <v>46</v>
      </c>
      <c r="IQ26" s="266">
        <f>+IE26-IE25</f>
        <v>3</v>
      </c>
      <c r="IR26" s="266"/>
      <c r="IT26" s="265"/>
      <c r="IU26" s="265"/>
      <c r="IV26" s="251">
        <f t="shared" si="18"/>
        <v>894313.75458024594</v>
      </c>
      <c r="IW26" s="251">
        <f t="shared" si="18"/>
        <v>13.828337874659402</v>
      </c>
      <c r="IX26" s="251"/>
      <c r="JB26" s="292">
        <f>HD26/HD28</f>
        <v>0.5216561962223466</v>
      </c>
      <c r="JC26" s="292">
        <f>AVERAGE(JB26,IC26,IB26,IA26,HZ26)</f>
        <v>0.54122858176333533</v>
      </c>
      <c r="JD26" s="405"/>
    </row>
    <row r="27" spans="1:264" s="24" customFormat="1" ht="11.25">
      <c r="A27" s="150" t="s">
        <v>601</v>
      </c>
      <c r="B27" s="150"/>
      <c r="C27" s="168"/>
      <c r="D27" s="224">
        <f>$D$12</f>
        <v>4</v>
      </c>
      <c r="E27" s="168"/>
      <c r="F27" s="274"/>
      <c r="G27" s="168"/>
      <c r="H27" s="233"/>
      <c r="I27" s="168"/>
      <c r="J27" s="206"/>
      <c r="K27" s="168"/>
      <c r="L27" s="231"/>
      <c r="M27" s="168"/>
      <c r="N27" s="276" t="s">
        <v>1074</v>
      </c>
      <c r="O27" s="168"/>
      <c r="P27" s="233"/>
      <c r="Q27" s="168"/>
      <c r="R27" s="206"/>
      <c r="S27" s="168"/>
      <c r="T27" s="231"/>
      <c r="U27" s="168"/>
      <c r="V27" s="276" t="s">
        <v>1082</v>
      </c>
      <c r="W27" s="168"/>
      <c r="X27" s="233"/>
      <c r="Y27" s="168"/>
      <c r="Z27" s="206"/>
      <c r="AA27" s="168"/>
      <c r="AB27" s="231"/>
      <c r="AC27" s="168"/>
      <c r="AD27" s="276" t="s">
        <v>1076</v>
      </c>
      <c r="AE27" s="168"/>
      <c r="AF27" s="233"/>
      <c r="AG27" s="168"/>
      <c r="AH27" s="206"/>
      <c r="AI27" s="168"/>
      <c r="AJ27" s="231">
        <v>-9</v>
      </c>
      <c r="AK27" s="168"/>
      <c r="AL27" s="276" t="s">
        <v>218</v>
      </c>
      <c r="AM27" s="168"/>
      <c r="AN27" s="233"/>
      <c r="AO27" s="168"/>
      <c r="AP27" s="206"/>
      <c r="AQ27" s="168"/>
      <c r="AR27" s="231">
        <v>-5</v>
      </c>
      <c r="AS27" s="168"/>
      <c r="AT27" s="120" t="s">
        <v>1073</v>
      </c>
      <c r="AU27" s="168"/>
      <c r="AV27" s="233"/>
      <c r="AW27" s="168"/>
      <c r="AX27" s="206"/>
      <c r="AY27" s="168"/>
      <c r="AZ27" s="231">
        <v>-2</v>
      </c>
      <c r="BA27" s="168"/>
      <c r="BB27" s="120" t="s">
        <v>1074</v>
      </c>
      <c r="BC27" s="168"/>
      <c r="BD27" s="233"/>
      <c r="BE27" s="168"/>
      <c r="BF27" s="206"/>
      <c r="BG27" s="168"/>
      <c r="BH27" s="231">
        <v>17</v>
      </c>
      <c r="BI27" s="168"/>
      <c r="BJ27" s="120" t="s">
        <v>1075</v>
      </c>
      <c r="BK27" s="168"/>
      <c r="BL27" s="233">
        <v>555.80899999999997</v>
      </c>
      <c r="BM27" s="168"/>
      <c r="BN27" s="206"/>
      <c r="BO27" s="168"/>
      <c r="BP27" s="231">
        <v>6</v>
      </c>
      <c r="BQ27" s="168"/>
      <c r="BR27" s="279" t="s">
        <v>1075</v>
      </c>
      <c r="BS27" s="168"/>
      <c r="BT27" s="233">
        <v>582.62800000000004</v>
      </c>
      <c r="BU27" s="168"/>
      <c r="BV27" s="206">
        <f>(BT27/BL27-1)*100</f>
        <v>4.8252187352129994</v>
      </c>
      <c r="BW27" s="168"/>
      <c r="BX27" s="231">
        <v>11</v>
      </c>
      <c r="BY27" s="168"/>
      <c r="BZ27" s="268" t="s">
        <v>1076</v>
      </c>
      <c r="CA27" s="168"/>
      <c r="CB27" s="233">
        <v>512.25800000000004</v>
      </c>
      <c r="CC27" s="168"/>
      <c r="CD27" s="284" t="s">
        <v>886</v>
      </c>
      <c r="CE27" s="168"/>
      <c r="CF27" s="231">
        <v>9</v>
      </c>
      <c r="CG27" s="168"/>
      <c r="CH27" s="268" t="s">
        <v>1073</v>
      </c>
      <c r="CI27" s="168"/>
      <c r="CJ27" s="233">
        <v>623.35199999999998</v>
      </c>
      <c r="CK27" s="168"/>
      <c r="CL27" s="206">
        <f>(CJ27/CB27-1)*100</f>
        <v>21.687118600392765</v>
      </c>
      <c r="CM27" s="168"/>
      <c r="CN27" s="231">
        <v>4</v>
      </c>
      <c r="CO27" s="168"/>
      <c r="CP27" s="268" t="s">
        <v>884</v>
      </c>
      <c r="CQ27" s="168"/>
      <c r="CR27" s="233">
        <v>522.03</v>
      </c>
      <c r="CS27" s="168"/>
      <c r="CT27" s="206">
        <f>(CR27/CJ27-1)*100</f>
        <v>-16.254379547992148</v>
      </c>
      <c r="CU27" s="168"/>
      <c r="CV27" s="231">
        <v>7</v>
      </c>
      <c r="CW27" s="168"/>
      <c r="CX27" s="268" t="s">
        <v>1074</v>
      </c>
      <c r="CZ27" s="39">
        <v>563.9</v>
      </c>
      <c r="DB27" s="206">
        <f>(CZ27/CR27-1)*100</f>
        <v>8.0206118422312844</v>
      </c>
      <c r="DD27" s="231">
        <v>2</v>
      </c>
      <c r="DF27" s="407">
        <v>37652</v>
      </c>
      <c r="DH27" s="233">
        <v>677.7</v>
      </c>
      <c r="DJ27" s="206">
        <f>(DH27/CZ27-1)*100</f>
        <v>20.180883135307681</v>
      </c>
      <c r="DL27" s="231">
        <v>23</v>
      </c>
      <c r="DN27" s="407">
        <v>38382</v>
      </c>
      <c r="DP27" s="233">
        <v>750.5</v>
      </c>
      <c r="DR27" s="206">
        <f>(DP27/DH27-1)*100</f>
        <v>10.742216319905552</v>
      </c>
      <c r="DT27" s="231">
        <v>9</v>
      </c>
      <c r="DV27" s="407">
        <v>38745</v>
      </c>
      <c r="DX27" s="233">
        <v>783</v>
      </c>
      <c r="DZ27" s="206">
        <f>(DX27/DP27-1)*100</f>
        <v>4.3304463690872819</v>
      </c>
      <c r="EB27" s="231">
        <v>0</v>
      </c>
      <c r="ED27" s="407">
        <v>38386</v>
      </c>
      <c r="EF27" s="592">
        <v>1060</v>
      </c>
      <c r="EH27" s="206">
        <f>(EF27/DX27-1)*100</f>
        <v>35.376756066411239</v>
      </c>
      <c r="EJ27" s="231">
        <v>11</v>
      </c>
      <c r="EL27" s="407">
        <v>39115</v>
      </c>
      <c r="EN27" s="592">
        <v>625.79999999999995</v>
      </c>
      <c r="EP27" s="206">
        <f>(EN27/EF27-1)*100</f>
        <v>-40.962264150943405</v>
      </c>
      <c r="ER27" s="231">
        <v>-8</v>
      </c>
      <c r="ET27" s="407">
        <v>39113</v>
      </c>
      <c r="EV27" s="592">
        <v>591.6</v>
      </c>
      <c r="EX27" s="206">
        <f>(EV27/EN27-1)*100</f>
        <v>-5.465004793863848</v>
      </c>
      <c r="EZ27" s="231">
        <v>-9</v>
      </c>
      <c r="FB27" s="407">
        <v>40208</v>
      </c>
      <c r="FD27" s="592">
        <v>622.6</v>
      </c>
      <c r="FF27" s="206">
        <f>(FD27/EV27-1)*100</f>
        <v>5.2400270453008879</v>
      </c>
      <c r="FH27" s="231">
        <v>6</v>
      </c>
      <c r="FJ27" s="407">
        <v>40207</v>
      </c>
      <c r="FL27" s="592">
        <v>772.6</v>
      </c>
      <c r="FN27" s="206">
        <f>(FL27/FD27-1)*100</f>
        <v>24.092515258592996</v>
      </c>
      <c r="FP27" s="231">
        <v>24</v>
      </c>
      <c r="FR27" s="407">
        <v>40936</v>
      </c>
      <c r="FT27" s="592">
        <v>774.5</v>
      </c>
      <c r="FV27" s="206">
        <f>(FT27/FL27-1)*100</f>
        <v>0.24592285788247459</v>
      </c>
      <c r="FX27" s="231">
        <v>9</v>
      </c>
      <c r="FZ27" s="407">
        <v>41307</v>
      </c>
      <c r="GA27" s="592">
        <v>986.4</v>
      </c>
      <c r="GB27" s="206">
        <f>(GA27/FT27-1)*100</f>
        <v>27.359586830213047</v>
      </c>
      <c r="GC27" s="231">
        <v>9</v>
      </c>
      <c r="GE27" s="407">
        <v>41306</v>
      </c>
      <c r="GF27" s="405"/>
      <c r="GG27" s="592">
        <v>731.2</v>
      </c>
      <c r="GH27" s="206">
        <f>(GG27/GA27-1)*100</f>
        <v>-25.871857258718567</v>
      </c>
      <c r="GI27" s="231">
        <v>9</v>
      </c>
      <c r="GK27" s="1158">
        <v>41305</v>
      </c>
      <c r="GL27" s="405"/>
      <c r="GM27" s="2353">
        <v>783.1</v>
      </c>
      <c r="GN27" s="206">
        <f>(GM27/GG27-1)*100</f>
        <v>7.0979212253829305</v>
      </c>
      <c r="GO27" s="2352">
        <v>7</v>
      </c>
      <c r="GQ27" s="1158">
        <v>42765</v>
      </c>
      <c r="GR27" s="2353">
        <v>811.3</v>
      </c>
      <c r="GS27" s="206">
        <f>(GR27/GM27-1)*100</f>
        <v>3.6010726599412513</v>
      </c>
      <c r="GT27" s="2803">
        <v>-2</v>
      </c>
      <c r="GU27" s="2803">
        <v>2</v>
      </c>
      <c r="GV27" s="1183"/>
      <c r="GW27" s="1158">
        <v>42032</v>
      </c>
      <c r="GX27" s="2570">
        <v>805.2</v>
      </c>
      <c r="GY27" s="206">
        <f>(GX27/GR27-1)*100</f>
        <v>-0.75187969924810361</v>
      </c>
      <c r="GZ27" s="2807">
        <v>0</v>
      </c>
      <c r="HA27" s="2807">
        <v>-4</v>
      </c>
      <c r="HB27" s="1183"/>
      <c r="HC27" s="1158">
        <v>42769</v>
      </c>
      <c r="HD27" s="2596">
        <v>1040</v>
      </c>
      <c r="HE27" s="206">
        <f>(HD27/GX27-1)*100</f>
        <v>29.160457029309473</v>
      </c>
      <c r="HF27" s="2807">
        <v>2</v>
      </c>
      <c r="HG27" s="2807">
        <v>7</v>
      </c>
      <c r="HH27" s="1183"/>
      <c r="HI27" s="1158">
        <v>42032</v>
      </c>
      <c r="HJ27" s="250">
        <f>JC27*$HJ$28</f>
        <v>923.68467273190015</v>
      </c>
      <c r="HK27" s="206">
        <f>(HJ27/HD27-1)*100</f>
        <v>-11.184166083471137</v>
      </c>
      <c r="HL27" s="2545">
        <f>(segmthSales!DU28*63%)+(segmthSales!DU51*37%)</f>
        <v>-0.74</v>
      </c>
      <c r="HM27" s="2545">
        <f>(segmthSales!DV28*63%)+(37%*segmthSales!DV51)</f>
        <v>1.26</v>
      </c>
      <c r="HN27" s="405">
        <f t="shared" si="19"/>
        <v>3</v>
      </c>
      <c r="HO27" s="405">
        <f t="shared" si="20"/>
        <v>8.26</v>
      </c>
      <c r="HQ27" s="293">
        <f>DP27/DP28</f>
        <v>0.225482225511068</v>
      </c>
      <c r="HR27" s="292">
        <f>DX27/DX28</f>
        <v>0.2230022713194301</v>
      </c>
      <c r="HS27" s="198">
        <f>EF27/EF28</f>
        <v>0.26337353672396119</v>
      </c>
      <c r="HT27" s="198">
        <f>EN27/$EN$28</f>
        <v>0.19384473278512876</v>
      </c>
      <c r="HU27" s="198">
        <f>EV27/EV28</f>
        <v>0.19778458530596935</v>
      </c>
      <c r="HV27" s="198">
        <f>FD27/FD28</f>
        <v>0.20323969160841399</v>
      </c>
      <c r="HW27" s="198">
        <f>+FL27/$FL$28</f>
        <v>0.22354017502449222</v>
      </c>
      <c r="HX27" s="198">
        <f t="shared" ref="HX27:IC27" si="22">1-HX26-HX25</f>
        <v>0.2203282989906851</v>
      </c>
      <c r="HY27" s="198">
        <f t="shared" si="22"/>
        <v>0.25588425926766456</v>
      </c>
      <c r="HZ27" s="198">
        <f t="shared" si="22"/>
        <v>0.19163543687960016</v>
      </c>
      <c r="IA27" s="198">
        <f t="shared" si="22"/>
        <v>0.19261303601830659</v>
      </c>
      <c r="IB27" s="198">
        <f t="shared" si="22"/>
        <v>0.18452917139836172</v>
      </c>
      <c r="IC27" s="198">
        <f t="shared" si="22"/>
        <v>0.17935072415733266</v>
      </c>
      <c r="ID27" s="265">
        <v>3676</v>
      </c>
      <c r="IE27" s="265">
        <v>4171</v>
      </c>
      <c r="IF27" s="265"/>
      <c r="II27" s="266">
        <f t="shared" si="21"/>
        <v>0.36122044043270801</v>
      </c>
      <c r="IJ27" s="266">
        <f t="shared" si="21"/>
        <v>3684.5</v>
      </c>
      <c r="IK27" s="266">
        <f t="shared" si="21"/>
        <v>4175</v>
      </c>
      <c r="IL27" s="266"/>
      <c r="IP27" s="266">
        <f>+ID27-ID26</f>
        <v>-17</v>
      </c>
      <c r="IQ27" s="266">
        <f>+IE27-IE26</f>
        <v>-8</v>
      </c>
      <c r="IR27" s="266"/>
      <c r="IT27" s="265"/>
      <c r="IU27" s="265"/>
      <c r="IV27" s="251">
        <f t="shared" si="18"/>
        <v>1019914.2593221791</v>
      </c>
      <c r="IW27" s="251">
        <f t="shared" si="18"/>
        <v>13.312525444429358</v>
      </c>
      <c r="IX27" s="251"/>
      <c r="JB27" s="198">
        <f>1-JB26-JB25</f>
        <v>0.21564968588667044</v>
      </c>
      <c r="JC27" s="198">
        <f>1-JC26-JC25</f>
        <v>0.18977141823666466</v>
      </c>
      <c r="JD27" s="405"/>
    </row>
    <row r="28" spans="1:264" s="24" customFormat="1" ht="11.25">
      <c r="A28" s="247"/>
      <c r="B28" s="247" t="s">
        <v>519</v>
      </c>
      <c r="C28" s="245"/>
      <c r="D28" s="245"/>
      <c r="E28" s="245"/>
      <c r="F28" s="245"/>
      <c r="G28" s="245"/>
      <c r="H28" s="234">
        <f>SUM(H25:H27)</f>
        <v>0</v>
      </c>
      <c r="I28" s="245"/>
      <c r="J28" s="232">
        <f>qtrSales!$D22</f>
        <v>10.182387338032029</v>
      </c>
      <c r="K28" s="245"/>
      <c r="L28" s="232">
        <f>'qtrP&amp;L'!H13</f>
        <v>-1</v>
      </c>
      <c r="M28" s="245"/>
      <c r="N28" s="245"/>
      <c r="O28" s="245"/>
      <c r="P28" s="234">
        <f>'qtrP&amp;L'!J13</f>
        <v>2056.1389999999997</v>
      </c>
      <c r="Q28" s="245"/>
      <c r="R28" s="232">
        <f>qtrSales!$D29</f>
        <v>17.917553903776362</v>
      </c>
      <c r="S28" s="245"/>
      <c r="T28" s="232">
        <f>'qtrP&amp;L'!L13</f>
        <v>3</v>
      </c>
      <c r="U28" s="245"/>
      <c r="V28" s="245"/>
      <c r="W28" s="245"/>
      <c r="X28" s="234">
        <f>'qtrP&amp;L'!N13</f>
        <v>2427.9580000000005</v>
      </c>
      <c r="Y28" s="245"/>
      <c r="Z28" s="232">
        <f>qtrSales!$D36</f>
        <v>18.083359150329859</v>
      </c>
      <c r="AA28" s="245"/>
      <c r="AB28" s="232">
        <f>'qtrP&amp;L'!P13</f>
        <v>8</v>
      </c>
      <c r="AC28" s="245"/>
      <c r="AD28" s="245"/>
      <c r="AE28" s="245"/>
      <c r="AF28" s="234">
        <f>'qtrP&amp;L'!R13</f>
        <v>2420.8050000000003</v>
      </c>
      <c r="AG28" s="245"/>
      <c r="AH28" s="232">
        <f>qtrSales!$D43</f>
        <v>-0.29460970906417527</v>
      </c>
      <c r="AI28" s="245"/>
      <c r="AJ28" s="232">
        <f>'qtrP&amp;L'!T13</f>
        <v>-4</v>
      </c>
      <c r="AK28" s="245"/>
      <c r="AL28" s="245"/>
      <c r="AM28" s="245"/>
      <c r="AN28" s="234">
        <f>'qtrP&amp;L'!V13</f>
        <v>2538.5960000000005</v>
      </c>
      <c r="AO28" s="245"/>
      <c r="AP28" s="232">
        <f>qtrSales!D50</f>
        <v>-54.328085079136912</v>
      </c>
      <c r="AQ28" s="245"/>
      <c r="AR28" s="232">
        <f>'qtrP&amp;L'!X13</f>
        <v>-4</v>
      </c>
      <c r="AS28" s="245"/>
      <c r="AT28" s="245"/>
      <c r="AU28" s="245"/>
      <c r="AV28" s="234">
        <f>'qtrP&amp;L'!Z13</f>
        <v>2771.3649999999998</v>
      </c>
      <c r="AW28" s="245"/>
      <c r="AX28" s="232">
        <f>qtrSales!D57</f>
        <v>1.4024608638710356</v>
      </c>
      <c r="AY28" s="245"/>
      <c r="AZ28" s="232">
        <f>'qtrP&amp;L'!AB13</f>
        <v>-4</v>
      </c>
      <c r="BA28" s="245"/>
      <c r="BB28" s="245"/>
      <c r="BC28" s="245"/>
      <c r="BD28" s="234">
        <f>'qtrP&amp;L'!AD13</f>
        <v>2966.261</v>
      </c>
      <c r="BE28" s="245"/>
      <c r="BF28" s="232">
        <f>qtrSales!D64</f>
        <v>115.34098510971927</v>
      </c>
      <c r="BG28" s="245"/>
      <c r="BH28" s="232">
        <f>'qtrP&amp;L'!AF13</f>
        <v>3</v>
      </c>
      <c r="BI28" s="245"/>
      <c r="BJ28" s="245"/>
      <c r="BK28" s="245"/>
      <c r="BL28" s="234">
        <f>'qtrP&amp;L'!AH13</f>
        <v>2943.4470000000001</v>
      </c>
      <c r="BM28" s="245"/>
      <c r="BN28" s="232">
        <f>qtrSales!D71</f>
        <v>-5.2112841155119494</v>
      </c>
      <c r="BO28" s="245"/>
      <c r="BP28" s="232">
        <f>'qtrP&amp;L'!AJ13</f>
        <v>5</v>
      </c>
      <c r="BQ28" s="245"/>
      <c r="BR28" s="245"/>
      <c r="BS28" s="245"/>
      <c r="BT28" s="234">
        <f>'qtrP&amp;L'!AL13</f>
        <v>3127.5709999999999</v>
      </c>
      <c r="BU28" s="245"/>
      <c r="BV28" s="232">
        <f>qtrSales!D78</f>
        <v>16.042495194339203</v>
      </c>
      <c r="BW28" s="245"/>
      <c r="BX28" s="232">
        <f>'qtrP&amp;L'!AN13</f>
        <v>6</v>
      </c>
      <c r="BY28" s="245"/>
      <c r="BZ28" s="245"/>
      <c r="CA28" s="245"/>
      <c r="CB28" s="234">
        <f>'qtrP&amp;L'!AP13</f>
        <v>2718.904</v>
      </c>
      <c r="CC28" s="245"/>
      <c r="CD28" s="291" t="s">
        <v>886</v>
      </c>
      <c r="CE28" s="245"/>
      <c r="CF28" s="232">
        <f>'qtrP&amp;L'!AR13</f>
        <v>5</v>
      </c>
      <c r="CG28" s="245"/>
      <c r="CH28" s="245"/>
      <c r="CI28" s="245"/>
      <c r="CJ28" s="234">
        <f>'qtrP&amp;L'!AT13</f>
        <v>2901.1509999999998</v>
      </c>
      <c r="CK28" s="245"/>
      <c r="CL28" s="232">
        <f>qtrSales!D92</f>
        <v>8.5329632896351768</v>
      </c>
      <c r="CM28" s="245"/>
      <c r="CN28" s="232">
        <f>'qtrP&amp;L'!AV13</f>
        <v>1</v>
      </c>
      <c r="CO28" s="245"/>
      <c r="CP28" s="245"/>
      <c r="CQ28" s="245"/>
      <c r="CR28" s="234">
        <f>'qtrP&amp;L'!AX13</f>
        <v>2838.9450000000002</v>
      </c>
      <c r="CS28" s="245"/>
      <c r="CT28" s="232">
        <f>qtrSales!$D99</f>
        <v>-1.6623296831095646</v>
      </c>
      <c r="CU28" s="245"/>
      <c r="CV28" s="232">
        <f>'qtrP&amp;L'!AZ13</f>
        <v>-1</v>
      </c>
      <c r="CW28" s="245"/>
      <c r="CX28" s="245"/>
      <c r="CY28" s="116"/>
      <c r="CZ28" s="117">
        <f>'qtrP&amp;L'!BB13</f>
        <v>2965.9659999999999</v>
      </c>
      <c r="DA28" s="116"/>
      <c r="DB28" s="232">
        <f>(CZ28/CR28-1)*100</f>
        <v>4.474232505384923</v>
      </c>
      <c r="DC28" s="116"/>
      <c r="DD28" s="232">
        <f>'qtrP&amp;L'!BD13</f>
        <v>0</v>
      </c>
      <c r="DE28" s="116"/>
      <c r="DF28" s="245"/>
      <c r="DG28" s="116"/>
      <c r="DH28" s="117">
        <f>+'qtrP&amp;L'!BF13</f>
        <v>3230.9180000000001</v>
      </c>
      <c r="DI28" s="116"/>
      <c r="DJ28" s="232">
        <f>(DH28/CZ28-1)*100</f>
        <v>8.9330761040416604</v>
      </c>
      <c r="DK28" s="116"/>
      <c r="DL28" s="232">
        <v>7.7094813833989484</v>
      </c>
      <c r="DM28" s="116"/>
      <c r="DN28" s="245"/>
      <c r="DO28" s="116"/>
      <c r="DP28" s="117">
        <f>+'qtrP&amp;L'!BJ13</f>
        <v>3328.422</v>
      </c>
      <c r="DQ28" s="116"/>
      <c r="DR28" s="232">
        <f>(DP28/DH28-1)*100</f>
        <v>3.0178419879427487</v>
      </c>
      <c r="DS28" s="116"/>
      <c r="DT28" s="232">
        <f>'qtrP&amp;L'!BL13</f>
        <v>2</v>
      </c>
      <c r="DU28" s="116"/>
      <c r="DV28" s="245"/>
      <c r="DW28" s="116"/>
      <c r="DX28" s="117">
        <f>+'qtrP&amp;L'!BN13</f>
        <v>3511.1750000000002</v>
      </c>
      <c r="DY28" s="116"/>
      <c r="DZ28" s="232">
        <f>(DX28/DP28-1)*100</f>
        <v>5.4906799678646534</v>
      </c>
      <c r="EA28" s="116"/>
      <c r="EB28" s="232">
        <f>'qtrP&amp;L'!BT13</f>
        <v>3</v>
      </c>
      <c r="EC28" s="116"/>
      <c r="ED28" s="245"/>
      <c r="EE28" s="116"/>
      <c r="EF28" s="117">
        <f>'segSales&amp;OM'!$BI$118</f>
        <v>4024.7020000000002</v>
      </c>
      <c r="EG28" s="116"/>
      <c r="EH28" s="232">
        <f>(EF28/DX28-1)*100</f>
        <v>14.625502858729632</v>
      </c>
      <c r="EI28" s="116"/>
      <c r="EJ28" s="354">
        <f>'qtrP&amp;L'!BX13</f>
        <v>8</v>
      </c>
      <c r="EK28" s="116"/>
      <c r="EL28" s="245"/>
      <c r="EM28" s="116"/>
      <c r="EN28" s="117">
        <f>'segSales&amp;OM'!$BI$125-47.837</f>
        <v>3228.357</v>
      </c>
      <c r="EO28" s="116"/>
      <c r="EP28" s="232">
        <f>(EN28/EF28-1)*100</f>
        <v>-19.786433877588948</v>
      </c>
      <c r="EQ28" s="116"/>
      <c r="ER28" s="232">
        <v>-8</v>
      </c>
      <c r="ES28" s="116"/>
      <c r="ET28" s="245"/>
      <c r="EU28" s="116"/>
      <c r="EV28" s="234">
        <f>'segSales&amp;OM'!BI160</f>
        <v>2991.1330000000003</v>
      </c>
      <c r="EW28" s="116"/>
      <c r="EX28" s="232">
        <f>(EV28/EN28-1)*100</f>
        <v>-7.3481340508500086</v>
      </c>
      <c r="EY28" s="245"/>
      <c r="EZ28" s="232">
        <v>-10.371987543668974</v>
      </c>
      <c r="FA28" s="116"/>
      <c r="FB28" s="245"/>
      <c r="FC28" s="116"/>
      <c r="FD28" s="234">
        <f>'segSales&amp;OM'!$BI$167</f>
        <v>3063.3780000000002</v>
      </c>
      <c r="FE28" s="116"/>
      <c r="FF28" s="232">
        <f>(FD28/EV28-1)*100</f>
        <v>2.4153055046365335</v>
      </c>
      <c r="FG28" s="116"/>
      <c r="FH28" s="232">
        <f>'qtrP&amp;L'!CJ13</f>
        <v>1</v>
      </c>
      <c r="FI28" s="116"/>
      <c r="FJ28" s="245"/>
      <c r="FK28" s="116"/>
      <c r="FL28" s="234">
        <f>'segSales&amp;OM'!$BI$174</f>
        <v>3456.2019999999998</v>
      </c>
      <c r="FM28" s="116"/>
      <c r="FN28" s="232">
        <f>(FL28/FD28-1)*100</f>
        <v>12.823229780980338</v>
      </c>
      <c r="FO28" s="116"/>
      <c r="FP28" s="232">
        <v>10.253375699407593</v>
      </c>
      <c r="FQ28" s="116"/>
      <c r="FR28" s="245"/>
      <c r="FS28" s="116"/>
      <c r="FT28" s="234">
        <f>'segSales&amp;OM'!$BI$181</f>
        <v>3515.4539999999997</v>
      </c>
      <c r="FU28" s="116"/>
      <c r="FV28" s="232">
        <f>(FT28/FL28-1)*100</f>
        <v>1.7143673894060685</v>
      </c>
      <c r="FW28" s="116"/>
      <c r="FX28" s="354">
        <v>7</v>
      </c>
      <c r="FY28" s="116"/>
      <c r="FZ28" s="245"/>
      <c r="GA28" s="1074">
        <f>'segSales&amp;OM'!$BI$205</f>
        <v>3855.5830000000001</v>
      </c>
      <c r="GB28" s="232">
        <f>(GA28/FT28-1)*100</f>
        <v>9.6752510486554542</v>
      </c>
      <c r="GC28" s="354">
        <v>5</v>
      </c>
      <c r="GD28" s="116"/>
      <c r="GE28" s="30"/>
      <c r="GF28" s="30"/>
      <c r="GG28" s="1074">
        <f>'segSales&amp;OM'!BI212</f>
        <v>3818.203</v>
      </c>
      <c r="GH28" s="232">
        <f>(GG28/GA28-1)*100</f>
        <v>-0.96950318538078228</v>
      </c>
      <c r="GI28" s="354">
        <v>1</v>
      </c>
      <c r="GJ28" s="116"/>
      <c r="GK28" s="30"/>
      <c r="GL28" s="30"/>
      <c r="GM28" s="1074">
        <f>'segSales&amp;OM'!BI219</f>
        <v>4068.6809999999996</v>
      </c>
      <c r="GN28" s="232">
        <f>(GM28/GG28-1)*100</f>
        <v>6.5601017022929309</v>
      </c>
      <c r="GO28" s="2165">
        <v>6</v>
      </c>
      <c r="GP28" s="116"/>
      <c r="GQ28" s="1160"/>
      <c r="GR28" s="1074">
        <f>'segSales&amp;OM'!BI226</f>
        <v>4395.0069999999996</v>
      </c>
      <c r="GS28" s="232">
        <f>(GR28/GM28-1)*100</f>
        <v>8.0204370900544895</v>
      </c>
      <c r="GT28" s="2811">
        <v>6</v>
      </c>
      <c r="GU28" s="2811">
        <v>8</v>
      </c>
      <c r="GV28" s="226"/>
      <c r="GW28" s="1160"/>
      <c r="GX28" s="1074">
        <f>'segSales&amp;OM'!BI233</f>
        <v>4489.4939999999997</v>
      </c>
      <c r="GY28" s="232">
        <f>(GX28/GR28-1)*100</f>
        <v>2.1498714336518621</v>
      </c>
      <c r="GZ28" s="2811">
        <v>0</v>
      </c>
      <c r="HA28" s="2811">
        <v>0</v>
      </c>
      <c r="HB28" s="226"/>
      <c r="HC28" s="1160"/>
      <c r="HD28" s="1074">
        <f>'segSales&amp;OM'!BI240</f>
        <v>4823.1000000000004</v>
      </c>
      <c r="HE28" s="232">
        <f>(HD28/GX28-1)*100</f>
        <v>7.4308151430874103</v>
      </c>
      <c r="HF28" s="2811">
        <v>-2</v>
      </c>
      <c r="HG28" s="2811">
        <v>2</v>
      </c>
      <c r="HH28" s="226"/>
      <c r="HI28" s="1160"/>
      <c r="HJ28" s="1074">
        <f>'segSales&amp;OM'!BI247</f>
        <v>4867.3540057542778</v>
      </c>
      <c r="HK28" s="232">
        <f>(HJ28/HD28-1)*100</f>
        <v>0.91754277859212863</v>
      </c>
      <c r="HL28" s="2540">
        <f>(segmthSales!DU29*63%)+(segmthSales!DU52*37%)</f>
        <v>-4.6020397553508806E-2</v>
      </c>
      <c r="HM28" s="2540">
        <f>(segmthSales!DV29*64%)+(36%*segmthSales!DV52)</f>
        <v>1.9552233969749644</v>
      </c>
      <c r="HN28" s="405">
        <f t="shared" si="19"/>
        <v>2</v>
      </c>
      <c r="HO28" s="405">
        <f t="shared" si="20"/>
        <v>3.9552233969749642</v>
      </c>
      <c r="HP28" s="30"/>
      <c r="HQ28" s="356">
        <f t="shared" ref="HQ28:HZ28" si="23">SUM(HQ25:HQ27)</f>
        <v>0.9999333017267642</v>
      </c>
      <c r="HR28" s="356">
        <f t="shared" si="23"/>
        <v>1.0001495225957122</v>
      </c>
      <c r="HS28" s="356">
        <f t="shared" si="23"/>
        <v>0.99999950306879848</v>
      </c>
      <c r="HT28" s="356">
        <f t="shared" si="23"/>
        <v>1.0000442949772903</v>
      </c>
      <c r="HU28" s="356">
        <f t="shared" si="23"/>
        <v>1.0000223995389039</v>
      </c>
      <c r="HV28" s="356">
        <f t="shared" si="23"/>
        <v>1.0001051127219691</v>
      </c>
      <c r="HW28" s="356">
        <f t="shared" si="23"/>
        <v>0.99982582036582357</v>
      </c>
      <c r="HX28" s="356">
        <f t="shared" si="23"/>
        <v>1</v>
      </c>
      <c r="HY28" s="356">
        <f t="shared" si="23"/>
        <v>1</v>
      </c>
      <c r="HZ28" s="356">
        <f t="shared" si="23"/>
        <v>1</v>
      </c>
      <c r="IA28" s="356">
        <f>SUM(IA25:IA27)</f>
        <v>1</v>
      </c>
      <c r="IB28" s="356">
        <f>SUM(IB25:IB27)</f>
        <v>1</v>
      </c>
      <c r="IC28" s="356">
        <f>SUM(IC25:IC27)</f>
        <v>1</v>
      </c>
      <c r="IV28" s="263">
        <v>22.401220959810075</v>
      </c>
      <c r="IW28" s="263">
        <v>15.239678581324467</v>
      </c>
      <c r="IX28" s="263">
        <v>2.7169992786727493</v>
      </c>
      <c r="JB28" s="356">
        <f>SUM(JB25:JB27)</f>
        <v>1</v>
      </c>
      <c r="JC28" s="356">
        <f>SUM(JC25:JC27)</f>
        <v>1</v>
      </c>
    </row>
    <row r="29" spans="1:264" s="168" customFormat="1" ht="11.25">
      <c r="DP29" s="967"/>
      <c r="DX29" s="967"/>
      <c r="EF29" s="967"/>
      <c r="EN29" s="967"/>
      <c r="EV29" s="967"/>
      <c r="FD29" s="967"/>
      <c r="FL29" s="967"/>
      <c r="FS29" s="967"/>
      <c r="FT29" s="1092"/>
      <c r="GA29" s="240"/>
      <c r="GG29" s="240"/>
      <c r="GM29" s="240"/>
      <c r="GR29" s="240"/>
      <c r="GX29" s="255"/>
      <c r="HD29" s="240"/>
      <c r="HJ29" s="292"/>
    </row>
    <row r="30" spans="1:264" s="168" customFormat="1">
      <c r="EV30" s="650"/>
      <c r="FT30" s="1092"/>
      <c r="GA30" s="1092"/>
      <c r="GG30" s="249"/>
      <c r="GT30" s="1141"/>
      <c r="GU30" s="1141"/>
      <c r="GV30" s="1141"/>
      <c r="GW30" s="1141"/>
      <c r="GX30" s="1141"/>
      <c r="GY30"/>
      <c r="GZ30" s="1141"/>
      <c r="HA30" s="1141"/>
      <c r="HB30" s="1141"/>
      <c r="HC30" s="1141"/>
      <c r="HD30" s="650"/>
      <c r="HE30" s="1141"/>
      <c r="HF30" s="1141"/>
      <c r="HG30" s="1141"/>
      <c r="HH30" s="1141"/>
      <c r="HI30" s="1141"/>
      <c r="HJ30" s="1141"/>
      <c r="HK30" s="1141"/>
      <c r="HL30" s="1141"/>
      <c r="HM30" s="1141"/>
      <c r="HY30" s="967"/>
      <c r="HZ30" s="1180"/>
      <c r="IA30" s="545"/>
      <c r="IB30" s="545"/>
      <c r="IC30" s="2020"/>
    </row>
    <row r="31" spans="1:264" s="168" customFormat="1" ht="11.25">
      <c r="EV31" s="650"/>
      <c r="FT31" s="1092"/>
      <c r="GA31" s="1092"/>
      <c r="GG31" s="249"/>
      <c r="GX31" s="2547"/>
      <c r="HO31" s="252"/>
      <c r="HZ31" s="545"/>
      <c r="IA31" s="545"/>
      <c r="IB31" s="545"/>
      <c r="IC31" s="545"/>
    </row>
    <row r="32" spans="1:264" s="168" customFormat="1" ht="11.25">
      <c r="FT32" s="1092"/>
      <c r="GX32" s="240"/>
      <c r="HO32" s="252"/>
      <c r="HZ32" s="262"/>
      <c r="IA32" s="262"/>
      <c r="IB32" s="262"/>
      <c r="IC32" s="262"/>
    </row>
    <row r="33" spans="1:223" s="168" customFormat="1" ht="11.25">
      <c r="A33" s="168" t="s">
        <v>550</v>
      </c>
      <c r="HO33" s="252"/>
    </row>
    <row r="34" spans="1:223">
      <c r="HG34" s="168"/>
      <c r="HM34" s="168"/>
      <c r="HO34" s="252"/>
    </row>
    <row r="35" spans="1:223">
      <c r="HG35" s="168"/>
      <c r="HM35" s="168"/>
      <c r="HO35" s="252"/>
    </row>
    <row r="36" spans="1:223">
      <c r="GO36" s="23"/>
    </row>
  </sheetData>
  <dataConsolidate/>
  <mergeCells count="5">
    <mergeCell ref="HC5:HF5"/>
    <mergeCell ref="HI5:HL5"/>
    <mergeCell ref="GW5:GZ5"/>
    <mergeCell ref="GQ5:GT5"/>
    <mergeCell ref="GK5:GO5"/>
  </mergeCells>
  <phoneticPr fontId="0" type="noConversion"/>
  <dataValidations count="1">
    <dataValidation type="custom" allowBlank="1" showInputMessage="1" showErrorMessage="1" sqref="BT13 GG13 GG23 FZ10:FZ27 GG28 GG18 EN13 GA13 FT18 FT13 FR10:FR27 FT28 FT23 FL18 FL13 FJ10:FJ27 FL23 FL28 FD28 FD18 FD13 FB10:FB27 FD23 EV28 EV18 EV23 EV13 ET10:ET27 CB13 CJ13 CZ13 CX10:CX27 CP10:CP27 CB28 BT18 BT23 BT28 CB18 CB23 CJ18 CJ23 CJ28 CZ18 CZ23 CZ28 CR13 CH10:CH27 CR23 CR18 CR28 DH28 DH13 DF10:DF27 DH18 DH23 DP23 DP28 DP13 DN10:DN27 DP18 DV10:DV27 DX23 DX28 DX13 DX18 ED10:ED27 EF18 EF23 EF28 EF13 EL10:EL27 EN18 EN23 EN28 GE10:GE27 GA28 GA18 GA23 GK10:GK27 HZ30:IC31 GM13 GM23 GM28 GM18 GR18 GQ10:GQ28 GR13 GR23 GR28 HQ8:IB8 HJ13 IC20:IC23 IC10:IC13 IC15:IC18 HJ28 GX18 GW10:GW28 GX13 GX23 GX28 HD18 HC10:HC28 HQ10:IB28 HD23 HD28 JB20:JC23 IC25:IC28 JB10:JC13 HJ18 HI10:HI28 HJ23 JB15:JC18 JB25:JC28">
      <formula1>-1</formula1>
    </dataValidation>
  </dataValidations>
  <printOptions horizontalCentered="1"/>
  <pageMargins left="0" right="0" top="0.5" bottom="0.25" header="0.5" footer="0.5"/>
  <pageSetup orientation="landscape" r:id="rId1"/>
  <headerFooter alignWithMargins="0">
    <oddFooter>&amp;R&amp;8&amp;D/&amp;T
&amp;F/&amp;A</oddFooter>
  </headerFooter>
  <colBreaks count="1" manualBreakCount="1">
    <brk id="226"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V65536"/>
  <sheetViews>
    <sheetView showGridLines="0" zoomScaleNormal="100" workbookViewId="0">
      <pane xSplit="3" topLeftCell="D1" activePane="topRight" state="frozen"/>
      <selection pane="topRight" activeCell="EQ28" sqref="EQ28"/>
    </sheetView>
  </sheetViews>
  <sheetFormatPr defaultRowHeight="12.75" outlineLevelRow="1" outlineLevelCol="1"/>
  <cols>
    <col min="1" max="1" width="1.42578125" customWidth="1"/>
    <col min="2" max="2" width="5.7109375" customWidth="1"/>
    <col min="3" max="3" width="0.5703125" customWidth="1"/>
    <col min="4" max="4" width="5.140625" customWidth="1"/>
    <col min="5" max="5" width="0.7109375" customWidth="1"/>
    <col min="6" max="6" width="6" hidden="1" customWidth="1" outlineLevel="1"/>
    <col min="7" max="7" width="1.28515625" hidden="1" customWidth="1" outlineLevel="1"/>
    <col min="8" max="8" width="5.7109375" hidden="1" customWidth="1" outlineLevel="1"/>
    <col min="9" max="9" width="1.85546875" hidden="1" customWidth="1" outlineLevel="1"/>
    <col min="10" max="10" width="6" hidden="1" customWidth="1" outlineLevel="1"/>
    <col min="11" max="11" width="1.28515625" hidden="1" customWidth="1" outlineLevel="1"/>
    <col min="12" max="12" width="5.7109375" hidden="1" customWidth="1" outlineLevel="1"/>
    <col min="13" max="13" width="1.85546875" hidden="1" customWidth="1" outlineLevel="1"/>
    <col min="14" max="14" width="6" hidden="1" customWidth="1" outlineLevel="1"/>
    <col min="15" max="15" width="1.28515625" hidden="1" customWidth="1" outlineLevel="1"/>
    <col min="16" max="16" width="5.7109375" hidden="1" customWidth="1" outlineLevel="1"/>
    <col min="17" max="17" width="1.85546875" hidden="1" customWidth="1" outlineLevel="1"/>
    <col min="18" max="18" width="6" hidden="1" customWidth="1" outlineLevel="1"/>
    <col min="19" max="19" width="1.28515625" hidden="1" customWidth="1" outlineLevel="1"/>
    <col min="20" max="20" width="5.7109375" hidden="1" customWidth="1" outlineLevel="1"/>
    <col min="21" max="21" width="1.85546875" hidden="1" customWidth="1" outlineLevel="1"/>
    <col min="22" max="22" width="6" hidden="1" customWidth="1" outlineLevel="1"/>
    <col min="23" max="23" width="1.28515625" hidden="1" customWidth="1" outlineLevel="1"/>
    <col min="24" max="24" width="5.7109375" hidden="1" customWidth="1" outlineLevel="1"/>
    <col min="25" max="25" width="1.85546875" hidden="1" customWidth="1" outlineLevel="1"/>
    <col min="26" max="26" width="6" hidden="1" customWidth="1" outlineLevel="1"/>
    <col min="27" max="27" width="1.28515625" hidden="1" customWidth="1" outlineLevel="1"/>
    <col min="28" max="28" width="5.7109375" hidden="1" customWidth="1" outlineLevel="1"/>
    <col min="29" max="29" width="1.85546875" hidden="1" customWidth="1" outlineLevel="1"/>
    <col min="30" max="30" width="6" hidden="1" customWidth="1" outlineLevel="1"/>
    <col min="31" max="31" width="1.28515625" hidden="1" customWidth="1" outlineLevel="1"/>
    <col min="32" max="32" width="5.7109375" hidden="1" customWidth="1" outlineLevel="1"/>
    <col min="33" max="33" width="1.85546875" hidden="1" customWidth="1" outlineLevel="1"/>
    <col min="34" max="34" width="6" hidden="1" customWidth="1" outlineLevel="1"/>
    <col min="35" max="35" width="1.28515625" hidden="1" customWidth="1" outlineLevel="1"/>
    <col min="36" max="36" width="5.7109375" hidden="1" customWidth="1" outlineLevel="1"/>
    <col min="37" max="37" width="1.85546875" hidden="1" customWidth="1" outlineLevel="1"/>
    <col min="38" max="38" width="6" hidden="1" customWidth="1" outlineLevel="1"/>
    <col min="39" max="39" width="1.28515625" hidden="1" customWidth="1" outlineLevel="1"/>
    <col min="40" max="40" width="5.7109375" hidden="1" customWidth="1" outlineLevel="1"/>
    <col min="41" max="41" width="1.85546875" hidden="1" customWidth="1" outlineLevel="1"/>
    <col min="42" max="42" width="6" hidden="1" customWidth="1" outlineLevel="1" collapsed="1"/>
    <col min="43" max="43" width="0.85546875" hidden="1" customWidth="1" outlineLevel="1"/>
    <col min="44" max="44" width="5.7109375" hidden="1" customWidth="1" outlineLevel="1"/>
    <col min="45" max="45" width="1.85546875" hidden="1" customWidth="1" outlineLevel="1"/>
    <col min="46" max="46" width="6" hidden="1" customWidth="1" outlineLevel="1" collapsed="1"/>
    <col min="47" max="47" width="0.85546875" hidden="1" customWidth="1" outlineLevel="1"/>
    <col min="48" max="48" width="5.7109375" hidden="1" customWidth="1" outlineLevel="1"/>
    <col min="49" max="49" width="1.85546875" hidden="1" customWidth="1" outlineLevel="1"/>
    <col min="50" max="50" width="6" hidden="1" customWidth="1" outlineLevel="1" collapsed="1"/>
    <col min="51" max="51" width="1.28515625" hidden="1" customWidth="1" outlineLevel="1"/>
    <col min="52" max="52" width="5.7109375" hidden="1" customWidth="1" outlineLevel="1"/>
    <col min="53" max="53" width="1.28515625" hidden="1" customWidth="1" outlineLevel="1"/>
    <col min="54" max="54" width="6" hidden="1" customWidth="1" outlineLevel="1" collapsed="1"/>
    <col min="55" max="55" width="1" hidden="1" customWidth="1" outlineLevel="1"/>
    <col min="56" max="56" width="5.7109375" hidden="1" customWidth="1" outlineLevel="1"/>
    <col min="57" max="57" width="1.42578125" hidden="1" customWidth="1" outlineLevel="1"/>
    <col min="58" max="58" width="6" hidden="1" customWidth="1" outlineLevel="1" collapsed="1"/>
    <col min="59" max="59" width="1" hidden="1" customWidth="1" outlineLevel="1"/>
    <col min="60" max="60" width="5.7109375" hidden="1" customWidth="1" outlineLevel="1"/>
    <col min="61" max="61" width="1.42578125" hidden="1" customWidth="1" outlineLevel="1"/>
    <col min="62" max="62" width="6" hidden="1" customWidth="1" outlineLevel="1"/>
    <col min="63" max="63" width="0.7109375" hidden="1" customWidth="1" outlineLevel="1"/>
    <col min="64" max="64" width="5.7109375" hidden="1" customWidth="1" outlineLevel="1"/>
    <col min="65" max="65" width="1.5703125" hidden="1" customWidth="1" outlineLevel="1"/>
    <col min="66" max="66" width="6.140625" hidden="1" customWidth="1" outlineLevel="1"/>
    <col min="67" max="67" width="0.5703125" hidden="1" customWidth="1" outlineLevel="1"/>
    <col min="68" max="68" width="5.7109375" hidden="1" customWidth="1" outlineLevel="1"/>
    <col min="69" max="69" width="1.42578125" hidden="1" customWidth="1" outlineLevel="1"/>
    <col min="70" max="70" width="6.140625" hidden="1" customWidth="1" outlineLevel="1"/>
    <col min="71" max="71" width="1.140625" hidden="1" customWidth="1" outlineLevel="1"/>
    <col min="72" max="72" width="5.7109375" hidden="1" customWidth="1" outlineLevel="1"/>
    <col min="73" max="73" width="2.140625" hidden="1" customWidth="1" outlineLevel="1"/>
    <col min="74" max="74" width="6.140625" hidden="1" customWidth="1" outlineLevel="1"/>
    <col min="75" max="75" width="1.140625" hidden="1" customWidth="1" outlineLevel="1"/>
    <col min="76" max="76" width="5.7109375" hidden="1" customWidth="1" outlineLevel="1"/>
    <col min="77" max="77" width="2.140625" hidden="1" customWidth="1" outlineLevel="1"/>
    <col min="78" max="78" width="6.140625" hidden="1" customWidth="1" outlineLevel="1"/>
    <col min="79" max="79" width="1.140625" hidden="1" customWidth="1" outlineLevel="1"/>
    <col min="80" max="80" width="5.7109375" hidden="1" customWidth="1" outlineLevel="1"/>
    <col min="81" max="81" width="2.140625" hidden="1" customWidth="1" outlineLevel="1"/>
    <col min="82" max="82" width="6.140625" hidden="1" customWidth="1" outlineLevel="1"/>
    <col min="83" max="83" width="1.140625" hidden="1" customWidth="1" outlineLevel="1"/>
    <col min="84" max="84" width="5.7109375" hidden="1" customWidth="1" outlineLevel="1"/>
    <col min="85" max="85" width="2.140625" hidden="1" customWidth="1" outlineLevel="1"/>
    <col min="86" max="86" width="6.140625" hidden="1" customWidth="1" outlineLevel="1"/>
    <col min="87" max="87" width="1.140625" hidden="1" customWidth="1" outlineLevel="1"/>
    <col min="88" max="88" width="5.7109375" hidden="1" customWidth="1" outlineLevel="1"/>
    <col min="89" max="89" width="2.140625" hidden="1" customWidth="1" outlineLevel="1"/>
    <col min="90" max="90" width="6.140625" hidden="1" customWidth="1" outlineLevel="1"/>
    <col min="91" max="91" width="1.140625" hidden="1" customWidth="1" outlineLevel="1"/>
    <col min="92" max="92" width="5.7109375" hidden="1" customWidth="1" outlineLevel="1"/>
    <col min="93" max="93" width="2.140625" hidden="1" customWidth="1" outlineLevel="1"/>
    <col min="94" max="94" width="5.140625" customWidth="1" collapsed="1"/>
    <col min="95" max="95" width="1.140625" customWidth="1"/>
    <col min="96" max="96" width="5.5703125" customWidth="1"/>
    <col min="97" max="97" width="1.85546875" customWidth="1"/>
    <col min="98" max="98" width="4.7109375" customWidth="1"/>
    <col min="99" max="99" width="1.140625" customWidth="1"/>
    <col min="100" max="100" width="5.7109375" customWidth="1"/>
    <col min="101" max="101" width="2.140625" customWidth="1"/>
    <col min="102" max="102" width="4.5703125" customWidth="1"/>
    <col min="103" max="103" width="1.140625" customWidth="1"/>
    <col min="104" max="104" width="5.28515625" customWidth="1"/>
    <col min="105" max="105" width="2.140625" customWidth="1"/>
    <col min="106" max="106" width="5" customWidth="1"/>
    <col min="107" max="107" width="1.140625" customWidth="1"/>
    <col min="108" max="109" width="5.140625" customWidth="1"/>
    <col min="110" max="110" width="2.140625" customWidth="1"/>
    <col min="111" max="111" width="5" customWidth="1"/>
    <col min="112" max="112" width="1.140625" customWidth="1"/>
    <col min="113" max="113" width="5.42578125" hidden="1" customWidth="1" outlineLevel="1"/>
    <col min="114" max="114" width="5.28515625" customWidth="1" collapsed="1"/>
    <col min="115" max="115" width="2.140625" customWidth="1"/>
    <col min="116" max="116" width="1.140625" customWidth="1"/>
    <col min="117" max="117" width="4.7109375" customWidth="1"/>
    <col min="118" max="118" width="1.140625" customWidth="1"/>
    <col min="119" max="119" width="5.42578125" customWidth="1" outlineLevel="1"/>
    <col min="120" max="120" width="5.7109375" customWidth="1"/>
    <col min="121" max="121" width="2.140625" customWidth="1"/>
    <col min="122" max="122" width="1.140625" style="2702" customWidth="1"/>
    <col min="123" max="123" width="4.7109375" style="2702" customWidth="1"/>
    <col min="124" max="124" width="1.140625" style="2702" customWidth="1"/>
    <col min="125" max="125" width="5.42578125" style="2702" customWidth="1" outlineLevel="1"/>
    <col min="126" max="126" width="5.7109375" style="2702" customWidth="1"/>
    <col min="127" max="127" width="2.140625" style="2702" customWidth="1"/>
    <col min="128" max="129" width="5.28515625" customWidth="1"/>
    <col min="130" max="131" width="5" hidden="1" customWidth="1" outlineLevel="1"/>
    <col min="132" max="132" width="5.28515625" hidden="1" customWidth="1" outlineLevel="1"/>
    <col min="133" max="133" width="4.42578125" hidden="1" customWidth="1" outlineLevel="1"/>
    <col min="134" max="135" width="5.140625" hidden="1" customWidth="1" outlineLevel="1"/>
    <col min="136" max="144" width="5.42578125" hidden="1" customWidth="1" outlineLevel="1"/>
    <col min="145" max="145" width="5.42578125" customWidth="1" collapsed="1"/>
    <col min="146" max="146" width="5.42578125" customWidth="1"/>
    <col min="147" max="148" width="5.5703125" customWidth="1"/>
    <col min="149" max="149" width="6.140625" style="2702" customWidth="1"/>
  </cols>
  <sheetData>
    <row r="1" spans="1:152">
      <c r="A1" s="220" t="s">
        <v>1140</v>
      </c>
      <c r="B1" s="220"/>
      <c r="C1" s="221"/>
      <c r="D1" s="220"/>
      <c r="E1" s="220"/>
      <c r="F1" s="222"/>
      <c r="G1" s="220"/>
      <c r="H1" s="220"/>
      <c r="I1" s="220"/>
      <c r="J1" s="222"/>
      <c r="K1" s="220"/>
      <c r="L1" s="220"/>
      <c r="M1" s="220"/>
      <c r="N1" s="222"/>
      <c r="O1" s="220"/>
      <c r="P1" s="220"/>
      <c r="Q1" s="220"/>
      <c r="R1" s="222"/>
      <c r="S1" s="220"/>
      <c r="T1" s="220"/>
      <c r="U1" s="220"/>
      <c r="V1" s="222"/>
      <c r="W1" s="220"/>
      <c r="X1" s="220"/>
      <c r="Y1" s="220"/>
      <c r="Z1" s="222"/>
      <c r="AA1" s="220"/>
      <c r="AB1" s="220"/>
      <c r="AC1" s="220"/>
      <c r="AD1" s="222"/>
      <c r="AE1" s="220"/>
      <c r="AF1" s="220"/>
      <c r="AG1" s="220"/>
      <c r="AH1" s="222"/>
      <c r="AI1" s="220"/>
      <c r="AJ1" s="220"/>
      <c r="AK1" s="220"/>
      <c r="AL1" s="222"/>
      <c r="AM1" s="220"/>
      <c r="AN1" s="220"/>
      <c r="AO1" s="220"/>
      <c r="AP1" s="222"/>
      <c r="AQ1" s="220"/>
      <c r="AR1" s="220"/>
      <c r="AS1" s="220"/>
      <c r="AT1" s="222"/>
      <c r="AU1" s="220"/>
      <c r="AV1" s="220"/>
      <c r="AW1" s="220"/>
      <c r="AX1" s="222"/>
      <c r="AY1" s="220"/>
      <c r="AZ1" s="220"/>
      <c r="BA1" s="220"/>
      <c r="BB1" s="222"/>
      <c r="BC1" s="220"/>
      <c r="BD1" s="220"/>
      <c r="BE1" s="220"/>
      <c r="BF1" s="222"/>
      <c r="BG1" s="220"/>
      <c r="BH1" s="220"/>
      <c r="BI1" s="220"/>
      <c r="BJ1" s="222"/>
      <c r="BK1" s="220"/>
      <c r="BL1" s="220"/>
      <c r="BM1" s="220"/>
      <c r="BN1" s="222"/>
      <c r="BO1" s="220"/>
      <c r="BP1" s="220"/>
      <c r="BQ1" s="220"/>
      <c r="BR1" s="222"/>
      <c r="BS1" s="220"/>
      <c r="BT1" s="220"/>
      <c r="BU1" s="220"/>
      <c r="BV1" s="222"/>
      <c r="BW1" s="220"/>
      <c r="BX1" s="943"/>
      <c r="BY1" s="220"/>
      <c r="BZ1" s="222"/>
      <c r="CA1" s="220"/>
      <c r="CB1" s="220"/>
      <c r="CC1" s="220"/>
      <c r="CD1" s="222"/>
      <c r="CE1" s="220"/>
      <c r="CF1" s="220"/>
      <c r="CG1" s="220"/>
      <c r="CH1" s="222"/>
      <c r="CI1" s="220"/>
      <c r="CJ1" s="220"/>
      <c r="CK1" s="220"/>
      <c r="CL1" s="222"/>
      <c r="CM1" s="220"/>
      <c r="CN1" s="220"/>
      <c r="CO1" s="220"/>
      <c r="CP1" s="222"/>
      <c r="CQ1" s="220"/>
      <c r="CR1" s="220"/>
      <c r="CS1" s="220"/>
      <c r="CT1" s="220"/>
      <c r="CU1" s="220"/>
      <c r="CV1" s="220"/>
      <c r="CW1" s="30"/>
      <c r="CX1" s="220"/>
      <c r="CY1" s="220"/>
      <c r="CZ1" s="220"/>
      <c r="DA1" s="30"/>
      <c r="DB1" s="220"/>
      <c r="DC1" s="220"/>
      <c r="DD1" s="220"/>
      <c r="DE1" s="220"/>
      <c r="DF1" s="30"/>
      <c r="DG1" s="220"/>
      <c r="DH1" s="220"/>
      <c r="DI1" s="220"/>
      <c r="DJ1" s="220"/>
      <c r="DK1" s="30"/>
      <c r="DL1" s="30"/>
      <c r="DM1" s="220"/>
      <c r="DN1" s="220"/>
      <c r="DO1" s="220"/>
      <c r="DP1" s="220"/>
      <c r="DQ1" s="30"/>
      <c r="DR1" s="30"/>
      <c r="DS1" s="220"/>
      <c r="DT1" s="220"/>
      <c r="DU1" s="220"/>
      <c r="DV1" s="220"/>
      <c r="DW1" s="30"/>
      <c r="DX1" s="218"/>
      <c r="DY1" s="218"/>
      <c r="DZ1" s="219"/>
      <c r="EA1" s="218"/>
      <c r="EB1" s="218"/>
      <c r="EC1" s="218"/>
      <c r="ED1" s="218"/>
      <c r="EE1" s="218"/>
      <c r="EF1" s="218"/>
      <c r="EG1" s="218"/>
      <c r="EH1" s="218"/>
      <c r="EI1" s="218"/>
      <c r="EJ1" s="215"/>
      <c r="EK1" s="215"/>
      <c r="EL1" s="215"/>
    </row>
    <row r="2" spans="1:152">
      <c r="A2" s="168"/>
      <c r="B2" s="168"/>
      <c r="C2" s="168"/>
      <c r="D2" s="168"/>
      <c r="E2" s="168"/>
      <c r="F2" s="168"/>
      <c r="G2" s="168"/>
      <c r="H2" s="168"/>
      <c r="I2" s="168"/>
      <c r="J2" s="168"/>
      <c r="K2" s="168"/>
      <c r="L2" s="168"/>
      <c r="M2" s="168"/>
      <c r="N2" s="168"/>
      <c r="O2" s="168"/>
      <c r="P2" s="168"/>
      <c r="Q2" s="168"/>
      <c r="R2" s="168"/>
      <c r="S2" s="168"/>
      <c r="T2" s="168"/>
      <c r="U2" s="168"/>
      <c r="V2" s="168"/>
      <c r="W2" s="168"/>
      <c r="X2" s="168"/>
      <c r="Y2" s="168"/>
      <c r="Z2" s="168"/>
      <c r="AA2" s="168"/>
      <c r="AB2" s="168"/>
      <c r="AC2" s="168"/>
      <c r="AD2" s="168"/>
      <c r="AE2" s="168"/>
      <c r="AF2" s="168"/>
      <c r="AG2" s="168"/>
      <c r="AH2" s="168"/>
      <c r="AI2" s="168"/>
      <c r="AJ2" s="168"/>
      <c r="AK2" s="168"/>
      <c r="AL2" s="168"/>
      <c r="AM2" s="168"/>
      <c r="AN2" s="168"/>
      <c r="AO2" s="168"/>
      <c r="AP2" s="168"/>
      <c r="AQ2" s="168"/>
      <c r="AR2" s="168"/>
      <c r="AS2" s="168"/>
      <c r="AT2" s="168"/>
      <c r="AU2" s="168"/>
      <c r="AV2" s="168"/>
      <c r="AW2" s="168"/>
      <c r="AX2" s="168"/>
      <c r="AY2" s="168"/>
      <c r="AZ2" s="168"/>
      <c r="BA2" s="168"/>
      <c r="BB2" s="168"/>
      <c r="BC2" s="168"/>
      <c r="BD2" s="168"/>
      <c r="BE2" s="168"/>
      <c r="BF2" s="168"/>
      <c r="BG2" s="168"/>
      <c r="BH2" s="168"/>
      <c r="BI2" s="168"/>
      <c r="BJ2" s="168"/>
      <c r="BK2" s="168"/>
      <c r="BL2" s="168"/>
      <c r="BM2" s="168"/>
      <c r="BN2" s="168"/>
      <c r="BO2" s="168"/>
      <c r="BP2" s="168"/>
      <c r="BQ2" s="168"/>
      <c r="BR2" s="168"/>
      <c r="BS2" s="168"/>
      <c r="BT2" s="168"/>
      <c r="BU2" s="168"/>
      <c r="BV2" s="168"/>
      <c r="BW2" s="168"/>
      <c r="BX2" s="168"/>
      <c r="BY2" s="168"/>
      <c r="BZ2" s="168"/>
      <c r="CA2" s="168"/>
      <c r="CB2" s="168"/>
      <c r="CC2" s="168"/>
      <c r="CD2" s="168"/>
      <c r="CE2" s="168"/>
      <c r="CF2" s="168"/>
      <c r="CG2" s="168"/>
      <c r="CH2" s="168"/>
      <c r="CI2" s="168"/>
      <c r="CJ2" s="168"/>
      <c r="CK2" s="168"/>
      <c r="CL2" s="168"/>
      <c r="CM2" s="168"/>
      <c r="CN2" s="168"/>
      <c r="CO2" s="168"/>
      <c r="CP2" s="168"/>
      <c r="CQ2" s="168"/>
      <c r="CR2" s="168"/>
      <c r="CS2" s="168"/>
      <c r="CT2" s="168"/>
      <c r="CU2" s="168"/>
      <c r="CV2" s="168"/>
      <c r="CW2" s="30"/>
      <c r="CX2" s="168"/>
      <c r="CY2" s="168"/>
      <c r="CZ2" s="168"/>
      <c r="DA2" s="30"/>
      <c r="DB2" s="168"/>
      <c r="DC2" s="168"/>
      <c r="DD2" s="168"/>
      <c r="DE2" s="168"/>
      <c r="DF2" s="30"/>
      <c r="DG2" s="168"/>
      <c r="DH2" s="168"/>
      <c r="DI2" s="168"/>
      <c r="DJ2" s="168"/>
      <c r="DK2" s="30"/>
      <c r="DL2" s="30"/>
      <c r="DM2" s="168"/>
      <c r="DN2" s="168"/>
      <c r="DO2" s="168"/>
      <c r="DP2" s="168"/>
      <c r="DQ2" s="30"/>
      <c r="DR2" s="30"/>
      <c r="DS2" s="168"/>
      <c r="DT2" s="168"/>
      <c r="DU2" s="168"/>
      <c r="DV2" s="168"/>
      <c r="DW2" s="30"/>
      <c r="DX2" s="168"/>
      <c r="DY2" s="168"/>
      <c r="DZ2" s="168"/>
      <c r="EA2" s="168"/>
      <c r="EB2" s="168"/>
      <c r="EC2" s="168"/>
      <c r="ED2" s="168"/>
      <c r="EE2" s="168"/>
      <c r="EF2" s="168"/>
      <c r="EG2" s="168"/>
      <c r="EH2" s="168"/>
      <c r="EI2" s="168"/>
      <c r="EJ2" s="168"/>
      <c r="EK2" s="168"/>
      <c r="EL2" s="168"/>
    </row>
    <row r="3" spans="1:152">
      <c r="A3" s="168"/>
      <c r="B3" s="168"/>
      <c r="C3" s="168"/>
      <c r="D3" s="168"/>
      <c r="E3" s="168"/>
      <c r="F3" s="168"/>
      <c r="G3" s="168"/>
      <c r="H3" s="168"/>
      <c r="I3" s="168"/>
      <c r="J3" s="168"/>
      <c r="K3" s="168"/>
      <c r="L3" s="168"/>
      <c r="M3" s="168"/>
      <c r="N3" s="168"/>
      <c r="O3" s="168"/>
      <c r="P3" s="168"/>
      <c r="Q3" s="168"/>
      <c r="R3" s="168"/>
      <c r="S3" s="168"/>
      <c r="T3" s="168"/>
      <c r="U3" s="168"/>
      <c r="V3" s="168"/>
      <c r="W3" s="168"/>
      <c r="X3" s="168"/>
      <c r="Y3" s="168"/>
      <c r="Z3" s="168"/>
      <c r="AA3" s="168"/>
      <c r="AB3" s="168"/>
      <c r="AC3" s="168"/>
      <c r="AD3" s="168"/>
      <c r="AE3" s="168"/>
      <c r="AF3" s="168"/>
      <c r="AG3" s="168"/>
      <c r="AH3" s="168"/>
      <c r="AI3" s="168"/>
      <c r="AJ3" s="168"/>
      <c r="AK3" s="168"/>
      <c r="AL3" s="168"/>
      <c r="AM3" s="168"/>
      <c r="AN3" s="168"/>
      <c r="AO3" s="168"/>
      <c r="AP3" s="168"/>
      <c r="AQ3" s="168"/>
      <c r="AR3" s="168"/>
      <c r="AS3" s="168"/>
      <c r="AT3" s="168"/>
      <c r="AU3" s="168"/>
      <c r="AV3" s="168"/>
      <c r="AW3" s="168"/>
      <c r="AX3" s="168"/>
      <c r="AY3" s="168"/>
      <c r="AZ3" s="168"/>
      <c r="BA3" s="168"/>
      <c r="BB3" s="168"/>
      <c r="BC3" s="168"/>
      <c r="BD3" s="168"/>
      <c r="BE3" s="168"/>
      <c r="BF3" s="168"/>
      <c r="BG3" s="168"/>
      <c r="BH3" s="168"/>
      <c r="BI3" s="168"/>
      <c r="BJ3" s="168"/>
      <c r="BK3" s="168"/>
      <c r="BL3" s="168"/>
      <c r="BM3" s="168"/>
      <c r="BN3" s="168"/>
      <c r="BO3" s="168"/>
      <c r="BP3" s="168"/>
      <c r="BQ3" s="168"/>
      <c r="BR3" s="168"/>
      <c r="BS3" s="168"/>
      <c r="BT3" s="168"/>
      <c r="BU3" s="168"/>
      <c r="BV3" s="168"/>
      <c r="BW3" s="168"/>
      <c r="BX3" s="168"/>
      <c r="BY3" s="168"/>
      <c r="BZ3" s="168"/>
      <c r="CA3" s="168"/>
      <c r="CB3" s="168"/>
      <c r="CC3" s="168"/>
      <c r="CD3" s="168"/>
      <c r="CE3" s="168"/>
      <c r="CF3" s="168"/>
      <c r="CG3" s="168"/>
      <c r="CH3" s="168"/>
      <c r="CI3" s="168"/>
      <c r="CJ3" s="168"/>
      <c r="CK3" s="168"/>
      <c r="CL3" s="168"/>
      <c r="CM3" s="168"/>
      <c r="CN3" s="168"/>
      <c r="CO3" s="168"/>
      <c r="CP3" s="168"/>
      <c r="CQ3" s="168"/>
      <c r="CR3" s="168"/>
      <c r="CS3" s="168"/>
      <c r="CT3" s="168"/>
      <c r="CU3" s="168"/>
      <c r="CV3" s="168"/>
      <c r="CW3" s="114"/>
      <c r="CX3" s="168"/>
      <c r="CY3" s="168"/>
      <c r="CZ3" s="168"/>
      <c r="DA3" s="114"/>
      <c r="DB3" s="2913"/>
      <c r="DC3" s="2913"/>
      <c r="DD3" s="2913"/>
      <c r="DE3" s="2913"/>
      <c r="DF3" s="2913"/>
      <c r="DG3" s="2913"/>
      <c r="DH3" s="2913"/>
      <c r="DI3" s="2913"/>
      <c r="DJ3" s="207"/>
      <c r="DK3" s="114"/>
      <c r="DL3" s="114"/>
      <c r="DM3" s="114"/>
      <c r="DN3" s="114"/>
      <c r="DO3" s="114"/>
      <c r="DP3" s="207"/>
      <c r="DQ3" s="114"/>
      <c r="DR3" s="114"/>
      <c r="DS3" s="114"/>
      <c r="DT3" s="114"/>
      <c r="DU3" s="114"/>
      <c r="DV3" s="207"/>
      <c r="DW3" s="114"/>
      <c r="DX3" s="168"/>
      <c r="DY3" s="168"/>
      <c r="DZ3" s="168"/>
      <c r="EA3" s="168"/>
      <c r="EB3" s="168"/>
      <c r="EC3" s="168"/>
      <c r="ED3" s="168"/>
      <c r="EE3" s="168"/>
      <c r="EF3" s="168"/>
      <c r="EG3" s="168"/>
      <c r="EH3" s="168"/>
      <c r="EI3" s="168"/>
      <c r="EJ3" s="168"/>
      <c r="EK3" s="168"/>
      <c r="EL3" s="168"/>
    </row>
    <row r="4" spans="1:152">
      <c r="A4" s="207"/>
      <c r="B4" s="207"/>
      <c r="C4" s="207"/>
      <c r="D4" s="207"/>
      <c r="E4" s="207"/>
      <c r="F4" s="208">
        <v>1990</v>
      </c>
      <c r="G4" s="208"/>
      <c r="H4" s="208"/>
      <c r="I4" s="207"/>
      <c r="J4" s="209">
        <f>F4+1</f>
        <v>1991</v>
      </c>
      <c r="K4" s="208"/>
      <c r="L4" s="208"/>
      <c r="M4" s="207"/>
      <c r="N4" s="209">
        <f>J4+1</f>
        <v>1992</v>
      </c>
      <c r="O4" s="208"/>
      <c r="P4" s="208"/>
      <c r="Q4" s="207"/>
      <c r="R4" s="209">
        <f>N4+1</f>
        <v>1993</v>
      </c>
      <c r="S4" s="208"/>
      <c r="T4" s="208"/>
      <c r="U4" s="207"/>
      <c r="V4" s="209">
        <f>R4+1</f>
        <v>1994</v>
      </c>
      <c r="W4" s="208"/>
      <c r="X4" s="208"/>
      <c r="Y4" s="207"/>
      <c r="Z4" s="209">
        <f>V4+1</f>
        <v>1995</v>
      </c>
      <c r="AA4" s="208"/>
      <c r="AB4" s="208"/>
      <c r="AC4" s="207"/>
      <c r="AD4" s="209">
        <f>Z4+1</f>
        <v>1996</v>
      </c>
      <c r="AE4" s="208"/>
      <c r="AF4" s="208"/>
      <c r="AG4" s="207"/>
      <c r="AH4" s="209">
        <f>AD4+1</f>
        <v>1997</v>
      </c>
      <c r="AI4" s="208"/>
      <c r="AJ4" s="208"/>
      <c r="AK4" s="207"/>
      <c r="AL4" s="209">
        <f>AH4+1</f>
        <v>1998</v>
      </c>
      <c r="AM4" s="208"/>
      <c r="AN4" s="208"/>
      <c r="AO4" s="207"/>
      <c r="AP4" s="209">
        <f>AL4+1</f>
        <v>1999</v>
      </c>
      <c r="AQ4" s="208"/>
      <c r="AR4" s="208"/>
      <c r="AS4" s="207"/>
      <c r="AT4" s="209">
        <f>AP4+1</f>
        <v>2000</v>
      </c>
      <c r="AU4" s="208"/>
      <c r="AV4" s="208"/>
      <c r="AW4" s="207"/>
      <c r="AX4" s="209">
        <f>AT4+1</f>
        <v>2001</v>
      </c>
      <c r="AY4" s="208"/>
      <c r="AZ4" s="208"/>
      <c r="BA4" s="207"/>
      <c r="BB4" s="209">
        <f>AX4+1</f>
        <v>2002</v>
      </c>
      <c r="BC4" s="208"/>
      <c r="BD4" s="208"/>
      <c r="BE4" s="207"/>
      <c r="BF4" s="209">
        <f>BB4+1</f>
        <v>2003</v>
      </c>
      <c r="BG4" s="208"/>
      <c r="BH4" s="208"/>
      <c r="BI4" s="207"/>
      <c r="BJ4" s="209">
        <f>BF4+1</f>
        <v>2004</v>
      </c>
      <c r="BK4" s="208"/>
      <c r="BL4" s="208"/>
      <c r="BM4" s="207"/>
      <c r="BN4" s="585">
        <f>BJ4+1</f>
        <v>2005</v>
      </c>
      <c r="BO4" s="208"/>
      <c r="BP4" s="208"/>
      <c r="BQ4" s="207"/>
      <c r="BR4" s="585">
        <f>BN4+1</f>
        <v>2006</v>
      </c>
      <c r="BS4" s="208"/>
      <c r="BT4" s="208"/>
      <c r="BU4" s="207"/>
      <c r="BV4" s="585">
        <f>BR4+1</f>
        <v>2007</v>
      </c>
      <c r="BW4" s="208"/>
      <c r="BX4" s="208"/>
      <c r="BY4" s="207"/>
      <c r="BZ4" s="585">
        <f>BV4+1</f>
        <v>2008</v>
      </c>
      <c r="CA4" s="208"/>
      <c r="CB4" s="208"/>
      <c r="CC4" s="207"/>
      <c r="CD4" s="585">
        <f>BZ4+1</f>
        <v>2009</v>
      </c>
      <c r="CE4" s="208"/>
      <c r="CF4" s="208"/>
      <c r="CG4" s="207"/>
      <c r="CH4" s="585">
        <f>CD4+1</f>
        <v>2010</v>
      </c>
      <c r="CI4" s="208"/>
      <c r="CJ4" s="208"/>
      <c r="CK4" s="207"/>
      <c r="CL4" s="585">
        <f>CH4+1</f>
        <v>2011</v>
      </c>
      <c r="CM4" s="208"/>
      <c r="CN4" s="208"/>
      <c r="CO4" s="207"/>
      <c r="CP4" s="209">
        <f>CL4+1</f>
        <v>2012</v>
      </c>
      <c r="CQ4" s="208"/>
      <c r="CR4" s="208"/>
      <c r="CS4" s="207"/>
      <c r="CT4" s="209">
        <f>CP4+1</f>
        <v>2013</v>
      </c>
      <c r="CU4" s="208"/>
      <c r="CV4" s="208"/>
      <c r="CW4" s="114"/>
      <c r="CX4" s="209">
        <f>CT4+1</f>
        <v>2014</v>
      </c>
      <c r="CY4" s="208"/>
      <c r="CZ4" s="208"/>
      <c r="DA4" s="114"/>
      <c r="DB4" s="209">
        <f>CX4+1</f>
        <v>2015</v>
      </c>
      <c r="DC4" s="208"/>
      <c r="DD4" s="208"/>
      <c r="DE4" s="208"/>
      <c r="DF4" s="114"/>
      <c r="DG4" s="209">
        <f>DB4+1</f>
        <v>2016</v>
      </c>
      <c r="DH4" s="208"/>
      <c r="DI4" s="208"/>
      <c r="DJ4" s="1182"/>
      <c r="DK4" s="114"/>
      <c r="DL4" s="114"/>
      <c r="DM4" s="416" t="s">
        <v>315</v>
      </c>
      <c r="DN4" s="208"/>
      <c r="DO4" s="208"/>
      <c r="DP4" s="1182"/>
      <c r="DQ4" s="114"/>
      <c r="DR4" s="114"/>
      <c r="DS4" s="416" t="s">
        <v>299</v>
      </c>
      <c r="DT4" s="208"/>
      <c r="DU4" s="208"/>
      <c r="DV4" s="1182"/>
      <c r="DW4" s="114"/>
      <c r="DX4" s="207"/>
      <c r="DY4" s="207"/>
      <c r="DZ4" s="168"/>
      <c r="EA4" s="168"/>
      <c r="EB4" s="168"/>
      <c r="EC4" s="168"/>
      <c r="ED4" s="168"/>
      <c r="EE4" s="168"/>
      <c r="EF4" s="168"/>
      <c r="EG4" s="168"/>
      <c r="EH4" s="168"/>
      <c r="EI4" s="168"/>
      <c r="EJ4" s="168"/>
      <c r="EK4" s="168"/>
      <c r="EL4" s="168"/>
    </row>
    <row r="5" spans="1:152">
      <c r="A5" s="69"/>
      <c r="B5" s="69"/>
      <c r="C5" s="69"/>
      <c r="D5" s="69"/>
      <c r="E5" s="69"/>
      <c r="F5" s="207"/>
      <c r="G5" s="207"/>
      <c r="H5" s="70" t="s">
        <v>592</v>
      </c>
      <c r="I5" s="207"/>
      <c r="J5" s="207"/>
      <c r="K5" s="207"/>
      <c r="L5" s="70" t="s">
        <v>592</v>
      </c>
      <c r="M5" s="207"/>
      <c r="N5" s="207"/>
      <c r="O5" s="207"/>
      <c r="P5" s="70" t="s">
        <v>592</v>
      </c>
      <c r="Q5" s="207"/>
      <c r="R5" s="207"/>
      <c r="S5" s="207"/>
      <c r="T5" s="70" t="s">
        <v>592</v>
      </c>
      <c r="U5" s="207"/>
      <c r="V5" s="207"/>
      <c r="W5" s="207"/>
      <c r="X5" s="70" t="s">
        <v>592</v>
      </c>
      <c r="Y5" s="207"/>
      <c r="Z5" s="207"/>
      <c r="AA5" s="207"/>
      <c r="AB5" s="70" t="s">
        <v>592</v>
      </c>
      <c r="AC5" s="207"/>
      <c r="AD5" s="207"/>
      <c r="AE5" s="207"/>
      <c r="AF5" s="70" t="s">
        <v>592</v>
      </c>
      <c r="AG5" s="207"/>
      <c r="AH5" s="207"/>
      <c r="AI5" s="69"/>
      <c r="AJ5" s="70" t="s">
        <v>592</v>
      </c>
      <c r="AK5" s="69"/>
      <c r="AL5" s="207"/>
      <c r="AM5" s="69"/>
      <c r="AN5" s="70" t="s">
        <v>592</v>
      </c>
      <c r="AO5" s="69"/>
      <c r="AP5" s="207"/>
      <c r="AQ5" s="207"/>
      <c r="AR5" s="70" t="s">
        <v>592</v>
      </c>
      <c r="AS5" s="207"/>
      <c r="AT5" s="207"/>
      <c r="AU5" s="69"/>
      <c r="AV5" s="70" t="s">
        <v>592</v>
      </c>
      <c r="AW5" s="69"/>
      <c r="AX5" s="207"/>
      <c r="AY5" s="69"/>
      <c r="AZ5" s="70" t="s">
        <v>592</v>
      </c>
      <c r="BA5" s="69"/>
      <c r="BB5" s="207"/>
      <c r="BC5" s="69"/>
      <c r="BD5" s="70" t="s">
        <v>592</v>
      </c>
      <c r="BE5" s="69"/>
      <c r="BF5" s="207"/>
      <c r="BG5" s="69"/>
      <c r="BH5" s="70" t="s">
        <v>592</v>
      </c>
      <c r="BI5" s="69"/>
      <c r="BJ5" s="207"/>
      <c r="BK5" s="69"/>
      <c r="BL5" s="70" t="s">
        <v>592</v>
      </c>
      <c r="BM5" s="69"/>
      <c r="BN5" s="207"/>
      <c r="BO5" s="69"/>
      <c r="BP5" s="70" t="s">
        <v>592</v>
      </c>
      <c r="BQ5" s="69"/>
      <c r="BR5" s="207"/>
      <c r="BS5" s="69"/>
      <c r="BT5" s="70" t="s">
        <v>592</v>
      </c>
      <c r="BU5" s="69"/>
      <c r="BV5" s="207"/>
      <c r="BW5" s="69"/>
      <c r="BX5" s="70" t="s">
        <v>592</v>
      </c>
      <c r="BY5" s="69"/>
      <c r="BZ5" s="207"/>
      <c r="CA5" s="69"/>
      <c r="CB5" s="70" t="s">
        <v>592</v>
      </c>
      <c r="CC5" s="69"/>
      <c r="CD5" s="207"/>
      <c r="CE5" s="69"/>
      <c r="CF5" s="70" t="s">
        <v>592</v>
      </c>
      <c r="CG5" s="69"/>
      <c r="CH5" s="207"/>
      <c r="CI5" s="69"/>
      <c r="CJ5" s="70" t="s">
        <v>592</v>
      </c>
      <c r="CK5" s="69"/>
      <c r="CL5" s="207"/>
      <c r="CM5" s="69"/>
      <c r="CN5" s="70" t="s">
        <v>592</v>
      </c>
      <c r="CO5" s="69"/>
      <c r="CP5" s="207"/>
      <c r="CQ5" s="69"/>
      <c r="CR5" s="70" t="s">
        <v>592</v>
      </c>
      <c r="CS5" s="69"/>
      <c r="CT5" s="207"/>
      <c r="CU5" s="69"/>
      <c r="CV5" s="70" t="s">
        <v>592</v>
      </c>
      <c r="CW5" s="30"/>
      <c r="CX5" s="207"/>
      <c r="CY5" s="69"/>
      <c r="CZ5" s="70" t="s">
        <v>592</v>
      </c>
      <c r="DA5" s="30"/>
      <c r="DB5" s="207"/>
      <c r="DC5" s="69"/>
      <c r="DD5" s="70" t="s">
        <v>592</v>
      </c>
      <c r="DE5" s="70" t="s">
        <v>592</v>
      </c>
      <c r="DF5" s="30"/>
      <c r="DG5" s="207"/>
      <c r="DH5" s="69"/>
      <c r="DI5" s="70" t="s">
        <v>592</v>
      </c>
      <c r="DJ5" s="1102" t="s">
        <v>592</v>
      </c>
      <c r="DK5" s="30"/>
      <c r="DL5" s="30"/>
      <c r="DM5" s="207"/>
      <c r="DN5" s="69"/>
      <c r="DO5" s="70" t="s">
        <v>592</v>
      </c>
      <c r="DP5" s="1102" t="s">
        <v>592</v>
      </c>
      <c r="DQ5" s="30"/>
      <c r="DR5" s="30"/>
      <c r="DS5" s="207"/>
      <c r="DT5" s="69"/>
      <c r="DU5" s="70" t="s">
        <v>592</v>
      </c>
      <c r="DV5" s="1102" t="s">
        <v>592</v>
      </c>
      <c r="DW5" s="30"/>
      <c r="DX5" s="69"/>
      <c r="DY5" s="69"/>
      <c r="DZ5" s="24"/>
      <c r="EA5" s="24"/>
      <c r="EB5" s="24"/>
      <c r="EC5" s="24"/>
      <c r="ED5" s="24"/>
      <c r="EE5" s="24"/>
      <c r="EF5" s="24"/>
      <c r="EG5" s="24"/>
      <c r="EH5" s="24"/>
      <c r="EI5" s="24"/>
      <c r="EJ5" s="24"/>
      <c r="EK5" s="24"/>
      <c r="EL5" s="24"/>
    </row>
    <row r="6" spans="1:152">
      <c r="A6" s="69"/>
      <c r="B6" s="69"/>
      <c r="C6" s="69"/>
      <c r="D6" s="69" t="s">
        <v>1078</v>
      </c>
      <c r="E6" s="69"/>
      <c r="F6" s="207" t="s">
        <v>999</v>
      </c>
      <c r="G6" s="207"/>
      <c r="H6" s="207" t="s">
        <v>1000</v>
      </c>
      <c r="I6" s="207"/>
      <c r="J6" s="207" t="s">
        <v>999</v>
      </c>
      <c r="K6" s="207"/>
      <c r="L6" s="207" t="s">
        <v>1000</v>
      </c>
      <c r="M6" s="207"/>
      <c r="N6" s="207" t="s">
        <v>999</v>
      </c>
      <c r="O6" s="207"/>
      <c r="P6" s="207" t="s">
        <v>1000</v>
      </c>
      <c r="Q6" s="207"/>
      <c r="R6" s="207" t="s">
        <v>999</v>
      </c>
      <c r="S6" s="207"/>
      <c r="T6" s="207" t="s">
        <v>1000</v>
      </c>
      <c r="U6" s="207"/>
      <c r="V6" s="207" t="s">
        <v>999</v>
      </c>
      <c r="W6" s="207"/>
      <c r="X6" s="207" t="s">
        <v>1000</v>
      </c>
      <c r="Y6" s="207"/>
      <c r="Z6" s="207" t="s">
        <v>999</v>
      </c>
      <c r="AA6" s="207"/>
      <c r="AB6" s="207" t="s">
        <v>1000</v>
      </c>
      <c r="AC6" s="207"/>
      <c r="AD6" s="207" t="s">
        <v>999</v>
      </c>
      <c r="AE6" s="207"/>
      <c r="AF6" s="207" t="s">
        <v>1000</v>
      </c>
      <c r="AG6" s="207"/>
      <c r="AH6" s="207" t="s">
        <v>999</v>
      </c>
      <c r="AI6" s="69"/>
      <c r="AJ6" s="69" t="s">
        <v>1000</v>
      </c>
      <c r="AK6" s="69"/>
      <c r="AL6" s="207" t="s">
        <v>999</v>
      </c>
      <c r="AM6" s="69"/>
      <c r="AN6" s="69" t="s">
        <v>1000</v>
      </c>
      <c r="AO6" s="69"/>
      <c r="AP6" s="207" t="s">
        <v>999</v>
      </c>
      <c r="AQ6" s="207"/>
      <c r="AR6" s="207" t="s">
        <v>1000</v>
      </c>
      <c r="AS6" s="207"/>
      <c r="AT6" s="207" t="s">
        <v>999</v>
      </c>
      <c r="AU6" s="69"/>
      <c r="AV6" s="69" t="s">
        <v>1000</v>
      </c>
      <c r="AW6" s="69"/>
      <c r="AX6" s="207" t="s">
        <v>999</v>
      </c>
      <c r="AY6" s="69"/>
      <c r="AZ6" s="69" t="s">
        <v>1000</v>
      </c>
      <c r="BA6" s="69"/>
      <c r="BB6" s="207" t="s">
        <v>999</v>
      </c>
      <c r="BC6" s="69"/>
      <c r="BD6" s="69" t="s">
        <v>1000</v>
      </c>
      <c r="BE6" s="69"/>
      <c r="BF6" s="207" t="s">
        <v>999</v>
      </c>
      <c r="BG6" s="69"/>
      <c r="BH6" s="69" t="s">
        <v>1000</v>
      </c>
      <c r="BI6" s="69"/>
      <c r="BJ6" s="207" t="s">
        <v>999</v>
      </c>
      <c r="BK6" s="69"/>
      <c r="BL6" s="69" t="s">
        <v>1000</v>
      </c>
      <c r="BM6" s="69"/>
      <c r="BN6" s="207" t="s">
        <v>999</v>
      </c>
      <c r="BO6" s="69"/>
      <c r="BP6" s="69" t="s">
        <v>1000</v>
      </c>
      <c r="BQ6" s="69"/>
      <c r="BR6" s="207" t="s">
        <v>999</v>
      </c>
      <c r="BS6" s="69"/>
      <c r="BT6" s="69" t="s">
        <v>1000</v>
      </c>
      <c r="BU6" s="69"/>
      <c r="BV6" s="207" t="s">
        <v>999</v>
      </c>
      <c r="BW6" s="69"/>
      <c r="BX6" s="69" t="s">
        <v>1000</v>
      </c>
      <c r="BY6" s="69"/>
      <c r="BZ6" s="207" t="s">
        <v>999</v>
      </c>
      <c r="CA6" s="69"/>
      <c r="CB6" s="69" t="s">
        <v>1000</v>
      </c>
      <c r="CC6" s="69"/>
      <c r="CD6" s="207" t="s">
        <v>999</v>
      </c>
      <c r="CE6" s="69"/>
      <c r="CF6" s="69" t="s">
        <v>1000</v>
      </c>
      <c r="CG6" s="69"/>
      <c r="CH6" s="207" t="s">
        <v>999</v>
      </c>
      <c r="CI6" s="69"/>
      <c r="CJ6" s="69" t="s">
        <v>1000</v>
      </c>
      <c r="CK6" s="69"/>
      <c r="CL6" s="207" t="s">
        <v>999</v>
      </c>
      <c r="CM6" s="69"/>
      <c r="CN6" s="69" t="s">
        <v>1000</v>
      </c>
      <c r="CO6" s="69"/>
      <c r="CP6" s="207" t="s">
        <v>999</v>
      </c>
      <c r="CQ6" s="69"/>
      <c r="CR6" s="69" t="s">
        <v>1000</v>
      </c>
      <c r="CS6" s="69"/>
      <c r="CT6" s="207" t="s">
        <v>999</v>
      </c>
      <c r="CU6" s="69"/>
      <c r="CV6" s="69" t="s">
        <v>1000</v>
      </c>
      <c r="CW6" s="30"/>
      <c r="CX6" s="207" t="s">
        <v>999</v>
      </c>
      <c r="CY6" s="69"/>
      <c r="CZ6" s="69" t="s">
        <v>1000</v>
      </c>
      <c r="DA6" s="30"/>
      <c r="DB6" s="207" t="s">
        <v>999</v>
      </c>
      <c r="DC6" s="69"/>
      <c r="DD6" s="69" t="s">
        <v>1000</v>
      </c>
      <c r="DE6" s="69" t="s">
        <v>1000</v>
      </c>
      <c r="DF6" s="30"/>
      <c r="DG6" s="207" t="s">
        <v>999</v>
      </c>
      <c r="DH6" s="69"/>
      <c r="DI6" s="69" t="s">
        <v>1000</v>
      </c>
      <c r="DJ6" s="69" t="s">
        <v>1000</v>
      </c>
      <c r="DK6" s="30"/>
      <c r="DL6" s="30"/>
      <c r="DM6" s="207" t="s">
        <v>999</v>
      </c>
      <c r="DN6" s="69"/>
      <c r="DO6" s="69" t="s">
        <v>1000</v>
      </c>
      <c r="DP6" s="69" t="s">
        <v>1000</v>
      </c>
      <c r="DQ6" s="30"/>
      <c r="DR6" s="30"/>
      <c r="DS6" s="207" t="s">
        <v>999</v>
      </c>
      <c r="DT6" s="69"/>
      <c r="DU6" s="69" t="s">
        <v>1000</v>
      </c>
      <c r="DV6" s="69" t="s">
        <v>1000</v>
      </c>
      <c r="DW6" s="30"/>
      <c r="DX6" s="69"/>
      <c r="DY6" s="69"/>
      <c r="DZ6" s="24"/>
      <c r="EA6" s="24"/>
      <c r="EB6" s="24"/>
      <c r="EC6" s="24"/>
      <c r="ED6" s="24"/>
      <c r="EE6" s="24"/>
      <c r="EF6" s="24"/>
      <c r="EG6" s="24"/>
      <c r="EH6" s="24"/>
      <c r="EI6" s="24"/>
      <c r="EJ6" s="24"/>
      <c r="EK6" s="24"/>
      <c r="EL6" s="24"/>
    </row>
    <row r="7" spans="1:152">
      <c r="A7" s="72" t="s">
        <v>1077</v>
      </c>
      <c r="B7" s="72"/>
      <c r="C7" s="69"/>
      <c r="D7" s="68" t="s">
        <v>920</v>
      </c>
      <c r="E7" s="69"/>
      <c r="F7" s="230" t="s">
        <v>1001</v>
      </c>
      <c r="G7" s="207"/>
      <c r="H7" s="230" t="s">
        <v>1186</v>
      </c>
      <c r="I7" s="207"/>
      <c r="J7" s="230" t="s">
        <v>1001</v>
      </c>
      <c r="K7" s="207"/>
      <c r="L7" s="230" t="s">
        <v>1186</v>
      </c>
      <c r="M7" s="207"/>
      <c r="N7" s="230" t="s">
        <v>1001</v>
      </c>
      <c r="O7" s="207"/>
      <c r="P7" s="230" t="s">
        <v>1186</v>
      </c>
      <c r="Q7" s="207"/>
      <c r="R7" s="230" t="s">
        <v>1001</v>
      </c>
      <c r="S7" s="207"/>
      <c r="T7" s="230" t="s">
        <v>1186</v>
      </c>
      <c r="U7" s="207"/>
      <c r="V7" s="230" t="s">
        <v>1001</v>
      </c>
      <c r="W7" s="207"/>
      <c r="X7" s="230" t="s">
        <v>1186</v>
      </c>
      <c r="Y7" s="207"/>
      <c r="Z7" s="230" t="s">
        <v>1001</v>
      </c>
      <c r="AA7" s="207"/>
      <c r="AB7" s="230" t="s">
        <v>1186</v>
      </c>
      <c r="AC7" s="207"/>
      <c r="AD7" s="230" t="s">
        <v>1001</v>
      </c>
      <c r="AE7" s="207"/>
      <c r="AF7" s="230" t="s">
        <v>1186</v>
      </c>
      <c r="AG7" s="207"/>
      <c r="AH7" s="230" t="s">
        <v>1001</v>
      </c>
      <c r="AI7" s="69"/>
      <c r="AJ7" s="68" t="s">
        <v>1186</v>
      </c>
      <c r="AK7" s="69"/>
      <c r="AL7" s="230" t="s">
        <v>1001</v>
      </c>
      <c r="AM7" s="69"/>
      <c r="AN7" s="68" t="s">
        <v>1186</v>
      </c>
      <c r="AO7" s="69"/>
      <c r="AP7" s="230" t="s">
        <v>1001</v>
      </c>
      <c r="AQ7" s="207"/>
      <c r="AR7" s="230" t="s">
        <v>1186</v>
      </c>
      <c r="AS7" s="207"/>
      <c r="AT7" s="230" t="s">
        <v>1001</v>
      </c>
      <c r="AU7" s="69"/>
      <c r="AV7" s="68" t="s">
        <v>1186</v>
      </c>
      <c r="AW7" s="69"/>
      <c r="AX7" s="230" t="s">
        <v>1001</v>
      </c>
      <c r="AY7" s="69"/>
      <c r="AZ7" s="68" t="s">
        <v>1186</v>
      </c>
      <c r="BA7" s="69"/>
      <c r="BB7" s="230" t="s">
        <v>1001</v>
      </c>
      <c r="BC7" s="69"/>
      <c r="BD7" s="68" t="s">
        <v>1186</v>
      </c>
      <c r="BE7" s="69"/>
      <c r="BF7" s="230" t="s">
        <v>1001</v>
      </c>
      <c r="BG7" s="69"/>
      <c r="BH7" s="68" t="s">
        <v>1186</v>
      </c>
      <c r="BI7" s="69"/>
      <c r="BJ7" s="230" t="s">
        <v>1001</v>
      </c>
      <c r="BK7" s="69"/>
      <c r="BL7" s="68" t="s">
        <v>1186</v>
      </c>
      <c r="BM7" s="69"/>
      <c r="BN7" s="230" t="s">
        <v>1001</v>
      </c>
      <c r="BO7" s="69"/>
      <c r="BP7" s="68" t="s">
        <v>1186</v>
      </c>
      <c r="BQ7" s="69"/>
      <c r="BR7" s="230" t="s">
        <v>1001</v>
      </c>
      <c r="BS7" s="69"/>
      <c r="BT7" s="68" t="s">
        <v>1186</v>
      </c>
      <c r="BU7" s="69"/>
      <c r="BV7" s="230" t="s">
        <v>1001</v>
      </c>
      <c r="BW7" s="69"/>
      <c r="BX7" s="68" t="s">
        <v>1186</v>
      </c>
      <c r="BY7" s="69"/>
      <c r="BZ7" s="230" t="s">
        <v>1001</v>
      </c>
      <c r="CA7" s="69"/>
      <c r="CB7" s="68" t="s">
        <v>1186</v>
      </c>
      <c r="CC7" s="69"/>
      <c r="CD7" s="230" t="s">
        <v>1001</v>
      </c>
      <c r="CE7" s="69"/>
      <c r="CF7" s="68" t="s">
        <v>1186</v>
      </c>
      <c r="CG7" s="69"/>
      <c r="CH7" s="230" t="s">
        <v>1001</v>
      </c>
      <c r="CI7" s="69"/>
      <c r="CJ7" s="68" t="s">
        <v>1186</v>
      </c>
      <c r="CK7" s="69"/>
      <c r="CL7" s="230" t="s">
        <v>1001</v>
      </c>
      <c r="CM7" s="69"/>
      <c r="CN7" s="68" t="s">
        <v>1186</v>
      </c>
      <c r="CO7" s="69"/>
      <c r="CP7" s="230" t="s">
        <v>1001</v>
      </c>
      <c r="CQ7" s="69"/>
      <c r="CR7" s="68" t="s">
        <v>1186</v>
      </c>
      <c r="CS7" s="69"/>
      <c r="CT7" s="230" t="s">
        <v>1001</v>
      </c>
      <c r="CU7" s="69"/>
      <c r="CV7" s="68" t="s">
        <v>1186</v>
      </c>
      <c r="CW7" s="30"/>
      <c r="CX7" s="230" t="s">
        <v>1001</v>
      </c>
      <c r="CY7" s="69"/>
      <c r="CZ7" s="68" t="s">
        <v>1186</v>
      </c>
      <c r="DA7" s="30"/>
      <c r="DB7" s="230" t="s">
        <v>1001</v>
      </c>
      <c r="DC7" s="69"/>
      <c r="DD7" s="68" t="s">
        <v>1186</v>
      </c>
      <c r="DE7" s="68" t="s">
        <v>360</v>
      </c>
      <c r="DF7" s="30"/>
      <c r="DG7" s="230" t="s">
        <v>1001</v>
      </c>
      <c r="DH7" s="69"/>
      <c r="DI7" s="68" t="s">
        <v>1186</v>
      </c>
      <c r="DJ7" s="68" t="s">
        <v>360</v>
      </c>
      <c r="DK7" s="30"/>
      <c r="DL7" s="30"/>
      <c r="DM7" s="230" t="s">
        <v>1001</v>
      </c>
      <c r="DN7" s="69"/>
      <c r="DO7" s="68" t="s">
        <v>1186</v>
      </c>
      <c r="DP7" s="68" t="s">
        <v>360</v>
      </c>
      <c r="DQ7" s="30"/>
      <c r="DR7" s="30"/>
      <c r="DS7" s="230" t="s">
        <v>1001</v>
      </c>
      <c r="DT7" s="69"/>
      <c r="DU7" s="68" t="s">
        <v>1186</v>
      </c>
      <c r="DV7" s="68" t="s">
        <v>360</v>
      </c>
      <c r="DW7" s="30"/>
      <c r="DX7" s="69"/>
      <c r="DY7" s="69"/>
      <c r="DZ7" s="24"/>
      <c r="EA7" s="24"/>
      <c r="EB7" s="24"/>
      <c r="EC7" s="24"/>
      <c r="ED7" s="24"/>
      <c r="EE7" s="24"/>
      <c r="EF7" s="24"/>
      <c r="EG7" s="24"/>
      <c r="EH7" s="24"/>
      <c r="EI7" s="24"/>
      <c r="EJ7" s="24"/>
      <c r="EK7" s="24"/>
      <c r="EL7" s="24"/>
    </row>
    <row r="8" spans="1:152">
      <c r="A8" s="71"/>
      <c r="B8" s="71"/>
      <c r="C8" s="69"/>
      <c r="D8" s="70"/>
      <c r="E8" s="69"/>
      <c r="F8" s="225"/>
      <c r="G8" s="207"/>
      <c r="H8" s="225"/>
      <c r="I8" s="207"/>
      <c r="J8" s="225"/>
      <c r="K8" s="207"/>
      <c r="L8" s="225"/>
      <c r="M8" s="207"/>
      <c r="N8" s="225"/>
      <c r="O8" s="207"/>
      <c r="P8" s="225"/>
      <c r="Q8" s="207"/>
      <c r="R8" s="225"/>
      <c r="S8" s="207"/>
      <c r="T8" s="225"/>
      <c r="U8" s="207"/>
      <c r="V8" s="225"/>
      <c r="W8" s="207"/>
      <c r="X8" s="225"/>
      <c r="Y8" s="207"/>
      <c r="Z8" s="225"/>
      <c r="AA8" s="207"/>
      <c r="AB8" s="225"/>
      <c r="AC8" s="207"/>
      <c r="AD8" s="225"/>
      <c r="AE8" s="207"/>
      <c r="AF8" s="225"/>
      <c r="AG8" s="207"/>
      <c r="AH8" s="225"/>
      <c r="AI8" s="69"/>
      <c r="AJ8" s="70"/>
      <c r="AK8" s="69"/>
      <c r="AL8" s="225"/>
      <c r="AM8" s="69"/>
      <c r="AN8" s="70"/>
      <c r="AO8" s="69"/>
      <c r="AP8" s="225"/>
      <c r="AQ8" s="207"/>
      <c r="AR8" s="225"/>
      <c r="AS8" s="207"/>
      <c r="AT8" s="225"/>
      <c r="AU8" s="69"/>
      <c r="AV8" s="70"/>
      <c r="AW8" s="69"/>
      <c r="AX8" s="225"/>
      <c r="AY8" s="69"/>
      <c r="AZ8" s="70"/>
      <c r="BA8" s="69"/>
      <c r="BB8" s="225"/>
      <c r="BC8" s="69"/>
      <c r="BD8" s="70"/>
      <c r="BE8" s="69"/>
      <c r="BF8" s="225"/>
      <c r="BG8" s="69"/>
      <c r="BH8" s="70"/>
      <c r="BI8" s="69"/>
      <c r="BJ8" s="225"/>
      <c r="BK8" s="69"/>
      <c r="BL8" s="70"/>
      <c r="BM8" s="69"/>
      <c r="BN8" s="225"/>
      <c r="BO8" s="69"/>
      <c r="BP8" s="70"/>
      <c r="BQ8" s="69"/>
      <c r="BR8" s="225"/>
      <c r="BS8" s="69"/>
      <c r="BT8" s="70"/>
      <c r="BU8" s="69"/>
      <c r="BV8" s="225"/>
      <c r="BW8" s="69"/>
      <c r="BX8" s="70"/>
      <c r="BY8" s="69"/>
      <c r="BZ8" s="225"/>
      <c r="CA8" s="69"/>
      <c r="CB8" s="70"/>
      <c r="CC8" s="69"/>
      <c r="CD8" s="225"/>
      <c r="CE8" s="69"/>
      <c r="CF8" s="70"/>
      <c r="CG8" s="69"/>
      <c r="CH8" s="225"/>
      <c r="CI8" s="69"/>
      <c r="CJ8" s="70"/>
      <c r="CK8" s="69"/>
      <c r="CL8" s="225"/>
      <c r="CM8" s="69"/>
      <c r="CN8" s="70"/>
      <c r="CO8" s="69"/>
      <c r="CP8" s="225"/>
      <c r="CQ8" s="69"/>
      <c r="CR8" s="70"/>
      <c r="CS8" s="69"/>
      <c r="CT8" s="69"/>
      <c r="CU8" s="69"/>
      <c r="CV8" s="69"/>
      <c r="CW8" s="30"/>
      <c r="CX8" s="69"/>
      <c r="CY8" s="69"/>
      <c r="CZ8" s="69"/>
      <c r="DA8" s="30"/>
      <c r="DB8" s="69"/>
      <c r="DC8" s="69"/>
      <c r="DD8" s="69"/>
      <c r="DE8" s="69"/>
      <c r="DF8" s="30"/>
      <c r="DG8" s="69"/>
      <c r="DH8" s="69"/>
      <c r="DI8" s="69"/>
      <c r="DJ8" s="69"/>
      <c r="DK8" s="30"/>
      <c r="DL8" s="30"/>
      <c r="DM8" s="69"/>
      <c r="DN8" s="69"/>
      <c r="DO8" s="69"/>
      <c r="DP8" s="69"/>
      <c r="DQ8" s="30"/>
      <c r="DR8" s="30"/>
      <c r="DS8" s="69"/>
      <c r="DT8" s="69"/>
      <c r="DU8" s="69"/>
      <c r="DV8" s="69"/>
      <c r="DW8" s="30"/>
      <c r="DX8" s="69"/>
      <c r="DY8" s="69"/>
      <c r="DZ8" s="24"/>
      <c r="EA8" s="24"/>
      <c r="EB8" s="24"/>
      <c r="EC8" s="24"/>
      <c r="ED8" s="24"/>
      <c r="EE8" s="24"/>
      <c r="EF8" s="24"/>
      <c r="EG8" s="24"/>
      <c r="EH8" s="24"/>
      <c r="EI8" s="24"/>
      <c r="EJ8" s="24"/>
      <c r="EK8" s="24"/>
      <c r="EL8" s="24"/>
    </row>
    <row r="9" spans="1:152">
      <c r="A9" s="215" t="s">
        <v>671</v>
      </c>
      <c r="B9" s="215"/>
      <c r="C9" s="216"/>
      <c r="D9" s="215"/>
      <c r="E9" s="215"/>
      <c r="F9" s="217"/>
      <c r="G9" s="215"/>
      <c r="H9" s="218"/>
      <c r="I9" s="218"/>
      <c r="J9" s="217"/>
      <c r="K9" s="215"/>
      <c r="L9" s="218"/>
      <c r="M9" s="218"/>
      <c r="N9" s="217"/>
      <c r="O9" s="215"/>
      <c r="P9" s="218"/>
      <c r="Q9" s="218"/>
      <c r="R9" s="217"/>
      <c r="S9" s="215"/>
      <c r="T9" s="218"/>
      <c r="U9" s="218"/>
      <c r="V9" s="217"/>
      <c r="W9" s="215"/>
      <c r="X9" s="218"/>
      <c r="Y9" s="218"/>
      <c r="Z9" s="217"/>
      <c r="AA9" s="215"/>
      <c r="AB9" s="218"/>
      <c r="AC9" s="218"/>
      <c r="AD9" s="217"/>
      <c r="AE9" s="215"/>
      <c r="AF9" s="218"/>
      <c r="AG9" s="218"/>
      <c r="AH9" s="217"/>
      <c r="AI9" s="215"/>
      <c r="AJ9" s="218"/>
      <c r="AK9" s="218"/>
      <c r="AL9" s="217"/>
      <c r="AM9" s="215"/>
      <c r="AN9" s="218"/>
      <c r="AO9" s="218"/>
      <c r="AP9" s="217"/>
      <c r="AQ9" s="215"/>
      <c r="AR9" s="218"/>
      <c r="AS9" s="218"/>
      <c r="AT9" s="217"/>
      <c r="AU9" s="215"/>
      <c r="AV9" s="218"/>
      <c r="AW9" s="218"/>
      <c r="AX9" s="217"/>
      <c r="AY9" s="215"/>
      <c r="AZ9" s="218"/>
      <c r="BA9" s="218"/>
      <c r="BB9" s="217"/>
      <c r="BC9" s="215"/>
      <c r="BD9" s="218"/>
      <c r="BE9" s="218"/>
      <c r="BF9" s="217"/>
      <c r="BG9" s="215"/>
      <c r="BH9" s="218"/>
      <c r="BI9" s="218"/>
      <c r="BJ9" s="217"/>
      <c r="BK9" s="215"/>
      <c r="BL9" s="218"/>
      <c r="BM9" s="218"/>
      <c r="BN9" s="217"/>
      <c r="BO9" s="215"/>
      <c r="BP9" s="218"/>
      <c r="BQ9" s="218"/>
      <c r="BR9" s="217"/>
      <c r="BS9" s="215"/>
      <c r="BT9" s="218"/>
      <c r="BU9" s="218"/>
      <c r="BV9" s="217"/>
      <c r="BW9" s="215"/>
      <c r="BX9" s="218"/>
      <c r="BY9" s="218"/>
      <c r="BZ9" s="217"/>
      <c r="CA9" s="215"/>
      <c r="CB9" s="218"/>
      <c r="CC9" s="218"/>
      <c r="CD9" s="217"/>
      <c r="CE9" s="215"/>
      <c r="CF9" s="218"/>
      <c r="CG9" s="218"/>
      <c r="CH9" s="217"/>
      <c r="CI9" s="215"/>
      <c r="CJ9" s="218"/>
      <c r="CK9" s="218"/>
      <c r="CL9" s="217"/>
      <c r="CM9" s="215"/>
      <c r="CN9" s="218"/>
      <c r="CO9" s="218"/>
      <c r="CP9" s="217"/>
      <c r="CQ9" s="215"/>
      <c r="CR9" s="218"/>
      <c r="CS9" s="218"/>
      <c r="CT9" s="218"/>
      <c r="CU9" s="218"/>
      <c r="CV9" s="218"/>
      <c r="CW9" s="30"/>
      <c r="CX9" s="218"/>
      <c r="CY9" s="218"/>
      <c r="CZ9" s="218"/>
      <c r="DA9" s="30"/>
      <c r="DB9" s="218"/>
      <c r="DC9" s="218"/>
      <c r="DD9" s="218"/>
      <c r="DE9" s="218"/>
      <c r="DF9" s="30"/>
      <c r="DG9" s="218"/>
      <c r="DH9" s="218"/>
      <c r="DI9" s="218"/>
      <c r="DJ9" s="218"/>
      <c r="DK9" s="30"/>
      <c r="DL9" s="30"/>
      <c r="DM9" s="218"/>
      <c r="DN9" s="218"/>
      <c r="DO9" s="218"/>
      <c r="DP9" s="218"/>
      <c r="DQ9" s="30"/>
      <c r="DR9" s="30"/>
      <c r="DS9" s="218"/>
      <c r="DT9" s="218"/>
      <c r="DU9" s="218"/>
      <c r="DV9" s="218"/>
      <c r="DW9" s="30"/>
      <c r="DX9" s="218"/>
      <c r="DY9" s="218"/>
      <c r="DZ9" s="219"/>
      <c r="EA9" s="218"/>
      <c r="EB9" s="218"/>
      <c r="EC9" s="218"/>
      <c r="ED9" s="218"/>
      <c r="EE9" s="218"/>
      <c r="EF9" s="218"/>
      <c r="EG9" s="218"/>
      <c r="EH9" s="218"/>
      <c r="EI9" s="218"/>
      <c r="EJ9" s="215"/>
      <c r="EK9" s="215"/>
      <c r="EL9" s="215"/>
    </row>
    <row r="10" spans="1:152">
      <c r="A10" s="223"/>
      <c r="B10" s="223"/>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254"/>
      <c r="AF10" s="168"/>
      <c r="AG10" s="168"/>
      <c r="AH10" s="168"/>
      <c r="AI10" s="168"/>
      <c r="AJ10" s="168"/>
      <c r="AK10" s="168"/>
      <c r="AL10" s="168"/>
      <c r="AM10" s="168"/>
      <c r="AN10" s="168"/>
      <c r="AO10" s="168"/>
      <c r="AP10" s="168"/>
      <c r="AQ10" s="168"/>
      <c r="AR10" s="168"/>
      <c r="AS10" s="168"/>
      <c r="AT10" s="168"/>
      <c r="AU10" s="168"/>
      <c r="AV10" s="168"/>
      <c r="AW10" s="168"/>
      <c r="AX10" s="168"/>
      <c r="AY10" s="168"/>
      <c r="AZ10" s="168"/>
      <c r="BA10" s="168"/>
      <c r="BB10" s="168"/>
      <c r="BC10" s="168"/>
      <c r="BD10" s="168"/>
      <c r="BE10" s="168"/>
      <c r="BF10" s="168"/>
      <c r="BG10" s="168"/>
      <c r="BH10" s="168"/>
      <c r="BI10" s="168"/>
      <c r="BJ10" s="168"/>
      <c r="BK10" s="168"/>
      <c r="BL10" s="168"/>
      <c r="BM10" s="168"/>
      <c r="BN10" s="168"/>
      <c r="BO10" s="168"/>
      <c r="BP10" s="168"/>
      <c r="BQ10" s="168"/>
      <c r="BR10" s="168"/>
      <c r="BS10" s="168"/>
      <c r="BT10" s="168"/>
      <c r="BU10" s="168"/>
      <c r="BV10" s="168"/>
      <c r="BW10" s="168"/>
      <c r="BX10" s="168"/>
      <c r="BY10" s="168"/>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30"/>
      <c r="CX10" s="168"/>
      <c r="CY10" s="168"/>
      <c r="CZ10" s="168"/>
      <c r="DA10" s="30"/>
      <c r="DB10" s="168"/>
      <c r="DC10" s="168"/>
      <c r="DD10" s="168"/>
      <c r="DE10" s="168"/>
      <c r="DF10" s="30"/>
      <c r="DG10" s="168"/>
      <c r="DH10" s="168"/>
      <c r="DI10" s="168"/>
      <c r="DJ10" s="168"/>
      <c r="DK10" s="30"/>
      <c r="DL10" s="30"/>
      <c r="DM10" s="168"/>
      <c r="DN10" s="168"/>
      <c r="DO10" s="168"/>
      <c r="DP10" s="168"/>
      <c r="DQ10" s="30"/>
      <c r="DR10" s="30"/>
      <c r="DS10" s="168"/>
      <c r="DT10" s="168"/>
      <c r="DU10" s="168"/>
      <c r="DV10" s="168"/>
      <c r="DW10" s="30"/>
      <c r="DX10" s="168"/>
      <c r="DY10" s="168"/>
      <c r="DZ10" s="424">
        <v>1999</v>
      </c>
      <c r="EA10" s="424">
        <f t="shared" ref="EA10:EF10" si="0">+DZ10+1</f>
        <v>2000</v>
      </c>
      <c r="EB10" s="424">
        <f t="shared" si="0"/>
        <v>2001</v>
      </c>
      <c r="EC10" s="424">
        <f t="shared" si="0"/>
        <v>2002</v>
      </c>
      <c r="ED10" s="424">
        <f t="shared" si="0"/>
        <v>2003</v>
      </c>
      <c r="EE10" s="424">
        <f t="shared" si="0"/>
        <v>2004</v>
      </c>
      <c r="EF10" s="424">
        <f t="shared" si="0"/>
        <v>2005</v>
      </c>
      <c r="EG10" s="424">
        <f t="shared" ref="EG10:EM10" si="1">+EF10+1</f>
        <v>2006</v>
      </c>
      <c r="EH10" s="424">
        <f t="shared" si="1"/>
        <v>2007</v>
      </c>
      <c r="EI10" s="424">
        <f t="shared" si="1"/>
        <v>2008</v>
      </c>
      <c r="EJ10" s="424">
        <f t="shared" si="1"/>
        <v>2009</v>
      </c>
      <c r="EK10" s="424">
        <f t="shared" si="1"/>
        <v>2010</v>
      </c>
      <c r="EL10" s="424">
        <f t="shared" si="1"/>
        <v>2011</v>
      </c>
      <c r="EM10" s="424">
        <f t="shared" si="1"/>
        <v>2012</v>
      </c>
      <c r="EN10" s="424">
        <f t="shared" ref="EN10:ES10" si="2">+EM10+1</f>
        <v>2013</v>
      </c>
      <c r="EO10" s="424">
        <f t="shared" si="2"/>
        <v>2014</v>
      </c>
      <c r="EP10" s="424">
        <f t="shared" si="2"/>
        <v>2015</v>
      </c>
      <c r="EQ10" s="424">
        <f t="shared" si="2"/>
        <v>2016</v>
      </c>
      <c r="ER10" s="424">
        <f t="shared" si="2"/>
        <v>2017</v>
      </c>
      <c r="ES10" s="424">
        <f t="shared" si="2"/>
        <v>2018</v>
      </c>
    </row>
    <row r="11" spans="1:152">
      <c r="A11" s="31" t="s">
        <v>828</v>
      </c>
      <c r="B11" s="24"/>
      <c r="C11" s="24"/>
      <c r="D11" s="120">
        <v>4</v>
      </c>
      <c r="E11" s="24"/>
      <c r="F11" s="275"/>
      <c r="G11" s="168"/>
      <c r="H11" s="227"/>
      <c r="I11" s="168" t="s">
        <v>1084</v>
      </c>
      <c r="J11" s="286" t="str">
        <f>+mthSales!N10</f>
        <v>3/2</v>
      </c>
      <c r="K11" s="168"/>
      <c r="L11" s="227"/>
      <c r="M11" s="168" t="s">
        <v>1084</v>
      </c>
      <c r="N11" s="286" t="str">
        <f>+mthSales!V10</f>
        <v xml:space="preserve"> 2/29</v>
      </c>
      <c r="O11" s="168"/>
      <c r="P11" s="227"/>
      <c r="Q11" s="168" t="s">
        <v>1084</v>
      </c>
      <c r="R11" s="286" t="str">
        <f>+mthSales!AD10</f>
        <v xml:space="preserve"> 2/27</v>
      </c>
      <c r="S11" s="168"/>
      <c r="T11" s="227"/>
      <c r="U11" s="168" t="s">
        <v>1084</v>
      </c>
      <c r="V11" s="286" t="str">
        <f>+mthSales!AL10</f>
        <v>2/28</v>
      </c>
      <c r="W11" s="168"/>
      <c r="X11" s="227"/>
      <c r="Y11" s="168" t="s">
        <v>1084</v>
      </c>
      <c r="Z11" s="286" t="str">
        <f>+mthSales!AT10</f>
        <v>2/25</v>
      </c>
      <c r="AA11" s="168"/>
      <c r="AB11" s="227"/>
      <c r="AC11" s="168" t="s">
        <v>1084</v>
      </c>
      <c r="AD11" s="224" t="str">
        <f>+mthSales!BB10</f>
        <v>3/2</v>
      </c>
      <c r="AE11" s="168"/>
      <c r="AF11" s="210">
        <v>4</v>
      </c>
      <c r="AG11" s="168" t="s">
        <v>1084</v>
      </c>
      <c r="AH11" s="288" t="str">
        <f>+mthSales!BJ10</f>
        <v>3/2</v>
      </c>
      <c r="AI11" s="24"/>
      <c r="AJ11" s="210">
        <v>7</v>
      </c>
      <c r="AK11" s="24" t="s">
        <v>1084</v>
      </c>
      <c r="AL11" s="283" t="str">
        <f>+mthSales!BR10</f>
        <v>2/28</v>
      </c>
      <c r="AM11" s="24"/>
      <c r="AN11" s="210">
        <v>8</v>
      </c>
      <c r="AO11" s="24" t="s">
        <v>1084</v>
      </c>
      <c r="AP11" s="283" t="str">
        <f>+mthSales!BZ10</f>
        <v>2/27</v>
      </c>
      <c r="AQ11" s="168"/>
      <c r="AR11" s="210">
        <v>10</v>
      </c>
      <c r="AS11" s="168" t="s">
        <v>1084</v>
      </c>
      <c r="AT11" s="283" t="str">
        <f>+mthSales!CH10</f>
        <v>2/26</v>
      </c>
      <c r="AU11" s="24"/>
      <c r="AV11" s="210">
        <v>14</v>
      </c>
      <c r="AW11" s="24" t="s">
        <v>1084</v>
      </c>
      <c r="AX11" s="283" t="str">
        <f>+mthSales!CP10</f>
        <v>3/3</v>
      </c>
      <c r="AY11" s="24"/>
      <c r="AZ11" s="210">
        <v>-6</v>
      </c>
      <c r="BA11" s="24" t="s">
        <v>1084</v>
      </c>
      <c r="BB11" s="283" t="str">
        <f>+mthSales!CX10</f>
        <v>3/2</v>
      </c>
      <c r="BC11" s="24"/>
      <c r="BD11" s="210">
        <v>7</v>
      </c>
      <c r="BE11" s="24" t="s">
        <v>1084</v>
      </c>
      <c r="BF11" s="408">
        <f>+mthSales!DF10</f>
        <v>37681</v>
      </c>
      <c r="BG11" s="24"/>
      <c r="BH11" s="210">
        <v>5</v>
      </c>
      <c r="BI11" s="24" t="s">
        <v>1084</v>
      </c>
      <c r="BJ11" s="408">
        <f>+mthSales!DN10</f>
        <v>38046</v>
      </c>
      <c r="BK11" s="24"/>
      <c r="BL11" s="210">
        <v>12</v>
      </c>
      <c r="BM11" s="24" t="s">
        <v>1084</v>
      </c>
      <c r="BN11" s="408">
        <f>mthSales!DV10</f>
        <v>38409</v>
      </c>
      <c r="BO11" s="24"/>
      <c r="BP11" s="210">
        <v>1</v>
      </c>
      <c r="BQ11" s="24" t="s">
        <v>1084</v>
      </c>
      <c r="BR11" s="408">
        <f>mthSales!ED10</f>
        <v>38408</v>
      </c>
      <c r="BS11" s="24"/>
      <c r="BT11" s="210">
        <v>5</v>
      </c>
      <c r="BU11" s="24" t="s">
        <v>1084</v>
      </c>
      <c r="BV11" s="408">
        <f>mthSales!EL10</f>
        <v>39144</v>
      </c>
      <c r="BW11" s="24"/>
      <c r="BX11" s="210">
        <v>2</v>
      </c>
      <c r="BY11" s="24" t="s">
        <v>1084</v>
      </c>
      <c r="BZ11" s="408">
        <f>mthSales!ET10</f>
        <v>39142</v>
      </c>
      <c r="CA11" s="24"/>
      <c r="CB11" s="210">
        <v>-10</v>
      </c>
      <c r="CC11" s="24" t="s">
        <v>1084</v>
      </c>
      <c r="CD11" s="408">
        <f>mthSales!FB10</f>
        <v>39872</v>
      </c>
      <c r="CE11" s="24"/>
      <c r="CF11" s="210">
        <v>-9</v>
      </c>
      <c r="CG11" s="24" t="s">
        <v>1084</v>
      </c>
      <c r="CH11" s="408">
        <f>mthSales!FJ10</f>
        <v>40236</v>
      </c>
      <c r="CI11" s="24"/>
      <c r="CJ11" s="210">
        <v>10</v>
      </c>
      <c r="CK11" s="24" t="s">
        <v>1084</v>
      </c>
      <c r="CL11" s="408">
        <v>40600</v>
      </c>
      <c r="CM11" s="24"/>
      <c r="CN11" s="210">
        <v>15</v>
      </c>
      <c r="CO11" s="24" t="s">
        <v>1084</v>
      </c>
      <c r="CP11" s="1165">
        <v>41336</v>
      </c>
      <c r="CQ11" s="24"/>
      <c r="CR11" s="391">
        <v>10</v>
      </c>
      <c r="CS11" s="24" t="s">
        <v>1084</v>
      </c>
      <c r="CT11" s="408">
        <f>mthSales!$GE$10</f>
        <v>41335</v>
      </c>
      <c r="CU11" s="405"/>
      <c r="CV11" s="391">
        <v>5</v>
      </c>
      <c r="CW11" s="24" t="s">
        <v>1084</v>
      </c>
      <c r="CX11" s="408">
        <v>41334</v>
      </c>
      <c r="CY11" s="405"/>
      <c r="CZ11" s="2708">
        <v>2</v>
      </c>
      <c r="DA11" s="24" t="s">
        <v>1084</v>
      </c>
      <c r="DB11" s="408">
        <v>42794</v>
      </c>
      <c r="DC11" s="405"/>
      <c r="DD11" s="2708">
        <v>7</v>
      </c>
      <c r="DE11" s="2708">
        <v>4</v>
      </c>
      <c r="DF11" s="24" t="s">
        <v>1084</v>
      </c>
      <c r="DG11" s="408">
        <v>42062</v>
      </c>
      <c r="DH11" s="405"/>
      <c r="DI11" s="2728">
        <v>4</v>
      </c>
      <c r="DJ11" s="2708">
        <v>4</v>
      </c>
      <c r="DK11" s="24" t="s">
        <v>1084</v>
      </c>
      <c r="DL11" s="24"/>
      <c r="DM11" s="408">
        <v>42791</v>
      </c>
      <c r="DN11" s="405"/>
      <c r="DO11" s="2728">
        <v>-16</v>
      </c>
      <c r="DP11" s="2708">
        <v>-16</v>
      </c>
      <c r="DQ11" s="24" t="s">
        <v>1084</v>
      </c>
      <c r="DR11" s="24"/>
      <c r="DS11" s="408">
        <v>41334</v>
      </c>
      <c r="DT11" s="405"/>
      <c r="DU11" s="2693">
        <v>-6</v>
      </c>
      <c r="DV11" s="2798">
        <v>2</v>
      </c>
      <c r="DW11" s="24" t="s">
        <v>1084</v>
      </c>
      <c r="DX11" s="405">
        <f>DI11+DD11</f>
        <v>11</v>
      </c>
      <c r="DY11" s="405">
        <f>DE11+DJ11</f>
        <v>8</v>
      </c>
      <c r="DZ11" s="425">
        <v>0.25</v>
      </c>
      <c r="EA11" s="425">
        <v>0.23</v>
      </c>
      <c r="EB11" s="425">
        <v>0.25</v>
      </c>
      <c r="EC11" s="425">
        <v>0.25</v>
      </c>
      <c r="ED11" s="425">
        <v>0.25</v>
      </c>
      <c r="EE11" s="425">
        <v>0.25</v>
      </c>
      <c r="EF11" s="425">
        <v>0.25</v>
      </c>
      <c r="EG11" s="425">
        <v>0.25</v>
      </c>
      <c r="EH11" s="425">
        <v>0.25</v>
      </c>
      <c r="EI11" s="425">
        <f>+mthSales!HU10</f>
        <v>0.31915540177270463</v>
      </c>
      <c r="EJ11" s="425">
        <f>+mthSales!HV10</f>
        <v>0.31752508958288173</v>
      </c>
      <c r="EK11" s="425">
        <f>+mthSales!HW10</f>
        <v>0.31069422893624121</v>
      </c>
      <c r="EL11" s="425">
        <f>+mthSales!HX10</f>
        <v>0.30261287203025317</v>
      </c>
      <c r="EM11" s="425">
        <f>+mthSales!HY10</f>
        <v>0.30360518974976131</v>
      </c>
      <c r="EN11" s="425">
        <f>mthSales!HZ10</f>
        <v>0.31424591782339178</v>
      </c>
      <c r="EO11" s="425">
        <v>0.31365005018400804</v>
      </c>
      <c r="EP11" s="425">
        <v>0.31365005018400804</v>
      </c>
      <c r="EQ11" s="425">
        <v>0.315</v>
      </c>
      <c r="ER11" s="425">
        <v>0.315</v>
      </c>
      <c r="ES11" s="425">
        <v>0.315</v>
      </c>
      <c r="EU11" s="228">
        <v>-8</v>
      </c>
      <c r="EV11" s="228">
        <f>EU11+DJ11</f>
        <v>-4</v>
      </c>
    </row>
    <row r="12" spans="1:152">
      <c r="A12" s="31" t="s">
        <v>829</v>
      </c>
      <c r="B12" s="24"/>
      <c r="C12" s="24"/>
      <c r="D12" s="120">
        <v>5</v>
      </c>
      <c r="E12" s="24"/>
      <c r="F12" s="276"/>
      <c r="G12" s="168"/>
      <c r="H12" s="227"/>
      <c r="I12" s="168"/>
      <c r="J12" s="286" t="str">
        <f>+mthSales!N11</f>
        <v>4/6</v>
      </c>
      <c r="K12" s="168"/>
      <c r="L12" s="227"/>
      <c r="M12" s="168"/>
      <c r="N12" s="286" t="str">
        <f>+mthSales!V11</f>
        <v xml:space="preserve"> 4/4</v>
      </c>
      <c r="O12" s="168"/>
      <c r="P12" s="227"/>
      <c r="Q12" s="168"/>
      <c r="R12" s="286" t="str">
        <f>+mthSales!AD11</f>
        <v xml:space="preserve"> 4/3</v>
      </c>
      <c r="S12" s="168"/>
      <c r="T12" s="227"/>
      <c r="U12" s="168"/>
      <c r="V12" s="286" t="str">
        <f>+mthSales!AL11</f>
        <v>4/2</v>
      </c>
      <c r="W12" s="168"/>
      <c r="X12" s="227"/>
      <c r="Y12" s="168"/>
      <c r="Z12" s="286" t="str">
        <f>+mthSales!AT11</f>
        <v>4/1</v>
      </c>
      <c r="AA12" s="168"/>
      <c r="AB12" s="227"/>
      <c r="AC12" s="168"/>
      <c r="AD12" s="224" t="str">
        <f>+mthSales!BB11</f>
        <v>4/6</v>
      </c>
      <c r="AE12" s="168"/>
      <c r="AF12" s="210">
        <v>12</v>
      </c>
      <c r="AG12" s="168"/>
      <c r="AH12" s="288" t="str">
        <f>+mthSales!BJ11</f>
        <v>4/5</v>
      </c>
      <c r="AI12" s="24"/>
      <c r="AJ12" s="210">
        <v>5</v>
      </c>
      <c r="AK12" s="24"/>
      <c r="AL12" s="283" t="str">
        <f>+mthSales!BR11</f>
        <v>4/4</v>
      </c>
      <c r="AM12" s="24"/>
      <c r="AN12" s="210">
        <v>4</v>
      </c>
      <c r="AO12" s="24"/>
      <c r="AP12" s="283" t="str">
        <f>+mthSales!BZ11</f>
        <v>4/3</v>
      </c>
      <c r="AQ12" s="168"/>
      <c r="AR12" s="210">
        <v>22</v>
      </c>
      <c r="AS12" s="168"/>
      <c r="AT12" s="283" t="str">
        <f>+mthSales!CH11</f>
        <v>4/1</v>
      </c>
      <c r="AU12" s="24"/>
      <c r="AV12" s="210">
        <v>5</v>
      </c>
      <c r="AW12" s="24"/>
      <c r="AX12" s="283" t="str">
        <f>+mthSales!CP11</f>
        <v>4/7</v>
      </c>
      <c r="AY12" s="24"/>
      <c r="AZ12" s="210">
        <v>-9</v>
      </c>
      <c r="BA12" s="24"/>
      <c r="BB12" s="283" t="str">
        <f>+mthSales!CX11</f>
        <v>4/6</v>
      </c>
      <c r="BC12" s="24"/>
      <c r="BD12" s="210">
        <v>10</v>
      </c>
      <c r="BE12" s="24"/>
      <c r="BF12" s="408">
        <f>+mthSales!DF11</f>
        <v>37716</v>
      </c>
      <c r="BG12" s="24"/>
      <c r="BH12" s="210">
        <v>-2</v>
      </c>
      <c r="BI12" s="24"/>
      <c r="BJ12" s="408">
        <f>+mthSales!DN11</f>
        <v>38081</v>
      </c>
      <c r="BK12" s="24"/>
      <c r="BL12" s="210">
        <v>21</v>
      </c>
      <c r="BM12" s="24"/>
      <c r="BN12" s="408">
        <f>mthSales!DV11</f>
        <v>38444</v>
      </c>
      <c r="BO12" s="24"/>
      <c r="BP12" s="210">
        <v>1</v>
      </c>
      <c r="BQ12" s="24"/>
      <c r="BR12" s="408">
        <f>mthSales!ED11</f>
        <v>38443</v>
      </c>
      <c r="BS12" s="24"/>
      <c r="BT12" s="210">
        <v>7</v>
      </c>
      <c r="BU12" s="24"/>
      <c r="BV12" s="408">
        <f>mthSales!EL11</f>
        <v>39179</v>
      </c>
      <c r="BW12" s="24"/>
      <c r="BX12" s="210">
        <v>8</v>
      </c>
      <c r="BY12" s="24"/>
      <c r="BZ12" s="408">
        <f>mthSales!ET11</f>
        <v>39177</v>
      </c>
      <c r="CA12" s="24"/>
      <c r="CB12" s="210">
        <v>-6</v>
      </c>
      <c r="CC12" s="24"/>
      <c r="CD12" s="408">
        <f>mthSales!FB11</f>
        <v>39907</v>
      </c>
      <c r="CE12" s="24"/>
      <c r="CF12" s="210">
        <v>-10</v>
      </c>
      <c r="CG12" s="24"/>
      <c r="CH12" s="408">
        <f>mthSales!FJ11</f>
        <v>40271</v>
      </c>
      <c r="CI12" s="24"/>
      <c r="CJ12" s="210">
        <v>19</v>
      </c>
      <c r="CK12" s="24"/>
      <c r="CL12" s="408">
        <v>40635</v>
      </c>
      <c r="CM12" s="24"/>
      <c r="CN12" s="210">
        <v>19</v>
      </c>
      <c r="CO12" s="24"/>
      <c r="CP12" s="1165">
        <v>41371</v>
      </c>
      <c r="CQ12" s="24"/>
      <c r="CR12" s="391">
        <v>10</v>
      </c>
      <c r="CS12" s="24"/>
      <c r="CT12" s="408">
        <f>mthSales!GE11</f>
        <v>41370</v>
      </c>
      <c r="CU12" s="405"/>
      <c r="CV12" s="391">
        <v>2</v>
      </c>
      <c r="CW12" s="24"/>
      <c r="CX12" s="408">
        <v>41369</v>
      </c>
      <c r="CY12" s="405"/>
      <c r="CZ12" s="2709">
        <v>-1</v>
      </c>
      <c r="DA12" s="24"/>
      <c r="DB12" s="408">
        <v>42829</v>
      </c>
      <c r="DC12" s="405"/>
      <c r="DD12" s="2717">
        <v>9</v>
      </c>
      <c r="DE12" s="2717">
        <v>6</v>
      </c>
      <c r="DF12" s="24"/>
      <c r="DG12" s="408">
        <v>42096</v>
      </c>
      <c r="DH12" s="405"/>
      <c r="DI12" s="2728">
        <v>0</v>
      </c>
      <c r="DJ12" s="2708">
        <v>2</v>
      </c>
      <c r="DK12" s="24"/>
      <c r="DL12" s="24"/>
      <c r="DM12" s="408">
        <v>42826</v>
      </c>
      <c r="DN12" s="405"/>
      <c r="DO12" s="2728">
        <v>-12</v>
      </c>
      <c r="DP12" s="2708">
        <v>-13</v>
      </c>
      <c r="DQ12" s="24"/>
      <c r="DR12" s="24"/>
      <c r="DS12" s="408">
        <v>41369</v>
      </c>
      <c r="DT12" s="405"/>
      <c r="DU12" s="2693">
        <v>-3</v>
      </c>
      <c r="DV12" s="2798">
        <v>1</v>
      </c>
      <c r="DW12" s="24"/>
      <c r="DX12" s="405">
        <f>DI12+DD12</f>
        <v>9</v>
      </c>
      <c r="DY12" s="405">
        <f>DE12+DJ12</f>
        <v>8</v>
      </c>
      <c r="DZ12" s="425">
        <v>0.4</v>
      </c>
      <c r="EA12" s="425">
        <v>0.44</v>
      </c>
      <c r="EB12" s="425">
        <v>0.4</v>
      </c>
      <c r="EC12" s="425">
        <v>0.4</v>
      </c>
      <c r="ED12" s="425">
        <v>0.4</v>
      </c>
      <c r="EE12" s="425">
        <v>0.4</v>
      </c>
      <c r="EF12" s="425">
        <v>0.4</v>
      </c>
      <c r="EG12" s="425">
        <v>0.4</v>
      </c>
      <c r="EH12" s="425">
        <v>0.4</v>
      </c>
      <c r="EI12" s="425">
        <f>+mthSales!HU11</f>
        <v>0.38086709078734871</v>
      </c>
      <c r="EJ12" s="425">
        <f>+mthSales!HV11</f>
        <v>0.37456135978177835</v>
      </c>
      <c r="EK12" s="425">
        <f>+mthSales!HW11</f>
        <v>0.38669808297363528</v>
      </c>
      <c r="EL12" s="425">
        <f>+mthSales!HX11</f>
        <v>0.38926055829797063</v>
      </c>
      <c r="EM12" s="425">
        <f>+mthSales!HY11</f>
        <v>0.39042912381185851</v>
      </c>
      <c r="EN12" s="425">
        <f>mthSales!HZ11</f>
        <v>0.39453802058141002</v>
      </c>
      <c r="EO12" s="425">
        <v>0.38629140180662436</v>
      </c>
      <c r="EP12" s="425">
        <v>0.38629140180662436</v>
      </c>
      <c r="EQ12" s="425">
        <v>0.37</v>
      </c>
      <c r="ER12" s="425">
        <v>0.37</v>
      </c>
      <c r="ES12" s="425">
        <v>0.37</v>
      </c>
      <c r="EU12" s="228">
        <v>-3</v>
      </c>
      <c r="EV12" s="228">
        <f>EU12+DJ12</f>
        <v>-1</v>
      </c>
    </row>
    <row r="13" spans="1:152">
      <c r="A13" s="31" t="s">
        <v>830</v>
      </c>
      <c r="B13" s="24"/>
      <c r="C13" s="24"/>
      <c r="D13" s="120">
        <v>4</v>
      </c>
      <c r="E13" s="24"/>
      <c r="F13" s="274"/>
      <c r="G13" s="168"/>
      <c r="H13" s="231"/>
      <c r="I13" s="168"/>
      <c r="J13" s="286" t="str">
        <f>+mthSales!N12</f>
        <v>5/4</v>
      </c>
      <c r="K13" s="168"/>
      <c r="L13" s="231"/>
      <c r="M13" s="168"/>
      <c r="N13" s="286" t="str">
        <f>+mthSales!V12</f>
        <v xml:space="preserve"> 5/2</v>
      </c>
      <c r="O13" s="168"/>
      <c r="P13" s="231"/>
      <c r="Q13" s="168"/>
      <c r="R13" s="286" t="str">
        <f>+mthSales!AD12</f>
        <v xml:space="preserve"> 5/1</v>
      </c>
      <c r="S13" s="168"/>
      <c r="T13" s="231"/>
      <c r="U13" s="168"/>
      <c r="V13" s="286" t="str">
        <f>+mthSales!AL12</f>
        <v>4/30</v>
      </c>
      <c r="W13" s="168"/>
      <c r="X13" s="231"/>
      <c r="Y13" s="168"/>
      <c r="Z13" s="286" t="str">
        <f>+mthSales!AT12</f>
        <v>4/29</v>
      </c>
      <c r="AA13" s="168"/>
      <c r="AB13" s="231"/>
      <c r="AC13" s="168"/>
      <c r="AD13" s="224" t="str">
        <f>+mthSales!BB12</f>
        <v>4/29</v>
      </c>
      <c r="AE13" s="168"/>
      <c r="AF13" s="211">
        <v>1</v>
      </c>
      <c r="AG13" s="168"/>
      <c r="AH13" s="288" t="str">
        <f>+mthSales!BJ12</f>
        <v>5/3</v>
      </c>
      <c r="AI13" s="24"/>
      <c r="AJ13" s="211">
        <v>10</v>
      </c>
      <c r="AK13" s="24"/>
      <c r="AL13" s="283" t="str">
        <f>+mthSales!BR12</f>
        <v>5/2</v>
      </c>
      <c r="AM13" s="24"/>
      <c r="AN13" s="211">
        <v>8</v>
      </c>
      <c r="AO13" s="24"/>
      <c r="AP13" s="283" t="str">
        <f>+mthSales!BZ12</f>
        <v>5/1</v>
      </c>
      <c r="AQ13" s="168"/>
      <c r="AR13" s="211">
        <v>6</v>
      </c>
      <c r="AS13" s="150"/>
      <c r="AT13" s="283" t="str">
        <f>+mthSales!CH12</f>
        <v>4/29</v>
      </c>
      <c r="AU13" s="24"/>
      <c r="AV13" s="211">
        <v>26</v>
      </c>
      <c r="AW13" s="31"/>
      <c r="AX13" s="283" t="str">
        <f>+mthSales!CP12</f>
        <v>5/5</v>
      </c>
      <c r="AY13" s="24"/>
      <c r="AZ13" s="211">
        <v>-6</v>
      </c>
      <c r="BA13" s="31"/>
      <c r="BB13" s="283" t="str">
        <f>+mthSales!CX12</f>
        <v>5/4</v>
      </c>
      <c r="BC13" s="24"/>
      <c r="BD13" s="211">
        <v>6</v>
      </c>
      <c r="BE13" s="31"/>
      <c r="BF13" s="408">
        <f>+mthSales!DF12</f>
        <v>37744</v>
      </c>
      <c r="BG13" s="24"/>
      <c r="BH13" s="211">
        <v>0</v>
      </c>
      <c r="BI13" s="31"/>
      <c r="BJ13" s="408">
        <f>+mthSales!DN12</f>
        <v>38109</v>
      </c>
      <c r="BK13" s="24"/>
      <c r="BL13" s="211">
        <v>11</v>
      </c>
      <c r="BM13" s="31"/>
      <c r="BN13" s="408">
        <f>mthSales!DV12</f>
        <v>38472</v>
      </c>
      <c r="BO13" s="24"/>
      <c r="BP13" s="211">
        <v>-3</v>
      </c>
      <c r="BQ13" s="31"/>
      <c r="BR13" s="408">
        <f>mthSales!ED12</f>
        <v>38471</v>
      </c>
      <c r="BS13" s="24"/>
      <c r="BT13" s="211">
        <v>12</v>
      </c>
      <c r="BU13" s="31"/>
      <c r="BV13" s="408">
        <f>mthSales!EL12</f>
        <v>39207</v>
      </c>
      <c r="BW13" s="24"/>
      <c r="BX13" s="211">
        <v>-4</v>
      </c>
      <c r="BY13" s="31"/>
      <c r="BZ13" s="408">
        <f>mthSales!ET12</f>
        <v>39205</v>
      </c>
      <c r="CA13" s="24"/>
      <c r="CB13" s="211">
        <v>-4</v>
      </c>
      <c r="CC13" s="31"/>
      <c r="CD13" s="408">
        <f>mthSales!FB12</f>
        <v>39935</v>
      </c>
      <c r="CE13" s="24"/>
      <c r="CF13" s="211">
        <v>-8</v>
      </c>
      <c r="CG13" s="31"/>
      <c r="CH13" s="408">
        <f>mthSales!FJ12</f>
        <v>40299</v>
      </c>
      <c r="CI13" s="24"/>
      <c r="CJ13" s="211">
        <v>7</v>
      </c>
      <c r="CK13" s="31"/>
      <c r="CL13" s="408">
        <v>40663</v>
      </c>
      <c r="CM13" s="24"/>
      <c r="CN13" s="211">
        <v>25</v>
      </c>
      <c r="CO13" s="31"/>
      <c r="CP13" s="1165">
        <v>41399</v>
      </c>
      <c r="CQ13" s="24"/>
      <c r="CR13" s="392">
        <v>8</v>
      </c>
      <c r="CS13" s="31"/>
      <c r="CT13" s="1156">
        <f>mthSales!GE12</f>
        <v>41398</v>
      </c>
      <c r="CU13" s="405"/>
      <c r="CV13" s="392">
        <v>2</v>
      </c>
      <c r="CW13" s="31"/>
      <c r="CX13" s="1156">
        <v>41397</v>
      </c>
      <c r="CY13" s="405"/>
      <c r="CZ13" s="2710">
        <v>8</v>
      </c>
      <c r="DA13" s="31"/>
      <c r="DB13" s="1156">
        <v>42857</v>
      </c>
      <c r="DC13" s="405"/>
      <c r="DD13" s="2718">
        <v>0</v>
      </c>
      <c r="DE13" s="2718">
        <v>-3</v>
      </c>
      <c r="DF13" s="31"/>
      <c r="DG13" s="1156">
        <v>42124</v>
      </c>
      <c r="DH13" s="405"/>
      <c r="DI13" s="2718">
        <v>-3</v>
      </c>
      <c r="DJ13" s="2718">
        <v>-1</v>
      </c>
      <c r="DK13" s="31"/>
      <c r="DL13" s="31"/>
      <c r="DM13" s="1156">
        <v>42844</v>
      </c>
      <c r="DN13" s="405"/>
      <c r="DO13" s="2733">
        <v>-7</v>
      </c>
      <c r="DP13" s="2734">
        <v>-12</v>
      </c>
      <c r="DQ13" s="31"/>
      <c r="DR13" s="31"/>
      <c r="DS13" s="1156">
        <v>41397</v>
      </c>
      <c r="DT13" s="405"/>
      <c r="DU13" s="2539">
        <v>-5</v>
      </c>
      <c r="DV13" s="2521">
        <f t="shared" ref="DV13:DV21" si="3">(DU13*0.8)+(DU82*0.2)</f>
        <v>-2</v>
      </c>
      <c r="DW13" s="31"/>
      <c r="DX13" s="405">
        <f>DI13+DD13</f>
        <v>-3</v>
      </c>
      <c r="DY13" s="405">
        <f>DE13+DJ13</f>
        <v>-4</v>
      </c>
      <c r="DZ13" s="426">
        <f t="shared" ref="DZ13:EN13" si="4">1-DZ12-DZ11</f>
        <v>0.35</v>
      </c>
      <c r="EA13" s="426">
        <f t="shared" si="4"/>
        <v>0.33000000000000007</v>
      </c>
      <c r="EB13" s="426">
        <f t="shared" si="4"/>
        <v>0.35</v>
      </c>
      <c r="EC13" s="426">
        <f t="shared" si="4"/>
        <v>0.35</v>
      </c>
      <c r="ED13" s="426">
        <f t="shared" si="4"/>
        <v>0.35</v>
      </c>
      <c r="EE13" s="426">
        <f t="shared" si="4"/>
        <v>0.35</v>
      </c>
      <c r="EF13" s="426">
        <f t="shared" si="4"/>
        <v>0.35</v>
      </c>
      <c r="EG13" s="426">
        <f t="shared" si="4"/>
        <v>0.35</v>
      </c>
      <c r="EH13" s="426">
        <f t="shared" si="4"/>
        <v>0.35</v>
      </c>
      <c r="EI13" s="426">
        <f t="shared" si="4"/>
        <v>0.29997750743994667</v>
      </c>
      <c r="EJ13" s="426">
        <f t="shared" si="4"/>
        <v>0.30791355063533998</v>
      </c>
      <c r="EK13" s="426">
        <f t="shared" si="4"/>
        <v>0.30260768809012351</v>
      </c>
      <c r="EL13" s="426">
        <f t="shared" si="4"/>
        <v>0.30812656967177615</v>
      </c>
      <c r="EM13" s="426">
        <f t="shared" si="4"/>
        <v>0.30596568643838024</v>
      </c>
      <c r="EN13" s="426">
        <f t="shared" si="4"/>
        <v>0.29121606159519825</v>
      </c>
      <c r="EO13" s="426">
        <v>0.3000585480093676</v>
      </c>
      <c r="EP13" s="426">
        <v>0.3000585480093676</v>
      </c>
      <c r="EQ13" s="426">
        <v>0.32500000000000001</v>
      </c>
      <c r="ER13" s="426">
        <v>0.32500000000000001</v>
      </c>
      <c r="ES13" s="426">
        <v>0.32500000000000001</v>
      </c>
      <c r="EU13" s="228">
        <v>-2</v>
      </c>
      <c r="EV13" s="228">
        <f t="shared" ref="EV13:EV17" si="5">EU13+DJ13</f>
        <v>-3</v>
      </c>
    </row>
    <row r="14" spans="1:152">
      <c r="A14" s="116"/>
      <c r="B14" s="118" t="s">
        <v>921</v>
      </c>
      <c r="C14" s="116"/>
      <c r="D14" s="121"/>
      <c r="E14" s="116"/>
      <c r="F14" s="269"/>
      <c r="G14" s="245"/>
      <c r="H14" s="232"/>
      <c r="I14" s="245"/>
      <c r="J14" s="269"/>
      <c r="K14" s="245"/>
      <c r="L14" s="232"/>
      <c r="M14" s="245"/>
      <c r="N14" s="269"/>
      <c r="O14" s="245"/>
      <c r="P14" s="232"/>
      <c r="Q14" s="245"/>
      <c r="R14" s="269"/>
      <c r="S14" s="245"/>
      <c r="T14" s="232"/>
      <c r="U14" s="245"/>
      <c r="V14" s="269"/>
      <c r="W14" s="245"/>
      <c r="X14" s="354">
        <v>13</v>
      </c>
      <c r="Y14" s="245"/>
      <c r="Z14" s="269" t="s">
        <v>533</v>
      </c>
      <c r="AA14" s="245"/>
      <c r="AB14" s="354">
        <v>2</v>
      </c>
      <c r="AC14" s="245"/>
      <c r="AD14" s="269"/>
      <c r="AE14" s="245"/>
      <c r="AF14" s="352">
        <v>6</v>
      </c>
      <c r="AG14" s="245"/>
      <c r="AH14" s="269"/>
      <c r="AI14" s="116"/>
      <c r="AJ14" s="352">
        <v>7</v>
      </c>
      <c r="AK14" s="116"/>
      <c r="AL14" s="269"/>
      <c r="AM14" s="116"/>
      <c r="AN14" s="352">
        <v>6</v>
      </c>
      <c r="AO14" s="116"/>
      <c r="AP14" s="269"/>
      <c r="AQ14" s="245"/>
      <c r="AR14" s="352">
        <v>13</v>
      </c>
      <c r="AS14" s="247"/>
      <c r="AT14" s="269"/>
      <c r="AU14" s="116"/>
      <c r="AV14" s="352">
        <v>14</v>
      </c>
      <c r="AW14" s="118"/>
      <c r="AX14" s="269"/>
      <c r="AY14" s="116"/>
      <c r="AZ14" s="353">
        <v>-7</v>
      </c>
      <c r="BA14" s="118"/>
      <c r="BB14" s="269"/>
      <c r="BC14" s="116"/>
      <c r="BD14" s="353">
        <v>8</v>
      </c>
      <c r="BE14" s="118"/>
      <c r="BF14" s="409"/>
      <c r="BG14" s="116"/>
      <c r="BH14" s="353">
        <v>1</v>
      </c>
      <c r="BI14" s="118"/>
      <c r="BJ14" s="409"/>
      <c r="BK14" s="116"/>
      <c r="BL14" s="353">
        <v>15</v>
      </c>
      <c r="BM14" s="118"/>
      <c r="BN14" s="409"/>
      <c r="BO14" s="116"/>
      <c r="BP14" s="353">
        <v>0</v>
      </c>
      <c r="BQ14" s="118"/>
      <c r="BR14" s="409"/>
      <c r="BS14" s="116"/>
      <c r="BT14" s="353">
        <v>8</v>
      </c>
      <c r="BU14" s="118"/>
      <c r="BV14" s="409"/>
      <c r="BW14" s="116"/>
      <c r="BX14" s="353">
        <v>2</v>
      </c>
      <c r="BY14" s="118"/>
      <c r="BZ14" s="1080"/>
      <c r="CA14" s="116"/>
      <c r="CB14" s="353">
        <v>-7</v>
      </c>
      <c r="CC14" s="118"/>
      <c r="CD14" s="1080"/>
      <c r="CE14" s="116"/>
      <c r="CF14" s="353">
        <v>-9</v>
      </c>
      <c r="CG14" s="118"/>
      <c r="CH14" s="1080"/>
      <c r="CI14" s="116"/>
      <c r="CJ14" s="353">
        <v>12</v>
      </c>
      <c r="CK14" s="118"/>
      <c r="CL14" s="1080"/>
      <c r="CM14" s="116"/>
      <c r="CN14" s="1078">
        <v>19</v>
      </c>
      <c r="CO14" s="118"/>
      <c r="CP14" s="121"/>
      <c r="CQ14" s="116"/>
      <c r="CR14" s="2703">
        <v>9</v>
      </c>
      <c r="CS14" s="118"/>
      <c r="CT14" s="1080"/>
      <c r="CU14" s="114"/>
      <c r="CV14" s="2704">
        <v>3</v>
      </c>
      <c r="CW14" s="118"/>
      <c r="CX14" s="1080"/>
      <c r="CY14" s="1151"/>
      <c r="CZ14" s="2711">
        <v>2</v>
      </c>
      <c r="DA14" s="118"/>
      <c r="DB14" s="1080"/>
      <c r="DC14" s="1151"/>
      <c r="DD14" s="2719">
        <v>5</v>
      </c>
      <c r="DE14" s="2719">
        <v>3</v>
      </c>
      <c r="DF14" s="118"/>
      <c r="DG14" s="1080"/>
      <c r="DH14" s="1151"/>
      <c r="DI14" s="2719">
        <v>1</v>
      </c>
      <c r="DJ14" s="2719">
        <v>2</v>
      </c>
      <c r="DK14" s="118"/>
      <c r="DL14" s="118"/>
      <c r="DM14" s="1080"/>
      <c r="DN14" s="1151"/>
      <c r="DO14" s="2735">
        <v>-12</v>
      </c>
      <c r="DP14" s="2735">
        <v>-14</v>
      </c>
      <c r="DQ14" s="118"/>
      <c r="DR14" s="118"/>
      <c r="DS14" s="1080"/>
      <c r="DT14" s="1151"/>
      <c r="DU14" s="2540">
        <f>+ES14</f>
        <v>-4.625</v>
      </c>
      <c r="DV14" s="1093">
        <f t="shared" si="3"/>
        <v>-0.1287704108830412</v>
      </c>
      <c r="DW14" s="118"/>
      <c r="DX14" s="405">
        <f>DI14+DD14</f>
        <v>6</v>
      </c>
      <c r="DY14" s="405">
        <f>DE14+DJ14</f>
        <v>5</v>
      </c>
      <c r="DZ14" s="405">
        <f>+AR11*DZ11+AR12*DZ12+AR13*DZ13</f>
        <v>13.4</v>
      </c>
      <c r="EA14" s="405">
        <f>+AV11*EA11+AV12*EA12+AV13*EA13</f>
        <v>14.000000000000002</v>
      </c>
      <c r="EB14" s="405">
        <f>+AZ11*EB11+AZ12*EB12+AZ13*EB13</f>
        <v>-7.1999999999999993</v>
      </c>
      <c r="EC14" s="405">
        <f>+BD11*EC11+BD12*EC12+BD13*EC13</f>
        <v>7.85</v>
      </c>
      <c r="ED14" s="405">
        <f>+BH11*ED11+BH12*ED12+BH13*ED13</f>
        <v>0.44999999999999996</v>
      </c>
      <c r="EE14" s="405">
        <f>+BL11*EE11+BL12*EE12+BL13*EE13</f>
        <v>15.25</v>
      </c>
      <c r="EF14" s="405">
        <f>+BP11*EF11+BP12*EF12+BP13*EF13</f>
        <v>-0.3999999999999998</v>
      </c>
      <c r="EG14" s="405">
        <f>+BT11*EG11+BT12*EG12+BT13*EG13</f>
        <v>8.25</v>
      </c>
      <c r="EH14" s="405">
        <f>+BX11*EH11+BX12*EH12+BX13*EH13</f>
        <v>2.3000000000000003</v>
      </c>
      <c r="EI14" s="405">
        <f>+CB11*EI11+CB12*EI12+CB13*EI13</f>
        <v>-6.6766665922109256</v>
      </c>
      <c r="EJ14" s="405">
        <f>+CF11*EJ11+CF12*EJ12+CF13*EJ13</f>
        <v>-9.0666478091464384</v>
      </c>
      <c r="EK14" s="405">
        <f>+CJ11*EK11+CJ12*EK12+CJ13*EK13</f>
        <v>12.572459682492347</v>
      </c>
      <c r="EL14" s="405">
        <f>+CN11*EL11+CN12*EL12+CN13*EL13</f>
        <v>19.638307929909644</v>
      </c>
      <c r="EM14" s="405">
        <f>+CR11*EM11+CR12*EM12+CR13*EM13</f>
        <v>9.3880686271232392</v>
      </c>
      <c r="EN14" s="405">
        <f>+CV11*EN11+CV12*EN12+CV13*EN13</f>
        <v>2.9427377534701753</v>
      </c>
      <c r="EO14" s="405">
        <f>+CZ11*EO11+CZ12*EO12+CZ13*EO13</f>
        <v>2.6414770826363325</v>
      </c>
      <c r="EP14" s="405">
        <f>+DD11*EP11+DD12*EP12+DD13*EP13</f>
        <v>5.6721729675476755</v>
      </c>
      <c r="EQ14" s="405">
        <f>+DI11*EQ11+DI12*EQ12+DI13*EQ13</f>
        <v>0.28499999999999992</v>
      </c>
      <c r="ER14" s="405">
        <f>+DO11*ER11+DO12*ER12+DO13*ER13</f>
        <v>-11.755000000000001</v>
      </c>
      <c r="ES14" s="405">
        <f>+DU11*ES11+DU12*ES12+DU13*ES13</f>
        <v>-4.625</v>
      </c>
      <c r="EU14" s="228"/>
      <c r="EV14" s="228"/>
    </row>
    <row r="15" spans="1:152">
      <c r="A15" s="119"/>
      <c r="B15" s="119"/>
      <c r="C15" s="119"/>
      <c r="D15" s="122"/>
      <c r="E15" s="119"/>
      <c r="F15" s="277"/>
      <c r="G15" s="246"/>
      <c r="H15" s="246"/>
      <c r="I15" s="246"/>
      <c r="J15" s="287"/>
      <c r="K15" s="246"/>
      <c r="L15" s="246"/>
      <c r="M15" s="246"/>
      <c r="N15" s="287"/>
      <c r="O15" s="246"/>
      <c r="P15" s="246"/>
      <c r="Q15" s="246"/>
      <c r="R15" s="287"/>
      <c r="S15" s="246"/>
      <c r="T15" s="246"/>
      <c r="U15" s="246"/>
      <c r="V15" s="287"/>
      <c r="W15" s="246"/>
      <c r="X15" s="246"/>
      <c r="Y15" s="246"/>
      <c r="Z15" s="287"/>
      <c r="AA15" s="246"/>
      <c r="AB15" s="246"/>
      <c r="AC15" s="246"/>
      <c r="AD15" s="270"/>
      <c r="AE15" s="246"/>
      <c r="AF15" s="122"/>
      <c r="AG15" s="246"/>
      <c r="AH15" s="270"/>
      <c r="AI15" s="119"/>
      <c r="AJ15" s="122"/>
      <c r="AK15" s="119"/>
      <c r="AL15" s="270"/>
      <c r="AM15" s="119"/>
      <c r="AN15" s="122"/>
      <c r="AO15" s="119"/>
      <c r="AP15" s="270"/>
      <c r="AQ15" s="246"/>
      <c r="AR15" s="122"/>
      <c r="AS15" s="246"/>
      <c r="AT15" s="270"/>
      <c r="AU15" s="119"/>
      <c r="AV15" s="122"/>
      <c r="AW15" s="119"/>
      <c r="AX15" s="270"/>
      <c r="AY15" s="119"/>
      <c r="AZ15" s="122"/>
      <c r="BA15" s="119"/>
      <c r="BB15" s="270"/>
      <c r="BC15" s="119"/>
      <c r="BD15" s="122"/>
      <c r="BE15" s="119"/>
      <c r="BF15" s="410"/>
      <c r="BG15" s="119"/>
      <c r="BH15" s="122"/>
      <c r="BI15" s="119"/>
      <c r="BJ15" s="410"/>
      <c r="BK15" s="119"/>
      <c r="BL15" s="122"/>
      <c r="BM15" s="119"/>
      <c r="BN15" s="410"/>
      <c r="BO15" s="119"/>
      <c r="BP15" s="122"/>
      <c r="BQ15" s="119"/>
      <c r="BR15" s="410"/>
      <c r="BS15" s="119"/>
      <c r="BT15" s="122"/>
      <c r="BU15" s="119"/>
      <c r="BV15" s="410"/>
      <c r="BW15" s="119"/>
      <c r="BX15" s="948"/>
      <c r="BY15" s="30"/>
      <c r="BZ15" s="408"/>
      <c r="CA15" s="30"/>
      <c r="CB15" s="948"/>
      <c r="CC15" s="30"/>
      <c r="CD15" s="408"/>
      <c r="CE15" s="30"/>
      <c r="CF15" s="948"/>
      <c r="CG15" s="30"/>
      <c r="CH15" s="408"/>
      <c r="CI15" s="30"/>
      <c r="CJ15" s="948"/>
      <c r="CK15" s="30"/>
      <c r="CL15" s="408"/>
      <c r="CM15" s="30"/>
      <c r="CN15" s="948"/>
      <c r="CO15" s="30"/>
      <c r="CP15" s="122"/>
      <c r="CQ15" s="30"/>
      <c r="CR15" s="415"/>
      <c r="CS15" s="30"/>
      <c r="CT15" s="408"/>
      <c r="CU15" s="30"/>
      <c r="CV15" s="2375"/>
      <c r="CW15" s="30"/>
      <c r="CX15" s="408"/>
      <c r="CY15" s="253"/>
      <c r="CZ15" s="2712"/>
      <c r="DA15" s="30"/>
      <c r="DB15" s="408"/>
      <c r="DC15" s="253"/>
      <c r="DD15" s="2712"/>
      <c r="DE15" s="2712"/>
      <c r="DF15" s="30"/>
      <c r="DG15" s="408"/>
      <c r="DH15" s="253"/>
      <c r="DI15" s="2729"/>
      <c r="DJ15" s="2730"/>
      <c r="DK15" s="30"/>
      <c r="DL15" s="30"/>
      <c r="DM15" s="408"/>
      <c r="DN15" s="253"/>
      <c r="DO15" s="1096"/>
      <c r="DP15" s="2712"/>
      <c r="DQ15" s="30"/>
      <c r="DR15" s="30"/>
      <c r="DS15" s="408"/>
      <c r="DT15" s="253"/>
      <c r="DU15" s="2539"/>
      <c r="DV15" s="2524"/>
      <c r="DW15" s="30"/>
      <c r="DX15" s="405"/>
      <c r="DY15" s="405"/>
      <c r="DZ15" s="24"/>
      <c r="EA15" s="24"/>
      <c r="EB15" s="24"/>
      <c r="EC15" s="24"/>
      <c r="ED15" s="24"/>
      <c r="EE15" s="24"/>
      <c r="EF15" s="24"/>
      <c r="EG15" s="24"/>
      <c r="EH15" s="24"/>
      <c r="EI15" s="24"/>
      <c r="EJ15" s="24"/>
      <c r="EK15" s="24"/>
      <c r="EL15" s="24"/>
      <c r="EQ15" s="1237"/>
      <c r="ER15" s="1237"/>
      <c r="ES15" s="1237"/>
      <c r="EU15" s="228"/>
      <c r="EV15" s="228"/>
    </row>
    <row r="16" spans="1:152">
      <c r="A16" s="31" t="s">
        <v>831</v>
      </c>
      <c r="B16" s="24"/>
      <c r="C16" s="24"/>
      <c r="D16" s="113">
        <f>+D11</f>
        <v>4</v>
      </c>
      <c r="E16" s="24"/>
      <c r="F16" s="276"/>
      <c r="G16" s="168"/>
      <c r="H16" s="227"/>
      <c r="I16" s="168" t="s">
        <v>1084</v>
      </c>
      <c r="J16" s="286" t="str">
        <f>+mthSales!N15</f>
        <v>6/1</v>
      </c>
      <c r="K16" s="168"/>
      <c r="L16" s="227"/>
      <c r="M16" s="168" t="s">
        <v>1084</v>
      </c>
      <c r="N16" s="286" t="str">
        <f>+mthSales!V15</f>
        <v xml:space="preserve"> 5/30</v>
      </c>
      <c r="O16" s="168"/>
      <c r="P16" s="227"/>
      <c r="Q16" s="168" t="s">
        <v>1084</v>
      </c>
      <c r="R16" s="286" t="str">
        <f>+mthSales!AD15</f>
        <v xml:space="preserve"> 5/29</v>
      </c>
      <c r="S16" s="168"/>
      <c r="T16" s="227"/>
      <c r="U16" s="168" t="s">
        <v>1084</v>
      </c>
      <c r="V16" s="286" t="str">
        <f>+mthSales!AL15</f>
        <v>5/28</v>
      </c>
      <c r="W16" s="168"/>
      <c r="X16" s="227"/>
      <c r="Y16" s="168" t="s">
        <v>1084</v>
      </c>
      <c r="Z16" s="286" t="str">
        <f>+mthSales!AT15</f>
        <v>5/27</v>
      </c>
      <c r="AA16" s="168"/>
      <c r="AB16" s="227"/>
      <c r="AC16" s="168" t="s">
        <v>1084</v>
      </c>
      <c r="AD16" s="224" t="str">
        <f>+mthSales!BB15</f>
        <v>6/1</v>
      </c>
      <c r="AE16" s="168"/>
      <c r="AF16" s="210">
        <v>7</v>
      </c>
      <c r="AG16" s="168" t="s">
        <v>1084</v>
      </c>
      <c r="AH16" s="288" t="str">
        <f>+mthSales!BJ15</f>
        <v>5/31</v>
      </c>
      <c r="AI16" s="24"/>
      <c r="AJ16" s="210">
        <v>2</v>
      </c>
      <c r="AK16" s="24" t="s">
        <v>1084</v>
      </c>
      <c r="AL16" s="283" t="str">
        <f>+mthSales!BR15</f>
        <v>5/30</v>
      </c>
      <c r="AM16" s="24"/>
      <c r="AN16" s="210">
        <v>4</v>
      </c>
      <c r="AO16" s="24" t="s">
        <v>1084</v>
      </c>
      <c r="AP16" s="283" t="str">
        <f>+mthSales!BZ15</f>
        <v>5/29</v>
      </c>
      <c r="AQ16" s="168"/>
      <c r="AR16" s="210">
        <v>9</v>
      </c>
      <c r="AS16" s="168" t="s">
        <v>1084</v>
      </c>
      <c r="AT16" s="283" t="str">
        <f>+mthSales!CH15</f>
        <v>5/27</v>
      </c>
      <c r="AU16" s="24"/>
      <c r="AV16" s="210">
        <v>18</v>
      </c>
      <c r="AW16" s="24" t="s">
        <v>1084</v>
      </c>
      <c r="AX16" s="283" t="str">
        <f>+mthSales!CP15</f>
        <v>6/2</v>
      </c>
      <c r="AY16" s="24"/>
      <c r="AZ16" s="210">
        <v>-4</v>
      </c>
      <c r="BA16" s="24" t="s">
        <v>1084</v>
      </c>
      <c r="BB16" s="283" t="str">
        <f>+mthSales!CX15</f>
        <v>6/1</v>
      </c>
      <c r="BC16" s="24"/>
      <c r="BD16" s="210">
        <v>5</v>
      </c>
      <c r="BE16" s="24" t="s">
        <v>1084</v>
      </c>
      <c r="BF16" s="408">
        <f>+mthSales!DF15</f>
        <v>37772</v>
      </c>
      <c r="BG16" s="24"/>
      <c r="BH16" s="210">
        <v>1</v>
      </c>
      <c r="BI16" s="24" t="s">
        <v>1084</v>
      </c>
      <c r="BJ16" s="408">
        <f>+mthSales!DN15</f>
        <v>38137</v>
      </c>
      <c r="BK16" s="24"/>
      <c r="BL16" s="210">
        <v>10</v>
      </c>
      <c r="BM16" s="24" t="s">
        <v>1084</v>
      </c>
      <c r="BN16" s="408">
        <f>mthSales!DV15</f>
        <v>38500</v>
      </c>
      <c r="BO16" s="24"/>
      <c r="BP16" s="210">
        <v>0</v>
      </c>
      <c r="BQ16" s="24" t="s">
        <v>1084</v>
      </c>
      <c r="BR16" s="408">
        <f>mthSales!ED15</f>
        <v>38499</v>
      </c>
      <c r="BS16" s="24"/>
      <c r="BT16" s="210">
        <v>16</v>
      </c>
      <c r="BU16" s="24" t="s">
        <v>1084</v>
      </c>
      <c r="BV16" s="408">
        <f>mthSales!EL15</f>
        <v>39235</v>
      </c>
      <c r="BW16" s="24"/>
      <c r="BX16" s="210">
        <v>5</v>
      </c>
      <c r="BY16" s="24" t="s">
        <v>1084</v>
      </c>
      <c r="BZ16" s="408">
        <f>mthSales!ET15</f>
        <v>39233</v>
      </c>
      <c r="CA16" s="24"/>
      <c r="CB16" s="210">
        <v>-4</v>
      </c>
      <c r="CC16" s="24" t="s">
        <v>1084</v>
      </c>
      <c r="CD16" s="408">
        <f>mthSales!FB15</f>
        <v>39963</v>
      </c>
      <c r="CE16" s="24"/>
      <c r="CF16" s="210">
        <v>-10</v>
      </c>
      <c r="CG16" s="24" t="s">
        <v>1084</v>
      </c>
      <c r="CH16" s="408">
        <f>mthSales!FJ15</f>
        <v>40327</v>
      </c>
      <c r="CI16" s="24"/>
      <c r="CJ16" s="210">
        <v>7</v>
      </c>
      <c r="CK16" s="24" t="s">
        <v>1084</v>
      </c>
      <c r="CL16" s="408">
        <v>40691</v>
      </c>
      <c r="CM16" s="24"/>
      <c r="CN16" s="210">
        <v>8</v>
      </c>
      <c r="CO16" s="24" t="s">
        <v>1084</v>
      </c>
      <c r="CP16" s="1165">
        <v>41427</v>
      </c>
      <c r="CQ16" s="24"/>
      <c r="CR16" s="391">
        <v>9</v>
      </c>
      <c r="CS16" s="24" t="s">
        <v>1084</v>
      </c>
      <c r="CT16" s="408">
        <f>mthSales!GE15</f>
        <v>41426</v>
      </c>
      <c r="CU16" s="405"/>
      <c r="CV16" s="391">
        <v>4</v>
      </c>
      <c r="CW16" s="24" t="s">
        <v>1084</v>
      </c>
      <c r="CX16" s="408">
        <v>41425</v>
      </c>
      <c r="CY16" s="405"/>
      <c r="CZ16" s="2713">
        <v>2</v>
      </c>
      <c r="DA16" s="24" t="s">
        <v>1084</v>
      </c>
      <c r="DB16" s="408">
        <v>42885</v>
      </c>
      <c r="DC16" s="405"/>
      <c r="DD16" s="2717">
        <v>5</v>
      </c>
      <c r="DE16" s="2717">
        <v>3</v>
      </c>
      <c r="DF16" s="24" t="s">
        <v>1084</v>
      </c>
      <c r="DG16" s="408">
        <v>42152</v>
      </c>
      <c r="DH16" s="405"/>
      <c r="DI16" s="2717">
        <v>-2</v>
      </c>
      <c r="DJ16" s="2717">
        <v>-1</v>
      </c>
      <c r="DK16" s="24" t="s">
        <v>1084</v>
      </c>
      <c r="DL16" s="24"/>
      <c r="DM16" s="408">
        <v>42882</v>
      </c>
      <c r="DN16" s="405"/>
      <c r="DO16" s="2728">
        <v>-11</v>
      </c>
      <c r="DP16" s="2708">
        <v>-14</v>
      </c>
      <c r="DQ16" s="24" t="s">
        <v>1084</v>
      </c>
      <c r="DR16" s="24"/>
      <c r="DS16" s="408">
        <v>41425</v>
      </c>
      <c r="DT16" s="405"/>
      <c r="DU16" s="2539">
        <v>-2</v>
      </c>
      <c r="DV16" s="2522">
        <f t="shared" si="3"/>
        <v>0.39999999999999991</v>
      </c>
      <c r="DW16" s="24" t="s">
        <v>1084</v>
      </c>
      <c r="DX16" s="405">
        <f>DI16+DD16</f>
        <v>3</v>
      </c>
      <c r="DY16" s="405">
        <f>DE16+DJ16</f>
        <v>2</v>
      </c>
      <c r="DZ16" s="425">
        <v>0.35</v>
      </c>
      <c r="EA16" s="425">
        <v>0.35</v>
      </c>
      <c r="EB16" s="425">
        <v>0.35</v>
      </c>
      <c r="EC16" s="425">
        <v>0.35</v>
      </c>
      <c r="ED16" s="425">
        <v>0.35</v>
      </c>
      <c r="EE16" s="425">
        <v>0.35</v>
      </c>
      <c r="EF16" s="425">
        <v>0.35</v>
      </c>
      <c r="EG16" s="425">
        <v>0.35</v>
      </c>
      <c r="EH16" s="425">
        <v>0.35</v>
      </c>
      <c r="EI16" s="425">
        <f>+mthSales!HU15</f>
        <v>0.28949610254982461</v>
      </c>
      <c r="EJ16" s="425">
        <f>+mthSales!HV15</f>
        <v>0.2993812046476429</v>
      </c>
      <c r="EK16" s="425">
        <f>+mthSales!HW15</f>
        <v>0.29311010647928071</v>
      </c>
      <c r="EL16" s="425">
        <f>+mthSales!HX15</f>
        <v>0.29184573101375505</v>
      </c>
      <c r="EM16" s="425">
        <f>+mthSales!HY15</f>
        <v>0.28006382404038854</v>
      </c>
      <c r="EN16" s="425">
        <f>mthSales!HZ15</f>
        <v>0.29293086672559726</v>
      </c>
      <c r="EO16" s="425">
        <f>EN16</f>
        <v>0.29293086672559726</v>
      </c>
      <c r="EP16" s="425">
        <f>EO16</f>
        <v>0.29293086672559726</v>
      </c>
      <c r="EQ16" s="425">
        <v>0.3</v>
      </c>
      <c r="ER16" s="425">
        <v>0.3</v>
      </c>
      <c r="ES16" s="425">
        <v>0.3</v>
      </c>
      <c r="EU16" s="228">
        <v>0</v>
      </c>
      <c r="EV16" s="228">
        <f>EU16+DJ16</f>
        <v>-1</v>
      </c>
    </row>
    <row r="17" spans="1:152">
      <c r="A17" s="31" t="s">
        <v>652</v>
      </c>
      <c r="B17" s="24"/>
      <c r="C17" s="24"/>
      <c r="D17" s="113">
        <f>+D12</f>
        <v>5</v>
      </c>
      <c r="E17" s="24"/>
      <c r="F17" s="274"/>
      <c r="G17" s="168"/>
      <c r="H17" s="227"/>
      <c r="I17" s="168"/>
      <c r="J17" s="286" t="str">
        <f>+mthSales!N16</f>
        <v>7/6</v>
      </c>
      <c r="K17" s="168"/>
      <c r="L17" s="227"/>
      <c r="M17" s="168"/>
      <c r="N17" s="286" t="str">
        <f>+mthSales!V16</f>
        <v xml:space="preserve"> 7/4</v>
      </c>
      <c r="O17" s="168"/>
      <c r="P17" s="227"/>
      <c r="Q17" s="168"/>
      <c r="R17" s="286" t="str">
        <f>+mthSales!AD16</f>
        <v xml:space="preserve"> 7/3</v>
      </c>
      <c r="S17" s="168"/>
      <c r="T17" s="227"/>
      <c r="U17" s="168"/>
      <c r="V17" s="286" t="str">
        <f>+mthSales!AL16</f>
        <v>7/2</v>
      </c>
      <c r="W17" s="168"/>
      <c r="X17" s="227"/>
      <c r="Y17" s="168"/>
      <c r="Z17" s="286" t="str">
        <f>+mthSales!AT16</f>
        <v>7/1</v>
      </c>
      <c r="AA17" s="168"/>
      <c r="AB17" s="227"/>
      <c r="AC17" s="168"/>
      <c r="AD17" s="224" t="str">
        <f>+mthSales!BB16</f>
        <v>7/6</v>
      </c>
      <c r="AE17" s="168"/>
      <c r="AF17" s="210">
        <v>-2</v>
      </c>
      <c r="AG17" s="168"/>
      <c r="AH17" s="288" t="str">
        <f>+mthSales!BJ16</f>
        <v>7/5</v>
      </c>
      <c r="AI17" s="24"/>
      <c r="AJ17" s="210">
        <v>37</v>
      </c>
      <c r="AK17" s="24"/>
      <c r="AL17" s="283" t="str">
        <f>+mthSales!BR16</f>
        <v>7/4</v>
      </c>
      <c r="AM17" s="24"/>
      <c r="AN17" s="210">
        <v>-1</v>
      </c>
      <c r="AO17" s="24"/>
      <c r="AP17" s="283" t="str">
        <f>+mthSales!BZ16</f>
        <v>7/3</v>
      </c>
      <c r="AQ17" s="168"/>
      <c r="AR17" s="210">
        <v>16</v>
      </c>
      <c r="AS17" s="168"/>
      <c r="AT17" s="283" t="str">
        <f>+mthSales!CH16</f>
        <v>7/1</v>
      </c>
      <c r="AU17" s="24"/>
      <c r="AV17" s="210">
        <v>11</v>
      </c>
      <c r="AW17" s="24"/>
      <c r="AX17" s="283" t="str">
        <f>+mthSales!CP16</f>
        <v>7/7</v>
      </c>
      <c r="AY17" s="24"/>
      <c r="AZ17" s="210">
        <v>0</v>
      </c>
      <c r="BA17" s="24"/>
      <c r="BB17" s="283" t="str">
        <f>+mthSales!CX16</f>
        <v>7/6</v>
      </c>
      <c r="BC17" s="24"/>
      <c r="BD17" s="210">
        <v>6</v>
      </c>
      <c r="BE17" s="24"/>
      <c r="BF17" s="408">
        <f>+mthSales!DF16</f>
        <v>37807</v>
      </c>
      <c r="BG17" s="24"/>
      <c r="BH17" s="210">
        <v>7</v>
      </c>
      <c r="BI17" s="24"/>
      <c r="BJ17" s="408">
        <f>+mthSales!DN16</f>
        <v>38172</v>
      </c>
      <c r="BK17" s="24"/>
      <c r="BL17" s="210">
        <v>6</v>
      </c>
      <c r="BM17" s="24"/>
      <c r="BN17" s="408">
        <f>mthSales!DV16</f>
        <v>38535</v>
      </c>
      <c r="BO17" s="24"/>
      <c r="BP17" s="210">
        <v>0</v>
      </c>
      <c r="BQ17" s="24"/>
      <c r="BR17" s="408">
        <f>mthSales!ED16</f>
        <v>38534</v>
      </c>
      <c r="BS17" s="24"/>
      <c r="BT17" s="210">
        <v>6</v>
      </c>
      <c r="BU17" s="24"/>
      <c r="BV17" s="408">
        <f>mthSales!EL16</f>
        <v>39270</v>
      </c>
      <c r="BW17" s="24"/>
      <c r="BX17" s="210">
        <v>8</v>
      </c>
      <c r="BY17" s="24"/>
      <c r="BZ17" s="408">
        <f>mthSales!ET16</f>
        <v>39268</v>
      </c>
      <c r="CA17" s="24"/>
      <c r="CB17" s="210">
        <v>-12</v>
      </c>
      <c r="CC17" s="24"/>
      <c r="CD17" s="408">
        <f>mthSales!FB16</f>
        <v>39998</v>
      </c>
      <c r="CE17" s="24"/>
      <c r="CF17" s="210">
        <v>-14</v>
      </c>
      <c r="CG17" s="24"/>
      <c r="CH17" s="408">
        <f>mthSales!FJ16</f>
        <v>40362</v>
      </c>
      <c r="CI17" s="24"/>
      <c r="CJ17" s="210">
        <v>17</v>
      </c>
      <c r="CK17" s="24"/>
      <c r="CL17" s="408">
        <v>40726</v>
      </c>
      <c r="CM17" s="24"/>
      <c r="CN17" s="210">
        <v>17</v>
      </c>
      <c r="CO17" s="24"/>
      <c r="CP17" s="1165">
        <v>41462</v>
      </c>
      <c r="CQ17" s="24"/>
      <c r="CR17" s="391">
        <v>11</v>
      </c>
      <c r="CS17" s="24"/>
      <c r="CT17" s="408">
        <f>mthSales!GE16</f>
        <v>41461</v>
      </c>
      <c r="CU17" s="405"/>
      <c r="CV17" s="391">
        <v>-1</v>
      </c>
      <c r="CW17" s="24"/>
      <c r="CX17" s="1157">
        <v>41460</v>
      </c>
      <c r="CY17" s="405"/>
      <c r="CZ17" s="2713">
        <v>3</v>
      </c>
      <c r="DA17" s="24"/>
      <c r="DB17" s="1157">
        <v>42920</v>
      </c>
      <c r="DC17" s="405"/>
      <c r="DD17" s="2721">
        <v>1</v>
      </c>
      <c r="DE17" s="2721">
        <v>0</v>
      </c>
      <c r="DF17" s="24"/>
      <c r="DG17" s="1157">
        <v>42187</v>
      </c>
      <c r="DH17" s="405"/>
      <c r="DI17" s="2721">
        <v>4</v>
      </c>
      <c r="DJ17" s="2721">
        <v>6</v>
      </c>
      <c r="DK17" s="24"/>
      <c r="DL17" s="24"/>
      <c r="DM17" s="1157">
        <v>42917</v>
      </c>
      <c r="DN17" s="405"/>
      <c r="DO17" s="2721">
        <v>-12</v>
      </c>
      <c r="DP17" s="2721">
        <v>-17</v>
      </c>
      <c r="DQ17" s="24"/>
      <c r="DR17" s="24"/>
      <c r="DS17" s="1157">
        <v>41460</v>
      </c>
      <c r="DT17" s="405"/>
      <c r="DU17" s="2539">
        <v>1</v>
      </c>
      <c r="DV17" s="2522">
        <f t="shared" si="3"/>
        <v>2.8</v>
      </c>
      <c r="DW17" s="24"/>
      <c r="DX17" s="405">
        <f>DI17+DD17</f>
        <v>5</v>
      </c>
      <c r="DY17" s="405">
        <f>DE17+DJ17</f>
        <v>6</v>
      </c>
      <c r="DZ17" s="425">
        <v>0.38</v>
      </c>
      <c r="EA17" s="425">
        <v>0.38</v>
      </c>
      <c r="EB17" s="425">
        <v>0.38</v>
      </c>
      <c r="EC17" s="425">
        <v>0.38</v>
      </c>
      <c r="ED17" s="425">
        <v>0.38</v>
      </c>
      <c r="EE17" s="425">
        <v>0.38</v>
      </c>
      <c r="EF17" s="425">
        <v>0.38</v>
      </c>
      <c r="EG17" s="425">
        <v>0.38</v>
      </c>
      <c r="EH17" s="425">
        <v>0.38</v>
      </c>
      <c r="EI17" s="425">
        <f>+mthSales!HU16</f>
        <v>0.44739908786620408</v>
      </c>
      <c r="EJ17" s="425">
        <f>+mthSales!HV16</f>
        <v>0.43153088460444139</v>
      </c>
      <c r="EK17" s="425">
        <f>+mthSales!HW16</f>
        <v>0.43050128829316542</v>
      </c>
      <c r="EL17" s="425">
        <f>+mthSales!HX16</f>
        <v>0.43935515680910991</v>
      </c>
      <c r="EM17" s="425">
        <f>+mthSales!HY16</f>
        <v>0.44891909285830994</v>
      </c>
      <c r="EN17" s="425">
        <f>mthSales!HZ16</f>
        <v>0.43760771270676069</v>
      </c>
      <c r="EO17" s="425">
        <f>EN17</f>
        <v>0.43760771270676069</v>
      </c>
      <c r="EP17" s="425">
        <f>EO17</f>
        <v>0.43760771270676069</v>
      </c>
      <c r="EQ17" s="425">
        <v>0.43</v>
      </c>
      <c r="ER17" s="425">
        <v>0.43</v>
      </c>
      <c r="ES17" s="425">
        <v>0.43</v>
      </c>
      <c r="EU17" s="228">
        <v>-7</v>
      </c>
      <c r="EV17" s="228">
        <f t="shared" si="5"/>
        <v>-1</v>
      </c>
    </row>
    <row r="18" spans="1:152">
      <c r="A18" s="31" t="s">
        <v>653</v>
      </c>
      <c r="B18" s="24"/>
      <c r="C18" s="24"/>
      <c r="D18" s="113">
        <f>+D13</f>
        <v>4</v>
      </c>
      <c r="E18" s="24"/>
      <c r="F18" s="274"/>
      <c r="G18" s="168"/>
      <c r="H18" s="231"/>
      <c r="I18" s="168"/>
      <c r="J18" s="286" t="str">
        <f>+mthSales!N17</f>
        <v>8/3</v>
      </c>
      <c r="K18" s="168"/>
      <c r="L18" s="231"/>
      <c r="M18" s="168"/>
      <c r="N18" s="286" t="str">
        <f>+mthSales!V17</f>
        <v xml:space="preserve"> 8/1</v>
      </c>
      <c r="O18" s="168"/>
      <c r="P18" s="231"/>
      <c r="Q18" s="168"/>
      <c r="R18" s="286" t="str">
        <f>+mthSales!AD17</f>
        <v xml:space="preserve"> 7/31</v>
      </c>
      <c r="S18" s="168"/>
      <c r="T18" s="231"/>
      <c r="U18" s="168"/>
      <c r="V18" s="286" t="str">
        <f>+mthSales!AL17</f>
        <v>7/30</v>
      </c>
      <c r="W18" s="168"/>
      <c r="X18" s="231"/>
      <c r="Y18" s="168"/>
      <c r="Z18" s="286" t="str">
        <f>+mthSales!AT17</f>
        <v>7/29</v>
      </c>
      <c r="AA18" s="168"/>
      <c r="AB18" s="231"/>
      <c r="AC18" s="168"/>
      <c r="AD18" s="224" t="str">
        <f>+mthSales!BB17</f>
        <v>8/3</v>
      </c>
      <c r="AE18" s="168"/>
      <c r="AF18" s="211">
        <v>4</v>
      </c>
      <c r="AG18" s="168"/>
      <c r="AH18" s="288" t="str">
        <f>+mthSales!BJ17</f>
        <v>8/2</v>
      </c>
      <c r="AI18" s="24"/>
      <c r="AJ18" s="211">
        <v>2</v>
      </c>
      <c r="AK18" s="24"/>
      <c r="AL18" s="283" t="str">
        <f>+mthSales!BR17</f>
        <v>8/1</v>
      </c>
      <c r="AM18" s="24"/>
      <c r="AN18" s="211">
        <v>5</v>
      </c>
      <c r="AO18" s="24"/>
      <c r="AP18" s="283" t="str">
        <f>+mthSales!BZ17</f>
        <v>7/31</v>
      </c>
      <c r="AQ18" s="168"/>
      <c r="AR18" s="211">
        <v>13</v>
      </c>
      <c r="AS18" s="168"/>
      <c r="AT18" s="283" t="str">
        <f>+mthSales!CH17</f>
        <v>7/29</v>
      </c>
      <c r="AU18" s="24"/>
      <c r="AV18" s="211">
        <v>7</v>
      </c>
      <c r="AW18" s="24"/>
      <c r="AX18" s="283" t="str">
        <f>+mthSales!CP17</f>
        <v>8/4</v>
      </c>
      <c r="AY18" s="24"/>
      <c r="AZ18" s="211">
        <v>-5</v>
      </c>
      <c r="BA18" s="24"/>
      <c r="BB18" s="283" t="str">
        <f>+mthSales!CX17</f>
        <v>8/3</v>
      </c>
      <c r="BC18" s="24"/>
      <c r="BD18" s="211">
        <v>4</v>
      </c>
      <c r="BE18" s="24"/>
      <c r="BF18" s="408">
        <f>+mthSales!DF17</f>
        <v>37835</v>
      </c>
      <c r="BG18" s="24"/>
      <c r="BH18" s="211">
        <v>8</v>
      </c>
      <c r="BI18" s="24"/>
      <c r="BJ18" s="408">
        <f>+mthSales!DN17</f>
        <v>38200</v>
      </c>
      <c r="BK18" s="24"/>
      <c r="BL18" s="211">
        <v>6</v>
      </c>
      <c r="BM18" s="24"/>
      <c r="BN18" s="408">
        <f>mthSales!DV17</f>
        <v>38563</v>
      </c>
      <c r="BO18" s="24"/>
      <c r="BP18" s="211">
        <v>7</v>
      </c>
      <c r="BQ18" s="24"/>
      <c r="BR18" s="408">
        <f>mthSales!ED17</f>
        <v>38562</v>
      </c>
      <c r="BS18" s="24"/>
      <c r="BT18" s="211">
        <v>13</v>
      </c>
      <c r="BU18" s="24"/>
      <c r="BV18" s="408">
        <f>mthSales!EL17</f>
        <v>39298</v>
      </c>
      <c r="BW18" s="24"/>
      <c r="BX18" s="211">
        <v>-4</v>
      </c>
      <c r="BY18" s="24"/>
      <c r="BZ18" s="408">
        <f>mthSales!ET17</f>
        <v>39296</v>
      </c>
      <c r="CA18" s="24"/>
      <c r="CB18" s="211">
        <v>-6</v>
      </c>
      <c r="CC18" s="24"/>
      <c r="CD18" s="408">
        <f>mthSales!FB17</f>
        <v>40026</v>
      </c>
      <c r="CE18" s="24"/>
      <c r="CF18" s="211">
        <v>-9</v>
      </c>
      <c r="CG18" s="24"/>
      <c r="CH18" s="408">
        <f>mthSales!FJ17</f>
        <v>40390</v>
      </c>
      <c r="CI18" s="24"/>
      <c r="CJ18" s="211">
        <v>12</v>
      </c>
      <c r="CK18" s="24"/>
      <c r="CL18" s="408">
        <v>40754</v>
      </c>
      <c r="CM18" s="24"/>
      <c r="CN18" s="211">
        <v>9</v>
      </c>
      <c r="CO18" s="24"/>
      <c r="CP18" s="1165">
        <v>41490</v>
      </c>
      <c r="CQ18" s="24"/>
      <c r="CR18" s="392">
        <v>12</v>
      </c>
      <c r="CS18" s="24"/>
      <c r="CT18" s="408">
        <f>mthSales!GE17</f>
        <v>41489</v>
      </c>
      <c r="CU18" s="405"/>
      <c r="CV18" s="392">
        <v>2</v>
      </c>
      <c r="CW18" s="24"/>
      <c r="CX18" s="408">
        <v>41488</v>
      </c>
      <c r="CY18" s="405"/>
      <c r="CZ18" s="2714">
        <v>5</v>
      </c>
      <c r="DA18" s="24"/>
      <c r="DB18" s="408">
        <v>42948</v>
      </c>
      <c r="DC18" s="405"/>
      <c r="DD18" s="2722">
        <v>2</v>
      </c>
      <c r="DE18" s="2722">
        <v>1</v>
      </c>
      <c r="DF18" s="24"/>
      <c r="DG18" s="408">
        <v>42215</v>
      </c>
      <c r="DH18" s="405"/>
      <c r="DI18" s="2722">
        <v>-1</v>
      </c>
      <c r="DJ18" s="2722">
        <v>0</v>
      </c>
      <c r="DK18" s="24"/>
      <c r="DL18" s="24"/>
      <c r="DM18" s="408">
        <v>42945</v>
      </c>
      <c r="DN18" s="405"/>
      <c r="DO18" s="2733">
        <v>-9</v>
      </c>
      <c r="DP18" s="2734">
        <v>-10</v>
      </c>
      <c r="DQ18" s="24"/>
      <c r="DR18" s="24"/>
      <c r="DS18" s="408">
        <v>41488</v>
      </c>
      <c r="DT18" s="405"/>
      <c r="DU18" s="2539">
        <v>0</v>
      </c>
      <c r="DV18" s="2521">
        <f t="shared" si="3"/>
        <v>2</v>
      </c>
      <c r="DW18" s="31"/>
      <c r="DX18" s="405">
        <f>DI18+DD18</f>
        <v>1</v>
      </c>
      <c r="DY18" s="405">
        <f>DE18+DJ18</f>
        <v>1</v>
      </c>
      <c r="DZ18" s="426">
        <f t="shared" ref="DZ18:EI18" si="6">1-DZ17-DZ16</f>
        <v>0.27</v>
      </c>
      <c r="EA18" s="426">
        <f t="shared" si="6"/>
        <v>0.27</v>
      </c>
      <c r="EB18" s="426">
        <f t="shared" si="6"/>
        <v>0.27</v>
      </c>
      <c r="EC18" s="426">
        <f t="shared" si="6"/>
        <v>0.27</v>
      </c>
      <c r="ED18" s="426">
        <f t="shared" si="6"/>
        <v>0.27</v>
      </c>
      <c r="EE18" s="426">
        <f t="shared" si="6"/>
        <v>0.27</v>
      </c>
      <c r="EF18" s="426">
        <f t="shared" si="6"/>
        <v>0.27</v>
      </c>
      <c r="EG18" s="426">
        <f t="shared" si="6"/>
        <v>0.27</v>
      </c>
      <c r="EH18" s="426">
        <f t="shared" si="6"/>
        <v>0.27</v>
      </c>
      <c r="EI18" s="426">
        <f t="shared" si="6"/>
        <v>0.26310480958397131</v>
      </c>
      <c r="EJ18" s="426">
        <f t="shared" ref="EJ18:EO18" si="7">1-EJ17-EJ16</f>
        <v>0.26908791074791566</v>
      </c>
      <c r="EK18" s="426">
        <f t="shared" si="7"/>
        <v>0.27638860522755393</v>
      </c>
      <c r="EL18" s="426">
        <f t="shared" si="7"/>
        <v>0.26879911217713509</v>
      </c>
      <c r="EM18" s="426">
        <f t="shared" si="7"/>
        <v>0.27101708310130146</v>
      </c>
      <c r="EN18" s="426">
        <f t="shared" si="7"/>
        <v>0.26946142056764205</v>
      </c>
      <c r="EO18" s="426">
        <f t="shared" si="7"/>
        <v>0.26946142056764205</v>
      </c>
      <c r="EP18" s="426">
        <f>1-EP17-EP16</f>
        <v>0.26946142056764205</v>
      </c>
      <c r="EQ18" s="426">
        <f>1-EQ17-EQ16</f>
        <v>0.27000000000000007</v>
      </c>
      <c r="ER18" s="426">
        <f>1-ER17-ER16</f>
        <v>0.27000000000000007</v>
      </c>
      <c r="ES18" s="426">
        <f>1-ES17-ES16</f>
        <v>0.27000000000000007</v>
      </c>
      <c r="EU18" s="228"/>
    </row>
    <row r="19" spans="1:152">
      <c r="A19" s="116"/>
      <c r="B19" s="118" t="s">
        <v>924</v>
      </c>
      <c r="C19" s="116"/>
      <c r="D19" s="121"/>
      <c r="E19" s="116"/>
      <c r="F19" s="269"/>
      <c r="G19" s="245"/>
      <c r="H19" s="232"/>
      <c r="I19" s="245"/>
      <c r="J19" s="269"/>
      <c r="K19" s="245"/>
      <c r="L19" s="232"/>
      <c r="M19" s="245"/>
      <c r="N19" s="269"/>
      <c r="O19" s="245"/>
      <c r="P19" s="232"/>
      <c r="Q19" s="245"/>
      <c r="R19" s="269"/>
      <c r="S19" s="245"/>
      <c r="T19" s="232"/>
      <c r="U19" s="245"/>
      <c r="V19" s="269"/>
      <c r="W19" s="245"/>
      <c r="X19" s="232"/>
      <c r="Y19" s="245"/>
      <c r="Z19" s="269"/>
      <c r="AA19" s="245"/>
      <c r="AB19" s="232"/>
      <c r="AC19" s="245"/>
      <c r="AD19" s="269"/>
      <c r="AE19" s="245"/>
      <c r="AF19" s="352">
        <v>3</v>
      </c>
      <c r="AG19" s="245"/>
      <c r="AH19" s="269"/>
      <c r="AI19" s="116"/>
      <c r="AJ19" s="352">
        <v>15</v>
      </c>
      <c r="AK19" s="116"/>
      <c r="AL19" s="269"/>
      <c r="AM19" s="116"/>
      <c r="AN19" s="352">
        <v>2</v>
      </c>
      <c r="AO19" s="116"/>
      <c r="AP19" s="269"/>
      <c r="AQ19" s="245"/>
      <c r="AR19" s="352">
        <v>13</v>
      </c>
      <c r="AS19" s="245"/>
      <c r="AT19" s="269"/>
      <c r="AU19" s="116"/>
      <c r="AV19" s="352">
        <v>12</v>
      </c>
      <c r="AW19" s="116"/>
      <c r="AX19" s="269"/>
      <c r="AY19" s="116"/>
      <c r="AZ19" s="353">
        <v>-3</v>
      </c>
      <c r="BA19" s="116"/>
      <c r="BB19" s="269"/>
      <c r="BC19" s="116"/>
      <c r="BD19" s="353">
        <v>5</v>
      </c>
      <c r="BE19" s="116"/>
      <c r="BF19" s="409"/>
      <c r="BG19" s="116"/>
      <c r="BH19" s="353">
        <v>6</v>
      </c>
      <c r="BI19" s="116"/>
      <c r="BJ19" s="409"/>
      <c r="BK19" s="116"/>
      <c r="BL19" s="353">
        <v>7</v>
      </c>
      <c r="BM19" s="116"/>
      <c r="BN19" s="409"/>
      <c r="BO19" s="116"/>
      <c r="BP19" s="353">
        <v>2</v>
      </c>
      <c r="BQ19" s="116"/>
      <c r="BR19" s="409"/>
      <c r="BS19" s="116"/>
      <c r="BT19" s="353">
        <v>11</v>
      </c>
      <c r="BU19" s="116"/>
      <c r="BV19" s="409"/>
      <c r="BW19" s="116"/>
      <c r="BX19" s="353">
        <v>4</v>
      </c>
      <c r="BY19" s="116"/>
      <c r="BZ19" s="1080"/>
      <c r="CA19" s="116"/>
      <c r="CB19" s="353">
        <v>-8</v>
      </c>
      <c r="CC19" s="116"/>
      <c r="CD19" s="1080"/>
      <c r="CE19" s="116"/>
      <c r="CF19" s="353">
        <v>-12</v>
      </c>
      <c r="CG19" s="116"/>
      <c r="CH19" s="1080"/>
      <c r="CI19" s="116"/>
      <c r="CJ19" s="353">
        <v>13</v>
      </c>
      <c r="CK19" s="116"/>
      <c r="CL19" s="1080"/>
      <c r="CM19" s="116"/>
      <c r="CN19" s="353">
        <v>12</v>
      </c>
      <c r="CO19" s="116"/>
      <c r="CP19" s="269"/>
      <c r="CQ19" s="116"/>
      <c r="CR19" s="2704">
        <v>11</v>
      </c>
      <c r="CS19" s="116"/>
      <c r="CT19" s="1080"/>
      <c r="CU19" s="30"/>
      <c r="CV19" s="2704">
        <v>1</v>
      </c>
      <c r="CW19" s="116"/>
      <c r="CX19" s="1080"/>
      <c r="CY19" s="253"/>
      <c r="CZ19" s="2715">
        <v>3</v>
      </c>
      <c r="DA19" s="116"/>
      <c r="DB19" s="1080"/>
      <c r="DC19" s="253"/>
      <c r="DD19" s="2723">
        <v>3</v>
      </c>
      <c r="DE19" s="2723">
        <v>1</v>
      </c>
      <c r="DF19" s="116"/>
      <c r="DG19" s="1080"/>
      <c r="DH19" s="253"/>
      <c r="DI19" s="2723">
        <v>1</v>
      </c>
      <c r="DJ19" s="2723">
        <v>2</v>
      </c>
      <c r="DK19" s="116"/>
      <c r="DL19" s="116"/>
      <c r="DM19" s="1080"/>
      <c r="DN19" s="253"/>
      <c r="DO19" s="2736">
        <v>-11</v>
      </c>
      <c r="DP19" s="2735">
        <v>-14</v>
      </c>
      <c r="DQ19" s="116"/>
      <c r="DR19" s="116"/>
      <c r="DS19" s="1080"/>
      <c r="DT19" s="253"/>
      <c r="DU19" s="2540">
        <f>+ES19</f>
        <v>-0.16999999999999998</v>
      </c>
      <c r="DV19" s="1093">
        <f t="shared" si="3"/>
        <v>1.8640000000000001</v>
      </c>
      <c r="DW19" s="118"/>
      <c r="DX19" s="405">
        <f>DI19+DD19</f>
        <v>4</v>
      </c>
      <c r="DY19" s="405">
        <f>DE19+DJ19</f>
        <v>3</v>
      </c>
      <c r="DZ19" s="405">
        <f>+AR16*DZ16+AR17*DZ17+AR18*DZ18</f>
        <v>12.74</v>
      </c>
      <c r="EA19" s="405">
        <f>+AV16*EA16+AV17*EA17+AV18*EA18</f>
        <v>12.370000000000001</v>
      </c>
      <c r="EB19" s="405">
        <f>+AZ16*EB16+AZ17*EB17+AZ18*EB18</f>
        <v>-2.75</v>
      </c>
      <c r="EC19" s="405">
        <f>+BD16*EC16+BD17*EC17+BD18*EC18</f>
        <v>5.1100000000000003</v>
      </c>
      <c r="ED19" s="405">
        <f>+BH16*ED16+BH17*ED17+BH18*ED18</f>
        <v>5.17</v>
      </c>
      <c r="EE19" s="405">
        <f>+BL16*EE16+BL17*EE17+BL18*EE18</f>
        <v>7.4</v>
      </c>
      <c r="EF19" s="405">
        <f>+BP16*EF16+BP17*EF17+BP18*EF18</f>
        <v>1.8900000000000001</v>
      </c>
      <c r="EG19" s="405">
        <f>+BT16*EG16+BT17*EG17+BT18*EG18</f>
        <v>11.39</v>
      </c>
      <c r="EH19" s="405">
        <f>+BX16*EH16+BX17*EH17+BX18*EH18</f>
        <v>3.71</v>
      </c>
      <c r="EI19" s="405">
        <f>+CB16*EI16+CB17*EI17+CB18*EI18</f>
        <v>-8.1054023220975751</v>
      </c>
      <c r="EJ19" s="405">
        <f>+CF16*EJ16+CF17*EJ17+CF18*EJ18</f>
        <v>-11.45703562766985</v>
      </c>
      <c r="EK19" s="405">
        <f>+CJ16*EK16+CJ17*EK17+CJ18*EK18</f>
        <v>12.686955909069425</v>
      </c>
      <c r="EL19" s="405">
        <f>+CN16*EL16+CN17*EL17+CN18*EL18</f>
        <v>12.222995523459124</v>
      </c>
      <c r="EM19" s="405">
        <f>+CR16*EM16+CR17*EM17+CR18*EM18</f>
        <v>10.710889435020524</v>
      </c>
      <c r="EN19" s="405">
        <f>+CV16*EN16+CV17*EN17+CV18*EN18</f>
        <v>1.2730385953309125</v>
      </c>
      <c r="EO19" s="405">
        <f>+CZ16*EO16+CZ17*EO17+CZ18*EO18</f>
        <v>3.2459919744096868</v>
      </c>
      <c r="EP19" s="405">
        <f>+DD16*EP16+DD17*EP17+DD18*EP18</f>
        <v>2.441184887470031</v>
      </c>
      <c r="EQ19" s="405">
        <f>+DI16*EQ16+DI17*EQ17+DI18*EQ18</f>
        <v>0.85000000000000009</v>
      </c>
      <c r="ER19" s="405">
        <f>+DO16*ER16+DO17*ER17+DO18*ER18</f>
        <v>-10.89</v>
      </c>
      <c r="ES19" s="405">
        <f>+DU16*ES16+DU17*ES17+DU18*ES18</f>
        <v>-0.16999999999999998</v>
      </c>
      <c r="EU19" s="228"/>
    </row>
    <row r="20" spans="1:152">
      <c r="A20" s="24"/>
      <c r="B20" s="24"/>
      <c r="C20" s="24"/>
      <c r="D20" s="113"/>
      <c r="E20" s="24"/>
      <c r="F20" s="275"/>
      <c r="G20" s="168"/>
      <c r="H20" s="168"/>
      <c r="I20" s="168"/>
      <c r="J20" s="286"/>
      <c r="K20" s="168"/>
      <c r="L20" s="168"/>
      <c r="M20" s="168"/>
      <c r="N20" s="286"/>
      <c r="O20" s="168"/>
      <c r="P20" s="168"/>
      <c r="Q20" s="168"/>
      <c r="R20" s="286"/>
      <c r="S20" s="168"/>
      <c r="T20" s="168"/>
      <c r="U20" s="168"/>
      <c r="V20" s="286"/>
      <c r="W20" s="168"/>
      <c r="X20" s="168"/>
      <c r="Y20" s="168"/>
      <c r="Z20" s="286"/>
      <c r="AA20" s="168"/>
      <c r="AB20" s="168"/>
      <c r="AC20" s="168"/>
      <c r="AD20" s="224"/>
      <c r="AE20" s="168"/>
      <c r="AF20" s="113"/>
      <c r="AG20" s="168"/>
      <c r="AH20" s="224"/>
      <c r="AI20" s="24"/>
      <c r="AJ20" s="113"/>
      <c r="AK20" s="24"/>
      <c r="AL20" s="224"/>
      <c r="AM20" s="24"/>
      <c r="AN20" s="113"/>
      <c r="AO20" s="24"/>
      <c r="AP20" s="224"/>
      <c r="AQ20" s="168"/>
      <c r="AR20" s="113"/>
      <c r="AS20" s="168"/>
      <c r="AT20" s="224"/>
      <c r="AU20" s="24"/>
      <c r="AV20" s="113"/>
      <c r="AW20" s="24"/>
      <c r="AX20" s="224"/>
      <c r="AY20" s="24"/>
      <c r="AZ20" s="113"/>
      <c r="BA20" s="24"/>
      <c r="BB20" s="224"/>
      <c r="BC20" s="24"/>
      <c r="BD20" s="113"/>
      <c r="BE20" s="24"/>
      <c r="BF20" s="411"/>
      <c r="BG20" s="24"/>
      <c r="BH20" s="113"/>
      <c r="BI20" s="24"/>
      <c r="BJ20" s="411"/>
      <c r="BK20" s="24"/>
      <c r="BL20" s="113"/>
      <c r="BM20" s="24"/>
      <c r="BN20" s="411"/>
      <c r="BO20" s="24"/>
      <c r="BP20" s="113"/>
      <c r="BQ20" s="24"/>
      <c r="BR20" s="411"/>
      <c r="BS20" s="24"/>
      <c r="BT20" s="113"/>
      <c r="BU20" s="24"/>
      <c r="BV20" s="411"/>
      <c r="BW20" s="24"/>
      <c r="BX20" s="113"/>
      <c r="BY20" s="24"/>
      <c r="BZ20" s="408"/>
      <c r="CA20" s="24"/>
      <c r="CB20" s="113"/>
      <c r="CC20" s="24"/>
      <c r="CD20" s="408"/>
      <c r="CE20" s="24"/>
      <c r="CF20" s="113"/>
      <c r="CG20" s="24"/>
      <c r="CH20" s="408"/>
      <c r="CI20" s="24"/>
      <c r="CJ20" s="113"/>
      <c r="CK20" s="24"/>
      <c r="CL20" s="408"/>
      <c r="CM20" s="24"/>
      <c r="CN20" s="113"/>
      <c r="CO20" s="24"/>
      <c r="CP20" s="224"/>
      <c r="CQ20" s="24"/>
      <c r="CR20" s="2705"/>
      <c r="CS20" s="24"/>
      <c r="CT20" s="408"/>
      <c r="CU20" s="24"/>
      <c r="CV20" s="2375"/>
      <c r="CW20" s="24"/>
      <c r="CX20" s="408"/>
      <c r="CY20" s="168"/>
      <c r="CZ20" s="2712"/>
      <c r="DA20" s="24"/>
      <c r="DB20" s="408"/>
      <c r="DC20" s="168"/>
      <c r="DD20" s="2712"/>
      <c r="DE20" s="2712"/>
      <c r="DF20" s="24"/>
      <c r="DG20" s="408"/>
      <c r="DH20" s="168"/>
      <c r="DI20" s="2729"/>
      <c r="DJ20" s="2730"/>
      <c r="DK20" s="24"/>
      <c r="DL20" s="24"/>
      <c r="DM20" s="408"/>
      <c r="DN20" s="168"/>
      <c r="DO20" s="2729"/>
      <c r="DP20" s="2730"/>
      <c r="DQ20" s="24"/>
      <c r="DR20" s="24"/>
      <c r="DS20" s="408"/>
      <c r="DT20" s="168"/>
      <c r="DU20" s="2539"/>
      <c r="DV20" s="2695"/>
      <c r="DW20" s="24"/>
      <c r="DX20" s="405"/>
      <c r="DY20" s="405"/>
      <c r="DZ20" s="24"/>
      <c r="EA20" s="24"/>
      <c r="EB20" s="24"/>
      <c r="EC20" s="24"/>
      <c r="ED20" s="24"/>
      <c r="EE20" s="24"/>
      <c r="EF20" s="24"/>
      <c r="EG20" s="24"/>
      <c r="EH20" s="24"/>
      <c r="EI20" s="24"/>
      <c r="EJ20" s="24"/>
      <c r="EK20" s="24"/>
      <c r="EL20" s="24"/>
    </row>
    <row r="21" spans="1:152">
      <c r="A21" s="31" t="s">
        <v>654</v>
      </c>
      <c r="B21" s="31"/>
      <c r="C21" s="24"/>
      <c r="D21" s="113">
        <f>+D16</f>
        <v>4</v>
      </c>
      <c r="E21" s="24"/>
      <c r="F21" s="276"/>
      <c r="G21" s="168"/>
      <c r="H21" s="227"/>
      <c r="I21" s="168" t="s">
        <v>1084</v>
      </c>
      <c r="J21" s="286" t="str">
        <f>+mthSales!N20</f>
        <v>8/31</v>
      </c>
      <c r="K21" s="168"/>
      <c r="L21" s="227"/>
      <c r="M21" s="168" t="s">
        <v>1084</v>
      </c>
      <c r="N21" s="286" t="str">
        <f>+mthSales!V20</f>
        <v xml:space="preserve"> 8/29</v>
      </c>
      <c r="O21" s="168"/>
      <c r="P21" s="227"/>
      <c r="Q21" s="168" t="s">
        <v>1084</v>
      </c>
      <c r="R21" s="286" t="str">
        <f>+mthSales!AD20</f>
        <v xml:space="preserve"> 8/28</v>
      </c>
      <c r="S21" s="168"/>
      <c r="T21" s="227"/>
      <c r="U21" s="168" t="s">
        <v>1084</v>
      </c>
      <c r="V21" s="286" t="str">
        <f>+mthSales!AL20</f>
        <v>8/27</v>
      </c>
      <c r="W21" s="168"/>
      <c r="X21" s="227"/>
      <c r="Y21" s="168" t="s">
        <v>1084</v>
      </c>
      <c r="Z21" s="286" t="str">
        <f>+mthSales!AT20</f>
        <v>8/31</v>
      </c>
      <c r="AA21" s="168"/>
      <c r="AB21" s="227"/>
      <c r="AC21" s="168" t="s">
        <v>1084</v>
      </c>
      <c r="AD21" s="224" t="str">
        <f>+mthSales!BB20</f>
        <v>8/31</v>
      </c>
      <c r="AE21" s="168"/>
      <c r="AF21" s="210">
        <v>6</v>
      </c>
      <c r="AG21" s="168" t="s">
        <v>1084</v>
      </c>
      <c r="AH21" s="288" t="str">
        <f>+mthSales!BJ20</f>
        <v>8/30</v>
      </c>
      <c r="AI21" s="24"/>
      <c r="AJ21" s="210">
        <v>4</v>
      </c>
      <c r="AK21" s="24" t="s">
        <v>1084</v>
      </c>
      <c r="AL21" s="283" t="str">
        <f>+mthSales!BR20</f>
        <v>8/29</v>
      </c>
      <c r="AM21" s="24"/>
      <c r="AN21" s="210">
        <v>1</v>
      </c>
      <c r="AO21" s="24" t="s">
        <v>1084</v>
      </c>
      <c r="AP21" s="283" t="str">
        <f>+mthSales!BZ20</f>
        <v>8/28</v>
      </c>
      <c r="AQ21" s="168"/>
      <c r="AR21" s="210">
        <v>22</v>
      </c>
      <c r="AS21" s="168" t="s">
        <v>1084</v>
      </c>
      <c r="AT21" s="283" t="str">
        <f>+mthSales!CH20</f>
        <v>8/26</v>
      </c>
      <c r="AU21" s="24"/>
      <c r="AV21" s="210">
        <v>4</v>
      </c>
      <c r="AW21" s="24" t="s">
        <v>1084</v>
      </c>
      <c r="AX21" s="283" t="str">
        <f>+mthSales!CP20</f>
        <v>9/1</v>
      </c>
      <c r="AY21" s="24"/>
      <c r="AZ21" s="210">
        <v>-4</v>
      </c>
      <c r="BA21" s="24" t="s">
        <v>1084</v>
      </c>
      <c r="BB21" s="283" t="str">
        <f>+mthSales!CX20</f>
        <v>8/31</v>
      </c>
      <c r="BC21" s="24"/>
      <c r="BD21" s="210">
        <v>3</v>
      </c>
      <c r="BE21" s="24" t="s">
        <v>1084</v>
      </c>
      <c r="BF21" s="408">
        <f>+mthSales!DF20</f>
        <v>37863</v>
      </c>
      <c r="BG21" s="24"/>
      <c r="BH21" s="210">
        <v>8</v>
      </c>
      <c r="BI21" s="24" t="s">
        <v>1084</v>
      </c>
      <c r="BJ21" s="408">
        <f>+mthSales!DN20</f>
        <v>38228</v>
      </c>
      <c r="BK21" s="24"/>
      <c r="BL21" s="210">
        <v>8</v>
      </c>
      <c r="BM21" s="24" t="s">
        <v>1084</v>
      </c>
      <c r="BN21" s="408">
        <f>mthSales!DV20</f>
        <v>38591</v>
      </c>
      <c r="BO21" s="24"/>
      <c r="BP21" s="210">
        <v>-2</v>
      </c>
      <c r="BQ21" s="24" t="s">
        <v>1084</v>
      </c>
      <c r="BR21" s="408">
        <f>mthSales!ED20</f>
        <v>38590</v>
      </c>
      <c r="BS21" s="24"/>
      <c r="BT21" s="210">
        <v>18</v>
      </c>
      <c r="BU21" s="24" t="s">
        <v>1084</v>
      </c>
      <c r="BV21" s="408">
        <f>mthSales!EL20</f>
        <v>39326</v>
      </c>
      <c r="BW21" s="24"/>
      <c r="BX21" s="210">
        <v>0</v>
      </c>
      <c r="BY21" s="24" t="s">
        <v>1084</v>
      </c>
      <c r="BZ21" s="408">
        <f>mthSales!ET20</f>
        <v>39324</v>
      </c>
      <c r="CA21" s="24"/>
      <c r="CB21" s="210">
        <v>-8</v>
      </c>
      <c r="CC21" s="24" t="s">
        <v>1084</v>
      </c>
      <c r="CD21" s="408">
        <f>mthSales!FB20</f>
        <v>40054</v>
      </c>
      <c r="CE21" s="24"/>
      <c r="CF21" s="210">
        <v>-5</v>
      </c>
      <c r="CG21" s="24" t="s">
        <v>1084</v>
      </c>
      <c r="CH21" s="408">
        <f>mthSales!FJ20</f>
        <v>40418</v>
      </c>
      <c r="CI21" s="24"/>
      <c r="CJ21" s="210">
        <v>15</v>
      </c>
      <c r="CK21" s="24" t="s">
        <v>1084</v>
      </c>
      <c r="CL21" s="408">
        <v>40782</v>
      </c>
      <c r="CM21" s="24"/>
      <c r="CN21" s="210">
        <v>16</v>
      </c>
      <c r="CO21" s="24" t="s">
        <v>1084</v>
      </c>
      <c r="CP21" s="1165">
        <v>41518</v>
      </c>
      <c r="CQ21" s="24"/>
      <c r="CR21" s="391">
        <v>9</v>
      </c>
      <c r="CS21" s="24" t="s">
        <v>1084</v>
      </c>
      <c r="CT21" s="408">
        <f>mthSales!GE20</f>
        <v>41517</v>
      </c>
      <c r="CU21" s="405"/>
      <c r="CV21" s="391">
        <v>3</v>
      </c>
      <c r="CW21" s="24" t="s">
        <v>1084</v>
      </c>
      <c r="CX21" s="408">
        <v>41516</v>
      </c>
      <c r="CY21" s="405"/>
      <c r="CZ21" s="2716">
        <v>5</v>
      </c>
      <c r="DA21" s="24" t="s">
        <v>1084</v>
      </c>
      <c r="DB21" s="408">
        <v>42976</v>
      </c>
      <c r="DC21" s="405"/>
      <c r="DD21" s="2717">
        <v>6</v>
      </c>
      <c r="DE21" s="2717">
        <v>5</v>
      </c>
      <c r="DF21" s="24" t="s">
        <v>1084</v>
      </c>
      <c r="DG21" s="408">
        <v>42243</v>
      </c>
      <c r="DH21" s="405"/>
      <c r="DI21" s="2717">
        <v>-2</v>
      </c>
      <c r="DJ21" s="2717">
        <v>0</v>
      </c>
      <c r="DK21" s="24" t="s">
        <v>1084</v>
      </c>
      <c r="DL21" s="24"/>
      <c r="DM21" s="408">
        <v>42973</v>
      </c>
      <c r="DN21" s="405"/>
      <c r="DO21" s="2717">
        <v>-7</v>
      </c>
      <c r="DP21" s="2708">
        <v>-7</v>
      </c>
      <c r="DQ21" s="24" t="s">
        <v>1084</v>
      </c>
      <c r="DR21" s="24"/>
      <c r="DS21" s="408">
        <v>41516</v>
      </c>
      <c r="DT21" s="405"/>
      <c r="DU21" s="2539">
        <v>0</v>
      </c>
      <c r="DV21" s="2522">
        <f t="shared" si="3"/>
        <v>2</v>
      </c>
      <c r="DW21" s="24" t="s">
        <v>1084</v>
      </c>
      <c r="DX21" s="405">
        <f>DI21+DD21</f>
        <v>4</v>
      </c>
      <c r="DY21" s="405">
        <f>DE21+DJ21</f>
        <v>5</v>
      </c>
      <c r="DZ21" s="425">
        <v>0.4</v>
      </c>
      <c r="EA21" s="425">
        <v>0.4</v>
      </c>
      <c r="EB21" s="425">
        <v>0.4</v>
      </c>
      <c r="EC21" s="425">
        <v>0.4</v>
      </c>
      <c r="ED21" s="425">
        <v>0.4</v>
      </c>
      <c r="EE21" s="425">
        <v>0.4</v>
      </c>
      <c r="EF21" s="425">
        <v>0.4</v>
      </c>
      <c r="EG21" s="425">
        <v>0.4</v>
      </c>
      <c r="EH21" s="425">
        <v>0.4</v>
      </c>
      <c r="EI21" s="425">
        <f>mthSales!HU20</f>
        <v>0.31940349063937151</v>
      </c>
      <c r="EJ21" s="425">
        <f>mthSales!HV20</f>
        <v>0.31588038857676581</v>
      </c>
      <c r="EK21" s="425">
        <f>mthSales!HW20</f>
        <v>0.31779356577691525</v>
      </c>
      <c r="EL21" s="425">
        <f t="shared" ref="EL21:EN22" si="8">+EK21</f>
        <v>0.31779356577691525</v>
      </c>
      <c r="EM21" s="425">
        <f t="shared" si="8"/>
        <v>0.31779356577691525</v>
      </c>
      <c r="EN21" s="425">
        <f t="shared" si="8"/>
        <v>0.31779356577691525</v>
      </c>
      <c r="EO21" s="425">
        <f t="shared" ref="EO21:ES22" si="9">EN21</f>
        <v>0.31779356577691525</v>
      </c>
      <c r="EP21" s="425">
        <f t="shared" si="9"/>
        <v>0.31779356577691525</v>
      </c>
      <c r="EQ21" s="425">
        <f t="shared" si="9"/>
        <v>0.31779356577691525</v>
      </c>
      <c r="ER21" s="425">
        <f t="shared" si="9"/>
        <v>0.31779356577691525</v>
      </c>
      <c r="ES21" s="425">
        <f t="shared" si="9"/>
        <v>0.31779356577691525</v>
      </c>
    </row>
    <row r="22" spans="1:152">
      <c r="A22" s="31" t="s">
        <v>655</v>
      </c>
      <c r="B22" s="31"/>
      <c r="C22" s="24"/>
      <c r="D22" s="113">
        <f>+D17</f>
        <v>5</v>
      </c>
      <c r="E22" s="24"/>
      <c r="F22" s="274"/>
      <c r="G22" s="168"/>
      <c r="H22" s="227"/>
      <c r="I22" s="168"/>
      <c r="J22" s="286" t="str">
        <f>+mthSales!N21</f>
        <v>10/5</v>
      </c>
      <c r="K22" s="168"/>
      <c r="L22" s="227"/>
      <c r="M22" s="168"/>
      <c r="N22" s="286" t="str">
        <f>+mthSales!V21</f>
        <v>10/3</v>
      </c>
      <c r="O22" s="168"/>
      <c r="P22" s="227"/>
      <c r="Q22" s="168"/>
      <c r="R22" s="286" t="str">
        <f>+mthSales!AD21</f>
        <v>10/2</v>
      </c>
      <c r="S22" s="168"/>
      <c r="T22" s="227"/>
      <c r="U22" s="168"/>
      <c r="V22" s="286" t="str">
        <f>+mthSales!AL21</f>
        <v>10/1</v>
      </c>
      <c r="W22" s="168"/>
      <c r="X22" s="227"/>
      <c r="Y22" s="168"/>
      <c r="Z22" s="286" t="str">
        <f>+mthSales!AT21</f>
        <v>9/30</v>
      </c>
      <c r="AA22" s="168"/>
      <c r="AB22" s="227"/>
      <c r="AC22" s="168"/>
      <c r="AD22" s="224" t="str">
        <f>+mthSales!BB21</f>
        <v>10/5</v>
      </c>
      <c r="AE22" s="168"/>
      <c r="AF22" s="210">
        <v>8</v>
      </c>
      <c r="AG22" s="168"/>
      <c r="AH22" s="288" t="str">
        <f>+mthSales!BJ21</f>
        <v>10/4</v>
      </c>
      <c r="AI22" s="24"/>
      <c r="AJ22" s="210">
        <v>2</v>
      </c>
      <c r="AK22" s="24"/>
      <c r="AL22" s="283" t="str">
        <f>+mthSales!BR21</f>
        <v>10/3</v>
      </c>
      <c r="AM22" s="24"/>
      <c r="AN22" s="210">
        <v>5</v>
      </c>
      <c r="AO22" s="24"/>
      <c r="AP22" s="283" t="str">
        <f>+mthSales!BZ21</f>
        <v>10/2</v>
      </c>
      <c r="AQ22" s="168"/>
      <c r="AR22" s="210">
        <v>13</v>
      </c>
      <c r="AS22" s="168"/>
      <c r="AT22" s="283" t="str">
        <f>+mthSales!CH21</f>
        <v>9/30</v>
      </c>
      <c r="AU22" s="24"/>
      <c r="AV22" s="210">
        <v>11</v>
      </c>
      <c r="AW22" s="24"/>
      <c r="AX22" s="283" t="str">
        <f>+mthSales!CP21</f>
        <v>10/6</v>
      </c>
      <c r="AY22" s="24"/>
      <c r="AZ22" s="210">
        <v>-10</v>
      </c>
      <c r="BA22" s="24"/>
      <c r="BB22" s="283" t="str">
        <f>+mthSales!CX21</f>
        <v>10/5</v>
      </c>
      <c r="BC22" s="24"/>
      <c r="BD22" s="210">
        <v>16</v>
      </c>
      <c r="BE22" s="24"/>
      <c r="BF22" s="408">
        <f>+mthSales!DF21</f>
        <v>37898</v>
      </c>
      <c r="BG22" s="24"/>
      <c r="BH22" s="210">
        <v>4</v>
      </c>
      <c r="BI22" s="24"/>
      <c r="BJ22" s="408">
        <f>+mthSales!DN21</f>
        <v>38263</v>
      </c>
      <c r="BK22" s="24"/>
      <c r="BL22" s="210">
        <v>13</v>
      </c>
      <c r="BM22" s="24"/>
      <c r="BN22" s="408">
        <f>mthSales!DV21</f>
        <v>38626</v>
      </c>
      <c r="BO22" s="24"/>
      <c r="BP22" s="210">
        <v>-6</v>
      </c>
      <c r="BQ22" s="24"/>
      <c r="BR22" s="408">
        <f>mthSales!ED21</f>
        <v>38625</v>
      </c>
      <c r="BS22" s="24"/>
      <c r="BT22" s="210">
        <v>19</v>
      </c>
      <c r="BU22" s="24"/>
      <c r="BV22" s="408">
        <f>mthSales!EL21</f>
        <v>39361</v>
      </c>
      <c r="BW22" s="24"/>
      <c r="BX22" s="210">
        <v>-6</v>
      </c>
      <c r="BY22" s="24"/>
      <c r="BZ22" s="408">
        <f>mthSales!ET21</f>
        <v>39359</v>
      </c>
      <c r="CA22" s="24"/>
      <c r="CB22" s="210">
        <v>-7</v>
      </c>
      <c r="CC22" s="24"/>
      <c r="CD22" s="408">
        <f>mthSales!FB21</f>
        <v>40089</v>
      </c>
      <c r="CE22" s="24"/>
      <c r="CF22" s="210">
        <v>-1</v>
      </c>
      <c r="CG22" s="24"/>
      <c r="CH22" s="408">
        <f>mthSales!FJ21</f>
        <v>40453</v>
      </c>
      <c r="CI22" s="24"/>
      <c r="CJ22" s="210">
        <v>13</v>
      </c>
      <c r="CK22" s="24"/>
      <c r="CL22" s="408">
        <v>40817</v>
      </c>
      <c r="CM22" s="24"/>
      <c r="CN22" s="210">
        <v>13</v>
      </c>
      <c r="CO22" s="24"/>
      <c r="CP22" s="1165">
        <v>41553</v>
      </c>
      <c r="CQ22" s="24"/>
      <c r="CR22" s="391">
        <v>6</v>
      </c>
      <c r="CS22" s="24"/>
      <c r="CT22" s="408">
        <f>mthSales!GE21</f>
        <v>41552</v>
      </c>
      <c r="CU22" s="405"/>
      <c r="CV22" s="2707">
        <v>0</v>
      </c>
      <c r="CW22" s="24"/>
      <c r="CX22" s="408">
        <v>41551</v>
      </c>
      <c r="CY22" s="405"/>
      <c r="CZ22" s="2707">
        <v>4</v>
      </c>
      <c r="DA22" s="24"/>
      <c r="DB22" s="408">
        <v>43011</v>
      </c>
      <c r="DC22" s="405"/>
      <c r="DD22" s="2724">
        <v>9</v>
      </c>
      <c r="DE22" s="2724">
        <v>8</v>
      </c>
      <c r="DF22" s="24"/>
      <c r="DG22" s="408">
        <v>42278</v>
      </c>
      <c r="DH22" s="405"/>
      <c r="DI22" s="2717">
        <v>-2</v>
      </c>
      <c r="DJ22" s="2717">
        <v>0</v>
      </c>
      <c r="DK22" s="24"/>
      <c r="DL22" s="24"/>
      <c r="DM22" s="408">
        <v>43008</v>
      </c>
      <c r="DN22" s="405"/>
      <c r="DO22" s="2693">
        <v>-4</v>
      </c>
      <c r="DP22" s="2798">
        <v>-5</v>
      </c>
      <c r="DQ22" s="24"/>
      <c r="DR22" s="24"/>
      <c r="DS22" s="408">
        <v>41551</v>
      </c>
      <c r="DT22" s="405"/>
      <c r="DU22" s="2539">
        <v>0</v>
      </c>
      <c r="DV22" s="2522">
        <f>(DU22*0.8)+(DU91*0.2)</f>
        <v>2</v>
      </c>
      <c r="DW22" s="24"/>
      <c r="DX22" s="405">
        <f>DI22+DD22</f>
        <v>7</v>
      </c>
      <c r="DY22" s="405">
        <f>DE22+DJ22</f>
        <v>8</v>
      </c>
      <c r="DZ22" s="425">
        <v>0.35</v>
      </c>
      <c r="EA22" s="425">
        <v>0.35</v>
      </c>
      <c r="EB22" s="425">
        <v>0.35</v>
      </c>
      <c r="EC22" s="425">
        <v>0.35</v>
      </c>
      <c r="ED22" s="425">
        <v>0.35</v>
      </c>
      <c r="EE22" s="425">
        <v>0.35</v>
      </c>
      <c r="EF22" s="425">
        <v>0.35</v>
      </c>
      <c r="EG22" s="425">
        <v>0.35</v>
      </c>
      <c r="EH22" s="425">
        <v>0.35</v>
      </c>
      <c r="EI22" s="425">
        <f>mthSales!HU21</f>
        <v>0.36554437558897485</v>
      </c>
      <c r="EJ22" s="425">
        <f>mthSales!HV21</f>
        <v>0.36843334242975823</v>
      </c>
      <c r="EK22" s="425">
        <f>mthSales!HW21</f>
        <v>0.37098604743559294</v>
      </c>
      <c r="EL22" s="425">
        <f t="shared" si="8"/>
        <v>0.37098604743559294</v>
      </c>
      <c r="EM22" s="425">
        <f t="shared" si="8"/>
        <v>0.37098604743559294</v>
      </c>
      <c r="EN22" s="425">
        <f t="shared" si="8"/>
        <v>0.37098604743559294</v>
      </c>
      <c r="EO22" s="425">
        <f t="shared" si="9"/>
        <v>0.37098604743559294</v>
      </c>
      <c r="EP22" s="425">
        <f t="shared" si="9"/>
        <v>0.37098604743559294</v>
      </c>
      <c r="EQ22" s="425">
        <f t="shared" si="9"/>
        <v>0.37098604743559294</v>
      </c>
      <c r="ER22" s="425">
        <f t="shared" si="9"/>
        <v>0.37098604743559294</v>
      </c>
      <c r="ES22" s="425">
        <f t="shared" si="9"/>
        <v>0.37098604743559294</v>
      </c>
    </row>
    <row r="23" spans="1:152">
      <c r="A23" s="31" t="s">
        <v>598</v>
      </c>
      <c r="B23" s="31"/>
      <c r="C23" s="24"/>
      <c r="D23" s="113">
        <f>+D18</f>
        <v>4</v>
      </c>
      <c r="E23" s="24"/>
      <c r="F23" s="274"/>
      <c r="G23" s="168"/>
      <c r="H23" s="231"/>
      <c r="I23" s="168"/>
      <c r="J23" s="286" t="str">
        <f>+mthSales!N22</f>
        <v>11/2</v>
      </c>
      <c r="K23" s="168"/>
      <c r="L23" s="231"/>
      <c r="M23" s="168"/>
      <c r="N23" s="286" t="str">
        <f>+mthSales!V22</f>
        <v>10/31</v>
      </c>
      <c r="O23" s="168"/>
      <c r="P23" s="231"/>
      <c r="Q23" s="168"/>
      <c r="R23" s="286" t="str">
        <f>+mthSales!AD22</f>
        <v>10/30</v>
      </c>
      <c r="S23" s="168"/>
      <c r="T23" s="231"/>
      <c r="U23" s="168"/>
      <c r="V23" s="286" t="str">
        <f>+mthSales!AL22</f>
        <v>10/29</v>
      </c>
      <c r="W23" s="168"/>
      <c r="X23" s="231"/>
      <c r="Y23" s="168"/>
      <c r="Z23" s="286" t="str">
        <f>+mthSales!AT22</f>
        <v>10/28</v>
      </c>
      <c r="AA23" s="168"/>
      <c r="AB23" s="231"/>
      <c r="AC23" s="168"/>
      <c r="AD23" s="224" t="str">
        <f>+mthSales!BB22</f>
        <v>11/2</v>
      </c>
      <c r="AE23" s="168"/>
      <c r="AF23" s="211">
        <v>9</v>
      </c>
      <c r="AG23" s="168"/>
      <c r="AH23" s="288" t="str">
        <f>+mthSales!BJ22</f>
        <v>11/1</v>
      </c>
      <c r="AI23" s="24"/>
      <c r="AJ23" s="211">
        <v>2</v>
      </c>
      <c r="AK23" s="24"/>
      <c r="AL23" s="283" t="str">
        <f>+mthSales!BR22</f>
        <v>10/31</v>
      </c>
      <c r="AM23" s="24"/>
      <c r="AN23" s="211">
        <v>4</v>
      </c>
      <c r="AO23" s="24"/>
      <c r="AP23" s="283" t="str">
        <f>+mthSales!BZ22</f>
        <v>10/30</v>
      </c>
      <c r="AQ23" s="168"/>
      <c r="AR23" s="211">
        <v>11</v>
      </c>
      <c r="AS23" s="168"/>
      <c r="AT23" s="283" t="str">
        <f>+mthSales!CH22</f>
        <v>10/28</v>
      </c>
      <c r="AU23" s="24"/>
      <c r="AV23" s="211">
        <v>8</v>
      </c>
      <c r="AW23" s="24"/>
      <c r="AX23" s="283" t="str">
        <f>+mthSales!CP22</f>
        <v>11/3</v>
      </c>
      <c r="AY23" s="24"/>
      <c r="AZ23" s="211">
        <v>0</v>
      </c>
      <c r="BA23" s="24"/>
      <c r="BB23" s="283" t="str">
        <f>+mthSales!CX22</f>
        <v>11/2</v>
      </c>
      <c r="BC23" s="24"/>
      <c r="BD23" s="211">
        <v>6</v>
      </c>
      <c r="BE23" s="24"/>
      <c r="BF23" s="408">
        <f>+mthSales!DF22</f>
        <v>37926</v>
      </c>
      <c r="BG23" s="24"/>
      <c r="BH23" s="211">
        <v>4</v>
      </c>
      <c r="BI23" s="24"/>
      <c r="BJ23" s="408">
        <f>+mthSales!DN22</f>
        <v>38291</v>
      </c>
      <c r="BK23" s="24"/>
      <c r="BL23" s="211">
        <v>16</v>
      </c>
      <c r="BM23" s="24"/>
      <c r="BN23" s="408">
        <f>mthSales!DV22</f>
        <v>38654</v>
      </c>
      <c r="BO23" s="24"/>
      <c r="BP23" s="211">
        <v>-3</v>
      </c>
      <c r="BQ23" s="24"/>
      <c r="BR23" s="408">
        <f>mthSales!ED22</f>
        <v>38653</v>
      </c>
      <c r="BS23" s="24"/>
      <c r="BT23" s="211">
        <v>14</v>
      </c>
      <c r="BU23" s="24"/>
      <c r="BV23" s="408">
        <f>mthSales!EL22</f>
        <v>39389</v>
      </c>
      <c r="BW23" s="24"/>
      <c r="BX23" s="211">
        <v>-7</v>
      </c>
      <c r="BY23" s="24"/>
      <c r="BZ23" s="408">
        <f>mthSales!ET22</f>
        <v>39387</v>
      </c>
      <c r="CA23" s="24"/>
      <c r="CB23" s="211">
        <v>-10</v>
      </c>
      <c r="CC23" s="24"/>
      <c r="CD23" s="408">
        <f>mthSales!FB22</f>
        <v>40117</v>
      </c>
      <c r="CE23" s="24"/>
      <c r="CF23" s="284">
        <v>-6</v>
      </c>
      <c r="CG23" s="24"/>
      <c r="CH23" s="408">
        <f>mthSales!FJ22</f>
        <v>40481</v>
      </c>
      <c r="CI23" s="24"/>
      <c r="CJ23" s="211">
        <v>14</v>
      </c>
      <c r="CK23" s="24"/>
      <c r="CL23" s="408">
        <v>40845</v>
      </c>
      <c r="CM23" s="24"/>
      <c r="CN23" s="211">
        <v>9</v>
      </c>
      <c r="CO23" s="24"/>
      <c r="CP23" s="1165">
        <v>41581</v>
      </c>
      <c r="CQ23" s="24"/>
      <c r="CR23" s="392">
        <v>3</v>
      </c>
      <c r="CS23" s="24"/>
      <c r="CT23" s="408">
        <f>mthSales!GE22</f>
        <v>41580</v>
      </c>
      <c r="CU23" s="405"/>
      <c r="CV23" s="392">
        <v>10</v>
      </c>
      <c r="CW23" s="24"/>
      <c r="CX23" s="408">
        <v>41579</v>
      </c>
      <c r="CY23" s="405"/>
      <c r="CZ23" s="392">
        <v>0</v>
      </c>
      <c r="DA23" s="24"/>
      <c r="DB23" s="408">
        <v>43039</v>
      </c>
      <c r="DC23" s="405"/>
      <c r="DD23" s="2725">
        <v>5</v>
      </c>
      <c r="DE23" s="2725">
        <v>5</v>
      </c>
      <c r="DF23" s="24"/>
      <c r="DG23" s="408">
        <v>42306</v>
      </c>
      <c r="DH23" s="405"/>
      <c r="DI23" s="2722">
        <v>-1</v>
      </c>
      <c r="DJ23" s="2731">
        <v>-2</v>
      </c>
      <c r="DK23" s="24"/>
      <c r="DL23" s="24"/>
      <c r="DM23" s="408">
        <v>43036</v>
      </c>
      <c r="DN23" s="405"/>
      <c r="DO23" s="2733">
        <v>-4</v>
      </c>
      <c r="DP23" s="2800">
        <v>1</v>
      </c>
      <c r="DQ23" s="24"/>
      <c r="DR23" s="24"/>
      <c r="DS23" s="408">
        <v>41579</v>
      </c>
      <c r="DT23" s="405"/>
      <c r="DU23" s="2539">
        <v>0</v>
      </c>
      <c r="DV23" s="2521">
        <f>(DU23*0.8)+(DU92*0.2)</f>
        <v>2</v>
      </c>
      <c r="DW23" s="24"/>
      <c r="DX23" s="405">
        <f>DI23+DD23</f>
        <v>4</v>
      </c>
      <c r="DY23" s="405">
        <f>DE23+DJ23</f>
        <v>3</v>
      </c>
      <c r="DZ23" s="426">
        <f t="shared" ref="DZ23:EI23" si="10">1-DZ22-DZ21</f>
        <v>0.25</v>
      </c>
      <c r="EA23" s="426">
        <f t="shared" si="10"/>
        <v>0.25</v>
      </c>
      <c r="EB23" s="426">
        <f t="shared" si="10"/>
        <v>0.25</v>
      </c>
      <c r="EC23" s="426">
        <f t="shared" si="10"/>
        <v>0.25</v>
      </c>
      <c r="ED23" s="426">
        <f t="shared" si="10"/>
        <v>0.25</v>
      </c>
      <c r="EE23" s="426">
        <f t="shared" si="10"/>
        <v>0.25</v>
      </c>
      <c r="EF23" s="426">
        <f t="shared" si="10"/>
        <v>0.25</v>
      </c>
      <c r="EG23" s="426">
        <f t="shared" si="10"/>
        <v>0.25</v>
      </c>
      <c r="EH23" s="426">
        <f t="shared" si="10"/>
        <v>0.25</v>
      </c>
      <c r="EI23" s="426">
        <f t="shared" si="10"/>
        <v>0.31505213377165359</v>
      </c>
      <c r="EJ23" s="426">
        <f t="shared" ref="EJ23:EO23" si="11">1-EJ22-EJ21</f>
        <v>0.31568626899347596</v>
      </c>
      <c r="EK23" s="426">
        <f t="shared" si="11"/>
        <v>0.31122038678749181</v>
      </c>
      <c r="EL23" s="426">
        <f t="shared" si="11"/>
        <v>0.31122038678749181</v>
      </c>
      <c r="EM23" s="426">
        <f t="shared" si="11"/>
        <v>0.31122038678749181</v>
      </c>
      <c r="EN23" s="426">
        <f t="shared" si="11"/>
        <v>0.31122038678749181</v>
      </c>
      <c r="EO23" s="426">
        <f t="shared" si="11"/>
        <v>0.31122038678749181</v>
      </c>
      <c r="EP23" s="426">
        <f>1-EP22-EP21</f>
        <v>0.31122038678749181</v>
      </c>
      <c r="EQ23" s="426">
        <f>1-EQ22-EQ21</f>
        <v>0.31122038678749181</v>
      </c>
      <c r="ER23" s="426">
        <f>1-ER22-ER21</f>
        <v>0.31122038678749181</v>
      </c>
      <c r="ES23" s="426">
        <f>1-ES22-ES21</f>
        <v>0.31122038678749181</v>
      </c>
    </row>
    <row r="24" spans="1:152">
      <c r="A24" s="118"/>
      <c r="B24" s="118" t="s">
        <v>925</v>
      </c>
      <c r="C24" s="116"/>
      <c r="D24" s="121"/>
      <c r="E24" s="116"/>
      <c r="F24" s="269"/>
      <c r="G24" s="245"/>
      <c r="H24" s="232"/>
      <c r="I24" s="245"/>
      <c r="J24" s="269"/>
      <c r="K24" s="245"/>
      <c r="L24" s="232"/>
      <c r="M24" s="245"/>
      <c r="N24" s="269"/>
      <c r="O24" s="245"/>
      <c r="P24" s="232"/>
      <c r="Q24" s="245"/>
      <c r="R24" s="269"/>
      <c r="S24" s="245"/>
      <c r="T24" s="232"/>
      <c r="U24" s="245"/>
      <c r="V24" s="269"/>
      <c r="W24" s="245"/>
      <c r="X24" s="232"/>
      <c r="Y24" s="245"/>
      <c r="Z24" s="269"/>
      <c r="AA24" s="245"/>
      <c r="AB24" s="232"/>
      <c r="AC24" s="245"/>
      <c r="AD24" s="269"/>
      <c r="AE24" s="245"/>
      <c r="AF24" s="352">
        <v>8</v>
      </c>
      <c r="AG24" s="245"/>
      <c r="AH24" s="269"/>
      <c r="AI24" s="116"/>
      <c r="AJ24" s="352">
        <v>3</v>
      </c>
      <c r="AK24" s="116"/>
      <c r="AL24" s="269"/>
      <c r="AM24" s="116"/>
      <c r="AN24" s="352">
        <v>4</v>
      </c>
      <c r="AO24" s="116"/>
      <c r="AP24" s="269"/>
      <c r="AQ24" s="245"/>
      <c r="AR24" s="352">
        <v>16</v>
      </c>
      <c r="AS24" s="245"/>
      <c r="AT24" s="269"/>
      <c r="AU24" s="116"/>
      <c r="AV24" s="352">
        <v>8</v>
      </c>
      <c r="AW24" s="116"/>
      <c r="AX24" s="269"/>
      <c r="AY24" s="116"/>
      <c r="AZ24" s="353">
        <v>-5</v>
      </c>
      <c r="BA24" s="116"/>
      <c r="BB24" s="269"/>
      <c r="BC24" s="116"/>
      <c r="BD24" s="353">
        <v>8</v>
      </c>
      <c r="BE24" s="116"/>
      <c r="BF24" s="409"/>
      <c r="BG24" s="116"/>
      <c r="BH24" s="353">
        <v>5</v>
      </c>
      <c r="BI24" s="116"/>
      <c r="BJ24" s="409"/>
      <c r="BK24" s="116"/>
      <c r="BL24" s="353">
        <v>13</v>
      </c>
      <c r="BM24" s="116"/>
      <c r="BN24" s="409"/>
      <c r="BO24" s="116"/>
      <c r="BP24" s="353">
        <f>-4</f>
        <v>-4</v>
      </c>
      <c r="BQ24" s="116"/>
      <c r="BR24" s="409"/>
      <c r="BS24" s="116"/>
      <c r="BT24" s="353">
        <v>17</v>
      </c>
      <c r="BU24" s="116"/>
      <c r="BV24" s="409"/>
      <c r="BW24" s="116"/>
      <c r="BX24" s="353">
        <v>-4</v>
      </c>
      <c r="BY24" s="116"/>
      <c r="BZ24" s="1080"/>
      <c r="CA24" s="116"/>
      <c r="CB24" s="353">
        <v>-8</v>
      </c>
      <c r="CC24" s="116"/>
      <c r="CD24" s="1080"/>
      <c r="CE24" s="116"/>
      <c r="CF24" s="353">
        <v>-4</v>
      </c>
      <c r="CG24" s="116"/>
      <c r="CH24" s="1080"/>
      <c r="CI24" s="116"/>
      <c r="CJ24" s="353">
        <v>14</v>
      </c>
      <c r="CK24" s="116"/>
      <c r="CL24" s="1080"/>
      <c r="CM24" s="116"/>
      <c r="CN24" s="353">
        <v>13</v>
      </c>
      <c r="CO24" s="116"/>
      <c r="CP24" s="1163"/>
      <c r="CQ24" s="116"/>
      <c r="CR24" s="2704">
        <v>6</v>
      </c>
      <c r="CS24" s="116"/>
      <c r="CT24" s="1080"/>
      <c r="CU24" s="30"/>
      <c r="CV24" s="2704">
        <v>4</v>
      </c>
      <c r="CW24" s="116"/>
      <c r="CX24" s="1080"/>
      <c r="CY24" s="253"/>
      <c r="CZ24" s="2704">
        <v>3</v>
      </c>
      <c r="DA24" s="116"/>
      <c r="DB24" s="1080"/>
      <c r="DC24" s="253"/>
      <c r="DD24" s="2726">
        <v>7</v>
      </c>
      <c r="DE24" s="2726">
        <v>6</v>
      </c>
      <c r="DF24" s="116"/>
      <c r="DG24" s="1080"/>
      <c r="DH24" s="253"/>
      <c r="DI24" s="2723">
        <v>-2</v>
      </c>
      <c r="DJ24" s="2723">
        <v>-1</v>
      </c>
      <c r="DK24" s="116"/>
      <c r="DL24" s="116"/>
      <c r="DM24" s="1080"/>
      <c r="DN24" s="253"/>
      <c r="DO24" s="2723">
        <v>-5</v>
      </c>
      <c r="DP24" s="2735">
        <v>-4</v>
      </c>
      <c r="DQ24" s="116"/>
      <c r="DR24" s="116"/>
      <c r="DS24" s="1080"/>
      <c r="DT24" s="253"/>
      <c r="DU24" s="2540">
        <f>+ES24</f>
        <v>0</v>
      </c>
      <c r="DV24" s="1093">
        <f>(DU24*0.8)+(DU93*0.2)</f>
        <v>2</v>
      </c>
      <c r="DW24" s="116"/>
      <c r="DX24" s="405">
        <f>DI24+DD24</f>
        <v>5</v>
      </c>
      <c r="DY24" s="405">
        <f>DE24+DJ24</f>
        <v>5</v>
      </c>
      <c r="DZ24" s="405">
        <f>+AR21*DZ21+AR22*DZ22+AR23*DZ23</f>
        <v>16.100000000000001</v>
      </c>
      <c r="EA24" s="405">
        <f>+AV21*EA21+AV22*EA22+AV23*EA23</f>
        <v>7.4499999999999993</v>
      </c>
      <c r="EB24" s="405">
        <f>+AZ21*EB21+AZ22*EB22+AZ23*EB23</f>
        <v>-5.0999999999999996</v>
      </c>
      <c r="EC24" s="405">
        <f>+BD21*EC21+BD22*EC22+BD23*EC23</f>
        <v>8.3000000000000007</v>
      </c>
      <c r="ED24" s="405">
        <f>+BH21*ED21+BH22*ED22+BH23*ED23</f>
        <v>5.6</v>
      </c>
      <c r="EE24" s="405">
        <f>+BL21*EE21+BL22*EE22+BL23*EE23</f>
        <v>11.75</v>
      </c>
      <c r="EF24" s="405">
        <f>+BP21*EF21+BP22*EF22+BP23*EF23</f>
        <v>-3.6499999999999995</v>
      </c>
      <c r="EG24" s="405">
        <f>+BT21*EG21+BT22*EG22+BT23*EG23</f>
        <v>17.350000000000001</v>
      </c>
      <c r="EH24" s="405">
        <f>+BX21*EH21+BX22*EH22+BX23*EH23</f>
        <v>-3.8499999999999996</v>
      </c>
      <c r="EI24" s="405">
        <f>+CB21*EI21+CB22*EI22+CB23*EI23</f>
        <v>-8.2645598919543311</v>
      </c>
      <c r="EJ24" s="405">
        <f>+CF21*EJ21+CF22*EJ22+CF23*EJ23</f>
        <v>-3.8419528992744434</v>
      </c>
      <c r="EK24" s="405">
        <f>+CJ21*EK21+CJ22*EK22+CJ23*EK23</f>
        <v>13.946807518341322</v>
      </c>
      <c r="EL24" s="405">
        <f>+CN21*EL21+CN22*EL22+CN23*EL23</f>
        <v>12.70849915018078</v>
      </c>
      <c r="EM24" s="405">
        <f>+CR21*EM21+CR22*EM22+CR23*EM23</f>
        <v>6.0197195369682701</v>
      </c>
      <c r="EN24" s="405">
        <f>+CV21*EN21+CV22*EN22+CV23*EN23</f>
        <v>4.0655845652056639</v>
      </c>
      <c r="EO24" s="405">
        <f>+CZ21*EO21+CZ22*EO22+CZ23*EO23</f>
        <v>3.0729120186269481</v>
      </c>
      <c r="EP24" s="405">
        <f>+DD21*EP21+DD22*EP22+DD23*EP23</f>
        <v>6.8017377555192873</v>
      </c>
      <c r="EQ24" s="405">
        <f>+DI21*EQ21+DI22*EQ22+DI23*EQ23</f>
        <v>-1.6887796132125081</v>
      </c>
      <c r="ER24" s="405">
        <f>+DO21*ER21+DO22*ER22+DO23*ER23</f>
        <v>-4.9533806973307462</v>
      </c>
      <c r="ES24" s="405">
        <f>+DU21*ES21+DU22*ES22+DU23*ES23</f>
        <v>0</v>
      </c>
    </row>
    <row r="25" spans="1:152">
      <c r="A25" s="24"/>
      <c r="B25" s="24"/>
      <c r="C25" s="24"/>
      <c r="D25" s="113"/>
      <c r="E25" s="24"/>
      <c r="F25" s="224"/>
      <c r="G25" s="168"/>
      <c r="H25" s="168"/>
      <c r="I25" s="168"/>
      <c r="J25" s="224"/>
      <c r="K25" s="168"/>
      <c r="L25" s="168"/>
      <c r="M25" s="168"/>
      <c r="N25" s="224"/>
      <c r="O25" s="168"/>
      <c r="P25" s="168"/>
      <c r="Q25" s="168"/>
      <c r="R25" s="224"/>
      <c r="S25" s="168"/>
      <c r="T25" s="168"/>
      <c r="U25" s="168"/>
      <c r="V25" s="224"/>
      <c r="W25" s="168"/>
      <c r="X25" s="168"/>
      <c r="Y25" s="168"/>
      <c r="Z25" s="224"/>
      <c r="AA25" s="168"/>
      <c r="AB25" s="168"/>
      <c r="AC25" s="168"/>
      <c r="AD25" s="224"/>
      <c r="AE25" s="168"/>
      <c r="AF25" s="113"/>
      <c r="AG25" s="168"/>
      <c r="AH25" s="224"/>
      <c r="AI25" s="24"/>
      <c r="AJ25" s="113"/>
      <c r="AK25" s="24"/>
      <c r="AL25" s="224"/>
      <c r="AM25" s="24"/>
      <c r="AN25" s="113"/>
      <c r="AO25" s="24"/>
      <c r="AP25" s="224"/>
      <c r="AQ25" s="168"/>
      <c r="AR25" s="113"/>
      <c r="AS25" s="168"/>
      <c r="AT25" s="224"/>
      <c r="AU25" s="24"/>
      <c r="AV25" s="113"/>
      <c r="AW25" s="24"/>
      <c r="AX25" s="224"/>
      <c r="AY25" s="24"/>
      <c r="AZ25" s="113"/>
      <c r="BA25" s="24"/>
      <c r="BB25" s="224"/>
      <c r="BC25" s="24"/>
      <c r="BD25" s="168"/>
      <c r="BE25" s="24"/>
      <c r="BF25" s="411"/>
      <c r="BG25" s="24"/>
      <c r="BH25" s="168"/>
      <c r="BI25" s="24"/>
      <c r="BJ25" s="411"/>
      <c r="BK25" s="24"/>
      <c r="BL25" s="168"/>
      <c r="BM25" s="24"/>
      <c r="BN25" s="411"/>
      <c r="BO25" s="24"/>
      <c r="BP25" s="168"/>
      <c r="BQ25" s="24"/>
      <c r="BR25" s="411"/>
      <c r="BS25" s="24"/>
      <c r="BT25" s="168"/>
      <c r="BU25" s="24"/>
      <c r="BV25" s="411"/>
      <c r="BW25" s="24"/>
      <c r="BX25" s="168"/>
      <c r="BY25" s="24"/>
      <c r="BZ25" s="408"/>
      <c r="CA25" s="24"/>
      <c r="CB25" s="168"/>
      <c r="CC25" s="24"/>
      <c r="CD25" s="408"/>
      <c r="CE25" s="24"/>
      <c r="CF25" s="168"/>
      <c r="CG25" s="24"/>
      <c r="CH25" s="408"/>
      <c r="CI25" s="24"/>
      <c r="CJ25" s="168"/>
      <c r="CK25" s="24"/>
      <c r="CL25" s="408"/>
      <c r="CM25" s="24"/>
      <c r="CN25" s="168"/>
      <c r="CO25" s="24"/>
      <c r="CP25" s="1164"/>
      <c r="CQ25" s="24"/>
      <c r="CR25" s="2159"/>
      <c r="CS25" s="24"/>
      <c r="CT25" s="408"/>
      <c r="CU25" s="24"/>
      <c r="CV25" s="2375"/>
      <c r="CW25" s="24"/>
      <c r="CX25" s="408"/>
      <c r="CY25" s="168"/>
      <c r="CZ25" s="2712"/>
      <c r="DA25" s="24"/>
      <c r="DB25" s="408"/>
      <c r="DC25" s="168"/>
      <c r="DD25" s="2712"/>
      <c r="DE25" s="2712"/>
      <c r="DF25" s="24"/>
      <c r="DG25" s="408"/>
      <c r="DH25" s="168"/>
      <c r="DI25" s="2729"/>
      <c r="DJ25" s="2712"/>
      <c r="DK25" s="24"/>
      <c r="DL25" s="24"/>
      <c r="DM25" s="408"/>
      <c r="DN25" s="168"/>
      <c r="DO25" s="1183"/>
      <c r="DP25" s="966"/>
      <c r="DQ25" s="24"/>
      <c r="DR25" s="24"/>
      <c r="DS25" s="408"/>
      <c r="DT25" s="168"/>
      <c r="DU25" s="2539"/>
      <c r="DV25" s="2524"/>
      <c r="DW25" s="24"/>
      <c r="DX25" s="405"/>
      <c r="DY25" s="405"/>
      <c r="DZ25" s="24"/>
      <c r="EA25" s="24"/>
      <c r="EB25" s="24"/>
      <c r="EC25" s="24"/>
      <c r="ED25" s="24"/>
      <c r="EE25" s="24"/>
      <c r="EF25" s="24"/>
      <c r="EG25" s="24"/>
      <c r="EH25" s="24"/>
      <c r="EI25" s="24"/>
      <c r="EJ25" s="24"/>
      <c r="EK25" s="24"/>
      <c r="EL25" s="24"/>
    </row>
    <row r="26" spans="1:152">
      <c r="A26" s="31" t="s">
        <v>599</v>
      </c>
      <c r="B26" s="31"/>
      <c r="C26" s="24"/>
      <c r="D26" s="113">
        <f>+D21</f>
        <v>4</v>
      </c>
      <c r="E26" s="24"/>
      <c r="F26" s="276"/>
      <c r="G26" s="168"/>
      <c r="H26" s="227"/>
      <c r="I26" s="168" t="s">
        <v>1084</v>
      </c>
      <c r="J26" s="286" t="str">
        <f>+mthSales!N25</f>
        <v>11/30</v>
      </c>
      <c r="K26" s="168"/>
      <c r="L26" s="227"/>
      <c r="M26" s="168" t="s">
        <v>1084</v>
      </c>
      <c r="N26" s="286" t="str">
        <f>+mthSales!V25</f>
        <v>11/28</v>
      </c>
      <c r="O26" s="168"/>
      <c r="P26" s="227"/>
      <c r="Q26" s="168" t="s">
        <v>1084</v>
      </c>
      <c r="R26" s="286" t="str">
        <f>+mthSales!AD25</f>
        <v>11/27</v>
      </c>
      <c r="S26" s="168"/>
      <c r="T26" s="227"/>
      <c r="U26" s="168" t="s">
        <v>1084</v>
      </c>
      <c r="V26" s="286" t="str">
        <f>+mthSales!AL25</f>
        <v>11/26</v>
      </c>
      <c r="W26" s="168"/>
      <c r="X26" s="227"/>
      <c r="Y26" s="168" t="s">
        <v>1084</v>
      </c>
      <c r="Z26" s="286" t="str">
        <f>+mthSales!AT25</f>
        <v>11/25</v>
      </c>
      <c r="AA26" s="168"/>
      <c r="AB26" s="227"/>
      <c r="AC26" s="168" t="s">
        <v>1084</v>
      </c>
      <c r="AD26" s="224" t="str">
        <f>+mthSales!BB25</f>
        <v>11/30</v>
      </c>
      <c r="AE26" s="168"/>
      <c r="AF26" s="210">
        <v>-5</v>
      </c>
      <c r="AG26" s="168" t="s">
        <v>1084</v>
      </c>
      <c r="AH26" s="288" t="str">
        <f>+mthSales!BJ25</f>
        <v>11/29</v>
      </c>
      <c r="AI26" s="24"/>
      <c r="AJ26" s="210">
        <v>6</v>
      </c>
      <c r="AK26" s="24" t="s">
        <v>1084</v>
      </c>
      <c r="AL26" s="283" t="str">
        <f>+mthSales!BR25</f>
        <v>12/2</v>
      </c>
      <c r="AM26" s="24"/>
      <c r="AN26" s="210">
        <v>6</v>
      </c>
      <c r="AO26" s="24" t="s">
        <v>1084</v>
      </c>
      <c r="AP26" s="283" t="str">
        <f>+mthSales!BZ25</f>
        <v>11/27</v>
      </c>
      <c r="AQ26" s="168"/>
      <c r="AR26" s="210">
        <v>11</v>
      </c>
      <c r="AS26" s="168" t="s">
        <v>1084</v>
      </c>
      <c r="AT26" s="283" t="str">
        <f>+mthSales!CH25</f>
        <v>11/25</v>
      </c>
      <c r="AU26" s="24"/>
      <c r="AV26" s="210">
        <v>-2</v>
      </c>
      <c r="AW26" s="24" t="s">
        <v>1084</v>
      </c>
      <c r="AX26" s="283" t="str">
        <f>+mthSales!CP25</f>
        <v>12/1</v>
      </c>
      <c r="AY26" s="24"/>
      <c r="AZ26" s="210">
        <v>9</v>
      </c>
      <c r="BA26" s="24" t="s">
        <v>1084</v>
      </c>
      <c r="BB26" s="283" t="str">
        <f>+mthSales!CX25</f>
        <v>11/30</v>
      </c>
      <c r="BC26" s="24"/>
      <c r="BD26" s="227">
        <v>0</v>
      </c>
      <c r="BE26" s="24" t="s">
        <v>1084</v>
      </c>
      <c r="BF26" s="408">
        <f>+mthSales!DF25</f>
        <v>37954</v>
      </c>
      <c r="BG26" s="24"/>
      <c r="BH26" s="227">
        <v>8</v>
      </c>
      <c r="BI26" s="24" t="s">
        <v>1084</v>
      </c>
      <c r="BJ26" s="408">
        <f>+mthSales!DN25</f>
        <v>38319</v>
      </c>
      <c r="BK26" s="24"/>
      <c r="BL26" s="227">
        <v>0</v>
      </c>
      <c r="BM26" s="24" t="s">
        <v>1084</v>
      </c>
      <c r="BN26" s="408">
        <f>mthSales!DV25</f>
        <v>38682</v>
      </c>
      <c r="BO26" s="24"/>
      <c r="BP26" s="227">
        <v>3</v>
      </c>
      <c r="BQ26" s="24" t="s">
        <v>1084</v>
      </c>
      <c r="BR26" s="408">
        <f>mthSales!ED25</f>
        <v>38681</v>
      </c>
      <c r="BS26" s="24"/>
      <c r="BT26" s="227">
        <v>14</v>
      </c>
      <c r="BU26" s="24" t="s">
        <v>1084</v>
      </c>
      <c r="BV26" s="408">
        <f>mthSales!EL25</f>
        <v>39417</v>
      </c>
      <c r="BW26" s="24"/>
      <c r="BX26" s="227">
        <v>-8</v>
      </c>
      <c r="BY26" s="24" t="s">
        <v>1084</v>
      </c>
      <c r="BZ26" s="408">
        <f>mthSales!ET25</f>
        <v>39415</v>
      </c>
      <c r="CA26" s="24"/>
      <c r="CB26" s="227">
        <v>-9</v>
      </c>
      <c r="CC26" s="24" t="s">
        <v>1084</v>
      </c>
      <c r="CD26" s="408">
        <f>mthSales!FB25</f>
        <v>40145</v>
      </c>
      <c r="CE26" s="24"/>
      <c r="CF26" s="227">
        <v>3</v>
      </c>
      <c r="CG26" s="24" t="s">
        <v>1084</v>
      </c>
      <c r="CH26" s="408">
        <f>mthSales!FJ25</f>
        <v>40509</v>
      </c>
      <c r="CI26" s="24"/>
      <c r="CJ26" s="227">
        <v>13</v>
      </c>
      <c r="CK26" s="24" t="s">
        <v>1084</v>
      </c>
      <c r="CL26" s="408">
        <v>40878</v>
      </c>
      <c r="CM26" s="24"/>
      <c r="CN26" s="227">
        <v>11</v>
      </c>
      <c r="CO26" s="24" t="s">
        <v>1084</v>
      </c>
      <c r="CP26" s="1165">
        <v>41609</v>
      </c>
      <c r="CQ26" s="24"/>
      <c r="CR26" s="391">
        <v>4</v>
      </c>
      <c r="CS26" s="24" t="s">
        <v>1084</v>
      </c>
      <c r="CT26" s="408">
        <f>mthSales!GE25</f>
        <v>41608</v>
      </c>
      <c r="CU26" s="405"/>
      <c r="CV26" s="391">
        <v>-4</v>
      </c>
      <c r="CW26" s="24" t="s">
        <v>1084</v>
      </c>
      <c r="CX26" s="408">
        <v>41607</v>
      </c>
      <c r="CY26" s="405"/>
      <c r="CZ26" s="391">
        <v>6</v>
      </c>
      <c r="DA26" s="24" t="s">
        <v>1084</v>
      </c>
      <c r="DB26" s="408">
        <v>43067</v>
      </c>
      <c r="DC26" s="405"/>
      <c r="DD26" s="391">
        <v>6</v>
      </c>
      <c r="DE26" s="391">
        <v>7</v>
      </c>
      <c r="DF26" s="24" t="s">
        <v>1084</v>
      </c>
      <c r="DG26" s="408">
        <v>42334</v>
      </c>
      <c r="DH26" s="405"/>
      <c r="DI26" s="2732">
        <v>4</v>
      </c>
      <c r="DJ26" s="2717">
        <v>5</v>
      </c>
      <c r="DK26" s="24" t="s">
        <v>1084</v>
      </c>
      <c r="DL26" s="24"/>
      <c r="DM26" s="408">
        <v>43064</v>
      </c>
      <c r="DN26" s="405"/>
      <c r="DO26" s="2693">
        <v>-9</v>
      </c>
      <c r="DP26" s="2798">
        <v>-6</v>
      </c>
      <c r="DQ26" s="24" t="s">
        <v>1084</v>
      </c>
      <c r="DR26" s="24"/>
      <c r="DS26" s="408">
        <v>41607</v>
      </c>
      <c r="DT26" s="405"/>
      <c r="DU26" s="2539">
        <v>0</v>
      </c>
      <c r="DV26" s="2522">
        <f>(DU26*0.8)+(DU95*0.2)</f>
        <v>2</v>
      </c>
      <c r="DW26" s="24" t="s">
        <v>1084</v>
      </c>
      <c r="DX26" s="405">
        <f>DI26+DD26</f>
        <v>10</v>
      </c>
      <c r="DY26" s="405">
        <f>DE26+DJ26</f>
        <v>12</v>
      </c>
      <c r="DZ26" s="425">
        <v>0.3</v>
      </c>
      <c r="EA26" s="425">
        <v>0.3</v>
      </c>
      <c r="EB26" s="425">
        <v>0.3</v>
      </c>
      <c r="EC26" s="425">
        <v>0.3</v>
      </c>
      <c r="ED26" s="425">
        <v>0.3</v>
      </c>
      <c r="EE26" s="425">
        <v>0.3</v>
      </c>
      <c r="EF26" s="425">
        <v>0.3</v>
      </c>
      <c r="EG26" s="425">
        <v>0.3</v>
      </c>
      <c r="EH26" s="425">
        <v>0.3</v>
      </c>
      <c r="EI26" s="425">
        <f>mthSales!HU25</f>
        <v>0.25261330739890203</v>
      </c>
      <c r="EJ26" s="425">
        <f>mthSales!HV25</f>
        <v>0.25497996003105067</v>
      </c>
      <c r="EK26" s="425">
        <f>mthSales!HW25</f>
        <v>0.25837610185978716</v>
      </c>
      <c r="EL26" s="425">
        <f>+EK26</f>
        <v>0.25837610185978716</v>
      </c>
      <c r="EM26" s="425">
        <f>+EL26</f>
        <v>0.25837610185978716</v>
      </c>
      <c r="EN26" s="425">
        <f>mthSales!HZ25</f>
        <v>0.25889142091187922</v>
      </c>
      <c r="EO26" s="425">
        <f t="shared" ref="EO26:ES27" si="12">EN26</f>
        <v>0.25889142091187922</v>
      </c>
      <c r="EP26" s="425">
        <f t="shared" si="12"/>
        <v>0.25889142091187922</v>
      </c>
      <c r="EQ26" s="425">
        <f t="shared" si="12"/>
        <v>0.25889142091187922</v>
      </c>
      <c r="ER26" s="425">
        <f t="shared" si="12"/>
        <v>0.25889142091187922</v>
      </c>
      <c r="ES26" s="425">
        <f t="shared" si="12"/>
        <v>0.25889142091187922</v>
      </c>
    </row>
    <row r="27" spans="1:152">
      <c r="A27" s="31" t="s">
        <v>600</v>
      </c>
      <c r="B27" s="31"/>
      <c r="C27" s="24"/>
      <c r="D27" s="113">
        <f>+D22</f>
        <v>5</v>
      </c>
      <c r="E27" s="24"/>
      <c r="F27" s="274"/>
      <c r="G27" s="168"/>
      <c r="H27" s="227"/>
      <c r="I27" s="168"/>
      <c r="J27" s="286" t="str">
        <f>+mthSales!N26</f>
        <v>1/4</v>
      </c>
      <c r="K27" s="168"/>
      <c r="L27" s="227"/>
      <c r="M27" s="168"/>
      <c r="N27" s="286" t="str">
        <f>+mthSales!V26</f>
        <v xml:space="preserve"> 1/2</v>
      </c>
      <c r="O27" s="168"/>
      <c r="P27" s="227"/>
      <c r="Q27" s="168"/>
      <c r="R27" s="286" t="str">
        <f>+mthSales!AD26</f>
        <v>1/1</v>
      </c>
      <c r="S27" s="168"/>
      <c r="T27" s="227"/>
      <c r="U27" s="168"/>
      <c r="V27" s="286" t="str">
        <f>+mthSales!AL26</f>
        <v>12/31</v>
      </c>
      <c r="W27" s="168"/>
      <c r="X27" s="227"/>
      <c r="Y27" s="168"/>
      <c r="Z27" s="286" t="str">
        <f>+mthSales!AT26</f>
        <v>12/30</v>
      </c>
      <c r="AA27" s="168"/>
      <c r="AB27" s="227"/>
      <c r="AC27" s="168"/>
      <c r="AD27" s="224" t="str">
        <f>+mthSales!BB26</f>
        <v>1/4</v>
      </c>
      <c r="AE27" s="168"/>
      <c r="AF27" s="210">
        <v>7</v>
      </c>
      <c r="AG27" s="168"/>
      <c r="AH27" s="288" t="str">
        <f>+mthSales!BJ26</f>
        <v>1/3</v>
      </c>
      <c r="AI27" s="24"/>
      <c r="AJ27" s="210">
        <v>12</v>
      </c>
      <c r="AK27" s="24"/>
      <c r="AL27" s="283" t="str">
        <f>+mthSales!BR26</f>
        <v>1/2</v>
      </c>
      <c r="AM27" s="24"/>
      <c r="AN27" s="210">
        <v>2</v>
      </c>
      <c r="AO27" s="24"/>
      <c r="AP27" s="283" t="str">
        <f>+mthSales!BZ26</f>
        <v>1/1</v>
      </c>
      <c r="AQ27" s="168"/>
      <c r="AR27" s="210">
        <v>8</v>
      </c>
      <c r="AS27" s="168"/>
      <c r="AT27" s="283" t="str">
        <f>+mthSales!CH26</f>
        <v>12/30</v>
      </c>
      <c r="AU27" s="24"/>
      <c r="AV27" s="210">
        <v>-6</v>
      </c>
      <c r="AW27" s="24"/>
      <c r="AX27" s="283" t="str">
        <f>+mthSales!CP26</f>
        <v>1/5</v>
      </c>
      <c r="AY27" s="24"/>
      <c r="AZ27" s="210">
        <v>10</v>
      </c>
      <c r="BA27" s="24"/>
      <c r="BB27" s="283" t="str">
        <f>+mthSales!CX26</f>
        <v>1/4</v>
      </c>
      <c r="BC27" s="24"/>
      <c r="BD27" s="227">
        <v>5</v>
      </c>
      <c r="BE27" s="24"/>
      <c r="BF27" s="408">
        <f>+mthSales!DF26</f>
        <v>37624</v>
      </c>
      <c r="BG27" s="24"/>
      <c r="BH27" s="227">
        <v>-5</v>
      </c>
      <c r="BI27" s="24"/>
      <c r="BJ27" s="408">
        <f>+mthSales!DN26</f>
        <v>38354</v>
      </c>
      <c r="BK27" s="24"/>
      <c r="BL27" s="227">
        <v>4</v>
      </c>
      <c r="BM27" s="24"/>
      <c r="BN27" s="408">
        <f>mthSales!DV26</f>
        <v>38717</v>
      </c>
      <c r="BO27" s="24"/>
      <c r="BP27" s="227">
        <v>4</v>
      </c>
      <c r="BQ27" s="24"/>
      <c r="BR27" s="408">
        <f>mthSales!ED26</f>
        <v>38716</v>
      </c>
      <c r="BS27" s="24"/>
      <c r="BT27" s="227">
        <v>10</v>
      </c>
      <c r="BU27" s="24"/>
      <c r="BV27" s="408">
        <f>mthSales!EL26</f>
        <v>39087</v>
      </c>
      <c r="BW27" s="24"/>
      <c r="BX27" s="227">
        <v>-8</v>
      </c>
      <c r="BY27" s="24"/>
      <c r="BZ27" s="408">
        <f>mthSales!ET26</f>
        <v>39085</v>
      </c>
      <c r="CA27" s="24"/>
      <c r="CB27" s="227">
        <v>-9</v>
      </c>
      <c r="CC27" s="24"/>
      <c r="CD27" s="408">
        <f>mthSales!FB26</f>
        <v>40180</v>
      </c>
      <c r="CE27" s="24"/>
      <c r="CF27" s="227">
        <v>-6</v>
      </c>
      <c r="CG27" s="24"/>
      <c r="CH27" s="408">
        <f>mthSales!FJ26</f>
        <v>40179</v>
      </c>
      <c r="CI27" s="24"/>
      <c r="CJ27" s="227">
        <v>8</v>
      </c>
      <c r="CK27" s="24"/>
      <c r="CL27" s="408">
        <v>40908</v>
      </c>
      <c r="CM27" s="24"/>
      <c r="CN27" s="227">
        <v>11</v>
      </c>
      <c r="CO27" s="24"/>
      <c r="CP27" s="1165">
        <v>41279</v>
      </c>
      <c r="CQ27" s="24"/>
      <c r="CR27" s="391">
        <v>0</v>
      </c>
      <c r="CS27" s="24"/>
      <c r="CT27" s="408">
        <f>mthSales!GE26</f>
        <v>41278</v>
      </c>
      <c r="CU27" s="405"/>
      <c r="CV27" s="391">
        <v>3</v>
      </c>
      <c r="CW27" s="24"/>
      <c r="CX27" s="408">
        <v>41277</v>
      </c>
      <c r="CY27" s="405"/>
      <c r="CZ27" s="2717">
        <v>3</v>
      </c>
      <c r="DA27" s="24"/>
      <c r="DB27" s="408">
        <v>42737</v>
      </c>
      <c r="DC27" s="405"/>
      <c r="DD27" s="2717">
        <v>8</v>
      </c>
      <c r="DE27" s="2717">
        <v>10</v>
      </c>
      <c r="DF27" s="24"/>
      <c r="DG27" s="408">
        <v>42369</v>
      </c>
      <c r="DH27" s="405"/>
      <c r="DI27" s="2732">
        <v>-4</v>
      </c>
      <c r="DJ27" s="2717">
        <v>-4</v>
      </c>
      <c r="DK27" s="24"/>
      <c r="DL27" s="24"/>
      <c r="DM27" s="408">
        <v>43099</v>
      </c>
      <c r="DN27" s="405"/>
      <c r="DO27" s="2693">
        <v>-6</v>
      </c>
      <c r="DP27" s="2798">
        <v>-1</v>
      </c>
      <c r="DQ27" s="24"/>
      <c r="DR27" s="24"/>
      <c r="DS27" s="408">
        <v>41277</v>
      </c>
      <c r="DT27" s="405"/>
      <c r="DU27" s="2539">
        <v>0</v>
      </c>
      <c r="DV27" s="2522">
        <f>(DU27*0.8)+(DU96*0.2)</f>
        <v>2</v>
      </c>
      <c r="DW27" s="24"/>
      <c r="DX27" s="405">
        <f>DI27+DD27</f>
        <v>4</v>
      </c>
      <c r="DY27" s="405">
        <f>DE27+DJ27</f>
        <v>6</v>
      </c>
      <c r="DZ27" s="425">
        <v>0.45</v>
      </c>
      <c r="EA27" s="425">
        <v>0.45</v>
      </c>
      <c r="EB27" s="425">
        <v>0.45</v>
      </c>
      <c r="EC27" s="425">
        <v>0.45</v>
      </c>
      <c r="ED27" s="425">
        <v>0.45</v>
      </c>
      <c r="EE27" s="425">
        <v>0.45</v>
      </c>
      <c r="EF27" s="425">
        <v>0.45</v>
      </c>
      <c r="EG27" s="425">
        <v>0.45</v>
      </c>
      <c r="EH27" s="425">
        <v>0.45</v>
      </c>
      <c r="EI27" s="425">
        <f>mthSales!HU26</f>
        <v>0.54962450683403241</v>
      </c>
      <c r="EJ27" s="425">
        <f>mthSales!HV26</f>
        <v>0.54188546108250435</v>
      </c>
      <c r="EK27" s="425">
        <f>mthSales!HW26</f>
        <v>0.51790954348154428</v>
      </c>
      <c r="EL27" s="425">
        <f>+EK27</f>
        <v>0.51790954348154428</v>
      </c>
      <c r="EM27" s="425">
        <f>+EL27</f>
        <v>0.51790954348154428</v>
      </c>
      <c r="EN27" s="425">
        <f>mthSales!HZ26</f>
        <v>0.54947314220852062</v>
      </c>
      <c r="EO27" s="425">
        <f t="shared" si="12"/>
        <v>0.54947314220852062</v>
      </c>
      <c r="EP27" s="425">
        <f t="shared" si="12"/>
        <v>0.54947314220852062</v>
      </c>
      <c r="EQ27" s="425">
        <f t="shared" si="12"/>
        <v>0.54947314220852062</v>
      </c>
      <c r="ER27" s="425">
        <f t="shared" si="12"/>
        <v>0.54947314220852062</v>
      </c>
      <c r="ES27" s="425">
        <f t="shared" si="12"/>
        <v>0.54947314220852062</v>
      </c>
    </row>
    <row r="28" spans="1:152">
      <c r="A28" s="31" t="s">
        <v>601</v>
      </c>
      <c r="B28" s="31"/>
      <c r="C28" s="24"/>
      <c r="D28" s="113">
        <f>+D23</f>
        <v>4</v>
      </c>
      <c r="E28" s="24"/>
      <c r="F28" s="274"/>
      <c r="G28" s="168"/>
      <c r="H28" s="231"/>
      <c r="I28" s="168"/>
      <c r="J28" s="286" t="str">
        <f>+mthSales!N27</f>
        <v>2/1</v>
      </c>
      <c r="K28" s="168"/>
      <c r="L28" s="231"/>
      <c r="M28" s="168"/>
      <c r="N28" s="286" t="str">
        <f>+mthSales!V27</f>
        <v xml:space="preserve"> 1/30</v>
      </c>
      <c r="O28" s="168"/>
      <c r="P28" s="231"/>
      <c r="Q28" s="168"/>
      <c r="R28" s="286" t="str">
        <f>+mthSales!AD27</f>
        <v>1/29</v>
      </c>
      <c r="S28" s="168"/>
      <c r="T28" s="231"/>
      <c r="U28" s="168"/>
      <c r="V28" s="286" t="str">
        <f>+mthSales!AL27</f>
        <v>1/28</v>
      </c>
      <c r="W28" s="168"/>
      <c r="X28" s="231"/>
      <c r="Y28" s="168"/>
      <c r="Z28" s="286" t="str">
        <f>+mthSales!AT27</f>
        <v>2/3</v>
      </c>
      <c r="AA28" s="168"/>
      <c r="AB28" s="231"/>
      <c r="AC28" s="168"/>
      <c r="AD28" s="224" t="str">
        <f>+mthSales!BB27</f>
        <v>2/1</v>
      </c>
      <c r="AE28" s="168"/>
      <c r="AF28" s="211">
        <v>17</v>
      </c>
      <c r="AG28" s="168"/>
      <c r="AH28" s="288" t="str">
        <f>+mthSales!BJ27</f>
        <v>1/30</v>
      </c>
      <c r="AI28" s="24"/>
      <c r="AJ28" s="211">
        <v>40</v>
      </c>
      <c r="AK28" s="24"/>
      <c r="AL28" s="283" t="str">
        <f>+mthSales!BR27</f>
        <v>1/30</v>
      </c>
      <c r="AM28" s="24"/>
      <c r="AN28" s="211">
        <v>12</v>
      </c>
      <c r="AO28" s="24"/>
      <c r="AP28" s="283" t="str">
        <f>+mthSales!BZ27</f>
        <v>1/29</v>
      </c>
      <c r="AQ28" s="168"/>
      <c r="AR28" s="211">
        <v>14</v>
      </c>
      <c r="AS28" s="168"/>
      <c r="AT28" s="283" t="str">
        <f>+mthSales!CH27</f>
        <v>2/3</v>
      </c>
      <c r="AU28" s="24"/>
      <c r="AV28" s="211">
        <v>-3</v>
      </c>
      <c r="AW28" s="24"/>
      <c r="AX28" s="283" t="str">
        <f>+mthSales!CP27</f>
        <v>2/2</v>
      </c>
      <c r="AY28" s="24"/>
      <c r="AZ28" s="211">
        <v>11</v>
      </c>
      <c r="BA28" s="24"/>
      <c r="BB28" s="283" t="str">
        <f>+mthSales!CX27</f>
        <v>2/1</v>
      </c>
      <c r="BC28" s="24"/>
      <c r="BD28" s="231">
        <v>11</v>
      </c>
      <c r="BE28" s="24"/>
      <c r="BF28" s="408">
        <f>+mthSales!DF27</f>
        <v>37652</v>
      </c>
      <c r="BG28" s="24"/>
      <c r="BH28" s="231">
        <v>26</v>
      </c>
      <c r="BI28" s="24"/>
      <c r="BJ28" s="408">
        <f>+mthSales!DN27</f>
        <v>38382</v>
      </c>
      <c r="BK28" s="24"/>
      <c r="BL28" s="231">
        <v>12</v>
      </c>
      <c r="BM28" s="24"/>
      <c r="BN28" s="408">
        <f>mthSales!DV27</f>
        <v>38745</v>
      </c>
      <c r="BO28" s="24"/>
      <c r="BP28" s="231">
        <v>3</v>
      </c>
      <c r="BQ28" s="24"/>
      <c r="BR28" s="408">
        <f>mthSales!ED27</f>
        <v>38386</v>
      </c>
      <c r="BS28" s="24"/>
      <c r="BT28" s="231">
        <v>7</v>
      </c>
      <c r="BU28" s="24"/>
      <c r="BV28" s="408">
        <f>mthSales!EL27</f>
        <v>39115</v>
      </c>
      <c r="BW28" s="24"/>
      <c r="BX28" s="231">
        <v>-8</v>
      </c>
      <c r="BY28" s="24"/>
      <c r="BZ28" s="408">
        <f>mthSales!ET27</f>
        <v>39113</v>
      </c>
      <c r="CA28" s="24"/>
      <c r="CB28" s="231">
        <v>-15</v>
      </c>
      <c r="CC28" s="24"/>
      <c r="CD28" s="408">
        <f>mthSales!FB27</f>
        <v>40208</v>
      </c>
      <c r="CE28" s="24"/>
      <c r="CF28" s="231">
        <v>17</v>
      </c>
      <c r="CG28" s="24"/>
      <c r="CH28" s="408">
        <f>mthSales!FJ27</f>
        <v>40207</v>
      </c>
      <c r="CI28" s="24"/>
      <c r="CJ28" s="231">
        <v>35</v>
      </c>
      <c r="CK28" s="24"/>
      <c r="CL28" s="408">
        <v>40936</v>
      </c>
      <c r="CM28" s="24"/>
      <c r="CN28" s="211">
        <v>17</v>
      </c>
      <c r="CO28" s="24"/>
      <c r="CP28" s="1165">
        <v>41307</v>
      </c>
      <c r="CQ28" s="24"/>
      <c r="CR28" s="392">
        <v>8</v>
      </c>
      <c r="CS28" s="24"/>
      <c r="CT28" s="408">
        <f>mthSales!GE27</f>
        <v>41306</v>
      </c>
      <c r="CU28" s="405"/>
      <c r="CV28" s="392">
        <v>10</v>
      </c>
      <c r="CW28" s="24"/>
      <c r="CX28" s="408">
        <v>41305</v>
      </c>
      <c r="CY28" s="405"/>
      <c r="CZ28" s="2718">
        <v>4</v>
      </c>
      <c r="DA28" s="24"/>
      <c r="DB28" s="408">
        <v>42765</v>
      </c>
      <c r="DC28" s="405"/>
      <c r="DD28" s="2727">
        <v>-4</v>
      </c>
      <c r="DE28" s="2727">
        <v>2</v>
      </c>
      <c r="DF28" s="24"/>
      <c r="DG28" s="408">
        <v>42032</v>
      </c>
      <c r="DH28" s="405"/>
      <c r="DI28" s="2722">
        <v>-4</v>
      </c>
      <c r="DJ28" s="2731">
        <v>-10</v>
      </c>
      <c r="DK28" s="24"/>
      <c r="DL28" s="24"/>
      <c r="DM28" s="408">
        <v>42769</v>
      </c>
      <c r="DN28" s="405"/>
      <c r="DO28" s="2722">
        <v>0</v>
      </c>
      <c r="DP28" s="2731">
        <v>4</v>
      </c>
      <c r="DQ28" s="24"/>
      <c r="DR28" s="24"/>
      <c r="DS28" s="408">
        <v>41305</v>
      </c>
      <c r="DT28" s="405"/>
      <c r="DU28" s="2539">
        <v>0</v>
      </c>
      <c r="DV28" s="2521">
        <f>(DU28*0.8)+(DU97*0.2)</f>
        <v>2</v>
      </c>
      <c r="DW28" s="24"/>
      <c r="DX28" s="405">
        <f>DI28+DD28</f>
        <v>-8</v>
      </c>
      <c r="DY28" s="405">
        <f>DE28+DJ28</f>
        <v>-8</v>
      </c>
      <c r="DZ28" s="426">
        <f t="shared" ref="DZ28:EI28" si="13">1-DZ27-DZ26</f>
        <v>0.25000000000000006</v>
      </c>
      <c r="EA28" s="426">
        <f t="shared" si="13"/>
        <v>0.25000000000000006</v>
      </c>
      <c r="EB28" s="426">
        <f t="shared" si="13"/>
        <v>0.25000000000000006</v>
      </c>
      <c r="EC28" s="426">
        <f t="shared" si="13"/>
        <v>0.25000000000000006</v>
      </c>
      <c r="ED28" s="426">
        <f t="shared" si="13"/>
        <v>0.25000000000000006</v>
      </c>
      <c r="EE28" s="426">
        <f t="shared" si="13"/>
        <v>0.25000000000000006</v>
      </c>
      <c r="EF28" s="426">
        <f t="shared" si="13"/>
        <v>0.25000000000000006</v>
      </c>
      <c r="EG28" s="426">
        <f t="shared" si="13"/>
        <v>0.25000000000000006</v>
      </c>
      <c r="EH28" s="426">
        <f t="shared" si="13"/>
        <v>0.25000000000000006</v>
      </c>
      <c r="EI28" s="426">
        <f t="shared" si="13"/>
        <v>0.19776218576706556</v>
      </c>
      <c r="EJ28" s="426">
        <f t="shared" ref="EJ28:EO28" si="14">1-EJ27-EJ26</f>
        <v>0.20313457888644498</v>
      </c>
      <c r="EK28" s="426">
        <f t="shared" si="14"/>
        <v>0.22371435465866857</v>
      </c>
      <c r="EL28" s="426">
        <f t="shared" si="14"/>
        <v>0.22371435465866857</v>
      </c>
      <c r="EM28" s="426">
        <f t="shared" si="14"/>
        <v>0.22371435465866857</v>
      </c>
      <c r="EN28" s="426">
        <f t="shared" si="14"/>
        <v>0.19163543687960016</v>
      </c>
      <c r="EO28" s="426">
        <f t="shared" si="14"/>
        <v>0.19163543687960016</v>
      </c>
      <c r="EP28" s="426">
        <f>1-EP27-EP26</f>
        <v>0.19163543687960016</v>
      </c>
      <c r="EQ28" s="426">
        <f>1-EQ27-EQ26</f>
        <v>0.19163543687960016</v>
      </c>
      <c r="ER28" s="426">
        <f>1-ER27-ER26</f>
        <v>0.19163543687960016</v>
      </c>
      <c r="ES28" s="426">
        <f>1-ES27-ES26</f>
        <v>0.19163543687960016</v>
      </c>
    </row>
    <row r="29" spans="1:152">
      <c r="A29" s="118"/>
      <c r="B29" s="118" t="s">
        <v>519</v>
      </c>
      <c r="C29" s="116"/>
      <c r="D29" s="116"/>
      <c r="E29" s="116"/>
      <c r="F29" s="245"/>
      <c r="G29" s="245"/>
      <c r="H29" s="232"/>
      <c r="I29" s="245"/>
      <c r="J29" s="245"/>
      <c r="K29" s="245"/>
      <c r="L29" s="232"/>
      <c r="M29" s="245"/>
      <c r="N29" s="245"/>
      <c r="O29" s="245"/>
      <c r="P29" s="232"/>
      <c r="Q29" s="245"/>
      <c r="R29" s="245"/>
      <c r="S29" s="245"/>
      <c r="T29" s="232"/>
      <c r="U29" s="245"/>
      <c r="V29" s="245"/>
      <c r="W29" s="245"/>
      <c r="X29" s="232"/>
      <c r="Y29" s="245"/>
      <c r="Z29" s="245"/>
      <c r="AA29" s="245"/>
      <c r="AB29" s="232"/>
      <c r="AC29" s="245"/>
      <c r="AD29" s="245"/>
      <c r="AE29" s="245"/>
      <c r="AF29" s="352">
        <v>5</v>
      </c>
      <c r="AG29" s="245"/>
      <c r="AH29" s="245"/>
      <c r="AI29" s="116"/>
      <c r="AJ29" s="352">
        <v>15</v>
      </c>
      <c r="AK29" s="116"/>
      <c r="AL29" s="245"/>
      <c r="AM29" s="116"/>
      <c r="AN29" s="352">
        <v>5</v>
      </c>
      <c r="AO29" s="116"/>
      <c r="AP29" s="245"/>
      <c r="AQ29" s="245"/>
      <c r="AR29" s="352">
        <v>10</v>
      </c>
      <c r="AS29" s="245"/>
      <c r="AT29" s="245"/>
      <c r="AU29" s="116"/>
      <c r="AV29" s="353">
        <v>-4</v>
      </c>
      <c r="AW29" s="116"/>
      <c r="AX29" s="245"/>
      <c r="AY29" s="116"/>
      <c r="AZ29" s="353">
        <v>10</v>
      </c>
      <c r="BA29" s="116"/>
      <c r="BB29" s="245"/>
      <c r="BC29" s="116"/>
      <c r="BD29" s="353">
        <v>5</v>
      </c>
      <c r="BE29" s="116"/>
      <c r="BF29" s="245"/>
      <c r="BG29" s="116"/>
      <c r="BH29" s="353">
        <v>4</v>
      </c>
      <c r="BI29" s="116"/>
      <c r="BJ29" s="245"/>
      <c r="BK29" s="116"/>
      <c r="BL29" s="353">
        <v>5</v>
      </c>
      <c r="BM29" s="116"/>
      <c r="BN29" s="245"/>
      <c r="BO29" s="116"/>
      <c r="BP29" s="353">
        <v>3</v>
      </c>
      <c r="BQ29" s="116"/>
      <c r="BR29" s="245"/>
      <c r="BS29" s="116"/>
      <c r="BT29" s="353">
        <v>10</v>
      </c>
      <c r="BU29" s="116"/>
      <c r="BV29" s="245"/>
      <c r="BW29" s="116"/>
      <c r="BX29" s="353">
        <v>-8</v>
      </c>
      <c r="BY29" s="116"/>
      <c r="BZ29" s="245"/>
      <c r="CA29" s="116"/>
      <c r="CB29" s="353">
        <v>-10</v>
      </c>
      <c r="CC29" s="116"/>
      <c r="CD29" s="245"/>
      <c r="CE29" s="116"/>
      <c r="CF29" s="353">
        <v>0</v>
      </c>
      <c r="CG29" s="116"/>
      <c r="CH29" s="245"/>
      <c r="CI29" s="116"/>
      <c r="CJ29" s="353">
        <v>15</v>
      </c>
      <c r="CK29" s="116"/>
      <c r="CL29" s="245"/>
      <c r="CM29" s="116"/>
      <c r="CN29" s="353">
        <v>12</v>
      </c>
      <c r="CO29" s="116"/>
      <c r="CP29" s="245"/>
      <c r="CQ29" s="116"/>
      <c r="CR29" s="2704">
        <v>3</v>
      </c>
      <c r="CS29" s="116"/>
      <c r="CT29" s="245"/>
      <c r="CU29" s="30"/>
      <c r="CV29" s="2704">
        <v>2</v>
      </c>
      <c r="CW29" s="116"/>
      <c r="CX29" s="245"/>
      <c r="CY29" s="30"/>
      <c r="CZ29" s="2719">
        <v>4</v>
      </c>
      <c r="DA29" s="116"/>
      <c r="DB29" s="245"/>
      <c r="DC29" s="30"/>
      <c r="DD29" s="2719">
        <v>5</v>
      </c>
      <c r="DE29" s="2719">
        <v>7</v>
      </c>
      <c r="DF29" s="116"/>
      <c r="DG29" s="245"/>
      <c r="DH29" s="30"/>
      <c r="DI29" s="2719">
        <v>-2</v>
      </c>
      <c r="DJ29" s="2719">
        <v>-3</v>
      </c>
      <c r="DK29" s="116"/>
      <c r="DL29" s="116"/>
      <c r="DM29" s="245"/>
      <c r="DN29" s="30"/>
      <c r="DO29" s="2719">
        <v>-6</v>
      </c>
      <c r="DP29" s="2719">
        <v>-1</v>
      </c>
      <c r="DQ29" s="116"/>
      <c r="DR29" s="116"/>
      <c r="DS29" s="245"/>
      <c r="DT29" s="30"/>
      <c r="DU29" s="2540">
        <f>+ES29</f>
        <v>0</v>
      </c>
      <c r="DV29" s="1093">
        <f>(DU29*0.8)+(DU98*0.2)</f>
        <v>2</v>
      </c>
      <c r="DW29" s="116"/>
      <c r="DX29" s="405">
        <f>DI29+DD29</f>
        <v>3</v>
      </c>
      <c r="DY29" s="405">
        <f>DE29+DJ29</f>
        <v>4</v>
      </c>
      <c r="DZ29" s="405">
        <f>CT29+CX29</f>
        <v>0</v>
      </c>
      <c r="EA29" s="405">
        <f>CU29+CY29</f>
        <v>0</v>
      </c>
      <c r="EB29" s="405">
        <f>CV29+CZ29</f>
        <v>6</v>
      </c>
      <c r="EC29" s="405">
        <f>CZ29+DZ29</f>
        <v>4</v>
      </c>
      <c r="ED29" s="405" t="e">
        <f>CX29+#REF!</f>
        <v>#REF!</v>
      </c>
      <c r="EE29" s="405" t="e">
        <f>#REF!+EB29</f>
        <v>#REF!</v>
      </c>
      <c r="EF29" s="405">
        <f>CZ29+DZ29</f>
        <v>4</v>
      </c>
      <c r="EG29" s="405" t="e">
        <f>DZ29+ED29</f>
        <v>#REF!</v>
      </c>
      <c r="EH29" s="405" t="e">
        <f>#REF!+EB29</f>
        <v>#REF!</v>
      </c>
      <c r="EI29" s="405">
        <f>EB29+EF29</f>
        <v>10</v>
      </c>
      <c r="EJ29" s="405" t="e">
        <f>DZ29+ED29</f>
        <v>#REF!</v>
      </c>
      <c r="EK29" s="405" t="e">
        <f>ED29+EH29</f>
        <v>#REF!</v>
      </c>
      <c r="EL29" s="405">
        <f>+CN26*EL26+CN27*EL27+CN28*EL28</f>
        <v>12.342286127952011</v>
      </c>
      <c r="EM29" s="405">
        <f>+CR26*EM26+CR27*EM27+CR28*EM28</f>
        <v>2.8232192447084969</v>
      </c>
      <c r="EN29" s="405">
        <f>+CV26*EN26+CV27*EN27+CV28*EN28</f>
        <v>2.5292081117740466</v>
      </c>
      <c r="EO29" s="405">
        <f>+CZ26*EO26+CZ27*EO27+CZ28*EO28</f>
        <v>3.9683096996152378</v>
      </c>
      <c r="EP29" s="405">
        <f>+DD26*EP26+DD27*EP27+DD28*EP28</f>
        <v>5.1825919156210389</v>
      </c>
      <c r="EQ29" s="405">
        <f>+DI26*EQ26+DI27*EQ27+DI28*EQ28</f>
        <v>-1.9288686327049662</v>
      </c>
      <c r="ER29" s="405">
        <f>+DO26*ER26+DO27*ER27+DO28*ER28</f>
        <v>-5.6268616414580368</v>
      </c>
      <c r="ES29" s="405">
        <f>+DU26*ES26+DU27*ES27+DU28*ES28</f>
        <v>0</v>
      </c>
    </row>
    <row r="30" spans="1:152">
      <c r="A30" s="552"/>
      <c r="B30" s="552" t="s">
        <v>1020</v>
      </c>
      <c r="C30" s="553"/>
      <c r="D30" s="553"/>
      <c r="E30" s="553"/>
      <c r="F30" s="554"/>
      <c r="G30" s="554"/>
      <c r="H30" s="555"/>
      <c r="I30" s="554"/>
      <c r="J30" s="554"/>
      <c r="K30" s="554"/>
      <c r="L30" s="555"/>
      <c r="M30" s="554"/>
      <c r="N30" s="554"/>
      <c r="O30" s="554"/>
      <c r="P30" s="555"/>
      <c r="Q30" s="554"/>
      <c r="R30" s="554"/>
      <c r="S30" s="554"/>
      <c r="T30" s="555"/>
      <c r="U30" s="554"/>
      <c r="V30" s="554"/>
      <c r="W30" s="554"/>
      <c r="X30" s="555"/>
      <c r="Y30" s="554"/>
      <c r="Z30" s="554"/>
      <c r="AA30" s="554"/>
      <c r="AB30" s="555"/>
      <c r="AC30" s="554"/>
      <c r="AD30" s="554"/>
      <c r="AE30" s="554"/>
      <c r="AF30" s="556">
        <v>5</v>
      </c>
      <c r="AG30" s="554"/>
      <c r="AH30" s="554"/>
      <c r="AI30" s="553"/>
      <c r="AJ30" s="556">
        <v>11</v>
      </c>
      <c r="AK30" s="553"/>
      <c r="AL30" s="554"/>
      <c r="AM30" s="553"/>
      <c r="AN30" s="556">
        <v>4</v>
      </c>
      <c r="AO30" s="553"/>
      <c r="AP30" s="554"/>
      <c r="AQ30" s="554"/>
      <c r="AR30" s="556">
        <v>12</v>
      </c>
      <c r="AS30" s="554"/>
      <c r="AT30" s="554"/>
      <c r="AU30" s="553"/>
      <c r="AV30" s="557">
        <v>5</v>
      </c>
      <c r="AW30" s="553"/>
      <c r="AX30" s="554"/>
      <c r="AY30" s="553"/>
      <c r="AZ30" s="557">
        <v>0</v>
      </c>
      <c r="BA30" s="553"/>
      <c r="BB30" s="554"/>
      <c r="BC30" s="553"/>
      <c r="BD30" s="557">
        <v>6</v>
      </c>
      <c r="BE30" s="553"/>
      <c r="BF30" s="554"/>
      <c r="BG30" s="553"/>
      <c r="BH30" s="557">
        <v>4</v>
      </c>
      <c r="BI30" s="553"/>
      <c r="BJ30" s="554"/>
      <c r="BK30" s="553"/>
      <c r="BL30" s="558">
        <v>9</v>
      </c>
      <c r="BM30" s="553"/>
      <c r="BN30" s="554"/>
      <c r="BO30" s="553"/>
      <c r="BP30" s="558">
        <v>1</v>
      </c>
      <c r="BQ30" s="553"/>
      <c r="BR30" s="554"/>
      <c r="BS30" s="553"/>
      <c r="BT30" s="558">
        <v>11</v>
      </c>
      <c r="BU30" s="553"/>
      <c r="BV30" s="554"/>
      <c r="BW30" s="553"/>
      <c r="BX30" s="558">
        <v>-2</v>
      </c>
      <c r="BY30" s="553"/>
      <c r="BZ30" s="554"/>
      <c r="CA30" s="553"/>
      <c r="CB30" s="558">
        <v>-9</v>
      </c>
      <c r="CC30" s="553"/>
      <c r="CD30" s="554"/>
      <c r="CE30" s="553"/>
      <c r="CF30" s="558">
        <v>-6</v>
      </c>
      <c r="CG30" s="553"/>
      <c r="CH30" s="554"/>
      <c r="CI30" s="553"/>
      <c r="CJ30" s="558">
        <v>14</v>
      </c>
      <c r="CK30" s="553"/>
      <c r="CL30" s="554"/>
      <c r="CM30" s="553"/>
      <c r="CN30" s="558">
        <v>14</v>
      </c>
      <c r="CO30" s="553"/>
      <c r="CP30" s="554"/>
      <c r="CQ30" s="553"/>
      <c r="CR30" s="2706">
        <v>7</v>
      </c>
      <c r="CS30" s="553"/>
      <c r="CT30" s="554"/>
      <c r="CU30" s="301"/>
      <c r="CV30" s="2706">
        <v>2</v>
      </c>
      <c r="CW30" s="553"/>
      <c r="CX30" s="554"/>
      <c r="CY30" s="301"/>
      <c r="CZ30" s="2720">
        <v>3</v>
      </c>
      <c r="DA30" s="553"/>
      <c r="DB30" s="554"/>
      <c r="DC30" s="301"/>
      <c r="DD30" s="2720">
        <v>5</v>
      </c>
      <c r="DE30" s="2720">
        <v>5</v>
      </c>
      <c r="DF30" s="553"/>
      <c r="DG30" s="554"/>
      <c r="DH30" s="301"/>
      <c r="DI30" s="2720">
        <v>-1</v>
      </c>
      <c r="DJ30" s="2720">
        <v>0</v>
      </c>
      <c r="DK30" s="553"/>
      <c r="DL30" s="553"/>
      <c r="DM30" s="554"/>
      <c r="DN30" s="301"/>
      <c r="DO30" s="2720">
        <v>-8</v>
      </c>
      <c r="DP30" s="2720">
        <v>-8</v>
      </c>
      <c r="DQ30" s="553"/>
      <c r="DR30" s="553"/>
      <c r="DS30" s="554"/>
      <c r="DT30" s="301"/>
      <c r="DU30" s="2540">
        <f>segqtrSales!F198</f>
        <v>-1.0141845320811287</v>
      </c>
      <c r="DV30" s="559">
        <f>(DU30*0.8)+(DU99*0.2)</f>
        <v>1.4871057836581842</v>
      </c>
      <c r="DW30" s="553"/>
      <c r="DX30" s="405">
        <f>DI30+DD30</f>
        <v>4</v>
      </c>
      <c r="DY30" s="405">
        <f>DE30+DJ30</f>
        <v>5</v>
      </c>
      <c r="DZ30" s="560"/>
      <c r="EA30" s="560"/>
      <c r="EB30" s="560"/>
      <c r="EC30" s="560"/>
      <c r="ED30" s="560"/>
      <c r="EE30" s="560"/>
      <c r="EF30" s="560"/>
      <c r="EG30" s="560"/>
      <c r="EH30" s="560"/>
      <c r="EI30" s="560"/>
      <c r="EJ30" s="141"/>
      <c r="EK30" s="141"/>
      <c r="EL30" s="141"/>
    </row>
    <row r="31" spans="1:152">
      <c r="A31" s="168"/>
      <c r="B31" s="168"/>
      <c r="C31" s="168"/>
      <c r="D31" s="168"/>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8"/>
      <c r="AC31" s="168"/>
      <c r="AD31" s="168"/>
      <c r="AE31" s="168"/>
      <c r="AF31" s="168"/>
      <c r="AG31" s="168"/>
      <c r="AH31" s="168"/>
      <c r="AI31" s="168"/>
      <c r="AJ31" s="168"/>
      <c r="AK31" s="168"/>
      <c r="AL31" s="168"/>
      <c r="AM31" s="168"/>
      <c r="AN31" s="168"/>
      <c r="AO31" s="168"/>
      <c r="AP31" s="168"/>
      <c r="AQ31" s="168"/>
      <c r="AR31" s="224"/>
      <c r="AS31" s="168"/>
      <c r="AT31" s="168"/>
      <c r="AU31" s="168"/>
      <c r="AV31" s="168"/>
      <c r="AW31" s="168"/>
      <c r="AX31" s="168"/>
      <c r="AY31" s="168"/>
      <c r="AZ31" s="168"/>
      <c r="BA31" s="168"/>
      <c r="BB31" s="168"/>
      <c r="BC31" s="168"/>
      <c r="BD31" s="168"/>
      <c r="BE31" s="168"/>
      <c r="BF31" s="168"/>
      <c r="BG31" s="168"/>
      <c r="BH31" s="168"/>
      <c r="BI31" s="168"/>
      <c r="BJ31" s="168"/>
      <c r="BK31" s="168"/>
      <c r="BL31" s="168"/>
      <c r="BM31" s="168"/>
      <c r="BN31" s="168"/>
      <c r="BO31" s="168"/>
      <c r="BP31" s="168"/>
      <c r="BQ31" s="168"/>
      <c r="BR31" s="168"/>
      <c r="BS31" s="168"/>
      <c r="BT31" s="168"/>
      <c r="BU31" s="168"/>
      <c r="BV31" s="168"/>
      <c r="BW31" s="168"/>
      <c r="BX31" s="168"/>
      <c r="BY31" s="168"/>
      <c r="BZ31" s="168"/>
      <c r="CA31" s="168"/>
      <c r="CB31" s="168"/>
      <c r="CC31" s="168"/>
      <c r="CD31" s="168"/>
      <c r="CE31" s="168"/>
      <c r="CF31" s="168"/>
      <c r="CG31" s="168"/>
      <c r="CH31" s="168"/>
      <c r="CI31" s="168"/>
      <c r="CJ31" s="168"/>
      <c r="CK31" s="168"/>
      <c r="CL31" s="168"/>
      <c r="CM31" s="168"/>
      <c r="CN31" s="168"/>
      <c r="CO31" s="168"/>
      <c r="CP31" s="168"/>
      <c r="CQ31" s="168"/>
      <c r="CR31" s="168"/>
      <c r="CS31" s="168"/>
      <c r="CT31" s="168"/>
      <c r="CU31" s="168"/>
      <c r="CW31" s="168"/>
      <c r="CX31" s="168"/>
      <c r="CY31" s="168"/>
      <c r="DA31" s="168"/>
      <c r="DB31" s="168"/>
      <c r="DC31" s="168"/>
      <c r="DF31" s="168"/>
      <c r="DG31" s="168"/>
      <c r="DH31" s="168"/>
      <c r="DK31" s="168"/>
      <c r="DL31" s="168"/>
      <c r="DM31" s="168"/>
      <c r="DN31" s="168"/>
      <c r="DQ31" s="168"/>
      <c r="DR31" s="168"/>
      <c r="DS31" s="168"/>
      <c r="DT31" s="168"/>
      <c r="DW31" s="168"/>
      <c r="DX31" s="405"/>
      <c r="DY31" s="405"/>
      <c r="DZ31" s="168"/>
      <c r="EA31" s="168"/>
      <c r="EB31" s="168"/>
      <c r="EC31" s="168"/>
      <c r="ED31" s="168"/>
      <c r="EE31" s="168"/>
      <c r="EF31" s="168"/>
      <c r="EG31" s="168"/>
      <c r="EH31" s="168"/>
      <c r="EI31" s="168"/>
      <c r="EJ31" s="168"/>
      <c r="EK31" s="168"/>
      <c r="EL31" s="168"/>
    </row>
    <row r="32" spans="1:152">
      <c r="A32" s="215" t="s">
        <v>672</v>
      </c>
      <c r="B32" s="168"/>
      <c r="C32" s="168"/>
      <c r="D32" s="168"/>
      <c r="E32" s="168"/>
      <c r="F32" s="168"/>
      <c r="G32" s="168"/>
      <c r="H32" s="168"/>
      <c r="I32" s="168"/>
      <c r="J32" s="168"/>
      <c r="K32" s="168"/>
      <c r="L32" s="168"/>
      <c r="M32" s="168"/>
      <c r="N32" s="168"/>
      <c r="O32" s="168"/>
      <c r="P32" s="168"/>
      <c r="Q32" s="168"/>
      <c r="R32" s="168"/>
      <c r="S32" s="168"/>
      <c r="T32" s="168"/>
      <c r="U32" s="168"/>
      <c r="V32" s="168"/>
      <c r="W32" s="168"/>
      <c r="X32" s="168"/>
      <c r="Y32" s="168"/>
      <c r="Z32" s="168"/>
      <c r="AA32" s="168"/>
      <c r="AB32" s="168"/>
      <c r="AC32" s="168"/>
      <c r="AD32" s="168"/>
      <c r="AE32" s="168"/>
      <c r="AF32" s="168"/>
      <c r="AG32" s="168"/>
      <c r="AH32" s="168"/>
      <c r="AI32" s="168"/>
      <c r="AJ32" s="168"/>
      <c r="AK32" s="168"/>
      <c r="AL32" s="168"/>
      <c r="AM32" s="168"/>
      <c r="AN32" s="168"/>
      <c r="AO32" s="168"/>
      <c r="AP32" s="168"/>
      <c r="AQ32" s="168"/>
      <c r="AR32" s="224"/>
      <c r="AS32" s="168"/>
      <c r="AT32" s="168"/>
      <c r="AU32" s="168"/>
      <c r="AV32" s="168"/>
      <c r="AW32" s="168"/>
      <c r="AX32" s="168"/>
      <c r="AY32" s="168"/>
      <c r="AZ32" s="168"/>
      <c r="BA32" s="168"/>
      <c r="BB32" s="168"/>
      <c r="BC32" s="168"/>
      <c r="BD32" s="168"/>
      <c r="BE32" s="168"/>
      <c r="BF32" s="168"/>
      <c r="BG32" s="168"/>
      <c r="BH32" s="168"/>
      <c r="BI32" s="168"/>
      <c r="BJ32" s="168"/>
      <c r="BK32" s="168"/>
      <c r="BL32" s="168"/>
      <c r="BM32" s="168"/>
      <c r="BN32" s="168"/>
      <c r="BO32" s="168"/>
      <c r="BP32" s="168"/>
      <c r="BQ32" s="168"/>
      <c r="BR32" s="168"/>
      <c r="BS32" s="168"/>
      <c r="BT32" s="168"/>
      <c r="BU32" s="168"/>
      <c r="BV32" s="168"/>
      <c r="BW32" s="168"/>
      <c r="BX32" s="168"/>
      <c r="BY32" s="168"/>
      <c r="BZ32" s="168"/>
      <c r="CA32" s="168"/>
      <c r="CB32" s="168"/>
      <c r="CC32" s="168"/>
      <c r="CD32" s="168"/>
      <c r="CE32" s="168"/>
      <c r="CF32" s="168"/>
      <c r="CG32" s="168"/>
      <c r="CH32" s="168"/>
      <c r="CI32" s="168"/>
      <c r="CJ32" s="168"/>
      <c r="CK32" s="168"/>
      <c r="CL32" s="168"/>
      <c r="CM32" s="168"/>
      <c r="CN32" s="168"/>
      <c r="CO32" s="168"/>
      <c r="CP32" s="168"/>
      <c r="CQ32" s="168"/>
      <c r="CR32" s="168"/>
      <c r="CS32" s="168"/>
      <c r="CT32" s="168"/>
      <c r="CU32" s="168"/>
      <c r="CW32" s="168"/>
      <c r="CX32" s="168"/>
      <c r="CY32" s="168"/>
      <c r="DA32" s="168"/>
      <c r="DB32" s="168"/>
      <c r="DC32" s="168"/>
      <c r="DF32" s="168"/>
      <c r="DG32" s="168"/>
      <c r="DH32" s="168"/>
      <c r="DK32" s="168"/>
      <c r="DL32" s="168"/>
      <c r="DM32" s="168"/>
      <c r="DN32" s="168"/>
      <c r="DQ32" s="168"/>
      <c r="DR32" s="168"/>
      <c r="DS32" s="168"/>
      <c r="DT32" s="168"/>
      <c r="DW32" s="168"/>
      <c r="DX32" s="405"/>
      <c r="DY32" s="405"/>
      <c r="DZ32" s="168"/>
      <c r="EA32" s="168"/>
      <c r="EB32" s="168"/>
      <c r="EC32" s="168"/>
      <c r="ED32" s="168"/>
      <c r="EE32" s="168"/>
      <c r="EF32" s="168"/>
      <c r="EG32" s="168"/>
      <c r="EH32" s="168"/>
      <c r="EI32" s="168"/>
      <c r="EJ32" s="168"/>
      <c r="EK32" s="168"/>
      <c r="EL32" s="168"/>
    </row>
    <row r="33" spans="1:151">
      <c r="A33" s="168"/>
      <c r="B33" s="168"/>
      <c r="C33" s="168"/>
      <c r="D33" s="168"/>
      <c r="E33" s="168"/>
      <c r="F33" s="168"/>
      <c r="G33" s="168"/>
      <c r="H33" s="168"/>
      <c r="I33" s="168"/>
      <c r="J33" s="168"/>
      <c r="K33" s="168"/>
      <c r="L33" s="168"/>
      <c r="M33" s="168"/>
      <c r="N33" s="168"/>
      <c r="O33" s="168"/>
      <c r="P33" s="168"/>
      <c r="Q33" s="168"/>
      <c r="R33" s="168"/>
      <c r="S33" s="168"/>
      <c r="T33" s="168"/>
      <c r="U33" s="168"/>
      <c r="V33" s="168"/>
      <c r="W33" s="168"/>
      <c r="X33" s="168"/>
      <c r="Y33" s="168"/>
      <c r="Z33" s="168"/>
      <c r="AA33" s="168"/>
      <c r="AB33" s="168"/>
      <c r="AC33" s="168"/>
      <c r="AD33" s="168"/>
      <c r="AE33" s="168"/>
      <c r="AF33" s="168"/>
      <c r="AG33" s="168"/>
      <c r="AH33" s="168"/>
      <c r="AI33" s="168"/>
      <c r="AJ33" s="168"/>
      <c r="AK33" s="168"/>
      <c r="AL33" s="168"/>
      <c r="AM33" s="168"/>
      <c r="AN33" s="168"/>
      <c r="AO33" s="168"/>
      <c r="AP33" s="168"/>
      <c r="AQ33" s="168"/>
      <c r="AR33" s="224"/>
      <c r="AS33" s="168"/>
      <c r="AT33" s="168"/>
      <c r="AU33" s="168"/>
      <c r="AV33" s="168"/>
      <c r="AW33" s="168"/>
      <c r="AX33" s="168"/>
      <c r="AY33" s="168"/>
      <c r="AZ33" s="168"/>
      <c r="BA33" s="168"/>
      <c r="BB33" s="168"/>
      <c r="BC33" s="168"/>
      <c r="BD33" s="168"/>
      <c r="BE33" s="168"/>
      <c r="BF33" s="168"/>
      <c r="BG33" s="168"/>
      <c r="BH33" s="168"/>
      <c r="BI33" s="168"/>
      <c r="BJ33" s="168"/>
      <c r="BK33" s="168"/>
      <c r="BL33" s="168"/>
      <c r="BM33" s="168"/>
      <c r="BN33" s="168"/>
      <c r="BO33" s="168"/>
      <c r="BP33" s="168"/>
      <c r="BQ33" s="168"/>
      <c r="BR33" s="168"/>
      <c r="BS33" s="168"/>
      <c r="BT33" s="168"/>
      <c r="BU33" s="168"/>
      <c r="BV33" s="168"/>
      <c r="BW33" s="168"/>
      <c r="BX33" s="168"/>
      <c r="BY33" s="168"/>
      <c r="BZ33" s="168"/>
      <c r="CA33" s="168"/>
      <c r="CB33" s="168"/>
      <c r="CC33" s="168"/>
      <c r="CD33" s="168"/>
      <c r="CE33" s="168"/>
      <c r="CF33" s="168"/>
      <c r="CG33" s="168"/>
      <c r="CH33" s="168"/>
      <c r="CI33" s="168"/>
      <c r="CJ33" s="168"/>
      <c r="CK33" s="168"/>
      <c r="CL33" s="168"/>
      <c r="CM33" s="168"/>
      <c r="CN33" s="168"/>
      <c r="CO33" s="168"/>
      <c r="CP33" s="168"/>
      <c r="CQ33" s="168"/>
      <c r="CR33" s="168"/>
      <c r="CS33" s="168"/>
      <c r="CT33" s="168"/>
      <c r="CU33" s="168"/>
      <c r="CW33" s="168"/>
      <c r="CX33" s="168"/>
      <c r="CY33" s="168"/>
      <c r="DA33" s="168"/>
      <c r="DB33" s="2913"/>
      <c r="DC33" s="2913"/>
      <c r="DD33" s="2913"/>
      <c r="DE33" s="2913"/>
      <c r="DF33" s="2913"/>
      <c r="DG33" s="2913"/>
      <c r="DH33" s="2913"/>
      <c r="DI33" s="2913"/>
      <c r="DJ33" s="207"/>
      <c r="DK33" s="168"/>
      <c r="DL33" s="168"/>
      <c r="DM33" s="168"/>
      <c r="DN33" s="168"/>
      <c r="DO33" s="168"/>
      <c r="DP33" s="207"/>
      <c r="DQ33" s="168"/>
      <c r="DR33" s="168"/>
      <c r="DS33" s="168"/>
      <c r="DT33" s="168"/>
      <c r="DU33" s="168"/>
      <c r="DV33" s="207"/>
      <c r="DW33" s="168"/>
      <c r="DX33" s="405"/>
      <c r="DY33" s="405"/>
      <c r="DZ33" s="424">
        <f t="shared" ref="DZ33:EE33" si="15">+DZ10</f>
        <v>1999</v>
      </c>
      <c r="EA33" s="424">
        <f t="shared" si="15"/>
        <v>2000</v>
      </c>
      <c r="EB33" s="424">
        <f t="shared" si="15"/>
        <v>2001</v>
      </c>
      <c r="EC33" s="424">
        <f t="shared" si="15"/>
        <v>2002</v>
      </c>
      <c r="ED33" s="424">
        <f t="shared" si="15"/>
        <v>2003</v>
      </c>
      <c r="EE33" s="424">
        <f t="shared" si="15"/>
        <v>2004</v>
      </c>
      <c r="EF33" s="424">
        <f t="shared" ref="EF33:EK33" si="16">+EF10</f>
        <v>2005</v>
      </c>
      <c r="EG33" s="424">
        <f t="shared" si="16"/>
        <v>2006</v>
      </c>
      <c r="EH33" s="424">
        <f t="shared" si="16"/>
        <v>2007</v>
      </c>
      <c r="EI33" s="424">
        <f t="shared" si="16"/>
        <v>2008</v>
      </c>
      <c r="EJ33" s="424">
        <f t="shared" si="16"/>
        <v>2009</v>
      </c>
      <c r="EK33" s="424">
        <f t="shared" si="16"/>
        <v>2010</v>
      </c>
      <c r="EL33" s="424">
        <f t="shared" ref="EL33:EQ33" si="17">+EL10</f>
        <v>2011</v>
      </c>
      <c r="EM33" s="424">
        <f t="shared" si="17"/>
        <v>2012</v>
      </c>
      <c r="EN33" s="424">
        <f t="shared" si="17"/>
        <v>2013</v>
      </c>
      <c r="EO33" s="424">
        <f t="shared" si="17"/>
        <v>2014</v>
      </c>
      <c r="EP33" s="424">
        <f t="shared" si="17"/>
        <v>2015</v>
      </c>
      <c r="EQ33" s="424">
        <f t="shared" si="17"/>
        <v>2016</v>
      </c>
      <c r="ER33" s="424">
        <f>+ER10</f>
        <v>2017</v>
      </c>
      <c r="ES33" s="424">
        <f>+ES10</f>
        <v>2018</v>
      </c>
    </row>
    <row r="34" spans="1:151">
      <c r="A34" s="31" t="s">
        <v>828</v>
      </c>
      <c r="B34" s="24"/>
      <c r="C34" s="24"/>
      <c r="D34" s="120">
        <v>4</v>
      </c>
      <c r="E34" s="24"/>
      <c r="F34" s="286"/>
      <c r="G34" s="24"/>
      <c r="H34" s="176"/>
      <c r="I34" s="24" t="s">
        <v>1084</v>
      </c>
      <c r="J34" s="286" t="str">
        <f>J11</f>
        <v>3/2</v>
      </c>
      <c r="K34" s="24"/>
      <c r="L34" s="176"/>
      <c r="M34" s="24" t="s">
        <v>1084</v>
      </c>
      <c r="N34" s="286" t="str">
        <f>N11</f>
        <v xml:space="preserve"> 2/29</v>
      </c>
      <c r="O34" s="24"/>
      <c r="P34" s="176"/>
      <c r="Q34" s="24" t="s">
        <v>1084</v>
      </c>
      <c r="R34" s="286" t="str">
        <f>R11</f>
        <v xml:space="preserve"> 2/27</v>
      </c>
      <c r="S34" s="24"/>
      <c r="T34" s="228">
        <v>44</v>
      </c>
      <c r="U34" s="24" t="s">
        <v>1084</v>
      </c>
      <c r="V34" s="286" t="str">
        <f>V11</f>
        <v>2/28</v>
      </c>
      <c r="W34" s="24"/>
      <c r="X34" s="228">
        <v>40</v>
      </c>
      <c r="Y34" s="24" t="s">
        <v>1084</v>
      </c>
      <c r="Z34" s="286" t="str">
        <f>Z11</f>
        <v>2/25</v>
      </c>
      <c r="AA34" s="24"/>
      <c r="AB34" s="228">
        <v>32</v>
      </c>
      <c r="AC34" s="168" t="s">
        <v>1084</v>
      </c>
      <c r="AD34" s="286" t="str">
        <f>AD11</f>
        <v>3/2</v>
      </c>
      <c r="AE34" s="24"/>
      <c r="AF34" s="228">
        <v>7</v>
      </c>
      <c r="AG34" s="24" t="s">
        <v>1084</v>
      </c>
      <c r="AH34" s="286" t="str">
        <f>AH11</f>
        <v>3/2</v>
      </c>
      <c r="AI34" s="24"/>
      <c r="AJ34" s="228">
        <v>12</v>
      </c>
      <c r="AK34" s="24" t="s">
        <v>1084</v>
      </c>
      <c r="AL34" s="286" t="str">
        <f>AL11</f>
        <v>2/28</v>
      </c>
      <c r="AM34" s="24"/>
      <c r="AN34" s="228">
        <v>-3</v>
      </c>
      <c r="AO34" s="24" t="s">
        <v>1084</v>
      </c>
      <c r="AP34" s="286" t="str">
        <f>AP11</f>
        <v>2/27</v>
      </c>
      <c r="AQ34" s="168"/>
      <c r="AR34" s="228">
        <v>12</v>
      </c>
      <c r="AS34" s="168" t="s">
        <v>1084</v>
      </c>
      <c r="AT34" s="286" t="str">
        <f>AT11</f>
        <v>2/26</v>
      </c>
      <c r="AU34" s="24"/>
      <c r="AV34" s="228">
        <v>11</v>
      </c>
      <c r="AW34" s="24" t="s">
        <v>1084</v>
      </c>
      <c r="AX34" s="286" t="str">
        <f>AX11</f>
        <v>3/3</v>
      </c>
      <c r="AY34" s="24"/>
      <c r="AZ34" s="228">
        <v>-3</v>
      </c>
      <c r="BA34" s="24" t="s">
        <v>1084</v>
      </c>
      <c r="BB34" s="286" t="str">
        <f>BB11</f>
        <v>3/2</v>
      </c>
      <c r="BC34" s="24"/>
      <c r="BD34" s="228">
        <v>-8</v>
      </c>
      <c r="BE34" s="24" t="s">
        <v>1084</v>
      </c>
      <c r="BF34" s="408">
        <f>BF11</f>
        <v>37681</v>
      </c>
      <c r="BG34" s="24"/>
      <c r="BH34" s="228">
        <v>-3</v>
      </c>
      <c r="BI34" s="24" t="s">
        <v>1084</v>
      </c>
      <c r="BJ34" s="408">
        <f>BJ11</f>
        <v>38046</v>
      </c>
      <c r="BK34" s="24"/>
      <c r="BL34" s="228">
        <v>8</v>
      </c>
      <c r="BM34" s="24" t="s">
        <v>1084</v>
      </c>
      <c r="BN34" s="408">
        <f>BN11</f>
        <v>38409</v>
      </c>
      <c r="BO34" s="24"/>
      <c r="BP34" s="228">
        <v>3</v>
      </c>
      <c r="BQ34" s="24" t="s">
        <v>1084</v>
      </c>
      <c r="BR34" s="408">
        <f>BR11</f>
        <v>38408</v>
      </c>
      <c r="BS34" s="24"/>
      <c r="BT34" s="228">
        <v>4</v>
      </c>
      <c r="BU34" s="24" t="s">
        <v>1084</v>
      </c>
      <c r="BV34" s="408">
        <f>BV11</f>
        <v>39144</v>
      </c>
      <c r="BW34" s="24"/>
      <c r="BX34" s="228">
        <v>2</v>
      </c>
      <c r="BY34" s="24" t="s">
        <v>1084</v>
      </c>
      <c r="BZ34" s="408">
        <f>BZ11</f>
        <v>39142</v>
      </c>
      <c r="CA34" s="24"/>
      <c r="CB34" s="228">
        <v>-10</v>
      </c>
      <c r="CC34" s="24" t="s">
        <v>1084</v>
      </c>
      <c r="CD34" s="408">
        <f>CD11</f>
        <v>39872</v>
      </c>
      <c r="CE34" s="24"/>
      <c r="CF34" s="228">
        <v>-3</v>
      </c>
      <c r="CG34" s="24" t="s">
        <v>1084</v>
      </c>
      <c r="CH34" s="408">
        <f>CH11</f>
        <v>40236</v>
      </c>
      <c r="CI34" s="24"/>
      <c r="CJ34" s="210">
        <v>11</v>
      </c>
      <c r="CK34" s="24" t="s">
        <v>1084</v>
      </c>
      <c r="CL34" s="408">
        <v>40600</v>
      </c>
      <c r="CM34" s="24"/>
      <c r="CN34" s="210">
        <v>10</v>
      </c>
      <c r="CO34" s="24" t="s">
        <v>1084</v>
      </c>
      <c r="CP34" s="1165">
        <v>41336</v>
      </c>
      <c r="CQ34" s="24"/>
      <c r="CR34" s="391">
        <v>7</v>
      </c>
      <c r="CS34" s="24" t="s">
        <v>1084</v>
      </c>
      <c r="CT34" s="408">
        <v>41335</v>
      </c>
      <c r="CU34" s="405"/>
      <c r="CV34" s="391">
        <v>0</v>
      </c>
      <c r="CW34" s="24" t="s">
        <v>1084</v>
      </c>
      <c r="CX34" s="408">
        <v>41334</v>
      </c>
      <c r="CY34" s="405"/>
      <c r="CZ34" s="391">
        <v>1</v>
      </c>
      <c r="DA34" s="24" t="s">
        <v>1084</v>
      </c>
      <c r="DB34" s="408">
        <v>42794</v>
      </c>
      <c r="DC34" s="405"/>
      <c r="DD34" s="2708">
        <v>5</v>
      </c>
      <c r="DE34" s="2708">
        <v>5</v>
      </c>
      <c r="DF34" s="24" t="s">
        <v>1084</v>
      </c>
      <c r="DG34" s="408">
        <v>42062</v>
      </c>
      <c r="DH34" s="405"/>
      <c r="DI34" s="2728">
        <v>7</v>
      </c>
      <c r="DJ34" s="2708">
        <v>9</v>
      </c>
      <c r="DK34" s="24" t="s">
        <v>1084</v>
      </c>
      <c r="DL34" s="24"/>
      <c r="DM34" s="408">
        <v>42791</v>
      </c>
      <c r="DN34" s="405"/>
      <c r="DO34" s="2728">
        <v>-6</v>
      </c>
      <c r="DP34" s="2708">
        <v>-4</v>
      </c>
      <c r="DQ34" s="24" t="s">
        <v>1084</v>
      </c>
      <c r="DR34" s="24"/>
      <c r="DS34" s="408">
        <v>41334</v>
      </c>
      <c r="DT34" s="405"/>
      <c r="DU34" s="2693">
        <v>5</v>
      </c>
      <c r="DV34" s="2798">
        <v>7</v>
      </c>
      <c r="DW34" s="24" t="s">
        <v>1084</v>
      </c>
      <c r="DX34" s="405">
        <f>DJ34+DP34</f>
        <v>5</v>
      </c>
      <c r="DY34" s="405">
        <f>DV34+DP34</f>
        <v>3</v>
      </c>
      <c r="DZ34" s="417">
        <v>0.33</v>
      </c>
      <c r="EA34" s="417">
        <v>0.3</v>
      </c>
      <c r="EB34" s="417">
        <v>0.3</v>
      </c>
      <c r="EC34" s="417">
        <v>0.3</v>
      </c>
      <c r="ED34" s="417">
        <v>0.3</v>
      </c>
      <c r="EE34" s="417">
        <v>0.3</v>
      </c>
      <c r="EF34" s="417">
        <v>0.3</v>
      </c>
      <c r="EG34" s="417">
        <v>0.3</v>
      </c>
      <c r="EH34" s="417">
        <v>0.3</v>
      </c>
      <c r="EI34" s="425">
        <f>EI11</f>
        <v>0.31915540177270463</v>
      </c>
      <c r="EJ34" s="425">
        <f>EJ11</f>
        <v>0.31752508958288173</v>
      </c>
      <c r="EK34" s="425">
        <f t="shared" ref="EK34:EM35" si="18">EK11</f>
        <v>0.31069422893624121</v>
      </c>
      <c r="EL34" s="425">
        <f t="shared" si="18"/>
        <v>0.30261287203025317</v>
      </c>
      <c r="EM34" s="425">
        <f t="shared" si="18"/>
        <v>0.30360518974976131</v>
      </c>
      <c r="EN34" s="425">
        <f>EN11</f>
        <v>0.31424591782339178</v>
      </c>
      <c r="EO34" s="425">
        <f t="shared" ref="EO34:ES35" si="19">EN34</f>
        <v>0.31424591782339178</v>
      </c>
      <c r="EP34" s="425">
        <f t="shared" si="19"/>
        <v>0.31424591782339178</v>
      </c>
      <c r="EQ34" s="425">
        <f t="shared" si="19"/>
        <v>0.31424591782339178</v>
      </c>
      <c r="ER34" s="425">
        <f t="shared" si="19"/>
        <v>0.31424591782339178</v>
      </c>
      <c r="ES34" s="425">
        <f t="shared" si="19"/>
        <v>0.31424591782339178</v>
      </c>
    </row>
    <row r="35" spans="1:151">
      <c r="A35" s="31" t="s">
        <v>829</v>
      </c>
      <c r="B35" s="24"/>
      <c r="C35" s="24"/>
      <c r="D35" s="120">
        <v>5</v>
      </c>
      <c r="E35" s="24"/>
      <c r="F35" s="286"/>
      <c r="G35" s="24"/>
      <c r="H35" s="176"/>
      <c r="I35" s="24"/>
      <c r="J35" s="286" t="str">
        <f>J12</f>
        <v>4/6</v>
      </c>
      <c r="K35" s="24"/>
      <c r="L35" s="176"/>
      <c r="M35" s="24"/>
      <c r="N35" s="286" t="str">
        <f>N12</f>
        <v xml:space="preserve"> 4/4</v>
      </c>
      <c r="O35" s="24"/>
      <c r="P35" s="176"/>
      <c r="Q35" s="24"/>
      <c r="R35" s="286" t="str">
        <f>R12</f>
        <v xml:space="preserve"> 4/3</v>
      </c>
      <c r="S35" s="24"/>
      <c r="T35" s="228">
        <v>43</v>
      </c>
      <c r="U35" s="24"/>
      <c r="V35" s="286" t="str">
        <f>V12</f>
        <v>4/2</v>
      </c>
      <c r="W35" s="24"/>
      <c r="X35" s="228">
        <v>53</v>
      </c>
      <c r="Y35" s="24"/>
      <c r="Z35" s="286" t="str">
        <f>Z12</f>
        <v>4/1</v>
      </c>
      <c r="AA35" s="24"/>
      <c r="AB35" s="228">
        <v>19</v>
      </c>
      <c r="AC35" s="168"/>
      <c r="AD35" s="286" t="str">
        <f>AD12</f>
        <v>4/6</v>
      </c>
      <c r="AE35" s="24"/>
      <c r="AF35" s="228">
        <v>27</v>
      </c>
      <c r="AG35" s="24"/>
      <c r="AH35" s="286" t="str">
        <f>AH12</f>
        <v>4/5</v>
      </c>
      <c r="AI35" s="24"/>
      <c r="AJ35" s="228">
        <v>2</v>
      </c>
      <c r="AK35" s="24"/>
      <c r="AL35" s="286" t="str">
        <f>AL12</f>
        <v>4/4</v>
      </c>
      <c r="AM35" s="24"/>
      <c r="AN35" s="228">
        <v>-2</v>
      </c>
      <c r="AO35" s="24"/>
      <c r="AP35" s="286" t="str">
        <f>AP12</f>
        <v>4/3</v>
      </c>
      <c r="AQ35" s="168"/>
      <c r="AR35" s="228">
        <v>20</v>
      </c>
      <c r="AS35" s="168"/>
      <c r="AT35" s="286" t="str">
        <f>AT12</f>
        <v>4/1</v>
      </c>
      <c r="AU35" s="24"/>
      <c r="AV35" s="228">
        <v>-5</v>
      </c>
      <c r="AW35" s="24"/>
      <c r="AX35" s="286" t="str">
        <f>AX12</f>
        <v>4/7</v>
      </c>
      <c r="AY35" s="24"/>
      <c r="AZ35" s="228">
        <v>-8</v>
      </c>
      <c r="BA35" s="24"/>
      <c r="BB35" s="286" t="str">
        <f>BB12</f>
        <v>4/6</v>
      </c>
      <c r="BC35" s="24"/>
      <c r="BD35" s="228">
        <v>-3</v>
      </c>
      <c r="BE35" s="24"/>
      <c r="BF35" s="408">
        <f>BF12</f>
        <v>37716</v>
      </c>
      <c r="BG35" s="24"/>
      <c r="BH35" s="228">
        <v>-10</v>
      </c>
      <c r="BI35" s="24"/>
      <c r="BJ35" s="408">
        <f>BJ12</f>
        <v>38081</v>
      </c>
      <c r="BK35" s="24"/>
      <c r="BL35" s="228">
        <v>13</v>
      </c>
      <c r="BM35" s="24"/>
      <c r="BN35" s="408">
        <f>BN12</f>
        <v>38444</v>
      </c>
      <c r="BO35" s="24"/>
      <c r="BP35" s="228">
        <v>10</v>
      </c>
      <c r="BQ35" s="24"/>
      <c r="BR35" s="408">
        <f>BR12</f>
        <v>38443</v>
      </c>
      <c r="BS35" s="24"/>
      <c r="BT35" s="228">
        <v>1</v>
      </c>
      <c r="BU35" s="24"/>
      <c r="BV35" s="408">
        <f>BV12</f>
        <v>39179</v>
      </c>
      <c r="BW35" s="24"/>
      <c r="BX35" s="228">
        <v>15</v>
      </c>
      <c r="BY35" s="24"/>
      <c r="BZ35" s="408">
        <f>BZ12</f>
        <v>39177</v>
      </c>
      <c r="CA35" s="24"/>
      <c r="CB35" s="228">
        <v>-13</v>
      </c>
      <c r="CC35" s="24"/>
      <c r="CD35" s="408">
        <f>CD12</f>
        <v>39907</v>
      </c>
      <c r="CE35" s="24"/>
      <c r="CF35" s="228">
        <v>-6</v>
      </c>
      <c r="CG35" s="24"/>
      <c r="CH35" s="408">
        <f>CH12</f>
        <v>40271</v>
      </c>
      <c r="CI35" s="24"/>
      <c r="CJ35" s="210">
        <v>12</v>
      </c>
      <c r="CK35" s="24"/>
      <c r="CL35" s="408">
        <v>40635</v>
      </c>
      <c r="CM35" s="24"/>
      <c r="CN35" s="210">
        <v>8</v>
      </c>
      <c r="CO35" s="24"/>
      <c r="CP35" s="1165">
        <v>41371</v>
      </c>
      <c r="CQ35" s="24"/>
      <c r="CR35" s="391">
        <v>6</v>
      </c>
      <c r="CS35" s="24"/>
      <c r="CT35" s="408">
        <v>41370</v>
      </c>
      <c r="CU35" s="405"/>
      <c r="CV35" s="391">
        <v>4</v>
      </c>
      <c r="CW35" s="24"/>
      <c r="CX35" s="408">
        <v>41369</v>
      </c>
      <c r="CY35" s="405"/>
      <c r="CZ35" s="2742">
        <v>-2</v>
      </c>
      <c r="DA35" s="24"/>
      <c r="DB35" s="408">
        <v>42829</v>
      </c>
      <c r="DC35" s="405"/>
      <c r="DD35" s="2750">
        <v>9</v>
      </c>
      <c r="DE35" s="2750">
        <v>9</v>
      </c>
      <c r="DF35" s="24"/>
      <c r="DG35" s="408">
        <v>42096</v>
      </c>
      <c r="DH35" s="405"/>
      <c r="DI35" s="2728">
        <v>2</v>
      </c>
      <c r="DJ35" s="2708">
        <v>5</v>
      </c>
      <c r="DK35" s="24"/>
      <c r="DL35" s="24"/>
      <c r="DM35" s="408">
        <v>42826</v>
      </c>
      <c r="DN35" s="405"/>
      <c r="DO35" s="2728">
        <v>-3</v>
      </c>
      <c r="DP35" s="2708">
        <v>0</v>
      </c>
      <c r="DQ35" s="24"/>
      <c r="DR35" s="24"/>
      <c r="DS35" s="408">
        <v>41369</v>
      </c>
      <c r="DT35" s="405"/>
      <c r="DU35" s="2693">
        <v>9</v>
      </c>
      <c r="DV35" s="2798">
        <v>10</v>
      </c>
      <c r="DW35" s="24"/>
      <c r="DX35" s="405">
        <f t="shared" ref="DX35:DX37" si="20">DJ35+DP35</f>
        <v>5</v>
      </c>
      <c r="DY35" s="405">
        <f t="shared" ref="DY35:DY37" si="21">DV35+DP35</f>
        <v>10</v>
      </c>
      <c r="DZ35" s="417">
        <v>0.33</v>
      </c>
      <c r="EA35" s="417">
        <v>0.38</v>
      </c>
      <c r="EB35" s="417">
        <v>0.38</v>
      </c>
      <c r="EC35" s="417">
        <v>0.38</v>
      </c>
      <c r="ED35" s="417">
        <v>0.38</v>
      </c>
      <c r="EE35" s="417">
        <v>0.38</v>
      </c>
      <c r="EF35" s="417">
        <v>0.38</v>
      </c>
      <c r="EG35" s="417">
        <v>0.38</v>
      </c>
      <c r="EH35" s="417">
        <v>0.38</v>
      </c>
      <c r="EI35" s="425">
        <f>EI12</f>
        <v>0.38086709078734871</v>
      </c>
      <c r="EJ35" s="425">
        <f>EJ12</f>
        <v>0.37456135978177835</v>
      </c>
      <c r="EK35" s="425">
        <f t="shared" si="18"/>
        <v>0.38669808297363528</v>
      </c>
      <c r="EL35" s="425">
        <f t="shared" si="18"/>
        <v>0.38926055829797063</v>
      </c>
      <c r="EM35" s="425">
        <f t="shared" si="18"/>
        <v>0.39042912381185851</v>
      </c>
      <c r="EN35" s="425">
        <f>EN12</f>
        <v>0.39453802058141002</v>
      </c>
      <c r="EO35" s="425">
        <f t="shared" si="19"/>
        <v>0.39453802058141002</v>
      </c>
      <c r="EP35" s="425">
        <f t="shared" si="19"/>
        <v>0.39453802058141002</v>
      </c>
      <c r="EQ35" s="425">
        <v>0.38</v>
      </c>
      <c r="ER35" s="425">
        <v>0.38</v>
      </c>
      <c r="ES35" s="425">
        <v>0.38</v>
      </c>
    </row>
    <row r="36" spans="1:151">
      <c r="A36" s="31" t="s">
        <v>830</v>
      </c>
      <c r="B36" s="24"/>
      <c r="C36" s="24"/>
      <c r="D36" s="120">
        <v>4</v>
      </c>
      <c r="E36" s="24"/>
      <c r="F36" s="286"/>
      <c r="G36" s="24"/>
      <c r="H36" s="175"/>
      <c r="I36" s="24"/>
      <c r="J36" s="286" t="str">
        <f>J13</f>
        <v>5/4</v>
      </c>
      <c r="K36" s="24"/>
      <c r="L36" s="175"/>
      <c r="M36" s="24"/>
      <c r="N36" s="286" t="str">
        <f>N13</f>
        <v xml:space="preserve"> 5/2</v>
      </c>
      <c r="O36" s="24"/>
      <c r="P36" s="175"/>
      <c r="Q36" s="24"/>
      <c r="R36" s="286" t="str">
        <f>R13</f>
        <v xml:space="preserve"> 5/1</v>
      </c>
      <c r="S36" s="24"/>
      <c r="T36" s="284">
        <v>43</v>
      </c>
      <c r="U36" s="24"/>
      <c r="V36" s="286" t="str">
        <f>V13</f>
        <v>4/30</v>
      </c>
      <c r="W36" s="24"/>
      <c r="X36" s="284">
        <v>32</v>
      </c>
      <c r="Y36" s="24"/>
      <c r="Z36" s="286" t="str">
        <f>Z13</f>
        <v>4/29</v>
      </c>
      <c r="AA36" s="24"/>
      <c r="AB36" s="284">
        <v>37</v>
      </c>
      <c r="AC36" s="168"/>
      <c r="AD36" s="286" t="str">
        <f>AD13</f>
        <v>4/29</v>
      </c>
      <c r="AE36" s="24"/>
      <c r="AF36" s="284">
        <v>1</v>
      </c>
      <c r="AG36" s="24"/>
      <c r="AH36" s="286" t="str">
        <f>AH13</f>
        <v>5/3</v>
      </c>
      <c r="AI36" s="24"/>
      <c r="AJ36" s="284">
        <v>28</v>
      </c>
      <c r="AK36" s="24"/>
      <c r="AL36" s="286" t="str">
        <f>AL13</f>
        <v>5/2</v>
      </c>
      <c r="AM36" s="24"/>
      <c r="AN36" s="284">
        <v>2</v>
      </c>
      <c r="AO36" s="24"/>
      <c r="AP36" s="286" t="str">
        <f>AP13</f>
        <v>5/1</v>
      </c>
      <c r="AQ36" s="168"/>
      <c r="AR36" s="284">
        <v>8</v>
      </c>
      <c r="AS36" s="150"/>
      <c r="AT36" s="286" t="str">
        <f>AT13</f>
        <v>4/29</v>
      </c>
      <c r="AU36" s="24"/>
      <c r="AV36" s="284">
        <v>15</v>
      </c>
      <c r="AW36" s="31"/>
      <c r="AX36" s="286" t="str">
        <f>AX13</f>
        <v>5/5</v>
      </c>
      <c r="AY36" s="24"/>
      <c r="AZ36" s="284">
        <v>-12</v>
      </c>
      <c r="BA36" s="31"/>
      <c r="BB36" s="286" t="str">
        <f>BB13</f>
        <v>5/4</v>
      </c>
      <c r="BC36" s="24"/>
      <c r="BD36" s="284">
        <v>-13</v>
      </c>
      <c r="BE36" s="31"/>
      <c r="BF36" s="408">
        <f>BF13</f>
        <v>37744</v>
      </c>
      <c r="BG36" s="24"/>
      <c r="BH36" s="284">
        <v>9</v>
      </c>
      <c r="BI36" s="31"/>
      <c r="BJ36" s="408">
        <f>BJ13</f>
        <v>38109</v>
      </c>
      <c r="BK36" s="24"/>
      <c r="BL36" s="284">
        <v>1</v>
      </c>
      <c r="BM36" s="31"/>
      <c r="BN36" s="408">
        <f>BN13</f>
        <v>38472</v>
      </c>
      <c r="BO36" s="24"/>
      <c r="BP36" s="284">
        <v>2</v>
      </c>
      <c r="BQ36" s="31"/>
      <c r="BR36" s="408">
        <f>BR13</f>
        <v>38471</v>
      </c>
      <c r="BS36" s="24"/>
      <c r="BT36" s="284">
        <v>8</v>
      </c>
      <c r="BU36" s="31"/>
      <c r="BV36" s="408">
        <f>BV13</f>
        <v>39207</v>
      </c>
      <c r="BW36" s="24"/>
      <c r="BX36" s="284">
        <v>-2</v>
      </c>
      <c r="BY36" s="31"/>
      <c r="BZ36" s="408">
        <f>BZ13</f>
        <v>39205</v>
      </c>
      <c r="CA36" s="24"/>
      <c r="CB36" s="284">
        <v>-8</v>
      </c>
      <c r="CC36" s="31"/>
      <c r="CD36" s="408">
        <f>CD13</f>
        <v>39935</v>
      </c>
      <c r="CE36" s="24"/>
      <c r="CF36" s="284">
        <v>1</v>
      </c>
      <c r="CG36" s="31"/>
      <c r="CH36" s="408">
        <f>CH13</f>
        <v>40299</v>
      </c>
      <c r="CI36" s="24"/>
      <c r="CJ36" s="284">
        <v>-1</v>
      </c>
      <c r="CK36" s="31"/>
      <c r="CL36" s="408">
        <v>40663</v>
      </c>
      <c r="CM36" s="24"/>
      <c r="CN36" s="284">
        <v>16</v>
      </c>
      <c r="CO36" s="31"/>
      <c r="CP36" s="1165">
        <v>41399</v>
      </c>
      <c r="CQ36" s="24"/>
      <c r="CR36" s="392">
        <v>4</v>
      </c>
      <c r="CS36" s="31"/>
      <c r="CT36" s="1156">
        <v>41398</v>
      </c>
      <c r="CU36" s="405"/>
      <c r="CV36" s="392">
        <v>4</v>
      </c>
      <c r="CW36" s="31"/>
      <c r="CX36" s="1156">
        <v>41397</v>
      </c>
      <c r="CY36" s="405"/>
      <c r="CZ36" s="2743">
        <v>8</v>
      </c>
      <c r="DA36" s="31"/>
      <c r="DB36" s="1156">
        <v>42857</v>
      </c>
      <c r="DC36" s="405"/>
      <c r="DD36" s="2751">
        <v>-2</v>
      </c>
      <c r="DE36" s="2751">
        <v>0</v>
      </c>
      <c r="DF36" s="31"/>
      <c r="DG36" s="1156">
        <v>42124</v>
      </c>
      <c r="DH36" s="405"/>
      <c r="DI36" s="2718">
        <v>4</v>
      </c>
      <c r="DJ36" s="2718">
        <v>5</v>
      </c>
      <c r="DK36" s="31"/>
      <c r="DL36" s="31"/>
      <c r="DM36" s="1156">
        <v>42844</v>
      </c>
      <c r="DN36" s="405"/>
      <c r="DO36" s="2733">
        <v>6</v>
      </c>
      <c r="DP36" s="2734">
        <v>10</v>
      </c>
      <c r="DQ36" s="31"/>
      <c r="DR36" s="31"/>
      <c r="DS36" s="1156">
        <v>41397</v>
      </c>
      <c r="DT36" s="405"/>
      <c r="DU36" s="2539">
        <v>-1</v>
      </c>
      <c r="DV36" s="2521">
        <f t="shared" ref="DV36" si="22">DU36+2</f>
        <v>1</v>
      </c>
      <c r="DW36" s="31"/>
      <c r="DX36" s="405">
        <f t="shared" si="20"/>
        <v>15</v>
      </c>
      <c r="DY36" s="405">
        <f t="shared" si="21"/>
        <v>11</v>
      </c>
      <c r="DZ36" s="427">
        <f t="shared" ref="DZ36:EO36" si="23">1-DZ35-DZ34</f>
        <v>0.33999999999999991</v>
      </c>
      <c r="EA36" s="427">
        <f t="shared" si="23"/>
        <v>0.32</v>
      </c>
      <c r="EB36" s="427">
        <f t="shared" si="23"/>
        <v>0.32</v>
      </c>
      <c r="EC36" s="427">
        <f t="shared" si="23"/>
        <v>0.32</v>
      </c>
      <c r="ED36" s="427">
        <f t="shared" si="23"/>
        <v>0.32</v>
      </c>
      <c r="EE36" s="427">
        <f t="shared" si="23"/>
        <v>0.32</v>
      </c>
      <c r="EF36" s="427">
        <f t="shared" si="23"/>
        <v>0.32</v>
      </c>
      <c r="EG36" s="427">
        <f t="shared" si="23"/>
        <v>0.32</v>
      </c>
      <c r="EH36" s="427">
        <f t="shared" si="23"/>
        <v>0.32</v>
      </c>
      <c r="EI36" s="427">
        <f t="shared" si="23"/>
        <v>0.29997750743994667</v>
      </c>
      <c r="EJ36" s="427">
        <f t="shared" si="23"/>
        <v>0.30791355063533998</v>
      </c>
      <c r="EK36" s="427">
        <f t="shared" si="23"/>
        <v>0.30260768809012351</v>
      </c>
      <c r="EL36" s="427">
        <f t="shared" si="23"/>
        <v>0.30812656967177615</v>
      </c>
      <c r="EM36" s="427">
        <f t="shared" si="23"/>
        <v>0.30596568643838024</v>
      </c>
      <c r="EN36" s="427">
        <f t="shared" si="23"/>
        <v>0.29121606159519825</v>
      </c>
      <c r="EO36" s="427">
        <f t="shared" si="23"/>
        <v>0.29121606159519825</v>
      </c>
      <c r="EP36" s="427">
        <f>1-EP35-EP34</f>
        <v>0.29121606159519825</v>
      </c>
      <c r="EQ36" s="427">
        <f>1-EQ35-EQ34</f>
        <v>0.30575408217660821</v>
      </c>
      <c r="ER36" s="427">
        <f>1-ER35-ER34</f>
        <v>0.30575408217660821</v>
      </c>
      <c r="ES36" s="427">
        <f>1-ES35-ES34</f>
        <v>0.30575408217660821</v>
      </c>
      <c r="EU36" s="427"/>
    </row>
    <row r="37" spans="1:151">
      <c r="A37" s="116"/>
      <c r="B37" s="118" t="s">
        <v>921</v>
      </c>
      <c r="C37" s="116"/>
      <c r="D37" s="121"/>
      <c r="E37" s="116"/>
      <c r="F37" s="269"/>
      <c r="G37" s="116"/>
      <c r="H37" s="177"/>
      <c r="I37" s="116"/>
      <c r="J37" s="269"/>
      <c r="K37" s="116"/>
      <c r="L37" s="177"/>
      <c r="M37" s="116"/>
      <c r="N37" s="269"/>
      <c r="O37" s="116"/>
      <c r="P37" s="177"/>
      <c r="Q37" s="116"/>
      <c r="R37" s="269"/>
      <c r="S37" s="116"/>
      <c r="T37" s="353">
        <v>43</v>
      </c>
      <c r="U37" s="116"/>
      <c r="V37" s="269"/>
      <c r="W37" s="116"/>
      <c r="X37" s="353">
        <v>42</v>
      </c>
      <c r="Y37" s="116"/>
      <c r="Z37" s="269"/>
      <c r="AA37" s="116"/>
      <c r="AB37" s="353">
        <v>28</v>
      </c>
      <c r="AC37" s="245"/>
      <c r="AD37" s="269"/>
      <c r="AE37" s="116"/>
      <c r="AF37" s="353">
        <v>12</v>
      </c>
      <c r="AG37" s="116"/>
      <c r="AH37" s="269"/>
      <c r="AI37" s="116"/>
      <c r="AJ37" s="353">
        <v>13</v>
      </c>
      <c r="AK37" s="116"/>
      <c r="AL37" s="269"/>
      <c r="AM37" s="116"/>
      <c r="AN37" s="353">
        <v>-1</v>
      </c>
      <c r="AO37" s="116"/>
      <c r="AP37" s="269"/>
      <c r="AQ37" s="245"/>
      <c r="AR37" s="353">
        <v>13</v>
      </c>
      <c r="AS37" s="247"/>
      <c r="AT37" s="269"/>
      <c r="AU37" s="116"/>
      <c r="AV37" s="353">
        <v>6</v>
      </c>
      <c r="AW37" s="118"/>
      <c r="AX37" s="269"/>
      <c r="AY37" s="116"/>
      <c r="AZ37" s="353">
        <v>-8</v>
      </c>
      <c r="BA37" s="118"/>
      <c r="BB37" s="269"/>
      <c r="BC37" s="116"/>
      <c r="BD37" s="353">
        <v>-8</v>
      </c>
      <c r="BE37" s="118"/>
      <c r="BF37" s="409"/>
      <c r="BG37" s="116"/>
      <c r="BH37" s="353">
        <v>-2</v>
      </c>
      <c r="BI37" s="118"/>
      <c r="BJ37" s="409"/>
      <c r="BK37" s="116"/>
      <c r="BL37" s="353">
        <v>7</v>
      </c>
      <c r="BM37" s="118"/>
      <c r="BN37" s="409"/>
      <c r="BO37" s="116"/>
      <c r="BP37" s="353">
        <v>5</v>
      </c>
      <c r="BQ37" s="118"/>
      <c r="BR37" s="409"/>
      <c r="BS37" s="116"/>
      <c r="BT37" s="353">
        <v>4</v>
      </c>
      <c r="BU37" s="118"/>
      <c r="BV37" s="409"/>
      <c r="BW37" s="116"/>
      <c r="BX37" s="353">
        <v>5</v>
      </c>
      <c r="BY37" s="118"/>
      <c r="BZ37" s="409"/>
      <c r="CA37" s="116"/>
      <c r="CB37" s="353">
        <v>-11</v>
      </c>
      <c r="CC37" s="118"/>
      <c r="CD37" s="409"/>
      <c r="CE37" s="116"/>
      <c r="CF37" s="353">
        <v>-3</v>
      </c>
      <c r="CG37" s="118"/>
      <c r="CH37" s="409"/>
      <c r="CI37" s="116"/>
      <c r="CJ37" s="353">
        <v>7</v>
      </c>
      <c r="CK37" s="118"/>
      <c r="CL37" s="409"/>
      <c r="CM37" s="116"/>
      <c r="CN37" s="353">
        <v>11</v>
      </c>
      <c r="CO37" s="118"/>
      <c r="CP37" s="121"/>
      <c r="CQ37" s="116"/>
      <c r="CR37" s="2703">
        <v>6</v>
      </c>
      <c r="CS37" s="118"/>
      <c r="CT37" s="1080"/>
      <c r="CU37" s="114"/>
      <c r="CV37" s="2703">
        <v>3</v>
      </c>
      <c r="CW37" s="118"/>
      <c r="CX37" s="1080"/>
      <c r="CY37" s="114"/>
      <c r="CZ37" s="2744">
        <v>2</v>
      </c>
      <c r="DA37" s="118"/>
      <c r="DB37" s="1080"/>
      <c r="DC37" s="114"/>
      <c r="DD37" s="2752">
        <v>4</v>
      </c>
      <c r="DE37" s="2752">
        <v>5</v>
      </c>
      <c r="DF37" s="118"/>
      <c r="DG37" s="1080"/>
      <c r="DH37" s="114"/>
      <c r="DI37" s="2719">
        <v>4</v>
      </c>
      <c r="DJ37" s="2719">
        <v>6</v>
      </c>
      <c r="DK37" s="118"/>
      <c r="DL37" s="118"/>
      <c r="DM37" s="1080"/>
      <c r="DN37" s="114"/>
      <c r="DO37" s="2735">
        <v>-1</v>
      </c>
      <c r="DP37" s="2735">
        <v>2</v>
      </c>
      <c r="DQ37" s="118"/>
      <c r="DR37" s="118"/>
      <c r="DS37" s="1080"/>
      <c r="DT37" s="114"/>
      <c r="DU37" s="2540">
        <f>+ES37</f>
        <v>4.6854755069403504</v>
      </c>
      <c r="DV37" s="1093">
        <f>DU37+2</f>
        <v>6.6854755069403504</v>
      </c>
      <c r="DW37" s="118"/>
      <c r="DX37" s="405">
        <f t="shared" si="20"/>
        <v>8</v>
      </c>
      <c r="DY37" s="405">
        <f t="shared" si="21"/>
        <v>8.6854755069403495</v>
      </c>
      <c r="DZ37" s="405">
        <f>+AR34*DZ34+AR35*DZ35+AR36*DZ36</f>
        <v>13.28</v>
      </c>
      <c r="EA37" s="405">
        <f>+AV34*EA34+AV35*EA35+AV36*EA36</f>
        <v>6.1999999999999993</v>
      </c>
      <c r="EB37" s="405">
        <f>+AZ34*EB34+AZ35*EB35+AZ36*EB36</f>
        <v>-7.7799999999999994</v>
      </c>
      <c r="EC37" s="405">
        <f>+BD34*EC34+BD35*EC35+BD36*EC36</f>
        <v>-7.7</v>
      </c>
      <c r="ED37" s="405">
        <f>+BH34*ED34+BH35*ED35+BH36*ED36</f>
        <v>-1.8199999999999994</v>
      </c>
      <c r="EE37" s="405">
        <f>+BL34*EE34+BL35*EE35+BL36*EE36</f>
        <v>7.66</v>
      </c>
      <c r="EF37" s="405">
        <f>+BP34*EF34+BP35*EF35+BP36*EF36</f>
        <v>5.339999999999999</v>
      </c>
      <c r="EG37" s="405">
        <f>+BT34*EG34+BT35*EG35+BT36*EG36</f>
        <v>4.1400000000000006</v>
      </c>
      <c r="EH37" s="405">
        <f>+BX34*EH34+BX35*EH35+BX36*EH36</f>
        <v>5.66</v>
      </c>
      <c r="EI37" s="405">
        <f>+CB34*EI34+CB35*EI35+CB36*EI36</f>
        <v>-10.542646257482154</v>
      </c>
      <c r="EJ37" s="405">
        <f>+CF34*EJ34+CF35*EJ35+CF36*EJ36</f>
        <v>-2.8920298768039752</v>
      </c>
      <c r="EK37" s="405">
        <f>+CJ34*EK34+CJ35*EK35+CJ36*EK36</f>
        <v>7.7554058258921525</v>
      </c>
      <c r="EL37" s="405">
        <f>+CN34*EL34+CN35*EL35+CN36*EL36</f>
        <v>11.070238301434715</v>
      </c>
      <c r="EM37" s="405">
        <f>+CR34*EM34+CR35*EM35+CR36*EM36</f>
        <v>5.691673816873001</v>
      </c>
      <c r="EN37" s="405">
        <f>+CV34*EN34+CV35*EN35+CV36*EN36</f>
        <v>2.7430163287064331</v>
      </c>
      <c r="EO37" s="405">
        <f>+CZ34*EO34+CZ35*EO35+CZ36*EO36</f>
        <v>1.8548983694221577</v>
      </c>
      <c r="EP37" s="405">
        <f>+DD34*EP34+DD35*EP35+DD36*EP36</f>
        <v>4.5396396511592529</v>
      </c>
      <c r="EQ37" s="405">
        <f>+DI34*EQ34+DI35*EQ35+DI36*EQ36</f>
        <v>4.1827377534701755</v>
      </c>
      <c r="ER37" s="405">
        <f>+DO34*ER34+DO35*ER35+DO36*ER36</f>
        <v>-1.1909510138807016</v>
      </c>
      <c r="ES37" s="405">
        <f>+DU34*ES34+DU35*ES35+DU36*ES36</f>
        <v>4.6854755069403504</v>
      </c>
    </row>
    <row r="38" spans="1:151">
      <c r="A38" s="119"/>
      <c r="B38" s="119"/>
      <c r="C38" s="119"/>
      <c r="D38" s="122"/>
      <c r="E38" s="119"/>
      <c r="F38" s="287"/>
      <c r="G38" s="119"/>
      <c r="H38" s="119"/>
      <c r="I38" s="119"/>
      <c r="J38" s="287"/>
      <c r="K38" s="119"/>
      <c r="L38" s="119"/>
      <c r="M38" s="119"/>
      <c r="N38" s="287"/>
      <c r="O38" s="119"/>
      <c r="P38" s="119"/>
      <c r="Q38" s="119"/>
      <c r="R38" s="287"/>
      <c r="S38" s="119"/>
      <c r="T38" s="270"/>
      <c r="U38" s="119"/>
      <c r="V38" s="287"/>
      <c r="W38" s="119"/>
      <c r="X38" s="270"/>
      <c r="Y38" s="119"/>
      <c r="Z38" s="287"/>
      <c r="AA38" s="119"/>
      <c r="AB38" s="270"/>
      <c r="AC38" s="246"/>
      <c r="AD38" s="287"/>
      <c r="AE38" s="119"/>
      <c r="AF38" s="270"/>
      <c r="AG38" s="119"/>
      <c r="AH38" s="287"/>
      <c r="AI38" s="119"/>
      <c r="AJ38" s="270"/>
      <c r="AK38" s="119"/>
      <c r="AL38" s="287"/>
      <c r="AM38" s="119"/>
      <c r="AN38" s="270"/>
      <c r="AO38" s="119"/>
      <c r="AP38" s="287"/>
      <c r="AQ38" s="246"/>
      <c r="AR38" s="270"/>
      <c r="AS38" s="246"/>
      <c r="AT38" s="287"/>
      <c r="AU38" s="119"/>
      <c r="AV38" s="270"/>
      <c r="AW38" s="119"/>
      <c r="AX38" s="287"/>
      <c r="AY38" s="119"/>
      <c r="AZ38" s="270"/>
      <c r="BA38" s="119"/>
      <c r="BB38" s="287"/>
      <c r="BC38" s="119"/>
      <c r="BD38" s="270"/>
      <c r="BE38" s="119"/>
      <c r="BF38" s="410"/>
      <c r="BG38" s="119"/>
      <c r="BH38" s="270"/>
      <c r="BI38" s="119"/>
      <c r="BJ38" s="410"/>
      <c r="BK38" s="119"/>
      <c r="BL38" s="270"/>
      <c r="BM38" s="119"/>
      <c r="BN38" s="410"/>
      <c r="BO38" s="119"/>
      <c r="BP38" s="270"/>
      <c r="BQ38" s="119"/>
      <c r="BR38" s="410"/>
      <c r="BS38" s="119"/>
      <c r="BT38" s="270"/>
      <c r="BU38" s="119"/>
      <c r="BV38" s="410"/>
      <c r="BW38" s="119"/>
      <c r="BX38" s="270"/>
      <c r="BY38" s="119"/>
      <c r="BZ38" s="410"/>
      <c r="CA38" s="119"/>
      <c r="CB38" s="270"/>
      <c r="CC38" s="119"/>
      <c r="CD38" s="410"/>
      <c r="CE38" s="119"/>
      <c r="CF38" s="270"/>
      <c r="CG38" s="119"/>
      <c r="CH38" s="410"/>
      <c r="CI38" s="119"/>
      <c r="CJ38" s="270"/>
      <c r="CK38" s="119"/>
      <c r="CL38" s="410"/>
      <c r="CM38" s="119"/>
      <c r="CN38" s="270"/>
      <c r="CO38" s="119"/>
      <c r="CP38" s="122"/>
      <c r="CQ38" s="119"/>
      <c r="CR38" s="2737"/>
      <c r="CS38" s="119"/>
      <c r="CT38" s="408"/>
      <c r="CU38" s="30"/>
      <c r="CV38" s="2375"/>
      <c r="CW38" s="119"/>
      <c r="CX38" s="408"/>
      <c r="CY38" s="30"/>
      <c r="CZ38" s="2375"/>
      <c r="DA38" s="119"/>
      <c r="DB38" s="408"/>
      <c r="DC38" s="30"/>
      <c r="DD38" s="2375"/>
      <c r="DE38" s="2375"/>
      <c r="DF38" s="119"/>
      <c r="DG38" s="408"/>
      <c r="DH38" s="30"/>
      <c r="DI38" s="2729"/>
      <c r="DJ38" s="2759"/>
      <c r="DK38" s="119"/>
      <c r="DL38" s="119"/>
      <c r="DM38" s="408"/>
      <c r="DN38" s="30"/>
      <c r="DO38" s="1096"/>
      <c r="DP38" s="2759"/>
      <c r="DQ38" s="119"/>
      <c r="DR38" s="119"/>
      <c r="DS38" s="408"/>
      <c r="DT38" s="30"/>
      <c r="DU38" s="2539"/>
      <c r="DV38" s="2524"/>
      <c r="DW38" s="119"/>
      <c r="DX38" s="405"/>
      <c r="DY38" s="405"/>
      <c r="DZ38" s="24"/>
      <c r="EA38" s="24"/>
      <c r="EB38" s="24"/>
      <c r="EC38" s="24"/>
      <c r="ED38" s="24"/>
      <c r="EE38" s="24"/>
      <c r="EF38" s="24"/>
      <c r="EG38" s="24"/>
      <c r="EH38" s="24"/>
      <c r="EI38" s="24"/>
      <c r="EJ38" s="24"/>
      <c r="EK38" s="24"/>
      <c r="EL38" s="24"/>
      <c r="EM38" s="24"/>
      <c r="EN38" s="24"/>
      <c r="EO38" s="24"/>
      <c r="EP38" s="24"/>
      <c r="EQ38" s="24"/>
      <c r="ER38" s="24"/>
      <c r="ES38" s="24"/>
    </row>
    <row r="39" spans="1:151">
      <c r="A39" s="31" t="s">
        <v>831</v>
      </c>
      <c r="B39" s="24"/>
      <c r="C39" s="24"/>
      <c r="D39" s="113">
        <f>+D34</f>
        <v>4</v>
      </c>
      <c r="E39" s="24"/>
      <c r="F39" s="286"/>
      <c r="G39" s="24"/>
      <c r="H39" s="176"/>
      <c r="I39" s="24" t="s">
        <v>1084</v>
      </c>
      <c r="J39" s="286" t="str">
        <f>J16</f>
        <v>6/1</v>
      </c>
      <c r="K39" s="24"/>
      <c r="L39" s="176"/>
      <c r="M39" s="24" t="s">
        <v>1084</v>
      </c>
      <c r="N39" s="286" t="str">
        <f>N16</f>
        <v xml:space="preserve"> 5/30</v>
      </c>
      <c r="O39" s="24"/>
      <c r="P39" s="176"/>
      <c r="Q39" s="24" t="s">
        <v>1084</v>
      </c>
      <c r="R39" s="286" t="str">
        <f>R16</f>
        <v xml:space="preserve"> 5/29</v>
      </c>
      <c r="S39" s="24"/>
      <c r="T39" s="228">
        <v>37</v>
      </c>
      <c r="U39" s="24" t="s">
        <v>1084</v>
      </c>
      <c r="V39" s="286" t="str">
        <f>V16</f>
        <v>5/28</v>
      </c>
      <c r="W39" s="24"/>
      <c r="X39" s="228">
        <v>46</v>
      </c>
      <c r="Y39" s="24" t="s">
        <v>1084</v>
      </c>
      <c r="Z39" s="286" t="str">
        <f>Z16</f>
        <v>5/27</v>
      </c>
      <c r="AA39" s="24"/>
      <c r="AB39" s="228">
        <v>26</v>
      </c>
      <c r="AC39" s="168" t="s">
        <v>1084</v>
      </c>
      <c r="AD39" s="286" t="str">
        <f>AD16</f>
        <v>6/1</v>
      </c>
      <c r="AE39" s="24"/>
      <c r="AF39" s="228">
        <v>12</v>
      </c>
      <c r="AG39" s="24" t="s">
        <v>1084</v>
      </c>
      <c r="AH39" s="286" t="str">
        <f>AH16</f>
        <v>5/31</v>
      </c>
      <c r="AI39" s="24"/>
      <c r="AJ39" s="228">
        <v>18</v>
      </c>
      <c r="AK39" s="24" t="s">
        <v>1084</v>
      </c>
      <c r="AL39" s="286" t="str">
        <f>AL16</f>
        <v>5/30</v>
      </c>
      <c r="AM39" s="24"/>
      <c r="AN39" s="228">
        <v>1</v>
      </c>
      <c r="AO39" s="24" t="s">
        <v>1084</v>
      </c>
      <c r="AP39" s="286" t="str">
        <f>AP16</f>
        <v>5/29</v>
      </c>
      <c r="AQ39" s="168"/>
      <c r="AR39" s="228">
        <v>13</v>
      </c>
      <c r="AS39" s="168" t="s">
        <v>1084</v>
      </c>
      <c r="AT39" s="286" t="str">
        <f>AT16</f>
        <v>5/27</v>
      </c>
      <c r="AU39" s="24"/>
      <c r="AV39" s="228">
        <v>3</v>
      </c>
      <c r="AW39" s="24" t="s">
        <v>1084</v>
      </c>
      <c r="AX39" s="286" t="str">
        <f>AX16</f>
        <v>6/2</v>
      </c>
      <c r="AY39" s="24"/>
      <c r="AZ39" s="228">
        <v>-11</v>
      </c>
      <c r="BA39" s="24" t="s">
        <v>1084</v>
      </c>
      <c r="BB39" s="286" t="str">
        <f>BB16</f>
        <v>6/1</v>
      </c>
      <c r="BC39" s="24"/>
      <c r="BD39" s="228">
        <v>-4</v>
      </c>
      <c r="BE39" s="24" t="s">
        <v>1084</v>
      </c>
      <c r="BF39" s="408">
        <f>BF16</f>
        <v>37772</v>
      </c>
      <c r="BG39" s="24"/>
      <c r="BH39" s="228">
        <v>3</v>
      </c>
      <c r="BI39" s="24" t="s">
        <v>1084</v>
      </c>
      <c r="BJ39" s="408">
        <f>BJ16</f>
        <v>38137</v>
      </c>
      <c r="BK39" s="24"/>
      <c r="BL39" s="228">
        <v>1</v>
      </c>
      <c r="BM39" s="24" t="s">
        <v>1084</v>
      </c>
      <c r="BN39" s="408">
        <f>BN16</f>
        <v>38500</v>
      </c>
      <c r="BO39" s="24"/>
      <c r="BP39" s="228">
        <v>5</v>
      </c>
      <c r="BQ39" s="24" t="s">
        <v>1084</v>
      </c>
      <c r="BR39" s="408">
        <f>BR16</f>
        <v>38499</v>
      </c>
      <c r="BS39" s="24"/>
      <c r="BT39" s="228">
        <v>12</v>
      </c>
      <c r="BU39" s="24" t="s">
        <v>1084</v>
      </c>
      <c r="BV39" s="408">
        <f>BV16</f>
        <v>39235</v>
      </c>
      <c r="BW39" s="24"/>
      <c r="BX39" s="228">
        <v>-3</v>
      </c>
      <c r="BY39" s="24" t="s">
        <v>1084</v>
      </c>
      <c r="BZ39" s="408">
        <f>BZ16</f>
        <v>39233</v>
      </c>
      <c r="CA39" s="24"/>
      <c r="CB39" s="228">
        <v>-11</v>
      </c>
      <c r="CC39" s="24" t="s">
        <v>1084</v>
      </c>
      <c r="CD39" s="408">
        <f>CD16</f>
        <v>39963</v>
      </c>
      <c r="CE39" s="24"/>
      <c r="CF39" s="228">
        <v>-1</v>
      </c>
      <c r="CG39" s="24" t="s">
        <v>1084</v>
      </c>
      <c r="CH39" s="408">
        <f>CH16</f>
        <v>40327</v>
      </c>
      <c r="CI39" s="24"/>
      <c r="CJ39" s="210">
        <v>2</v>
      </c>
      <c r="CK39" s="24" t="s">
        <v>1084</v>
      </c>
      <c r="CL39" s="408">
        <v>40691</v>
      </c>
      <c r="CM39" s="24"/>
      <c r="CN39" s="210">
        <v>4</v>
      </c>
      <c r="CO39" s="24" t="s">
        <v>1084</v>
      </c>
      <c r="CP39" s="1165">
        <v>41427</v>
      </c>
      <c r="CQ39" s="24"/>
      <c r="CR39" s="391">
        <v>7</v>
      </c>
      <c r="CS39" s="24" t="s">
        <v>1084</v>
      </c>
      <c r="CT39" s="408">
        <v>41426</v>
      </c>
      <c r="CU39" s="405"/>
      <c r="CV39" s="391">
        <v>3</v>
      </c>
      <c r="CW39" s="24" t="s">
        <v>1084</v>
      </c>
      <c r="CX39" s="408">
        <v>41425</v>
      </c>
      <c r="CY39" s="405"/>
      <c r="CZ39" s="2745">
        <v>5</v>
      </c>
      <c r="DA39" s="24" t="s">
        <v>1084</v>
      </c>
      <c r="DB39" s="408">
        <v>42885</v>
      </c>
      <c r="DC39" s="405"/>
      <c r="DD39" s="2750">
        <v>5</v>
      </c>
      <c r="DE39" s="2750">
        <v>6</v>
      </c>
      <c r="DF39" s="24" t="s">
        <v>1084</v>
      </c>
      <c r="DG39" s="408">
        <v>42152</v>
      </c>
      <c r="DH39" s="405"/>
      <c r="DI39" s="2750">
        <v>2</v>
      </c>
      <c r="DJ39" s="2750">
        <v>3</v>
      </c>
      <c r="DK39" s="24" t="s">
        <v>1084</v>
      </c>
      <c r="DL39" s="24"/>
      <c r="DM39" s="408">
        <v>42882</v>
      </c>
      <c r="DN39" s="405"/>
      <c r="DO39" s="2728">
        <v>6</v>
      </c>
      <c r="DP39" s="2708">
        <v>6</v>
      </c>
      <c r="DQ39" s="24" t="s">
        <v>1084</v>
      </c>
      <c r="DR39" s="24"/>
      <c r="DS39" s="408">
        <v>41425</v>
      </c>
      <c r="DT39" s="405"/>
      <c r="DU39" s="2539">
        <v>0</v>
      </c>
      <c r="DV39" s="2522">
        <f>DU39+2</f>
        <v>2</v>
      </c>
      <c r="DW39" s="24" t="s">
        <v>1084</v>
      </c>
      <c r="DX39" s="405">
        <f>DJ39+DP39</f>
        <v>9</v>
      </c>
      <c r="DY39" s="405">
        <f>DV39+DP39</f>
        <v>8</v>
      </c>
      <c r="DZ39" s="417">
        <v>0.35</v>
      </c>
      <c r="EA39" s="417">
        <v>0.35</v>
      </c>
      <c r="EB39" s="417">
        <v>0.35</v>
      </c>
      <c r="EC39" s="417">
        <v>0.35</v>
      </c>
      <c r="ED39" s="417">
        <v>0.35</v>
      </c>
      <c r="EE39" s="417">
        <v>0.35</v>
      </c>
      <c r="EF39" s="417">
        <v>0.35</v>
      </c>
      <c r="EG39" s="417">
        <v>0.35</v>
      </c>
      <c r="EH39" s="417">
        <v>0.35</v>
      </c>
      <c r="EI39" s="425">
        <f t="shared" ref="EI39:EJ41" si="24">EI16</f>
        <v>0.28949610254982461</v>
      </c>
      <c r="EJ39" s="425">
        <f t="shared" si="24"/>
        <v>0.2993812046476429</v>
      </c>
      <c r="EK39" s="425">
        <f t="shared" ref="EK39:EL41" si="25">EK16</f>
        <v>0.29311010647928071</v>
      </c>
      <c r="EL39" s="425">
        <f t="shared" si="25"/>
        <v>0.29184573101375505</v>
      </c>
      <c r="EM39" s="425">
        <f t="shared" ref="EM39:EN41" si="26">EM16</f>
        <v>0.28006382404038854</v>
      </c>
      <c r="EN39" s="425">
        <f t="shared" si="26"/>
        <v>0.29293086672559726</v>
      </c>
      <c r="EO39" s="425">
        <f t="shared" ref="EO39:ES40" si="27">EN39</f>
        <v>0.29293086672559726</v>
      </c>
      <c r="EP39" s="425">
        <f t="shared" si="27"/>
        <v>0.29293086672559726</v>
      </c>
      <c r="EQ39" s="425">
        <f t="shared" si="27"/>
        <v>0.29293086672559726</v>
      </c>
      <c r="ER39" s="425">
        <f t="shared" si="27"/>
        <v>0.29293086672559726</v>
      </c>
      <c r="ES39" s="425">
        <f t="shared" si="27"/>
        <v>0.29293086672559726</v>
      </c>
    </row>
    <row r="40" spans="1:151">
      <c r="A40" s="31" t="s">
        <v>652</v>
      </c>
      <c r="B40" s="24"/>
      <c r="C40" s="24"/>
      <c r="D40" s="113">
        <f>+D35</f>
        <v>5</v>
      </c>
      <c r="E40" s="24"/>
      <c r="F40" s="286"/>
      <c r="G40" s="24"/>
      <c r="H40" s="176"/>
      <c r="I40" s="24"/>
      <c r="J40" s="286" t="str">
        <f>J17</f>
        <v>7/6</v>
      </c>
      <c r="K40" s="24"/>
      <c r="L40" s="176"/>
      <c r="M40" s="24"/>
      <c r="N40" s="286" t="str">
        <f>N17</f>
        <v xml:space="preserve"> 7/4</v>
      </c>
      <c r="O40" s="24"/>
      <c r="P40" s="176"/>
      <c r="Q40" s="24"/>
      <c r="R40" s="286" t="str">
        <f>R17</f>
        <v xml:space="preserve"> 7/3</v>
      </c>
      <c r="S40" s="24"/>
      <c r="T40" s="228">
        <v>45</v>
      </c>
      <c r="U40" s="24"/>
      <c r="V40" s="286" t="str">
        <f>V17</f>
        <v>7/2</v>
      </c>
      <c r="W40" s="24"/>
      <c r="X40" s="228">
        <v>47</v>
      </c>
      <c r="Y40" s="24"/>
      <c r="Z40" s="286" t="str">
        <f>Z17</f>
        <v>7/1</v>
      </c>
      <c r="AA40" s="24"/>
      <c r="AB40" s="228">
        <v>25</v>
      </c>
      <c r="AC40" s="168"/>
      <c r="AD40" s="286" t="str">
        <f>AD17</f>
        <v>7/6</v>
      </c>
      <c r="AE40" s="24"/>
      <c r="AF40" s="228">
        <v>12</v>
      </c>
      <c r="AG40" s="24"/>
      <c r="AH40" s="286" t="str">
        <f>AH17</f>
        <v>7/5</v>
      </c>
      <c r="AI40" s="24"/>
      <c r="AJ40" s="228">
        <v>12</v>
      </c>
      <c r="AK40" s="24"/>
      <c r="AL40" s="286" t="str">
        <f>AL17</f>
        <v>7/4</v>
      </c>
      <c r="AM40" s="24"/>
      <c r="AN40" s="228">
        <v>7</v>
      </c>
      <c r="AO40" s="24"/>
      <c r="AP40" s="286" t="str">
        <f>AP17</f>
        <v>7/3</v>
      </c>
      <c r="AQ40" s="168"/>
      <c r="AR40" s="228">
        <v>11</v>
      </c>
      <c r="AS40" s="168"/>
      <c r="AT40" s="286" t="str">
        <f>AT17</f>
        <v>7/1</v>
      </c>
      <c r="AU40" s="24"/>
      <c r="AV40" s="228">
        <v>4</v>
      </c>
      <c r="AW40" s="24"/>
      <c r="AX40" s="286" t="str">
        <f>AX17</f>
        <v>7/7</v>
      </c>
      <c r="AY40" s="24"/>
      <c r="AZ40" s="228">
        <v>-6</v>
      </c>
      <c r="BA40" s="24"/>
      <c r="BB40" s="286" t="str">
        <f>BB17</f>
        <v>7/6</v>
      </c>
      <c r="BC40" s="24"/>
      <c r="BD40" s="228">
        <v>-3</v>
      </c>
      <c r="BE40" s="24"/>
      <c r="BF40" s="408">
        <f>BF17</f>
        <v>37807</v>
      </c>
      <c r="BG40" s="24"/>
      <c r="BH40" s="228">
        <v>3</v>
      </c>
      <c r="BI40" s="24"/>
      <c r="BJ40" s="408">
        <f>BJ17</f>
        <v>38172</v>
      </c>
      <c r="BK40" s="24"/>
      <c r="BL40" s="228">
        <v>55</v>
      </c>
      <c r="BM40" s="24"/>
      <c r="BN40" s="408">
        <f>BN17</f>
        <v>38535</v>
      </c>
      <c r="BO40" s="24"/>
      <c r="BP40" s="228">
        <v>15</v>
      </c>
      <c r="BQ40" s="24"/>
      <c r="BR40" s="408">
        <f>BR17</f>
        <v>38534</v>
      </c>
      <c r="BS40" s="24"/>
      <c r="BT40" s="228">
        <v>8</v>
      </c>
      <c r="BU40" s="24"/>
      <c r="BV40" s="408">
        <f>BV17</f>
        <v>39270</v>
      </c>
      <c r="BW40" s="24"/>
      <c r="BX40" s="228">
        <v>-4</v>
      </c>
      <c r="BY40" s="24"/>
      <c r="BZ40" s="408">
        <f>BZ17</f>
        <v>39268</v>
      </c>
      <c r="CA40" s="24"/>
      <c r="CB40" s="228">
        <v>-8</v>
      </c>
      <c r="CC40" s="24"/>
      <c r="CD40" s="408">
        <f>CD17</f>
        <v>39998</v>
      </c>
      <c r="CE40" s="24"/>
      <c r="CF40" s="228">
        <v>-10</v>
      </c>
      <c r="CG40" s="24"/>
      <c r="CH40" s="408">
        <f>CH17</f>
        <v>40362</v>
      </c>
      <c r="CI40" s="24"/>
      <c r="CJ40" s="210">
        <v>-8</v>
      </c>
      <c r="CK40" s="24"/>
      <c r="CL40" s="408">
        <v>40726</v>
      </c>
      <c r="CM40" s="24"/>
      <c r="CN40" s="210">
        <v>5</v>
      </c>
      <c r="CO40" s="24"/>
      <c r="CP40" s="1165">
        <v>41462</v>
      </c>
      <c r="CQ40" s="24"/>
      <c r="CR40" s="391">
        <v>2</v>
      </c>
      <c r="CS40" s="24"/>
      <c r="CT40" s="408">
        <v>41461</v>
      </c>
      <c r="CU40" s="405"/>
      <c r="CV40" s="391">
        <v>2</v>
      </c>
      <c r="CW40" s="24"/>
      <c r="CX40" s="408">
        <v>41460</v>
      </c>
      <c r="CY40" s="405"/>
      <c r="CZ40" s="2745">
        <v>1</v>
      </c>
      <c r="DA40" s="24"/>
      <c r="DB40" s="408">
        <v>42920</v>
      </c>
      <c r="DC40" s="405"/>
      <c r="DD40" s="2754">
        <v>6</v>
      </c>
      <c r="DE40" s="2754">
        <v>7</v>
      </c>
      <c r="DF40" s="24"/>
      <c r="DG40" s="408">
        <v>42187</v>
      </c>
      <c r="DH40" s="405"/>
      <c r="DI40" s="2754">
        <v>4</v>
      </c>
      <c r="DJ40" s="2754">
        <v>7</v>
      </c>
      <c r="DK40" s="24"/>
      <c r="DL40" s="24"/>
      <c r="DM40" s="408">
        <v>42917</v>
      </c>
      <c r="DN40" s="405"/>
      <c r="DO40" s="2754">
        <v>5</v>
      </c>
      <c r="DP40" s="2754">
        <v>8</v>
      </c>
      <c r="DQ40" s="24"/>
      <c r="DR40" s="24"/>
      <c r="DS40" s="408">
        <v>41460</v>
      </c>
      <c r="DT40" s="405"/>
      <c r="DU40" s="2539">
        <v>0</v>
      </c>
      <c r="DV40" s="2522">
        <f t="shared" ref="DV40:DV41" si="28">DU40+2</f>
        <v>2</v>
      </c>
      <c r="DW40" s="24"/>
      <c r="DX40" s="405">
        <f t="shared" ref="DX40:DX42" si="29">DJ40+DP40</f>
        <v>15</v>
      </c>
      <c r="DY40" s="405">
        <f t="shared" ref="DY40:DY42" si="30">DV40+DP40</f>
        <v>10</v>
      </c>
      <c r="DZ40" s="417">
        <v>0.33</v>
      </c>
      <c r="EA40" s="417">
        <v>0.33</v>
      </c>
      <c r="EB40" s="417">
        <v>0.33</v>
      </c>
      <c r="EC40" s="417">
        <v>0.33</v>
      </c>
      <c r="ED40" s="417">
        <v>0.33</v>
      </c>
      <c r="EE40" s="417">
        <v>0.33</v>
      </c>
      <c r="EF40" s="417">
        <v>0.33</v>
      </c>
      <c r="EG40" s="417">
        <v>0.33</v>
      </c>
      <c r="EH40" s="417">
        <v>0.33</v>
      </c>
      <c r="EI40" s="425">
        <f t="shared" si="24"/>
        <v>0.44739908786620408</v>
      </c>
      <c r="EJ40" s="425">
        <f t="shared" si="24"/>
        <v>0.43153088460444139</v>
      </c>
      <c r="EK40" s="425">
        <f t="shared" si="25"/>
        <v>0.43050128829316542</v>
      </c>
      <c r="EL40" s="425">
        <f t="shared" si="25"/>
        <v>0.43935515680910991</v>
      </c>
      <c r="EM40" s="425">
        <f t="shared" si="26"/>
        <v>0.44891909285830994</v>
      </c>
      <c r="EN40" s="425">
        <f t="shared" si="26"/>
        <v>0.43760771270676069</v>
      </c>
      <c r="EO40" s="425">
        <f t="shared" si="27"/>
        <v>0.43760771270676069</v>
      </c>
      <c r="EP40" s="425">
        <f t="shared" si="27"/>
        <v>0.43760771270676069</v>
      </c>
      <c r="EQ40" s="425">
        <f t="shared" si="27"/>
        <v>0.43760771270676069</v>
      </c>
      <c r="ER40" s="425">
        <f t="shared" si="27"/>
        <v>0.43760771270676069</v>
      </c>
      <c r="ES40" s="425">
        <f t="shared" si="27"/>
        <v>0.43760771270676069</v>
      </c>
    </row>
    <row r="41" spans="1:151">
      <c r="A41" s="31" t="s">
        <v>653</v>
      </c>
      <c r="B41" s="24"/>
      <c r="C41" s="24"/>
      <c r="D41" s="113">
        <f>+D36</f>
        <v>4</v>
      </c>
      <c r="E41" s="24"/>
      <c r="F41" s="286"/>
      <c r="G41" s="24"/>
      <c r="H41" s="175"/>
      <c r="I41" s="24"/>
      <c r="J41" s="286" t="str">
        <f>J18</f>
        <v>8/3</v>
      </c>
      <c r="K41" s="24"/>
      <c r="L41" s="175"/>
      <c r="M41" s="24"/>
      <c r="N41" s="286" t="str">
        <f>N18</f>
        <v xml:space="preserve"> 8/1</v>
      </c>
      <c r="O41" s="24"/>
      <c r="P41" s="175"/>
      <c r="Q41" s="24"/>
      <c r="R41" s="286" t="str">
        <f>R18</f>
        <v xml:space="preserve"> 7/31</v>
      </c>
      <c r="S41" s="24"/>
      <c r="T41" s="284">
        <v>50</v>
      </c>
      <c r="U41" s="24"/>
      <c r="V41" s="286" t="str">
        <f>V18</f>
        <v>7/30</v>
      </c>
      <c r="W41" s="24"/>
      <c r="X41" s="284">
        <v>39</v>
      </c>
      <c r="Y41" s="24"/>
      <c r="Z41" s="286" t="str">
        <f>Z18</f>
        <v>7/29</v>
      </c>
      <c r="AA41" s="24"/>
      <c r="AB41" s="284">
        <v>27</v>
      </c>
      <c r="AC41" s="168"/>
      <c r="AD41" s="286" t="str">
        <f>AD18</f>
        <v>8/3</v>
      </c>
      <c r="AE41" s="24"/>
      <c r="AF41" s="284">
        <v>3</v>
      </c>
      <c r="AG41" s="24"/>
      <c r="AH41" s="286" t="str">
        <f>AH18</f>
        <v>8/2</v>
      </c>
      <c r="AI41" s="24"/>
      <c r="AJ41" s="284">
        <v>18</v>
      </c>
      <c r="AK41" s="24"/>
      <c r="AL41" s="286" t="str">
        <f>AL18</f>
        <v>8/1</v>
      </c>
      <c r="AM41" s="24"/>
      <c r="AN41" s="284">
        <v>1</v>
      </c>
      <c r="AO41" s="24"/>
      <c r="AP41" s="286" t="str">
        <f>AP18</f>
        <v>7/31</v>
      </c>
      <c r="AQ41" s="168"/>
      <c r="AR41" s="284">
        <v>2</v>
      </c>
      <c r="AS41" s="168"/>
      <c r="AT41" s="286" t="str">
        <f>AT18</f>
        <v>7/29</v>
      </c>
      <c r="AU41" s="24"/>
      <c r="AV41" s="284">
        <v>3</v>
      </c>
      <c r="AW41" s="24"/>
      <c r="AX41" s="286" t="str">
        <f>AX18</f>
        <v>8/4</v>
      </c>
      <c r="AY41" s="24"/>
      <c r="AZ41" s="284">
        <v>-11</v>
      </c>
      <c r="BA41" s="24"/>
      <c r="BB41" s="286" t="str">
        <f>BB18</f>
        <v>8/3</v>
      </c>
      <c r="BC41" s="24"/>
      <c r="BD41" s="284">
        <v>0</v>
      </c>
      <c r="BE41" s="24"/>
      <c r="BF41" s="408">
        <f>BF18</f>
        <v>37835</v>
      </c>
      <c r="BG41" s="24"/>
      <c r="BH41" s="284">
        <v>5</v>
      </c>
      <c r="BI41" s="24"/>
      <c r="BJ41" s="408">
        <f>BJ18</f>
        <v>38200</v>
      </c>
      <c r="BK41" s="24"/>
      <c r="BL41" s="284">
        <v>-4</v>
      </c>
      <c r="BM41" s="24"/>
      <c r="BN41" s="408">
        <f>BN18</f>
        <v>38563</v>
      </c>
      <c r="BO41" s="24"/>
      <c r="BP41" s="284">
        <v>2</v>
      </c>
      <c r="BQ41" s="24"/>
      <c r="BR41" s="408">
        <f>BR18</f>
        <v>38562</v>
      </c>
      <c r="BS41" s="24"/>
      <c r="BT41" s="284">
        <v>16</v>
      </c>
      <c r="BU41" s="24"/>
      <c r="BV41" s="408">
        <f>BV18</f>
        <v>39298</v>
      </c>
      <c r="BW41" s="24"/>
      <c r="BX41" s="284">
        <v>-2</v>
      </c>
      <c r="BY41" s="24"/>
      <c r="BZ41" s="408">
        <f>BZ18</f>
        <v>39296</v>
      </c>
      <c r="CA41" s="24"/>
      <c r="CB41" s="284">
        <v>-5</v>
      </c>
      <c r="CC41" s="24"/>
      <c r="CD41" s="408">
        <f>CD18</f>
        <v>40026</v>
      </c>
      <c r="CE41" s="24"/>
      <c r="CF41" s="284">
        <v>0</v>
      </c>
      <c r="CG41" s="24"/>
      <c r="CH41" s="408">
        <f>CH18</f>
        <v>40390</v>
      </c>
      <c r="CI41" s="24"/>
      <c r="CJ41" s="284">
        <v>15</v>
      </c>
      <c r="CK41" s="24"/>
      <c r="CL41" s="408">
        <v>40754</v>
      </c>
      <c r="CM41" s="24"/>
      <c r="CN41" s="284">
        <v>2</v>
      </c>
      <c r="CO41" s="24"/>
      <c r="CP41" s="1165">
        <v>41490</v>
      </c>
      <c r="CQ41" s="24"/>
      <c r="CR41" s="392">
        <v>17</v>
      </c>
      <c r="CS41" s="24"/>
      <c r="CT41" s="408">
        <v>41489</v>
      </c>
      <c r="CU41" s="405"/>
      <c r="CV41" s="392">
        <v>6</v>
      </c>
      <c r="CW41" s="24"/>
      <c r="CX41" s="408">
        <v>41488</v>
      </c>
      <c r="CY41" s="405"/>
      <c r="CZ41" s="2746">
        <v>7</v>
      </c>
      <c r="DA41" s="24"/>
      <c r="DB41" s="408">
        <v>42948</v>
      </c>
      <c r="DC41" s="405"/>
      <c r="DD41" s="2755">
        <v>4</v>
      </c>
      <c r="DE41" s="2755">
        <v>5</v>
      </c>
      <c r="DF41" s="24"/>
      <c r="DG41" s="408">
        <v>42215</v>
      </c>
      <c r="DH41" s="405"/>
      <c r="DI41" s="2755">
        <v>4</v>
      </c>
      <c r="DJ41" s="2755">
        <v>6</v>
      </c>
      <c r="DK41" s="24"/>
      <c r="DL41" s="24"/>
      <c r="DM41" s="408">
        <v>42945</v>
      </c>
      <c r="DN41" s="405"/>
      <c r="DO41" s="2733">
        <v>-1</v>
      </c>
      <c r="DP41" s="2734">
        <v>1</v>
      </c>
      <c r="DQ41" s="24"/>
      <c r="DR41" s="24"/>
      <c r="DS41" s="408">
        <v>41488</v>
      </c>
      <c r="DT41" s="405"/>
      <c r="DU41" s="2539">
        <v>2</v>
      </c>
      <c r="DV41" s="2521">
        <f t="shared" si="28"/>
        <v>4</v>
      </c>
      <c r="DW41" s="24"/>
      <c r="DX41" s="405">
        <f t="shared" si="29"/>
        <v>7</v>
      </c>
      <c r="DY41" s="405">
        <f t="shared" si="30"/>
        <v>5</v>
      </c>
      <c r="DZ41" s="427">
        <f t="shared" ref="DZ41:EH41" si="31">1-DZ40-DZ39</f>
        <v>0.31999999999999995</v>
      </c>
      <c r="EA41" s="427">
        <f t="shared" si="31"/>
        <v>0.31999999999999995</v>
      </c>
      <c r="EB41" s="427">
        <f t="shared" si="31"/>
        <v>0.31999999999999995</v>
      </c>
      <c r="EC41" s="427">
        <f t="shared" si="31"/>
        <v>0.31999999999999995</v>
      </c>
      <c r="ED41" s="427">
        <f t="shared" si="31"/>
        <v>0.31999999999999995</v>
      </c>
      <c r="EE41" s="427">
        <f t="shared" si="31"/>
        <v>0.31999999999999995</v>
      </c>
      <c r="EF41" s="427">
        <f t="shared" si="31"/>
        <v>0.31999999999999995</v>
      </c>
      <c r="EG41" s="427">
        <f t="shared" si="31"/>
        <v>0.31999999999999995</v>
      </c>
      <c r="EH41" s="427">
        <f t="shared" si="31"/>
        <v>0.31999999999999995</v>
      </c>
      <c r="EI41" s="427">
        <f t="shared" si="24"/>
        <v>0.26310480958397131</v>
      </c>
      <c r="EJ41" s="427">
        <f t="shared" si="24"/>
        <v>0.26908791074791566</v>
      </c>
      <c r="EK41" s="427">
        <f t="shared" si="25"/>
        <v>0.27638860522755393</v>
      </c>
      <c r="EL41" s="427">
        <f t="shared" si="25"/>
        <v>0.26879911217713509</v>
      </c>
      <c r="EM41" s="427">
        <f t="shared" si="26"/>
        <v>0.27101708310130146</v>
      </c>
      <c r="EN41" s="427">
        <f t="shared" si="26"/>
        <v>0.26946142056764205</v>
      </c>
      <c r="EO41" s="427">
        <f>1-EO40-EO39</f>
        <v>0.26946142056764205</v>
      </c>
      <c r="EP41" s="427">
        <f>1-EP40-EP39</f>
        <v>0.26946142056764205</v>
      </c>
      <c r="EQ41" s="427">
        <f>1-EQ40-EQ39</f>
        <v>0.26946142056764205</v>
      </c>
      <c r="ER41" s="427">
        <f>1-ER40-ER39</f>
        <v>0.26946142056764205</v>
      </c>
      <c r="ES41" s="427">
        <f>1-ES40-ES39</f>
        <v>0.26946142056764205</v>
      </c>
    </row>
    <row r="42" spans="1:151">
      <c r="A42" s="116"/>
      <c r="B42" s="118" t="s">
        <v>924</v>
      </c>
      <c r="C42" s="116"/>
      <c r="D42" s="121"/>
      <c r="E42" s="116"/>
      <c r="F42" s="269"/>
      <c r="G42" s="116"/>
      <c r="H42" s="177"/>
      <c r="I42" s="116"/>
      <c r="J42" s="269"/>
      <c r="K42" s="116"/>
      <c r="L42" s="177"/>
      <c r="M42" s="116"/>
      <c r="N42" s="269"/>
      <c r="O42" s="116"/>
      <c r="P42" s="177"/>
      <c r="Q42" s="116"/>
      <c r="R42" s="269"/>
      <c r="S42" s="116"/>
      <c r="T42" s="353">
        <v>44</v>
      </c>
      <c r="U42" s="116"/>
      <c r="V42" s="269"/>
      <c r="W42" s="116"/>
      <c r="X42" s="353">
        <v>44</v>
      </c>
      <c r="Y42" s="116"/>
      <c r="Z42" s="269"/>
      <c r="AA42" s="116"/>
      <c r="AB42" s="353">
        <v>26</v>
      </c>
      <c r="AC42" s="245"/>
      <c r="AD42" s="269"/>
      <c r="AE42" s="116"/>
      <c r="AF42" s="353">
        <v>9</v>
      </c>
      <c r="AG42" s="116"/>
      <c r="AH42" s="269"/>
      <c r="AI42" s="116"/>
      <c r="AJ42" s="353">
        <v>16</v>
      </c>
      <c r="AK42" s="116"/>
      <c r="AL42" s="269"/>
      <c r="AM42" s="116"/>
      <c r="AN42" s="353">
        <v>3</v>
      </c>
      <c r="AO42" s="116"/>
      <c r="AP42" s="269"/>
      <c r="AQ42" s="245"/>
      <c r="AR42" s="353">
        <v>9</v>
      </c>
      <c r="AS42" s="245"/>
      <c r="AT42" s="269"/>
      <c r="AU42" s="116"/>
      <c r="AV42" s="353">
        <v>3</v>
      </c>
      <c r="AW42" s="116"/>
      <c r="AX42" s="269"/>
      <c r="AY42" s="116"/>
      <c r="AZ42" s="353">
        <v>-9</v>
      </c>
      <c r="BA42" s="116"/>
      <c r="BB42" s="269"/>
      <c r="BC42" s="116"/>
      <c r="BD42" s="353">
        <v>-2</v>
      </c>
      <c r="BE42" s="116"/>
      <c r="BF42" s="409"/>
      <c r="BG42" s="116"/>
      <c r="BH42" s="353">
        <v>4</v>
      </c>
      <c r="BI42" s="116"/>
      <c r="BJ42" s="409"/>
      <c r="BK42" s="116"/>
      <c r="BL42" s="353">
        <v>20</v>
      </c>
      <c r="BM42" s="116"/>
      <c r="BN42" s="409"/>
      <c r="BO42" s="116"/>
      <c r="BP42" s="353">
        <v>9</v>
      </c>
      <c r="BQ42" s="116"/>
      <c r="BR42" s="409"/>
      <c r="BS42" s="116"/>
      <c r="BT42" s="353">
        <v>11</v>
      </c>
      <c r="BU42" s="116"/>
      <c r="BV42" s="409"/>
      <c r="BW42" s="116"/>
      <c r="BX42" s="353">
        <v>-4</v>
      </c>
      <c r="BY42" s="116"/>
      <c r="BZ42" s="409"/>
      <c r="CA42" s="116"/>
      <c r="CB42" s="353">
        <v>-8</v>
      </c>
      <c r="CC42" s="116"/>
      <c r="CD42" s="409"/>
      <c r="CE42" s="116"/>
      <c r="CF42" s="353">
        <v>-5</v>
      </c>
      <c r="CG42" s="116"/>
      <c r="CH42" s="409"/>
      <c r="CI42" s="116"/>
      <c r="CJ42" s="353">
        <v>0</v>
      </c>
      <c r="CK42" s="116"/>
      <c r="CL42" s="409"/>
      <c r="CM42" s="116"/>
      <c r="CN42" s="353">
        <v>4</v>
      </c>
      <c r="CO42" s="116"/>
      <c r="CP42" s="269"/>
      <c r="CQ42" s="116"/>
      <c r="CR42" s="2703">
        <f>EM42</f>
        <v>7.465575366721465</v>
      </c>
      <c r="CS42" s="116"/>
      <c r="CT42" s="1080"/>
      <c r="CU42" s="30"/>
      <c r="CV42" s="2703">
        <v>3</v>
      </c>
      <c r="CW42" s="116"/>
      <c r="CX42" s="1080"/>
      <c r="CY42" s="30"/>
      <c r="CZ42" s="2747">
        <v>3</v>
      </c>
      <c r="DA42" s="116"/>
      <c r="DB42" s="1080"/>
      <c r="DC42" s="30"/>
      <c r="DD42" s="2747">
        <v>5</v>
      </c>
      <c r="DE42" s="2752">
        <v>6</v>
      </c>
      <c r="DF42" s="116"/>
      <c r="DG42" s="1080"/>
      <c r="DH42" s="30"/>
      <c r="DI42" s="2747">
        <v>3</v>
      </c>
      <c r="DJ42" s="2752">
        <v>5</v>
      </c>
      <c r="DK42" s="116"/>
      <c r="DL42" s="116"/>
      <c r="DM42" s="1080"/>
      <c r="DN42" s="30"/>
      <c r="DO42" s="2736">
        <v>4</v>
      </c>
      <c r="DP42" s="2736">
        <v>6</v>
      </c>
      <c r="DQ42" s="116"/>
      <c r="DR42" s="116"/>
      <c r="DS42" s="1080"/>
      <c r="DT42" s="30"/>
      <c r="DU42" s="2540">
        <f>+ES42</f>
        <v>0.5389228411352841</v>
      </c>
      <c r="DV42" s="1093">
        <f>DU42+2</f>
        <v>2.538922841135284</v>
      </c>
      <c r="DW42" s="116"/>
      <c r="DX42" s="405">
        <f t="shared" si="29"/>
        <v>11</v>
      </c>
      <c r="DY42" s="405">
        <f t="shared" si="30"/>
        <v>8.5389228411352835</v>
      </c>
      <c r="DZ42" s="405">
        <f>+AV39*EA39+AV40*EA40+AV41*EA41</f>
        <v>3.33</v>
      </c>
      <c r="EA42" s="405">
        <f>+AZ39*EB39+AZ40*EB40+AZ41*EB41</f>
        <v>-9.35</v>
      </c>
      <c r="EB42" s="405">
        <f>+BD39*EC39+BD40*EC40+BD41*EC41</f>
        <v>-2.3899999999999997</v>
      </c>
      <c r="EC42" s="405">
        <f>+BH39*ED39+BH40*ED40+BH41*ED41</f>
        <v>3.6399999999999997</v>
      </c>
      <c r="ED42" s="405">
        <f>+BL39*EE39+BL40*EE40+BL41*EE41</f>
        <v>17.220000000000002</v>
      </c>
      <c r="EE42" s="405">
        <f>+BP39*EF39+BP40*EF40+BP41*EF41</f>
        <v>7.34</v>
      </c>
      <c r="EF42" s="405">
        <f>+BT39*EG39+BT40*EG40+BT41*EG41</f>
        <v>11.959999999999999</v>
      </c>
      <c r="EG42" s="405">
        <f>+BX39*EH39+BX40*EH40+BX41*EH41</f>
        <v>-3.01</v>
      </c>
      <c r="EH42" s="405">
        <f>+CB39*EI39+CB40*EI40+CB41*EI41</f>
        <v>-8.07917387889756</v>
      </c>
      <c r="EI42" s="405">
        <f>+CF39*EJ39+CF40*EJ40+CF41*EJ41</f>
        <v>-4.6146900506920572</v>
      </c>
      <c r="EJ42" s="405">
        <f>+CJ39*EK39+CJ40*EK40+CJ41*EK41</f>
        <v>1.2880389850265468</v>
      </c>
      <c r="EK42" s="405">
        <f>+CN39*EL39+CN40*EL40+CN41*EL41</f>
        <v>3.9017569324548402</v>
      </c>
      <c r="EL42" s="405">
        <f>+CR39*EM39+CR40*EM40+CR41*EM41</f>
        <v>7.465575366721465</v>
      </c>
      <c r="EM42" s="405">
        <f>+CR39*EM39+CR40*EM40+CR41*EM41</f>
        <v>7.465575366721465</v>
      </c>
      <c r="EN42" s="405">
        <f>+CV39*EN39+CV40*EN40+CV41*EN41</f>
        <v>3.3707765489961656</v>
      </c>
      <c r="EO42" s="405">
        <f>+CZ39*EO39+CZ40*EO40+CZ41*EO41</f>
        <v>3.7884919903082412</v>
      </c>
      <c r="EP42" s="405">
        <f>+DD39*EP39+DD40*EP40+DD41*EP41</f>
        <v>5.1681462921391184</v>
      </c>
      <c r="EQ42" s="405">
        <f>+DI39*EQ39+DI40*EQ40+DI41*EQ41</f>
        <v>3.4141382665488056</v>
      </c>
      <c r="ER42" s="405">
        <f>+DO39*ER39+DO40*ER40+DO41*ER41</f>
        <v>3.6761623433197448</v>
      </c>
      <c r="ES42" s="405">
        <f>+DU39*ES39+DU40*ES40+DU41*ES41</f>
        <v>0.5389228411352841</v>
      </c>
    </row>
    <row r="43" spans="1:151">
      <c r="A43" s="24"/>
      <c r="B43" s="24"/>
      <c r="C43" s="24"/>
      <c r="D43" s="113"/>
      <c r="E43" s="24"/>
      <c r="F43" s="286"/>
      <c r="G43" s="24"/>
      <c r="H43" s="24"/>
      <c r="I43" s="24"/>
      <c r="J43" s="286"/>
      <c r="K43" s="24"/>
      <c r="L43" s="24"/>
      <c r="M43" s="24"/>
      <c r="N43" s="286"/>
      <c r="O43" s="24"/>
      <c r="P43" s="24"/>
      <c r="Q43" s="24"/>
      <c r="R43" s="286"/>
      <c r="S43" s="24"/>
      <c r="T43" s="224"/>
      <c r="U43" s="24"/>
      <c r="V43" s="286"/>
      <c r="W43" s="24"/>
      <c r="X43" s="224"/>
      <c r="Y43" s="24"/>
      <c r="Z43" s="286"/>
      <c r="AA43" s="24"/>
      <c r="AB43" s="224"/>
      <c r="AC43" s="168"/>
      <c r="AD43" s="286"/>
      <c r="AE43" s="24"/>
      <c r="AF43" s="224"/>
      <c r="AG43" s="24"/>
      <c r="AH43" s="286"/>
      <c r="AI43" s="24"/>
      <c r="AJ43" s="224"/>
      <c r="AK43" s="24"/>
      <c r="AL43" s="286"/>
      <c r="AM43" s="24"/>
      <c r="AN43" s="224"/>
      <c r="AO43" s="24"/>
      <c r="AP43" s="286"/>
      <c r="AQ43" s="168"/>
      <c r="AR43" s="224"/>
      <c r="AS43" s="168"/>
      <c r="AT43" s="286"/>
      <c r="AU43" s="24"/>
      <c r="AV43" s="224"/>
      <c r="AW43" s="24"/>
      <c r="AX43" s="286"/>
      <c r="AY43" s="24"/>
      <c r="AZ43" s="224"/>
      <c r="BA43" s="24"/>
      <c r="BB43" s="286"/>
      <c r="BC43" s="24"/>
      <c r="BD43" s="224"/>
      <c r="BE43" s="24"/>
      <c r="BF43" s="411"/>
      <c r="BG43" s="24"/>
      <c r="BH43" s="224"/>
      <c r="BI43" s="24"/>
      <c r="BJ43" s="411"/>
      <c r="BK43" s="24"/>
      <c r="BL43" s="224"/>
      <c r="BM43" s="24"/>
      <c r="BN43" s="411"/>
      <c r="BO43" s="24"/>
      <c r="BP43" s="224"/>
      <c r="BQ43" s="24"/>
      <c r="BR43" s="411"/>
      <c r="BS43" s="24"/>
      <c r="BT43" s="224"/>
      <c r="BU43" s="24"/>
      <c r="BV43" s="411"/>
      <c r="BW43" s="24"/>
      <c r="BX43" s="224"/>
      <c r="BY43" s="24"/>
      <c r="BZ43" s="411"/>
      <c r="CA43" s="24"/>
      <c r="CB43" s="224"/>
      <c r="CC43" s="24"/>
      <c r="CD43" s="411"/>
      <c r="CE43" s="24"/>
      <c r="CF43" s="224"/>
      <c r="CG43" s="24"/>
      <c r="CH43" s="411"/>
      <c r="CI43" s="24"/>
      <c r="CJ43" s="224"/>
      <c r="CK43" s="24"/>
      <c r="CL43" s="411"/>
      <c r="CM43" s="24"/>
      <c r="CN43" s="224"/>
      <c r="CO43" s="24"/>
      <c r="CP43" s="224"/>
      <c r="CQ43" s="24"/>
      <c r="CR43" s="2738"/>
      <c r="CS43" s="24"/>
      <c r="CT43" s="408"/>
      <c r="CU43" s="24"/>
      <c r="CV43" s="2375"/>
      <c r="CW43" s="24"/>
      <c r="CX43" s="408"/>
      <c r="CY43" s="24"/>
      <c r="CZ43" s="2375"/>
      <c r="DA43" s="24"/>
      <c r="DB43" s="408"/>
      <c r="DC43" s="24"/>
      <c r="DD43" s="2375"/>
      <c r="DE43" s="2375"/>
      <c r="DF43" s="24"/>
      <c r="DG43" s="408"/>
      <c r="DH43" s="24"/>
      <c r="DI43" s="2729"/>
      <c r="DJ43" s="2759"/>
      <c r="DK43" s="24"/>
      <c r="DL43" s="24"/>
      <c r="DM43" s="408"/>
      <c r="DN43" s="24"/>
      <c r="DO43" s="2693"/>
      <c r="DP43" s="2772"/>
      <c r="DQ43" s="24"/>
      <c r="DR43" s="24"/>
      <c r="DS43" s="408"/>
      <c r="DT43" s="24"/>
      <c r="DU43" s="2539"/>
      <c r="DV43" s="2695"/>
      <c r="DW43" s="24"/>
      <c r="DX43" s="405"/>
      <c r="DY43" s="405"/>
      <c r="DZ43" s="24"/>
      <c r="EA43" s="24"/>
      <c r="EB43" s="24"/>
      <c r="EC43" s="24"/>
      <c r="ED43" s="24"/>
      <c r="EE43" s="24"/>
      <c r="EF43" s="24"/>
      <c r="EG43" s="24"/>
      <c r="EH43" s="24"/>
      <c r="EI43" s="24"/>
      <c r="EJ43" s="24"/>
      <c r="EK43" s="24"/>
      <c r="EL43" s="24"/>
    </row>
    <row r="44" spans="1:151">
      <c r="A44" s="31" t="s">
        <v>654</v>
      </c>
      <c r="B44" s="31"/>
      <c r="C44" s="24"/>
      <c r="D44" s="113">
        <f>+D39</f>
        <v>4</v>
      </c>
      <c r="E44" s="24"/>
      <c r="F44" s="286"/>
      <c r="G44" s="24"/>
      <c r="H44" s="176"/>
      <c r="I44" s="24" t="s">
        <v>1084</v>
      </c>
      <c r="J44" s="286" t="str">
        <f>J21</f>
        <v>8/31</v>
      </c>
      <c r="K44" s="24"/>
      <c r="L44" s="176"/>
      <c r="M44" s="24" t="s">
        <v>1084</v>
      </c>
      <c r="N44" s="286" t="str">
        <f>N21</f>
        <v xml:space="preserve"> 8/29</v>
      </c>
      <c r="O44" s="24"/>
      <c r="P44" s="176"/>
      <c r="Q44" s="24" t="s">
        <v>1084</v>
      </c>
      <c r="R44" s="286" t="str">
        <f>R21</f>
        <v xml:space="preserve"> 8/28</v>
      </c>
      <c r="S44" s="24"/>
      <c r="T44" s="228">
        <v>46</v>
      </c>
      <c r="U44" s="24" t="s">
        <v>1084</v>
      </c>
      <c r="V44" s="286" t="str">
        <f>V21</f>
        <v>8/27</v>
      </c>
      <c r="W44" s="24"/>
      <c r="X44" s="228">
        <v>48</v>
      </c>
      <c r="Y44" s="24" t="s">
        <v>1084</v>
      </c>
      <c r="Z44" s="286" t="str">
        <f>Z21</f>
        <v>8/31</v>
      </c>
      <c r="AA44" s="24"/>
      <c r="AB44" s="228">
        <v>25</v>
      </c>
      <c r="AC44" s="168" t="s">
        <v>1084</v>
      </c>
      <c r="AD44" s="286" t="str">
        <f>AD21</f>
        <v>8/31</v>
      </c>
      <c r="AE44" s="24"/>
      <c r="AF44" s="228">
        <v>1</v>
      </c>
      <c r="AG44" s="24" t="s">
        <v>1084</v>
      </c>
      <c r="AH44" s="286" t="str">
        <f>AH21</f>
        <v>8/30</v>
      </c>
      <c r="AI44" s="24"/>
      <c r="AJ44" s="228">
        <v>13</v>
      </c>
      <c r="AK44" s="24" t="s">
        <v>1084</v>
      </c>
      <c r="AL44" s="286" t="str">
        <f>AL21</f>
        <v>8/29</v>
      </c>
      <c r="AM44" s="24"/>
      <c r="AN44" s="228">
        <v>5</v>
      </c>
      <c r="AO44" s="24" t="s">
        <v>1084</v>
      </c>
      <c r="AP44" s="286" t="str">
        <f>AP21</f>
        <v>8/28</v>
      </c>
      <c r="AQ44" s="168"/>
      <c r="AR44" s="228">
        <v>9</v>
      </c>
      <c r="AS44" s="168" t="s">
        <v>1084</v>
      </c>
      <c r="AT44" s="286" t="str">
        <f>AT21</f>
        <v>8/26</v>
      </c>
      <c r="AU44" s="24"/>
      <c r="AV44" s="228">
        <v>2</v>
      </c>
      <c r="AW44" s="24" t="s">
        <v>1084</v>
      </c>
      <c r="AX44" s="286" t="str">
        <f>AX21</f>
        <v>9/1</v>
      </c>
      <c r="AY44" s="24"/>
      <c r="AZ44" s="228">
        <v>-15</v>
      </c>
      <c r="BA44" s="24" t="s">
        <v>1084</v>
      </c>
      <c r="BB44" s="286" t="str">
        <f>BB21</f>
        <v>8/31</v>
      </c>
      <c r="BC44" s="24"/>
      <c r="BD44" s="228">
        <v>-2</v>
      </c>
      <c r="BE44" s="24" t="s">
        <v>1084</v>
      </c>
      <c r="BF44" s="408">
        <f>BF21</f>
        <v>37863</v>
      </c>
      <c r="BG44" s="24"/>
      <c r="BH44" s="228">
        <v>6</v>
      </c>
      <c r="BI44" s="24" t="s">
        <v>1084</v>
      </c>
      <c r="BJ44" s="408">
        <f>BJ21</f>
        <v>38228</v>
      </c>
      <c r="BK44" s="24"/>
      <c r="BL44" s="228">
        <v>8</v>
      </c>
      <c r="BM44" s="24" t="s">
        <v>1084</v>
      </c>
      <c r="BN44" s="408">
        <f>BN21</f>
        <v>38591</v>
      </c>
      <c r="BO44" s="24"/>
      <c r="BP44" s="228">
        <v>1</v>
      </c>
      <c r="BQ44" s="24" t="s">
        <v>1084</v>
      </c>
      <c r="BR44" s="408">
        <f>BR21</f>
        <v>38590</v>
      </c>
      <c r="BS44" s="24"/>
      <c r="BT44" s="228">
        <v>13</v>
      </c>
      <c r="BU44" s="24" t="s">
        <v>1084</v>
      </c>
      <c r="BV44" s="408">
        <f>BV21</f>
        <v>39326</v>
      </c>
      <c r="BW44" s="24"/>
      <c r="BX44" s="228">
        <v>1</v>
      </c>
      <c r="BY44" s="24" t="s">
        <v>1084</v>
      </c>
      <c r="BZ44" s="408">
        <f>BZ21</f>
        <v>39324</v>
      </c>
      <c r="CA44" s="24"/>
      <c r="CB44" s="228">
        <v>-5</v>
      </c>
      <c r="CC44" s="24" t="s">
        <v>1084</v>
      </c>
      <c r="CD44" s="408">
        <f>CD21</f>
        <v>40054</v>
      </c>
      <c r="CE44" s="24"/>
      <c r="CF44" s="228">
        <v>-1</v>
      </c>
      <c r="CG44" s="24" t="s">
        <v>1084</v>
      </c>
      <c r="CH44" s="408">
        <f>CH21</f>
        <v>40418</v>
      </c>
      <c r="CI44" s="24"/>
      <c r="CJ44" s="210">
        <v>2</v>
      </c>
      <c r="CK44" s="24" t="s">
        <v>1084</v>
      </c>
      <c r="CL44" s="408">
        <v>40782</v>
      </c>
      <c r="CM44" s="24"/>
      <c r="CN44" s="210">
        <v>8</v>
      </c>
      <c r="CO44" s="24" t="s">
        <v>1084</v>
      </c>
      <c r="CP44" s="1165">
        <v>41518</v>
      </c>
      <c r="CQ44" s="24"/>
      <c r="CR44" s="391">
        <v>6</v>
      </c>
      <c r="CS44" s="24" t="s">
        <v>1084</v>
      </c>
      <c r="CT44" s="408">
        <v>41517</v>
      </c>
      <c r="CU44" s="405"/>
      <c r="CV44" s="391">
        <v>1</v>
      </c>
      <c r="CW44" s="24" t="s">
        <v>1084</v>
      </c>
      <c r="CX44" s="408">
        <v>41516</v>
      </c>
      <c r="CY44" s="405"/>
      <c r="CZ44" s="2748">
        <v>4</v>
      </c>
      <c r="DA44" s="24" t="s">
        <v>1084</v>
      </c>
      <c r="DB44" s="408">
        <v>42976</v>
      </c>
      <c r="DC44" s="405"/>
      <c r="DD44" s="2750">
        <v>5</v>
      </c>
      <c r="DE44" s="2750">
        <v>6</v>
      </c>
      <c r="DF44" s="24" t="s">
        <v>1084</v>
      </c>
      <c r="DG44" s="408">
        <v>42243</v>
      </c>
      <c r="DH44" s="405"/>
      <c r="DI44" s="2717">
        <v>5</v>
      </c>
      <c r="DJ44" s="2717">
        <v>7</v>
      </c>
      <c r="DK44" s="24" t="s">
        <v>1084</v>
      </c>
      <c r="DL44" s="24"/>
      <c r="DM44" s="408">
        <v>42973</v>
      </c>
      <c r="DN44" s="405"/>
      <c r="DO44" s="2693">
        <v>0</v>
      </c>
      <c r="DP44" s="2708">
        <v>4</v>
      </c>
      <c r="DQ44" s="24" t="s">
        <v>1084</v>
      </c>
      <c r="DR44" s="24"/>
      <c r="DS44" s="408">
        <v>41516</v>
      </c>
      <c r="DT44" s="405"/>
      <c r="DU44" s="2539">
        <v>1</v>
      </c>
      <c r="DV44" s="2522">
        <f>DU44+2</f>
        <v>3</v>
      </c>
      <c r="DW44" s="24" t="s">
        <v>1084</v>
      </c>
      <c r="DX44" s="405">
        <f>DJ44+DP44</f>
        <v>11</v>
      </c>
      <c r="DY44" s="405">
        <f>DV44+DP44</f>
        <v>7</v>
      </c>
      <c r="DZ44" s="417">
        <v>0.45</v>
      </c>
      <c r="EA44" s="417">
        <v>0.45</v>
      </c>
      <c r="EB44" s="417">
        <v>0.45</v>
      </c>
      <c r="EC44" s="417">
        <v>0.45</v>
      </c>
      <c r="ED44" s="417">
        <v>0.45</v>
      </c>
      <c r="EE44" s="417">
        <v>0.45</v>
      </c>
      <c r="EF44" s="417">
        <v>0.45</v>
      </c>
      <c r="EG44" s="417">
        <v>0.45</v>
      </c>
      <c r="EH44" s="417">
        <f t="shared" ref="EH44:EI46" si="32">EI21</f>
        <v>0.31940349063937151</v>
      </c>
      <c r="EI44" s="417">
        <f t="shared" si="32"/>
        <v>0.31588038857676581</v>
      </c>
      <c r="EJ44" s="417">
        <f t="shared" ref="EJ44:EK46" si="33">EK21</f>
        <v>0.31779356577691525</v>
      </c>
      <c r="EK44" s="417">
        <f t="shared" si="33"/>
        <v>0.31779356577691525</v>
      </c>
      <c r="EL44" s="417">
        <f>EM21</f>
        <v>0.31779356577691525</v>
      </c>
      <c r="EM44" s="425">
        <f t="shared" ref="EM44:EN46" si="34">EM21</f>
        <v>0.31779356577691525</v>
      </c>
      <c r="EN44" s="425">
        <f t="shared" si="34"/>
        <v>0.31779356577691525</v>
      </c>
      <c r="EO44" s="425">
        <f t="shared" ref="EO44:ES45" si="35">EN44</f>
        <v>0.31779356577691525</v>
      </c>
      <c r="EP44" s="425">
        <f t="shared" si="35"/>
        <v>0.31779356577691525</v>
      </c>
      <c r="EQ44" s="425">
        <f t="shared" si="35"/>
        <v>0.31779356577691525</v>
      </c>
      <c r="ER44" s="425">
        <f t="shared" si="35"/>
        <v>0.31779356577691525</v>
      </c>
      <c r="ES44" s="425">
        <f t="shared" si="35"/>
        <v>0.31779356577691525</v>
      </c>
    </row>
    <row r="45" spans="1:151">
      <c r="A45" s="31" t="s">
        <v>655</v>
      </c>
      <c r="B45" s="31"/>
      <c r="C45" s="24"/>
      <c r="D45" s="113">
        <f>+D40</f>
        <v>5</v>
      </c>
      <c r="E45" s="24"/>
      <c r="F45" s="286"/>
      <c r="G45" s="24"/>
      <c r="H45" s="176"/>
      <c r="I45" s="24"/>
      <c r="J45" s="286" t="str">
        <f>J22</f>
        <v>10/5</v>
      </c>
      <c r="K45" s="24"/>
      <c r="L45" s="176"/>
      <c r="M45" s="24"/>
      <c r="N45" s="286" t="str">
        <f>N22</f>
        <v>10/3</v>
      </c>
      <c r="O45" s="24"/>
      <c r="P45" s="176"/>
      <c r="Q45" s="24"/>
      <c r="R45" s="286" t="str">
        <f>R22</f>
        <v>10/2</v>
      </c>
      <c r="S45" s="24"/>
      <c r="T45" s="228">
        <v>52</v>
      </c>
      <c r="U45" s="24"/>
      <c r="V45" s="286" t="str">
        <f>V22</f>
        <v>10/1</v>
      </c>
      <c r="W45" s="24"/>
      <c r="X45" s="228">
        <v>37</v>
      </c>
      <c r="Y45" s="24"/>
      <c r="Z45" s="286" t="str">
        <f>Z22</f>
        <v>9/30</v>
      </c>
      <c r="AA45" s="24"/>
      <c r="AB45" s="228">
        <v>26</v>
      </c>
      <c r="AC45" s="168"/>
      <c r="AD45" s="286" t="str">
        <f>AD22</f>
        <v>10/5</v>
      </c>
      <c r="AE45" s="24"/>
      <c r="AF45" s="228">
        <v>3</v>
      </c>
      <c r="AG45" s="24"/>
      <c r="AH45" s="286" t="str">
        <f>AH22</f>
        <v>10/4</v>
      </c>
      <c r="AI45" s="24"/>
      <c r="AJ45" s="228">
        <v>7</v>
      </c>
      <c r="AK45" s="24"/>
      <c r="AL45" s="286" t="str">
        <f>AL22</f>
        <v>10/3</v>
      </c>
      <c r="AM45" s="24"/>
      <c r="AN45" s="228">
        <v>5</v>
      </c>
      <c r="AO45" s="24"/>
      <c r="AP45" s="286" t="str">
        <f>AP22</f>
        <v>10/2</v>
      </c>
      <c r="AQ45" s="168"/>
      <c r="AR45" s="228">
        <v>13</v>
      </c>
      <c r="AS45" s="168"/>
      <c r="AT45" s="286" t="str">
        <f>AT22</f>
        <v>9/30</v>
      </c>
      <c r="AU45" s="24"/>
      <c r="AV45" s="228">
        <v>8</v>
      </c>
      <c r="AW45" s="24"/>
      <c r="AX45" s="286" t="str">
        <f>AX22</f>
        <v>10/6</v>
      </c>
      <c r="AY45" s="24"/>
      <c r="AZ45" s="228">
        <v>-18</v>
      </c>
      <c r="BA45" s="24"/>
      <c r="BB45" s="286" t="str">
        <f>BB22</f>
        <v>10/5</v>
      </c>
      <c r="BC45" s="24"/>
      <c r="BD45" s="228">
        <v>2</v>
      </c>
      <c r="BE45" s="24"/>
      <c r="BF45" s="408">
        <f>BF22</f>
        <v>37898</v>
      </c>
      <c r="BG45" s="24"/>
      <c r="BH45" s="228">
        <v>3</v>
      </c>
      <c r="BI45" s="24"/>
      <c r="BJ45" s="408">
        <f>BJ22</f>
        <v>38263</v>
      </c>
      <c r="BK45" s="24"/>
      <c r="BL45" s="228">
        <v>7</v>
      </c>
      <c r="BM45" s="24"/>
      <c r="BN45" s="408">
        <f>BN22</f>
        <v>38626</v>
      </c>
      <c r="BO45" s="24"/>
      <c r="BP45" s="228">
        <v>0</v>
      </c>
      <c r="BQ45" s="24"/>
      <c r="BR45" s="408">
        <f>BR22</f>
        <v>38625</v>
      </c>
      <c r="BS45" s="24"/>
      <c r="BT45" s="228">
        <v>16</v>
      </c>
      <c r="BU45" s="24"/>
      <c r="BV45" s="408">
        <f>BV22</f>
        <v>39361</v>
      </c>
      <c r="BW45" s="24"/>
      <c r="BX45" s="228">
        <v>-2</v>
      </c>
      <c r="BY45" s="24"/>
      <c r="BZ45" s="408">
        <f>BZ22</f>
        <v>39359</v>
      </c>
      <c r="CA45" s="24"/>
      <c r="CB45" s="228">
        <v>-7</v>
      </c>
      <c r="CC45" s="24"/>
      <c r="CD45" s="408">
        <f>CD22</f>
        <v>40089</v>
      </c>
      <c r="CE45" s="24"/>
      <c r="CF45" s="228">
        <v>5</v>
      </c>
      <c r="CG45" s="24"/>
      <c r="CH45" s="408">
        <f>CH22</f>
        <v>40453</v>
      </c>
      <c r="CI45" s="24"/>
      <c r="CJ45" s="210">
        <v>11</v>
      </c>
      <c r="CK45" s="24"/>
      <c r="CL45" s="408">
        <v>40817</v>
      </c>
      <c r="CM45" s="24"/>
      <c r="CN45" s="210">
        <v>12</v>
      </c>
      <c r="CO45" s="24"/>
      <c r="CP45" s="1165">
        <v>41553</v>
      </c>
      <c r="CQ45" s="24"/>
      <c r="CR45" s="391">
        <v>5</v>
      </c>
      <c r="CS45" s="24"/>
      <c r="CT45" s="408">
        <v>41552</v>
      </c>
      <c r="CU45" s="405"/>
      <c r="CV45" s="391">
        <v>2</v>
      </c>
      <c r="CW45" s="24"/>
      <c r="CX45" s="408">
        <v>41551</v>
      </c>
      <c r="CY45" s="405"/>
      <c r="CZ45" s="2749">
        <v>10</v>
      </c>
      <c r="DA45" s="24"/>
      <c r="DB45" s="408">
        <v>43011</v>
      </c>
      <c r="DC45" s="405"/>
      <c r="DD45" s="2756">
        <v>8</v>
      </c>
      <c r="DE45" s="2756">
        <v>9</v>
      </c>
      <c r="DF45" s="24"/>
      <c r="DG45" s="408">
        <v>42278</v>
      </c>
      <c r="DH45" s="405"/>
      <c r="DI45" s="2717">
        <v>5</v>
      </c>
      <c r="DJ45" s="2717">
        <v>9</v>
      </c>
      <c r="DK45" s="24"/>
      <c r="DL45" s="24"/>
      <c r="DM45" s="408">
        <v>43008</v>
      </c>
      <c r="DN45" s="405"/>
      <c r="DO45" s="2693">
        <v>0</v>
      </c>
      <c r="DP45" s="2798">
        <v>4</v>
      </c>
      <c r="DQ45" s="24"/>
      <c r="DR45" s="24"/>
      <c r="DS45" s="408">
        <v>41551</v>
      </c>
      <c r="DT45" s="405"/>
      <c r="DU45" s="2539">
        <v>2</v>
      </c>
      <c r="DV45" s="2522">
        <f t="shared" ref="DV45:DV46" si="36">DU45+2</f>
        <v>4</v>
      </c>
      <c r="DW45" s="24"/>
      <c r="DX45" s="405">
        <f t="shared" ref="DX45:DX47" si="37">DJ45+DP45</f>
        <v>13</v>
      </c>
      <c r="DY45" s="405">
        <f t="shared" ref="DY45:DY47" si="38">DV45+DP45</f>
        <v>8</v>
      </c>
      <c r="DZ45" s="417">
        <v>0.35</v>
      </c>
      <c r="EA45" s="417">
        <v>0.35</v>
      </c>
      <c r="EB45" s="417">
        <v>0.35</v>
      </c>
      <c r="EC45" s="417">
        <v>0.35</v>
      </c>
      <c r="ED45" s="417">
        <v>0.35</v>
      </c>
      <c r="EE45" s="417">
        <v>0.35</v>
      </c>
      <c r="EF45" s="417">
        <v>0.35</v>
      </c>
      <c r="EG45" s="417">
        <v>0.35</v>
      </c>
      <c r="EH45" s="417">
        <f t="shared" si="32"/>
        <v>0.36554437558897485</v>
      </c>
      <c r="EI45" s="417">
        <f t="shared" si="32"/>
        <v>0.36843334242975823</v>
      </c>
      <c r="EJ45" s="417">
        <f t="shared" si="33"/>
        <v>0.37098604743559294</v>
      </c>
      <c r="EK45" s="417">
        <f t="shared" si="33"/>
        <v>0.37098604743559294</v>
      </c>
      <c r="EL45" s="417">
        <f>EM22</f>
        <v>0.37098604743559294</v>
      </c>
      <c r="EM45" s="425">
        <f t="shared" si="34"/>
        <v>0.37098604743559294</v>
      </c>
      <c r="EN45" s="425">
        <f t="shared" si="34"/>
        <v>0.37098604743559294</v>
      </c>
      <c r="EO45" s="425">
        <f t="shared" si="35"/>
        <v>0.37098604743559294</v>
      </c>
      <c r="EP45" s="425">
        <f t="shared" si="35"/>
        <v>0.37098604743559294</v>
      </c>
      <c r="EQ45" s="425">
        <f t="shared" si="35"/>
        <v>0.37098604743559294</v>
      </c>
      <c r="ER45" s="425">
        <f t="shared" si="35"/>
        <v>0.37098604743559294</v>
      </c>
      <c r="ES45" s="425">
        <f t="shared" si="35"/>
        <v>0.37098604743559294</v>
      </c>
    </row>
    <row r="46" spans="1:151">
      <c r="A46" s="31" t="s">
        <v>598</v>
      </c>
      <c r="B46" s="31"/>
      <c r="C46" s="24"/>
      <c r="D46" s="113">
        <f>+D41</f>
        <v>4</v>
      </c>
      <c r="E46" s="24"/>
      <c r="F46" s="286"/>
      <c r="G46" s="24"/>
      <c r="H46" s="175"/>
      <c r="I46" s="24"/>
      <c r="J46" s="286" t="str">
        <f>J23</f>
        <v>11/2</v>
      </c>
      <c r="K46" s="24"/>
      <c r="L46" s="175"/>
      <c r="M46" s="24"/>
      <c r="N46" s="286" t="str">
        <f>N23</f>
        <v>10/31</v>
      </c>
      <c r="O46" s="24"/>
      <c r="P46" s="175"/>
      <c r="Q46" s="24"/>
      <c r="R46" s="286" t="str">
        <f>R23</f>
        <v>10/30</v>
      </c>
      <c r="S46" s="24"/>
      <c r="T46" s="284">
        <v>45</v>
      </c>
      <c r="U46" s="24"/>
      <c r="V46" s="286" t="str">
        <f>V23</f>
        <v>10/29</v>
      </c>
      <c r="W46" s="24"/>
      <c r="X46" s="284">
        <v>32</v>
      </c>
      <c r="Y46" s="24"/>
      <c r="Z46" s="286" t="str">
        <f>Z23</f>
        <v>10/28</v>
      </c>
      <c r="AA46" s="24"/>
      <c r="AB46" s="284">
        <v>26</v>
      </c>
      <c r="AC46" s="168"/>
      <c r="AD46" s="286" t="str">
        <f>AD23</f>
        <v>11/2</v>
      </c>
      <c r="AE46" s="24"/>
      <c r="AF46" s="284">
        <v>7</v>
      </c>
      <c r="AG46" s="24"/>
      <c r="AH46" s="286" t="str">
        <f>AH23</f>
        <v>11/1</v>
      </c>
      <c r="AI46" s="24"/>
      <c r="AJ46" s="284">
        <v>8</v>
      </c>
      <c r="AK46" s="24"/>
      <c r="AL46" s="286" t="str">
        <f>AL23</f>
        <v>10/31</v>
      </c>
      <c r="AM46" s="24"/>
      <c r="AN46" s="284">
        <v>8</v>
      </c>
      <c r="AO46" s="24"/>
      <c r="AP46" s="286" t="str">
        <f>AP23</f>
        <v>10/30</v>
      </c>
      <c r="AQ46" s="168"/>
      <c r="AR46" s="284">
        <v>10</v>
      </c>
      <c r="AS46" s="168"/>
      <c r="AT46" s="286" t="str">
        <f>AT23</f>
        <v>10/28</v>
      </c>
      <c r="AU46" s="24"/>
      <c r="AV46" s="284">
        <v>4</v>
      </c>
      <c r="AW46" s="24"/>
      <c r="AX46" s="286" t="str">
        <f>AX23</f>
        <v>11/3</v>
      </c>
      <c r="AY46" s="24"/>
      <c r="AZ46" s="284">
        <v>-13</v>
      </c>
      <c r="BA46" s="24"/>
      <c r="BB46" s="286" t="str">
        <f>BB23</f>
        <v>11/2</v>
      </c>
      <c r="BC46" s="24"/>
      <c r="BD46" s="284">
        <v>-4</v>
      </c>
      <c r="BE46" s="24"/>
      <c r="BF46" s="408">
        <f>BF23</f>
        <v>37926</v>
      </c>
      <c r="BG46" s="24"/>
      <c r="BH46" s="284">
        <v>3</v>
      </c>
      <c r="BI46" s="24"/>
      <c r="BJ46" s="408">
        <f>BJ23</f>
        <v>38291</v>
      </c>
      <c r="BK46" s="24"/>
      <c r="BL46" s="284">
        <v>11</v>
      </c>
      <c r="BM46" s="24"/>
      <c r="BN46" s="408">
        <f>BN23</f>
        <v>38654</v>
      </c>
      <c r="BO46" s="24"/>
      <c r="BP46" s="284">
        <v>2</v>
      </c>
      <c r="BQ46" s="24"/>
      <c r="BR46" s="408">
        <f>BR23</f>
        <v>38653</v>
      </c>
      <c r="BS46" s="24"/>
      <c r="BT46" s="284">
        <v>14</v>
      </c>
      <c r="BU46" s="24"/>
      <c r="BV46" s="408">
        <f>BV23</f>
        <v>39389</v>
      </c>
      <c r="BW46" s="24"/>
      <c r="BX46" s="284">
        <v>-6</v>
      </c>
      <c r="BY46" s="24"/>
      <c r="BZ46" s="408">
        <f>BZ23</f>
        <v>39387</v>
      </c>
      <c r="CA46" s="24"/>
      <c r="CB46" s="284">
        <v>-7</v>
      </c>
      <c r="CC46" s="24"/>
      <c r="CD46" s="408">
        <f>CD23</f>
        <v>40117</v>
      </c>
      <c r="CE46" s="24"/>
      <c r="CF46" s="284">
        <v>2</v>
      </c>
      <c r="CG46" s="24"/>
      <c r="CH46" s="408">
        <f>CH23</f>
        <v>40481</v>
      </c>
      <c r="CI46" s="24"/>
      <c r="CJ46" s="284">
        <v>5</v>
      </c>
      <c r="CK46" s="24"/>
      <c r="CL46" s="408">
        <v>40845</v>
      </c>
      <c r="CM46" s="24"/>
      <c r="CN46" s="284">
        <v>6</v>
      </c>
      <c r="CO46" s="24"/>
      <c r="CP46" s="1165">
        <v>41581</v>
      </c>
      <c r="CQ46" s="24"/>
      <c r="CR46" s="2739">
        <v>5</v>
      </c>
      <c r="CS46" s="24"/>
      <c r="CT46" s="408">
        <v>41580</v>
      </c>
      <c r="CU46" s="405"/>
      <c r="CV46" s="392">
        <v>4</v>
      </c>
      <c r="CW46" s="24"/>
      <c r="CX46" s="408">
        <v>41579</v>
      </c>
      <c r="CY46" s="405"/>
      <c r="CZ46" s="392">
        <v>5</v>
      </c>
      <c r="DA46" s="24"/>
      <c r="DB46" s="408">
        <v>43039</v>
      </c>
      <c r="DC46" s="405"/>
      <c r="DD46" s="2725">
        <v>5</v>
      </c>
      <c r="DE46" s="2725">
        <v>6</v>
      </c>
      <c r="DF46" s="24"/>
      <c r="DG46" s="408">
        <v>42306</v>
      </c>
      <c r="DH46" s="405"/>
      <c r="DI46" s="2755">
        <v>4</v>
      </c>
      <c r="DJ46" s="2731">
        <v>6</v>
      </c>
      <c r="DK46" s="24"/>
      <c r="DL46" s="24"/>
      <c r="DM46" s="408">
        <v>43036</v>
      </c>
      <c r="DN46" s="405"/>
      <c r="DO46" s="2693">
        <v>2</v>
      </c>
      <c r="DP46" s="2734">
        <v>5</v>
      </c>
      <c r="DQ46" s="24"/>
      <c r="DR46" s="24"/>
      <c r="DS46" s="408">
        <v>41579</v>
      </c>
      <c r="DT46" s="405"/>
      <c r="DU46" s="2539">
        <v>1</v>
      </c>
      <c r="DV46" s="2521">
        <f t="shared" si="36"/>
        <v>3</v>
      </c>
      <c r="DW46" s="24"/>
      <c r="DX46" s="405">
        <f t="shared" si="37"/>
        <v>11</v>
      </c>
      <c r="DY46" s="405">
        <f t="shared" si="38"/>
        <v>8</v>
      </c>
      <c r="DZ46" s="427">
        <f t="shared" ref="DZ46:EG46" si="39">1-DZ45-DZ44</f>
        <v>0.2</v>
      </c>
      <c r="EA46" s="427">
        <f t="shared" si="39"/>
        <v>0.2</v>
      </c>
      <c r="EB46" s="427">
        <f t="shared" si="39"/>
        <v>0.2</v>
      </c>
      <c r="EC46" s="427">
        <f t="shared" si="39"/>
        <v>0.2</v>
      </c>
      <c r="ED46" s="427">
        <f t="shared" si="39"/>
        <v>0.2</v>
      </c>
      <c r="EE46" s="427">
        <f t="shared" si="39"/>
        <v>0.2</v>
      </c>
      <c r="EF46" s="427">
        <f t="shared" si="39"/>
        <v>0.2</v>
      </c>
      <c r="EG46" s="427">
        <f t="shared" si="39"/>
        <v>0.2</v>
      </c>
      <c r="EH46" s="427">
        <f t="shared" si="32"/>
        <v>0.31505213377165359</v>
      </c>
      <c r="EI46" s="427">
        <f t="shared" si="32"/>
        <v>0.31568626899347596</v>
      </c>
      <c r="EJ46" s="427">
        <f t="shared" si="33"/>
        <v>0.31122038678749181</v>
      </c>
      <c r="EK46" s="427">
        <f t="shared" si="33"/>
        <v>0.31122038678749181</v>
      </c>
      <c r="EL46" s="427">
        <f>EM23</f>
        <v>0.31122038678749181</v>
      </c>
      <c r="EM46" s="427">
        <f t="shared" si="34"/>
        <v>0.31122038678749181</v>
      </c>
      <c r="EN46" s="427">
        <f t="shared" si="34"/>
        <v>0.31122038678749181</v>
      </c>
      <c r="EO46" s="427">
        <f>1-EO45-EO44</f>
        <v>0.31122038678749181</v>
      </c>
      <c r="EP46" s="427">
        <f>1-EP45-EP44</f>
        <v>0.31122038678749181</v>
      </c>
      <c r="EQ46" s="427">
        <f>1-EQ45-EQ44</f>
        <v>0.31122038678749181</v>
      </c>
      <c r="ER46" s="427">
        <f>1-ER45-ER44</f>
        <v>0.31122038678749181</v>
      </c>
      <c r="ES46" s="427">
        <f>1-ES45-ES44</f>
        <v>0.31122038678749181</v>
      </c>
    </row>
    <row r="47" spans="1:151">
      <c r="A47" s="118"/>
      <c r="B47" s="118" t="s">
        <v>925</v>
      </c>
      <c r="C47" s="116"/>
      <c r="D47" s="121"/>
      <c r="E47" s="116"/>
      <c r="F47" s="269"/>
      <c r="G47" s="116"/>
      <c r="H47" s="177"/>
      <c r="I47" s="116"/>
      <c r="J47" s="269"/>
      <c r="K47" s="116"/>
      <c r="L47" s="177"/>
      <c r="M47" s="116"/>
      <c r="N47" s="269"/>
      <c r="O47" s="116"/>
      <c r="P47" s="177"/>
      <c r="Q47" s="116"/>
      <c r="R47" s="269"/>
      <c r="S47" s="116"/>
      <c r="T47" s="353">
        <v>48</v>
      </c>
      <c r="U47" s="116"/>
      <c r="V47" s="269"/>
      <c r="W47" s="116"/>
      <c r="X47" s="353">
        <v>39</v>
      </c>
      <c r="Y47" s="116"/>
      <c r="Z47" s="269"/>
      <c r="AA47" s="116"/>
      <c r="AB47" s="353">
        <v>26</v>
      </c>
      <c r="AC47" s="245"/>
      <c r="AD47" s="269"/>
      <c r="AE47" s="116"/>
      <c r="AF47" s="353">
        <v>3</v>
      </c>
      <c r="AG47" s="116"/>
      <c r="AH47" s="269"/>
      <c r="AI47" s="116"/>
      <c r="AJ47" s="353">
        <v>9</v>
      </c>
      <c r="AK47" s="116"/>
      <c r="AL47" s="269"/>
      <c r="AM47" s="116"/>
      <c r="AN47" s="353">
        <v>6</v>
      </c>
      <c r="AO47" s="116"/>
      <c r="AP47" s="269"/>
      <c r="AQ47" s="245"/>
      <c r="AR47" s="353">
        <v>10</v>
      </c>
      <c r="AS47" s="245"/>
      <c r="AT47" s="269"/>
      <c r="AU47" s="116"/>
      <c r="AV47" s="353">
        <v>5</v>
      </c>
      <c r="AW47" s="116"/>
      <c r="AX47" s="269"/>
      <c r="AY47" s="116"/>
      <c r="AZ47" s="353">
        <v>-16</v>
      </c>
      <c r="BA47" s="116"/>
      <c r="BB47" s="269"/>
      <c r="BC47" s="116"/>
      <c r="BD47" s="353">
        <v>-1</v>
      </c>
      <c r="BE47" s="116"/>
      <c r="BF47" s="409"/>
      <c r="BG47" s="116"/>
      <c r="BH47" s="353">
        <v>3</v>
      </c>
      <c r="BI47" s="116"/>
      <c r="BJ47" s="409"/>
      <c r="BK47" s="116"/>
      <c r="BL47" s="353">
        <v>9</v>
      </c>
      <c r="BM47" s="116"/>
      <c r="BN47" s="409"/>
      <c r="BO47" s="116"/>
      <c r="BP47" s="353">
        <v>1</v>
      </c>
      <c r="BQ47" s="116"/>
      <c r="BR47" s="409"/>
      <c r="BS47" s="116"/>
      <c r="BT47" s="353">
        <v>15</v>
      </c>
      <c r="BU47" s="116"/>
      <c r="BV47" s="409"/>
      <c r="BW47" s="116"/>
      <c r="BX47" s="353">
        <v>-3</v>
      </c>
      <c r="BY47" s="116"/>
      <c r="BZ47" s="409"/>
      <c r="CA47" s="116"/>
      <c r="CB47" s="353">
        <v>-7</v>
      </c>
      <c r="CC47" s="116"/>
      <c r="CD47" s="409"/>
      <c r="CE47" s="116"/>
      <c r="CF47" s="353">
        <v>2</v>
      </c>
      <c r="CG47" s="116"/>
      <c r="CH47" s="409"/>
      <c r="CI47" s="116"/>
      <c r="CJ47" s="353">
        <v>6</v>
      </c>
      <c r="CK47" s="116"/>
      <c r="CL47" s="409"/>
      <c r="CM47" s="116"/>
      <c r="CN47" s="353">
        <v>9</v>
      </c>
      <c r="CO47" s="116"/>
      <c r="CP47" s="1163"/>
      <c r="CQ47" s="116"/>
      <c r="CR47" s="2704">
        <v>5</v>
      </c>
      <c r="CS47" s="116"/>
      <c r="CT47" s="1080"/>
      <c r="CU47" s="30"/>
      <c r="CV47" s="2703">
        <v>3</v>
      </c>
      <c r="CW47" s="116"/>
      <c r="CX47" s="1080"/>
      <c r="CY47" s="30"/>
      <c r="CZ47" s="2703">
        <v>7</v>
      </c>
      <c r="DA47" s="116"/>
      <c r="DB47" s="1080"/>
      <c r="DC47" s="30"/>
      <c r="DD47" s="2757">
        <v>6</v>
      </c>
      <c r="DE47" s="2752">
        <v>7</v>
      </c>
      <c r="DF47" s="116"/>
      <c r="DG47" s="1080"/>
      <c r="DH47" s="30"/>
      <c r="DI47" s="2747">
        <v>5</v>
      </c>
      <c r="DJ47" s="2752">
        <v>7</v>
      </c>
      <c r="DK47" s="116"/>
      <c r="DL47" s="116"/>
      <c r="DM47" s="1080"/>
      <c r="DN47" s="30"/>
      <c r="DO47" s="2802">
        <v>1</v>
      </c>
      <c r="DP47" s="2735">
        <v>4</v>
      </c>
      <c r="DQ47" s="116"/>
      <c r="DR47" s="116"/>
      <c r="DS47" s="1080"/>
      <c r="DT47" s="30"/>
      <c r="DU47" s="2540">
        <f>ES47</f>
        <v>1.370986047435593</v>
      </c>
      <c r="DV47" s="1093">
        <f>DU47+2</f>
        <v>3.370986047435593</v>
      </c>
      <c r="DW47" s="116"/>
      <c r="DX47" s="405">
        <f t="shared" si="37"/>
        <v>11</v>
      </c>
      <c r="DY47" s="405">
        <f t="shared" si="38"/>
        <v>7.3709860474355935</v>
      </c>
      <c r="DZ47" s="405">
        <f>+AV44*DZ44+AV45*DZ45+AV46*DZ46</f>
        <v>4.5</v>
      </c>
      <c r="EA47" s="405">
        <f>+AZ44*EA44+AZ45*EA45+AZ46*EA46</f>
        <v>-15.65</v>
      </c>
      <c r="EB47" s="405">
        <f>+BD44*EB44+BD45*EB45+BD46*EB46</f>
        <v>-1</v>
      </c>
      <c r="EC47" s="405">
        <f>+BH44*EC44+BH45*EC45+BH46*EC46</f>
        <v>4.3499999999999996</v>
      </c>
      <c r="ED47" s="405">
        <f>+BL44*ED44+BL45*ED45+BL46*ED46</f>
        <v>8.25</v>
      </c>
      <c r="EE47" s="405">
        <f>+BP44*EE44+BP45*EE45+BP46*EE46</f>
        <v>0.85000000000000009</v>
      </c>
      <c r="EF47" s="405">
        <f>+BT44*EF44+BT45*EF45+BT46*EF46</f>
        <v>14.25</v>
      </c>
      <c r="EG47" s="405">
        <f>+BX44*EG44+BX45*EG45+BX46*EG46</f>
        <v>-1.4500000000000002</v>
      </c>
      <c r="EH47" s="405">
        <f>+CB44*EH44+CB45*EH45+CB46*EH46</f>
        <v>-6.3611930187212566</v>
      </c>
      <c r="EI47" s="405">
        <f>+CF44*EI44+CF45*EI45+CF46*EI46</f>
        <v>2.1576588615589776</v>
      </c>
      <c r="EJ47" s="405">
        <f>+CJ44*EJ44+CJ45*EJ45+CJ46*EJ46</f>
        <v>6.2725355872828112</v>
      </c>
      <c r="EK47" s="405">
        <f>+CN44*EK44+CN45*EK45+CN46*EK46</f>
        <v>8.8615034161673876</v>
      </c>
      <c r="EL47" s="405">
        <f>+CR44*EL44+CR45*EL45+CR46*EL46</f>
        <v>5.3177935657769151</v>
      </c>
      <c r="EM47" s="405">
        <f>+CR44*EM44+CR45*EM45+CR46*EM46</f>
        <v>5.3177935657769151</v>
      </c>
      <c r="EN47" s="405">
        <f>+CV44*EN44+CV45*EN45+CV46*EN46</f>
        <v>2.3046472077980686</v>
      </c>
      <c r="EO47" s="405">
        <f>+CZ44*EO44+CZ45*EO45+CZ46*EO46</f>
        <v>6.5371366714010497</v>
      </c>
      <c r="EP47" s="405">
        <f>+DD44*EP44+DD45*EP45+DD46*EP46</f>
        <v>6.1129581423067787</v>
      </c>
      <c r="EQ47" s="405">
        <f>+DI44*EQ44+DI45*EQ45+DI46*EQ46</f>
        <v>4.6887796132125086</v>
      </c>
      <c r="ER47" s="405">
        <f>+DO44*ER44+DO45*ER45+DN46*ER46</f>
        <v>0</v>
      </c>
      <c r="ES47" s="405">
        <f>+DU44*ES44+DU45*ES45+DU46*ES46</f>
        <v>1.370986047435593</v>
      </c>
    </row>
    <row r="48" spans="1:151">
      <c r="A48" s="24"/>
      <c r="B48" s="24"/>
      <c r="C48" s="24"/>
      <c r="D48" s="113"/>
      <c r="E48" s="24"/>
      <c r="F48" s="224"/>
      <c r="G48" s="24"/>
      <c r="H48" s="24"/>
      <c r="I48" s="24"/>
      <c r="J48" s="224"/>
      <c r="K48" s="24"/>
      <c r="L48" s="24"/>
      <c r="M48" s="24"/>
      <c r="N48" s="224"/>
      <c r="O48" s="24"/>
      <c r="P48" s="24"/>
      <c r="Q48" s="24"/>
      <c r="R48" s="224"/>
      <c r="S48" s="24"/>
      <c r="T48" s="224"/>
      <c r="U48" s="24"/>
      <c r="V48" s="224"/>
      <c r="W48" s="24"/>
      <c r="X48" s="224"/>
      <c r="Y48" s="24"/>
      <c r="Z48" s="224"/>
      <c r="AA48" s="24"/>
      <c r="AB48" s="224"/>
      <c r="AC48" s="168"/>
      <c r="AD48" s="224"/>
      <c r="AE48" s="24"/>
      <c r="AF48" s="224"/>
      <c r="AG48" s="24"/>
      <c r="AH48" s="224"/>
      <c r="AI48" s="24"/>
      <c r="AJ48" s="224"/>
      <c r="AK48" s="24"/>
      <c r="AL48" s="224"/>
      <c r="AM48" s="24"/>
      <c r="AN48" s="224"/>
      <c r="AO48" s="24"/>
      <c r="AP48" s="224"/>
      <c r="AQ48" s="168"/>
      <c r="AR48" s="224"/>
      <c r="AS48" s="168"/>
      <c r="AT48" s="224"/>
      <c r="AU48" s="24"/>
      <c r="AV48" s="224"/>
      <c r="AW48" s="24"/>
      <c r="AX48" s="224"/>
      <c r="AY48" s="24"/>
      <c r="AZ48" s="224"/>
      <c r="BA48" s="24"/>
      <c r="BB48" s="224"/>
      <c r="BC48" s="24"/>
      <c r="BD48" s="224"/>
      <c r="BE48" s="24"/>
      <c r="BF48" s="411"/>
      <c r="BG48" s="24"/>
      <c r="BH48" s="523"/>
      <c r="BI48" s="24"/>
      <c r="BJ48" s="411"/>
      <c r="BK48" s="24"/>
      <c r="BL48" s="224"/>
      <c r="BM48" s="24"/>
      <c r="BN48" s="411"/>
      <c r="BO48" s="24"/>
      <c r="BP48" s="224"/>
      <c r="BQ48" s="24"/>
      <c r="BR48" s="411"/>
      <c r="BS48" s="24"/>
      <c r="BT48" s="224"/>
      <c r="BU48" s="24"/>
      <c r="BV48" s="411"/>
      <c r="BW48" s="24"/>
      <c r="BX48" s="224"/>
      <c r="BY48" s="24"/>
      <c r="BZ48" s="411"/>
      <c r="CA48" s="24"/>
      <c r="CB48" s="224"/>
      <c r="CC48" s="24"/>
      <c r="CD48" s="411"/>
      <c r="CE48" s="24"/>
      <c r="CF48" s="224"/>
      <c r="CG48" s="24"/>
      <c r="CH48" s="411"/>
      <c r="CI48" s="24"/>
      <c r="CJ48" s="224"/>
      <c r="CK48" s="24"/>
      <c r="CL48" s="411"/>
      <c r="CM48" s="24"/>
      <c r="CN48" s="224"/>
      <c r="CO48" s="24"/>
      <c r="CP48" s="1164"/>
      <c r="CQ48" s="24"/>
      <c r="CR48" s="2738"/>
      <c r="CS48" s="24"/>
      <c r="CT48" s="408"/>
      <c r="CU48" s="24"/>
      <c r="CV48" s="2375"/>
      <c r="CW48" s="24"/>
      <c r="CX48" s="408"/>
      <c r="CY48" s="24"/>
      <c r="CZ48" s="2375"/>
      <c r="DA48" s="24"/>
      <c r="DB48" s="408"/>
      <c r="DC48" s="24"/>
      <c r="DD48" s="2375"/>
      <c r="DE48" s="2375"/>
      <c r="DF48" s="24"/>
      <c r="DG48" s="408"/>
      <c r="DH48" s="24"/>
      <c r="DI48" s="2729"/>
      <c r="DJ48" s="2759"/>
      <c r="DK48" s="24"/>
      <c r="DL48" s="24"/>
      <c r="DM48" s="408"/>
      <c r="DN48" s="24"/>
      <c r="DO48" s="1183"/>
      <c r="DP48" s="2801"/>
      <c r="DQ48" s="24"/>
      <c r="DR48" s="24"/>
      <c r="DS48" s="408"/>
      <c r="DT48" s="24"/>
      <c r="DU48" s="2539"/>
      <c r="DV48" s="2524"/>
      <c r="DW48" s="24"/>
      <c r="DX48" s="405"/>
      <c r="DY48" s="405"/>
      <c r="DZ48" s="24"/>
      <c r="EA48" s="24"/>
      <c r="EB48" s="24"/>
      <c r="EC48" s="24"/>
      <c r="ED48" s="24"/>
      <c r="EE48" s="24"/>
      <c r="EF48" s="24"/>
      <c r="EG48" s="24"/>
      <c r="EH48" s="24"/>
      <c r="EI48" s="24"/>
      <c r="EJ48" s="24"/>
      <c r="EK48" s="24"/>
      <c r="EL48" s="24"/>
    </row>
    <row r="49" spans="1:149">
      <c r="A49" s="31" t="s">
        <v>599</v>
      </c>
      <c r="B49" s="31"/>
      <c r="C49" s="24"/>
      <c r="D49" s="113">
        <f>+D44</f>
        <v>4</v>
      </c>
      <c r="E49" s="24"/>
      <c r="F49" s="286"/>
      <c r="G49" s="24"/>
      <c r="H49" s="176"/>
      <c r="I49" s="24" t="s">
        <v>1084</v>
      </c>
      <c r="J49" s="286" t="str">
        <f>J26</f>
        <v>11/30</v>
      </c>
      <c r="K49" s="24"/>
      <c r="L49" s="176"/>
      <c r="M49" s="24" t="s">
        <v>1084</v>
      </c>
      <c r="N49" s="286" t="str">
        <f>N26</f>
        <v>11/28</v>
      </c>
      <c r="O49" s="24"/>
      <c r="P49" s="176"/>
      <c r="Q49" s="24" t="s">
        <v>1084</v>
      </c>
      <c r="R49" s="286" t="str">
        <f>R26</f>
        <v>11/27</v>
      </c>
      <c r="S49" s="24"/>
      <c r="T49" s="228">
        <v>48</v>
      </c>
      <c r="U49" s="24" t="s">
        <v>1084</v>
      </c>
      <c r="V49" s="286" t="str">
        <f>V26</f>
        <v>11/26</v>
      </c>
      <c r="W49" s="24"/>
      <c r="X49" s="228">
        <v>33</v>
      </c>
      <c r="Y49" s="24" t="s">
        <v>1084</v>
      </c>
      <c r="Z49" s="286" t="str">
        <f>Z26</f>
        <v>11/25</v>
      </c>
      <c r="AA49" s="24"/>
      <c r="AB49" s="228">
        <v>17</v>
      </c>
      <c r="AC49" s="168" t="s">
        <v>1084</v>
      </c>
      <c r="AD49" s="286" t="str">
        <f>AD26</f>
        <v>11/30</v>
      </c>
      <c r="AE49" s="24"/>
      <c r="AF49" s="228">
        <v>10</v>
      </c>
      <c r="AG49" s="24" t="s">
        <v>1084</v>
      </c>
      <c r="AH49" s="286" t="str">
        <f>AH26</f>
        <v>11/29</v>
      </c>
      <c r="AI49" s="24"/>
      <c r="AJ49" s="228">
        <v>12</v>
      </c>
      <c r="AK49" s="24" t="s">
        <v>1084</v>
      </c>
      <c r="AL49" s="286" t="str">
        <f>AL26</f>
        <v>12/2</v>
      </c>
      <c r="AM49" s="24"/>
      <c r="AN49" s="228">
        <v>16</v>
      </c>
      <c r="AO49" s="24" t="s">
        <v>1084</v>
      </c>
      <c r="AP49" s="286" t="str">
        <f>AP26</f>
        <v>11/27</v>
      </c>
      <c r="AQ49" s="168"/>
      <c r="AR49" s="228">
        <v>7</v>
      </c>
      <c r="AS49" s="168" t="s">
        <v>1084</v>
      </c>
      <c r="AT49" s="286" t="str">
        <f>AT26</f>
        <v>11/25</v>
      </c>
      <c r="AU49" s="24"/>
      <c r="AV49" s="228">
        <v>-5</v>
      </c>
      <c r="AW49" s="24" t="s">
        <v>1084</v>
      </c>
      <c r="AX49" s="286" t="str">
        <f>AX26</f>
        <v>12/1</v>
      </c>
      <c r="AY49" s="24"/>
      <c r="AZ49" s="228">
        <v>-19</v>
      </c>
      <c r="BA49" s="24" t="s">
        <v>1084</v>
      </c>
      <c r="BB49" s="286" t="str">
        <f>BB26</f>
        <v>11/30</v>
      </c>
      <c r="BC49" s="24"/>
      <c r="BD49" s="228">
        <v>-1</v>
      </c>
      <c r="BE49" s="24" t="s">
        <v>1084</v>
      </c>
      <c r="BF49" s="408">
        <f>BF26</f>
        <v>37954</v>
      </c>
      <c r="BG49" s="24"/>
      <c r="BH49" s="228">
        <v>6</v>
      </c>
      <c r="BI49" s="24" t="s">
        <v>1084</v>
      </c>
      <c r="BJ49" s="408">
        <f>BJ26</f>
        <v>38319</v>
      </c>
      <c r="BK49" s="24"/>
      <c r="BL49" s="228">
        <v>2</v>
      </c>
      <c r="BM49" s="24" t="s">
        <v>1084</v>
      </c>
      <c r="BN49" s="408">
        <f>BN26</f>
        <v>38682</v>
      </c>
      <c r="BO49" s="24"/>
      <c r="BP49" s="228">
        <v>4</v>
      </c>
      <c r="BQ49" s="24" t="s">
        <v>1084</v>
      </c>
      <c r="BR49" s="408">
        <f>BR26</f>
        <v>38681</v>
      </c>
      <c r="BS49" s="24"/>
      <c r="BT49" s="228">
        <v>16</v>
      </c>
      <c r="BU49" s="24" t="s">
        <v>1084</v>
      </c>
      <c r="BV49" s="408">
        <f>BV26</f>
        <v>39417</v>
      </c>
      <c r="BW49" s="24"/>
      <c r="BX49" s="228">
        <v>-6</v>
      </c>
      <c r="BY49" s="24" t="s">
        <v>1084</v>
      </c>
      <c r="BZ49" s="408">
        <f>BZ26</f>
        <v>39415</v>
      </c>
      <c r="CA49" s="24"/>
      <c r="CB49" s="228">
        <v>-16</v>
      </c>
      <c r="CC49" s="24" t="s">
        <v>1084</v>
      </c>
      <c r="CD49" s="408">
        <f>CD26</f>
        <v>40145</v>
      </c>
      <c r="CE49" s="24"/>
      <c r="CF49" s="228">
        <v>4</v>
      </c>
      <c r="CG49" s="24" t="s">
        <v>1084</v>
      </c>
      <c r="CH49" s="408">
        <f>CH26</f>
        <v>40509</v>
      </c>
      <c r="CI49" s="24"/>
      <c r="CJ49" s="228">
        <v>8</v>
      </c>
      <c r="CK49" s="24" t="s">
        <v>1084</v>
      </c>
      <c r="CL49" s="408">
        <v>40878</v>
      </c>
      <c r="CM49" s="24"/>
      <c r="CN49" s="228">
        <v>6</v>
      </c>
      <c r="CO49" s="24" t="s">
        <v>1084</v>
      </c>
      <c r="CP49" s="1165">
        <v>41609</v>
      </c>
      <c r="CQ49" s="24"/>
      <c r="CR49" s="391">
        <v>6</v>
      </c>
      <c r="CS49" s="24" t="s">
        <v>1084</v>
      </c>
      <c r="CT49" s="408">
        <v>41608</v>
      </c>
      <c r="CU49" s="405"/>
      <c r="CV49" s="391">
        <v>-6</v>
      </c>
      <c r="CW49" s="24" t="s">
        <v>1084</v>
      </c>
      <c r="CX49" s="408">
        <v>41607</v>
      </c>
      <c r="CY49" s="405"/>
      <c r="CZ49" s="391">
        <v>11</v>
      </c>
      <c r="DA49" s="24" t="s">
        <v>1084</v>
      </c>
      <c r="DB49" s="408">
        <v>43067</v>
      </c>
      <c r="DC49" s="405"/>
      <c r="DD49" s="391">
        <v>7</v>
      </c>
      <c r="DE49" s="391">
        <v>8</v>
      </c>
      <c r="DF49" s="24" t="s">
        <v>1084</v>
      </c>
      <c r="DG49" s="408">
        <v>42334</v>
      </c>
      <c r="DH49" s="405"/>
      <c r="DI49" s="2732">
        <v>2</v>
      </c>
      <c r="DJ49" s="2717">
        <v>4</v>
      </c>
      <c r="DK49" s="24" t="s">
        <v>1084</v>
      </c>
      <c r="DL49" s="24"/>
      <c r="DM49" s="408">
        <v>43064</v>
      </c>
      <c r="DN49" s="405"/>
      <c r="DO49" s="2693">
        <v>5</v>
      </c>
      <c r="DP49" s="2798">
        <v>6</v>
      </c>
      <c r="DQ49" s="24" t="s">
        <v>1084</v>
      </c>
      <c r="DR49" s="24"/>
      <c r="DS49" s="408">
        <v>41607</v>
      </c>
      <c r="DT49" s="405"/>
      <c r="DU49" s="2539">
        <v>1</v>
      </c>
      <c r="DV49" s="2522">
        <f>DU49+2</f>
        <v>3</v>
      </c>
      <c r="DW49" s="24" t="s">
        <v>1084</v>
      </c>
      <c r="DX49" s="405">
        <f>DJ49+DP49</f>
        <v>10</v>
      </c>
      <c r="DY49" s="405">
        <f>DV49+DP49</f>
        <v>9</v>
      </c>
      <c r="DZ49" s="417">
        <v>0.25</v>
      </c>
      <c r="EA49" s="417">
        <v>0.25</v>
      </c>
      <c r="EB49" s="417">
        <v>0.25</v>
      </c>
      <c r="EC49" s="417">
        <v>0.25</v>
      </c>
      <c r="ED49" s="417">
        <v>0.25</v>
      </c>
      <c r="EE49" s="417">
        <v>0.25</v>
      </c>
      <c r="EF49" s="417">
        <v>0.25</v>
      </c>
      <c r="EG49" s="417">
        <v>0.25</v>
      </c>
      <c r="EH49" s="417">
        <f t="shared" ref="EH49:EI51" si="40">EI26</f>
        <v>0.25261330739890203</v>
      </c>
      <c r="EI49" s="417">
        <f t="shared" si="40"/>
        <v>0.25497996003105067</v>
      </c>
      <c r="EJ49" s="417">
        <f t="shared" ref="EJ49:EK51" si="41">EK26</f>
        <v>0.25837610185978716</v>
      </c>
      <c r="EK49" s="417">
        <f t="shared" si="41"/>
        <v>0.25837610185978716</v>
      </c>
      <c r="EL49" s="417">
        <f>EM26</f>
        <v>0.25837610185978716</v>
      </c>
      <c r="EM49" s="425">
        <f t="shared" ref="EM49:EN51" si="42">EM26</f>
        <v>0.25837610185978716</v>
      </c>
      <c r="EN49" s="425">
        <f t="shared" si="42"/>
        <v>0.25889142091187922</v>
      </c>
      <c r="EO49" s="425">
        <f t="shared" ref="EO49:ES50" si="43">EN49</f>
        <v>0.25889142091187922</v>
      </c>
      <c r="EP49" s="425">
        <f t="shared" si="43"/>
        <v>0.25889142091187922</v>
      </c>
      <c r="EQ49" s="425">
        <f t="shared" si="43"/>
        <v>0.25889142091187922</v>
      </c>
      <c r="ER49" s="425">
        <f t="shared" si="43"/>
        <v>0.25889142091187922</v>
      </c>
      <c r="ES49" s="425">
        <f t="shared" si="43"/>
        <v>0.25889142091187922</v>
      </c>
    </row>
    <row r="50" spans="1:149">
      <c r="A50" s="31" t="s">
        <v>600</v>
      </c>
      <c r="B50" s="31"/>
      <c r="C50" s="24"/>
      <c r="D50" s="113">
        <f>+D45</f>
        <v>5</v>
      </c>
      <c r="E50" s="24"/>
      <c r="F50" s="286"/>
      <c r="G50" s="24"/>
      <c r="H50" s="176"/>
      <c r="I50" s="24"/>
      <c r="J50" s="286" t="str">
        <f>J27</f>
        <v>1/4</v>
      </c>
      <c r="K50" s="24"/>
      <c r="L50" s="176"/>
      <c r="M50" s="24"/>
      <c r="N50" s="286" t="str">
        <f>N27</f>
        <v xml:space="preserve"> 1/2</v>
      </c>
      <c r="O50" s="24"/>
      <c r="P50" s="176"/>
      <c r="Q50" s="24"/>
      <c r="R50" s="286" t="str">
        <f>R27</f>
        <v>1/1</v>
      </c>
      <c r="S50" s="24"/>
      <c r="T50" s="228">
        <v>43</v>
      </c>
      <c r="U50" s="24"/>
      <c r="V50" s="286" t="str">
        <f>V27</f>
        <v>12/31</v>
      </c>
      <c r="W50" s="24"/>
      <c r="X50" s="228">
        <v>40</v>
      </c>
      <c r="Y50" s="24"/>
      <c r="Z50" s="286" t="str">
        <f>Z27</f>
        <v>12/30</v>
      </c>
      <c r="AA50" s="24"/>
      <c r="AB50" s="228">
        <v>18</v>
      </c>
      <c r="AC50" s="168"/>
      <c r="AD50" s="286" t="str">
        <f>AD27</f>
        <v>1/4</v>
      </c>
      <c r="AE50" s="24"/>
      <c r="AF50" s="228">
        <v>18</v>
      </c>
      <c r="AG50" s="24"/>
      <c r="AH50" s="286" t="str">
        <f>AH27</f>
        <v>1/3</v>
      </c>
      <c r="AI50" s="24"/>
      <c r="AJ50" s="228">
        <v>10</v>
      </c>
      <c r="AK50" s="24"/>
      <c r="AL50" s="286" t="str">
        <f>AL27</f>
        <v>1/2</v>
      </c>
      <c r="AM50" s="24"/>
      <c r="AN50" s="228">
        <v>11</v>
      </c>
      <c r="AO50" s="24"/>
      <c r="AP50" s="286" t="str">
        <f>AP27</f>
        <v>1/1</v>
      </c>
      <c r="AQ50" s="168"/>
      <c r="AR50" s="228">
        <v>12</v>
      </c>
      <c r="AS50" s="168"/>
      <c r="AT50" s="286" t="str">
        <f>AT27</f>
        <v>12/30</v>
      </c>
      <c r="AU50" s="24"/>
      <c r="AV50" s="228">
        <v>-1</v>
      </c>
      <c r="AW50" s="24"/>
      <c r="AX50" s="286" t="str">
        <f>AX27</f>
        <v>1/5</v>
      </c>
      <c r="AY50" s="24"/>
      <c r="AZ50" s="228">
        <v>-9</v>
      </c>
      <c r="BA50" s="24"/>
      <c r="BB50" s="286" t="str">
        <f>BB27</f>
        <v>1/4</v>
      </c>
      <c r="BC50" s="24"/>
      <c r="BD50" s="228">
        <v>0</v>
      </c>
      <c r="BE50" s="24"/>
      <c r="BF50" s="408">
        <f>BF27</f>
        <v>37624</v>
      </c>
      <c r="BG50" s="24"/>
      <c r="BH50" s="228">
        <v>16</v>
      </c>
      <c r="BI50" s="24"/>
      <c r="BJ50" s="408">
        <f>BJ27</f>
        <v>38354</v>
      </c>
      <c r="BK50" s="24"/>
      <c r="BL50" s="228">
        <v>11</v>
      </c>
      <c r="BM50" s="24"/>
      <c r="BN50" s="408">
        <f>BN27</f>
        <v>38717</v>
      </c>
      <c r="BO50" s="24"/>
      <c r="BP50" s="228">
        <v>1</v>
      </c>
      <c r="BQ50" s="24"/>
      <c r="BR50" s="408">
        <f>BR27</f>
        <v>38716</v>
      </c>
      <c r="BS50" s="24"/>
      <c r="BT50" s="228">
        <v>5</v>
      </c>
      <c r="BU50" s="24"/>
      <c r="BV50" s="408">
        <f>BV27</f>
        <v>39087</v>
      </c>
      <c r="BW50" s="24"/>
      <c r="BX50" s="228">
        <v>-8</v>
      </c>
      <c r="BY50" s="24"/>
      <c r="BZ50" s="408">
        <f>BZ27</f>
        <v>39085</v>
      </c>
      <c r="CA50" s="24"/>
      <c r="CB50" s="228">
        <v>-11</v>
      </c>
      <c r="CC50" s="24"/>
      <c r="CD50" s="408">
        <f>CD27</f>
        <v>40180</v>
      </c>
      <c r="CE50" s="24"/>
      <c r="CF50" s="228">
        <v>4</v>
      </c>
      <c r="CG50" s="24"/>
      <c r="CH50" s="408">
        <f>CH27</f>
        <v>40179</v>
      </c>
      <c r="CI50" s="24"/>
      <c r="CJ50" s="228">
        <v>4</v>
      </c>
      <c r="CK50" s="24"/>
      <c r="CL50" s="408">
        <v>40908</v>
      </c>
      <c r="CM50" s="24"/>
      <c r="CN50" s="228">
        <v>4</v>
      </c>
      <c r="CO50" s="24"/>
      <c r="CP50" s="1165">
        <v>41279</v>
      </c>
      <c r="CQ50" s="24"/>
      <c r="CR50" s="391">
        <v>7</v>
      </c>
      <c r="CS50" s="24"/>
      <c r="CT50" s="408">
        <v>41278</v>
      </c>
      <c r="CU50" s="405"/>
      <c r="CV50" s="391">
        <v>1</v>
      </c>
      <c r="CW50" s="24"/>
      <c r="CX50" s="408">
        <v>41277</v>
      </c>
      <c r="CY50" s="405"/>
      <c r="CZ50" s="2750">
        <v>5</v>
      </c>
      <c r="DA50" s="24"/>
      <c r="DB50" s="408">
        <v>42737</v>
      </c>
      <c r="DC50" s="405"/>
      <c r="DD50" s="2750">
        <v>6</v>
      </c>
      <c r="DE50" s="2750">
        <v>8</v>
      </c>
      <c r="DF50" s="24"/>
      <c r="DG50" s="408">
        <v>42369</v>
      </c>
      <c r="DH50" s="405"/>
      <c r="DI50" s="2732">
        <v>0</v>
      </c>
      <c r="DJ50" s="2717">
        <v>3</v>
      </c>
      <c r="DK50" s="24"/>
      <c r="DL50" s="24"/>
      <c r="DM50" s="408">
        <v>43099</v>
      </c>
      <c r="DN50" s="405"/>
      <c r="DO50" s="2693">
        <v>2</v>
      </c>
      <c r="DP50" s="2798">
        <v>4</v>
      </c>
      <c r="DQ50" s="24"/>
      <c r="DR50" s="24"/>
      <c r="DS50" s="408">
        <v>41277</v>
      </c>
      <c r="DT50" s="405"/>
      <c r="DU50" s="2539">
        <v>0</v>
      </c>
      <c r="DV50" s="2522">
        <f t="shared" ref="DV50:DV51" si="44">DU50+2</f>
        <v>2</v>
      </c>
      <c r="DW50" s="24"/>
      <c r="DX50" s="405">
        <f t="shared" ref="DX50:DX52" si="45">DJ50+DP50</f>
        <v>7</v>
      </c>
      <c r="DY50" s="405">
        <f t="shared" ref="DY50:DY52" si="46">DV50+DP50</f>
        <v>6</v>
      </c>
      <c r="DZ50" s="417">
        <v>0.6</v>
      </c>
      <c r="EA50" s="417">
        <v>0.6</v>
      </c>
      <c r="EB50" s="417">
        <v>0.6</v>
      </c>
      <c r="EC50" s="417">
        <v>0.6</v>
      </c>
      <c r="ED50" s="417">
        <v>0.6</v>
      </c>
      <c r="EE50" s="417">
        <v>0.6</v>
      </c>
      <c r="EF50" s="417">
        <v>0.6</v>
      </c>
      <c r="EG50" s="417">
        <v>0.6</v>
      </c>
      <c r="EH50" s="417">
        <f t="shared" si="40"/>
        <v>0.54962450683403241</v>
      </c>
      <c r="EI50" s="417">
        <f t="shared" si="40"/>
        <v>0.54188546108250435</v>
      </c>
      <c r="EJ50" s="417">
        <f t="shared" si="41"/>
        <v>0.51790954348154428</v>
      </c>
      <c r="EK50" s="417">
        <f t="shared" si="41"/>
        <v>0.51790954348154428</v>
      </c>
      <c r="EL50" s="417">
        <f>EM27</f>
        <v>0.51790954348154428</v>
      </c>
      <c r="EM50" s="425">
        <f t="shared" si="42"/>
        <v>0.51790954348154428</v>
      </c>
      <c r="EN50" s="425">
        <f t="shared" si="42"/>
        <v>0.54947314220852062</v>
      </c>
      <c r="EO50" s="425">
        <f t="shared" si="43"/>
        <v>0.54947314220852062</v>
      </c>
      <c r="EP50" s="425">
        <f t="shared" si="43"/>
        <v>0.54947314220852062</v>
      </c>
      <c r="EQ50" s="425">
        <f t="shared" si="43"/>
        <v>0.54947314220852062</v>
      </c>
      <c r="ER50" s="425">
        <f t="shared" si="43"/>
        <v>0.54947314220852062</v>
      </c>
      <c r="ES50" s="425">
        <f t="shared" si="43"/>
        <v>0.54947314220852062</v>
      </c>
    </row>
    <row r="51" spans="1:149">
      <c r="A51" s="31" t="s">
        <v>601</v>
      </c>
      <c r="B51" s="31"/>
      <c r="C51" s="24"/>
      <c r="D51" s="113">
        <f>+D46</f>
        <v>4</v>
      </c>
      <c r="E51" s="24"/>
      <c r="F51" s="286"/>
      <c r="G51" s="24"/>
      <c r="H51" s="175"/>
      <c r="I51" s="24"/>
      <c r="J51" s="286" t="str">
        <f>J28</f>
        <v>2/1</v>
      </c>
      <c r="K51" s="24"/>
      <c r="L51" s="175"/>
      <c r="M51" s="24"/>
      <c r="N51" s="286" t="str">
        <f>N28</f>
        <v xml:space="preserve"> 1/30</v>
      </c>
      <c r="O51" s="24"/>
      <c r="P51" s="175"/>
      <c r="Q51" s="24"/>
      <c r="R51" s="286" t="str">
        <f>R28</f>
        <v>1/29</v>
      </c>
      <c r="S51" s="24"/>
      <c r="T51" s="284">
        <v>38</v>
      </c>
      <c r="U51" s="24"/>
      <c r="V51" s="286" t="str">
        <f>V28</f>
        <v>1/28</v>
      </c>
      <c r="W51" s="24"/>
      <c r="X51" s="284">
        <v>32</v>
      </c>
      <c r="Y51" s="24"/>
      <c r="Z51" s="286" t="str">
        <f>Z28</f>
        <v>2/3</v>
      </c>
      <c r="AA51" s="24"/>
      <c r="AB51" s="284">
        <v>8</v>
      </c>
      <c r="AC51" s="168"/>
      <c r="AD51" s="286" t="str">
        <f>AD28</f>
        <v>2/1</v>
      </c>
      <c r="AE51" s="24"/>
      <c r="AF51" s="284">
        <v>10</v>
      </c>
      <c r="AG51" s="24"/>
      <c r="AH51" s="286" t="str">
        <f>AH28</f>
        <v>1/30</v>
      </c>
      <c r="AI51" s="24"/>
      <c r="AJ51" s="284">
        <v>3</v>
      </c>
      <c r="AK51" s="24"/>
      <c r="AL51" s="286" t="str">
        <f>AL28</f>
        <v>1/30</v>
      </c>
      <c r="AM51" s="24"/>
      <c r="AN51" s="284">
        <v>9</v>
      </c>
      <c r="AO51" s="24"/>
      <c r="AP51" s="286" t="str">
        <f>AP28</f>
        <v>1/29</v>
      </c>
      <c r="AQ51" s="168"/>
      <c r="AR51" s="284">
        <v>17</v>
      </c>
      <c r="AS51" s="168"/>
      <c r="AT51" s="286" t="str">
        <f>AT28</f>
        <v>2/3</v>
      </c>
      <c r="AU51" s="24"/>
      <c r="AV51" s="284">
        <v>1</v>
      </c>
      <c r="AW51" s="24"/>
      <c r="AX51" s="286" t="str">
        <f>AX28</f>
        <v>2/2</v>
      </c>
      <c r="AY51" s="24"/>
      <c r="AZ51" s="284">
        <v>1</v>
      </c>
      <c r="BA51" s="24"/>
      <c r="BB51" s="286" t="str">
        <f>BB28</f>
        <v>2/1</v>
      </c>
      <c r="BC51" s="24"/>
      <c r="BD51" s="284">
        <v>-6</v>
      </c>
      <c r="BE51" s="24"/>
      <c r="BF51" s="408">
        <f>BF28</f>
        <v>37652</v>
      </c>
      <c r="BG51" s="24"/>
      <c r="BH51" s="284">
        <v>33</v>
      </c>
      <c r="BI51" s="24"/>
      <c r="BJ51" s="408">
        <f>BJ28</f>
        <v>38382</v>
      </c>
      <c r="BK51" s="24"/>
      <c r="BL51" s="284">
        <v>30</v>
      </c>
      <c r="BM51" s="24"/>
      <c r="BN51" s="408">
        <f>BN28</f>
        <v>38745</v>
      </c>
      <c r="BO51" s="24"/>
      <c r="BP51" s="284">
        <v>-2</v>
      </c>
      <c r="BQ51" s="24"/>
      <c r="BR51" s="408">
        <f>BR28</f>
        <v>38386</v>
      </c>
      <c r="BS51" s="24"/>
      <c r="BT51" s="284">
        <v>19</v>
      </c>
      <c r="BU51" s="24"/>
      <c r="BV51" s="408">
        <f>BV28</f>
        <v>39115</v>
      </c>
      <c r="BW51" s="24"/>
      <c r="BX51" s="284">
        <v>-10</v>
      </c>
      <c r="BY51" s="24"/>
      <c r="BZ51" s="408">
        <f>BZ28</f>
        <v>39113</v>
      </c>
      <c r="CA51" s="24"/>
      <c r="CB51" s="284">
        <v>0</v>
      </c>
      <c r="CC51" s="24"/>
      <c r="CD51" s="408">
        <f>CD28</f>
        <v>40208</v>
      </c>
      <c r="CE51" s="24"/>
      <c r="CF51" s="284">
        <v>-8</v>
      </c>
      <c r="CG51" s="24"/>
      <c r="CH51" s="408">
        <f>CH28</f>
        <v>40207</v>
      </c>
      <c r="CI51" s="24"/>
      <c r="CJ51" s="284">
        <v>9</v>
      </c>
      <c r="CK51" s="24"/>
      <c r="CL51" s="408">
        <v>40936</v>
      </c>
      <c r="CM51" s="24"/>
      <c r="CN51" s="211">
        <v>-3</v>
      </c>
      <c r="CO51" s="24"/>
      <c r="CP51" s="1165">
        <v>41307</v>
      </c>
      <c r="CQ51" s="24"/>
      <c r="CR51" s="392">
        <v>10</v>
      </c>
      <c r="CS51" s="24"/>
      <c r="CT51" s="408">
        <v>41306</v>
      </c>
      <c r="CU51" s="405"/>
      <c r="CV51" s="392">
        <v>6</v>
      </c>
      <c r="CW51" s="24"/>
      <c r="CX51" s="408">
        <v>41305</v>
      </c>
      <c r="CY51" s="405"/>
      <c r="CZ51" s="2751">
        <v>16</v>
      </c>
      <c r="DA51" s="24"/>
      <c r="DB51" s="408">
        <v>42765</v>
      </c>
      <c r="DC51" s="405"/>
      <c r="DD51" s="2758">
        <v>2</v>
      </c>
      <c r="DE51" s="2758">
        <v>3</v>
      </c>
      <c r="DF51" s="24"/>
      <c r="DG51" s="408">
        <v>42032</v>
      </c>
      <c r="DH51" s="405"/>
      <c r="DI51" s="2758">
        <v>11</v>
      </c>
      <c r="DJ51" s="2718">
        <v>12</v>
      </c>
      <c r="DK51" s="24"/>
      <c r="DL51" s="24"/>
      <c r="DM51" s="408">
        <v>42769</v>
      </c>
      <c r="DN51" s="405"/>
      <c r="DO51" s="2758">
        <v>9</v>
      </c>
      <c r="DP51" s="2718">
        <v>13</v>
      </c>
      <c r="DQ51" s="24"/>
      <c r="DR51" s="24"/>
      <c r="DS51" s="408">
        <v>41305</v>
      </c>
      <c r="DT51" s="405"/>
      <c r="DU51" s="2539">
        <v>-2</v>
      </c>
      <c r="DV51" s="2521">
        <f t="shared" si="44"/>
        <v>0</v>
      </c>
      <c r="DW51" s="24"/>
      <c r="DX51" s="405">
        <f t="shared" si="45"/>
        <v>25</v>
      </c>
      <c r="DY51" s="405">
        <f t="shared" si="46"/>
        <v>13</v>
      </c>
      <c r="DZ51" s="427">
        <f t="shared" ref="DZ51:EG51" si="47">1-DZ50-DZ49</f>
        <v>0.15000000000000002</v>
      </c>
      <c r="EA51" s="427">
        <f t="shared" si="47"/>
        <v>0.15000000000000002</v>
      </c>
      <c r="EB51" s="427">
        <f t="shared" si="47"/>
        <v>0.15000000000000002</v>
      </c>
      <c r="EC51" s="427">
        <f t="shared" si="47"/>
        <v>0.15000000000000002</v>
      </c>
      <c r="ED51" s="427">
        <f t="shared" si="47"/>
        <v>0.15000000000000002</v>
      </c>
      <c r="EE51" s="427">
        <f t="shared" si="47"/>
        <v>0.15000000000000002</v>
      </c>
      <c r="EF51" s="427">
        <f t="shared" si="47"/>
        <v>0.15000000000000002</v>
      </c>
      <c r="EG51" s="427">
        <f t="shared" si="47"/>
        <v>0.15000000000000002</v>
      </c>
      <c r="EH51" s="427">
        <f t="shared" si="40"/>
        <v>0.19776218576706556</v>
      </c>
      <c r="EI51" s="427">
        <f t="shared" si="40"/>
        <v>0.20313457888644498</v>
      </c>
      <c r="EJ51" s="427">
        <f t="shared" si="41"/>
        <v>0.22371435465866857</v>
      </c>
      <c r="EK51" s="427">
        <f t="shared" si="41"/>
        <v>0.22371435465866857</v>
      </c>
      <c r="EL51" s="427">
        <f>EM28</f>
        <v>0.22371435465866857</v>
      </c>
      <c r="EM51" s="427">
        <f t="shared" si="42"/>
        <v>0.22371435465866857</v>
      </c>
      <c r="EN51" s="427">
        <f t="shared" si="42"/>
        <v>0.19163543687960016</v>
      </c>
      <c r="EO51" s="427">
        <f>1-EO50-EO49</f>
        <v>0.19163543687960016</v>
      </c>
      <c r="EP51" s="427">
        <f>1-EP50-EP49</f>
        <v>0.19163543687960016</v>
      </c>
      <c r="EQ51" s="427">
        <f>1-EQ50-EQ49</f>
        <v>0.19163543687960016</v>
      </c>
      <c r="ER51" s="427">
        <f>1-ER50-ER49</f>
        <v>0.19163543687960016</v>
      </c>
      <c r="ES51" s="427">
        <f>1-ES50-ES49</f>
        <v>0.19163543687960016</v>
      </c>
    </row>
    <row r="52" spans="1:149">
      <c r="A52" s="118"/>
      <c r="B52" s="118" t="s">
        <v>519</v>
      </c>
      <c r="C52" s="116"/>
      <c r="D52" s="116"/>
      <c r="E52" s="116"/>
      <c r="F52" s="245"/>
      <c r="G52" s="116"/>
      <c r="H52" s="177"/>
      <c r="I52" s="116"/>
      <c r="J52" s="245"/>
      <c r="K52" s="116"/>
      <c r="L52" s="177"/>
      <c r="M52" s="116"/>
      <c r="N52" s="245"/>
      <c r="O52" s="116"/>
      <c r="P52" s="177"/>
      <c r="Q52" s="116"/>
      <c r="R52" s="245"/>
      <c r="S52" s="116"/>
      <c r="T52" s="353">
        <v>43</v>
      </c>
      <c r="U52" s="116"/>
      <c r="V52" s="245"/>
      <c r="W52" s="116"/>
      <c r="X52" s="353">
        <v>38</v>
      </c>
      <c r="Y52" s="116"/>
      <c r="Z52" s="245"/>
      <c r="AA52" s="116"/>
      <c r="AB52" s="353">
        <v>17</v>
      </c>
      <c r="AC52" s="245"/>
      <c r="AD52" s="245"/>
      <c r="AE52" s="116"/>
      <c r="AF52" s="353">
        <v>15</v>
      </c>
      <c r="AG52" s="116"/>
      <c r="AH52" s="245"/>
      <c r="AI52" s="116"/>
      <c r="AJ52" s="353">
        <v>10</v>
      </c>
      <c r="AK52" s="116"/>
      <c r="AL52" s="245"/>
      <c r="AM52" s="116"/>
      <c r="AN52" s="353">
        <v>12</v>
      </c>
      <c r="AO52" s="116"/>
      <c r="AP52" s="245"/>
      <c r="AQ52" s="245"/>
      <c r="AR52" s="353">
        <v>11</v>
      </c>
      <c r="AS52" s="245"/>
      <c r="AT52" s="245"/>
      <c r="AU52" s="116"/>
      <c r="AV52" s="353">
        <v>-2</v>
      </c>
      <c r="AW52" s="116"/>
      <c r="AX52" s="245"/>
      <c r="AY52" s="116"/>
      <c r="AZ52" s="353">
        <v>-10</v>
      </c>
      <c r="BA52" s="116"/>
      <c r="BB52" s="245"/>
      <c r="BC52" s="116"/>
      <c r="BD52" s="353">
        <v>-1</v>
      </c>
      <c r="BE52" s="116"/>
      <c r="BF52" s="245"/>
      <c r="BG52" s="116"/>
      <c r="BH52" s="353">
        <v>16</v>
      </c>
      <c r="BI52" s="116"/>
      <c r="BJ52" s="245"/>
      <c r="BK52" s="116"/>
      <c r="BL52" s="353">
        <v>12</v>
      </c>
      <c r="BM52" s="116"/>
      <c r="BN52" s="245"/>
      <c r="BO52" s="116"/>
      <c r="BP52" s="353">
        <v>1</v>
      </c>
      <c r="BQ52" s="116"/>
      <c r="BR52" s="245"/>
      <c r="BS52" s="116"/>
      <c r="BT52" s="353">
        <v>9</v>
      </c>
      <c r="BU52" s="116"/>
      <c r="BV52" s="245"/>
      <c r="BW52" s="116"/>
      <c r="BX52" s="353">
        <v>-8</v>
      </c>
      <c r="BY52" s="116"/>
      <c r="BZ52" s="245"/>
      <c r="CA52" s="116"/>
      <c r="CB52" s="353">
        <v>-11</v>
      </c>
      <c r="CC52" s="116"/>
      <c r="CD52" s="245"/>
      <c r="CE52" s="116"/>
      <c r="CF52" s="353">
        <v>2</v>
      </c>
      <c r="CG52" s="116"/>
      <c r="CH52" s="245"/>
      <c r="CI52" s="116"/>
      <c r="CJ52" s="353">
        <v>6</v>
      </c>
      <c r="CK52" s="116"/>
      <c r="CL52" s="245"/>
      <c r="CM52" s="116"/>
      <c r="CN52" s="1078">
        <v>3</v>
      </c>
      <c r="CO52" s="116"/>
      <c r="CP52" s="245"/>
      <c r="CQ52" s="116"/>
      <c r="CR52" s="2703">
        <v>7</v>
      </c>
      <c r="CS52" s="116"/>
      <c r="CT52" s="116"/>
      <c r="CU52" s="116"/>
      <c r="CV52" s="2703">
        <v>-1</v>
      </c>
      <c r="CW52" s="116"/>
      <c r="CX52" s="116"/>
      <c r="CY52" s="116"/>
      <c r="CZ52" s="2752">
        <v>8</v>
      </c>
      <c r="DA52" s="116"/>
      <c r="DB52" s="116"/>
      <c r="DC52" s="116"/>
      <c r="DD52" s="2752">
        <v>6</v>
      </c>
      <c r="DE52" s="2752">
        <v>7</v>
      </c>
      <c r="DF52" s="116"/>
      <c r="DG52" s="116"/>
      <c r="DH52" s="116"/>
      <c r="DI52" s="2752">
        <v>2</v>
      </c>
      <c r="DJ52" s="2752">
        <v>5</v>
      </c>
      <c r="DK52" s="116"/>
      <c r="DL52" s="116"/>
      <c r="DM52" s="116"/>
      <c r="DN52" s="116"/>
      <c r="DO52" s="2752">
        <v>4</v>
      </c>
      <c r="DP52" s="2752">
        <v>6</v>
      </c>
      <c r="DQ52" s="116"/>
      <c r="DR52" s="116"/>
      <c r="DS52" s="116"/>
      <c r="DT52" s="116"/>
      <c r="DU52" s="2540">
        <f>ES52</f>
        <v>-0.1243794528473211</v>
      </c>
      <c r="DV52" s="1093">
        <f>DU52+2</f>
        <v>1.8756205471526788</v>
      </c>
      <c r="DW52" s="116"/>
      <c r="DX52" s="405">
        <f t="shared" si="45"/>
        <v>11</v>
      </c>
      <c r="DY52" s="405">
        <f t="shared" si="46"/>
        <v>7.8756205471526783</v>
      </c>
      <c r="DZ52" s="405">
        <f>+AV49*DZ49+AV50*DZ50+AV51*DZ51</f>
        <v>-1.7000000000000002</v>
      </c>
      <c r="EA52" s="405">
        <f>+AZ49*EA49+AZ50*EA50+AZ51*EA51</f>
        <v>-9.9999999999999982</v>
      </c>
      <c r="EB52" s="405">
        <f>+BD49*EB49+BD50*EB50+BD51*EB51</f>
        <v>-1.1500000000000001</v>
      </c>
      <c r="EC52" s="405">
        <f>+BH49*EC49+BH50*EC50+BH51*EC51</f>
        <v>16.05</v>
      </c>
      <c r="ED52" s="405">
        <f>+BL49*ED49+BL50*ED50+BL51*ED51</f>
        <v>11.600000000000001</v>
      </c>
      <c r="EE52" s="405">
        <f>+BP49*EE49+BP50*EE50+BP51*EE51</f>
        <v>1.3</v>
      </c>
      <c r="EF52" s="405">
        <f>+BT49*EF49+BT50*EF50+BT51*EF51</f>
        <v>9.8500000000000014</v>
      </c>
      <c r="EG52" s="405">
        <f>+BX49*EG49+BX50*EG50+BX51*EG51</f>
        <v>-7.8</v>
      </c>
      <c r="EH52" s="405">
        <f>+CB49*EH49+CB50*EH50+CB51*EH51</f>
        <v>-10.087682493556789</v>
      </c>
      <c r="EI52" s="405">
        <f>+CF49*EI49+CF50*EI50+CF51*EI51</f>
        <v>1.5623850533626604</v>
      </c>
      <c r="EJ52" s="405">
        <f>+CJ49*EJ49+CJ50*EJ50+CJ51*EJ51</f>
        <v>6.1520761807324913</v>
      </c>
      <c r="EK52" s="405">
        <f>+CN49*EK49+CN50*EK50+CN51*EK51</f>
        <v>2.9507517211088943</v>
      </c>
      <c r="EL52" s="405">
        <f>+CR49*EL49+CR50*EL50+CR51*EL51</f>
        <v>7.4127669621162182</v>
      </c>
      <c r="EM52" s="405">
        <f>+CR49*EM49+CR50*EM50+CR51*EM51</f>
        <v>7.4127669621162182</v>
      </c>
      <c r="EN52" s="405">
        <f>+CV49*EN49+CV50*EN50+CV51*EN51</f>
        <v>0.14593723801484626</v>
      </c>
      <c r="EO52" s="405">
        <f>+CZ49*EO49+CZ50*EO50+CZ51*EO51</f>
        <v>8.6613383311468759</v>
      </c>
      <c r="EP52" s="405">
        <f>+DD49*EP49+DD50*EP50+DD51*EP51</f>
        <v>5.4923496733934787</v>
      </c>
      <c r="EQ52" s="405">
        <f>+DI49*EQ49+DI50*EQ50+DI51*EQ51</f>
        <v>2.6257726474993603</v>
      </c>
      <c r="ER52" s="405">
        <f>+DO49*ER49+DO50*ER50+DO51*ER51</f>
        <v>4.118122320892839</v>
      </c>
      <c r="ES52" s="405">
        <f>+DU49*ES49+DU50*ES50+DU51*ES51</f>
        <v>-0.1243794528473211</v>
      </c>
    </row>
    <row r="53" spans="1:149">
      <c r="A53" s="552"/>
      <c r="B53" s="552" t="s">
        <v>1020</v>
      </c>
      <c r="C53" s="553"/>
      <c r="D53" s="553"/>
      <c r="E53" s="553"/>
      <c r="F53" s="554"/>
      <c r="G53" s="554"/>
      <c r="H53" s="555"/>
      <c r="I53" s="554"/>
      <c r="J53" s="554"/>
      <c r="K53" s="554"/>
      <c r="L53" s="555"/>
      <c r="M53" s="554"/>
      <c r="N53" s="554"/>
      <c r="O53" s="554"/>
      <c r="P53" s="555"/>
      <c r="Q53" s="554"/>
      <c r="R53" s="554"/>
      <c r="S53" s="554"/>
      <c r="T53" s="561">
        <v>44</v>
      </c>
      <c r="U53" s="554"/>
      <c r="V53" s="554"/>
      <c r="W53" s="554"/>
      <c r="X53" s="561">
        <v>39</v>
      </c>
      <c r="Y53" s="554"/>
      <c r="Z53" s="554"/>
      <c r="AA53" s="554"/>
      <c r="AB53" s="561">
        <v>21</v>
      </c>
      <c r="AC53" s="554"/>
      <c r="AD53" s="554"/>
      <c r="AE53" s="554"/>
      <c r="AF53" s="556">
        <v>11</v>
      </c>
      <c r="AG53" s="554"/>
      <c r="AH53" s="554"/>
      <c r="AI53" s="553"/>
      <c r="AJ53" s="556">
        <v>11</v>
      </c>
      <c r="AK53" s="553"/>
      <c r="AL53" s="554"/>
      <c r="AM53" s="553"/>
      <c r="AN53" s="556">
        <v>7</v>
      </c>
      <c r="AO53" s="553"/>
      <c r="AP53" s="554"/>
      <c r="AQ53" s="554"/>
      <c r="AR53" s="556">
        <v>11</v>
      </c>
      <c r="AS53" s="554"/>
      <c r="AT53" s="554"/>
      <c r="AU53" s="553"/>
      <c r="AV53" s="557">
        <v>1</v>
      </c>
      <c r="AW53" s="553"/>
      <c r="AX53" s="554"/>
      <c r="AY53" s="553"/>
      <c r="AZ53" s="557">
        <v>-11</v>
      </c>
      <c r="BA53" s="553"/>
      <c r="BB53" s="554"/>
      <c r="BC53" s="553"/>
      <c r="BD53" s="562">
        <v>-3</v>
      </c>
      <c r="BE53" s="553"/>
      <c r="BF53" s="554"/>
      <c r="BG53" s="553"/>
      <c r="BH53" s="562">
        <v>8</v>
      </c>
      <c r="BI53" s="553"/>
      <c r="BJ53" s="554"/>
      <c r="BK53" s="553"/>
      <c r="BL53" s="562">
        <v>12</v>
      </c>
      <c r="BM53" s="553"/>
      <c r="BN53" s="554"/>
      <c r="BO53" s="553"/>
      <c r="BP53" s="562">
        <v>4</v>
      </c>
      <c r="BQ53" s="553"/>
      <c r="BR53" s="554"/>
      <c r="BS53" s="553"/>
      <c r="BT53" s="562">
        <v>10</v>
      </c>
      <c r="BU53" s="553"/>
      <c r="BV53" s="554"/>
      <c r="BW53" s="553"/>
      <c r="BX53" s="562">
        <v>-4</v>
      </c>
      <c r="BY53" s="553"/>
      <c r="BZ53" s="554"/>
      <c r="CA53" s="553"/>
      <c r="CB53" s="562">
        <v>-9</v>
      </c>
      <c r="CC53" s="553"/>
      <c r="CD53" s="554"/>
      <c r="CE53" s="553"/>
      <c r="CF53" s="562">
        <v>-1</v>
      </c>
      <c r="CG53" s="553"/>
      <c r="CH53" s="554"/>
      <c r="CI53" s="553"/>
      <c r="CJ53" s="562">
        <v>5</v>
      </c>
      <c r="CK53" s="553"/>
      <c r="CL53" s="554"/>
      <c r="CM53" s="553"/>
      <c r="CN53" s="562">
        <v>6</v>
      </c>
      <c r="CO53" s="553"/>
      <c r="CP53" s="554"/>
      <c r="CQ53" s="553"/>
      <c r="CR53" s="2740">
        <v>7</v>
      </c>
      <c r="CS53" s="562"/>
      <c r="CT53" s="562"/>
      <c r="CU53" s="562">
        <f>segqtrSales!$F$339</f>
        <v>6.5503532306232861</v>
      </c>
      <c r="CV53" s="2740">
        <v>1</v>
      </c>
      <c r="CW53" s="553"/>
      <c r="CX53" s="563"/>
      <c r="CY53" s="563">
        <f>segqtrSales!$F$339</f>
        <v>6.5503532306232861</v>
      </c>
      <c r="CZ53" s="2753">
        <v>6</v>
      </c>
      <c r="DA53" s="553"/>
      <c r="DB53" s="563"/>
      <c r="DC53" s="563">
        <f>segqtrSales!$F$339</f>
        <v>6.5503532306232861</v>
      </c>
      <c r="DD53" s="2753">
        <v>5</v>
      </c>
      <c r="DE53" s="2753">
        <v>7</v>
      </c>
      <c r="DF53" s="553"/>
      <c r="DG53" s="563"/>
      <c r="DH53" s="563">
        <f>segqtrSales!$F$339</f>
        <v>6.5503532306232861</v>
      </c>
      <c r="DI53" s="2753">
        <v>3</v>
      </c>
      <c r="DJ53" s="2753">
        <v>6</v>
      </c>
      <c r="DK53" s="553"/>
      <c r="DL53" s="553"/>
      <c r="DM53" s="563"/>
      <c r="DN53" s="563">
        <f>segqtrSales!$F$339</f>
        <v>6.5503532306232861</v>
      </c>
      <c r="DO53" s="2753">
        <v>2</v>
      </c>
      <c r="DP53" s="2753">
        <v>5</v>
      </c>
      <c r="DQ53" s="553"/>
      <c r="DR53" s="553"/>
      <c r="DS53" s="563"/>
      <c r="DT53" s="563">
        <f>segqtrSales!$F$339</f>
        <v>6.5503532306232861</v>
      </c>
      <c r="DU53" s="2540">
        <f>segqtrSales!F381</f>
        <v>1.1554187042704904</v>
      </c>
      <c r="DV53" s="563">
        <f>DU53+2</f>
        <v>3.1554187042704904</v>
      </c>
      <c r="DW53" s="553"/>
      <c r="DX53" s="405">
        <f t="shared" ref="DX53" si="48">DJ53+DP53</f>
        <v>11</v>
      </c>
      <c r="DY53" s="405">
        <f t="shared" ref="DY53" si="49">DV53+DP53</f>
        <v>8.15541870427049</v>
      </c>
      <c r="DZ53" s="141"/>
      <c r="EA53" s="141"/>
      <c r="EB53" s="141"/>
      <c r="EC53" s="141"/>
      <c r="ED53" s="141"/>
      <c r="EE53" s="141"/>
      <c r="EF53" s="141"/>
      <c r="EG53" s="141"/>
      <c r="EH53" s="141"/>
      <c r="EI53" s="141"/>
      <c r="EJ53" s="141"/>
      <c r="EK53" s="141"/>
    </row>
    <row r="54" spans="1:149">
      <c r="A54" s="168"/>
      <c r="B54" s="168"/>
      <c r="C54" s="168"/>
      <c r="D54" s="168"/>
      <c r="E54" s="168"/>
      <c r="F54" s="168"/>
      <c r="G54" s="168"/>
      <c r="H54" s="168"/>
      <c r="I54" s="168"/>
      <c r="J54" s="168"/>
      <c r="K54" s="168"/>
      <c r="L54" s="168"/>
      <c r="M54" s="168"/>
      <c r="N54" s="168"/>
      <c r="O54" s="168"/>
      <c r="P54" s="168"/>
      <c r="Q54" s="168"/>
      <c r="R54" s="168"/>
      <c r="S54" s="168"/>
      <c r="T54" s="168"/>
      <c r="U54" s="168"/>
      <c r="V54" s="168"/>
      <c r="W54" s="168"/>
      <c r="X54" s="168"/>
      <c r="Y54" s="168"/>
      <c r="Z54" s="168"/>
      <c r="AA54" s="168"/>
      <c r="AB54" s="168"/>
      <c r="AC54" s="168"/>
      <c r="AD54" s="168"/>
      <c r="AE54" s="168"/>
      <c r="AF54" s="168"/>
      <c r="AG54" s="168"/>
      <c r="AH54" s="168"/>
      <c r="AI54" s="168"/>
      <c r="AJ54" s="168"/>
      <c r="AK54" s="168"/>
      <c r="AL54" s="168"/>
      <c r="AM54" s="168"/>
      <c r="AN54" s="168"/>
      <c r="AO54" s="168"/>
      <c r="AP54" s="168"/>
      <c r="AQ54" s="168"/>
      <c r="AR54" s="224"/>
      <c r="AS54" s="168"/>
      <c r="AT54" s="168"/>
      <c r="AU54" s="168"/>
      <c r="AV54" s="168"/>
      <c r="AW54" s="168"/>
      <c r="AX54" s="168"/>
      <c r="AY54" s="168"/>
      <c r="AZ54" s="168"/>
      <c r="BA54" s="168"/>
      <c r="BB54" s="168"/>
      <c r="BC54" s="168"/>
      <c r="BD54" s="168"/>
      <c r="BE54" s="168"/>
      <c r="BF54" s="168"/>
      <c r="BG54" s="168"/>
      <c r="BH54" s="168"/>
      <c r="BI54" s="168"/>
      <c r="BJ54" s="168"/>
      <c r="BK54" s="168"/>
      <c r="BL54" s="168"/>
      <c r="BM54" s="168"/>
      <c r="BN54" s="168"/>
      <c r="BO54" s="168"/>
      <c r="BP54" s="168"/>
      <c r="BQ54" s="168"/>
      <c r="BR54" s="168"/>
      <c r="BS54" s="168"/>
      <c r="BT54" s="168"/>
      <c r="BU54" s="168"/>
      <c r="BV54" s="168"/>
      <c r="BW54" s="168"/>
      <c r="BX54" s="168"/>
      <c r="BY54" s="168"/>
      <c r="BZ54" s="168"/>
      <c r="CA54" s="168"/>
      <c r="CB54" s="168"/>
      <c r="CC54" s="168"/>
      <c r="CD54" s="168"/>
      <c r="CE54" s="168"/>
      <c r="CF54" s="168"/>
      <c r="CG54" s="168"/>
      <c r="CH54" s="168"/>
      <c r="CI54" s="168"/>
      <c r="CJ54" s="168"/>
      <c r="CK54" s="168"/>
      <c r="CL54" s="168"/>
      <c r="CM54" s="168"/>
      <c r="CN54" s="168"/>
      <c r="CO54" s="168"/>
      <c r="CP54" s="168"/>
      <c r="CQ54" s="168"/>
      <c r="CR54" s="168"/>
      <c r="CS54" s="168"/>
      <c r="CT54" s="168"/>
      <c r="CU54" s="168"/>
      <c r="CV54" s="2375"/>
      <c r="CW54" s="168"/>
      <c r="CX54" s="168"/>
      <c r="CY54" s="168"/>
      <c r="CZ54" s="2375"/>
      <c r="DA54" s="168"/>
      <c r="DB54" s="168"/>
      <c r="DC54" s="168"/>
      <c r="DF54" s="168"/>
      <c r="DG54" s="168"/>
      <c r="DH54" s="168"/>
      <c r="DI54" s="2524"/>
      <c r="DJ54" s="2524"/>
      <c r="DK54" s="168"/>
      <c r="DL54" s="168"/>
      <c r="DM54" s="168"/>
      <c r="DN54" s="168"/>
      <c r="DO54" s="2524"/>
      <c r="DP54" s="2524"/>
      <c r="DQ54" s="168"/>
      <c r="DR54" s="168"/>
      <c r="DS54" s="168"/>
      <c r="DT54" s="168"/>
      <c r="DU54" s="2524"/>
      <c r="DV54" s="2524"/>
      <c r="DW54" s="168"/>
      <c r="DX54" s="405"/>
      <c r="DY54" s="405"/>
      <c r="DZ54" s="168"/>
      <c r="EA54" s="168"/>
      <c r="EB54" s="168"/>
      <c r="EC54" s="168"/>
      <c r="ED54" s="168"/>
      <c r="EE54" s="168"/>
      <c r="EF54" s="168"/>
      <c r="EG54" s="168"/>
      <c r="EH54" s="168"/>
      <c r="EI54" s="168"/>
      <c r="EJ54" s="168"/>
      <c r="EK54" s="168"/>
    </row>
    <row r="55" spans="1:149" hidden="1" outlineLevel="1">
      <c r="A55" s="215" t="s">
        <v>954</v>
      </c>
      <c r="B55" s="168"/>
      <c r="C55" s="168"/>
      <c r="D55" s="168"/>
      <c r="E55" s="168"/>
      <c r="F55" s="168"/>
      <c r="G55" s="168"/>
      <c r="H55" s="168"/>
      <c r="I55" s="168"/>
      <c r="J55" s="168"/>
      <c r="K55" s="168"/>
      <c r="L55" s="168"/>
      <c r="M55" s="168"/>
      <c r="N55" s="168"/>
      <c r="O55" s="168"/>
      <c r="P55" s="168"/>
      <c r="Q55" s="168"/>
      <c r="R55" s="168"/>
      <c r="S55" s="168"/>
      <c r="T55" s="168"/>
      <c r="U55" s="168"/>
      <c r="V55" s="168"/>
      <c r="W55" s="168"/>
      <c r="X55" s="168"/>
      <c r="Y55" s="168"/>
      <c r="Z55" s="168"/>
      <c r="AA55" s="168"/>
      <c r="AB55" s="168"/>
      <c r="AC55" s="168"/>
      <c r="AD55" s="168"/>
      <c r="AE55" s="168"/>
      <c r="AF55" s="168"/>
      <c r="AG55" s="168"/>
      <c r="AH55" s="168"/>
      <c r="AI55" s="168"/>
      <c r="AJ55" s="168"/>
      <c r="AK55" s="168"/>
      <c r="AL55" s="168"/>
      <c r="AM55" s="168"/>
      <c r="AN55" s="168"/>
      <c r="AO55" s="168"/>
      <c r="AP55" s="168"/>
      <c r="AQ55" s="168"/>
      <c r="AR55" s="224"/>
      <c r="AS55" s="168"/>
      <c r="AT55" s="168"/>
      <c r="AU55" s="168"/>
      <c r="AV55" s="168"/>
      <c r="AW55" s="168"/>
      <c r="AX55" s="168"/>
      <c r="AY55" s="168"/>
      <c r="AZ55" s="168"/>
      <c r="BA55" s="168"/>
      <c r="BB55" s="168"/>
      <c r="BC55" s="168"/>
      <c r="BD55" s="168"/>
      <c r="BE55" s="168"/>
      <c r="BF55" s="168"/>
      <c r="BG55" s="168"/>
      <c r="BH55" s="168"/>
      <c r="BI55" s="168"/>
      <c r="BJ55" s="168"/>
      <c r="BK55" s="168"/>
      <c r="BL55" s="168"/>
      <c r="BM55" s="168"/>
      <c r="BN55" s="168"/>
      <c r="BO55" s="168"/>
      <c r="BP55" s="168"/>
      <c r="BQ55" s="168"/>
      <c r="BR55" s="168"/>
      <c r="BS55" s="168"/>
      <c r="BT55" s="168"/>
      <c r="BU55" s="168"/>
      <c r="BV55" s="168"/>
      <c r="BW55" s="168"/>
      <c r="BX55" s="168"/>
      <c r="BY55" s="168"/>
      <c r="BZ55" s="168"/>
      <c r="CA55" s="168"/>
      <c r="CB55" s="168"/>
      <c r="CC55" s="168"/>
      <c r="CD55" s="168"/>
      <c r="CE55" s="168"/>
      <c r="CF55" s="168"/>
      <c r="CG55" s="168"/>
      <c r="CH55" s="168"/>
      <c r="CI55" s="168"/>
      <c r="CJ55" s="168"/>
      <c r="CK55" s="168"/>
      <c r="CL55" s="168"/>
      <c r="CM55" s="168"/>
      <c r="CN55" s="168"/>
      <c r="CO55" s="168"/>
      <c r="CP55" s="168"/>
      <c r="CQ55" s="168"/>
      <c r="CR55" s="168"/>
      <c r="CS55" s="168"/>
      <c r="CT55" s="168"/>
      <c r="CU55" s="168"/>
      <c r="CV55" s="2375"/>
      <c r="CW55" s="168"/>
      <c r="CX55" s="168"/>
      <c r="CY55" s="168"/>
      <c r="DA55" s="168"/>
      <c r="DB55" s="168"/>
      <c r="DC55" s="168"/>
      <c r="DF55" s="168"/>
      <c r="DG55" s="168"/>
      <c r="DH55" s="168"/>
      <c r="DI55" s="2524"/>
      <c r="DJ55" s="2524"/>
      <c r="DK55" s="168"/>
      <c r="DL55" s="168"/>
      <c r="DM55" s="168"/>
      <c r="DN55" s="168"/>
      <c r="DO55" s="2524"/>
      <c r="DP55" s="2524"/>
      <c r="DQ55" s="168"/>
      <c r="DR55" s="168"/>
      <c r="DS55" s="168"/>
      <c r="DT55" s="168"/>
      <c r="DU55" s="2524"/>
      <c r="DV55" s="2524"/>
      <c r="DW55" s="168"/>
      <c r="DX55" s="405">
        <f t="shared" ref="DX55:DX77" si="50">DI55+DD55</f>
        <v>0</v>
      </c>
      <c r="DY55" s="405"/>
      <c r="DZ55" s="168"/>
      <c r="EA55" s="168"/>
      <c r="EB55" s="168"/>
      <c r="EC55" s="168"/>
      <c r="ED55" s="168"/>
      <c r="EE55" s="168"/>
      <c r="EF55" s="168"/>
      <c r="EG55" s="168"/>
      <c r="EH55" s="168"/>
      <c r="EI55" s="168"/>
      <c r="EJ55" s="168"/>
      <c r="EK55" s="168"/>
    </row>
    <row r="56" spans="1:149" hidden="1" outlineLevel="1">
      <c r="A56" s="168"/>
      <c r="B56" s="168"/>
      <c r="C56" s="168"/>
      <c r="D56" s="168"/>
      <c r="E56" s="168"/>
      <c r="F56" s="168"/>
      <c r="G56" s="168"/>
      <c r="H56" s="168"/>
      <c r="I56" s="168"/>
      <c r="J56" s="168"/>
      <c r="K56" s="168"/>
      <c r="L56" s="168"/>
      <c r="M56" s="168"/>
      <c r="N56" s="168"/>
      <c r="O56" s="168"/>
      <c r="P56" s="168"/>
      <c r="Q56" s="168"/>
      <c r="R56" s="168"/>
      <c r="S56" s="168"/>
      <c r="T56" s="168"/>
      <c r="U56" s="168"/>
      <c r="V56" s="168"/>
      <c r="W56" s="168"/>
      <c r="X56" s="168"/>
      <c r="Y56" s="168"/>
      <c r="Z56" s="168"/>
      <c r="AA56" s="168"/>
      <c r="AB56" s="168"/>
      <c r="AC56" s="168"/>
      <c r="AD56" s="168"/>
      <c r="AE56" s="168"/>
      <c r="AF56" s="168"/>
      <c r="AG56" s="168"/>
      <c r="AH56" s="168"/>
      <c r="AI56" s="168"/>
      <c r="AJ56" s="168"/>
      <c r="AK56" s="168"/>
      <c r="AL56" s="168"/>
      <c r="AM56" s="168"/>
      <c r="AN56" s="168"/>
      <c r="AO56" s="168"/>
      <c r="AP56" s="168"/>
      <c r="AQ56" s="168"/>
      <c r="AR56" s="224"/>
      <c r="AS56" s="168"/>
      <c r="AT56" s="168"/>
      <c r="AU56" s="168"/>
      <c r="AV56" s="168"/>
      <c r="AW56" s="168"/>
      <c r="AX56" s="168"/>
      <c r="AY56" s="168"/>
      <c r="AZ56" s="168"/>
      <c r="BA56" s="168"/>
      <c r="BB56" s="168"/>
      <c r="BC56" s="168"/>
      <c r="BD56" s="168"/>
      <c r="BE56" s="168"/>
      <c r="BF56" s="168"/>
      <c r="BG56" s="168"/>
      <c r="BH56" s="168"/>
      <c r="BI56" s="168"/>
      <c r="BJ56" s="168"/>
      <c r="BK56" s="168"/>
      <c r="BL56" s="168"/>
      <c r="BM56" s="168"/>
      <c r="BN56" s="168"/>
      <c r="BO56" s="168"/>
      <c r="BP56" s="168"/>
      <c r="BQ56" s="168"/>
      <c r="BR56" s="168"/>
      <c r="BS56" s="168"/>
      <c r="BT56" s="168"/>
      <c r="BU56" s="168"/>
      <c r="BV56" s="168"/>
      <c r="BW56" s="168"/>
      <c r="BX56" s="168" t="s">
        <v>117</v>
      </c>
      <c r="BY56" s="168"/>
      <c r="BZ56" s="168"/>
      <c r="CA56" s="168"/>
      <c r="CB56" s="168"/>
      <c r="CC56" s="168"/>
      <c r="CD56" s="168"/>
      <c r="CE56" s="168"/>
      <c r="CF56" s="168"/>
      <c r="CG56" s="168"/>
      <c r="CH56" s="168"/>
      <c r="CI56" s="168"/>
      <c r="CJ56" s="168"/>
      <c r="CK56" s="168"/>
      <c r="CL56" s="168"/>
      <c r="CM56" s="168"/>
      <c r="CN56" s="168"/>
      <c r="CO56" s="168"/>
      <c r="CP56" s="168"/>
      <c r="CQ56" s="168"/>
      <c r="CR56" s="168"/>
      <c r="CS56" s="168"/>
      <c r="CT56" s="168"/>
      <c r="CU56" s="168"/>
      <c r="CV56" s="2375"/>
      <c r="CW56" s="168"/>
      <c r="CX56" s="168"/>
      <c r="CY56" s="168"/>
      <c r="DA56" s="168"/>
      <c r="DB56" s="168"/>
      <c r="DC56" s="168"/>
      <c r="DF56" s="168"/>
      <c r="DG56" s="168"/>
      <c r="DH56" s="168"/>
      <c r="DI56" s="2524"/>
      <c r="DJ56" s="2524"/>
      <c r="DK56" s="168"/>
      <c r="DL56" s="168"/>
      <c r="DM56" s="168"/>
      <c r="DN56" s="168"/>
      <c r="DO56" s="2524"/>
      <c r="DP56" s="2524"/>
      <c r="DQ56" s="168"/>
      <c r="DR56" s="168"/>
      <c r="DS56" s="168"/>
      <c r="DT56" s="168"/>
      <c r="DU56" s="2524"/>
      <c r="DV56" s="2524"/>
      <c r="DW56" s="168"/>
      <c r="DX56" s="405">
        <f t="shared" si="50"/>
        <v>0</v>
      </c>
      <c r="DY56" s="405"/>
      <c r="DZ56" s="168"/>
      <c r="EA56" s="168"/>
      <c r="EB56" s="168"/>
      <c r="EC56" s="168"/>
      <c r="ED56" s="168"/>
      <c r="EE56" s="168"/>
      <c r="EF56" s="168"/>
      <c r="EG56" s="168"/>
      <c r="EH56" s="168"/>
      <c r="EI56" s="424">
        <f t="shared" ref="EI56:EN56" si="51">+EJ33</f>
        <v>2009</v>
      </c>
      <c r="EJ56" s="424">
        <f t="shared" si="51"/>
        <v>2010</v>
      </c>
      <c r="EK56" s="424">
        <f t="shared" si="51"/>
        <v>2011</v>
      </c>
      <c r="EL56" s="424">
        <f t="shared" si="51"/>
        <v>2012</v>
      </c>
      <c r="EM56" s="424">
        <f t="shared" si="51"/>
        <v>2013</v>
      </c>
      <c r="EN56" s="424">
        <f t="shared" si="51"/>
        <v>2014</v>
      </c>
    </row>
    <row r="57" spans="1:149" hidden="1" outlineLevel="1">
      <c r="A57" s="31" t="s">
        <v>828</v>
      </c>
      <c r="B57" s="24"/>
      <c r="C57" s="24"/>
      <c r="D57" s="120">
        <v>4</v>
      </c>
      <c r="E57" s="24"/>
      <c r="F57" s="286"/>
      <c r="G57" s="24"/>
      <c r="H57" s="176"/>
      <c r="I57" s="24" t="s">
        <v>1084</v>
      </c>
      <c r="J57" s="286" t="str">
        <f>J34</f>
        <v>3/2</v>
      </c>
      <c r="K57" s="24"/>
      <c r="L57" s="176"/>
      <c r="M57" s="24" t="s">
        <v>1084</v>
      </c>
      <c r="N57" s="286" t="str">
        <f>N34</f>
        <v xml:space="preserve"> 2/29</v>
      </c>
      <c r="O57" s="24"/>
      <c r="P57" s="176"/>
      <c r="Q57" s="24" t="s">
        <v>1084</v>
      </c>
      <c r="R57" s="286" t="str">
        <f>R34</f>
        <v xml:space="preserve"> 2/27</v>
      </c>
      <c r="S57" s="24"/>
      <c r="T57" s="228">
        <v>44</v>
      </c>
      <c r="U57" s="24" t="s">
        <v>1084</v>
      </c>
      <c r="V57" s="286" t="str">
        <f>V34</f>
        <v>2/28</v>
      </c>
      <c r="W57" s="24"/>
      <c r="X57" s="228">
        <v>40</v>
      </c>
      <c r="Y57" s="24" t="s">
        <v>1084</v>
      </c>
      <c r="Z57" s="286" t="str">
        <f>Z34</f>
        <v>2/25</v>
      </c>
      <c r="AA57" s="24"/>
      <c r="AB57" s="228">
        <v>32</v>
      </c>
      <c r="AC57" s="168" t="s">
        <v>1084</v>
      </c>
      <c r="AD57" s="286" t="str">
        <f>AD34</f>
        <v>3/2</v>
      </c>
      <c r="AE57" s="24"/>
      <c r="AF57" s="228">
        <v>7</v>
      </c>
      <c r="AG57" s="24" t="s">
        <v>1084</v>
      </c>
      <c r="AH57" s="286" t="str">
        <f>AH34</f>
        <v>3/2</v>
      </c>
      <c r="AI57" s="24"/>
      <c r="AJ57" s="228">
        <v>12</v>
      </c>
      <c r="AK57" s="24" t="s">
        <v>1084</v>
      </c>
      <c r="AL57" s="286" t="str">
        <f>AL34</f>
        <v>2/28</v>
      </c>
      <c r="AM57" s="24"/>
      <c r="AN57" s="228">
        <v>-3</v>
      </c>
      <c r="AO57" s="24" t="s">
        <v>1084</v>
      </c>
      <c r="AP57" s="286" t="str">
        <f>AP34</f>
        <v>2/27</v>
      </c>
      <c r="AQ57" s="168"/>
      <c r="AR57" s="228">
        <v>12</v>
      </c>
      <c r="AS57" s="168" t="s">
        <v>1084</v>
      </c>
      <c r="AT57" s="286" t="str">
        <f>AT34</f>
        <v>2/26</v>
      </c>
      <c r="AU57" s="24"/>
      <c r="AV57" s="228">
        <v>11</v>
      </c>
      <c r="AW57" s="24" t="s">
        <v>1084</v>
      </c>
      <c r="AX57" s="286" t="str">
        <f>AX34</f>
        <v>3/3</v>
      </c>
      <c r="AY57" s="24"/>
      <c r="AZ57" s="228"/>
      <c r="BA57" s="24"/>
      <c r="BB57" s="286"/>
      <c r="BC57" s="24"/>
      <c r="BD57" s="228"/>
      <c r="BE57" s="24"/>
      <c r="BF57" s="408"/>
      <c r="BG57" s="24"/>
      <c r="BH57" s="228"/>
      <c r="BI57" s="24"/>
      <c r="BJ57" s="408"/>
      <c r="BK57" s="24"/>
      <c r="BL57" s="228"/>
      <c r="BM57" s="24"/>
      <c r="BN57" s="408"/>
      <c r="BO57" s="24"/>
      <c r="BP57" s="228"/>
      <c r="BQ57" s="24"/>
      <c r="BR57" s="408"/>
      <c r="BS57" s="24"/>
      <c r="BT57" s="228"/>
      <c r="BU57" s="24"/>
      <c r="BV57" s="408"/>
      <c r="BW57" s="24"/>
      <c r="BX57" s="228">
        <v>1</v>
      </c>
      <c r="BY57" s="24"/>
      <c r="BZ57" s="408"/>
      <c r="CA57" s="24"/>
      <c r="CB57" s="228">
        <v>1</v>
      </c>
      <c r="CC57" s="24"/>
      <c r="CD57" s="408"/>
      <c r="CE57" s="24"/>
      <c r="CF57" s="228">
        <v>-12</v>
      </c>
      <c r="CG57" s="24"/>
      <c r="CH57" s="408"/>
      <c r="CI57" s="24"/>
      <c r="CJ57" s="228">
        <v>1</v>
      </c>
      <c r="CK57" s="24"/>
      <c r="CL57" s="408"/>
      <c r="CM57" s="24"/>
      <c r="CN57" s="228">
        <v>-3</v>
      </c>
      <c r="CO57" s="24"/>
      <c r="CP57" s="1165">
        <v>41336</v>
      </c>
      <c r="CQ57" s="24"/>
      <c r="CR57" s="228">
        <v>1</v>
      </c>
      <c r="CS57" s="24"/>
      <c r="CT57" s="408">
        <v>41335</v>
      </c>
      <c r="CU57" s="405"/>
      <c r="CV57" s="2708">
        <v>5</v>
      </c>
      <c r="CW57" s="24"/>
      <c r="CX57" s="408">
        <v>41334</v>
      </c>
      <c r="CY57" s="405"/>
      <c r="CZ57" s="1234">
        <v>3</v>
      </c>
      <c r="DA57" s="24"/>
      <c r="DB57" s="408">
        <v>41334</v>
      </c>
      <c r="DC57" s="405"/>
      <c r="DD57" s="1234">
        <v>3</v>
      </c>
      <c r="DE57" s="1234"/>
      <c r="DF57" s="24"/>
      <c r="DG57" s="408">
        <v>41334</v>
      </c>
      <c r="DH57" s="405"/>
      <c r="DI57">
        <v>3</v>
      </c>
      <c r="DK57" s="24"/>
      <c r="DL57" s="24"/>
      <c r="DM57" s="408">
        <v>41334</v>
      </c>
      <c r="DN57" s="405"/>
      <c r="DO57">
        <v>3</v>
      </c>
      <c r="DQ57" s="24"/>
      <c r="DR57" s="24"/>
      <c r="DS57" s="408">
        <v>41334</v>
      </c>
      <c r="DT57" s="405"/>
      <c r="DU57" s="2702">
        <v>3</v>
      </c>
      <c r="DW57" s="24"/>
      <c r="DX57" s="405">
        <f t="shared" si="50"/>
        <v>6</v>
      </c>
      <c r="DY57" s="405"/>
      <c r="DZ57" s="168"/>
      <c r="EA57" s="168"/>
      <c r="EB57" s="168"/>
      <c r="EC57" s="168"/>
      <c r="ED57" s="168"/>
      <c r="EE57" s="168"/>
      <c r="EF57" s="168"/>
      <c r="EG57" s="168"/>
      <c r="EH57" s="168"/>
      <c r="EI57" s="425">
        <f t="shared" ref="EI57:EJ59" si="52">EJ34</f>
        <v>0.31752508958288173</v>
      </c>
      <c r="EJ57" s="425">
        <f t="shared" si="52"/>
        <v>0.31069422893624121</v>
      </c>
      <c r="EK57" s="425">
        <f t="shared" ref="EK57:EL59" si="53">EL34</f>
        <v>0.30261287203025317</v>
      </c>
      <c r="EL57" s="425">
        <f t="shared" si="53"/>
        <v>0.30360518974976131</v>
      </c>
      <c r="EM57" s="425">
        <f t="shared" ref="EM57:EN59" si="54">EN34</f>
        <v>0.31424591782339178</v>
      </c>
      <c r="EN57" s="1152">
        <f t="shared" si="54"/>
        <v>0.31424591782339178</v>
      </c>
    </row>
    <row r="58" spans="1:149" hidden="1" outlineLevel="1">
      <c r="A58" s="31" t="s">
        <v>829</v>
      </c>
      <c r="B58" s="24"/>
      <c r="C58" s="24"/>
      <c r="D58" s="120">
        <v>5</v>
      </c>
      <c r="E58" s="24"/>
      <c r="F58" s="286"/>
      <c r="G58" s="24"/>
      <c r="H58" s="176"/>
      <c r="I58" s="24"/>
      <c r="J58" s="286" t="str">
        <f>J35</f>
        <v>4/6</v>
      </c>
      <c r="K58" s="24"/>
      <c r="L58" s="176"/>
      <c r="M58" s="24"/>
      <c r="N58" s="286" t="str">
        <f>N35</f>
        <v xml:space="preserve"> 4/4</v>
      </c>
      <c r="O58" s="24"/>
      <c r="P58" s="176"/>
      <c r="Q58" s="24"/>
      <c r="R58" s="286" t="str">
        <f>R35</f>
        <v xml:space="preserve"> 4/3</v>
      </c>
      <c r="S58" s="24"/>
      <c r="T58" s="228">
        <v>43</v>
      </c>
      <c r="U58" s="24"/>
      <c r="V58" s="286" t="str">
        <f>V35</f>
        <v>4/2</v>
      </c>
      <c r="W58" s="24"/>
      <c r="X58" s="228">
        <v>53</v>
      </c>
      <c r="Y58" s="24"/>
      <c r="Z58" s="286" t="str">
        <f>Z35</f>
        <v>4/1</v>
      </c>
      <c r="AA58" s="24"/>
      <c r="AB58" s="228">
        <v>19</v>
      </c>
      <c r="AC58" s="168"/>
      <c r="AD58" s="286" t="str">
        <f>AD35</f>
        <v>4/6</v>
      </c>
      <c r="AE58" s="24"/>
      <c r="AF58" s="228">
        <v>27</v>
      </c>
      <c r="AG58" s="24"/>
      <c r="AH58" s="286" t="str">
        <f>AH35</f>
        <v>4/5</v>
      </c>
      <c r="AI58" s="24"/>
      <c r="AJ58" s="228">
        <v>2</v>
      </c>
      <c r="AK58" s="24"/>
      <c r="AL58" s="286" t="str">
        <f>AL35</f>
        <v>4/4</v>
      </c>
      <c r="AM58" s="24"/>
      <c r="AN58" s="228">
        <v>-2</v>
      </c>
      <c r="AO58" s="24"/>
      <c r="AP58" s="286" t="str">
        <f>AP35</f>
        <v>4/3</v>
      </c>
      <c r="AQ58" s="168"/>
      <c r="AR58" s="228">
        <v>20</v>
      </c>
      <c r="AS58" s="168"/>
      <c r="AT58" s="286" t="str">
        <f>AT35</f>
        <v>4/1</v>
      </c>
      <c r="AU58" s="24"/>
      <c r="AV58" s="228">
        <v>-5</v>
      </c>
      <c r="AW58" s="24"/>
      <c r="AX58" s="286" t="str">
        <f>AX35</f>
        <v>4/7</v>
      </c>
      <c r="AY58" s="24"/>
      <c r="AZ58" s="228"/>
      <c r="BA58" s="24"/>
      <c r="BB58" s="286"/>
      <c r="BC58" s="24"/>
      <c r="BD58" s="228"/>
      <c r="BE58" s="24"/>
      <c r="BF58" s="408"/>
      <c r="BG58" s="24"/>
      <c r="BH58" s="228"/>
      <c r="BI58" s="24"/>
      <c r="BJ58" s="408"/>
      <c r="BK58" s="24"/>
      <c r="BL58" s="228"/>
      <c r="BM58" s="24"/>
      <c r="BN58" s="408"/>
      <c r="BO58" s="24"/>
      <c r="BP58" s="228"/>
      <c r="BQ58" s="24"/>
      <c r="BR58" s="408"/>
      <c r="BS58" s="24"/>
      <c r="BT58" s="228"/>
      <c r="BU58" s="24"/>
      <c r="BV58" s="408"/>
      <c r="BW58" s="24"/>
      <c r="BX58" s="228">
        <v>9</v>
      </c>
      <c r="BY58" s="24"/>
      <c r="BZ58" s="408"/>
      <c r="CA58" s="24"/>
      <c r="CB58" s="228">
        <v>-4</v>
      </c>
      <c r="CC58" s="24"/>
      <c r="CD58" s="408"/>
      <c r="CE58" s="24"/>
      <c r="CF58" s="228">
        <v>-12</v>
      </c>
      <c r="CG58" s="24"/>
      <c r="CH58" s="408"/>
      <c r="CI58" s="24"/>
      <c r="CJ58" s="228">
        <v>3</v>
      </c>
      <c r="CK58" s="24"/>
      <c r="CL58" s="408"/>
      <c r="CM58" s="24"/>
      <c r="CN58" s="228">
        <v>-7</v>
      </c>
      <c r="CO58" s="24"/>
      <c r="CP58" s="1165">
        <v>41371</v>
      </c>
      <c r="CQ58" s="24"/>
      <c r="CR58" s="228">
        <v>1</v>
      </c>
      <c r="CS58" s="24"/>
      <c r="CT58" s="408">
        <v>41370</v>
      </c>
      <c r="CU58" s="405"/>
      <c r="CV58" s="2708">
        <v>7</v>
      </c>
      <c r="CW58" s="24"/>
      <c r="CX58" s="408">
        <v>41369</v>
      </c>
      <c r="CY58" s="405"/>
      <c r="CZ58" s="1234">
        <v>-3</v>
      </c>
      <c r="DA58" s="24"/>
      <c r="DB58" s="408">
        <v>41369</v>
      </c>
      <c r="DC58" s="405"/>
      <c r="DD58" s="1234">
        <v>-3</v>
      </c>
      <c r="DE58" s="1234"/>
      <c r="DF58" s="24"/>
      <c r="DG58" s="408">
        <v>41369</v>
      </c>
      <c r="DH58" s="405"/>
      <c r="DI58">
        <v>-3</v>
      </c>
      <c r="DK58" s="24"/>
      <c r="DL58" s="24"/>
      <c r="DM58" s="408">
        <v>41369</v>
      </c>
      <c r="DN58" s="405"/>
      <c r="DO58">
        <v>-3</v>
      </c>
      <c r="DQ58" s="24"/>
      <c r="DR58" s="24"/>
      <c r="DS58" s="408">
        <v>41369</v>
      </c>
      <c r="DT58" s="405"/>
      <c r="DU58" s="2702">
        <v>-3</v>
      </c>
      <c r="DW58" s="24"/>
      <c r="DX58" s="405">
        <f t="shared" si="50"/>
        <v>-6</v>
      </c>
      <c r="DY58" s="405"/>
      <c r="DZ58" s="168"/>
      <c r="EA58" s="168"/>
      <c r="EB58" s="168"/>
      <c r="EC58" s="168"/>
      <c r="ED58" s="168"/>
      <c r="EE58" s="168"/>
      <c r="EF58" s="168"/>
      <c r="EG58" s="168"/>
      <c r="EH58" s="168"/>
      <c r="EI58" s="425">
        <f t="shared" si="52"/>
        <v>0.37456135978177835</v>
      </c>
      <c r="EJ58" s="425">
        <f t="shared" si="52"/>
        <v>0.38669808297363528</v>
      </c>
      <c r="EK58" s="425">
        <f t="shared" si="53"/>
        <v>0.38926055829797063</v>
      </c>
      <c r="EL58" s="425">
        <f t="shared" si="53"/>
        <v>0.39042912381185851</v>
      </c>
      <c r="EM58" s="425">
        <f t="shared" si="54"/>
        <v>0.39453802058141002</v>
      </c>
      <c r="EN58" s="1152">
        <f t="shared" si="54"/>
        <v>0.39453802058141002</v>
      </c>
    </row>
    <row r="59" spans="1:149" hidden="1" outlineLevel="1">
      <c r="A59" s="31" t="s">
        <v>830</v>
      </c>
      <c r="B59" s="24"/>
      <c r="C59" s="24"/>
      <c r="D59" s="120">
        <v>4</v>
      </c>
      <c r="E59" s="24"/>
      <c r="F59" s="286"/>
      <c r="G59" s="24"/>
      <c r="H59" s="175"/>
      <c r="I59" s="24"/>
      <c r="J59" s="286" t="str">
        <f>J36</f>
        <v>5/4</v>
      </c>
      <c r="K59" s="24"/>
      <c r="L59" s="175"/>
      <c r="M59" s="24"/>
      <c r="N59" s="286" t="str">
        <f>N36</f>
        <v xml:space="preserve"> 5/2</v>
      </c>
      <c r="O59" s="24"/>
      <c r="P59" s="175"/>
      <c r="Q59" s="24"/>
      <c r="R59" s="286" t="str">
        <f>R36</f>
        <v xml:space="preserve"> 5/1</v>
      </c>
      <c r="S59" s="24"/>
      <c r="T59" s="284">
        <v>43</v>
      </c>
      <c r="U59" s="24"/>
      <c r="V59" s="286" t="str">
        <f>V36</f>
        <v>4/30</v>
      </c>
      <c r="W59" s="24"/>
      <c r="X59" s="284">
        <v>32</v>
      </c>
      <c r="Y59" s="24"/>
      <c r="Z59" s="286" t="str">
        <f>Z36</f>
        <v>4/29</v>
      </c>
      <c r="AA59" s="24"/>
      <c r="AB59" s="284">
        <v>37</v>
      </c>
      <c r="AC59" s="168"/>
      <c r="AD59" s="286" t="str">
        <f>AD36</f>
        <v>4/29</v>
      </c>
      <c r="AE59" s="24"/>
      <c r="AF59" s="284">
        <v>1</v>
      </c>
      <c r="AG59" s="24"/>
      <c r="AH59" s="286" t="str">
        <f>AH36</f>
        <v>5/3</v>
      </c>
      <c r="AI59" s="24"/>
      <c r="AJ59" s="284">
        <v>28</v>
      </c>
      <c r="AK59" s="24"/>
      <c r="AL59" s="286" t="str">
        <f>AL36</f>
        <v>5/2</v>
      </c>
      <c r="AM59" s="24"/>
      <c r="AN59" s="284">
        <v>2</v>
      </c>
      <c r="AO59" s="24"/>
      <c r="AP59" s="286" t="str">
        <f>AP36</f>
        <v>5/1</v>
      </c>
      <c r="AQ59" s="168"/>
      <c r="AR59" s="284">
        <v>8</v>
      </c>
      <c r="AS59" s="150"/>
      <c r="AT59" s="286" t="str">
        <f>AT36</f>
        <v>4/29</v>
      </c>
      <c r="AU59" s="24"/>
      <c r="AV59" s="284">
        <v>15</v>
      </c>
      <c r="AW59" s="31"/>
      <c r="AX59" s="286" t="str">
        <f>AX36</f>
        <v>5/5</v>
      </c>
      <c r="AY59" s="24"/>
      <c r="AZ59" s="284"/>
      <c r="BA59" s="31"/>
      <c r="BB59" s="286"/>
      <c r="BC59" s="24"/>
      <c r="BD59" s="284"/>
      <c r="BE59" s="31"/>
      <c r="BF59" s="408"/>
      <c r="BG59" s="24"/>
      <c r="BH59" s="284"/>
      <c r="BI59" s="31"/>
      <c r="BJ59" s="408"/>
      <c r="BK59" s="24"/>
      <c r="BL59" s="284"/>
      <c r="BM59" s="31"/>
      <c r="BN59" s="408"/>
      <c r="BO59" s="24"/>
      <c r="BP59" s="284"/>
      <c r="BQ59" s="31"/>
      <c r="BR59" s="408"/>
      <c r="BS59" s="24"/>
      <c r="BT59" s="284"/>
      <c r="BU59" s="31"/>
      <c r="BV59" s="408"/>
      <c r="BW59" s="24"/>
      <c r="BX59" s="284">
        <v>4</v>
      </c>
      <c r="BY59" s="31"/>
      <c r="BZ59" s="408"/>
      <c r="CA59" s="24"/>
      <c r="CB59" s="284">
        <v>5</v>
      </c>
      <c r="CC59" s="31"/>
      <c r="CD59" s="408"/>
      <c r="CE59" s="24"/>
      <c r="CF59" s="284">
        <v>-19</v>
      </c>
      <c r="CG59" s="31"/>
      <c r="CH59" s="408"/>
      <c r="CI59" s="24"/>
      <c r="CJ59" s="284">
        <v>4</v>
      </c>
      <c r="CK59" s="31"/>
      <c r="CL59" s="408"/>
      <c r="CM59" s="24"/>
      <c r="CN59" s="284">
        <v>-1</v>
      </c>
      <c r="CO59" s="31"/>
      <c r="CP59" s="1165">
        <v>41399</v>
      </c>
      <c r="CQ59" s="24"/>
      <c r="CR59" s="284">
        <v>-5</v>
      </c>
      <c r="CS59" s="31"/>
      <c r="CT59" s="1156">
        <v>41398</v>
      </c>
      <c r="CU59" s="405"/>
      <c r="CV59" s="2739">
        <v>2</v>
      </c>
      <c r="CW59" s="31"/>
      <c r="CX59" s="1156">
        <v>41397</v>
      </c>
      <c r="CY59" s="405"/>
      <c r="CZ59" s="1235">
        <v>4</v>
      </c>
      <c r="DA59" s="31"/>
      <c r="DB59" s="1156">
        <v>41397</v>
      </c>
      <c r="DC59" s="405"/>
      <c r="DD59" s="1235">
        <v>4</v>
      </c>
      <c r="DE59" s="1234"/>
      <c r="DF59" s="31"/>
      <c r="DG59" s="1156">
        <v>41397</v>
      </c>
      <c r="DH59" s="405"/>
      <c r="DI59">
        <v>4</v>
      </c>
      <c r="DK59" s="31"/>
      <c r="DL59" s="31"/>
      <c r="DM59" s="1156">
        <v>41397</v>
      </c>
      <c r="DN59" s="405"/>
      <c r="DO59">
        <v>4</v>
      </c>
      <c r="DQ59" s="31"/>
      <c r="DR59" s="31"/>
      <c r="DS59" s="1156">
        <v>41397</v>
      </c>
      <c r="DT59" s="405"/>
      <c r="DU59" s="2702">
        <v>4</v>
      </c>
      <c r="DW59" s="31"/>
      <c r="DX59" s="405">
        <f t="shared" si="50"/>
        <v>8</v>
      </c>
      <c r="DY59" s="405"/>
      <c r="DZ59" s="168"/>
      <c r="EA59" s="168"/>
      <c r="EB59" s="168"/>
      <c r="EC59" s="168"/>
      <c r="ED59" s="168"/>
      <c r="EE59" s="168"/>
      <c r="EF59" s="168"/>
      <c r="EG59" s="168"/>
      <c r="EH59" s="168"/>
      <c r="EI59" s="427">
        <f t="shared" si="52"/>
        <v>0.30791355063533998</v>
      </c>
      <c r="EJ59" s="427">
        <f t="shared" si="52"/>
        <v>0.30260768809012351</v>
      </c>
      <c r="EK59" s="427">
        <f t="shared" si="53"/>
        <v>0.30812656967177615</v>
      </c>
      <c r="EL59" s="427">
        <f t="shared" si="53"/>
        <v>0.30596568643838024</v>
      </c>
      <c r="EM59" s="427">
        <f t="shared" si="54"/>
        <v>0.29121606159519825</v>
      </c>
      <c r="EN59" s="1153">
        <f t="shared" si="54"/>
        <v>0.29121606159519825</v>
      </c>
    </row>
    <row r="60" spans="1:149" hidden="1" outlineLevel="1">
      <c r="A60" s="116"/>
      <c r="B60" s="118" t="s">
        <v>921</v>
      </c>
      <c r="C60" s="116"/>
      <c r="D60" s="121"/>
      <c r="E60" s="116"/>
      <c r="F60" s="269"/>
      <c r="G60" s="116"/>
      <c r="H60" s="177"/>
      <c r="I60" s="116"/>
      <c r="J60" s="269"/>
      <c r="K60" s="116"/>
      <c r="L60" s="177"/>
      <c r="M60" s="116"/>
      <c r="N60" s="269"/>
      <c r="O60" s="116"/>
      <c r="P60" s="177"/>
      <c r="Q60" s="116"/>
      <c r="R60" s="269"/>
      <c r="S60" s="116"/>
      <c r="T60" s="353">
        <v>43</v>
      </c>
      <c r="U60" s="116"/>
      <c r="V60" s="269"/>
      <c r="W60" s="116"/>
      <c r="X60" s="353">
        <v>42</v>
      </c>
      <c r="Y60" s="116"/>
      <c r="Z60" s="269"/>
      <c r="AA60" s="116"/>
      <c r="AB60" s="353">
        <v>28</v>
      </c>
      <c r="AC60" s="245"/>
      <c r="AD60" s="269"/>
      <c r="AE60" s="116"/>
      <c r="AF60" s="353">
        <v>12</v>
      </c>
      <c r="AG60" s="116"/>
      <c r="AH60" s="269"/>
      <c r="AI60" s="116"/>
      <c r="AJ60" s="353">
        <v>13</v>
      </c>
      <c r="AK60" s="116"/>
      <c r="AL60" s="269"/>
      <c r="AM60" s="116"/>
      <c r="AN60" s="353">
        <v>-1</v>
      </c>
      <c r="AO60" s="116"/>
      <c r="AP60" s="269"/>
      <c r="AQ60" s="245"/>
      <c r="AR60" s="353">
        <v>13</v>
      </c>
      <c r="AS60" s="247"/>
      <c r="AT60" s="269"/>
      <c r="AU60" s="116"/>
      <c r="AV60" s="353">
        <v>6</v>
      </c>
      <c r="AW60" s="118"/>
      <c r="AX60" s="269"/>
      <c r="AY60" s="116"/>
      <c r="AZ60" s="353"/>
      <c r="BA60" s="118"/>
      <c r="BB60" s="269"/>
      <c r="BC60" s="116"/>
      <c r="BD60" s="353"/>
      <c r="BE60" s="118"/>
      <c r="BF60" s="409"/>
      <c r="BG60" s="116"/>
      <c r="BH60" s="353"/>
      <c r="BI60" s="118"/>
      <c r="BJ60" s="409"/>
      <c r="BK60" s="116"/>
      <c r="BL60" s="353"/>
      <c r="BM60" s="118"/>
      <c r="BN60" s="409"/>
      <c r="BO60" s="116"/>
      <c r="BP60" s="353"/>
      <c r="BQ60" s="118"/>
      <c r="BR60" s="409"/>
      <c r="BS60" s="116"/>
      <c r="BT60" s="353"/>
      <c r="BU60" s="118"/>
      <c r="BV60" s="409"/>
      <c r="BW60" s="116"/>
      <c r="BX60" s="353">
        <f>ROUND(AVERAGE(BX57:BX59),0)</f>
        <v>5</v>
      </c>
      <c r="BY60" s="118"/>
      <c r="BZ60" s="409"/>
      <c r="CA60" s="116"/>
      <c r="CB60" s="353">
        <v>0</v>
      </c>
      <c r="CC60" s="118"/>
      <c r="CD60" s="409"/>
      <c r="CE60" s="116"/>
      <c r="CF60" s="353">
        <v>-14</v>
      </c>
      <c r="CG60" s="118"/>
      <c r="CH60" s="409"/>
      <c r="CI60" s="116"/>
      <c r="CJ60" s="353">
        <v>3</v>
      </c>
      <c r="CK60" s="118"/>
      <c r="CL60" s="409"/>
      <c r="CM60" s="116"/>
      <c r="CN60" s="353">
        <v>-4</v>
      </c>
      <c r="CO60" s="118"/>
      <c r="CP60" s="121"/>
      <c r="CQ60" s="116"/>
      <c r="CR60" s="1078">
        <v>-1</v>
      </c>
      <c r="CS60" s="118"/>
      <c r="CT60" s="1080"/>
      <c r="CU60" s="118"/>
      <c r="CV60" s="2703">
        <v>5</v>
      </c>
      <c r="CW60" s="118"/>
      <c r="CX60" s="1080"/>
      <c r="CY60" s="118"/>
      <c r="CZ60" s="1236">
        <f>EN60</f>
        <v>0.92398793810673818</v>
      </c>
      <c r="DA60" s="118"/>
      <c r="DB60" s="1080"/>
      <c r="DC60" s="118"/>
      <c r="DD60" s="1236">
        <f>ET60</f>
        <v>0</v>
      </c>
      <c r="DF60" s="118"/>
      <c r="DG60" s="1080"/>
      <c r="DH60" s="118"/>
      <c r="DI60">
        <f>EY60</f>
        <v>0</v>
      </c>
      <c r="DK60" s="118"/>
      <c r="DL60" s="118"/>
      <c r="DM60" s="1080"/>
      <c r="DN60" s="118"/>
      <c r="DO60">
        <f>FE60</f>
        <v>0</v>
      </c>
      <c r="DQ60" s="118"/>
      <c r="DR60" s="118"/>
      <c r="DS60" s="1080"/>
      <c r="DT60" s="118"/>
      <c r="DU60" s="2702">
        <f>FK60</f>
        <v>0</v>
      </c>
      <c r="DW60" s="118"/>
      <c r="DX60" s="405">
        <f t="shared" si="50"/>
        <v>0</v>
      </c>
      <c r="DY60" s="405"/>
      <c r="DZ60" s="168"/>
      <c r="EA60" s="168"/>
      <c r="EB60" s="168"/>
      <c r="EC60" s="168"/>
      <c r="ED60" s="168"/>
      <c r="EE60" s="168"/>
      <c r="EF60" s="168"/>
      <c r="EG60" s="168"/>
      <c r="EH60" s="168"/>
      <c r="EI60" s="405">
        <f>+CF57*EI57+CF58*EI58+CF59*EI59</f>
        <v>-14.15539485444738</v>
      </c>
      <c r="EJ60" s="405">
        <f>+CJ57*EJ57+CJ58*EJ58+CJ59*EJ59</f>
        <v>2.681219230217641</v>
      </c>
      <c r="EK60" s="405">
        <f>+CN57*EK57+CN58*EK58+CN59*EK59</f>
        <v>-3.9407890938483296</v>
      </c>
      <c r="EL60" s="405">
        <f>+CR57*EL57+CR58*EL58+CR59*EL59</f>
        <v>-0.8357941186302813</v>
      </c>
      <c r="EM60" s="405">
        <f>+CV57*EM57+CV58*EM58+CV59*EM59</f>
        <v>4.9154278563772253</v>
      </c>
      <c r="EN60" s="252">
        <f>+CZ57*EN57+CZ58*EN58+CZ59*EN59</f>
        <v>0.92398793810673818</v>
      </c>
    </row>
    <row r="61" spans="1:149" hidden="1" outlineLevel="1">
      <c r="A61" s="119"/>
      <c r="B61" s="119"/>
      <c r="C61" s="119"/>
      <c r="D61" s="122"/>
      <c r="E61" s="119"/>
      <c r="F61" s="287"/>
      <c r="G61" s="119"/>
      <c r="H61" s="119"/>
      <c r="I61" s="119"/>
      <c r="J61" s="287"/>
      <c r="K61" s="119"/>
      <c r="L61" s="119"/>
      <c r="M61" s="119"/>
      <c r="N61" s="287"/>
      <c r="O61" s="119"/>
      <c r="P61" s="119"/>
      <c r="Q61" s="119"/>
      <c r="R61" s="287"/>
      <c r="S61" s="119"/>
      <c r="T61" s="270"/>
      <c r="U61" s="119"/>
      <c r="V61" s="287"/>
      <c r="W61" s="119"/>
      <c r="X61" s="270"/>
      <c r="Y61" s="119"/>
      <c r="Z61" s="287"/>
      <c r="AA61" s="119"/>
      <c r="AB61" s="270"/>
      <c r="AC61" s="246"/>
      <c r="AD61" s="287"/>
      <c r="AE61" s="119"/>
      <c r="AF61" s="270"/>
      <c r="AG61" s="119"/>
      <c r="AH61" s="287"/>
      <c r="AI61" s="119"/>
      <c r="AJ61" s="270"/>
      <c r="AK61" s="119"/>
      <c r="AL61" s="287"/>
      <c r="AM61" s="119"/>
      <c r="AN61" s="270"/>
      <c r="AO61" s="119"/>
      <c r="AP61" s="287"/>
      <c r="AQ61" s="246"/>
      <c r="AR61" s="270"/>
      <c r="AS61" s="246"/>
      <c r="AT61" s="287"/>
      <c r="AU61" s="119"/>
      <c r="AV61" s="270"/>
      <c r="AW61" s="119"/>
      <c r="AX61" s="287"/>
      <c r="AY61" s="119"/>
      <c r="AZ61" s="270"/>
      <c r="BA61" s="119"/>
      <c r="BB61" s="287"/>
      <c r="BC61" s="119"/>
      <c r="BD61" s="270"/>
      <c r="BE61" s="119"/>
      <c r="BF61" s="410"/>
      <c r="BG61" s="119"/>
      <c r="BH61" s="270"/>
      <c r="BI61" s="119"/>
      <c r="BJ61" s="410"/>
      <c r="BK61" s="119"/>
      <c r="BL61" s="270"/>
      <c r="BM61" s="119"/>
      <c r="BN61" s="410"/>
      <c r="BO61" s="119"/>
      <c r="BP61" s="270"/>
      <c r="BQ61" s="119"/>
      <c r="BR61" s="410"/>
      <c r="BS61" s="119"/>
      <c r="BT61" s="270"/>
      <c r="BU61" s="119"/>
      <c r="BV61" s="410"/>
      <c r="BW61" s="119"/>
      <c r="BX61" s="270"/>
      <c r="BY61" s="119"/>
      <c r="BZ61" s="410"/>
      <c r="CA61" s="119"/>
      <c r="CB61" s="270"/>
      <c r="CC61" s="119"/>
      <c r="CD61" s="410"/>
      <c r="CE61" s="119"/>
      <c r="CF61" s="270"/>
      <c r="CG61" s="119"/>
      <c r="CH61" s="410"/>
      <c r="CI61" s="119"/>
      <c r="CJ61" s="270"/>
      <c r="CK61" s="119"/>
      <c r="CL61" s="410"/>
      <c r="CM61" s="119"/>
      <c r="CN61" s="270"/>
      <c r="CO61" s="119"/>
      <c r="CP61" s="122"/>
      <c r="CQ61" s="119"/>
      <c r="CR61" s="278"/>
      <c r="CS61" s="119"/>
      <c r="CT61" s="408"/>
      <c r="CU61" s="119"/>
      <c r="CV61" s="2375"/>
      <c r="CW61" s="119"/>
      <c r="CX61" s="408"/>
      <c r="CY61" s="119"/>
      <c r="DA61" s="119"/>
      <c r="DB61" s="408"/>
      <c r="DC61" s="119"/>
      <c r="DF61" s="119"/>
      <c r="DG61" s="408"/>
      <c r="DH61" s="119"/>
      <c r="DI61" s="2524"/>
      <c r="DJ61" s="2524"/>
      <c r="DK61" s="119"/>
      <c r="DL61" s="119"/>
      <c r="DM61" s="408"/>
      <c r="DN61" s="119"/>
      <c r="DO61" s="2524"/>
      <c r="DP61" s="2524"/>
      <c r="DQ61" s="119"/>
      <c r="DR61" s="119"/>
      <c r="DS61" s="408"/>
      <c r="DT61" s="119"/>
      <c r="DU61" s="2524"/>
      <c r="DV61" s="2524"/>
      <c r="DW61" s="119"/>
      <c r="DX61" s="405">
        <f t="shared" si="50"/>
        <v>0</v>
      </c>
      <c r="DY61" s="405"/>
      <c r="DZ61" s="168"/>
      <c r="EA61" s="168"/>
      <c r="EB61" s="168"/>
      <c r="EC61" s="168"/>
      <c r="ED61" s="168"/>
      <c r="EE61" s="168"/>
      <c r="EF61" s="168"/>
      <c r="EG61" s="168"/>
      <c r="EH61" s="168"/>
      <c r="EI61" s="24"/>
      <c r="EJ61" s="24"/>
      <c r="EK61" s="24"/>
      <c r="EL61" s="24"/>
      <c r="EM61" s="24"/>
      <c r="EN61" s="168"/>
    </row>
    <row r="62" spans="1:149" hidden="1" outlineLevel="1">
      <c r="A62" s="31" t="s">
        <v>831</v>
      </c>
      <c r="B62" s="24"/>
      <c r="C62" s="24"/>
      <c r="D62" s="113">
        <f>+D57</f>
        <v>4</v>
      </c>
      <c r="E62" s="24"/>
      <c r="F62" s="286"/>
      <c r="G62" s="24"/>
      <c r="H62" s="176"/>
      <c r="I62" s="24" t="s">
        <v>1084</v>
      </c>
      <c r="J62" s="286" t="str">
        <f>J39</f>
        <v>6/1</v>
      </c>
      <c r="K62" s="24"/>
      <c r="L62" s="176"/>
      <c r="M62" s="24" t="s">
        <v>1084</v>
      </c>
      <c r="N62" s="286" t="str">
        <f>N39</f>
        <v xml:space="preserve"> 5/30</v>
      </c>
      <c r="O62" s="24"/>
      <c r="P62" s="176"/>
      <c r="Q62" s="24" t="s">
        <v>1084</v>
      </c>
      <c r="R62" s="286" t="str">
        <f>R39</f>
        <v xml:space="preserve"> 5/29</v>
      </c>
      <c r="S62" s="24"/>
      <c r="T62" s="228">
        <v>37</v>
      </c>
      <c r="U62" s="24" t="s">
        <v>1084</v>
      </c>
      <c r="V62" s="286" t="str">
        <f>V39</f>
        <v>5/28</v>
      </c>
      <c r="W62" s="24"/>
      <c r="X62" s="228">
        <v>46</v>
      </c>
      <c r="Y62" s="24" t="s">
        <v>1084</v>
      </c>
      <c r="Z62" s="286" t="str">
        <f>Z39</f>
        <v>5/27</v>
      </c>
      <c r="AA62" s="24"/>
      <c r="AB62" s="228">
        <v>26</v>
      </c>
      <c r="AC62" s="168" t="s">
        <v>1084</v>
      </c>
      <c r="AD62" s="286" t="str">
        <f>AD39</f>
        <v>6/1</v>
      </c>
      <c r="AE62" s="24"/>
      <c r="AF62" s="228">
        <v>12</v>
      </c>
      <c r="AG62" s="24" t="s">
        <v>1084</v>
      </c>
      <c r="AH62" s="286" t="str">
        <f>AH39</f>
        <v>5/31</v>
      </c>
      <c r="AI62" s="24"/>
      <c r="AJ62" s="228">
        <v>18</v>
      </c>
      <c r="AK62" s="24" t="s">
        <v>1084</v>
      </c>
      <c r="AL62" s="286" t="str">
        <f>AL39</f>
        <v>5/30</v>
      </c>
      <c r="AM62" s="24"/>
      <c r="AN62" s="228">
        <v>1</v>
      </c>
      <c r="AO62" s="24" t="s">
        <v>1084</v>
      </c>
      <c r="AP62" s="286" t="str">
        <f>AP39</f>
        <v>5/29</v>
      </c>
      <c r="AQ62" s="168"/>
      <c r="AR62" s="228">
        <v>13</v>
      </c>
      <c r="AS62" s="168" t="s">
        <v>1084</v>
      </c>
      <c r="AT62" s="286" t="str">
        <f>AT39</f>
        <v>5/27</v>
      </c>
      <c r="AU62" s="24"/>
      <c r="AV62" s="228">
        <v>3</v>
      </c>
      <c r="AW62" s="24" t="s">
        <v>1084</v>
      </c>
      <c r="AX62" s="286" t="str">
        <f>AX39</f>
        <v>6/2</v>
      </c>
      <c r="AY62" s="24"/>
      <c r="AZ62" s="228"/>
      <c r="BA62" s="24"/>
      <c r="BB62" s="286"/>
      <c r="BC62" s="24"/>
      <c r="BD62" s="228"/>
      <c r="BE62" s="24"/>
      <c r="BF62" s="408"/>
      <c r="BG62" s="24"/>
      <c r="BH62" s="228"/>
      <c r="BI62" s="24"/>
      <c r="BJ62" s="408"/>
      <c r="BK62" s="24"/>
      <c r="BL62" s="228"/>
      <c r="BM62" s="24"/>
      <c r="BN62" s="408"/>
      <c r="BO62" s="24"/>
      <c r="BP62" s="228"/>
      <c r="BQ62" s="24"/>
      <c r="BR62" s="408"/>
      <c r="BS62" s="24"/>
      <c r="BT62" s="228"/>
      <c r="BU62" s="24"/>
      <c r="BV62" s="408"/>
      <c r="BW62" s="24"/>
      <c r="BX62" s="228">
        <v>4</v>
      </c>
      <c r="BY62" s="24"/>
      <c r="BZ62" s="408"/>
      <c r="CA62" s="24"/>
      <c r="CB62" s="228">
        <v>4</v>
      </c>
      <c r="CC62" s="24"/>
      <c r="CD62" s="408"/>
      <c r="CE62" s="24"/>
      <c r="CF62" s="228">
        <v>-15</v>
      </c>
      <c r="CG62" s="24"/>
      <c r="CH62" s="408"/>
      <c r="CI62" s="24"/>
      <c r="CJ62" s="228">
        <v>2</v>
      </c>
      <c r="CK62" s="24"/>
      <c r="CL62" s="408"/>
      <c r="CM62" s="24"/>
      <c r="CN62" s="228">
        <v>1</v>
      </c>
      <c r="CO62" s="24"/>
      <c r="CP62" s="1165">
        <v>41427</v>
      </c>
      <c r="CQ62" s="24"/>
      <c r="CR62" s="228">
        <v>-8</v>
      </c>
      <c r="CS62" s="24"/>
      <c r="CT62" s="408">
        <v>41426</v>
      </c>
      <c r="CU62" s="24"/>
      <c r="CV62" s="2708">
        <v>4</v>
      </c>
      <c r="CW62" s="24"/>
      <c r="CX62" s="408">
        <v>41425</v>
      </c>
      <c r="CY62" s="24"/>
      <c r="CZ62" s="933">
        <v>1</v>
      </c>
      <c r="DA62" s="24"/>
      <c r="DB62" s="408">
        <v>41425</v>
      </c>
      <c r="DC62" s="24"/>
      <c r="DD62" s="933">
        <v>1</v>
      </c>
      <c r="DE62" s="933"/>
      <c r="DF62" s="24"/>
      <c r="DG62" s="408">
        <v>41425</v>
      </c>
      <c r="DH62" s="24"/>
      <c r="DI62" s="2519">
        <v>1</v>
      </c>
      <c r="DJ62" s="2519"/>
      <c r="DK62" s="24"/>
      <c r="DL62" s="24"/>
      <c r="DM62" s="408">
        <v>41425</v>
      </c>
      <c r="DN62" s="24"/>
      <c r="DO62" s="2519">
        <v>1</v>
      </c>
      <c r="DP62" s="2519"/>
      <c r="DQ62" s="24"/>
      <c r="DR62" s="24"/>
      <c r="DS62" s="408">
        <v>41425</v>
      </c>
      <c r="DT62" s="24"/>
      <c r="DU62" s="2519">
        <v>1</v>
      </c>
      <c r="DV62" s="2519"/>
      <c r="DW62" s="24"/>
      <c r="DX62" s="405">
        <f t="shared" si="50"/>
        <v>2</v>
      </c>
      <c r="DY62" s="405"/>
      <c r="DZ62" s="168"/>
      <c r="EA62" s="168"/>
      <c r="EB62" s="168"/>
      <c r="EC62" s="168"/>
      <c r="ED62" s="168"/>
      <c r="EE62" s="168"/>
      <c r="EF62" s="168"/>
      <c r="EG62" s="168"/>
      <c r="EH62" s="168"/>
      <c r="EI62" s="425">
        <f t="shared" ref="EI62:EJ64" si="55">EJ39</f>
        <v>0.2993812046476429</v>
      </c>
      <c r="EJ62" s="425">
        <f t="shared" si="55"/>
        <v>0.29311010647928071</v>
      </c>
      <c r="EK62" s="425">
        <f t="shared" ref="EK62:EL64" si="56">EL39</f>
        <v>0.29184573101375505</v>
      </c>
      <c r="EL62" s="425">
        <f t="shared" si="56"/>
        <v>0.28006382404038854</v>
      </c>
      <c r="EM62" s="425">
        <f t="shared" ref="EM62:EN64" si="57">EN39</f>
        <v>0.29293086672559726</v>
      </c>
      <c r="EN62" s="1152">
        <f t="shared" si="57"/>
        <v>0.29293086672559726</v>
      </c>
    </row>
    <row r="63" spans="1:149" hidden="1" outlineLevel="1">
      <c r="A63" s="31" t="s">
        <v>652</v>
      </c>
      <c r="B63" s="24"/>
      <c r="C63" s="24"/>
      <c r="D63" s="113">
        <f>+D58</f>
        <v>5</v>
      </c>
      <c r="E63" s="24"/>
      <c r="F63" s="286"/>
      <c r="G63" s="24"/>
      <c r="H63" s="176"/>
      <c r="I63" s="24"/>
      <c r="J63" s="286" t="str">
        <f>J40</f>
        <v>7/6</v>
      </c>
      <c r="K63" s="24"/>
      <c r="L63" s="176"/>
      <c r="M63" s="24"/>
      <c r="N63" s="286" t="str">
        <f>N40</f>
        <v xml:space="preserve"> 7/4</v>
      </c>
      <c r="O63" s="24"/>
      <c r="P63" s="176"/>
      <c r="Q63" s="24"/>
      <c r="R63" s="286" t="str">
        <f>R40</f>
        <v xml:space="preserve"> 7/3</v>
      </c>
      <c r="S63" s="24"/>
      <c r="T63" s="228">
        <v>45</v>
      </c>
      <c r="U63" s="24"/>
      <c r="V63" s="286" t="str">
        <f>V40</f>
        <v>7/2</v>
      </c>
      <c r="W63" s="24"/>
      <c r="X63" s="228">
        <v>47</v>
      </c>
      <c r="Y63" s="24"/>
      <c r="Z63" s="286" t="str">
        <f>Z40</f>
        <v>7/1</v>
      </c>
      <c r="AA63" s="24"/>
      <c r="AB63" s="228">
        <v>25</v>
      </c>
      <c r="AC63" s="168"/>
      <c r="AD63" s="286" t="str">
        <f>AD40</f>
        <v>7/6</v>
      </c>
      <c r="AE63" s="24"/>
      <c r="AF63" s="228">
        <v>12</v>
      </c>
      <c r="AG63" s="24"/>
      <c r="AH63" s="286" t="str">
        <f>AH40</f>
        <v>7/5</v>
      </c>
      <c r="AI63" s="24"/>
      <c r="AJ63" s="228">
        <v>12</v>
      </c>
      <c r="AK63" s="24"/>
      <c r="AL63" s="286" t="str">
        <f>AL40</f>
        <v>7/4</v>
      </c>
      <c r="AM63" s="24"/>
      <c r="AN63" s="228">
        <v>7</v>
      </c>
      <c r="AO63" s="24"/>
      <c r="AP63" s="286" t="str">
        <f>AP40</f>
        <v>7/3</v>
      </c>
      <c r="AQ63" s="168"/>
      <c r="AR63" s="228">
        <v>11</v>
      </c>
      <c r="AS63" s="168"/>
      <c r="AT63" s="286" t="str">
        <f>AT40</f>
        <v>7/1</v>
      </c>
      <c r="AU63" s="24"/>
      <c r="AV63" s="228">
        <v>4</v>
      </c>
      <c r="AW63" s="24"/>
      <c r="AX63" s="286" t="str">
        <f>AX40</f>
        <v>7/7</v>
      </c>
      <c r="AY63" s="24"/>
      <c r="AZ63" s="228"/>
      <c r="BA63" s="24"/>
      <c r="BB63" s="286"/>
      <c r="BC63" s="24"/>
      <c r="BD63" s="228"/>
      <c r="BE63" s="24"/>
      <c r="BF63" s="408"/>
      <c r="BG63" s="24"/>
      <c r="BH63" s="228"/>
      <c r="BI63" s="24"/>
      <c r="BJ63" s="408"/>
      <c r="BK63" s="24"/>
      <c r="BL63" s="228"/>
      <c r="BM63" s="24"/>
      <c r="BN63" s="408"/>
      <c r="BO63" s="24"/>
      <c r="BP63" s="228"/>
      <c r="BQ63" s="24"/>
      <c r="BR63" s="408"/>
      <c r="BS63" s="24"/>
      <c r="BT63" s="228"/>
      <c r="BU63" s="24"/>
      <c r="BV63" s="408"/>
      <c r="BW63" s="24"/>
      <c r="BX63" s="228">
        <v>2</v>
      </c>
      <c r="BY63" s="24"/>
      <c r="BZ63" s="408"/>
      <c r="CA63" s="24"/>
      <c r="CB63" s="228">
        <v>5</v>
      </c>
      <c r="CC63" s="24"/>
      <c r="CD63" s="408"/>
      <c r="CE63" s="24"/>
      <c r="CF63" s="228">
        <v>-10</v>
      </c>
      <c r="CG63" s="24"/>
      <c r="CH63" s="408"/>
      <c r="CI63" s="24"/>
      <c r="CJ63" s="228">
        <v>1</v>
      </c>
      <c r="CK63" s="24"/>
      <c r="CL63" s="408"/>
      <c r="CM63" s="24"/>
      <c r="CN63" s="228">
        <v>1</v>
      </c>
      <c r="CO63" s="24"/>
      <c r="CP63" s="1165">
        <v>41462</v>
      </c>
      <c r="CQ63" s="24"/>
      <c r="CR63" s="228">
        <v>2</v>
      </c>
      <c r="CS63" s="24"/>
      <c r="CT63" s="408">
        <v>41461</v>
      </c>
      <c r="CU63" s="24"/>
      <c r="CV63" s="2708">
        <v>0</v>
      </c>
      <c r="CW63" s="24"/>
      <c r="CX63" s="408">
        <v>41460</v>
      </c>
      <c r="CY63" s="24"/>
      <c r="CZ63" s="933">
        <v>5</v>
      </c>
      <c r="DA63" s="24"/>
      <c r="DB63" s="408">
        <v>41460</v>
      </c>
      <c r="DC63" s="24"/>
      <c r="DD63" s="933">
        <v>5</v>
      </c>
      <c r="DE63" s="933"/>
      <c r="DF63" s="24"/>
      <c r="DG63" s="408">
        <v>41460</v>
      </c>
      <c r="DH63" s="24"/>
      <c r="DI63" s="2519">
        <v>5</v>
      </c>
      <c r="DJ63" s="2519"/>
      <c r="DK63" s="24"/>
      <c r="DL63" s="24"/>
      <c r="DM63" s="408">
        <v>41460</v>
      </c>
      <c r="DN63" s="24"/>
      <c r="DO63" s="2519">
        <v>5</v>
      </c>
      <c r="DP63" s="2519"/>
      <c r="DQ63" s="24"/>
      <c r="DR63" s="24"/>
      <c r="DS63" s="408">
        <v>41460</v>
      </c>
      <c r="DT63" s="24"/>
      <c r="DU63" s="2519">
        <v>5</v>
      </c>
      <c r="DV63" s="2519"/>
      <c r="DW63" s="24"/>
      <c r="DX63" s="405">
        <f t="shared" si="50"/>
        <v>10</v>
      </c>
      <c r="DY63" s="405"/>
      <c r="DZ63" s="168"/>
      <c r="EA63" s="168"/>
      <c r="EB63" s="168"/>
      <c r="EC63" s="168"/>
      <c r="ED63" s="168"/>
      <c r="EE63" s="168"/>
      <c r="EF63" s="168"/>
      <c r="EG63" s="168"/>
      <c r="EH63" s="168"/>
      <c r="EI63" s="425">
        <f t="shared" si="55"/>
        <v>0.43153088460444139</v>
      </c>
      <c r="EJ63" s="425">
        <f t="shared" si="55"/>
        <v>0.43050128829316542</v>
      </c>
      <c r="EK63" s="425">
        <f t="shared" si="56"/>
        <v>0.43935515680910991</v>
      </c>
      <c r="EL63" s="425">
        <f t="shared" si="56"/>
        <v>0.44891909285830994</v>
      </c>
      <c r="EM63" s="425">
        <f t="shared" si="57"/>
        <v>0.43760771270676069</v>
      </c>
      <c r="EN63" s="1152">
        <f t="shared" si="57"/>
        <v>0.43760771270676069</v>
      </c>
    </row>
    <row r="64" spans="1:149" hidden="1" outlineLevel="1">
      <c r="A64" s="31" t="s">
        <v>653</v>
      </c>
      <c r="B64" s="24"/>
      <c r="C64" s="24"/>
      <c r="D64" s="113">
        <f>+D59</f>
        <v>4</v>
      </c>
      <c r="E64" s="24"/>
      <c r="F64" s="286"/>
      <c r="G64" s="24"/>
      <c r="H64" s="175"/>
      <c r="I64" s="24"/>
      <c r="J64" s="286" t="str">
        <f>J41</f>
        <v>8/3</v>
      </c>
      <c r="K64" s="24"/>
      <c r="L64" s="175"/>
      <c r="M64" s="24"/>
      <c r="N64" s="286" t="str">
        <f>N41</f>
        <v xml:space="preserve"> 8/1</v>
      </c>
      <c r="O64" s="24"/>
      <c r="P64" s="175"/>
      <c r="Q64" s="24"/>
      <c r="R64" s="286" t="str">
        <f>R41</f>
        <v xml:space="preserve"> 7/31</v>
      </c>
      <c r="S64" s="24"/>
      <c r="T64" s="284">
        <v>50</v>
      </c>
      <c r="U64" s="24"/>
      <c r="V64" s="286" t="str">
        <f>V41</f>
        <v>7/30</v>
      </c>
      <c r="W64" s="24"/>
      <c r="X64" s="284">
        <v>39</v>
      </c>
      <c r="Y64" s="24"/>
      <c r="Z64" s="286" t="str">
        <f>Z41</f>
        <v>7/29</v>
      </c>
      <c r="AA64" s="24"/>
      <c r="AB64" s="284">
        <v>27</v>
      </c>
      <c r="AC64" s="168"/>
      <c r="AD64" s="286" t="str">
        <f>AD41</f>
        <v>8/3</v>
      </c>
      <c r="AE64" s="24"/>
      <c r="AF64" s="284">
        <v>3</v>
      </c>
      <c r="AG64" s="24"/>
      <c r="AH64" s="286" t="str">
        <f>AH41</f>
        <v>8/2</v>
      </c>
      <c r="AI64" s="24"/>
      <c r="AJ64" s="284">
        <v>18</v>
      </c>
      <c r="AK64" s="24"/>
      <c r="AL64" s="286" t="str">
        <f>AL41</f>
        <v>8/1</v>
      </c>
      <c r="AM64" s="24"/>
      <c r="AN64" s="284">
        <v>1</v>
      </c>
      <c r="AO64" s="24"/>
      <c r="AP64" s="286" t="str">
        <f>AP41</f>
        <v>7/31</v>
      </c>
      <c r="AQ64" s="168"/>
      <c r="AR64" s="284">
        <v>2</v>
      </c>
      <c r="AS64" s="168"/>
      <c r="AT64" s="286" t="str">
        <f>AT41</f>
        <v>7/29</v>
      </c>
      <c r="AU64" s="24"/>
      <c r="AV64" s="284">
        <v>3</v>
      </c>
      <c r="AW64" s="24"/>
      <c r="AX64" s="286" t="str">
        <f>AX41</f>
        <v>8/4</v>
      </c>
      <c r="AY64" s="24"/>
      <c r="AZ64" s="284"/>
      <c r="BA64" s="24"/>
      <c r="BB64" s="286"/>
      <c r="BC64" s="24"/>
      <c r="BD64" s="284"/>
      <c r="BE64" s="24"/>
      <c r="BF64" s="408"/>
      <c r="BG64" s="24"/>
      <c r="BH64" s="284"/>
      <c r="BI64" s="24"/>
      <c r="BJ64" s="408"/>
      <c r="BK64" s="24"/>
      <c r="BL64" s="284"/>
      <c r="BM64" s="24"/>
      <c r="BN64" s="408"/>
      <c r="BO64" s="24"/>
      <c r="BP64" s="284"/>
      <c r="BQ64" s="24"/>
      <c r="BR64" s="408"/>
      <c r="BS64" s="24"/>
      <c r="BT64" s="284"/>
      <c r="BU64" s="24"/>
      <c r="BV64" s="408"/>
      <c r="BW64" s="24"/>
      <c r="BX64" s="284">
        <v>2</v>
      </c>
      <c r="BY64" s="24"/>
      <c r="BZ64" s="408"/>
      <c r="CA64" s="24"/>
      <c r="CB64" s="284">
        <v>3</v>
      </c>
      <c r="CC64" s="24"/>
      <c r="CD64" s="408"/>
      <c r="CE64" s="24"/>
      <c r="CF64" s="284">
        <v>-9</v>
      </c>
      <c r="CG64" s="24"/>
      <c r="CH64" s="408"/>
      <c r="CI64" s="24"/>
      <c r="CJ64" s="284">
        <v>-4</v>
      </c>
      <c r="CK64" s="24"/>
      <c r="CL64" s="408"/>
      <c r="CM64" s="24"/>
      <c r="CN64" s="284">
        <v>2</v>
      </c>
      <c r="CO64" s="24"/>
      <c r="CP64" s="1165">
        <v>41490</v>
      </c>
      <c r="CQ64" s="24"/>
      <c r="CR64" s="284">
        <v>-5</v>
      </c>
      <c r="CS64" s="24"/>
      <c r="CT64" s="408">
        <v>41489</v>
      </c>
      <c r="CU64" s="24"/>
      <c r="CV64" s="2739">
        <v>9</v>
      </c>
      <c r="CW64" s="24"/>
      <c r="CX64" s="408">
        <v>41488</v>
      </c>
      <c r="CY64" s="24"/>
      <c r="CZ64" s="934">
        <v>-4</v>
      </c>
      <c r="DA64" s="24"/>
      <c r="DB64" s="408">
        <v>41488</v>
      </c>
      <c r="DC64" s="24"/>
      <c r="DD64" s="934">
        <v>-4</v>
      </c>
      <c r="DE64" s="933"/>
      <c r="DF64" s="24"/>
      <c r="DG64" s="408">
        <v>41488</v>
      </c>
      <c r="DH64" s="24"/>
      <c r="DI64" s="2520">
        <v>-4</v>
      </c>
      <c r="DJ64" s="2519"/>
      <c r="DK64" s="24"/>
      <c r="DL64" s="24"/>
      <c r="DM64" s="408">
        <v>41488</v>
      </c>
      <c r="DN64" s="24"/>
      <c r="DO64" s="2520">
        <v>-4</v>
      </c>
      <c r="DP64" s="2519"/>
      <c r="DQ64" s="24"/>
      <c r="DR64" s="24"/>
      <c r="DS64" s="408">
        <v>41488</v>
      </c>
      <c r="DT64" s="24"/>
      <c r="DU64" s="2520">
        <v>-4</v>
      </c>
      <c r="DV64" s="2519"/>
      <c r="DW64" s="24"/>
      <c r="DX64" s="405">
        <f t="shared" si="50"/>
        <v>-8</v>
      </c>
      <c r="DY64" s="405"/>
      <c r="DZ64" s="168"/>
      <c r="EA64" s="168"/>
      <c r="EB64" s="168"/>
      <c r="EC64" s="168"/>
      <c r="ED64" s="168"/>
      <c r="EE64" s="168"/>
      <c r="EF64" s="168"/>
      <c r="EG64" s="168"/>
      <c r="EH64" s="168"/>
      <c r="EI64" s="427">
        <f t="shared" si="55"/>
        <v>0.26908791074791566</v>
      </c>
      <c r="EJ64" s="427">
        <f t="shared" si="55"/>
        <v>0.27638860522755393</v>
      </c>
      <c r="EK64" s="427">
        <f t="shared" si="56"/>
        <v>0.26879911217713509</v>
      </c>
      <c r="EL64" s="427">
        <f t="shared" si="56"/>
        <v>0.27101708310130146</v>
      </c>
      <c r="EM64" s="427">
        <f t="shared" si="57"/>
        <v>0.26946142056764205</v>
      </c>
      <c r="EN64" s="1153">
        <f t="shared" si="57"/>
        <v>0.26946142056764205</v>
      </c>
    </row>
    <row r="65" spans="1:149" hidden="1" outlineLevel="1">
      <c r="A65" s="116"/>
      <c r="B65" s="118" t="s">
        <v>924</v>
      </c>
      <c r="C65" s="116"/>
      <c r="D65" s="121"/>
      <c r="E65" s="116"/>
      <c r="F65" s="269"/>
      <c r="G65" s="116"/>
      <c r="H65" s="177"/>
      <c r="I65" s="116"/>
      <c r="J65" s="269"/>
      <c r="K65" s="116"/>
      <c r="L65" s="177"/>
      <c r="M65" s="116"/>
      <c r="N65" s="269"/>
      <c r="O65" s="116"/>
      <c r="P65" s="177"/>
      <c r="Q65" s="116"/>
      <c r="R65" s="269"/>
      <c r="S65" s="116"/>
      <c r="T65" s="353">
        <v>44</v>
      </c>
      <c r="U65" s="116"/>
      <c r="V65" s="269"/>
      <c r="W65" s="116"/>
      <c r="X65" s="353">
        <v>44</v>
      </c>
      <c r="Y65" s="116"/>
      <c r="Z65" s="269"/>
      <c r="AA65" s="116"/>
      <c r="AB65" s="353">
        <v>26</v>
      </c>
      <c r="AC65" s="245"/>
      <c r="AD65" s="269"/>
      <c r="AE65" s="116"/>
      <c r="AF65" s="353">
        <v>9</v>
      </c>
      <c r="AG65" s="116"/>
      <c r="AH65" s="269"/>
      <c r="AI65" s="116"/>
      <c r="AJ65" s="353">
        <v>16</v>
      </c>
      <c r="AK65" s="116"/>
      <c r="AL65" s="269"/>
      <c r="AM65" s="116"/>
      <c r="AN65" s="353">
        <v>3</v>
      </c>
      <c r="AO65" s="116"/>
      <c r="AP65" s="269"/>
      <c r="AQ65" s="245"/>
      <c r="AR65" s="353">
        <v>9</v>
      </c>
      <c r="AS65" s="245"/>
      <c r="AT65" s="269"/>
      <c r="AU65" s="116"/>
      <c r="AV65" s="353">
        <v>3</v>
      </c>
      <c r="AW65" s="116"/>
      <c r="AX65" s="269"/>
      <c r="AY65" s="116"/>
      <c r="AZ65" s="353"/>
      <c r="BA65" s="116"/>
      <c r="BB65" s="269"/>
      <c r="BC65" s="116"/>
      <c r="BD65" s="353"/>
      <c r="BE65" s="116"/>
      <c r="BF65" s="409"/>
      <c r="BG65" s="116"/>
      <c r="BH65" s="353"/>
      <c r="BI65" s="116"/>
      <c r="BJ65" s="409"/>
      <c r="BK65" s="116"/>
      <c r="BL65" s="353"/>
      <c r="BM65" s="116"/>
      <c r="BN65" s="409"/>
      <c r="BO65" s="116"/>
      <c r="BP65" s="353"/>
      <c r="BQ65" s="116"/>
      <c r="BR65" s="409"/>
      <c r="BS65" s="116"/>
      <c r="BT65" s="353"/>
      <c r="BU65" s="116"/>
      <c r="BV65" s="409"/>
      <c r="BW65" s="116"/>
      <c r="BX65" s="353">
        <f>ROUND(AVERAGE(BX62:BX64),0)</f>
        <v>3</v>
      </c>
      <c r="BY65" s="116"/>
      <c r="BZ65" s="409"/>
      <c r="CA65" s="116"/>
      <c r="CB65" s="353">
        <v>4</v>
      </c>
      <c r="CC65" s="116"/>
      <c r="CD65" s="409"/>
      <c r="CE65" s="116"/>
      <c r="CF65" s="353">
        <v>-11</v>
      </c>
      <c r="CG65" s="116"/>
      <c r="CH65" s="409"/>
      <c r="CI65" s="116"/>
      <c r="CJ65" s="353">
        <v>0</v>
      </c>
      <c r="CK65" s="116"/>
      <c r="CL65" s="409"/>
      <c r="CM65" s="116"/>
      <c r="CN65" s="353">
        <v>1</v>
      </c>
      <c r="CO65" s="116"/>
      <c r="CP65" s="269"/>
      <c r="CQ65" s="116"/>
      <c r="CR65" s="1078">
        <f>EL65</f>
        <v>-2.6977578221129956</v>
      </c>
      <c r="CS65" s="116"/>
      <c r="CT65" s="1080"/>
      <c r="CU65" s="116"/>
      <c r="CV65" s="2703">
        <v>4</v>
      </c>
      <c r="CW65" s="116"/>
      <c r="CX65" s="1080"/>
      <c r="CY65" s="116"/>
      <c r="CZ65" s="1079">
        <f>EN65</f>
        <v>1.4031237479888323</v>
      </c>
      <c r="DA65" s="116"/>
      <c r="DB65" s="1080"/>
      <c r="DC65" s="116"/>
      <c r="DD65" s="1079">
        <f>ET65</f>
        <v>0</v>
      </c>
      <c r="DE65" s="1081"/>
      <c r="DF65" s="116"/>
      <c r="DG65" s="1080"/>
      <c r="DH65" s="116"/>
      <c r="DI65" s="2523">
        <f>EY65</f>
        <v>0</v>
      </c>
      <c r="DK65" s="116"/>
      <c r="DL65" s="116"/>
      <c r="DM65" s="1080"/>
      <c r="DN65" s="116"/>
      <c r="DO65" s="2523">
        <f>FE65</f>
        <v>0</v>
      </c>
      <c r="DQ65" s="116"/>
      <c r="DR65" s="116"/>
      <c r="DS65" s="1080"/>
      <c r="DT65" s="116"/>
      <c r="DU65" s="2523">
        <f>FK65</f>
        <v>0</v>
      </c>
      <c r="DW65" s="116"/>
      <c r="DX65" s="405">
        <f t="shared" si="50"/>
        <v>0</v>
      </c>
      <c r="DY65" s="405"/>
      <c r="DZ65" s="168"/>
      <c r="EA65" s="168"/>
      <c r="EB65" s="168"/>
      <c r="EC65" s="168"/>
      <c r="ED65" s="168"/>
      <c r="EE65" s="168"/>
      <c r="EF65" s="168"/>
      <c r="EG65" s="168"/>
      <c r="EH65" s="168"/>
      <c r="EI65" s="405">
        <f>+CF62*EI62+CF63*EI63+CF64*EI64</f>
        <v>-11.227818112490297</v>
      </c>
      <c r="EJ65" s="405">
        <f>+CJ62*EJ62+CJ63*EJ63+CJ64*EJ64</f>
        <v>-8.883291965848894E-2</v>
      </c>
      <c r="EK65" s="405">
        <f>+CN62*EK62+CN63*EK63+CN64*EK64</f>
        <v>1.2687991121771351</v>
      </c>
      <c r="EL65" s="405">
        <f>+CR62*EL62+CR63*EL63+CR64*EL64</f>
        <v>-2.6977578221129956</v>
      </c>
      <c r="EM65" s="405">
        <f>+CV62*EM62+CV63*EM63+CV64*EM64</f>
        <v>3.5968762520111675</v>
      </c>
      <c r="EN65" s="252">
        <f>+CZ62*EN62+CZ63*EN63+CZ64*EN64</f>
        <v>1.4031237479888323</v>
      </c>
    </row>
    <row r="66" spans="1:149" hidden="1" outlineLevel="1">
      <c r="A66" s="24"/>
      <c r="B66" s="24"/>
      <c r="C66" s="24"/>
      <c r="D66" s="113"/>
      <c r="E66" s="24"/>
      <c r="F66" s="286"/>
      <c r="G66" s="24"/>
      <c r="H66" s="24"/>
      <c r="I66" s="24"/>
      <c r="J66" s="286"/>
      <c r="K66" s="24"/>
      <c r="L66" s="24"/>
      <c r="M66" s="24"/>
      <c r="N66" s="286"/>
      <c r="O66" s="24"/>
      <c r="P66" s="24"/>
      <c r="Q66" s="24"/>
      <c r="R66" s="286"/>
      <c r="S66" s="24"/>
      <c r="T66" s="224"/>
      <c r="U66" s="24"/>
      <c r="V66" s="286"/>
      <c r="W66" s="24"/>
      <c r="X66" s="224"/>
      <c r="Y66" s="24"/>
      <c r="Z66" s="286"/>
      <c r="AA66" s="24"/>
      <c r="AB66" s="224"/>
      <c r="AC66" s="168"/>
      <c r="AD66" s="286"/>
      <c r="AE66" s="24"/>
      <c r="AF66" s="224"/>
      <c r="AG66" s="24"/>
      <c r="AH66" s="286"/>
      <c r="AI66" s="24"/>
      <c r="AJ66" s="224"/>
      <c r="AK66" s="24"/>
      <c r="AL66" s="286"/>
      <c r="AM66" s="24"/>
      <c r="AN66" s="224"/>
      <c r="AO66" s="24"/>
      <c r="AP66" s="286"/>
      <c r="AQ66" s="168"/>
      <c r="AR66" s="224"/>
      <c r="AS66" s="168"/>
      <c r="AT66" s="286"/>
      <c r="AU66" s="24"/>
      <c r="AV66" s="224"/>
      <c r="AW66" s="24"/>
      <c r="AX66" s="286"/>
      <c r="AY66" s="24"/>
      <c r="AZ66" s="224"/>
      <c r="BA66" s="24"/>
      <c r="BB66" s="286"/>
      <c r="BC66" s="24"/>
      <c r="BD66" s="224"/>
      <c r="BE66" s="24"/>
      <c r="BF66" s="411"/>
      <c r="BG66" s="24"/>
      <c r="BH66" s="224"/>
      <c r="BI66" s="24"/>
      <c r="BJ66" s="411"/>
      <c r="BK66" s="24"/>
      <c r="BL66" s="224"/>
      <c r="BM66" s="24"/>
      <c r="BN66" s="411"/>
      <c r="BO66" s="24"/>
      <c r="BP66" s="224"/>
      <c r="BQ66" s="24"/>
      <c r="BR66" s="411"/>
      <c r="BS66" s="24"/>
      <c r="BT66" s="224"/>
      <c r="BU66" s="24"/>
      <c r="BV66" s="411"/>
      <c r="BW66" s="24"/>
      <c r="BX66" s="224"/>
      <c r="BY66" s="24"/>
      <c r="BZ66" s="411"/>
      <c r="CA66" s="24"/>
      <c r="CB66" s="224"/>
      <c r="CC66" s="24"/>
      <c r="CD66" s="411"/>
      <c r="CE66" s="24"/>
      <c r="CF66" s="224"/>
      <c r="CG66" s="24"/>
      <c r="CH66" s="411"/>
      <c r="CI66" s="24"/>
      <c r="CJ66" s="224"/>
      <c r="CK66" s="24"/>
      <c r="CL66" s="411"/>
      <c r="CM66" s="24"/>
      <c r="CN66" s="224"/>
      <c r="CO66" s="24"/>
      <c r="CP66" s="224"/>
      <c r="CQ66" s="24"/>
      <c r="CR66" s="224"/>
      <c r="CS66" s="24"/>
      <c r="CT66" s="408"/>
      <c r="CU66" s="24"/>
      <c r="CV66" s="2375"/>
      <c r="CW66" s="24"/>
      <c r="CX66" s="408"/>
      <c r="CY66" s="24"/>
      <c r="DA66" s="24"/>
      <c r="DB66" s="408"/>
      <c r="DC66" s="24"/>
      <c r="DF66" s="24"/>
      <c r="DG66" s="408"/>
      <c r="DH66" s="24"/>
      <c r="DI66" s="2524"/>
      <c r="DJ66" s="2524"/>
      <c r="DK66" s="24"/>
      <c r="DL66" s="24"/>
      <c r="DM66" s="408"/>
      <c r="DN66" s="24"/>
      <c r="DO66" s="2524"/>
      <c r="DP66" s="2524"/>
      <c r="DQ66" s="24"/>
      <c r="DR66" s="24"/>
      <c r="DS66" s="408"/>
      <c r="DT66" s="24"/>
      <c r="DU66" s="2524"/>
      <c r="DV66" s="2524"/>
      <c r="DW66" s="24"/>
      <c r="DX66" s="405">
        <f t="shared" si="50"/>
        <v>0</v>
      </c>
      <c r="DY66" s="405"/>
      <c r="DZ66" s="168"/>
      <c r="EA66" s="168"/>
      <c r="EB66" s="168"/>
      <c r="EC66" s="168"/>
      <c r="ED66" s="168"/>
      <c r="EE66" s="168"/>
      <c r="EF66" s="168"/>
      <c r="EG66" s="168"/>
      <c r="EH66" s="168"/>
      <c r="EI66" s="24"/>
      <c r="EJ66" s="24"/>
      <c r="EK66" s="24"/>
      <c r="EL66" s="24"/>
      <c r="EM66" s="24"/>
      <c r="EN66" s="168"/>
    </row>
    <row r="67" spans="1:149" hidden="1" outlineLevel="1">
      <c r="A67" s="31" t="s">
        <v>654</v>
      </c>
      <c r="B67" s="31"/>
      <c r="C67" s="24"/>
      <c r="D67" s="113">
        <f>+D62</f>
        <v>4</v>
      </c>
      <c r="E67" s="24"/>
      <c r="F67" s="286"/>
      <c r="G67" s="24"/>
      <c r="H67" s="176"/>
      <c r="I67" s="24" t="s">
        <v>1084</v>
      </c>
      <c r="J67" s="286" t="str">
        <f>J44</f>
        <v>8/31</v>
      </c>
      <c r="K67" s="24"/>
      <c r="L67" s="176"/>
      <c r="M67" s="24" t="s">
        <v>1084</v>
      </c>
      <c r="N67" s="286" t="str">
        <f>N44</f>
        <v xml:space="preserve"> 8/29</v>
      </c>
      <c r="O67" s="24"/>
      <c r="P67" s="176"/>
      <c r="Q67" s="24" t="s">
        <v>1084</v>
      </c>
      <c r="R67" s="286" t="str">
        <f>R44</f>
        <v xml:space="preserve"> 8/28</v>
      </c>
      <c r="S67" s="24"/>
      <c r="T67" s="228">
        <v>46</v>
      </c>
      <c r="U67" s="24" t="s">
        <v>1084</v>
      </c>
      <c r="V67" s="286" t="str">
        <f>V44</f>
        <v>8/27</v>
      </c>
      <c r="W67" s="24"/>
      <c r="X67" s="228">
        <v>48</v>
      </c>
      <c r="Y67" s="24" t="s">
        <v>1084</v>
      </c>
      <c r="Z67" s="286" t="str">
        <f>Z44</f>
        <v>8/31</v>
      </c>
      <c r="AA67" s="24"/>
      <c r="AB67" s="228">
        <v>25</v>
      </c>
      <c r="AC67" s="168" t="s">
        <v>1084</v>
      </c>
      <c r="AD67" s="286" t="str">
        <f>AD44</f>
        <v>8/31</v>
      </c>
      <c r="AE67" s="24"/>
      <c r="AF67" s="228">
        <v>1</v>
      </c>
      <c r="AG67" s="24" t="s">
        <v>1084</v>
      </c>
      <c r="AH67" s="286" t="str">
        <f>AH44</f>
        <v>8/30</v>
      </c>
      <c r="AI67" s="24"/>
      <c r="AJ67" s="228">
        <v>13</v>
      </c>
      <c r="AK67" s="24" t="s">
        <v>1084</v>
      </c>
      <c r="AL67" s="286" t="str">
        <f>AL44</f>
        <v>8/29</v>
      </c>
      <c r="AM67" s="24"/>
      <c r="AN67" s="228">
        <v>5</v>
      </c>
      <c r="AO67" s="24" t="s">
        <v>1084</v>
      </c>
      <c r="AP67" s="286" t="str">
        <f>AP44</f>
        <v>8/28</v>
      </c>
      <c r="AQ67" s="168"/>
      <c r="AR67" s="228">
        <v>9</v>
      </c>
      <c r="AS67" s="168" t="s">
        <v>1084</v>
      </c>
      <c r="AT67" s="286" t="str">
        <f>AT44</f>
        <v>8/26</v>
      </c>
      <c r="AU67" s="24"/>
      <c r="AV67" s="228">
        <v>2</v>
      </c>
      <c r="AW67" s="24" t="s">
        <v>1084</v>
      </c>
      <c r="AX67" s="286" t="str">
        <f>AX44</f>
        <v>9/1</v>
      </c>
      <c r="AY67" s="24"/>
      <c r="AZ67" s="228"/>
      <c r="BA67" s="24"/>
      <c r="BB67" s="286"/>
      <c r="BC67" s="24"/>
      <c r="BD67" s="228"/>
      <c r="BE67" s="24"/>
      <c r="BF67" s="408"/>
      <c r="BG67" s="24"/>
      <c r="BH67" s="228"/>
      <c r="BI67" s="24"/>
      <c r="BJ67" s="408"/>
      <c r="BK67" s="24"/>
      <c r="BL67" s="228"/>
      <c r="BM67" s="24"/>
      <c r="BN67" s="408"/>
      <c r="BO67" s="24"/>
      <c r="BP67" s="228"/>
      <c r="BQ67" s="24"/>
      <c r="BR67" s="408"/>
      <c r="BS67" s="24"/>
      <c r="BT67" s="228"/>
      <c r="BU67" s="24"/>
      <c r="BV67" s="408"/>
      <c r="BW67" s="24"/>
      <c r="BX67" s="228">
        <v>-4</v>
      </c>
      <c r="BY67" s="24"/>
      <c r="BZ67" s="408"/>
      <c r="CA67" s="24"/>
      <c r="CB67" s="228">
        <v>-5</v>
      </c>
      <c r="CC67" s="24"/>
      <c r="CD67" s="408"/>
      <c r="CE67" s="24"/>
      <c r="CF67" s="228">
        <v>-9</v>
      </c>
      <c r="CG67" s="24"/>
      <c r="CH67" s="408"/>
      <c r="CI67" s="24"/>
      <c r="CJ67" s="228">
        <v>2</v>
      </c>
      <c r="CK67" s="24"/>
      <c r="CL67" s="408"/>
      <c r="CM67" s="24"/>
      <c r="CN67" s="228">
        <v>-8</v>
      </c>
      <c r="CO67" s="24"/>
      <c r="CP67" s="1165">
        <v>41518</v>
      </c>
      <c r="CQ67" s="24"/>
      <c r="CR67" s="228">
        <v>0</v>
      </c>
      <c r="CS67" s="24"/>
      <c r="CT67" s="408">
        <v>41517</v>
      </c>
      <c r="CU67" s="24"/>
      <c r="CV67" s="391">
        <v>8</v>
      </c>
      <c r="CW67" s="24"/>
      <c r="CX67" s="408">
        <v>41516</v>
      </c>
      <c r="CY67" s="24"/>
      <c r="CZ67" s="939">
        <v>-3</v>
      </c>
      <c r="DA67" s="24"/>
      <c r="DB67" s="408">
        <v>41516</v>
      </c>
      <c r="DC67" s="24"/>
      <c r="DD67" s="939">
        <v>-3</v>
      </c>
      <c r="DE67" s="939"/>
      <c r="DF67" s="24"/>
      <c r="DG67" s="408">
        <v>41516</v>
      </c>
      <c r="DH67" s="24"/>
      <c r="DI67" s="2522">
        <v>-3</v>
      </c>
      <c r="DJ67" s="2522"/>
      <c r="DK67" s="24"/>
      <c r="DL67" s="24"/>
      <c r="DM67" s="408">
        <v>41516</v>
      </c>
      <c r="DN67" s="24"/>
      <c r="DO67" s="2522">
        <v>-3</v>
      </c>
      <c r="DP67" s="2522"/>
      <c r="DQ67" s="24"/>
      <c r="DR67" s="24"/>
      <c r="DS67" s="408">
        <v>41516</v>
      </c>
      <c r="DT67" s="24"/>
      <c r="DU67" s="2522">
        <v>-3</v>
      </c>
      <c r="DV67" s="2522"/>
      <c r="DW67" s="24"/>
      <c r="DX67" s="405">
        <f t="shared" si="50"/>
        <v>-6</v>
      </c>
      <c r="DY67" s="405"/>
      <c r="DZ67" s="168"/>
      <c r="EA67" s="168"/>
      <c r="EB67" s="168"/>
      <c r="EC67" s="168"/>
      <c r="ED67" s="168"/>
      <c r="EE67" s="168"/>
      <c r="EF67" s="168"/>
      <c r="EG67" s="168"/>
      <c r="EH67" s="417">
        <f t="shared" ref="EH67:EI69" si="58">EH44</f>
        <v>0.31940349063937151</v>
      </c>
      <c r="EI67" s="417">
        <f t="shared" si="58"/>
        <v>0.31588038857676581</v>
      </c>
      <c r="EJ67" s="417">
        <f t="shared" ref="EJ67:EK69" si="59">EJ44</f>
        <v>0.31779356577691525</v>
      </c>
      <c r="EK67" s="417">
        <f t="shared" si="59"/>
        <v>0.31779356577691525</v>
      </c>
      <c r="EL67" s="417">
        <f>EL44</f>
        <v>0.31779356577691525</v>
      </c>
      <c r="EM67" s="417">
        <f t="shared" ref="EM67:EN69" si="60">EN44</f>
        <v>0.31779356577691525</v>
      </c>
      <c r="EN67" s="1154">
        <f t="shared" si="60"/>
        <v>0.31779356577691525</v>
      </c>
    </row>
    <row r="68" spans="1:149" hidden="1" outlineLevel="1">
      <c r="A68" s="31" t="s">
        <v>655</v>
      </c>
      <c r="B68" s="31"/>
      <c r="C68" s="24"/>
      <c r="D68" s="113">
        <f>+D63</f>
        <v>5</v>
      </c>
      <c r="E68" s="24"/>
      <c r="F68" s="286"/>
      <c r="G68" s="24"/>
      <c r="H68" s="176"/>
      <c r="I68" s="24"/>
      <c r="J68" s="286" t="str">
        <f>J45</f>
        <v>10/5</v>
      </c>
      <c r="K68" s="24"/>
      <c r="L68" s="176"/>
      <c r="M68" s="24"/>
      <c r="N68" s="286" t="str">
        <f>N45</f>
        <v>10/3</v>
      </c>
      <c r="O68" s="24"/>
      <c r="P68" s="176"/>
      <c r="Q68" s="24"/>
      <c r="R68" s="286" t="str">
        <f>R45</f>
        <v>10/2</v>
      </c>
      <c r="S68" s="24"/>
      <c r="T68" s="228">
        <v>52</v>
      </c>
      <c r="U68" s="24"/>
      <c r="V68" s="286" t="str">
        <f>V45</f>
        <v>10/1</v>
      </c>
      <c r="W68" s="24"/>
      <c r="X68" s="228">
        <v>37</v>
      </c>
      <c r="Y68" s="24"/>
      <c r="Z68" s="286" t="str">
        <f>Z45</f>
        <v>9/30</v>
      </c>
      <c r="AA68" s="24"/>
      <c r="AB68" s="228">
        <v>26</v>
      </c>
      <c r="AC68" s="168"/>
      <c r="AD68" s="286" t="str">
        <f>AD45</f>
        <v>10/5</v>
      </c>
      <c r="AE68" s="24"/>
      <c r="AF68" s="228">
        <v>3</v>
      </c>
      <c r="AG68" s="24"/>
      <c r="AH68" s="286" t="str">
        <f>AH45</f>
        <v>10/4</v>
      </c>
      <c r="AI68" s="24"/>
      <c r="AJ68" s="228">
        <v>7</v>
      </c>
      <c r="AK68" s="24"/>
      <c r="AL68" s="286" t="str">
        <f>AL45</f>
        <v>10/3</v>
      </c>
      <c r="AM68" s="24"/>
      <c r="AN68" s="228">
        <v>5</v>
      </c>
      <c r="AO68" s="24"/>
      <c r="AP68" s="286" t="str">
        <f>AP45</f>
        <v>10/2</v>
      </c>
      <c r="AQ68" s="168"/>
      <c r="AR68" s="228">
        <v>13</v>
      </c>
      <c r="AS68" s="168"/>
      <c r="AT68" s="286" t="str">
        <f>AT45</f>
        <v>9/30</v>
      </c>
      <c r="AU68" s="24"/>
      <c r="AV68" s="228">
        <v>8</v>
      </c>
      <c r="AW68" s="24"/>
      <c r="AX68" s="286" t="str">
        <f>AX45</f>
        <v>10/6</v>
      </c>
      <c r="AY68" s="24"/>
      <c r="AZ68" s="228"/>
      <c r="BA68" s="24"/>
      <c r="BB68" s="286"/>
      <c r="BC68" s="24"/>
      <c r="BD68" s="228"/>
      <c r="BE68" s="24"/>
      <c r="BF68" s="408"/>
      <c r="BG68" s="24"/>
      <c r="BH68" s="228"/>
      <c r="BI68" s="24"/>
      <c r="BJ68" s="408"/>
      <c r="BK68" s="24"/>
      <c r="BL68" s="228"/>
      <c r="BM68" s="24"/>
      <c r="BN68" s="408"/>
      <c r="BO68" s="24"/>
      <c r="BP68" s="228"/>
      <c r="BQ68" s="24"/>
      <c r="BR68" s="408"/>
      <c r="BS68" s="24"/>
      <c r="BT68" s="228"/>
      <c r="BU68" s="24"/>
      <c r="BV68" s="408"/>
      <c r="BW68" s="24"/>
      <c r="BX68" s="228">
        <v>-3</v>
      </c>
      <c r="BY68" s="24"/>
      <c r="BZ68" s="408"/>
      <c r="CA68" s="24"/>
      <c r="CB68" s="228">
        <v>-4</v>
      </c>
      <c r="CC68" s="24"/>
      <c r="CD68" s="408"/>
      <c r="CE68" s="24"/>
      <c r="CF68" s="228">
        <v>-2</v>
      </c>
      <c r="CG68" s="24"/>
      <c r="CH68" s="408"/>
      <c r="CI68" s="24"/>
      <c r="CJ68" s="228">
        <v>3</v>
      </c>
      <c r="CK68" s="24"/>
      <c r="CL68" s="408"/>
      <c r="CM68" s="24"/>
      <c r="CN68" s="228">
        <v>2</v>
      </c>
      <c r="CO68" s="24"/>
      <c r="CP68" s="1165">
        <v>41553</v>
      </c>
      <c r="CQ68" s="24"/>
      <c r="CR68" s="210">
        <v>-4</v>
      </c>
      <c r="CS68" s="24"/>
      <c r="CT68" s="408">
        <v>41552</v>
      </c>
      <c r="CU68" s="24"/>
      <c r="CV68" s="2708">
        <v>3</v>
      </c>
      <c r="CW68" s="24"/>
      <c r="CX68" s="408">
        <v>41551</v>
      </c>
      <c r="CY68" s="24"/>
      <c r="CZ68" s="933">
        <v>2</v>
      </c>
      <c r="DA68" s="24"/>
      <c r="DB68" s="408">
        <v>41551</v>
      </c>
      <c r="DC68" s="24"/>
      <c r="DD68" s="933">
        <v>2</v>
      </c>
      <c r="DE68" s="933"/>
      <c r="DF68" s="24"/>
      <c r="DG68" s="408">
        <v>41551</v>
      </c>
      <c r="DH68" s="24"/>
      <c r="DI68" s="2519">
        <v>2</v>
      </c>
      <c r="DJ68" s="2519"/>
      <c r="DK68" s="24"/>
      <c r="DL68" s="24"/>
      <c r="DM68" s="408">
        <v>41551</v>
      </c>
      <c r="DN68" s="24"/>
      <c r="DO68" s="2519">
        <v>2</v>
      </c>
      <c r="DP68" s="2519"/>
      <c r="DQ68" s="24"/>
      <c r="DR68" s="24"/>
      <c r="DS68" s="408">
        <v>41551</v>
      </c>
      <c r="DT68" s="24"/>
      <c r="DU68" s="2519">
        <v>2</v>
      </c>
      <c r="DV68" s="2519"/>
      <c r="DW68" s="24"/>
      <c r="DX68" s="405">
        <f t="shared" si="50"/>
        <v>4</v>
      </c>
      <c r="DY68" s="405"/>
      <c r="DZ68" s="168"/>
      <c r="EA68" s="168"/>
      <c r="EB68" s="168"/>
      <c r="EC68" s="168"/>
      <c r="ED68" s="168"/>
      <c r="EE68" s="168"/>
      <c r="EF68" s="168"/>
      <c r="EG68" s="168"/>
      <c r="EH68" s="417">
        <f t="shared" si="58"/>
        <v>0.36554437558897485</v>
      </c>
      <c r="EI68" s="417">
        <f t="shared" si="58"/>
        <v>0.36843334242975823</v>
      </c>
      <c r="EJ68" s="417">
        <f t="shared" si="59"/>
        <v>0.37098604743559294</v>
      </c>
      <c r="EK68" s="417">
        <f t="shared" si="59"/>
        <v>0.37098604743559294</v>
      </c>
      <c r="EL68" s="417">
        <f>EL45</f>
        <v>0.37098604743559294</v>
      </c>
      <c r="EM68" s="417">
        <f t="shared" si="60"/>
        <v>0.37098604743559294</v>
      </c>
      <c r="EN68" s="1154">
        <f t="shared" si="60"/>
        <v>0.37098604743559294</v>
      </c>
    </row>
    <row r="69" spans="1:149" hidden="1" outlineLevel="1">
      <c r="A69" s="31" t="s">
        <v>598</v>
      </c>
      <c r="B69" s="31"/>
      <c r="C69" s="24"/>
      <c r="D69" s="113">
        <f>+D64</f>
        <v>4</v>
      </c>
      <c r="E69" s="24"/>
      <c r="F69" s="286"/>
      <c r="G69" s="24"/>
      <c r="H69" s="175"/>
      <c r="I69" s="24"/>
      <c r="J69" s="286" t="str">
        <f>J46</f>
        <v>11/2</v>
      </c>
      <c r="K69" s="24"/>
      <c r="L69" s="175"/>
      <c r="M69" s="24"/>
      <c r="N69" s="286" t="str">
        <f>N46</f>
        <v>10/31</v>
      </c>
      <c r="O69" s="24"/>
      <c r="P69" s="175"/>
      <c r="Q69" s="24"/>
      <c r="R69" s="286" t="str">
        <f>R46</f>
        <v>10/30</v>
      </c>
      <c r="S69" s="24"/>
      <c r="T69" s="284">
        <v>45</v>
      </c>
      <c r="U69" s="24"/>
      <c r="V69" s="286" t="str">
        <f>V46</f>
        <v>10/29</v>
      </c>
      <c r="W69" s="24"/>
      <c r="X69" s="284">
        <v>32</v>
      </c>
      <c r="Y69" s="24"/>
      <c r="Z69" s="286" t="str">
        <f>Z46</f>
        <v>10/28</v>
      </c>
      <c r="AA69" s="24"/>
      <c r="AB69" s="284">
        <v>26</v>
      </c>
      <c r="AC69" s="168"/>
      <c r="AD69" s="286" t="str">
        <f>AD46</f>
        <v>11/2</v>
      </c>
      <c r="AE69" s="24"/>
      <c r="AF69" s="284">
        <v>7</v>
      </c>
      <c r="AG69" s="24"/>
      <c r="AH69" s="286" t="str">
        <f>AH46</f>
        <v>11/1</v>
      </c>
      <c r="AI69" s="24"/>
      <c r="AJ69" s="284">
        <v>8</v>
      </c>
      <c r="AK69" s="24"/>
      <c r="AL69" s="286" t="str">
        <f>AL46</f>
        <v>10/31</v>
      </c>
      <c r="AM69" s="24"/>
      <c r="AN69" s="284">
        <v>8</v>
      </c>
      <c r="AO69" s="24"/>
      <c r="AP69" s="286" t="str">
        <f>AP46</f>
        <v>10/30</v>
      </c>
      <c r="AQ69" s="168"/>
      <c r="AR69" s="284">
        <v>10</v>
      </c>
      <c r="AS69" s="168"/>
      <c r="AT69" s="286" t="str">
        <f>AT46</f>
        <v>10/28</v>
      </c>
      <c r="AU69" s="24"/>
      <c r="AV69" s="284">
        <v>4</v>
      </c>
      <c r="AW69" s="24"/>
      <c r="AX69" s="286" t="str">
        <f>AX46</f>
        <v>11/3</v>
      </c>
      <c r="AY69" s="24"/>
      <c r="AZ69" s="284"/>
      <c r="BA69" s="24"/>
      <c r="BB69" s="286"/>
      <c r="BC69" s="24"/>
      <c r="BD69" s="284"/>
      <c r="BE69" s="24"/>
      <c r="BF69" s="408"/>
      <c r="BG69" s="24"/>
      <c r="BH69" s="284"/>
      <c r="BI69" s="24"/>
      <c r="BJ69" s="408"/>
      <c r="BK69" s="24"/>
      <c r="BL69" s="284"/>
      <c r="BM69" s="24"/>
      <c r="BN69" s="408"/>
      <c r="BO69" s="24"/>
      <c r="BP69" s="284"/>
      <c r="BQ69" s="24"/>
      <c r="BR69" s="408"/>
      <c r="BS69" s="24"/>
      <c r="BT69" s="284"/>
      <c r="BU69" s="24"/>
      <c r="BV69" s="408"/>
      <c r="BW69" s="24"/>
      <c r="BX69" s="284">
        <v>3</v>
      </c>
      <c r="BY69" s="24"/>
      <c r="BZ69" s="408"/>
      <c r="CA69" s="24"/>
      <c r="CB69" s="284">
        <v>-7</v>
      </c>
      <c r="CC69" s="24"/>
      <c r="CD69" s="408"/>
      <c r="CE69" s="24"/>
      <c r="CF69" s="284">
        <v>-7</v>
      </c>
      <c r="CG69" s="24"/>
      <c r="CH69" s="408"/>
      <c r="CI69" s="24"/>
      <c r="CJ69" s="284">
        <v>-2</v>
      </c>
      <c r="CK69" s="24"/>
      <c r="CL69" s="408"/>
      <c r="CM69" s="24"/>
      <c r="CN69" s="284">
        <v>-5</v>
      </c>
      <c r="CO69" s="24"/>
      <c r="CP69" s="1165">
        <v>41581</v>
      </c>
      <c r="CQ69" s="24"/>
      <c r="CR69" s="284">
        <v>-2</v>
      </c>
      <c r="CS69" s="24"/>
      <c r="CT69" s="408">
        <v>41580</v>
      </c>
      <c r="CU69" s="24"/>
      <c r="CV69" s="2739">
        <v>-2</v>
      </c>
      <c r="CW69" s="24"/>
      <c r="CX69" s="408">
        <v>41579</v>
      </c>
      <c r="CY69" s="24"/>
      <c r="CZ69" s="934">
        <v>2</v>
      </c>
      <c r="DA69" s="24"/>
      <c r="DB69" s="408">
        <v>41579</v>
      </c>
      <c r="DC69" s="24"/>
      <c r="DD69" s="934">
        <v>2</v>
      </c>
      <c r="DE69" s="933"/>
      <c r="DF69" s="24"/>
      <c r="DG69" s="408">
        <v>41579</v>
      </c>
      <c r="DH69" s="24"/>
      <c r="DI69" s="2520">
        <v>2</v>
      </c>
      <c r="DJ69" s="2519"/>
      <c r="DK69" s="24"/>
      <c r="DL69" s="24"/>
      <c r="DM69" s="408">
        <v>41579</v>
      </c>
      <c r="DN69" s="24"/>
      <c r="DO69" s="2520">
        <v>2</v>
      </c>
      <c r="DP69" s="2519"/>
      <c r="DQ69" s="24"/>
      <c r="DR69" s="24"/>
      <c r="DS69" s="408">
        <v>41579</v>
      </c>
      <c r="DT69" s="24"/>
      <c r="DU69" s="2520">
        <v>2</v>
      </c>
      <c r="DV69" s="2519"/>
      <c r="DW69" s="24"/>
      <c r="DX69" s="405">
        <f t="shared" si="50"/>
        <v>4</v>
      </c>
      <c r="DY69" s="405"/>
      <c r="DZ69" s="168"/>
      <c r="EA69" s="168"/>
      <c r="EB69" s="168"/>
      <c r="EC69" s="168"/>
      <c r="ED69" s="168"/>
      <c r="EE69" s="168"/>
      <c r="EF69" s="168"/>
      <c r="EG69" s="168"/>
      <c r="EH69" s="427">
        <f t="shared" si="58"/>
        <v>0.31505213377165359</v>
      </c>
      <c r="EI69" s="427">
        <f t="shared" si="58"/>
        <v>0.31568626899347596</v>
      </c>
      <c r="EJ69" s="427">
        <f t="shared" si="59"/>
        <v>0.31122038678749181</v>
      </c>
      <c r="EK69" s="427">
        <f t="shared" si="59"/>
        <v>0.31122038678749181</v>
      </c>
      <c r="EL69" s="427">
        <f>EL46</f>
        <v>0.31122038678749181</v>
      </c>
      <c r="EM69" s="427">
        <f t="shared" si="60"/>
        <v>0.31122038678749181</v>
      </c>
      <c r="EN69" s="1153">
        <f t="shared" si="60"/>
        <v>0.31122038678749181</v>
      </c>
    </row>
    <row r="70" spans="1:149" hidden="1" outlineLevel="1">
      <c r="A70" s="118"/>
      <c r="B70" s="118" t="s">
        <v>925</v>
      </c>
      <c r="C70" s="116"/>
      <c r="D70" s="121"/>
      <c r="E70" s="116"/>
      <c r="F70" s="269"/>
      <c r="G70" s="116"/>
      <c r="H70" s="177"/>
      <c r="I70" s="116"/>
      <c r="J70" s="269"/>
      <c r="K70" s="116"/>
      <c r="L70" s="177"/>
      <c r="M70" s="116"/>
      <c r="N70" s="269"/>
      <c r="O70" s="116"/>
      <c r="P70" s="177"/>
      <c r="Q70" s="116"/>
      <c r="R70" s="269"/>
      <c r="S70" s="116"/>
      <c r="T70" s="353">
        <v>48</v>
      </c>
      <c r="U70" s="116"/>
      <c r="V70" s="269"/>
      <c r="W70" s="116"/>
      <c r="X70" s="353">
        <v>39</v>
      </c>
      <c r="Y70" s="116"/>
      <c r="Z70" s="269"/>
      <c r="AA70" s="116"/>
      <c r="AB70" s="353">
        <v>26</v>
      </c>
      <c r="AC70" s="245"/>
      <c r="AD70" s="269"/>
      <c r="AE70" s="116"/>
      <c r="AF70" s="353">
        <v>3</v>
      </c>
      <c r="AG70" s="116"/>
      <c r="AH70" s="269"/>
      <c r="AI70" s="116"/>
      <c r="AJ70" s="353">
        <v>9</v>
      </c>
      <c r="AK70" s="116"/>
      <c r="AL70" s="269"/>
      <c r="AM70" s="116"/>
      <c r="AN70" s="353">
        <v>6</v>
      </c>
      <c r="AO70" s="116"/>
      <c r="AP70" s="269"/>
      <c r="AQ70" s="245"/>
      <c r="AR70" s="353">
        <v>10</v>
      </c>
      <c r="AS70" s="245"/>
      <c r="AT70" s="269"/>
      <c r="AU70" s="116"/>
      <c r="AV70" s="353">
        <v>5</v>
      </c>
      <c r="AW70" s="116"/>
      <c r="AX70" s="269"/>
      <c r="AY70" s="116"/>
      <c r="AZ70" s="353"/>
      <c r="BA70" s="116"/>
      <c r="BB70" s="269"/>
      <c r="BC70" s="116"/>
      <c r="BD70" s="353"/>
      <c r="BE70" s="116"/>
      <c r="BF70" s="409"/>
      <c r="BG70" s="116"/>
      <c r="BH70" s="353"/>
      <c r="BI70" s="116"/>
      <c r="BJ70" s="409"/>
      <c r="BK70" s="116"/>
      <c r="BL70" s="353"/>
      <c r="BM70" s="116"/>
      <c r="BN70" s="409"/>
      <c r="BO70" s="116"/>
      <c r="BP70" s="353"/>
      <c r="BQ70" s="116"/>
      <c r="BR70" s="409"/>
      <c r="BS70" s="116"/>
      <c r="BT70" s="353"/>
      <c r="BU70" s="116"/>
      <c r="BV70" s="409"/>
      <c r="BW70" s="116"/>
      <c r="BX70" s="353">
        <v>-2</v>
      </c>
      <c r="BY70" s="116"/>
      <c r="BZ70" s="409"/>
      <c r="CA70" s="116"/>
      <c r="CB70" s="353">
        <v>-5</v>
      </c>
      <c r="CC70" s="116"/>
      <c r="CD70" s="409"/>
      <c r="CE70" s="116"/>
      <c r="CF70" s="353">
        <v>-6</v>
      </c>
      <c r="CG70" s="116"/>
      <c r="CH70" s="409"/>
      <c r="CI70" s="116"/>
      <c r="CJ70" s="353">
        <v>1</v>
      </c>
      <c r="CK70" s="116"/>
      <c r="CL70" s="409"/>
      <c r="CM70" s="116"/>
      <c r="CN70" s="353">
        <v>-4</v>
      </c>
      <c r="CO70" s="116"/>
      <c r="CP70" s="1163"/>
      <c r="CQ70" s="116"/>
      <c r="CR70" s="353">
        <v>-2</v>
      </c>
      <c r="CS70" s="116"/>
      <c r="CT70" s="1080"/>
      <c r="CU70" s="116"/>
      <c r="CV70" s="2703">
        <v>3</v>
      </c>
      <c r="CW70" s="116"/>
      <c r="CX70" s="1080"/>
      <c r="CY70" s="116"/>
      <c r="CZ70" s="1079">
        <f>EN70</f>
        <v>0.41103217111542378</v>
      </c>
      <c r="DA70" s="116"/>
      <c r="DB70" s="1080"/>
      <c r="DC70" s="116"/>
      <c r="DD70" s="1079">
        <f>ET70</f>
        <v>0</v>
      </c>
      <c r="DE70" s="1081"/>
      <c r="DF70" s="116"/>
      <c r="DG70" s="1080"/>
      <c r="DH70" s="116"/>
      <c r="DI70" s="2523">
        <f>EY70</f>
        <v>0</v>
      </c>
      <c r="DK70" s="116"/>
      <c r="DL70" s="116"/>
      <c r="DM70" s="1080"/>
      <c r="DN70" s="116"/>
      <c r="DO70" s="2523">
        <f>FE70</f>
        <v>0</v>
      </c>
      <c r="DQ70" s="116"/>
      <c r="DR70" s="116"/>
      <c r="DS70" s="1080"/>
      <c r="DT70" s="116"/>
      <c r="DU70" s="2523">
        <f>FK70</f>
        <v>0</v>
      </c>
      <c r="DW70" s="116"/>
      <c r="DX70" s="405">
        <f t="shared" si="50"/>
        <v>0</v>
      </c>
      <c r="DY70" s="405"/>
      <c r="DZ70" s="168"/>
      <c r="EA70" s="168"/>
      <c r="EB70" s="168"/>
      <c r="EC70" s="168"/>
      <c r="ED70" s="168"/>
      <c r="EE70" s="168"/>
      <c r="EF70" s="168"/>
      <c r="EG70" s="168"/>
      <c r="EH70" s="405">
        <f>+CB67*EH67+CB68*EH68+CB69*EH69</f>
        <v>-5.2645598919543319</v>
      </c>
      <c r="EI70" s="405">
        <f>+CF67*EI67+CF68*EI68+CF69*EI69</f>
        <v>-5.7895940650047404</v>
      </c>
      <c r="EJ70" s="405">
        <f>+CJ67*EJ67+CJ68*EJ68+CJ69*EJ69</f>
        <v>1.1261045002856256</v>
      </c>
      <c r="EK70" s="405">
        <f>+CN67*EK67+CN68*EK68+CN69*EK69</f>
        <v>-3.3564783652815953</v>
      </c>
      <c r="EL70" s="405">
        <f>+CR67*EL67+CR68*EL68+CR69*EL69</f>
        <v>-2.1063849633173555</v>
      </c>
      <c r="EM70" s="405">
        <f>+CV67*EM67+CV68*EM68+CV69*EM69</f>
        <v>3.032865894947117</v>
      </c>
      <c r="EN70" s="252">
        <f>+CZ67*EN67+CZ68*EN68+CZ69*EN69</f>
        <v>0.41103217111542378</v>
      </c>
    </row>
    <row r="71" spans="1:149" hidden="1" outlineLevel="1">
      <c r="A71" s="24"/>
      <c r="B71" s="24"/>
      <c r="C71" s="24"/>
      <c r="D71" s="113"/>
      <c r="E71" s="24"/>
      <c r="F71" s="224"/>
      <c r="G71" s="24"/>
      <c r="H71" s="24"/>
      <c r="I71" s="24"/>
      <c r="J71" s="224"/>
      <c r="K71" s="24"/>
      <c r="L71" s="24"/>
      <c r="M71" s="24"/>
      <c r="N71" s="224"/>
      <c r="O71" s="24"/>
      <c r="P71" s="24"/>
      <c r="Q71" s="24"/>
      <c r="R71" s="224"/>
      <c r="S71" s="24"/>
      <c r="T71" s="224"/>
      <c r="U71" s="24"/>
      <c r="V71" s="224"/>
      <c r="W71" s="24"/>
      <c r="X71" s="224"/>
      <c r="Y71" s="24"/>
      <c r="Z71" s="224"/>
      <c r="AA71" s="24"/>
      <c r="AB71" s="224"/>
      <c r="AC71" s="168"/>
      <c r="AD71" s="224"/>
      <c r="AE71" s="24"/>
      <c r="AF71" s="224"/>
      <c r="AG71" s="24"/>
      <c r="AH71" s="224"/>
      <c r="AI71" s="24"/>
      <c r="AJ71" s="224"/>
      <c r="AK71" s="24"/>
      <c r="AL71" s="224"/>
      <c r="AM71" s="24"/>
      <c r="AN71" s="224"/>
      <c r="AO71" s="24"/>
      <c r="AP71" s="224"/>
      <c r="AQ71" s="168"/>
      <c r="AR71" s="224"/>
      <c r="AS71" s="168"/>
      <c r="AT71" s="224"/>
      <c r="AU71" s="24"/>
      <c r="AV71" s="224"/>
      <c r="AW71" s="24"/>
      <c r="AX71" s="224"/>
      <c r="AY71" s="24"/>
      <c r="AZ71" s="224"/>
      <c r="BA71" s="24"/>
      <c r="BB71" s="224"/>
      <c r="BC71" s="24"/>
      <c r="BD71" s="224"/>
      <c r="BE71" s="24"/>
      <c r="BF71" s="411"/>
      <c r="BG71" s="24"/>
      <c r="BH71" s="523"/>
      <c r="BI71" s="24"/>
      <c r="BJ71" s="411"/>
      <c r="BK71" s="24"/>
      <c r="BL71" s="224"/>
      <c r="BM71" s="24"/>
      <c r="BN71" s="411"/>
      <c r="BO71" s="24"/>
      <c r="BP71" s="224"/>
      <c r="BQ71" s="24"/>
      <c r="BR71" s="411"/>
      <c r="BS71" s="24"/>
      <c r="BT71" s="224"/>
      <c r="BU71" s="24"/>
      <c r="BV71" s="411"/>
      <c r="BW71" s="24"/>
      <c r="BX71" s="224"/>
      <c r="BY71" s="24"/>
      <c r="BZ71" s="411"/>
      <c r="CA71" s="24"/>
      <c r="CB71" s="224"/>
      <c r="CC71" s="24"/>
      <c r="CD71" s="411"/>
      <c r="CE71" s="24"/>
      <c r="CF71" s="224"/>
      <c r="CG71" s="24"/>
      <c r="CH71" s="411"/>
      <c r="CI71" s="24"/>
      <c r="CJ71" s="224"/>
      <c r="CK71" s="24"/>
      <c r="CL71" s="411"/>
      <c r="CM71" s="24"/>
      <c r="CN71" s="224"/>
      <c r="CO71" s="24"/>
      <c r="CP71" s="1164"/>
      <c r="CQ71" s="24"/>
      <c r="CR71" s="224"/>
      <c r="CS71" s="24"/>
      <c r="CT71" s="408"/>
      <c r="CU71" s="24"/>
      <c r="CV71" s="2375"/>
      <c r="CW71" s="24"/>
      <c r="CX71" s="408"/>
      <c r="CY71" s="24"/>
      <c r="DA71" s="24"/>
      <c r="DB71" s="408"/>
      <c r="DC71" s="24"/>
      <c r="DF71" s="24"/>
      <c r="DG71" s="408"/>
      <c r="DH71" s="24"/>
      <c r="DI71" s="2524"/>
      <c r="DJ71" s="2524"/>
      <c r="DK71" s="24"/>
      <c r="DL71" s="24"/>
      <c r="DM71" s="408"/>
      <c r="DN71" s="24"/>
      <c r="DO71" s="2524"/>
      <c r="DP71" s="2524"/>
      <c r="DQ71" s="24"/>
      <c r="DR71" s="24"/>
      <c r="DS71" s="408"/>
      <c r="DT71" s="24"/>
      <c r="DU71" s="2524"/>
      <c r="DV71" s="2524"/>
      <c r="DW71" s="24"/>
      <c r="DX71" s="405">
        <f t="shared" si="50"/>
        <v>0</v>
      </c>
      <c r="DY71" s="405"/>
      <c r="DZ71" s="168"/>
      <c r="EA71" s="168"/>
      <c r="EB71" s="168"/>
      <c r="EC71" s="168"/>
      <c r="ED71" s="168"/>
      <c r="EE71" s="168"/>
      <c r="EF71" s="168"/>
      <c r="EG71" s="168"/>
      <c r="EH71" s="168"/>
      <c r="EI71" s="24"/>
      <c r="EJ71" s="24"/>
      <c r="EK71" s="24"/>
      <c r="EL71" s="24"/>
      <c r="EM71" s="24"/>
      <c r="EN71" s="168"/>
    </row>
    <row r="72" spans="1:149" hidden="1" outlineLevel="1">
      <c r="A72" s="31" t="s">
        <v>599</v>
      </c>
      <c r="B72" s="31"/>
      <c r="C72" s="24"/>
      <c r="D72" s="113">
        <f>+D67</f>
        <v>4</v>
      </c>
      <c r="E72" s="24"/>
      <c r="F72" s="286"/>
      <c r="G72" s="24"/>
      <c r="H72" s="176"/>
      <c r="I72" s="24" t="s">
        <v>1084</v>
      </c>
      <c r="J72" s="286" t="str">
        <f>J49</f>
        <v>11/30</v>
      </c>
      <c r="K72" s="24"/>
      <c r="L72" s="176"/>
      <c r="M72" s="24" t="s">
        <v>1084</v>
      </c>
      <c r="N72" s="286" t="str">
        <f>N49</f>
        <v>11/28</v>
      </c>
      <c r="O72" s="24"/>
      <c r="P72" s="176"/>
      <c r="Q72" s="24" t="s">
        <v>1084</v>
      </c>
      <c r="R72" s="286" t="str">
        <f>R49</f>
        <v>11/27</v>
      </c>
      <c r="S72" s="24"/>
      <c r="T72" s="228">
        <v>48</v>
      </c>
      <c r="U72" s="24" t="s">
        <v>1084</v>
      </c>
      <c r="V72" s="286" t="str">
        <f>V49</f>
        <v>11/26</v>
      </c>
      <c r="W72" s="24"/>
      <c r="X72" s="228">
        <v>33</v>
      </c>
      <c r="Y72" s="24" t="s">
        <v>1084</v>
      </c>
      <c r="Z72" s="286" t="str">
        <f>Z49</f>
        <v>11/25</v>
      </c>
      <c r="AA72" s="24"/>
      <c r="AB72" s="228">
        <v>17</v>
      </c>
      <c r="AC72" s="168" t="s">
        <v>1084</v>
      </c>
      <c r="AD72" s="286" t="str">
        <f>AD49</f>
        <v>11/30</v>
      </c>
      <c r="AE72" s="24"/>
      <c r="AF72" s="228">
        <v>10</v>
      </c>
      <c r="AG72" s="24" t="s">
        <v>1084</v>
      </c>
      <c r="AH72" s="286" t="str">
        <f>AH49</f>
        <v>11/29</v>
      </c>
      <c r="AI72" s="24"/>
      <c r="AJ72" s="228">
        <v>12</v>
      </c>
      <c r="AK72" s="24" t="s">
        <v>1084</v>
      </c>
      <c r="AL72" s="286" t="str">
        <f>AL49</f>
        <v>12/2</v>
      </c>
      <c r="AM72" s="24"/>
      <c r="AN72" s="228">
        <v>16</v>
      </c>
      <c r="AO72" s="24" t="s">
        <v>1084</v>
      </c>
      <c r="AP72" s="286" t="str">
        <f>AP49</f>
        <v>11/27</v>
      </c>
      <c r="AQ72" s="168"/>
      <c r="AR72" s="228">
        <v>7</v>
      </c>
      <c r="AS72" s="168" t="s">
        <v>1084</v>
      </c>
      <c r="AT72" s="286" t="str">
        <f>AT49</f>
        <v>11/25</v>
      </c>
      <c r="AU72" s="24"/>
      <c r="AV72" s="228">
        <v>-5</v>
      </c>
      <c r="AW72" s="24" t="s">
        <v>1084</v>
      </c>
      <c r="AX72" s="286" t="str">
        <f>AX49</f>
        <v>12/1</v>
      </c>
      <c r="AY72" s="24"/>
      <c r="AZ72" s="228"/>
      <c r="BA72" s="24"/>
      <c r="BB72" s="286"/>
      <c r="BC72" s="24"/>
      <c r="BD72" s="228"/>
      <c r="BE72" s="24"/>
      <c r="BF72" s="408"/>
      <c r="BG72" s="24"/>
      <c r="BH72" s="228"/>
      <c r="BI72" s="24"/>
      <c r="BJ72" s="408"/>
      <c r="BK72" s="24"/>
      <c r="BL72" s="228"/>
      <c r="BM72" s="24"/>
      <c r="BN72" s="408"/>
      <c r="BO72" s="24"/>
      <c r="BP72" s="228"/>
      <c r="BQ72" s="24"/>
      <c r="BR72" s="408"/>
      <c r="BS72" s="24"/>
      <c r="BT72" s="228"/>
      <c r="BU72" s="24"/>
      <c r="BV72" s="408"/>
      <c r="BW72" s="24"/>
      <c r="BX72" s="228">
        <v>-6</v>
      </c>
      <c r="BY72" s="24"/>
      <c r="BZ72" s="408"/>
      <c r="CA72" s="24"/>
      <c r="CB72" s="228">
        <v>-12</v>
      </c>
      <c r="CC72" s="24"/>
      <c r="CD72" s="408"/>
      <c r="CE72" s="24"/>
      <c r="CF72" s="228">
        <v>-7</v>
      </c>
      <c r="CG72" s="24"/>
      <c r="CH72" s="408"/>
      <c r="CI72" s="24"/>
      <c r="CJ72" s="228">
        <v>-10</v>
      </c>
      <c r="CK72" s="24"/>
      <c r="CL72" s="408"/>
      <c r="CM72" s="24"/>
      <c r="CN72" s="228">
        <v>-7</v>
      </c>
      <c r="CO72" s="24"/>
      <c r="CP72" s="1165">
        <v>41609</v>
      </c>
      <c r="CQ72" s="24"/>
      <c r="CR72" s="228">
        <v>5</v>
      </c>
      <c r="CS72" s="24"/>
      <c r="CT72" s="408">
        <v>41608</v>
      </c>
      <c r="CU72" s="24"/>
      <c r="CV72" s="2708">
        <v>0</v>
      </c>
      <c r="CW72" s="24"/>
      <c r="CX72" s="408">
        <v>41607</v>
      </c>
      <c r="CY72" s="24"/>
      <c r="CZ72" s="933">
        <v>4</v>
      </c>
      <c r="DA72" s="24"/>
      <c r="DB72" s="408">
        <v>41607</v>
      </c>
      <c r="DC72" s="24"/>
      <c r="DD72" s="933">
        <v>4</v>
      </c>
      <c r="DE72" s="933"/>
      <c r="DF72" s="24"/>
      <c r="DG72" s="408">
        <v>41607</v>
      </c>
      <c r="DH72" s="24"/>
      <c r="DI72" s="2519">
        <v>4</v>
      </c>
      <c r="DJ72" s="2519"/>
      <c r="DK72" s="24"/>
      <c r="DL72" s="24"/>
      <c r="DM72" s="408">
        <v>41607</v>
      </c>
      <c r="DN72" s="24"/>
      <c r="DO72" s="2519">
        <v>4</v>
      </c>
      <c r="DP72" s="2519"/>
      <c r="DQ72" s="24"/>
      <c r="DR72" s="24"/>
      <c r="DS72" s="408">
        <v>41607</v>
      </c>
      <c r="DT72" s="24"/>
      <c r="DU72" s="2519">
        <v>4</v>
      </c>
      <c r="DV72" s="2519"/>
      <c r="DW72" s="24"/>
      <c r="DX72" s="405">
        <f t="shared" si="50"/>
        <v>8</v>
      </c>
      <c r="DY72" s="405"/>
      <c r="DZ72" s="168"/>
      <c r="EA72" s="168"/>
      <c r="EB72" s="168"/>
      <c r="EC72" s="168"/>
      <c r="ED72" s="168"/>
      <c r="EE72" s="168"/>
      <c r="EF72" s="168"/>
      <c r="EG72" s="168"/>
      <c r="EH72" s="417">
        <f t="shared" ref="EH72:EI74" si="61">EH49</f>
        <v>0.25261330739890203</v>
      </c>
      <c r="EI72" s="417">
        <f t="shared" si="61"/>
        <v>0.25497996003105067</v>
      </c>
      <c r="EJ72" s="417">
        <f t="shared" ref="EJ72:EK74" si="62">EJ49</f>
        <v>0.25837610185978716</v>
      </c>
      <c r="EK72" s="417">
        <f t="shared" si="62"/>
        <v>0.25837610185978716</v>
      </c>
      <c r="EL72" s="417">
        <f>EL49</f>
        <v>0.25837610185978716</v>
      </c>
      <c r="EM72" s="417">
        <f t="shared" ref="EM72:EN74" si="63">EN49</f>
        <v>0.25889142091187922</v>
      </c>
      <c r="EN72" s="1154">
        <f t="shared" si="63"/>
        <v>0.25889142091187922</v>
      </c>
    </row>
    <row r="73" spans="1:149" hidden="1" outlineLevel="1">
      <c r="A73" s="31" t="s">
        <v>600</v>
      </c>
      <c r="B73" s="31"/>
      <c r="C73" s="24"/>
      <c r="D73" s="113">
        <f>+D68</f>
        <v>5</v>
      </c>
      <c r="E73" s="24"/>
      <c r="F73" s="286"/>
      <c r="G73" s="24"/>
      <c r="H73" s="176"/>
      <c r="I73" s="24"/>
      <c r="J73" s="286" t="str">
        <f>J50</f>
        <v>1/4</v>
      </c>
      <c r="K73" s="24"/>
      <c r="L73" s="176"/>
      <c r="M73" s="24"/>
      <c r="N73" s="286" t="str">
        <f>N50</f>
        <v xml:space="preserve"> 1/2</v>
      </c>
      <c r="O73" s="24"/>
      <c r="P73" s="176"/>
      <c r="Q73" s="24"/>
      <c r="R73" s="286" t="str">
        <f>R50</f>
        <v>1/1</v>
      </c>
      <c r="S73" s="24"/>
      <c r="T73" s="228">
        <v>43</v>
      </c>
      <c r="U73" s="24"/>
      <c r="V73" s="286" t="str">
        <f>V50</f>
        <v>12/31</v>
      </c>
      <c r="W73" s="24"/>
      <c r="X73" s="228">
        <v>40</v>
      </c>
      <c r="Y73" s="24"/>
      <c r="Z73" s="286" t="str">
        <f>Z50</f>
        <v>12/30</v>
      </c>
      <c r="AA73" s="24"/>
      <c r="AB73" s="228">
        <v>18</v>
      </c>
      <c r="AC73" s="168"/>
      <c r="AD73" s="286" t="str">
        <f>AD50</f>
        <v>1/4</v>
      </c>
      <c r="AE73" s="24"/>
      <c r="AF73" s="228">
        <v>18</v>
      </c>
      <c r="AG73" s="24"/>
      <c r="AH73" s="286" t="str">
        <f>AH50</f>
        <v>1/3</v>
      </c>
      <c r="AI73" s="24"/>
      <c r="AJ73" s="228">
        <v>10</v>
      </c>
      <c r="AK73" s="24"/>
      <c r="AL73" s="286" t="str">
        <f>AL50</f>
        <v>1/2</v>
      </c>
      <c r="AM73" s="24"/>
      <c r="AN73" s="228">
        <v>11</v>
      </c>
      <c r="AO73" s="24"/>
      <c r="AP73" s="286" t="str">
        <f>AP50</f>
        <v>1/1</v>
      </c>
      <c r="AQ73" s="168"/>
      <c r="AR73" s="228">
        <v>12</v>
      </c>
      <c r="AS73" s="168"/>
      <c r="AT73" s="286" t="str">
        <f>AT50</f>
        <v>12/30</v>
      </c>
      <c r="AU73" s="24"/>
      <c r="AV73" s="228">
        <v>-1</v>
      </c>
      <c r="AW73" s="24"/>
      <c r="AX73" s="286" t="str">
        <f>AX50</f>
        <v>1/5</v>
      </c>
      <c r="AY73" s="24"/>
      <c r="AZ73" s="228"/>
      <c r="BA73" s="24"/>
      <c r="BB73" s="286"/>
      <c r="BC73" s="24"/>
      <c r="BD73" s="228"/>
      <c r="BE73" s="24"/>
      <c r="BF73" s="408"/>
      <c r="BG73" s="24"/>
      <c r="BH73" s="228"/>
      <c r="BI73" s="24"/>
      <c r="BJ73" s="408"/>
      <c r="BK73" s="24"/>
      <c r="BL73" s="228"/>
      <c r="BM73" s="24"/>
      <c r="BN73" s="408"/>
      <c r="BO73" s="24"/>
      <c r="BP73" s="228"/>
      <c r="BQ73" s="24"/>
      <c r="BR73" s="408"/>
      <c r="BS73" s="24"/>
      <c r="BT73" s="228"/>
      <c r="BU73" s="24"/>
      <c r="BV73" s="408"/>
      <c r="BW73" s="24"/>
      <c r="BX73" s="228">
        <v>-4</v>
      </c>
      <c r="BY73" s="24"/>
      <c r="BZ73" s="408"/>
      <c r="CA73" s="24"/>
      <c r="CB73" s="228">
        <v>-10</v>
      </c>
      <c r="CC73" s="24"/>
      <c r="CD73" s="408"/>
      <c r="CE73" s="24"/>
      <c r="CF73" s="228">
        <v>-4</v>
      </c>
      <c r="CG73" s="24"/>
      <c r="CH73" s="408"/>
      <c r="CI73" s="24"/>
      <c r="CJ73" s="228">
        <v>-7</v>
      </c>
      <c r="CK73" s="24"/>
      <c r="CL73" s="408"/>
      <c r="CM73" s="24"/>
      <c r="CN73" s="228">
        <v>0</v>
      </c>
      <c r="CO73" s="24"/>
      <c r="CP73" s="1165">
        <v>41279</v>
      </c>
      <c r="CQ73" s="24"/>
      <c r="CR73" s="228">
        <v>-9</v>
      </c>
      <c r="CS73" s="24"/>
      <c r="CT73" s="408">
        <v>41278</v>
      </c>
      <c r="CU73" s="24"/>
      <c r="CV73" s="2708">
        <v>-7</v>
      </c>
      <c r="CW73" s="24"/>
      <c r="CX73" s="408">
        <v>41277</v>
      </c>
      <c r="CY73" s="24"/>
      <c r="CZ73" s="933">
        <v>1</v>
      </c>
      <c r="DA73" s="24"/>
      <c r="DB73" s="408">
        <v>41277</v>
      </c>
      <c r="DC73" s="24"/>
      <c r="DD73" s="933">
        <v>1</v>
      </c>
      <c r="DE73" s="933"/>
      <c r="DF73" s="24"/>
      <c r="DG73" s="408">
        <v>41277</v>
      </c>
      <c r="DH73" s="24"/>
      <c r="DI73" s="2519">
        <v>1</v>
      </c>
      <c r="DJ73" s="2519"/>
      <c r="DK73" s="24"/>
      <c r="DL73" s="24"/>
      <c r="DM73" s="408">
        <v>41277</v>
      </c>
      <c r="DN73" s="24"/>
      <c r="DO73" s="2519">
        <v>1</v>
      </c>
      <c r="DP73" s="2519"/>
      <c r="DQ73" s="24"/>
      <c r="DR73" s="24"/>
      <c r="DS73" s="408">
        <v>41277</v>
      </c>
      <c r="DT73" s="24"/>
      <c r="DU73" s="2519">
        <v>1</v>
      </c>
      <c r="DV73" s="2519"/>
      <c r="DW73" s="24"/>
      <c r="DX73" s="405">
        <f t="shared" si="50"/>
        <v>2</v>
      </c>
      <c r="DY73" s="405"/>
      <c r="DZ73" s="168"/>
      <c r="EA73" s="168"/>
      <c r="EB73" s="168"/>
      <c r="EC73" s="168"/>
      <c r="ED73" s="168"/>
      <c r="EE73" s="168"/>
      <c r="EF73" s="168"/>
      <c r="EG73" s="168"/>
      <c r="EH73" s="417">
        <f t="shared" si="61"/>
        <v>0.54962450683403241</v>
      </c>
      <c r="EI73" s="417">
        <f t="shared" si="61"/>
        <v>0.54188546108250435</v>
      </c>
      <c r="EJ73" s="417">
        <f t="shared" si="62"/>
        <v>0.51790954348154428</v>
      </c>
      <c r="EK73" s="417">
        <f t="shared" si="62"/>
        <v>0.51790954348154428</v>
      </c>
      <c r="EL73" s="417">
        <f>EL50</f>
        <v>0.51790954348154428</v>
      </c>
      <c r="EM73" s="417">
        <f t="shared" si="63"/>
        <v>0.54947314220852062</v>
      </c>
      <c r="EN73" s="1154">
        <f t="shared" si="63"/>
        <v>0.54947314220852062</v>
      </c>
    </row>
    <row r="74" spans="1:149" hidden="1" outlineLevel="1">
      <c r="A74" s="31" t="s">
        <v>601</v>
      </c>
      <c r="B74" s="31"/>
      <c r="C74" s="24"/>
      <c r="D74" s="113">
        <f>+D69</f>
        <v>4</v>
      </c>
      <c r="E74" s="24"/>
      <c r="F74" s="286"/>
      <c r="G74" s="24"/>
      <c r="H74" s="175"/>
      <c r="I74" s="24"/>
      <c r="J74" s="286" t="str">
        <f>J51</f>
        <v>2/1</v>
      </c>
      <c r="K74" s="24"/>
      <c r="L74" s="175"/>
      <c r="M74" s="24"/>
      <c r="N74" s="286" t="str">
        <f>N51</f>
        <v xml:space="preserve"> 1/30</v>
      </c>
      <c r="O74" s="24"/>
      <c r="P74" s="175"/>
      <c r="Q74" s="24"/>
      <c r="R74" s="286" t="str">
        <f>R51</f>
        <v>1/29</v>
      </c>
      <c r="S74" s="24"/>
      <c r="T74" s="284">
        <v>38</v>
      </c>
      <c r="U74" s="24"/>
      <c r="V74" s="286" t="str">
        <f>V51</f>
        <v>1/28</v>
      </c>
      <c r="W74" s="24"/>
      <c r="X74" s="284">
        <v>32</v>
      </c>
      <c r="Y74" s="24"/>
      <c r="Z74" s="286" t="str">
        <f>Z51</f>
        <v>2/3</v>
      </c>
      <c r="AA74" s="24"/>
      <c r="AB74" s="284">
        <v>8</v>
      </c>
      <c r="AC74" s="168"/>
      <c r="AD74" s="286" t="str">
        <f>AD51</f>
        <v>2/1</v>
      </c>
      <c r="AE74" s="24"/>
      <c r="AF74" s="284">
        <v>10</v>
      </c>
      <c r="AG74" s="24"/>
      <c r="AH74" s="286" t="str">
        <f>AH51</f>
        <v>1/30</v>
      </c>
      <c r="AI74" s="24"/>
      <c r="AJ74" s="284">
        <v>3</v>
      </c>
      <c r="AK74" s="24"/>
      <c r="AL74" s="286" t="str">
        <f>AL51</f>
        <v>1/30</v>
      </c>
      <c r="AM74" s="24"/>
      <c r="AN74" s="284">
        <v>9</v>
      </c>
      <c r="AO74" s="24"/>
      <c r="AP74" s="286" t="str">
        <f>AP51</f>
        <v>1/29</v>
      </c>
      <c r="AQ74" s="168"/>
      <c r="AR74" s="284">
        <v>17</v>
      </c>
      <c r="AS74" s="168"/>
      <c r="AT74" s="286" t="str">
        <f>AT51</f>
        <v>2/3</v>
      </c>
      <c r="AU74" s="24"/>
      <c r="AV74" s="284">
        <v>1</v>
      </c>
      <c r="AW74" s="24"/>
      <c r="AX74" s="286" t="str">
        <f>AX51</f>
        <v>2/2</v>
      </c>
      <c r="AY74" s="24"/>
      <c r="AZ74" s="284"/>
      <c r="BA74" s="24"/>
      <c r="BB74" s="286"/>
      <c r="BC74" s="24"/>
      <c r="BD74" s="284"/>
      <c r="BE74" s="24"/>
      <c r="BF74" s="408"/>
      <c r="BG74" s="24"/>
      <c r="BH74" s="284"/>
      <c r="BI74" s="24"/>
      <c r="BJ74" s="408"/>
      <c r="BK74" s="24"/>
      <c r="BL74" s="284"/>
      <c r="BM74" s="24"/>
      <c r="BN74" s="408"/>
      <c r="BO74" s="24"/>
      <c r="BP74" s="284"/>
      <c r="BQ74" s="24"/>
      <c r="BR74" s="408"/>
      <c r="BS74" s="24"/>
      <c r="BT74" s="284"/>
      <c r="BU74" s="24"/>
      <c r="BV74" s="408"/>
      <c r="BW74" s="24"/>
      <c r="BX74" s="284">
        <v>6</v>
      </c>
      <c r="BY74" s="24"/>
      <c r="BZ74" s="408"/>
      <c r="CA74" s="24"/>
      <c r="CB74" s="284">
        <v>-9</v>
      </c>
      <c r="CC74" s="24"/>
      <c r="CD74" s="408"/>
      <c r="CE74" s="24"/>
      <c r="CF74" s="284">
        <v>0</v>
      </c>
      <c r="CG74" s="24"/>
      <c r="CH74" s="408"/>
      <c r="CI74" s="24"/>
      <c r="CJ74" s="284">
        <v>8</v>
      </c>
      <c r="CK74" s="24"/>
      <c r="CL74" s="408"/>
      <c r="CM74" s="24"/>
      <c r="CN74" s="284">
        <v>-8</v>
      </c>
      <c r="CO74" s="24"/>
      <c r="CP74" s="1165">
        <v>41307</v>
      </c>
      <c r="CQ74" s="24"/>
      <c r="CR74" s="284">
        <v>15</v>
      </c>
      <c r="CS74" s="24"/>
      <c r="CT74" s="408">
        <v>41306</v>
      </c>
      <c r="CU74" s="24"/>
      <c r="CV74" s="2739">
        <v>4</v>
      </c>
      <c r="CW74" s="24"/>
      <c r="CX74" s="408">
        <v>41305</v>
      </c>
      <c r="CY74" s="24"/>
      <c r="CZ74" s="934">
        <v>4</v>
      </c>
      <c r="DA74" s="24"/>
      <c r="DB74" s="408">
        <v>41305</v>
      </c>
      <c r="DC74" s="24"/>
      <c r="DD74" s="934">
        <v>4</v>
      </c>
      <c r="DE74" s="933"/>
      <c r="DF74" s="24"/>
      <c r="DG74" s="408">
        <v>41305</v>
      </c>
      <c r="DH74" s="24"/>
      <c r="DI74" s="2520">
        <v>4</v>
      </c>
      <c r="DJ74" s="2519"/>
      <c r="DK74" s="24"/>
      <c r="DL74" s="24"/>
      <c r="DM74" s="408">
        <v>41305</v>
      </c>
      <c r="DN74" s="24"/>
      <c r="DO74" s="2520">
        <v>4</v>
      </c>
      <c r="DP74" s="2519"/>
      <c r="DQ74" s="24"/>
      <c r="DR74" s="24"/>
      <c r="DS74" s="408">
        <v>41305</v>
      </c>
      <c r="DT74" s="24"/>
      <c r="DU74" s="2520">
        <v>4</v>
      </c>
      <c r="DV74" s="2519"/>
      <c r="DW74" s="24"/>
      <c r="DX74" s="405">
        <f t="shared" si="50"/>
        <v>8</v>
      </c>
      <c r="DY74" s="405"/>
      <c r="DZ74" s="168"/>
      <c r="EA74" s="168"/>
      <c r="EB74" s="168"/>
      <c r="EC74" s="168"/>
      <c r="ED74" s="168"/>
      <c r="EE74" s="168"/>
      <c r="EF74" s="168"/>
      <c r="EG74" s="168"/>
      <c r="EH74" s="427">
        <f t="shared" si="61"/>
        <v>0.19776218576706556</v>
      </c>
      <c r="EI74" s="427">
        <f t="shared" si="61"/>
        <v>0.20313457888644498</v>
      </c>
      <c r="EJ74" s="427">
        <f t="shared" si="62"/>
        <v>0.22371435465866857</v>
      </c>
      <c r="EK74" s="427">
        <f t="shared" si="62"/>
        <v>0.22371435465866857</v>
      </c>
      <c r="EL74" s="427">
        <f>EL51</f>
        <v>0.22371435465866857</v>
      </c>
      <c r="EM74" s="427">
        <f t="shared" si="63"/>
        <v>0.19163543687960016</v>
      </c>
      <c r="EN74" s="1153">
        <f t="shared" si="63"/>
        <v>0.19163543687960016</v>
      </c>
    </row>
    <row r="75" spans="1:149" hidden="1" outlineLevel="1">
      <c r="A75" s="118"/>
      <c r="B75" s="118" t="s">
        <v>519</v>
      </c>
      <c r="C75" s="116"/>
      <c r="D75" s="116"/>
      <c r="E75" s="116"/>
      <c r="F75" s="245"/>
      <c r="G75" s="116"/>
      <c r="H75" s="177"/>
      <c r="I75" s="116"/>
      <c r="J75" s="245"/>
      <c r="K75" s="116"/>
      <c r="L75" s="177"/>
      <c r="M75" s="116"/>
      <c r="N75" s="245"/>
      <c r="O75" s="116"/>
      <c r="P75" s="177"/>
      <c r="Q75" s="116"/>
      <c r="R75" s="245"/>
      <c r="S75" s="116"/>
      <c r="T75" s="353">
        <v>43</v>
      </c>
      <c r="U75" s="116"/>
      <c r="V75" s="245"/>
      <c r="W75" s="116"/>
      <c r="X75" s="353">
        <v>38</v>
      </c>
      <c r="Y75" s="116"/>
      <c r="Z75" s="245"/>
      <c r="AA75" s="116"/>
      <c r="AB75" s="353">
        <v>17</v>
      </c>
      <c r="AC75" s="245"/>
      <c r="AD75" s="245"/>
      <c r="AE75" s="116"/>
      <c r="AF75" s="353">
        <v>15</v>
      </c>
      <c r="AG75" s="116"/>
      <c r="AH75" s="245"/>
      <c r="AI75" s="116"/>
      <c r="AJ75" s="353">
        <v>10</v>
      </c>
      <c r="AK75" s="116"/>
      <c r="AL75" s="245"/>
      <c r="AM75" s="116"/>
      <c r="AN75" s="353">
        <v>12</v>
      </c>
      <c r="AO75" s="116"/>
      <c r="AP75" s="245"/>
      <c r="AQ75" s="245"/>
      <c r="AR75" s="353">
        <v>11</v>
      </c>
      <c r="AS75" s="245"/>
      <c r="AT75" s="245"/>
      <c r="AU75" s="116"/>
      <c r="AV75" s="353">
        <v>-2</v>
      </c>
      <c r="AW75" s="116"/>
      <c r="AX75" s="245"/>
      <c r="AY75" s="116"/>
      <c r="AZ75" s="353"/>
      <c r="BA75" s="116"/>
      <c r="BB75" s="245"/>
      <c r="BC75" s="116"/>
      <c r="BD75" s="353"/>
      <c r="BE75" s="116"/>
      <c r="BF75" s="245"/>
      <c r="BG75" s="116"/>
      <c r="BH75" s="353"/>
      <c r="BI75" s="116"/>
      <c r="BJ75" s="245"/>
      <c r="BK75" s="116"/>
      <c r="BL75" s="353"/>
      <c r="BM75" s="116"/>
      <c r="BN75" s="245"/>
      <c r="BO75" s="116"/>
      <c r="BP75" s="353"/>
      <c r="BQ75" s="116"/>
      <c r="BR75" s="245"/>
      <c r="BS75" s="116"/>
      <c r="BT75" s="353"/>
      <c r="BU75" s="116"/>
      <c r="BV75" s="245"/>
      <c r="BW75" s="116"/>
      <c r="BX75" s="353">
        <v>-3</v>
      </c>
      <c r="BY75" s="116"/>
      <c r="BZ75" s="245"/>
      <c r="CA75" s="116"/>
      <c r="CB75" s="353">
        <v>-10</v>
      </c>
      <c r="CC75" s="116"/>
      <c r="CD75" s="245"/>
      <c r="CE75" s="116"/>
      <c r="CF75" s="353">
        <v>-4</v>
      </c>
      <c r="CG75" s="116"/>
      <c r="CH75" s="245"/>
      <c r="CI75" s="116"/>
      <c r="CJ75" s="353">
        <v>-5</v>
      </c>
      <c r="CK75" s="116"/>
      <c r="CL75" s="245"/>
      <c r="CM75" s="116"/>
      <c r="CN75" s="1078">
        <f>EK75</f>
        <v>-3.5983475502878584</v>
      </c>
      <c r="CO75" s="116"/>
      <c r="CP75" s="245"/>
      <c r="CQ75" s="116"/>
      <c r="CR75" s="1078">
        <v>0</v>
      </c>
      <c r="CS75" s="116"/>
      <c r="CT75" s="116"/>
      <c r="CU75" s="116"/>
      <c r="CV75" s="2703">
        <v>-3</v>
      </c>
      <c r="CW75" s="116"/>
      <c r="CX75" s="116"/>
      <c r="CY75" s="116"/>
      <c r="CZ75" s="1079">
        <f>EN75</f>
        <v>2.3515805733744379</v>
      </c>
      <c r="DA75" s="116"/>
      <c r="DB75" s="116"/>
      <c r="DC75" s="116"/>
      <c r="DD75" s="1079">
        <f>ET75</f>
        <v>0</v>
      </c>
      <c r="DE75" s="1081"/>
      <c r="DF75" s="116"/>
      <c r="DG75" s="116"/>
      <c r="DH75" s="116"/>
      <c r="DI75" s="2523">
        <f>EY75</f>
        <v>0</v>
      </c>
      <c r="DK75" s="116"/>
      <c r="DL75" s="116"/>
      <c r="DM75" s="116"/>
      <c r="DN75" s="116"/>
      <c r="DO75" s="2523">
        <f>FE75</f>
        <v>0</v>
      </c>
      <c r="DQ75" s="116"/>
      <c r="DR75" s="116"/>
      <c r="DS75" s="116"/>
      <c r="DT75" s="116"/>
      <c r="DU75" s="2523">
        <f>FK75</f>
        <v>0</v>
      </c>
      <c r="DW75" s="116"/>
      <c r="DX75" s="405">
        <f t="shared" si="50"/>
        <v>0</v>
      </c>
      <c r="DY75" s="405"/>
      <c r="DZ75" s="168"/>
      <c r="EA75" s="168"/>
      <c r="EB75" s="168"/>
      <c r="EC75" s="168"/>
      <c r="ED75" s="168"/>
      <c r="EE75" s="168"/>
      <c r="EF75" s="168"/>
      <c r="EG75" s="168"/>
      <c r="EH75" s="405">
        <f>+CB72*EH72+CB73*EH73+CB74*EH74</f>
        <v>-10.307464429030738</v>
      </c>
      <c r="EI75" s="405">
        <f>+CF72*EI72+CF73*EI73+CF74*EI74</f>
        <v>-3.952401564547372</v>
      </c>
      <c r="EJ75" s="405">
        <f>+CJ72*EJ72+CJ73*EJ73+CJ74*EJ74</f>
        <v>-4.4194129856993332</v>
      </c>
      <c r="EK75" s="405">
        <f>+CN72*EK72+CN73*EK73+CN74*EK74</f>
        <v>-3.5983475502878584</v>
      </c>
      <c r="EL75" s="405">
        <f>+CR72*EL72+CR73*EL73+CR74*EL74</f>
        <v>-1.3590062154934301E-2</v>
      </c>
      <c r="EM75" s="405">
        <f>+CV72*EM72+CV73*EM73+CV74*EM74</f>
        <v>-3.0797702479412439</v>
      </c>
      <c r="EN75" s="252">
        <f>+CZ72*EN72+CZ73*EN73+CZ74*EN74</f>
        <v>2.3515805733744379</v>
      </c>
    </row>
    <row r="76" spans="1:149" hidden="1" outlineLevel="1">
      <c r="A76" s="552"/>
      <c r="B76" s="552" t="s">
        <v>1020</v>
      </c>
      <c r="C76" s="553"/>
      <c r="D76" s="553"/>
      <c r="E76" s="553"/>
      <c r="F76" s="554"/>
      <c r="G76" s="554"/>
      <c r="H76" s="555"/>
      <c r="I76" s="554"/>
      <c r="J76" s="554"/>
      <c r="K76" s="554"/>
      <c r="L76" s="555"/>
      <c r="M76" s="554"/>
      <c r="N76" s="554"/>
      <c r="O76" s="554"/>
      <c r="P76" s="555"/>
      <c r="Q76" s="554"/>
      <c r="R76" s="554"/>
      <c r="S76" s="554"/>
      <c r="T76" s="561">
        <v>44</v>
      </c>
      <c r="U76" s="554"/>
      <c r="V76" s="554"/>
      <c r="W76" s="554"/>
      <c r="X76" s="561">
        <v>39</v>
      </c>
      <c r="Y76" s="554"/>
      <c r="Z76" s="554"/>
      <c r="AA76" s="554"/>
      <c r="AB76" s="561">
        <v>21</v>
      </c>
      <c r="AC76" s="554"/>
      <c r="AD76" s="554"/>
      <c r="AE76" s="554"/>
      <c r="AF76" s="556">
        <v>11</v>
      </c>
      <c r="AG76" s="554"/>
      <c r="AH76" s="554"/>
      <c r="AI76" s="553"/>
      <c r="AJ76" s="556">
        <v>11</v>
      </c>
      <c r="AK76" s="553"/>
      <c r="AL76" s="554"/>
      <c r="AM76" s="553"/>
      <c r="AN76" s="556">
        <v>7</v>
      </c>
      <c r="AO76" s="553"/>
      <c r="AP76" s="554"/>
      <c r="AQ76" s="554"/>
      <c r="AR76" s="556">
        <v>11</v>
      </c>
      <c r="AS76" s="554"/>
      <c r="AT76" s="554"/>
      <c r="AU76" s="553"/>
      <c r="AV76" s="557">
        <v>1</v>
      </c>
      <c r="AW76" s="553"/>
      <c r="AX76" s="554"/>
      <c r="AY76" s="553"/>
      <c r="AZ76" s="557"/>
      <c r="BA76" s="553"/>
      <c r="BB76" s="554"/>
      <c r="BC76" s="553"/>
      <c r="BD76" s="562"/>
      <c r="BE76" s="553"/>
      <c r="BF76" s="554"/>
      <c r="BG76" s="553"/>
      <c r="BH76" s="562"/>
      <c r="BI76" s="553"/>
      <c r="BJ76" s="554"/>
      <c r="BK76" s="553"/>
      <c r="BL76" s="562"/>
      <c r="BM76" s="553"/>
      <c r="BN76" s="554"/>
      <c r="BO76" s="553"/>
      <c r="BP76" s="562"/>
      <c r="BQ76" s="553"/>
      <c r="BR76" s="554"/>
      <c r="BS76" s="553"/>
      <c r="BT76" s="562"/>
      <c r="BU76" s="553"/>
      <c r="BV76" s="554"/>
      <c r="BW76" s="553"/>
      <c r="BX76" s="562">
        <v>6</v>
      </c>
      <c r="BY76" s="553"/>
      <c r="BZ76" s="554"/>
      <c r="CA76" s="553"/>
      <c r="CB76" s="562">
        <v>-3</v>
      </c>
      <c r="CC76" s="553"/>
      <c r="CD76" s="554"/>
      <c r="CE76" s="553"/>
      <c r="CF76" s="562">
        <v>-8</v>
      </c>
      <c r="CG76" s="553"/>
      <c r="CH76" s="554"/>
      <c r="CI76" s="553"/>
      <c r="CJ76" s="563">
        <f>segqtrSales!$F$410</f>
        <v>-0.65293822199899543</v>
      </c>
      <c r="CK76" s="553"/>
      <c r="CL76" s="554"/>
      <c r="CM76" s="553"/>
      <c r="CN76" s="563">
        <f>segqtrSales!$F$417</f>
        <v>-2.5078174963943356</v>
      </c>
      <c r="CO76" s="553"/>
      <c r="CP76" s="554"/>
      <c r="CQ76" s="553"/>
      <c r="CR76" s="562">
        <v>-2</v>
      </c>
      <c r="CS76" s="553"/>
      <c r="CT76" s="553"/>
      <c r="CU76" s="553"/>
      <c r="CV76" s="2740">
        <v>2</v>
      </c>
      <c r="CW76" s="553"/>
      <c r="CX76" s="553"/>
      <c r="CY76" s="553"/>
      <c r="CZ76" s="563">
        <f>segqtrSales!$F$438</f>
        <v>-7.1819609540175646</v>
      </c>
      <c r="DA76" s="553"/>
      <c r="DB76" s="553"/>
      <c r="DC76" s="553"/>
      <c r="DD76" s="563">
        <f>segqtrSales!$F$438</f>
        <v>-7.1819609540175646</v>
      </c>
      <c r="DE76" s="563"/>
      <c r="DF76" s="553"/>
      <c r="DG76" s="553"/>
      <c r="DH76" s="553"/>
      <c r="DI76" s="2525">
        <f>segqtrSales!$F$438</f>
        <v>-7.1819609540175646</v>
      </c>
      <c r="DJ76" s="2525"/>
      <c r="DK76" s="553"/>
      <c r="DL76" s="553"/>
      <c r="DM76" s="553"/>
      <c r="DN76" s="553"/>
      <c r="DO76" s="2525">
        <f>segqtrSales!$F$438</f>
        <v>-7.1819609540175646</v>
      </c>
      <c r="DP76" s="2525"/>
      <c r="DQ76" s="553"/>
      <c r="DR76" s="553"/>
      <c r="DS76" s="553"/>
      <c r="DT76" s="553"/>
      <c r="DU76" s="2525">
        <f>segqtrSales!$F$438</f>
        <v>-7.1819609540175646</v>
      </c>
      <c r="DV76" s="2525"/>
      <c r="DW76" s="553"/>
      <c r="DX76" s="405">
        <f t="shared" si="50"/>
        <v>-14.363921908035129</v>
      </c>
      <c r="DY76" s="405"/>
      <c r="DZ76" s="168"/>
      <c r="EA76" s="168"/>
      <c r="EB76" s="168"/>
      <c r="EC76" s="168"/>
      <c r="ED76" s="168"/>
      <c r="EE76" s="168"/>
      <c r="EF76" s="168"/>
      <c r="EG76" s="168"/>
      <c r="EH76" s="168"/>
      <c r="EI76" s="405"/>
      <c r="EJ76" s="405"/>
      <c r="EK76" s="405"/>
      <c r="EN76" s="966"/>
    </row>
    <row r="77" spans="1:149" hidden="1" outlineLevel="1">
      <c r="A77" s="821"/>
      <c r="B77" s="821"/>
      <c r="C77" s="301"/>
      <c r="D77" s="301"/>
      <c r="E77" s="301"/>
      <c r="F77" s="614"/>
      <c r="G77" s="614"/>
      <c r="H77" s="822"/>
      <c r="I77" s="614"/>
      <c r="J77" s="614"/>
      <c r="K77" s="614"/>
      <c r="L77" s="822"/>
      <c r="M77" s="614"/>
      <c r="N77" s="614"/>
      <c r="O77" s="614"/>
      <c r="P77" s="822"/>
      <c r="Q77" s="614"/>
      <c r="R77" s="614"/>
      <c r="S77" s="614"/>
      <c r="T77" s="823"/>
      <c r="U77" s="614"/>
      <c r="V77" s="614"/>
      <c r="W77" s="614"/>
      <c r="X77" s="823"/>
      <c r="Y77" s="614"/>
      <c r="Z77" s="614"/>
      <c r="AA77" s="614"/>
      <c r="AB77" s="823"/>
      <c r="AC77" s="614"/>
      <c r="AD77" s="614"/>
      <c r="AE77" s="614"/>
      <c r="AF77" s="824"/>
      <c r="AG77" s="614"/>
      <c r="AH77" s="614"/>
      <c r="AI77" s="301"/>
      <c r="AJ77" s="824"/>
      <c r="AK77" s="301"/>
      <c r="AL77" s="614"/>
      <c r="AM77" s="301"/>
      <c r="AN77" s="824"/>
      <c r="AO77" s="301"/>
      <c r="AP77" s="614"/>
      <c r="AQ77" s="614"/>
      <c r="AR77" s="824"/>
      <c r="AS77" s="614"/>
      <c r="AT77" s="614"/>
      <c r="AU77" s="301"/>
      <c r="AV77" s="825"/>
      <c r="AW77" s="301"/>
      <c r="AX77" s="614"/>
      <c r="AY77" s="168"/>
      <c r="AZ77" s="168"/>
      <c r="BA77" s="168"/>
      <c r="BB77" s="168"/>
      <c r="BC77" s="168"/>
      <c r="BD77" s="168"/>
      <c r="BE77" s="168"/>
      <c r="BF77" s="168"/>
      <c r="BG77" s="168"/>
      <c r="BH77" s="168"/>
      <c r="BI77" s="168"/>
      <c r="BJ77" s="168"/>
      <c r="BK77" s="168"/>
      <c r="BL77" s="168"/>
      <c r="BM77" s="168"/>
      <c r="BN77" s="168"/>
      <c r="BO77" s="168"/>
      <c r="BP77" s="168"/>
      <c r="BQ77" s="168"/>
      <c r="BR77" s="168"/>
      <c r="BS77" s="168"/>
      <c r="BT77" s="168"/>
      <c r="BU77" s="168"/>
      <c r="BV77" s="168"/>
      <c r="BW77" s="168"/>
      <c r="BX77" s="168"/>
      <c r="BY77" s="168"/>
      <c r="BZ77" s="168"/>
      <c r="CA77" s="168"/>
      <c r="CB77" s="168"/>
      <c r="CC77" s="168"/>
      <c r="CD77" s="168"/>
      <c r="CE77" s="168"/>
      <c r="CF77" s="168"/>
      <c r="CG77" s="168"/>
      <c r="CH77" s="168"/>
      <c r="CI77" s="168"/>
      <c r="CJ77" s="168"/>
      <c r="CK77" s="168"/>
      <c r="CL77" s="168"/>
      <c r="CM77" s="168"/>
      <c r="CN77" s="168"/>
      <c r="CO77" s="168"/>
      <c r="CP77" s="168"/>
      <c r="CQ77" s="168"/>
      <c r="CR77" s="168"/>
      <c r="CS77" s="168"/>
      <c r="CT77" s="168"/>
      <c r="CU77" s="168"/>
      <c r="CV77" s="2159"/>
      <c r="CW77" s="168"/>
      <c r="CX77" s="168"/>
      <c r="CY77" s="168"/>
      <c r="CZ77" s="168"/>
      <c r="DA77" s="168"/>
      <c r="DB77" s="168"/>
      <c r="DC77" s="168"/>
      <c r="DD77" s="168"/>
      <c r="DE77" s="168"/>
      <c r="DF77" s="168"/>
      <c r="DG77" s="168"/>
      <c r="DH77" s="168"/>
      <c r="DK77" s="168"/>
      <c r="DL77" s="168"/>
      <c r="DM77" s="168"/>
      <c r="DN77" s="168"/>
      <c r="DQ77" s="168"/>
      <c r="DR77" s="168"/>
      <c r="DS77" s="168"/>
      <c r="DT77" s="168"/>
      <c r="DW77" s="168"/>
      <c r="DX77" s="405">
        <f t="shared" si="50"/>
        <v>0</v>
      </c>
      <c r="DY77" s="405"/>
      <c r="DZ77" s="168"/>
      <c r="EA77" s="168"/>
      <c r="EB77" s="168"/>
      <c r="EC77" s="168"/>
      <c r="ED77" s="168"/>
      <c r="EE77" s="168"/>
      <c r="EF77" s="168"/>
      <c r="EG77" s="168"/>
      <c r="EH77" s="168"/>
      <c r="EI77" s="168"/>
      <c r="EJ77" s="168"/>
      <c r="EK77" s="168"/>
      <c r="EN77" s="966"/>
    </row>
    <row r="78" spans="1:149" collapsed="1">
      <c r="A78" s="215" t="s">
        <v>973</v>
      </c>
      <c r="B78" s="215"/>
      <c r="C78" s="216"/>
      <c r="D78" s="215"/>
      <c r="E78" s="215"/>
      <c r="F78" s="217"/>
      <c r="G78" s="215"/>
      <c r="H78" s="218"/>
      <c r="I78" s="218"/>
      <c r="J78" s="217"/>
      <c r="K78" s="215"/>
      <c r="L78" s="218"/>
      <c r="M78" s="218"/>
      <c r="N78" s="217"/>
      <c r="O78" s="215"/>
      <c r="P78" s="218"/>
      <c r="Q78" s="218"/>
      <c r="R78" s="217"/>
      <c r="S78" s="215"/>
      <c r="T78" s="218"/>
      <c r="U78" s="218"/>
      <c r="V78" s="217"/>
      <c r="W78" s="215"/>
      <c r="X78" s="218"/>
      <c r="Y78" s="218"/>
      <c r="Z78" s="217"/>
      <c r="AA78" s="215"/>
      <c r="AB78" s="218"/>
      <c r="AC78" s="218"/>
      <c r="AD78" s="217"/>
      <c r="AE78" s="215"/>
      <c r="AF78" s="218"/>
      <c r="AG78" s="218"/>
      <c r="AH78" s="217"/>
      <c r="AI78" s="215"/>
      <c r="AJ78" s="218"/>
      <c r="AK78" s="218"/>
      <c r="AL78" s="217"/>
      <c r="AM78" s="215"/>
      <c r="AN78" s="218"/>
      <c r="AO78" s="218"/>
      <c r="AP78" s="217"/>
      <c r="AQ78" s="215"/>
      <c r="AR78" s="218"/>
      <c r="AS78" s="218"/>
      <c r="AT78" s="217"/>
      <c r="AU78" s="215"/>
      <c r="AV78" s="218"/>
      <c r="AW78" s="218"/>
      <c r="AX78" s="217"/>
      <c r="AY78" s="215"/>
      <c r="AZ78" s="218"/>
      <c r="BA78" s="218"/>
      <c r="BB78" s="217"/>
      <c r="BC78" s="215"/>
      <c r="BD78" s="218"/>
      <c r="BE78" s="218"/>
      <c r="BF78" s="217"/>
      <c r="BG78" s="215"/>
      <c r="BH78" s="218"/>
      <c r="BI78" s="218"/>
      <c r="BJ78" s="217"/>
      <c r="BK78" s="215"/>
      <c r="BL78" s="218"/>
      <c r="BM78" s="218"/>
      <c r="BN78" s="217"/>
      <c r="BO78" s="215"/>
      <c r="BP78" s="218"/>
      <c r="BQ78" s="218"/>
      <c r="BR78" s="217"/>
      <c r="BS78" s="215"/>
      <c r="BT78" s="218"/>
      <c r="BU78" s="218"/>
      <c r="BV78" s="217"/>
      <c r="BW78" s="215"/>
      <c r="BX78" s="218"/>
      <c r="BY78" s="218"/>
      <c r="BZ78" s="217"/>
      <c r="CA78" s="215"/>
      <c r="CB78" s="218"/>
      <c r="CC78" s="218"/>
      <c r="CD78" s="217"/>
      <c r="CE78" s="215"/>
      <c r="CF78" s="218"/>
      <c r="CG78" s="218"/>
      <c r="CH78" s="217"/>
      <c r="CI78" s="215"/>
      <c r="CJ78" s="218"/>
      <c r="CK78" s="218"/>
      <c r="CL78" s="217"/>
      <c r="CM78" s="215"/>
      <c r="CN78" s="218"/>
      <c r="CO78" s="218"/>
      <c r="CP78" s="217"/>
      <c r="CQ78" s="215"/>
      <c r="CR78" s="218"/>
      <c r="CS78" s="218"/>
      <c r="CT78" s="218"/>
      <c r="CU78" s="218"/>
      <c r="CV78" s="2741"/>
      <c r="CW78" s="218"/>
      <c r="CX78" s="218"/>
      <c r="CY78" s="218"/>
      <c r="CZ78" s="218"/>
      <c r="DA78" s="218"/>
      <c r="DB78" s="218"/>
      <c r="DC78" s="218"/>
      <c r="DD78" s="218"/>
      <c r="DE78" s="218"/>
      <c r="DF78" s="218"/>
      <c r="DG78" s="218"/>
      <c r="DH78" s="218"/>
      <c r="DK78" s="218"/>
      <c r="DL78" s="218"/>
      <c r="DM78" s="218"/>
      <c r="DN78" s="218"/>
      <c r="DQ78" s="218"/>
      <c r="DR78" s="218"/>
      <c r="DS78" s="218"/>
      <c r="DT78" s="218"/>
      <c r="DW78" s="218"/>
      <c r="DX78" s="405"/>
      <c r="DY78" s="405"/>
      <c r="DZ78" s="218"/>
      <c r="EA78" s="218"/>
      <c r="EB78" s="218"/>
      <c r="EC78" s="218"/>
      <c r="ED78" s="218"/>
      <c r="EE78" s="218"/>
      <c r="EF78" s="218"/>
      <c r="EG78" s="218"/>
      <c r="EH78" s="218"/>
      <c r="EI78" s="215"/>
      <c r="EJ78" s="215"/>
      <c r="EK78" s="215"/>
      <c r="EN78" s="966"/>
    </row>
    <row r="79" spans="1:149">
      <c r="A79" s="223"/>
      <c r="B79" s="223"/>
      <c r="C79" s="168"/>
      <c r="D79" s="168"/>
      <c r="E79" s="168"/>
      <c r="F79" s="168"/>
      <c r="G79" s="168"/>
      <c r="H79" s="168"/>
      <c r="I79" s="168"/>
      <c r="J79" s="168"/>
      <c r="K79" s="168"/>
      <c r="L79" s="168"/>
      <c r="M79" s="168"/>
      <c r="N79" s="168"/>
      <c r="O79" s="168"/>
      <c r="P79" s="168"/>
      <c r="Q79" s="168"/>
      <c r="R79" s="168"/>
      <c r="S79" s="168"/>
      <c r="T79" s="168"/>
      <c r="U79" s="168"/>
      <c r="V79" s="168"/>
      <c r="W79" s="168"/>
      <c r="X79" s="168"/>
      <c r="Y79" s="168"/>
      <c r="Z79" s="168"/>
      <c r="AA79" s="168"/>
      <c r="AB79" s="168"/>
      <c r="AC79" s="168"/>
      <c r="AD79" s="168"/>
      <c r="AE79" s="254"/>
      <c r="AF79" s="168"/>
      <c r="AG79" s="168"/>
      <c r="AH79" s="168"/>
      <c r="AI79" s="168"/>
      <c r="AJ79" s="168"/>
      <c r="AK79" s="168"/>
      <c r="AL79" s="168"/>
      <c r="AM79" s="168"/>
      <c r="AN79" s="168"/>
      <c r="AO79" s="168"/>
      <c r="AP79" s="168"/>
      <c r="AQ79" s="168"/>
      <c r="AR79" s="168"/>
      <c r="AS79" s="168"/>
      <c r="AT79" s="168"/>
      <c r="AU79" s="168"/>
      <c r="AV79" s="168"/>
      <c r="AW79" s="168"/>
      <c r="AX79" s="168"/>
      <c r="AY79" s="168"/>
      <c r="AZ79" s="168"/>
      <c r="BA79" s="168"/>
      <c r="BB79" s="168"/>
      <c r="BC79" s="168"/>
      <c r="BD79" s="168"/>
      <c r="BE79" s="168"/>
      <c r="BF79" s="168"/>
      <c r="BG79" s="168"/>
      <c r="BH79" s="168"/>
      <c r="BI79" s="168"/>
      <c r="BJ79" s="168"/>
      <c r="BK79" s="168"/>
      <c r="BL79" s="168"/>
      <c r="BM79" s="168"/>
      <c r="BN79" s="168"/>
      <c r="BO79" s="168"/>
      <c r="BP79" s="168"/>
      <c r="BQ79" s="168"/>
      <c r="BR79" s="168"/>
      <c r="BS79" s="168"/>
      <c r="BT79" s="168"/>
      <c r="BU79" s="168"/>
      <c r="BV79" s="168"/>
      <c r="BW79" s="168"/>
      <c r="BX79" s="168"/>
      <c r="BY79" s="168"/>
      <c r="BZ79" s="168"/>
      <c r="CA79" s="168"/>
      <c r="CB79" s="168"/>
      <c r="CC79" s="168"/>
      <c r="CD79" s="168"/>
      <c r="CE79" s="168"/>
      <c r="CF79" s="168"/>
      <c r="CG79" s="168"/>
      <c r="CH79" s="168"/>
      <c r="CI79" s="168"/>
      <c r="CJ79" s="168"/>
      <c r="CK79" s="168"/>
      <c r="CL79" s="168"/>
      <c r="CM79" s="168"/>
      <c r="CN79" s="168"/>
      <c r="CO79" s="168"/>
      <c r="CP79" s="168"/>
      <c r="CQ79" s="168"/>
      <c r="CR79" s="168"/>
      <c r="CS79" s="168"/>
      <c r="CT79" s="168"/>
      <c r="CU79" s="168"/>
      <c r="CV79" s="168"/>
      <c r="CW79" s="168"/>
      <c r="CX79" s="168"/>
      <c r="CY79" s="168"/>
      <c r="CZ79" s="168"/>
      <c r="DA79" s="168"/>
      <c r="DB79" s="168"/>
      <c r="DC79" s="168"/>
      <c r="DD79" s="168"/>
      <c r="DE79" s="168"/>
      <c r="DF79" s="168"/>
      <c r="DG79" s="2913" t="s">
        <v>1304</v>
      </c>
      <c r="DH79" s="2913"/>
      <c r="DI79" s="2913"/>
      <c r="DJ79" s="2913"/>
      <c r="DK79" s="2913"/>
      <c r="DL79" s="168"/>
      <c r="DM79" s="2913" t="s">
        <v>1304</v>
      </c>
      <c r="DN79" s="2913"/>
      <c r="DO79" s="2913"/>
      <c r="DP79" s="2913"/>
      <c r="DQ79" s="2913"/>
      <c r="DR79" s="168"/>
      <c r="DS79" s="2913" t="s">
        <v>1304</v>
      </c>
      <c r="DT79" s="2913"/>
      <c r="DU79" s="2913"/>
      <c r="DV79" s="2913"/>
      <c r="DW79" s="2913"/>
      <c r="DX79" s="405"/>
      <c r="DY79" s="405"/>
      <c r="DZ79" s="424"/>
      <c r="EA79" s="424"/>
      <c r="EB79" s="424"/>
      <c r="EC79" s="424"/>
      <c r="ED79" s="424"/>
      <c r="EE79" s="424"/>
      <c r="EF79" s="424">
        <v>2006</v>
      </c>
      <c r="EG79" s="424">
        <f t="shared" ref="EG79:EL79" si="64">+EF79+1</f>
        <v>2007</v>
      </c>
      <c r="EH79" s="424">
        <f t="shared" si="64"/>
        <v>2008</v>
      </c>
      <c r="EI79" s="424">
        <f t="shared" si="64"/>
        <v>2009</v>
      </c>
      <c r="EJ79" s="424">
        <f t="shared" si="64"/>
        <v>2010</v>
      </c>
      <c r="EK79" s="424">
        <f t="shared" si="64"/>
        <v>2011</v>
      </c>
      <c r="EL79" s="424">
        <f t="shared" si="64"/>
        <v>2012</v>
      </c>
      <c r="EM79" s="424">
        <f t="shared" ref="EM79:ER79" si="65">+EL79+1</f>
        <v>2013</v>
      </c>
      <c r="EN79" s="424">
        <f t="shared" si="65"/>
        <v>2014</v>
      </c>
      <c r="EO79" s="424">
        <f t="shared" si="65"/>
        <v>2015</v>
      </c>
      <c r="EP79" s="424">
        <f t="shared" si="65"/>
        <v>2016</v>
      </c>
      <c r="EQ79" s="424">
        <f t="shared" si="65"/>
        <v>2017</v>
      </c>
      <c r="ER79" s="424">
        <f t="shared" si="65"/>
        <v>2018</v>
      </c>
      <c r="ES79" s="424"/>
    </row>
    <row r="80" spans="1:149">
      <c r="A80" s="31" t="s">
        <v>828</v>
      </c>
      <c r="B80" s="24"/>
      <c r="C80" s="24"/>
      <c r="D80" s="120">
        <v>4</v>
      </c>
      <c r="E80" s="24"/>
      <c r="F80" s="275"/>
      <c r="G80" s="168"/>
      <c r="H80" s="227"/>
      <c r="I80" s="168"/>
      <c r="J80" s="286"/>
      <c r="K80" s="168"/>
      <c r="L80" s="227"/>
      <c r="M80" s="168"/>
      <c r="N80" s="286"/>
      <c r="O80" s="168"/>
      <c r="P80" s="227"/>
      <c r="Q80" s="168"/>
      <c r="R80" s="286"/>
      <c r="S80" s="168"/>
      <c r="T80" s="227"/>
      <c r="U80" s="168"/>
      <c r="V80" s="286"/>
      <c r="W80" s="168"/>
      <c r="X80" s="227"/>
      <c r="Y80" s="168"/>
      <c r="Z80" s="286"/>
      <c r="AA80" s="168"/>
      <c r="AB80" s="227"/>
      <c r="AC80" s="168"/>
      <c r="AD80" s="224"/>
      <c r="AE80" s="168"/>
      <c r="AF80" s="210"/>
      <c r="AG80" s="168"/>
      <c r="AH80" s="288"/>
      <c r="AI80" s="24"/>
      <c r="AJ80" s="210"/>
      <c r="AK80" s="24"/>
      <c r="AL80" s="283"/>
      <c r="AM80" s="24"/>
      <c r="AN80" s="210"/>
      <c r="AO80" s="24"/>
      <c r="AP80" s="283"/>
      <c r="AQ80" s="168"/>
      <c r="AR80" s="210"/>
      <c r="AS80" s="168"/>
      <c r="AT80" s="283"/>
      <c r="AU80" s="24"/>
      <c r="AV80" s="210"/>
      <c r="AW80" s="24"/>
      <c r="AX80" s="283"/>
      <c r="AY80" s="24"/>
      <c r="AZ80" s="210"/>
      <c r="BA80" s="24"/>
      <c r="BB80" s="283"/>
      <c r="BC80" s="24"/>
      <c r="BD80" s="210"/>
      <c r="BE80" s="24"/>
      <c r="BF80" s="408"/>
      <c r="BG80" s="24"/>
      <c r="BH80" s="210"/>
      <c r="BI80" s="24"/>
      <c r="BJ80" s="408"/>
      <c r="BK80" s="24"/>
      <c r="BL80" s="210"/>
      <c r="BM80" s="24"/>
      <c r="BN80" s="408"/>
      <c r="BO80" s="24"/>
      <c r="BP80" s="210"/>
      <c r="BQ80" s="24"/>
      <c r="BR80" s="408">
        <f>mthSales!ED10</f>
        <v>38408</v>
      </c>
      <c r="BS80" s="24"/>
      <c r="BT80" s="210">
        <v>10.45</v>
      </c>
      <c r="BU80" s="24" t="s">
        <v>1084</v>
      </c>
      <c r="BV80" s="408">
        <f>mthSales!EL10</f>
        <v>39144</v>
      </c>
      <c r="BW80" s="24"/>
      <c r="BX80" s="210">
        <v>14.01</v>
      </c>
      <c r="BY80" s="24" t="s">
        <v>1084</v>
      </c>
      <c r="BZ80" s="408">
        <f>mthSales!ET10</f>
        <v>39142</v>
      </c>
      <c r="CA80" s="24"/>
      <c r="CB80" s="210">
        <v>11.64</v>
      </c>
      <c r="CC80" s="24" t="s">
        <v>1084</v>
      </c>
      <c r="CD80" s="408">
        <f>mthSales!FB10</f>
        <v>39872</v>
      </c>
      <c r="CE80" s="24"/>
      <c r="CF80" s="210">
        <v>-18.510000000000002</v>
      </c>
      <c r="CG80" s="24" t="s">
        <v>1084</v>
      </c>
      <c r="CH80" s="408">
        <f>mthSales!FJ10</f>
        <v>40236</v>
      </c>
      <c r="CI80" s="24"/>
      <c r="CJ80" s="210">
        <v>2.12</v>
      </c>
      <c r="CK80" s="24" t="s">
        <v>1084</v>
      </c>
      <c r="CL80" s="408">
        <v>40600</v>
      </c>
      <c r="CM80" s="24"/>
      <c r="CN80" s="210">
        <v>1.97</v>
      </c>
      <c r="CO80" s="24" t="s">
        <v>1084</v>
      </c>
      <c r="CP80" s="1165">
        <v>41336</v>
      </c>
      <c r="CQ80" s="24"/>
      <c r="CR80" s="391">
        <v>5.22</v>
      </c>
      <c r="CS80" s="24" t="s">
        <v>1084</v>
      </c>
      <c r="CT80" s="408">
        <v>41335</v>
      </c>
      <c r="CU80" s="405"/>
      <c r="CV80" s="391">
        <v>-4</v>
      </c>
      <c r="CW80" s="24" t="s">
        <v>1084</v>
      </c>
      <c r="CX80" s="408">
        <v>41334</v>
      </c>
      <c r="CY80" s="405"/>
      <c r="CZ80" s="391">
        <v>1</v>
      </c>
      <c r="DA80" s="24" t="s">
        <v>1084</v>
      </c>
      <c r="DB80" s="408">
        <v>42794</v>
      </c>
      <c r="DC80" s="405"/>
      <c r="DD80" s="2708">
        <v>-6</v>
      </c>
      <c r="DE80" s="228"/>
      <c r="DF80" s="24" t="s">
        <v>1084</v>
      </c>
      <c r="DG80" s="408">
        <v>42062</v>
      </c>
      <c r="DH80" s="405"/>
      <c r="DI80" s="2763">
        <v>4</v>
      </c>
      <c r="DJ80" s="933"/>
      <c r="DK80" s="24" t="s">
        <v>1084</v>
      </c>
      <c r="DL80" s="24"/>
      <c r="DM80" s="408">
        <v>42791</v>
      </c>
      <c r="DN80" s="405"/>
      <c r="DO80" s="2763">
        <v>-16</v>
      </c>
      <c r="DP80" s="2519"/>
      <c r="DQ80" s="24" t="s">
        <v>1084</v>
      </c>
      <c r="DR80" s="24"/>
      <c r="DS80" s="408">
        <v>41334</v>
      </c>
      <c r="DT80" s="405"/>
      <c r="DU80" s="2763">
        <v>35</v>
      </c>
      <c r="DV80" s="2519"/>
      <c r="DW80" s="24" t="s">
        <v>1084</v>
      </c>
      <c r="DX80" s="405">
        <f>DI80+DD80</f>
        <v>-2</v>
      </c>
      <c r="DY80" s="405"/>
      <c r="EA80" s="425"/>
      <c r="EB80" s="425"/>
      <c r="EC80" s="425"/>
      <c r="ED80" s="425"/>
      <c r="EE80" s="425"/>
      <c r="EF80" s="425">
        <v>0.25</v>
      </c>
      <c r="EG80" s="425">
        <v>0.25</v>
      </c>
      <c r="EH80" s="425">
        <f>+mthSales!HU10</f>
        <v>0.31915540177270463</v>
      </c>
      <c r="EI80" s="425">
        <f>+mthSales!HV10</f>
        <v>0.31752508958288173</v>
      </c>
      <c r="EJ80" s="425">
        <f>+mthSales!HW10</f>
        <v>0.31069422893624121</v>
      </c>
      <c r="EK80" s="425">
        <f>+mthSales!HX10</f>
        <v>0.30261287203025317</v>
      </c>
      <c r="EL80" s="425">
        <f>+mthSales!HY10</f>
        <v>0.30360518974976131</v>
      </c>
      <c r="EM80" s="425">
        <f>+mthSales!HZ10</f>
        <v>0.31424591782339178</v>
      </c>
      <c r="EN80" s="1152">
        <f t="shared" ref="EN80:ER81" si="66">EM80</f>
        <v>0.31424591782339178</v>
      </c>
      <c r="EO80" s="1152">
        <f t="shared" si="66"/>
        <v>0.31424591782339178</v>
      </c>
      <c r="EP80" s="425">
        <f t="shared" si="66"/>
        <v>0.31424591782339178</v>
      </c>
      <c r="EQ80" s="425">
        <f t="shared" si="66"/>
        <v>0.31424591782339178</v>
      </c>
      <c r="ER80" s="425">
        <f t="shared" si="66"/>
        <v>0.31424591782339178</v>
      </c>
      <c r="ES80" s="425"/>
    </row>
    <row r="81" spans="1:149">
      <c r="A81" s="31" t="s">
        <v>829</v>
      </c>
      <c r="B81" s="24"/>
      <c r="C81" s="24"/>
      <c r="D81" s="120">
        <v>5</v>
      </c>
      <c r="E81" s="24"/>
      <c r="F81" s="276"/>
      <c r="G81" s="168"/>
      <c r="H81" s="227"/>
      <c r="I81" s="168"/>
      <c r="J81" s="286"/>
      <c r="K81" s="168"/>
      <c r="L81" s="227"/>
      <c r="M81" s="168"/>
      <c r="N81" s="286"/>
      <c r="O81" s="168"/>
      <c r="P81" s="227"/>
      <c r="Q81" s="168"/>
      <c r="R81" s="286"/>
      <c r="S81" s="168"/>
      <c r="T81" s="227"/>
      <c r="U81" s="168"/>
      <c r="V81" s="286"/>
      <c r="W81" s="168"/>
      <c r="X81" s="227"/>
      <c r="Y81" s="168"/>
      <c r="Z81" s="286"/>
      <c r="AA81" s="168"/>
      <c r="AB81" s="227"/>
      <c r="AC81" s="168"/>
      <c r="AD81" s="224"/>
      <c r="AE81" s="168"/>
      <c r="AF81" s="210"/>
      <c r="AG81" s="168"/>
      <c r="AH81" s="288"/>
      <c r="AI81" s="24"/>
      <c r="AJ81" s="210"/>
      <c r="AK81" s="24"/>
      <c r="AL81" s="283"/>
      <c r="AM81" s="24"/>
      <c r="AN81" s="210"/>
      <c r="AO81" s="24"/>
      <c r="AP81" s="283"/>
      <c r="AQ81" s="168"/>
      <c r="AR81" s="210"/>
      <c r="AS81" s="168"/>
      <c r="AT81" s="283"/>
      <c r="AU81" s="24"/>
      <c r="AV81" s="210"/>
      <c r="AW81" s="24"/>
      <c r="AX81" s="283"/>
      <c r="AY81" s="24"/>
      <c r="AZ81" s="210"/>
      <c r="BA81" s="24"/>
      <c r="BB81" s="283"/>
      <c r="BC81" s="24"/>
      <c r="BD81" s="210"/>
      <c r="BE81" s="24"/>
      <c r="BF81" s="408"/>
      <c r="BG81" s="24"/>
      <c r="BH81" s="210"/>
      <c r="BI81" s="24"/>
      <c r="BJ81" s="408"/>
      <c r="BK81" s="24"/>
      <c r="BL81" s="210"/>
      <c r="BM81" s="24"/>
      <c r="BN81" s="408"/>
      <c r="BO81" s="24"/>
      <c r="BP81" s="210"/>
      <c r="BQ81" s="24"/>
      <c r="BR81" s="408">
        <f>mthSales!ED11</f>
        <v>38443</v>
      </c>
      <c r="BS81" s="24"/>
      <c r="BT81" s="210">
        <v>10.08</v>
      </c>
      <c r="BU81" s="24"/>
      <c r="BV81" s="408">
        <f>mthSales!EL11</f>
        <v>39179</v>
      </c>
      <c r="BW81" s="24"/>
      <c r="BX81" s="210">
        <v>10.82</v>
      </c>
      <c r="BY81" s="24"/>
      <c r="BZ81" s="408">
        <f>mthSales!ET11</f>
        <v>39177</v>
      </c>
      <c r="CA81" s="24"/>
      <c r="CB81" s="210">
        <v>8.01</v>
      </c>
      <c r="CC81" s="24"/>
      <c r="CD81" s="408">
        <f>mthSales!FB11</f>
        <v>39907</v>
      </c>
      <c r="CE81" s="24"/>
      <c r="CF81" s="210">
        <v>-14.45</v>
      </c>
      <c r="CG81" s="24"/>
      <c r="CH81" s="408">
        <f>mthSales!FJ11</f>
        <v>40271</v>
      </c>
      <c r="CI81" s="24"/>
      <c r="CJ81" s="210">
        <v>8.58</v>
      </c>
      <c r="CK81" s="24"/>
      <c r="CL81" s="408">
        <v>40635</v>
      </c>
      <c r="CM81" s="24"/>
      <c r="CN81" s="210">
        <v>8.07</v>
      </c>
      <c r="CO81" s="24"/>
      <c r="CP81" s="1165">
        <v>41371</v>
      </c>
      <c r="CQ81" s="24"/>
      <c r="CR81" s="391">
        <v>3.19</v>
      </c>
      <c r="CS81" s="24"/>
      <c r="CT81" s="408">
        <v>41370</v>
      </c>
      <c r="CU81" s="405"/>
      <c r="CV81" s="391">
        <v>-9</v>
      </c>
      <c r="CW81" s="24"/>
      <c r="CX81" s="408">
        <v>41369</v>
      </c>
      <c r="CY81" s="405"/>
      <c r="CZ81" s="2742">
        <v>1</v>
      </c>
      <c r="DA81" s="24"/>
      <c r="DB81" s="408">
        <v>42829</v>
      </c>
      <c r="DC81" s="405"/>
      <c r="DD81" s="2750">
        <v>-2</v>
      </c>
      <c r="DE81" s="2167"/>
      <c r="DF81" s="24"/>
      <c r="DG81" s="408">
        <v>42096</v>
      </c>
      <c r="DH81" s="405"/>
      <c r="DI81" s="2763">
        <v>8</v>
      </c>
      <c r="DJ81" s="939"/>
      <c r="DK81" s="24"/>
      <c r="DL81" s="24"/>
      <c r="DM81" s="408">
        <v>42826</v>
      </c>
      <c r="DN81" s="405"/>
      <c r="DO81" s="2763">
        <v>-16</v>
      </c>
      <c r="DP81" s="2522"/>
      <c r="DQ81" s="24"/>
      <c r="DR81" s="24"/>
      <c r="DS81" s="408">
        <v>41369</v>
      </c>
      <c r="DT81" s="405"/>
      <c r="DU81" s="2763">
        <v>10</v>
      </c>
      <c r="DV81" s="2522"/>
      <c r="DW81" s="24"/>
      <c r="DX81" s="405">
        <f>DI81+DD81</f>
        <v>6</v>
      </c>
      <c r="DY81" s="405"/>
      <c r="EA81" s="425"/>
      <c r="EB81" s="425"/>
      <c r="EC81" s="425"/>
      <c r="ED81" s="425"/>
      <c r="EE81" s="425"/>
      <c r="EF81" s="425">
        <v>0.4</v>
      </c>
      <c r="EG81" s="425">
        <v>0.4</v>
      </c>
      <c r="EH81" s="425">
        <f>+mthSales!HU11</f>
        <v>0.38086709078734871</v>
      </c>
      <c r="EI81" s="425">
        <f>+mthSales!HV11</f>
        <v>0.37456135978177835</v>
      </c>
      <c r="EJ81" s="425">
        <f>+mthSales!HW11</f>
        <v>0.38669808297363528</v>
      </c>
      <c r="EK81" s="425">
        <f>+mthSales!HX11</f>
        <v>0.38926055829797063</v>
      </c>
      <c r="EL81" s="425">
        <f>+mthSales!HY11</f>
        <v>0.39042912381185851</v>
      </c>
      <c r="EM81" s="425">
        <f>+mthSales!HZ11</f>
        <v>0.39453802058141002</v>
      </c>
      <c r="EN81" s="1152">
        <f t="shared" si="66"/>
        <v>0.39453802058141002</v>
      </c>
      <c r="EO81" s="1152">
        <f t="shared" si="66"/>
        <v>0.39453802058141002</v>
      </c>
      <c r="EP81" s="425">
        <f t="shared" si="66"/>
        <v>0.39453802058141002</v>
      </c>
      <c r="EQ81" s="425">
        <f t="shared" si="66"/>
        <v>0.39453802058141002</v>
      </c>
      <c r="ER81" s="425">
        <f t="shared" si="66"/>
        <v>0.39453802058141002</v>
      </c>
      <c r="ES81" s="425"/>
    </row>
    <row r="82" spans="1:149">
      <c r="A82" s="31" t="s">
        <v>830</v>
      </c>
      <c r="B82" s="24"/>
      <c r="C82" s="24"/>
      <c r="D82" s="120">
        <v>4</v>
      </c>
      <c r="E82" s="24"/>
      <c r="F82" s="274"/>
      <c r="G82" s="168"/>
      <c r="H82" s="231"/>
      <c r="I82" s="168"/>
      <c r="J82" s="286"/>
      <c r="K82" s="168"/>
      <c r="L82" s="231"/>
      <c r="M82" s="168"/>
      <c r="N82" s="286"/>
      <c r="O82" s="168"/>
      <c r="P82" s="231"/>
      <c r="Q82" s="168"/>
      <c r="R82" s="286"/>
      <c r="S82" s="168"/>
      <c r="T82" s="231"/>
      <c r="U82" s="168"/>
      <c r="V82" s="286"/>
      <c r="W82" s="168"/>
      <c r="X82" s="231"/>
      <c r="Y82" s="168"/>
      <c r="Z82" s="286"/>
      <c r="AA82" s="168"/>
      <c r="AB82" s="231"/>
      <c r="AC82" s="168"/>
      <c r="AD82" s="224"/>
      <c r="AE82" s="168"/>
      <c r="AF82" s="211"/>
      <c r="AG82" s="168"/>
      <c r="AH82" s="288"/>
      <c r="AI82" s="24"/>
      <c r="AJ82" s="211"/>
      <c r="AK82" s="24"/>
      <c r="AL82" s="283"/>
      <c r="AM82" s="24"/>
      <c r="AN82" s="211"/>
      <c r="AO82" s="24"/>
      <c r="AP82" s="283"/>
      <c r="AQ82" s="168"/>
      <c r="AR82" s="211"/>
      <c r="AS82" s="150"/>
      <c r="AT82" s="283"/>
      <c r="AU82" s="24"/>
      <c r="AV82" s="211"/>
      <c r="AW82" s="31"/>
      <c r="AX82" s="283"/>
      <c r="AY82" s="24"/>
      <c r="AZ82" s="211"/>
      <c r="BA82" s="31"/>
      <c r="BB82" s="283"/>
      <c r="BC82" s="24"/>
      <c r="BD82" s="211"/>
      <c r="BE82" s="31"/>
      <c r="BF82" s="408"/>
      <c r="BG82" s="24"/>
      <c r="BH82" s="211"/>
      <c r="BI82" s="31"/>
      <c r="BJ82" s="408"/>
      <c r="BK82" s="24"/>
      <c r="BL82" s="211"/>
      <c r="BM82" s="31"/>
      <c r="BN82" s="408"/>
      <c r="BO82" s="24"/>
      <c r="BP82" s="211"/>
      <c r="BQ82" s="31"/>
      <c r="BR82" s="408">
        <f>mthSales!ED12</f>
        <v>38471</v>
      </c>
      <c r="BS82" s="24"/>
      <c r="BT82" s="211">
        <v>9.89</v>
      </c>
      <c r="BU82" s="31"/>
      <c r="BV82" s="408">
        <f>mthSales!EL12</f>
        <v>39207</v>
      </c>
      <c r="BW82" s="24"/>
      <c r="BX82" s="211">
        <v>1.81</v>
      </c>
      <c r="BY82" s="31"/>
      <c r="BZ82" s="408">
        <f>mthSales!ET12</f>
        <v>39205</v>
      </c>
      <c r="CA82" s="24"/>
      <c r="CB82" s="211">
        <v>13.13</v>
      </c>
      <c r="CC82" s="31"/>
      <c r="CD82" s="408">
        <f>mthSales!FB12</f>
        <v>39935</v>
      </c>
      <c r="CE82" s="24"/>
      <c r="CF82" s="211">
        <v>-17.47</v>
      </c>
      <c r="CG82" s="31"/>
      <c r="CH82" s="408">
        <f>mthSales!FJ12</f>
        <v>40299</v>
      </c>
      <c r="CI82" s="24"/>
      <c r="CJ82" s="211">
        <v>22.23</v>
      </c>
      <c r="CK82" s="31"/>
      <c r="CL82" s="408">
        <v>40663</v>
      </c>
      <c r="CM82" s="24"/>
      <c r="CN82" s="211">
        <v>5.34</v>
      </c>
      <c r="CO82" s="31"/>
      <c r="CP82" s="1165">
        <v>41399</v>
      </c>
      <c r="CQ82" s="24"/>
      <c r="CR82" s="392">
        <v>2.33</v>
      </c>
      <c r="CS82" s="31"/>
      <c r="CT82" s="1156">
        <v>41398</v>
      </c>
      <c r="CU82" s="405"/>
      <c r="CV82" s="392">
        <v>-4</v>
      </c>
      <c r="CW82" s="31"/>
      <c r="CX82" s="1156">
        <v>41397</v>
      </c>
      <c r="CY82" s="405"/>
      <c r="CZ82" s="2743">
        <v>-3</v>
      </c>
      <c r="DA82" s="31"/>
      <c r="DB82" s="1156">
        <v>42857</v>
      </c>
      <c r="DC82" s="405"/>
      <c r="DD82" s="2751">
        <v>-10</v>
      </c>
      <c r="DE82" s="2167"/>
      <c r="DF82" s="31"/>
      <c r="DG82" s="1156">
        <v>42124</v>
      </c>
      <c r="DH82" s="405"/>
      <c r="DI82" s="2764">
        <v>6</v>
      </c>
      <c r="DJ82" s="939"/>
      <c r="DK82" s="31"/>
      <c r="DL82" s="31"/>
      <c r="DM82" s="1156">
        <v>42844</v>
      </c>
      <c r="DN82" s="405"/>
      <c r="DO82" s="2764">
        <v>-30</v>
      </c>
      <c r="DP82" s="2522"/>
      <c r="DQ82" s="31"/>
      <c r="DR82" s="31"/>
      <c r="DS82" s="1156">
        <v>41397</v>
      </c>
      <c r="DT82" s="405"/>
      <c r="DU82" s="2764">
        <v>10</v>
      </c>
      <c r="DV82" s="2522"/>
      <c r="DW82" s="31"/>
      <c r="DX82" s="405">
        <f>DI82+DD82</f>
        <v>-4</v>
      </c>
      <c r="DY82" s="405"/>
      <c r="EA82" s="426"/>
      <c r="EB82" s="426"/>
      <c r="EC82" s="426"/>
      <c r="ED82" s="426"/>
      <c r="EE82" s="426"/>
      <c r="EF82" s="426">
        <f t="shared" ref="EF82:EN82" si="67">1-EF81-EF80</f>
        <v>0.35</v>
      </c>
      <c r="EG82" s="426">
        <f t="shared" si="67"/>
        <v>0.35</v>
      </c>
      <c r="EH82" s="426">
        <f t="shared" si="67"/>
        <v>0.29997750743994667</v>
      </c>
      <c r="EI82" s="426">
        <f t="shared" si="67"/>
        <v>0.30791355063533998</v>
      </c>
      <c r="EJ82" s="426">
        <f t="shared" si="67"/>
        <v>0.30260768809012351</v>
      </c>
      <c r="EK82" s="426">
        <f t="shared" si="67"/>
        <v>0.30812656967177615</v>
      </c>
      <c r="EL82" s="426">
        <f t="shared" si="67"/>
        <v>0.30596568643838024</v>
      </c>
      <c r="EM82" s="426">
        <f t="shared" si="67"/>
        <v>0.29121606159519825</v>
      </c>
      <c r="EN82" s="1155">
        <f t="shared" si="67"/>
        <v>0.29121606159519825</v>
      </c>
      <c r="EO82" s="1155">
        <f>1-EO81-EO80</f>
        <v>0.29121606159519825</v>
      </c>
      <c r="EP82" s="427">
        <f>1-EP81-EP80</f>
        <v>0.29121606159519825</v>
      </c>
      <c r="EQ82" s="427">
        <f>1-EQ81-EQ80</f>
        <v>0.29121606159519825</v>
      </c>
      <c r="ER82" s="427">
        <f>1-ER81-ER80</f>
        <v>0.29121606159519825</v>
      </c>
      <c r="ES82" s="427"/>
    </row>
    <row r="83" spans="1:149">
      <c r="A83" s="116"/>
      <c r="B83" s="118" t="s">
        <v>921</v>
      </c>
      <c r="C83" s="116"/>
      <c r="D83" s="121"/>
      <c r="E83" s="116"/>
      <c r="F83" s="269"/>
      <c r="G83" s="245"/>
      <c r="H83" s="232"/>
      <c r="I83" s="245"/>
      <c r="J83" s="269"/>
      <c r="K83" s="245"/>
      <c r="L83" s="232"/>
      <c r="M83" s="245"/>
      <c r="N83" s="269"/>
      <c r="O83" s="245"/>
      <c r="P83" s="232"/>
      <c r="Q83" s="245"/>
      <c r="R83" s="269"/>
      <c r="S83" s="245"/>
      <c r="T83" s="232"/>
      <c r="U83" s="245"/>
      <c r="V83" s="269"/>
      <c r="W83" s="245"/>
      <c r="X83" s="354"/>
      <c r="Y83" s="245"/>
      <c r="Z83" s="269"/>
      <c r="AA83" s="245"/>
      <c r="AB83" s="354"/>
      <c r="AC83" s="245"/>
      <c r="AD83" s="269"/>
      <c r="AE83" s="245"/>
      <c r="AF83" s="352"/>
      <c r="AG83" s="245"/>
      <c r="AH83" s="269"/>
      <c r="AI83" s="116"/>
      <c r="AJ83" s="352"/>
      <c r="AK83" s="116"/>
      <c r="AL83" s="269"/>
      <c r="AM83" s="116"/>
      <c r="AN83" s="352"/>
      <c r="AO83" s="116"/>
      <c r="AP83" s="269"/>
      <c r="AQ83" s="245"/>
      <c r="AR83" s="352"/>
      <c r="AS83" s="247"/>
      <c r="AT83" s="269"/>
      <c r="AU83" s="116"/>
      <c r="AV83" s="352"/>
      <c r="AW83" s="118"/>
      <c r="AX83" s="269"/>
      <c r="AY83" s="116"/>
      <c r="AZ83" s="353"/>
      <c r="BA83" s="118"/>
      <c r="BB83" s="269"/>
      <c r="BC83" s="116"/>
      <c r="BD83" s="353"/>
      <c r="BE83" s="118"/>
      <c r="BF83" s="409"/>
      <c r="BG83" s="116"/>
      <c r="BH83" s="353"/>
      <c r="BI83" s="118"/>
      <c r="BJ83" s="409"/>
      <c r="BK83" s="116"/>
      <c r="BL83" s="353"/>
      <c r="BM83" s="118"/>
      <c r="BN83" s="409"/>
      <c r="BO83" s="116"/>
      <c r="BP83" s="353"/>
      <c r="BQ83" s="118"/>
      <c r="BR83" s="409"/>
      <c r="BS83" s="116"/>
      <c r="BT83" s="1081">
        <f>'segSales&amp;OM'!L115</f>
        <v>10.160614525139678</v>
      </c>
      <c r="BU83" s="118"/>
      <c r="BV83" s="409"/>
      <c r="BW83" s="116"/>
      <c r="BX83" s="1081">
        <f>'segSales&amp;OM'!L122</f>
        <v>9.1283676703645114</v>
      </c>
      <c r="BY83" s="118"/>
      <c r="BZ83" s="409"/>
      <c r="CA83" s="116"/>
      <c r="CB83" s="1081">
        <f>'segSales&amp;OM'!L157</f>
        <v>10.630264304385694</v>
      </c>
      <c r="CC83" s="118"/>
      <c r="CD83" s="409"/>
      <c r="CE83" s="116"/>
      <c r="CF83" s="1081">
        <f>'segSales&amp;OM'!L164</f>
        <v>-16.671042268311897</v>
      </c>
      <c r="CG83" s="118"/>
      <c r="CH83" s="409"/>
      <c r="CI83" s="116"/>
      <c r="CJ83" s="1081">
        <f>'segSales&amp;OM'!L171</f>
        <v>10.333963453056082</v>
      </c>
      <c r="CK83" s="118"/>
      <c r="CL83" s="1080"/>
      <c r="CM83" s="116"/>
      <c r="CN83" s="1079">
        <f>'segSales&amp;OM'!L178</f>
        <v>5.3398058252427161</v>
      </c>
      <c r="CO83" s="118"/>
      <c r="CP83" s="121"/>
      <c r="CQ83" s="116"/>
      <c r="CR83" s="2760">
        <f>EL83:EL83</f>
        <v>3.5431880448550088</v>
      </c>
      <c r="CS83" s="118"/>
      <c r="CT83" s="1080"/>
      <c r="CU83" s="405"/>
      <c r="CV83" s="2762">
        <f>EM83</f>
        <v>-5.97269010290705</v>
      </c>
      <c r="CW83" s="118"/>
      <c r="CX83" s="1080"/>
      <c r="CY83" s="405"/>
      <c r="CZ83" s="2711">
        <v>0</v>
      </c>
      <c r="DA83" s="118"/>
      <c r="DB83" s="1080"/>
      <c r="DC83" s="405"/>
      <c r="DD83" s="2719">
        <v>-6</v>
      </c>
      <c r="DE83" s="2355"/>
      <c r="DF83" s="118"/>
      <c r="DG83" s="1080"/>
      <c r="DH83" s="405"/>
      <c r="DI83" s="2355">
        <f>'segSales&amp;OM'!L230</f>
        <v>6.3257463789535784</v>
      </c>
      <c r="DJ83" s="1093"/>
      <c r="DK83" s="118"/>
      <c r="DL83" s="118"/>
      <c r="DM83" s="1080"/>
      <c r="DN83" s="405"/>
      <c r="DO83" s="2355">
        <f>'segSales&amp;OM'!L237</f>
        <v>-20.350291909924934</v>
      </c>
      <c r="DP83" s="1093"/>
      <c r="DQ83" s="118"/>
      <c r="DR83" s="118"/>
      <c r="DS83" s="1080"/>
      <c r="DT83" s="405"/>
      <c r="DU83" s="2765">
        <f>ER83</f>
        <v>17.856147945584794</v>
      </c>
      <c r="DV83" s="1093"/>
      <c r="DW83" s="118"/>
      <c r="DX83" s="405">
        <f>DI83+DD83</f>
        <v>0.32574637895357839</v>
      </c>
      <c r="DY83" s="405"/>
      <c r="EA83" s="405"/>
      <c r="EB83" s="405"/>
      <c r="EC83" s="405"/>
      <c r="ED83" s="405"/>
      <c r="EE83" s="405"/>
      <c r="EF83" s="405">
        <f>+BT80*EF80+BT81*EF81+BT82*EF82</f>
        <v>10.106</v>
      </c>
      <c r="EG83" s="405">
        <f>+BX80*EG80+BX81*EG81+BX82*EG82</f>
        <v>8.4640000000000004</v>
      </c>
      <c r="EH83" s="405">
        <f>+CB80*EH80+CB81*EH81+CB82*EH82</f>
        <v>10.704418946527445</v>
      </c>
      <c r="EI83" s="405">
        <f>+CF80*EI80+CF81*EI81+CF82*EI82</f>
        <v>-16.669050786625228</v>
      </c>
      <c r="EJ83" s="405">
        <f>+CJ80*EJ80+CJ81*EJ81+CJ82*EJ82</f>
        <v>10.703510223502068</v>
      </c>
      <c r="EK83" s="405">
        <f>+CN80*EK80+CN81*EK81+CN82*EK82</f>
        <v>5.3828759454115058</v>
      </c>
      <c r="EL83" s="405">
        <f>+CR80*EL80+CR81*EL81+CR82*EL82</f>
        <v>3.5431880448550088</v>
      </c>
      <c r="EM83" s="405">
        <f>+CV80*EM80+CV81*EM81+CV82*EM82</f>
        <v>-5.97269010290705</v>
      </c>
      <c r="EN83" s="252">
        <f>+CZ80*EN80+CZ81*EN81+CZ82*EN82</f>
        <v>-0.164864246380793</v>
      </c>
      <c r="EO83" s="252">
        <f>+DD80*EO80+DD81*EO81+DD82*EO82</f>
        <v>-5.5867121640551529</v>
      </c>
      <c r="EP83" s="405">
        <f>+DI80*EP80+DI81*EP81+DI82*EP82</f>
        <v>6.1605842055160362</v>
      </c>
      <c r="EQ83" s="405">
        <f>+DO80*EQ80+DO81*EQ81+DO82*EQ82</f>
        <v>-20.077024862332777</v>
      </c>
      <c r="ER83" s="405">
        <f>+DU80*ER80+DU81*ER81+DU82*ER82</f>
        <v>17.856147945584794</v>
      </c>
      <c r="ES83" s="405"/>
    </row>
    <row r="84" spans="1:149">
      <c r="A84" s="119"/>
      <c r="B84" s="119"/>
      <c r="C84" s="119"/>
      <c r="D84" s="122"/>
      <c r="E84" s="119"/>
      <c r="F84" s="277"/>
      <c r="G84" s="246"/>
      <c r="H84" s="246"/>
      <c r="I84" s="246"/>
      <c r="J84" s="287"/>
      <c r="K84" s="246"/>
      <c r="L84" s="246"/>
      <c r="M84" s="246"/>
      <c r="N84" s="287"/>
      <c r="O84" s="246"/>
      <c r="P84" s="246"/>
      <c r="Q84" s="246"/>
      <c r="R84" s="287"/>
      <c r="S84" s="246"/>
      <c r="T84" s="246"/>
      <c r="U84" s="246"/>
      <c r="V84" s="287"/>
      <c r="W84" s="246"/>
      <c r="X84" s="246"/>
      <c r="Y84" s="246"/>
      <c r="Z84" s="287"/>
      <c r="AA84" s="246"/>
      <c r="AB84" s="246"/>
      <c r="AC84" s="246"/>
      <c r="AD84" s="270"/>
      <c r="AE84" s="246"/>
      <c r="AF84" s="122"/>
      <c r="AG84" s="246"/>
      <c r="AH84" s="270"/>
      <c r="AI84" s="119"/>
      <c r="AJ84" s="122"/>
      <c r="AK84" s="119"/>
      <c r="AL84" s="270"/>
      <c r="AM84" s="119"/>
      <c r="AN84" s="122"/>
      <c r="AO84" s="119"/>
      <c r="AP84" s="270"/>
      <c r="AQ84" s="246"/>
      <c r="AR84" s="122"/>
      <c r="AS84" s="246"/>
      <c r="AT84" s="270"/>
      <c r="AU84" s="119"/>
      <c r="AV84" s="122"/>
      <c r="AW84" s="119"/>
      <c r="AX84" s="270"/>
      <c r="AY84" s="119"/>
      <c r="AZ84" s="122"/>
      <c r="BA84" s="119"/>
      <c r="BB84" s="270"/>
      <c r="BC84" s="119"/>
      <c r="BD84" s="122"/>
      <c r="BE84" s="119"/>
      <c r="BF84" s="410"/>
      <c r="BG84" s="119"/>
      <c r="BH84" s="122"/>
      <c r="BI84" s="119"/>
      <c r="BJ84" s="410"/>
      <c r="BK84" s="119"/>
      <c r="BL84" s="122"/>
      <c r="BM84" s="119"/>
      <c r="BN84" s="410"/>
      <c r="BO84" s="119"/>
      <c r="BP84" s="122"/>
      <c r="BQ84" s="119"/>
      <c r="BR84" s="410"/>
      <c r="BS84" s="119"/>
      <c r="BT84" s="948"/>
      <c r="BU84" s="119"/>
      <c r="BV84" s="410"/>
      <c r="BW84" s="119"/>
      <c r="BX84" s="948"/>
      <c r="BY84" s="30"/>
      <c r="BZ84" s="410"/>
      <c r="CA84" s="30"/>
      <c r="CB84" s="948"/>
      <c r="CC84" s="30"/>
      <c r="CD84" s="410"/>
      <c r="CE84" s="30"/>
      <c r="CF84" s="948"/>
      <c r="CG84" s="30"/>
      <c r="CH84" s="410"/>
      <c r="CI84" s="30"/>
      <c r="CJ84" s="948"/>
      <c r="CK84" s="30"/>
      <c r="CL84" s="408"/>
      <c r="CM84" s="30"/>
      <c r="CN84" s="948"/>
      <c r="CO84" s="30"/>
      <c r="CP84" s="122"/>
      <c r="CQ84" s="30"/>
      <c r="CR84" s="415"/>
      <c r="CS84" s="30"/>
      <c r="CT84" s="408"/>
      <c r="CU84" s="30"/>
      <c r="CV84" s="309"/>
      <c r="CW84" s="30"/>
      <c r="CX84" s="408"/>
      <c r="CY84" s="30"/>
      <c r="CZ84" s="309"/>
      <c r="DA84" s="30"/>
      <c r="DB84" s="408"/>
      <c r="DC84" s="30"/>
      <c r="DD84" s="309"/>
      <c r="DE84" s="30"/>
      <c r="DF84" s="30"/>
      <c r="DG84" s="408"/>
      <c r="DH84" s="30"/>
      <c r="DI84" s="226"/>
      <c r="DJ84" s="24"/>
      <c r="DK84" s="30"/>
      <c r="DL84" s="30"/>
      <c r="DM84" s="408"/>
      <c r="DN84" s="30"/>
      <c r="DO84" s="226"/>
      <c r="DQ84" s="30"/>
      <c r="DR84" s="30"/>
      <c r="DS84" s="408"/>
      <c r="DT84" s="30"/>
      <c r="DU84" s="226"/>
      <c r="DW84" s="30"/>
      <c r="DX84" s="405"/>
      <c r="DY84" s="405"/>
      <c r="EA84" s="24"/>
      <c r="EB84" s="24"/>
      <c r="EC84" s="24"/>
      <c r="ED84" s="24"/>
      <c r="EE84" s="24"/>
      <c r="EF84" s="24"/>
      <c r="EG84" s="24"/>
      <c r="EH84" s="24"/>
      <c r="EI84" s="24"/>
      <c r="EJ84" s="24"/>
      <c r="EK84" s="24"/>
      <c r="EN84" s="966"/>
      <c r="EO84" s="966"/>
      <c r="EP84" s="24"/>
      <c r="EQ84" s="24"/>
      <c r="ER84" s="24"/>
      <c r="ES84" s="24"/>
    </row>
    <row r="85" spans="1:149">
      <c r="A85" s="31" t="s">
        <v>831</v>
      </c>
      <c r="B85" s="24"/>
      <c r="C85" s="24"/>
      <c r="D85" s="113">
        <f>+D80</f>
        <v>4</v>
      </c>
      <c r="E85" s="24"/>
      <c r="F85" s="276"/>
      <c r="G85" s="168"/>
      <c r="H85" s="227"/>
      <c r="I85" s="168"/>
      <c r="J85" s="286"/>
      <c r="K85" s="168"/>
      <c r="L85" s="227"/>
      <c r="M85" s="168"/>
      <c r="N85" s="286"/>
      <c r="O85" s="168"/>
      <c r="P85" s="227"/>
      <c r="Q85" s="168"/>
      <c r="R85" s="286"/>
      <c r="S85" s="168"/>
      <c r="T85" s="227"/>
      <c r="U85" s="168"/>
      <c r="V85" s="286"/>
      <c r="W85" s="168"/>
      <c r="X85" s="227"/>
      <c r="Y85" s="168"/>
      <c r="Z85" s="286"/>
      <c r="AA85" s="168"/>
      <c r="AB85" s="227"/>
      <c r="AC85" s="168"/>
      <c r="AD85" s="224"/>
      <c r="AE85" s="168"/>
      <c r="AF85" s="210"/>
      <c r="AG85" s="168"/>
      <c r="AH85" s="288"/>
      <c r="AI85" s="24"/>
      <c r="AJ85" s="210"/>
      <c r="AK85" s="24"/>
      <c r="AL85" s="283"/>
      <c r="AM85" s="24"/>
      <c r="AN85" s="210"/>
      <c r="AO85" s="24"/>
      <c r="AP85" s="283"/>
      <c r="AQ85" s="168"/>
      <c r="AR85" s="210"/>
      <c r="AS85" s="168"/>
      <c r="AT85" s="283"/>
      <c r="AU85" s="24"/>
      <c r="AV85" s="210"/>
      <c r="AW85" s="24"/>
      <c r="AX85" s="283"/>
      <c r="AY85" s="24"/>
      <c r="AZ85" s="210"/>
      <c r="BA85" s="24"/>
      <c r="BB85" s="283"/>
      <c r="BC85" s="24"/>
      <c r="BD85" s="210"/>
      <c r="BE85" s="24"/>
      <c r="BF85" s="408"/>
      <c r="BG85" s="24"/>
      <c r="BH85" s="210"/>
      <c r="BI85" s="24"/>
      <c r="BJ85" s="408"/>
      <c r="BK85" s="24"/>
      <c r="BL85" s="210"/>
      <c r="BM85" s="24"/>
      <c r="BN85" s="408"/>
      <c r="BO85" s="24"/>
      <c r="BP85" s="210"/>
      <c r="BQ85" s="24"/>
      <c r="BR85" s="408">
        <f>mthSales!ED15</f>
        <v>38499</v>
      </c>
      <c r="BS85" s="24"/>
      <c r="BT85" s="210">
        <v>9.15</v>
      </c>
      <c r="BU85" s="24" t="s">
        <v>1084</v>
      </c>
      <c r="BV85" s="408">
        <f>mthSales!EL15</f>
        <v>39235</v>
      </c>
      <c r="BW85" s="24"/>
      <c r="BX85" s="210">
        <v>21.24</v>
      </c>
      <c r="BY85" s="24" t="s">
        <v>1084</v>
      </c>
      <c r="BZ85" s="408">
        <f>mthSales!ET15</f>
        <v>39233</v>
      </c>
      <c r="CA85" s="24"/>
      <c r="CB85" s="210">
        <v>8.81</v>
      </c>
      <c r="CC85" s="24" t="s">
        <v>1084</v>
      </c>
      <c r="CD85" s="408">
        <f>mthSales!FB15</f>
        <v>39963</v>
      </c>
      <c r="CE85" s="24"/>
      <c r="CF85" s="210">
        <v>-10.89</v>
      </c>
      <c r="CG85" s="24" t="s">
        <v>1084</v>
      </c>
      <c r="CH85" s="408">
        <f>mthSales!FJ15</f>
        <v>40327</v>
      </c>
      <c r="CI85" s="24"/>
      <c r="CJ85" s="210">
        <v>4.08</v>
      </c>
      <c r="CK85" s="24" t="s">
        <v>1084</v>
      </c>
      <c r="CL85" s="408">
        <v>40691</v>
      </c>
      <c r="CM85" s="24"/>
      <c r="CN85" s="210">
        <v>0.02</v>
      </c>
      <c r="CO85" s="24" t="s">
        <v>1084</v>
      </c>
      <c r="CP85" s="1165">
        <v>41427</v>
      </c>
      <c r="CQ85" s="24"/>
      <c r="CR85" s="391">
        <v>-4.9800000000000004</v>
      </c>
      <c r="CS85" s="24" t="s">
        <v>1084</v>
      </c>
      <c r="CT85" s="408">
        <v>41426</v>
      </c>
      <c r="CU85" s="405"/>
      <c r="CV85" s="391">
        <v>4</v>
      </c>
      <c r="CW85" s="24" t="s">
        <v>1084</v>
      </c>
      <c r="CX85" s="408">
        <v>41425</v>
      </c>
      <c r="CY85" s="405"/>
      <c r="CZ85" s="2745">
        <v>-10</v>
      </c>
      <c r="DA85" s="24" t="s">
        <v>1084</v>
      </c>
      <c r="DB85" s="408">
        <v>42885</v>
      </c>
      <c r="DC85" s="405"/>
      <c r="DD85" s="2750">
        <v>-3</v>
      </c>
      <c r="DE85" s="2167"/>
      <c r="DF85" s="24" t="s">
        <v>1084</v>
      </c>
      <c r="DG85" s="408">
        <v>42152</v>
      </c>
      <c r="DH85" s="405"/>
      <c r="DI85" s="2763">
        <v>5</v>
      </c>
      <c r="DJ85" s="939"/>
      <c r="DK85" s="24" t="s">
        <v>1084</v>
      </c>
      <c r="DL85" s="24"/>
      <c r="DM85" s="408">
        <v>42882</v>
      </c>
      <c r="DN85" s="405"/>
      <c r="DO85" s="2763">
        <v>-28</v>
      </c>
      <c r="DP85" s="2522"/>
      <c r="DQ85" s="24" t="s">
        <v>1084</v>
      </c>
      <c r="DR85" s="24"/>
      <c r="DS85" s="408">
        <v>41425</v>
      </c>
      <c r="DT85" s="405"/>
      <c r="DU85" s="2763">
        <v>10</v>
      </c>
      <c r="DV85" s="2522"/>
      <c r="DW85" s="24" t="s">
        <v>1084</v>
      </c>
      <c r="DX85" s="405">
        <f>DI85+DD85</f>
        <v>2</v>
      </c>
      <c r="DY85" s="405"/>
      <c r="EA85" s="425"/>
      <c r="EB85" s="425"/>
      <c r="EC85" s="425"/>
      <c r="ED85" s="425"/>
      <c r="EE85" s="425"/>
      <c r="EF85" s="425">
        <v>0.35</v>
      </c>
      <c r="EG85" s="425">
        <v>0.35</v>
      </c>
      <c r="EH85" s="425">
        <f>+mthSales!HU15</f>
        <v>0.28949610254982461</v>
      </c>
      <c r="EI85" s="425">
        <f>+mthSales!HV15</f>
        <v>0.2993812046476429</v>
      </c>
      <c r="EJ85" s="425">
        <f>+mthSales!HW15</f>
        <v>0.29311010647928071</v>
      </c>
      <c r="EK85" s="425">
        <f>+mthSales!HX15</f>
        <v>0.29184573101375505</v>
      </c>
      <c r="EL85" s="425">
        <f>+mthSales!HY15</f>
        <v>0.28006382404038854</v>
      </c>
      <c r="EM85" s="425">
        <f>+mthSales!HZ15</f>
        <v>0.29293086672559726</v>
      </c>
      <c r="EN85" s="1152">
        <f t="shared" ref="EN85:ER86" si="68">EM85</f>
        <v>0.29293086672559726</v>
      </c>
      <c r="EO85" s="1152">
        <f t="shared" si="68"/>
        <v>0.29293086672559726</v>
      </c>
      <c r="EP85" s="425">
        <f t="shared" si="68"/>
        <v>0.29293086672559726</v>
      </c>
      <c r="EQ85" s="425">
        <v>0.34</v>
      </c>
      <c r="ER85" s="425">
        <f t="shared" si="68"/>
        <v>0.34</v>
      </c>
      <c r="ES85" s="425"/>
    </row>
    <row r="86" spans="1:149">
      <c r="A86" s="31" t="s">
        <v>652</v>
      </c>
      <c r="B86" s="24"/>
      <c r="C86" s="24"/>
      <c r="D86" s="113">
        <f>+D81</f>
        <v>5</v>
      </c>
      <c r="E86" s="24"/>
      <c r="F86" s="274"/>
      <c r="G86" s="168"/>
      <c r="H86" s="227"/>
      <c r="I86" s="168"/>
      <c r="J86" s="286"/>
      <c r="K86" s="168"/>
      <c r="L86" s="227"/>
      <c r="M86" s="168"/>
      <c r="N86" s="286"/>
      <c r="O86" s="168"/>
      <c r="P86" s="227"/>
      <c r="Q86" s="168"/>
      <c r="R86" s="286"/>
      <c r="S86" s="168"/>
      <c r="T86" s="227"/>
      <c r="U86" s="168"/>
      <c r="V86" s="286"/>
      <c r="W86" s="168"/>
      <c r="X86" s="227"/>
      <c r="Y86" s="168"/>
      <c r="Z86" s="286"/>
      <c r="AA86" s="168"/>
      <c r="AB86" s="227"/>
      <c r="AC86" s="168"/>
      <c r="AD86" s="224"/>
      <c r="AE86" s="168"/>
      <c r="AF86" s="210"/>
      <c r="AG86" s="168"/>
      <c r="AH86" s="288"/>
      <c r="AI86" s="24"/>
      <c r="AJ86" s="210"/>
      <c r="AK86" s="24"/>
      <c r="AL86" s="283"/>
      <c r="AM86" s="24"/>
      <c r="AN86" s="210"/>
      <c r="AO86" s="24"/>
      <c r="AP86" s="283"/>
      <c r="AQ86" s="168"/>
      <c r="AR86" s="210"/>
      <c r="AS86" s="168"/>
      <c r="AT86" s="283"/>
      <c r="AU86" s="24"/>
      <c r="AV86" s="210"/>
      <c r="AW86" s="24"/>
      <c r="AX86" s="283"/>
      <c r="AY86" s="24"/>
      <c r="AZ86" s="210"/>
      <c r="BA86" s="24"/>
      <c r="BB86" s="283"/>
      <c r="BC86" s="24"/>
      <c r="BD86" s="210"/>
      <c r="BE86" s="24"/>
      <c r="BF86" s="408"/>
      <c r="BG86" s="24"/>
      <c r="BH86" s="210"/>
      <c r="BI86" s="24"/>
      <c r="BJ86" s="408"/>
      <c r="BK86" s="24"/>
      <c r="BL86" s="210"/>
      <c r="BM86" s="24"/>
      <c r="BN86" s="408"/>
      <c r="BO86" s="24"/>
      <c r="BP86" s="210"/>
      <c r="BQ86" s="24"/>
      <c r="BR86" s="408">
        <f>mthSales!ED16</f>
        <v>38534</v>
      </c>
      <c r="BS86" s="24"/>
      <c r="BT86" s="210">
        <v>13.13</v>
      </c>
      <c r="BU86" s="24"/>
      <c r="BV86" s="408">
        <f>mthSales!EL16</f>
        <v>39270</v>
      </c>
      <c r="BW86" s="24"/>
      <c r="BX86" s="210">
        <v>5.84</v>
      </c>
      <c r="BY86" s="24"/>
      <c r="BZ86" s="408">
        <f>mthSales!ET16</f>
        <v>39268</v>
      </c>
      <c r="CA86" s="24"/>
      <c r="CB86" s="210">
        <v>3.69</v>
      </c>
      <c r="CC86" s="24"/>
      <c r="CD86" s="408">
        <f>mthSales!FB16</f>
        <v>39998</v>
      </c>
      <c r="CE86" s="24"/>
      <c r="CF86" s="210">
        <v>-20.88</v>
      </c>
      <c r="CG86" s="24"/>
      <c r="CH86" s="408">
        <f>mthSales!FJ16</f>
        <v>40362</v>
      </c>
      <c r="CI86" s="24"/>
      <c r="CJ86" s="210">
        <v>17.36</v>
      </c>
      <c r="CK86" s="24"/>
      <c r="CL86" s="408">
        <v>40726</v>
      </c>
      <c r="CM86" s="24"/>
      <c r="CN86" s="210">
        <v>-1.61</v>
      </c>
      <c r="CO86" s="24"/>
      <c r="CP86" s="1165">
        <v>41462</v>
      </c>
      <c r="CQ86" s="24"/>
      <c r="CR86" s="391">
        <v>11</v>
      </c>
      <c r="CS86" s="24"/>
      <c r="CT86" s="408">
        <v>41461</v>
      </c>
      <c r="CU86" s="405"/>
      <c r="CV86" s="391">
        <v>-9</v>
      </c>
      <c r="CW86" s="24"/>
      <c r="CX86" s="408">
        <v>41460</v>
      </c>
      <c r="CY86" s="405"/>
      <c r="CZ86" s="2745">
        <v>6</v>
      </c>
      <c r="DA86" s="24"/>
      <c r="DB86" s="408">
        <v>42920</v>
      </c>
      <c r="DC86" s="405"/>
      <c r="DD86" s="2754">
        <v>-4</v>
      </c>
      <c r="DE86" s="2384"/>
      <c r="DF86" s="24"/>
      <c r="DG86" s="408">
        <v>42187</v>
      </c>
      <c r="DH86" s="405"/>
      <c r="DI86" s="2763">
        <v>13</v>
      </c>
      <c r="DJ86" s="939"/>
      <c r="DK86" s="24"/>
      <c r="DL86" s="24"/>
      <c r="DM86" s="408">
        <v>42917</v>
      </c>
      <c r="DN86" s="405"/>
      <c r="DO86" s="2763">
        <v>-36</v>
      </c>
      <c r="DP86" s="2522"/>
      <c r="DQ86" s="24"/>
      <c r="DR86" s="24"/>
      <c r="DS86" s="408">
        <v>41460</v>
      </c>
      <c r="DT86" s="405"/>
      <c r="DU86" s="2763">
        <v>10</v>
      </c>
      <c r="DV86" s="2522"/>
      <c r="DW86" s="24"/>
      <c r="DX86" s="405">
        <f>DI86+DD86</f>
        <v>9</v>
      </c>
      <c r="DY86" s="405"/>
      <c r="EA86" s="425"/>
      <c r="EB86" s="425"/>
      <c r="EC86" s="425"/>
      <c r="ED86" s="425"/>
      <c r="EE86" s="425"/>
      <c r="EF86" s="425">
        <v>0.38</v>
      </c>
      <c r="EG86" s="425">
        <v>0.38</v>
      </c>
      <c r="EH86" s="425">
        <f>+mthSales!HU16</f>
        <v>0.44739908786620408</v>
      </c>
      <c r="EI86" s="425">
        <f>+mthSales!HV16</f>
        <v>0.43153088460444139</v>
      </c>
      <c r="EJ86" s="425">
        <f>+mthSales!HW16</f>
        <v>0.43050128829316542</v>
      </c>
      <c r="EK86" s="425">
        <f>+mthSales!HX16</f>
        <v>0.43935515680910991</v>
      </c>
      <c r="EL86" s="425">
        <f>+mthSales!HY16</f>
        <v>0.44891909285830994</v>
      </c>
      <c r="EM86" s="425">
        <f>+mthSales!HZ16</f>
        <v>0.43760771270676069</v>
      </c>
      <c r="EN86" s="1152">
        <f t="shared" si="68"/>
        <v>0.43760771270676069</v>
      </c>
      <c r="EO86" s="1152">
        <f t="shared" si="68"/>
        <v>0.43760771270676069</v>
      </c>
      <c r="EP86" s="425">
        <f t="shared" si="68"/>
        <v>0.43760771270676069</v>
      </c>
      <c r="EQ86" s="425">
        <v>0.39</v>
      </c>
      <c r="ER86" s="425">
        <f t="shared" si="68"/>
        <v>0.39</v>
      </c>
      <c r="ES86" s="425"/>
    </row>
    <row r="87" spans="1:149">
      <c r="A87" s="31" t="s">
        <v>653</v>
      </c>
      <c r="B87" s="24"/>
      <c r="C87" s="24"/>
      <c r="D87" s="113">
        <f>+D82</f>
        <v>4</v>
      </c>
      <c r="E87" s="24"/>
      <c r="F87" s="274"/>
      <c r="G87" s="168"/>
      <c r="H87" s="231"/>
      <c r="I87" s="168"/>
      <c r="J87" s="286"/>
      <c r="K87" s="168"/>
      <c r="L87" s="231"/>
      <c r="M87" s="168"/>
      <c r="N87" s="286"/>
      <c r="O87" s="168"/>
      <c r="P87" s="231"/>
      <c r="Q87" s="168"/>
      <c r="R87" s="286"/>
      <c r="S87" s="168"/>
      <c r="T87" s="231"/>
      <c r="U87" s="168"/>
      <c r="V87" s="286"/>
      <c r="W87" s="168"/>
      <c r="X87" s="231"/>
      <c r="Y87" s="168"/>
      <c r="Z87" s="286"/>
      <c r="AA87" s="168"/>
      <c r="AB87" s="231"/>
      <c r="AC87" s="168"/>
      <c r="AD87" s="224"/>
      <c r="AE87" s="168"/>
      <c r="AF87" s="211"/>
      <c r="AG87" s="168"/>
      <c r="AH87" s="288"/>
      <c r="AI87" s="24"/>
      <c r="AJ87" s="211"/>
      <c r="AK87" s="24"/>
      <c r="AL87" s="283"/>
      <c r="AM87" s="24"/>
      <c r="AN87" s="211"/>
      <c r="AO87" s="24"/>
      <c r="AP87" s="283"/>
      <c r="AQ87" s="168"/>
      <c r="AR87" s="211"/>
      <c r="AS87" s="168"/>
      <c r="AT87" s="283"/>
      <c r="AU87" s="24"/>
      <c r="AV87" s="211"/>
      <c r="AW87" s="24"/>
      <c r="AX87" s="283"/>
      <c r="AY87" s="24"/>
      <c r="AZ87" s="211"/>
      <c r="BA87" s="24"/>
      <c r="BB87" s="283"/>
      <c r="BC87" s="24"/>
      <c r="BD87" s="211"/>
      <c r="BE87" s="24"/>
      <c r="BF87" s="408"/>
      <c r="BG87" s="24"/>
      <c r="BH87" s="211"/>
      <c r="BI87" s="24"/>
      <c r="BJ87" s="408"/>
      <c r="BK87" s="24"/>
      <c r="BL87" s="211"/>
      <c r="BM87" s="24"/>
      <c r="BN87" s="408"/>
      <c r="BO87" s="24"/>
      <c r="BP87" s="211"/>
      <c r="BQ87" s="24"/>
      <c r="BR87" s="408">
        <f>mthSales!ED17</f>
        <v>38562</v>
      </c>
      <c r="BS87" s="24"/>
      <c r="BT87" s="211">
        <v>22.99</v>
      </c>
      <c r="BU87" s="24"/>
      <c r="BV87" s="408">
        <f>mthSales!EL17</f>
        <v>39298</v>
      </c>
      <c r="BW87" s="24"/>
      <c r="BX87" s="211">
        <v>-0.03</v>
      </c>
      <c r="BY87" s="24"/>
      <c r="BZ87" s="408">
        <f>mthSales!ET17</f>
        <v>39296</v>
      </c>
      <c r="CA87" s="24"/>
      <c r="CB87" s="211">
        <v>9.6</v>
      </c>
      <c r="CC87" s="24"/>
      <c r="CD87" s="408">
        <f>mthSales!FB17</f>
        <v>40026</v>
      </c>
      <c r="CE87" s="24"/>
      <c r="CF87" s="211">
        <v>-10.41</v>
      </c>
      <c r="CG87" s="24"/>
      <c r="CH87" s="408">
        <f>mthSales!FJ17</f>
        <v>40390</v>
      </c>
      <c r="CI87" s="24"/>
      <c r="CJ87" s="211">
        <v>1.81</v>
      </c>
      <c r="CK87" s="24"/>
      <c r="CL87" s="408">
        <v>40754</v>
      </c>
      <c r="CM87" s="24"/>
      <c r="CN87" s="211">
        <v>4.6900000000000004</v>
      </c>
      <c r="CO87" s="24"/>
      <c r="CP87" s="1165">
        <v>41490</v>
      </c>
      <c r="CQ87" s="24"/>
      <c r="CR87" s="392">
        <v>1</v>
      </c>
      <c r="CS87" s="24"/>
      <c r="CT87" s="408">
        <v>41489</v>
      </c>
      <c r="CU87" s="405"/>
      <c r="CV87" s="392">
        <v>-11</v>
      </c>
      <c r="CW87" s="24"/>
      <c r="CX87" s="408">
        <v>41488</v>
      </c>
      <c r="CY87" s="405"/>
      <c r="CZ87" s="2746">
        <v>1</v>
      </c>
      <c r="DA87" s="24"/>
      <c r="DB87" s="408">
        <v>42948</v>
      </c>
      <c r="DC87" s="405"/>
      <c r="DD87" s="2755">
        <v>-3</v>
      </c>
      <c r="DF87" s="24"/>
      <c r="DG87" s="408">
        <v>42215</v>
      </c>
      <c r="DH87" s="405"/>
      <c r="DI87" s="2764">
        <v>2</v>
      </c>
      <c r="DJ87" s="939"/>
      <c r="DK87" s="24"/>
      <c r="DL87" s="24"/>
      <c r="DM87" s="408">
        <v>42945</v>
      </c>
      <c r="DN87" s="405"/>
      <c r="DO87" s="2764">
        <v>-13</v>
      </c>
      <c r="DP87" s="2522"/>
      <c r="DQ87" s="24"/>
      <c r="DR87" s="24"/>
      <c r="DS87" s="408">
        <v>41488</v>
      </c>
      <c r="DT87" s="405"/>
      <c r="DU87" s="2764">
        <v>10</v>
      </c>
      <c r="DV87" s="2522"/>
      <c r="DW87" s="24"/>
      <c r="DX87" s="405">
        <f>DI87+DD87</f>
        <v>-1</v>
      </c>
      <c r="DY87" s="405"/>
      <c r="EA87" s="426"/>
      <c r="EB87" s="426"/>
      <c r="EC87" s="426"/>
      <c r="ED87" s="426"/>
      <c r="EE87" s="426"/>
      <c r="EF87" s="426">
        <f t="shared" ref="EF87:EN87" si="69">1-EF86-EF85</f>
        <v>0.27</v>
      </c>
      <c r="EG87" s="426">
        <f t="shared" si="69"/>
        <v>0.27</v>
      </c>
      <c r="EH87" s="426">
        <f t="shared" si="69"/>
        <v>0.26310480958397131</v>
      </c>
      <c r="EI87" s="426">
        <f t="shared" si="69"/>
        <v>0.26908791074791566</v>
      </c>
      <c r="EJ87" s="426">
        <f t="shared" si="69"/>
        <v>0.27638860522755393</v>
      </c>
      <c r="EK87" s="426">
        <f t="shared" si="69"/>
        <v>0.26879911217713509</v>
      </c>
      <c r="EL87" s="426">
        <f t="shared" si="69"/>
        <v>0.27101708310130146</v>
      </c>
      <c r="EM87" s="426">
        <f t="shared" si="69"/>
        <v>0.26946142056764205</v>
      </c>
      <c r="EN87" s="1155">
        <f t="shared" si="69"/>
        <v>0.26946142056764205</v>
      </c>
      <c r="EO87" s="1155">
        <f>1-EO86-EO85</f>
        <v>0.26946142056764205</v>
      </c>
      <c r="EP87" s="427">
        <f>1-EP86-EP85</f>
        <v>0.26946142056764205</v>
      </c>
      <c r="EQ87" s="427">
        <f>1-EQ86-EQ85</f>
        <v>0.26999999999999996</v>
      </c>
      <c r="ER87" s="427">
        <f>1-ER86-ER85</f>
        <v>0.26999999999999996</v>
      </c>
      <c r="ES87" s="427"/>
    </row>
    <row r="88" spans="1:149">
      <c r="A88" s="116"/>
      <c r="B88" s="118" t="s">
        <v>924</v>
      </c>
      <c r="C88" s="116"/>
      <c r="D88" s="121"/>
      <c r="E88" s="116"/>
      <c r="F88" s="269"/>
      <c r="G88" s="245"/>
      <c r="H88" s="232"/>
      <c r="I88" s="245"/>
      <c r="J88" s="269"/>
      <c r="K88" s="245"/>
      <c r="L88" s="232"/>
      <c r="M88" s="245"/>
      <c r="N88" s="269"/>
      <c r="O88" s="245"/>
      <c r="P88" s="232"/>
      <c r="Q88" s="245"/>
      <c r="R88" s="269"/>
      <c r="S88" s="245"/>
      <c r="T88" s="232"/>
      <c r="U88" s="245"/>
      <c r="V88" s="269"/>
      <c r="W88" s="245"/>
      <c r="X88" s="232"/>
      <c r="Y88" s="245"/>
      <c r="Z88" s="269"/>
      <c r="AA88" s="245"/>
      <c r="AB88" s="232"/>
      <c r="AC88" s="245"/>
      <c r="AD88" s="269"/>
      <c r="AE88" s="245"/>
      <c r="AF88" s="352"/>
      <c r="AG88" s="245"/>
      <c r="AH88" s="269"/>
      <c r="AI88" s="116"/>
      <c r="AJ88" s="352"/>
      <c r="AK88" s="116"/>
      <c r="AL88" s="269"/>
      <c r="AM88" s="116"/>
      <c r="AN88" s="352"/>
      <c r="AO88" s="116"/>
      <c r="AP88" s="269"/>
      <c r="AQ88" s="245"/>
      <c r="AR88" s="352"/>
      <c r="AS88" s="245"/>
      <c r="AT88" s="269"/>
      <c r="AU88" s="116"/>
      <c r="AV88" s="352"/>
      <c r="AW88" s="116"/>
      <c r="AX88" s="269"/>
      <c r="AY88" s="116"/>
      <c r="AZ88" s="353"/>
      <c r="BA88" s="116"/>
      <c r="BB88" s="269"/>
      <c r="BC88" s="116"/>
      <c r="BD88" s="353"/>
      <c r="BE88" s="116"/>
      <c r="BF88" s="409"/>
      <c r="BG88" s="116"/>
      <c r="BH88" s="353"/>
      <c r="BI88" s="116"/>
      <c r="BJ88" s="409"/>
      <c r="BK88" s="116"/>
      <c r="BL88" s="353"/>
      <c r="BM88" s="116"/>
      <c r="BN88" s="409"/>
      <c r="BO88" s="116"/>
      <c r="BP88" s="353"/>
      <c r="BQ88" s="116"/>
      <c r="BR88" s="409"/>
      <c r="BS88" s="116"/>
      <c r="BT88" s="1081">
        <f>'segSales&amp;OM'!L116</f>
        <v>14.473684210526304</v>
      </c>
      <c r="BU88" s="116"/>
      <c r="BV88" s="409"/>
      <c r="BW88" s="116"/>
      <c r="BX88" s="1081">
        <f>'segSales&amp;OM'!L123</f>
        <v>8.4838533114395265</v>
      </c>
      <c r="BY88" s="116"/>
      <c r="BZ88" s="409"/>
      <c r="CA88" s="116"/>
      <c r="CB88" s="1081">
        <f>'segSales&amp;OM'!L158</f>
        <v>6.7608476286579178</v>
      </c>
      <c r="CC88" s="116"/>
      <c r="CD88" s="409"/>
      <c r="CE88" s="116"/>
      <c r="CF88" s="1081">
        <f>'segSales&amp;OM'!L165</f>
        <v>-15.075614366729685</v>
      </c>
      <c r="CG88" s="116"/>
      <c r="CH88" s="409"/>
      <c r="CI88" s="116"/>
      <c r="CJ88" s="1081">
        <f>'segSales&amp;OM'!L172</f>
        <v>8.7924318308291625</v>
      </c>
      <c r="CK88" s="116"/>
      <c r="CL88" s="1080"/>
      <c r="CM88" s="116"/>
      <c r="CN88" s="1081">
        <f>'segSales&amp;OM'!L179</f>
        <v>0.48593350383632217</v>
      </c>
      <c r="CO88" s="116"/>
      <c r="CP88" s="269"/>
      <c r="CQ88" s="116"/>
      <c r="CR88" s="2761">
        <f>EL88</f>
        <v>3.8144092608215758</v>
      </c>
      <c r="CS88" s="116"/>
      <c r="CT88" s="1080"/>
      <c r="CU88" s="405"/>
      <c r="CV88" s="2762">
        <v>-6</v>
      </c>
      <c r="CW88" s="116"/>
      <c r="CX88" s="1080"/>
      <c r="CY88" s="405"/>
      <c r="CZ88" s="2715">
        <v>0</v>
      </c>
      <c r="DA88" s="116"/>
      <c r="DB88" s="1080"/>
      <c r="DC88" s="405"/>
      <c r="DD88" s="2723">
        <v>-4</v>
      </c>
      <c r="DE88" s="2393"/>
      <c r="DF88" s="116"/>
      <c r="DG88" s="1080"/>
      <c r="DH88" s="405"/>
      <c r="DI88" s="2355">
        <f>'segSales&amp;OM'!L231</f>
        <v>7.9696394686907146</v>
      </c>
      <c r="DJ88" s="1093"/>
      <c r="DK88" s="116"/>
      <c r="DL88" s="116"/>
      <c r="DM88" s="1080"/>
      <c r="DN88" s="405"/>
      <c r="DO88" s="2355">
        <f>'segSales&amp;OM'!L238</f>
        <v>-25.859904594526739</v>
      </c>
      <c r="DP88" s="1093"/>
      <c r="DQ88" s="116"/>
      <c r="DR88" s="116"/>
      <c r="DS88" s="1080"/>
      <c r="DT88" s="405"/>
      <c r="DU88" s="2765">
        <f>ER88</f>
        <v>10</v>
      </c>
      <c r="DV88" s="1093"/>
      <c r="DW88" s="116"/>
      <c r="DX88" s="405">
        <f>DI88+DD88</f>
        <v>3.9696394686907146</v>
      </c>
      <c r="DY88" s="405"/>
      <c r="EA88" s="405"/>
      <c r="EB88" s="405"/>
      <c r="EC88" s="405"/>
      <c r="ED88" s="405"/>
      <c r="EE88" s="405"/>
      <c r="EF88" s="405">
        <f>+BT85*EF85+BT86*EF86+BT87*EF87</f>
        <v>14.3992</v>
      </c>
      <c r="EG88" s="405">
        <f>+BX85*EG85+BX86*EG86+BX87*EG87</f>
        <v>9.6450999999999976</v>
      </c>
      <c r="EH88" s="405">
        <f>+CB85*EH85+CB86*EH86+CB87*EH87</f>
        <v>6.7271694696963724</v>
      </c>
      <c r="EI88" s="405">
        <f>+CF85*EI85+CF86*EI86+CF87*EI87</f>
        <v>-15.07183134003937</v>
      </c>
      <c r="EJ88" s="405">
        <f>+CJ85*EJ85+CJ86*EJ86+CJ87*EJ87</f>
        <v>9.1696549746666882</v>
      </c>
      <c r="EK88" s="405">
        <f>+CN85*EK85+CN86*EK86+CN87*EK87</f>
        <v>0.55914294826837185</v>
      </c>
      <c r="EL88" s="405">
        <f>+CR85*EL85+CR86*EL86+CR87*EL87</f>
        <v>3.8144092608215758</v>
      </c>
      <c r="EM88" s="405">
        <f>+CV85*EM85+CV86*EM86+CV87*EM87</f>
        <v>-5.730821573702519</v>
      </c>
      <c r="EN88" s="252">
        <f>+CZ85*EN85+CZ86*EN86+CZ87*EN87</f>
        <v>-3.4200970447766099E-2</v>
      </c>
      <c r="EO88" s="252">
        <f>+DD85*EO85+DD86*EO86+DD87*EO87</f>
        <v>-3.437607712706761</v>
      </c>
      <c r="EP88" s="405">
        <f>+DI85*EP85+DI86*EP86+DI87*EP87</f>
        <v>7.6924774399511593</v>
      </c>
      <c r="EQ88" s="405">
        <f>+DO85*EQ85+DO86*EQ86+DO87*EQ87</f>
        <v>-27.07</v>
      </c>
      <c r="ER88" s="405">
        <f>+DU85*ER85+DU86*ER86+DU87*ER87</f>
        <v>10</v>
      </c>
      <c r="ES88" s="405"/>
    </row>
    <row r="89" spans="1:149">
      <c r="A89" s="24"/>
      <c r="B89" s="24"/>
      <c r="C89" s="24"/>
      <c r="D89" s="113"/>
      <c r="E89" s="24"/>
      <c r="F89" s="275"/>
      <c r="G89" s="168"/>
      <c r="H89" s="168"/>
      <c r="I89" s="168"/>
      <c r="J89" s="286"/>
      <c r="K89" s="168"/>
      <c r="L89" s="168"/>
      <c r="M89" s="168"/>
      <c r="N89" s="286"/>
      <c r="O89" s="168"/>
      <c r="P89" s="168"/>
      <c r="Q89" s="168"/>
      <c r="R89" s="286"/>
      <c r="S89" s="168"/>
      <c r="T89" s="168"/>
      <c r="U89" s="168"/>
      <c r="V89" s="286"/>
      <c r="W89" s="168"/>
      <c r="X89" s="168"/>
      <c r="Y89" s="168"/>
      <c r="Z89" s="286"/>
      <c r="AA89" s="168"/>
      <c r="AB89" s="168"/>
      <c r="AC89" s="168"/>
      <c r="AD89" s="224"/>
      <c r="AE89" s="168"/>
      <c r="AF89" s="113"/>
      <c r="AG89" s="168"/>
      <c r="AH89" s="224"/>
      <c r="AI89" s="24"/>
      <c r="AJ89" s="113"/>
      <c r="AK89" s="24"/>
      <c r="AL89" s="224"/>
      <c r="AM89" s="24"/>
      <c r="AN89" s="113"/>
      <c r="AO89" s="24"/>
      <c r="AP89" s="224"/>
      <c r="AQ89" s="168"/>
      <c r="AR89" s="113"/>
      <c r="AS89" s="168"/>
      <c r="AT89" s="224"/>
      <c r="AU89" s="24"/>
      <c r="AV89" s="113"/>
      <c r="AW89" s="24"/>
      <c r="AX89" s="224"/>
      <c r="AY89" s="24"/>
      <c r="AZ89" s="113"/>
      <c r="BA89" s="24"/>
      <c r="BB89" s="224"/>
      <c r="BC89" s="24"/>
      <c r="BD89" s="113"/>
      <c r="BE89" s="24"/>
      <c r="BF89" s="411"/>
      <c r="BG89" s="24"/>
      <c r="BH89" s="113"/>
      <c r="BI89" s="24"/>
      <c r="BJ89" s="411"/>
      <c r="BK89" s="24"/>
      <c r="BL89" s="113"/>
      <c r="BM89" s="24"/>
      <c r="BN89" s="411"/>
      <c r="BO89" s="24"/>
      <c r="BP89" s="113"/>
      <c r="BQ89" s="24"/>
      <c r="BR89" s="411"/>
      <c r="BS89" s="24"/>
      <c r="BT89" s="113"/>
      <c r="BU89" s="24"/>
      <c r="BV89" s="411"/>
      <c r="BW89" s="24"/>
      <c r="BX89" s="113"/>
      <c r="BY89" s="24"/>
      <c r="BZ89" s="411"/>
      <c r="CA89" s="24"/>
      <c r="CB89" s="113"/>
      <c r="CC89" s="24"/>
      <c r="CD89" s="411"/>
      <c r="CE89" s="24"/>
      <c r="CF89" s="113"/>
      <c r="CG89" s="24"/>
      <c r="CH89" s="411"/>
      <c r="CI89" s="24"/>
      <c r="CJ89" s="113"/>
      <c r="CK89" s="24"/>
      <c r="CL89" s="408"/>
      <c r="CM89" s="24"/>
      <c r="CN89" s="113"/>
      <c r="CO89" s="24"/>
      <c r="CP89" s="224"/>
      <c r="CQ89" s="24"/>
      <c r="CR89" s="2705"/>
      <c r="CS89" s="24"/>
      <c r="CT89" s="408"/>
      <c r="CU89" s="24"/>
      <c r="CV89" s="387"/>
      <c r="CW89" s="24"/>
      <c r="CX89" s="408"/>
      <c r="CY89" s="24"/>
      <c r="CZ89" s="387"/>
      <c r="DA89" s="24"/>
      <c r="DB89" s="408"/>
      <c r="DC89" s="24"/>
      <c r="DD89" s="387"/>
      <c r="DE89" s="24"/>
      <c r="DF89" s="24"/>
      <c r="DG89" s="408"/>
      <c r="DH89" s="24"/>
      <c r="DI89" s="1183"/>
      <c r="DJ89" s="24"/>
      <c r="DK89" s="24"/>
      <c r="DL89" s="24"/>
      <c r="DM89" s="408"/>
      <c r="DN89" s="24"/>
      <c r="DO89" s="1183"/>
      <c r="DQ89" s="24"/>
      <c r="DR89" s="24"/>
      <c r="DS89" s="408"/>
      <c r="DT89" s="24"/>
      <c r="DU89" s="1183"/>
      <c r="DW89" s="24"/>
      <c r="DX89" s="405"/>
      <c r="DY89" s="405"/>
      <c r="EA89" s="24"/>
      <c r="EB89" s="24"/>
      <c r="EC89" s="24"/>
      <c r="ED89" s="24"/>
      <c r="EE89" s="24"/>
      <c r="EF89" s="24"/>
      <c r="EG89" s="24"/>
      <c r="EH89" s="24"/>
      <c r="EI89" s="24"/>
      <c r="EJ89" s="24"/>
      <c r="EK89" s="24"/>
      <c r="EN89" s="966"/>
      <c r="EO89" s="966"/>
    </row>
    <row r="90" spans="1:149">
      <c r="A90" s="31" t="s">
        <v>654</v>
      </c>
      <c r="B90" s="31"/>
      <c r="C90" s="24"/>
      <c r="D90" s="113">
        <f>+D85</f>
        <v>4</v>
      </c>
      <c r="E90" s="24"/>
      <c r="F90" s="276"/>
      <c r="G90" s="168"/>
      <c r="H90" s="227"/>
      <c r="I90" s="168"/>
      <c r="J90" s="286"/>
      <c r="K90" s="168"/>
      <c r="L90" s="227"/>
      <c r="M90" s="168"/>
      <c r="N90" s="286"/>
      <c r="O90" s="168"/>
      <c r="P90" s="227"/>
      <c r="Q90" s="168"/>
      <c r="R90" s="286"/>
      <c r="S90" s="168"/>
      <c r="T90" s="227"/>
      <c r="U90" s="168"/>
      <c r="V90" s="286"/>
      <c r="W90" s="168"/>
      <c r="X90" s="227"/>
      <c r="Y90" s="168"/>
      <c r="Z90" s="286"/>
      <c r="AA90" s="168"/>
      <c r="AB90" s="227"/>
      <c r="AC90" s="168"/>
      <c r="AD90" s="224"/>
      <c r="AE90" s="168"/>
      <c r="AF90" s="210"/>
      <c r="AG90" s="168"/>
      <c r="AH90" s="288"/>
      <c r="AI90" s="24"/>
      <c r="AJ90" s="210"/>
      <c r="AK90" s="24"/>
      <c r="AL90" s="283"/>
      <c r="AM90" s="24"/>
      <c r="AN90" s="210"/>
      <c r="AO90" s="24"/>
      <c r="AP90" s="283"/>
      <c r="AQ90" s="168"/>
      <c r="AR90" s="210"/>
      <c r="AS90" s="168"/>
      <c r="AT90" s="283"/>
      <c r="AU90" s="24"/>
      <c r="AV90" s="210"/>
      <c r="AW90" s="24"/>
      <c r="AX90" s="283"/>
      <c r="AY90" s="24"/>
      <c r="AZ90" s="210"/>
      <c r="BA90" s="24"/>
      <c r="BB90" s="283"/>
      <c r="BC90" s="24"/>
      <c r="BD90" s="210"/>
      <c r="BE90" s="24"/>
      <c r="BF90" s="408"/>
      <c r="BG90" s="24"/>
      <c r="BH90" s="210"/>
      <c r="BI90" s="24"/>
      <c r="BJ90" s="408"/>
      <c r="BK90" s="24"/>
      <c r="BL90" s="210"/>
      <c r="BM90" s="24"/>
      <c r="BN90" s="408"/>
      <c r="BO90" s="24"/>
      <c r="BP90" s="210"/>
      <c r="BQ90" s="24"/>
      <c r="BR90" s="408">
        <f>mthSales!ED20</f>
        <v>38590</v>
      </c>
      <c r="BS90" s="24"/>
      <c r="BT90" s="210">
        <v>16.829999999999998</v>
      </c>
      <c r="BU90" s="24" t="s">
        <v>1084</v>
      </c>
      <c r="BV90" s="408">
        <f>mthSales!EL20</f>
        <v>39326</v>
      </c>
      <c r="BW90" s="24"/>
      <c r="BX90" s="210">
        <v>-63.65</v>
      </c>
      <c r="BY90" s="24" t="s">
        <v>1084</v>
      </c>
      <c r="BZ90" s="408">
        <f>mthSales!ET20</f>
        <v>39324</v>
      </c>
      <c r="CA90" s="24"/>
      <c r="CB90" s="210">
        <v>213.89</v>
      </c>
      <c r="CC90" s="24" t="s">
        <v>1084</v>
      </c>
      <c r="CD90" s="408">
        <f>mthSales!FB20</f>
        <v>40054</v>
      </c>
      <c r="CE90" s="24"/>
      <c r="CF90" s="210">
        <v>-14.41</v>
      </c>
      <c r="CG90" s="24" t="s">
        <v>1084</v>
      </c>
      <c r="CH90" s="408">
        <f>mthSales!FJ20</f>
        <v>40418</v>
      </c>
      <c r="CI90" s="24"/>
      <c r="CJ90" s="210">
        <v>8.7799999999999994</v>
      </c>
      <c r="CK90" s="24" t="s">
        <v>1084</v>
      </c>
      <c r="CL90" s="408">
        <v>40782</v>
      </c>
      <c r="CM90" s="24"/>
      <c r="CN90" s="210">
        <v>3.95</v>
      </c>
      <c r="CO90" s="24" t="s">
        <v>1084</v>
      </c>
      <c r="CP90" s="1165">
        <v>41518</v>
      </c>
      <c r="CQ90" s="24"/>
      <c r="CR90" s="391">
        <v>1</v>
      </c>
      <c r="CS90" s="24" t="s">
        <v>1084</v>
      </c>
      <c r="CT90" s="408">
        <v>41517</v>
      </c>
      <c r="CU90" s="405"/>
      <c r="CV90" s="391">
        <v>3</v>
      </c>
      <c r="CW90" s="24" t="s">
        <v>1084</v>
      </c>
      <c r="CX90" s="408">
        <v>41516</v>
      </c>
      <c r="CY90" s="405"/>
      <c r="CZ90" s="2748">
        <v>8</v>
      </c>
      <c r="DA90" s="24" t="s">
        <v>1084</v>
      </c>
      <c r="DB90" s="408">
        <v>42976</v>
      </c>
      <c r="DC90" s="405"/>
      <c r="DD90" s="2750">
        <v>2</v>
      </c>
      <c r="DE90" s="2167"/>
      <c r="DF90" s="24" t="s">
        <v>1084</v>
      </c>
      <c r="DG90" s="408">
        <v>42243</v>
      </c>
      <c r="DH90" s="405"/>
      <c r="DI90" s="2763">
        <v>8</v>
      </c>
      <c r="DJ90" s="939"/>
      <c r="DK90" s="24" t="s">
        <v>1084</v>
      </c>
      <c r="DL90" s="24"/>
      <c r="DM90" s="408">
        <v>42973</v>
      </c>
      <c r="DN90" s="405"/>
      <c r="DO90" s="2763">
        <v>-9</v>
      </c>
      <c r="DP90" s="2522"/>
      <c r="DQ90" s="24" t="s">
        <v>1084</v>
      </c>
      <c r="DR90" s="24"/>
      <c r="DS90" s="408">
        <v>41516</v>
      </c>
      <c r="DT90" s="405"/>
      <c r="DU90" s="2763">
        <v>10</v>
      </c>
      <c r="DV90" s="2522"/>
      <c r="DW90" s="24" t="s">
        <v>1084</v>
      </c>
      <c r="DX90" s="405">
        <f>DI90+DD90</f>
        <v>10</v>
      </c>
      <c r="DY90" s="405"/>
      <c r="EA90" s="425"/>
      <c r="EB90" s="425"/>
      <c r="EC90" s="425"/>
      <c r="ED90" s="425"/>
      <c r="EE90" s="425"/>
      <c r="EF90" s="425">
        <v>0.4</v>
      </c>
      <c r="EG90" s="425">
        <v>0.4</v>
      </c>
      <c r="EH90" s="425">
        <f>+mthSales!HU20</f>
        <v>0.31940349063937151</v>
      </c>
      <c r="EI90" s="425">
        <f>+mthSales!HV20</f>
        <v>0.31588038857676581</v>
      </c>
      <c r="EJ90" s="425">
        <f>+mthSales!HW20</f>
        <v>0.31779356577691525</v>
      </c>
      <c r="EK90" s="425">
        <f>+mthSales!HX20</f>
        <v>0.32317045677273076</v>
      </c>
      <c r="EL90" s="425">
        <f t="shared" ref="EL90:ER90" si="70">EK90</f>
        <v>0.32317045677273076</v>
      </c>
      <c r="EM90" s="425">
        <f t="shared" si="70"/>
        <v>0.32317045677273076</v>
      </c>
      <c r="EN90" s="425">
        <f t="shared" si="70"/>
        <v>0.32317045677273076</v>
      </c>
      <c r="EO90" s="425">
        <f t="shared" si="70"/>
        <v>0.32317045677273076</v>
      </c>
      <c r="EP90" s="425">
        <f t="shared" si="70"/>
        <v>0.32317045677273076</v>
      </c>
      <c r="EQ90" s="425">
        <f t="shared" si="70"/>
        <v>0.32317045677273076</v>
      </c>
      <c r="ER90" s="425">
        <f t="shared" si="70"/>
        <v>0.32317045677273076</v>
      </c>
      <c r="ES90" s="425"/>
    </row>
    <row r="91" spans="1:149">
      <c r="A91" s="31" t="s">
        <v>655</v>
      </c>
      <c r="B91" s="31"/>
      <c r="C91" s="24"/>
      <c r="D91" s="113">
        <f>+D86</f>
        <v>5</v>
      </c>
      <c r="E91" s="24"/>
      <c r="F91" s="274"/>
      <c r="G91" s="168"/>
      <c r="H91" s="227"/>
      <c r="I91" s="168"/>
      <c r="J91" s="286"/>
      <c r="K91" s="168"/>
      <c r="L91" s="227"/>
      <c r="M91" s="168"/>
      <c r="N91" s="286"/>
      <c r="O91" s="168"/>
      <c r="P91" s="227"/>
      <c r="Q91" s="168"/>
      <c r="R91" s="286"/>
      <c r="S91" s="168"/>
      <c r="T91" s="227"/>
      <c r="U91" s="168"/>
      <c r="V91" s="286"/>
      <c r="W91" s="168"/>
      <c r="X91" s="227"/>
      <c r="Y91" s="168"/>
      <c r="Z91" s="286"/>
      <c r="AA91" s="168"/>
      <c r="AB91" s="227"/>
      <c r="AC91" s="168"/>
      <c r="AD91" s="224"/>
      <c r="AE91" s="168"/>
      <c r="AF91" s="210"/>
      <c r="AG91" s="168"/>
      <c r="AH91" s="288"/>
      <c r="AI91" s="24"/>
      <c r="AJ91" s="210"/>
      <c r="AK91" s="24"/>
      <c r="AL91" s="283"/>
      <c r="AM91" s="24"/>
      <c r="AN91" s="210"/>
      <c r="AO91" s="24"/>
      <c r="AP91" s="283"/>
      <c r="AQ91" s="168"/>
      <c r="AR91" s="210"/>
      <c r="AS91" s="168"/>
      <c r="AT91" s="283"/>
      <c r="AU91" s="24"/>
      <c r="AV91" s="210"/>
      <c r="AW91" s="24"/>
      <c r="AX91" s="283"/>
      <c r="AY91" s="24"/>
      <c r="AZ91" s="210"/>
      <c r="BA91" s="24"/>
      <c r="BB91" s="283"/>
      <c r="BC91" s="24"/>
      <c r="BD91" s="210"/>
      <c r="BE91" s="24"/>
      <c r="BF91" s="408"/>
      <c r="BG91" s="24"/>
      <c r="BH91" s="210"/>
      <c r="BI91" s="24"/>
      <c r="BJ91" s="408"/>
      <c r="BK91" s="24"/>
      <c r="BL91" s="210"/>
      <c r="BM91" s="24"/>
      <c r="BN91" s="408"/>
      <c r="BO91" s="24"/>
      <c r="BP91" s="210"/>
      <c r="BQ91" s="24"/>
      <c r="BR91" s="408">
        <f>mthSales!ED21</f>
        <v>38625</v>
      </c>
      <c r="BS91" s="24"/>
      <c r="BT91" s="210">
        <v>22.21</v>
      </c>
      <c r="BU91" s="24"/>
      <c r="BV91" s="408">
        <f>mthSales!EL21</f>
        <v>39361</v>
      </c>
      <c r="BW91" s="24"/>
      <c r="BX91" s="210">
        <v>27.37</v>
      </c>
      <c r="BY91" s="24"/>
      <c r="BZ91" s="408">
        <f>mthSales!ET21</f>
        <v>39359</v>
      </c>
      <c r="CA91" s="24"/>
      <c r="CB91" s="210">
        <v>-12.3</v>
      </c>
      <c r="CC91" s="24"/>
      <c r="CD91" s="408">
        <f>mthSales!FB21</f>
        <v>40089</v>
      </c>
      <c r="CE91" s="24"/>
      <c r="CF91" s="210">
        <v>-2.97</v>
      </c>
      <c r="CG91" s="24"/>
      <c r="CH91" s="408">
        <f>mthSales!FJ21</f>
        <v>40453</v>
      </c>
      <c r="CI91" s="24"/>
      <c r="CJ91" s="210">
        <v>1.02</v>
      </c>
      <c r="CK91" s="24"/>
      <c r="CL91" s="408">
        <v>40817</v>
      </c>
      <c r="CM91" s="24"/>
      <c r="CN91" s="210">
        <v>6.71</v>
      </c>
      <c r="CO91" s="24"/>
      <c r="CP91" s="1165">
        <v>41553</v>
      </c>
      <c r="CQ91" s="24"/>
      <c r="CR91" s="391">
        <v>-5</v>
      </c>
      <c r="CS91" s="24"/>
      <c r="CT91" s="408">
        <v>41552</v>
      </c>
      <c r="CU91" s="405"/>
      <c r="CV91" s="391">
        <v>2</v>
      </c>
      <c r="CW91" s="24"/>
      <c r="CX91" s="408">
        <v>41551</v>
      </c>
      <c r="CY91" s="405"/>
      <c r="CZ91" s="2749">
        <v>5</v>
      </c>
      <c r="DA91" s="24"/>
      <c r="DB91" s="408">
        <v>43011</v>
      </c>
      <c r="DC91" s="405"/>
      <c r="DD91" s="2756">
        <v>3</v>
      </c>
      <c r="DE91" s="2510"/>
      <c r="DF91" s="24"/>
      <c r="DG91" s="408">
        <v>42278</v>
      </c>
      <c r="DH91" s="405"/>
      <c r="DI91" s="2763">
        <v>8</v>
      </c>
      <c r="DJ91" s="939"/>
      <c r="DK91" s="24"/>
      <c r="DL91" s="24"/>
      <c r="DM91" s="408">
        <v>43008</v>
      </c>
      <c r="DN91" s="405"/>
      <c r="DO91" s="2763">
        <v>-9</v>
      </c>
      <c r="DP91" s="2522"/>
      <c r="DQ91" s="24"/>
      <c r="DR91" s="24"/>
      <c r="DS91" s="408">
        <v>41551</v>
      </c>
      <c r="DT91" s="405"/>
      <c r="DU91" s="2763">
        <v>10</v>
      </c>
      <c r="DV91" s="2522"/>
      <c r="DW91" s="24"/>
      <c r="DX91" s="405">
        <f>DI91+DD91</f>
        <v>11</v>
      </c>
      <c r="DY91" s="405"/>
      <c r="EA91" s="425"/>
      <c r="EB91" s="425"/>
      <c r="EC91" s="425"/>
      <c r="ED91" s="425"/>
      <c r="EE91" s="425"/>
      <c r="EF91" s="425">
        <v>0.35</v>
      </c>
      <c r="EG91" s="425">
        <v>0.35</v>
      </c>
      <c r="EH91" s="425">
        <f>+mthSales!HU21</f>
        <v>0.36554437558897485</v>
      </c>
      <c r="EI91" s="425">
        <f>+mthSales!HV21</f>
        <v>0.36843334242975823</v>
      </c>
      <c r="EJ91" s="425">
        <f>+mthSales!HW21</f>
        <v>0.37098604743559294</v>
      </c>
      <c r="EK91" s="425">
        <f>+mthSales!HX21</f>
        <v>0.37663345090284367</v>
      </c>
      <c r="EL91" s="425">
        <f>+mthSales!HY21</f>
        <v>0.3773310655749299</v>
      </c>
      <c r="EM91" s="425">
        <f t="shared" ref="EM91:ER91" si="71">EL91</f>
        <v>0.3773310655749299</v>
      </c>
      <c r="EN91" s="425">
        <f t="shared" si="71"/>
        <v>0.3773310655749299</v>
      </c>
      <c r="EO91" s="425">
        <f t="shared" si="71"/>
        <v>0.3773310655749299</v>
      </c>
      <c r="EP91" s="425">
        <f t="shared" si="71"/>
        <v>0.3773310655749299</v>
      </c>
      <c r="EQ91" s="425">
        <f t="shared" si="71"/>
        <v>0.3773310655749299</v>
      </c>
      <c r="ER91" s="425">
        <f t="shared" si="71"/>
        <v>0.3773310655749299</v>
      </c>
      <c r="ES91" s="425"/>
    </row>
    <row r="92" spans="1:149">
      <c r="A92" s="31" t="s">
        <v>598</v>
      </c>
      <c r="B92" s="31"/>
      <c r="C92" s="24"/>
      <c r="D92" s="113">
        <f>+D87</f>
        <v>4</v>
      </c>
      <c r="E92" s="24"/>
      <c r="F92" s="274"/>
      <c r="G92" s="168"/>
      <c r="H92" s="231"/>
      <c r="I92" s="168"/>
      <c r="J92" s="286"/>
      <c r="K92" s="168"/>
      <c r="L92" s="231"/>
      <c r="M92" s="168"/>
      <c r="N92" s="286"/>
      <c r="O92" s="168"/>
      <c r="P92" s="231"/>
      <c r="Q92" s="168"/>
      <c r="R92" s="286"/>
      <c r="S92" s="168"/>
      <c r="T92" s="231"/>
      <c r="U92" s="168"/>
      <c r="V92" s="286"/>
      <c r="W92" s="168"/>
      <c r="X92" s="231"/>
      <c r="Y92" s="168"/>
      <c r="Z92" s="286"/>
      <c r="AA92" s="168"/>
      <c r="AB92" s="231"/>
      <c r="AC92" s="168"/>
      <c r="AD92" s="224"/>
      <c r="AE92" s="168"/>
      <c r="AF92" s="211"/>
      <c r="AG92" s="168"/>
      <c r="AH92" s="288"/>
      <c r="AI92" s="24"/>
      <c r="AJ92" s="211"/>
      <c r="AK92" s="24"/>
      <c r="AL92" s="283"/>
      <c r="AM92" s="24"/>
      <c r="AN92" s="211"/>
      <c r="AO92" s="24"/>
      <c r="AP92" s="283"/>
      <c r="AQ92" s="168"/>
      <c r="AR92" s="211"/>
      <c r="AS92" s="168"/>
      <c r="AT92" s="283"/>
      <c r="AU92" s="24"/>
      <c r="AV92" s="211"/>
      <c r="AW92" s="24"/>
      <c r="AX92" s="283"/>
      <c r="AY92" s="24"/>
      <c r="AZ92" s="211"/>
      <c r="BA92" s="24"/>
      <c r="BB92" s="283"/>
      <c r="BC92" s="24"/>
      <c r="BD92" s="211"/>
      <c r="BE92" s="24"/>
      <c r="BF92" s="408"/>
      <c r="BG92" s="24"/>
      <c r="BH92" s="211"/>
      <c r="BI92" s="24"/>
      <c r="BJ92" s="408"/>
      <c r="BK92" s="24"/>
      <c r="BL92" s="211"/>
      <c r="BM92" s="24"/>
      <c r="BN92" s="408"/>
      <c r="BO92" s="24"/>
      <c r="BP92" s="211"/>
      <c r="BQ92" s="24"/>
      <c r="BR92" s="408">
        <f>mthSales!ED22</f>
        <v>38653</v>
      </c>
      <c r="BS92" s="24"/>
      <c r="BT92" s="211">
        <v>20.07</v>
      </c>
      <c r="BU92" s="24"/>
      <c r="BV92" s="408">
        <f>mthSales!EL22</f>
        <v>39389</v>
      </c>
      <c r="BW92" s="24"/>
      <c r="BX92" s="211">
        <v>5.14</v>
      </c>
      <c r="BY92" s="24"/>
      <c r="BZ92" s="408">
        <f>mthSales!ET22</f>
        <v>39387</v>
      </c>
      <c r="CA92" s="24"/>
      <c r="CB92" s="211">
        <v>2.39</v>
      </c>
      <c r="CC92" s="24"/>
      <c r="CD92" s="408">
        <f>mthSales!FB22</f>
        <v>40117</v>
      </c>
      <c r="CE92" s="24"/>
      <c r="CF92" s="211">
        <v>-6.69</v>
      </c>
      <c r="CG92" s="24"/>
      <c r="CH92" s="408">
        <f>mthSales!FJ22</f>
        <v>40481</v>
      </c>
      <c r="CI92" s="24"/>
      <c r="CJ92" s="211">
        <v>1.7</v>
      </c>
      <c r="CK92" s="24"/>
      <c r="CL92" s="408">
        <v>40845</v>
      </c>
      <c r="CM92" s="24"/>
      <c r="CN92" s="211">
        <v>11.91</v>
      </c>
      <c r="CO92" s="24"/>
      <c r="CP92" s="1165">
        <v>41581</v>
      </c>
      <c r="CQ92" s="24"/>
      <c r="CR92" s="392">
        <v>-3</v>
      </c>
      <c r="CS92" s="24"/>
      <c r="CT92" s="408">
        <v>41580</v>
      </c>
      <c r="CU92" s="405"/>
      <c r="CV92" s="392">
        <v>-7</v>
      </c>
      <c r="CW92" s="24"/>
      <c r="CX92" s="408">
        <v>41579</v>
      </c>
      <c r="CY92" s="405"/>
      <c r="CZ92" s="392">
        <v>-7</v>
      </c>
      <c r="DA92" s="24"/>
      <c r="DB92" s="408">
        <v>43039</v>
      </c>
      <c r="DC92" s="405"/>
      <c r="DD92" s="2725">
        <v>7</v>
      </c>
      <c r="DE92" s="2510"/>
      <c r="DF92" s="24"/>
      <c r="DG92" s="408">
        <v>42306</v>
      </c>
      <c r="DH92" s="405"/>
      <c r="DI92" s="2764">
        <v>-4</v>
      </c>
      <c r="DJ92" s="939"/>
      <c r="DK92" s="24"/>
      <c r="DL92" s="24"/>
      <c r="DM92" s="408">
        <v>43036</v>
      </c>
      <c r="DN92" s="405"/>
      <c r="DO92" s="2764">
        <v>18</v>
      </c>
      <c r="DP92" s="2522"/>
      <c r="DQ92" s="24"/>
      <c r="DR92" s="24"/>
      <c r="DS92" s="408">
        <v>41579</v>
      </c>
      <c r="DT92" s="405"/>
      <c r="DU92" s="2764">
        <v>10</v>
      </c>
      <c r="DV92" s="2522"/>
      <c r="DW92" s="24"/>
      <c r="DX92" s="405">
        <f>DI92+DD92</f>
        <v>3</v>
      </c>
      <c r="DY92" s="405"/>
      <c r="EA92" s="426"/>
      <c r="EB92" s="426"/>
      <c r="EC92" s="426"/>
      <c r="ED92" s="426"/>
      <c r="EE92" s="426"/>
      <c r="EF92" s="426">
        <f t="shared" ref="EF92:EN92" si="72">1-EF91-EF90</f>
        <v>0.25</v>
      </c>
      <c r="EG92" s="426">
        <f t="shared" si="72"/>
        <v>0.25</v>
      </c>
      <c r="EH92" s="426">
        <f t="shared" si="72"/>
        <v>0.31505213377165359</v>
      </c>
      <c r="EI92" s="426">
        <f t="shared" si="72"/>
        <v>0.31568626899347596</v>
      </c>
      <c r="EJ92" s="426">
        <f t="shared" si="72"/>
        <v>0.31122038678749181</v>
      </c>
      <c r="EK92" s="426">
        <f t="shared" si="72"/>
        <v>0.30019609232442551</v>
      </c>
      <c r="EL92" s="426">
        <f t="shared" si="72"/>
        <v>0.29949847765233933</v>
      </c>
      <c r="EM92" s="426">
        <f t="shared" si="72"/>
        <v>0.29949847765233933</v>
      </c>
      <c r="EN92" s="1155">
        <f t="shared" si="72"/>
        <v>0.29949847765233933</v>
      </c>
      <c r="EO92" s="1155">
        <f>1-EO91-EO90</f>
        <v>0.29949847765233933</v>
      </c>
      <c r="EP92" s="427">
        <f>1-EP91-EP90</f>
        <v>0.29949847765233933</v>
      </c>
      <c r="EQ92" s="427">
        <f>1-EQ91-EQ90</f>
        <v>0.29949847765233933</v>
      </c>
      <c r="ER92" s="427">
        <f>1-ER91-ER90</f>
        <v>0.29949847765233933</v>
      </c>
      <c r="ES92" s="427"/>
    </row>
    <row r="93" spans="1:149">
      <c r="A93" s="118"/>
      <c r="B93" s="118" t="s">
        <v>925</v>
      </c>
      <c r="C93" s="116"/>
      <c r="D93" s="121"/>
      <c r="E93" s="116"/>
      <c r="F93" s="269"/>
      <c r="G93" s="245"/>
      <c r="H93" s="232"/>
      <c r="I93" s="245"/>
      <c r="J93" s="269"/>
      <c r="K93" s="245"/>
      <c r="L93" s="232"/>
      <c r="M93" s="245"/>
      <c r="N93" s="269"/>
      <c r="O93" s="245"/>
      <c r="P93" s="232"/>
      <c r="Q93" s="245"/>
      <c r="R93" s="269"/>
      <c r="S93" s="245"/>
      <c r="T93" s="232"/>
      <c r="U93" s="245"/>
      <c r="V93" s="269"/>
      <c r="W93" s="245"/>
      <c r="X93" s="232"/>
      <c r="Y93" s="245"/>
      <c r="Z93" s="269"/>
      <c r="AA93" s="245"/>
      <c r="AB93" s="232"/>
      <c r="AC93" s="245"/>
      <c r="AD93" s="269"/>
      <c r="AE93" s="245"/>
      <c r="AF93" s="352"/>
      <c r="AG93" s="245"/>
      <c r="AH93" s="269"/>
      <c r="AI93" s="116"/>
      <c r="AJ93" s="352"/>
      <c r="AK93" s="116"/>
      <c r="AL93" s="269"/>
      <c r="AM93" s="116"/>
      <c r="AN93" s="352"/>
      <c r="AO93" s="116"/>
      <c r="AP93" s="269"/>
      <c r="AQ93" s="245"/>
      <c r="AR93" s="352"/>
      <c r="AS93" s="245"/>
      <c r="AT93" s="269"/>
      <c r="AU93" s="116"/>
      <c r="AV93" s="352"/>
      <c r="AW93" s="116"/>
      <c r="AX93" s="269"/>
      <c r="AY93" s="116"/>
      <c r="AZ93" s="353"/>
      <c r="BA93" s="116"/>
      <c r="BB93" s="269"/>
      <c r="BC93" s="116"/>
      <c r="BD93" s="353"/>
      <c r="BE93" s="116"/>
      <c r="BF93" s="409"/>
      <c r="BG93" s="116"/>
      <c r="BH93" s="353"/>
      <c r="BI93" s="116"/>
      <c r="BJ93" s="409"/>
      <c r="BK93" s="116"/>
      <c r="BL93" s="353"/>
      <c r="BM93" s="116"/>
      <c r="BN93" s="409"/>
      <c r="BO93" s="116"/>
      <c r="BP93" s="353"/>
      <c r="BQ93" s="116"/>
      <c r="BR93" s="409"/>
      <c r="BS93" s="116"/>
      <c r="BT93" s="1081">
        <f>'segSales&amp;OM'!L117</f>
        <v>19.792694965449154</v>
      </c>
      <c r="BU93" s="116"/>
      <c r="BV93" s="409"/>
      <c r="BW93" s="116"/>
      <c r="BX93" s="1081">
        <f>'segSales&amp;OM'!L124</f>
        <v>-7.2929542645240986</v>
      </c>
      <c r="BY93" s="116"/>
      <c r="BZ93" s="409"/>
      <c r="CA93" s="116"/>
      <c r="CB93" s="1081">
        <f>'segSales&amp;OM'!L159</f>
        <v>19.777777777777782</v>
      </c>
      <c r="CC93" s="116"/>
      <c r="CD93" s="409"/>
      <c r="CE93" s="116"/>
      <c r="CF93" s="1081">
        <f>'segSales&amp;OM'!L166</f>
        <v>-7.7179962894248666</v>
      </c>
      <c r="CG93" s="116"/>
      <c r="CH93" s="409"/>
      <c r="CI93" s="116"/>
      <c r="CJ93" s="1081">
        <f>'segSales&amp;OM'!L173</f>
        <v>3.4579815038198625</v>
      </c>
      <c r="CK93" s="116"/>
      <c r="CL93" s="1080"/>
      <c r="CM93" s="116"/>
      <c r="CN93" s="1081">
        <f>'segSales&amp;OM'!L180</f>
        <v>7.6175670423629827</v>
      </c>
      <c r="CO93" s="116"/>
      <c r="CP93" s="1163"/>
      <c r="CQ93" s="116"/>
      <c r="CR93" s="2761">
        <f>EL93</f>
        <v>-2.4619803040589368</v>
      </c>
      <c r="CS93" s="116"/>
      <c r="CT93" s="1080"/>
      <c r="CU93" s="405"/>
      <c r="CV93" s="2762">
        <v>-1</v>
      </c>
      <c r="CW93" s="116"/>
      <c r="CX93" s="1080"/>
      <c r="CY93" s="405"/>
      <c r="CZ93" s="2762">
        <v>2</v>
      </c>
      <c r="DA93" s="116"/>
      <c r="DB93" s="1080"/>
      <c r="DC93" s="405"/>
      <c r="DD93" s="2726">
        <v>4</v>
      </c>
      <c r="DE93" s="2515"/>
      <c r="DF93" s="116"/>
      <c r="DG93" s="1080"/>
      <c r="DH93" s="405"/>
      <c r="DI93" s="2355">
        <f>'segSales&amp;OM'!L232</f>
        <v>4.4849334267694552</v>
      </c>
      <c r="DJ93" s="1093"/>
      <c r="DK93" s="116"/>
      <c r="DL93" s="116"/>
      <c r="DM93" s="1080"/>
      <c r="DN93" s="405"/>
      <c r="DO93" s="2355">
        <f>+'segSales&amp;OM'!L239</f>
        <v>-0.77129443326626745</v>
      </c>
      <c r="DP93" s="1093"/>
      <c r="DQ93" s="116"/>
      <c r="DR93" s="116"/>
      <c r="DS93" s="1080"/>
      <c r="DT93" s="405"/>
      <c r="DU93" s="2765">
        <f>ER93</f>
        <v>10</v>
      </c>
      <c r="DV93" s="1093"/>
      <c r="DW93" s="116"/>
      <c r="DX93" s="405">
        <f>DI93+DD93</f>
        <v>8.4849334267694552</v>
      </c>
      <c r="DY93" s="405"/>
      <c r="EA93" s="405"/>
      <c r="EB93" s="405"/>
      <c r="EC93" s="405"/>
      <c r="ED93" s="405"/>
      <c r="EE93" s="405"/>
      <c r="EF93" s="405">
        <f>+BT90*EF90+BT91*EF91+BT92*EF92</f>
        <v>19.522999999999996</v>
      </c>
      <c r="EG93" s="405">
        <f>+BX90*EG90+BX91*EG91+BX92*EG92</f>
        <v>-14.595500000000001</v>
      </c>
      <c r="EH93" s="405">
        <f>+CB90*EH90+CB91*EH91+CB92*EH92</f>
        <v>64.573991392825036</v>
      </c>
      <c r="EI93" s="405">
        <f>+CF90*EI90+CF91*EI91+CF92*EI92</f>
        <v>-7.7580245659739315</v>
      </c>
      <c r="EJ93" s="405">
        <f>+CJ90*EJ90+CJ91*EJ91+CJ92*EJ92</f>
        <v>3.6977079334443568</v>
      </c>
      <c r="EK93" s="405">
        <f>+CN90*EK90+CN91*EK91+CN92*EK92</f>
        <v>7.3790692193942755</v>
      </c>
      <c r="EL93" s="405">
        <f>+CR90*EL90+CR91*EL91+CR92*EL92</f>
        <v>-2.4619803040589368</v>
      </c>
      <c r="EM93" s="405">
        <f>+CV90*EM90+CV91*EM91+CV92*EM92</f>
        <v>-0.37231584209832325</v>
      </c>
      <c r="EN93" s="252">
        <f>+CZ90*EN90+CZ91*EN91+CZ92*EN92</f>
        <v>2.3755296384901197</v>
      </c>
      <c r="EO93" s="252">
        <f>+DD90*EO90+DD91*EO91+DD92*EO92</f>
        <v>3.8748234538366266</v>
      </c>
      <c r="EP93" s="405">
        <f>+DI90*EP90+DI91*EP91+DI92*EP92</f>
        <v>4.4060182681719287</v>
      </c>
      <c r="EQ93" s="405">
        <f>+DO90*EQ90+DO91*EQ91+DO92*EQ92</f>
        <v>-0.91354110338683814</v>
      </c>
      <c r="ER93" s="405">
        <f>+DU90*ER90+DU91*ER91+DU92*ER92</f>
        <v>10</v>
      </c>
      <c r="ES93" s="405"/>
    </row>
    <row r="94" spans="1:149">
      <c r="A94" s="24"/>
      <c r="B94" s="24"/>
      <c r="C94" s="24"/>
      <c r="D94" s="113"/>
      <c r="E94" s="24"/>
      <c r="F94" s="224"/>
      <c r="G94" s="168"/>
      <c r="H94" s="168"/>
      <c r="I94" s="168"/>
      <c r="J94" s="224"/>
      <c r="K94" s="168"/>
      <c r="L94" s="168"/>
      <c r="M94" s="168"/>
      <c r="N94" s="224"/>
      <c r="O94" s="168"/>
      <c r="P94" s="168"/>
      <c r="Q94" s="168"/>
      <c r="R94" s="224"/>
      <c r="S94" s="168"/>
      <c r="T94" s="168"/>
      <c r="U94" s="168"/>
      <c r="V94" s="224"/>
      <c r="W94" s="168"/>
      <c r="X94" s="168"/>
      <c r="Y94" s="168"/>
      <c r="Z94" s="224"/>
      <c r="AA94" s="168"/>
      <c r="AB94" s="168"/>
      <c r="AC94" s="168"/>
      <c r="AD94" s="224"/>
      <c r="AE94" s="168"/>
      <c r="AF94" s="113"/>
      <c r="AG94" s="168"/>
      <c r="AH94" s="224"/>
      <c r="AI94" s="24"/>
      <c r="AJ94" s="113"/>
      <c r="AK94" s="24"/>
      <c r="AL94" s="224"/>
      <c r="AM94" s="24"/>
      <c r="AN94" s="113"/>
      <c r="AO94" s="24"/>
      <c r="AP94" s="224"/>
      <c r="AQ94" s="168"/>
      <c r="AR94" s="113"/>
      <c r="AS94" s="168"/>
      <c r="AT94" s="224"/>
      <c r="AU94" s="24"/>
      <c r="AV94" s="113"/>
      <c r="AW94" s="24"/>
      <c r="AX94" s="224"/>
      <c r="AY94" s="24"/>
      <c r="AZ94" s="113"/>
      <c r="BA94" s="24"/>
      <c r="BB94" s="224"/>
      <c r="BC94" s="24"/>
      <c r="BD94" s="168"/>
      <c r="BE94" s="24"/>
      <c r="BF94" s="411"/>
      <c r="BG94" s="24"/>
      <c r="BH94" s="168"/>
      <c r="BI94" s="24"/>
      <c r="BJ94" s="411"/>
      <c r="BK94" s="24"/>
      <c r="BL94" s="168"/>
      <c r="BM94" s="24"/>
      <c r="BN94" s="411"/>
      <c r="BO94" s="24"/>
      <c r="BP94" s="168"/>
      <c r="BQ94" s="24"/>
      <c r="BR94" s="411"/>
      <c r="BS94" s="24"/>
      <c r="BT94" s="168"/>
      <c r="BU94" s="24"/>
      <c r="BV94" s="411"/>
      <c r="BW94" s="24"/>
      <c r="BX94" s="168"/>
      <c r="BY94" s="24"/>
      <c r="BZ94" s="411"/>
      <c r="CA94" s="24"/>
      <c r="CB94" s="168"/>
      <c r="CC94" s="24"/>
      <c r="CD94" s="411"/>
      <c r="CE94" s="24"/>
      <c r="CF94" s="168"/>
      <c r="CG94" s="24"/>
      <c r="CH94" s="411"/>
      <c r="CI94" s="24"/>
      <c r="CJ94" s="168"/>
      <c r="CK94" s="24"/>
      <c r="CL94" s="408"/>
      <c r="CM94" s="24"/>
      <c r="CN94" s="168"/>
      <c r="CO94" s="24"/>
      <c r="CP94" s="1164"/>
      <c r="CQ94" s="24"/>
      <c r="CR94" s="2159"/>
      <c r="CS94" s="24"/>
      <c r="CT94" s="408"/>
      <c r="CU94" s="24"/>
      <c r="CV94" s="387"/>
      <c r="CW94" s="24"/>
      <c r="CX94" s="408"/>
      <c r="CY94" s="24"/>
      <c r="CZ94" s="387"/>
      <c r="DA94" s="24"/>
      <c r="DB94" s="408"/>
      <c r="DC94" s="24"/>
      <c r="DD94" s="387"/>
      <c r="DE94" s="24"/>
      <c r="DF94" s="24"/>
      <c r="DG94" s="408"/>
      <c r="DH94" s="24"/>
      <c r="DI94" s="1183"/>
      <c r="DJ94" s="24"/>
      <c r="DK94" s="24"/>
      <c r="DL94" s="24"/>
      <c r="DM94" s="408"/>
      <c r="DN94" s="24"/>
      <c r="DO94" s="1183"/>
      <c r="DQ94" s="24"/>
      <c r="DR94" s="24"/>
      <c r="DS94" s="408"/>
      <c r="DT94" s="24"/>
      <c r="DU94" s="1183"/>
      <c r="DW94" s="24"/>
      <c r="DX94" s="405"/>
      <c r="DY94" s="405"/>
      <c r="EA94" s="24"/>
      <c r="EB94" s="24"/>
      <c r="EC94" s="24"/>
      <c r="ED94" s="24"/>
      <c r="EE94" s="24"/>
      <c r="EF94" s="24"/>
      <c r="EG94" s="24"/>
      <c r="EH94" s="24"/>
      <c r="EI94" s="24"/>
      <c r="EJ94" s="24"/>
      <c r="EK94" s="24"/>
      <c r="EN94" s="966"/>
      <c r="EO94" s="966"/>
    </row>
    <row r="95" spans="1:149">
      <c r="A95" s="31" t="s">
        <v>599</v>
      </c>
      <c r="B95" s="31"/>
      <c r="C95" s="24"/>
      <c r="D95" s="113">
        <f>+D90</f>
        <v>4</v>
      </c>
      <c r="E95" s="24"/>
      <c r="F95" s="276"/>
      <c r="G95" s="168"/>
      <c r="H95" s="227"/>
      <c r="I95" s="168"/>
      <c r="J95" s="286"/>
      <c r="K95" s="168"/>
      <c r="L95" s="227"/>
      <c r="M95" s="168"/>
      <c r="N95" s="286"/>
      <c r="O95" s="168"/>
      <c r="P95" s="227"/>
      <c r="Q95" s="168"/>
      <c r="R95" s="286"/>
      <c r="S95" s="168"/>
      <c r="T95" s="227"/>
      <c r="U95" s="168"/>
      <c r="V95" s="286"/>
      <c r="W95" s="168"/>
      <c r="X95" s="227"/>
      <c r="Y95" s="168"/>
      <c r="Z95" s="286"/>
      <c r="AA95" s="168"/>
      <c r="AB95" s="227"/>
      <c r="AC95" s="168"/>
      <c r="AD95" s="224"/>
      <c r="AE95" s="168"/>
      <c r="AF95" s="210"/>
      <c r="AG95" s="168"/>
      <c r="AH95" s="288"/>
      <c r="AI95" s="24"/>
      <c r="AJ95" s="210"/>
      <c r="AK95" s="24"/>
      <c r="AL95" s="283"/>
      <c r="AM95" s="24"/>
      <c r="AN95" s="210"/>
      <c r="AO95" s="24"/>
      <c r="AP95" s="283"/>
      <c r="AQ95" s="168"/>
      <c r="AR95" s="210"/>
      <c r="AS95" s="168"/>
      <c r="AT95" s="283"/>
      <c r="AU95" s="24"/>
      <c r="AV95" s="210"/>
      <c r="AW95" s="24"/>
      <c r="AX95" s="283"/>
      <c r="AY95" s="24"/>
      <c r="AZ95" s="210"/>
      <c r="BA95" s="24"/>
      <c r="BB95" s="283"/>
      <c r="BC95" s="24"/>
      <c r="BD95" s="227"/>
      <c r="BE95" s="24"/>
      <c r="BF95" s="408"/>
      <c r="BG95" s="24"/>
      <c r="BH95" s="227"/>
      <c r="BI95" s="24"/>
      <c r="BJ95" s="408"/>
      <c r="BK95" s="24"/>
      <c r="BL95" s="227"/>
      <c r="BM95" s="24"/>
      <c r="BN95" s="408"/>
      <c r="BO95" s="24"/>
      <c r="BP95" s="227"/>
      <c r="BQ95" s="24"/>
      <c r="BR95" s="408">
        <f>mthSales!ED25</f>
        <v>38681</v>
      </c>
      <c r="BS95" s="24"/>
      <c r="BT95" s="227">
        <v>14.57</v>
      </c>
      <c r="BU95" s="24" t="s">
        <v>1084</v>
      </c>
      <c r="BV95" s="408">
        <f>mthSales!EL25</f>
        <v>39417</v>
      </c>
      <c r="BW95" s="24"/>
      <c r="BX95" s="227">
        <v>7.29</v>
      </c>
      <c r="BY95" s="24" t="s">
        <v>1084</v>
      </c>
      <c r="BZ95" s="408">
        <f>mthSales!ET25</f>
        <v>39415</v>
      </c>
      <c r="CA95" s="24"/>
      <c r="CB95" s="227">
        <v>-14.81</v>
      </c>
      <c r="CC95" s="24" t="s">
        <v>1084</v>
      </c>
      <c r="CD95" s="408">
        <f>mthSales!FB25</f>
        <v>40145</v>
      </c>
      <c r="CE95" s="24"/>
      <c r="CF95" s="227">
        <v>3.14</v>
      </c>
      <c r="CG95" s="24" t="s">
        <v>1084</v>
      </c>
      <c r="CH95" s="408">
        <f>mthSales!FJ25</f>
        <v>40509</v>
      </c>
      <c r="CI95" s="24"/>
      <c r="CJ95" s="227">
        <v>10.15</v>
      </c>
      <c r="CK95" s="24" t="s">
        <v>1084</v>
      </c>
      <c r="CL95" s="408">
        <v>40878</v>
      </c>
      <c r="CM95" s="24"/>
      <c r="CN95" s="227">
        <v>-3.1</v>
      </c>
      <c r="CO95" s="24" t="s">
        <v>1084</v>
      </c>
      <c r="CP95" s="1165">
        <v>41609</v>
      </c>
      <c r="CQ95" s="24"/>
      <c r="CR95" s="391">
        <v>2</v>
      </c>
      <c r="CS95" s="24" t="s">
        <v>1084</v>
      </c>
      <c r="CT95" s="408">
        <v>41608</v>
      </c>
      <c r="CU95" s="405"/>
      <c r="CV95" s="391">
        <v>9</v>
      </c>
      <c r="CW95" s="24" t="s">
        <v>1084</v>
      </c>
      <c r="CX95" s="408">
        <v>41607</v>
      </c>
      <c r="CY95" s="405"/>
      <c r="CZ95" s="391">
        <v>-5</v>
      </c>
      <c r="DA95" s="24" t="s">
        <v>1084</v>
      </c>
      <c r="DB95" s="408">
        <v>43067</v>
      </c>
      <c r="DC95" s="405"/>
      <c r="DD95" s="2750">
        <v>12</v>
      </c>
      <c r="DE95" s="2167"/>
      <c r="DF95" s="24" t="s">
        <v>1084</v>
      </c>
      <c r="DG95" s="408">
        <v>42334</v>
      </c>
      <c r="DH95" s="405"/>
      <c r="DI95" s="2763">
        <v>8</v>
      </c>
      <c r="DJ95" s="939"/>
      <c r="DK95" s="24" t="s">
        <v>1084</v>
      </c>
      <c r="DL95" s="24"/>
      <c r="DM95" s="408">
        <v>43064</v>
      </c>
      <c r="DN95" s="405"/>
      <c r="DO95" s="2763">
        <v>8</v>
      </c>
      <c r="DP95" s="2522"/>
      <c r="DQ95" s="24" t="s">
        <v>1084</v>
      </c>
      <c r="DR95" s="24"/>
      <c r="DS95" s="408">
        <v>41607</v>
      </c>
      <c r="DT95" s="405"/>
      <c r="DU95" s="2763">
        <v>10</v>
      </c>
      <c r="DV95" s="2522"/>
      <c r="DW95" s="24" t="s">
        <v>1084</v>
      </c>
      <c r="DX95" s="405">
        <f>DI95+DD95</f>
        <v>20</v>
      </c>
      <c r="DY95" s="405"/>
      <c r="EA95" s="425"/>
      <c r="EB95" s="425"/>
      <c r="EC95" s="425"/>
      <c r="ED95" s="425"/>
      <c r="EE95" s="425"/>
      <c r="EF95" s="425">
        <v>0.3</v>
      </c>
      <c r="EG95" s="425">
        <v>0.3</v>
      </c>
      <c r="EH95" s="425">
        <f>+mthSales!HU25</f>
        <v>0.25261330739890203</v>
      </c>
      <c r="EI95" s="425">
        <f>+mthSales!HV25</f>
        <v>0.25497996003105067</v>
      </c>
      <c r="EJ95" s="425">
        <f>+mthSales!HW25</f>
        <v>0.25837610185978716</v>
      </c>
      <c r="EK95" s="425">
        <f>+mthSales!HX25</f>
        <v>0.24821829556011829</v>
      </c>
      <c r="EL95" s="425">
        <f>+mthSales!HY25</f>
        <v>0.23913374449467176</v>
      </c>
      <c r="EM95" s="425">
        <f>+mthSales!HZ25</f>
        <v>0.25889142091187922</v>
      </c>
      <c r="EN95" s="1152">
        <f t="shared" ref="EN95:ER96" si="73">EM95</f>
        <v>0.25889142091187922</v>
      </c>
      <c r="EO95" s="1152">
        <f t="shared" si="73"/>
        <v>0.25889142091187922</v>
      </c>
      <c r="EP95" s="425">
        <f t="shared" si="73"/>
        <v>0.25889142091187922</v>
      </c>
      <c r="EQ95" s="425">
        <f t="shared" si="73"/>
        <v>0.25889142091187922</v>
      </c>
      <c r="ER95" s="425">
        <f t="shared" si="73"/>
        <v>0.25889142091187922</v>
      </c>
      <c r="ES95" s="425"/>
    </row>
    <row r="96" spans="1:149">
      <c r="A96" s="31" t="s">
        <v>600</v>
      </c>
      <c r="B96" s="31"/>
      <c r="C96" s="24"/>
      <c r="D96" s="113">
        <f>+D91</f>
        <v>5</v>
      </c>
      <c r="E96" s="24"/>
      <c r="F96" s="274"/>
      <c r="G96" s="168"/>
      <c r="H96" s="227"/>
      <c r="I96" s="168"/>
      <c r="J96" s="286"/>
      <c r="K96" s="168"/>
      <c r="L96" s="227"/>
      <c r="M96" s="168"/>
      <c r="N96" s="286"/>
      <c r="O96" s="168"/>
      <c r="P96" s="227"/>
      <c r="Q96" s="168"/>
      <c r="R96" s="286"/>
      <c r="S96" s="168"/>
      <c r="T96" s="227"/>
      <c r="U96" s="168"/>
      <c r="V96" s="286"/>
      <c r="W96" s="168"/>
      <c r="X96" s="227"/>
      <c r="Y96" s="168"/>
      <c r="Z96" s="286"/>
      <c r="AA96" s="168"/>
      <c r="AB96" s="227"/>
      <c r="AC96" s="168"/>
      <c r="AD96" s="224"/>
      <c r="AE96" s="168"/>
      <c r="AF96" s="210"/>
      <c r="AG96" s="168"/>
      <c r="AH96" s="288"/>
      <c r="AI96" s="24"/>
      <c r="AJ96" s="210"/>
      <c r="AK96" s="24"/>
      <c r="AL96" s="283"/>
      <c r="AM96" s="24"/>
      <c r="AN96" s="210"/>
      <c r="AO96" s="24"/>
      <c r="AP96" s="283"/>
      <c r="AQ96" s="168"/>
      <c r="AR96" s="210"/>
      <c r="AS96" s="168"/>
      <c r="AT96" s="283"/>
      <c r="AU96" s="24"/>
      <c r="AV96" s="210"/>
      <c r="AW96" s="24"/>
      <c r="AX96" s="283"/>
      <c r="AY96" s="24"/>
      <c r="AZ96" s="210"/>
      <c r="BA96" s="24"/>
      <c r="BB96" s="283"/>
      <c r="BC96" s="24"/>
      <c r="BD96" s="227"/>
      <c r="BE96" s="24"/>
      <c r="BF96" s="408"/>
      <c r="BG96" s="24"/>
      <c r="BH96" s="227"/>
      <c r="BI96" s="24"/>
      <c r="BJ96" s="408"/>
      <c r="BK96" s="24"/>
      <c r="BL96" s="227"/>
      <c r="BM96" s="24"/>
      <c r="BN96" s="408"/>
      <c r="BO96" s="24"/>
      <c r="BP96" s="227"/>
      <c r="BQ96" s="24"/>
      <c r="BR96" s="408">
        <f>mthSales!ED26</f>
        <v>38716</v>
      </c>
      <c r="BS96" s="24"/>
      <c r="BT96" s="227">
        <v>9.98</v>
      </c>
      <c r="BU96" s="24"/>
      <c r="BV96" s="408">
        <f>mthSales!EL26</f>
        <v>39087</v>
      </c>
      <c r="BW96" s="24"/>
      <c r="BX96" s="227">
        <v>-11.25</v>
      </c>
      <c r="BY96" s="24"/>
      <c r="BZ96" s="408">
        <f>mthSales!ET26</f>
        <v>39085</v>
      </c>
      <c r="CA96" s="24"/>
      <c r="CB96" s="227">
        <v>11.32</v>
      </c>
      <c r="CC96" s="24"/>
      <c r="CD96" s="408">
        <f>mthSales!FB26</f>
        <v>40180</v>
      </c>
      <c r="CE96" s="24"/>
      <c r="CF96" s="227">
        <v>2.39</v>
      </c>
      <c r="CG96" s="24"/>
      <c r="CH96" s="408">
        <f>mthSales!FJ26</f>
        <v>40179</v>
      </c>
      <c r="CI96" s="24"/>
      <c r="CJ96" s="227">
        <v>10.83</v>
      </c>
      <c r="CK96" s="24"/>
      <c r="CL96" s="408">
        <v>40908</v>
      </c>
      <c r="CM96" s="24"/>
      <c r="CN96" s="227">
        <v>5.95</v>
      </c>
      <c r="CO96" s="24"/>
      <c r="CP96" s="1165">
        <v>41279</v>
      </c>
      <c r="CQ96" s="24"/>
      <c r="CR96" s="391">
        <v>0</v>
      </c>
      <c r="CS96" s="24"/>
      <c r="CT96" s="408">
        <v>41278</v>
      </c>
      <c r="CU96" s="405"/>
      <c r="CV96" s="391">
        <v>1</v>
      </c>
      <c r="CW96" s="24"/>
      <c r="CX96" s="408">
        <v>41277</v>
      </c>
      <c r="CY96" s="405"/>
      <c r="CZ96" s="2750">
        <v>-1</v>
      </c>
      <c r="DA96" s="24"/>
      <c r="DB96" s="408">
        <v>42737</v>
      </c>
      <c r="DC96" s="405"/>
      <c r="DD96" s="2750">
        <v>14</v>
      </c>
      <c r="DE96" s="2167"/>
      <c r="DF96" s="24"/>
      <c r="DG96" s="408">
        <v>42369</v>
      </c>
      <c r="DH96" s="405"/>
      <c r="DI96" s="2763">
        <v>-6</v>
      </c>
      <c r="DJ96" s="939"/>
      <c r="DK96" s="24"/>
      <c r="DL96" s="24"/>
      <c r="DM96" s="408">
        <v>43099</v>
      </c>
      <c r="DN96" s="405"/>
      <c r="DO96" s="2763">
        <v>18</v>
      </c>
      <c r="DP96" s="2522"/>
      <c r="DQ96" s="24"/>
      <c r="DR96" s="24"/>
      <c r="DS96" s="408">
        <v>41277</v>
      </c>
      <c r="DT96" s="405"/>
      <c r="DU96" s="2763">
        <v>10</v>
      </c>
      <c r="DV96" s="2522"/>
      <c r="DW96" s="24"/>
      <c r="DX96" s="405">
        <f>DI96+DD96</f>
        <v>8</v>
      </c>
      <c r="DY96" s="405"/>
      <c r="EA96" s="425"/>
      <c r="EB96" s="425"/>
      <c r="EC96" s="425"/>
      <c r="ED96" s="425"/>
      <c r="EE96" s="425"/>
      <c r="EF96" s="425">
        <v>0.45</v>
      </c>
      <c r="EG96" s="425">
        <v>0.45</v>
      </c>
      <c r="EH96" s="425">
        <f>+mthSales!HU26</f>
        <v>0.54962450683403241</v>
      </c>
      <c r="EI96" s="425">
        <f>+mthSales!HV26</f>
        <v>0.54188546108250435</v>
      </c>
      <c r="EJ96" s="425">
        <f>+mthSales!HW26</f>
        <v>0.51790954348154428</v>
      </c>
      <c r="EK96" s="425">
        <f>+mthSales!HX26</f>
        <v>0.53145340544919661</v>
      </c>
      <c r="EL96" s="425">
        <f>+mthSales!HY26</f>
        <v>0.50498199623766371</v>
      </c>
      <c r="EM96" s="425">
        <f>+mthSales!HZ26</f>
        <v>0.54947314220852062</v>
      </c>
      <c r="EN96" s="1152">
        <f t="shared" si="73"/>
        <v>0.54947314220852062</v>
      </c>
      <c r="EO96" s="1152">
        <f t="shared" si="73"/>
        <v>0.54947314220852062</v>
      </c>
      <c r="EP96" s="425">
        <f t="shared" si="73"/>
        <v>0.54947314220852062</v>
      </c>
      <c r="EQ96" s="425">
        <f t="shared" si="73"/>
        <v>0.54947314220852062</v>
      </c>
      <c r="ER96" s="425">
        <f t="shared" si="73"/>
        <v>0.54947314220852062</v>
      </c>
      <c r="ES96" s="425"/>
    </row>
    <row r="97" spans="1:149">
      <c r="A97" s="31" t="s">
        <v>601</v>
      </c>
      <c r="B97" s="31"/>
      <c r="C97" s="24"/>
      <c r="D97" s="113">
        <f>+D92</f>
        <v>4</v>
      </c>
      <c r="E97" s="24"/>
      <c r="F97" s="274"/>
      <c r="G97" s="168"/>
      <c r="H97" s="231"/>
      <c r="I97" s="168"/>
      <c r="J97" s="286"/>
      <c r="K97" s="168"/>
      <c r="L97" s="231"/>
      <c r="M97" s="168"/>
      <c r="N97" s="286"/>
      <c r="O97" s="168"/>
      <c r="P97" s="231"/>
      <c r="Q97" s="168"/>
      <c r="R97" s="286"/>
      <c r="S97" s="168"/>
      <c r="T97" s="231"/>
      <c r="U97" s="168"/>
      <c r="V97" s="286"/>
      <c r="W97" s="168"/>
      <c r="X97" s="231"/>
      <c r="Y97" s="168"/>
      <c r="Z97" s="286"/>
      <c r="AA97" s="168"/>
      <c r="AB97" s="231"/>
      <c r="AC97" s="168"/>
      <c r="AD97" s="224"/>
      <c r="AE97" s="168"/>
      <c r="AF97" s="211"/>
      <c r="AG97" s="168"/>
      <c r="AH97" s="288"/>
      <c r="AI97" s="24"/>
      <c r="AJ97" s="211"/>
      <c r="AK97" s="24"/>
      <c r="AL97" s="283"/>
      <c r="AM97" s="24"/>
      <c r="AN97" s="211"/>
      <c r="AO97" s="24"/>
      <c r="AP97" s="283"/>
      <c r="AQ97" s="168"/>
      <c r="AR97" s="211"/>
      <c r="AS97" s="168"/>
      <c r="AT97" s="283"/>
      <c r="AU97" s="24"/>
      <c r="AV97" s="211"/>
      <c r="AW97" s="24"/>
      <c r="AX97" s="283"/>
      <c r="AY97" s="24"/>
      <c r="AZ97" s="211"/>
      <c r="BA97" s="24"/>
      <c r="BB97" s="283"/>
      <c r="BC97" s="24"/>
      <c r="BD97" s="231"/>
      <c r="BE97" s="24"/>
      <c r="BF97" s="408"/>
      <c r="BG97" s="24"/>
      <c r="BH97" s="231"/>
      <c r="BI97" s="24"/>
      <c r="BJ97" s="408"/>
      <c r="BK97" s="24"/>
      <c r="BL97" s="231"/>
      <c r="BM97" s="24"/>
      <c r="BN97" s="408"/>
      <c r="BO97" s="24"/>
      <c r="BP97" s="231"/>
      <c r="BQ97" s="24"/>
      <c r="BR97" s="408">
        <f>mthSales!ED27</f>
        <v>38386</v>
      </c>
      <c r="BS97" s="24"/>
      <c r="BT97" s="231">
        <v>32.630000000000003</v>
      </c>
      <c r="BU97" s="24"/>
      <c r="BV97" s="408">
        <f>mthSales!EL27</f>
        <v>39115</v>
      </c>
      <c r="BW97" s="24"/>
      <c r="BX97" s="231">
        <v>-25.38</v>
      </c>
      <c r="BY97" s="24"/>
      <c r="BZ97" s="408">
        <f>mthSales!ET27</f>
        <v>39113</v>
      </c>
      <c r="CA97" s="24"/>
      <c r="CB97" s="231">
        <v>9.2799999999999994</v>
      </c>
      <c r="CC97" s="24"/>
      <c r="CD97" s="408">
        <f>mthSales!FB27</f>
        <v>40208</v>
      </c>
      <c r="CE97" s="24"/>
      <c r="CF97" s="231">
        <v>3.35</v>
      </c>
      <c r="CG97" s="24"/>
      <c r="CH97" s="408">
        <f>mthSales!FJ27</f>
        <v>40207</v>
      </c>
      <c r="CI97" s="24"/>
      <c r="CJ97" s="231">
        <v>5.34</v>
      </c>
      <c r="CK97" s="24"/>
      <c r="CL97" s="408">
        <v>40936</v>
      </c>
      <c r="CM97" s="24"/>
      <c r="CN97" s="211">
        <v>2.91</v>
      </c>
      <c r="CO97" s="24"/>
      <c r="CP97" s="1165">
        <v>41307</v>
      </c>
      <c r="CQ97" s="24"/>
      <c r="CR97" s="392">
        <v>-5</v>
      </c>
      <c r="CS97" s="24"/>
      <c r="CT97" s="408">
        <v>41306</v>
      </c>
      <c r="CU97" s="405"/>
      <c r="CV97" s="392">
        <v>-12</v>
      </c>
      <c r="CW97" s="24"/>
      <c r="CX97" s="408">
        <v>41305</v>
      </c>
      <c r="CY97" s="405"/>
      <c r="CZ97" s="2751">
        <v>-4</v>
      </c>
      <c r="DA97" s="24"/>
      <c r="DB97" s="408">
        <v>42765</v>
      </c>
      <c r="DC97" s="405"/>
      <c r="DD97" s="2758">
        <v>21</v>
      </c>
      <c r="DF97" s="24"/>
      <c r="DG97" s="408">
        <v>42032</v>
      </c>
      <c r="DH97" s="405"/>
      <c r="DI97" s="2764">
        <v>-24</v>
      </c>
      <c r="DJ97" s="939"/>
      <c r="DK97" s="24"/>
      <c r="DL97" s="24"/>
      <c r="DM97" s="408">
        <v>42769</v>
      </c>
      <c r="DN97" s="405"/>
      <c r="DO97" s="2764">
        <v>41</v>
      </c>
      <c r="DP97" s="2522"/>
      <c r="DQ97" s="24"/>
      <c r="DR97" s="24"/>
      <c r="DS97" s="408">
        <v>41305</v>
      </c>
      <c r="DT97" s="405"/>
      <c r="DU97" s="2764">
        <v>10</v>
      </c>
      <c r="DV97" s="2522"/>
      <c r="DW97" s="24"/>
      <c r="DX97" s="405">
        <f>DI97+DD97</f>
        <v>-3</v>
      </c>
      <c r="DY97" s="405"/>
      <c r="EA97" s="426"/>
      <c r="EB97" s="426"/>
      <c r="EC97" s="426"/>
      <c r="ED97" s="426"/>
      <c r="EE97" s="426"/>
      <c r="EF97" s="426">
        <f t="shared" ref="EF97:EN97" si="74">1-EF96-EF95</f>
        <v>0.25000000000000006</v>
      </c>
      <c r="EG97" s="426">
        <f t="shared" si="74"/>
        <v>0.25000000000000006</v>
      </c>
      <c r="EH97" s="426">
        <f t="shared" si="74"/>
        <v>0.19776218576706556</v>
      </c>
      <c r="EI97" s="426">
        <f t="shared" si="74"/>
        <v>0.20313457888644498</v>
      </c>
      <c r="EJ97" s="426">
        <f t="shared" si="74"/>
        <v>0.22371435465866857</v>
      </c>
      <c r="EK97" s="426">
        <f t="shared" si="74"/>
        <v>0.2203282989906851</v>
      </c>
      <c r="EL97" s="426">
        <f t="shared" si="74"/>
        <v>0.25588425926766456</v>
      </c>
      <c r="EM97" s="426">
        <f t="shared" si="74"/>
        <v>0.19163543687960016</v>
      </c>
      <c r="EN97" s="1155">
        <f t="shared" si="74"/>
        <v>0.19163543687960016</v>
      </c>
      <c r="EO97" s="1155">
        <f>1-EO96-EO95</f>
        <v>0.19163543687960016</v>
      </c>
      <c r="EP97" s="427">
        <f>1-EP96-EP95</f>
        <v>0.19163543687960016</v>
      </c>
      <c r="EQ97" s="427">
        <f>1-EQ96-EQ95</f>
        <v>0.19163543687960016</v>
      </c>
      <c r="ER97" s="427">
        <f>1-ER96-ER95</f>
        <v>0.19163543687960016</v>
      </c>
      <c r="ES97" s="427"/>
    </row>
    <row r="98" spans="1:149">
      <c r="A98" s="118"/>
      <c r="B98" s="118" t="s">
        <v>519</v>
      </c>
      <c r="C98" s="116"/>
      <c r="D98" s="116"/>
      <c r="E98" s="116"/>
      <c r="F98" s="245"/>
      <c r="G98" s="245"/>
      <c r="H98" s="232"/>
      <c r="I98" s="245"/>
      <c r="J98" s="245"/>
      <c r="K98" s="245"/>
      <c r="L98" s="232"/>
      <c r="M98" s="245"/>
      <c r="N98" s="245"/>
      <c r="O98" s="245"/>
      <c r="P98" s="232"/>
      <c r="Q98" s="245"/>
      <c r="R98" s="245"/>
      <c r="S98" s="245"/>
      <c r="T98" s="232"/>
      <c r="U98" s="245"/>
      <c r="V98" s="245"/>
      <c r="W98" s="245"/>
      <c r="X98" s="232"/>
      <c r="Y98" s="245"/>
      <c r="Z98" s="245"/>
      <c r="AA98" s="245"/>
      <c r="AB98" s="232"/>
      <c r="AC98" s="245"/>
      <c r="AD98" s="245"/>
      <c r="AE98" s="245"/>
      <c r="AF98" s="352"/>
      <c r="AG98" s="245"/>
      <c r="AH98" s="245"/>
      <c r="AI98" s="116"/>
      <c r="AJ98" s="352"/>
      <c r="AK98" s="116"/>
      <c r="AL98" s="245"/>
      <c r="AM98" s="116"/>
      <c r="AN98" s="352"/>
      <c r="AO98" s="116"/>
      <c r="AP98" s="245"/>
      <c r="AQ98" s="245"/>
      <c r="AR98" s="352"/>
      <c r="AS98" s="245"/>
      <c r="AT98" s="245"/>
      <c r="AU98" s="116"/>
      <c r="AV98" s="353"/>
      <c r="AW98" s="116"/>
      <c r="AX98" s="245"/>
      <c r="AY98" s="116"/>
      <c r="AZ98" s="353"/>
      <c r="BA98" s="116"/>
      <c r="BB98" s="245"/>
      <c r="BC98" s="116"/>
      <c r="BD98" s="353"/>
      <c r="BE98" s="116"/>
      <c r="BF98" s="245"/>
      <c r="BG98" s="116"/>
      <c r="BH98" s="353"/>
      <c r="BI98" s="116"/>
      <c r="BJ98" s="245"/>
      <c r="BK98" s="116"/>
      <c r="BL98" s="353"/>
      <c r="BM98" s="116"/>
      <c r="BN98" s="245"/>
      <c r="BO98" s="116"/>
      <c r="BP98" s="353"/>
      <c r="BQ98" s="116"/>
      <c r="BR98" s="245"/>
      <c r="BS98" s="116"/>
      <c r="BT98" s="1081">
        <f>'segSales&amp;OM'!L118</f>
        <v>17.887637757546713</v>
      </c>
      <c r="BU98" s="116"/>
      <c r="BV98" s="245"/>
      <c r="BW98" s="116"/>
      <c r="BX98" s="1081">
        <f>'segSales&amp;OM'!L125</f>
        <v>-12.470557631847957</v>
      </c>
      <c r="BY98" s="116"/>
      <c r="BZ98" s="245"/>
      <c r="CA98" s="116"/>
      <c r="CB98" s="1081">
        <f>'segSales&amp;OM'!L160</f>
        <v>4.2953331785465565</v>
      </c>
      <c r="CC98" s="116"/>
      <c r="CD98" s="245"/>
      <c r="CE98" s="116"/>
      <c r="CF98" s="1081">
        <f>'segSales&amp;OM'!L167</f>
        <v>2.8495102404274331</v>
      </c>
      <c r="CG98" s="116"/>
      <c r="CH98" s="245"/>
      <c r="CI98" s="116"/>
      <c r="CJ98" s="1081">
        <f>'segSales&amp;OM'!L174</f>
        <v>9.0043290043290156</v>
      </c>
      <c r="CK98" s="116"/>
      <c r="CL98" s="245"/>
      <c r="CM98" s="116"/>
      <c r="CN98" s="1081">
        <f>'segSales&amp;OM'!L181</f>
        <v>3.0083399523431309</v>
      </c>
      <c r="CO98" s="116"/>
      <c r="CP98" s="245"/>
      <c r="CQ98" s="116"/>
      <c r="CR98" s="2762">
        <v>-1</v>
      </c>
      <c r="CS98" s="118"/>
      <c r="CT98" s="174"/>
      <c r="CU98" s="174"/>
      <c r="CV98" s="2762">
        <v>-1</v>
      </c>
      <c r="CW98" s="116"/>
      <c r="CX98" s="405"/>
      <c r="CY98" s="405"/>
      <c r="CZ98" s="2719">
        <v>-2</v>
      </c>
      <c r="DA98" s="116"/>
      <c r="DB98" s="405"/>
      <c r="DC98" s="405"/>
      <c r="DD98" s="2719">
        <v>15</v>
      </c>
      <c r="DE98" s="2355"/>
      <c r="DF98" s="116"/>
      <c r="DG98" s="405"/>
      <c r="DH98" s="405"/>
      <c r="DI98" s="2355">
        <f>'segSales&amp;OM'!L233</f>
        <v>-7.2297654734614696</v>
      </c>
      <c r="DJ98" s="1093"/>
      <c r="DK98" s="116"/>
      <c r="DL98" s="116"/>
      <c r="DM98" s="405"/>
      <c r="DN98" s="405"/>
      <c r="DO98" s="2355">
        <f>+'segSales&amp;OM'!L240</f>
        <v>19.863143888994482</v>
      </c>
      <c r="DP98" s="1093"/>
      <c r="DQ98" s="116"/>
      <c r="DR98" s="116"/>
      <c r="DS98" s="405"/>
      <c r="DT98" s="405"/>
      <c r="DU98" s="2765">
        <f>ER98</f>
        <v>10</v>
      </c>
      <c r="DV98" s="1093"/>
      <c r="DW98" s="116"/>
      <c r="DX98" s="405">
        <f>DI98+DD98</f>
        <v>7.7702345265385304</v>
      </c>
      <c r="DY98" s="405"/>
      <c r="EA98" s="405"/>
      <c r="EB98" s="405"/>
      <c r="EC98" s="405"/>
      <c r="ED98" s="405"/>
      <c r="EE98" s="405"/>
      <c r="EF98" s="405">
        <f>+BT95*EF95+BT96*EF96+BT97*EF97</f>
        <v>17.019500000000001</v>
      </c>
      <c r="EG98" s="405">
        <f>+BX95*EG95+BX96*EG96+BX97*EG97</f>
        <v>-9.2205000000000013</v>
      </c>
      <c r="EH98" s="405">
        <f>+CB95*EH95+CB96*EH96+CB97*EH97</f>
        <v>4.3157794187018759</v>
      </c>
      <c r="EI98" s="405">
        <f>+CF95*EI95+CF96*EI96+CF97*EI97</f>
        <v>2.7762441657542749</v>
      </c>
      <c r="EJ98" s="405">
        <f>+CJ95*EJ95+CJ96*EJ96+CJ97*EJ97</f>
        <v>9.4261124436592549</v>
      </c>
      <c r="EK98" s="405">
        <f>+CN95*EK95+CN96*EK96+CN97*EK97</f>
        <v>3.0338263962492471</v>
      </c>
      <c r="EL98" s="405">
        <f>+CR95*EL95+CR96*EL96+CR97*EL97</f>
        <v>-0.80115380734897945</v>
      </c>
      <c r="EM98" s="405">
        <f>+CV95*EM95+CV96*EM96+CV97*EM97</f>
        <v>0.57987068786023199</v>
      </c>
      <c r="EN98" s="252">
        <f>+CZ95*EN95+CZ96*EN96+CZ97*EN97</f>
        <v>-2.6104719942863177</v>
      </c>
      <c r="EO98" s="252">
        <f>+DD95*EO95+DD96*EO96+DD97*EO97</f>
        <v>14.823665216333442</v>
      </c>
      <c r="EP98" s="405">
        <f>+DI95*EP95+DI96*EP96+DI97*EP97</f>
        <v>-5.8249579710664943</v>
      </c>
      <c r="EQ98" s="405">
        <f>+DO95*EQ95+DO96*EQ96+DO97*EQ97</f>
        <v>19.818700839112012</v>
      </c>
      <c r="ER98" s="405">
        <f>+DU95*ER95+DU96*ER96+DU97*ER97</f>
        <v>10</v>
      </c>
      <c r="ES98" s="405"/>
    </row>
    <row r="99" spans="1:149">
      <c r="A99" s="552"/>
      <c r="B99" s="552" t="s">
        <v>1020</v>
      </c>
      <c r="C99" s="553"/>
      <c r="D99" s="553"/>
      <c r="E99" s="553"/>
      <c r="F99" s="554"/>
      <c r="G99" s="554"/>
      <c r="H99" s="555"/>
      <c r="I99" s="554"/>
      <c r="J99" s="554"/>
      <c r="K99" s="554"/>
      <c r="L99" s="555"/>
      <c r="M99" s="554"/>
      <c r="N99" s="554"/>
      <c r="O99" s="554"/>
      <c r="P99" s="555"/>
      <c r="Q99" s="554"/>
      <c r="R99" s="554"/>
      <c r="S99" s="554"/>
      <c r="T99" s="555"/>
      <c r="U99" s="554"/>
      <c r="V99" s="554"/>
      <c r="W99" s="554"/>
      <c r="X99" s="555"/>
      <c r="Y99" s="554"/>
      <c r="Z99" s="554"/>
      <c r="AA99" s="554"/>
      <c r="AB99" s="555"/>
      <c r="AC99" s="554"/>
      <c r="AD99" s="554"/>
      <c r="AE99" s="554"/>
      <c r="AF99" s="556"/>
      <c r="AG99" s="554"/>
      <c r="AH99" s="554"/>
      <c r="AI99" s="553"/>
      <c r="AJ99" s="556"/>
      <c r="AK99" s="553"/>
      <c r="AL99" s="554"/>
      <c r="AM99" s="553"/>
      <c r="AN99" s="556"/>
      <c r="AO99" s="553"/>
      <c r="AP99" s="554"/>
      <c r="AQ99" s="554"/>
      <c r="AR99" s="556"/>
      <c r="AS99" s="554"/>
      <c r="AT99" s="554"/>
      <c r="AU99" s="553"/>
      <c r="AV99" s="557"/>
      <c r="AW99" s="553"/>
      <c r="AX99" s="554"/>
      <c r="AY99" s="553"/>
      <c r="AZ99" s="557"/>
      <c r="BA99" s="553"/>
      <c r="BB99" s="554"/>
      <c r="BC99" s="553"/>
      <c r="BD99" s="557"/>
      <c r="BE99" s="553"/>
      <c r="BF99" s="554"/>
      <c r="BG99" s="553"/>
      <c r="BH99" s="557"/>
      <c r="BI99" s="553"/>
      <c r="BJ99" s="554"/>
      <c r="BK99" s="553"/>
      <c r="BL99" s="558"/>
      <c r="BM99" s="553"/>
      <c r="BN99" s="554"/>
      <c r="BO99" s="553"/>
      <c r="BP99" s="558"/>
      <c r="BQ99" s="553"/>
      <c r="BR99" s="554"/>
      <c r="BS99" s="553"/>
      <c r="BT99" s="559">
        <f>'segSales&amp;OM'!L119</f>
        <v>15.50775130548303</v>
      </c>
      <c r="BU99" s="553"/>
      <c r="BV99" s="554"/>
      <c r="BW99" s="553"/>
      <c r="BX99" s="559">
        <f>'segSales&amp;OM'!L126</f>
        <v>-1.3607051960812688</v>
      </c>
      <c r="BY99" s="553"/>
      <c r="BZ99" s="554"/>
      <c r="CA99" s="553"/>
      <c r="CB99" s="559">
        <f>'segSales&amp;OM'!L161</f>
        <v>9.0518476081351995</v>
      </c>
      <c r="CC99" s="553"/>
      <c r="CD99" s="554"/>
      <c r="CE99" s="553"/>
      <c r="CF99" s="559">
        <f>'segSales&amp;OM'!L168</f>
        <v>-8.8849487785657928</v>
      </c>
      <c r="CG99" s="553"/>
      <c r="CH99" s="554"/>
      <c r="CI99" s="553"/>
      <c r="CJ99" s="559">
        <f>'segSales&amp;OM'!L175</f>
        <v>8.2594594594594497</v>
      </c>
      <c r="CK99" s="553"/>
      <c r="CL99" s="554"/>
      <c r="CM99" s="553"/>
      <c r="CN99" s="559">
        <f>'segSales&amp;OM'!L182</f>
        <v>3.6848412222887816</v>
      </c>
      <c r="CO99" s="553"/>
      <c r="CP99" s="554"/>
      <c r="CQ99" s="553"/>
      <c r="CR99" s="2706">
        <v>1</v>
      </c>
      <c r="CS99" s="552"/>
      <c r="CT99" s="552"/>
      <c r="CU99" s="552"/>
      <c r="CV99" s="2706">
        <v>-3</v>
      </c>
      <c r="CW99" s="553"/>
      <c r="CX99" s="553"/>
      <c r="CY99" s="553"/>
      <c r="CZ99" s="2720">
        <v>-1</v>
      </c>
      <c r="DA99" s="553"/>
      <c r="DB99" s="553"/>
      <c r="DC99" s="553"/>
      <c r="DD99" s="2720">
        <v>3</v>
      </c>
      <c r="DE99" s="2356"/>
      <c r="DF99" s="553"/>
      <c r="DG99" s="553"/>
      <c r="DH99" s="553"/>
      <c r="DI99" s="2355">
        <f>'segSales&amp;OM'!L234</f>
        <v>1.4489966019106237</v>
      </c>
      <c r="DJ99" s="559"/>
      <c r="DK99" s="553"/>
      <c r="DL99" s="553"/>
      <c r="DM99" s="553"/>
      <c r="DN99" s="553"/>
      <c r="DO99" s="2355">
        <f>+'segSales&amp;OM'!L241</f>
        <v>-4.6767363963850279</v>
      </c>
      <c r="DP99" s="559"/>
      <c r="DQ99" s="553"/>
      <c r="DR99" s="553"/>
      <c r="DS99" s="553"/>
      <c r="DT99" s="553"/>
      <c r="DU99" s="2540">
        <f>'segSales&amp;OM'!L248</f>
        <v>11.492267046615435</v>
      </c>
      <c r="DV99" s="559"/>
      <c r="DW99" s="553"/>
      <c r="DX99" s="405">
        <f>DI99+DD99</f>
        <v>4.4489966019106237</v>
      </c>
      <c r="DY99" s="405"/>
      <c r="DZ99" s="560"/>
      <c r="EA99" s="560"/>
      <c r="EB99" s="560"/>
      <c r="EC99" s="560"/>
      <c r="ED99" s="560"/>
      <c r="EE99" s="560"/>
      <c r="EF99" s="560"/>
      <c r="EG99" s="560"/>
      <c r="EH99" s="560"/>
      <c r="EI99" s="141"/>
      <c r="EJ99" s="141"/>
      <c r="EK99" s="141"/>
    </row>
    <row r="100" spans="1:149">
      <c r="A100" s="168"/>
      <c r="B100" s="168"/>
      <c r="C100" s="168"/>
      <c r="D100" s="168"/>
      <c r="E100" s="168"/>
      <c r="F100" s="168"/>
      <c r="G100" s="168"/>
      <c r="H100" s="168"/>
      <c r="I100" s="168"/>
      <c r="J100" s="168"/>
      <c r="K100" s="168"/>
      <c r="L100" s="168"/>
      <c r="M100" s="168"/>
      <c r="N100" s="168"/>
      <c r="O100" s="168"/>
      <c r="P100" s="168"/>
      <c r="Q100" s="168"/>
      <c r="R100" s="168"/>
      <c r="S100" s="168"/>
      <c r="T100" s="168"/>
      <c r="U100" s="168"/>
      <c r="V100" s="168"/>
      <c r="W100" s="168"/>
      <c r="X100" s="168"/>
      <c r="Y100" s="168"/>
      <c r="Z100" s="168"/>
      <c r="AA100" s="168"/>
      <c r="AB100" s="168"/>
      <c r="AC100" s="168"/>
      <c r="AD100" s="168"/>
      <c r="AE100" s="168"/>
      <c r="AF100" s="168"/>
      <c r="AG100" s="168"/>
      <c r="AH100" s="168"/>
      <c r="AI100" s="168"/>
      <c r="AJ100" s="168"/>
      <c r="AK100" s="168"/>
      <c r="AL100" s="168"/>
      <c r="AM100" s="168"/>
      <c r="AN100" s="168"/>
      <c r="AO100" s="168"/>
      <c r="AP100" s="168"/>
      <c r="AQ100" s="168"/>
      <c r="AR100" s="224"/>
      <c r="AS100" s="168"/>
      <c r="AT100" s="168"/>
      <c r="AU100" s="168"/>
      <c r="AV100" s="168"/>
      <c r="AW100" s="168"/>
      <c r="AX100" s="168"/>
      <c r="AY100" s="168"/>
      <c r="AZ100" s="168"/>
      <c r="BA100" s="168"/>
      <c r="BB100" s="168"/>
      <c r="BC100" s="168"/>
      <c r="BD100" s="168"/>
      <c r="BE100" s="168"/>
      <c r="BF100" s="168"/>
      <c r="BG100" s="168"/>
      <c r="BH100" s="168"/>
      <c r="BI100" s="168"/>
      <c r="BJ100" s="168"/>
      <c r="BK100" s="168"/>
      <c r="BL100" s="168"/>
      <c r="BM100" s="168"/>
      <c r="BN100" s="168"/>
      <c r="BO100" s="168"/>
      <c r="BP100" s="168"/>
      <c r="BQ100" s="168"/>
      <c r="BR100" s="168"/>
      <c r="BS100" s="168"/>
      <c r="BT100" s="168"/>
      <c r="BU100" s="168"/>
      <c r="BV100" s="168"/>
      <c r="BW100" s="168"/>
      <c r="BX100" s="168"/>
      <c r="BY100" s="168"/>
      <c r="BZ100" s="168"/>
      <c r="CA100" s="168"/>
      <c r="CB100" s="168"/>
      <c r="CC100" s="168"/>
      <c r="CD100" s="168"/>
      <c r="CE100" s="168"/>
      <c r="CF100" s="168"/>
      <c r="CG100" s="168"/>
      <c r="CH100" s="168"/>
      <c r="CI100" s="168"/>
      <c r="CJ100" s="168"/>
      <c r="CK100" s="168"/>
      <c r="CL100" s="168"/>
      <c r="CM100" s="168"/>
      <c r="CN100" s="168"/>
      <c r="CO100" s="168"/>
      <c r="CP100" s="168"/>
      <c r="CQ100" s="168"/>
      <c r="CR100" s="168"/>
      <c r="CS100" s="168"/>
      <c r="CT100" s="168"/>
      <c r="CU100" s="168"/>
      <c r="CV100" s="168"/>
      <c r="CW100" s="168"/>
      <c r="CX100" s="168"/>
      <c r="CY100" s="168"/>
      <c r="CZ100" s="168"/>
      <c r="DA100" s="168"/>
      <c r="DB100" s="168"/>
      <c r="DC100" s="168"/>
      <c r="DD100" s="168"/>
      <c r="DE100" s="168"/>
      <c r="DF100" s="168"/>
      <c r="DG100" s="168"/>
      <c r="DH100" s="168"/>
      <c r="DI100" s="168"/>
      <c r="DJ100" s="168"/>
      <c r="DK100" s="168"/>
      <c r="DL100" s="168"/>
      <c r="DM100" s="168"/>
      <c r="DN100" s="168"/>
      <c r="DO100" s="168"/>
      <c r="DP100" s="168"/>
      <c r="DQ100" s="168"/>
      <c r="DR100" s="168"/>
      <c r="DS100" s="168"/>
      <c r="DT100" s="168"/>
      <c r="DU100" s="168"/>
      <c r="DV100" s="168"/>
      <c r="DW100" s="168"/>
      <c r="DX100" s="168"/>
      <c r="DY100" s="168"/>
      <c r="DZ100" s="168"/>
      <c r="EA100" s="168"/>
      <c r="EB100" s="168"/>
      <c r="EC100" s="168"/>
      <c r="ED100" s="168"/>
      <c r="EE100" s="168"/>
      <c r="EF100" s="168"/>
      <c r="EG100" s="168"/>
      <c r="EH100" s="168"/>
      <c r="EI100" s="168"/>
      <c r="EJ100" s="168"/>
      <c r="EK100" s="168"/>
    </row>
    <row r="101" spans="1:149">
      <c r="A101" s="821"/>
      <c r="B101" s="821"/>
      <c r="C101" s="301"/>
      <c r="D101" s="301"/>
      <c r="E101" s="301"/>
      <c r="F101" s="614"/>
      <c r="G101" s="614"/>
      <c r="H101" s="822"/>
      <c r="I101" s="614"/>
      <c r="J101" s="614"/>
      <c r="K101" s="614"/>
      <c r="L101" s="822"/>
      <c r="M101" s="614"/>
      <c r="N101" s="614"/>
      <c r="O101" s="614"/>
      <c r="P101" s="822"/>
      <c r="Q101" s="614"/>
      <c r="R101" s="614"/>
      <c r="S101" s="614"/>
      <c r="T101" s="823"/>
      <c r="U101" s="614"/>
      <c r="V101" s="614"/>
      <c r="W101" s="614"/>
      <c r="X101" s="823"/>
      <c r="Y101" s="614"/>
      <c r="Z101" s="614"/>
      <c r="AA101" s="614"/>
      <c r="AB101" s="823"/>
      <c r="AC101" s="614"/>
      <c r="AD101" s="614"/>
      <c r="AE101" s="614"/>
      <c r="AF101" s="824"/>
      <c r="AG101" s="614"/>
      <c r="AH101" s="614"/>
      <c r="AI101" s="301"/>
      <c r="AJ101" s="824"/>
      <c r="AK101" s="301"/>
      <c r="AL101" s="614"/>
      <c r="AM101" s="301"/>
      <c r="AN101" s="824"/>
      <c r="AO101" s="301"/>
      <c r="AP101" s="614"/>
      <c r="AQ101" s="614"/>
      <c r="AR101" s="824"/>
      <c r="AS101" s="614"/>
      <c r="AT101" s="614"/>
      <c r="AU101" s="301"/>
      <c r="AV101" s="825"/>
      <c r="AW101" s="301"/>
      <c r="AX101" s="614"/>
      <c r="AY101" s="168"/>
      <c r="AZ101" s="168"/>
      <c r="BA101" s="168"/>
      <c r="BB101" s="168"/>
      <c r="BC101" s="168"/>
      <c r="BD101" s="168"/>
      <c r="BE101" s="168"/>
      <c r="BF101" s="168"/>
      <c r="BG101" s="168"/>
      <c r="BH101" s="168"/>
      <c r="BI101" s="168"/>
      <c r="BJ101" s="168"/>
      <c r="BK101" s="168"/>
      <c r="BL101" s="168"/>
      <c r="BM101" s="168"/>
      <c r="BN101" s="168"/>
      <c r="BO101" s="168"/>
      <c r="BP101" s="168"/>
      <c r="BQ101" s="168"/>
      <c r="BR101" s="168"/>
      <c r="BS101" s="168"/>
      <c r="BT101" s="168"/>
      <c r="BU101" s="168"/>
      <c r="BV101" s="168"/>
      <c r="BW101" s="168"/>
      <c r="BX101" s="168"/>
      <c r="BY101" s="168"/>
      <c r="BZ101" s="168"/>
      <c r="CA101" s="168"/>
      <c r="CB101" s="168"/>
      <c r="CC101" s="168"/>
      <c r="CD101" s="168"/>
      <c r="CE101" s="168"/>
      <c r="CF101" s="168"/>
      <c r="CG101" s="168"/>
      <c r="CH101" s="168"/>
      <c r="CI101" s="168"/>
      <c r="CJ101" s="168"/>
      <c r="CK101" s="168"/>
      <c r="CL101" s="168"/>
      <c r="CM101" s="168"/>
      <c r="CN101" s="168"/>
      <c r="CO101" s="168"/>
      <c r="CP101" s="168"/>
      <c r="CQ101" s="168"/>
      <c r="CR101" s="168"/>
      <c r="CS101" s="168"/>
      <c r="CT101" s="168"/>
      <c r="CU101" s="168"/>
      <c r="CV101" s="168"/>
      <c r="CW101" s="168"/>
      <c r="CX101" s="168"/>
      <c r="CY101" s="168"/>
      <c r="CZ101" s="168"/>
      <c r="DA101" s="168"/>
      <c r="DB101" s="168"/>
      <c r="DC101" s="168"/>
      <c r="DD101" s="168"/>
      <c r="DE101" s="168"/>
      <c r="DF101" s="168"/>
      <c r="DG101" s="168"/>
      <c r="DH101" s="168"/>
      <c r="DI101" s="168"/>
      <c r="DJ101" s="168"/>
      <c r="DK101" s="168"/>
      <c r="DL101" s="168"/>
      <c r="DM101" s="168"/>
      <c r="DN101" s="168"/>
      <c r="DO101" s="168"/>
      <c r="DP101" s="168"/>
      <c r="DQ101" s="168"/>
      <c r="DR101" s="168"/>
      <c r="DS101" s="168"/>
      <c r="DT101" s="168"/>
      <c r="DU101" s="168"/>
      <c r="DV101" s="168"/>
      <c r="DW101" s="168"/>
      <c r="DX101" s="168"/>
      <c r="DY101" s="168"/>
      <c r="DZ101" s="168"/>
      <c r="EA101" s="168"/>
      <c r="EB101" s="168"/>
      <c r="EC101" s="168"/>
      <c r="ED101" s="168"/>
      <c r="EE101" s="168"/>
      <c r="EF101" s="168"/>
      <c r="EG101" s="168"/>
      <c r="EH101" s="168"/>
      <c r="EI101" s="168"/>
      <c r="EJ101" s="168"/>
      <c r="EK101" s="168"/>
    </row>
    <row r="102" spans="1:149" hidden="1" outlineLevel="1" collapsed="1">
      <c r="A102" s="843" t="s">
        <v>880</v>
      </c>
      <c r="B102" s="843"/>
      <c r="C102" s="844"/>
      <c r="D102" s="843"/>
      <c r="E102" s="843"/>
      <c r="F102" s="845"/>
      <c r="G102" s="843"/>
      <c r="H102" s="846"/>
      <c r="I102" s="846"/>
      <c r="J102" s="845"/>
      <c r="K102" s="843"/>
      <c r="L102" s="846"/>
      <c r="M102" s="846"/>
      <c r="N102" s="845"/>
      <c r="O102" s="843"/>
      <c r="P102" s="846"/>
      <c r="Q102" s="846"/>
      <c r="R102" s="845"/>
      <c r="S102" s="843"/>
      <c r="T102" s="846"/>
      <c r="U102" s="846"/>
      <c r="V102" s="845"/>
      <c r="W102" s="843"/>
      <c r="X102" s="846"/>
      <c r="Y102" s="846"/>
      <c r="Z102" s="845"/>
      <c r="AA102" s="843"/>
      <c r="AB102" s="846"/>
      <c r="AC102" s="846"/>
      <c r="AD102" s="845"/>
      <c r="AE102" s="843"/>
      <c r="AF102" s="846"/>
      <c r="AG102" s="846"/>
      <c r="AH102" s="845"/>
      <c r="AI102" s="843"/>
      <c r="AJ102" s="846"/>
      <c r="AK102" s="846"/>
      <c r="AL102" s="845"/>
      <c r="AM102" s="843"/>
      <c r="AN102" s="846"/>
      <c r="AO102" s="846"/>
      <c r="AP102" s="845"/>
      <c r="AQ102" s="843"/>
      <c r="AR102" s="846"/>
      <c r="AS102" s="846"/>
      <c r="AT102" s="847"/>
      <c r="AU102" s="846"/>
      <c r="AV102" s="846"/>
      <c r="AW102" s="846"/>
      <c r="AX102" s="847"/>
      <c r="AY102" s="846"/>
      <c r="AZ102" s="846"/>
      <c r="BA102" s="846"/>
      <c r="BB102" s="845"/>
      <c r="BC102" s="843"/>
      <c r="BD102" s="846"/>
      <c r="BE102" s="846"/>
      <c r="BF102" s="845"/>
      <c r="BG102" s="843"/>
      <c r="BH102" s="846"/>
      <c r="BI102" s="846"/>
      <c r="BJ102" s="845"/>
      <c r="BK102" s="843"/>
      <c r="BL102" s="846"/>
      <c r="BM102" s="846"/>
      <c r="BN102" s="845"/>
      <c r="BO102" s="843"/>
      <c r="BP102" s="846"/>
      <c r="BQ102" s="846"/>
      <c r="BR102" s="845"/>
      <c r="BS102" s="843"/>
      <c r="BT102" s="846"/>
      <c r="BU102" s="846"/>
      <c r="BV102" s="845"/>
      <c r="BW102" s="843"/>
      <c r="BX102" s="846"/>
      <c r="BY102" s="846"/>
      <c r="BZ102" s="845"/>
      <c r="CA102" s="843"/>
      <c r="CB102" s="846"/>
      <c r="CC102" s="846"/>
      <c r="CD102" s="845"/>
      <c r="CE102" s="843"/>
      <c r="CF102" s="846"/>
      <c r="CG102" s="846"/>
      <c r="CH102" s="845"/>
      <c r="CI102" s="843"/>
      <c r="CJ102" s="846"/>
      <c r="CK102" s="846"/>
      <c r="CL102" s="845"/>
      <c r="CM102" s="843"/>
      <c r="CN102" s="846"/>
      <c r="CO102" s="846"/>
      <c r="CP102" s="845"/>
      <c r="CQ102" s="843"/>
      <c r="CR102" s="846"/>
      <c r="CS102" s="846"/>
      <c r="CT102" s="846"/>
      <c r="CU102" s="846"/>
      <c r="CV102" s="846"/>
      <c r="CW102" s="846"/>
      <c r="CX102" s="846"/>
      <c r="CY102" s="846"/>
      <c r="CZ102" s="846"/>
      <c r="DA102" s="846"/>
      <c r="DB102" s="846"/>
      <c r="DC102" s="846"/>
      <c r="DD102" s="846"/>
      <c r="DE102" s="846"/>
      <c r="DF102" s="846"/>
      <c r="DG102" s="846"/>
      <c r="DH102" s="846"/>
      <c r="DI102" s="846"/>
      <c r="DJ102" s="846"/>
      <c r="DK102" s="846"/>
      <c r="DL102" s="846"/>
      <c r="DM102" s="846"/>
      <c r="DN102" s="846"/>
      <c r="DO102" s="846"/>
      <c r="DP102" s="846"/>
      <c r="DQ102" s="846"/>
      <c r="DR102" s="846"/>
      <c r="DS102" s="846"/>
      <c r="DT102" s="846"/>
      <c r="DU102" s="846"/>
      <c r="DV102" s="846"/>
      <c r="DW102" s="846"/>
      <c r="DX102" s="847"/>
      <c r="DY102" s="847"/>
      <c r="DZ102" s="846"/>
      <c r="EA102" s="846"/>
      <c r="EB102" s="846"/>
      <c r="EC102" s="846"/>
      <c r="ED102" s="846"/>
      <c r="EE102" s="846"/>
      <c r="EF102" s="846"/>
      <c r="EG102" s="846"/>
      <c r="EH102" s="846"/>
      <c r="EI102" s="843"/>
      <c r="EJ102" s="843"/>
      <c r="EK102" s="843"/>
    </row>
    <row r="103" spans="1:149" hidden="1" outlineLevel="1">
      <c r="A103" s="848"/>
      <c r="B103" s="848"/>
      <c r="C103" s="849"/>
      <c r="D103" s="850"/>
      <c r="E103" s="849"/>
      <c r="F103" s="850"/>
      <c r="G103" s="849"/>
      <c r="H103" s="850"/>
      <c r="I103" s="849"/>
      <c r="J103" s="850"/>
      <c r="K103" s="849"/>
      <c r="L103" s="850"/>
      <c r="M103" s="849"/>
      <c r="N103" s="850"/>
      <c r="O103" s="849"/>
      <c r="P103" s="850"/>
      <c r="Q103" s="849"/>
      <c r="R103" s="850"/>
      <c r="S103" s="849"/>
      <c r="T103" s="850"/>
      <c r="U103" s="849"/>
      <c r="V103" s="850"/>
      <c r="W103" s="849"/>
      <c r="X103" s="850"/>
      <c r="Y103" s="849"/>
      <c r="Z103" s="850"/>
      <c r="AA103" s="849"/>
      <c r="AB103" s="850"/>
      <c r="AC103" s="849"/>
      <c r="AD103" s="850"/>
      <c r="AE103" s="849"/>
      <c r="AF103" s="850"/>
      <c r="AG103" s="849"/>
      <c r="AH103" s="850"/>
      <c r="AI103" s="849"/>
      <c r="AJ103" s="850"/>
      <c r="AK103" s="849"/>
      <c r="AL103" s="850"/>
      <c r="AM103" s="849"/>
      <c r="AN103" s="850"/>
      <c r="AO103" s="849"/>
      <c r="AP103" s="850"/>
      <c r="AQ103" s="849"/>
      <c r="AR103" s="838"/>
      <c r="AS103" s="849"/>
      <c r="AT103" s="850"/>
      <c r="AU103" s="849"/>
      <c r="AV103" s="850"/>
      <c r="AW103" s="849"/>
      <c r="AX103" s="850"/>
      <c r="AY103" s="849"/>
      <c r="AZ103" s="850"/>
      <c r="BA103" s="849"/>
      <c r="BB103" s="850"/>
      <c r="BC103" s="849"/>
      <c r="BD103" s="850"/>
      <c r="BE103" s="849"/>
      <c r="BF103" s="850"/>
      <c r="BG103" s="849"/>
      <c r="BH103" s="850"/>
      <c r="BI103" s="849"/>
      <c r="BJ103" s="850"/>
      <c r="BK103" s="849"/>
      <c r="BL103" s="850"/>
      <c r="BM103" s="849"/>
      <c r="BN103" s="850"/>
      <c r="BO103" s="849"/>
      <c r="BP103" s="850"/>
      <c r="BQ103" s="849"/>
      <c r="BR103" s="850"/>
      <c r="BS103" s="849"/>
      <c r="BT103" s="850"/>
      <c r="BU103" s="849"/>
      <c r="BV103" s="850"/>
      <c r="BW103" s="849"/>
      <c r="BX103" s="850"/>
      <c r="BY103" s="849"/>
      <c r="BZ103" s="850"/>
      <c r="CA103" s="849"/>
      <c r="CB103" s="850"/>
      <c r="CC103" s="849"/>
      <c r="CD103" s="850"/>
      <c r="CE103" s="849"/>
      <c r="CF103" s="850"/>
      <c r="CG103" s="849"/>
      <c r="CH103" s="850"/>
      <c r="CI103" s="849"/>
      <c r="CJ103" s="850"/>
      <c r="CK103" s="849"/>
      <c r="CL103" s="850"/>
      <c r="CM103" s="849"/>
      <c r="CN103" s="850"/>
      <c r="CO103" s="849"/>
      <c r="CP103" s="850"/>
      <c r="CQ103" s="849"/>
      <c r="CR103" s="850"/>
      <c r="CS103" s="849"/>
      <c r="CT103" s="849"/>
      <c r="CU103" s="849"/>
      <c r="CV103" s="849"/>
      <c r="CW103" s="849"/>
      <c r="CX103" s="849"/>
      <c r="CY103" s="849"/>
      <c r="CZ103" s="849"/>
      <c r="DA103" s="849"/>
      <c r="DB103" s="849"/>
      <c r="DC103" s="849"/>
      <c r="DD103" s="849"/>
      <c r="DE103" s="849"/>
      <c r="DF103" s="849"/>
      <c r="DG103" s="849"/>
      <c r="DH103" s="849"/>
      <c r="DI103" s="849"/>
      <c r="DJ103" s="849"/>
      <c r="DK103" s="849"/>
      <c r="DL103" s="849"/>
      <c r="DM103" s="849"/>
      <c r="DN103" s="849"/>
      <c r="DO103" s="849"/>
      <c r="DP103" s="849"/>
      <c r="DQ103" s="849"/>
      <c r="DR103" s="849"/>
      <c r="DS103" s="849"/>
      <c r="DT103" s="849"/>
      <c r="DU103" s="849"/>
      <c r="DV103" s="849"/>
      <c r="DW103" s="849"/>
      <c r="DX103" s="839"/>
      <c r="DY103" s="839"/>
      <c r="DZ103" s="839" t="s">
        <v>673</v>
      </c>
      <c r="EA103" s="839" t="s">
        <v>636</v>
      </c>
      <c r="EB103" s="839" t="s">
        <v>376</v>
      </c>
      <c r="EC103" s="839"/>
      <c r="ED103" s="839"/>
      <c r="EE103" s="839"/>
      <c r="EF103" s="839"/>
      <c r="EG103" s="839"/>
      <c r="EH103" s="839"/>
      <c r="EI103" s="839"/>
      <c r="EJ103" s="839"/>
      <c r="EK103" s="839"/>
    </row>
    <row r="104" spans="1:149" hidden="1" outlineLevel="1">
      <c r="A104" s="840" t="s">
        <v>828</v>
      </c>
      <c r="B104" s="839"/>
      <c r="C104" s="839"/>
      <c r="D104" s="841">
        <v>4</v>
      </c>
      <c r="E104" s="839"/>
      <c r="F104" s="842"/>
      <c r="G104" s="839"/>
      <c r="H104" s="851"/>
      <c r="I104" s="839" t="s">
        <v>1084</v>
      </c>
      <c r="J104" s="852" t="str">
        <f>+J34</f>
        <v>3/2</v>
      </c>
      <c r="K104" s="839"/>
      <c r="L104" s="851"/>
      <c r="M104" s="839" t="s">
        <v>1084</v>
      </c>
      <c r="N104" s="852" t="str">
        <f>+N34</f>
        <v xml:space="preserve"> 2/29</v>
      </c>
      <c r="O104" s="839"/>
      <c r="P104" s="851"/>
      <c r="Q104" s="839" t="s">
        <v>1084</v>
      </c>
      <c r="R104" s="852" t="str">
        <f>+R34</f>
        <v xml:space="preserve"> 2/27</v>
      </c>
      <c r="S104" s="839"/>
      <c r="T104" s="853"/>
      <c r="U104" s="839" t="s">
        <v>1084</v>
      </c>
      <c r="V104" s="852" t="str">
        <f>+V34</f>
        <v>2/28</v>
      </c>
      <c r="W104" s="839"/>
      <c r="X104" s="853"/>
      <c r="Y104" s="839" t="s">
        <v>1084</v>
      </c>
      <c r="Z104" s="852" t="str">
        <f>+Z34</f>
        <v>2/25</v>
      </c>
      <c r="AA104" s="839"/>
      <c r="AB104" s="853"/>
      <c r="AC104" s="839" t="s">
        <v>1084</v>
      </c>
      <c r="AD104" s="852" t="str">
        <f>+AD34</f>
        <v>3/2</v>
      </c>
      <c r="AE104" s="839"/>
      <c r="AF104" s="853"/>
      <c r="AG104" s="839" t="s">
        <v>1084</v>
      </c>
      <c r="AH104" s="852" t="str">
        <f>+AH34</f>
        <v>3/2</v>
      </c>
      <c r="AI104" s="839"/>
      <c r="AJ104" s="853">
        <v>-10</v>
      </c>
      <c r="AK104" s="839" t="s">
        <v>1084</v>
      </c>
      <c r="AL104" s="852" t="str">
        <f>+AL34</f>
        <v>2/28</v>
      </c>
      <c r="AM104" s="839"/>
      <c r="AN104" s="853">
        <v>1</v>
      </c>
      <c r="AO104" s="839" t="s">
        <v>1084</v>
      </c>
      <c r="AP104" s="852" t="str">
        <f>+AP34</f>
        <v>2/27</v>
      </c>
      <c r="AQ104" s="839"/>
      <c r="AR104" s="853">
        <v>13</v>
      </c>
      <c r="AS104" s="839" t="s">
        <v>1084</v>
      </c>
      <c r="AT104" s="852" t="str">
        <f>+AT34</f>
        <v>2/26</v>
      </c>
      <c r="AU104" s="839"/>
      <c r="AV104" s="853">
        <v>2</v>
      </c>
      <c r="AW104" s="839" t="s">
        <v>1084</v>
      </c>
      <c r="AX104" s="852" t="str">
        <f>+AX34</f>
        <v>3/3</v>
      </c>
      <c r="AY104" s="839"/>
      <c r="AZ104" s="853">
        <v>2</v>
      </c>
      <c r="BA104" s="839" t="s">
        <v>1084</v>
      </c>
      <c r="BB104" s="852" t="str">
        <f>+BB34</f>
        <v>3/2</v>
      </c>
      <c r="BC104" s="839"/>
      <c r="BD104" s="853">
        <v>3</v>
      </c>
      <c r="BE104" s="839" t="s">
        <v>1084</v>
      </c>
      <c r="BF104" s="854">
        <f>+BF34</f>
        <v>37681</v>
      </c>
      <c r="BG104" s="839"/>
      <c r="BH104" s="853">
        <v>-6</v>
      </c>
      <c r="BI104" s="839" t="s">
        <v>1084</v>
      </c>
      <c r="BJ104" s="854">
        <f>+BJ34</f>
        <v>38046</v>
      </c>
      <c r="BK104" s="839"/>
      <c r="BL104" s="853">
        <v>-6</v>
      </c>
      <c r="BM104" s="839" t="s">
        <v>1084</v>
      </c>
      <c r="BN104" s="854">
        <f>+BN34</f>
        <v>38409</v>
      </c>
      <c r="BO104" s="839"/>
      <c r="BP104" s="853">
        <v>-15</v>
      </c>
      <c r="BQ104" s="839" t="s">
        <v>1084</v>
      </c>
      <c r="BR104" s="854">
        <f>+BR34</f>
        <v>38408</v>
      </c>
      <c r="BS104" s="839"/>
      <c r="BT104" s="853">
        <v>5</v>
      </c>
      <c r="BU104" s="839" t="s">
        <v>1084</v>
      </c>
      <c r="BV104" s="854">
        <f>+BV34</f>
        <v>39144</v>
      </c>
      <c r="BW104" s="839"/>
      <c r="BX104" s="853">
        <v>7</v>
      </c>
      <c r="BY104" s="839" t="s">
        <v>1084</v>
      </c>
      <c r="BZ104" s="854"/>
      <c r="CA104" s="839"/>
      <c r="CB104" s="853"/>
      <c r="CC104" s="839"/>
      <c r="CD104" s="854"/>
      <c r="CE104" s="839"/>
      <c r="CF104" s="853"/>
      <c r="CG104" s="839"/>
      <c r="CH104" s="854"/>
      <c r="CI104" s="839"/>
      <c r="CJ104" s="853"/>
      <c r="CK104" s="839"/>
      <c r="CL104" s="854"/>
      <c r="CM104" s="839"/>
      <c r="CN104" s="853"/>
      <c r="CO104" s="839"/>
      <c r="CP104" s="854"/>
      <c r="CQ104" s="839"/>
      <c r="CR104" s="853"/>
      <c r="CS104" s="839"/>
      <c r="CT104" s="839"/>
      <c r="CU104" s="839"/>
      <c r="CV104" s="839"/>
      <c r="CW104" s="839"/>
      <c r="CX104" s="839"/>
      <c r="CY104" s="839"/>
      <c r="CZ104" s="839"/>
      <c r="DA104" s="839"/>
      <c r="DB104" s="839"/>
      <c r="DC104" s="839"/>
      <c r="DD104" s="839"/>
      <c r="DE104" s="839"/>
      <c r="DF104" s="839"/>
      <c r="DG104" s="839"/>
      <c r="DH104" s="839"/>
      <c r="DI104" s="839"/>
      <c r="DJ104" s="839"/>
      <c r="DK104" s="839"/>
      <c r="DL104" s="839"/>
      <c r="DM104" s="839"/>
      <c r="DN104" s="839"/>
      <c r="DO104" s="839"/>
      <c r="DP104" s="839"/>
      <c r="DQ104" s="839"/>
      <c r="DR104" s="839"/>
      <c r="DS104" s="839"/>
      <c r="DT104" s="839"/>
      <c r="DU104" s="839"/>
      <c r="DV104" s="839"/>
      <c r="DW104" s="839"/>
      <c r="DX104" s="855"/>
      <c r="DY104" s="855"/>
      <c r="DZ104" s="839"/>
      <c r="EA104" s="839"/>
      <c r="EB104" s="839"/>
      <c r="EC104" s="839"/>
      <c r="ED104" s="839"/>
      <c r="EE104" s="839"/>
      <c r="EF104" s="839"/>
      <c r="EG104" s="839"/>
      <c r="EH104" s="839"/>
      <c r="EI104" s="839"/>
      <c r="EJ104" s="839"/>
      <c r="EK104" s="839"/>
    </row>
    <row r="105" spans="1:149" hidden="1" outlineLevel="1">
      <c r="A105" s="840" t="s">
        <v>829</v>
      </c>
      <c r="B105" s="839"/>
      <c r="C105" s="839"/>
      <c r="D105" s="841">
        <v>5</v>
      </c>
      <c r="E105" s="839"/>
      <c r="F105" s="856"/>
      <c r="G105" s="839"/>
      <c r="H105" s="851"/>
      <c r="I105" s="839"/>
      <c r="J105" s="852" t="str">
        <f>+J35</f>
        <v>4/6</v>
      </c>
      <c r="K105" s="839"/>
      <c r="L105" s="851"/>
      <c r="M105" s="839"/>
      <c r="N105" s="852" t="str">
        <f>+N35</f>
        <v xml:space="preserve"> 4/4</v>
      </c>
      <c r="O105" s="839"/>
      <c r="P105" s="851"/>
      <c r="Q105" s="839"/>
      <c r="R105" s="852" t="str">
        <f>+R35</f>
        <v xml:space="preserve"> 4/3</v>
      </c>
      <c r="S105" s="839"/>
      <c r="T105" s="853"/>
      <c r="U105" s="839"/>
      <c r="V105" s="852" t="str">
        <f>+V35</f>
        <v>4/2</v>
      </c>
      <c r="W105" s="839"/>
      <c r="X105" s="853"/>
      <c r="Y105" s="839"/>
      <c r="Z105" s="852" t="str">
        <f>+Z35</f>
        <v>4/1</v>
      </c>
      <c r="AA105" s="839"/>
      <c r="AB105" s="853"/>
      <c r="AC105" s="839"/>
      <c r="AD105" s="852" t="str">
        <f>+AD35</f>
        <v>4/6</v>
      </c>
      <c r="AE105" s="839"/>
      <c r="AF105" s="853"/>
      <c r="AG105" s="839"/>
      <c r="AH105" s="852" t="str">
        <f>+AH35</f>
        <v>4/5</v>
      </c>
      <c r="AI105" s="839"/>
      <c r="AJ105" s="853">
        <v>-14</v>
      </c>
      <c r="AK105" s="839"/>
      <c r="AL105" s="852" t="str">
        <f>+AL35</f>
        <v>4/4</v>
      </c>
      <c r="AM105" s="839"/>
      <c r="AN105" s="853">
        <v>2</v>
      </c>
      <c r="AO105" s="839"/>
      <c r="AP105" s="852" t="str">
        <f>+AP35</f>
        <v>4/3</v>
      </c>
      <c r="AQ105" s="839"/>
      <c r="AR105" s="853">
        <v>15</v>
      </c>
      <c r="AS105" s="839"/>
      <c r="AT105" s="852" t="str">
        <f>+AT35</f>
        <v>4/1</v>
      </c>
      <c r="AU105" s="839"/>
      <c r="AV105" s="853">
        <v>11</v>
      </c>
      <c r="AW105" s="839"/>
      <c r="AX105" s="852" t="str">
        <f>+AX35</f>
        <v>4/7</v>
      </c>
      <c r="AY105" s="839"/>
      <c r="AZ105" s="853">
        <v>-3</v>
      </c>
      <c r="BA105" s="839"/>
      <c r="BB105" s="852" t="str">
        <f>+BB35</f>
        <v>4/6</v>
      </c>
      <c r="BC105" s="839"/>
      <c r="BD105" s="853">
        <v>14</v>
      </c>
      <c r="BE105" s="839"/>
      <c r="BF105" s="854">
        <f>+BF35</f>
        <v>37716</v>
      </c>
      <c r="BG105" s="839"/>
      <c r="BH105" s="853">
        <v>-3</v>
      </c>
      <c r="BI105" s="839"/>
      <c r="BJ105" s="854">
        <f>+BJ35</f>
        <v>38081</v>
      </c>
      <c r="BK105" s="839"/>
      <c r="BL105" s="853">
        <v>10</v>
      </c>
      <c r="BM105" s="839"/>
      <c r="BN105" s="854">
        <f>+BN35</f>
        <v>38444</v>
      </c>
      <c r="BO105" s="839"/>
      <c r="BP105" s="853">
        <v>-24</v>
      </c>
      <c r="BQ105" s="839"/>
      <c r="BR105" s="854">
        <f>+BR35</f>
        <v>38443</v>
      </c>
      <c r="BS105" s="839"/>
      <c r="BT105" s="853">
        <v>-4</v>
      </c>
      <c r="BU105" s="839"/>
      <c r="BV105" s="854">
        <f>+BV35</f>
        <v>39179</v>
      </c>
      <c r="BW105" s="839"/>
      <c r="BX105" s="853">
        <v>3</v>
      </c>
      <c r="BY105" s="839"/>
      <c r="BZ105" s="854"/>
      <c r="CA105" s="839"/>
      <c r="CB105" s="853"/>
      <c r="CC105" s="839"/>
      <c r="CD105" s="854"/>
      <c r="CE105" s="839"/>
      <c r="CF105" s="853"/>
      <c r="CG105" s="839"/>
      <c r="CH105" s="854"/>
      <c r="CI105" s="839"/>
      <c r="CJ105" s="853"/>
      <c r="CK105" s="839"/>
      <c r="CL105" s="854"/>
      <c r="CM105" s="839"/>
      <c r="CN105" s="853"/>
      <c r="CO105" s="839"/>
      <c r="CP105" s="854"/>
      <c r="CQ105" s="839"/>
      <c r="CR105" s="853"/>
      <c r="CS105" s="839"/>
      <c r="CT105" s="839"/>
      <c r="CU105" s="839"/>
      <c r="CV105" s="839"/>
      <c r="CW105" s="839"/>
      <c r="CX105" s="839"/>
      <c r="CY105" s="839"/>
      <c r="CZ105" s="839"/>
      <c r="DA105" s="839"/>
      <c r="DB105" s="839"/>
      <c r="DC105" s="839"/>
      <c r="DD105" s="839"/>
      <c r="DE105" s="839"/>
      <c r="DF105" s="839"/>
      <c r="DG105" s="839"/>
      <c r="DH105" s="839"/>
      <c r="DI105" s="839"/>
      <c r="DJ105" s="839"/>
      <c r="DK105" s="839"/>
      <c r="DL105" s="839"/>
      <c r="DM105" s="839"/>
      <c r="DN105" s="839"/>
      <c r="DO105" s="839"/>
      <c r="DP105" s="839"/>
      <c r="DQ105" s="839"/>
      <c r="DR105" s="839"/>
      <c r="DS105" s="839"/>
      <c r="DT105" s="839"/>
      <c r="DU105" s="839"/>
      <c r="DV105" s="839"/>
      <c r="DW105" s="839"/>
      <c r="DX105" s="855"/>
      <c r="DY105" s="855"/>
      <c r="DZ105" s="839"/>
      <c r="EA105" s="839"/>
      <c r="EB105" s="839"/>
      <c r="EC105" s="839"/>
      <c r="ED105" s="839"/>
      <c r="EE105" s="839"/>
      <c r="EF105" s="839"/>
      <c r="EG105" s="839"/>
      <c r="EH105" s="839"/>
      <c r="EI105" s="839"/>
      <c r="EJ105" s="839"/>
      <c r="EK105" s="839"/>
    </row>
    <row r="106" spans="1:149" hidden="1" outlineLevel="1">
      <c r="A106" s="840" t="s">
        <v>830</v>
      </c>
      <c r="B106" s="839"/>
      <c r="C106" s="839"/>
      <c r="D106" s="841">
        <v>4</v>
      </c>
      <c r="E106" s="839"/>
      <c r="F106" s="841"/>
      <c r="G106" s="839"/>
      <c r="H106" s="857"/>
      <c r="I106" s="839"/>
      <c r="J106" s="852" t="str">
        <f>+J36</f>
        <v>5/4</v>
      </c>
      <c r="K106" s="839"/>
      <c r="L106" s="857"/>
      <c r="M106" s="839"/>
      <c r="N106" s="852" t="str">
        <f>+N36</f>
        <v xml:space="preserve"> 5/2</v>
      </c>
      <c r="O106" s="839"/>
      <c r="P106" s="857"/>
      <c r="Q106" s="839"/>
      <c r="R106" s="852" t="str">
        <f>+R36</f>
        <v xml:space="preserve"> 5/1</v>
      </c>
      <c r="S106" s="839"/>
      <c r="T106" s="858"/>
      <c r="U106" s="839"/>
      <c r="V106" s="852" t="str">
        <f>+V36</f>
        <v>4/30</v>
      </c>
      <c r="W106" s="839"/>
      <c r="X106" s="858"/>
      <c r="Y106" s="839"/>
      <c r="Z106" s="852" t="str">
        <f>+Z36</f>
        <v>4/29</v>
      </c>
      <c r="AA106" s="839"/>
      <c r="AB106" s="858"/>
      <c r="AC106" s="839"/>
      <c r="AD106" s="852" t="str">
        <f>+AD36</f>
        <v>4/29</v>
      </c>
      <c r="AE106" s="839"/>
      <c r="AF106" s="858"/>
      <c r="AG106" s="839"/>
      <c r="AH106" s="852" t="str">
        <f>+AH36</f>
        <v>5/3</v>
      </c>
      <c r="AI106" s="839"/>
      <c r="AJ106" s="858">
        <v>-17</v>
      </c>
      <c r="AK106" s="839"/>
      <c r="AL106" s="852" t="str">
        <f>+AL36</f>
        <v>5/2</v>
      </c>
      <c r="AM106" s="839"/>
      <c r="AN106" s="858">
        <v>22</v>
      </c>
      <c r="AO106" s="839"/>
      <c r="AP106" s="852" t="str">
        <f>+AP36</f>
        <v>5/1</v>
      </c>
      <c r="AQ106" s="839"/>
      <c r="AR106" s="858">
        <v>0</v>
      </c>
      <c r="AS106" s="840"/>
      <c r="AT106" s="852" t="str">
        <f>+AT36</f>
        <v>4/29</v>
      </c>
      <c r="AU106" s="839"/>
      <c r="AV106" s="858">
        <v>15</v>
      </c>
      <c r="AW106" s="840"/>
      <c r="AX106" s="852" t="str">
        <f>+AX36</f>
        <v>5/5</v>
      </c>
      <c r="AY106" s="839"/>
      <c r="AZ106" s="858">
        <v>1</v>
      </c>
      <c r="BA106" s="840"/>
      <c r="BB106" s="852" t="str">
        <f>+BB36</f>
        <v>5/4</v>
      </c>
      <c r="BC106" s="839"/>
      <c r="BD106" s="858">
        <v>5</v>
      </c>
      <c r="BE106" s="840"/>
      <c r="BF106" s="854">
        <f>+BF36</f>
        <v>37744</v>
      </c>
      <c r="BG106" s="839"/>
      <c r="BH106" s="858">
        <v>2</v>
      </c>
      <c r="BI106" s="840"/>
      <c r="BJ106" s="854">
        <f>+BJ36</f>
        <v>38109</v>
      </c>
      <c r="BK106" s="839"/>
      <c r="BL106" s="858">
        <v>-7</v>
      </c>
      <c r="BM106" s="840"/>
      <c r="BN106" s="854">
        <f>+BN36</f>
        <v>38472</v>
      </c>
      <c r="BO106" s="839"/>
      <c r="BP106" s="858">
        <v>-10</v>
      </c>
      <c r="BQ106" s="840"/>
      <c r="BR106" s="854">
        <f>+BR36</f>
        <v>38471</v>
      </c>
      <c r="BS106" s="839"/>
      <c r="BT106" s="858">
        <v>4</v>
      </c>
      <c r="BU106" s="840"/>
      <c r="BV106" s="854">
        <f>+BV36</f>
        <v>39207</v>
      </c>
      <c r="BW106" s="839"/>
      <c r="BX106" s="858">
        <v>6</v>
      </c>
      <c r="BY106" s="840"/>
      <c r="BZ106" s="854"/>
      <c r="CA106" s="839"/>
      <c r="CB106" s="858"/>
      <c r="CC106" s="840"/>
      <c r="CD106" s="854"/>
      <c r="CE106" s="839"/>
      <c r="CF106" s="858"/>
      <c r="CG106" s="840"/>
      <c r="CH106" s="854"/>
      <c r="CI106" s="839"/>
      <c r="CJ106" s="858"/>
      <c r="CK106" s="840"/>
      <c r="CL106" s="854"/>
      <c r="CM106" s="839"/>
      <c r="CN106" s="858"/>
      <c r="CO106" s="840"/>
      <c r="CP106" s="854"/>
      <c r="CQ106" s="839"/>
      <c r="CR106" s="858"/>
      <c r="CS106" s="840"/>
      <c r="CT106" s="840"/>
      <c r="CU106" s="840"/>
      <c r="CV106" s="840"/>
      <c r="CW106" s="840"/>
      <c r="CX106" s="840"/>
      <c r="CY106" s="840"/>
      <c r="CZ106" s="840"/>
      <c r="DA106" s="840"/>
      <c r="DB106" s="840"/>
      <c r="DC106" s="840"/>
      <c r="DD106" s="840"/>
      <c r="DE106" s="840"/>
      <c r="DF106" s="840"/>
      <c r="DG106" s="840"/>
      <c r="DH106" s="840"/>
      <c r="DI106" s="840"/>
      <c r="DJ106" s="840"/>
      <c r="DK106" s="840"/>
      <c r="DL106" s="840"/>
      <c r="DM106" s="840"/>
      <c r="DN106" s="840"/>
      <c r="DO106" s="840"/>
      <c r="DP106" s="840"/>
      <c r="DQ106" s="840"/>
      <c r="DR106" s="840"/>
      <c r="DS106" s="840"/>
      <c r="DT106" s="840"/>
      <c r="DU106" s="840"/>
      <c r="DV106" s="840"/>
      <c r="DW106" s="840"/>
      <c r="DX106" s="859"/>
      <c r="DY106" s="859"/>
      <c r="DZ106" s="860"/>
      <c r="EA106" s="860"/>
      <c r="EB106" s="860"/>
      <c r="EC106" s="839"/>
      <c r="ED106" s="839"/>
      <c r="EE106" s="839"/>
      <c r="EF106" s="839"/>
      <c r="EG106" s="839"/>
      <c r="EH106" s="839"/>
      <c r="EI106" s="839"/>
      <c r="EJ106" s="839"/>
      <c r="EK106" s="839"/>
    </row>
    <row r="107" spans="1:149" hidden="1" outlineLevel="1">
      <c r="A107" s="861"/>
      <c r="B107" s="862" t="s">
        <v>921</v>
      </c>
      <c r="C107" s="861"/>
      <c r="D107" s="863"/>
      <c r="E107" s="861"/>
      <c r="F107" s="863"/>
      <c r="G107" s="861"/>
      <c r="H107" s="864"/>
      <c r="I107" s="861"/>
      <c r="J107" s="865"/>
      <c r="K107" s="861"/>
      <c r="L107" s="864"/>
      <c r="M107" s="861"/>
      <c r="N107" s="865"/>
      <c r="O107" s="861"/>
      <c r="P107" s="864"/>
      <c r="Q107" s="861"/>
      <c r="R107" s="865"/>
      <c r="S107" s="861"/>
      <c r="T107" s="866"/>
      <c r="U107" s="861"/>
      <c r="V107" s="865"/>
      <c r="W107" s="861"/>
      <c r="X107" s="866"/>
      <c r="Y107" s="861"/>
      <c r="Z107" s="865"/>
      <c r="AA107" s="861"/>
      <c r="AB107" s="866"/>
      <c r="AC107" s="861"/>
      <c r="AD107" s="865"/>
      <c r="AE107" s="861"/>
      <c r="AF107" s="866"/>
      <c r="AG107" s="861"/>
      <c r="AH107" s="865"/>
      <c r="AI107" s="861"/>
      <c r="AJ107" s="866">
        <v>-14</v>
      </c>
      <c r="AK107" s="861"/>
      <c r="AL107" s="865"/>
      <c r="AM107" s="861"/>
      <c r="AN107" s="866">
        <v>7</v>
      </c>
      <c r="AO107" s="861"/>
      <c r="AP107" s="865"/>
      <c r="AQ107" s="861"/>
      <c r="AR107" s="866">
        <v>10</v>
      </c>
      <c r="AS107" s="862"/>
      <c r="AT107" s="865"/>
      <c r="AU107" s="861"/>
      <c r="AV107" s="866">
        <v>10</v>
      </c>
      <c r="AW107" s="862"/>
      <c r="AX107" s="865"/>
      <c r="AY107" s="861"/>
      <c r="AZ107" s="866">
        <v>0</v>
      </c>
      <c r="BA107" s="862"/>
      <c r="BB107" s="865"/>
      <c r="BC107" s="861"/>
      <c r="BD107" s="866">
        <v>8</v>
      </c>
      <c r="BE107" s="862"/>
      <c r="BF107" s="867"/>
      <c r="BG107" s="861"/>
      <c r="BH107" s="866">
        <v>-3</v>
      </c>
      <c r="BI107" s="862"/>
      <c r="BJ107" s="867"/>
      <c r="BK107" s="861"/>
      <c r="BL107" s="866">
        <v>0</v>
      </c>
      <c r="BM107" s="862"/>
      <c r="BN107" s="867"/>
      <c r="BO107" s="861"/>
      <c r="BP107" s="866">
        <v>-18</v>
      </c>
      <c r="BQ107" s="862"/>
      <c r="BR107" s="867"/>
      <c r="BS107" s="861"/>
      <c r="BT107" s="866">
        <v>1</v>
      </c>
      <c r="BU107" s="862"/>
      <c r="BV107" s="867"/>
      <c r="BW107" s="861"/>
      <c r="BX107" s="866">
        <v>5</v>
      </c>
      <c r="BY107" s="862"/>
      <c r="BZ107" s="867"/>
      <c r="CA107" s="861"/>
      <c r="CB107" s="866"/>
      <c r="CC107" s="862"/>
      <c r="CD107" s="867"/>
      <c r="CE107" s="861"/>
      <c r="CF107" s="866"/>
      <c r="CG107" s="862"/>
      <c r="CH107" s="867"/>
      <c r="CI107" s="861"/>
      <c r="CJ107" s="866"/>
      <c r="CK107" s="862"/>
      <c r="CL107" s="867"/>
      <c r="CM107" s="861"/>
      <c r="CN107" s="866"/>
      <c r="CO107" s="862"/>
      <c r="CP107" s="867"/>
      <c r="CQ107" s="861"/>
      <c r="CR107" s="866"/>
      <c r="CS107" s="862"/>
      <c r="CT107" s="868"/>
      <c r="CU107" s="868"/>
      <c r="CV107" s="868"/>
      <c r="CW107" s="868"/>
      <c r="CX107" s="868"/>
      <c r="CY107" s="868"/>
      <c r="CZ107" s="868"/>
      <c r="DA107" s="868"/>
      <c r="DB107" s="868"/>
      <c r="DC107" s="868"/>
      <c r="DD107" s="868"/>
      <c r="DE107" s="868"/>
      <c r="DF107" s="868"/>
      <c r="DG107" s="868"/>
      <c r="DH107" s="868"/>
      <c r="DI107" s="868"/>
      <c r="DJ107" s="868"/>
      <c r="DK107" s="868"/>
      <c r="DL107" s="868"/>
      <c r="DM107" s="868"/>
      <c r="DN107" s="868"/>
      <c r="DO107" s="868"/>
      <c r="DP107" s="868"/>
      <c r="DQ107" s="868"/>
      <c r="DR107" s="868"/>
      <c r="DS107" s="868"/>
      <c r="DT107" s="868"/>
      <c r="DU107" s="868"/>
      <c r="DV107" s="868"/>
      <c r="DW107" s="868"/>
      <c r="DX107" s="855"/>
      <c r="DY107" s="855"/>
      <c r="DZ107" s="869">
        <f>+('segSales&amp;OM'!AJ59+'segSales&amp;OM'!AK59)/'segSales&amp;OM'!AP59</f>
        <v>0.71928407345391143</v>
      </c>
      <c r="EA107" s="869">
        <f>+'segSales&amp;OM'!AO59/'segSales&amp;OM'!AP59</f>
        <v>0.28071592654608857</v>
      </c>
      <c r="EB107" s="870">
        <f>+DZ107+EA107</f>
        <v>1</v>
      </c>
      <c r="EC107" s="839"/>
      <c r="ED107" s="839"/>
      <c r="EE107" s="839"/>
      <c r="EF107" s="839"/>
      <c r="EG107" s="839"/>
      <c r="EH107" s="839"/>
      <c r="EI107" s="839"/>
      <c r="EJ107" s="839"/>
      <c r="EK107" s="839"/>
    </row>
    <row r="108" spans="1:149" hidden="1" outlineLevel="1">
      <c r="A108" s="871"/>
      <c r="B108" s="871"/>
      <c r="C108" s="871"/>
      <c r="D108" s="872"/>
      <c r="E108" s="871"/>
      <c r="F108" s="873"/>
      <c r="G108" s="871"/>
      <c r="H108" s="871"/>
      <c r="I108" s="871"/>
      <c r="J108" s="874"/>
      <c r="K108" s="871"/>
      <c r="L108" s="871"/>
      <c r="M108" s="871"/>
      <c r="N108" s="874"/>
      <c r="O108" s="871"/>
      <c r="P108" s="871"/>
      <c r="Q108" s="871"/>
      <c r="R108" s="874"/>
      <c r="S108" s="871"/>
      <c r="T108" s="871"/>
      <c r="U108" s="871"/>
      <c r="V108" s="874"/>
      <c r="W108" s="871"/>
      <c r="X108" s="871"/>
      <c r="Y108" s="871"/>
      <c r="Z108" s="874"/>
      <c r="AA108" s="871"/>
      <c r="AB108" s="871"/>
      <c r="AC108" s="871"/>
      <c r="AD108" s="874"/>
      <c r="AE108" s="871"/>
      <c r="AF108" s="871"/>
      <c r="AG108" s="871"/>
      <c r="AH108" s="874"/>
      <c r="AI108" s="871"/>
      <c r="AJ108" s="871"/>
      <c r="AK108" s="871"/>
      <c r="AL108" s="874"/>
      <c r="AM108" s="871"/>
      <c r="AN108" s="871"/>
      <c r="AO108" s="871"/>
      <c r="AP108" s="874"/>
      <c r="AQ108" s="871"/>
      <c r="AR108" s="871"/>
      <c r="AS108" s="871"/>
      <c r="AT108" s="874"/>
      <c r="AU108" s="871"/>
      <c r="AV108" s="871"/>
      <c r="AW108" s="871"/>
      <c r="AX108" s="874"/>
      <c r="AY108" s="871"/>
      <c r="AZ108" s="871"/>
      <c r="BA108" s="871"/>
      <c r="BB108" s="874"/>
      <c r="BC108" s="871"/>
      <c r="BD108" s="871"/>
      <c r="BE108" s="871"/>
      <c r="BF108" s="875"/>
      <c r="BG108" s="871"/>
      <c r="BH108" s="871"/>
      <c r="BI108" s="871"/>
      <c r="BJ108" s="875"/>
      <c r="BK108" s="871"/>
      <c r="BL108" s="871"/>
      <c r="BM108" s="871"/>
      <c r="BN108" s="875"/>
      <c r="BO108" s="871"/>
      <c r="BP108" s="871"/>
      <c r="BQ108" s="871"/>
      <c r="BR108" s="875"/>
      <c r="BS108" s="871"/>
      <c r="BT108" s="871"/>
      <c r="BU108" s="871"/>
      <c r="BV108" s="875"/>
      <c r="BW108" s="871"/>
      <c r="BX108" s="871"/>
      <c r="BY108" s="871"/>
      <c r="BZ108" s="875"/>
      <c r="CA108" s="871"/>
      <c r="CB108" s="871"/>
      <c r="CC108" s="871"/>
      <c r="CD108" s="875"/>
      <c r="CE108" s="871"/>
      <c r="CF108" s="871"/>
      <c r="CG108" s="871"/>
      <c r="CH108" s="875"/>
      <c r="CI108" s="871"/>
      <c r="CJ108" s="871"/>
      <c r="CK108" s="871"/>
      <c r="CL108" s="875"/>
      <c r="CM108" s="871"/>
      <c r="CN108" s="871"/>
      <c r="CO108" s="871"/>
      <c r="CP108" s="875"/>
      <c r="CQ108" s="871"/>
      <c r="CR108" s="871"/>
      <c r="CS108" s="871"/>
      <c r="CT108" s="876"/>
      <c r="CU108" s="876"/>
      <c r="CV108" s="876"/>
      <c r="CW108" s="876"/>
      <c r="CX108" s="876"/>
      <c r="CY108" s="876"/>
      <c r="CZ108" s="876"/>
      <c r="DA108" s="876"/>
      <c r="DB108" s="876"/>
      <c r="DC108" s="876"/>
      <c r="DD108" s="876"/>
      <c r="DE108" s="876"/>
      <c r="DF108" s="876"/>
      <c r="DG108" s="876"/>
      <c r="DH108" s="876"/>
      <c r="DI108" s="876"/>
      <c r="DJ108" s="876"/>
      <c r="DK108" s="876"/>
      <c r="DL108" s="876"/>
      <c r="DM108" s="876"/>
      <c r="DN108" s="876"/>
      <c r="DO108" s="876"/>
      <c r="DP108" s="876"/>
      <c r="DQ108" s="876"/>
      <c r="DR108" s="876"/>
      <c r="DS108" s="876"/>
      <c r="DT108" s="876"/>
      <c r="DU108" s="876"/>
      <c r="DV108" s="876"/>
      <c r="DW108" s="876"/>
      <c r="DX108" s="869"/>
      <c r="DY108" s="869"/>
      <c r="DZ108" s="839"/>
      <c r="EA108" s="839"/>
      <c r="EB108" s="839"/>
      <c r="EC108" s="839"/>
      <c r="ED108" s="839"/>
      <c r="EE108" s="839"/>
      <c r="EF108" s="839"/>
      <c r="EG108" s="839"/>
      <c r="EH108" s="839"/>
      <c r="EI108" s="870"/>
      <c r="EJ108" s="870"/>
      <c r="EK108" s="870"/>
    </row>
    <row r="109" spans="1:149" hidden="1" outlineLevel="1">
      <c r="A109" s="840" t="s">
        <v>831</v>
      </c>
      <c r="B109" s="839"/>
      <c r="C109" s="839"/>
      <c r="D109" s="877">
        <f>+D104</f>
        <v>4</v>
      </c>
      <c r="E109" s="839"/>
      <c r="F109" s="856"/>
      <c r="G109" s="839"/>
      <c r="H109" s="851"/>
      <c r="I109" s="839" t="s">
        <v>1084</v>
      </c>
      <c r="J109" s="852" t="str">
        <f>+J39</f>
        <v>6/1</v>
      </c>
      <c r="K109" s="839"/>
      <c r="L109" s="851"/>
      <c r="M109" s="839" t="s">
        <v>1084</v>
      </c>
      <c r="N109" s="852" t="str">
        <f>+N39</f>
        <v xml:space="preserve"> 5/30</v>
      </c>
      <c r="O109" s="839"/>
      <c r="P109" s="851"/>
      <c r="Q109" s="839" t="s">
        <v>1084</v>
      </c>
      <c r="R109" s="852" t="str">
        <f>+R39</f>
        <v xml:space="preserve"> 5/29</v>
      </c>
      <c r="S109" s="839"/>
      <c r="T109" s="853"/>
      <c r="U109" s="839" t="s">
        <v>1084</v>
      </c>
      <c r="V109" s="852" t="str">
        <f>+V39</f>
        <v>5/28</v>
      </c>
      <c r="W109" s="839"/>
      <c r="X109" s="853"/>
      <c r="Y109" s="839" t="s">
        <v>1084</v>
      </c>
      <c r="Z109" s="852" t="str">
        <f>+Z39</f>
        <v>5/27</v>
      </c>
      <c r="AA109" s="839"/>
      <c r="AB109" s="853"/>
      <c r="AC109" s="839" t="s">
        <v>1084</v>
      </c>
      <c r="AD109" s="852" t="str">
        <f>+AD39</f>
        <v>6/1</v>
      </c>
      <c r="AE109" s="839"/>
      <c r="AF109" s="853"/>
      <c r="AG109" s="839" t="s">
        <v>1084</v>
      </c>
      <c r="AH109" s="852" t="str">
        <f>+AH39</f>
        <v>5/31</v>
      </c>
      <c r="AI109" s="839"/>
      <c r="AJ109" s="853">
        <v>-18</v>
      </c>
      <c r="AK109" s="839" t="s">
        <v>1084</v>
      </c>
      <c r="AL109" s="852" t="str">
        <f>+AL39</f>
        <v>5/30</v>
      </c>
      <c r="AM109" s="839"/>
      <c r="AN109" s="853">
        <v>12</v>
      </c>
      <c r="AO109" s="839" t="s">
        <v>1084</v>
      </c>
      <c r="AP109" s="852" t="str">
        <f>+AP39</f>
        <v>5/29</v>
      </c>
      <c r="AQ109" s="839"/>
      <c r="AR109" s="853">
        <v>7</v>
      </c>
      <c r="AS109" s="839" t="s">
        <v>1084</v>
      </c>
      <c r="AT109" s="852" t="str">
        <f>+AT39</f>
        <v>5/27</v>
      </c>
      <c r="AU109" s="839"/>
      <c r="AV109" s="853">
        <v>7</v>
      </c>
      <c r="AW109" s="839" t="s">
        <v>1084</v>
      </c>
      <c r="AX109" s="852" t="str">
        <f>+AX39</f>
        <v>6/2</v>
      </c>
      <c r="AY109" s="839"/>
      <c r="AZ109" s="853">
        <v>-7</v>
      </c>
      <c r="BA109" s="839" t="s">
        <v>1084</v>
      </c>
      <c r="BB109" s="852" t="str">
        <f>+BB39</f>
        <v>6/1</v>
      </c>
      <c r="BC109" s="839"/>
      <c r="BD109" s="853">
        <v>10</v>
      </c>
      <c r="BE109" s="839" t="s">
        <v>1084</v>
      </c>
      <c r="BF109" s="854">
        <f>+BF39</f>
        <v>37772</v>
      </c>
      <c r="BG109" s="839"/>
      <c r="BH109" s="853">
        <v>-1</v>
      </c>
      <c r="BI109" s="839" t="s">
        <v>1084</v>
      </c>
      <c r="BJ109" s="854">
        <f>+BJ39</f>
        <v>38137</v>
      </c>
      <c r="BK109" s="839"/>
      <c r="BL109" s="853">
        <v>-3</v>
      </c>
      <c r="BM109" s="839" t="s">
        <v>1084</v>
      </c>
      <c r="BN109" s="854">
        <f>+BN39</f>
        <v>38500</v>
      </c>
      <c r="BO109" s="839"/>
      <c r="BP109" s="853">
        <v>-5</v>
      </c>
      <c r="BQ109" s="839" t="s">
        <v>1084</v>
      </c>
      <c r="BR109" s="854">
        <f>+BR39</f>
        <v>38499</v>
      </c>
      <c r="BS109" s="839"/>
      <c r="BT109" s="853">
        <v>-9</v>
      </c>
      <c r="BU109" s="839" t="s">
        <v>1084</v>
      </c>
      <c r="BV109" s="854">
        <f>+BV39</f>
        <v>39235</v>
      </c>
      <c r="BW109" s="839"/>
      <c r="BX109" s="853">
        <v>5</v>
      </c>
      <c r="BY109" s="839" t="s">
        <v>1084</v>
      </c>
      <c r="BZ109" s="854"/>
      <c r="CA109" s="839"/>
      <c r="CB109" s="853"/>
      <c r="CC109" s="839"/>
      <c r="CD109" s="854"/>
      <c r="CE109" s="839"/>
      <c r="CF109" s="853"/>
      <c r="CG109" s="839"/>
      <c r="CH109" s="854"/>
      <c r="CI109" s="839"/>
      <c r="CJ109" s="853"/>
      <c r="CK109" s="839"/>
      <c r="CL109" s="854"/>
      <c r="CM109" s="839"/>
      <c r="CN109" s="853"/>
      <c r="CO109" s="839"/>
      <c r="CP109" s="854"/>
      <c r="CQ109" s="839"/>
      <c r="CR109" s="853"/>
      <c r="CS109" s="839"/>
      <c r="CT109" s="839"/>
      <c r="CU109" s="839"/>
      <c r="CV109" s="839"/>
      <c r="CW109" s="839"/>
      <c r="CX109" s="839"/>
      <c r="CY109" s="839"/>
      <c r="CZ109" s="839"/>
      <c r="DA109" s="839"/>
      <c r="DB109" s="839"/>
      <c r="DC109" s="839"/>
      <c r="DD109" s="839"/>
      <c r="DE109" s="839"/>
      <c r="DF109" s="839"/>
      <c r="DG109" s="839"/>
      <c r="DH109" s="839"/>
      <c r="DI109" s="839"/>
      <c r="DJ109" s="839"/>
      <c r="DK109" s="839"/>
      <c r="DL109" s="839"/>
      <c r="DM109" s="839"/>
      <c r="DN109" s="839"/>
      <c r="DO109" s="839"/>
      <c r="DP109" s="839"/>
      <c r="DQ109" s="839"/>
      <c r="DR109" s="839"/>
      <c r="DS109" s="839"/>
      <c r="DT109" s="839"/>
      <c r="DU109" s="839"/>
      <c r="DV109" s="839"/>
      <c r="DW109" s="839"/>
      <c r="DX109" s="839"/>
      <c r="DY109" s="839"/>
      <c r="DZ109" s="839"/>
      <c r="EA109" s="839"/>
      <c r="EB109" s="839"/>
      <c r="EC109" s="839"/>
      <c r="ED109" s="839"/>
      <c r="EE109" s="839"/>
      <c r="EF109" s="839"/>
      <c r="EG109" s="839"/>
      <c r="EH109" s="839"/>
      <c r="EI109" s="839"/>
      <c r="EJ109" s="839"/>
      <c r="EK109" s="839"/>
    </row>
    <row r="110" spans="1:149" hidden="1" outlineLevel="1">
      <c r="A110" s="840" t="s">
        <v>652</v>
      </c>
      <c r="B110" s="839"/>
      <c r="C110" s="839"/>
      <c r="D110" s="877">
        <f>+D105</f>
        <v>5</v>
      </c>
      <c r="E110" s="839"/>
      <c r="F110" s="841"/>
      <c r="G110" s="839"/>
      <c r="H110" s="851"/>
      <c r="I110" s="839"/>
      <c r="J110" s="852" t="str">
        <f>+J40</f>
        <v>7/6</v>
      </c>
      <c r="K110" s="839"/>
      <c r="L110" s="851"/>
      <c r="M110" s="839"/>
      <c r="N110" s="852" t="str">
        <f>+N40</f>
        <v xml:space="preserve"> 7/4</v>
      </c>
      <c r="O110" s="839"/>
      <c r="P110" s="851"/>
      <c r="Q110" s="839"/>
      <c r="R110" s="852" t="str">
        <f>+R40</f>
        <v xml:space="preserve"> 7/3</v>
      </c>
      <c r="S110" s="839"/>
      <c r="T110" s="853"/>
      <c r="U110" s="839"/>
      <c r="V110" s="852" t="str">
        <f>+V40</f>
        <v>7/2</v>
      </c>
      <c r="W110" s="839"/>
      <c r="X110" s="853"/>
      <c r="Y110" s="839"/>
      <c r="Z110" s="852" t="str">
        <f>+Z40</f>
        <v>7/1</v>
      </c>
      <c r="AA110" s="839"/>
      <c r="AB110" s="853"/>
      <c r="AC110" s="839"/>
      <c r="AD110" s="852" t="str">
        <f>+AD40</f>
        <v>7/6</v>
      </c>
      <c r="AE110" s="839"/>
      <c r="AF110" s="853"/>
      <c r="AG110" s="839"/>
      <c r="AH110" s="852" t="str">
        <f>+AH40</f>
        <v>7/5</v>
      </c>
      <c r="AI110" s="839"/>
      <c r="AJ110" s="853">
        <v>-10</v>
      </c>
      <c r="AK110" s="839"/>
      <c r="AL110" s="852" t="str">
        <f>+AL40</f>
        <v>7/4</v>
      </c>
      <c r="AM110" s="839"/>
      <c r="AN110" s="853">
        <v>-1</v>
      </c>
      <c r="AO110" s="839"/>
      <c r="AP110" s="852" t="str">
        <f>+AP40</f>
        <v>7/3</v>
      </c>
      <c r="AQ110" s="839"/>
      <c r="AR110" s="853">
        <v>11</v>
      </c>
      <c r="AS110" s="839"/>
      <c r="AT110" s="852" t="str">
        <f>+AT40</f>
        <v>7/1</v>
      </c>
      <c r="AU110" s="839"/>
      <c r="AV110" s="853">
        <v>7</v>
      </c>
      <c r="AW110" s="839"/>
      <c r="AX110" s="852" t="str">
        <f>+AX40</f>
        <v>7/7</v>
      </c>
      <c r="AY110" s="839"/>
      <c r="AZ110" s="853">
        <v>-5</v>
      </c>
      <c r="BA110" s="839"/>
      <c r="BB110" s="852" t="str">
        <f>+BB40</f>
        <v>7/6</v>
      </c>
      <c r="BC110" s="839"/>
      <c r="BD110" s="853">
        <v>8</v>
      </c>
      <c r="BE110" s="839"/>
      <c r="BF110" s="854">
        <f>+BF40</f>
        <v>37807</v>
      </c>
      <c r="BG110" s="839"/>
      <c r="BH110" s="853">
        <v>9</v>
      </c>
      <c r="BI110" s="839"/>
      <c r="BJ110" s="854">
        <f>+BJ40</f>
        <v>38172</v>
      </c>
      <c r="BK110" s="839"/>
      <c r="BL110" s="853">
        <v>11</v>
      </c>
      <c r="BM110" s="839"/>
      <c r="BN110" s="854">
        <f>+BN40</f>
        <v>38535</v>
      </c>
      <c r="BO110" s="839"/>
      <c r="BP110" s="853">
        <v>-14</v>
      </c>
      <c r="BQ110" s="839"/>
      <c r="BR110" s="854">
        <f>+BR40</f>
        <v>38534</v>
      </c>
      <c r="BS110" s="839"/>
      <c r="BT110" s="853">
        <v>-9</v>
      </c>
      <c r="BU110" s="839"/>
      <c r="BV110" s="854">
        <f>+BV40</f>
        <v>39270</v>
      </c>
      <c r="BW110" s="839"/>
      <c r="BX110" s="853">
        <v>6</v>
      </c>
      <c r="BY110" s="839"/>
      <c r="BZ110" s="854"/>
      <c r="CA110" s="839"/>
      <c r="CB110" s="853"/>
      <c r="CC110" s="839"/>
      <c r="CD110" s="854"/>
      <c r="CE110" s="839"/>
      <c r="CF110" s="853"/>
      <c r="CG110" s="839"/>
      <c r="CH110" s="854"/>
      <c r="CI110" s="839"/>
      <c r="CJ110" s="853"/>
      <c r="CK110" s="839"/>
      <c r="CL110" s="854"/>
      <c r="CM110" s="839"/>
      <c r="CN110" s="853"/>
      <c r="CO110" s="839"/>
      <c r="CP110" s="854"/>
      <c r="CQ110" s="839"/>
      <c r="CR110" s="853"/>
      <c r="CS110" s="839"/>
      <c r="CT110" s="839"/>
      <c r="CU110" s="839"/>
      <c r="CV110" s="839"/>
      <c r="CW110" s="839"/>
      <c r="CX110" s="839"/>
      <c r="CY110" s="839"/>
      <c r="CZ110" s="839"/>
      <c r="DA110" s="839"/>
      <c r="DB110" s="839"/>
      <c r="DC110" s="839"/>
      <c r="DD110" s="839"/>
      <c r="DE110" s="839"/>
      <c r="DF110" s="839"/>
      <c r="DG110" s="839"/>
      <c r="DH110" s="839"/>
      <c r="DI110" s="839"/>
      <c r="DJ110" s="839"/>
      <c r="DK110" s="839"/>
      <c r="DL110" s="839"/>
      <c r="DM110" s="839"/>
      <c r="DN110" s="839"/>
      <c r="DO110" s="839"/>
      <c r="DP110" s="839"/>
      <c r="DQ110" s="839"/>
      <c r="DR110" s="839"/>
      <c r="DS110" s="839"/>
      <c r="DT110" s="839"/>
      <c r="DU110" s="839"/>
      <c r="DV110" s="839"/>
      <c r="DW110" s="839"/>
      <c r="DX110" s="839"/>
      <c r="DY110" s="839"/>
      <c r="DZ110" s="839"/>
      <c r="EA110" s="839"/>
      <c r="EB110" s="839"/>
      <c r="EC110" s="839"/>
      <c r="ED110" s="839"/>
      <c r="EE110" s="839"/>
      <c r="EF110" s="839"/>
      <c r="EG110" s="839"/>
      <c r="EH110" s="839"/>
      <c r="EI110" s="839"/>
      <c r="EJ110" s="839"/>
      <c r="EK110" s="839"/>
    </row>
    <row r="111" spans="1:149" hidden="1" outlineLevel="1">
      <c r="A111" s="840" t="s">
        <v>653</v>
      </c>
      <c r="B111" s="839"/>
      <c r="C111" s="839"/>
      <c r="D111" s="877">
        <f>+D106</f>
        <v>4</v>
      </c>
      <c r="E111" s="839"/>
      <c r="F111" s="841"/>
      <c r="G111" s="839"/>
      <c r="H111" s="857"/>
      <c r="I111" s="839"/>
      <c r="J111" s="852" t="str">
        <f>+J41</f>
        <v>8/3</v>
      </c>
      <c r="K111" s="839"/>
      <c r="L111" s="857"/>
      <c r="M111" s="839"/>
      <c r="N111" s="852" t="str">
        <f>+N41</f>
        <v xml:space="preserve"> 8/1</v>
      </c>
      <c r="O111" s="839"/>
      <c r="P111" s="857"/>
      <c r="Q111" s="839"/>
      <c r="R111" s="852" t="str">
        <f>+R41</f>
        <v xml:space="preserve"> 7/31</v>
      </c>
      <c r="S111" s="839"/>
      <c r="T111" s="858"/>
      <c r="U111" s="839"/>
      <c r="V111" s="852" t="str">
        <f>+V41</f>
        <v>7/30</v>
      </c>
      <c r="W111" s="839"/>
      <c r="X111" s="858"/>
      <c r="Y111" s="839"/>
      <c r="Z111" s="852" t="str">
        <f>+Z41</f>
        <v>7/29</v>
      </c>
      <c r="AA111" s="839"/>
      <c r="AB111" s="858"/>
      <c r="AC111" s="839"/>
      <c r="AD111" s="852" t="str">
        <f>+AD41</f>
        <v>8/3</v>
      </c>
      <c r="AE111" s="839"/>
      <c r="AF111" s="858"/>
      <c r="AG111" s="839"/>
      <c r="AH111" s="852" t="str">
        <f>+AH41</f>
        <v>8/2</v>
      </c>
      <c r="AI111" s="839"/>
      <c r="AJ111" s="858">
        <v>-9</v>
      </c>
      <c r="AK111" s="839"/>
      <c r="AL111" s="852" t="str">
        <f>+AL41</f>
        <v>8/1</v>
      </c>
      <c r="AM111" s="839"/>
      <c r="AN111" s="858">
        <v>8</v>
      </c>
      <c r="AO111" s="839"/>
      <c r="AP111" s="852" t="str">
        <f>+AP41</f>
        <v>7/31</v>
      </c>
      <c r="AQ111" s="839"/>
      <c r="AR111" s="858">
        <v>9</v>
      </c>
      <c r="AS111" s="839"/>
      <c r="AT111" s="852" t="str">
        <f>+AT41</f>
        <v>7/29</v>
      </c>
      <c r="AU111" s="839"/>
      <c r="AV111" s="858">
        <v>2</v>
      </c>
      <c r="AW111" s="839"/>
      <c r="AX111" s="852" t="str">
        <f>+AX41</f>
        <v>8/4</v>
      </c>
      <c r="AY111" s="839"/>
      <c r="AZ111" s="858">
        <v>-6</v>
      </c>
      <c r="BA111" s="839"/>
      <c r="BB111" s="852" t="str">
        <f>+BB41</f>
        <v>8/3</v>
      </c>
      <c r="BC111" s="839"/>
      <c r="BD111" s="858">
        <v>1</v>
      </c>
      <c r="BE111" s="839"/>
      <c r="BF111" s="854">
        <f>+BF41</f>
        <v>37835</v>
      </c>
      <c r="BG111" s="839"/>
      <c r="BH111" s="858">
        <v>-4</v>
      </c>
      <c r="BI111" s="839"/>
      <c r="BJ111" s="854">
        <f>+BJ41</f>
        <v>38200</v>
      </c>
      <c r="BK111" s="839"/>
      <c r="BL111" s="858">
        <v>-5</v>
      </c>
      <c r="BM111" s="839"/>
      <c r="BN111" s="854">
        <f>+BN41</f>
        <v>38563</v>
      </c>
      <c r="BO111" s="839"/>
      <c r="BP111" s="858">
        <v>-8</v>
      </c>
      <c r="BQ111" s="839"/>
      <c r="BR111" s="854">
        <f>+BR41</f>
        <v>38562</v>
      </c>
      <c r="BS111" s="839"/>
      <c r="BT111" s="858">
        <v>-10</v>
      </c>
      <c r="BU111" s="839"/>
      <c r="BV111" s="854">
        <f>+BV41</f>
        <v>39298</v>
      </c>
      <c r="BW111" s="839"/>
      <c r="BX111" s="858">
        <v>10</v>
      </c>
      <c r="BY111" s="839"/>
      <c r="BZ111" s="854"/>
      <c r="CA111" s="839"/>
      <c r="CB111" s="858"/>
      <c r="CC111" s="839"/>
      <c r="CD111" s="854"/>
      <c r="CE111" s="839"/>
      <c r="CF111" s="858"/>
      <c r="CG111" s="839"/>
      <c r="CH111" s="854"/>
      <c r="CI111" s="839"/>
      <c r="CJ111" s="858"/>
      <c r="CK111" s="839"/>
      <c r="CL111" s="854"/>
      <c r="CM111" s="839"/>
      <c r="CN111" s="858"/>
      <c r="CO111" s="839"/>
      <c r="CP111" s="854"/>
      <c r="CQ111" s="839"/>
      <c r="CR111" s="858"/>
      <c r="CS111" s="839"/>
      <c r="CT111" s="839"/>
      <c r="CU111" s="839"/>
      <c r="CV111" s="839"/>
      <c r="CW111" s="839"/>
      <c r="CX111" s="839"/>
      <c r="CY111" s="839"/>
      <c r="CZ111" s="839"/>
      <c r="DA111" s="839"/>
      <c r="DB111" s="839"/>
      <c r="DC111" s="839"/>
      <c r="DD111" s="839"/>
      <c r="DE111" s="839"/>
      <c r="DF111" s="839"/>
      <c r="DG111" s="839"/>
      <c r="DH111" s="839"/>
      <c r="DI111" s="839"/>
      <c r="DJ111" s="839"/>
      <c r="DK111" s="839"/>
      <c r="DL111" s="839"/>
      <c r="DM111" s="839"/>
      <c r="DN111" s="839"/>
      <c r="DO111" s="839"/>
      <c r="DP111" s="839"/>
      <c r="DQ111" s="839"/>
      <c r="DR111" s="839"/>
      <c r="DS111" s="839"/>
      <c r="DT111" s="839"/>
      <c r="DU111" s="839"/>
      <c r="DV111" s="839"/>
      <c r="DW111" s="839"/>
      <c r="DX111" s="859"/>
      <c r="DY111" s="859"/>
      <c r="DZ111" s="860"/>
      <c r="EA111" s="860"/>
      <c r="EB111" s="860"/>
      <c r="EC111" s="839"/>
      <c r="ED111" s="839"/>
      <c r="EE111" s="839"/>
      <c r="EF111" s="839"/>
      <c r="EG111" s="839"/>
      <c r="EH111" s="839"/>
      <c r="EI111" s="839"/>
      <c r="EJ111" s="839"/>
      <c r="EK111" s="839"/>
    </row>
    <row r="112" spans="1:149" hidden="1" outlineLevel="1">
      <c r="A112" s="861"/>
      <c r="B112" s="862" t="s">
        <v>924</v>
      </c>
      <c r="C112" s="861"/>
      <c r="D112" s="863"/>
      <c r="E112" s="861"/>
      <c r="F112" s="863"/>
      <c r="G112" s="861"/>
      <c r="H112" s="864"/>
      <c r="I112" s="861"/>
      <c r="J112" s="863"/>
      <c r="K112" s="861"/>
      <c r="L112" s="864"/>
      <c r="M112" s="861"/>
      <c r="N112" s="863"/>
      <c r="O112" s="861"/>
      <c r="P112" s="864"/>
      <c r="Q112" s="861"/>
      <c r="R112" s="863"/>
      <c r="S112" s="861"/>
      <c r="T112" s="866"/>
      <c r="U112" s="861"/>
      <c r="V112" s="863"/>
      <c r="W112" s="861"/>
      <c r="X112" s="866"/>
      <c r="Y112" s="861"/>
      <c r="Z112" s="863"/>
      <c r="AA112" s="861"/>
      <c r="AB112" s="866"/>
      <c r="AC112" s="861"/>
      <c r="AD112" s="863"/>
      <c r="AE112" s="861"/>
      <c r="AF112" s="866"/>
      <c r="AG112" s="861"/>
      <c r="AH112" s="863"/>
      <c r="AI112" s="861"/>
      <c r="AJ112" s="866">
        <v>-12</v>
      </c>
      <c r="AK112" s="861"/>
      <c r="AL112" s="863"/>
      <c r="AM112" s="861"/>
      <c r="AN112" s="866">
        <v>6</v>
      </c>
      <c r="AO112" s="861"/>
      <c r="AP112" s="863"/>
      <c r="AQ112" s="861"/>
      <c r="AR112" s="866">
        <v>9</v>
      </c>
      <c r="AS112" s="861"/>
      <c r="AT112" s="863"/>
      <c r="AU112" s="861"/>
      <c r="AV112" s="866">
        <v>5</v>
      </c>
      <c r="AW112" s="861"/>
      <c r="AX112" s="863"/>
      <c r="AY112" s="861"/>
      <c r="AZ112" s="866">
        <v>-6</v>
      </c>
      <c r="BA112" s="861"/>
      <c r="BB112" s="863"/>
      <c r="BC112" s="861"/>
      <c r="BD112" s="866">
        <v>7</v>
      </c>
      <c r="BE112" s="861"/>
      <c r="BF112" s="867"/>
      <c r="BG112" s="861"/>
      <c r="BH112" s="866">
        <v>0</v>
      </c>
      <c r="BI112" s="861"/>
      <c r="BJ112" s="867"/>
      <c r="BK112" s="861"/>
      <c r="BL112" s="866">
        <v>2</v>
      </c>
      <c r="BM112" s="861"/>
      <c r="BN112" s="867"/>
      <c r="BO112" s="861"/>
      <c r="BP112" s="866">
        <v>-10</v>
      </c>
      <c r="BQ112" s="861"/>
      <c r="BR112" s="867"/>
      <c r="BS112" s="861"/>
      <c r="BT112" s="866">
        <v>-10</v>
      </c>
      <c r="BU112" s="861"/>
      <c r="BV112" s="867"/>
      <c r="BW112" s="861"/>
      <c r="BX112" s="866">
        <v>5</v>
      </c>
      <c r="BY112" s="861"/>
      <c r="BZ112" s="867"/>
      <c r="CA112" s="861"/>
      <c r="CB112" s="866"/>
      <c r="CC112" s="861"/>
      <c r="CD112" s="867"/>
      <c r="CE112" s="861"/>
      <c r="CF112" s="866"/>
      <c r="CG112" s="861"/>
      <c r="CH112" s="867"/>
      <c r="CI112" s="861"/>
      <c r="CJ112" s="866"/>
      <c r="CK112" s="861"/>
      <c r="CL112" s="867"/>
      <c r="CM112" s="861"/>
      <c r="CN112" s="866"/>
      <c r="CO112" s="861"/>
      <c r="CP112" s="867"/>
      <c r="CQ112" s="861"/>
      <c r="CR112" s="866"/>
      <c r="CS112" s="861"/>
      <c r="CT112" s="876"/>
      <c r="CU112" s="876"/>
      <c r="CV112" s="876"/>
      <c r="CW112" s="876"/>
      <c r="CX112" s="876"/>
      <c r="CY112" s="876"/>
      <c r="CZ112" s="876"/>
      <c r="DA112" s="876"/>
      <c r="DB112" s="876"/>
      <c r="DC112" s="876"/>
      <c r="DD112" s="876"/>
      <c r="DE112" s="876"/>
      <c r="DF112" s="876"/>
      <c r="DG112" s="876"/>
      <c r="DH112" s="876"/>
      <c r="DI112" s="876"/>
      <c r="DJ112" s="876"/>
      <c r="DK112" s="876"/>
      <c r="DL112" s="876"/>
      <c r="DM112" s="876"/>
      <c r="DN112" s="876"/>
      <c r="DO112" s="876"/>
      <c r="DP112" s="876"/>
      <c r="DQ112" s="876"/>
      <c r="DR112" s="876"/>
      <c r="DS112" s="876"/>
      <c r="DT112" s="876"/>
      <c r="DU112" s="876"/>
      <c r="DV112" s="876"/>
      <c r="DW112" s="876"/>
      <c r="DX112" s="839"/>
      <c r="DY112" s="839"/>
      <c r="DZ112" s="869">
        <f>+('segSales&amp;OM'!AJ60+'segSales&amp;OM'!AK60)/'segSales&amp;OM'!AP60</f>
        <v>0.72549288634040154</v>
      </c>
      <c r="EA112" s="869">
        <f>+'segSales&amp;OM'!AO60/'segSales&amp;OM'!AP60</f>
        <v>0.27450711365959846</v>
      </c>
      <c r="EB112" s="870">
        <f>+DZ112+EA112</f>
        <v>1</v>
      </c>
      <c r="EC112" s="839"/>
      <c r="ED112" s="839"/>
      <c r="EE112" s="839"/>
      <c r="EF112" s="839"/>
      <c r="EG112" s="839"/>
      <c r="EH112" s="839"/>
      <c r="EI112" s="839"/>
      <c r="EJ112" s="839"/>
      <c r="EK112" s="839"/>
    </row>
    <row r="113" spans="1:141" hidden="1" outlineLevel="1">
      <c r="A113" s="839"/>
      <c r="B113" s="839"/>
      <c r="C113" s="839"/>
      <c r="D113" s="877"/>
      <c r="E113" s="839"/>
      <c r="F113" s="842"/>
      <c r="G113" s="839"/>
      <c r="H113" s="839"/>
      <c r="I113" s="839"/>
      <c r="J113" s="842"/>
      <c r="K113" s="839"/>
      <c r="L113" s="839"/>
      <c r="M113" s="839"/>
      <c r="N113" s="842"/>
      <c r="O113" s="839"/>
      <c r="P113" s="839"/>
      <c r="Q113" s="839"/>
      <c r="R113" s="842"/>
      <c r="S113" s="839"/>
      <c r="T113" s="839"/>
      <c r="U113" s="839"/>
      <c r="V113" s="842"/>
      <c r="W113" s="839"/>
      <c r="X113" s="839"/>
      <c r="Y113" s="839"/>
      <c r="Z113" s="842"/>
      <c r="AA113" s="839"/>
      <c r="AB113" s="839"/>
      <c r="AC113" s="839"/>
      <c r="AD113" s="842"/>
      <c r="AE113" s="839"/>
      <c r="AF113" s="839"/>
      <c r="AG113" s="839"/>
      <c r="AH113" s="842"/>
      <c r="AI113" s="839"/>
      <c r="AJ113" s="839"/>
      <c r="AK113" s="839"/>
      <c r="AL113" s="842"/>
      <c r="AM113" s="839"/>
      <c r="AN113" s="839"/>
      <c r="AO113" s="839"/>
      <c r="AP113" s="842"/>
      <c r="AQ113" s="839"/>
      <c r="AR113" s="839"/>
      <c r="AS113" s="839"/>
      <c r="AT113" s="842"/>
      <c r="AU113" s="839"/>
      <c r="AV113" s="839"/>
      <c r="AW113" s="839"/>
      <c r="AX113" s="842"/>
      <c r="AY113" s="839"/>
      <c r="AZ113" s="839"/>
      <c r="BA113" s="839"/>
      <c r="BB113" s="842"/>
      <c r="BC113" s="839"/>
      <c r="BD113" s="839"/>
      <c r="BE113" s="839"/>
      <c r="BF113" s="879"/>
      <c r="BG113" s="839"/>
      <c r="BH113" s="839"/>
      <c r="BI113" s="839"/>
      <c r="BJ113" s="879"/>
      <c r="BK113" s="839"/>
      <c r="BL113" s="839"/>
      <c r="BM113" s="839"/>
      <c r="BN113" s="879"/>
      <c r="BO113" s="839"/>
      <c r="BP113" s="839"/>
      <c r="BQ113" s="839"/>
      <c r="BR113" s="879"/>
      <c r="BS113" s="839"/>
      <c r="BT113" s="839"/>
      <c r="BU113" s="839"/>
      <c r="BV113" s="879"/>
      <c r="BW113" s="839"/>
      <c r="BX113" s="839"/>
      <c r="BY113" s="839"/>
      <c r="BZ113" s="879"/>
      <c r="CA113" s="839"/>
      <c r="CB113" s="839"/>
      <c r="CC113" s="839"/>
      <c r="CD113" s="879"/>
      <c r="CE113" s="839"/>
      <c r="CF113" s="839"/>
      <c r="CG113" s="839"/>
      <c r="CH113" s="879"/>
      <c r="CI113" s="839"/>
      <c r="CJ113" s="839"/>
      <c r="CK113" s="839"/>
      <c r="CL113" s="879"/>
      <c r="CM113" s="839"/>
      <c r="CN113" s="839"/>
      <c r="CO113" s="839"/>
      <c r="CP113" s="879"/>
      <c r="CQ113" s="839"/>
      <c r="CR113" s="839"/>
      <c r="CS113" s="839"/>
      <c r="CT113" s="839"/>
      <c r="CU113" s="839"/>
      <c r="CV113" s="839"/>
      <c r="CW113" s="839"/>
      <c r="CX113" s="839"/>
      <c r="CY113" s="839"/>
      <c r="CZ113" s="839"/>
      <c r="DA113" s="839"/>
      <c r="DB113" s="839"/>
      <c r="DC113" s="839"/>
      <c r="DD113" s="839"/>
      <c r="DE113" s="839"/>
      <c r="DF113" s="839"/>
      <c r="DG113" s="839"/>
      <c r="DH113" s="839"/>
      <c r="DI113" s="839"/>
      <c r="DJ113" s="839"/>
      <c r="DK113" s="839"/>
      <c r="DL113" s="839"/>
      <c r="DM113" s="839"/>
      <c r="DN113" s="839"/>
      <c r="DO113" s="839"/>
      <c r="DP113" s="839"/>
      <c r="DQ113" s="839"/>
      <c r="DR113" s="839"/>
      <c r="DS113" s="839"/>
      <c r="DT113" s="839"/>
      <c r="DU113" s="839"/>
      <c r="DV113" s="839"/>
      <c r="DW113" s="839"/>
      <c r="DX113" s="839"/>
      <c r="DY113" s="839"/>
      <c r="DZ113" s="839"/>
      <c r="EA113" s="839"/>
      <c r="EB113" s="839"/>
      <c r="EC113" s="839"/>
      <c r="ED113" s="839"/>
      <c r="EE113" s="839"/>
      <c r="EF113" s="839"/>
      <c r="EG113" s="839"/>
      <c r="EH113" s="839"/>
      <c r="EI113" s="839"/>
      <c r="EJ113" s="839"/>
      <c r="EK113" s="839"/>
    </row>
    <row r="114" spans="1:141" hidden="1" outlineLevel="1">
      <c r="A114" s="840" t="s">
        <v>654</v>
      </c>
      <c r="B114" s="840"/>
      <c r="C114" s="839"/>
      <c r="D114" s="877">
        <f>+D109</f>
        <v>4</v>
      </c>
      <c r="E114" s="839"/>
      <c r="F114" s="856"/>
      <c r="G114" s="839"/>
      <c r="H114" s="851"/>
      <c r="I114" s="839" t="s">
        <v>1084</v>
      </c>
      <c r="J114" s="852" t="str">
        <f>+J44</f>
        <v>8/31</v>
      </c>
      <c r="K114" s="839"/>
      <c r="L114" s="851"/>
      <c r="M114" s="839" t="s">
        <v>1084</v>
      </c>
      <c r="N114" s="852" t="str">
        <f>+N44</f>
        <v xml:space="preserve"> 8/29</v>
      </c>
      <c r="O114" s="839"/>
      <c r="P114" s="851"/>
      <c r="Q114" s="839" t="s">
        <v>1084</v>
      </c>
      <c r="R114" s="852" t="str">
        <f>+R44</f>
        <v xml:space="preserve"> 8/28</v>
      </c>
      <c r="S114" s="839"/>
      <c r="T114" s="853"/>
      <c r="U114" s="839" t="s">
        <v>1084</v>
      </c>
      <c r="V114" s="852" t="str">
        <f>+V44</f>
        <v>8/27</v>
      </c>
      <c r="W114" s="839"/>
      <c r="X114" s="853"/>
      <c r="Y114" s="839" t="s">
        <v>1084</v>
      </c>
      <c r="Z114" s="852" t="str">
        <f>+Z44</f>
        <v>8/31</v>
      </c>
      <c r="AA114" s="839"/>
      <c r="AB114" s="853"/>
      <c r="AC114" s="839" t="s">
        <v>1084</v>
      </c>
      <c r="AD114" s="852" t="str">
        <f>+AD44</f>
        <v>8/31</v>
      </c>
      <c r="AE114" s="839"/>
      <c r="AF114" s="853"/>
      <c r="AG114" s="839" t="s">
        <v>1084</v>
      </c>
      <c r="AH114" s="852" t="str">
        <f>+AH44</f>
        <v>8/30</v>
      </c>
      <c r="AI114" s="839"/>
      <c r="AJ114" s="853">
        <v>0</v>
      </c>
      <c r="AK114" s="839" t="s">
        <v>1084</v>
      </c>
      <c r="AL114" s="852" t="str">
        <f>+AL44</f>
        <v>8/29</v>
      </c>
      <c r="AM114" s="839"/>
      <c r="AN114" s="853">
        <v>10</v>
      </c>
      <c r="AO114" s="839" t="s">
        <v>1084</v>
      </c>
      <c r="AP114" s="852" t="str">
        <f>+AP44</f>
        <v>8/28</v>
      </c>
      <c r="AQ114" s="839"/>
      <c r="AR114" s="853">
        <v>10</v>
      </c>
      <c r="AS114" s="839" t="s">
        <v>1084</v>
      </c>
      <c r="AT114" s="852" t="str">
        <f>+AT44</f>
        <v>8/26</v>
      </c>
      <c r="AU114" s="839"/>
      <c r="AV114" s="853">
        <v>7</v>
      </c>
      <c r="AW114" s="839" t="s">
        <v>1084</v>
      </c>
      <c r="AX114" s="852" t="str">
        <f>+AX44</f>
        <v>9/1</v>
      </c>
      <c r="AY114" s="839"/>
      <c r="AZ114" s="853">
        <v>-2</v>
      </c>
      <c r="BA114" s="839" t="s">
        <v>1084</v>
      </c>
      <c r="BB114" s="852" t="str">
        <f>+BB44</f>
        <v>8/31</v>
      </c>
      <c r="BC114" s="839"/>
      <c r="BD114" s="853">
        <v>1</v>
      </c>
      <c r="BE114" s="839" t="s">
        <v>1084</v>
      </c>
      <c r="BF114" s="854">
        <f>+BF44</f>
        <v>37863</v>
      </c>
      <c r="BG114" s="839"/>
      <c r="BH114" s="880">
        <f>+BH137*$DZ$117+BH206*$EA$117</f>
        <v>-10.777760575457316</v>
      </c>
      <c r="BI114" s="839" t="s">
        <v>1084</v>
      </c>
      <c r="BJ114" s="854">
        <f>+BJ44</f>
        <v>38228</v>
      </c>
      <c r="BK114" s="839"/>
      <c r="BL114" s="853">
        <v>-17</v>
      </c>
      <c r="BM114" s="839" t="s">
        <v>1084</v>
      </c>
      <c r="BN114" s="854">
        <f>+BN44</f>
        <v>38591</v>
      </c>
      <c r="BO114" s="839"/>
      <c r="BP114" s="853">
        <v>-6</v>
      </c>
      <c r="BQ114" s="839" t="s">
        <v>1084</v>
      </c>
      <c r="BR114" s="854">
        <f>+BR44</f>
        <v>38590</v>
      </c>
      <c r="BS114" s="839"/>
      <c r="BT114" s="853">
        <v>-5</v>
      </c>
      <c r="BU114" s="839" t="s">
        <v>1084</v>
      </c>
      <c r="BV114" s="854">
        <f>+BV44</f>
        <v>39326</v>
      </c>
      <c r="BW114" s="839"/>
      <c r="BX114" s="880">
        <f>+BX137*$DZ$117+BX206*$EA$117</f>
        <v>5.2222394245426829</v>
      </c>
      <c r="BY114" s="839" t="s">
        <v>1084</v>
      </c>
      <c r="BZ114" s="854"/>
      <c r="CA114" s="839"/>
      <c r="CB114" s="880"/>
      <c r="CC114" s="839"/>
      <c r="CD114" s="854"/>
      <c r="CE114" s="839"/>
      <c r="CF114" s="880"/>
      <c r="CG114" s="839"/>
      <c r="CH114" s="854"/>
      <c r="CI114" s="839"/>
      <c r="CJ114" s="880"/>
      <c r="CK114" s="839"/>
      <c r="CL114" s="854"/>
      <c r="CM114" s="839"/>
      <c r="CN114" s="880"/>
      <c r="CO114" s="839"/>
      <c r="CP114" s="854"/>
      <c r="CQ114" s="839"/>
      <c r="CR114" s="880"/>
      <c r="CS114" s="839"/>
      <c r="CT114" s="839"/>
      <c r="CU114" s="839"/>
      <c r="CV114" s="839"/>
      <c r="CW114" s="839"/>
      <c r="CX114" s="839"/>
      <c r="CY114" s="839"/>
      <c r="CZ114" s="839"/>
      <c r="DA114" s="839"/>
      <c r="DB114" s="839"/>
      <c r="DC114" s="839"/>
      <c r="DD114" s="839"/>
      <c r="DE114" s="839"/>
      <c r="DF114" s="839"/>
      <c r="DG114" s="839"/>
      <c r="DH114" s="839"/>
      <c r="DI114" s="839"/>
      <c r="DJ114" s="839"/>
      <c r="DK114" s="839"/>
      <c r="DL114" s="839"/>
      <c r="DM114" s="839"/>
      <c r="DN114" s="839"/>
      <c r="DO114" s="839"/>
      <c r="DP114" s="839"/>
      <c r="DQ114" s="839"/>
      <c r="DR114" s="839"/>
      <c r="DS114" s="839"/>
      <c r="DT114" s="839"/>
      <c r="DU114" s="839"/>
      <c r="DV114" s="839"/>
      <c r="DW114" s="839"/>
      <c r="DX114" s="839"/>
      <c r="DY114" s="839"/>
      <c r="DZ114" s="839"/>
      <c r="EA114" s="839"/>
      <c r="EB114" s="839"/>
      <c r="EC114" s="839"/>
      <c r="ED114" s="839"/>
      <c r="EE114" s="839"/>
      <c r="EF114" s="839"/>
      <c r="EG114" s="839"/>
      <c r="EH114" s="839"/>
      <c r="EI114" s="839"/>
      <c r="EJ114" s="839"/>
      <c r="EK114" s="839"/>
    </row>
    <row r="115" spans="1:141" hidden="1" outlineLevel="1">
      <c r="A115" s="840" t="s">
        <v>655</v>
      </c>
      <c r="B115" s="840"/>
      <c r="C115" s="839"/>
      <c r="D115" s="877">
        <f>+D110</f>
        <v>5</v>
      </c>
      <c r="E115" s="839"/>
      <c r="F115" s="841"/>
      <c r="G115" s="839"/>
      <c r="H115" s="851"/>
      <c r="I115" s="839"/>
      <c r="J115" s="852" t="str">
        <f>+J45</f>
        <v>10/5</v>
      </c>
      <c r="K115" s="839"/>
      <c r="L115" s="851"/>
      <c r="M115" s="839"/>
      <c r="N115" s="852" t="str">
        <f>+N45</f>
        <v>10/3</v>
      </c>
      <c r="O115" s="839"/>
      <c r="P115" s="851"/>
      <c r="Q115" s="839"/>
      <c r="R115" s="852" t="str">
        <f>+R45</f>
        <v>10/2</v>
      </c>
      <c r="S115" s="839"/>
      <c r="T115" s="853"/>
      <c r="U115" s="839"/>
      <c r="V115" s="852" t="str">
        <f>+V45</f>
        <v>10/1</v>
      </c>
      <c r="W115" s="839"/>
      <c r="X115" s="853"/>
      <c r="Y115" s="839"/>
      <c r="Z115" s="852" t="str">
        <f>+Z45</f>
        <v>9/30</v>
      </c>
      <c r="AA115" s="839"/>
      <c r="AB115" s="853"/>
      <c r="AC115" s="839"/>
      <c r="AD115" s="852" t="str">
        <f>+AD45</f>
        <v>10/5</v>
      </c>
      <c r="AE115" s="839"/>
      <c r="AF115" s="853"/>
      <c r="AG115" s="839"/>
      <c r="AH115" s="852" t="str">
        <f>+AH45</f>
        <v>10/4</v>
      </c>
      <c r="AI115" s="839"/>
      <c r="AJ115" s="853">
        <v>-16</v>
      </c>
      <c r="AK115" s="839"/>
      <c r="AL115" s="852" t="str">
        <f>+AL45</f>
        <v>10/3</v>
      </c>
      <c r="AM115" s="839"/>
      <c r="AN115" s="853">
        <v>4</v>
      </c>
      <c r="AO115" s="839"/>
      <c r="AP115" s="852" t="str">
        <f>+AP45</f>
        <v>10/2</v>
      </c>
      <c r="AQ115" s="839"/>
      <c r="AR115" s="853">
        <v>4</v>
      </c>
      <c r="AS115" s="839"/>
      <c r="AT115" s="852" t="str">
        <f>+AT45</f>
        <v>9/30</v>
      </c>
      <c r="AU115" s="839"/>
      <c r="AV115" s="853">
        <v>15</v>
      </c>
      <c r="AW115" s="839"/>
      <c r="AX115" s="852" t="str">
        <f>+AX45</f>
        <v>10/6</v>
      </c>
      <c r="AY115" s="839"/>
      <c r="AZ115" s="853">
        <v>-8</v>
      </c>
      <c r="BA115" s="839"/>
      <c r="BB115" s="852" t="str">
        <f>+BB45</f>
        <v>10/5</v>
      </c>
      <c r="BC115" s="839"/>
      <c r="BD115" s="853">
        <v>4</v>
      </c>
      <c r="BE115" s="839"/>
      <c r="BF115" s="854">
        <f>+BF45</f>
        <v>37898</v>
      </c>
      <c r="BG115" s="839"/>
      <c r="BH115" s="853">
        <v>13</v>
      </c>
      <c r="BI115" s="839"/>
      <c r="BJ115" s="854">
        <f>+BJ45</f>
        <v>38263</v>
      </c>
      <c r="BK115" s="839"/>
      <c r="BL115" s="853">
        <v>-25</v>
      </c>
      <c r="BM115" s="839"/>
      <c r="BN115" s="854">
        <f>+BN45</f>
        <v>38626</v>
      </c>
      <c r="BO115" s="839"/>
      <c r="BP115" s="880">
        <f>+BP138*$DZ$117+BP207*$EA$117</f>
        <v>-0.1852253239329269</v>
      </c>
      <c r="BQ115" s="839"/>
      <c r="BR115" s="854">
        <f>+BR45</f>
        <v>38625</v>
      </c>
      <c r="BS115" s="839"/>
      <c r="BT115" s="853">
        <v>2</v>
      </c>
      <c r="BU115" s="839"/>
      <c r="BV115" s="854">
        <f>+BV45</f>
        <v>39361</v>
      </c>
      <c r="BW115" s="839"/>
      <c r="BX115" s="880">
        <f>+BX138*$DZ$117+BX207*$EA$117</f>
        <v>4.4814929496951219</v>
      </c>
      <c r="BY115" s="839"/>
      <c r="BZ115" s="854"/>
      <c r="CA115" s="839"/>
      <c r="CB115" s="880"/>
      <c r="CC115" s="839"/>
      <c r="CD115" s="854"/>
      <c r="CE115" s="839"/>
      <c r="CF115" s="880"/>
      <c r="CG115" s="839"/>
      <c r="CH115" s="854"/>
      <c r="CI115" s="839"/>
      <c r="CJ115" s="880"/>
      <c r="CK115" s="839"/>
      <c r="CL115" s="854"/>
      <c r="CM115" s="839"/>
      <c r="CN115" s="880"/>
      <c r="CO115" s="839"/>
      <c r="CP115" s="854"/>
      <c r="CQ115" s="839"/>
      <c r="CR115" s="880"/>
      <c r="CS115" s="839"/>
      <c r="CT115" s="839"/>
      <c r="CU115" s="839"/>
      <c r="CV115" s="839"/>
      <c r="CW115" s="839"/>
      <c r="CX115" s="839"/>
      <c r="CY115" s="839"/>
      <c r="CZ115" s="839"/>
      <c r="DA115" s="839"/>
      <c r="DB115" s="839"/>
      <c r="DC115" s="839"/>
      <c r="DD115" s="839"/>
      <c r="DE115" s="839"/>
      <c r="DF115" s="839"/>
      <c r="DG115" s="839"/>
      <c r="DH115" s="839"/>
      <c r="DI115" s="839"/>
      <c r="DJ115" s="839"/>
      <c r="DK115" s="839"/>
      <c r="DL115" s="839"/>
      <c r="DM115" s="839"/>
      <c r="DN115" s="839"/>
      <c r="DO115" s="839"/>
      <c r="DP115" s="839"/>
      <c r="DQ115" s="839"/>
      <c r="DR115" s="839"/>
      <c r="DS115" s="839"/>
      <c r="DT115" s="839"/>
      <c r="DU115" s="839"/>
      <c r="DV115" s="839"/>
      <c r="DW115" s="839"/>
      <c r="DX115" s="839"/>
      <c r="DY115" s="839"/>
      <c r="DZ115" s="839"/>
      <c r="EA115" s="839"/>
      <c r="EB115" s="839"/>
      <c r="EC115" s="839"/>
      <c r="ED115" s="839"/>
      <c r="EE115" s="839"/>
      <c r="EF115" s="839"/>
      <c r="EG115" s="839"/>
      <c r="EH115" s="839"/>
      <c r="EI115" s="839"/>
      <c r="EJ115" s="839"/>
      <c r="EK115" s="839"/>
    </row>
    <row r="116" spans="1:141" hidden="1" outlineLevel="1">
      <c r="A116" s="840" t="s">
        <v>598</v>
      </c>
      <c r="B116" s="840"/>
      <c r="C116" s="839"/>
      <c r="D116" s="877">
        <f>+D111</f>
        <v>4</v>
      </c>
      <c r="E116" s="839"/>
      <c r="F116" s="841"/>
      <c r="G116" s="839"/>
      <c r="H116" s="857"/>
      <c r="I116" s="839"/>
      <c r="J116" s="852" t="str">
        <f>+J46</f>
        <v>11/2</v>
      </c>
      <c r="K116" s="839"/>
      <c r="L116" s="857"/>
      <c r="M116" s="839"/>
      <c r="N116" s="852" t="str">
        <f>+N46</f>
        <v>10/31</v>
      </c>
      <c r="O116" s="839"/>
      <c r="P116" s="857"/>
      <c r="Q116" s="839"/>
      <c r="R116" s="852" t="str">
        <f>+R46</f>
        <v>10/30</v>
      </c>
      <c r="S116" s="839"/>
      <c r="T116" s="858"/>
      <c r="U116" s="839"/>
      <c r="V116" s="852" t="str">
        <f>+V46</f>
        <v>10/29</v>
      </c>
      <c r="W116" s="839"/>
      <c r="X116" s="858"/>
      <c r="Y116" s="839"/>
      <c r="Z116" s="852" t="str">
        <f>+Z46</f>
        <v>10/28</v>
      </c>
      <c r="AA116" s="839"/>
      <c r="AB116" s="858"/>
      <c r="AC116" s="839"/>
      <c r="AD116" s="852" t="str">
        <f>+AD46</f>
        <v>11/2</v>
      </c>
      <c r="AE116" s="839"/>
      <c r="AF116" s="858"/>
      <c r="AG116" s="839"/>
      <c r="AH116" s="852" t="str">
        <f>+AH46</f>
        <v>11/1</v>
      </c>
      <c r="AI116" s="839"/>
      <c r="AJ116" s="858">
        <v>-10</v>
      </c>
      <c r="AK116" s="839"/>
      <c r="AL116" s="852" t="str">
        <f>+AL46</f>
        <v>10/31</v>
      </c>
      <c r="AM116" s="839"/>
      <c r="AN116" s="858">
        <v>2</v>
      </c>
      <c r="AO116" s="839"/>
      <c r="AP116" s="852" t="str">
        <f>+AP46</f>
        <v>10/30</v>
      </c>
      <c r="AQ116" s="839"/>
      <c r="AR116" s="858">
        <v>3</v>
      </c>
      <c r="AS116" s="839"/>
      <c r="AT116" s="852" t="str">
        <f>+AT46</f>
        <v>10/28</v>
      </c>
      <c r="AU116" s="839"/>
      <c r="AV116" s="858">
        <v>13</v>
      </c>
      <c r="AW116" s="839"/>
      <c r="AX116" s="852" t="str">
        <f>+AX46</f>
        <v>11/3</v>
      </c>
      <c r="AY116" s="839"/>
      <c r="AZ116" s="858">
        <v>-5</v>
      </c>
      <c r="BA116" s="839"/>
      <c r="BB116" s="852" t="str">
        <f>+BB46</f>
        <v>11/2</v>
      </c>
      <c r="BC116" s="839"/>
      <c r="BD116" s="858">
        <v>5</v>
      </c>
      <c r="BE116" s="839"/>
      <c r="BF116" s="854">
        <f>+BF46</f>
        <v>37926</v>
      </c>
      <c r="BG116" s="839"/>
      <c r="BH116" s="858">
        <v>-9</v>
      </c>
      <c r="BI116" s="839"/>
      <c r="BJ116" s="854">
        <f>+BJ46</f>
        <v>38291</v>
      </c>
      <c r="BK116" s="839"/>
      <c r="BL116" s="858">
        <v>13</v>
      </c>
      <c r="BM116" s="839"/>
      <c r="BN116" s="854">
        <f>+BN46</f>
        <v>38654</v>
      </c>
      <c r="BO116" s="839"/>
      <c r="BP116" s="858">
        <v>-8</v>
      </c>
      <c r="BQ116" s="839"/>
      <c r="BR116" s="854">
        <f>+BR46</f>
        <v>38653</v>
      </c>
      <c r="BS116" s="839"/>
      <c r="BT116" s="858">
        <v>0</v>
      </c>
      <c r="BU116" s="839"/>
      <c r="BV116" s="854">
        <f>+BV46</f>
        <v>39389</v>
      </c>
      <c r="BW116" s="839"/>
      <c r="BX116" s="881">
        <f>+BX139*$DZ$117+BX208*$EA$117</f>
        <v>4.259253525152439</v>
      </c>
      <c r="BY116" s="839"/>
      <c r="BZ116" s="854"/>
      <c r="CA116" s="839"/>
      <c r="CB116" s="881"/>
      <c r="CC116" s="839"/>
      <c r="CD116" s="854"/>
      <c r="CE116" s="839"/>
      <c r="CF116" s="881"/>
      <c r="CG116" s="839"/>
      <c r="CH116" s="854"/>
      <c r="CI116" s="839"/>
      <c r="CJ116" s="881"/>
      <c r="CK116" s="839"/>
      <c r="CL116" s="854"/>
      <c r="CM116" s="839"/>
      <c r="CN116" s="881"/>
      <c r="CO116" s="839"/>
      <c r="CP116" s="854"/>
      <c r="CQ116" s="839"/>
      <c r="CR116" s="881"/>
      <c r="CS116" s="839"/>
      <c r="CT116" s="839"/>
      <c r="CU116" s="839"/>
      <c r="CV116" s="839"/>
      <c r="CW116" s="839"/>
      <c r="CX116" s="839"/>
      <c r="CY116" s="839"/>
      <c r="CZ116" s="839"/>
      <c r="DA116" s="839"/>
      <c r="DB116" s="839"/>
      <c r="DC116" s="839"/>
      <c r="DD116" s="839"/>
      <c r="DE116" s="839"/>
      <c r="DF116" s="839"/>
      <c r="DG116" s="839"/>
      <c r="DH116" s="839"/>
      <c r="DI116" s="839"/>
      <c r="DJ116" s="839"/>
      <c r="DK116" s="839"/>
      <c r="DL116" s="839"/>
      <c r="DM116" s="839"/>
      <c r="DN116" s="839"/>
      <c r="DO116" s="839"/>
      <c r="DP116" s="839"/>
      <c r="DQ116" s="839"/>
      <c r="DR116" s="839"/>
      <c r="DS116" s="839"/>
      <c r="DT116" s="839"/>
      <c r="DU116" s="839"/>
      <c r="DV116" s="839"/>
      <c r="DW116" s="839"/>
      <c r="DX116" s="859"/>
      <c r="DY116" s="859"/>
      <c r="DZ116" s="860"/>
      <c r="EA116" s="860"/>
      <c r="EB116" s="860"/>
      <c r="EC116" s="839"/>
      <c r="ED116" s="839"/>
      <c r="EE116" s="839"/>
      <c r="EF116" s="839"/>
      <c r="EG116" s="839"/>
      <c r="EH116" s="839"/>
      <c r="EI116" s="839"/>
      <c r="EJ116" s="839"/>
      <c r="EK116" s="839"/>
    </row>
    <row r="117" spans="1:141" hidden="1" outlineLevel="1">
      <c r="A117" s="862"/>
      <c r="B117" s="862" t="s">
        <v>925</v>
      </c>
      <c r="C117" s="861"/>
      <c r="D117" s="863"/>
      <c r="E117" s="861"/>
      <c r="F117" s="863"/>
      <c r="G117" s="861"/>
      <c r="H117" s="864"/>
      <c r="I117" s="861"/>
      <c r="J117" s="865"/>
      <c r="K117" s="861"/>
      <c r="L117" s="864"/>
      <c r="M117" s="861"/>
      <c r="N117" s="865"/>
      <c r="O117" s="861"/>
      <c r="P117" s="864"/>
      <c r="Q117" s="861"/>
      <c r="R117" s="865"/>
      <c r="S117" s="861"/>
      <c r="T117" s="866"/>
      <c r="U117" s="861"/>
      <c r="V117" s="865"/>
      <c r="W117" s="861"/>
      <c r="X117" s="866"/>
      <c r="Y117" s="861"/>
      <c r="Z117" s="865"/>
      <c r="AA117" s="861"/>
      <c r="AB117" s="866"/>
      <c r="AC117" s="861"/>
      <c r="AD117" s="865"/>
      <c r="AE117" s="861"/>
      <c r="AF117" s="866"/>
      <c r="AG117" s="861"/>
      <c r="AH117" s="865"/>
      <c r="AI117" s="861"/>
      <c r="AJ117" s="866">
        <v>-9</v>
      </c>
      <c r="AK117" s="861"/>
      <c r="AL117" s="865"/>
      <c r="AM117" s="861"/>
      <c r="AN117" s="866">
        <v>5</v>
      </c>
      <c r="AO117" s="861"/>
      <c r="AP117" s="865"/>
      <c r="AQ117" s="861"/>
      <c r="AR117" s="866">
        <v>6</v>
      </c>
      <c r="AS117" s="861"/>
      <c r="AT117" s="865"/>
      <c r="AU117" s="861"/>
      <c r="AV117" s="866">
        <v>11</v>
      </c>
      <c r="AW117" s="861"/>
      <c r="AX117" s="865"/>
      <c r="AY117" s="861"/>
      <c r="AZ117" s="866">
        <v>-5</v>
      </c>
      <c r="BA117" s="861"/>
      <c r="BB117" s="865"/>
      <c r="BC117" s="861"/>
      <c r="BD117" s="866">
        <v>3</v>
      </c>
      <c r="BE117" s="861"/>
      <c r="BF117" s="867"/>
      <c r="BG117" s="861"/>
      <c r="BH117" s="866">
        <v>-2</v>
      </c>
      <c r="BI117" s="861"/>
      <c r="BJ117" s="867"/>
      <c r="BK117" s="861"/>
      <c r="BL117" s="882">
        <v>-13</v>
      </c>
      <c r="BM117" s="861"/>
      <c r="BN117" s="867"/>
      <c r="BO117" s="861"/>
      <c r="BP117" s="866">
        <v>-4</v>
      </c>
      <c r="BQ117" s="861"/>
      <c r="BR117" s="867"/>
      <c r="BS117" s="861"/>
      <c r="BT117" s="866">
        <v>-1</v>
      </c>
      <c r="BU117" s="861"/>
      <c r="BV117" s="867"/>
      <c r="BW117" s="861"/>
      <c r="BX117" s="882">
        <f>+BX140*$DZ$117+BX209*$EA$117</f>
        <v>4.6814898532774389</v>
      </c>
      <c r="BY117" s="861"/>
      <c r="BZ117" s="867"/>
      <c r="CA117" s="861"/>
      <c r="CB117" s="882"/>
      <c r="CC117" s="861"/>
      <c r="CD117" s="867"/>
      <c r="CE117" s="861"/>
      <c r="CF117" s="882"/>
      <c r="CG117" s="861"/>
      <c r="CH117" s="867"/>
      <c r="CI117" s="861"/>
      <c r="CJ117" s="882"/>
      <c r="CK117" s="861"/>
      <c r="CL117" s="867"/>
      <c r="CM117" s="861"/>
      <c r="CN117" s="882"/>
      <c r="CO117" s="861"/>
      <c r="CP117" s="867"/>
      <c r="CQ117" s="861"/>
      <c r="CR117" s="882"/>
      <c r="CS117" s="861"/>
      <c r="CT117" s="876"/>
      <c r="CU117" s="876"/>
      <c r="CV117" s="876"/>
      <c r="CW117" s="876"/>
      <c r="CX117" s="876"/>
      <c r="CY117" s="876"/>
      <c r="CZ117" s="876"/>
      <c r="DA117" s="876"/>
      <c r="DB117" s="876"/>
      <c r="DC117" s="876"/>
      <c r="DD117" s="876"/>
      <c r="DE117" s="876"/>
      <c r="DF117" s="876"/>
      <c r="DG117" s="876"/>
      <c r="DH117" s="876"/>
      <c r="DI117" s="876"/>
      <c r="DJ117" s="876"/>
      <c r="DK117" s="876"/>
      <c r="DL117" s="876"/>
      <c r="DM117" s="876"/>
      <c r="DN117" s="876"/>
      <c r="DO117" s="876"/>
      <c r="DP117" s="876"/>
      <c r="DQ117" s="876"/>
      <c r="DR117" s="876"/>
      <c r="DS117" s="876"/>
      <c r="DT117" s="876"/>
      <c r="DU117" s="876"/>
      <c r="DV117" s="876"/>
      <c r="DW117" s="876"/>
      <c r="DX117" s="839"/>
      <c r="DY117" s="839"/>
      <c r="DZ117" s="883">
        <f>+('segSales&amp;OM'!AJ61+'segSales&amp;OM'!AK61)/'segSales&amp;OM'!AP61</f>
        <v>0.74074647484756095</v>
      </c>
      <c r="EA117" s="883">
        <f>+'segSales&amp;OM'!AO61/'segSales&amp;OM'!AP61</f>
        <v>0.25925352515243899</v>
      </c>
      <c r="EB117" s="870">
        <f>+DZ117+EA117</f>
        <v>1</v>
      </c>
      <c r="EC117" s="839"/>
      <c r="ED117" s="839"/>
      <c r="EE117" s="839"/>
      <c r="EF117" s="839"/>
      <c r="EG117" s="839"/>
      <c r="EH117" s="839"/>
      <c r="EI117" s="839"/>
      <c r="EJ117" s="839"/>
      <c r="EK117" s="839"/>
    </row>
    <row r="118" spans="1:141" hidden="1" outlineLevel="1">
      <c r="A118" s="839"/>
      <c r="B118" s="839"/>
      <c r="C118" s="839"/>
      <c r="D118" s="877"/>
      <c r="E118" s="839"/>
      <c r="F118" s="877"/>
      <c r="G118" s="839"/>
      <c r="H118" s="839"/>
      <c r="I118" s="839"/>
      <c r="J118" s="884"/>
      <c r="K118" s="839"/>
      <c r="L118" s="839"/>
      <c r="M118" s="839"/>
      <c r="N118" s="884"/>
      <c r="O118" s="839"/>
      <c r="P118" s="839"/>
      <c r="Q118" s="839"/>
      <c r="R118" s="884"/>
      <c r="S118" s="839"/>
      <c r="T118" s="839"/>
      <c r="U118" s="839"/>
      <c r="V118" s="884"/>
      <c r="W118" s="839"/>
      <c r="X118" s="839"/>
      <c r="Y118" s="839"/>
      <c r="Z118" s="884"/>
      <c r="AA118" s="839"/>
      <c r="AB118" s="839"/>
      <c r="AC118" s="839"/>
      <c r="AD118" s="884"/>
      <c r="AE118" s="839"/>
      <c r="AF118" s="839"/>
      <c r="AG118" s="839"/>
      <c r="AH118" s="884"/>
      <c r="AI118" s="839"/>
      <c r="AJ118" s="839"/>
      <c r="AK118" s="839"/>
      <c r="AL118" s="884"/>
      <c r="AM118" s="839"/>
      <c r="AN118" s="839"/>
      <c r="AO118" s="839"/>
      <c r="AP118" s="884"/>
      <c r="AQ118" s="839"/>
      <c r="AR118" s="839"/>
      <c r="AS118" s="839"/>
      <c r="AT118" s="884"/>
      <c r="AU118" s="839"/>
      <c r="AV118" s="839"/>
      <c r="AW118" s="839"/>
      <c r="AX118" s="884"/>
      <c r="AY118" s="839"/>
      <c r="AZ118" s="839"/>
      <c r="BA118" s="839"/>
      <c r="BB118" s="884"/>
      <c r="BC118" s="839"/>
      <c r="BD118" s="839"/>
      <c r="BE118" s="839"/>
      <c r="BF118" s="879"/>
      <c r="BG118" s="839"/>
      <c r="BH118" s="839"/>
      <c r="BI118" s="839"/>
      <c r="BJ118" s="879"/>
      <c r="BK118" s="839"/>
      <c r="BL118" s="839"/>
      <c r="BM118" s="839"/>
      <c r="BN118" s="879"/>
      <c r="BO118" s="839"/>
      <c r="BP118" s="839"/>
      <c r="BQ118" s="839"/>
      <c r="BR118" s="879"/>
      <c r="BS118" s="839"/>
      <c r="BT118" s="839"/>
      <c r="BU118" s="839"/>
      <c r="BV118" s="879"/>
      <c r="BW118" s="839"/>
      <c r="BX118" s="839"/>
      <c r="BY118" s="839"/>
      <c r="BZ118" s="879"/>
      <c r="CA118" s="839"/>
      <c r="CB118" s="839"/>
      <c r="CC118" s="839"/>
      <c r="CD118" s="879"/>
      <c r="CE118" s="839"/>
      <c r="CF118" s="839"/>
      <c r="CG118" s="839"/>
      <c r="CH118" s="879"/>
      <c r="CI118" s="839"/>
      <c r="CJ118" s="839"/>
      <c r="CK118" s="839"/>
      <c r="CL118" s="879"/>
      <c r="CM118" s="839"/>
      <c r="CN118" s="839"/>
      <c r="CO118" s="839"/>
      <c r="CP118" s="879"/>
      <c r="CQ118" s="839"/>
      <c r="CR118" s="839"/>
      <c r="CS118" s="839"/>
      <c r="CT118" s="839"/>
      <c r="CU118" s="839"/>
      <c r="CV118" s="839"/>
      <c r="CW118" s="839"/>
      <c r="CX118" s="839"/>
      <c r="CY118" s="839"/>
      <c r="CZ118" s="839"/>
      <c r="DA118" s="839"/>
      <c r="DB118" s="839"/>
      <c r="DC118" s="839"/>
      <c r="DD118" s="839"/>
      <c r="DE118" s="839"/>
      <c r="DF118" s="839"/>
      <c r="DG118" s="839"/>
      <c r="DH118" s="839"/>
      <c r="DI118" s="839"/>
      <c r="DJ118" s="839"/>
      <c r="DK118" s="839"/>
      <c r="DL118" s="839"/>
      <c r="DM118" s="839"/>
      <c r="DN118" s="839"/>
      <c r="DO118" s="839"/>
      <c r="DP118" s="839"/>
      <c r="DQ118" s="839"/>
      <c r="DR118" s="839"/>
      <c r="DS118" s="839"/>
      <c r="DT118" s="839"/>
      <c r="DU118" s="839"/>
      <c r="DV118" s="839"/>
      <c r="DW118" s="839"/>
      <c r="DX118" s="839"/>
      <c r="DY118" s="839"/>
      <c r="DZ118" s="839"/>
      <c r="EA118" s="839"/>
      <c r="EB118" s="839"/>
      <c r="EC118" s="839"/>
      <c r="ED118" s="839"/>
      <c r="EE118" s="839"/>
      <c r="EF118" s="839"/>
      <c r="EG118" s="839"/>
      <c r="EH118" s="839"/>
      <c r="EI118" s="839"/>
      <c r="EJ118" s="839"/>
      <c r="EK118" s="839"/>
    </row>
    <row r="119" spans="1:141" hidden="1" outlineLevel="1">
      <c r="A119" s="840" t="s">
        <v>599</v>
      </c>
      <c r="B119" s="840"/>
      <c r="C119" s="839"/>
      <c r="D119" s="877">
        <f>+D114</f>
        <v>4</v>
      </c>
      <c r="E119" s="839"/>
      <c r="F119" s="856"/>
      <c r="G119" s="839"/>
      <c r="H119" s="851"/>
      <c r="I119" s="839" t="s">
        <v>1084</v>
      </c>
      <c r="J119" s="852" t="str">
        <f>+J49</f>
        <v>11/30</v>
      </c>
      <c r="K119" s="839"/>
      <c r="L119" s="851"/>
      <c r="M119" s="839" t="s">
        <v>1084</v>
      </c>
      <c r="N119" s="852" t="str">
        <f>+N49</f>
        <v>11/28</v>
      </c>
      <c r="O119" s="839"/>
      <c r="P119" s="851"/>
      <c r="Q119" s="839" t="s">
        <v>1084</v>
      </c>
      <c r="R119" s="852" t="str">
        <f>+R49</f>
        <v>11/27</v>
      </c>
      <c r="S119" s="839"/>
      <c r="T119" s="853"/>
      <c r="U119" s="839" t="s">
        <v>1084</v>
      </c>
      <c r="V119" s="852" t="str">
        <f>+V49</f>
        <v>11/26</v>
      </c>
      <c r="W119" s="839"/>
      <c r="X119" s="853"/>
      <c r="Y119" s="839" t="s">
        <v>1084</v>
      </c>
      <c r="Z119" s="852" t="str">
        <f>+Z49</f>
        <v>11/25</v>
      </c>
      <c r="AA119" s="839"/>
      <c r="AB119" s="853"/>
      <c r="AC119" s="839" t="s">
        <v>1084</v>
      </c>
      <c r="AD119" s="852" t="str">
        <f>+AD49</f>
        <v>11/30</v>
      </c>
      <c r="AE119" s="839"/>
      <c r="AF119" s="853"/>
      <c r="AG119" s="839" t="s">
        <v>1084</v>
      </c>
      <c r="AH119" s="852" t="str">
        <f>+AH49</f>
        <v>11/29</v>
      </c>
      <c r="AI119" s="839"/>
      <c r="AJ119" s="853">
        <v>-5</v>
      </c>
      <c r="AK119" s="839" t="s">
        <v>1084</v>
      </c>
      <c r="AL119" s="852" t="str">
        <f>+AL49</f>
        <v>12/2</v>
      </c>
      <c r="AM119" s="839"/>
      <c r="AN119" s="853">
        <v>8</v>
      </c>
      <c r="AO119" s="839" t="s">
        <v>1084</v>
      </c>
      <c r="AP119" s="852" t="str">
        <f>+AP49</f>
        <v>11/27</v>
      </c>
      <c r="AQ119" s="839"/>
      <c r="AR119" s="853">
        <v>0</v>
      </c>
      <c r="AS119" s="839" t="s">
        <v>1084</v>
      </c>
      <c r="AT119" s="852" t="str">
        <f>+AT49</f>
        <v>11/25</v>
      </c>
      <c r="AU119" s="839"/>
      <c r="AV119" s="853">
        <v>12</v>
      </c>
      <c r="AW119" s="839" t="s">
        <v>1084</v>
      </c>
      <c r="AX119" s="852" t="str">
        <f>+AX49</f>
        <v>12/1</v>
      </c>
      <c r="AY119" s="839"/>
      <c r="AZ119" s="853">
        <v>-5</v>
      </c>
      <c r="BA119" s="839" t="s">
        <v>1084</v>
      </c>
      <c r="BB119" s="852" t="str">
        <f>+BB49</f>
        <v>11/30</v>
      </c>
      <c r="BC119" s="839"/>
      <c r="BD119" s="853">
        <v>-1</v>
      </c>
      <c r="BE119" s="839" t="s">
        <v>1084</v>
      </c>
      <c r="BF119" s="854">
        <f>+BF49</f>
        <v>37954</v>
      </c>
      <c r="BG119" s="839"/>
      <c r="BH119" s="853">
        <v>-10</v>
      </c>
      <c r="BI119" s="839" t="s">
        <v>1084</v>
      </c>
      <c r="BJ119" s="854">
        <f>+BJ49</f>
        <v>38319</v>
      </c>
      <c r="BK119" s="839"/>
      <c r="BL119" s="853">
        <v>-16</v>
      </c>
      <c r="BM119" s="839" t="s">
        <v>1084</v>
      </c>
      <c r="BN119" s="854">
        <f>+BN49</f>
        <v>38682</v>
      </c>
      <c r="BO119" s="839"/>
      <c r="BP119" s="853">
        <v>9</v>
      </c>
      <c r="BQ119" s="839" t="s">
        <v>1084</v>
      </c>
      <c r="BR119" s="854">
        <f>+BR49</f>
        <v>38681</v>
      </c>
      <c r="BS119" s="839"/>
      <c r="BT119" s="853">
        <v>6</v>
      </c>
      <c r="BU119" s="839" t="s">
        <v>1084</v>
      </c>
      <c r="BV119" s="854">
        <f>+BV49</f>
        <v>39417</v>
      </c>
      <c r="BW119" s="839"/>
      <c r="BX119" s="880">
        <f>+BX142*$DZ$122+BX211*$EA$122</f>
        <v>3</v>
      </c>
      <c r="BY119" s="839" t="s">
        <v>1084</v>
      </c>
      <c r="BZ119" s="854"/>
      <c r="CA119" s="839"/>
      <c r="CB119" s="880"/>
      <c r="CC119" s="839"/>
      <c r="CD119" s="854"/>
      <c r="CE119" s="839"/>
      <c r="CF119" s="880"/>
      <c r="CG119" s="839"/>
      <c r="CH119" s="854"/>
      <c r="CI119" s="839"/>
      <c r="CJ119" s="880"/>
      <c r="CK119" s="839"/>
      <c r="CL119" s="854"/>
      <c r="CM119" s="839"/>
      <c r="CN119" s="880"/>
      <c r="CO119" s="839"/>
      <c r="CP119" s="854"/>
      <c r="CQ119" s="839"/>
      <c r="CR119" s="880"/>
      <c r="CS119" s="839"/>
      <c r="CT119" s="839"/>
      <c r="CU119" s="839"/>
      <c r="CV119" s="839"/>
      <c r="CW119" s="839"/>
      <c r="CX119" s="839"/>
      <c r="CY119" s="839"/>
      <c r="CZ119" s="839"/>
      <c r="DA119" s="839"/>
      <c r="DB119" s="839"/>
      <c r="DC119" s="839"/>
      <c r="DD119" s="839"/>
      <c r="DE119" s="839"/>
      <c r="DF119" s="839"/>
      <c r="DG119" s="839"/>
      <c r="DH119" s="839"/>
      <c r="DI119" s="839"/>
      <c r="DJ119" s="839"/>
      <c r="DK119" s="839"/>
      <c r="DL119" s="839"/>
      <c r="DM119" s="839"/>
      <c r="DN119" s="839"/>
      <c r="DO119" s="839"/>
      <c r="DP119" s="839"/>
      <c r="DQ119" s="839"/>
      <c r="DR119" s="839"/>
      <c r="DS119" s="839"/>
      <c r="DT119" s="839"/>
      <c r="DU119" s="839"/>
      <c r="DV119" s="839"/>
      <c r="DW119" s="839"/>
      <c r="DX119" s="839"/>
      <c r="DY119" s="839"/>
      <c r="DZ119" s="839"/>
      <c r="EA119" s="839"/>
      <c r="EB119" s="839"/>
      <c r="EC119" s="839"/>
      <c r="ED119" s="839"/>
      <c r="EE119" s="839"/>
      <c r="EF119" s="839"/>
      <c r="EG119" s="839"/>
      <c r="EH119" s="839"/>
      <c r="EI119" s="839"/>
      <c r="EJ119" s="839"/>
      <c r="EK119" s="839"/>
    </row>
    <row r="120" spans="1:141" hidden="1" outlineLevel="1">
      <c r="A120" s="840" t="s">
        <v>600</v>
      </c>
      <c r="B120" s="840"/>
      <c r="C120" s="839"/>
      <c r="D120" s="877">
        <f>+D115</f>
        <v>5</v>
      </c>
      <c r="E120" s="839"/>
      <c r="F120" s="841"/>
      <c r="G120" s="839"/>
      <c r="H120" s="851"/>
      <c r="I120" s="839"/>
      <c r="J120" s="852" t="str">
        <f>+J50</f>
        <v>1/4</v>
      </c>
      <c r="K120" s="839"/>
      <c r="L120" s="851"/>
      <c r="M120" s="839"/>
      <c r="N120" s="852" t="str">
        <f>+N50</f>
        <v xml:space="preserve"> 1/2</v>
      </c>
      <c r="O120" s="839"/>
      <c r="P120" s="851"/>
      <c r="Q120" s="839"/>
      <c r="R120" s="852" t="str">
        <f>+R50</f>
        <v>1/1</v>
      </c>
      <c r="S120" s="839"/>
      <c r="T120" s="853"/>
      <c r="U120" s="839"/>
      <c r="V120" s="852" t="str">
        <f>+V50</f>
        <v>12/31</v>
      </c>
      <c r="W120" s="839"/>
      <c r="X120" s="853"/>
      <c r="Y120" s="839"/>
      <c r="Z120" s="852" t="str">
        <f>+Z50</f>
        <v>12/30</v>
      </c>
      <c r="AA120" s="839"/>
      <c r="AB120" s="853"/>
      <c r="AC120" s="839"/>
      <c r="AD120" s="852" t="str">
        <f>+AD50</f>
        <v>1/4</v>
      </c>
      <c r="AE120" s="839"/>
      <c r="AF120" s="853"/>
      <c r="AG120" s="839"/>
      <c r="AH120" s="852" t="str">
        <f>+AH50</f>
        <v>1/3</v>
      </c>
      <c r="AI120" s="839"/>
      <c r="AJ120" s="853">
        <v>2</v>
      </c>
      <c r="AK120" s="839"/>
      <c r="AL120" s="852" t="str">
        <f>+AL50</f>
        <v>1/2</v>
      </c>
      <c r="AM120" s="839"/>
      <c r="AN120" s="853">
        <v>2</v>
      </c>
      <c r="AO120" s="839"/>
      <c r="AP120" s="852" t="str">
        <f>+AP50</f>
        <v>1/1</v>
      </c>
      <c r="AQ120" s="839"/>
      <c r="AR120" s="853">
        <v>-4</v>
      </c>
      <c r="AS120" s="839"/>
      <c r="AT120" s="852" t="str">
        <f>+AT50</f>
        <v>12/30</v>
      </c>
      <c r="AU120" s="839"/>
      <c r="AV120" s="853">
        <v>5</v>
      </c>
      <c r="AW120" s="839"/>
      <c r="AX120" s="852" t="str">
        <f>+AX50</f>
        <v>1/5</v>
      </c>
      <c r="AY120" s="839"/>
      <c r="AZ120" s="853">
        <v>-2</v>
      </c>
      <c r="BA120" s="839"/>
      <c r="BB120" s="852" t="str">
        <f>+BB50</f>
        <v>1/4</v>
      </c>
      <c r="BC120" s="839"/>
      <c r="BD120" s="853">
        <v>-6</v>
      </c>
      <c r="BE120" s="839"/>
      <c r="BF120" s="854">
        <f>+BF50</f>
        <v>37624</v>
      </c>
      <c r="BG120" s="839"/>
      <c r="BH120" s="880">
        <f>+$DZ$122*BH143+$EA$122*BH212</f>
        <v>9.0184666824048598</v>
      </c>
      <c r="BI120" s="839"/>
      <c r="BJ120" s="854">
        <f>+BJ50</f>
        <v>38354</v>
      </c>
      <c r="BK120" s="839"/>
      <c r="BL120" s="853">
        <v>-14</v>
      </c>
      <c r="BM120" s="839"/>
      <c r="BN120" s="854">
        <f>+BN50</f>
        <v>38717</v>
      </c>
      <c r="BO120" s="839"/>
      <c r="BP120" s="853">
        <v>5</v>
      </c>
      <c r="BQ120" s="839"/>
      <c r="BR120" s="854">
        <f>+BR50</f>
        <v>38716</v>
      </c>
      <c r="BS120" s="839"/>
      <c r="BT120" s="853">
        <v>-7</v>
      </c>
      <c r="BU120" s="839"/>
      <c r="BV120" s="854">
        <f>+BV50</f>
        <v>39087</v>
      </c>
      <c r="BW120" s="839"/>
      <c r="BX120" s="880">
        <f>+BX143*$DZ$122+BX212*$EA$122</f>
        <v>6.5092333412024299</v>
      </c>
      <c r="BY120" s="839"/>
      <c r="BZ120" s="854"/>
      <c r="CA120" s="839"/>
      <c r="CB120" s="880"/>
      <c r="CC120" s="839"/>
      <c r="CD120" s="854"/>
      <c r="CE120" s="839"/>
      <c r="CF120" s="880"/>
      <c r="CG120" s="839"/>
      <c r="CH120" s="854"/>
      <c r="CI120" s="839"/>
      <c r="CJ120" s="880"/>
      <c r="CK120" s="839"/>
      <c r="CL120" s="854"/>
      <c r="CM120" s="839"/>
      <c r="CN120" s="880"/>
      <c r="CO120" s="839"/>
      <c r="CP120" s="854"/>
      <c r="CQ120" s="839"/>
      <c r="CR120" s="880"/>
      <c r="CS120" s="839"/>
      <c r="CT120" s="839"/>
      <c r="CU120" s="839"/>
      <c r="CV120" s="839"/>
      <c r="CW120" s="839"/>
      <c r="CX120" s="839"/>
      <c r="CY120" s="839"/>
      <c r="CZ120" s="839"/>
      <c r="DA120" s="839"/>
      <c r="DB120" s="839"/>
      <c r="DC120" s="839"/>
      <c r="DD120" s="839"/>
      <c r="DE120" s="839"/>
      <c r="DF120" s="839"/>
      <c r="DG120" s="839"/>
      <c r="DH120" s="839"/>
      <c r="DI120" s="839"/>
      <c r="DJ120" s="839"/>
      <c r="DK120" s="839"/>
      <c r="DL120" s="839"/>
      <c r="DM120" s="839"/>
      <c r="DN120" s="839"/>
      <c r="DO120" s="839"/>
      <c r="DP120" s="839"/>
      <c r="DQ120" s="839"/>
      <c r="DR120" s="839"/>
      <c r="DS120" s="839"/>
      <c r="DT120" s="839"/>
      <c r="DU120" s="839"/>
      <c r="DV120" s="839"/>
      <c r="DW120" s="839"/>
      <c r="DX120" s="839"/>
      <c r="DY120" s="839"/>
      <c r="DZ120" s="839"/>
      <c r="EA120" s="839"/>
      <c r="EB120" s="839"/>
      <c r="EC120" s="839"/>
      <c r="ED120" s="839"/>
      <c r="EE120" s="839"/>
      <c r="EF120" s="839"/>
      <c r="EG120" s="839"/>
      <c r="EH120" s="839"/>
      <c r="EI120" s="839"/>
      <c r="EJ120" s="839"/>
      <c r="EK120" s="839"/>
    </row>
    <row r="121" spans="1:141" hidden="1" outlineLevel="1">
      <c r="A121" s="840" t="s">
        <v>601</v>
      </c>
      <c r="B121" s="840"/>
      <c r="C121" s="839"/>
      <c r="D121" s="877">
        <f>+D116</f>
        <v>4</v>
      </c>
      <c r="E121" s="839"/>
      <c r="F121" s="841"/>
      <c r="G121" s="839"/>
      <c r="H121" s="857"/>
      <c r="I121" s="839"/>
      <c r="J121" s="852" t="str">
        <f>+J51</f>
        <v>2/1</v>
      </c>
      <c r="K121" s="839"/>
      <c r="L121" s="857"/>
      <c r="M121" s="839"/>
      <c r="N121" s="852" t="str">
        <f>+N51</f>
        <v xml:space="preserve"> 1/30</v>
      </c>
      <c r="O121" s="839"/>
      <c r="P121" s="857"/>
      <c r="Q121" s="839"/>
      <c r="R121" s="852" t="str">
        <f>+R51</f>
        <v>1/29</v>
      </c>
      <c r="S121" s="839"/>
      <c r="T121" s="858"/>
      <c r="U121" s="839"/>
      <c r="V121" s="852" t="str">
        <f>+V51</f>
        <v>1/28</v>
      </c>
      <c r="W121" s="839"/>
      <c r="X121" s="858"/>
      <c r="Y121" s="839"/>
      <c r="Z121" s="852" t="str">
        <f>+Z51</f>
        <v>2/3</v>
      </c>
      <c r="AA121" s="839"/>
      <c r="AB121" s="858"/>
      <c r="AC121" s="839"/>
      <c r="AD121" s="852" t="str">
        <f>+AD51</f>
        <v>2/1</v>
      </c>
      <c r="AE121" s="839"/>
      <c r="AF121" s="858"/>
      <c r="AG121" s="839"/>
      <c r="AH121" s="852" t="str">
        <f>+AH51</f>
        <v>1/30</v>
      </c>
      <c r="AI121" s="839"/>
      <c r="AJ121" s="858">
        <v>-9</v>
      </c>
      <c r="AK121" s="839"/>
      <c r="AL121" s="852" t="str">
        <f>+AL51</f>
        <v>1/30</v>
      </c>
      <c r="AM121" s="839"/>
      <c r="AN121" s="858">
        <v>10</v>
      </c>
      <c r="AO121" s="839"/>
      <c r="AP121" s="852" t="str">
        <f>+AP51</f>
        <v>1/29</v>
      </c>
      <c r="AQ121" s="839"/>
      <c r="AR121" s="858">
        <v>5</v>
      </c>
      <c r="AS121" s="839"/>
      <c r="AT121" s="852" t="str">
        <f>+AT51</f>
        <v>2/3</v>
      </c>
      <c r="AU121" s="839"/>
      <c r="AV121" s="858">
        <v>10</v>
      </c>
      <c r="AW121" s="839"/>
      <c r="AX121" s="852" t="str">
        <f>+AX51</f>
        <v>2/2</v>
      </c>
      <c r="AY121" s="839"/>
      <c r="AZ121" s="858">
        <v>7</v>
      </c>
      <c r="BA121" s="839"/>
      <c r="BB121" s="852" t="str">
        <f>+BB51</f>
        <v>2/1</v>
      </c>
      <c r="BC121" s="839"/>
      <c r="BD121" s="858">
        <v>-2</v>
      </c>
      <c r="BE121" s="839"/>
      <c r="BF121" s="854">
        <f>+BF51</f>
        <v>37652</v>
      </c>
      <c r="BG121" s="839"/>
      <c r="BH121" s="858">
        <v>14</v>
      </c>
      <c r="BI121" s="839"/>
      <c r="BJ121" s="854">
        <f>+BJ51</f>
        <v>38382</v>
      </c>
      <c r="BK121" s="839"/>
      <c r="BL121" s="858">
        <v>-10</v>
      </c>
      <c r="BM121" s="839"/>
      <c r="BN121" s="854">
        <f>+BN51</f>
        <v>38745</v>
      </c>
      <c r="BO121" s="839"/>
      <c r="BP121" s="858">
        <v>-4</v>
      </c>
      <c r="BQ121" s="839"/>
      <c r="BR121" s="854">
        <f>+BR51</f>
        <v>38386</v>
      </c>
      <c r="BS121" s="839"/>
      <c r="BT121" s="858">
        <v>12</v>
      </c>
      <c r="BU121" s="839"/>
      <c r="BV121" s="854">
        <f>+BV51</f>
        <v>39115</v>
      </c>
      <c r="BW121" s="839"/>
      <c r="BX121" s="881">
        <f>+BX144*$DZ$122+BX213*$EA$122</f>
        <v>2</v>
      </c>
      <c r="BY121" s="839"/>
      <c r="BZ121" s="854"/>
      <c r="CA121" s="839"/>
      <c r="CB121" s="881"/>
      <c r="CC121" s="839"/>
      <c r="CD121" s="854"/>
      <c r="CE121" s="839"/>
      <c r="CF121" s="881"/>
      <c r="CG121" s="839"/>
      <c r="CH121" s="854"/>
      <c r="CI121" s="839"/>
      <c r="CJ121" s="881"/>
      <c r="CK121" s="839"/>
      <c r="CL121" s="854"/>
      <c r="CM121" s="839"/>
      <c r="CN121" s="881"/>
      <c r="CO121" s="839"/>
      <c r="CP121" s="854"/>
      <c r="CQ121" s="839"/>
      <c r="CR121" s="881"/>
      <c r="CS121" s="839"/>
      <c r="CT121" s="839"/>
      <c r="CU121" s="839"/>
      <c r="CV121" s="839"/>
      <c r="CW121" s="839"/>
      <c r="CX121" s="839"/>
      <c r="CY121" s="839"/>
      <c r="CZ121" s="839"/>
      <c r="DA121" s="839"/>
      <c r="DB121" s="839"/>
      <c r="DC121" s="839"/>
      <c r="DD121" s="839"/>
      <c r="DE121" s="839"/>
      <c r="DF121" s="839"/>
      <c r="DG121" s="839"/>
      <c r="DH121" s="839"/>
      <c r="DI121" s="839"/>
      <c r="DJ121" s="839"/>
      <c r="DK121" s="839"/>
      <c r="DL121" s="839"/>
      <c r="DM121" s="839"/>
      <c r="DN121" s="839"/>
      <c r="DO121" s="839"/>
      <c r="DP121" s="839"/>
      <c r="DQ121" s="839"/>
      <c r="DR121" s="839"/>
      <c r="DS121" s="839"/>
      <c r="DT121" s="839"/>
      <c r="DU121" s="839"/>
      <c r="DV121" s="839"/>
      <c r="DW121" s="839"/>
      <c r="DX121" s="859"/>
      <c r="DY121" s="859"/>
      <c r="DZ121" s="860"/>
      <c r="EA121" s="860"/>
      <c r="EB121" s="860"/>
      <c r="EC121" s="839"/>
      <c r="ED121" s="839"/>
      <c r="EE121" s="839"/>
      <c r="EF121" s="839"/>
      <c r="EG121" s="839"/>
      <c r="EH121" s="839"/>
      <c r="EI121" s="839"/>
      <c r="EJ121" s="839"/>
      <c r="EK121" s="839"/>
    </row>
    <row r="122" spans="1:141" hidden="1" outlineLevel="1">
      <c r="A122" s="862"/>
      <c r="B122" s="862" t="s">
        <v>519</v>
      </c>
      <c r="C122" s="861"/>
      <c r="D122" s="861"/>
      <c r="E122" s="861"/>
      <c r="F122" s="861"/>
      <c r="G122" s="861"/>
      <c r="H122" s="864"/>
      <c r="I122" s="861"/>
      <c r="J122" s="861"/>
      <c r="K122" s="861"/>
      <c r="L122" s="864"/>
      <c r="M122" s="861"/>
      <c r="N122" s="861"/>
      <c r="O122" s="861"/>
      <c r="P122" s="864"/>
      <c r="Q122" s="861"/>
      <c r="R122" s="861"/>
      <c r="S122" s="861"/>
      <c r="T122" s="866"/>
      <c r="U122" s="861"/>
      <c r="V122" s="861"/>
      <c r="W122" s="861"/>
      <c r="X122" s="866"/>
      <c r="Y122" s="861"/>
      <c r="Z122" s="861"/>
      <c r="AA122" s="861"/>
      <c r="AB122" s="866"/>
      <c r="AC122" s="861"/>
      <c r="AD122" s="861"/>
      <c r="AE122" s="861"/>
      <c r="AF122" s="866"/>
      <c r="AG122" s="861"/>
      <c r="AH122" s="861"/>
      <c r="AI122" s="861"/>
      <c r="AJ122" s="866">
        <v>-2</v>
      </c>
      <c r="AK122" s="861"/>
      <c r="AL122" s="861"/>
      <c r="AM122" s="861"/>
      <c r="AN122" s="866">
        <v>5</v>
      </c>
      <c r="AO122" s="861"/>
      <c r="AP122" s="861"/>
      <c r="AQ122" s="861"/>
      <c r="AR122" s="866">
        <v>-1</v>
      </c>
      <c r="AS122" s="861"/>
      <c r="AT122" s="861"/>
      <c r="AU122" s="861"/>
      <c r="AV122" s="866">
        <v>8</v>
      </c>
      <c r="AW122" s="861"/>
      <c r="AX122" s="861"/>
      <c r="AY122" s="861"/>
      <c r="AZ122" s="866">
        <v>-1</v>
      </c>
      <c r="BA122" s="861"/>
      <c r="BB122" s="861"/>
      <c r="BC122" s="861"/>
      <c r="BD122" s="866">
        <v>-4</v>
      </c>
      <c r="BE122" s="861"/>
      <c r="BF122" s="861"/>
      <c r="BG122" s="861"/>
      <c r="BH122" s="866">
        <v>4</v>
      </c>
      <c r="BI122" s="861"/>
      <c r="BJ122" s="861"/>
      <c r="BK122" s="861"/>
      <c r="BL122" s="866">
        <v>-14</v>
      </c>
      <c r="BM122" s="861"/>
      <c r="BN122" s="861"/>
      <c r="BO122" s="861"/>
      <c r="BP122" s="866">
        <v>-4</v>
      </c>
      <c r="BQ122" s="861"/>
      <c r="BR122" s="861"/>
      <c r="BS122" s="861"/>
      <c r="BT122" s="866">
        <v>1</v>
      </c>
      <c r="BU122" s="861"/>
      <c r="BV122" s="861"/>
      <c r="BW122" s="861"/>
      <c r="BX122" s="882">
        <f>+BX145*$DZ$122+BX214*$EA$122</f>
        <v>4.3659625029509117</v>
      </c>
      <c r="BY122" s="861"/>
      <c r="BZ122" s="861"/>
      <c r="CA122" s="861"/>
      <c r="CB122" s="882"/>
      <c r="CC122" s="861"/>
      <c r="CD122" s="861"/>
      <c r="CE122" s="861"/>
      <c r="CF122" s="882"/>
      <c r="CG122" s="861"/>
      <c r="CH122" s="861"/>
      <c r="CI122" s="861"/>
      <c r="CJ122" s="882"/>
      <c r="CK122" s="861"/>
      <c r="CL122" s="861"/>
      <c r="CM122" s="861"/>
      <c r="CN122" s="882"/>
      <c r="CO122" s="861"/>
      <c r="CP122" s="861"/>
      <c r="CQ122" s="861"/>
      <c r="CR122" s="882"/>
      <c r="CS122" s="861"/>
      <c r="CT122" s="876"/>
      <c r="CU122" s="876"/>
      <c r="CV122" s="876"/>
      <c r="CW122" s="876"/>
      <c r="CX122" s="876"/>
      <c r="CY122" s="876"/>
      <c r="CZ122" s="876"/>
      <c r="DA122" s="876"/>
      <c r="DB122" s="876"/>
      <c r="DC122" s="876"/>
      <c r="DD122" s="876"/>
      <c r="DE122" s="876"/>
      <c r="DF122" s="876"/>
      <c r="DG122" s="876"/>
      <c r="DH122" s="876"/>
      <c r="DI122" s="876"/>
      <c r="DJ122" s="876"/>
      <c r="DK122" s="876"/>
      <c r="DL122" s="876"/>
      <c r="DM122" s="876"/>
      <c r="DN122" s="876"/>
      <c r="DO122" s="876"/>
      <c r="DP122" s="876"/>
      <c r="DQ122" s="876"/>
      <c r="DR122" s="876"/>
      <c r="DS122" s="876"/>
      <c r="DT122" s="876"/>
      <c r="DU122" s="876"/>
      <c r="DV122" s="876"/>
      <c r="DW122" s="876"/>
      <c r="DX122" s="839"/>
      <c r="DY122" s="839"/>
      <c r="DZ122" s="869">
        <f>+('segSales&amp;OM'!AJ62+'segSales&amp;OM'!AK62)/'segSales&amp;OM'!AP62</f>
        <v>0.75461667060121507</v>
      </c>
      <c r="EA122" s="869">
        <f>+'segSales&amp;OM'!AO62/'segSales&amp;OM'!AP62</f>
        <v>0.24538332939878496</v>
      </c>
      <c r="EB122" s="870">
        <f>+DZ122+EA122</f>
        <v>1</v>
      </c>
      <c r="EC122" s="839"/>
      <c r="ED122" s="839"/>
      <c r="EE122" s="839"/>
      <c r="EF122" s="839"/>
      <c r="EG122" s="839"/>
      <c r="EH122" s="839"/>
      <c r="EI122" s="839"/>
      <c r="EJ122" s="839"/>
      <c r="EK122" s="839"/>
    </row>
    <row r="123" spans="1:141" hidden="1" outlineLevel="1">
      <c r="A123" s="885"/>
      <c r="B123" s="885" t="s">
        <v>1020</v>
      </c>
      <c r="C123" s="886"/>
      <c r="D123" s="886"/>
      <c r="E123" s="886"/>
      <c r="F123" s="886"/>
      <c r="G123" s="886"/>
      <c r="H123" s="887"/>
      <c r="I123" s="886"/>
      <c r="J123" s="886"/>
      <c r="K123" s="886"/>
      <c r="L123" s="887"/>
      <c r="M123" s="886"/>
      <c r="N123" s="886"/>
      <c r="O123" s="886"/>
      <c r="P123" s="887"/>
      <c r="Q123" s="886"/>
      <c r="R123" s="886"/>
      <c r="S123" s="886"/>
      <c r="T123" s="888"/>
      <c r="U123" s="886"/>
      <c r="V123" s="886"/>
      <c r="W123" s="886"/>
      <c r="X123" s="888"/>
      <c r="Y123" s="886"/>
      <c r="Z123" s="886"/>
      <c r="AA123" s="886"/>
      <c r="AB123" s="888"/>
      <c r="AC123" s="886"/>
      <c r="AD123" s="886"/>
      <c r="AE123" s="886"/>
      <c r="AF123" s="888"/>
      <c r="AG123" s="886"/>
      <c r="AH123" s="886"/>
      <c r="AI123" s="886"/>
      <c r="AJ123" s="888">
        <v>-9</v>
      </c>
      <c r="AK123" s="886"/>
      <c r="AL123" s="886"/>
      <c r="AM123" s="886"/>
      <c r="AN123" s="888">
        <v>6</v>
      </c>
      <c r="AO123" s="886"/>
      <c r="AP123" s="886"/>
      <c r="AQ123" s="886"/>
      <c r="AR123" s="888">
        <v>5</v>
      </c>
      <c r="AS123" s="886"/>
      <c r="AT123" s="886"/>
      <c r="AU123" s="886"/>
      <c r="AV123" s="888">
        <v>9</v>
      </c>
      <c r="AW123" s="886"/>
      <c r="AX123" s="886"/>
      <c r="AY123" s="886"/>
      <c r="AZ123" s="888">
        <v>-3</v>
      </c>
      <c r="BA123" s="886"/>
      <c r="BB123" s="886"/>
      <c r="BC123" s="886"/>
      <c r="BD123" s="888">
        <v>3</v>
      </c>
      <c r="BE123" s="886"/>
      <c r="BF123" s="886"/>
      <c r="BG123" s="886"/>
      <c r="BH123" s="888">
        <v>0</v>
      </c>
      <c r="BI123" s="886"/>
      <c r="BJ123" s="886"/>
      <c r="BK123" s="886"/>
      <c r="BL123" s="888">
        <v>-7</v>
      </c>
      <c r="BM123" s="886"/>
      <c r="BN123" s="886"/>
      <c r="BO123" s="886"/>
      <c r="BP123" s="888">
        <v>-6</v>
      </c>
      <c r="BQ123" s="886"/>
      <c r="BR123" s="886"/>
      <c r="BS123" s="886"/>
      <c r="BT123" s="888">
        <v>-2</v>
      </c>
      <c r="BU123" s="886"/>
      <c r="BV123" s="886"/>
      <c r="BW123" s="886"/>
      <c r="BX123" s="889">
        <f>+BX146*$DZ$122+BX215*$EA$122</f>
        <v>4.2298167019897255</v>
      </c>
      <c r="BY123" s="886"/>
      <c r="BZ123" s="886"/>
      <c r="CA123" s="886"/>
      <c r="CB123" s="889"/>
      <c r="CC123" s="886"/>
      <c r="CD123" s="886"/>
      <c r="CE123" s="886"/>
      <c r="CF123" s="889"/>
      <c r="CG123" s="886"/>
      <c r="CH123" s="886"/>
      <c r="CI123" s="886"/>
      <c r="CJ123" s="889"/>
      <c r="CK123" s="886"/>
      <c r="CL123" s="886"/>
      <c r="CM123" s="886"/>
      <c r="CN123" s="889"/>
      <c r="CO123" s="886"/>
      <c r="CP123" s="886"/>
      <c r="CQ123" s="886"/>
      <c r="CR123" s="889"/>
      <c r="CS123" s="886"/>
      <c r="CT123" s="599"/>
      <c r="CU123" s="599"/>
      <c r="CV123" s="599"/>
      <c r="CW123" s="599"/>
      <c r="CX123" s="599"/>
      <c r="CY123" s="599"/>
      <c r="CZ123" s="599"/>
      <c r="DA123" s="599"/>
      <c r="DB123" s="599"/>
      <c r="DC123" s="599"/>
      <c r="DD123" s="599"/>
      <c r="DE123" s="599"/>
      <c r="DF123" s="599"/>
      <c r="DG123" s="599"/>
      <c r="DH123" s="599"/>
      <c r="DI123" s="599"/>
      <c r="DJ123" s="599"/>
      <c r="DK123" s="599"/>
      <c r="DL123" s="599"/>
      <c r="DM123" s="599"/>
      <c r="DN123" s="599"/>
      <c r="DO123" s="599"/>
      <c r="DP123" s="599"/>
      <c r="DQ123" s="599"/>
      <c r="DR123" s="599"/>
      <c r="DS123" s="599"/>
      <c r="DT123" s="599"/>
      <c r="DU123" s="599"/>
      <c r="DV123" s="599"/>
      <c r="DW123" s="599"/>
      <c r="DX123" s="890"/>
      <c r="DY123" s="890"/>
      <c r="DZ123" s="890"/>
      <c r="EA123" s="890"/>
      <c r="EB123" s="890"/>
      <c r="EC123" s="890"/>
      <c r="ED123" s="890"/>
      <c r="EE123" s="890"/>
      <c r="EF123" s="890"/>
      <c r="EG123" s="890"/>
      <c r="EH123" s="890"/>
      <c r="EI123" s="890"/>
      <c r="EJ123" s="890"/>
      <c r="EK123" s="890"/>
    </row>
    <row r="124" spans="1:141" hidden="1" outlineLevel="1">
      <c r="A124" s="839"/>
      <c r="B124" s="839"/>
      <c r="C124" s="839"/>
      <c r="D124" s="839"/>
      <c r="E124" s="839"/>
      <c r="F124" s="839"/>
      <c r="G124" s="839"/>
      <c r="H124" s="839"/>
      <c r="I124" s="839"/>
      <c r="J124" s="839"/>
      <c r="K124" s="839"/>
      <c r="L124" s="839"/>
      <c r="M124" s="839"/>
      <c r="N124" s="839"/>
      <c r="O124" s="839"/>
      <c r="P124" s="839"/>
      <c r="Q124" s="839"/>
      <c r="R124" s="839"/>
      <c r="S124" s="839"/>
      <c r="T124" s="839"/>
      <c r="U124" s="839"/>
      <c r="V124" s="839"/>
      <c r="W124" s="839"/>
      <c r="X124" s="839"/>
      <c r="Y124" s="839"/>
      <c r="Z124" s="839"/>
      <c r="AA124" s="839"/>
      <c r="AB124" s="839"/>
      <c r="AC124" s="839"/>
      <c r="AD124" s="839"/>
      <c r="AE124" s="839"/>
      <c r="AF124" s="839"/>
      <c r="AG124" s="839"/>
      <c r="AH124" s="839"/>
      <c r="AI124" s="839"/>
      <c r="AJ124" s="839"/>
      <c r="AK124" s="839"/>
      <c r="AL124" s="839"/>
      <c r="AM124" s="839"/>
      <c r="AN124" s="839"/>
      <c r="AO124" s="839"/>
      <c r="AP124" s="839"/>
      <c r="AQ124" s="839"/>
      <c r="AR124" s="839"/>
      <c r="AS124" s="839"/>
      <c r="AT124" s="839"/>
      <c r="AU124" s="839"/>
      <c r="AV124" s="839"/>
      <c r="AW124" s="839"/>
      <c r="AX124" s="839"/>
      <c r="AY124" s="839"/>
      <c r="AZ124" s="839"/>
      <c r="BA124" s="839"/>
      <c r="BB124" s="839"/>
      <c r="BC124" s="839"/>
      <c r="BD124" s="839"/>
      <c r="BE124" s="839"/>
      <c r="BF124" s="839"/>
      <c r="BG124" s="839"/>
      <c r="BH124" s="839"/>
      <c r="BI124" s="839"/>
      <c r="BJ124" s="839"/>
      <c r="BK124" s="839"/>
      <c r="BL124" s="839"/>
      <c r="BM124" s="839"/>
      <c r="BN124" s="839"/>
      <c r="BO124" s="839"/>
      <c r="BP124" s="839"/>
      <c r="BQ124" s="839"/>
      <c r="BR124" s="839"/>
      <c r="BS124" s="839"/>
      <c r="BT124" s="839"/>
      <c r="BU124" s="839"/>
      <c r="BV124" s="839"/>
      <c r="BW124" s="839"/>
      <c r="BX124" s="839"/>
      <c r="BY124" s="839"/>
      <c r="BZ124" s="839"/>
      <c r="CA124" s="839"/>
      <c r="CB124" s="839"/>
      <c r="CC124" s="839"/>
      <c r="CD124" s="839"/>
      <c r="CE124" s="839"/>
      <c r="CF124" s="839"/>
      <c r="CG124" s="839"/>
      <c r="CH124" s="839"/>
      <c r="CI124" s="839"/>
      <c r="CJ124" s="839"/>
      <c r="CK124" s="839"/>
      <c r="CL124" s="839"/>
      <c r="CM124" s="839"/>
      <c r="CN124" s="839"/>
      <c r="CO124" s="839"/>
      <c r="CP124" s="839"/>
      <c r="CQ124" s="839"/>
      <c r="CR124" s="839"/>
      <c r="CS124" s="839"/>
      <c r="CT124" s="839"/>
      <c r="CU124" s="839"/>
      <c r="CV124" s="839"/>
      <c r="CW124" s="839"/>
      <c r="CX124" s="839"/>
      <c r="CY124" s="839"/>
      <c r="CZ124" s="839"/>
      <c r="DA124" s="839"/>
      <c r="DB124" s="839"/>
      <c r="DC124" s="839"/>
      <c r="DD124" s="839"/>
      <c r="DE124" s="839"/>
      <c r="DF124" s="839"/>
      <c r="DG124" s="839"/>
      <c r="DH124" s="839"/>
      <c r="DI124" s="839"/>
      <c r="DJ124" s="839"/>
      <c r="DK124" s="839"/>
      <c r="DL124" s="839"/>
      <c r="DM124" s="839"/>
      <c r="DN124" s="839"/>
      <c r="DO124" s="839"/>
      <c r="DP124" s="839"/>
      <c r="DQ124" s="839"/>
      <c r="DR124" s="839"/>
      <c r="DS124" s="839"/>
      <c r="DT124" s="839"/>
      <c r="DU124" s="839"/>
      <c r="DV124" s="839"/>
      <c r="DW124" s="839"/>
      <c r="DX124" s="839"/>
      <c r="DY124" s="839"/>
      <c r="DZ124" s="839"/>
      <c r="EA124" s="839"/>
      <c r="EB124" s="839"/>
      <c r="EC124" s="839"/>
      <c r="ED124" s="839"/>
      <c r="EE124" s="839"/>
      <c r="EF124" s="839"/>
      <c r="EG124" s="839"/>
      <c r="EH124" s="839"/>
      <c r="EI124" s="839"/>
      <c r="EJ124" s="839"/>
      <c r="EK124" s="839"/>
    </row>
    <row r="125" spans="1:141" hidden="1" outlineLevel="1">
      <c r="A125" s="843"/>
      <c r="B125" s="891" t="s">
        <v>631</v>
      </c>
      <c r="C125" s="839"/>
      <c r="D125" s="843"/>
      <c r="E125" s="839"/>
      <c r="F125" s="839"/>
      <c r="G125" s="839"/>
      <c r="H125" s="839"/>
      <c r="I125" s="839"/>
      <c r="J125" s="839"/>
      <c r="K125" s="839"/>
      <c r="L125" s="839"/>
      <c r="M125" s="839"/>
      <c r="N125" s="839"/>
      <c r="O125" s="839"/>
      <c r="P125" s="839"/>
      <c r="Q125" s="839"/>
      <c r="R125" s="839"/>
      <c r="S125" s="839"/>
      <c r="T125" s="839"/>
      <c r="U125" s="839"/>
      <c r="V125" s="839"/>
      <c r="W125" s="839"/>
      <c r="X125" s="839"/>
      <c r="Y125" s="839"/>
      <c r="Z125" s="839"/>
      <c r="AA125" s="839"/>
      <c r="AB125" s="839"/>
      <c r="AC125" s="839"/>
      <c r="AD125" s="839"/>
      <c r="AE125" s="839"/>
      <c r="AF125" s="839"/>
      <c r="AG125" s="839"/>
      <c r="AH125" s="839"/>
      <c r="AI125" s="839"/>
      <c r="AJ125" s="839"/>
      <c r="AK125" s="839"/>
      <c r="AL125" s="839"/>
      <c r="AM125" s="839"/>
      <c r="AN125" s="839"/>
      <c r="AO125" s="839"/>
      <c r="AP125" s="839"/>
      <c r="AQ125" s="839"/>
      <c r="AR125" s="877"/>
      <c r="AS125" s="839"/>
      <c r="AT125" s="839"/>
      <c r="AU125" s="839"/>
      <c r="AV125" s="839"/>
      <c r="AW125" s="839"/>
      <c r="AX125" s="839"/>
      <c r="AY125" s="839"/>
      <c r="AZ125" s="839"/>
      <c r="BA125" s="839"/>
      <c r="BB125" s="839"/>
      <c r="BC125" s="839"/>
      <c r="BD125" s="839"/>
      <c r="BE125" s="839"/>
      <c r="BF125" s="839"/>
      <c r="BG125" s="839"/>
      <c r="BH125" s="839"/>
      <c r="BI125" s="839"/>
      <c r="BJ125" s="839"/>
      <c r="BK125" s="839"/>
      <c r="BL125" s="839"/>
      <c r="BM125" s="839"/>
      <c r="BN125" s="839"/>
      <c r="BO125" s="839"/>
      <c r="BP125" s="839"/>
      <c r="BQ125" s="839"/>
      <c r="BR125" s="839"/>
      <c r="BS125" s="839"/>
      <c r="BT125" s="839"/>
      <c r="BU125" s="839"/>
      <c r="BV125" s="839"/>
      <c r="BW125" s="839"/>
      <c r="BX125" s="839"/>
      <c r="BY125" s="839"/>
      <c r="BZ125" s="839"/>
      <c r="CA125" s="839"/>
      <c r="CB125" s="839"/>
      <c r="CC125" s="839"/>
      <c r="CD125" s="839"/>
      <c r="CE125" s="839"/>
      <c r="CF125" s="839"/>
      <c r="CG125" s="839"/>
      <c r="CH125" s="839"/>
      <c r="CI125" s="839"/>
      <c r="CJ125" s="839"/>
      <c r="CK125" s="839"/>
      <c r="CL125" s="839"/>
      <c r="CM125" s="839"/>
      <c r="CN125" s="839"/>
      <c r="CO125" s="839"/>
      <c r="CP125" s="839"/>
      <c r="CQ125" s="839"/>
      <c r="CR125" s="839"/>
      <c r="CS125" s="839"/>
      <c r="CT125" s="839"/>
      <c r="CU125" s="839"/>
      <c r="CV125" s="839"/>
      <c r="CW125" s="839"/>
      <c r="CX125" s="839"/>
      <c r="CY125" s="839"/>
      <c r="CZ125" s="839"/>
      <c r="DA125" s="839"/>
      <c r="DB125" s="839"/>
      <c r="DC125" s="839"/>
      <c r="DD125" s="839"/>
      <c r="DE125" s="839"/>
      <c r="DF125" s="839"/>
      <c r="DG125" s="839"/>
      <c r="DH125" s="839"/>
      <c r="DI125" s="839"/>
      <c r="DJ125" s="839"/>
      <c r="DK125" s="839"/>
      <c r="DL125" s="839"/>
      <c r="DM125" s="839"/>
      <c r="DN125" s="839"/>
      <c r="DO125" s="839"/>
      <c r="DP125" s="839"/>
      <c r="DQ125" s="839"/>
      <c r="DR125" s="839"/>
      <c r="DS125" s="839"/>
      <c r="DT125" s="839"/>
      <c r="DU125" s="839"/>
      <c r="DV125" s="839"/>
      <c r="DW125" s="839"/>
      <c r="DX125" s="839"/>
      <c r="DY125" s="839"/>
      <c r="DZ125" s="839"/>
      <c r="EA125" s="839"/>
      <c r="EB125" s="839"/>
      <c r="EC125" s="839"/>
      <c r="ED125" s="839"/>
      <c r="EE125" s="839"/>
      <c r="EF125" s="839"/>
      <c r="EG125" s="839"/>
      <c r="EH125" s="839"/>
      <c r="EI125" s="839"/>
      <c r="EJ125" s="839"/>
      <c r="EK125" s="839"/>
    </row>
    <row r="126" spans="1:141" hidden="1" outlineLevel="1">
      <c r="A126" s="839"/>
      <c r="B126" s="839"/>
      <c r="C126" s="839"/>
      <c r="D126" s="839"/>
      <c r="E126" s="839"/>
      <c r="F126" s="839"/>
      <c r="G126" s="839"/>
      <c r="H126" s="839"/>
      <c r="I126" s="839"/>
      <c r="J126" s="839"/>
      <c r="K126" s="839"/>
      <c r="L126" s="839"/>
      <c r="M126" s="839"/>
      <c r="N126" s="839"/>
      <c r="O126" s="839"/>
      <c r="P126" s="839"/>
      <c r="Q126" s="839"/>
      <c r="R126" s="839"/>
      <c r="S126" s="839"/>
      <c r="T126" s="839"/>
      <c r="U126" s="839"/>
      <c r="V126" s="839"/>
      <c r="W126" s="839"/>
      <c r="X126" s="839"/>
      <c r="Y126" s="839"/>
      <c r="Z126" s="839"/>
      <c r="AA126" s="839"/>
      <c r="AB126" s="839"/>
      <c r="AC126" s="839"/>
      <c r="AD126" s="839"/>
      <c r="AE126" s="839"/>
      <c r="AF126" s="839"/>
      <c r="AG126" s="839"/>
      <c r="AH126" s="839"/>
      <c r="AI126" s="839"/>
      <c r="AJ126" s="839"/>
      <c r="AK126" s="839"/>
      <c r="AL126" s="839"/>
      <c r="AM126" s="839"/>
      <c r="AN126" s="839"/>
      <c r="AO126" s="839"/>
      <c r="AP126" s="839"/>
      <c r="AQ126" s="839"/>
      <c r="AR126" s="877"/>
      <c r="AS126" s="839"/>
      <c r="AT126" s="839"/>
      <c r="AU126" s="839"/>
      <c r="AV126" s="839"/>
      <c r="AW126" s="839"/>
      <c r="AX126" s="839"/>
      <c r="AY126" s="839"/>
      <c r="AZ126" s="839"/>
      <c r="BA126" s="839"/>
      <c r="BB126" s="839"/>
      <c r="BC126" s="839"/>
      <c r="BD126" s="839"/>
      <c r="BE126" s="839"/>
      <c r="BF126" s="839"/>
      <c r="BG126" s="839"/>
      <c r="BH126" s="839"/>
      <c r="BI126" s="839"/>
      <c r="BJ126" s="839"/>
      <c r="BK126" s="839"/>
      <c r="BL126" s="839"/>
      <c r="BM126" s="839"/>
      <c r="BN126" s="839"/>
      <c r="BO126" s="839"/>
      <c r="BP126" s="839"/>
      <c r="BQ126" s="839"/>
      <c r="BR126" s="839"/>
      <c r="BS126" s="839"/>
      <c r="BT126" s="839"/>
      <c r="BU126" s="839"/>
      <c r="BV126" s="839"/>
      <c r="BW126" s="839"/>
      <c r="BX126" s="839"/>
      <c r="BY126" s="839"/>
      <c r="BZ126" s="839"/>
      <c r="CA126" s="839"/>
      <c r="CB126" s="839"/>
      <c r="CC126" s="839"/>
      <c r="CD126" s="839"/>
      <c r="CE126" s="839"/>
      <c r="CF126" s="839"/>
      <c r="CG126" s="839"/>
      <c r="CH126" s="839"/>
      <c r="CI126" s="839"/>
      <c r="CJ126" s="839"/>
      <c r="CK126" s="839"/>
      <c r="CL126" s="839"/>
      <c r="CM126" s="839"/>
      <c r="CN126" s="839"/>
      <c r="CO126" s="839"/>
      <c r="CP126" s="839"/>
      <c r="CQ126" s="839"/>
      <c r="CR126" s="839"/>
      <c r="CS126" s="839"/>
      <c r="CT126" s="839"/>
      <c r="CU126" s="839"/>
      <c r="CV126" s="839"/>
      <c r="CW126" s="839"/>
      <c r="CX126" s="839"/>
      <c r="CY126" s="839"/>
      <c r="CZ126" s="839"/>
      <c r="DA126" s="839"/>
      <c r="DB126" s="839"/>
      <c r="DC126" s="839"/>
      <c r="DD126" s="839"/>
      <c r="DE126" s="839"/>
      <c r="DF126" s="839"/>
      <c r="DG126" s="839"/>
      <c r="DH126" s="839"/>
      <c r="DI126" s="839"/>
      <c r="DJ126" s="839"/>
      <c r="DK126" s="839"/>
      <c r="DL126" s="839"/>
      <c r="DM126" s="839"/>
      <c r="DN126" s="839"/>
      <c r="DO126" s="839"/>
      <c r="DP126" s="839"/>
      <c r="DQ126" s="839"/>
      <c r="DR126" s="839"/>
      <c r="DS126" s="839"/>
      <c r="DT126" s="839"/>
      <c r="DU126" s="839"/>
      <c r="DV126" s="839"/>
      <c r="DW126" s="839"/>
      <c r="DX126" s="890">
        <f>+DZ33</f>
        <v>1999</v>
      </c>
      <c r="DY126" s="890"/>
      <c r="DZ126" s="890">
        <f t="shared" ref="DZ126:EH126" si="75">+EA33</f>
        <v>2000</v>
      </c>
      <c r="EA126" s="890">
        <f t="shared" si="75"/>
        <v>2001</v>
      </c>
      <c r="EB126" s="890">
        <f t="shared" si="75"/>
        <v>2002</v>
      </c>
      <c r="EC126" s="890">
        <f t="shared" si="75"/>
        <v>2003</v>
      </c>
      <c r="ED126" s="890">
        <f t="shared" si="75"/>
        <v>2004</v>
      </c>
      <c r="EE126" s="890">
        <f t="shared" si="75"/>
        <v>2005</v>
      </c>
      <c r="EF126" s="890">
        <f t="shared" si="75"/>
        <v>2006</v>
      </c>
      <c r="EG126" s="890">
        <f t="shared" si="75"/>
        <v>2007</v>
      </c>
      <c r="EH126" s="890">
        <f t="shared" si="75"/>
        <v>2008</v>
      </c>
      <c r="EI126" s="839"/>
      <c r="EJ126" s="839"/>
      <c r="EK126" s="839"/>
    </row>
    <row r="127" spans="1:141" hidden="1" outlineLevel="1">
      <c r="A127" s="840" t="s">
        <v>828</v>
      </c>
      <c r="B127" s="839"/>
      <c r="C127" s="839"/>
      <c r="D127" s="841">
        <v>4</v>
      </c>
      <c r="E127" s="839"/>
      <c r="F127" s="842"/>
      <c r="G127" s="839"/>
      <c r="H127" s="851"/>
      <c r="I127" s="839" t="s">
        <v>1084</v>
      </c>
      <c r="J127" s="852" t="str">
        <f>+segmthSales!J34</f>
        <v>3/2</v>
      </c>
      <c r="K127" s="839"/>
      <c r="L127" s="851"/>
      <c r="M127" s="839" t="s">
        <v>1084</v>
      </c>
      <c r="N127" s="852" t="str">
        <f>+segmthSales!N34</f>
        <v xml:space="preserve"> 2/29</v>
      </c>
      <c r="O127" s="839"/>
      <c r="P127" s="851"/>
      <c r="Q127" s="839" t="s">
        <v>1084</v>
      </c>
      <c r="R127" s="852" t="str">
        <f>+segmthSales!R34</f>
        <v xml:space="preserve"> 2/27</v>
      </c>
      <c r="S127" s="839"/>
      <c r="T127" s="851"/>
      <c r="U127" s="839" t="s">
        <v>1084</v>
      </c>
      <c r="V127" s="852" t="str">
        <f>+segmthSales!V34</f>
        <v>2/28</v>
      </c>
      <c r="W127" s="839"/>
      <c r="X127" s="851"/>
      <c r="Y127" s="839" t="s">
        <v>1084</v>
      </c>
      <c r="Z127" s="852" t="str">
        <f>+segmthSales!Z34</f>
        <v>2/25</v>
      </c>
      <c r="AA127" s="839"/>
      <c r="AB127" s="851"/>
      <c r="AC127" s="839" t="s">
        <v>1084</v>
      </c>
      <c r="AD127" s="852" t="str">
        <f>+segmthSales!AD34</f>
        <v>3/2</v>
      </c>
      <c r="AE127" s="839"/>
      <c r="AF127" s="851"/>
      <c r="AG127" s="839" t="s">
        <v>1084</v>
      </c>
      <c r="AH127" s="852" t="str">
        <f>+segmthSales!AH34</f>
        <v>3/2</v>
      </c>
      <c r="AI127" s="839"/>
      <c r="AJ127" s="853"/>
      <c r="AK127" s="839" t="s">
        <v>1084</v>
      </c>
      <c r="AL127" s="852" t="str">
        <f>+segmthSales!AL34</f>
        <v>2/28</v>
      </c>
      <c r="AM127" s="839"/>
      <c r="AN127" s="853"/>
      <c r="AO127" s="839" t="s">
        <v>1084</v>
      </c>
      <c r="AP127" s="852" t="str">
        <f>+segmthSales!AP34</f>
        <v>2/27</v>
      </c>
      <c r="AQ127" s="839"/>
      <c r="AR127" s="853">
        <v>15</v>
      </c>
      <c r="AS127" s="839" t="s">
        <v>1084</v>
      </c>
      <c r="AT127" s="852" t="str">
        <f>+segmthSales!AT34</f>
        <v>2/26</v>
      </c>
      <c r="AU127" s="839"/>
      <c r="AV127" s="853">
        <v>4</v>
      </c>
      <c r="AW127" s="839" t="s">
        <v>1084</v>
      </c>
      <c r="AX127" s="852" t="str">
        <f>+segmthSales!AX34</f>
        <v>3/3</v>
      </c>
      <c r="AY127" s="839"/>
      <c r="AZ127" s="853">
        <v>1</v>
      </c>
      <c r="BA127" s="839" t="s">
        <v>1084</v>
      </c>
      <c r="BB127" s="852" t="str">
        <f>+segmthSales!BB34</f>
        <v>3/2</v>
      </c>
      <c r="BC127" s="839"/>
      <c r="BD127" s="853">
        <v>5</v>
      </c>
      <c r="BE127" s="839" t="s">
        <v>1084</v>
      </c>
      <c r="BF127" s="854">
        <f>+segmthSales!BF34</f>
        <v>37681</v>
      </c>
      <c r="BG127" s="839"/>
      <c r="BH127" s="853">
        <v>-7</v>
      </c>
      <c r="BI127" s="839" t="s">
        <v>1084</v>
      </c>
      <c r="BJ127" s="854">
        <f>+segmthSales!BJ34</f>
        <v>38046</v>
      </c>
      <c r="BK127" s="839"/>
      <c r="BL127" s="853">
        <v>-6</v>
      </c>
      <c r="BM127" s="839" t="s">
        <v>1084</v>
      </c>
      <c r="BN127" s="854">
        <f>+segmthSales!BN34</f>
        <v>38409</v>
      </c>
      <c r="BO127" s="839"/>
      <c r="BP127" s="853">
        <v>-20</v>
      </c>
      <c r="BQ127" s="839" t="s">
        <v>1084</v>
      </c>
      <c r="BR127" s="854">
        <f>+segmthSales!BR34</f>
        <v>38408</v>
      </c>
      <c r="BS127" s="839"/>
      <c r="BT127" s="853">
        <v>9</v>
      </c>
      <c r="BU127" s="839" t="s">
        <v>1084</v>
      </c>
      <c r="BV127" s="854">
        <f>+segmthSales!BV34</f>
        <v>39144</v>
      </c>
      <c r="BW127" s="839"/>
      <c r="BX127" s="853">
        <v>8</v>
      </c>
      <c r="BY127" s="839" t="s">
        <v>1084</v>
      </c>
      <c r="BZ127" s="854"/>
      <c r="CA127" s="839"/>
      <c r="CB127" s="853"/>
      <c r="CC127" s="839"/>
      <c r="CD127" s="854"/>
      <c r="CE127" s="839"/>
      <c r="CF127" s="853"/>
      <c r="CG127" s="839"/>
      <c r="CH127" s="854"/>
      <c r="CI127" s="839"/>
      <c r="CJ127" s="853"/>
      <c r="CK127" s="839"/>
      <c r="CL127" s="854"/>
      <c r="CM127" s="839"/>
      <c r="CN127" s="853"/>
      <c r="CO127" s="839"/>
      <c r="CP127" s="854"/>
      <c r="CQ127" s="839"/>
      <c r="CR127" s="853"/>
      <c r="CS127" s="839"/>
      <c r="CT127" s="839"/>
      <c r="CU127" s="839"/>
      <c r="CV127" s="839"/>
      <c r="CW127" s="839"/>
      <c r="CX127" s="839"/>
      <c r="CY127" s="839"/>
      <c r="CZ127" s="839"/>
      <c r="DA127" s="839"/>
      <c r="DB127" s="839"/>
      <c r="DC127" s="839"/>
      <c r="DD127" s="839"/>
      <c r="DE127" s="839"/>
      <c r="DF127" s="839"/>
      <c r="DG127" s="839"/>
      <c r="DH127" s="839"/>
      <c r="DI127" s="839"/>
      <c r="DJ127" s="839"/>
      <c r="DK127" s="839"/>
      <c r="DL127" s="839"/>
      <c r="DM127" s="839"/>
      <c r="DN127" s="839"/>
      <c r="DO127" s="839"/>
      <c r="DP127" s="839"/>
      <c r="DQ127" s="839"/>
      <c r="DR127" s="839"/>
      <c r="DS127" s="839"/>
      <c r="DT127" s="839"/>
      <c r="DU127" s="839"/>
      <c r="DV127" s="839"/>
      <c r="DW127" s="839"/>
      <c r="DX127" s="892">
        <v>0.3</v>
      </c>
      <c r="DY127" s="892"/>
      <c r="DZ127" s="892">
        <v>0.3</v>
      </c>
      <c r="EA127" s="892">
        <v>0.3</v>
      </c>
      <c r="EB127" s="892">
        <v>0.3</v>
      </c>
      <c r="EC127" s="892">
        <v>0.3</v>
      </c>
      <c r="ED127" s="892">
        <v>0.3</v>
      </c>
      <c r="EE127" s="892">
        <v>0.3</v>
      </c>
      <c r="EF127" s="892">
        <v>0.3</v>
      </c>
      <c r="EG127" s="892">
        <v>0.3</v>
      </c>
      <c r="EH127" s="892">
        <v>0.3</v>
      </c>
      <c r="EI127" s="839"/>
      <c r="EJ127" s="839"/>
      <c r="EK127" s="839"/>
    </row>
    <row r="128" spans="1:141" hidden="1" outlineLevel="1">
      <c r="A128" s="840" t="s">
        <v>829</v>
      </c>
      <c r="B128" s="839"/>
      <c r="C128" s="839"/>
      <c r="D128" s="841">
        <v>5</v>
      </c>
      <c r="E128" s="839"/>
      <c r="F128" s="856"/>
      <c r="G128" s="839"/>
      <c r="H128" s="851"/>
      <c r="I128" s="839"/>
      <c r="J128" s="852" t="str">
        <f>+segmthSales!J35</f>
        <v>4/6</v>
      </c>
      <c r="K128" s="839"/>
      <c r="L128" s="851"/>
      <c r="M128" s="839"/>
      <c r="N128" s="852" t="str">
        <f>+segmthSales!N35</f>
        <v xml:space="preserve"> 4/4</v>
      </c>
      <c r="O128" s="839"/>
      <c r="P128" s="851"/>
      <c r="Q128" s="839"/>
      <c r="R128" s="852" t="str">
        <f>+segmthSales!R35</f>
        <v xml:space="preserve"> 4/3</v>
      </c>
      <c r="S128" s="839"/>
      <c r="T128" s="851"/>
      <c r="U128" s="839"/>
      <c r="V128" s="852" t="str">
        <f>+segmthSales!V35</f>
        <v>4/2</v>
      </c>
      <c r="W128" s="839"/>
      <c r="X128" s="851"/>
      <c r="Y128" s="839"/>
      <c r="Z128" s="852" t="str">
        <f>+segmthSales!Z35</f>
        <v>4/1</v>
      </c>
      <c r="AA128" s="839"/>
      <c r="AB128" s="851"/>
      <c r="AC128" s="839"/>
      <c r="AD128" s="852" t="str">
        <f>+segmthSales!AD35</f>
        <v>4/6</v>
      </c>
      <c r="AE128" s="839"/>
      <c r="AF128" s="851"/>
      <c r="AG128" s="839"/>
      <c r="AH128" s="852" t="str">
        <f>+segmthSales!AH35</f>
        <v>4/5</v>
      </c>
      <c r="AI128" s="839"/>
      <c r="AJ128" s="853"/>
      <c r="AK128" s="839"/>
      <c r="AL128" s="852" t="str">
        <f>+segmthSales!AL35</f>
        <v>4/4</v>
      </c>
      <c r="AM128" s="839"/>
      <c r="AN128" s="853"/>
      <c r="AO128" s="839"/>
      <c r="AP128" s="852" t="str">
        <f>+segmthSales!AP35</f>
        <v>4/3</v>
      </c>
      <c r="AQ128" s="839"/>
      <c r="AR128" s="853">
        <v>21</v>
      </c>
      <c r="AS128" s="839"/>
      <c r="AT128" s="852" t="str">
        <f>+segmthSales!AT35</f>
        <v>4/1</v>
      </c>
      <c r="AU128" s="839"/>
      <c r="AV128" s="853">
        <v>10</v>
      </c>
      <c r="AW128" s="839"/>
      <c r="AX128" s="852" t="str">
        <f>+segmthSales!AX35</f>
        <v>4/7</v>
      </c>
      <c r="AY128" s="839"/>
      <c r="AZ128" s="853">
        <v>0</v>
      </c>
      <c r="BA128" s="839"/>
      <c r="BB128" s="852" t="str">
        <f>+segmthSales!BB35</f>
        <v>4/6</v>
      </c>
      <c r="BC128" s="839"/>
      <c r="BD128" s="853">
        <v>11</v>
      </c>
      <c r="BE128" s="839"/>
      <c r="BF128" s="854">
        <f>+segmthSales!BF35</f>
        <v>37716</v>
      </c>
      <c r="BG128" s="839"/>
      <c r="BH128" s="853">
        <v>-3</v>
      </c>
      <c r="BI128" s="839"/>
      <c r="BJ128" s="854">
        <f>+segmthSales!BJ35</f>
        <v>38081</v>
      </c>
      <c r="BK128" s="839"/>
      <c r="BL128" s="853">
        <v>12</v>
      </c>
      <c r="BM128" s="839"/>
      <c r="BN128" s="854">
        <f>+segmthSales!BN35</f>
        <v>38444</v>
      </c>
      <c r="BO128" s="839"/>
      <c r="BP128" s="853">
        <v>-27</v>
      </c>
      <c r="BQ128" s="839"/>
      <c r="BR128" s="854">
        <f>+segmthSales!BR35</f>
        <v>38443</v>
      </c>
      <c r="BS128" s="839"/>
      <c r="BT128" s="853">
        <v>-2</v>
      </c>
      <c r="BU128" s="839"/>
      <c r="BV128" s="854">
        <f>+segmthSales!BV35</f>
        <v>39179</v>
      </c>
      <c r="BW128" s="839"/>
      <c r="BX128" s="853">
        <v>0</v>
      </c>
      <c r="BY128" s="839"/>
      <c r="BZ128" s="854"/>
      <c r="CA128" s="839"/>
      <c r="CB128" s="853"/>
      <c r="CC128" s="839"/>
      <c r="CD128" s="854"/>
      <c r="CE128" s="839"/>
      <c r="CF128" s="853"/>
      <c r="CG128" s="839"/>
      <c r="CH128" s="854"/>
      <c r="CI128" s="839"/>
      <c r="CJ128" s="853"/>
      <c r="CK128" s="839"/>
      <c r="CL128" s="854"/>
      <c r="CM128" s="839"/>
      <c r="CN128" s="853"/>
      <c r="CO128" s="839"/>
      <c r="CP128" s="854"/>
      <c r="CQ128" s="839"/>
      <c r="CR128" s="853"/>
      <c r="CS128" s="839"/>
      <c r="CT128" s="839"/>
      <c r="CU128" s="839"/>
      <c r="CV128" s="839"/>
      <c r="CW128" s="839"/>
      <c r="CX128" s="839"/>
      <c r="CY128" s="839"/>
      <c r="CZ128" s="839"/>
      <c r="DA128" s="839"/>
      <c r="DB128" s="839"/>
      <c r="DC128" s="839"/>
      <c r="DD128" s="839"/>
      <c r="DE128" s="839"/>
      <c r="DF128" s="839"/>
      <c r="DG128" s="839"/>
      <c r="DH128" s="839"/>
      <c r="DI128" s="839"/>
      <c r="DJ128" s="839"/>
      <c r="DK128" s="839"/>
      <c r="DL128" s="839"/>
      <c r="DM128" s="839"/>
      <c r="DN128" s="839"/>
      <c r="DO128" s="839"/>
      <c r="DP128" s="839"/>
      <c r="DQ128" s="839"/>
      <c r="DR128" s="839"/>
      <c r="DS128" s="839"/>
      <c r="DT128" s="839"/>
      <c r="DU128" s="839"/>
      <c r="DV128" s="839"/>
      <c r="DW128" s="839"/>
      <c r="DX128" s="892">
        <v>0.4</v>
      </c>
      <c r="DY128" s="892"/>
      <c r="DZ128" s="892">
        <v>0.4</v>
      </c>
      <c r="EA128" s="892">
        <v>0.4</v>
      </c>
      <c r="EB128" s="892">
        <v>0.4</v>
      </c>
      <c r="EC128" s="892">
        <v>0.4</v>
      </c>
      <c r="ED128" s="892">
        <v>0.4</v>
      </c>
      <c r="EE128" s="892">
        <v>0.4</v>
      </c>
      <c r="EF128" s="892">
        <v>0.4</v>
      </c>
      <c r="EG128" s="892">
        <v>0.4</v>
      </c>
      <c r="EH128" s="892">
        <v>0.4</v>
      </c>
      <c r="EI128" s="839"/>
      <c r="EJ128" s="839"/>
      <c r="EK128" s="839"/>
    </row>
    <row r="129" spans="1:141" hidden="1" outlineLevel="1">
      <c r="A129" s="840" t="s">
        <v>830</v>
      </c>
      <c r="B129" s="839"/>
      <c r="C129" s="839"/>
      <c r="D129" s="841">
        <v>4</v>
      </c>
      <c r="E129" s="839"/>
      <c r="F129" s="841"/>
      <c r="G129" s="839"/>
      <c r="H129" s="857"/>
      <c r="I129" s="839"/>
      <c r="J129" s="852" t="str">
        <f>+segmthSales!J36</f>
        <v>5/4</v>
      </c>
      <c r="K129" s="839"/>
      <c r="L129" s="857"/>
      <c r="M129" s="839"/>
      <c r="N129" s="852" t="str">
        <f>+segmthSales!N36</f>
        <v xml:space="preserve"> 5/2</v>
      </c>
      <c r="O129" s="839"/>
      <c r="P129" s="857"/>
      <c r="Q129" s="839"/>
      <c r="R129" s="852" t="str">
        <f>+segmthSales!R36</f>
        <v xml:space="preserve"> 5/1</v>
      </c>
      <c r="S129" s="839"/>
      <c r="T129" s="857"/>
      <c r="U129" s="839"/>
      <c r="V129" s="852" t="str">
        <f>+segmthSales!V36</f>
        <v>4/30</v>
      </c>
      <c r="W129" s="839"/>
      <c r="X129" s="857"/>
      <c r="Y129" s="839"/>
      <c r="Z129" s="852" t="str">
        <f>+segmthSales!Z36</f>
        <v>4/29</v>
      </c>
      <c r="AA129" s="839"/>
      <c r="AB129" s="857"/>
      <c r="AC129" s="839"/>
      <c r="AD129" s="852" t="str">
        <f>+segmthSales!AD36</f>
        <v>4/29</v>
      </c>
      <c r="AE129" s="839"/>
      <c r="AF129" s="857"/>
      <c r="AG129" s="839"/>
      <c r="AH129" s="852" t="str">
        <f>+segmthSales!AH36</f>
        <v>5/3</v>
      </c>
      <c r="AI129" s="839"/>
      <c r="AJ129" s="858"/>
      <c r="AK129" s="839"/>
      <c r="AL129" s="852" t="str">
        <f>+segmthSales!AL36</f>
        <v>5/2</v>
      </c>
      <c r="AM129" s="839"/>
      <c r="AN129" s="858"/>
      <c r="AO129" s="839"/>
      <c r="AP129" s="852" t="str">
        <f>+segmthSales!AP36</f>
        <v>5/1</v>
      </c>
      <c r="AQ129" s="839"/>
      <c r="AR129" s="858">
        <v>-2</v>
      </c>
      <c r="AS129" s="840"/>
      <c r="AT129" s="852" t="str">
        <f>+segmthSales!AT36</f>
        <v>4/29</v>
      </c>
      <c r="AU129" s="839"/>
      <c r="AV129" s="858">
        <v>17</v>
      </c>
      <c r="AW129" s="840"/>
      <c r="AX129" s="852" t="str">
        <f>+segmthSales!AX36</f>
        <v>5/5</v>
      </c>
      <c r="AY129" s="839"/>
      <c r="AZ129" s="858">
        <v>-1</v>
      </c>
      <c r="BA129" s="840"/>
      <c r="BB129" s="852" t="str">
        <f>+segmthSales!BB36</f>
        <v>5/4</v>
      </c>
      <c r="BC129" s="839"/>
      <c r="BD129" s="858">
        <v>5</v>
      </c>
      <c r="BE129" s="840"/>
      <c r="BF129" s="854">
        <f>+segmthSales!BF36</f>
        <v>37744</v>
      </c>
      <c r="BG129" s="839"/>
      <c r="BH129" s="858">
        <v>5</v>
      </c>
      <c r="BI129" s="840"/>
      <c r="BJ129" s="854">
        <f>+segmthSales!BJ36</f>
        <v>38109</v>
      </c>
      <c r="BK129" s="839"/>
      <c r="BL129" s="858">
        <v>-9</v>
      </c>
      <c r="BM129" s="840"/>
      <c r="BN129" s="854">
        <f>+segmthSales!BN36</f>
        <v>38472</v>
      </c>
      <c r="BO129" s="839"/>
      <c r="BP129" s="858">
        <v>-14</v>
      </c>
      <c r="BQ129" s="840"/>
      <c r="BR129" s="854">
        <f>+segmthSales!BR36</f>
        <v>38471</v>
      </c>
      <c r="BS129" s="839"/>
      <c r="BT129" s="858">
        <v>6</v>
      </c>
      <c r="BU129" s="840"/>
      <c r="BV129" s="854">
        <f>+segmthSales!BV36</f>
        <v>39207</v>
      </c>
      <c r="BW129" s="839"/>
      <c r="BX129" s="858">
        <v>9</v>
      </c>
      <c r="BY129" s="840"/>
      <c r="BZ129" s="854"/>
      <c r="CA129" s="839"/>
      <c r="CB129" s="858"/>
      <c r="CC129" s="840"/>
      <c r="CD129" s="854"/>
      <c r="CE129" s="839"/>
      <c r="CF129" s="858"/>
      <c r="CG129" s="840"/>
      <c r="CH129" s="854"/>
      <c r="CI129" s="839"/>
      <c r="CJ129" s="858"/>
      <c r="CK129" s="840"/>
      <c r="CL129" s="854"/>
      <c r="CM129" s="839"/>
      <c r="CN129" s="858"/>
      <c r="CO129" s="840"/>
      <c r="CP129" s="854"/>
      <c r="CQ129" s="839"/>
      <c r="CR129" s="858"/>
      <c r="CS129" s="840"/>
      <c r="CT129" s="840"/>
      <c r="CU129" s="840"/>
      <c r="CV129" s="840"/>
      <c r="CW129" s="840"/>
      <c r="CX129" s="840"/>
      <c r="CY129" s="840"/>
      <c r="CZ129" s="840"/>
      <c r="DA129" s="840"/>
      <c r="DB129" s="840"/>
      <c r="DC129" s="840"/>
      <c r="DD129" s="840"/>
      <c r="DE129" s="840"/>
      <c r="DF129" s="840"/>
      <c r="DG129" s="840"/>
      <c r="DH129" s="840"/>
      <c r="DI129" s="840"/>
      <c r="DJ129" s="840"/>
      <c r="DK129" s="840"/>
      <c r="DL129" s="840"/>
      <c r="DM129" s="840"/>
      <c r="DN129" s="840"/>
      <c r="DO129" s="840"/>
      <c r="DP129" s="840"/>
      <c r="DQ129" s="840"/>
      <c r="DR129" s="840"/>
      <c r="DS129" s="840"/>
      <c r="DT129" s="840"/>
      <c r="DU129" s="840"/>
      <c r="DV129" s="840"/>
      <c r="DW129" s="840"/>
      <c r="DX129" s="893">
        <f>1-DX128-DX127</f>
        <v>0.3</v>
      </c>
      <c r="DY129" s="893"/>
      <c r="DZ129" s="893">
        <f t="shared" ref="DZ129:EH129" si="76">1-DZ128-DZ127</f>
        <v>0.3</v>
      </c>
      <c r="EA129" s="893">
        <f t="shared" si="76"/>
        <v>0.3</v>
      </c>
      <c r="EB129" s="893">
        <f t="shared" si="76"/>
        <v>0.3</v>
      </c>
      <c r="EC129" s="893">
        <f t="shared" si="76"/>
        <v>0.3</v>
      </c>
      <c r="ED129" s="893">
        <f t="shared" si="76"/>
        <v>0.3</v>
      </c>
      <c r="EE129" s="893">
        <f t="shared" si="76"/>
        <v>0.3</v>
      </c>
      <c r="EF129" s="893">
        <f t="shared" si="76"/>
        <v>0.3</v>
      </c>
      <c r="EG129" s="893">
        <f t="shared" si="76"/>
        <v>0.3</v>
      </c>
      <c r="EH129" s="893">
        <f t="shared" si="76"/>
        <v>0.3</v>
      </c>
      <c r="EI129" s="839"/>
      <c r="EJ129" s="839"/>
      <c r="EK129" s="839"/>
    </row>
    <row r="130" spans="1:141" hidden="1" outlineLevel="1">
      <c r="A130" s="861"/>
      <c r="B130" s="862" t="s">
        <v>921</v>
      </c>
      <c r="C130" s="861"/>
      <c r="D130" s="863"/>
      <c r="E130" s="861"/>
      <c r="F130" s="863"/>
      <c r="G130" s="861"/>
      <c r="H130" s="864"/>
      <c r="I130" s="861"/>
      <c r="J130" s="863"/>
      <c r="K130" s="861"/>
      <c r="L130" s="864"/>
      <c r="M130" s="861"/>
      <c r="N130" s="863"/>
      <c r="O130" s="861"/>
      <c r="P130" s="864"/>
      <c r="Q130" s="861"/>
      <c r="R130" s="863"/>
      <c r="S130" s="861"/>
      <c r="T130" s="864"/>
      <c r="U130" s="861"/>
      <c r="V130" s="863"/>
      <c r="W130" s="861"/>
      <c r="X130" s="864"/>
      <c r="Y130" s="861"/>
      <c r="Z130" s="863"/>
      <c r="AA130" s="861"/>
      <c r="AB130" s="864"/>
      <c r="AC130" s="861"/>
      <c r="AD130" s="863"/>
      <c r="AE130" s="861"/>
      <c r="AF130" s="864"/>
      <c r="AG130" s="861"/>
      <c r="AH130" s="863"/>
      <c r="AI130" s="861"/>
      <c r="AJ130" s="894"/>
      <c r="AK130" s="861"/>
      <c r="AL130" s="863"/>
      <c r="AM130" s="861"/>
      <c r="AN130" s="894"/>
      <c r="AO130" s="861"/>
      <c r="AP130" s="863"/>
      <c r="AQ130" s="861"/>
      <c r="AR130" s="866">
        <v>12</v>
      </c>
      <c r="AS130" s="862"/>
      <c r="AT130" s="863"/>
      <c r="AU130" s="861"/>
      <c r="AV130" s="866">
        <v>10</v>
      </c>
      <c r="AW130" s="862"/>
      <c r="AX130" s="863"/>
      <c r="AY130" s="861"/>
      <c r="AZ130" s="866">
        <v>0</v>
      </c>
      <c r="BA130" s="862"/>
      <c r="BB130" s="863"/>
      <c r="BC130" s="861"/>
      <c r="BD130" s="866">
        <v>7</v>
      </c>
      <c r="BE130" s="862"/>
      <c r="BF130" s="867"/>
      <c r="BG130" s="861"/>
      <c r="BH130" s="866">
        <v>-2</v>
      </c>
      <c r="BI130" s="862"/>
      <c r="BJ130" s="867"/>
      <c r="BK130" s="861"/>
      <c r="BL130" s="866">
        <v>0</v>
      </c>
      <c r="BM130" s="862"/>
      <c r="BN130" s="867"/>
      <c r="BO130" s="861"/>
      <c r="BP130" s="866">
        <v>-21</v>
      </c>
      <c r="BQ130" s="862"/>
      <c r="BR130" s="867"/>
      <c r="BS130" s="861"/>
      <c r="BT130" s="866">
        <v>4</v>
      </c>
      <c r="BU130" s="862"/>
      <c r="BV130" s="867"/>
      <c r="BW130" s="861"/>
      <c r="BX130" s="866">
        <v>5</v>
      </c>
      <c r="BY130" s="862"/>
      <c r="BZ130" s="867"/>
      <c r="CA130" s="861"/>
      <c r="CB130" s="866"/>
      <c r="CC130" s="862"/>
      <c r="CD130" s="867"/>
      <c r="CE130" s="861"/>
      <c r="CF130" s="866"/>
      <c r="CG130" s="862"/>
      <c r="CH130" s="867"/>
      <c r="CI130" s="861"/>
      <c r="CJ130" s="866"/>
      <c r="CK130" s="862"/>
      <c r="CL130" s="867"/>
      <c r="CM130" s="861"/>
      <c r="CN130" s="866"/>
      <c r="CO130" s="862"/>
      <c r="CP130" s="867"/>
      <c r="CQ130" s="861"/>
      <c r="CR130" s="866"/>
      <c r="CS130" s="862"/>
      <c r="CT130" s="868"/>
      <c r="CU130" s="868"/>
      <c r="CV130" s="868"/>
      <c r="CW130" s="868"/>
      <c r="CX130" s="868"/>
      <c r="CY130" s="868"/>
      <c r="CZ130" s="868"/>
      <c r="DA130" s="868"/>
      <c r="DB130" s="868"/>
      <c r="DC130" s="868"/>
      <c r="DD130" s="868"/>
      <c r="DE130" s="868"/>
      <c r="DF130" s="868"/>
      <c r="DG130" s="868"/>
      <c r="DH130" s="868"/>
      <c r="DI130" s="868"/>
      <c r="DJ130" s="868"/>
      <c r="DK130" s="868"/>
      <c r="DL130" s="868"/>
      <c r="DM130" s="868"/>
      <c r="DN130" s="868"/>
      <c r="DO130" s="868"/>
      <c r="DP130" s="868"/>
      <c r="DQ130" s="868"/>
      <c r="DR130" s="868"/>
      <c r="DS130" s="868"/>
      <c r="DT130" s="868"/>
      <c r="DU130" s="868"/>
      <c r="DV130" s="868"/>
      <c r="DW130" s="868"/>
      <c r="DX130" s="855">
        <f>+AR127*DX127+AR128*DX128+AR129*DX129</f>
        <v>12.3</v>
      </c>
      <c r="DY130" s="855"/>
      <c r="DZ130" s="855">
        <f>+AV127*DZ127+AV128*DZ128+AV129*DZ129</f>
        <v>10.3</v>
      </c>
      <c r="EA130" s="855">
        <f>+AZ127*EA127+AZ128*EA128+AZ129*EA129</f>
        <v>0</v>
      </c>
      <c r="EB130" s="855">
        <f>+BD127*EB127+BD128*EB128+BD129*EB129</f>
        <v>7.4</v>
      </c>
      <c r="EC130" s="855">
        <f>+BH127*EC127+BH128*EC128+BH129*EC129</f>
        <v>-1.8000000000000003</v>
      </c>
      <c r="ED130" s="855">
        <f>+BL127*ED127+BL128*ED128+BL129*ED129</f>
        <v>0.30000000000000115</v>
      </c>
      <c r="EE130" s="855">
        <f>+BP127*EE127+BP128*EE128+BP129*EE129</f>
        <v>-21</v>
      </c>
      <c r="EF130" s="855">
        <f>+BT127*EF127+BT128*EF128+BT129*EF129</f>
        <v>3.6999999999999993</v>
      </c>
      <c r="EG130" s="855">
        <f>+BX127*EG127+BX128*EG128+BX129*EG129</f>
        <v>5.0999999999999996</v>
      </c>
      <c r="EH130" s="855"/>
      <c r="EI130" s="839"/>
      <c r="EJ130" s="839"/>
      <c r="EK130" s="839"/>
    </row>
    <row r="131" spans="1:141" hidden="1" outlineLevel="1">
      <c r="A131" s="871"/>
      <c r="B131" s="871"/>
      <c r="C131" s="871"/>
      <c r="D131" s="872"/>
      <c r="E131" s="871"/>
      <c r="F131" s="873"/>
      <c r="G131" s="871"/>
      <c r="H131" s="871"/>
      <c r="I131" s="871"/>
      <c r="J131" s="895"/>
      <c r="K131" s="871"/>
      <c r="L131" s="871"/>
      <c r="M131" s="871"/>
      <c r="N131" s="895"/>
      <c r="O131" s="871"/>
      <c r="P131" s="871"/>
      <c r="Q131" s="871"/>
      <c r="R131" s="895"/>
      <c r="S131" s="871"/>
      <c r="T131" s="871"/>
      <c r="U131" s="871"/>
      <c r="V131" s="895"/>
      <c r="W131" s="871"/>
      <c r="X131" s="871"/>
      <c r="Y131" s="871"/>
      <c r="Z131" s="895"/>
      <c r="AA131" s="871"/>
      <c r="AB131" s="871"/>
      <c r="AC131" s="871"/>
      <c r="AD131" s="895"/>
      <c r="AE131" s="871"/>
      <c r="AF131" s="871"/>
      <c r="AG131" s="871"/>
      <c r="AH131" s="895"/>
      <c r="AI131" s="871"/>
      <c r="AJ131" s="872"/>
      <c r="AK131" s="871"/>
      <c r="AL131" s="895"/>
      <c r="AM131" s="871"/>
      <c r="AN131" s="872"/>
      <c r="AO131" s="871"/>
      <c r="AP131" s="895"/>
      <c r="AQ131" s="871"/>
      <c r="AR131" s="872"/>
      <c r="AS131" s="871"/>
      <c r="AT131" s="895"/>
      <c r="AU131" s="871"/>
      <c r="AV131" s="872"/>
      <c r="AW131" s="871"/>
      <c r="AX131" s="895"/>
      <c r="AY131" s="871"/>
      <c r="AZ131" s="872"/>
      <c r="BA131" s="871"/>
      <c r="BB131" s="895"/>
      <c r="BC131" s="871"/>
      <c r="BD131" s="872"/>
      <c r="BE131" s="871"/>
      <c r="BF131" s="875"/>
      <c r="BG131" s="871"/>
      <c r="BH131" s="872"/>
      <c r="BI131" s="871"/>
      <c r="BJ131" s="875"/>
      <c r="BK131" s="871"/>
      <c r="BL131" s="872"/>
      <c r="BM131" s="871"/>
      <c r="BN131" s="875"/>
      <c r="BO131" s="871"/>
      <c r="BP131" s="872"/>
      <c r="BQ131" s="871"/>
      <c r="BR131" s="875"/>
      <c r="BS131" s="871"/>
      <c r="BT131" s="872"/>
      <c r="BU131" s="871"/>
      <c r="BV131" s="875"/>
      <c r="BW131" s="871"/>
      <c r="BX131" s="872"/>
      <c r="BY131" s="871"/>
      <c r="BZ131" s="875"/>
      <c r="CA131" s="871"/>
      <c r="CB131" s="872"/>
      <c r="CC131" s="871"/>
      <c r="CD131" s="875"/>
      <c r="CE131" s="871"/>
      <c r="CF131" s="872"/>
      <c r="CG131" s="871"/>
      <c r="CH131" s="875"/>
      <c r="CI131" s="871"/>
      <c r="CJ131" s="872"/>
      <c r="CK131" s="871"/>
      <c r="CL131" s="875"/>
      <c r="CM131" s="871"/>
      <c r="CN131" s="872"/>
      <c r="CO131" s="871"/>
      <c r="CP131" s="875"/>
      <c r="CQ131" s="871"/>
      <c r="CR131" s="872"/>
      <c r="CS131" s="871"/>
      <c r="CT131" s="876"/>
      <c r="CU131" s="876"/>
      <c r="CV131" s="876"/>
      <c r="CW131" s="876"/>
      <c r="CX131" s="876"/>
      <c r="CY131" s="876"/>
      <c r="CZ131" s="876"/>
      <c r="DA131" s="876"/>
      <c r="DB131" s="876"/>
      <c r="DC131" s="876"/>
      <c r="DD131" s="876"/>
      <c r="DE131" s="876"/>
      <c r="DF131" s="876"/>
      <c r="DG131" s="876"/>
      <c r="DH131" s="876"/>
      <c r="DI131" s="876"/>
      <c r="DJ131" s="876"/>
      <c r="DK131" s="876"/>
      <c r="DL131" s="876"/>
      <c r="DM131" s="876"/>
      <c r="DN131" s="876"/>
      <c r="DO131" s="876"/>
      <c r="DP131" s="876"/>
      <c r="DQ131" s="876"/>
      <c r="DR131" s="876"/>
      <c r="DS131" s="876"/>
      <c r="DT131" s="876"/>
      <c r="DU131" s="876"/>
      <c r="DV131" s="876"/>
      <c r="DW131" s="876"/>
      <c r="DX131" s="839"/>
      <c r="DY131" s="839"/>
      <c r="DZ131" s="839"/>
      <c r="EA131" s="839"/>
      <c r="EB131" s="839"/>
      <c r="EC131" s="839"/>
      <c r="ED131" s="839"/>
      <c r="EE131" s="839"/>
      <c r="EF131" s="839"/>
      <c r="EG131" s="839"/>
      <c r="EH131" s="839"/>
      <c r="EI131" s="839"/>
      <c r="EJ131" s="839"/>
      <c r="EK131" s="839"/>
    </row>
    <row r="132" spans="1:141" hidden="1" outlineLevel="1">
      <c r="A132" s="840" t="s">
        <v>831</v>
      </c>
      <c r="B132" s="839"/>
      <c r="C132" s="839"/>
      <c r="D132" s="877">
        <f>+D127</f>
        <v>4</v>
      </c>
      <c r="E132" s="839"/>
      <c r="F132" s="856"/>
      <c r="G132" s="839"/>
      <c r="H132" s="851"/>
      <c r="I132" s="839" t="s">
        <v>1084</v>
      </c>
      <c r="J132" s="852" t="str">
        <f>+segmthSales!J39</f>
        <v>6/1</v>
      </c>
      <c r="K132" s="839"/>
      <c r="L132" s="851"/>
      <c r="M132" s="839" t="s">
        <v>1084</v>
      </c>
      <c r="N132" s="852" t="str">
        <f>+segmthSales!N39</f>
        <v xml:space="preserve"> 5/30</v>
      </c>
      <c r="O132" s="839"/>
      <c r="P132" s="851"/>
      <c r="Q132" s="839" t="s">
        <v>1084</v>
      </c>
      <c r="R132" s="852" t="str">
        <f>+segmthSales!R39</f>
        <v xml:space="preserve"> 5/29</v>
      </c>
      <c r="S132" s="839"/>
      <c r="T132" s="851"/>
      <c r="U132" s="839" t="s">
        <v>1084</v>
      </c>
      <c r="V132" s="852" t="str">
        <f>+segmthSales!V39</f>
        <v>5/28</v>
      </c>
      <c r="W132" s="839"/>
      <c r="X132" s="851"/>
      <c r="Y132" s="839" t="s">
        <v>1084</v>
      </c>
      <c r="Z132" s="852" t="str">
        <f>+segmthSales!Z39</f>
        <v>5/27</v>
      </c>
      <c r="AA132" s="839"/>
      <c r="AB132" s="851"/>
      <c r="AC132" s="839" t="s">
        <v>1084</v>
      </c>
      <c r="AD132" s="852" t="str">
        <f>+segmthSales!AD39</f>
        <v>6/1</v>
      </c>
      <c r="AE132" s="839"/>
      <c r="AF132" s="851"/>
      <c r="AG132" s="839" t="s">
        <v>1084</v>
      </c>
      <c r="AH132" s="852" t="str">
        <f>+segmthSales!AH39</f>
        <v>5/31</v>
      </c>
      <c r="AI132" s="839"/>
      <c r="AJ132" s="896"/>
      <c r="AK132" s="839" t="s">
        <v>1084</v>
      </c>
      <c r="AL132" s="852" t="str">
        <f>+segmthSales!AL39</f>
        <v>5/30</v>
      </c>
      <c r="AM132" s="839"/>
      <c r="AN132" s="896"/>
      <c r="AO132" s="839" t="s">
        <v>1084</v>
      </c>
      <c r="AP132" s="852" t="str">
        <f>+segmthSales!AP39</f>
        <v>5/29</v>
      </c>
      <c r="AQ132" s="839"/>
      <c r="AR132" s="853">
        <v>6</v>
      </c>
      <c r="AS132" s="839" t="s">
        <v>1084</v>
      </c>
      <c r="AT132" s="852" t="str">
        <f>+segmthSales!AT39</f>
        <v>5/27</v>
      </c>
      <c r="AU132" s="839"/>
      <c r="AV132" s="853">
        <v>11</v>
      </c>
      <c r="AW132" s="839" t="s">
        <v>1084</v>
      </c>
      <c r="AX132" s="852" t="str">
        <f>+segmthSales!AX39</f>
        <v>6/2</v>
      </c>
      <c r="AY132" s="839"/>
      <c r="AZ132" s="853">
        <v>-9</v>
      </c>
      <c r="BA132" s="839" t="s">
        <v>1084</v>
      </c>
      <c r="BB132" s="852" t="str">
        <f>+segmthSales!BB39</f>
        <v>6/1</v>
      </c>
      <c r="BC132" s="839"/>
      <c r="BD132" s="853">
        <v>9</v>
      </c>
      <c r="BE132" s="839" t="s">
        <v>1084</v>
      </c>
      <c r="BF132" s="854">
        <f>+segmthSales!BF39</f>
        <v>37772</v>
      </c>
      <c r="BG132" s="839"/>
      <c r="BH132" s="853">
        <v>-1</v>
      </c>
      <c r="BI132" s="839" t="s">
        <v>1084</v>
      </c>
      <c r="BJ132" s="854">
        <f>+segmthSales!BJ39</f>
        <v>38137</v>
      </c>
      <c r="BK132" s="839"/>
      <c r="BL132" s="853">
        <v>0</v>
      </c>
      <c r="BM132" s="839" t="s">
        <v>1084</v>
      </c>
      <c r="BN132" s="854">
        <f>+segmthSales!BN39</f>
        <v>38500</v>
      </c>
      <c r="BO132" s="839"/>
      <c r="BP132" s="853">
        <v>-9</v>
      </c>
      <c r="BQ132" s="839" t="s">
        <v>1084</v>
      </c>
      <c r="BR132" s="854">
        <f>+segmthSales!BR39</f>
        <v>38499</v>
      </c>
      <c r="BS132" s="839"/>
      <c r="BT132" s="853">
        <v>-12</v>
      </c>
      <c r="BU132" s="839" t="s">
        <v>1084</v>
      </c>
      <c r="BV132" s="854">
        <f>+segmthSales!BV39</f>
        <v>39235</v>
      </c>
      <c r="BW132" s="839"/>
      <c r="BX132" s="853">
        <v>4</v>
      </c>
      <c r="BY132" s="839" t="s">
        <v>1084</v>
      </c>
      <c r="BZ132" s="854"/>
      <c r="CA132" s="839"/>
      <c r="CB132" s="853"/>
      <c r="CC132" s="839"/>
      <c r="CD132" s="854"/>
      <c r="CE132" s="839"/>
      <c r="CF132" s="853"/>
      <c r="CG132" s="839"/>
      <c r="CH132" s="854"/>
      <c r="CI132" s="839"/>
      <c r="CJ132" s="853"/>
      <c r="CK132" s="839"/>
      <c r="CL132" s="854"/>
      <c r="CM132" s="839"/>
      <c r="CN132" s="853"/>
      <c r="CO132" s="839"/>
      <c r="CP132" s="854"/>
      <c r="CQ132" s="839"/>
      <c r="CR132" s="853"/>
      <c r="CS132" s="839"/>
      <c r="CT132" s="839"/>
      <c r="CU132" s="839"/>
      <c r="CV132" s="839"/>
      <c r="CW132" s="839"/>
      <c r="CX132" s="839"/>
      <c r="CY132" s="839"/>
      <c r="CZ132" s="839"/>
      <c r="DA132" s="839"/>
      <c r="DB132" s="839"/>
      <c r="DC132" s="839"/>
      <c r="DD132" s="839"/>
      <c r="DE132" s="839"/>
      <c r="DF132" s="839"/>
      <c r="DG132" s="839"/>
      <c r="DH132" s="839"/>
      <c r="DI132" s="839"/>
      <c r="DJ132" s="839"/>
      <c r="DK132" s="839"/>
      <c r="DL132" s="839"/>
      <c r="DM132" s="839"/>
      <c r="DN132" s="839"/>
      <c r="DO132" s="839"/>
      <c r="DP132" s="839"/>
      <c r="DQ132" s="839"/>
      <c r="DR132" s="839"/>
      <c r="DS132" s="839"/>
      <c r="DT132" s="839"/>
      <c r="DU132" s="839"/>
      <c r="DV132" s="839"/>
      <c r="DW132" s="839"/>
      <c r="DX132" s="892">
        <v>0.35</v>
      </c>
      <c r="DY132" s="892"/>
      <c r="DZ132" s="892">
        <v>0.35</v>
      </c>
      <c r="EA132" s="892">
        <v>0.35</v>
      </c>
      <c r="EB132" s="892">
        <v>0.35</v>
      </c>
      <c r="EC132" s="892">
        <v>0.35</v>
      </c>
      <c r="ED132" s="892">
        <v>0.35</v>
      </c>
      <c r="EE132" s="892">
        <v>0.35</v>
      </c>
      <c r="EF132" s="892">
        <v>0.35</v>
      </c>
      <c r="EG132" s="892">
        <v>0.35</v>
      </c>
      <c r="EH132" s="892">
        <v>0.35</v>
      </c>
      <c r="EI132" s="839"/>
      <c r="EJ132" s="839"/>
      <c r="EK132" s="839"/>
    </row>
    <row r="133" spans="1:141" hidden="1" outlineLevel="1">
      <c r="A133" s="840" t="s">
        <v>652</v>
      </c>
      <c r="B133" s="839"/>
      <c r="C133" s="839"/>
      <c r="D133" s="877">
        <f>+D128</f>
        <v>5</v>
      </c>
      <c r="E133" s="839"/>
      <c r="F133" s="841"/>
      <c r="G133" s="839"/>
      <c r="H133" s="851"/>
      <c r="I133" s="839"/>
      <c r="J133" s="852" t="str">
        <f>+segmthSales!J40</f>
        <v>7/6</v>
      </c>
      <c r="K133" s="839"/>
      <c r="L133" s="851"/>
      <c r="M133" s="839"/>
      <c r="N133" s="852" t="str">
        <f>+segmthSales!N40</f>
        <v xml:space="preserve"> 7/4</v>
      </c>
      <c r="O133" s="839"/>
      <c r="P133" s="851"/>
      <c r="Q133" s="839"/>
      <c r="R133" s="852" t="str">
        <f>+segmthSales!R40</f>
        <v xml:space="preserve"> 7/3</v>
      </c>
      <c r="S133" s="839"/>
      <c r="T133" s="851"/>
      <c r="U133" s="839"/>
      <c r="V133" s="852" t="str">
        <f>+segmthSales!V40</f>
        <v>7/2</v>
      </c>
      <c r="W133" s="839"/>
      <c r="X133" s="851"/>
      <c r="Y133" s="839"/>
      <c r="Z133" s="852" t="str">
        <f>+segmthSales!Z40</f>
        <v>7/1</v>
      </c>
      <c r="AA133" s="839"/>
      <c r="AB133" s="851"/>
      <c r="AC133" s="839"/>
      <c r="AD133" s="852" t="str">
        <f>+segmthSales!AD40</f>
        <v>7/6</v>
      </c>
      <c r="AE133" s="839"/>
      <c r="AF133" s="851"/>
      <c r="AG133" s="839"/>
      <c r="AH133" s="852" t="str">
        <f>+segmthSales!AH40</f>
        <v>7/5</v>
      </c>
      <c r="AI133" s="839"/>
      <c r="AJ133" s="897"/>
      <c r="AK133" s="839"/>
      <c r="AL133" s="852" t="str">
        <f>+segmthSales!AL40</f>
        <v>7/4</v>
      </c>
      <c r="AM133" s="839"/>
      <c r="AN133" s="897"/>
      <c r="AO133" s="839"/>
      <c r="AP133" s="852" t="str">
        <f>+segmthSales!AP40</f>
        <v>7/3</v>
      </c>
      <c r="AQ133" s="839"/>
      <c r="AR133" s="853">
        <v>12</v>
      </c>
      <c r="AS133" s="839"/>
      <c r="AT133" s="852" t="str">
        <f>+segmthSales!AT40</f>
        <v>7/1</v>
      </c>
      <c r="AU133" s="839"/>
      <c r="AV133" s="853">
        <v>6</v>
      </c>
      <c r="AW133" s="839"/>
      <c r="AX133" s="852" t="str">
        <f>+segmthSales!AX40</f>
        <v>7/7</v>
      </c>
      <c r="AY133" s="839"/>
      <c r="AZ133" s="853">
        <v>-4</v>
      </c>
      <c r="BA133" s="839"/>
      <c r="BB133" s="852" t="str">
        <f>+segmthSales!BB40</f>
        <v>7/6</v>
      </c>
      <c r="BC133" s="839"/>
      <c r="BD133" s="853">
        <v>7</v>
      </c>
      <c r="BE133" s="839"/>
      <c r="BF133" s="854">
        <f>+segmthSales!BF40</f>
        <v>37807</v>
      </c>
      <c r="BG133" s="839"/>
      <c r="BH133" s="853">
        <v>5</v>
      </c>
      <c r="BI133" s="839"/>
      <c r="BJ133" s="854">
        <f>+segmthSales!BJ40</f>
        <v>38172</v>
      </c>
      <c r="BK133" s="839"/>
      <c r="BL133" s="853">
        <v>12</v>
      </c>
      <c r="BM133" s="839"/>
      <c r="BN133" s="854">
        <f>+segmthSales!BN40</f>
        <v>38535</v>
      </c>
      <c r="BO133" s="839"/>
      <c r="BP133" s="853">
        <v>-15</v>
      </c>
      <c r="BQ133" s="839"/>
      <c r="BR133" s="854">
        <f>+segmthSales!BR40</f>
        <v>38534</v>
      </c>
      <c r="BS133" s="839"/>
      <c r="BT133" s="853">
        <v>-12</v>
      </c>
      <c r="BU133" s="839"/>
      <c r="BV133" s="854">
        <f>+segmthSales!BV40</f>
        <v>39270</v>
      </c>
      <c r="BW133" s="839"/>
      <c r="BX133" s="853">
        <v>8</v>
      </c>
      <c r="BY133" s="839"/>
      <c r="BZ133" s="854"/>
      <c r="CA133" s="839"/>
      <c r="CB133" s="853"/>
      <c r="CC133" s="839"/>
      <c r="CD133" s="854"/>
      <c r="CE133" s="839"/>
      <c r="CF133" s="853"/>
      <c r="CG133" s="839"/>
      <c r="CH133" s="854"/>
      <c r="CI133" s="839"/>
      <c r="CJ133" s="853"/>
      <c r="CK133" s="839"/>
      <c r="CL133" s="854"/>
      <c r="CM133" s="839"/>
      <c r="CN133" s="853"/>
      <c r="CO133" s="839"/>
      <c r="CP133" s="854"/>
      <c r="CQ133" s="839"/>
      <c r="CR133" s="853"/>
      <c r="CS133" s="839"/>
      <c r="CT133" s="839"/>
      <c r="CU133" s="839"/>
      <c r="CV133" s="839"/>
      <c r="CW133" s="839"/>
      <c r="CX133" s="839"/>
      <c r="CY133" s="839"/>
      <c r="CZ133" s="839"/>
      <c r="DA133" s="839"/>
      <c r="DB133" s="839"/>
      <c r="DC133" s="839"/>
      <c r="DD133" s="839"/>
      <c r="DE133" s="839"/>
      <c r="DF133" s="839"/>
      <c r="DG133" s="839"/>
      <c r="DH133" s="839"/>
      <c r="DI133" s="839"/>
      <c r="DJ133" s="839"/>
      <c r="DK133" s="839"/>
      <c r="DL133" s="839"/>
      <c r="DM133" s="839"/>
      <c r="DN133" s="839"/>
      <c r="DO133" s="839"/>
      <c r="DP133" s="839"/>
      <c r="DQ133" s="839"/>
      <c r="DR133" s="839"/>
      <c r="DS133" s="839"/>
      <c r="DT133" s="839"/>
      <c r="DU133" s="839"/>
      <c r="DV133" s="839"/>
      <c r="DW133" s="839"/>
      <c r="DX133" s="892">
        <v>0.38</v>
      </c>
      <c r="DY133" s="892"/>
      <c r="DZ133" s="892">
        <v>0.38</v>
      </c>
      <c r="EA133" s="892">
        <v>0.38</v>
      </c>
      <c r="EB133" s="892">
        <v>0.38</v>
      </c>
      <c r="EC133" s="892">
        <v>0.38</v>
      </c>
      <c r="ED133" s="892">
        <v>0.38</v>
      </c>
      <c r="EE133" s="892">
        <v>0.38</v>
      </c>
      <c r="EF133" s="892">
        <v>0.38</v>
      </c>
      <c r="EG133" s="892">
        <v>0.38</v>
      </c>
      <c r="EH133" s="892">
        <v>0.38</v>
      </c>
      <c r="EI133" s="839"/>
      <c r="EJ133" s="839"/>
      <c r="EK133" s="839"/>
    </row>
    <row r="134" spans="1:141" hidden="1" outlineLevel="1">
      <c r="A134" s="840" t="s">
        <v>653</v>
      </c>
      <c r="B134" s="839"/>
      <c r="C134" s="839"/>
      <c r="D134" s="877">
        <f>+D129</f>
        <v>4</v>
      </c>
      <c r="E134" s="839"/>
      <c r="F134" s="841"/>
      <c r="G134" s="839"/>
      <c r="H134" s="857"/>
      <c r="I134" s="839"/>
      <c r="J134" s="852" t="str">
        <f>+segmthSales!J41</f>
        <v>8/3</v>
      </c>
      <c r="K134" s="839"/>
      <c r="L134" s="857"/>
      <c r="M134" s="839"/>
      <c r="N134" s="852" t="str">
        <f>+segmthSales!N41</f>
        <v xml:space="preserve"> 8/1</v>
      </c>
      <c r="O134" s="839"/>
      <c r="P134" s="857"/>
      <c r="Q134" s="839"/>
      <c r="R134" s="852" t="str">
        <f>+segmthSales!R41</f>
        <v xml:space="preserve"> 7/31</v>
      </c>
      <c r="S134" s="839"/>
      <c r="T134" s="857"/>
      <c r="U134" s="839"/>
      <c r="V134" s="852" t="str">
        <f>+segmthSales!V41</f>
        <v>7/30</v>
      </c>
      <c r="W134" s="839"/>
      <c r="X134" s="857"/>
      <c r="Y134" s="839"/>
      <c r="Z134" s="852" t="str">
        <f>+segmthSales!Z41</f>
        <v>7/29</v>
      </c>
      <c r="AA134" s="839"/>
      <c r="AB134" s="857"/>
      <c r="AC134" s="839"/>
      <c r="AD134" s="852" t="str">
        <f>+segmthSales!AD41</f>
        <v>8/3</v>
      </c>
      <c r="AE134" s="839"/>
      <c r="AF134" s="857"/>
      <c r="AG134" s="839"/>
      <c r="AH134" s="852" t="str">
        <f>+segmthSales!AH41</f>
        <v>8/2</v>
      </c>
      <c r="AI134" s="839"/>
      <c r="AJ134" s="898"/>
      <c r="AK134" s="839"/>
      <c r="AL134" s="852" t="str">
        <f>+segmthSales!AL41</f>
        <v>8/1</v>
      </c>
      <c r="AM134" s="839"/>
      <c r="AN134" s="898"/>
      <c r="AO134" s="839"/>
      <c r="AP134" s="852" t="str">
        <f>+segmthSales!AP41</f>
        <v>7/31</v>
      </c>
      <c r="AQ134" s="839"/>
      <c r="AR134" s="858">
        <v>9</v>
      </c>
      <c r="AS134" s="839"/>
      <c r="AT134" s="852" t="str">
        <f>+segmthSales!AT41</f>
        <v>7/29</v>
      </c>
      <c r="AU134" s="839"/>
      <c r="AV134" s="858">
        <v>4</v>
      </c>
      <c r="AW134" s="839"/>
      <c r="AX134" s="852" t="str">
        <f>+segmthSales!AX41</f>
        <v>8/4</v>
      </c>
      <c r="AY134" s="839"/>
      <c r="AZ134" s="858">
        <v>-5</v>
      </c>
      <c r="BA134" s="839"/>
      <c r="BB134" s="852" t="str">
        <f>+segmthSales!BB41</f>
        <v>8/3</v>
      </c>
      <c r="BC134" s="839"/>
      <c r="BD134" s="858">
        <v>-2</v>
      </c>
      <c r="BE134" s="839"/>
      <c r="BF134" s="854">
        <f>+segmthSales!BF41</f>
        <v>37835</v>
      </c>
      <c r="BG134" s="839"/>
      <c r="BH134" s="858">
        <v>-1</v>
      </c>
      <c r="BI134" s="839"/>
      <c r="BJ134" s="854">
        <f>+segmthSales!BJ41</f>
        <v>38200</v>
      </c>
      <c r="BK134" s="839"/>
      <c r="BL134" s="858">
        <v>-5</v>
      </c>
      <c r="BM134" s="839"/>
      <c r="BN134" s="854">
        <f>+segmthSales!BN41</f>
        <v>38563</v>
      </c>
      <c r="BO134" s="839"/>
      <c r="BP134" s="858">
        <v>-11</v>
      </c>
      <c r="BQ134" s="839"/>
      <c r="BR134" s="854">
        <f>+segmthSales!BR41</f>
        <v>38562</v>
      </c>
      <c r="BS134" s="839"/>
      <c r="BT134" s="858">
        <v>-10</v>
      </c>
      <c r="BU134" s="839"/>
      <c r="BV134" s="854">
        <f>+segmthSales!BV41</f>
        <v>39298</v>
      </c>
      <c r="BW134" s="839"/>
      <c r="BX134" s="899">
        <v>6</v>
      </c>
      <c r="BY134" s="839"/>
      <c r="BZ134" s="854"/>
      <c r="CA134" s="839"/>
      <c r="CB134" s="899"/>
      <c r="CC134" s="839"/>
      <c r="CD134" s="854"/>
      <c r="CE134" s="839"/>
      <c r="CF134" s="899"/>
      <c r="CG134" s="839"/>
      <c r="CH134" s="854"/>
      <c r="CI134" s="839"/>
      <c r="CJ134" s="899"/>
      <c r="CK134" s="839"/>
      <c r="CL134" s="854"/>
      <c r="CM134" s="839"/>
      <c r="CN134" s="899"/>
      <c r="CO134" s="839"/>
      <c r="CP134" s="854"/>
      <c r="CQ134" s="839"/>
      <c r="CR134" s="899"/>
      <c r="CS134" s="839"/>
      <c r="CT134" s="839"/>
      <c r="CU134" s="839"/>
      <c r="CV134" s="839"/>
      <c r="CW134" s="839"/>
      <c r="CX134" s="839"/>
      <c r="CY134" s="839"/>
      <c r="CZ134" s="839"/>
      <c r="DA134" s="839"/>
      <c r="DB134" s="839"/>
      <c r="DC134" s="839"/>
      <c r="DD134" s="839"/>
      <c r="DE134" s="839"/>
      <c r="DF134" s="839"/>
      <c r="DG134" s="839"/>
      <c r="DH134" s="839"/>
      <c r="DI134" s="839"/>
      <c r="DJ134" s="839"/>
      <c r="DK134" s="839"/>
      <c r="DL134" s="839"/>
      <c r="DM134" s="839"/>
      <c r="DN134" s="839"/>
      <c r="DO134" s="839"/>
      <c r="DP134" s="839"/>
      <c r="DQ134" s="839"/>
      <c r="DR134" s="839"/>
      <c r="DS134" s="839"/>
      <c r="DT134" s="839"/>
      <c r="DU134" s="839"/>
      <c r="DV134" s="839"/>
      <c r="DW134" s="839"/>
      <c r="DX134" s="893">
        <f>1-DX133-DX132</f>
        <v>0.27</v>
      </c>
      <c r="DY134" s="893"/>
      <c r="DZ134" s="893">
        <f t="shared" ref="DZ134:EH134" si="77">1-DZ133-DZ132</f>
        <v>0.27</v>
      </c>
      <c r="EA134" s="893">
        <f t="shared" si="77"/>
        <v>0.27</v>
      </c>
      <c r="EB134" s="893">
        <f t="shared" si="77"/>
        <v>0.27</v>
      </c>
      <c r="EC134" s="893">
        <f t="shared" si="77"/>
        <v>0.27</v>
      </c>
      <c r="ED134" s="893">
        <f t="shared" si="77"/>
        <v>0.27</v>
      </c>
      <c r="EE134" s="893">
        <f t="shared" si="77"/>
        <v>0.27</v>
      </c>
      <c r="EF134" s="893">
        <f t="shared" si="77"/>
        <v>0.27</v>
      </c>
      <c r="EG134" s="893">
        <f t="shared" si="77"/>
        <v>0.27</v>
      </c>
      <c r="EH134" s="893">
        <f t="shared" si="77"/>
        <v>0.27</v>
      </c>
      <c r="EI134" s="839"/>
      <c r="EJ134" s="839"/>
      <c r="EK134" s="839"/>
    </row>
    <row r="135" spans="1:141" hidden="1" outlineLevel="1">
      <c r="A135" s="861"/>
      <c r="B135" s="862" t="s">
        <v>924</v>
      </c>
      <c r="C135" s="861"/>
      <c r="D135" s="863"/>
      <c r="E135" s="861"/>
      <c r="F135" s="863"/>
      <c r="G135" s="861"/>
      <c r="H135" s="864"/>
      <c r="I135" s="861"/>
      <c r="J135" s="863"/>
      <c r="K135" s="861"/>
      <c r="L135" s="864"/>
      <c r="M135" s="861"/>
      <c r="N135" s="863"/>
      <c r="O135" s="861"/>
      <c r="P135" s="864"/>
      <c r="Q135" s="861"/>
      <c r="R135" s="863"/>
      <c r="S135" s="861"/>
      <c r="T135" s="864"/>
      <c r="U135" s="861"/>
      <c r="V135" s="863"/>
      <c r="W135" s="861"/>
      <c r="X135" s="864"/>
      <c r="Y135" s="861"/>
      <c r="Z135" s="863"/>
      <c r="AA135" s="861"/>
      <c r="AB135" s="864"/>
      <c r="AC135" s="861"/>
      <c r="AD135" s="863"/>
      <c r="AE135" s="861"/>
      <c r="AF135" s="864"/>
      <c r="AG135" s="861"/>
      <c r="AH135" s="863"/>
      <c r="AI135" s="861"/>
      <c r="AJ135" s="894"/>
      <c r="AK135" s="861"/>
      <c r="AL135" s="863"/>
      <c r="AM135" s="861"/>
      <c r="AN135" s="894"/>
      <c r="AO135" s="861"/>
      <c r="AP135" s="863"/>
      <c r="AQ135" s="861"/>
      <c r="AR135" s="866">
        <v>9</v>
      </c>
      <c r="AS135" s="861"/>
      <c r="AT135" s="863"/>
      <c r="AU135" s="861"/>
      <c r="AV135" s="866">
        <v>7</v>
      </c>
      <c r="AW135" s="861"/>
      <c r="AX135" s="863"/>
      <c r="AY135" s="861"/>
      <c r="AZ135" s="866">
        <v>-6</v>
      </c>
      <c r="BA135" s="861"/>
      <c r="BB135" s="863"/>
      <c r="BC135" s="861"/>
      <c r="BD135" s="866">
        <v>5</v>
      </c>
      <c r="BE135" s="861"/>
      <c r="BF135" s="867"/>
      <c r="BG135" s="861"/>
      <c r="BH135" s="866">
        <v>1</v>
      </c>
      <c r="BI135" s="861"/>
      <c r="BJ135" s="867"/>
      <c r="BK135" s="861"/>
      <c r="BL135" s="866">
        <v>3</v>
      </c>
      <c r="BM135" s="861"/>
      <c r="BN135" s="867"/>
      <c r="BO135" s="861"/>
      <c r="BP135" s="866">
        <v>-12</v>
      </c>
      <c r="BQ135" s="861"/>
      <c r="BR135" s="867"/>
      <c r="BS135" s="861"/>
      <c r="BT135" s="866">
        <v>-11</v>
      </c>
      <c r="BU135" s="861"/>
      <c r="BV135" s="867"/>
      <c r="BW135" s="861"/>
      <c r="BX135" s="866">
        <v>6</v>
      </c>
      <c r="BY135" s="861"/>
      <c r="BZ135" s="867"/>
      <c r="CA135" s="861"/>
      <c r="CB135" s="866"/>
      <c r="CC135" s="861"/>
      <c r="CD135" s="867"/>
      <c r="CE135" s="861"/>
      <c r="CF135" s="866"/>
      <c r="CG135" s="861"/>
      <c r="CH135" s="867"/>
      <c r="CI135" s="861"/>
      <c r="CJ135" s="866"/>
      <c r="CK135" s="861"/>
      <c r="CL135" s="867"/>
      <c r="CM135" s="861"/>
      <c r="CN135" s="866"/>
      <c r="CO135" s="861"/>
      <c r="CP135" s="867"/>
      <c r="CQ135" s="861"/>
      <c r="CR135" s="866"/>
      <c r="CS135" s="861"/>
      <c r="CT135" s="876"/>
      <c r="CU135" s="876"/>
      <c r="CV135" s="876"/>
      <c r="CW135" s="876"/>
      <c r="CX135" s="876"/>
      <c r="CY135" s="876"/>
      <c r="CZ135" s="876"/>
      <c r="DA135" s="876"/>
      <c r="DB135" s="876"/>
      <c r="DC135" s="876"/>
      <c r="DD135" s="876"/>
      <c r="DE135" s="876"/>
      <c r="DF135" s="876"/>
      <c r="DG135" s="876"/>
      <c r="DH135" s="876"/>
      <c r="DI135" s="876"/>
      <c r="DJ135" s="876"/>
      <c r="DK135" s="876"/>
      <c r="DL135" s="876"/>
      <c r="DM135" s="876"/>
      <c r="DN135" s="876"/>
      <c r="DO135" s="876"/>
      <c r="DP135" s="876"/>
      <c r="DQ135" s="876"/>
      <c r="DR135" s="876"/>
      <c r="DS135" s="876"/>
      <c r="DT135" s="876"/>
      <c r="DU135" s="876"/>
      <c r="DV135" s="876"/>
      <c r="DW135" s="876"/>
      <c r="DX135" s="855">
        <f>+AR132*DX132+AR133*DX133+AR134*DX134</f>
        <v>9.09</v>
      </c>
      <c r="DY135" s="855"/>
      <c r="DZ135" s="855">
        <f>+AV132*DZ132+AV133*DZ133+AV134*DZ134</f>
        <v>7.21</v>
      </c>
      <c r="EA135" s="855">
        <f>+AZ132*EA132+AZ133*EA133+AZ134*EA134</f>
        <v>-6.02</v>
      </c>
      <c r="EB135" s="855">
        <f>+BD132*EB132+BD133*EB133+BD134*EB134</f>
        <v>5.2700000000000005</v>
      </c>
      <c r="EC135" s="855">
        <f>+BH132*EC132+BH133*EC133+BH134*EC134</f>
        <v>1.2799999999999998</v>
      </c>
      <c r="ED135" s="855">
        <f>+BL132*ED132+BL133*ED133+BL134*ED134</f>
        <v>3.2100000000000004</v>
      </c>
      <c r="EE135" s="855">
        <f>+BP132*EE132+BP133*EE133+BP134*EE134</f>
        <v>-11.82</v>
      </c>
      <c r="EF135" s="855">
        <f>+BT132*EF132+BT133*EF133+BT134*EF134</f>
        <v>-11.46</v>
      </c>
      <c r="EG135" s="855">
        <f>+BX132*EG132+BX133*EG133+BX134*EG134</f>
        <v>6.06</v>
      </c>
      <c r="EH135" s="855"/>
      <c r="EI135" s="839"/>
      <c r="EJ135" s="839"/>
      <c r="EK135" s="839"/>
    </row>
    <row r="136" spans="1:141" hidden="1" outlineLevel="1">
      <c r="A136" s="839"/>
      <c r="B136" s="839"/>
      <c r="C136" s="839"/>
      <c r="D136" s="877"/>
      <c r="E136" s="839"/>
      <c r="F136" s="842"/>
      <c r="G136" s="839"/>
      <c r="H136" s="839"/>
      <c r="I136" s="839"/>
      <c r="J136" s="852"/>
      <c r="K136" s="839"/>
      <c r="L136" s="839"/>
      <c r="M136" s="839"/>
      <c r="N136" s="852"/>
      <c r="O136" s="839"/>
      <c r="P136" s="839"/>
      <c r="Q136" s="839"/>
      <c r="R136" s="852"/>
      <c r="S136" s="839"/>
      <c r="T136" s="839"/>
      <c r="U136" s="839"/>
      <c r="V136" s="852"/>
      <c r="W136" s="839"/>
      <c r="X136" s="839"/>
      <c r="Y136" s="839"/>
      <c r="Z136" s="852"/>
      <c r="AA136" s="839"/>
      <c r="AB136" s="839"/>
      <c r="AC136" s="839"/>
      <c r="AD136" s="852"/>
      <c r="AE136" s="839"/>
      <c r="AF136" s="839"/>
      <c r="AG136" s="839"/>
      <c r="AH136" s="852"/>
      <c r="AI136" s="839"/>
      <c r="AJ136" s="877"/>
      <c r="AK136" s="839"/>
      <c r="AL136" s="852"/>
      <c r="AM136" s="839"/>
      <c r="AN136" s="877"/>
      <c r="AO136" s="839"/>
      <c r="AP136" s="852"/>
      <c r="AQ136" s="839"/>
      <c r="AR136" s="877"/>
      <c r="AS136" s="839"/>
      <c r="AT136" s="852"/>
      <c r="AU136" s="839"/>
      <c r="AV136" s="877"/>
      <c r="AW136" s="839"/>
      <c r="AX136" s="852"/>
      <c r="AY136" s="839"/>
      <c r="AZ136" s="877"/>
      <c r="BA136" s="839"/>
      <c r="BB136" s="852"/>
      <c r="BC136" s="839"/>
      <c r="BD136" s="877"/>
      <c r="BE136" s="839"/>
      <c r="BF136" s="879"/>
      <c r="BG136" s="839"/>
      <c r="BH136" s="877"/>
      <c r="BI136" s="839"/>
      <c r="BJ136" s="879"/>
      <c r="BK136" s="839"/>
      <c r="BL136" s="877"/>
      <c r="BM136" s="839"/>
      <c r="BN136" s="879"/>
      <c r="BO136" s="839"/>
      <c r="BP136" s="877"/>
      <c r="BQ136" s="839"/>
      <c r="BR136" s="879"/>
      <c r="BS136" s="839"/>
      <c r="BT136" s="877"/>
      <c r="BU136" s="839"/>
      <c r="BV136" s="879"/>
      <c r="BW136" s="839"/>
      <c r="BX136" s="877"/>
      <c r="BY136" s="839"/>
      <c r="BZ136" s="879"/>
      <c r="CA136" s="839"/>
      <c r="CB136" s="877"/>
      <c r="CC136" s="839"/>
      <c r="CD136" s="879"/>
      <c r="CE136" s="839"/>
      <c r="CF136" s="877"/>
      <c r="CG136" s="839"/>
      <c r="CH136" s="879"/>
      <c r="CI136" s="839"/>
      <c r="CJ136" s="877"/>
      <c r="CK136" s="839"/>
      <c r="CL136" s="879"/>
      <c r="CM136" s="839"/>
      <c r="CN136" s="877"/>
      <c r="CO136" s="839"/>
      <c r="CP136" s="879"/>
      <c r="CQ136" s="839"/>
      <c r="CR136" s="877"/>
      <c r="CS136" s="839"/>
      <c r="CT136" s="839"/>
      <c r="CU136" s="839"/>
      <c r="CV136" s="839"/>
      <c r="CW136" s="839"/>
      <c r="CX136" s="839"/>
      <c r="CY136" s="839"/>
      <c r="CZ136" s="839"/>
      <c r="DA136" s="839"/>
      <c r="DB136" s="839"/>
      <c r="DC136" s="839"/>
      <c r="DD136" s="839"/>
      <c r="DE136" s="839"/>
      <c r="DF136" s="839"/>
      <c r="DG136" s="839"/>
      <c r="DH136" s="839"/>
      <c r="DI136" s="839"/>
      <c r="DJ136" s="839"/>
      <c r="DK136" s="839"/>
      <c r="DL136" s="839"/>
      <c r="DM136" s="839"/>
      <c r="DN136" s="839"/>
      <c r="DO136" s="839"/>
      <c r="DP136" s="839"/>
      <c r="DQ136" s="839"/>
      <c r="DR136" s="839"/>
      <c r="DS136" s="839"/>
      <c r="DT136" s="839"/>
      <c r="DU136" s="839"/>
      <c r="DV136" s="839"/>
      <c r="DW136" s="839"/>
      <c r="DX136" s="839"/>
      <c r="DY136" s="839"/>
      <c r="DZ136" s="839"/>
      <c r="EA136" s="839"/>
      <c r="EB136" s="839"/>
      <c r="EC136" s="839"/>
      <c r="ED136" s="839"/>
      <c r="EE136" s="839"/>
      <c r="EF136" s="839"/>
      <c r="EG136" s="839"/>
      <c r="EH136" s="839"/>
      <c r="EI136" s="839"/>
      <c r="EJ136" s="839"/>
      <c r="EK136" s="839"/>
    </row>
    <row r="137" spans="1:141" hidden="1" outlineLevel="1">
      <c r="A137" s="840" t="s">
        <v>654</v>
      </c>
      <c r="B137" s="840"/>
      <c r="C137" s="839"/>
      <c r="D137" s="877">
        <f>+D132</f>
        <v>4</v>
      </c>
      <c r="E137" s="839"/>
      <c r="F137" s="856"/>
      <c r="G137" s="839"/>
      <c r="H137" s="851"/>
      <c r="I137" s="839" t="s">
        <v>1084</v>
      </c>
      <c r="J137" s="852" t="str">
        <f>+segmthSales!J44</f>
        <v>8/31</v>
      </c>
      <c r="K137" s="839"/>
      <c r="L137" s="851"/>
      <c r="M137" s="839" t="s">
        <v>1084</v>
      </c>
      <c r="N137" s="852" t="str">
        <f>+segmthSales!N44</f>
        <v xml:space="preserve"> 8/29</v>
      </c>
      <c r="O137" s="839"/>
      <c r="P137" s="851"/>
      <c r="Q137" s="839" t="s">
        <v>1084</v>
      </c>
      <c r="R137" s="852" t="str">
        <f>+segmthSales!R44</f>
        <v xml:space="preserve"> 8/28</v>
      </c>
      <c r="S137" s="839"/>
      <c r="T137" s="851"/>
      <c r="U137" s="839" t="s">
        <v>1084</v>
      </c>
      <c r="V137" s="852" t="str">
        <f>+segmthSales!V44</f>
        <v>8/27</v>
      </c>
      <c r="W137" s="839"/>
      <c r="X137" s="851"/>
      <c r="Y137" s="839" t="s">
        <v>1084</v>
      </c>
      <c r="Z137" s="852" t="str">
        <f>+segmthSales!Z44</f>
        <v>8/31</v>
      </c>
      <c r="AA137" s="839"/>
      <c r="AB137" s="851"/>
      <c r="AC137" s="839" t="s">
        <v>1084</v>
      </c>
      <c r="AD137" s="852" t="str">
        <f>+segmthSales!AD44</f>
        <v>8/31</v>
      </c>
      <c r="AE137" s="839"/>
      <c r="AF137" s="851"/>
      <c r="AG137" s="839" t="s">
        <v>1084</v>
      </c>
      <c r="AH137" s="852" t="str">
        <f>+segmthSales!AH44</f>
        <v>8/30</v>
      </c>
      <c r="AI137" s="839"/>
      <c r="AJ137" s="896"/>
      <c r="AK137" s="839" t="s">
        <v>1084</v>
      </c>
      <c r="AL137" s="852" t="str">
        <f>+segmthSales!AL44</f>
        <v>8/29</v>
      </c>
      <c r="AM137" s="839"/>
      <c r="AN137" s="896"/>
      <c r="AO137" s="839" t="s">
        <v>1084</v>
      </c>
      <c r="AP137" s="852" t="str">
        <f>+segmthSales!AP44</f>
        <v>8/28</v>
      </c>
      <c r="AQ137" s="839"/>
      <c r="AR137" s="853">
        <v>9</v>
      </c>
      <c r="AS137" s="839" t="s">
        <v>1084</v>
      </c>
      <c r="AT137" s="852" t="str">
        <f>+segmthSales!AT44</f>
        <v>8/26</v>
      </c>
      <c r="AU137" s="839"/>
      <c r="AV137" s="853">
        <v>11</v>
      </c>
      <c r="AW137" s="839" t="s">
        <v>1084</v>
      </c>
      <c r="AX137" s="852" t="str">
        <f>+segmthSales!AX44</f>
        <v>9/1</v>
      </c>
      <c r="AY137" s="839"/>
      <c r="AZ137" s="853">
        <v>-2</v>
      </c>
      <c r="BA137" s="839" t="s">
        <v>1084</v>
      </c>
      <c r="BB137" s="852" t="str">
        <f>+segmthSales!BB44</f>
        <v>8/31</v>
      </c>
      <c r="BC137" s="839"/>
      <c r="BD137" s="853">
        <v>-3</v>
      </c>
      <c r="BE137" s="839" t="s">
        <v>1084</v>
      </c>
      <c r="BF137" s="854">
        <f>+segmthSales!BF44</f>
        <v>37863</v>
      </c>
      <c r="BG137" s="839"/>
      <c r="BH137" s="853">
        <v>-10</v>
      </c>
      <c r="BI137" s="839" t="s">
        <v>1084</v>
      </c>
      <c r="BJ137" s="854">
        <f>+segmthSales!BJ44</f>
        <v>38228</v>
      </c>
      <c r="BK137" s="839"/>
      <c r="BL137" s="853">
        <v>-18</v>
      </c>
      <c r="BM137" s="839" t="s">
        <v>1084</v>
      </c>
      <c r="BN137" s="854">
        <f>+segmthSales!BN44</f>
        <v>38591</v>
      </c>
      <c r="BO137" s="839"/>
      <c r="BP137" s="853">
        <v>-9</v>
      </c>
      <c r="BQ137" s="839" t="s">
        <v>1084</v>
      </c>
      <c r="BR137" s="854">
        <f>+segmthSales!BR44</f>
        <v>38590</v>
      </c>
      <c r="BS137" s="839"/>
      <c r="BT137" s="853">
        <v>-6</v>
      </c>
      <c r="BU137" s="839" t="s">
        <v>1084</v>
      </c>
      <c r="BV137" s="854">
        <f>+segmthSales!BV44</f>
        <v>39326</v>
      </c>
      <c r="BW137" s="839"/>
      <c r="BX137" s="853">
        <v>6</v>
      </c>
      <c r="BY137" s="839" t="s">
        <v>1084</v>
      </c>
      <c r="BZ137" s="854"/>
      <c r="CA137" s="839"/>
      <c r="CB137" s="853"/>
      <c r="CC137" s="839"/>
      <c r="CD137" s="854"/>
      <c r="CE137" s="839"/>
      <c r="CF137" s="853"/>
      <c r="CG137" s="839"/>
      <c r="CH137" s="854"/>
      <c r="CI137" s="839"/>
      <c r="CJ137" s="853"/>
      <c r="CK137" s="839"/>
      <c r="CL137" s="854"/>
      <c r="CM137" s="839"/>
      <c r="CN137" s="853"/>
      <c r="CO137" s="839"/>
      <c r="CP137" s="854"/>
      <c r="CQ137" s="839"/>
      <c r="CR137" s="853"/>
      <c r="CS137" s="839"/>
      <c r="CT137" s="839"/>
      <c r="CU137" s="839"/>
      <c r="CV137" s="839"/>
      <c r="CW137" s="839"/>
      <c r="CX137" s="839"/>
      <c r="CY137" s="839"/>
      <c r="CZ137" s="839"/>
      <c r="DA137" s="839"/>
      <c r="DB137" s="839"/>
      <c r="DC137" s="839"/>
      <c r="DD137" s="839"/>
      <c r="DE137" s="839"/>
      <c r="DF137" s="839"/>
      <c r="DG137" s="839"/>
      <c r="DH137" s="839"/>
      <c r="DI137" s="839"/>
      <c r="DJ137" s="839"/>
      <c r="DK137" s="839"/>
      <c r="DL137" s="839"/>
      <c r="DM137" s="839"/>
      <c r="DN137" s="839"/>
      <c r="DO137" s="839"/>
      <c r="DP137" s="839"/>
      <c r="DQ137" s="839"/>
      <c r="DR137" s="839"/>
      <c r="DS137" s="839"/>
      <c r="DT137" s="839"/>
      <c r="DU137" s="839"/>
      <c r="DV137" s="839"/>
      <c r="DW137" s="839"/>
      <c r="DX137" s="892">
        <v>0.38</v>
      </c>
      <c r="DY137" s="892"/>
      <c r="DZ137" s="892">
        <v>0.38</v>
      </c>
      <c r="EA137" s="892">
        <v>0.38</v>
      </c>
      <c r="EB137" s="892">
        <v>0.38</v>
      </c>
      <c r="EC137" s="892">
        <v>0.38</v>
      </c>
      <c r="ED137" s="892">
        <v>0.38</v>
      </c>
      <c r="EE137" s="892">
        <v>0.38</v>
      </c>
      <c r="EF137" s="892">
        <v>0.38</v>
      </c>
      <c r="EG137" s="892">
        <v>0.38</v>
      </c>
      <c r="EH137" s="892">
        <v>0.38</v>
      </c>
      <c r="EI137" s="839"/>
      <c r="EJ137" s="839"/>
      <c r="EK137" s="839"/>
    </row>
    <row r="138" spans="1:141" hidden="1" outlineLevel="1">
      <c r="A138" s="840" t="s">
        <v>655</v>
      </c>
      <c r="B138" s="840"/>
      <c r="C138" s="839"/>
      <c r="D138" s="877">
        <f>+D133</f>
        <v>5</v>
      </c>
      <c r="E138" s="839"/>
      <c r="F138" s="841"/>
      <c r="G138" s="839"/>
      <c r="H138" s="851"/>
      <c r="I138" s="839"/>
      <c r="J138" s="852" t="str">
        <f>+segmthSales!J45</f>
        <v>10/5</v>
      </c>
      <c r="K138" s="839"/>
      <c r="L138" s="851"/>
      <c r="M138" s="839"/>
      <c r="N138" s="852" t="str">
        <f>+segmthSales!N45</f>
        <v>10/3</v>
      </c>
      <c r="O138" s="839"/>
      <c r="P138" s="851"/>
      <c r="Q138" s="839"/>
      <c r="R138" s="852" t="str">
        <f>+segmthSales!R45</f>
        <v>10/2</v>
      </c>
      <c r="S138" s="839"/>
      <c r="T138" s="851"/>
      <c r="U138" s="839"/>
      <c r="V138" s="852" t="str">
        <f>+segmthSales!V45</f>
        <v>10/1</v>
      </c>
      <c r="W138" s="839"/>
      <c r="X138" s="851"/>
      <c r="Y138" s="839"/>
      <c r="Z138" s="852" t="str">
        <f>+segmthSales!Z45</f>
        <v>9/30</v>
      </c>
      <c r="AA138" s="839"/>
      <c r="AB138" s="851"/>
      <c r="AC138" s="839"/>
      <c r="AD138" s="852" t="str">
        <f>+segmthSales!AD45</f>
        <v>10/5</v>
      </c>
      <c r="AE138" s="839"/>
      <c r="AF138" s="851"/>
      <c r="AG138" s="839"/>
      <c r="AH138" s="852" t="str">
        <f>+segmthSales!AH45</f>
        <v>10/4</v>
      </c>
      <c r="AI138" s="839"/>
      <c r="AJ138" s="897"/>
      <c r="AK138" s="839"/>
      <c r="AL138" s="852" t="str">
        <f>+segmthSales!AL45</f>
        <v>10/3</v>
      </c>
      <c r="AM138" s="839"/>
      <c r="AN138" s="897"/>
      <c r="AO138" s="839"/>
      <c r="AP138" s="852" t="str">
        <f>+segmthSales!AP45</f>
        <v>10/2</v>
      </c>
      <c r="AQ138" s="839"/>
      <c r="AR138" s="853">
        <v>3</v>
      </c>
      <c r="AS138" s="839"/>
      <c r="AT138" s="852" t="str">
        <f>+segmthSales!AT45</f>
        <v>9/30</v>
      </c>
      <c r="AU138" s="839"/>
      <c r="AV138" s="853">
        <v>17</v>
      </c>
      <c r="AW138" s="839"/>
      <c r="AX138" s="852" t="str">
        <f>+segmthSales!AX45</f>
        <v>10/6</v>
      </c>
      <c r="AY138" s="839"/>
      <c r="AZ138" s="853">
        <v>-9</v>
      </c>
      <c r="BA138" s="839"/>
      <c r="BB138" s="852" t="str">
        <f>+segmthSales!BB45</f>
        <v>10/5</v>
      </c>
      <c r="BC138" s="839"/>
      <c r="BD138" s="853">
        <v>3</v>
      </c>
      <c r="BE138" s="839"/>
      <c r="BF138" s="854">
        <f>+segmthSales!BF45</f>
        <v>37898</v>
      </c>
      <c r="BG138" s="839"/>
      <c r="BH138" s="853">
        <v>11</v>
      </c>
      <c r="BI138" s="839"/>
      <c r="BJ138" s="854">
        <f>+segmthSales!BJ45</f>
        <v>38263</v>
      </c>
      <c r="BK138" s="839"/>
      <c r="BL138" s="853">
        <v>-26</v>
      </c>
      <c r="BM138" s="839"/>
      <c r="BN138" s="854">
        <f>+segmthSales!BN45</f>
        <v>38626</v>
      </c>
      <c r="BO138" s="839"/>
      <c r="BP138" s="853">
        <v>-2</v>
      </c>
      <c r="BQ138" s="839"/>
      <c r="BR138" s="854">
        <f>+segmthSales!BR45</f>
        <v>38625</v>
      </c>
      <c r="BS138" s="839"/>
      <c r="BT138" s="853">
        <v>3</v>
      </c>
      <c r="BU138" s="839"/>
      <c r="BV138" s="854">
        <f>+segmthSales!BV45</f>
        <v>39361</v>
      </c>
      <c r="BW138" s="839"/>
      <c r="BX138" s="853">
        <v>5</v>
      </c>
      <c r="BY138" s="839"/>
      <c r="BZ138" s="854"/>
      <c r="CA138" s="839"/>
      <c r="CB138" s="853"/>
      <c r="CC138" s="839"/>
      <c r="CD138" s="854"/>
      <c r="CE138" s="839"/>
      <c r="CF138" s="853"/>
      <c r="CG138" s="839"/>
      <c r="CH138" s="854"/>
      <c r="CI138" s="839"/>
      <c r="CJ138" s="853"/>
      <c r="CK138" s="839"/>
      <c r="CL138" s="854"/>
      <c r="CM138" s="839"/>
      <c r="CN138" s="853"/>
      <c r="CO138" s="839"/>
      <c r="CP138" s="854"/>
      <c r="CQ138" s="839"/>
      <c r="CR138" s="853"/>
      <c r="CS138" s="839"/>
      <c r="CT138" s="839"/>
      <c r="CU138" s="839"/>
      <c r="CV138" s="839"/>
      <c r="CW138" s="839"/>
      <c r="CX138" s="839"/>
      <c r="CY138" s="839"/>
      <c r="CZ138" s="839"/>
      <c r="DA138" s="839"/>
      <c r="DB138" s="839"/>
      <c r="DC138" s="839"/>
      <c r="DD138" s="839"/>
      <c r="DE138" s="839"/>
      <c r="DF138" s="839"/>
      <c r="DG138" s="839"/>
      <c r="DH138" s="839"/>
      <c r="DI138" s="839"/>
      <c r="DJ138" s="839"/>
      <c r="DK138" s="839"/>
      <c r="DL138" s="839"/>
      <c r="DM138" s="839"/>
      <c r="DN138" s="839"/>
      <c r="DO138" s="839"/>
      <c r="DP138" s="839"/>
      <c r="DQ138" s="839"/>
      <c r="DR138" s="839"/>
      <c r="DS138" s="839"/>
      <c r="DT138" s="839"/>
      <c r="DU138" s="839"/>
      <c r="DV138" s="839"/>
      <c r="DW138" s="839"/>
      <c r="DX138" s="892">
        <v>0.3</v>
      </c>
      <c r="DY138" s="892"/>
      <c r="DZ138" s="892">
        <v>0.35</v>
      </c>
      <c r="EA138" s="892">
        <v>0.3</v>
      </c>
      <c r="EB138" s="892">
        <v>0.3</v>
      </c>
      <c r="EC138" s="892">
        <v>0.3</v>
      </c>
      <c r="ED138" s="892">
        <v>0.3</v>
      </c>
      <c r="EE138" s="892">
        <v>0.3</v>
      </c>
      <c r="EF138" s="892">
        <v>0.3</v>
      </c>
      <c r="EG138" s="892">
        <v>0.3</v>
      </c>
      <c r="EH138" s="892">
        <v>0.3</v>
      </c>
      <c r="EI138" s="839"/>
      <c r="EJ138" s="839"/>
      <c r="EK138" s="839"/>
    </row>
    <row r="139" spans="1:141" hidden="1" outlineLevel="1">
      <c r="A139" s="840" t="s">
        <v>598</v>
      </c>
      <c r="B139" s="840"/>
      <c r="C139" s="839"/>
      <c r="D139" s="877">
        <f>+D134</f>
        <v>4</v>
      </c>
      <c r="E139" s="839"/>
      <c r="F139" s="841"/>
      <c r="G139" s="839"/>
      <c r="H139" s="857"/>
      <c r="I139" s="839"/>
      <c r="J139" s="852" t="str">
        <f>+segmthSales!J46</f>
        <v>11/2</v>
      </c>
      <c r="K139" s="839"/>
      <c r="L139" s="857"/>
      <c r="M139" s="839"/>
      <c r="N139" s="852" t="str">
        <f>+segmthSales!N46</f>
        <v>10/31</v>
      </c>
      <c r="O139" s="839"/>
      <c r="P139" s="857"/>
      <c r="Q139" s="839"/>
      <c r="R139" s="852" t="str">
        <f>+segmthSales!R46</f>
        <v>10/30</v>
      </c>
      <c r="S139" s="839"/>
      <c r="T139" s="857"/>
      <c r="U139" s="839"/>
      <c r="V139" s="852" t="str">
        <f>+segmthSales!V46</f>
        <v>10/29</v>
      </c>
      <c r="W139" s="839"/>
      <c r="X139" s="857"/>
      <c r="Y139" s="839"/>
      <c r="Z139" s="852" t="str">
        <f>+segmthSales!Z46</f>
        <v>10/28</v>
      </c>
      <c r="AA139" s="839"/>
      <c r="AB139" s="857"/>
      <c r="AC139" s="839"/>
      <c r="AD139" s="852" t="str">
        <f>+segmthSales!AD46</f>
        <v>11/2</v>
      </c>
      <c r="AE139" s="839"/>
      <c r="AF139" s="857"/>
      <c r="AG139" s="839"/>
      <c r="AH139" s="852" t="str">
        <f>+segmthSales!AH46</f>
        <v>11/1</v>
      </c>
      <c r="AI139" s="839"/>
      <c r="AJ139" s="898"/>
      <c r="AK139" s="839"/>
      <c r="AL139" s="852" t="str">
        <f>+segmthSales!AL46</f>
        <v>10/31</v>
      </c>
      <c r="AM139" s="839"/>
      <c r="AN139" s="898"/>
      <c r="AO139" s="839"/>
      <c r="AP139" s="852" t="str">
        <f>+segmthSales!AP46</f>
        <v>10/30</v>
      </c>
      <c r="AQ139" s="839"/>
      <c r="AR139" s="858">
        <v>0</v>
      </c>
      <c r="AS139" s="839"/>
      <c r="AT139" s="852" t="str">
        <f>+segmthSales!AT46</f>
        <v>10/28</v>
      </c>
      <c r="AU139" s="839"/>
      <c r="AV139" s="858">
        <v>13</v>
      </c>
      <c r="AW139" s="839"/>
      <c r="AX139" s="852" t="str">
        <f>+segmthSales!AX46</f>
        <v>11/3</v>
      </c>
      <c r="AY139" s="839"/>
      <c r="AZ139" s="858">
        <v>-6</v>
      </c>
      <c r="BA139" s="839"/>
      <c r="BB139" s="852" t="str">
        <f>+segmthSales!BB46</f>
        <v>11/2</v>
      </c>
      <c r="BC139" s="839"/>
      <c r="BD139" s="858">
        <v>4</v>
      </c>
      <c r="BE139" s="839"/>
      <c r="BF139" s="854">
        <f>+segmthSales!BF46</f>
        <v>37926</v>
      </c>
      <c r="BG139" s="839"/>
      <c r="BH139" s="858">
        <v>-10</v>
      </c>
      <c r="BI139" s="839"/>
      <c r="BJ139" s="854">
        <f>+segmthSales!BJ46</f>
        <v>38291</v>
      </c>
      <c r="BK139" s="839"/>
      <c r="BL139" s="858">
        <v>16</v>
      </c>
      <c r="BM139" s="839"/>
      <c r="BN139" s="854">
        <f>+segmthSales!BN46</f>
        <v>38654</v>
      </c>
      <c r="BO139" s="839"/>
      <c r="BP139" s="858">
        <v>-9</v>
      </c>
      <c r="BQ139" s="839"/>
      <c r="BR139" s="854">
        <f>+segmthSales!BR46</f>
        <v>38653</v>
      </c>
      <c r="BS139" s="839"/>
      <c r="BT139" s="858">
        <v>1</v>
      </c>
      <c r="BU139" s="839"/>
      <c r="BV139" s="854">
        <f>+segmthSales!BV46</f>
        <v>39389</v>
      </c>
      <c r="BW139" s="839"/>
      <c r="BX139" s="858">
        <v>4</v>
      </c>
      <c r="BY139" s="839"/>
      <c r="BZ139" s="854"/>
      <c r="CA139" s="839"/>
      <c r="CB139" s="858"/>
      <c r="CC139" s="839"/>
      <c r="CD139" s="854"/>
      <c r="CE139" s="839"/>
      <c r="CF139" s="858"/>
      <c r="CG139" s="839"/>
      <c r="CH139" s="854"/>
      <c r="CI139" s="839"/>
      <c r="CJ139" s="858"/>
      <c r="CK139" s="839"/>
      <c r="CL139" s="854"/>
      <c r="CM139" s="839"/>
      <c r="CN139" s="858"/>
      <c r="CO139" s="839"/>
      <c r="CP139" s="854"/>
      <c r="CQ139" s="839"/>
      <c r="CR139" s="858"/>
      <c r="CS139" s="839"/>
      <c r="CT139" s="839"/>
      <c r="CU139" s="839"/>
      <c r="CV139" s="839"/>
      <c r="CW139" s="839"/>
      <c r="CX139" s="839"/>
      <c r="CY139" s="839"/>
      <c r="CZ139" s="839"/>
      <c r="DA139" s="839"/>
      <c r="DB139" s="839"/>
      <c r="DC139" s="839"/>
      <c r="DD139" s="839"/>
      <c r="DE139" s="839"/>
      <c r="DF139" s="839"/>
      <c r="DG139" s="839"/>
      <c r="DH139" s="839"/>
      <c r="DI139" s="839"/>
      <c r="DJ139" s="839"/>
      <c r="DK139" s="839"/>
      <c r="DL139" s="839"/>
      <c r="DM139" s="839"/>
      <c r="DN139" s="839"/>
      <c r="DO139" s="839"/>
      <c r="DP139" s="839"/>
      <c r="DQ139" s="839"/>
      <c r="DR139" s="839"/>
      <c r="DS139" s="839"/>
      <c r="DT139" s="839"/>
      <c r="DU139" s="839"/>
      <c r="DV139" s="839"/>
      <c r="DW139" s="839"/>
      <c r="DX139" s="893">
        <f>1-DX138-DX137</f>
        <v>0.31999999999999995</v>
      </c>
      <c r="DY139" s="893"/>
      <c r="DZ139" s="893">
        <f t="shared" ref="DZ139:EH139" si="78">1-DZ138-DZ137</f>
        <v>0.27</v>
      </c>
      <c r="EA139" s="893">
        <f t="shared" si="78"/>
        <v>0.31999999999999995</v>
      </c>
      <c r="EB139" s="893">
        <f t="shared" si="78"/>
        <v>0.31999999999999995</v>
      </c>
      <c r="EC139" s="893">
        <f t="shared" si="78"/>
        <v>0.31999999999999995</v>
      </c>
      <c r="ED139" s="893">
        <f t="shared" si="78"/>
        <v>0.31999999999999995</v>
      </c>
      <c r="EE139" s="893">
        <f t="shared" si="78"/>
        <v>0.31999999999999995</v>
      </c>
      <c r="EF139" s="893">
        <f t="shared" si="78"/>
        <v>0.31999999999999995</v>
      </c>
      <c r="EG139" s="893">
        <f t="shared" si="78"/>
        <v>0.31999999999999995</v>
      </c>
      <c r="EH139" s="893">
        <f t="shared" si="78"/>
        <v>0.31999999999999995</v>
      </c>
      <c r="EI139" s="839"/>
      <c r="EJ139" s="839"/>
      <c r="EK139" s="839"/>
    </row>
    <row r="140" spans="1:141" hidden="1" outlineLevel="1">
      <c r="A140" s="862"/>
      <c r="B140" s="862" t="s">
        <v>925</v>
      </c>
      <c r="C140" s="861"/>
      <c r="D140" s="863"/>
      <c r="E140" s="861"/>
      <c r="F140" s="863"/>
      <c r="G140" s="861"/>
      <c r="H140" s="864"/>
      <c r="I140" s="861"/>
      <c r="J140" s="863"/>
      <c r="K140" s="861"/>
      <c r="L140" s="864"/>
      <c r="M140" s="861"/>
      <c r="N140" s="863"/>
      <c r="O140" s="861"/>
      <c r="P140" s="864"/>
      <c r="Q140" s="861"/>
      <c r="R140" s="863"/>
      <c r="S140" s="861"/>
      <c r="T140" s="864"/>
      <c r="U140" s="861"/>
      <c r="V140" s="863"/>
      <c r="W140" s="861"/>
      <c r="X140" s="864"/>
      <c r="Y140" s="861"/>
      <c r="Z140" s="863"/>
      <c r="AA140" s="861"/>
      <c r="AB140" s="864"/>
      <c r="AC140" s="861"/>
      <c r="AD140" s="863"/>
      <c r="AE140" s="861"/>
      <c r="AF140" s="864"/>
      <c r="AG140" s="861"/>
      <c r="AH140" s="863"/>
      <c r="AI140" s="861"/>
      <c r="AJ140" s="894"/>
      <c r="AK140" s="861"/>
      <c r="AL140" s="863"/>
      <c r="AM140" s="861"/>
      <c r="AN140" s="894"/>
      <c r="AO140" s="861"/>
      <c r="AP140" s="863"/>
      <c r="AQ140" s="861"/>
      <c r="AR140" s="866">
        <v>4</v>
      </c>
      <c r="AS140" s="861"/>
      <c r="AT140" s="863"/>
      <c r="AU140" s="861"/>
      <c r="AV140" s="866">
        <v>14</v>
      </c>
      <c r="AW140" s="861"/>
      <c r="AX140" s="863"/>
      <c r="AY140" s="861"/>
      <c r="AZ140" s="866">
        <v>-5</v>
      </c>
      <c r="BA140" s="861"/>
      <c r="BB140" s="863"/>
      <c r="BC140" s="861"/>
      <c r="BD140" s="866">
        <v>1</v>
      </c>
      <c r="BE140" s="861"/>
      <c r="BF140" s="867"/>
      <c r="BG140" s="861"/>
      <c r="BH140" s="866">
        <v>-2</v>
      </c>
      <c r="BI140" s="861"/>
      <c r="BJ140" s="867"/>
      <c r="BK140" s="861"/>
      <c r="BL140" s="866">
        <v>-12</v>
      </c>
      <c r="BM140" s="861"/>
      <c r="BN140" s="867"/>
      <c r="BO140" s="861"/>
      <c r="BP140" s="866">
        <v>-6</v>
      </c>
      <c r="BQ140" s="861"/>
      <c r="BR140" s="867"/>
      <c r="BS140" s="861"/>
      <c r="BT140" s="866">
        <v>0</v>
      </c>
      <c r="BU140" s="861"/>
      <c r="BV140" s="867"/>
      <c r="BW140" s="861"/>
      <c r="BX140" s="900">
        <f>+EG140</f>
        <v>5.0600000000000005</v>
      </c>
      <c r="BY140" s="861"/>
      <c r="BZ140" s="867"/>
      <c r="CA140" s="861"/>
      <c r="CB140" s="900"/>
      <c r="CC140" s="861"/>
      <c r="CD140" s="867"/>
      <c r="CE140" s="861"/>
      <c r="CF140" s="900"/>
      <c r="CG140" s="861"/>
      <c r="CH140" s="867"/>
      <c r="CI140" s="861"/>
      <c r="CJ140" s="900"/>
      <c r="CK140" s="861"/>
      <c r="CL140" s="867"/>
      <c r="CM140" s="861"/>
      <c r="CN140" s="900"/>
      <c r="CO140" s="861"/>
      <c r="CP140" s="867"/>
      <c r="CQ140" s="861"/>
      <c r="CR140" s="900"/>
      <c r="CS140" s="861"/>
      <c r="CT140" s="876"/>
      <c r="CU140" s="876"/>
      <c r="CV140" s="876"/>
      <c r="CW140" s="876"/>
      <c r="CX140" s="876"/>
      <c r="CY140" s="876"/>
      <c r="CZ140" s="876"/>
      <c r="DA140" s="876"/>
      <c r="DB140" s="876"/>
      <c r="DC140" s="876"/>
      <c r="DD140" s="876"/>
      <c r="DE140" s="876"/>
      <c r="DF140" s="876"/>
      <c r="DG140" s="876"/>
      <c r="DH140" s="876"/>
      <c r="DI140" s="876"/>
      <c r="DJ140" s="876"/>
      <c r="DK140" s="876"/>
      <c r="DL140" s="876"/>
      <c r="DM140" s="876"/>
      <c r="DN140" s="876"/>
      <c r="DO140" s="876"/>
      <c r="DP140" s="876"/>
      <c r="DQ140" s="876"/>
      <c r="DR140" s="876"/>
      <c r="DS140" s="876"/>
      <c r="DT140" s="876"/>
      <c r="DU140" s="876"/>
      <c r="DV140" s="876"/>
      <c r="DW140" s="876"/>
      <c r="DX140" s="855">
        <f>+AR137*DX137+AR138*DX138+AR139*DX139</f>
        <v>4.32</v>
      </c>
      <c r="DY140" s="855"/>
      <c r="DZ140" s="855">
        <f>+AV137*DZ137+AV138*DZ138+AV139*DZ139</f>
        <v>13.639999999999999</v>
      </c>
      <c r="EA140" s="855">
        <f>+AZ137*EA137+AZ138*EA138+AZ139*EA139</f>
        <v>-5.38</v>
      </c>
      <c r="EB140" s="855">
        <f>+BD137*EB137+BD138*EB138+BD139*EB139</f>
        <v>1.0399999999999996</v>
      </c>
      <c r="EC140" s="855">
        <f>+BH137*EC137+BH138*EC138+BH139*EC139</f>
        <v>-3.6999999999999993</v>
      </c>
      <c r="ED140" s="855">
        <f>+BL137*ED137+BL138*ED138+BL139*ED139</f>
        <v>-9.5200000000000014</v>
      </c>
      <c r="EE140" s="855">
        <f>+BP137*EE137+BP138*EE138+BP139*EE139</f>
        <v>-6.8999999999999986</v>
      </c>
      <c r="EF140" s="855">
        <f>+BT137*EF137+BT138*EF138+BT139*EF139</f>
        <v>-1.0600000000000005</v>
      </c>
      <c r="EG140" s="855">
        <f>+BX137*EG137+BX138*EG138+BX139*EG139</f>
        <v>5.0600000000000005</v>
      </c>
      <c r="EH140" s="855"/>
      <c r="EI140" s="839"/>
      <c r="EJ140" s="839"/>
      <c r="EK140" s="839"/>
    </row>
    <row r="141" spans="1:141" hidden="1" outlineLevel="1">
      <c r="A141" s="839"/>
      <c r="B141" s="839"/>
      <c r="C141" s="839"/>
      <c r="D141" s="877"/>
      <c r="E141" s="839"/>
      <c r="F141" s="877"/>
      <c r="G141" s="839"/>
      <c r="H141" s="839"/>
      <c r="I141" s="839"/>
      <c r="J141" s="877"/>
      <c r="K141" s="839"/>
      <c r="L141" s="839"/>
      <c r="M141" s="839"/>
      <c r="N141" s="877"/>
      <c r="O141" s="839"/>
      <c r="P141" s="839"/>
      <c r="Q141" s="839"/>
      <c r="R141" s="877"/>
      <c r="S141" s="839"/>
      <c r="T141" s="839"/>
      <c r="U141" s="839"/>
      <c r="V141" s="877"/>
      <c r="W141" s="839"/>
      <c r="X141" s="839"/>
      <c r="Y141" s="839"/>
      <c r="Z141" s="877"/>
      <c r="AA141" s="839"/>
      <c r="AB141" s="839"/>
      <c r="AC141" s="839"/>
      <c r="AD141" s="877"/>
      <c r="AE141" s="839"/>
      <c r="AF141" s="839"/>
      <c r="AG141" s="839"/>
      <c r="AH141" s="877"/>
      <c r="AI141" s="839"/>
      <c r="AJ141" s="877"/>
      <c r="AK141" s="839"/>
      <c r="AL141" s="877"/>
      <c r="AM141" s="839"/>
      <c r="AN141" s="877"/>
      <c r="AO141" s="839"/>
      <c r="AP141" s="877"/>
      <c r="AQ141" s="839"/>
      <c r="AR141" s="877"/>
      <c r="AS141" s="839"/>
      <c r="AT141" s="877"/>
      <c r="AU141" s="839"/>
      <c r="AV141" s="877"/>
      <c r="AW141" s="839"/>
      <c r="AX141" s="877"/>
      <c r="AY141" s="839"/>
      <c r="AZ141" s="877"/>
      <c r="BA141" s="839"/>
      <c r="BB141" s="877"/>
      <c r="BC141" s="839"/>
      <c r="BD141" s="877"/>
      <c r="BE141" s="839"/>
      <c r="BF141" s="879"/>
      <c r="BG141" s="839"/>
      <c r="BH141" s="877"/>
      <c r="BI141" s="839"/>
      <c r="BJ141" s="879"/>
      <c r="BK141" s="839"/>
      <c r="BL141" s="877"/>
      <c r="BM141" s="839"/>
      <c r="BN141" s="879"/>
      <c r="BO141" s="839"/>
      <c r="BP141" s="877"/>
      <c r="BQ141" s="839"/>
      <c r="BR141" s="879"/>
      <c r="BS141" s="839"/>
      <c r="BT141" s="877"/>
      <c r="BU141" s="839"/>
      <c r="BV141" s="879"/>
      <c r="BW141" s="839"/>
      <c r="BX141" s="877"/>
      <c r="BY141" s="839"/>
      <c r="BZ141" s="879"/>
      <c r="CA141" s="839"/>
      <c r="CB141" s="877"/>
      <c r="CC141" s="839"/>
      <c r="CD141" s="879"/>
      <c r="CE141" s="839"/>
      <c r="CF141" s="877"/>
      <c r="CG141" s="839"/>
      <c r="CH141" s="879"/>
      <c r="CI141" s="839"/>
      <c r="CJ141" s="877"/>
      <c r="CK141" s="839"/>
      <c r="CL141" s="879"/>
      <c r="CM141" s="839"/>
      <c r="CN141" s="877"/>
      <c r="CO141" s="839"/>
      <c r="CP141" s="879"/>
      <c r="CQ141" s="839"/>
      <c r="CR141" s="877"/>
      <c r="CS141" s="839"/>
      <c r="CT141" s="839"/>
      <c r="CU141" s="839"/>
      <c r="CV141" s="839"/>
      <c r="CW141" s="839"/>
      <c r="CX141" s="839"/>
      <c r="CY141" s="839"/>
      <c r="CZ141" s="839"/>
      <c r="DA141" s="839"/>
      <c r="DB141" s="839"/>
      <c r="DC141" s="839"/>
      <c r="DD141" s="839"/>
      <c r="DE141" s="839"/>
      <c r="DF141" s="839"/>
      <c r="DG141" s="839"/>
      <c r="DH141" s="839"/>
      <c r="DI141" s="839"/>
      <c r="DJ141" s="839"/>
      <c r="DK141" s="839"/>
      <c r="DL141" s="839"/>
      <c r="DM141" s="839"/>
      <c r="DN141" s="839"/>
      <c r="DO141" s="839"/>
      <c r="DP141" s="839"/>
      <c r="DQ141" s="839"/>
      <c r="DR141" s="839"/>
      <c r="DS141" s="839"/>
      <c r="DT141" s="839"/>
      <c r="DU141" s="839"/>
      <c r="DV141" s="839"/>
      <c r="DW141" s="839"/>
      <c r="DX141" s="839"/>
      <c r="DY141" s="839"/>
      <c r="DZ141" s="839"/>
      <c r="EA141" s="839"/>
      <c r="EB141" s="839"/>
      <c r="EC141" s="839"/>
      <c r="ED141" s="839"/>
      <c r="EE141" s="839"/>
      <c r="EF141" s="839"/>
      <c r="EG141" s="839"/>
      <c r="EH141" s="839"/>
      <c r="EI141" s="839"/>
      <c r="EJ141" s="839"/>
      <c r="EK141" s="839"/>
    </row>
    <row r="142" spans="1:141" hidden="1" outlineLevel="1">
      <c r="A142" s="840" t="s">
        <v>599</v>
      </c>
      <c r="B142" s="840"/>
      <c r="C142" s="839"/>
      <c r="D142" s="877">
        <f>+D137</f>
        <v>4</v>
      </c>
      <c r="E142" s="839"/>
      <c r="F142" s="856"/>
      <c r="G142" s="839"/>
      <c r="H142" s="851"/>
      <c r="I142" s="839" t="s">
        <v>1084</v>
      </c>
      <c r="J142" s="852" t="str">
        <f>+segmthSales!J49</f>
        <v>11/30</v>
      </c>
      <c r="K142" s="839"/>
      <c r="L142" s="851"/>
      <c r="M142" s="839" t="s">
        <v>1084</v>
      </c>
      <c r="N142" s="852" t="str">
        <f>+segmthSales!N49</f>
        <v>11/28</v>
      </c>
      <c r="O142" s="839"/>
      <c r="P142" s="851"/>
      <c r="Q142" s="839" t="s">
        <v>1084</v>
      </c>
      <c r="R142" s="852" t="str">
        <f>+segmthSales!R49</f>
        <v>11/27</v>
      </c>
      <c r="S142" s="839"/>
      <c r="T142" s="851"/>
      <c r="U142" s="839" t="s">
        <v>1084</v>
      </c>
      <c r="V142" s="852" t="str">
        <f>+segmthSales!V49</f>
        <v>11/26</v>
      </c>
      <c r="W142" s="839"/>
      <c r="X142" s="851"/>
      <c r="Y142" s="839" t="s">
        <v>1084</v>
      </c>
      <c r="Z142" s="852" t="str">
        <f>+segmthSales!Z49</f>
        <v>11/25</v>
      </c>
      <c r="AA142" s="839"/>
      <c r="AB142" s="851"/>
      <c r="AC142" s="839" t="s">
        <v>1084</v>
      </c>
      <c r="AD142" s="852" t="str">
        <f>+segmthSales!AD49</f>
        <v>11/30</v>
      </c>
      <c r="AE142" s="839"/>
      <c r="AF142" s="851"/>
      <c r="AG142" s="839" t="s">
        <v>1084</v>
      </c>
      <c r="AH142" s="852" t="str">
        <f>+segmthSales!AH49</f>
        <v>11/29</v>
      </c>
      <c r="AI142" s="839"/>
      <c r="AJ142" s="896"/>
      <c r="AK142" s="839" t="s">
        <v>1084</v>
      </c>
      <c r="AL142" s="852" t="str">
        <f>+segmthSales!AL49</f>
        <v>12/2</v>
      </c>
      <c r="AM142" s="839"/>
      <c r="AN142" s="896"/>
      <c r="AO142" s="839" t="s">
        <v>1084</v>
      </c>
      <c r="AP142" s="852" t="str">
        <f>+segmthSales!AP49</f>
        <v>11/27</v>
      </c>
      <c r="AQ142" s="839"/>
      <c r="AR142" s="853">
        <v>-2</v>
      </c>
      <c r="AS142" s="839" t="s">
        <v>1084</v>
      </c>
      <c r="AT142" s="852" t="str">
        <f>+segmthSales!AT49</f>
        <v>11/25</v>
      </c>
      <c r="AU142" s="839"/>
      <c r="AV142" s="853">
        <v>11</v>
      </c>
      <c r="AW142" s="839" t="s">
        <v>1084</v>
      </c>
      <c r="AX142" s="852" t="str">
        <f>+segmthSales!AX49</f>
        <v>12/1</v>
      </c>
      <c r="AY142" s="839"/>
      <c r="AZ142" s="853">
        <v>-6</v>
      </c>
      <c r="BA142" s="839" t="s">
        <v>1084</v>
      </c>
      <c r="BB142" s="852" t="str">
        <f>+segmthSales!BB49</f>
        <v>11/30</v>
      </c>
      <c r="BC142" s="839"/>
      <c r="BD142" s="853">
        <v>-2</v>
      </c>
      <c r="BE142" s="839" t="s">
        <v>1084</v>
      </c>
      <c r="BF142" s="854">
        <f>+segmthSales!BF49</f>
        <v>37954</v>
      </c>
      <c r="BG142" s="839"/>
      <c r="BH142" s="853">
        <v>-10</v>
      </c>
      <c r="BI142" s="839" t="s">
        <v>1084</v>
      </c>
      <c r="BJ142" s="854">
        <f>+segmthSales!BJ49</f>
        <v>38319</v>
      </c>
      <c r="BK142" s="839"/>
      <c r="BL142" s="853">
        <v>-22</v>
      </c>
      <c r="BM142" s="839" t="s">
        <v>1084</v>
      </c>
      <c r="BN142" s="854">
        <f>+segmthSales!BN49</f>
        <v>38682</v>
      </c>
      <c r="BO142" s="839"/>
      <c r="BP142" s="853">
        <v>13</v>
      </c>
      <c r="BQ142" s="839" t="s">
        <v>1084</v>
      </c>
      <c r="BR142" s="854">
        <f>+segmthSales!BR49</f>
        <v>38681</v>
      </c>
      <c r="BS142" s="839"/>
      <c r="BT142" s="853">
        <v>7</v>
      </c>
      <c r="BU142" s="839" t="s">
        <v>1084</v>
      </c>
      <c r="BV142" s="854">
        <f>+segmthSales!BV49</f>
        <v>39417</v>
      </c>
      <c r="BW142" s="839"/>
      <c r="BX142" s="853">
        <v>3</v>
      </c>
      <c r="BY142" s="839" t="s">
        <v>1084</v>
      </c>
      <c r="BZ142" s="854"/>
      <c r="CA142" s="839"/>
      <c r="CB142" s="853"/>
      <c r="CC142" s="839"/>
      <c r="CD142" s="854"/>
      <c r="CE142" s="839"/>
      <c r="CF142" s="853"/>
      <c r="CG142" s="839"/>
      <c r="CH142" s="854"/>
      <c r="CI142" s="839"/>
      <c r="CJ142" s="853"/>
      <c r="CK142" s="839"/>
      <c r="CL142" s="854"/>
      <c r="CM142" s="839"/>
      <c r="CN142" s="853"/>
      <c r="CO142" s="839"/>
      <c r="CP142" s="854"/>
      <c r="CQ142" s="839"/>
      <c r="CR142" s="853"/>
      <c r="CS142" s="839"/>
      <c r="CT142" s="839"/>
      <c r="CU142" s="839"/>
      <c r="CV142" s="839"/>
      <c r="CW142" s="839"/>
      <c r="CX142" s="839"/>
      <c r="CY142" s="839"/>
      <c r="CZ142" s="839"/>
      <c r="DA142" s="839"/>
      <c r="DB142" s="839"/>
      <c r="DC142" s="839"/>
      <c r="DD142" s="839"/>
      <c r="DE142" s="839"/>
      <c r="DF142" s="839"/>
      <c r="DG142" s="839"/>
      <c r="DH142" s="839"/>
      <c r="DI142" s="839"/>
      <c r="DJ142" s="839"/>
      <c r="DK142" s="839"/>
      <c r="DL142" s="839"/>
      <c r="DM142" s="839"/>
      <c r="DN142" s="839"/>
      <c r="DO142" s="839"/>
      <c r="DP142" s="839"/>
      <c r="DQ142" s="839"/>
      <c r="DR142" s="839"/>
      <c r="DS142" s="839"/>
      <c r="DT142" s="839"/>
      <c r="DU142" s="839"/>
      <c r="DV142" s="839"/>
      <c r="DW142" s="839"/>
      <c r="DX142" s="892">
        <v>0.3</v>
      </c>
      <c r="DY142" s="892"/>
      <c r="DZ142" s="892">
        <v>0.3</v>
      </c>
      <c r="EA142" s="892">
        <v>0.3</v>
      </c>
      <c r="EB142" s="892">
        <v>0.3</v>
      </c>
      <c r="EC142" s="892">
        <v>0.25</v>
      </c>
      <c r="ED142" s="892">
        <v>0.3</v>
      </c>
      <c r="EE142" s="892">
        <v>0.3</v>
      </c>
      <c r="EF142" s="892">
        <v>0.3</v>
      </c>
      <c r="EG142" s="892">
        <v>0.3</v>
      </c>
      <c r="EH142" s="892">
        <v>0.3</v>
      </c>
      <c r="EI142" s="839"/>
      <c r="EJ142" s="839"/>
      <c r="EK142" s="839"/>
    </row>
    <row r="143" spans="1:141" hidden="1" outlineLevel="1">
      <c r="A143" s="840" t="s">
        <v>600</v>
      </c>
      <c r="B143" s="840"/>
      <c r="C143" s="839"/>
      <c r="D143" s="877">
        <f>+D138</f>
        <v>5</v>
      </c>
      <c r="E143" s="839"/>
      <c r="F143" s="841"/>
      <c r="G143" s="839"/>
      <c r="H143" s="851"/>
      <c r="I143" s="839"/>
      <c r="J143" s="852" t="str">
        <f>+segmthSales!J50</f>
        <v>1/4</v>
      </c>
      <c r="K143" s="839"/>
      <c r="L143" s="851"/>
      <c r="M143" s="839"/>
      <c r="N143" s="852" t="str">
        <f>+segmthSales!N50</f>
        <v xml:space="preserve"> 1/2</v>
      </c>
      <c r="O143" s="839"/>
      <c r="P143" s="851"/>
      <c r="Q143" s="839"/>
      <c r="R143" s="852" t="str">
        <f>+segmthSales!R50</f>
        <v>1/1</v>
      </c>
      <c r="S143" s="839"/>
      <c r="T143" s="851"/>
      <c r="U143" s="839"/>
      <c r="V143" s="852" t="str">
        <f>+segmthSales!V50</f>
        <v>12/31</v>
      </c>
      <c r="W143" s="839"/>
      <c r="X143" s="851"/>
      <c r="Y143" s="839"/>
      <c r="Z143" s="852" t="str">
        <f>+segmthSales!Z50</f>
        <v>12/30</v>
      </c>
      <c r="AA143" s="839"/>
      <c r="AB143" s="851"/>
      <c r="AC143" s="839"/>
      <c r="AD143" s="852" t="str">
        <f>+segmthSales!AD50</f>
        <v>1/4</v>
      </c>
      <c r="AE143" s="839"/>
      <c r="AF143" s="851"/>
      <c r="AG143" s="839"/>
      <c r="AH143" s="852" t="str">
        <f>+segmthSales!AH50</f>
        <v>1/3</v>
      </c>
      <c r="AI143" s="839"/>
      <c r="AJ143" s="897"/>
      <c r="AK143" s="839"/>
      <c r="AL143" s="852" t="str">
        <f>+segmthSales!AL50</f>
        <v>1/2</v>
      </c>
      <c r="AM143" s="839"/>
      <c r="AN143" s="897"/>
      <c r="AO143" s="839"/>
      <c r="AP143" s="852" t="str">
        <f>+segmthSales!AP50</f>
        <v>1/1</v>
      </c>
      <c r="AQ143" s="839"/>
      <c r="AR143" s="853">
        <v>-4</v>
      </c>
      <c r="AS143" s="839"/>
      <c r="AT143" s="852" t="str">
        <f>+segmthSales!AT50</f>
        <v>12/30</v>
      </c>
      <c r="AU143" s="839"/>
      <c r="AV143" s="853">
        <v>5</v>
      </c>
      <c r="AW143" s="839"/>
      <c r="AX143" s="852" t="str">
        <f>+segmthSales!AX50</f>
        <v>1/5</v>
      </c>
      <c r="AY143" s="839"/>
      <c r="AZ143" s="853">
        <v>-2</v>
      </c>
      <c r="BA143" s="839"/>
      <c r="BB143" s="852" t="str">
        <f>+segmthSales!BB50</f>
        <v>1/4</v>
      </c>
      <c r="BC143" s="839"/>
      <c r="BD143" s="853">
        <v>-7</v>
      </c>
      <c r="BE143" s="839"/>
      <c r="BF143" s="854">
        <f>+segmthSales!BF50</f>
        <v>37624</v>
      </c>
      <c r="BG143" s="839"/>
      <c r="BH143" s="853">
        <v>10</v>
      </c>
      <c r="BI143" s="839"/>
      <c r="BJ143" s="854">
        <f>+segmthSales!BJ50</f>
        <v>38354</v>
      </c>
      <c r="BK143" s="839"/>
      <c r="BL143" s="853">
        <v>-18</v>
      </c>
      <c r="BM143" s="839"/>
      <c r="BN143" s="854">
        <f>+segmthSales!BN50</f>
        <v>38717</v>
      </c>
      <c r="BO143" s="839"/>
      <c r="BP143" s="853">
        <v>7</v>
      </c>
      <c r="BQ143" s="839"/>
      <c r="BR143" s="854">
        <f>+segmthSales!BR50</f>
        <v>38716</v>
      </c>
      <c r="BS143" s="839"/>
      <c r="BT143" s="853">
        <v>-5</v>
      </c>
      <c r="BU143" s="839"/>
      <c r="BV143" s="854">
        <f>+segmthSales!BV50</f>
        <v>39087</v>
      </c>
      <c r="BW143" s="839"/>
      <c r="BX143" s="853">
        <v>7</v>
      </c>
      <c r="BY143" s="839"/>
      <c r="BZ143" s="854"/>
      <c r="CA143" s="839"/>
      <c r="CB143" s="853"/>
      <c r="CC143" s="839"/>
      <c r="CD143" s="854"/>
      <c r="CE143" s="839"/>
      <c r="CF143" s="853"/>
      <c r="CG143" s="839"/>
      <c r="CH143" s="854"/>
      <c r="CI143" s="839"/>
      <c r="CJ143" s="853"/>
      <c r="CK143" s="839"/>
      <c r="CL143" s="854"/>
      <c r="CM143" s="839"/>
      <c r="CN143" s="853"/>
      <c r="CO143" s="839"/>
      <c r="CP143" s="854"/>
      <c r="CQ143" s="839"/>
      <c r="CR143" s="853"/>
      <c r="CS143" s="839"/>
      <c r="CT143" s="839"/>
      <c r="CU143" s="839"/>
      <c r="CV143" s="839"/>
      <c r="CW143" s="839"/>
      <c r="CX143" s="839"/>
      <c r="CY143" s="839"/>
      <c r="CZ143" s="839"/>
      <c r="DA143" s="839"/>
      <c r="DB143" s="839"/>
      <c r="DC143" s="839"/>
      <c r="DD143" s="839"/>
      <c r="DE143" s="839"/>
      <c r="DF143" s="839"/>
      <c r="DG143" s="839"/>
      <c r="DH143" s="839"/>
      <c r="DI143" s="839"/>
      <c r="DJ143" s="839"/>
      <c r="DK143" s="839"/>
      <c r="DL143" s="839"/>
      <c r="DM143" s="839"/>
      <c r="DN143" s="839"/>
      <c r="DO143" s="839"/>
      <c r="DP143" s="839"/>
      <c r="DQ143" s="839"/>
      <c r="DR143" s="839"/>
      <c r="DS143" s="839"/>
      <c r="DT143" s="839"/>
      <c r="DU143" s="839"/>
      <c r="DV143" s="839"/>
      <c r="DW143" s="839"/>
      <c r="DX143" s="892">
        <v>0.5</v>
      </c>
      <c r="DY143" s="892"/>
      <c r="DZ143" s="892">
        <v>0.5</v>
      </c>
      <c r="EA143" s="892">
        <v>0.5</v>
      </c>
      <c r="EB143" s="892">
        <v>0.45</v>
      </c>
      <c r="EC143" s="892">
        <v>0.45</v>
      </c>
      <c r="ED143" s="892">
        <v>0.45</v>
      </c>
      <c r="EE143" s="892">
        <v>0.45</v>
      </c>
      <c r="EF143" s="892">
        <v>0.45</v>
      </c>
      <c r="EG143" s="892">
        <v>0.45</v>
      </c>
      <c r="EH143" s="892">
        <v>0.45</v>
      </c>
      <c r="EI143" s="839"/>
      <c r="EJ143" s="839"/>
      <c r="EK143" s="839"/>
    </row>
    <row r="144" spans="1:141" hidden="1" outlineLevel="1">
      <c r="A144" s="840" t="s">
        <v>601</v>
      </c>
      <c r="B144" s="840"/>
      <c r="C144" s="839"/>
      <c r="D144" s="877">
        <f>+D139</f>
        <v>4</v>
      </c>
      <c r="E144" s="839"/>
      <c r="F144" s="841"/>
      <c r="G144" s="839"/>
      <c r="H144" s="857"/>
      <c r="I144" s="839"/>
      <c r="J144" s="852" t="str">
        <f>+segmthSales!J51</f>
        <v>2/1</v>
      </c>
      <c r="K144" s="839"/>
      <c r="L144" s="857"/>
      <c r="M144" s="839"/>
      <c r="N144" s="852" t="str">
        <f>+segmthSales!N51</f>
        <v xml:space="preserve"> 1/30</v>
      </c>
      <c r="O144" s="839"/>
      <c r="P144" s="857"/>
      <c r="Q144" s="839"/>
      <c r="R144" s="852" t="str">
        <f>+segmthSales!R51</f>
        <v>1/29</v>
      </c>
      <c r="S144" s="839"/>
      <c r="T144" s="857"/>
      <c r="U144" s="839"/>
      <c r="V144" s="852" t="str">
        <f>+segmthSales!V51</f>
        <v>1/28</v>
      </c>
      <c r="W144" s="839"/>
      <c r="X144" s="857"/>
      <c r="Y144" s="839"/>
      <c r="Z144" s="852" t="str">
        <f>+segmthSales!Z51</f>
        <v>2/3</v>
      </c>
      <c r="AA144" s="839"/>
      <c r="AB144" s="857"/>
      <c r="AC144" s="839"/>
      <c r="AD144" s="852" t="str">
        <f>+segmthSales!AD51</f>
        <v>2/1</v>
      </c>
      <c r="AE144" s="839"/>
      <c r="AF144" s="857"/>
      <c r="AG144" s="839"/>
      <c r="AH144" s="852" t="str">
        <f>+segmthSales!AH51</f>
        <v>1/30</v>
      </c>
      <c r="AI144" s="839"/>
      <c r="AJ144" s="898"/>
      <c r="AK144" s="839"/>
      <c r="AL144" s="852" t="str">
        <f>+segmthSales!AL51</f>
        <v>1/30</v>
      </c>
      <c r="AM144" s="839"/>
      <c r="AN144" s="898"/>
      <c r="AO144" s="839"/>
      <c r="AP144" s="852" t="str">
        <f>+segmthSales!AP51</f>
        <v>1/29</v>
      </c>
      <c r="AQ144" s="839"/>
      <c r="AR144" s="858">
        <v>4</v>
      </c>
      <c r="AS144" s="839"/>
      <c r="AT144" s="852" t="str">
        <f>+segmthSales!AT51</f>
        <v>2/3</v>
      </c>
      <c r="AU144" s="839"/>
      <c r="AV144" s="858">
        <v>11</v>
      </c>
      <c r="AW144" s="839"/>
      <c r="AX144" s="852" t="str">
        <f>+segmthSales!AX51</f>
        <v>2/2</v>
      </c>
      <c r="AY144" s="839"/>
      <c r="AZ144" s="858">
        <v>5</v>
      </c>
      <c r="BA144" s="839"/>
      <c r="BB144" s="852" t="str">
        <f>+segmthSales!BB51</f>
        <v>2/1</v>
      </c>
      <c r="BC144" s="839"/>
      <c r="BD144" s="858">
        <v>-3</v>
      </c>
      <c r="BE144" s="839"/>
      <c r="BF144" s="854">
        <f>+segmthSales!BF51</f>
        <v>37652</v>
      </c>
      <c r="BG144" s="839"/>
      <c r="BH144" s="858">
        <v>10</v>
      </c>
      <c r="BI144" s="839"/>
      <c r="BJ144" s="854">
        <f>+segmthSales!BJ51</f>
        <v>38382</v>
      </c>
      <c r="BK144" s="839"/>
      <c r="BL144" s="858">
        <v>-8</v>
      </c>
      <c r="BM144" s="839"/>
      <c r="BN144" s="854">
        <f>+segmthSales!BN51</f>
        <v>38745</v>
      </c>
      <c r="BO144" s="839"/>
      <c r="BP144" s="858">
        <v>-4</v>
      </c>
      <c r="BQ144" s="839"/>
      <c r="BR144" s="854">
        <f>+segmthSales!BR51</f>
        <v>38386</v>
      </c>
      <c r="BS144" s="839"/>
      <c r="BT144" s="858">
        <v>14</v>
      </c>
      <c r="BU144" s="839"/>
      <c r="BV144" s="854">
        <f>+segmthSales!BV51</f>
        <v>39115</v>
      </c>
      <c r="BW144" s="839"/>
      <c r="BX144" s="858">
        <v>2</v>
      </c>
      <c r="BY144" s="839"/>
      <c r="BZ144" s="854"/>
      <c r="CA144" s="839"/>
      <c r="CB144" s="858"/>
      <c r="CC144" s="839"/>
      <c r="CD144" s="854"/>
      <c r="CE144" s="839"/>
      <c r="CF144" s="858"/>
      <c r="CG144" s="839"/>
      <c r="CH144" s="854"/>
      <c r="CI144" s="839"/>
      <c r="CJ144" s="858"/>
      <c r="CK144" s="839"/>
      <c r="CL144" s="854"/>
      <c r="CM144" s="839"/>
      <c r="CN144" s="858"/>
      <c r="CO144" s="839"/>
      <c r="CP144" s="854"/>
      <c r="CQ144" s="839"/>
      <c r="CR144" s="858"/>
      <c r="CS144" s="839"/>
      <c r="CT144" s="839"/>
      <c r="CU144" s="839"/>
      <c r="CV144" s="839"/>
      <c r="CW144" s="839"/>
      <c r="CX144" s="839"/>
      <c r="CY144" s="839"/>
      <c r="CZ144" s="839"/>
      <c r="DA144" s="839"/>
      <c r="DB144" s="839"/>
      <c r="DC144" s="839"/>
      <c r="DD144" s="839"/>
      <c r="DE144" s="839"/>
      <c r="DF144" s="839"/>
      <c r="DG144" s="839"/>
      <c r="DH144" s="839"/>
      <c r="DI144" s="839"/>
      <c r="DJ144" s="839"/>
      <c r="DK144" s="839"/>
      <c r="DL144" s="839"/>
      <c r="DM144" s="839"/>
      <c r="DN144" s="839"/>
      <c r="DO144" s="839"/>
      <c r="DP144" s="839"/>
      <c r="DQ144" s="839"/>
      <c r="DR144" s="839"/>
      <c r="DS144" s="839"/>
      <c r="DT144" s="839"/>
      <c r="DU144" s="839"/>
      <c r="DV144" s="839"/>
      <c r="DW144" s="839"/>
      <c r="DX144" s="893">
        <f>1-DX143-DX142</f>
        <v>0.2</v>
      </c>
      <c r="DY144" s="893"/>
      <c r="DZ144" s="893">
        <f t="shared" ref="DZ144:EH144" si="79">1-DZ143-DZ142</f>
        <v>0.2</v>
      </c>
      <c r="EA144" s="893">
        <f t="shared" si="79"/>
        <v>0.2</v>
      </c>
      <c r="EB144" s="893">
        <f t="shared" si="79"/>
        <v>0.25000000000000006</v>
      </c>
      <c r="EC144" s="893">
        <f t="shared" si="79"/>
        <v>0.30000000000000004</v>
      </c>
      <c r="ED144" s="893">
        <f t="shared" si="79"/>
        <v>0.25000000000000006</v>
      </c>
      <c r="EE144" s="893">
        <f t="shared" si="79"/>
        <v>0.25000000000000006</v>
      </c>
      <c r="EF144" s="893">
        <f t="shared" si="79"/>
        <v>0.25000000000000006</v>
      </c>
      <c r="EG144" s="893">
        <f t="shared" si="79"/>
        <v>0.25000000000000006</v>
      </c>
      <c r="EH144" s="893">
        <f t="shared" si="79"/>
        <v>0.25000000000000006</v>
      </c>
      <c r="EI144" s="839"/>
      <c r="EJ144" s="839"/>
      <c r="EK144" s="839"/>
    </row>
    <row r="145" spans="1:141" hidden="1" outlineLevel="1">
      <c r="A145" s="862"/>
      <c r="B145" s="862" t="s">
        <v>519</v>
      </c>
      <c r="C145" s="861"/>
      <c r="D145" s="861"/>
      <c r="E145" s="861"/>
      <c r="F145" s="861"/>
      <c r="G145" s="861"/>
      <c r="H145" s="864"/>
      <c r="I145" s="861"/>
      <c r="J145" s="861"/>
      <c r="K145" s="861"/>
      <c r="L145" s="864"/>
      <c r="M145" s="861"/>
      <c r="N145" s="861"/>
      <c r="O145" s="861"/>
      <c r="P145" s="864"/>
      <c r="Q145" s="861"/>
      <c r="R145" s="861"/>
      <c r="S145" s="861"/>
      <c r="T145" s="864"/>
      <c r="U145" s="861"/>
      <c r="V145" s="861"/>
      <c r="W145" s="861"/>
      <c r="X145" s="864"/>
      <c r="Y145" s="861"/>
      <c r="Z145" s="861"/>
      <c r="AA145" s="861"/>
      <c r="AB145" s="864"/>
      <c r="AC145" s="861"/>
      <c r="AD145" s="861"/>
      <c r="AE145" s="861"/>
      <c r="AF145" s="864"/>
      <c r="AG145" s="861"/>
      <c r="AH145" s="861"/>
      <c r="AI145" s="861"/>
      <c r="AJ145" s="864"/>
      <c r="AK145" s="861"/>
      <c r="AL145" s="861"/>
      <c r="AM145" s="861"/>
      <c r="AN145" s="894"/>
      <c r="AO145" s="861"/>
      <c r="AP145" s="861"/>
      <c r="AQ145" s="861"/>
      <c r="AR145" s="866">
        <v>-2</v>
      </c>
      <c r="AS145" s="861"/>
      <c r="AT145" s="861"/>
      <c r="AU145" s="861"/>
      <c r="AV145" s="866">
        <v>8</v>
      </c>
      <c r="AW145" s="861"/>
      <c r="AX145" s="861"/>
      <c r="AY145" s="861"/>
      <c r="AZ145" s="866">
        <v>-2</v>
      </c>
      <c r="BA145" s="861"/>
      <c r="BB145" s="861"/>
      <c r="BC145" s="861"/>
      <c r="BD145" s="866">
        <v>-4</v>
      </c>
      <c r="BE145" s="861"/>
      <c r="BF145" s="861"/>
      <c r="BG145" s="861"/>
      <c r="BH145" s="866">
        <v>4</v>
      </c>
      <c r="BI145" s="861"/>
      <c r="BJ145" s="861"/>
      <c r="BK145" s="861"/>
      <c r="BL145" s="866">
        <v>-17</v>
      </c>
      <c r="BM145" s="861"/>
      <c r="BN145" s="861"/>
      <c r="BO145" s="861"/>
      <c r="BP145" s="866">
        <v>6</v>
      </c>
      <c r="BQ145" s="861"/>
      <c r="BR145" s="861"/>
      <c r="BS145" s="861"/>
      <c r="BT145" s="866">
        <v>3</v>
      </c>
      <c r="BU145" s="861"/>
      <c r="BV145" s="861"/>
      <c r="BW145" s="861"/>
      <c r="BX145" s="900">
        <f>+EG145</f>
        <v>4.55</v>
      </c>
      <c r="BY145" s="861"/>
      <c r="BZ145" s="861"/>
      <c r="CA145" s="861"/>
      <c r="CB145" s="900"/>
      <c r="CC145" s="861"/>
      <c r="CD145" s="861"/>
      <c r="CE145" s="861"/>
      <c r="CF145" s="900"/>
      <c r="CG145" s="861"/>
      <c r="CH145" s="861"/>
      <c r="CI145" s="861"/>
      <c r="CJ145" s="900"/>
      <c r="CK145" s="861"/>
      <c r="CL145" s="861"/>
      <c r="CM145" s="861"/>
      <c r="CN145" s="900"/>
      <c r="CO145" s="861"/>
      <c r="CP145" s="861"/>
      <c r="CQ145" s="861"/>
      <c r="CR145" s="900"/>
      <c r="CS145" s="861"/>
      <c r="CT145" s="876"/>
      <c r="CU145" s="876"/>
      <c r="CV145" s="876"/>
      <c r="CW145" s="876"/>
      <c r="CX145" s="876"/>
      <c r="CY145" s="876"/>
      <c r="CZ145" s="876"/>
      <c r="DA145" s="876"/>
      <c r="DB145" s="876"/>
      <c r="DC145" s="876"/>
      <c r="DD145" s="876"/>
      <c r="DE145" s="876"/>
      <c r="DF145" s="876"/>
      <c r="DG145" s="876"/>
      <c r="DH145" s="876"/>
      <c r="DI145" s="876"/>
      <c r="DJ145" s="876"/>
      <c r="DK145" s="876"/>
      <c r="DL145" s="876"/>
      <c r="DM145" s="876"/>
      <c r="DN145" s="876"/>
      <c r="DO145" s="876"/>
      <c r="DP145" s="876"/>
      <c r="DQ145" s="876"/>
      <c r="DR145" s="876"/>
      <c r="DS145" s="876"/>
      <c r="DT145" s="876"/>
      <c r="DU145" s="876"/>
      <c r="DV145" s="876"/>
      <c r="DW145" s="876"/>
      <c r="DX145" s="855">
        <f>+AR142*DX142+AR143*DX143+AR144*DX144</f>
        <v>-1.8</v>
      </c>
      <c r="DY145" s="855"/>
      <c r="DZ145" s="855">
        <f>+AV142*DZ142+AV143*DZ143+AV144*DZ144</f>
        <v>8</v>
      </c>
      <c r="EA145" s="855">
        <f>+AZ142*EA142+AZ143*EA143+AZ144*EA144</f>
        <v>-1.7999999999999998</v>
      </c>
      <c r="EB145" s="855">
        <f>+BD142*EB142+BD143*EB143+BD144*EB144</f>
        <v>-4.5</v>
      </c>
      <c r="EC145" s="855">
        <f>+BH142*EC142+BH143*EC143+BH144*EC144</f>
        <v>5</v>
      </c>
      <c r="ED145" s="855">
        <f>+BL142*ED142+BL143*ED143+BL144*ED144</f>
        <v>-16.7</v>
      </c>
      <c r="EE145" s="855">
        <f>+BP142*EE142+BP143*EE143+BP144*EE144</f>
        <v>6.05</v>
      </c>
      <c r="EF145" s="855">
        <f>+BT142*EF142+BT143*EF143+BT144*EF144</f>
        <v>3.350000000000001</v>
      </c>
      <c r="EG145" s="855">
        <f>+BX142*EG142+BX143*EG143+BX144*EG144</f>
        <v>4.55</v>
      </c>
      <c r="EH145" s="855"/>
      <c r="EI145" s="839"/>
      <c r="EJ145" s="839"/>
      <c r="EK145" s="839"/>
    </row>
    <row r="146" spans="1:141" hidden="1" outlineLevel="1">
      <c r="A146" s="885"/>
      <c r="B146" s="885" t="s">
        <v>1020</v>
      </c>
      <c r="C146" s="886"/>
      <c r="D146" s="886"/>
      <c r="E146" s="886"/>
      <c r="F146" s="886"/>
      <c r="G146" s="886"/>
      <c r="H146" s="887"/>
      <c r="I146" s="886"/>
      <c r="J146" s="886"/>
      <c r="K146" s="886"/>
      <c r="L146" s="887"/>
      <c r="M146" s="886"/>
      <c r="N146" s="886"/>
      <c r="O146" s="886"/>
      <c r="P146" s="887"/>
      <c r="Q146" s="886"/>
      <c r="R146" s="886"/>
      <c r="S146" s="886"/>
      <c r="T146" s="887"/>
      <c r="U146" s="886"/>
      <c r="V146" s="886"/>
      <c r="W146" s="886"/>
      <c r="X146" s="887"/>
      <c r="Y146" s="886"/>
      <c r="Z146" s="886"/>
      <c r="AA146" s="886"/>
      <c r="AB146" s="887"/>
      <c r="AC146" s="886"/>
      <c r="AD146" s="886"/>
      <c r="AE146" s="886"/>
      <c r="AF146" s="901"/>
      <c r="AG146" s="886"/>
      <c r="AH146" s="886"/>
      <c r="AI146" s="886"/>
      <c r="AJ146" s="901"/>
      <c r="AK146" s="886"/>
      <c r="AL146" s="886"/>
      <c r="AM146" s="886"/>
      <c r="AN146" s="901"/>
      <c r="AO146" s="886"/>
      <c r="AP146" s="886"/>
      <c r="AQ146" s="886"/>
      <c r="AR146" s="888">
        <v>5</v>
      </c>
      <c r="AS146" s="886"/>
      <c r="AT146" s="886"/>
      <c r="AU146" s="886"/>
      <c r="AV146" s="888">
        <v>10</v>
      </c>
      <c r="AW146" s="886"/>
      <c r="AX146" s="886"/>
      <c r="AY146" s="886"/>
      <c r="AZ146" s="888">
        <v>-3</v>
      </c>
      <c r="BA146" s="886"/>
      <c r="BB146" s="886"/>
      <c r="BC146" s="886"/>
      <c r="BD146" s="902">
        <v>2</v>
      </c>
      <c r="BE146" s="886"/>
      <c r="BF146" s="886"/>
      <c r="BG146" s="886"/>
      <c r="BH146" s="902">
        <v>0</v>
      </c>
      <c r="BI146" s="886"/>
      <c r="BJ146" s="886"/>
      <c r="BK146" s="886"/>
      <c r="BL146" s="888">
        <v>-8</v>
      </c>
      <c r="BM146" s="886"/>
      <c r="BN146" s="886"/>
      <c r="BO146" s="886"/>
      <c r="BP146" s="903">
        <v>-8</v>
      </c>
      <c r="BQ146" s="886"/>
      <c r="BR146" s="886"/>
      <c r="BS146" s="886"/>
      <c r="BT146" s="902">
        <v>-1</v>
      </c>
      <c r="BU146" s="886"/>
      <c r="BV146" s="886"/>
      <c r="BW146" s="886"/>
      <c r="BX146" s="887">
        <f>segqtrSales!$F$724</f>
        <v>4.5540414524823625</v>
      </c>
      <c r="BY146" s="886"/>
      <c r="BZ146" s="886"/>
      <c r="CA146" s="886"/>
      <c r="CB146" s="887"/>
      <c r="CC146" s="886"/>
      <c r="CD146" s="886"/>
      <c r="CE146" s="886"/>
      <c r="CF146" s="887"/>
      <c r="CG146" s="886"/>
      <c r="CH146" s="886"/>
      <c r="CI146" s="886"/>
      <c r="CJ146" s="887"/>
      <c r="CK146" s="886"/>
      <c r="CL146" s="886"/>
      <c r="CM146" s="886"/>
      <c r="CN146" s="887"/>
      <c r="CO146" s="886"/>
      <c r="CP146" s="886"/>
      <c r="CQ146" s="886"/>
      <c r="CR146" s="887"/>
      <c r="CS146" s="886"/>
      <c r="CT146" s="599"/>
      <c r="CU146" s="599"/>
      <c r="CV146" s="599"/>
      <c r="CW146" s="599"/>
      <c r="CX146" s="599"/>
      <c r="CY146" s="599"/>
      <c r="CZ146" s="599"/>
      <c r="DA146" s="599"/>
      <c r="DB146" s="599"/>
      <c r="DC146" s="599"/>
      <c r="DD146" s="599"/>
      <c r="DE146" s="599"/>
      <c r="DF146" s="599"/>
      <c r="DG146" s="599"/>
      <c r="DH146" s="599"/>
      <c r="DI146" s="599"/>
      <c r="DJ146" s="599"/>
      <c r="DK146" s="599"/>
      <c r="DL146" s="599"/>
      <c r="DM146" s="599"/>
      <c r="DN146" s="599"/>
      <c r="DO146" s="599"/>
      <c r="DP146" s="599"/>
      <c r="DQ146" s="599"/>
      <c r="DR146" s="599"/>
      <c r="DS146" s="599"/>
      <c r="DT146" s="599"/>
      <c r="DU146" s="599"/>
      <c r="DV146" s="599"/>
      <c r="DW146" s="599"/>
      <c r="DX146" s="890"/>
      <c r="DY146" s="890"/>
      <c r="DZ146" s="890"/>
      <c r="EA146" s="890"/>
      <c r="EB146" s="890"/>
      <c r="EC146" s="890"/>
      <c r="ED146" s="890"/>
      <c r="EE146" s="890"/>
      <c r="EF146" s="890"/>
      <c r="EG146" s="890"/>
      <c r="EH146" s="890"/>
      <c r="EI146" s="890"/>
      <c r="EJ146" s="890"/>
      <c r="EK146" s="890"/>
    </row>
    <row r="147" spans="1:141" hidden="1" outlineLevel="1">
      <c r="A147" s="839"/>
      <c r="B147" s="839"/>
      <c r="C147" s="839"/>
      <c r="D147" s="839"/>
      <c r="E147" s="839"/>
      <c r="F147" s="839"/>
      <c r="G147" s="839"/>
      <c r="H147" s="839"/>
      <c r="I147" s="839"/>
      <c r="J147" s="839"/>
      <c r="K147" s="839"/>
      <c r="L147" s="839"/>
      <c r="M147" s="839"/>
      <c r="N147" s="839"/>
      <c r="O147" s="839"/>
      <c r="P147" s="839"/>
      <c r="Q147" s="839"/>
      <c r="R147" s="839"/>
      <c r="S147" s="839"/>
      <c r="T147" s="839"/>
      <c r="U147" s="839"/>
      <c r="V147" s="839"/>
      <c r="W147" s="839"/>
      <c r="X147" s="839"/>
      <c r="Y147" s="839"/>
      <c r="Z147" s="839"/>
      <c r="AA147" s="839"/>
      <c r="AB147" s="839"/>
      <c r="AC147" s="839"/>
      <c r="AD147" s="839"/>
      <c r="AE147" s="839"/>
      <c r="AF147" s="839"/>
      <c r="AG147" s="839"/>
      <c r="AH147" s="839"/>
      <c r="AI147" s="839"/>
      <c r="AJ147" s="839"/>
      <c r="AK147" s="839"/>
      <c r="AL147" s="839"/>
      <c r="AM147" s="839"/>
      <c r="AN147" s="839"/>
      <c r="AO147" s="839"/>
      <c r="AP147" s="839"/>
      <c r="AQ147" s="839"/>
      <c r="AR147" s="839"/>
      <c r="AS147" s="839"/>
      <c r="AT147" s="839"/>
      <c r="AU147" s="839"/>
      <c r="AV147" s="839"/>
      <c r="AW147" s="839"/>
      <c r="AX147" s="839"/>
      <c r="AY147" s="839"/>
      <c r="AZ147" s="839"/>
      <c r="BA147" s="839"/>
      <c r="BB147" s="839"/>
      <c r="BC147" s="839"/>
      <c r="BD147" s="839"/>
      <c r="BE147" s="839"/>
      <c r="BF147" s="839"/>
      <c r="BG147" s="839"/>
      <c r="BH147" s="839"/>
      <c r="BI147" s="839"/>
      <c r="BJ147" s="839"/>
      <c r="BK147" s="839"/>
      <c r="BL147" s="839"/>
      <c r="BM147" s="839"/>
      <c r="BN147" s="839"/>
      <c r="BO147" s="839"/>
      <c r="BP147" s="839"/>
      <c r="BQ147" s="839"/>
      <c r="BR147" s="839"/>
      <c r="BS147" s="839"/>
      <c r="BT147" s="839"/>
      <c r="BU147" s="839"/>
      <c r="BV147" s="839"/>
      <c r="BW147" s="839"/>
      <c r="BX147" s="839"/>
      <c r="BY147" s="839"/>
      <c r="BZ147" s="839"/>
      <c r="CA147" s="839"/>
      <c r="CB147" s="839"/>
      <c r="CC147" s="839"/>
      <c r="CD147" s="839"/>
      <c r="CE147" s="839"/>
      <c r="CF147" s="839"/>
      <c r="CG147" s="839"/>
      <c r="CH147" s="839"/>
      <c r="CI147" s="839"/>
      <c r="CJ147" s="839"/>
      <c r="CK147" s="839"/>
      <c r="CL147" s="839"/>
      <c r="CM147" s="839"/>
      <c r="CN147" s="839"/>
      <c r="CO147" s="839"/>
      <c r="CP147" s="839"/>
      <c r="CQ147" s="839"/>
      <c r="CR147" s="839"/>
      <c r="CS147" s="839"/>
      <c r="CT147" s="839"/>
      <c r="CU147" s="839"/>
      <c r="CV147" s="839"/>
      <c r="CW147" s="839"/>
      <c r="CX147" s="839"/>
      <c r="CY147" s="839"/>
      <c r="CZ147" s="839"/>
      <c r="DA147" s="839"/>
      <c r="DB147" s="839"/>
      <c r="DC147" s="839"/>
      <c r="DD147" s="839"/>
      <c r="DE147" s="839"/>
      <c r="DF147" s="839"/>
      <c r="DG147" s="839"/>
      <c r="DH147" s="839"/>
      <c r="DI147" s="839"/>
      <c r="DJ147" s="839"/>
      <c r="DK147" s="839"/>
      <c r="DL147" s="839"/>
      <c r="DM147" s="839"/>
      <c r="DN147" s="839"/>
      <c r="DO147" s="839"/>
      <c r="DP147" s="839"/>
      <c r="DQ147" s="839"/>
      <c r="DR147" s="839"/>
      <c r="DS147" s="839"/>
      <c r="DT147" s="839"/>
      <c r="DU147" s="839"/>
      <c r="DV147" s="839"/>
      <c r="DW147" s="839"/>
      <c r="DX147" s="839"/>
      <c r="DY147" s="839"/>
      <c r="DZ147" s="839"/>
      <c r="EA147" s="839"/>
      <c r="EB147" s="839"/>
      <c r="EC147" s="839"/>
      <c r="ED147" s="839"/>
      <c r="EE147" s="839"/>
      <c r="EF147" s="839"/>
      <c r="EG147" s="839"/>
      <c r="EH147" s="839"/>
      <c r="EI147" s="839"/>
      <c r="EJ147" s="839"/>
      <c r="EK147" s="839"/>
    </row>
    <row r="148" spans="1:141" hidden="1" outlineLevel="1">
      <c r="A148" s="843" t="s">
        <v>379</v>
      </c>
      <c r="B148" s="839"/>
      <c r="C148" s="839"/>
      <c r="D148" s="839"/>
      <c r="E148" s="839"/>
      <c r="F148" s="839"/>
      <c r="G148" s="839"/>
      <c r="H148" s="839"/>
      <c r="I148" s="839"/>
      <c r="J148" s="839"/>
      <c r="K148" s="839"/>
      <c r="L148" s="839"/>
      <c r="M148" s="839"/>
      <c r="N148" s="839"/>
      <c r="O148" s="839"/>
      <c r="P148" s="839"/>
      <c r="Q148" s="839"/>
      <c r="R148" s="839"/>
      <c r="S148" s="839"/>
      <c r="T148" s="839"/>
      <c r="U148" s="839"/>
      <c r="V148" s="839"/>
      <c r="W148" s="839"/>
      <c r="X148" s="839"/>
      <c r="Y148" s="839"/>
      <c r="Z148" s="839"/>
      <c r="AA148" s="839"/>
      <c r="AB148" s="839"/>
      <c r="AC148" s="839"/>
      <c r="AD148" s="839"/>
      <c r="AE148" s="839"/>
      <c r="AF148" s="839"/>
      <c r="AG148" s="839"/>
      <c r="AH148" s="839"/>
      <c r="AI148" s="839"/>
      <c r="AJ148" s="839"/>
      <c r="AK148" s="839"/>
      <c r="AL148" s="839"/>
      <c r="AM148" s="839"/>
      <c r="AN148" s="839"/>
      <c r="AO148" s="839"/>
      <c r="AP148" s="839"/>
      <c r="AQ148" s="839"/>
      <c r="AR148" s="877"/>
      <c r="AS148" s="839"/>
      <c r="AT148" s="839"/>
      <c r="AU148" s="839"/>
      <c r="AV148" s="839"/>
      <c r="AW148" s="839"/>
      <c r="AX148" s="839"/>
      <c r="AY148" s="839"/>
      <c r="AZ148" s="839"/>
      <c r="BA148" s="839"/>
      <c r="BB148" s="839"/>
      <c r="BC148" s="839"/>
      <c r="BD148" s="839"/>
      <c r="BE148" s="839"/>
      <c r="BF148" s="839"/>
      <c r="BG148" s="839"/>
      <c r="BH148" s="839"/>
      <c r="BI148" s="839"/>
      <c r="BJ148" s="839"/>
      <c r="BK148" s="839"/>
      <c r="BL148" s="839"/>
      <c r="BM148" s="839"/>
      <c r="BN148" s="839"/>
      <c r="BO148" s="839"/>
      <c r="BP148" s="839"/>
      <c r="BQ148" s="839"/>
      <c r="BR148" s="839"/>
      <c r="BS148" s="839"/>
      <c r="BT148" s="839"/>
      <c r="BU148" s="839"/>
      <c r="BV148" s="839"/>
      <c r="BW148" s="839"/>
      <c r="BX148" s="839"/>
      <c r="BY148" s="839"/>
      <c r="BZ148" s="839"/>
      <c r="CA148" s="839"/>
      <c r="CB148" s="839"/>
      <c r="CC148" s="839"/>
      <c r="CD148" s="839"/>
      <c r="CE148" s="839"/>
      <c r="CF148" s="839"/>
      <c r="CG148" s="839"/>
      <c r="CH148" s="839"/>
      <c r="CI148" s="839"/>
      <c r="CJ148" s="839"/>
      <c r="CK148" s="839"/>
      <c r="CL148" s="839"/>
      <c r="CM148" s="839"/>
      <c r="CN148" s="839"/>
      <c r="CO148" s="839"/>
      <c r="CP148" s="839"/>
      <c r="CQ148" s="839"/>
      <c r="CR148" s="839"/>
      <c r="CS148" s="839"/>
      <c r="CT148" s="839"/>
      <c r="CU148" s="839"/>
      <c r="CV148" s="839"/>
      <c r="CW148" s="839"/>
      <c r="CX148" s="839"/>
      <c r="CY148" s="839"/>
      <c r="CZ148" s="839"/>
      <c r="DA148" s="839"/>
      <c r="DB148" s="839"/>
      <c r="DC148" s="839"/>
      <c r="DD148" s="839"/>
      <c r="DE148" s="839"/>
      <c r="DF148" s="839"/>
      <c r="DG148" s="839"/>
      <c r="DH148" s="839"/>
      <c r="DI148" s="839"/>
      <c r="DJ148" s="839"/>
      <c r="DK148" s="839"/>
      <c r="DL148" s="839"/>
      <c r="DM148" s="839"/>
      <c r="DN148" s="839"/>
      <c r="DO148" s="839"/>
      <c r="DP148" s="839"/>
      <c r="DQ148" s="839"/>
      <c r="DR148" s="839"/>
      <c r="DS148" s="839"/>
      <c r="DT148" s="839"/>
      <c r="DU148" s="839"/>
      <c r="DV148" s="839"/>
      <c r="DW148" s="839"/>
      <c r="DX148" s="839"/>
      <c r="DY148" s="839"/>
      <c r="DZ148" s="839"/>
      <c r="EA148" s="839"/>
      <c r="EB148" s="839"/>
      <c r="EC148" s="839"/>
      <c r="ED148" s="839"/>
      <c r="EE148" s="839"/>
      <c r="EF148" s="839"/>
      <c r="EG148" s="839"/>
      <c r="EH148" s="839"/>
      <c r="EI148" s="839"/>
      <c r="EJ148" s="839"/>
      <c r="EK148" s="839"/>
    </row>
    <row r="149" spans="1:141" hidden="1" outlineLevel="1">
      <c r="A149" s="839"/>
      <c r="B149" s="839"/>
      <c r="C149" s="839"/>
      <c r="D149" s="839"/>
      <c r="E149" s="839"/>
      <c r="F149" s="839"/>
      <c r="G149" s="839"/>
      <c r="H149" s="839"/>
      <c r="I149" s="839"/>
      <c r="J149" s="839"/>
      <c r="K149" s="839"/>
      <c r="L149" s="839"/>
      <c r="M149" s="839"/>
      <c r="N149" s="839"/>
      <c r="O149" s="839"/>
      <c r="P149" s="839"/>
      <c r="Q149" s="839"/>
      <c r="R149" s="839"/>
      <c r="S149" s="839"/>
      <c r="T149" s="839"/>
      <c r="U149" s="839"/>
      <c r="V149" s="839"/>
      <c r="W149" s="839"/>
      <c r="X149" s="839"/>
      <c r="Y149" s="839"/>
      <c r="Z149" s="839"/>
      <c r="AA149" s="839"/>
      <c r="AB149" s="839"/>
      <c r="AC149" s="839"/>
      <c r="AD149" s="839"/>
      <c r="AE149" s="839"/>
      <c r="AF149" s="839"/>
      <c r="AG149" s="839"/>
      <c r="AH149" s="839"/>
      <c r="AI149" s="839"/>
      <c r="AJ149" s="839"/>
      <c r="AK149" s="839"/>
      <c r="AL149" s="839"/>
      <c r="AM149" s="839"/>
      <c r="AN149" s="839"/>
      <c r="AO149" s="839"/>
      <c r="AP149" s="839"/>
      <c r="AQ149" s="839"/>
      <c r="AR149" s="877"/>
      <c r="AS149" s="839"/>
      <c r="AT149" s="839"/>
      <c r="AU149" s="839"/>
      <c r="AV149" s="839"/>
      <c r="AW149" s="839"/>
      <c r="AX149" s="839"/>
      <c r="AY149" s="839"/>
      <c r="AZ149" s="839"/>
      <c r="BA149" s="839"/>
      <c r="BB149" s="839"/>
      <c r="BC149" s="839"/>
      <c r="BD149" s="839"/>
      <c r="BE149" s="839"/>
      <c r="BF149" s="839"/>
      <c r="BG149" s="839"/>
      <c r="BH149" s="839"/>
      <c r="BI149" s="839"/>
      <c r="BJ149" s="839"/>
      <c r="BK149" s="839"/>
      <c r="BL149" s="839"/>
      <c r="BM149" s="839"/>
      <c r="BN149" s="839"/>
      <c r="BO149" s="839"/>
      <c r="BP149" s="839"/>
      <c r="BQ149" s="839"/>
      <c r="BR149" s="839"/>
      <c r="BS149" s="839"/>
      <c r="BT149" s="839"/>
      <c r="BU149" s="839"/>
      <c r="BV149" s="839"/>
      <c r="BW149" s="839"/>
      <c r="BX149" s="839"/>
      <c r="BY149" s="839"/>
      <c r="BZ149" s="839"/>
      <c r="CA149" s="839"/>
      <c r="CB149" s="839"/>
      <c r="CC149" s="839"/>
      <c r="CD149" s="839"/>
      <c r="CE149" s="839"/>
      <c r="CF149" s="839"/>
      <c r="CG149" s="839"/>
      <c r="CH149" s="839"/>
      <c r="CI149" s="839"/>
      <c r="CJ149" s="839"/>
      <c r="CK149" s="839"/>
      <c r="CL149" s="839"/>
      <c r="CM149" s="839"/>
      <c r="CN149" s="839"/>
      <c r="CO149" s="839"/>
      <c r="CP149" s="839"/>
      <c r="CQ149" s="839"/>
      <c r="CR149" s="839"/>
      <c r="CS149" s="839"/>
      <c r="CT149" s="839"/>
      <c r="CU149" s="839"/>
      <c r="CV149" s="839"/>
      <c r="CW149" s="839"/>
      <c r="CX149" s="839"/>
      <c r="CY149" s="839"/>
      <c r="CZ149" s="839"/>
      <c r="DA149" s="839"/>
      <c r="DB149" s="839"/>
      <c r="DC149" s="839"/>
      <c r="DD149" s="839"/>
      <c r="DE149" s="839"/>
      <c r="DF149" s="839"/>
      <c r="DG149" s="839"/>
      <c r="DH149" s="839"/>
      <c r="DI149" s="839"/>
      <c r="DJ149" s="839"/>
      <c r="DK149" s="839"/>
      <c r="DL149" s="839"/>
      <c r="DM149" s="839"/>
      <c r="DN149" s="839"/>
      <c r="DO149" s="839"/>
      <c r="DP149" s="839"/>
      <c r="DQ149" s="839"/>
      <c r="DR149" s="839"/>
      <c r="DS149" s="839"/>
      <c r="DT149" s="839"/>
      <c r="DU149" s="839"/>
      <c r="DV149" s="839"/>
      <c r="DW149" s="839"/>
      <c r="DX149" s="839"/>
      <c r="DY149" s="839"/>
      <c r="DZ149" s="839"/>
      <c r="EA149" s="839"/>
      <c r="EB149" s="839"/>
      <c r="EC149" s="839"/>
      <c r="ED149" s="839"/>
      <c r="EE149" s="839"/>
      <c r="EF149" s="839"/>
      <c r="EG149" s="839"/>
      <c r="EH149" s="839"/>
      <c r="EI149" s="839"/>
      <c r="EJ149" s="839"/>
      <c r="EK149" s="839"/>
    </row>
    <row r="150" spans="1:141" hidden="1" outlineLevel="1">
      <c r="A150" s="840" t="s">
        <v>828</v>
      </c>
      <c r="B150" s="839"/>
      <c r="C150" s="839"/>
      <c r="D150" s="841">
        <v>4</v>
      </c>
      <c r="E150" s="839"/>
      <c r="F150" s="842"/>
      <c r="G150" s="839"/>
      <c r="H150" s="851"/>
      <c r="I150" s="839" t="s">
        <v>1084</v>
      </c>
      <c r="J150" s="852" t="str">
        <f>+segmthSales!J127</f>
        <v>3/2</v>
      </c>
      <c r="K150" s="839"/>
      <c r="L150" s="851"/>
      <c r="M150" s="839" t="s">
        <v>1084</v>
      </c>
      <c r="N150" s="852" t="str">
        <f>+segmthSales!N127</f>
        <v xml:space="preserve"> 2/29</v>
      </c>
      <c r="O150" s="839"/>
      <c r="P150" s="851"/>
      <c r="Q150" s="839" t="s">
        <v>1084</v>
      </c>
      <c r="R150" s="852" t="str">
        <f>+segmthSales!R127</f>
        <v xml:space="preserve"> 2/27</v>
      </c>
      <c r="S150" s="839"/>
      <c r="T150" s="853">
        <v>9</v>
      </c>
      <c r="U150" s="839" t="s">
        <v>1084</v>
      </c>
      <c r="V150" s="852" t="str">
        <f>+segmthSales!V127</f>
        <v>2/28</v>
      </c>
      <c r="W150" s="839"/>
      <c r="X150" s="853">
        <v>-7</v>
      </c>
      <c r="Y150" s="839" t="s">
        <v>1084</v>
      </c>
      <c r="Z150" s="852" t="str">
        <f>+segmthSales!Z127</f>
        <v>2/25</v>
      </c>
      <c r="AA150" s="839"/>
      <c r="AB150" s="853">
        <v>10</v>
      </c>
      <c r="AC150" s="839" t="s">
        <v>1084</v>
      </c>
      <c r="AD150" s="852" t="str">
        <f>+segmthSales!AD127</f>
        <v>3/2</v>
      </c>
      <c r="AE150" s="839"/>
      <c r="AF150" s="853">
        <v>-1</v>
      </c>
      <c r="AG150" s="839" t="s">
        <v>1084</v>
      </c>
      <c r="AH150" s="852" t="str">
        <f>+segmthSales!AH127</f>
        <v>3/2</v>
      </c>
      <c r="AI150" s="839"/>
      <c r="AJ150" s="853">
        <v>-28</v>
      </c>
      <c r="AK150" s="839" t="s">
        <v>1084</v>
      </c>
      <c r="AL150" s="852" t="str">
        <f>+segmthSales!AL127</f>
        <v>2/28</v>
      </c>
      <c r="AM150" s="839"/>
      <c r="AN150" s="853">
        <v>16</v>
      </c>
      <c r="AO150" s="839" t="s">
        <v>1084</v>
      </c>
      <c r="AP150" s="852" t="str">
        <f>+segmthSales!AP127</f>
        <v>2/27</v>
      </c>
      <c r="AQ150" s="839"/>
      <c r="AR150" s="853">
        <v>19</v>
      </c>
      <c r="AS150" s="839" t="s">
        <v>1084</v>
      </c>
      <c r="AT150" s="852" t="str">
        <f>+segmthSales!AT127</f>
        <v>2/26</v>
      </c>
      <c r="AU150" s="839"/>
      <c r="AV150" s="853">
        <v>12</v>
      </c>
      <c r="AW150" s="839" t="s">
        <v>1084</v>
      </c>
      <c r="AX150" s="852" t="str">
        <f>+segmthSales!AX127</f>
        <v>3/3</v>
      </c>
      <c r="AY150" s="839"/>
      <c r="AZ150" s="853">
        <v>1</v>
      </c>
      <c r="BA150" s="839" t="s">
        <v>1084</v>
      </c>
      <c r="BB150" s="852" t="str">
        <f>+segmthSales!BB127</f>
        <v>3/2</v>
      </c>
      <c r="BC150" s="839"/>
      <c r="BD150" s="851"/>
      <c r="BE150" s="839" t="s">
        <v>1084</v>
      </c>
      <c r="BF150" s="854">
        <f>+segmthSales!BF127</f>
        <v>37681</v>
      </c>
      <c r="BG150" s="839"/>
      <c r="BH150" s="851"/>
      <c r="BI150" s="839" t="s">
        <v>1084</v>
      </c>
      <c r="BJ150" s="854">
        <f>+segmthSales!BJ127</f>
        <v>38046</v>
      </c>
      <c r="BK150" s="839"/>
      <c r="BL150" s="851"/>
      <c r="BM150" s="839" t="s">
        <v>1084</v>
      </c>
      <c r="BN150" s="854">
        <f>+segmthSales!BN127</f>
        <v>38409</v>
      </c>
      <c r="BO150" s="839"/>
      <c r="BP150" s="851"/>
      <c r="BQ150" s="839" t="s">
        <v>1084</v>
      </c>
      <c r="BR150" s="854">
        <f>+segmthSales!BR127</f>
        <v>38408</v>
      </c>
      <c r="BS150" s="839"/>
      <c r="BT150" s="851"/>
      <c r="BU150" s="839" t="s">
        <v>1084</v>
      </c>
      <c r="BV150" s="854">
        <f>+segmthSales!BV127</f>
        <v>39144</v>
      </c>
      <c r="BW150" s="839"/>
      <c r="BX150" s="851"/>
      <c r="BY150" s="839" t="s">
        <v>1084</v>
      </c>
      <c r="BZ150" s="854"/>
      <c r="CA150" s="839"/>
      <c r="CB150" s="851"/>
      <c r="CC150" s="839"/>
      <c r="CD150" s="854"/>
      <c r="CE150" s="839"/>
      <c r="CF150" s="851"/>
      <c r="CG150" s="839"/>
      <c r="CH150" s="854"/>
      <c r="CI150" s="839"/>
      <c r="CJ150" s="851"/>
      <c r="CK150" s="839"/>
      <c r="CL150" s="854"/>
      <c r="CM150" s="839"/>
      <c r="CN150" s="851"/>
      <c r="CO150" s="839"/>
      <c r="CP150" s="854"/>
      <c r="CQ150" s="839"/>
      <c r="CR150" s="851"/>
      <c r="CS150" s="839"/>
      <c r="CT150" s="839"/>
      <c r="CU150" s="839"/>
      <c r="CV150" s="839"/>
      <c r="CW150" s="839"/>
      <c r="CX150" s="839"/>
      <c r="CY150" s="839"/>
      <c r="CZ150" s="839"/>
      <c r="DA150" s="839"/>
      <c r="DB150" s="839"/>
      <c r="DC150" s="839"/>
      <c r="DD150" s="839"/>
      <c r="DE150" s="839"/>
      <c r="DF150" s="839"/>
      <c r="DG150" s="839"/>
      <c r="DH150" s="839"/>
      <c r="DI150" s="839"/>
      <c r="DJ150" s="839"/>
      <c r="DK150" s="839"/>
      <c r="DL150" s="839"/>
      <c r="DM150" s="839"/>
      <c r="DN150" s="839"/>
      <c r="DO150" s="839"/>
      <c r="DP150" s="839"/>
      <c r="DQ150" s="839"/>
      <c r="DR150" s="839"/>
      <c r="DS150" s="839"/>
      <c r="DT150" s="839"/>
      <c r="DU150" s="839"/>
      <c r="DV150" s="839"/>
      <c r="DW150" s="839"/>
      <c r="DX150" s="839"/>
      <c r="DY150" s="839"/>
      <c r="DZ150" s="839"/>
      <c r="EA150" s="839"/>
      <c r="EB150" s="839"/>
      <c r="EC150" s="839"/>
      <c r="ED150" s="839"/>
      <c r="EE150" s="839"/>
      <c r="EF150" s="839"/>
      <c r="EG150" s="839"/>
      <c r="EH150" s="839"/>
      <c r="EI150" s="839"/>
      <c r="EJ150" s="839"/>
      <c r="EK150" s="839"/>
    </row>
    <row r="151" spans="1:141" hidden="1" outlineLevel="1">
      <c r="A151" s="840" t="s">
        <v>829</v>
      </c>
      <c r="B151" s="839"/>
      <c r="C151" s="839"/>
      <c r="D151" s="841">
        <v>5</v>
      </c>
      <c r="E151" s="839"/>
      <c r="F151" s="856"/>
      <c r="G151" s="839"/>
      <c r="H151" s="851"/>
      <c r="I151" s="839"/>
      <c r="J151" s="852" t="str">
        <f>+segmthSales!J128</f>
        <v>4/6</v>
      </c>
      <c r="K151" s="839"/>
      <c r="L151" s="851"/>
      <c r="M151" s="839"/>
      <c r="N151" s="852" t="str">
        <f>+segmthSales!N128</f>
        <v xml:space="preserve"> 4/4</v>
      </c>
      <c r="O151" s="839"/>
      <c r="P151" s="851"/>
      <c r="Q151" s="839"/>
      <c r="R151" s="852" t="str">
        <f>+segmthSales!R128</f>
        <v xml:space="preserve"> 4/3</v>
      </c>
      <c r="S151" s="839"/>
      <c r="T151" s="853">
        <v>9</v>
      </c>
      <c r="U151" s="839"/>
      <c r="V151" s="852" t="str">
        <f>+segmthSales!V128</f>
        <v>4/2</v>
      </c>
      <c r="W151" s="839"/>
      <c r="X151" s="853">
        <v>-1</v>
      </c>
      <c r="Y151" s="839"/>
      <c r="Z151" s="852" t="str">
        <f>+segmthSales!Z128</f>
        <v>4/1</v>
      </c>
      <c r="AA151" s="839"/>
      <c r="AB151" s="853">
        <v>2</v>
      </c>
      <c r="AC151" s="839"/>
      <c r="AD151" s="852" t="str">
        <f>+segmthSales!AD128</f>
        <v>4/6</v>
      </c>
      <c r="AE151" s="839"/>
      <c r="AF151" s="853">
        <v>-1</v>
      </c>
      <c r="AG151" s="839"/>
      <c r="AH151" s="852" t="str">
        <f>+segmthSales!AH128</f>
        <v>4/5</v>
      </c>
      <c r="AI151" s="839"/>
      <c r="AJ151" s="853">
        <v>-31</v>
      </c>
      <c r="AK151" s="839"/>
      <c r="AL151" s="852" t="str">
        <f>+segmthSales!AL128</f>
        <v>4/4</v>
      </c>
      <c r="AM151" s="839"/>
      <c r="AN151" s="853">
        <v>14</v>
      </c>
      <c r="AO151" s="839"/>
      <c r="AP151" s="852" t="str">
        <f>+segmthSales!AP128</f>
        <v>4/3</v>
      </c>
      <c r="AQ151" s="839"/>
      <c r="AR151" s="853">
        <v>23</v>
      </c>
      <c r="AS151" s="839"/>
      <c r="AT151" s="852" t="str">
        <f>+segmthSales!AT128</f>
        <v>4/1</v>
      </c>
      <c r="AU151" s="839"/>
      <c r="AV151" s="853">
        <v>15</v>
      </c>
      <c r="AW151" s="839"/>
      <c r="AX151" s="852" t="str">
        <f>+segmthSales!AX128</f>
        <v>4/7</v>
      </c>
      <c r="AY151" s="839"/>
      <c r="AZ151" s="853">
        <v>5</v>
      </c>
      <c r="BA151" s="839"/>
      <c r="BB151" s="852" t="str">
        <f>+segmthSales!BB128</f>
        <v>4/6</v>
      </c>
      <c r="BC151" s="839"/>
      <c r="BD151" s="851"/>
      <c r="BE151" s="839"/>
      <c r="BF151" s="854">
        <f>+segmthSales!BF128</f>
        <v>37716</v>
      </c>
      <c r="BG151" s="839"/>
      <c r="BH151" s="851"/>
      <c r="BI151" s="839"/>
      <c r="BJ151" s="854">
        <f>+segmthSales!BJ128</f>
        <v>38081</v>
      </c>
      <c r="BK151" s="839"/>
      <c r="BL151" s="851"/>
      <c r="BM151" s="839"/>
      <c r="BN151" s="854">
        <f>+segmthSales!BN128</f>
        <v>38444</v>
      </c>
      <c r="BO151" s="839"/>
      <c r="BP151" s="851"/>
      <c r="BQ151" s="839"/>
      <c r="BR151" s="854">
        <f>+segmthSales!BR128</f>
        <v>38443</v>
      </c>
      <c r="BS151" s="839"/>
      <c r="BT151" s="851"/>
      <c r="BU151" s="839"/>
      <c r="BV151" s="854">
        <f>+segmthSales!BV128</f>
        <v>39179</v>
      </c>
      <c r="BW151" s="839"/>
      <c r="BX151" s="851"/>
      <c r="BY151" s="839"/>
      <c r="BZ151" s="854"/>
      <c r="CA151" s="839"/>
      <c r="CB151" s="851"/>
      <c r="CC151" s="839"/>
      <c r="CD151" s="854"/>
      <c r="CE151" s="839"/>
      <c r="CF151" s="851"/>
      <c r="CG151" s="839"/>
      <c r="CH151" s="854"/>
      <c r="CI151" s="839"/>
      <c r="CJ151" s="851"/>
      <c r="CK151" s="839"/>
      <c r="CL151" s="854"/>
      <c r="CM151" s="839"/>
      <c r="CN151" s="851"/>
      <c r="CO151" s="839"/>
      <c r="CP151" s="854"/>
      <c r="CQ151" s="839"/>
      <c r="CR151" s="851"/>
      <c r="CS151" s="839"/>
      <c r="CT151" s="839"/>
      <c r="CU151" s="839"/>
      <c r="CV151" s="839"/>
      <c r="CW151" s="839"/>
      <c r="CX151" s="839"/>
      <c r="CY151" s="839"/>
      <c r="CZ151" s="839"/>
      <c r="DA151" s="839"/>
      <c r="DB151" s="839"/>
      <c r="DC151" s="839"/>
      <c r="DD151" s="839"/>
      <c r="DE151" s="839"/>
      <c r="DF151" s="839"/>
      <c r="DG151" s="839"/>
      <c r="DH151" s="839"/>
      <c r="DI151" s="839"/>
      <c r="DJ151" s="839"/>
      <c r="DK151" s="839"/>
      <c r="DL151" s="839"/>
      <c r="DM151" s="839"/>
      <c r="DN151" s="839"/>
      <c r="DO151" s="839"/>
      <c r="DP151" s="839"/>
      <c r="DQ151" s="839"/>
      <c r="DR151" s="839"/>
      <c r="DS151" s="839"/>
      <c r="DT151" s="839"/>
      <c r="DU151" s="839"/>
      <c r="DV151" s="839"/>
      <c r="DW151" s="839"/>
      <c r="DX151" s="839"/>
      <c r="DY151" s="839"/>
      <c r="DZ151" s="839"/>
      <c r="EA151" s="839"/>
      <c r="EB151" s="839"/>
      <c r="EC151" s="839"/>
      <c r="ED151" s="839"/>
      <c r="EE151" s="839"/>
      <c r="EF151" s="839"/>
      <c r="EG151" s="839"/>
      <c r="EH151" s="839"/>
      <c r="EI151" s="839"/>
      <c r="EJ151" s="839"/>
      <c r="EK151" s="839"/>
    </row>
    <row r="152" spans="1:141" hidden="1" outlineLevel="1">
      <c r="A152" s="840" t="s">
        <v>830</v>
      </c>
      <c r="B152" s="839"/>
      <c r="C152" s="839"/>
      <c r="D152" s="841">
        <v>4</v>
      </c>
      <c r="E152" s="839"/>
      <c r="F152" s="841"/>
      <c r="G152" s="839"/>
      <c r="H152" s="857"/>
      <c r="I152" s="839"/>
      <c r="J152" s="852" t="str">
        <f>+segmthSales!J129</f>
        <v>5/4</v>
      </c>
      <c r="K152" s="839"/>
      <c r="L152" s="857"/>
      <c r="M152" s="839"/>
      <c r="N152" s="852" t="str">
        <f>+segmthSales!N129</f>
        <v xml:space="preserve"> 5/2</v>
      </c>
      <c r="O152" s="839"/>
      <c r="P152" s="857"/>
      <c r="Q152" s="839"/>
      <c r="R152" s="852" t="str">
        <f>+segmthSales!R129</f>
        <v xml:space="preserve"> 5/1</v>
      </c>
      <c r="S152" s="839"/>
      <c r="T152" s="858">
        <v>15</v>
      </c>
      <c r="U152" s="839"/>
      <c r="V152" s="852" t="str">
        <f>+segmthSales!V129</f>
        <v>4/30</v>
      </c>
      <c r="W152" s="839"/>
      <c r="X152" s="858">
        <v>-21</v>
      </c>
      <c r="Y152" s="839"/>
      <c r="Z152" s="852" t="str">
        <f>+segmthSales!Z129</f>
        <v>4/29</v>
      </c>
      <c r="AA152" s="839"/>
      <c r="AB152" s="858">
        <v>12</v>
      </c>
      <c r="AC152" s="839"/>
      <c r="AD152" s="852" t="str">
        <f>+segmthSales!AD129</f>
        <v>4/29</v>
      </c>
      <c r="AE152" s="839"/>
      <c r="AF152" s="858">
        <v>-8</v>
      </c>
      <c r="AG152" s="839"/>
      <c r="AH152" s="852" t="str">
        <f>+segmthSales!AH129</f>
        <v>5/3</v>
      </c>
      <c r="AI152" s="839"/>
      <c r="AJ152" s="858">
        <v>-32</v>
      </c>
      <c r="AK152" s="839"/>
      <c r="AL152" s="852" t="str">
        <f>+segmthSales!AL129</f>
        <v>5/2</v>
      </c>
      <c r="AM152" s="839"/>
      <c r="AN152" s="858">
        <v>32</v>
      </c>
      <c r="AO152" s="839"/>
      <c r="AP152" s="852" t="str">
        <f>+segmthSales!AP129</f>
        <v>5/1</v>
      </c>
      <c r="AQ152" s="839"/>
      <c r="AR152" s="858">
        <v>4</v>
      </c>
      <c r="AS152" s="840"/>
      <c r="AT152" s="852" t="str">
        <f>+segmthSales!AT129</f>
        <v>4/29</v>
      </c>
      <c r="AU152" s="839"/>
      <c r="AV152" s="858">
        <v>22</v>
      </c>
      <c r="AW152" s="840"/>
      <c r="AX152" s="852" t="str">
        <f>+segmthSales!AX129</f>
        <v>5/5</v>
      </c>
      <c r="AY152" s="839"/>
      <c r="AZ152" s="858">
        <v>-3</v>
      </c>
      <c r="BA152" s="840"/>
      <c r="BB152" s="852" t="str">
        <f>+segmthSales!BB129</f>
        <v>5/4</v>
      </c>
      <c r="BC152" s="839"/>
      <c r="BD152" s="857"/>
      <c r="BE152" s="840"/>
      <c r="BF152" s="854">
        <f>+segmthSales!BF129</f>
        <v>37744</v>
      </c>
      <c r="BG152" s="839"/>
      <c r="BH152" s="857"/>
      <c r="BI152" s="840"/>
      <c r="BJ152" s="854">
        <f>+segmthSales!BJ129</f>
        <v>38109</v>
      </c>
      <c r="BK152" s="839"/>
      <c r="BL152" s="857"/>
      <c r="BM152" s="840"/>
      <c r="BN152" s="854">
        <f>+segmthSales!BN129</f>
        <v>38472</v>
      </c>
      <c r="BO152" s="839"/>
      <c r="BP152" s="857"/>
      <c r="BQ152" s="840"/>
      <c r="BR152" s="854">
        <f>+segmthSales!BR129</f>
        <v>38471</v>
      </c>
      <c r="BS152" s="839"/>
      <c r="BT152" s="857"/>
      <c r="BU152" s="840"/>
      <c r="BV152" s="854">
        <f>+segmthSales!BV129</f>
        <v>39207</v>
      </c>
      <c r="BW152" s="839"/>
      <c r="BX152" s="857"/>
      <c r="BY152" s="840"/>
      <c r="BZ152" s="854"/>
      <c r="CA152" s="839"/>
      <c r="CB152" s="857"/>
      <c r="CC152" s="840"/>
      <c r="CD152" s="854"/>
      <c r="CE152" s="839"/>
      <c r="CF152" s="857"/>
      <c r="CG152" s="840"/>
      <c r="CH152" s="854"/>
      <c r="CI152" s="839"/>
      <c r="CJ152" s="857"/>
      <c r="CK152" s="840"/>
      <c r="CL152" s="854"/>
      <c r="CM152" s="839"/>
      <c r="CN152" s="857"/>
      <c r="CO152" s="840"/>
      <c r="CP152" s="854"/>
      <c r="CQ152" s="839"/>
      <c r="CR152" s="857"/>
      <c r="CS152" s="840"/>
      <c r="CT152" s="840"/>
      <c r="CU152" s="840"/>
      <c r="CV152" s="840"/>
      <c r="CW152" s="840"/>
      <c r="CX152" s="840"/>
      <c r="CY152" s="840"/>
      <c r="CZ152" s="840"/>
      <c r="DA152" s="840"/>
      <c r="DB152" s="840"/>
      <c r="DC152" s="840"/>
      <c r="DD152" s="840"/>
      <c r="DE152" s="840"/>
      <c r="DF152" s="840"/>
      <c r="DG152" s="840"/>
      <c r="DH152" s="840"/>
      <c r="DI152" s="840"/>
      <c r="DJ152" s="840"/>
      <c r="DK152" s="840"/>
      <c r="DL152" s="840"/>
      <c r="DM152" s="840"/>
      <c r="DN152" s="840"/>
      <c r="DO152" s="840"/>
      <c r="DP152" s="840"/>
      <c r="DQ152" s="840"/>
      <c r="DR152" s="840"/>
      <c r="DS152" s="840"/>
      <c r="DT152" s="840"/>
      <c r="DU152" s="840"/>
      <c r="DV152" s="840"/>
      <c r="DW152" s="840"/>
      <c r="DX152" s="839"/>
      <c r="DY152" s="839"/>
      <c r="DZ152" s="839"/>
      <c r="EA152" s="839"/>
      <c r="EB152" s="839"/>
      <c r="EC152" s="839"/>
      <c r="ED152" s="839"/>
      <c r="EE152" s="839"/>
      <c r="EF152" s="839"/>
      <c r="EG152" s="839"/>
      <c r="EH152" s="839"/>
      <c r="EI152" s="839"/>
      <c r="EJ152" s="839"/>
      <c r="EK152" s="839"/>
    </row>
    <row r="153" spans="1:141" hidden="1" outlineLevel="1">
      <c r="A153" s="861"/>
      <c r="B153" s="862" t="s">
        <v>921</v>
      </c>
      <c r="C153" s="861"/>
      <c r="D153" s="863"/>
      <c r="E153" s="861"/>
      <c r="F153" s="863"/>
      <c r="G153" s="861"/>
      <c r="H153" s="864"/>
      <c r="I153" s="861"/>
      <c r="J153" s="863"/>
      <c r="K153" s="861"/>
      <c r="L153" s="864"/>
      <c r="M153" s="861"/>
      <c r="N153" s="863"/>
      <c r="O153" s="861"/>
      <c r="P153" s="864"/>
      <c r="Q153" s="861"/>
      <c r="R153" s="863"/>
      <c r="S153" s="861"/>
      <c r="T153" s="866">
        <v>11</v>
      </c>
      <c r="U153" s="861"/>
      <c r="V153" s="863"/>
      <c r="W153" s="861"/>
      <c r="X153" s="866">
        <v>-10</v>
      </c>
      <c r="Y153" s="861"/>
      <c r="Z153" s="863"/>
      <c r="AA153" s="861"/>
      <c r="AB153" s="866">
        <v>8</v>
      </c>
      <c r="AC153" s="861"/>
      <c r="AD153" s="863"/>
      <c r="AE153" s="861"/>
      <c r="AF153" s="866">
        <v>-3</v>
      </c>
      <c r="AG153" s="861"/>
      <c r="AH153" s="863"/>
      <c r="AI153" s="861"/>
      <c r="AJ153" s="866">
        <v>-30</v>
      </c>
      <c r="AK153" s="861"/>
      <c r="AL153" s="863"/>
      <c r="AM153" s="861"/>
      <c r="AN153" s="866">
        <v>20</v>
      </c>
      <c r="AO153" s="861"/>
      <c r="AP153" s="863"/>
      <c r="AQ153" s="861"/>
      <c r="AR153" s="866">
        <v>16</v>
      </c>
      <c r="AS153" s="862"/>
      <c r="AT153" s="863"/>
      <c r="AU153" s="861"/>
      <c r="AV153" s="866">
        <v>16</v>
      </c>
      <c r="AW153" s="862"/>
      <c r="AX153" s="863"/>
      <c r="AY153" s="861"/>
      <c r="AZ153" s="866">
        <v>1</v>
      </c>
      <c r="BA153" s="862"/>
      <c r="BB153" s="863"/>
      <c r="BC153" s="861"/>
      <c r="BD153" s="864"/>
      <c r="BE153" s="862"/>
      <c r="BF153" s="867"/>
      <c r="BG153" s="861"/>
      <c r="BH153" s="864"/>
      <c r="BI153" s="862"/>
      <c r="BJ153" s="867"/>
      <c r="BK153" s="861"/>
      <c r="BL153" s="864"/>
      <c r="BM153" s="862"/>
      <c r="BN153" s="867"/>
      <c r="BO153" s="861"/>
      <c r="BP153" s="864"/>
      <c r="BQ153" s="862"/>
      <c r="BR153" s="867"/>
      <c r="BS153" s="861"/>
      <c r="BT153" s="864"/>
      <c r="BU153" s="862"/>
      <c r="BV153" s="867"/>
      <c r="BW153" s="861"/>
      <c r="BX153" s="864"/>
      <c r="BY153" s="862"/>
      <c r="BZ153" s="867"/>
      <c r="CA153" s="861"/>
      <c r="CB153" s="864"/>
      <c r="CC153" s="862"/>
      <c r="CD153" s="867"/>
      <c r="CE153" s="861"/>
      <c r="CF153" s="864"/>
      <c r="CG153" s="862"/>
      <c r="CH153" s="867"/>
      <c r="CI153" s="861"/>
      <c r="CJ153" s="864"/>
      <c r="CK153" s="862"/>
      <c r="CL153" s="867"/>
      <c r="CM153" s="861"/>
      <c r="CN153" s="864"/>
      <c r="CO153" s="862"/>
      <c r="CP153" s="867"/>
      <c r="CQ153" s="861"/>
      <c r="CR153" s="864"/>
      <c r="CS153" s="862"/>
      <c r="CT153" s="868"/>
      <c r="CU153" s="868"/>
      <c r="CV153" s="868"/>
      <c r="CW153" s="868"/>
      <c r="CX153" s="868"/>
      <c r="CY153" s="868"/>
      <c r="CZ153" s="868"/>
      <c r="DA153" s="868"/>
      <c r="DB153" s="868"/>
      <c r="DC153" s="868"/>
      <c r="DD153" s="868"/>
      <c r="DE153" s="868"/>
      <c r="DF153" s="868"/>
      <c r="DG153" s="868"/>
      <c r="DH153" s="868"/>
      <c r="DI153" s="868"/>
      <c r="DJ153" s="868"/>
      <c r="DK153" s="868"/>
      <c r="DL153" s="868"/>
      <c r="DM153" s="868"/>
      <c r="DN153" s="868"/>
      <c r="DO153" s="868"/>
      <c r="DP153" s="868"/>
      <c r="DQ153" s="868"/>
      <c r="DR153" s="868"/>
      <c r="DS153" s="868"/>
      <c r="DT153" s="868"/>
      <c r="DU153" s="868"/>
      <c r="DV153" s="868"/>
      <c r="DW153" s="868"/>
      <c r="DX153" s="839"/>
      <c r="DY153" s="839"/>
      <c r="DZ153" s="839"/>
      <c r="EA153" s="839"/>
      <c r="EB153" s="839"/>
      <c r="EC153" s="839"/>
      <c r="ED153" s="839"/>
      <c r="EE153" s="839"/>
      <c r="EF153" s="839"/>
      <c r="EG153" s="839"/>
      <c r="EH153" s="839"/>
      <c r="EI153" s="839"/>
      <c r="EJ153" s="839"/>
      <c r="EK153" s="839"/>
    </row>
    <row r="154" spans="1:141" hidden="1" outlineLevel="1">
      <c r="A154" s="871"/>
      <c r="B154" s="871"/>
      <c r="C154" s="871"/>
      <c r="D154" s="872"/>
      <c r="E154" s="871"/>
      <c r="F154" s="873"/>
      <c r="G154" s="871"/>
      <c r="H154" s="871"/>
      <c r="I154" s="871"/>
      <c r="J154" s="895"/>
      <c r="K154" s="871"/>
      <c r="L154" s="871"/>
      <c r="M154" s="871"/>
      <c r="N154" s="895"/>
      <c r="O154" s="871"/>
      <c r="P154" s="871"/>
      <c r="Q154" s="871"/>
      <c r="R154" s="895"/>
      <c r="S154" s="871"/>
      <c r="T154" s="872"/>
      <c r="U154" s="871"/>
      <c r="V154" s="895"/>
      <c r="W154" s="871"/>
      <c r="X154" s="872"/>
      <c r="Y154" s="871"/>
      <c r="Z154" s="895"/>
      <c r="AA154" s="871"/>
      <c r="AB154" s="872"/>
      <c r="AC154" s="871"/>
      <c r="AD154" s="895"/>
      <c r="AE154" s="871"/>
      <c r="AF154" s="872"/>
      <c r="AG154" s="871"/>
      <c r="AH154" s="895"/>
      <c r="AI154" s="871"/>
      <c r="AJ154" s="872"/>
      <c r="AK154" s="871"/>
      <c r="AL154" s="895"/>
      <c r="AM154" s="871"/>
      <c r="AN154" s="872"/>
      <c r="AO154" s="871"/>
      <c r="AP154" s="895"/>
      <c r="AQ154" s="871"/>
      <c r="AR154" s="872"/>
      <c r="AS154" s="871"/>
      <c r="AT154" s="895"/>
      <c r="AU154" s="871"/>
      <c r="AV154" s="872"/>
      <c r="AW154" s="871"/>
      <c r="AX154" s="895"/>
      <c r="AY154" s="871"/>
      <c r="AZ154" s="872"/>
      <c r="BA154" s="871"/>
      <c r="BB154" s="895"/>
      <c r="BC154" s="871"/>
      <c r="BD154" s="871"/>
      <c r="BE154" s="871"/>
      <c r="BF154" s="875"/>
      <c r="BG154" s="871"/>
      <c r="BH154" s="871"/>
      <c r="BI154" s="871"/>
      <c r="BJ154" s="875"/>
      <c r="BK154" s="871"/>
      <c r="BL154" s="871"/>
      <c r="BM154" s="871"/>
      <c r="BN154" s="875"/>
      <c r="BO154" s="871"/>
      <c r="BP154" s="871"/>
      <c r="BQ154" s="871"/>
      <c r="BR154" s="875"/>
      <c r="BS154" s="871"/>
      <c r="BT154" s="871"/>
      <c r="BU154" s="871"/>
      <c r="BV154" s="875"/>
      <c r="BW154" s="871"/>
      <c r="BX154" s="871"/>
      <c r="BY154" s="871"/>
      <c r="BZ154" s="875"/>
      <c r="CA154" s="871"/>
      <c r="CB154" s="871"/>
      <c r="CC154" s="871"/>
      <c r="CD154" s="875"/>
      <c r="CE154" s="871"/>
      <c r="CF154" s="871"/>
      <c r="CG154" s="871"/>
      <c r="CH154" s="875"/>
      <c r="CI154" s="871"/>
      <c r="CJ154" s="871"/>
      <c r="CK154" s="871"/>
      <c r="CL154" s="875"/>
      <c r="CM154" s="871"/>
      <c r="CN154" s="871"/>
      <c r="CO154" s="871"/>
      <c r="CP154" s="875"/>
      <c r="CQ154" s="871"/>
      <c r="CR154" s="871"/>
      <c r="CS154" s="871"/>
      <c r="CT154" s="876"/>
      <c r="CU154" s="876"/>
      <c r="CV154" s="876"/>
      <c r="CW154" s="876"/>
      <c r="CX154" s="876"/>
      <c r="CY154" s="876"/>
      <c r="CZ154" s="876"/>
      <c r="DA154" s="876"/>
      <c r="DB154" s="876"/>
      <c r="DC154" s="876"/>
      <c r="DD154" s="876"/>
      <c r="DE154" s="876"/>
      <c r="DF154" s="876"/>
      <c r="DG154" s="876"/>
      <c r="DH154" s="876"/>
      <c r="DI154" s="876"/>
      <c r="DJ154" s="876"/>
      <c r="DK154" s="876"/>
      <c r="DL154" s="876"/>
      <c r="DM154" s="876"/>
      <c r="DN154" s="876"/>
      <c r="DO154" s="876"/>
      <c r="DP154" s="876"/>
      <c r="DQ154" s="876"/>
      <c r="DR154" s="876"/>
      <c r="DS154" s="876"/>
      <c r="DT154" s="876"/>
      <c r="DU154" s="876"/>
      <c r="DV154" s="876"/>
      <c r="DW154" s="876"/>
      <c r="DX154" s="839"/>
      <c r="DY154" s="839"/>
      <c r="DZ154" s="839"/>
      <c r="EA154" s="839"/>
      <c r="EB154" s="839"/>
      <c r="EC154" s="839"/>
      <c r="ED154" s="839"/>
      <c r="EE154" s="839"/>
      <c r="EF154" s="839"/>
      <c r="EG154" s="839"/>
      <c r="EH154" s="839"/>
      <c r="EI154" s="839"/>
      <c r="EJ154" s="839"/>
      <c r="EK154" s="839"/>
    </row>
    <row r="155" spans="1:141" hidden="1" outlineLevel="1">
      <c r="A155" s="840" t="s">
        <v>831</v>
      </c>
      <c r="B155" s="839"/>
      <c r="C155" s="839"/>
      <c r="D155" s="877">
        <f>+D150</f>
        <v>4</v>
      </c>
      <c r="E155" s="839"/>
      <c r="F155" s="856"/>
      <c r="G155" s="839"/>
      <c r="H155" s="851"/>
      <c r="I155" s="839" t="s">
        <v>1084</v>
      </c>
      <c r="J155" s="852" t="str">
        <f>+segmthSales!J132</f>
        <v>6/1</v>
      </c>
      <c r="K155" s="839"/>
      <c r="L155" s="851"/>
      <c r="M155" s="839" t="s">
        <v>1084</v>
      </c>
      <c r="N155" s="852" t="str">
        <f>+segmthSales!N132</f>
        <v xml:space="preserve"> 5/30</v>
      </c>
      <c r="O155" s="839"/>
      <c r="P155" s="851"/>
      <c r="Q155" s="839" t="s">
        <v>1084</v>
      </c>
      <c r="R155" s="852" t="str">
        <f>+segmthSales!R132</f>
        <v xml:space="preserve"> 5/29</v>
      </c>
      <c r="S155" s="839"/>
      <c r="T155" s="853">
        <v>13</v>
      </c>
      <c r="U155" s="839" t="s">
        <v>1084</v>
      </c>
      <c r="V155" s="852" t="str">
        <f>+segmthSales!V132</f>
        <v>5/28</v>
      </c>
      <c r="W155" s="839"/>
      <c r="X155" s="853">
        <v>-22</v>
      </c>
      <c r="Y155" s="839" t="s">
        <v>1084</v>
      </c>
      <c r="Z155" s="852" t="str">
        <f>+segmthSales!Z132</f>
        <v>5/27</v>
      </c>
      <c r="AA155" s="839"/>
      <c r="AB155" s="853">
        <v>10</v>
      </c>
      <c r="AC155" s="839" t="s">
        <v>1084</v>
      </c>
      <c r="AD155" s="852" t="str">
        <f>+segmthSales!AD132</f>
        <v>6/1</v>
      </c>
      <c r="AE155" s="839"/>
      <c r="AF155" s="853">
        <v>-2</v>
      </c>
      <c r="AG155" s="839" t="s">
        <v>1084</v>
      </c>
      <c r="AH155" s="852" t="str">
        <f>+segmthSales!AH132</f>
        <v>5/31</v>
      </c>
      <c r="AI155" s="839"/>
      <c r="AJ155" s="853">
        <v>-28</v>
      </c>
      <c r="AK155" s="839" t="s">
        <v>1084</v>
      </c>
      <c r="AL155" s="852" t="str">
        <f>+segmthSales!AL132</f>
        <v>5/30</v>
      </c>
      <c r="AM155" s="839"/>
      <c r="AN155" s="853">
        <v>26</v>
      </c>
      <c r="AO155" s="839" t="s">
        <v>1084</v>
      </c>
      <c r="AP155" s="852" t="str">
        <f>+segmthSales!AP132</f>
        <v>5/29</v>
      </c>
      <c r="AQ155" s="839"/>
      <c r="AR155" s="853">
        <v>6</v>
      </c>
      <c r="AS155" s="839" t="s">
        <v>1084</v>
      </c>
      <c r="AT155" s="852" t="str">
        <f>+segmthSales!AT132</f>
        <v>5/27</v>
      </c>
      <c r="AU155" s="839"/>
      <c r="AV155" s="853">
        <v>16</v>
      </c>
      <c r="AW155" s="839" t="s">
        <v>1084</v>
      </c>
      <c r="AX155" s="852" t="str">
        <f>+segmthSales!AX132</f>
        <v>6/2</v>
      </c>
      <c r="AY155" s="839"/>
      <c r="AZ155" s="853">
        <v>-8</v>
      </c>
      <c r="BA155" s="839" t="s">
        <v>1084</v>
      </c>
      <c r="BB155" s="852" t="str">
        <f>+segmthSales!BB132</f>
        <v>6/1</v>
      </c>
      <c r="BC155" s="839"/>
      <c r="BD155" s="904"/>
      <c r="BE155" s="839" t="s">
        <v>1084</v>
      </c>
      <c r="BF155" s="854">
        <f>+segmthSales!BF132</f>
        <v>37772</v>
      </c>
      <c r="BG155" s="839"/>
      <c r="BH155" s="904"/>
      <c r="BI155" s="839" t="s">
        <v>1084</v>
      </c>
      <c r="BJ155" s="854">
        <f>+segmthSales!BJ132</f>
        <v>38137</v>
      </c>
      <c r="BK155" s="839"/>
      <c r="BL155" s="904"/>
      <c r="BM155" s="839" t="s">
        <v>1084</v>
      </c>
      <c r="BN155" s="854">
        <f>+segmthSales!BN132</f>
        <v>38500</v>
      </c>
      <c r="BO155" s="839"/>
      <c r="BP155" s="904"/>
      <c r="BQ155" s="839" t="s">
        <v>1084</v>
      </c>
      <c r="BR155" s="854">
        <f>+segmthSales!BR132</f>
        <v>38499</v>
      </c>
      <c r="BS155" s="839"/>
      <c r="BT155" s="904"/>
      <c r="BU155" s="839" t="s">
        <v>1084</v>
      </c>
      <c r="BV155" s="854">
        <f>+segmthSales!BV132</f>
        <v>39235</v>
      </c>
      <c r="BW155" s="839"/>
      <c r="BX155" s="904"/>
      <c r="BY155" s="839" t="s">
        <v>1084</v>
      </c>
      <c r="BZ155" s="854"/>
      <c r="CA155" s="839"/>
      <c r="CB155" s="904"/>
      <c r="CC155" s="839"/>
      <c r="CD155" s="854"/>
      <c r="CE155" s="839"/>
      <c r="CF155" s="904"/>
      <c r="CG155" s="839"/>
      <c r="CH155" s="854"/>
      <c r="CI155" s="839"/>
      <c r="CJ155" s="904"/>
      <c r="CK155" s="839"/>
      <c r="CL155" s="854"/>
      <c r="CM155" s="839"/>
      <c r="CN155" s="904"/>
      <c r="CO155" s="839"/>
      <c r="CP155" s="854"/>
      <c r="CQ155" s="839"/>
      <c r="CR155" s="904"/>
      <c r="CS155" s="839"/>
      <c r="CT155" s="839"/>
      <c r="CU155" s="839"/>
      <c r="CV155" s="839"/>
      <c r="CW155" s="839"/>
      <c r="CX155" s="839"/>
      <c r="CY155" s="839"/>
      <c r="CZ155" s="839"/>
      <c r="DA155" s="839"/>
      <c r="DB155" s="839"/>
      <c r="DC155" s="839"/>
      <c r="DD155" s="839"/>
      <c r="DE155" s="839"/>
      <c r="DF155" s="839"/>
      <c r="DG155" s="839"/>
      <c r="DH155" s="839"/>
      <c r="DI155" s="839"/>
      <c r="DJ155" s="839"/>
      <c r="DK155" s="839"/>
      <c r="DL155" s="839"/>
      <c r="DM155" s="839"/>
      <c r="DN155" s="839"/>
      <c r="DO155" s="839"/>
      <c r="DP155" s="839"/>
      <c r="DQ155" s="839"/>
      <c r="DR155" s="839"/>
      <c r="DS155" s="839"/>
      <c r="DT155" s="839"/>
      <c r="DU155" s="839"/>
      <c r="DV155" s="839"/>
      <c r="DW155" s="839"/>
      <c r="DX155" s="839"/>
      <c r="DY155" s="839"/>
      <c r="DZ155" s="839"/>
      <c r="EA155" s="839"/>
      <c r="EB155" s="839"/>
      <c r="EC155" s="839"/>
      <c r="ED155" s="839"/>
      <c r="EE155" s="839"/>
      <c r="EF155" s="839"/>
      <c r="EG155" s="839"/>
      <c r="EH155" s="839"/>
      <c r="EI155" s="839"/>
      <c r="EJ155" s="839"/>
      <c r="EK155" s="839"/>
    </row>
    <row r="156" spans="1:141" hidden="1" outlineLevel="1">
      <c r="A156" s="840" t="s">
        <v>652</v>
      </c>
      <c r="B156" s="839"/>
      <c r="C156" s="839"/>
      <c r="D156" s="877">
        <f>+D151</f>
        <v>5</v>
      </c>
      <c r="E156" s="839"/>
      <c r="F156" s="841"/>
      <c r="G156" s="839"/>
      <c r="H156" s="851"/>
      <c r="I156" s="839"/>
      <c r="J156" s="852" t="str">
        <f>+segmthSales!J133</f>
        <v>7/6</v>
      </c>
      <c r="K156" s="839"/>
      <c r="L156" s="851"/>
      <c r="M156" s="839"/>
      <c r="N156" s="852" t="str">
        <f>+segmthSales!N133</f>
        <v xml:space="preserve"> 7/4</v>
      </c>
      <c r="O156" s="839"/>
      <c r="P156" s="851"/>
      <c r="Q156" s="839"/>
      <c r="R156" s="852" t="str">
        <f>+segmthSales!R133</f>
        <v xml:space="preserve"> 7/3</v>
      </c>
      <c r="S156" s="839"/>
      <c r="T156" s="853">
        <v>10</v>
      </c>
      <c r="U156" s="839"/>
      <c r="V156" s="852" t="str">
        <f>+segmthSales!V133</f>
        <v>7/2</v>
      </c>
      <c r="W156" s="839"/>
      <c r="X156" s="853">
        <v>-18</v>
      </c>
      <c r="Y156" s="839"/>
      <c r="Z156" s="852" t="str">
        <f>+segmthSales!Z133</f>
        <v>7/1</v>
      </c>
      <c r="AA156" s="839"/>
      <c r="AB156" s="853">
        <v>4</v>
      </c>
      <c r="AC156" s="839"/>
      <c r="AD156" s="852" t="str">
        <f>+segmthSales!AD133</f>
        <v>7/6</v>
      </c>
      <c r="AE156" s="839"/>
      <c r="AF156" s="853">
        <v>1</v>
      </c>
      <c r="AG156" s="839"/>
      <c r="AH156" s="852" t="str">
        <f>+segmthSales!AH133</f>
        <v>7/5</v>
      </c>
      <c r="AI156" s="839"/>
      <c r="AJ156" s="853">
        <v>-23</v>
      </c>
      <c r="AK156" s="839"/>
      <c r="AL156" s="852" t="str">
        <f>+segmthSales!AL133</f>
        <v>7/4</v>
      </c>
      <c r="AM156" s="839"/>
      <c r="AN156" s="853">
        <v>8</v>
      </c>
      <c r="AO156" s="839"/>
      <c r="AP156" s="852" t="str">
        <f>+segmthSales!AP133</f>
        <v>7/3</v>
      </c>
      <c r="AQ156" s="839"/>
      <c r="AR156" s="853">
        <v>13</v>
      </c>
      <c r="AS156" s="839"/>
      <c r="AT156" s="852" t="str">
        <f>+segmthSales!AT133</f>
        <v>7/1</v>
      </c>
      <c r="AU156" s="839"/>
      <c r="AV156" s="853">
        <v>12</v>
      </c>
      <c r="AW156" s="839"/>
      <c r="AX156" s="852" t="str">
        <f>+segmthSales!AX133</f>
        <v>7/7</v>
      </c>
      <c r="AY156" s="839"/>
      <c r="AZ156" s="853">
        <v>-2</v>
      </c>
      <c r="BA156" s="839"/>
      <c r="BB156" s="852" t="str">
        <f>+segmthSales!BB133</f>
        <v>7/6</v>
      </c>
      <c r="BC156" s="839"/>
      <c r="BD156" s="905"/>
      <c r="BE156" s="839"/>
      <c r="BF156" s="854">
        <f>+segmthSales!BF133</f>
        <v>37807</v>
      </c>
      <c r="BG156" s="839"/>
      <c r="BH156" s="905"/>
      <c r="BI156" s="839"/>
      <c r="BJ156" s="854">
        <f>+segmthSales!BJ133</f>
        <v>38172</v>
      </c>
      <c r="BK156" s="839"/>
      <c r="BL156" s="905"/>
      <c r="BM156" s="839"/>
      <c r="BN156" s="854">
        <f>+segmthSales!BN133</f>
        <v>38535</v>
      </c>
      <c r="BO156" s="839"/>
      <c r="BP156" s="905"/>
      <c r="BQ156" s="839"/>
      <c r="BR156" s="854">
        <f>+segmthSales!BR133</f>
        <v>38534</v>
      </c>
      <c r="BS156" s="839"/>
      <c r="BT156" s="905"/>
      <c r="BU156" s="839"/>
      <c r="BV156" s="854">
        <f>+segmthSales!BV133</f>
        <v>39270</v>
      </c>
      <c r="BW156" s="839"/>
      <c r="BX156" s="905"/>
      <c r="BY156" s="839"/>
      <c r="BZ156" s="854"/>
      <c r="CA156" s="839"/>
      <c r="CB156" s="905"/>
      <c r="CC156" s="839"/>
      <c r="CD156" s="854"/>
      <c r="CE156" s="839"/>
      <c r="CF156" s="905"/>
      <c r="CG156" s="839"/>
      <c r="CH156" s="854"/>
      <c r="CI156" s="839"/>
      <c r="CJ156" s="905"/>
      <c r="CK156" s="839"/>
      <c r="CL156" s="854"/>
      <c r="CM156" s="839"/>
      <c r="CN156" s="905"/>
      <c r="CO156" s="839"/>
      <c r="CP156" s="854"/>
      <c r="CQ156" s="839"/>
      <c r="CR156" s="905"/>
      <c r="CS156" s="839"/>
      <c r="CT156" s="839"/>
      <c r="CU156" s="839"/>
      <c r="CV156" s="839"/>
      <c r="CW156" s="839"/>
      <c r="CX156" s="839"/>
      <c r="CY156" s="839"/>
      <c r="CZ156" s="839"/>
      <c r="DA156" s="839"/>
      <c r="DB156" s="839"/>
      <c r="DC156" s="839"/>
      <c r="DD156" s="839"/>
      <c r="DE156" s="839"/>
      <c r="DF156" s="839"/>
      <c r="DG156" s="839"/>
      <c r="DH156" s="839"/>
      <c r="DI156" s="839"/>
      <c r="DJ156" s="839"/>
      <c r="DK156" s="839"/>
      <c r="DL156" s="839"/>
      <c r="DM156" s="839"/>
      <c r="DN156" s="839"/>
      <c r="DO156" s="839"/>
      <c r="DP156" s="839"/>
      <c r="DQ156" s="839"/>
      <c r="DR156" s="839"/>
      <c r="DS156" s="839"/>
      <c r="DT156" s="839"/>
      <c r="DU156" s="839"/>
      <c r="DV156" s="839"/>
      <c r="DW156" s="839"/>
      <c r="DX156" s="839"/>
      <c r="DY156" s="839"/>
      <c r="DZ156" s="839"/>
      <c r="EA156" s="839"/>
      <c r="EB156" s="839"/>
      <c r="EC156" s="839"/>
      <c r="ED156" s="839"/>
      <c r="EE156" s="839"/>
      <c r="EF156" s="839"/>
      <c r="EG156" s="839"/>
      <c r="EH156" s="839"/>
      <c r="EI156" s="839"/>
      <c r="EJ156" s="839"/>
      <c r="EK156" s="839"/>
    </row>
    <row r="157" spans="1:141" hidden="1" outlineLevel="1">
      <c r="A157" s="840" t="s">
        <v>653</v>
      </c>
      <c r="B157" s="839"/>
      <c r="C157" s="839"/>
      <c r="D157" s="877">
        <f>+D152</f>
        <v>4</v>
      </c>
      <c r="E157" s="839"/>
      <c r="F157" s="841"/>
      <c r="G157" s="839"/>
      <c r="H157" s="857"/>
      <c r="I157" s="839"/>
      <c r="J157" s="852" t="str">
        <f>+segmthSales!J134</f>
        <v>8/3</v>
      </c>
      <c r="K157" s="839"/>
      <c r="L157" s="857"/>
      <c r="M157" s="839"/>
      <c r="N157" s="852" t="str">
        <f>+segmthSales!N134</f>
        <v xml:space="preserve"> 8/1</v>
      </c>
      <c r="O157" s="839"/>
      <c r="P157" s="857"/>
      <c r="Q157" s="839"/>
      <c r="R157" s="852" t="str">
        <f>+segmthSales!R134</f>
        <v xml:space="preserve"> 7/31</v>
      </c>
      <c r="S157" s="839"/>
      <c r="T157" s="858">
        <v>22</v>
      </c>
      <c r="U157" s="839"/>
      <c r="V157" s="852" t="str">
        <f>+segmthSales!V134</f>
        <v>7/30</v>
      </c>
      <c r="W157" s="839"/>
      <c r="X157" s="858">
        <v>-18</v>
      </c>
      <c r="Y157" s="839"/>
      <c r="Z157" s="852" t="str">
        <f>+segmthSales!Z134</f>
        <v>7/29</v>
      </c>
      <c r="AA157" s="839"/>
      <c r="AB157" s="858">
        <v>-4</v>
      </c>
      <c r="AC157" s="839"/>
      <c r="AD157" s="852" t="str">
        <f>+segmthSales!AD134</f>
        <v>8/3</v>
      </c>
      <c r="AE157" s="839"/>
      <c r="AF157" s="858">
        <v>-8</v>
      </c>
      <c r="AG157" s="839"/>
      <c r="AH157" s="852" t="str">
        <f>+segmthSales!AH134</f>
        <v>8/2</v>
      </c>
      <c r="AI157" s="839"/>
      <c r="AJ157" s="858">
        <v>-20</v>
      </c>
      <c r="AK157" s="839"/>
      <c r="AL157" s="852" t="str">
        <f>+segmthSales!AL134</f>
        <v>8/1</v>
      </c>
      <c r="AM157" s="839"/>
      <c r="AN157" s="858">
        <v>17</v>
      </c>
      <c r="AO157" s="839"/>
      <c r="AP157" s="852" t="str">
        <f>+segmthSales!AP134</f>
        <v>7/31</v>
      </c>
      <c r="AQ157" s="839"/>
      <c r="AR157" s="858">
        <v>9</v>
      </c>
      <c r="AS157" s="839"/>
      <c r="AT157" s="852" t="str">
        <f>+segmthSales!AT134</f>
        <v>7/29</v>
      </c>
      <c r="AU157" s="839"/>
      <c r="AV157" s="858">
        <v>8</v>
      </c>
      <c r="AW157" s="839"/>
      <c r="AX157" s="852" t="str">
        <f>+segmthSales!AX134</f>
        <v>8/4</v>
      </c>
      <c r="AY157" s="839"/>
      <c r="AZ157" s="858">
        <v>-3</v>
      </c>
      <c r="BA157" s="839"/>
      <c r="BB157" s="852" t="str">
        <f>+segmthSales!BB134</f>
        <v>8/3</v>
      </c>
      <c r="BC157" s="839"/>
      <c r="BD157" s="906"/>
      <c r="BE157" s="839"/>
      <c r="BF157" s="854">
        <f>+segmthSales!BF134</f>
        <v>37835</v>
      </c>
      <c r="BG157" s="839"/>
      <c r="BH157" s="906"/>
      <c r="BI157" s="839"/>
      <c r="BJ157" s="854">
        <f>+segmthSales!BJ134</f>
        <v>38200</v>
      </c>
      <c r="BK157" s="839"/>
      <c r="BL157" s="906"/>
      <c r="BM157" s="839"/>
      <c r="BN157" s="854">
        <f>+segmthSales!BN134</f>
        <v>38563</v>
      </c>
      <c r="BO157" s="839"/>
      <c r="BP157" s="906"/>
      <c r="BQ157" s="839"/>
      <c r="BR157" s="854">
        <f>+segmthSales!BR134</f>
        <v>38562</v>
      </c>
      <c r="BS157" s="839"/>
      <c r="BT157" s="906"/>
      <c r="BU157" s="839"/>
      <c r="BV157" s="854">
        <f>+segmthSales!BV134</f>
        <v>39298</v>
      </c>
      <c r="BW157" s="839"/>
      <c r="BX157" s="906"/>
      <c r="BY157" s="839"/>
      <c r="BZ157" s="854"/>
      <c r="CA157" s="839"/>
      <c r="CB157" s="906"/>
      <c r="CC157" s="839"/>
      <c r="CD157" s="854"/>
      <c r="CE157" s="839"/>
      <c r="CF157" s="906"/>
      <c r="CG157" s="839"/>
      <c r="CH157" s="854"/>
      <c r="CI157" s="839"/>
      <c r="CJ157" s="906"/>
      <c r="CK157" s="839"/>
      <c r="CL157" s="854"/>
      <c r="CM157" s="839"/>
      <c r="CN157" s="906"/>
      <c r="CO157" s="839"/>
      <c r="CP157" s="854"/>
      <c r="CQ157" s="839"/>
      <c r="CR157" s="906"/>
      <c r="CS157" s="839"/>
      <c r="CT157" s="839"/>
      <c r="CU157" s="839"/>
      <c r="CV157" s="839"/>
      <c r="CW157" s="839"/>
      <c r="CX157" s="839"/>
      <c r="CY157" s="839"/>
      <c r="CZ157" s="839"/>
      <c r="DA157" s="839"/>
      <c r="DB157" s="839"/>
      <c r="DC157" s="839"/>
      <c r="DD157" s="839"/>
      <c r="DE157" s="839"/>
      <c r="DF157" s="839"/>
      <c r="DG157" s="839"/>
      <c r="DH157" s="839"/>
      <c r="DI157" s="839"/>
      <c r="DJ157" s="839"/>
      <c r="DK157" s="839"/>
      <c r="DL157" s="839"/>
      <c r="DM157" s="839"/>
      <c r="DN157" s="839"/>
      <c r="DO157" s="839"/>
      <c r="DP157" s="839"/>
      <c r="DQ157" s="839"/>
      <c r="DR157" s="839"/>
      <c r="DS157" s="839"/>
      <c r="DT157" s="839"/>
      <c r="DU157" s="839"/>
      <c r="DV157" s="839"/>
      <c r="DW157" s="839"/>
      <c r="DX157" s="839"/>
      <c r="DY157" s="839"/>
      <c r="DZ157" s="839"/>
      <c r="EA157" s="839"/>
      <c r="EB157" s="839"/>
      <c r="EC157" s="839"/>
      <c r="ED157" s="839"/>
      <c r="EE157" s="839"/>
      <c r="EF157" s="839"/>
      <c r="EG157" s="839"/>
      <c r="EH157" s="839"/>
      <c r="EI157" s="839"/>
      <c r="EJ157" s="839"/>
      <c r="EK157" s="839"/>
    </row>
    <row r="158" spans="1:141" hidden="1" outlineLevel="1">
      <c r="A158" s="861"/>
      <c r="B158" s="862" t="s">
        <v>924</v>
      </c>
      <c r="C158" s="861"/>
      <c r="D158" s="863"/>
      <c r="E158" s="861"/>
      <c r="F158" s="863"/>
      <c r="G158" s="861"/>
      <c r="H158" s="864"/>
      <c r="I158" s="861"/>
      <c r="J158" s="863"/>
      <c r="K158" s="861"/>
      <c r="L158" s="864"/>
      <c r="M158" s="861"/>
      <c r="N158" s="863"/>
      <c r="O158" s="861"/>
      <c r="P158" s="864"/>
      <c r="Q158" s="861"/>
      <c r="R158" s="863"/>
      <c r="S158" s="861"/>
      <c r="T158" s="866">
        <v>14</v>
      </c>
      <c r="U158" s="861"/>
      <c r="V158" s="863"/>
      <c r="W158" s="861"/>
      <c r="X158" s="866">
        <v>-19</v>
      </c>
      <c r="Y158" s="861"/>
      <c r="Z158" s="863"/>
      <c r="AA158" s="861"/>
      <c r="AB158" s="866">
        <v>3</v>
      </c>
      <c r="AC158" s="861"/>
      <c r="AD158" s="863"/>
      <c r="AE158" s="861"/>
      <c r="AF158" s="866">
        <v>-3</v>
      </c>
      <c r="AG158" s="861"/>
      <c r="AH158" s="863"/>
      <c r="AI158" s="861"/>
      <c r="AJ158" s="866">
        <v>-24</v>
      </c>
      <c r="AK158" s="861"/>
      <c r="AL158" s="863"/>
      <c r="AM158" s="861"/>
      <c r="AN158" s="866">
        <v>17</v>
      </c>
      <c r="AO158" s="861"/>
      <c r="AP158" s="863"/>
      <c r="AQ158" s="861"/>
      <c r="AR158" s="866">
        <v>9</v>
      </c>
      <c r="AS158" s="861"/>
      <c r="AT158" s="863"/>
      <c r="AU158" s="861"/>
      <c r="AV158" s="866">
        <v>12</v>
      </c>
      <c r="AW158" s="861"/>
      <c r="AX158" s="863"/>
      <c r="AY158" s="861"/>
      <c r="AZ158" s="866">
        <v>-4</v>
      </c>
      <c r="BA158" s="861"/>
      <c r="BB158" s="863"/>
      <c r="BC158" s="861"/>
      <c r="BD158" s="864"/>
      <c r="BE158" s="861"/>
      <c r="BF158" s="867"/>
      <c r="BG158" s="861"/>
      <c r="BH158" s="864"/>
      <c r="BI158" s="861"/>
      <c r="BJ158" s="867"/>
      <c r="BK158" s="861"/>
      <c r="BL158" s="864"/>
      <c r="BM158" s="861"/>
      <c r="BN158" s="867"/>
      <c r="BO158" s="861"/>
      <c r="BP158" s="864"/>
      <c r="BQ158" s="861"/>
      <c r="BR158" s="867"/>
      <c r="BS158" s="861"/>
      <c r="BT158" s="864"/>
      <c r="BU158" s="861"/>
      <c r="BV158" s="867"/>
      <c r="BW158" s="861"/>
      <c r="BX158" s="864"/>
      <c r="BY158" s="861"/>
      <c r="BZ158" s="867"/>
      <c r="CA158" s="861"/>
      <c r="CB158" s="864"/>
      <c r="CC158" s="861"/>
      <c r="CD158" s="867"/>
      <c r="CE158" s="861"/>
      <c r="CF158" s="864"/>
      <c r="CG158" s="861"/>
      <c r="CH158" s="867"/>
      <c r="CI158" s="861"/>
      <c r="CJ158" s="864"/>
      <c r="CK158" s="861"/>
      <c r="CL158" s="867"/>
      <c r="CM158" s="861"/>
      <c r="CN158" s="864"/>
      <c r="CO158" s="861"/>
      <c r="CP158" s="867"/>
      <c r="CQ158" s="861"/>
      <c r="CR158" s="864"/>
      <c r="CS158" s="861"/>
      <c r="CT158" s="876"/>
      <c r="CU158" s="876"/>
      <c r="CV158" s="876"/>
      <c r="CW158" s="876"/>
      <c r="CX158" s="876"/>
      <c r="CY158" s="876"/>
      <c r="CZ158" s="876"/>
      <c r="DA158" s="876"/>
      <c r="DB158" s="876"/>
      <c r="DC158" s="876"/>
      <c r="DD158" s="876"/>
      <c r="DE158" s="876"/>
      <c r="DF158" s="876"/>
      <c r="DG158" s="876"/>
      <c r="DH158" s="876"/>
      <c r="DI158" s="876"/>
      <c r="DJ158" s="876"/>
      <c r="DK158" s="876"/>
      <c r="DL158" s="876"/>
      <c r="DM158" s="876"/>
      <c r="DN158" s="876"/>
      <c r="DO158" s="876"/>
      <c r="DP158" s="876"/>
      <c r="DQ158" s="876"/>
      <c r="DR158" s="876"/>
      <c r="DS158" s="876"/>
      <c r="DT158" s="876"/>
      <c r="DU158" s="876"/>
      <c r="DV158" s="876"/>
      <c r="DW158" s="876"/>
      <c r="DX158" s="839"/>
      <c r="DY158" s="839"/>
      <c r="DZ158" s="839"/>
      <c r="EA158" s="839"/>
      <c r="EB158" s="839"/>
      <c r="EC158" s="839"/>
      <c r="ED158" s="839"/>
      <c r="EE158" s="839"/>
      <c r="EF158" s="839"/>
      <c r="EG158" s="839"/>
      <c r="EH158" s="839"/>
      <c r="EI158" s="839"/>
      <c r="EJ158" s="839"/>
      <c r="EK158" s="839"/>
    </row>
    <row r="159" spans="1:141" hidden="1" outlineLevel="1">
      <c r="A159" s="839"/>
      <c r="B159" s="839"/>
      <c r="C159" s="839"/>
      <c r="D159" s="877"/>
      <c r="E159" s="839"/>
      <c r="F159" s="842"/>
      <c r="G159" s="839"/>
      <c r="H159" s="839"/>
      <c r="I159" s="839"/>
      <c r="J159" s="852"/>
      <c r="K159" s="839"/>
      <c r="L159" s="839"/>
      <c r="M159" s="839"/>
      <c r="N159" s="852"/>
      <c r="O159" s="839"/>
      <c r="P159" s="839"/>
      <c r="Q159" s="839"/>
      <c r="R159" s="852"/>
      <c r="S159" s="839"/>
      <c r="T159" s="877"/>
      <c r="U159" s="839"/>
      <c r="V159" s="852"/>
      <c r="W159" s="839"/>
      <c r="X159" s="877"/>
      <c r="Y159" s="839"/>
      <c r="Z159" s="852"/>
      <c r="AA159" s="839"/>
      <c r="AB159" s="877"/>
      <c r="AC159" s="839"/>
      <c r="AD159" s="852"/>
      <c r="AE159" s="839"/>
      <c r="AF159" s="877"/>
      <c r="AG159" s="839"/>
      <c r="AH159" s="852"/>
      <c r="AI159" s="839"/>
      <c r="AJ159" s="877"/>
      <c r="AK159" s="839"/>
      <c r="AL159" s="852"/>
      <c r="AM159" s="839"/>
      <c r="AN159" s="877"/>
      <c r="AO159" s="839"/>
      <c r="AP159" s="852"/>
      <c r="AQ159" s="839"/>
      <c r="AR159" s="877"/>
      <c r="AS159" s="839"/>
      <c r="AT159" s="852"/>
      <c r="AU159" s="839"/>
      <c r="AV159" s="877"/>
      <c r="AW159" s="839"/>
      <c r="AX159" s="852"/>
      <c r="AY159" s="839"/>
      <c r="AZ159" s="877"/>
      <c r="BA159" s="839"/>
      <c r="BB159" s="852"/>
      <c r="BC159" s="839"/>
      <c r="BD159" s="839"/>
      <c r="BE159" s="839"/>
      <c r="BF159" s="879"/>
      <c r="BG159" s="839"/>
      <c r="BH159" s="839"/>
      <c r="BI159" s="839"/>
      <c r="BJ159" s="879"/>
      <c r="BK159" s="839"/>
      <c r="BL159" s="839"/>
      <c r="BM159" s="839"/>
      <c r="BN159" s="879"/>
      <c r="BO159" s="839"/>
      <c r="BP159" s="839"/>
      <c r="BQ159" s="839"/>
      <c r="BR159" s="879"/>
      <c r="BS159" s="839"/>
      <c r="BT159" s="839"/>
      <c r="BU159" s="839"/>
      <c r="BV159" s="879"/>
      <c r="BW159" s="839"/>
      <c r="BX159" s="839"/>
      <c r="BY159" s="839"/>
      <c r="BZ159" s="879"/>
      <c r="CA159" s="839"/>
      <c r="CB159" s="839"/>
      <c r="CC159" s="839"/>
      <c r="CD159" s="879"/>
      <c r="CE159" s="839"/>
      <c r="CF159" s="839"/>
      <c r="CG159" s="839"/>
      <c r="CH159" s="879"/>
      <c r="CI159" s="839"/>
      <c r="CJ159" s="839"/>
      <c r="CK159" s="839"/>
      <c r="CL159" s="879"/>
      <c r="CM159" s="839"/>
      <c r="CN159" s="839"/>
      <c r="CO159" s="839"/>
      <c r="CP159" s="879"/>
      <c r="CQ159" s="839"/>
      <c r="CR159" s="839"/>
      <c r="CS159" s="839"/>
      <c r="CT159" s="839"/>
      <c r="CU159" s="839"/>
      <c r="CV159" s="839"/>
      <c r="CW159" s="839"/>
      <c r="CX159" s="839"/>
      <c r="CY159" s="839"/>
      <c r="CZ159" s="839"/>
      <c r="DA159" s="839"/>
      <c r="DB159" s="839"/>
      <c r="DC159" s="839"/>
      <c r="DD159" s="839"/>
      <c r="DE159" s="839"/>
      <c r="DF159" s="839"/>
      <c r="DG159" s="839"/>
      <c r="DH159" s="839"/>
      <c r="DI159" s="839"/>
      <c r="DJ159" s="839"/>
      <c r="DK159" s="839"/>
      <c r="DL159" s="839"/>
      <c r="DM159" s="839"/>
      <c r="DN159" s="839"/>
      <c r="DO159" s="839"/>
      <c r="DP159" s="839"/>
      <c r="DQ159" s="839"/>
      <c r="DR159" s="839"/>
      <c r="DS159" s="839"/>
      <c r="DT159" s="839"/>
      <c r="DU159" s="839"/>
      <c r="DV159" s="839"/>
      <c r="DW159" s="839"/>
      <c r="DX159" s="839"/>
      <c r="DY159" s="839"/>
      <c r="DZ159" s="839"/>
      <c r="EA159" s="839"/>
      <c r="EB159" s="839"/>
      <c r="EC159" s="839"/>
      <c r="ED159" s="839"/>
      <c r="EE159" s="839"/>
      <c r="EF159" s="839"/>
      <c r="EG159" s="839"/>
      <c r="EH159" s="839"/>
      <c r="EI159" s="839"/>
      <c r="EJ159" s="839"/>
      <c r="EK159" s="839"/>
    </row>
    <row r="160" spans="1:141" hidden="1" outlineLevel="1">
      <c r="A160" s="840" t="s">
        <v>654</v>
      </c>
      <c r="B160" s="840"/>
      <c r="C160" s="839"/>
      <c r="D160" s="877">
        <f>+D155</f>
        <v>4</v>
      </c>
      <c r="E160" s="839"/>
      <c r="F160" s="856"/>
      <c r="G160" s="839"/>
      <c r="H160" s="851"/>
      <c r="I160" s="839" t="s">
        <v>1084</v>
      </c>
      <c r="J160" s="852" t="str">
        <f>+segmthSales!J137</f>
        <v>8/31</v>
      </c>
      <c r="K160" s="839"/>
      <c r="L160" s="851"/>
      <c r="M160" s="839" t="s">
        <v>1084</v>
      </c>
      <c r="N160" s="852" t="str">
        <f>+segmthSales!N137</f>
        <v xml:space="preserve"> 8/29</v>
      </c>
      <c r="O160" s="839"/>
      <c r="P160" s="851"/>
      <c r="Q160" s="839" t="s">
        <v>1084</v>
      </c>
      <c r="R160" s="852" t="str">
        <f>+segmthSales!R137</f>
        <v xml:space="preserve"> 8/28</v>
      </c>
      <c r="S160" s="839"/>
      <c r="T160" s="853">
        <v>-4</v>
      </c>
      <c r="U160" s="839" t="s">
        <v>1084</v>
      </c>
      <c r="V160" s="852" t="str">
        <f>+segmthSales!V137</f>
        <v>8/27</v>
      </c>
      <c r="W160" s="839"/>
      <c r="X160" s="853">
        <v>-6</v>
      </c>
      <c r="Y160" s="839" t="s">
        <v>1084</v>
      </c>
      <c r="Z160" s="852" t="str">
        <f>+segmthSales!Z137</f>
        <v>8/31</v>
      </c>
      <c r="AA160" s="839"/>
      <c r="AB160" s="853">
        <v>-3</v>
      </c>
      <c r="AC160" s="839" t="s">
        <v>1084</v>
      </c>
      <c r="AD160" s="852" t="str">
        <f>+segmthSales!AD137</f>
        <v>8/31</v>
      </c>
      <c r="AE160" s="839"/>
      <c r="AF160" s="853">
        <v>-10</v>
      </c>
      <c r="AG160" s="839" t="s">
        <v>1084</v>
      </c>
      <c r="AH160" s="852" t="str">
        <f>+segmthSales!AH137</f>
        <v>8/30</v>
      </c>
      <c r="AI160" s="839"/>
      <c r="AJ160" s="853">
        <v>3</v>
      </c>
      <c r="AK160" s="839" t="s">
        <v>1084</v>
      </c>
      <c r="AL160" s="852" t="str">
        <f>+segmthSales!AL137</f>
        <v>8/29</v>
      </c>
      <c r="AM160" s="839"/>
      <c r="AN160" s="853">
        <v>14</v>
      </c>
      <c r="AO160" s="839" t="s">
        <v>1084</v>
      </c>
      <c r="AP160" s="852" t="str">
        <f>+segmthSales!AP137</f>
        <v>8/28</v>
      </c>
      <c r="AQ160" s="839"/>
      <c r="AR160" s="853">
        <v>10</v>
      </c>
      <c r="AS160" s="839" t="s">
        <v>1084</v>
      </c>
      <c r="AT160" s="852" t="str">
        <f>+segmthSales!AT137</f>
        <v>8/26</v>
      </c>
      <c r="AU160" s="839"/>
      <c r="AV160" s="853">
        <v>15</v>
      </c>
      <c r="AW160" s="839" t="s">
        <v>1084</v>
      </c>
      <c r="AX160" s="852" t="str">
        <f>+segmthSales!AX137</f>
        <v>9/1</v>
      </c>
      <c r="AY160" s="839"/>
      <c r="AZ160" s="853">
        <v>1</v>
      </c>
      <c r="BA160" s="839" t="s">
        <v>1084</v>
      </c>
      <c r="BB160" s="852" t="str">
        <f>+segmthSales!BB137</f>
        <v>8/31</v>
      </c>
      <c r="BC160" s="839"/>
      <c r="BD160" s="904"/>
      <c r="BE160" s="839" t="s">
        <v>1084</v>
      </c>
      <c r="BF160" s="854">
        <f>+segmthSales!BF137</f>
        <v>37863</v>
      </c>
      <c r="BG160" s="839"/>
      <c r="BH160" s="904"/>
      <c r="BI160" s="839" t="s">
        <v>1084</v>
      </c>
      <c r="BJ160" s="854">
        <f>+segmthSales!BJ137</f>
        <v>38228</v>
      </c>
      <c r="BK160" s="839"/>
      <c r="BL160" s="904"/>
      <c r="BM160" s="839" t="s">
        <v>1084</v>
      </c>
      <c r="BN160" s="854">
        <f>+segmthSales!BN137</f>
        <v>38591</v>
      </c>
      <c r="BO160" s="839"/>
      <c r="BP160" s="904"/>
      <c r="BQ160" s="839" t="s">
        <v>1084</v>
      </c>
      <c r="BR160" s="854">
        <f>+segmthSales!BR137</f>
        <v>38590</v>
      </c>
      <c r="BS160" s="839"/>
      <c r="BT160" s="904"/>
      <c r="BU160" s="839" t="s">
        <v>1084</v>
      </c>
      <c r="BV160" s="854">
        <f>+segmthSales!BV137</f>
        <v>39326</v>
      </c>
      <c r="BW160" s="839"/>
      <c r="BX160" s="904"/>
      <c r="BY160" s="839" t="s">
        <v>1084</v>
      </c>
      <c r="BZ160" s="854"/>
      <c r="CA160" s="839"/>
      <c r="CB160" s="904"/>
      <c r="CC160" s="839"/>
      <c r="CD160" s="854"/>
      <c r="CE160" s="839"/>
      <c r="CF160" s="904"/>
      <c r="CG160" s="839"/>
      <c r="CH160" s="854"/>
      <c r="CI160" s="839"/>
      <c r="CJ160" s="904"/>
      <c r="CK160" s="839"/>
      <c r="CL160" s="854"/>
      <c r="CM160" s="839"/>
      <c r="CN160" s="904"/>
      <c r="CO160" s="839"/>
      <c r="CP160" s="854"/>
      <c r="CQ160" s="839"/>
      <c r="CR160" s="904"/>
      <c r="CS160" s="839"/>
      <c r="CT160" s="839"/>
      <c r="CU160" s="839"/>
      <c r="CV160" s="839"/>
      <c r="CW160" s="839"/>
      <c r="CX160" s="839"/>
      <c r="CY160" s="839"/>
      <c r="CZ160" s="839"/>
      <c r="DA160" s="839"/>
      <c r="DB160" s="839"/>
      <c r="DC160" s="839"/>
      <c r="DD160" s="839"/>
      <c r="DE160" s="839"/>
      <c r="DF160" s="839"/>
      <c r="DG160" s="839"/>
      <c r="DH160" s="839"/>
      <c r="DI160" s="839"/>
      <c r="DJ160" s="839"/>
      <c r="DK160" s="839"/>
      <c r="DL160" s="839"/>
      <c r="DM160" s="839"/>
      <c r="DN160" s="839"/>
      <c r="DO160" s="839"/>
      <c r="DP160" s="839"/>
      <c r="DQ160" s="839"/>
      <c r="DR160" s="839"/>
      <c r="DS160" s="839"/>
      <c r="DT160" s="839"/>
      <c r="DU160" s="839"/>
      <c r="DV160" s="839"/>
      <c r="DW160" s="839"/>
      <c r="DX160" s="839"/>
      <c r="DY160" s="839"/>
      <c r="DZ160" s="839"/>
      <c r="EA160" s="839"/>
      <c r="EB160" s="839"/>
      <c r="EC160" s="839"/>
      <c r="ED160" s="839"/>
      <c r="EE160" s="839"/>
      <c r="EF160" s="839"/>
      <c r="EG160" s="839"/>
      <c r="EH160" s="839"/>
      <c r="EI160" s="839"/>
      <c r="EJ160" s="839"/>
      <c r="EK160" s="839"/>
    </row>
    <row r="161" spans="1:141" hidden="1" outlineLevel="1">
      <c r="A161" s="840" t="s">
        <v>655</v>
      </c>
      <c r="B161" s="840"/>
      <c r="C161" s="839"/>
      <c r="D161" s="877">
        <f>+D156</f>
        <v>5</v>
      </c>
      <c r="E161" s="839"/>
      <c r="F161" s="841"/>
      <c r="G161" s="839"/>
      <c r="H161" s="851"/>
      <c r="I161" s="839"/>
      <c r="J161" s="852" t="str">
        <f>+segmthSales!J138</f>
        <v>10/5</v>
      </c>
      <c r="K161" s="839"/>
      <c r="L161" s="851"/>
      <c r="M161" s="839"/>
      <c r="N161" s="852" t="str">
        <f>+segmthSales!N138</f>
        <v>10/3</v>
      </c>
      <c r="O161" s="839"/>
      <c r="P161" s="851"/>
      <c r="Q161" s="839"/>
      <c r="R161" s="852" t="str">
        <f>+segmthSales!R138</f>
        <v>10/2</v>
      </c>
      <c r="S161" s="839"/>
      <c r="T161" s="853">
        <v>4</v>
      </c>
      <c r="U161" s="839"/>
      <c r="V161" s="852" t="str">
        <f>+segmthSales!V138</f>
        <v>10/1</v>
      </c>
      <c r="W161" s="839"/>
      <c r="X161" s="853">
        <v>-10</v>
      </c>
      <c r="Y161" s="839"/>
      <c r="Z161" s="852" t="str">
        <f>+segmthSales!Z138</f>
        <v>9/30</v>
      </c>
      <c r="AA161" s="839"/>
      <c r="AB161" s="853">
        <v>1</v>
      </c>
      <c r="AC161" s="839"/>
      <c r="AD161" s="852" t="str">
        <f>+segmthSales!AD138</f>
        <v>10/5</v>
      </c>
      <c r="AE161" s="839"/>
      <c r="AF161" s="853">
        <v>-2</v>
      </c>
      <c r="AG161" s="839"/>
      <c r="AH161" s="852" t="str">
        <f>+segmthSales!AH138</f>
        <v>10/4</v>
      </c>
      <c r="AI161" s="839"/>
      <c r="AJ161" s="853">
        <v>-19</v>
      </c>
      <c r="AK161" s="839"/>
      <c r="AL161" s="852" t="str">
        <f>+segmthSales!AL138</f>
        <v>10/3</v>
      </c>
      <c r="AM161" s="839"/>
      <c r="AN161" s="853">
        <v>15</v>
      </c>
      <c r="AO161" s="839"/>
      <c r="AP161" s="852" t="str">
        <f>+segmthSales!AP138</f>
        <v>10/2</v>
      </c>
      <c r="AQ161" s="839"/>
      <c r="AR161" s="853">
        <v>2</v>
      </c>
      <c r="AS161" s="839"/>
      <c r="AT161" s="852" t="str">
        <f>+segmthSales!AT138</f>
        <v>9/30</v>
      </c>
      <c r="AU161" s="839"/>
      <c r="AV161" s="853">
        <v>19</v>
      </c>
      <c r="AW161" s="839"/>
      <c r="AX161" s="852" t="str">
        <f>+segmthSales!AX138</f>
        <v>10/6</v>
      </c>
      <c r="AY161" s="839"/>
      <c r="AZ161" s="853">
        <v>-7</v>
      </c>
      <c r="BA161" s="839"/>
      <c r="BB161" s="852" t="str">
        <f>+segmthSales!BB138</f>
        <v>10/5</v>
      </c>
      <c r="BC161" s="839"/>
      <c r="BD161" s="905"/>
      <c r="BE161" s="839"/>
      <c r="BF161" s="854">
        <f>+segmthSales!BF138</f>
        <v>37898</v>
      </c>
      <c r="BG161" s="839"/>
      <c r="BH161" s="905"/>
      <c r="BI161" s="839"/>
      <c r="BJ161" s="854">
        <f>+segmthSales!BJ138</f>
        <v>38263</v>
      </c>
      <c r="BK161" s="839"/>
      <c r="BL161" s="905"/>
      <c r="BM161" s="839"/>
      <c r="BN161" s="854">
        <f>+segmthSales!BN138</f>
        <v>38626</v>
      </c>
      <c r="BO161" s="839"/>
      <c r="BP161" s="905"/>
      <c r="BQ161" s="839"/>
      <c r="BR161" s="854">
        <f>+segmthSales!BR138</f>
        <v>38625</v>
      </c>
      <c r="BS161" s="839"/>
      <c r="BT161" s="905"/>
      <c r="BU161" s="839"/>
      <c r="BV161" s="854">
        <f>+segmthSales!BV138</f>
        <v>39361</v>
      </c>
      <c r="BW161" s="839"/>
      <c r="BX161" s="905"/>
      <c r="BY161" s="839"/>
      <c r="BZ161" s="854"/>
      <c r="CA161" s="839"/>
      <c r="CB161" s="905"/>
      <c r="CC161" s="839"/>
      <c r="CD161" s="854"/>
      <c r="CE161" s="839"/>
      <c r="CF161" s="905"/>
      <c r="CG161" s="839"/>
      <c r="CH161" s="854"/>
      <c r="CI161" s="839"/>
      <c r="CJ161" s="905"/>
      <c r="CK161" s="839"/>
      <c r="CL161" s="854"/>
      <c r="CM161" s="839"/>
      <c r="CN161" s="905"/>
      <c r="CO161" s="839"/>
      <c r="CP161" s="854"/>
      <c r="CQ161" s="839"/>
      <c r="CR161" s="905"/>
      <c r="CS161" s="839"/>
      <c r="CT161" s="839"/>
      <c r="CU161" s="839"/>
      <c r="CV161" s="839"/>
      <c r="CW161" s="839"/>
      <c r="CX161" s="839"/>
      <c r="CY161" s="839"/>
      <c r="CZ161" s="839"/>
      <c r="DA161" s="839"/>
      <c r="DB161" s="839"/>
      <c r="DC161" s="839"/>
      <c r="DD161" s="839"/>
      <c r="DE161" s="839"/>
      <c r="DF161" s="839"/>
      <c r="DG161" s="839"/>
      <c r="DH161" s="839"/>
      <c r="DI161" s="839"/>
      <c r="DJ161" s="839"/>
      <c r="DK161" s="839"/>
      <c r="DL161" s="839"/>
      <c r="DM161" s="839"/>
      <c r="DN161" s="839"/>
      <c r="DO161" s="839"/>
      <c r="DP161" s="839"/>
      <c r="DQ161" s="839"/>
      <c r="DR161" s="839"/>
      <c r="DS161" s="839"/>
      <c r="DT161" s="839"/>
      <c r="DU161" s="839"/>
      <c r="DV161" s="839"/>
      <c r="DW161" s="839"/>
      <c r="DX161" s="839"/>
      <c r="DY161" s="839"/>
      <c r="DZ161" s="839"/>
      <c r="EA161" s="839"/>
      <c r="EB161" s="839"/>
      <c r="EC161" s="839"/>
      <c r="ED161" s="839"/>
      <c r="EE161" s="839"/>
      <c r="EF161" s="839"/>
      <c r="EG161" s="839"/>
      <c r="EH161" s="839"/>
      <c r="EI161" s="839"/>
      <c r="EJ161" s="839"/>
      <c r="EK161" s="839"/>
    </row>
    <row r="162" spans="1:141" hidden="1" outlineLevel="1">
      <c r="A162" s="840" t="s">
        <v>598</v>
      </c>
      <c r="B162" s="840"/>
      <c r="C162" s="839"/>
      <c r="D162" s="877">
        <f>+D157</f>
        <v>4</v>
      </c>
      <c r="E162" s="839"/>
      <c r="F162" s="841"/>
      <c r="G162" s="839"/>
      <c r="H162" s="857"/>
      <c r="I162" s="839"/>
      <c r="J162" s="852" t="str">
        <f>+segmthSales!J139</f>
        <v>11/2</v>
      </c>
      <c r="K162" s="839"/>
      <c r="L162" s="857"/>
      <c r="M162" s="839"/>
      <c r="N162" s="852" t="str">
        <f>+segmthSales!N139</f>
        <v>10/31</v>
      </c>
      <c r="O162" s="839"/>
      <c r="P162" s="857"/>
      <c r="Q162" s="839"/>
      <c r="R162" s="852" t="str">
        <f>+segmthSales!R139</f>
        <v>10/30</v>
      </c>
      <c r="S162" s="839"/>
      <c r="T162" s="858">
        <v>0</v>
      </c>
      <c r="U162" s="839"/>
      <c r="V162" s="852" t="str">
        <f>+segmthSales!V139</f>
        <v>10/29</v>
      </c>
      <c r="W162" s="839"/>
      <c r="X162" s="858">
        <v>0</v>
      </c>
      <c r="Y162" s="839"/>
      <c r="Z162" s="852" t="str">
        <f>+segmthSales!Z139</f>
        <v>10/28</v>
      </c>
      <c r="AA162" s="839"/>
      <c r="AB162" s="858">
        <v>-8</v>
      </c>
      <c r="AC162" s="839"/>
      <c r="AD162" s="852" t="str">
        <f>+segmthSales!AD139</f>
        <v>11/2</v>
      </c>
      <c r="AE162" s="839"/>
      <c r="AF162" s="858">
        <v>-8</v>
      </c>
      <c r="AG162" s="839"/>
      <c r="AH162" s="852" t="str">
        <f>+segmthSales!AH139</f>
        <v>11/1</v>
      </c>
      <c r="AI162" s="839"/>
      <c r="AJ162" s="858">
        <v>-13</v>
      </c>
      <c r="AK162" s="839"/>
      <c r="AL162" s="852" t="str">
        <f>+segmthSales!AL139</f>
        <v>10/31</v>
      </c>
      <c r="AM162" s="839"/>
      <c r="AN162" s="858">
        <v>18</v>
      </c>
      <c r="AO162" s="839"/>
      <c r="AP162" s="852" t="str">
        <f>+segmthSales!AP139</f>
        <v>10/30</v>
      </c>
      <c r="AQ162" s="839"/>
      <c r="AR162" s="858">
        <v>-4</v>
      </c>
      <c r="AS162" s="839"/>
      <c r="AT162" s="852" t="str">
        <f>+segmthSales!AT139</f>
        <v>10/28</v>
      </c>
      <c r="AU162" s="839"/>
      <c r="AV162" s="858">
        <v>22</v>
      </c>
      <c r="AW162" s="839"/>
      <c r="AX162" s="852" t="str">
        <f>+segmthSales!AX139</f>
        <v>11/3</v>
      </c>
      <c r="AY162" s="839"/>
      <c r="AZ162" s="858">
        <v>-5</v>
      </c>
      <c r="BA162" s="839"/>
      <c r="BB162" s="852" t="str">
        <f>+segmthSales!BB139</f>
        <v>11/2</v>
      </c>
      <c r="BC162" s="839"/>
      <c r="BD162" s="906"/>
      <c r="BE162" s="839"/>
      <c r="BF162" s="854">
        <f>+segmthSales!BF139</f>
        <v>37926</v>
      </c>
      <c r="BG162" s="839"/>
      <c r="BH162" s="906"/>
      <c r="BI162" s="839"/>
      <c r="BJ162" s="854">
        <f>+segmthSales!BJ139</f>
        <v>38291</v>
      </c>
      <c r="BK162" s="839"/>
      <c r="BL162" s="906"/>
      <c r="BM162" s="839"/>
      <c r="BN162" s="854">
        <f>+segmthSales!BN139</f>
        <v>38654</v>
      </c>
      <c r="BO162" s="839"/>
      <c r="BP162" s="906"/>
      <c r="BQ162" s="839"/>
      <c r="BR162" s="854">
        <f>+segmthSales!BR139</f>
        <v>38653</v>
      </c>
      <c r="BS162" s="839"/>
      <c r="BT162" s="906"/>
      <c r="BU162" s="839"/>
      <c r="BV162" s="854">
        <f>+segmthSales!BV139</f>
        <v>39389</v>
      </c>
      <c r="BW162" s="839"/>
      <c r="BX162" s="906"/>
      <c r="BY162" s="839"/>
      <c r="BZ162" s="854"/>
      <c r="CA162" s="839"/>
      <c r="CB162" s="906"/>
      <c r="CC162" s="839"/>
      <c r="CD162" s="854"/>
      <c r="CE162" s="839"/>
      <c r="CF162" s="906"/>
      <c r="CG162" s="839"/>
      <c r="CH162" s="854"/>
      <c r="CI162" s="839"/>
      <c r="CJ162" s="906"/>
      <c r="CK162" s="839"/>
      <c r="CL162" s="854"/>
      <c r="CM162" s="839"/>
      <c r="CN162" s="906"/>
      <c r="CO162" s="839"/>
      <c r="CP162" s="854"/>
      <c r="CQ162" s="839"/>
      <c r="CR162" s="906"/>
      <c r="CS162" s="839"/>
      <c r="CT162" s="839"/>
      <c r="CU162" s="839"/>
      <c r="CV162" s="839"/>
      <c r="CW162" s="839"/>
      <c r="CX162" s="839"/>
      <c r="CY162" s="839"/>
      <c r="CZ162" s="839"/>
      <c r="DA162" s="839"/>
      <c r="DB162" s="839"/>
      <c r="DC162" s="839"/>
      <c r="DD162" s="839"/>
      <c r="DE162" s="839"/>
      <c r="DF162" s="839"/>
      <c r="DG162" s="839"/>
      <c r="DH162" s="839"/>
      <c r="DI162" s="839"/>
      <c r="DJ162" s="839"/>
      <c r="DK162" s="839"/>
      <c r="DL162" s="839"/>
      <c r="DM162" s="839"/>
      <c r="DN162" s="839"/>
      <c r="DO162" s="839"/>
      <c r="DP162" s="839"/>
      <c r="DQ162" s="839"/>
      <c r="DR162" s="839"/>
      <c r="DS162" s="839"/>
      <c r="DT162" s="839"/>
      <c r="DU162" s="839"/>
      <c r="DV162" s="839"/>
      <c r="DW162" s="839"/>
      <c r="DX162" s="839"/>
      <c r="DY162" s="839"/>
      <c r="DZ162" s="839"/>
      <c r="EA162" s="839"/>
      <c r="EB162" s="839"/>
      <c r="EC162" s="839"/>
      <c r="ED162" s="839"/>
      <c r="EE162" s="839"/>
      <c r="EF162" s="839"/>
      <c r="EG162" s="839"/>
      <c r="EH162" s="839"/>
      <c r="EI162" s="839"/>
      <c r="EJ162" s="839"/>
      <c r="EK162" s="839"/>
    </row>
    <row r="163" spans="1:141" hidden="1" outlineLevel="1">
      <c r="A163" s="862"/>
      <c r="B163" s="862" t="s">
        <v>925</v>
      </c>
      <c r="C163" s="861"/>
      <c r="D163" s="863"/>
      <c r="E163" s="861"/>
      <c r="F163" s="863"/>
      <c r="G163" s="861"/>
      <c r="H163" s="864"/>
      <c r="I163" s="861"/>
      <c r="J163" s="863"/>
      <c r="K163" s="861"/>
      <c r="L163" s="864"/>
      <c r="M163" s="861"/>
      <c r="N163" s="863"/>
      <c r="O163" s="861"/>
      <c r="P163" s="864"/>
      <c r="Q163" s="861"/>
      <c r="R163" s="863"/>
      <c r="S163" s="861"/>
      <c r="T163" s="866">
        <v>0</v>
      </c>
      <c r="U163" s="861"/>
      <c r="V163" s="863"/>
      <c r="W163" s="861"/>
      <c r="X163" s="866">
        <v>-6</v>
      </c>
      <c r="Y163" s="861"/>
      <c r="Z163" s="863"/>
      <c r="AA163" s="861"/>
      <c r="AB163" s="866">
        <v>-3</v>
      </c>
      <c r="AC163" s="861"/>
      <c r="AD163" s="863"/>
      <c r="AE163" s="861"/>
      <c r="AF163" s="866">
        <v>-6</v>
      </c>
      <c r="AG163" s="861"/>
      <c r="AH163" s="863"/>
      <c r="AI163" s="861"/>
      <c r="AJ163" s="866">
        <v>-11</v>
      </c>
      <c r="AK163" s="861"/>
      <c r="AL163" s="863"/>
      <c r="AM163" s="861"/>
      <c r="AN163" s="866">
        <v>15</v>
      </c>
      <c r="AO163" s="861"/>
      <c r="AP163" s="863"/>
      <c r="AQ163" s="861"/>
      <c r="AR163" s="866">
        <v>3</v>
      </c>
      <c r="AS163" s="861"/>
      <c r="AT163" s="863"/>
      <c r="AU163" s="861"/>
      <c r="AV163" s="866">
        <v>18</v>
      </c>
      <c r="AW163" s="861"/>
      <c r="AX163" s="863"/>
      <c r="AY163" s="861"/>
      <c r="AZ163" s="866">
        <v>-4</v>
      </c>
      <c r="BA163" s="861"/>
      <c r="BB163" s="863"/>
      <c r="BC163" s="861"/>
      <c r="BD163" s="864"/>
      <c r="BE163" s="861"/>
      <c r="BF163" s="867"/>
      <c r="BG163" s="861"/>
      <c r="BH163" s="864"/>
      <c r="BI163" s="861"/>
      <c r="BJ163" s="867"/>
      <c r="BK163" s="861"/>
      <c r="BL163" s="864"/>
      <c r="BM163" s="861"/>
      <c r="BN163" s="867"/>
      <c r="BO163" s="861"/>
      <c r="BP163" s="864"/>
      <c r="BQ163" s="861"/>
      <c r="BR163" s="867"/>
      <c r="BS163" s="861"/>
      <c r="BT163" s="864"/>
      <c r="BU163" s="861"/>
      <c r="BV163" s="867"/>
      <c r="BW163" s="861"/>
      <c r="BX163" s="864"/>
      <c r="BY163" s="861"/>
      <c r="BZ163" s="867"/>
      <c r="CA163" s="861"/>
      <c r="CB163" s="864"/>
      <c r="CC163" s="861"/>
      <c r="CD163" s="867"/>
      <c r="CE163" s="861"/>
      <c r="CF163" s="864"/>
      <c r="CG163" s="861"/>
      <c r="CH163" s="867"/>
      <c r="CI163" s="861"/>
      <c r="CJ163" s="864"/>
      <c r="CK163" s="861"/>
      <c r="CL163" s="867"/>
      <c r="CM163" s="861"/>
      <c r="CN163" s="864"/>
      <c r="CO163" s="861"/>
      <c r="CP163" s="867"/>
      <c r="CQ163" s="861"/>
      <c r="CR163" s="864"/>
      <c r="CS163" s="861"/>
      <c r="CT163" s="876"/>
      <c r="CU163" s="876"/>
      <c r="CV163" s="876"/>
      <c r="CW163" s="876"/>
      <c r="CX163" s="876"/>
      <c r="CY163" s="876"/>
      <c r="CZ163" s="876"/>
      <c r="DA163" s="876"/>
      <c r="DB163" s="876"/>
      <c r="DC163" s="876"/>
      <c r="DD163" s="876"/>
      <c r="DE163" s="876"/>
      <c r="DF163" s="876"/>
      <c r="DG163" s="876"/>
      <c r="DH163" s="876"/>
      <c r="DI163" s="876"/>
      <c r="DJ163" s="876"/>
      <c r="DK163" s="876"/>
      <c r="DL163" s="876"/>
      <c r="DM163" s="876"/>
      <c r="DN163" s="876"/>
      <c r="DO163" s="876"/>
      <c r="DP163" s="876"/>
      <c r="DQ163" s="876"/>
      <c r="DR163" s="876"/>
      <c r="DS163" s="876"/>
      <c r="DT163" s="876"/>
      <c r="DU163" s="876"/>
      <c r="DV163" s="876"/>
      <c r="DW163" s="876"/>
      <c r="DX163" s="839"/>
      <c r="DY163" s="839"/>
      <c r="DZ163" s="839"/>
      <c r="EA163" s="839"/>
      <c r="EB163" s="839"/>
      <c r="EC163" s="839"/>
      <c r="ED163" s="839"/>
      <c r="EE163" s="839"/>
      <c r="EF163" s="839"/>
      <c r="EG163" s="839"/>
      <c r="EH163" s="839"/>
      <c r="EI163" s="839"/>
      <c r="EJ163" s="839"/>
      <c r="EK163" s="839"/>
    </row>
    <row r="164" spans="1:141" hidden="1" outlineLevel="1">
      <c r="A164" s="839"/>
      <c r="B164" s="839"/>
      <c r="C164" s="839"/>
      <c r="D164" s="877"/>
      <c r="E164" s="839"/>
      <c r="F164" s="877"/>
      <c r="G164" s="839"/>
      <c r="H164" s="839"/>
      <c r="I164" s="839"/>
      <c r="J164" s="877"/>
      <c r="K164" s="839"/>
      <c r="L164" s="839"/>
      <c r="M164" s="839"/>
      <c r="N164" s="877"/>
      <c r="O164" s="839"/>
      <c r="P164" s="839"/>
      <c r="Q164" s="839"/>
      <c r="R164" s="877"/>
      <c r="S164" s="839"/>
      <c r="T164" s="877"/>
      <c r="U164" s="839"/>
      <c r="V164" s="877"/>
      <c r="W164" s="839"/>
      <c r="X164" s="877"/>
      <c r="Y164" s="839"/>
      <c r="Z164" s="877"/>
      <c r="AA164" s="839"/>
      <c r="AB164" s="877"/>
      <c r="AC164" s="839"/>
      <c r="AD164" s="877"/>
      <c r="AE164" s="839"/>
      <c r="AF164" s="877"/>
      <c r="AG164" s="839"/>
      <c r="AH164" s="877"/>
      <c r="AI164" s="839"/>
      <c r="AJ164" s="877"/>
      <c r="AK164" s="839"/>
      <c r="AL164" s="877"/>
      <c r="AM164" s="839"/>
      <c r="AN164" s="877"/>
      <c r="AO164" s="839"/>
      <c r="AP164" s="877"/>
      <c r="AQ164" s="839"/>
      <c r="AR164" s="877"/>
      <c r="AS164" s="839"/>
      <c r="AT164" s="877"/>
      <c r="AU164" s="839"/>
      <c r="AV164" s="877"/>
      <c r="AW164" s="839"/>
      <c r="AX164" s="877"/>
      <c r="AY164" s="839"/>
      <c r="AZ164" s="877"/>
      <c r="BA164" s="839"/>
      <c r="BB164" s="877"/>
      <c r="BC164" s="839"/>
      <c r="BD164" s="839"/>
      <c r="BE164" s="839"/>
      <c r="BF164" s="879"/>
      <c r="BG164" s="839"/>
      <c r="BH164" s="839"/>
      <c r="BI164" s="839"/>
      <c r="BJ164" s="879"/>
      <c r="BK164" s="839"/>
      <c r="BL164" s="839"/>
      <c r="BM164" s="839"/>
      <c r="BN164" s="879"/>
      <c r="BO164" s="839"/>
      <c r="BP164" s="839"/>
      <c r="BQ164" s="839"/>
      <c r="BR164" s="879"/>
      <c r="BS164" s="839"/>
      <c r="BT164" s="839"/>
      <c r="BU164" s="839"/>
      <c r="BV164" s="879"/>
      <c r="BW164" s="839"/>
      <c r="BX164" s="839"/>
      <c r="BY164" s="839"/>
      <c r="BZ164" s="879"/>
      <c r="CA164" s="839"/>
      <c r="CB164" s="839"/>
      <c r="CC164" s="839"/>
      <c r="CD164" s="879"/>
      <c r="CE164" s="839"/>
      <c r="CF164" s="839"/>
      <c r="CG164" s="839"/>
      <c r="CH164" s="879"/>
      <c r="CI164" s="839"/>
      <c r="CJ164" s="839"/>
      <c r="CK164" s="839"/>
      <c r="CL164" s="879"/>
      <c r="CM164" s="839"/>
      <c r="CN164" s="839"/>
      <c r="CO164" s="839"/>
      <c r="CP164" s="879"/>
      <c r="CQ164" s="839"/>
      <c r="CR164" s="839"/>
      <c r="CS164" s="839"/>
      <c r="CT164" s="839"/>
      <c r="CU164" s="839"/>
      <c r="CV164" s="839"/>
      <c r="CW164" s="839"/>
      <c r="CX164" s="839"/>
      <c r="CY164" s="839"/>
      <c r="CZ164" s="839"/>
      <c r="DA164" s="839"/>
      <c r="DB164" s="839"/>
      <c r="DC164" s="839"/>
      <c r="DD164" s="839"/>
      <c r="DE164" s="839"/>
      <c r="DF164" s="839"/>
      <c r="DG164" s="839"/>
      <c r="DH164" s="839"/>
      <c r="DI164" s="839"/>
      <c r="DJ164" s="839"/>
      <c r="DK164" s="839"/>
      <c r="DL164" s="839"/>
      <c r="DM164" s="839"/>
      <c r="DN164" s="839"/>
      <c r="DO164" s="839"/>
      <c r="DP164" s="839"/>
      <c r="DQ164" s="839"/>
      <c r="DR164" s="839"/>
      <c r="DS164" s="839"/>
      <c r="DT164" s="839"/>
      <c r="DU164" s="839"/>
      <c r="DV164" s="839"/>
      <c r="DW164" s="839"/>
      <c r="DX164" s="839"/>
      <c r="DY164" s="839"/>
      <c r="DZ164" s="839"/>
      <c r="EA164" s="839"/>
      <c r="EB164" s="839"/>
      <c r="EC164" s="839"/>
      <c r="ED164" s="839"/>
      <c r="EE164" s="839"/>
      <c r="EF164" s="839"/>
      <c r="EG164" s="839"/>
      <c r="EH164" s="839"/>
      <c r="EI164" s="839"/>
      <c r="EJ164" s="839"/>
      <c r="EK164" s="839"/>
    </row>
    <row r="165" spans="1:141" hidden="1" outlineLevel="1">
      <c r="A165" s="840" t="s">
        <v>599</v>
      </c>
      <c r="B165" s="840"/>
      <c r="C165" s="839"/>
      <c r="D165" s="877">
        <f>+D160</f>
        <v>4</v>
      </c>
      <c r="E165" s="839"/>
      <c r="F165" s="856"/>
      <c r="G165" s="839"/>
      <c r="H165" s="851"/>
      <c r="I165" s="839" t="s">
        <v>1084</v>
      </c>
      <c r="J165" s="852" t="str">
        <f>+segmthSales!J142</f>
        <v>11/30</v>
      </c>
      <c r="K165" s="839"/>
      <c r="L165" s="851"/>
      <c r="M165" s="839" t="s">
        <v>1084</v>
      </c>
      <c r="N165" s="852" t="str">
        <f>+segmthSales!N142</f>
        <v>11/28</v>
      </c>
      <c r="O165" s="839"/>
      <c r="P165" s="851"/>
      <c r="Q165" s="839" t="s">
        <v>1084</v>
      </c>
      <c r="R165" s="852" t="str">
        <f>+segmthSales!R142</f>
        <v>11/27</v>
      </c>
      <c r="S165" s="839"/>
      <c r="T165" s="853">
        <v>-13</v>
      </c>
      <c r="U165" s="839" t="s">
        <v>1084</v>
      </c>
      <c r="V165" s="852" t="str">
        <f>+segmthSales!V142</f>
        <v>11/26</v>
      </c>
      <c r="W165" s="839"/>
      <c r="X165" s="853">
        <v>5</v>
      </c>
      <c r="Y165" s="839" t="s">
        <v>1084</v>
      </c>
      <c r="Z165" s="852" t="str">
        <f>+segmthSales!Z142</f>
        <v>11/25</v>
      </c>
      <c r="AA165" s="839"/>
      <c r="AB165" s="853">
        <v>-6</v>
      </c>
      <c r="AC165" s="839" t="s">
        <v>1084</v>
      </c>
      <c r="AD165" s="852" t="str">
        <f>+segmthSales!AD142</f>
        <v>11/30</v>
      </c>
      <c r="AE165" s="839"/>
      <c r="AF165" s="853">
        <v>-21</v>
      </c>
      <c r="AG165" s="839" t="s">
        <v>1084</v>
      </c>
      <c r="AH165" s="852" t="str">
        <f>+segmthSales!AH142</f>
        <v>11/29</v>
      </c>
      <c r="AI165" s="839"/>
      <c r="AJ165" s="853">
        <v>-1</v>
      </c>
      <c r="AK165" s="839" t="s">
        <v>1084</v>
      </c>
      <c r="AL165" s="852" t="str">
        <f>+segmthSales!AL142</f>
        <v>12/2</v>
      </c>
      <c r="AM165" s="839"/>
      <c r="AN165" s="853">
        <v>14</v>
      </c>
      <c r="AO165" s="839" t="s">
        <v>1084</v>
      </c>
      <c r="AP165" s="852" t="str">
        <f>+segmthSales!AP142</f>
        <v>11/27</v>
      </c>
      <c r="AQ165" s="839"/>
      <c r="AR165" s="853">
        <v>-4</v>
      </c>
      <c r="AS165" s="839" t="s">
        <v>1084</v>
      </c>
      <c r="AT165" s="852" t="str">
        <f>+segmthSales!AT142</f>
        <v>11/25</v>
      </c>
      <c r="AU165" s="839"/>
      <c r="AV165" s="853">
        <v>15</v>
      </c>
      <c r="AW165" s="839" t="s">
        <v>1084</v>
      </c>
      <c r="AX165" s="852" t="str">
        <f>+segmthSales!AX142</f>
        <v>12/1</v>
      </c>
      <c r="AY165" s="839"/>
      <c r="AZ165" s="853">
        <v>-2</v>
      </c>
      <c r="BA165" s="839" t="s">
        <v>1084</v>
      </c>
      <c r="BB165" s="852" t="str">
        <f>+segmthSales!BB142</f>
        <v>11/30</v>
      </c>
      <c r="BC165" s="839"/>
      <c r="BD165" s="904"/>
      <c r="BE165" s="839" t="s">
        <v>1084</v>
      </c>
      <c r="BF165" s="854">
        <f>+segmthSales!BF142</f>
        <v>37954</v>
      </c>
      <c r="BG165" s="839"/>
      <c r="BH165" s="904"/>
      <c r="BI165" s="839" t="s">
        <v>1084</v>
      </c>
      <c r="BJ165" s="854">
        <f>+segmthSales!BJ142</f>
        <v>38319</v>
      </c>
      <c r="BK165" s="839"/>
      <c r="BL165" s="904"/>
      <c r="BM165" s="839" t="s">
        <v>1084</v>
      </c>
      <c r="BN165" s="854">
        <f>+segmthSales!BN142</f>
        <v>38682</v>
      </c>
      <c r="BO165" s="839"/>
      <c r="BP165" s="904"/>
      <c r="BQ165" s="839" t="s">
        <v>1084</v>
      </c>
      <c r="BR165" s="854">
        <f>+segmthSales!BR142</f>
        <v>38681</v>
      </c>
      <c r="BS165" s="839"/>
      <c r="BT165" s="904"/>
      <c r="BU165" s="839" t="s">
        <v>1084</v>
      </c>
      <c r="BV165" s="854">
        <f>+segmthSales!BV142</f>
        <v>39417</v>
      </c>
      <c r="BW165" s="839"/>
      <c r="BX165" s="904"/>
      <c r="BY165" s="839" t="s">
        <v>1084</v>
      </c>
      <c r="BZ165" s="854"/>
      <c r="CA165" s="839"/>
      <c r="CB165" s="904"/>
      <c r="CC165" s="839"/>
      <c r="CD165" s="854"/>
      <c r="CE165" s="839"/>
      <c r="CF165" s="904"/>
      <c r="CG165" s="839"/>
      <c r="CH165" s="854"/>
      <c r="CI165" s="839"/>
      <c r="CJ165" s="904"/>
      <c r="CK165" s="839"/>
      <c r="CL165" s="854"/>
      <c r="CM165" s="839"/>
      <c r="CN165" s="904"/>
      <c r="CO165" s="839"/>
      <c r="CP165" s="854"/>
      <c r="CQ165" s="839"/>
      <c r="CR165" s="904"/>
      <c r="CS165" s="839"/>
      <c r="CT165" s="839"/>
      <c r="CU165" s="839"/>
      <c r="CV165" s="839"/>
      <c r="CW165" s="839"/>
      <c r="CX165" s="839"/>
      <c r="CY165" s="839"/>
      <c r="CZ165" s="839"/>
      <c r="DA165" s="839"/>
      <c r="DB165" s="839"/>
      <c r="DC165" s="839"/>
      <c r="DD165" s="839"/>
      <c r="DE165" s="839"/>
      <c r="DF165" s="839"/>
      <c r="DG165" s="839"/>
      <c r="DH165" s="839"/>
      <c r="DI165" s="839"/>
      <c r="DJ165" s="839"/>
      <c r="DK165" s="839"/>
      <c r="DL165" s="839"/>
      <c r="DM165" s="839"/>
      <c r="DN165" s="839"/>
      <c r="DO165" s="839"/>
      <c r="DP165" s="839"/>
      <c r="DQ165" s="839"/>
      <c r="DR165" s="839"/>
      <c r="DS165" s="839"/>
      <c r="DT165" s="839"/>
      <c r="DU165" s="839"/>
      <c r="DV165" s="839"/>
      <c r="DW165" s="839"/>
      <c r="DX165" s="839"/>
      <c r="DY165" s="839"/>
      <c r="DZ165" s="839"/>
      <c r="EA165" s="839"/>
      <c r="EB165" s="839"/>
      <c r="EC165" s="839"/>
      <c r="ED165" s="839"/>
      <c r="EE165" s="839"/>
      <c r="EF165" s="839"/>
      <c r="EG165" s="839"/>
      <c r="EH165" s="839"/>
      <c r="EI165" s="839"/>
      <c r="EJ165" s="839"/>
      <c r="EK165" s="839"/>
    </row>
    <row r="166" spans="1:141" hidden="1" outlineLevel="1">
      <c r="A166" s="840" t="s">
        <v>600</v>
      </c>
      <c r="B166" s="840"/>
      <c r="C166" s="839"/>
      <c r="D166" s="877">
        <f>+D161</f>
        <v>5</v>
      </c>
      <c r="E166" s="839"/>
      <c r="F166" s="841"/>
      <c r="G166" s="839"/>
      <c r="H166" s="851"/>
      <c r="I166" s="839"/>
      <c r="J166" s="852" t="str">
        <f>+segmthSales!J143</f>
        <v>1/4</v>
      </c>
      <c r="K166" s="839"/>
      <c r="L166" s="851"/>
      <c r="M166" s="839"/>
      <c r="N166" s="852" t="str">
        <f>+segmthSales!N143</f>
        <v xml:space="preserve"> 1/2</v>
      </c>
      <c r="O166" s="839"/>
      <c r="P166" s="851"/>
      <c r="Q166" s="839"/>
      <c r="R166" s="852" t="str">
        <f>+segmthSales!R143</f>
        <v>1/1</v>
      </c>
      <c r="S166" s="839"/>
      <c r="T166" s="853">
        <v>-8</v>
      </c>
      <c r="U166" s="839"/>
      <c r="V166" s="852" t="str">
        <f>+segmthSales!V143</f>
        <v>12/31</v>
      </c>
      <c r="W166" s="839"/>
      <c r="X166" s="853">
        <v>-7</v>
      </c>
      <c r="Y166" s="839"/>
      <c r="Z166" s="852" t="str">
        <f>+segmthSales!Z143</f>
        <v>12/30</v>
      </c>
      <c r="AA166" s="839"/>
      <c r="AB166" s="853">
        <v>-14</v>
      </c>
      <c r="AC166" s="839"/>
      <c r="AD166" s="852" t="str">
        <f>+segmthSales!AD143</f>
        <v>1/4</v>
      </c>
      <c r="AE166" s="839"/>
      <c r="AF166" s="853">
        <v>-7</v>
      </c>
      <c r="AG166" s="839"/>
      <c r="AH166" s="852" t="str">
        <f>+segmthSales!AH143</f>
        <v>1/3</v>
      </c>
      <c r="AI166" s="839"/>
      <c r="AJ166" s="853">
        <v>0</v>
      </c>
      <c r="AK166" s="839"/>
      <c r="AL166" s="852" t="str">
        <f>+segmthSales!AL143</f>
        <v>1/2</v>
      </c>
      <c r="AM166" s="839"/>
      <c r="AN166" s="853">
        <v>10</v>
      </c>
      <c r="AO166" s="839"/>
      <c r="AP166" s="852" t="str">
        <f>+segmthSales!AP143</f>
        <v>1/1</v>
      </c>
      <c r="AQ166" s="839"/>
      <c r="AR166" s="853">
        <v>-5</v>
      </c>
      <c r="AS166" s="839"/>
      <c r="AT166" s="852" t="str">
        <f>+segmthSales!AT143</f>
        <v>12/30</v>
      </c>
      <c r="AU166" s="839"/>
      <c r="AV166" s="853">
        <v>12</v>
      </c>
      <c r="AW166" s="839"/>
      <c r="AX166" s="852" t="str">
        <f>+segmthSales!AX143</f>
        <v>1/5</v>
      </c>
      <c r="AY166" s="839"/>
      <c r="AZ166" s="853">
        <v>0</v>
      </c>
      <c r="BA166" s="839"/>
      <c r="BB166" s="852" t="str">
        <f>+segmthSales!BB143</f>
        <v>1/4</v>
      </c>
      <c r="BC166" s="839"/>
      <c r="BD166" s="905"/>
      <c r="BE166" s="839"/>
      <c r="BF166" s="854">
        <f>+segmthSales!BF143</f>
        <v>37624</v>
      </c>
      <c r="BG166" s="839"/>
      <c r="BH166" s="905"/>
      <c r="BI166" s="839"/>
      <c r="BJ166" s="854">
        <f>+segmthSales!BJ143</f>
        <v>38354</v>
      </c>
      <c r="BK166" s="839"/>
      <c r="BL166" s="905"/>
      <c r="BM166" s="839"/>
      <c r="BN166" s="854">
        <f>+segmthSales!BN143</f>
        <v>38717</v>
      </c>
      <c r="BO166" s="839"/>
      <c r="BP166" s="905"/>
      <c r="BQ166" s="839"/>
      <c r="BR166" s="854">
        <f>+segmthSales!BR143</f>
        <v>38716</v>
      </c>
      <c r="BS166" s="839"/>
      <c r="BT166" s="905"/>
      <c r="BU166" s="839"/>
      <c r="BV166" s="854">
        <f>+segmthSales!BV143</f>
        <v>39087</v>
      </c>
      <c r="BW166" s="839"/>
      <c r="BX166" s="905"/>
      <c r="BY166" s="839"/>
      <c r="BZ166" s="854"/>
      <c r="CA166" s="839"/>
      <c r="CB166" s="905"/>
      <c r="CC166" s="839"/>
      <c r="CD166" s="854"/>
      <c r="CE166" s="839"/>
      <c r="CF166" s="905"/>
      <c r="CG166" s="839"/>
      <c r="CH166" s="854"/>
      <c r="CI166" s="839"/>
      <c r="CJ166" s="905"/>
      <c r="CK166" s="839"/>
      <c r="CL166" s="854"/>
      <c r="CM166" s="839"/>
      <c r="CN166" s="905"/>
      <c r="CO166" s="839"/>
      <c r="CP166" s="854"/>
      <c r="CQ166" s="839"/>
      <c r="CR166" s="905"/>
      <c r="CS166" s="839"/>
      <c r="CT166" s="839"/>
      <c r="CU166" s="839"/>
      <c r="CV166" s="839"/>
      <c r="CW166" s="839"/>
      <c r="CX166" s="839"/>
      <c r="CY166" s="839"/>
      <c r="CZ166" s="839"/>
      <c r="DA166" s="839"/>
      <c r="DB166" s="839"/>
      <c r="DC166" s="839"/>
      <c r="DD166" s="839"/>
      <c r="DE166" s="839"/>
      <c r="DF166" s="839"/>
      <c r="DG166" s="839"/>
      <c r="DH166" s="839"/>
      <c r="DI166" s="839"/>
      <c r="DJ166" s="839"/>
      <c r="DK166" s="839"/>
      <c r="DL166" s="839"/>
      <c r="DM166" s="839"/>
      <c r="DN166" s="839"/>
      <c r="DO166" s="839"/>
      <c r="DP166" s="839"/>
      <c r="DQ166" s="839"/>
      <c r="DR166" s="839"/>
      <c r="DS166" s="839"/>
      <c r="DT166" s="839"/>
      <c r="DU166" s="839"/>
      <c r="DV166" s="839"/>
      <c r="DW166" s="839"/>
      <c r="DX166" s="839"/>
      <c r="DY166" s="839"/>
      <c r="DZ166" s="839"/>
      <c r="EA166" s="839"/>
      <c r="EB166" s="839"/>
      <c r="EC166" s="839"/>
      <c r="ED166" s="839"/>
      <c r="EE166" s="839"/>
      <c r="EF166" s="839"/>
      <c r="EG166" s="839"/>
      <c r="EH166" s="839"/>
      <c r="EI166" s="839"/>
      <c r="EJ166" s="839"/>
      <c r="EK166" s="839"/>
    </row>
    <row r="167" spans="1:141" hidden="1" outlineLevel="1">
      <c r="A167" s="840" t="s">
        <v>601</v>
      </c>
      <c r="B167" s="840"/>
      <c r="C167" s="839"/>
      <c r="D167" s="877">
        <f>+D162</f>
        <v>4</v>
      </c>
      <c r="E167" s="839"/>
      <c r="F167" s="841"/>
      <c r="G167" s="839"/>
      <c r="H167" s="857"/>
      <c r="I167" s="839"/>
      <c r="J167" s="852" t="str">
        <f>+segmthSales!J144</f>
        <v>2/1</v>
      </c>
      <c r="K167" s="839"/>
      <c r="L167" s="857"/>
      <c r="M167" s="839"/>
      <c r="N167" s="852" t="str">
        <f>+segmthSales!N144</f>
        <v xml:space="preserve"> 1/30</v>
      </c>
      <c r="O167" s="839"/>
      <c r="P167" s="857"/>
      <c r="Q167" s="839"/>
      <c r="R167" s="852" t="str">
        <f>+segmthSales!R144</f>
        <v>1/29</v>
      </c>
      <c r="S167" s="839"/>
      <c r="T167" s="858">
        <v>-26</v>
      </c>
      <c r="U167" s="839"/>
      <c r="V167" s="852" t="str">
        <f>+segmthSales!V144</f>
        <v>1/28</v>
      </c>
      <c r="W167" s="839"/>
      <c r="X167" s="858">
        <v>0</v>
      </c>
      <c r="Y167" s="839"/>
      <c r="Z167" s="852" t="str">
        <f>+segmthSales!Z144</f>
        <v>2/3</v>
      </c>
      <c r="AA167" s="839"/>
      <c r="AB167" s="858">
        <v>-3</v>
      </c>
      <c r="AC167" s="839"/>
      <c r="AD167" s="852" t="str">
        <f>+segmthSales!AD144</f>
        <v>2/1</v>
      </c>
      <c r="AE167" s="839"/>
      <c r="AF167" s="858">
        <v>-5</v>
      </c>
      <c r="AG167" s="839"/>
      <c r="AH167" s="852" t="str">
        <f>+segmthSales!AH144</f>
        <v>1/30</v>
      </c>
      <c r="AI167" s="839"/>
      <c r="AJ167" s="858">
        <v>-5</v>
      </c>
      <c r="AK167" s="839"/>
      <c r="AL167" s="852" t="str">
        <f>+segmthSales!AL144</f>
        <v>1/30</v>
      </c>
      <c r="AM167" s="839"/>
      <c r="AN167" s="858">
        <v>27</v>
      </c>
      <c r="AO167" s="839"/>
      <c r="AP167" s="852" t="str">
        <f>+segmthSales!AP144</f>
        <v>1/29</v>
      </c>
      <c r="AQ167" s="839"/>
      <c r="AR167" s="858">
        <v>9</v>
      </c>
      <c r="AS167" s="839"/>
      <c r="AT167" s="852" t="str">
        <f>+segmthSales!AT144</f>
        <v>2/3</v>
      </c>
      <c r="AU167" s="839"/>
      <c r="AV167" s="858">
        <v>19</v>
      </c>
      <c r="AW167" s="839"/>
      <c r="AX167" s="852" t="str">
        <f>+segmthSales!AX144</f>
        <v>2/2</v>
      </c>
      <c r="AY167" s="839"/>
      <c r="AZ167" s="858">
        <v>3</v>
      </c>
      <c r="BA167" s="839"/>
      <c r="BB167" s="852" t="str">
        <f>+segmthSales!BB144</f>
        <v>2/1</v>
      </c>
      <c r="BC167" s="839"/>
      <c r="BD167" s="906"/>
      <c r="BE167" s="839"/>
      <c r="BF167" s="854">
        <f>+segmthSales!BF144</f>
        <v>37652</v>
      </c>
      <c r="BG167" s="839"/>
      <c r="BH167" s="906"/>
      <c r="BI167" s="839"/>
      <c r="BJ167" s="854">
        <f>+segmthSales!BJ144</f>
        <v>38382</v>
      </c>
      <c r="BK167" s="839"/>
      <c r="BL167" s="906"/>
      <c r="BM167" s="839"/>
      <c r="BN167" s="854">
        <f>+segmthSales!BN144</f>
        <v>38745</v>
      </c>
      <c r="BO167" s="839"/>
      <c r="BP167" s="906"/>
      <c r="BQ167" s="839"/>
      <c r="BR167" s="854">
        <f>+segmthSales!BR144</f>
        <v>38386</v>
      </c>
      <c r="BS167" s="839"/>
      <c r="BT167" s="906"/>
      <c r="BU167" s="839"/>
      <c r="BV167" s="854">
        <f>+segmthSales!BV144</f>
        <v>39115</v>
      </c>
      <c r="BW167" s="839"/>
      <c r="BX167" s="906"/>
      <c r="BY167" s="839"/>
      <c r="BZ167" s="854"/>
      <c r="CA167" s="839"/>
      <c r="CB167" s="906"/>
      <c r="CC167" s="839"/>
      <c r="CD167" s="854"/>
      <c r="CE167" s="839"/>
      <c r="CF167" s="906"/>
      <c r="CG167" s="839"/>
      <c r="CH167" s="854"/>
      <c r="CI167" s="839"/>
      <c r="CJ167" s="906"/>
      <c r="CK167" s="839"/>
      <c r="CL167" s="854"/>
      <c r="CM167" s="839"/>
      <c r="CN167" s="906"/>
      <c r="CO167" s="839"/>
      <c r="CP167" s="854"/>
      <c r="CQ167" s="839"/>
      <c r="CR167" s="906"/>
      <c r="CS167" s="839"/>
      <c r="CT167" s="839"/>
      <c r="CU167" s="839"/>
      <c r="CV167" s="839"/>
      <c r="CW167" s="839"/>
      <c r="CX167" s="839"/>
      <c r="CY167" s="839"/>
      <c r="CZ167" s="839"/>
      <c r="DA167" s="839"/>
      <c r="DB167" s="839"/>
      <c r="DC167" s="839"/>
      <c r="DD167" s="839"/>
      <c r="DE167" s="839"/>
      <c r="DF167" s="839"/>
      <c r="DG167" s="839"/>
      <c r="DH167" s="839"/>
      <c r="DI167" s="839"/>
      <c r="DJ167" s="839"/>
      <c r="DK167" s="839"/>
      <c r="DL167" s="839"/>
      <c r="DM167" s="839"/>
      <c r="DN167" s="839"/>
      <c r="DO167" s="839"/>
      <c r="DP167" s="839"/>
      <c r="DQ167" s="839"/>
      <c r="DR167" s="839"/>
      <c r="DS167" s="839"/>
      <c r="DT167" s="839"/>
      <c r="DU167" s="839"/>
      <c r="DV167" s="839"/>
      <c r="DW167" s="839"/>
      <c r="DX167" s="839"/>
      <c r="DY167" s="839"/>
      <c r="DZ167" s="839"/>
      <c r="EA167" s="839"/>
      <c r="EB167" s="839"/>
      <c r="EC167" s="839"/>
      <c r="ED167" s="839"/>
      <c r="EE167" s="839"/>
      <c r="EF167" s="839"/>
      <c r="EG167" s="839"/>
      <c r="EH167" s="839"/>
      <c r="EI167" s="839"/>
      <c r="EJ167" s="839"/>
      <c r="EK167" s="839"/>
    </row>
    <row r="168" spans="1:141" hidden="1" outlineLevel="1">
      <c r="A168" s="862"/>
      <c r="B168" s="862" t="s">
        <v>519</v>
      </c>
      <c r="C168" s="861"/>
      <c r="D168" s="861"/>
      <c r="E168" s="861"/>
      <c r="F168" s="861"/>
      <c r="G168" s="861"/>
      <c r="H168" s="864"/>
      <c r="I168" s="861"/>
      <c r="J168" s="861"/>
      <c r="K168" s="861"/>
      <c r="L168" s="864"/>
      <c r="M168" s="861"/>
      <c r="N168" s="861"/>
      <c r="O168" s="861"/>
      <c r="P168" s="864"/>
      <c r="Q168" s="861"/>
      <c r="R168" s="861"/>
      <c r="S168" s="861"/>
      <c r="T168" s="866">
        <v>-13</v>
      </c>
      <c r="U168" s="861"/>
      <c r="V168" s="861"/>
      <c r="W168" s="861"/>
      <c r="X168" s="866">
        <v>-3</v>
      </c>
      <c r="Y168" s="861"/>
      <c r="Z168" s="861"/>
      <c r="AA168" s="861"/>
      <c r="AB168" s="866">
        <v>-10</v>
      </c>
      <c r="AC168" s="861"/>
      <c r="AD168" s="861"/>
      <c r="AE168" s="861"/>
      <c r="AF168" s="866">
        <v>-12</v>
      </c>
      <c r="AG168" s="861"/>
      <c r="AH168" s="861"/>
      <c r="AI168" s="861"/>
      <c r="AJ168" s="866">
        <v>-1</v>
      </c>
      <c r="AK168" s="861"/>
      <c r="AL168" s="861"/>
      <c r="AM168" s="861"/>
      <c r="AN168" s="866">
        <v>14</v>
      </c>
      <c r="AO168" s="861"/>
      <c r="AP168" s="861"/>
      <c r="AQ168" s="861"/>
      <c r="AR168" s="866">
        <v>-2</v>
      </c>
      <c r="AS168" s="861"/>
      <c r="AT168" s="861"/>
      <c r="AU168" s="861"/>
      <c r="AV168" s="866">
        <v>15</v>
      </c>
      <c r="AW168" s="861"/>
      <c r="AX168" s="861"/>
      <c r="AY168" s="861"/>
      <c r="AZ168" s="866">
        <v>0</v>
      </c>
      <c r="BA168" s="861"/>
      <c r="BB168" s="861"/>
      <c r="BC168" s="861"/>
      <c r="BD168" s="864"/>
      <c r="BE168" s="861"/>
      <c r="BF168" s="861"/>
      <c r="BG168" s="861"/>
      <c r="BH168" s="864"/>
      <c r="BI168" s="861"/>
      <c r="BJ168" s="861"/>
      <c r="BK168" s="861"/>
      <c r="BL168" s="864"/>
      <c r="BM168" s="861"/>
      <c r="BN168" s="861"/>
      <c r="BO168" s="861"/>
      <c r="BP168" s="864"/>
      <c r="BQ168" s="861"/>
      <c r="BR168" s="861"/>
      <c r="BS168" s="861"/>
      <c r="BT168" s="864"/>
      <c r="BU168" s="861"/>
      <c r="BV168" s="861"/>
      <c r="BW168" s="861"/>
      <c r="BX168" s="864"/>
      <c r="BY168" s="861"/>
      <c r="BZ168" s="861"/>
      <c r="CA168" s="861"/>
      <c r="CB168" s="864"/>
      <c r="CC168" s="861"/>
      <c r="CD168" s="861"/>
      <c r="CE168" s="861"/>
      <c r="CF168" s="864"/>
      <c r="CG168" s="861"/>
      <c r="CH168" s="861"/>
      <c r="CI168" s="861"/>
      <c r="CJ168" s="864"/>
      <c r="CK168" s="861"/>
      <c r="CL168" s="861"/>
      <c r="CM168" s="861"/>
      <c r="CN168" s="864"/>
      <c r="CO168" s="861"/>
      <c r="CP168" s="861"/>
      <c r="CQ168" s="861"/>
      <c r="CR168" s="864"/>
      <c r="CS168" s="861"/>
      <c r="CT168" s="876"/>
      <c r="CU168" s="876"/>
      <c r="CV168" s="876"/>
      <c r="CW168" s="876"/>
      <c r="CX168" s="876"/>
      <c r="CY168" s="876"/>
      <c r="CZ168" s="876"/>
      <c r="DA168" s="876"/>
      <c r="DB168" s="876"/>
      <c r="DC168" s="876"/>
      <c r="DD168" s="876"/>
      <c r="DE168" s="876"/>
      <c r="DF168" s="876"/>
      <c r="DG168" s="876"/>
      <c r="DH168" s="876"/>
      <c r="DI168" s="876"/>
      <c r="DJ168" s="876"/>
      <c r="DK168" s="876"/>
      <c r="DL168" s="876"/>
      <c r="DM168" s="876"/>
      <c r="DN168" s="876"/>
      <c r="DO168" s="876"/>
      <c r="DP168" s="876"/>
      <c r="DQ168" s="876"/>
      <c r="DR168" s="876"/>
      <c r="DS168" s="876"/>
      <c r="DT168" s="876"/>
      <c r="DU168" s="876"/>
      <c r="DV168" s="876"/>
      <c r="DW168" s="876"/>
      <c r="DX168" s="839"/>
      <c r="DY168" s="839"/>
      <c r="DZ168" s="839"/>
      <c r="EA168" s="839"/>
      <c r="EB168" s="839"/>
      <c r="EC168" s="839"/>
      <c r="ED168" s="839"/>
      <c r="EE168" s="839"/>
      <c r="EF168" s="839"/>
      <c r="EG168" s="839"/>
      <c r="EH168" s="839"/>
      <c r="EI168" s="839"/>
      <c r="EJ168" s="839"/>
      <c r="EK168" s="839"/>
    </row>
    <row r="169" spans="1:141" hidden="1" outlineLevel="1">
      <c r="A169" s="862"/>
      <c r="B169" s="862" t="s">
        <v>1020</v>
      </c>
      <c r="C169" s="861"/>
      <c r="D169" s="861"/>
      <c r="E169" s="861"/>
      <c r="F169" s="861"/>
      <c r="G169" s="861"/>
      <c r="H169" s="864"/>
      <c r="I169" s="861"/>
      <c r="J169" s="861"/>
      <c r="K169" s="861"/>
      <c r="L169" s="864"/>
      <c r="M169" s="861"/>
      <c r="N169" s="861"/>
      <c r="O169" s="861"/>
      <c r="P169" s="864"/>
      <c r="Q169" s="861"/>
      <c r="R169" s="861"/>
      <c r="S169" s="861"/>
      <c r="T169" s="907">
        <v>0</v>
      </c>
      <c r="U169" s="861"/>
      <c r="V169" s="861"/>
      <c r="W169" s="861"/>
      <c r="X169" s="866">
        <v>-9</v>
      </c>
      <c r="Y169" s="861"/>
      <c r="Z169" s="861"/>
      <c r="AA169" s="861"/>
      <c r="AB169" s="866">
        <v>-2</v>
      </c>
      <c r="AC169" s="861"/>
      <c r="AD169" s="861"/>
      <c r="AE169" s="861"/>
      <c r="AF169" s="866">
        <v>-6</v>
      </c>
      <c r="AG169" s="861"/>
      <c r="AH169" s="861"/>
      <c r="AI169" s="861"/>
      <c r="AJ169" s="866">
        <v>-15</v>
      </c>
      <c r="AK169" s="861"/>
      <c r="AL169" s="861"/>
      <c r="AM169" s="861"/>
      <c r="AN169" s="866">
        <v>16</v>
      </c>
      <c r="AO169" s="861"/>
      <c r="AP169" s="861"/>
      <c r="AQ169" s="861"/>
      <c r="AR169" s="908">
        <v>5</v>
      </c>
      <c r="AS169" s="861"/>
      <c r="AT169" s="861"/>
      <c r="AU169" s="861"/>
      <c r="AV169" s="866">
        <v>15</v>
      </c>
      <c r="AW169" s="861"/>
      <c r="AX169" s="861"/>
      <c r="AY169" s="861"/>
      <c r="AZ169" s="866">
        <v>-2</v>
      </c>
      <c r="BA169" s="861"/>
      <c r="BB169" s="861"/>
      <c r="BC169" s="861"/>
      <c r="BD169" s="864"/>
      <c r="BE169" s="861"/>
      <c r="BF169" s="861"/>
      <c r="BG169" s="861"/>
      <c r="BH169" s="864"/>
      <c r="BI169" s="861"/>
      <c r="BJ169" s="861"/>
      <c r="BK169" s="861"/>
      <c r="BL169" s="864"/>
      <c r="BM169" s="861"/>
      <c r="BN169" s="861"/>
      <c r="BO169" s="861"/>
      <c r="BP169" s="864"/>
      <c r="BQ169" s="861"/>
      <c r="BR169" s="861"/>
      <c r="BS169" s="861"/>
      <c r="BT169" s="864"/>
      <c r="BU169" s="861"/>
      <c r="BV169" s="861"/>
      <c r="BW169" s="861"/>
      <c r="BX169" s="864"/>
      <c r="BY169" s="861"/>
      <c r="BZ169" s="861"/>
      <c r="CA169" s="861"/>
      <c r="CB169" s="864"/>
      <c r="CC169" s="861"/>
      <c r="CD169" s="861"/>
      <c r="CE169" s="861"/>
      <c r="CF169" s="864"/>
      <c r="CG169" s="861"/>
      <c r="CH169" s="861"/>
      <c r="CI169" s="861"/>
      <c r="CJ169" s="864"/>
      <c r="CK169" s="861"/>
      <c r="CL169" s="861"/>
      <c r="CM169" s="861"/>
      <c r="CN169" s="864"/>
      <c r="CO169" s="861"/>
      <c r="CP169" s="861"/>
      <c r="CQ169" s="861"/>
      <c r="CR169" s="864"/>
      <c r="CS169" s="861"/>
      <c r="CT169" s="876"/>
      <c r="CU169" s="876"/>
      <c r="CV169" s="876"/>
      <c r="CW169" s="876"/>
      <c r="CX169" s="876"/>
      <c r="CY169" s="876"/>
      <c r="CZ169" s="876"/>
      <c r="DA169" s="876"/>
      <c r="DB169" s="876"/>
      <c r="DC169" s="876"/>
      <c r="DD169" s="876"/>
      <c r="DE169" s="876"/>
      <c r="DF169" s="876"/>
      <c r="DG169" s="876"/>
      <c r="DH169" s="876"/>
      <c r="DI169" s="876"/>
      <c r="DJ169" s="876"/>
      <c r="DK169" s="876"/>
      <c r="DL169" s="876"/>
      <c r="DM169" s="876"/>
      <c r="DN169" s="876"/>
      <c r="DO169" s="876"/>
      <c r="DP169" s="876"/>
      <c r="DQ169" s="876"/>
      <c r="DR169" s="876"/>
      <c r="DS169" s="876"/>
      <c r="DT169" s="876"/>
      <c r="DU169" s="876"/>
      <c r="DV169" s="876"/>
      <c r="DW169" s="876"/>
      <c r="DX169" s="839"/>
      <c r="DY169" s="839"/>
      <c r="DZ169" s="839"/>
      <c r="EA169" s="839"/>
      <c r="EB169" s="839"/>
      <c r="EC169" s="839"/>
      <c r="ED169" s="839"/>
      <c r="EE169" s="839"/>
      <c r="EF169" s="839"/>
      <c r="EG169" s="839"/>
      <c r="EH169" s="839"/>
      <c r="EI169" s="839"/>
      <c r="EJ169" s="839"/>
      <c r="EK169" s="839"/>
    </row>
    <row r="170" spans="1:141" hidden="1" outlineLevel="1">
      <c r="A170" s="868"/>
      <c r="B170" s="868"/>
      <c r="C170" s="876"/>
      <c r="D170" s="876"/>
      <c r="E170" s="876"/>
      <c r="F170" s="876"/>
      <c r="G170" s="876"/>
      <c r="H170" s="909"/>
      <c r="I170" s="876"/>
      <c r="J170" s="876"/>
      <c r="K170" s="876"/>
      <c r="L170" s="909"/>
      <c r="M170" s="876"/>
      <c r="N170" s="876"/>
      <c r="O170" s="876"/>
      <c r="P170" s="909"/>
      <c r="Q170" s="876"/>
      <c r="R170" s="876"/>
      <c r="S170" s="876"/>
      <c r="T170" s="909"/>
      <c r="U170" s="876"/>
      <c r="V170" s="876"/>
      <c r="W170" s="876"/>
      <c r="X170" s="909"/>
      <c r="Y170" s="876"/>
      <c r="Z170" s="876"/>
      <c r="AA170" s="876"/>
      <c r="AB170" s="909"/>
      <c r="AC170" s="876"/>
      <c r="AD170" s="876"/>
      <c r="AE170" s="876"/>
      <c r="AF170" s="910"/>
      <c r="AG170" s="876"/>
      <c r="AH170" s="876"/>
      <c r="AI170" s="876"/>
      <c r="AJ170" s="910"/>
      <c r="AK170" s="876"/>
      <c r="AL170" s="876"/>
      <c r="AM170" s="876"/>
      <c r="AN170" s="910"/>
      <c r="AO170" s="876"/>
      <c r="AP170" s="876"/>
      <c r="AQ170" s="876"/>
      <c r="AR170" s="910"/>
      <c r="AS170" s="876"/>
      <c r="AT170" s="876"/>
      <c r="AU170" s="876"/>
      <c r="AV170" s="853"/>
      <c r="AW170" s="876"/>
      <c r="AX170" s="876"/>
      <c r="AY170" s="876"/>
      <c r="AZ170" s="853"/>
      <c r="BA170" s="876"/>
      <c r="BB170" s="876"/>
      <c r="BC170" s="876"/>
      <c r="BD170" s="909"/>
      <c r="BE170" s="876"/>
      <c r="BF170" s="876"/>
      <c r="BG170" s="876"/>
      <c r="BH170" s="909"/>
      <c r="BI170" s="876"/>
      <c r="BJ170" s="876"/>
      <c r="BK170" s="876"/>
      <c r="BL170" s="909"/>
      <c r="BM170" s="876"/>
      <c r="BN170" s="876"/>
      <c r="BO170" s="876"/>
      <c r="BP170" s="909"/>
      <c r="BQ170" s="876"/>
      <c r="BR170" s="876"/>
      <c r="BS170" s="876"/>
      <c r="BT170" s="909"/>
      <c r="BU170" s="876"/>
      <c r="BV170" s="876"/>
      <c r="BW170" s="876"/>
      <c r="BX170" s="909"/>
      <c r="BY170" s="876"/>
      <c r="BZ170" s="876"/>
      <c r="CA170" s="876"/>
      <c r="CB170" s="909"/>
      <c r="CC170" s="876"/>
      <c r="CD170" s="876"/>
      <c r="CE170" s="876"/>
      <c r="CF170" s="909"/>
      <c r="CG170" s="876"/>
      <c r="CH170" s="876"/>
      <c r="CI170" s="876"/>
      <c r="CJ170" s="909"/>
      <c r="CK170" s="876"/>
      <c r="CL170" s="876"/>
      <c r="CM170" s="876"/>
      <c r="CN170" s="909"/>
      <c r="CO170" s="876"/>
      <c r="CP170" s="876"/>
      <c r="CQ170" s="876"/>
      <c r="CR170" s="909"/>
      <c r="CS170" s="876"/>
      <c r="CT170" s="876"/>
      <c r="CU170" s="876"/>
      <c r="CV170" s="876"/>
      <c r="CW170" s="876"/>
      <c r="CX170" s="876"/>
      <c r="CY170" s="876"/>
      <c r="CZ170" s="876"/>
      <c r="DA170" s="876"/>
      <c r="DB170" s="876"/>
      <c r="DC170" s="876"/>
      <c r="DD170" s="876"/>
      <c r="DE170" s="876"/>
      <c r="DF170" s="876"/>
      <c r="DG170" s="876"/>
      <c r="DH170" s="876"/>
      <c r="DI170" s="876"/>
      <c r="DJ170" s="876"/>
      <c r="DK170" s="876"/>
      <c r="DL170" s="876"/>
      <c r="DM170" s="876"/>
      <c r="DN170" s="876"/>
      <c r="DO170" s="876"/>
      <c r="DP170" s="876"/>
      <c r="DQ170" s="876"/>
      <c r="DR170" s="876"/>
      <c r="DS170" s="876"/>
      <c r="DT170" s="876"/>
      <c r="DU170" s="876"/>
      <c r="DV170" s="876"/>
      <c r="DW170" s="876"/>
      <c r="DX170" s="839"/>
      <c r="DY170" s="839"/>
      <c r="DZ170" s="839"/>
      <c r="EA170" s="839"/>
      <c r="EB170" s="839"/>
      <c r="EC170" s="839"/>
      <c r="ED170" s="839"/>
      <c r="EE170" s="839"/>
      <c r="EF170" s="839"/>
      <c r="EG170" s="839"/>
      <c r="EH170" s="839"/>
      <c r="EI170" s="839"/>
      <c r="EJ170" s="839"/>
      <c r="EK170" s="839"/>
    </row>
    <row r="171" spans="1:141" hidden="1" outlineLevel="1">
      <c r="A171" s="843" t="s">
        <v>380</v>
      </c>
      <c r="B171" s="839"/>
      <c r="C171" s="839"/>
      <c r="D171" s="839"/>
      <c r="E171" s="839"/>
      <c r="F171" s="839"/>
      <c r="G171" s="839"/>
      <c r="H171" s="839"/>
      <c r="I171" s="839"/>
      <c r="J171" s="839"/>
      <c r="K171" s="839"/>
      <c r="L171" s="839"/>
      <c r="M171" s="839"/>
      <c r="N171" s="839"/>
      <c r="O171" s="839"/>
      <c r="P171" s="839"/>
      <c r="Q171" s="839"/>
      <c r="R171" s="839"/>
      <c r="S171" s="839"/>
      <c r="T171" s="839"/>
      <c r="U171" s="839"/>
      <c r="V171" s="839"/>
      <c r="W171" s="839"/>
      <c r="X171" s="839"/>
      <c r="Y171" s="839"/>
      <c r="Z171" s="839"/>
      <c r="AA171" s="839"/>
      <c r="AB171" s="839"/>
      <c r="AC171" s="839"/>
      <c r="AD171" s="839"/>
      <c r="AE171" s="839"/>
      <c r="AF171" s="839"/>
      <c r="AG171" s="839"/>
      <c r="AH171" s="839"/>
      <c r="AI171" s="839"/>
      <c r="AJ171" s="839"/>
      <c r="AK171" s="839"/>
      <c r="AL171" s="839"/>
      <c r="AM171" s="839"/>
      <c r="AN171" s="839"/>
      <c r="AO171" s="839"/>
      <c r="AP171" s="839"/>
      <c r="AQ171" s="839"/>
      <c r="AR171" s="877"/>
      <c r="AS171" s="839"/>
      <c r="AT171" s="839"/>
      <c r="AU171" s="839"/>
      <c r="AV171" s="839"/>
      <c r="AW171" s="839"/>
      <c r="AX171" s="839"/>
      <c r="AY171" s="839"/>
      <c r="AZ171" s="839"/>
      <c r="BA171" s="839"/>
      <c r="BB171" s="839"/>
      <c r="BC171" s="839"/>
      <c r="BD171" s="839"/>
      <c r="BE171" s="839"/>
      <c r="BF171" s="839"/>
      <c r="BG171" s="839"/>
      <c r="BH171" s="839"/>
      <c r="BI171" s="839"/>
      <c r="BJ171" s="839"/>
      <c r="BK171" s="839"/>
      <c r="BL171" s="839"/>
      <c r="BM171" s="839"/>
      <c r="BN171" s="839"/>
      <c r="BO171" s="839"/>
      <c r="BP171" s="839"/>
      <c r="BQ171" s="839"/>
      <c r="BR171" s="839"/>
      <c r="BS171" s="839"/>
      <c r="BT171" s="839"/>
      <c r="BU171" s="839"/>
      <c r="BV171" s="839"/>
      <c r="BW171" s="839"/>
      <c r="BX171" s="839"/>
      <c r="BY171" s="839"/>
      <c r="BZ171" s="839"/>
      <c r="CA171" s="839"/>
      <c r="CB171" s="839"/>
      <c r="CC171" s="839"/>
      <c r="CD171" s="839"/>
      <c r="CE171" s="839"/>
      <c r="CF171" s="839"/>
      <c r="CG171" s="839"/>
      <c r="CH171" s="839"/>
      <c r="CI171" s="839"/>
      <c r="CJ171" s="839"/>
      <c r="CK171" s="839"/>
      <c r="CL171" s="839"/>
      <c r="CM171" s="839"/>
      <c r="CN171" s="839"/>
      <c r="CO171" s="839"/>
      <c r="CP171" s="839"/>
      <c r="CQ171" s="839"/>
      <c r="CR171" s="839"/>
      <c r="CS171" s="839"/>
      <c r="CT171" s="839"/>
      <c r="CU171" s="839"/>
      <c r="CV171" s="839"/>
      <c r="CW171" s="839"/>
      <c r="CX171" s="839"/>
      <c r="CY171" s="839"/>
      <c r="CZ171" s="839"/>
      <c r="DA171" s="839"/>
      <c r="DB171" s="839"/>
      <c r="DC171" s="839"/>
      <c r="DD171" s="839"/>
      <c r="DE171" s="839"/>
      <c r="DF171" s="839"/>
      <c r="DG171" s="839"/>
      <c r="DH171" s="839"/>
      <c r="DI171" s="839"/>
      <c r="DJ171" s="839"/>
      <c r="DK171" s="839"/>
      <c r="DL171" s="839"/>
      <c r="DM171" s="839"/>
      <c r="DN171" s="839"/>
      <c r="DO171" s="839"/>
      <c r="DP171" s="839"/>
      <c r="DQ171" s="839"/>
      <c r="DR171" s="839"/>
      <c r="DS171" s="839"/>
      <c r="DT171" s="839"/>
      <c r="DU171" s="839"/>
      <c r="DV171" s="839"/>
      <c r="DW171" s="839"/>
      <c r="DX171" s="839"/>
      <c r="DY171" s="839"/>
      <c r="DZ171" s="839"/>
      <c r="EA171" s="839"/>
      <c r="EB171" s="839"/>
      <c r="EC171" s="839"/>
      <c r="ED171" s="839"/>
      <c r="EE171" s="839"/>
      <c r="EF171" s="839"/>
      <c r="EG171" s="839"/>
      <c r="EH171" s="839"/>
      <c r="EI171" s="839"/>
      <c r="EJ171" s="839"/>
      <c r="EK171" s="839"/>
    </row>
    <row r="172" spans="1:141" hidden="1" outlineLevel="1">
      <c r="A172" s="839"/>
      <c r="B172" s="839"/>
      <c r="C172" s="839"/>
      <c r="D172" s="839"/>
      <c r="E172" s="839"/>
      <c r="F172" s="839"/>
      <c r="G172" s="839"/>
      <c r="H172" s="839"/>
      <c r="I172" s="839"/>
      <c r="J172" s="839"/>
      <c r="K172" s="839"/>
      <c r="L172" s="839"/>
      <c r="M172" s="839"/>
      <c r="N172" s="839"/>
      <c r="O172" s="839"/>
      <c r="P172" s="839"/>
      <c r="Q172" s="839"/>
      <c r="R172" s="839"/>
      <c r="S172" s="839"/>
      <c r="T172" s="839"/>
      <c r="U172" s="839"/>
      <c r="V172" s="839"/>
      <c r="W172" s="839"/>
      <c r="X172" s="839"/>
      <c r="Y172" s="839"/>
      <c r="Z172" s="839"/>
      <c r="AA172" s="839"/>
      <c r="AB172" s="839"/>
      <c r="AC172" s="839"/>
      <c r="AD172" s="839"/>
      <c r="AE172" s="839"/>
      <c r="AF172" s="839"/>
      <c r="AG172" s="839"/>
      <c r="AH172" s="839"/>
      <c r="AI172" s="839"/>
      <c r="AJ172" s="839"/>
      <c r="AK172" s="839"/>
      <c r="AL172" s="839"/>
      <c r="AM172" s="839"/>
      <c r="AN172" s="839"/>
      <c r="AO172" s="839"/>
      <c r="AP172" s="839"/>
      <c r="AQ172" s="839"/>
      <c r="AR172" s="877"/>
      <c r="AS172" s="839"/>
      <c r="AT172" s="839"/>
      <c r="AU172" s="839"/>
      <c r="AV172" s="839"/>
      <c r="AW172" s="839"/>
      <c r="AX172" s="839"/>
      <c r="AY172" s="839"/>
      <c r="AZ172" s="839"/>
      <c r="BA172" s="839"/>
      <c r="BB172" s="839"/>
      <c r="BC172" s="839"/>
      <c r="BD172" s="839"/>
      <c r="BE172" s="839"/>
      <c r="BF172" s="839"/>
      <c r="BG172" s="839"/>
      <c r="BH172" s="839"/>
      <c r="BI172" s="839"/>
      <c r="BJ172" s="839"/>
      <c r="BK172" s="839"/>
      <c r="BL172" s="839"/>
      <c r="BM172" s="839"/>
      <c r="BN172" s="839"/>
      <c r="BO172" s="839"/>
      <c r="BP172" s="839"/>
      <c r="BQ172" s="839"/>
      <c r="BR172" s="839"/>
      <c r="BS172" s="839"/>
      <c r="BT172" s="839"/>
      <c r="BU172" s="839"/>
      <c r="BV172" s="839"/>
      <c r="BW172" s="839"/>
      <c r="BX172" s="839"/>
      <c r="BY172" s="839"/>
      <c r="BZ172" s="839"/>
      <c r="CA172" s="839"/>
      <c r="CB172" s="839"/>
      <c r="CC172" s="839"/>
      <c r="CD172" s="839"/>
      <c r="CE172" s="839"/>
      <c r="CF172" s="839"/>
      <c r="CG172" s="839"/>
      <c r="CH172" s="839"/>
      <c r="CI172" s="839"/>
      <c r="CJ172" s="839"/>
      <c r="CK172" s="839"/>
      <c r="CL172" s="839"/>
      <c r="CM172" s="839"/>
      <c r="CN172" s="839"/>
      <c r="CO172" s="839"/>
      <c r="CP172" s="839"/>
      <c r="CQ172" s="839"/>
      <c r="CR172" s="839"/>
      <c r="CS172" s="839"/>
      <c r="CT172" s="839"/>
      <c r="CU172" s="839"/>
      <c r="CV172" s="839"/>
      <c r="CW172" s="839"/>
      <c r="CX172" s="839"/>
      <c r="CY172" s="839"/>
      <c r="CZ172" s="839"/>
      <c r="DA172" s="839"/>
      <c r="DB172" s="839"/>
      <c r="DC172" s="839"/>
      <c r="DD172" s="839"/>
      <c r="DE172" s="839"/>
      <c r="DF172" s="839"/>
      <c r="DG172" s="839"/>
      <c r="DH172" s="839"/>
      <c r="DI172" s="839"/>
      <c r="DJ172" s="839"/>
      <c r="DK172" s="839"/>
      <c r="DL172" s="839"/>
      <c r="DM172" s="839"/>
      <c r="DN172" s="839"/>
      <c r="DO172" s="839"/>
      <c r="DP172" s="839"/>
      <c r="DQ172" s="839"/>
      <c r="DR172" s="839"/>
      <c r="DS172" s="839"/>
      <c r="DT172" s="839"/>
      <c r="DU172" s="839"/>
      <c r="DV172" s="839"/>
      <c r="DW172" s="839"/>
      <c r="DX172" s="839"/>
      <c r="DY172" s="839"/>
      <c r="DZ172" s="839"/>
      <c r="EA172" s="839"/>
      <c r="EB172" s="839"/>
      <c r="EC172" s="839"/>
      <c r="ED172" s="839"/>
      <c r="EE172" s="839"/>
      <c r="EF172" s="839"/>
      <c r="EG172" s="839"/>
      <c r="EH172" s="839"/>
      <c r="EI172" s="839"/>
      <c r="EJ172" s="839"/>
      <c r="EK172" s="839"/>
    </row>
    <row r="173" spans="1:141" hidden="1" outlineLevel="1">
      <c r="A173" s="840" t="s">
        <v>828</v>
      </c>
      <c r="B173" s="839"/>
      <c r="C173" s="839"/>
      <c r="D173" s="841">
        <v>4</v>
      </c>
      <c r="E173" s="839"/>
      <c r="F173" s="842"/>
      <c r="G173" s="839"/>
      <c r="H173" s="851"/>
      <c r="I173" s="839" t="s">
        <v>1084</v>
      </c>
      <c r="J173" s="852" t="str">
        <f>+segmthSales!J150</f>
        <v>3/2</v>
      </c>
      <c r="K173" s="839"/>
      <c r="L173" s="851"/>
      <c r="M173" s="839" t="s">
        <v>1084</v>
      </c>
      <c r="N173" s="852" t="str">
        <f>+segmthSales!N150</f>
        <v xml:space="preserve"> 2/29</v>
      </c>
      <c r="O173" s="839"/>
      <c r="P173" s="851"/>
      <c r="Q173" s="839" t="s">
        <v>1084</v>
      </c>
      <c r="R173" s="852" t="str">
        <f>+segmthSales!R150</f>
        <v xml:space="preserve"> 2/27</v>
      </c>
      <c r="S173" s="839"/>
      <c r="T173" s="853">
        <v>13</v>
      </c>
      <c r="U173" s="839" t="s">
        <v>1084</v>
      </c>
      <c r="V173" s="852" t="str">
        <f>+segmthSales!V150</f>
        <v>2/28</v>
      </c>
      <c r="W173" s="839"/>
      <c r="X173" s="853">
        <v>14</v>
      </c>
      <c r="Y173" s="839" t="s">
        <v>1084</v>
      </c>
      <c r="Z173" s="852" t="str">
        <f>+segmthSales!Z150</f>
        <v>2/25</v>
      </c>
      <c r="AA173" s="839"/>
      <c r="AB173" s="853">
        <v>-2</v>
      </c>
      <c r="AC173" s="839" t="s">
        <v>1084</v>
      </c>
      <c r="AD173" s="852" t="str">
        <f>+segmthSales!AD150</f>
        <v>3/2</v>
      </c>
      <c r="AE173" s="839"/>
      <c r="AF173" s="853">
        <v>4</v>
      </c>
      <c r="AG173" s="839" t="s">
        <v>1084</v>
      </c>
      <c r="AH173" s="852" t="str">
        <f>+segmthSales!AH150</f>
        <v>3/2</v>
      </c>
      <c r="AI173" s="839"/>
      <c r="AJ173" s="853">
        <v>13</v>
      </c>
      <c r="AK173" s="839" t="s">
        <v>1084</v>
      </c>
      <c r="AL173" s="852" t="str">
        <f>+segmthSales!AL150</f>
        <v>2/28</v>
      </c>
      <c r="AM173" s="839"/>
      <c r="AN173" s="853">
        <v>-9</v>
      </c>
      <c r="AO173" s="839" t="s">
        <v>1084</v>
      </c>
      <c r="AP173" s="852" t="str">
        <f>+segmthSales!AP150</f>
        <v>2/27</v>
      </c>
      <c r="AQ173" s="839"/>
      <c r="AR173" s="853">
        <v>7</v>
      </c>
      <c r="AS173" s="839" t="s">
        <v>1084</v>
      </c>
      <c r="AT173" s="852" t="str">
        <f>+segmthSales!AT150</f>
        <v>2/26</v>
      </c>
      <c r="AU173" s="839"/>
      <c r="AV173" s="853">
        <v>-16</v>
      </c>
      <c r="AW173" s="839" t="s">
        <v>1084</v>
      </c>
      <c r="AX173" s="852" t="str">
        <f>+segmthSales!AX150</f>
        <v>3/3</v>
      </c>
      <c r="AY173" s="839"/>
      <c r="AZ173" s="853">
        <v>2</v>
      </c>
      <c r="BA173" s="839" t="s">
        <v>1084</v>
      </c>
      <c r="BB173" s="852" t="str">
        <f>+segmthSales!BB150</f>
        <v>3/2</v>
      </c>
      <c r="BC173" s="839"/>
      <c r="BD173" s="851"/>
      <c r="BE173" s="839" t="s">
        <v>1084</v>
      </c>
      <c r="BF173" s="854">
        <f>+segmthSales!BF150</f>
        <v>37681</v>
      </c>
      <c r="BG173" s="839"/>
      <c r="BH173" s="851"/>
      <c r="BI173" s="839" t="s">
        <v>1084</v>
      </c>
      <c r="BJ173" s="854">
        <f>+segmthSales!BJ150</f>
        <v>38046</v>
      </c>
      <c r="BK173" s="839"/>
      <c r="BL173" s="851"/>
      <c r="BM173" s="839" t="s">
        <v>1084</v>
      </c>
      <c r="BN173" s="854">
        <f>+segmthSales!BN150</f>
        <v>38409</v>
      </c>
      <c r="BO173" s="839"/>
      <c r="BP173" s="851"/>
      <c r="BQ173" s="839" t="s">
        <v>1084</v>
      </c>
      <c r="BR173" s="854">
        <f>+segmthSales!BR150</f>
        <v>38408</v>
      </c>
      <c r="BS173" s="839"/>
      <c r="BT173" s="851"/>
      <c r="BU173" s="839" t="s">
        <v>1084</v>
      </c>
      <c r="BV173" s="854">
        <f>+segmthSales!BV150</f>
        <v>39144</v>
      </c>
      <c r="BW173" s="839"/>
      <c r="BX173" s="851"/>
      <c r="BY173" s="839" t="s">
        <v>1084</v>
      </c>
      <c r="BZ173" s="854"/>
      <c r="CA173" s="839"/>
      <c r="CB173" s="851"/>
      <c r="CC173" s="839"/>
      <c r="CD173" s="854"/>
      <c r="CE173" s="839"/>
      <c r="CF173" s="851"/>
      <c r="CG173" s="839"/>
      <c r="CH173" s="854"/>
      <c r="CI173" s="839"/>
      <c r="CJ173" s="851"/>
      <c r="CK173" s="839"/>
      <c r="CL173" s="854"/>
      <c r="CM173" s="839"/>
      <c r="CN173" s="851"/>
      <c r="CO173" s="839"/>
      <c r="CP173" s="854"/>
      <c r="CQ173" s="839"/>
      <c r="CR173" s="851"/>
      <c r="CS173" s="839"/>
      <c r="CT173" s="839"/>
      <c r="CU173" s="839"/>
      <c r="CV173" s="839"/>
      <c r="CW173" s="839"/>
      <c r="CX173" s="839"/>
      <c r="CY173" s="839"/>
      <c r="CZ173" s="839"/>
      <c r="DA173" s="839"/>
      <c r="DB173" s="839"/>
      <c r="DC173" s="839"/>
      <c r="DD173" s="839"/>
      <c r="DE173" s="839"/>
      <c r="DF173" s="839"/>
      <c r="DG173" s="839"/>
      <c r="DH173" s="839"/>
      <c r="DI173" s="839"/>
      <c r="DJ173" s="839"/>
      <c r="DK173" s="839"/>
      <c r="DL173" s="839"/>
      <c r="DM173" s="839"/>
      <c r="DN173" s="839"/>
      <c r="DO173" s="839"/>
      <c r="DP173" s="839"/>
      <c r="DQ173" s="839"/>
      <c r="DR173" s="839"/>
      <c r="DS173" s="839"/>
      <c r="DT173" s="839"/>
      <c r="DU173" s="839"/>
      <c r="DV173" s="839"/>
      <c r="DW173" s="839"/>
      <c r="DX173" s="839"/>
      <c r="DY173" s="839"/>
      <c r="DZ173" s="839"/>
      <c r="EA173" s="839"/>
      <c r="EB173" s="839"/>
      <c r="EC173" s="839"/>
      <c r="ED173" s="839"/>
      <c r="EE173" s="839"/>
      <c r="EF173" s="839"/>
      <c r="EG173" s="839"/>
      <c r="EH173" s="839"/>
      <c r="EI173" s="839"/>
      <c r="EJ173" s="839"/>
      <c r="EK173" s="839"/>
    </row>
    <row r="174" spans="1:141" hidden="1" outlineLevel="1">
      <c r="A174" s="840" t="s">
        <v>829</v>
      </c>
      <c r="B174" s="839"/>
      <c r="C174" s="839"/>
      <c r="D174" s="841">
        <v>5</v>
      </c>
      <c r="E174" s="839"/>
      <c r="F174" s="856"/>
      <c r="G174" s="839"/>
      <c r="H174" s="851"/>
      <c r="I174" s="839"/>
      <c r="J174" s="852" t="str">
        <f>+segmthSales!J151</f>
        <v>4/6</v>
      </c>
      <c r="K174" s="839"/>
      <c r="L174" s="851"/>
      <c r="M174" s="839"/>
      <c r="N174" s="852" t="str">
        <f>+segmthSales!N151</f>
        <v xml:space="preserve"> 4/4</v>
      </c>
      <c r="O174" s="839"/>
      <c r="P174" s="851"/>
      <c r="Q174" s="839"/>
      <c r="R174" s="852" t="str">
        <f>+segmthSales!R151</f>
        <v xml:space="preserve"> 4/3</v>
      </c>
      <c r="S174" s="839"/>
      <c r="T174" s="853">
        <v>1</v>
      </c>
      <c r="U174" s="839"/>
      <c r="V174" s="852" t="str">
        <f>+segmthSales!V151</f>
        <v>4/2</v>
      </c>
      <c r="W174" s="839"/>
      <c r="X174" s="853">
        <v>38</v>
      </c>
      <c r="Y174" s="839"/>
      <c r="Z174" s="852" t="str">
        <f>+segmthSales!Z151</f>
        <v>4/1</v>
      </c>
      <c r="AA174" s="839"/>
      <c r="AB174" s="853">
        <v>-14</v>
      </c>
      <c r="AC174" s="839"/>
      <c r="AD174" s="852" t="str">
        <f>+segmthSales!AD151</f>
        <v>4/6</v>
      </c>
      <c r="AE174" s="839"/>
      <c r="AF174" s="853">
        <v>17</v>
      </c>
      <c r="AG174" s="839"/>
      <c r="AH174" s="852" t="str">
        <f>+segmthSales!AH151</f>
        <v>4/5</v>
      </c>
      <c r="AI174" s="839"/>
      <c r="AJ174" s="853">
        <v>-3</v>
      </c>
      <c r="AK174" s="839"/>
      <c r="AL174" s="852" t="str">
        <f>+segmthSales!AL151</f>
        <v>4/4</v>
      </c>
      <c r="AM174" s="839"/>
      <c r="AN174" s="853">
        <v>-18</v>
      </c>
      <c r="AO174" s="839"/>
      <c r="AP174" s="852" t="str">
        <f>+segmthSales!AP151</f>
        <v>4/3</v>
      </c>
      <c r="AQ174" s="839"/>
      <c r="AR174" s="853">
        <v>16</v>
      </c>
      <c r="AS174" s="839"/>
      <c r="AT174" s="852" t="str">
        <f>+segmthSales!AT151</f>
        <v>4/1</v>
      </c>
      <c r="AU174" s="839"/>
      <c r="AV174" s="853">
        <v>-1</v>
      </c>
      <c r="AW174" s="839"/>
      <c r="AX174" s="852" t="str">
        <f>+segmthSales!AX151</f>
        <v>4/7</v>
      </c>
      <c r="AY174" s="839"/>
      <c r="AZ174" s="853">
        <v>-16</v>
      </c>
      <c r="BA174" s="839"/>
      <c r="BB174" s="852" t="str">
        <f>+segmthSales!BB151</f>
        <v>4/6</v>
      </c>
      <c r="BC174" s="839"/>
      <c r="BD174" s="851"/>
      <c r="BE174" s="839"/>
      <c r="BF174" s="854">
        <f>+segmthSales!BF151</f>
        <v>37716</v>
      </c>
      <c r="BG174" s="839"/>
      <c r="BH174" s="851"/>
      <c r="BI174" s="839"/>
      <c r="BJ174" s="854">
        <f>+segmthSales!BJ151</f>
        <v>38081</v>
      </c>
      <c r="BK174" s="839"/>
      <c r="BL174" s="851"/>
      <c r="BM174" s="839"/>
      <c r="BN174" s="854">
        <f>+segmthSales!BN151</f>
        <v>38444</v>
      </c>
      <c r="BO174" s="839"/>
      <c r="BP174" s="851"/>
      <c r="BQ174" s="839"/>
      <c r="BR174" s="854">
        <f>+segmthSales!BR151</f>
        <v>38443</v>
      </c>
      <c r="BS174" s="839"/>
      <c r="BT174" s="851"/>
      <c r="BU174" s="839"/>
      <c r="BV174" s="854">
        <f>+segmthSales!BV151</f>
        <v>39179</v>
      </c>
      <c r="BW174" s="839"/>
      <c r="BX174" s="851"/>
      <c r="BY174" s="839"/>
      <c r="BZ174" s="854"/>
      <c r="CA174" s="839"/>
      <c r="CB174" s="851"/>
      <c r="CC174" s="839"/>
      <c r="CD174" s="854"/>
      <c r="CE174" s="839"/>
      <c r="CF174" s="851"/>
      <c r="CG174" s="839"/>
      <c r="CH174" s="854"/>
      <c r="CI174" s="839"/>
      <c r="CJ174" s="851"/>
      <c r="CK174" s="839"/>
      <c r="CL174" s="854"/>
      <c r="CM174" s="839"/>
      <c r="CN174" s="851"/>
      <c r="CO174" s="839"/>
      <c r="CP174" s="854"/>
      <c r="CQ174" s="839"/>
      <c r="CR174" s="851"/>
      <c r="CS174" s="839"/>
      <c r="CT174" s="839"/>
      <c r="CU174" s="839"/>
      <c r="CV174" s="839"/>
      <c r="CW174" s="839"/>
      <c r="CX174" s="839"/>
      <c r="CY174" s="839"/>
      <c r="CZ174" s="839"/>
      <c r="DA174" s="839"/>
      <c r="DB174" s="839"/>
      <c r="DC174" s="839"/>
      <c r="DD174" s="839"/>
      <c r="DE174" s="839"/>
      <c r="DF174" s="839"/>
      <c r="DG174" s="839"/>
      <c r="DH174" s="839"/>
      <c r="DI174" s="839"/>
      <c r="DJ174" s="839"/>
      <c r="DK174" s="839"/>
      <c r="DL174" s="839"/>
      <c r="DM174" s="839"/>
      <c r="DN174" s="839"/>
      <c r="DO174" s="839"/>
      <c r="DP174" s="839"/>
      <c r="DQ174" s="839"/>
      <c r="DR174" s="839"/>
      <c r="DS174" s="839"/>
      <c r="DT174" s="839"/>
      <c r="DU174" s="839"/>
      <c r="DV174" s="839"/>
      <c r="DW174" s="839"/>
      <c r="DX174" s="839"/>
      <c r="DY174" s="839"/>
      <c r="DZ174" s="839"/>
      <c r="EA174" s="839"/>
      <c r="EB174" s="839"/>
      <c r="EC174" s="839"/>
      <c r="ED174" s="839"/>
      <c r="EE174" s="839"/>
      <c r="EF174" s="839"/>
      <c r="EG174" s="839"/>
      <c r="EH174" s="839"/>
      <c r="EI174" s="839"/>
      <c r="EJ174" s="839"/>
      <c r="EK174" s="839"/>
    </row>
    <row r="175" spans="1:141" hidden="1" outlineLevel="1">
      <c r="A175" s="840" t="s">
        <v>830</v>
      </c>
      <c r="B175" s="839"/>
      <c r="C175" s="839"/>
      <c r="D175" s="841">
        <v>4</v>
      </c>
      <c r="E175" s="839"/>
      <c r="F175" s="841"/>
      <c r="G175" s="839"/>
      <c r="H175" s="857"/>
      <c r="I175" s="839"/>
      <c r="J175" s="852" t="str">
        <f>+segmthSales!J152</f>
        <v>5/4</v>
      </c>
      <c r="K175" s="839"/>
      <c r="L175" s="857"/>
      <c r="M175" s="839"/>
      <c r="N175" s="852" t="str">
        <f>+segmthSales!N152</f>
        <v xml:space="preserve"> 5/2</v>
      </c>
      <c r="O175" s="839"/>
      <c r="P175" s="857"/>
      <c r="Q175" s="839"/>
      <c r="R175" s="852" t="str">
        <f>+segmthSales!R152</f>
        <v xml:space="preserve"> 5/1</v>
      </c>
      <c r="S175" s="839"/>
      <c r="T175" s="858">
        <v>5</v>
      </c>
      <c r="U175" s="839"/>
      <c r="V175" s="852" t="str">
        <f>+segmthSales!V152</f>
        <v>4/30</v>
      </c>
      <c r="W175" s="839"/>
      <c r="X175" s="858">
        <v>10</v>
      </c>
      <c r="Y175" s="839"/>
      <c r="Z175" s="852" t="str">
        <f>+segmthSales!Z152</f>
        <v>4/29</v>
      </c>
      <c r="AA175" s="839"/>
      <c r="AB175" s="858">
        <v>9</v>
      </c>
      <c r="AC175" s="839"/>
      <c r="AD175" s="852" t="str">
        <f>+segmthSales!AD152</f>
        <v>4/29</v>
      </c>
      <c r="AE175" s="839"/>
      <c r="AF175" s="858">
        <v>-7</v>
      </c>
      <c r="AG175" s="839"/>
      <c r="AH175" s="852" t="str">
        <f>+segmthSales!AH152</f>
        <v>5/3</v>
      </c>
      <c r="AI175" s="839"/>
      <c r="AJ175" s="858">
        <v>-13</v>
      </c>
      <c r="AK175" s="839"/>
      <c r="AL175" s="852" t="str">
        <f>+segmthSales!AL152</f>
        <v>5/2</v>
      </c>
      <c r="AM175" s="839"/>
      <c r="AN175" s="858">
        <v>17</v>
      </c>
      <c r="AO175" s="839"/>
      <c r="AP175" s="852" t="str">
        <f>+segmthSales!AP152</f>
        <v>5/1</v>
      </c>
      <c r="AQ175" s="839"/>
      <c r="AR175" s="858">
        <v>-15</v>
      </c>
      <c r="AS175" s="840"/>
      <c r="AT175" s="852" t="str">
        <f>+segmthSales!AT152</f>
        <v>4/29</v>
      </c>
      <c r="AU175" s="839"/>
      <c r="AV175" s="858">
        <v>5</v>
      </c>
      <c r="AW175" s="840"/>
      <c r="AX175" s="852" t="str">
        <f>+segmthSales!AX152</f>
        <v>5/5</v>
      </c>
      <c r="AY175" s="839"/>
      <c r="AZ175" s="858">
        <v>3</v>
      </c>
      <c r="BA175" s="840"/>
      <c r="BB175" s="852" t="str">
        <f>+segmthSales!BB152</f>
        <v>5/4</v>
      </c>
      <c r="BC175" s="839"/>
      <c r="BD175" s="857"/>
      <c r="BE175" s="840"/>
      <c r="BF175" s="854">
        <f>+segmthSales!BF152</f>
        <v>37744</v>
      </c>
      <c r="BG175" s="839"/>
      <c r="BH175" s="857"/>
      <c r="BI175" s="840"/>
      <c r="BJ175" s="854">
        <f>+segmthSales!BJ152</f>
        <v>38109</v>
      </c>
      <c r="BK175" s="839"/>
      <c r="BL175" s="857"/>
      <c r="BM175" s="840"/>
      <c r="BN175" s="854">
        <f>+segmthSales!BN152</f>
        <v>38472</v>
      </c>
      <c r="BO175" s="839"/>
      <c r="BP175" s="857"/>
      <c r="BQ175" s="840"/>
      <c r="BR175" s="854">
        <f>+segmthSales!BR152</f>
        <v>38471</v>
      </c>
      <c r="BS175" s="839"/>
      <c r="BT175" s="857"/>
      <c r="BU175" s="840"/>
      <c r="BV175" s="854">
        <f>+segmthSales!BV152</f>
        <v>39207</v>
      </c>
      <c r="BW175" s="839"/>
      <c r="BX175" s="857"/>
      <c r="BY175" s="840"/>
      <c r="BZ175" s="854"/>
      <c r="CA175" s="839"/>
      <c r="CB175" s="857"/>
      <c r="CC175" s="840"/>
      <c r="CD175" s="854"/>
      <c r="CE175" s="839"/>
      <c r="CF175" s="857"/>
      <c r="CG175" s="840"/>
      <c r="CH175" s="854"/>
      <c r="CI175" s="839"/>
      <c r="CJ175" s="857"/>
      <c r="CK175" s="840"/>
      <c r="CL175" s="854"/>
      <c r="CM175" s="839"/>
      <c r="CN175" s="857"/>
      <c r="CO175" s="840"/>
      <c r="CP175" s="854"/>
      <c r="CQ175" s="839"/>
      <c r="CR175" s="857"/>
      <c r="CS175" s="840"/>
      <c r="CT175" s="840"/>
      <c r="CU175" s="840"/>
      <c r="CV175" s="840"/>
      <c r="CW175" s="840"/>
      <c r="CX175" s="840"/>
      <c r="CY175" s="840"/>
      <c r="CZ175" s="840"/>
      <c r="DA175" s="840"/>
      <c r="DB175" s="840"/>
      <c r="DC175" s="840"/>
      <c r="DD175" s="840"/>
      <c r="DE175" s="840"/>
      <c r="DF175" s="840"/>
      <c r="DG175" s="840"/>
      <c r="DH175" s="840"/>
      <c r="DI175" s="840"/>
      <c r="DJ175" s="840"/>
      <c r="DK175" s="840"/>
      <c r="DL175" s="840"/>
      <c r="DM175" s="840"/>
      <c r="DN175" s="840"/>
      <c r="DO175" s="840"/>
      <c r="DP175" s="840"/>
      <c r="DQ175" s="840"/>
      <c r="DR175" s="840"/>
      <c r="DS175" s="840"/>
      <c r="DT175" s="840"/>
      <c r="DU175" s="840"/>
      <c r="DV175" s="840"/>
      <c r="DW175" s="840"/>
      <c r="DX175" s="839"/>
      <c r="DY175" s="839"/>
      <c r="DZ175" s="839"/>
      <c r="EA175" s="839"/>
      <c r="EB175" s="839"/>
      <c r="EC175" s="839"/>
      <c r="ED175" s="839"/>
      <c r="EE175" s="839"/>
      <c r="EF175" s="839"/>
      <c r="EG175" s="839"/>
      <c r="EH175" s="839"/>
      <c r="EI175" s="839"/>
      <c r="EJ175" s="839"/>
      <c r="EK175" s="839"/>
    </row>
    <row r="176" spans="1:141" hidden="1" outlineLevel="1">
      <c r="A176" s="861"/>
      <c r="B176" s="862" t="s">
        <v>921</v>
      </c>
      <c r="C176" s="861"/>
      <c r="D176" s="863"/>
      <c r="E176" s="861"/>
      <c r="F176" s="863"/>
      <c r="G176" s="861"/>
      <c r="H176" s="864"/>
      <c r="I176" s="861"/>
      <c r="J176" s="863"/>
      <c r="K176" s="861"/>
      <c r="L176" s="864"/>
      <c r="M176" s="861"/>
      <c r="N176" s="863"/>
      <c r="O176" s="861"/>
      <c r="P176" s="864"/>
      <c r="Q176" s="861"/>
      <c r="R176" s="863"/>
      <c r="S176" s="861"/>
      <c r="T176" s="866">
        <v>5</v>
      </c>
      <c r="U176" s="861"/>
      <c r="V176" s="863"/>
      <c r="W176" s="861"/>
      <c r="X176" s="866">
        <v>21</v>
      </c>
      <c r="Y176" s="861"/>
      <c r="Z176" s="863"/>
      <c r="AA176" s="861"/>
      <c r="AB176" s="866">
        <v>-4</v>
      </c>
      <c r="AC176" s="861"/>
      <c r="AD176" s="863"/>
      <c r="AE176" s="861"/>
      <c r="AF176" s="866">
        <v>5</v>
      </c>
      <c r="AG176" s="861"/>
      <c r="AH176" s="863"/>
      <c r="AI176" s="861"/>
      <c r="AJ176" s="866">
        <v>-2</v>
      </c>
      <c r="AK176" s="861"/>
      <c r="AL176" s="863"/>
      <c r="AM176" s="861"/>
      <c r="AN176" s="866">
        <v>-5</v>
      </c>
      <c r="AO176" s="861"/>
      <c r="AP176" s="863"/>
      <c r="AQ176" s="861"/>
      <c r="AR176" s="866">
        <v>3</v>
      </c>
      <c r="AS176" s="862"/>
      <c r="AT176" s="863"/>
      <c r="AU176" s="861"/>
      <c r="AV176" s="866">
        <v>-4</v>
      </c>
      <c r="AW176" s="862"/>
      <c r="AX176" s="863"/>
      <c r="AY176" s="861"/>
      <c r="AZ176" s="866">
        <v>-5</v>
      </c>
      <c r="BA176" s="862"/>
      <c r="BB176" s="863"/>
      <c r="BC176" s="861"/>
      <c r="BD176" s="864"/>
      <c r="BE176" s="862"/>
      <c r="BF176" s="867"/>
      <c r="BG176" s="861"/>
      <c r="BH176" s="864"/>
      <c r="BI176" s="862"/>
      <c r="BJ176" s="867"/>
      <c r="BK176" s="861"/>
      <c r="BL176" s="864"/>
      <c r="BM176" s="862"/>
      <c r="BN176" s="867"/>
      <c r="BO176" s="861"/>
      <c r="BP176" s="864"/>
      <c r="BQ176" s="862"/>
      <c r="BR176" s="867"/>
      <c r="BS176" s="861"/>
      <c r="BT176" s="864"/>
      <c r="BU176" s="862"/>
      <c r="BV176" s="867"/>
      <c r="BW176" s="861"/>
      <c r="BX176" s="864"/>
      <c r="BY176" s="862"/>
      <c r="BZ176" s="867"/>
      <c r="CA176" s="861"/>
      <c r="CB176" s="864"/>
      <c r="CC176" s="862"/>
      <c r="CD176" s="867"/>
      <c r="CE176" s="861"/>
      <c r="CF176" s="864"/>
      <c r="CG176" s="862"/>
      <c r="CH176" s="867"/>
      <c r="CI176" s="861"/>
      <c r="CJ176" s="864"/>
      <c r="CK176" s="862"/>
      <c r="CL176" s="867"/>
      <c r="CM176" s="861"/>
      <c r="CN176" s="864"/>
      <c r="CO176" s="862"/>
      <c r="CP176" s="867"/>
      <c r="CQ176" s="861"/>
      <c r="CR176" s="864"/>
      <c r="CS176" s="862"/>
      <c r="CT176" s="868"/>
      <c r="CU176" s="868"/>
      <c r="CV176" s="868"/>
      <c r="CW176" s="868"/>
      <c r="CX176" s="868"/>
      <c r="CY176" s="868"/>
      <c r="CZ176" s="868"/>
      <c r="DA176" s="868"/>
      <c r="DB176" s="868"/>
      <c r="DC176" s="868"/>
      <c r="DD176" s="868"/>
      <c r="DE176" s="868"/>
      <c r="DF176" s="868"/>
      <c r="DG176" s="868"/>
      <c r="DH176" s="868"/>
      <c r="DI176" s="868"/>
      <c r="DJ176" s="868"/>
      <c r="DK176" s="868"/>
      <c r="DL176" s="868"/>
      <c r="DM176" s="868"/>
      <c r="DN176" s="868"/>
      <c r="DO176" s="868"/>
      <c r="DP176" s="868"/>
      <c r="DQ176" s="868"/>
      <c r="DR176" s="868"/>
      <c r="DS176" s="868"/>
      <c r="DT176" s="868"/>
      <c r="DU176" s="868"/>
      <c r="DV176" s="868"/>
      <c r="DW176" s="868"/>
      <c r="DX176" s="839"/>
      <c r="DY176" s="839"/>
      <c r="DZ176" s="839"/>
      <c r="EA176" s="839"/>
      <c r="EB176" s="839"/>
      <c r="EC176" s="839"/>
      <c r="ED176" s="839"/>
      <c r="EE176" s="839"/>
      <c r="EF176" s="839"/>
      <c r="EG176" s="839"/>
      <c r="EH176" s="839"/>
      <c r="EI176" s="839"/>
      <c r="EJ176" s="839"/>
      <c r="EK176" s="839"/>
    </row>
    <row r="177" spans="1:141" hidden="1" outlineLevel="1">
      <c r="A177" s="871"/>
      <c r="B177" s="871"/>
      <c r="C177" s="871"/>
      <c r="D177" s="872"/>
      <c r="E177" s="871"/>
      <c r="F177" s="873"/>
      <c r="G177" s="871"/>
      <c r="H177" s="871"/>
      <c r="I177" s="871"/>
      <c r="J177" s="895"/>
      <c r="K177" s="871"/>
      <c r="L177" s="871"/>
      <c r="M177" s="871"/>
      <c r="N177" s="895"/>
      <c r="O177" s="871"/>
      <c r="P177" s="871"/>
      <c r="Q177" s="871"/>
      <c r="R177" s="895"/>
      <c r="S177" s="871"/>
      <c r="T177" s="872"/>
      <c r="U177" s="871"/>
      <c r="V177" s="895"/>
      <c r="W177" s="871"/>
      <c r="X177" s="872"/>
      <c r="Y177" s="871"/>
      <c r="Z177" s="895"/>
      <c r="AA177" s="871"/>
      <c r="AB177" s="872"/>
      <c r="AC177" s="871"/>
      <c r="AD177" s="895"/>
      <c r="AE177" s="871"/>
      <c r="AF177" s="872"/>
      <c r="AG177" s="871"/>
      <c r="AH177" s="895"/>
      <c r="AI177" s="871"/>
      <c r="AJ177" s="872"/>
      <c r="AK177" s="871"/>
      <c r="AL177" s="895"/>
      <c r="AM177" s="871"/>
      <c r="AN177" s="872"/>
      <c r="AO177" s="871"/>
      <c r="AP177" s="895"/>
      <c r="AQ177" s="871"/>
      <c r="AR177" s="872"/>
      <c r="AS177" s="871"/>
      <c r="AT177" s="895"/>
      <c r="AU177" s="871"/>
      <c r="AV177" s="872"/>
      <c r="AW177" s="871"/>
      <c r="AX177" s="895"/>
      <c r="AY177" s="871"/>
      <c r="AZ177" s="872"/>
      <c r="BA177" s="871"/>
      <c r="BB177" s="895"/>
      <c r="BC177" s="871"/>
      <c r="BD177" s="871"/>
      <c r="BE177" s="871"/>
      <c r="BF177" s="875"/>
      <c r="BG177" s="871"/>
      <c r="BH177" s="871"/>
      <c r="BI177" s="871"/>
      <c r="BJ177" s="875"/>
      <c r="BK177" s="871"/>
      <c r="BL177" s="871"/>
      <c r="BM177" s="871"/>
      <c r="BN177" s="875"/>
      <c r="BO177" s="871"/>
      <c r="BP177" s="871"/>
      <c r="BQ177" s="871"/>
      <c r="BR177" s="875"/>
      <c r="BS177" s="871"/>
      <c r="BT177" s="871"/>
      <c r="BU177" s="871"/>
      <c r="BV177" s="875"/>
      <c r="BW177" s="871"/>
      <c r="BX177" s="871"/>
      <c r="BY177" s="871"/>
      <c r="BZ177" s="875"/>
      <c r="CA177" s="871"/>
      <c r="CB177" s="871"/>
      <c r="CC177" s="871"/>
      <c r="CD177" s="875"/>
      <c r="CE177" s="871"/>
      <c r="CF177" s="871"/>
      <c r="CG177" s="871"/>
      <c r="CH177" s="875"/>
      <c r="CI177" s="871"/>
      <c r="CJ177" s="871"/>
      <c r="CK177" s="871"/>
      <c r="CL177" s="875"/>
      <c r="CM177" s="871"/>
      <c r="CN177" s="871"/>
      <c r="CO177" s="871"/>
      <c r="CP177" s="875"/>
      <c r="CQ177" s="871"/>
      <c r="CR177" s="871"/>
      <c r="CS177" s="871"/>
      <c r="CT177" s="876"/>
      <c r="CU177" s="876"/>
      <c r="CV177" s="876"/>
      <c r="CW177" s="876"/>
      <c r="CX177" s="876"/>
      <c r="CY177" s="876"/>
      <c r="CZ177" s="876"/>
      <c r="DA177" s="876"/>
      <c r="DB177" s="876"/>
      <c r="DC177" s="876"/>
      <c r="DD177" s="876"/>
      <c r="DE177" s="876"/>
      <c r="DF177" s="876"/>
      <c r="DG177" s="876"/>
      <c r="DH177" s="876"/>
      <c r="DI177" s="876"/>
      <c r="DJ177" s="876"/>
      <c r="DK177" s="876"/>
      <c r="DL177" s="876"/>
      <c r="DM177" s="876"/>
      <c r="DN177" s="876"/>
      <c r="DO177" s="876"/>
      <c r="DP177" s="876"/>
      <c r="DQ177" s="876"/>
      <c r="DR177" s="876"/>
      <c r="DS177" s="876"/>
      <c r="DT177" s="876"/>
      <c r="DU177" s="876"/>
      <c r="DV177" s="876"/>
      <c r="DW177" s="876"/>
      <c r="DX177" s="839"/>
      <c r="DY177" s="839"/>
      <c r="DZ177" s="839"/>
      <c r="EA177" s="839"/>
      <c r="EB177" s="839"/>
      <c r="EC177" s="839"/>
      <c r="ED177" s="839"/>
      <c r="EE177" s="839"/>
      <c r="EF177" s="839"/>
      <c r="EG177" s="839"/>
      <c r="EH177" s="839"/>
      <c r="EI177" s="839"/>
      <c r="EJ177" s="839"/>
      <c r="EK177" s="839"/>
    </row>
    <row r="178" spans="1:141" hidden="1" outlineLevel="1">
      <c r="A178" s="840" t="s">
        <v>831</v>
      </c>
      <c r="B178" s="839"/>
      <c r="C178" s="839"/>
      <c r="D178" s="877">
        <f>+D173</f>
        <v>4</v>
      </c>
      <c r="E178" s="839"/>
      <c r="F178" s="856"/>
      <c r="G178" s="839"/>
      <c r="H178" s="851"/>
      <c r="I178" s="839" t="s">
        <v>1084</v>
      </c>
      <c r="J178" s="852" t="str">
        <f>+segmthSales!J155</f>
        <v>6/1</v>
      </c>
      <c r="K178" s="839"/>
      <c r="L178" s="851"/>
      <c r="M178" s="839" t="s">
        <v>1084</v>
      </c>
      <c r="N178" s="852" t="str">
        <f>+segmthSales!N155</f>
        <v xml:space="preserve"> 5/30</v>
      </c>
      <c r="O178" s="839"/>
      <c r="P178" s="851"/>
      <c r="Q178" s="839" t="s">
        <v>1084</v>
      </c>
      <c r="R178" s="852" t="str">
        <f>+segmthSales!R155</f>
        <v xml:space="preserve"> 5/29</v>
      </c>
      <c r="S178" s="839"/>
      <c r="T178" s="853">
        <v>-1</v>
      </c>
      <c r="U178" s="839" t="s">
        <v>1084</v>
      </c>
      <c r="V178" s="852" t="str">
        <f>+segmthSales!V155</f>
        <v>5/28</v>
      </c>
      <c r="W178" s="839"/>
      <c r="X178" s="853">
        <v>10</v>
      </c>
      <c r="Y178" s="839" t="s">
        <v>1084</v>
      </c>
      <c r="Z178" s="852" t="str">
        <f>+segmthSales!Z155</f>
        <v>5/27</v>
      </c>
      <c r="AA178" s="839"/>
      <c r="AB178" s="853">
        <v>1</v>
      </c>
      <c r="AC178" s="839" t="s">
        <v>1084</v>
      </c>
      <c r="AD178" s="852" t="str">
        <f>+segmthSales!AD155</f>
        <v>6/1</v>
      </c>
      <c r="AE178" s="839"/>
      <c r="AF178" s="853">
        <v>2</v>
      </c>
      <c r="AG178" s="839" t="s">
        <v>1084</v>
      </c>
      <c r="AH178" s="852" t="str">
        <f>+segmthSales!AH155</f>
        <v>5/31</v>
      </c>
      <c r="AI178" s="839"/>
      <c r="AJ178" s="853">
        <v>-8</v>
      </c>
      <c r="AK178" s="839" t="s">
        <v>1084</v>
      </c>
      <c r="AL178" s="852" t="str">
        <f>+segmthSales!AL155</f>
        <v>5/30</v>
      </c>
      <c r="AM178" s="839"/>
      <c r="AN178" s="853">
        <v>-8</v>
      </c>
      <c r="AO178" s="839" t="s">
        <v>1084</v>
      </c>
      <c r="AP178" s="852" t="str">
        <f>+segmthSales!AP155</f>
        <v>5/29</v>
      </c>
      <c r="AQ178" s="839"/>
      <c r="AR178" s="853">
        <v>3</v>
      </c>
      <c r="AS178" s="839" t="s">
        <v>1084</v>
      </c>
      <c r="AT178" s="852" t="str">
        <f>+segmthSales!AT155</f>
        <v>5/27</v>
      </c>
      <c r="AU178" s="839"/>
      <c r="AV178" s="853">
        <v>-4</v>
      </c>
      <c r="AW178" s="839" t="s">
        <v>1084</v>
      </c>
      <c r="AX178" s="852" t="str">
        <f>+segmthSales!AX155</f>
        <v>6/2</v>
      </c>
      <c r="AY178" s="839"/>
      <c r="AZ178" s="853">
        <v>-12</v>
      </c>
      <c r="BA178" s="839" t="s">
        <v>1084</v>
      </c>
      <c r="BB178" s="852" t="str">
        <f>+segmthSales!BB155</f>
        <v>6/1</v>
      </c>
      <c r="BC178" s="839"/>
      <c r="BD178" s="904"/>
      <c r="BE178" s="839" t="s">
        <v>1084</v>
      </c>
      <c r="BF178" s="854">
        <f>+segmthSales!BF155</f>
        <v>37772</v>
      </c>
      <c r="BG178" s="839"/>
      <c r="BH178" s="904"/>
      <c r="BI178" s="839" t="s">
        <v>1084</v>
      </c>
      <c r="BJ178" s="854">
        <f>+segmthSales!BJ155</f>
        <v>38137</v>
      </c>
      <c r="BK178" s="839"/>
      <c r="BL178" s="904"/>
      <c r="BM178" s="839" t="s">
        <v>1084</v>
      </c>
      <c r="BN178" s="854">
        <f>+segmthSales!BN155</f>
        <v>38500</v>
      </c>
      <c r="BO178" s="839"/>
      <c r="BP178" s="904"/>
      <c r="BQ178" s="839" t="s">
        <v>1084</v>
      </c>
      <c r="BR178" s="854">
        <f>+segmthSales!BR155</f>
        <v>38499</v>
      </c>
      <c r="BS178" s="839"/>
      <c r="BT178" s="904"/>
      <c r="BU178" s="839" t="s">
        <v>1084</v>
      </c>
      <c r="BV178" s="854">
        <f>+segmthSales!BV155</f>
        <v>39235</v>
      </c>
      <c r="BW178" s="839"/>
      <c r="BX178" s="904"/>
      <c r="BY178" s="839" t="s">
        <v>1084</v>
      </c>
      <c r="BZ178" s="854"/>
      <c r="CA178" s="839"/>
      <c r="CB178" s="904"/>
      <c r="CC178" s="839"/>
      <c r="CD178" s="854"/>
      <c r="CE178" s="839"/>
      <c r="CF178" s="904"/>
      <c r="CG178" s="839"/>
      <c r="CH178" s="854"/>
      <c r="CI178" s="839"/>
      <c r="CJ178" s="904"/>
      <c r="CK178" s="839"/>
      <c r="CL178" s="854"/>
      <c r="CM178" s="839"/>
      <c r="CN178" s="904"/>
      <c r="CO178" s="839"/>
      <c r="CP178" s="854"/>
      <c r="CQ178" s="839"/>
      <c r="CR178" s="904"/>
      <c r="CS178" s="839"/>
      <c r="CT178" s="839"/>
      <c r="CU178" s="839"/>
      <c r="CV178" s="839"/>
      <c r="CW178" s="839"/>
      <c r="CX178" s="839"/>
      <c r="CY178" s="839"/>
      <c r="CZ178" s="839"/>
      <c r="DA178" s="839"/>
      <c r="DB178" s="839"/>
      <c r="DC178" s="839"/>
      <c r="DD178" s="839"/>
      <c r="DE178" s="839"/>
      <c r="DF178" s="839"/>
      <c r="DG178" s="839"/>
      <c r="DH178" s="839"/>
      <c r="DI178" s="839"/>
      <c r="DJ178" s="839"/>
      <c r="DK178" s="839"/>
      <c r="DL178" s="839"/>
      <c r="DM178" s="839"/>
      <c r="DN178" s="839"/>
      <c r="DO178" s="839"/>
      <c r="DP178" s="839"/>
      <c r="DQ178" s="839"/>
      <c r="DR178" s="839"/>
      <c r="DS178" s="839"/>
      <c r="DT178" s="839"/>
      <c r="DU178" s="839"/>
      <c r="DV178" s="839"/>
      <c r="DW178" s="839"/>
      <c r="DX178" s="839"/>
      <c r="DY178" s="839"/>
      <c r="DZ178" s="839"/>
      <c r="EA178" s="839"/>
      <c r="EB178" s="839"/>
      <c r="EC178" s="839"/>
      <c r="ED178" s="839"/>
      <c r="EE178" s="839"/>
      <c r="EF178" s="839"/>
      <c r="EG178" s="839"/>
      <c r="EH178" s="839"/>
      <c r="EI178" s="839"/>
      <c r="EJ178" s="839"/>
      <c r="EK178" s="839"/>
    </row>
    <row r="179" spans="1:141" hidden="1" outlineLevel="1">
      <c r="A179" s="840" t="s">
        <v>652</v>
      </c>
      <c r="B179" s="839"/>
      <c r="C179" s="839"/>
      <c r="D179" s="877">
        <f>+D174</f>
        <v>5</v>
      </c>
      <c r="E179" s="839"/>
      <c r="F179" s="841"/>
      <c r="G179" s="839"/>
      <c r="H179" s="851"/>
      <c r="I179" s="839"/>
      <c r="J179" s="852" t="str">
        <f>+segmthSales!J156</f>
        <v>7/6</v>
      </c>
      <c r="K179" s="839"/>
      <c r="L179" s="851"/>
      <c r="M179" s="839"/>
      <c r="N179" s="852" t="str">
        <f>+segmthSales!N156</f>
        <v xml:space="preserve"> 7/4</v>
      </c>
      <c r="O179" s="839"/>
      <c r="P179" s="851"/>
      <c r="Q179" s="839"/>
      <c r="R179" s="852" t="str">
        <f>+segmthSales!R156</f>
        <v xml:space="preserve"> 7/3</v>
      </c>
      <c r="S179" s="839"/>
      <c r="T179" s="853">
        <v>8</v>
      </c>
      <c r="U179" s="839"/>
      <c r="V179" s="852" t="str">
        <f>+segmthSales!V156</f>
        <v>7/2</v>
      </c>
      <c r="W179" s="839"/>
      <c r="X179" s="853">
        <v>9</v>
      </c>
      <c r="Y179" s="839"/>
      <c r="Z179" s="852" t="str">
        <f>+segmthSales!Z156</f>
        <v>7/1</v>
      </c>
      <c r="AA179" s="839"/>
      <c r="AB179" s="853">
        <v>1</v>
      </c>
      <c r="AC179" s="839"/>
      <c r="AD179" s="852" t="str">
        <f>+segmthSales!AD156</f>
        <v>7/6</v>
      </c>
      <c r="AE179" s="839"/>
      <c r="AF179" s="853">
        <v>9</v>
      </c>
      <c r="AG179" s="839"/>
      <c r="AH179" s="852" t="str">
        <f>+segmthSales!AH156</f>
        <v>7/5</v>
      </c>
      <c r="AI179" s="839"/>
      <c r="AJ179" s="853">
        <v>0</v>
      </c>
      <c r="AK179" s="839"/>
      <c r="AL179" s="852" t="str">
        <f>+segmthSales!AL156</f>
        <v>7/4</v>
      </c>
      <c r="AM179" s="839"/>
      <c r="AN179" s="853">
        <v>-17</v>
      </c>
      <c r="AO179" s="839"/>
      <c r="AP179" s="852" t="str">
        <f>+segmthSales!AP156</f>
        <v>7/3</v>
      </c>
      <c r="AQ179" s="839"/>
      <c r="AR179" s="853">
        <v>11</v>
      </c>
      <c r="AS179" s="839"/>
      <c r="AT179" s="852" t="str">
        <f>+segmthSales!AT156</f>
        <v>7/1</v>
      </c>
      <c r="AU179" s="839"/>
      <c r="AV179" s="853">
        <v>-6</v>
      </c>
      <c r="AW179" s="839"/>
      <c r="AX179" s="852" t="str">
        <f>+segmthSales!AX156</f>
        <v>7/7</v>
      </c>
      <c r="AY179" s="839"/>
      <c r="AZ179" s="853">
        <v>-8</v>
      </c>
      <c r="BA179" s="839"/>
      <c r="BB179" s="852" t="str">
        <f>+segmthSales!BB156</f>
        <v>7/6</v>
      </c>
      <c r="BC179" s="839"/>
      <c r="BD179" s="905"/>
      <c r="BE179" s="839"/>
      <c r="BF179" s="854">
        <f>+segmthSales!BF156</f>
        <v>37807</v>
      </c>
      <c r="BG179" s="839"/>
      <c r="BH179" s="905"/>
      <c r="BI179" s="839"/>
      <c r="BJ179" s="854">
        <f>+segmthSales!BJ156</f>
        <v>38172</v>
      </c>
      <c r="BK179" s="839"/>
      <c r="BL179" s="905"/>
      <c r="BM179" s="839"/>
      <c r="BN179" s="854">
        <f>+segmthSales!BN156</f>
        <v>38535</v>
      </c>
      <c r="BO179" s="839"/>
      <c r="BP179" s="905"/>
      <c r="BQ179" s="839"/>
      <c r="BR179" s="854">
        <f>+segmthSales!BR156</f>
        <v>38534</v>
      </c>
      <c r="BS179" s="839"/>
      <c r="BT179" s="905"/>
      <c r="BU179" s="839"/>
      <c r="BV179" s="854">
        <f>+segmthSales!BV156</f>
        <v>39270</v>
      </c>
      <c r="BW179" s="839"/>
      <c r="BX179" s="905"/>
      <c r="BY179" s="839"/>
      <c r="BZ179" s="854"/>
      <c r="CA179" s="839"/>
      <c r="CB179" s="905"/>
      <c r="CC179" s="839"/>
      <c r="CD179" s="854"/>
      <c r="CE179" s="839"/>
      <c r="CF179" s="905"/>
      <c r="CG179" s="839"/>
      <c r="CH179" s="854"/>
      <c r="CI179" s="839"/>
      <c r="CJ179" s="905"/>
      <c r="CK179" s="839"/>
      <c r="CL179" s="854"/>
      <c r="CM179" s="839"/>
      <c r="CN179" s="905"/>
      <c r="CO179" s="839"/>
      <c r="CP179" s="854"/>
      <c r="CQ179" s="839"/>
      <c r="CR179" s="905"/>
      <c r="CS179" s="839"/>
      <c r="CT179" s="839"/>
      <c r="CU179" s="839"/>
      <c r="CV179" s="839"/>
      <c r="CW179" s="839"/>
      <c r="CX179" s="839"/>
      <c r="CY179" s="839"/>
      <c r="CZ179" s="839"/>
      <c r="DA179" s="839"/>
      <c r="DB179" s="839"/>
      <c r="DC179" s="839"/>
      <c r="DD179" s="839"/>
      <c r="DE179" s="839"/>
      <c r="DF179" s="839"/>
      <c r="DG179" s="839"/>
      <c r="DH179" s="839"/>
      <c r="DI179" s="839"/>
      <c r="DJ179" s="839"/>
      <c r="DK179" s="839"/>
      <c r="DL179" s="839"/>
      <c r="DM179" s="839"/>
      <c r="DN179" s="839"/>
      <c r="DO179" s="839"/>
      <c r="DP179" s="839"/>
      <c r="DQ179" s="839"/>
      <c r="DR179" s="839"/>
      <c r="DS179" s="839"/>
      <c r="DT179" s="839"/>
      <c r="DU179" s="839"/>
      <c r="DV179" s="839"/>
      <c r="DW179" s="839"/>
      <c r="DX179" s="839"/>
      <c r="DY179" s="839"/>
      <c r="DZ179" s="839"/>
      <c r="EA179" s="839"/>
      <c r="EB179" s="839"/>
      <c r="EC179" s="839"/>
      <c r="ED179" s="839"/>
      <c r="EE179" s="839"/>
      <c r="EF179" s="839"/>
      <c r="EG179" s="839"/>
      <c r="EH179" s="839"/>
      <c r="EI179" s="839"/>
      <c r="EJ179" s="839"/>
      <c r="EK179" s="839"/>
    </row>
    <row r="180" spans="1:141" hidden="1" outlineLevel="1">
      <c r="A180" s="840" t="s">
        <v>653</v>
      </c>
      <c r="B180" s="839"/>
      <c r="C180" s="839"/>
      <c r="D180" s="877">
        <f>+D175</f>
        <v>4</v>
      </c>
      <c r="E180" s="839"/>
      <c r="F180" s="841"/>
      <c r="G180" s="839"/>
      <c r="H180" s="857"/>
      <c r="I180" s="839"/>
      <c r="J180" s="852" t="str">
        <f>+segmthSales!J157</f>
        <v>8/3</v>
      </c>
      <c r="K180" s="839"/>
      <c r="L180" s="857"/>
      <c r="M180" s="839"/>
      <c r="N180" s="852" t="str">
        <f>+segmthSales!N157</f>
        <v xml:space="preserve"> 8/1</v>
      </c>
      <c r="O180" s="839"/>
      <c r="P180" s="857"/>
      <c r="Q180" s="839"/>
      <c r="R180" s="852" t="str">
        <f>+segmthSales!R157</f>
        <v xml:space="preserve"> 7/31</v>
      </c>
      <c r="S180" s="839"/>
      <c r="T180" s="858">
        <v>6</v>
      </c>
      <c r="U180" s="839"/>
      <c r="V180" s="852" t="str">
        <f>+segmthSales!V157</f>
        <v>7/30</v>
      </c>
      <c r="W180" s="839"/>
      <c r="X180" s="858">
        <v>9</v>
      </c>
      <c r="Y180" s="839"/>
      <c r="Z180" s="852" t="str">
        <f>+segmthSales!Z157</f>
        <v>7/29</v>
      </c>
      <c r="AA180" s="839"/>
      <c r="AB180" s="858">
        <v>-17</v>
      </c>
      <c r="AC180" s="839"/>
      <c r="AD180" s="852" t="str">
        <f>+segmthSales!AD157</f>
        <v>8/3</v>
      </c>
      <c r="AE180" s="839"/>
      <c r="AF180" s="858">
        <v>6</v>
      </c>
      <c r="AG180" s="839"/>
      <c r="AH180" s="852" t="str">
        <f>+segmthSales!AH157</f>
        <v>8/2</v>
      </c>
      <c r="AI180" s="839"/>
      <c r="AJ180" s="858">
        <v>13</v>
      </c>
      <c r="AK180" s="839"/>
      <c r="AL180" s="852" t="str">
        <f>+segmthSales!AL157</f>
        <v>8/1</v>
      </c>
      <c r="AM180" s="839"/>
      <c r="AN180" s="858">
        <v>-17</v>
      </c>
      <c r="AO180" s="839"/>
      <c r="AP180" s="852" t="str">
        <f>+segmthSales!AP157</f>
        <v>7/31</v>
      </c>
      <c r="AQ180" s="839"/>
      <c r="AR180" s="858">
        <v>10</v>
      </c>
      <c r="AS180" s="839"/>
      <c r="AT180" s="852" t="str">
        <f>+segmthSales!AT157</f>
        <v>7/29</v>
      </c>
      <c r="AU180" s="839"/>
      <c r="AV180" s="858">
        <v>-4</v>
      </c>
      <c r="AW180" s="839"/>
      <c r="AX180" s="852" t="str">
        <f>+segmthSales!AX157</f>
        <v>8/4</v>
      </c>
      <c r="AY180" s="839"/>
      <c r="AZ180" s="858">
        <v>-11</v>
      </c>
      <c r="BA180" s="839"/>
      <c r="BB180" s="852" t="str">
        <f>+segmthSales!BB157</f>
        <v>8/3</v>
      </c>
      <c r="BC180" s="839"/>
      <c r="BD180" s="906"/>
      <c r="BE180" s="839"/>
      <c r="BF180" s="854">
        <f>+segmthSales!BF157</f>
        <v>37835</v>
      </c>
      <c r="BG180" s="839"/>
      <c r="BH180" s="906"/>
      <c r="BI180" s="839"/>
      <c r="BJ180" s="854">
        <f>+segmthSales!BJ157</f>
        <v>38200</v>
      </c>
      <c r="BK180" s="839"/>
      <c r="BL180" s="906"/>
      <c r="BM180" s="839"/>
      <c r="BN180" s="854">
        <f>+segmthSales!BN157</f>
        <v>38563</v>
      </c>
      <c r="BO180" s="839"/>
      <c r="BP180" s="906"/>
      <c r="BQ180" s="839"/>
      <c r="BR180" s="854">
        <f>+segmthSales!BR157</f>
        <v>38562</v>
      </c>
      <c r="BS180" s="839"/>
      <c r="BT180" s="906"/>
      <c r="BU180" s="839"/>
      <c r="BV180" s="854">
        <f>+segmthSales!BV157</f>
        <v>39298</v>
      </c>
      <c r="BW180" s="839"/>
      <c r="BX180" s="906"/>
      <c r="BY180" s="839"/>
      <c r="BZ180" s="854"/>
      <c r="CA180" s="839"/>
      <c r="CB180" s="906"/>
      <c r="CC180" s="839"/>
      <c r="CD180" s="854"/>
      <c r="CE180" s="839"/>
      <c r="CF180" s="906"/>
      <c r="CG180" s="839"/>
      <c r="CH180" s="854"/>
      <c r="CI180" s="839"/>
      <c r="CJ180" s="906"/>
      <c r="CK180" s="839"/>
      <c r="CL180" s="854"/>
      <c r="CM180" s="839"/>
      <c r="CN180" s="906"/>
      <c r="CO180" s="839"/>
      <c r="CP180" s="854"/>
      <c r="CQ180" s="839"/>
      <c r="CR180" s="906"/>
      <c r="CS180" s="839"/>
      <c r="CT180" s="839"/>
      <c r="CU180" s="839"/>
      <c r="CV180" s="839"/>
      <c r="CW180" s="839"/>
      <c r="CX180" s="839"/>
      <c r="CY180" s="839"/>
      <c r="CZ180" s="839"/>
      <c r="DA180" s="839"/>
      <c r="DB180" s="839"/>
      <c r="DC180" s="839"/>
      <c r="DD180" s="839"/>
      <c r="DE180" s="839"/>
      <c r="DF180" s="839"/>
      <c r="DG180" s="839"/>
      <c r="DH180" s="839"/>
      <c r="DI180" s="839"/>
      <c r="DJ180" s="839"/>
      <c r="DK180" s="839"/>
      <c r="DL180" s="839"/>
      <c r="DM180" s="839"/>
      <c r="DN180" s="839"/>
      <c r="DO180" s="839"/>
      <c r="DP180" s="839"/>
      <c r="DQ180" s="839"/>
      <c r="DR180" s="839"/>
      <c r="DS180" s="839"/>
      <c r="DT180" s="839"/>
      <c r="DU180" s="839"/>
      <c r="DV180" s="839"/>
      <c r="DW180" s="839"/>
      <c r="DX180" s="839"/>
      <c r="DY180" s="839"/>
      <c r="DZ180" s="839"/>
      <c r="EA180" s="839"/>
      <c r="EB180" s="839"/>
      <c r="EC180" s="839"/>
      <c r="ED180" s="839"/>
      <c r="EE180" s="839"/>
      <c r="EF180" s="839"/>
      <c r="EG180" s="839"/>
      <c r="EH180" s="839"/>
      <c r="EI180" s="839"/>
      <c r="EJ180" s="839"/>
      <c r="EK180" s="839"/>
    </row>
    <row r="181" spans="1:141" hidden="1" outlineLevel="1">
      <c r="A181" s="861"/>
      <c r="B181" s="862" t="s">
        <v>924</v>
      </c>
      <c r="C181" s="861"/>
      <c r="D181" s="863"/>
      <c r="E181" s="861"/>
      <c r="F181" s="863"/>
      <c r="G181" s="861"/>
      <c r="H181" s="864"/>
      <c r="I181" s="861"/>
      <c r="J181" s="863"/>
      <c r="K181" s="861"/>
      <c r="L181" s="864"/>
      <c r="M181" s="861"/>
      <c r="N181" s="863"/>
      <c r="O181" s="861"/>
      <c r="P181" s="864"/>
      <c r="Q181" s="861"/>
      <c r="R181" s="863"/>
      <c r="S181" s="861"/>
      <c r="T181" s="866">
        <v>7</v>
      </c>
      <c r="U181" s="861"/>
      <c r="V181" s="863"/>
      <c r="W181" s="861"/>
      <c r="X181" s="866">
        <v>9</v>
      </c>
      <c r="Y181" s="861"/>
      <c r="Z181" s="863"/>
      <c r="AA181" s="861"/>
      <c r="AB181" s="866">
        <v>-4</v>
      </c>
      <c r="AC181" s="861"/>
      <c r="AD181" s="863"/>
      <c r="AE181" s="861"/>
      <c r="AF181" s="866">
        <v>6</v>
      </c>
      <c r="AG181" s="861"/>
      <c r="AH181" s="863"/>
      <c r="AI181" s="861"/>
      <c r="AJ181" s="866">
        <v>1</v>
      </c>
      <c r="AK181" s="861"/>
      <c r="AL181" s="863"/>
      <c r="AM181" s="861"/>
      <c r="AN181" s="866">
        <v>-14</v>
      </c>
      <c r="AO181" s="861"/>
      <c r="AP181" s="863"/>
      <c r="AQ181" s="861"/>
      <c r="AR181" s="866">
        <v>8</v>
      </c>
      <c r="AS181" s="861"/>
      <c r="AT181" s="863"/>
      <c r="AU181" s="861"/>
      <c r="AV181" s="866">
        <v>-4</v>
      </c>
      <c r="AW181" s="861"/>
      <c r="AX181" s="863"/>
      <c r="AY181" s="861"/>
      <c r="AZ181" s="866">
        <v>-10</v>
      </c>
      <c r="BA181" s="861"/>
      <c r="BB181" s="863"/>
      <c r="BC181" s="861"/>
      <c r="BD181" s="864"/>
      <c r="BE181" s="861"/>
      <c r="BF181" s="867"/>
      <c r="BG181" s="861"/>
      <c r="BH181" s="864"/>
      <c r="BI181" s="861"/>
      <c r="BJ181" s="867"/>
      <c r="BK181" s="861"/>
      <c r="BL181" s="864"/>
      <c r="BM181" s="861"/>
      <c r="BN181" s="867"/>
      <c r="BO181" s="861"/>
      <c r="BP181" s="864"/>
      <c r="BQ181" s="861"/>
      <c r="BR181" s="867"/>
      <c r="BS181" s="861"/>
      <c r="BT181" s="864"/>
      <c r="BU181" s="861"/>
      <c r="BV181" s="867"/>
      <c r="BW181" s="861"/>
      <c r="BX181" s="864"/>
      <c r="BY181" s="861"/>
      <c r="BZ181" s="867"/>
      <c r="CA181" s="861"/>
      <c r="CB181" s="864"/>
      <c r="CC181" s="861"/>
      <c r="CD181" s="867"/>
      <c r="CE181" s="861"/>
      <c r="CF181" s="864"/>
      <c r="CG181" s="861"/>
      <c r="CH181" s="867"/>
      <c r="CI181" s="861"/>
      <c r="CJ181" s="864"/>
      <c r="CK181" s="861"/>
      <c r="CL181" s="867"/>
      <c r="CM181" s="861"/>
      <c r="CN181" s="864"/>
      <c r="CO181" s="861"/>
      <c r="CP181" s="867"/>
      <c r="CQ181" s="861"/>
      <c r="CR181" s="864"/>
      <c r="CS181" s="861"/>
      <c r="CT181" s="876"/>
      <c r="CU181" s="876"/>
      <c r="CV181" s="876"/>
      <c r="CW181" s="876"/>
      <c r="CX181" s="876"/>
      <c r="CY181" s="876"/>
      <c r="CZ181" s="876"/>
      <c r="DA181" s="876"/>
      <c r="DB181" s="876"/>
      <c r="DC181" s="876"/>
      <c r="DD181" s="876"/>
      <c r="DE181" s="876"/>
      <c r="DF181" s="876"/>
      <c r="DG181" s="876"/>
      <c r="DH181" s="876"/>
      <c r="DI181" s="876"/>
      <c r="DJ181" s="876"/>
      <c r="DK181" s="876"/>
      <c r="DL181" s="876"/>
      <c r="DM181" s="876"/>
      <c r="DN181" s="876"/>
      <c r="DO181" s="876"/>
      <c r="DP181" s="876"/>
      <c r="DQ181" s="876"/>
      <c r="DR181" s="876"/>
      <c r="DS181" s="876"/>
      <c r="DT181" s="876"/>
      <c r="DU181" s="876"/>
      <c r="DV181" s="876"/>
      <c r="DW181" s="876"/>
      <c r="DX181" s="839"/>
      <c r="DY181" s="839"/>
      <c r="DZ181" s="839"/>
      <c r="EA181" s="839"/>
      <c r="EB181" s="839"/>
      <c r="EC181" s="839"/>
      <c r="ED181" s="839"/>
      <c r="EE181" s="839"/>
      <c r="EF181" s="839"/>
      <c r="EG181" s="839"/>
      <c r="EH181" s="839"/>
      <c r="EI181" s="839"/>
      <c r="EJ181" s="839"/>
      <c r="EK181" s="839"/>
    </row>
    <row r="182" spans="1:141" hidden="1" outlineLevel="1">
      <c r="A182" s="839"/>
      <c r="B182" s="839"/>
      <c r="C182" s="839"/>
      <c r="D182" s="877"/>
      <c r="E182" s="839"/>
      <c r="F182" s="842"/>
      <c r="G182" s="839"/>
      <c r="H182" s="839"/>
      <c r="I182" s="839"/>
      <c r="J182" s="852"/>
      <c r="K182" s="839"/>
      <c r="L182" s="839"/>
      <c r="M182" s="839"/>
      <c r="N182" s="852"/>
      <c r="O182" s="839"/>
      <c r="P182" s="839"/>
      <c r="Q182" s="839"/>
      <c r="R182" s="852"/>
      <c r="S182" s="839"/>
      <c r="T182" s="877"/>
      <c r="U182" s="839"/>
      <c r="V182" s="852"/>
      <c r="W182" s="839"/>
      <c r="X182" s="877"/>
      <c r="Y182" s="839"/>
      <c r="Z182" s="852"/>
      <c r="AA182" s="839"/>
      <c r="AB182" s="877"/>
      <c r="AC182" s="839"/>
      <c r="AD182" s="852"/>
      <c r="AE182" s="839"/>
      <c r="AF182" s="877"/>
      <c r="AG182" s="839"/>
      <c r="AH182" s="852"/>
      <c r="AI182" s="839"/>
      <c r="AJ182" s="877"/>
      <c r="AK182" s="839"/>
      <c r="AL182" s="852"/>
      <c r="AM182" s="839"/>
      <c r="AN182" s="877"/>
      <c r="AO182" s="839"/>
      <c r="AP182" s="852"/>
      <c r="AQ182" s="839"/>
      <c r="AR182" s="877"/>
      <c r="AS182" s="839"/>
      <c r="AT182" s="852"/>
      <c r="AU182" s="839"/>
      <c r="AV182" s="877"/>
      <c r="AW182" s="839"/>
      <c r="AX182" s="852"/>
      <c r="AY182" s="839"/>
      <c r="AZ182" s="877"/>
      <c r="BA182" s="839"/>
      <c r="BB182" s="852"/>
      <c r="BC182" s="839"/>
      <c r="BD182" s="839"/>
      <c r="BE182" s="839"/>
      <c r="BF182" s="879"/>
      <c r="BG182" s="839"/>
      <c r="BH182" s="839"/>
      <c r="BI182" s="839"/>
      <c r="BJ182" s="879"/>
      <c r="BK182" s="839"/>
      <c r="BL182" s="839"/>
      <c r="BM182" s="839"/>
      <c r="BN182" s="879"/>
      <c r="BO182" s="839"/>
      <c r="BP182" s="839"/>
      <c r="BQ182" s="839"/>
      <c r="BR182" s="879"/>
      <c r="BS182" s="839"/>
      <c r="BT182" s="839"/>
      <c r="BU182" s="839"/>
      <c r="BV182" s="879"/>
      <c r="BW182" s="839"/>
      <c r="BX182" s="839"/>
      <c r="BY182" s="839"/>
      <c r="BZ182" s="879"/>
      <c r="CA182" s="839"/>
      <c r="CB182" s="839"/>
      <c r="CC182" s="839"/>
      <c r="CD182" s="879"/>
      <c r="CE182" s="839"/>
      <c r="CF182" s="839"/>
      <c r="CG182" s="839"/>
      <c r="CH182" s="879"/>
      <c r="CI182" s="839"/>
      <c r="CJ182" s="839"/>
      <c r="CK182" s="839"/>
      <c r="CL182" s="879"/>
      <c r="CM182" s="839"/>
      <c r="CN182" s="839"/>
      <c r="CO182" s="839"/>
      <c r="CP182" s="879"/>
      <c r="CQ182" s="839"/>
      <c r="CR182" s="839"/>
      <c r="CS182" s="839"/>
      <c r="CT182" s="839"/>
      <c r="CU182" s="839"/>
      <c r="CV182" s="839"/>
      <c r="CW182" s="839"/>
      <c r="CX182" s="839"/>
      <c r="CY182" s="839"/>
      <c r="CZ182" s="839"/>
      <c r="DA182" s="839"/>
      <c r="DB182" s="839"/>
      <c r="DC182" s="839"/>
      <c r="DD182" s="839"/>
      <c r="DE182" s="839"/>
      <c r="DF182" s="839"/>
      <c r="DG182" s="839"/>
      <c r="DH182" s="839"/>
      <c r="DI182" s="839"/>
      <c r="DJ182" s="839"/>
      <c r="DK182" s="839"/>
      <c r="DL182" s="839"/>
      <c r="DM182" s="839"/>
      <c r="DN182" s="839"/>
      <c r="DO182" s="839"/>
      <c r="DP182" s="839"/>
      <c r="DQ182" s="839"/>
      <c r="DR182" s="839"/>
      <c r="DS182" s="839"/>
      <c r="DT182" s="839"/>
      <c r="DU182" s="839"/>
      <c r="DV182" s="839"/>
      <c r="DW182" s="839"/>
      <c r="DX182" s="839"/>
      <c r="DY182" s="839"/>
      <c r="DZ182" s="839"/>
      <c r="EA182" s="839"/>
      <c r="EB182" s="839"/>
      <c r="EC182" s="839"/>
      <c r="ED182" s="839"/>
      <c r="EE182" s="839"/>
      <c r="EF182" s="839"/>
      <c r="EG182" s="839"/>
      <c r="EH182" s="839"/>
      <c r="EI182" s="839"/>
      <c r="EJ182" s="839"/>
      <c r="EK182" s="839"/>
    </row>
    <row r="183" spans="1:141" hidden="1" outlineLevel="1">
      <c r="A183" s="840" t="s">
        <v>654</v>
      </c>
      <c r="B183" s="840"/>
      <c r="C183" s="839"/>
      <c r="D183" s="877">
        <f>+D178</f>
        <v>4</v>
      </c>
      <c r="E183" s="839"/>
      <c r="F183" s="856"/>
      <c r="G183" s="839"/>
      <c r="H183" s="851"/>
      <c r="I183" s="839" t="s">
        <v>1084</v>
      </c>
      <c r="J183" s="852" t="str">
        <f>+segmthSales!J160</f>
        <v>8/31</v>
      </c>
      <c r="K183" s="839"/>
      <c r="L183" s="851"/>
      <c r="M183" s="839" t="s">
        <v>1084</v>
      </c>
      <c r="N183" s="852" t="str">
        <f>+segmthSales!N160</f>
        <v xml:space="preserve"> 8/29</v>
      </c>
      <c r="O183" s="839"/>
      <c r="P183" s="851"/>
      <c r="Q183" s="839" t="s">
        <v>1084</v>
      </c>
      <c r="R183" s="852" t="str">
        <f>+segmthSales!R160</f>
        <v xml:space="preserve"> 8/28</v>
      </c>
      <c r="S183" s="839"/>
      <c r="T183" s="853">
        <v>13</v>
      </c>
      <c r="U183" s="839" t="s">
        <v>1084</v>
      </c>
      <c r="V183" s="852" t="str">
        <f>+segmthSales!V160</f>
        <v>8/27</v>
      </c>
      <c r="W183" s="839"/>
      <c r="X183" s="853">
        <v>2</v>
      </c>
      <c r="Y183" s="839" t="s">
        <v>1084</v>
      </c>
      <c r="Z183" s="852" t="str">
        <f>+segmthSales!Z160</f>
        <v>8/31</v>
      </c>
      <c r="AA183" s="839"/>
      <c r="AB183" s="853">
        <v>-7</v>
      </c>
      <c r="AC183" s="839" t="s">
        <v>1084</v>
      </c>
      <c r="AD183" s="852" t="str">
        <f>+segmthSales!AD160</f>
        <v>8/31</v>
      </c>
      <c r="AE183" s="839"/>
      <c r="AF183" s="853">
        <v>3</v>
      </c>
      <c r="AG183" s="839" t="s">
        <v>1084</v>
      </c>
      <c r="AH183" s="852" t="str">
        <f>+segmthSales!AH160</f>
        <v>8/30</v>
      </c>
      <c r="AI183" s="839"/>
      <c r="AJ183" s="853">
        <v>-6</v>
      </c>
      <c r="AK183" s="839" t="s">
        <v>1084</v>
      </c>
      <c r="AL183" s="852" t="str">
        <f>+segmthSales!AL160</f>
        <v>8/29</v>
      </c>
      <c r="AM183" s="839"/>
      <c r="AN183" s="853">
        <v>17</v>
      </c>
      <c r="AO183" s="839" t="s">
        <v>1084</v>
      </c>
      <c r="AP183" s="852" t="str">
        <f>+segmthSales!AP160</f>
        <v>8/28</v>
      </c>
      <c r="AQ183" s="839"/>
      <c r="AR183" s="853">
        <v>8</v>
      </c>
      <c r="AS183" s="839" t="s">
        <v>1084</v>
      </c>
      <c r="AT183" s="852" t="str">
        <f>+segmthSales!AT160</f>
        <v>8/26</v>
      </c>
      <c r="AU183" s="839"/>
      <c r="AV183" s="853">
        <v>1</v>
      </c>
      <c r="AW183" s="839" t="s">
        <v>1084</v>
      </c>
      <c r="AX183" s="852" t="str">
        <f>+segmthSales!AX160</f>
        <v>9/1</v>
      </c>
      <c r="AY183" s="839"/>
      <c r="AZ183" s="853">
        <v>-9</v>
      </c>
      <c r="BA183" s="839" t="s">
        <v>1084</v>
      </c>
      <c r="BB183" s="852" t="str">
        <f>+segmthSales!BB160</f>
        <v>8/31</v>
      </c>
      <c r="BC183" s="839"/>
      <c r="BD183" s="904"/>
      <c r="BE183" s="839" t="s">
        <v>1084</v>
      </c>
      <c r="BF183" s="854">
        <f>+segmthSales!BF160</f>
        <v>37863</v>
      </c>
      <c r="BG183" s="839"/>
      <c r="BH183" s="904"/>
      <c r="BI183" s="839" t="s">
        <v>1084</v>
      </c>
      <c r="BJ183" s="854">
        <f>+segmthSales!BJ160</f>
        <v>38228</v>
      </c>
      <c r="BK183" s="839"/>
      <c r="BL183" s="904"/>
      <c r="BM183" s="839" t="s">
        <v>1084</v>
      </c>
      <c r="BN183" s="854">
        <f>+segmthSales!BN160</f>
        <v>38591</v>
      </c>
      <c r="BO183" s="839"/>
      <c r="BP183" s="904"/>
      <c r="BQ183" s="839" t="s">
        <v>1084</v>
      </c>
      <c r="BR183" s="854">
        <f>+segmthSales!BR160</f>
        <v>38590</v>
      </c>
      <c r="BS183" s="839"/>
      <c r="BT183" s="904"/>
      <c r="BU183" s="839" t="s">
        <v>1084</v>
      </c>
      <c r="BV183" s="854">
        <f>+segmthSales!BV160</f>
        <v>39326</v>
      </c>
      <c r="BW183" s="839"/>
      <c r="BX183" s="904"/>
      <c r="BY183" s="839" t="s">
        <v>1084</v>
      </c>
      <c r="BZ183" s="854"/>
      <c r="CA183" s="839"/>
      <c r="CB183" s="904"/>
      <c r="CC183" s="839"/>
      <c r="CD183" s="854"/>
      <c r="CE183" s="839"/>
      <c r="CF183" s="904"/>
      <c r="CG183" s="839"/>
      <c r="CH183" s="854"/>
      <c r="CI183" s="839"/>
      <c r="CJ183" s="904"/>
      <c r="CK183" s="839"/>
      <c r="CL183" s="854"/>
      <c r="CM183" s="839"/>
      <c r="CN183" s="904"/>
      <c r="CO183" s="839"/>
      <c r="CP183" s="854"/>
      <c r="CQ183" s="839"/>
      <c r="CR183" s="904"/>
      <c r="CS183" s="839"/>
      <c r="CT183" s="839"/>
      <c r="CU183" s="839"/>
      <c r="CV183" s="839"/>
      <c r="CW183" s="839"/>
      <c r="CX183" s="839"/>
      <c r="CY183" s="839"/>
      <c r="CZ183" s="839"/>
      <c r="DA183" s="839"/>
      <c r="DB183" s="839"/>
      <c r="DC183" s="839"/>
      <c r="DD183" s="839"/>
      <c r="DE183" s="839"/>
      <c r="DF183" s="839"/>
      <c r="DG183" s="839"/>
      <c r="DH183" s="839"/>
      <c r="DI183" s="839"/>
      <c r="DJ183" s="839"/>
      <c r="DK183" s="839"/>
      <c r="DL183" s="839"/>
      <c r="DM183" s="839"/>
      <c r="DN183" s="839"/>
      <c r="DO183" s="839"/>
      <c r="DP183" s="839"/>
      <c r="DQ183" s="839"/>
      <c r="DR183" s="839"/>
      <c r="DS183" s="839"/>
      <c r="DT183" s="839"/>
      <c r="DU183" s="839"/>
      <c r="DV183" s="839"/>
      <c r="DW183" s="839"/>
      <c r="DX183" s="839"/>
      <c r="DY183" s="839"/>
      <c r="DZ183" s="839"/>
      <c r="EA183" s="839"/>
      <c r="EB183" s="839"/>
      <c r="EC183" s="839"/>
      <c r="ED183" s="839"/>
      <c r="EE183" s="839"/>
      <c r="EF183" s="839"/>
      <c r="EG183" s="839"/>
      <c r="EH183" s="839"/>
      <c r="EI183" s="839"/>
      <c r="EJ183" s="839"/>
      <c r="EK183" s="839"/>
    </row>
    <row r="184" spans="1:141" hidden="1" outlineLevel="1">
      <c r="A184" s="840" t="s">
        <v>655</v>
      </c>
      <c r="B184" s="840"/>
      <c r="C184" s="839"/>
      <c r="D184" s="877">
        <f>+D179</f>
        <v>5</v>
      </c>
      <c r="E184" s="839"/>
      <c r="F184" s="841"/>
      <c r="G184" s="839"/>
      <c r="H184" s="851"/>
      <c r="I184" s="839"/>
      <c r="J184" s="852" t="str">
        <f>+segmthSales!J161</f>
        <v>10/5</v>
      </c>
      <c r="K184" s="839"/>
      <c r="L184" s="851"/>
      <c r="M184" s="839"/>
      <c r="N184" s="852" t="str">
        <f>+segmthSales!N161</f>
        <v>10/3</v>
      </c>
      <c r="O184" s="839"/>
      <c r="P184" s="851"/>
      <c r="Q184" s="839"/>
      <c r="R184" s="852" t="str">
        <f>+segmthSales!R161</f>
        <v>10/2</v>
      </c>
      <c r="S184" s="839"/>
      <c r="T184" s="853">
        <v>23</v>
      </c>
      <c r="U184" s="839"/>
      <c r="V184" s="852" t="str">
        <f>+segmthSales!V161</f>
        <v>10/1</v>
      </c>
      <c r="W184" s="839"/>
      <c r="X184" s="853">
        <v>1</v>
      </c>
      <c r="Y184" s="839"/>
      <c r="Z184" s="852" t="str">
        <f>+segmthSales!Z161</f>
        <v>9/30</v>
      </c>
      <c r="AA184" s="839"/>
      <c r="AB184" s="853">
        <v>-8</v>
      </c>
      <c r="AC184" s="839"/>
      <c r="AD184" s="852" t="str">
        <f>+segmthSales!AD161</f>
        <v>10/5</v>
      </c>
      <c r="AE184" s="839"/>
      <c r="AF184" s="853">
        <v>13</v>
      </c>
      <c r="AG184" s="839"/>
      <c r="AH184" s="852" t="str">
        <f>+segmthSales!AH161</f>
        <v>10/4</v>
      </c>
      <c r="AI184" s="839"/>
      <c r="AJ184" s="853">
        <v>-9</v>
      </c>
      <c r="AK184" s="839"/>
      <c r="AL184" s="852" t="str">
        <f>+segmthSales!AL161</f>
        <v>10/3</v>
      </c>
      <c r="AM184" s="839"/>
      <c r="AN184" s="853">
        <v>-7</v>
      </c>
      <c r="AO184" s="839"/>
      <c r="AP184" s="852" t="str">
        <f>+segmthSales!AP161</f>
        <v>10/2</v>
      </c>
      <c r="AQ184" s="839"/>
      <c r="AR184" s="853">
        <v>7</v>
      </c>
      <c r="AS184" s="839"/>
      <c r="AT184" s="852" t="str">
        <f>+segmthSales!AT161</f>
        <v>9/30</v>
      </c>
      <c r="AU184" s="839"/>
      <c r="AV184" s="853">
        <v>11</v>
      </c>
      <c r="AW184" s="839"/>
      <c r="AX184" s="852" t="str">
        <f>+segmthSales!AX161</f>
        <v>10/6</v>
      </c>
      <c r="AY184" s="839"/>
      <c r="AZ184" s="853">
        <v>-12</v>
      </c>
      <c r="BA184" s="839"/>
      <c r="BB184" s="852" t="str">
        <f>+segmthSales!BB161</f>
        <v>10/5</v>
      </c>
      <c r="BC184" s="839"/>
      <c r="BD184" s="905"/>
      <c r="BE184" s="839"/>
      <c r="BF184" s="854">
        <f>+segmthSales!BF161</f>
        <v>37898</v>
      </c>
      <c r="BG184" s="839"/>
      <c r="BH184" s="905"/>
      <c r="BI184" s="839"/>
      <c r="BJ184" s="854">
        <f>+segmthSales!BJ161</f>
        <v>38263</v>
      </c>
      <c r="BK184" s="839"/>
      <c r="BL184" s="905"/>
      <c r="BM184" s="839"/>
      <c r="BN184" s="854">
        <f>+segmthSales!BN161</f>
        <v>38626</v>
      </c>
      <c r="BO184" s="839"/>
      <c r="BP184" s="905"/>
      <c r="BQ184" s="839"/>
      <c r="BR184" s="854">
        <f>+segmthSales!BR161</f>
        <v>38625</v>
      </c>
      <c r="BS184" s="839"/>
      <c r="BT184" s="905"/>
      <c r="BU184" s="839"/>
      <c r="BV184" s="854">
        <f>+segmthSales!BV161</f>
        <v>39361</v>
      </c>
      <c r="BW184" s="839"/>
      <c r="BX184" s="905"/>
      <c r="BY184" s="839"/>
      <c r="BZ184" s="854"/>
      <c r="CA184" s="839"/>
      <c r="CB184" s="905"/>
      <c r="CC184" s="839"/>
      <c r="CD184" s="854"/>
      <c r="CE184" s="839"/>
      <c r="CF184" s="905"/>
      <c r="CG184" s="839"/>
      <c r="CH184" s="854"/>
      <c r="CI184" s="839"/>
      <c r="CJ184" s="905"/>
      <c r="CK184" s="839"/>
      <c r="CL184" s="854"/>
      <c r="CM184" s="839"/>
      <c r="CN184" s="905"/>
      <c r="CO184" s="839"/>
      <c r="CP184" s="854"/>
      <c r="CQ184" s="839"/>
      <c r="CR184" s="905"/>
      <c r="CS184" s="839"/>
      <c r="CT184" s="839"/>
      <c r="CU184" s="839"/>
      <c r="CV184" s="839"/>
      <c r="CW184" s="839"/>
      <c r="CX184" s="839"/>
      <c r="CY184" s="839"/>
      <c r="CZ184" s="839"/>
      <c r="DA184" s="839"/>
      <c r="DB184" s="839"/>
      <c r="DC184" s="839"/>
      <c r="DD184" s="839"/>
      <c r="DE184" s="839"/>
      <c r="DF184" s="839"/>
      <c r="DG184" s="839"/>
      <c r="DH184" s="839"/>
      <c r="DI184" s="839"/>
      <c r="DJ184" s="839"/>
      <c r="DK184" s="839"/>
      <c r="DL184" s="839"/>
      <c r="DM184" s="839"/>
      <c r="DN184" s="839"/>
      <c r="DO184" s="839"/>
      <c r="DP184" s="839"/>
      <c r="DQ184" s="839"/>
      <c r="DR184" s="839"/>
      <c r="DS184" s="839"/>
      <c r="DT184" s="839"/>
      <c r="DU184" s="839"/>
      <c r="DV184" s="839"/>
      <c r="DW184" s="839"/>
      <c r="DX184" s="839"/>
      <c r="DY184" s="839"/>
      <c r="DZ184" s="839"/>
      <c r="EA184" s="839"/>
      <c r="EB184" s="839"/>
      <c r="EC184" s="839"/>
      <c r="ED184" s="839"/>
      <c r="EE184" s="839"/>
      <c r="EF184" s="839"/>
      <c r="EG184" s="839"/>
      <c r="EH184" s="839"/>
      <c r="EI184" s="839"/>
      <c r="EJ184" s="839"/>
      <c r="EK184" s="839"/>
    </row>
    <row r="185" spans="1:141" hidden="1" outlineLevel="1">
      <c r="A185" s="840" t="s">
        <v>598</v>
      </c>
      <c r="B185" s="840"/>
      <c r="C185" s="839"/>
      <c r="D185" s="877">
        <f>+D180</f>
        <v>4</v>
      </c>
      <c r="E185" s="839"/>
      <c r="F185" s="841"/>
      <c r="G185" s="839"/>
      <c r="H185" s="857"/>
      <c r="I185" s="839"/>
      <c r="J185" s="852" t="str">
        <f>+segmthSales!J162</f>
        <v>11/2</v>
      </c>
      <c r="K185" s="839"/>
      <c r="L185" s="857"/>
      <c r="M185" s="839"/>
      <c r="N185" s="852" t="str">
        <f>+segmthSales!N162</f>
        <v>10/31</v>
      </c>
      <c r="O185" s="839"/>
      <c r="P185" s="857"/>
      <c r="Q185" s="839"/>
      <c r="R185" s="852" t="str">
        <f>+segmthSales!R162</f>
        <v>10/30</v>
      </c>
      <c r="S185" s="839"/>
      <c r="T185" s="858">
        <v>24</v>
      </c>
      <c r="U185" s="839"/>
      <c r="V185" s="852" t="str">
        <f>+segmthSales!V162</f>
        <v>10/29</v>
      </c>
      <c r="W185" s="839"/>
      <c r="X185" s="858">
        <v>10</v>
      </c>
      <c r="Y185" s="839"/>
      <c r="Z185" s="852" t="str">
        <f>+segmthSales!Z162</f>
        <v>10/28</v>
      </c>
      <c r="AA185" s="839"/>
      <c r="AB185" s="858">
        <v>-7</v>
      </c>
      <c r="AC185" s="839"/>
      <c r="AD185" s="852" t="str">
        <f>+segmthSales!AD162</f>
        <v>11/2</v>
      </c>
      <c r="AE185" s="839"/>
      <c r="AF185" s="858">
        <v>4</v>
      </c>
      <c r="AG185" s="839"/>
      <c r="AH185" s="852" t="str">
        <f>+segmthSales!AH162</f>
        <v>11/1</v>
      </c>
      <c r="AI185" s="839"/>
      <c r="AJ185" s="858">
        <v>-2</v>
      </c>
      <c r="AK185" s="839"/>
      <c r="AL185" s="852" t="str">
        <f>+segmthSales!AL162</f>
        <v>10/31</v>
      </c>
      <c r="AM185" s="839"/>
      <c r="AN185" s="858">
        <v>-14</v>
      </c>
      <c r="AO185" s="839"/>
      <c r="AP185" s="852" t="str">
        <f>+segmthSales!AP162</f>
        <v>10/30</v>
      </c>
      <c r="AQ185" s="839"/>
      <c r="AR185" s="858">
        <v>11</v>
      </c>
      <c r="AS185" s="839"/>
      <c r="AT185" s="852" t="str">
        <f>+segmthSales!AT162</f>
        <v>10/28</v>
      </c>
      <c r="AU185" s="839"/>
      <c r="AV185" s="858">
        <v>-8</v>
      </c>
      <c r="AW185" s="839"/>
      <c r="AX185" s="852" t="str">
        <f>+segmthSales!AX162</f>
        <v>11/3</v>
      </c>
      <c r="AY185" s="839"/>
      <c r="AZ185" s="858">
        <v>-9</v>
      </c>
      <c r="BA185" s="839"/>
      <c r="BB185" s="852" t="str">
        <f>+segmthSales!BB162</f>
        <v>11/2</v>
      </c>
      <c r="BC185" s="839"/>
      <c r="BD185" s="906"/>
      <c r="BE185" s="839"/>
      <c r="BF185" s="854">
        <f>+segmthSales!BF162</f>
        <v>37926</v>
      </c>
      <c r="BG185" s="839"/>
      <c r="BH185" s="906"/>
      <c r="BI185" s="839"/>
      <c r="BJ185" s="854">
        <f>+segmthSales!BJ162</f>
        <v>38291</v>
      </c>
      <c r="BK185" s="839"/>
      <c r="BL185" s="906"/>
      <c r="BM185" s="839"/>
      <c r="BN185" s="854">
        <f>+segmthSales!BN162</f>
        <v>38654</v>
      </c>
      <c r="BO185" s="839"/>
      <c r="BP185" s="906"/>
      <c r="BQ185" s="839"/>
      <c r="BR185" s="854">
        <f>+segmthSales!BR162</f>
        <v>38653</v>
      </c>
      <c r="BS185" s="839"/>
      <c r="BT185" s="906"/>
      <c r="BU185" s="839"/>
      <c r="BV185" s="854">
        <f>+segmthSales!BV162</f>
        <v>39389</v>
      </c>
      <c r="BW185" s="839"/>
      <c r="BX185" s="906"/>
      <c r="BY185" s="839"/>
      <c r="BZ185" s="854"/>
      <c r="CA185" s="839"/>
      <c r="CB185" s="906"/>
      <c r="CC185" s="839"/>
      <c r="CD185" s="854"/>
      <c r="CE185" s="839"/>
      <c r="CF185" s="906"/>
      <c r="CG185" s="839"/>
      <c r="CH185" s="854"/>
      <c r="CI185" s="839"/>
      <c r="CJ185" s="906"/>
      <c r="CK185" s="839"/>
      <c r="CL185" s="854"/>
      <c r="CM185" s="839"/>
      <c r="CN185" s="906"/>
      <c r="CO185" s="839"/>
      <c r="CP185" s="854"/>
      <c r="CQ185" s="839"/>
      <c r="CR185" s="906"/>
      <c r="CS185" s="839"/>
      <c r="CT185" s="839"/>
      <c r="CU185" s="839"/>
      <c r="CV185" s="839"/>
      <c r="CW185" s="839"/>
      <c r="CX185" s="839"/>
      <c r="CY185" s="839"/>
      <c r="CZ185" s="839"/>
      <c r="DA185" s="839"/>
      <c r="DB185" s="839"/>
      <c r="DC185" s="839"/>
      <c r="DD185" s="839"/>
      <c r="DE185" s="839"/>
      <c r="DF185" s="839"/>
      <c r="DG185" s="839"/>
      <c r="DH185" s="839"/>
      <c r="DI185" s="839"/>
      <c r="DJ185" s="839"/>
      <c r="DK185" s="839"/>
      <c r="DL185" s="839"/>
      <c r="DM185" s="839"/>
      <c r="DN185" s="839"/>
      <c r="DO185" s="839"/>
      <c r="DP185" s="839"/>
      <c r="DQ185" s="839"/>
      <c r="DR185" s="839"/>
      <c r="DS185" s="839"/>
      <c r="DT185" s="839"/>
      <c r="DU185" s="839"/>
      <c r="DV185" s="839"/>
      <c r="DW185" s="839"/>
      <c r="DX185" s="839"/>
      <c r="DY185" s="839"/>
      <c r="DZ185" s="839"/>
      <c r="EA185" s="839"/>
      <c r="EB185" s="839"/>
      <c r="EC185" s="839"/>
      <c r="ED185" s="839"/>
      <c r="EE185" s="839"/>
      <c r="EF185" s="839"/>
      <c r="EG185" s="839"/>
      <c r="EH185" s="839"/>
      <c r="EI185" s="839"/>
      <c r="EJ185" s="839"/>
      <c r="EK185" s="839"/>
    </row>
    <row r="186" spans="1:141" hidden="1" outlineLevel="1">
      <c r="A186" s="862"/>
      <c r="B186" s="862" t="s">
        <v>925</v>
      </c>
      <c r="C186" s="861"/>
      <c r="D186" s="863"/>
      <c r="E186" s="861"/>
      <c r="F186" s="863"/>
      <c r="G186" s="861"/>
      <c r="H186" s="864"/>
      <c r="I186" s="861"/>
      <c r="J186" s="863"/>
      <c r="K186" s="861"/>
      <c r="L186" s="864"/>
      <c r="M186" s="861"/>
      <c r="N186" s="863"/>
      <c r="O186" s="861"/>
      <c r="P186" s="864"/>
      <c r="Q186" s="861"/>
      <c r="R186" s="863"/>
      <c r="S186" s="861"/>
      <c r="T186" s="866">
        <v>20</v>
      </c>
      <c r="U186" s="861"/>
      <c r="V186" s="863"/>
      <c r="W186" s="861"/>
      <c r="X186" s="866">
        <v>4</v>
      </c>
      <c r="Y186" s="861"/>
      <c r="Z186" s="863"/>
      <c r="AA186" s="861"/>
      <c r="AB186" s="866">
        <v>-7</v>
      </c>
      <c r="AC186" s="861"/>
      <c r="AD186" s="863"/>
      <c r="AE186" s="861"/>
      <c r="AF186" s="866">
        <v>7</v>
      </c>
      <c r="AG186" s="861"/>
      <c r="AH186" s="863"/>
      <c r="AI186" s="861"/>
      <c r="AJ186" s="866">
        <v>-6</v>
      </c>
      <c r="AK186" s="861"/>
      <c r="AL186" s="863"/>
      <c r="AM186" s="861"/>
      <c r="AN186" s="866">
        <v>-2</v>
      </c>
      <c r="AO186" s="861"/>
      <c r="AP186" s="863"/>
      <c r="AQ186" s="861"/>
      <c r="AR186" s="866">
        <v>8</v>
      </c>
      <c r="AS186" s="861"/>
      <c r="AT186" s="863"/>
      <c r="AU186" s="861"/>
      <c r="AV186" s="866">
        <v>2</v>
      </c>
      <c r="AW186" s="861"/>
      <c r="AX186" s="863"/>
      <c r="AY186" s="861"/>
      <c r="AZ186" s="866">
        <v>-10</v>
      </c>
      <c r="BA186" s="861"/>
      <c r="BB186" s="863"/>
      <c r="BC186" s="861"/>
      <c r="BD186" s="864"/>
      <c r="BE186" s="861"/>
      <c r="BF186" s="867"/>
      <c r="BG186" s="861"/>
      <c r="BH186" s="864"/>
      <c r="BI186" s="861"/>
      <c r="BJ186" s="867"/>
      <c r="BK186" s="861"/>
      <c r="BL186" s="864"/>
      <c r="BM186" s="861"/>
      <c r="BN186" s="867"/>
      <c r="BO186" s="861"/>
      <c r="BP186" s="864"/>
      <c r="BQ186" s="861"/>
      <c r="BR186" s="867"/>
      <c r="BS186" s="861"/>
      <c r="BT186" s="864"/>
      <c r="BU186" s="861"/>
      <c r="BV186" s="867"/>
      <c r="BW186" s="861"/>
      <c r="BX186" s="864"/>
      <c r="BY186" s="861"/>
      <c r="BZ186" s="867"/>
      <c r="CA186" s="861"/>
      <c r="CB186" s="864"/>
      <c r="CC186" s="861"/>
      <c r="CD186" s="867"/>
      <c r="CE186" s="861"/>
      <c r="CF186" s="864"/>
      <c r="CG186" s="861"/>
      <c r="CH186" s="867"/>
      <c r="CI186" s="861"/>
      <c r="CJ186" s="864"/>
      <c r="CK186" s="861"/>
      <c r="CL186" s="867"/>
      <c r="CM186" s="861"/>
      <c r="CN186" s="864"/>
      <c r="CO186" s="861"/>
      <c r="CP186" s="867"/>
      <c r="CQ186" s="861"/>
      <c r="CR186" s="864"/>
      <c r="CS186" s="861"/>
      <c r="CT186" s="876"/>
      <c r="CU186" s="876"/>
      <c r="CV186" s="876"/>
      <c r="CW186" s="876"/>
      <c r="CX186" s="876"/>
      <c r="CY186" s="876"/>
      <c r="CZ186" s="876"/>
      <c r="DA186" s="876"/>
      <c r="DB186" s="876"/>
      <c r="DC186" s="876"/>
      <c r="DD186" s="876"/>
      <c r="DE186" s="876"/>
      <c r="DF186" s="876"/>
      <c r="DG186" s="876"/>
      <c r="DH186" s="876"/>
      <c r="DI186" s="876"/>
      <c r="DJ186" s="876"/>
      <c r="DK186" s="876"/>
      <c r="DL186" s="876"/>
      <c r="DM186" s="876"/>
      <c r="DN186" s="876"/>
      <c r="DO186" s="876"/>
      <c r="DP186" s="876"/>
      <c r="DQ186" s="876"/>
      <c r="DR186" s="876"/>
      <c r="DS186" s="876"/>
      <c r="DT186" s="876"/>
      <c r="DU186" s="876"/>
      <c r="DV186" s="876"/>
      <c r="DW186" s="876"/>
      <c r="DX186" s="839"/>
      <c r="DY186" s="839"/>
      <c r="DZ186" s="839"/>
      <c r="EA186" s="839"/>
      <c r="EB186" s="839"/>
      <c r="EC186" s="839"/>
      <c r="ED186" s="839"/>
      <c r="EE186" s="839"/>
      <c r="EF186" s="839"/>
      <c r="EG186" s="839"/>
      <c r="EH186" s="839"/>
      <c r="EI186" s="839"/>
      <c r="EJ186" s="839"/>
      <c r="EK186" s="839"/>
    </row>
    <row r="187" spans="1:141" hidden="1" outlineLevel="1">
      <c r="A187" s="839"/>
      <c r="B187" s="839"/>
      <c r="C187" s="839"/>
      <c r="D187" s="877"/>
      <c r="E187" s="839"/>
      <c r="F187" s="877"/>
      <c r="G187" s="839"/>
      <c r="H187" s="839"/>
      <c r="I187" s="839"/>
      <c r="J187" s="877"/>
      <c r="K187" s="839"/>
      <c r="L187" s="839"/>
      <c r="M187" s="839"/>
      <c r="N187" s="877"/>
      <c r="O187" s="839"/>
      <c r="P187" s="839"/>
      <c r="Q187" s="839"/>
      <c r="R187" s="877"/>
      <c r="S187" s="839"/>
      <c r="T187" s="877"/>
      <c r="U187" s="839"/>
      <c r="V187" s="877"/>
      <c r="W187" s="839"/>
      <c r="X187" s="877"/>
      <c r="Y187" s="839"/>
      <c r="Z187" s="877"/>
      <c r="AA187" s="839"/>
      <c r="AB187" s="877"/>
      <c r="AC187" s="839"/>
      <c r="AD187" s="877"/>
      <c r="AE187" s="839"/>
      <c r="AF187" s="877"/>
      <c r="AG187" s="839"/>
      <c r="AH187" s="877"/>
      <c r="AI187" s="839"/>
      <c r="AJ187" s="877"/>
      <c r="AK187" s="839"/>
      <c r="AL187" s="877"/>
      <c r="AM187" s="839"/>
      <c r="AN187" s="877"/>
      <c r="AO187" s="839"/>
      <c r="AP187" s="877"/>
      <c r="AQ187" s="839"/>
      <c r="AR187" s="877"/>
      <c r="AS187" s="839"/>
      <c r="AT187" s="877"/>
      <c r="AU187" s="839"/>
      <c r="AV187" s="877"/>
      <c r="AW187" s="839"/>
      <c r="AX187" s="877"/>
      <c r="AY187" s="839"/>
      <c r="AZ187" s="877"/>
      <c r="BA187" s="839"/>
      <c r="BB187" s="877"/>
      <c r="BC187" s="839"/>
      <c r="BD187" s="839"/>
      <c r="BE187" s="839"/>
      <c r="BF187" s="879"/>
      <c r="BG187" s="839"/>
      <c r="BH187" s="839"/>
      <c r="BI187" s="839"/>
      <c r="BJ187" s="879"/>
      <c r="BK187" s="839"/>
      <c r="BL187" s="839"/>
      <c r="BM187" s="839"/>
      <c r="BN187" s="879"/>
      <c r="BO187" s="839"/>
      <c r="BP187" s="839"/>
      <c r="BQ187" s="839"/>
      <c r="BR187" s="879"/>
      <c r="BS187" s="839"/>
      <c r="BT187" s="839"/>
      <c r="BU187" s="839"/>
      <c r="BV187" s="879"/>
      <c r="BW187" s="839"/>
      <c r="BX187" s="839"/>
      <c r="BY187" s="839"/>
      <c r="BZ187" s="879"/>
      <c r="CA187" s="839"/>
      <c r="CB187" s="839"/>
      <c r="CC187" s="839"/>
      <c r="CD187" s="879"/>
      <c r="CE187" s="839"/>
      <c r="CF187" s="839"/>
      <c r="CG187" s="839"/>
      <c r="CH187" s="879"/>
      <c r="CI187" s="839"/>
      <c r="CJ187" s="839"/>
      <c r="CK187" s="839"/>
      <c r="CL187" s="879"/>
      <c r="CM187" s="839"/>
      <c r="CN187" s="839"/>
      <c r="CO187" s="839"/>
      <c r="CP187" s="879"/>
      <c r="CQ187" s="839"/>
      <c r="CR187" s="839"/>
      <c r="CS187" s="839"/>
      <c r="CT187" s="839"/>
      <c r="CU187" s="839"/>
      <c r="CV187" s="839"/>
      <c r="CW187" s="839"/>
      <c r="CX187" s="839"/>
      <c r="CY187" s="839"/>
      <c r="CZ187" s="839"/>
      <c r="DA187" s="839"/>
      <c r="DB187" s="839"/>
      <c r="DC187" s="839"/>
      <c r="DD187" s="839"/>
      <c r="DE187" s="839"/>
      <c r="DF187" s="839"/>
      <c r="DG187" s="839"/>
      <c r="DH187" s="839"/>
      <c r="DI187" s="839"/>
      <c r="DJ187" s="839"/>
      <c r="DK187" s="839"/>
      <c r="DL187" s="839"/>
      <c r="DM187" s="839"/>
      <c r="DN187" s="839"/>
      <c r="DO187" s="839"/>
      <c r="DP187" s="839"/>
      <c r="DQ187" s="839"/>
      <c r="DR187" s="839"/>
      <c r="DS187" s="839"/>
      <c r="DT187" s="839"/>
      <c r="DU187" s="839"/>
      <c r="DV187" s="839"/>
      <c r="DW187" s="839"/>
      <c r="DX187" s="839"/>
      <c r="DY187" s="839"/>
      <c r="DZ187" s="839"/>
      <c r="EA187" s="839"/>
      <c r="EB187" s="839"/>
      <c r="EC187" s="839"/>
      <c r="ED187" s="839"/>
      <c r="EE187" s="839"/>
      <c r="EF187" s="839"/>
      <c r="EG187" s="839"/>
      <c r="EH187" s="839"/>
      <c r="EI187" s="839"/>
      <c r="EJ187" s="839"/>
      <c r="EK187" s="839"/>
    </row>
    <row r="188" spans="1:141" hidden="1" outlineLevel="1">
      <c r="A188" s="840" t="s">
        <v>599</v>
      </c>
      <c r="B188" s="840"/>
      <c r="C188" s="839"/>
      <c r="D188" s="877">
        <f>+D183</f>
        <v>4</v>
      </c>
      <c r="E188" s="839"/>
      <c r="F188" s="856"/>
      <c r="G188" s="839"/>
      <c r="H188" s="851"/>
      <c r="I188" s="839" t="s">
        <v>1084</v>
      </c>
      <c r="J188" s="852" t="str">
        <f>+segmthSales!J165</f>
        <v>11/30</v>
      </c>
      <c r="K188" s="839"/>
      <c r="L188" s="851"/>
      <c r="M188" s="839" t="s">
        <v>1084</v>
      </c>
      <c r="N188" s="852" t="str">
        <f>+segmthSales!N165</f>
        <v>11/28</v>
      </c>
      <c r="O188" s="839"/>
      <c r="P188" s="851"/>
      <c r="Q188" s="839" t="s">
        <v>1084</v>
      </c>
      <c r="R188" s="852" t="str">
        <f>+segmthSales!R165</f>
        <v>11/27</v>
      </c>
      <c r="S188" s="839"/>
      <c r="T188" s="853">
        <v>18</v>
      </c>
      <c r="U188" s="839" t="s">
        <v>1084</v>
      </c>
      <c r="V188" s="852" t="str">
        <f>+segmthSales!V165</f>
        <v>11/26</v>
      </c>
      <c r="W188" s="839"/>
      <c r="X188" s="853">
        <v>3</v>
      </c>
      <c r="Y188" s="839" t="s">
        <v>1084</v>
      </c>
      <c r="Z188" s="852" t="str">
        <f>+segmthSales!Z165</f>
        <v>11/25</v>
      </c>
      <c r="AA188" s="839"/>
      <c r="AB188" s="853">
        <v>-8</v>
      </c>
      <c r="AC188" s="839" t="s">
        <v>1084</v>
      </c>
      <c r="AD188" s="852" t="str">
        <f>+segmthSales!AD165</f>
        <v>11/30</v>
      </c>
      <c r="AE188" s="839"/>
      <c r="AF188" s="853">
        <v>-17</v>
      </c>
      <c r="AG188" s="839" t="s">
        <v>1084</v>
      </c>
      <c r="AH188" s="852" t="str">
        <f>+segmthSales!AH165</f>
        <v>11/29</v>
      </c>
      <c r="AI188" s="839"/>
      <c r="AJ188" s="853">
        <v>-10</v>
      </c>
      <c r="AK188" s="839" t="s">
        <v>1084</v>
      </c>
      <c r="AL188" s="852" t="str">
        <f>+segmthSales!AL165</f>
        <v>12/2</v>
      </c>
      <c r="AM188" s="839"/>
      <c r="AN188" s="853">
        <v>4</v>
      </c>
      <c r="AO188" s="839" t="s">
        <v>1084</v>
      </c>
      <c r="AP188" s="852" t="str">
        <f>+segmthSales!AP165</f>
        <v>11/27</v>
      </c>
      <c r="AQ188" s="839"/>
      <c r="AR188" s="853">
        <v>5</v>
      </c>
      <c r="AS188" s="839" t="s">
        <v>1084</v>
      </c>
      <c r="AT188" s="852" t="str">
        <f>+segmthSales!AT165</f>
        <v>11/25</v>
      </c>
      <c r="AU188" s="839"/>
      <c r="AV188" s="853">
        <v>0</v>
      </c>
      <c r="AW188" s="839" t="s">
        <v>1084</v>
      </c>
      <c r="AX188" s="852" t="str">
        <f>+segmthSales!AX165</f>
        <v>12/1</v>
      </c>
      <c r="AY188" s="839"/>
      <c r="AZ188" s="853">
        <v>-15</v>
      </c>
      <c r="BA188" s="839" t="s">
        <v>1084</v>
      </c>
      <c r="BB188" s="852" t="str">
        <f>+segmthSales!BB165</f>
        <v>11/30</v>
      </c>
      <c r="BC188" s="839"/>
      <c r="BD188" s="904"/>
      <c r="BE188" s="839" t="s">
        <v>1084</v>
      </c>
      <c r="BF188" s="854">
        <f>+segmthSales!BF165</f>
        <v>37954</v>
      </c>
      <c r="BG188" s="839"/>
      <c r="BH188" s="904"/>
      <c r="BI188" s="839" t="s">
        <v>1084</v>
      </c>
      <c r="BJ188" s="854">
        <f>+segmthSales!BJ165</f>
        <v>38319</v>
      </c>
      <c r="BK188" s="839"/>
      <c r="BL188" s="904"/>
      <c r="BM188" s="839" t="s">
        <v>1084</v>
      </c>
      <c r="BN188" s="854">
        <f>+segmthSales!BN165</f>
        <v>38682</v>
      </c>
      <c r="BO188" s="839"/>
      <c r="BP188" s="904"/>
      <c r="BQ188" s="839" t="s">
        <v>1084</v>
      </c>
      <c r="BR188" s="854">
        <f>+segmthSales!BR165</f>
        <v>38681</v>
      </c>
      <c r="BS188" s="839"/>
      <c r="BT188" s="904"/>
      <c r="BU188" s="839" t="s">
        <v>1084</v>
      </c>
      <c r="BV188" s="854">
        <f>+segmthSales!BV165</f>
        <v>39417</v>
      </c>
      <c r="BW188" s="839"/>
      <c r="BX188" s="904"/>
      <c r="BY188" s="839" t="s">
        <v>1084</v>
      </c>
      <c r="BZ188" s="854"/>
      <c r="CA188" s="839"/>
      <c r="CB188" s="904"/>
      <c r="CC188" s="839"/>
      <c r="CD188" s="854"/>
      <c r="CE188" s="839"/>
      <c r="CF188" s="904"/>
      <c r="CG188" s="839"/>
      <c r="CH188" s="854"/>
      <c r="CI188" s="839"/>
      <c r="CJ188" s="904"/>
      <c r="CK188" s="839"/>
      <c r="CL188" s="854"/>
      <c r="CM188" s="839"/>
      <c r="CN188" s="904"/>
      <c r="CO188" s="839"/>
      <c r="CP188" s="854"/>
      <c r="CQ188" s="839"/>
      <c r="CR188" s="904"/>
      <c r="CS188" s="839"/>
      <c r="CT188" s="839"/>
      <c r="CU188" s="839"/>
      <c r="CV188" s="839"/>
      <c r="CW188" s="839"/>
      <c r="CX188" s="839"/>
      <c r="CY188" s="839"/>
      <c r="CZ188" s="839"/>
      <c r="DA188" s="839"/>
      <c r="DB188" s="839"/>
      <c r="DC188" s="839"/>
      <c r="DD188" s="839"/>
      <c r="DE188" s="839"/>
      <c r="DF188" s="839"/>
      <c r="DG188" s="839"/>
      <c r="DH188" s="839"/>
      <c r="DI188" s="839"/>
      <c r="DJ188" s="839"/>
      <c r="DK188" s="839"/>
      <c r="DL188" s="839"/>
      <c r="DM188" s="839"/>
      <c r="DN188" s="839"/>
      <c r="DO188" s="839"/>
      <c r="DP188" s="839"/>
      <c r="DQ188" s="839"/>
      <c r="DR188" s="839"/>
      <c r="DS188" s="839"/>
      <c r="DT188" s="839"/>
      <c r="DU188" s="839"/>
      <c r="DV188" s="839"/>
      <c r="DW188" s="839"/>
      <c r="DX188" s="839"/>
      <c r="DY188" s="839"/>
      <c r="DZ188" s="839"/>
      <c r="EA188" s="839"/>
      <c r="EB188" s="839"/>
      <c r="EC188" s="839"/>
      <c r="ED188" s="839"/>
      <c r="EE188" s="839"/>
      <c r="EF188" s="839"/>
      <c r="EG188" s="839"/>
      <c r="EH188" s="839"/>
      <c r="EI188" s="839"/>
      <c r="EJ188" s="839"/>
      <c r="EK188" s="839"/>
    </row>
    <row r="189" spans="1:141" hidden="1" outlineLevel="1">
      <c r="A189" s="840" t="s">
        <v>600</v>
      </c>
      <c r="B189" s="840"/>
      <c r="C189" s="839"/>
      <c r="D189" s="877">
        <f>+D184</f>
        <v>5</v>
      </c>
      <c r="E189" s="839"/>
      <c r="F189" s="841"/>
      <c r="G189" s="839"/>
      <c r="H189" s="851"/>
      <c r="I189" s="839"/>
      <c r="J189" s="852" t="str">
        <f>+segmthSales!J166</f>
        <v>1/4</v>
      </c>
      <c r="K189" s="839"/>
      <c r="L189" s="851"/>
      <c r="M189" s="839"/>
      <c r="N189" s="852" t="str">
        <f>+segmthSales!N166</f>
        <v xml:space="preserve"> 1/2</v>
      </c>
      <c r="O189" s="839"/>
      <c r="P189" s="851"/>
      <c r="Q189" s="839"/>
      <c r="R189" s="852" t="str">
        <f>+segmthSales!R166</f>
        <v>1/1</v>
      </c>
      <c r="S189" s="839"/>
      <c r="T189" s="853">
        <v>15</v>
      </c>
      <c r="U189" s="839"/>
      <c r="V189" s="852" t="str">
        <f>+segmthSales!V166</f>
        <v>12/31</v>
      </c>
      <c r="W189" s="839"/>
      <c r="X189" s="853">
        <v>-1</v>
      </c>
      <c r="Y189" s="839"/>
      <c r="Z189" s="852" t="str">
        <f>+segmthSales!Z166</f>
        <v>12/30</v>
      </c>
      <c r="AA189" s="839"/>
      <c r="AB189" s="853">
        <v>-16</v>
      </c>
      <c r="AC189" s="839"/>
      <c r="AD189" s="852" t="str">
        <f>+segmthSales!AD166</f>
        <v>1/4</v>
      </c>
      <c r="AE189" s="839"/>
      <c r="AF189" s="853">
        <v>12</v>
      </c>
      <c r="AG189" s="839"/>
      <c r="AH189" s="852" t="str">
        <f>+segmthSales!AH166</f>
        <v>1/3</v>
      </c>
      <c r="AI189" s="839"/>
      <c r="AJ189" s="853">
        <v>-1</v>
      </c>
      <c r="AK189" s="839"/>
      <c r="AL189" s="852" t="str">
        <f>+segmthSales!AL166</f>
        <v>1/2</v>
      </c>
      <c r="AM189" s="839"/>
      <c r="AN189" s="853">
        <v>-10</v>
      </c>
      <c r="AO189" s="839"/>
      <c r="AP189" s="852" t="str">
        <f>+segmthSales!AP166</f>
        <v>1/1</v>
      </c>
      <c r="AQ189" s="839"/>
      <c r="AR189" s="853">
        <v>-1</v>
      </c>
      <c r="AS189" s="839"/>
      <c r="AT189" s="852" t="str">
        <f>+segmthSales!AT166</f>
        <v>12/30</v>
      </c>
      <c r="AU189" s="839"/>
      <c r="AV189" s="853">
        <v>-7</v>
      </c>
      <c r="AW189" s="839"/>
      <c r="AX189" s="852" t="str">
        <f>+segmthSales!AX166</f>
        <v>1/5</v>
      </c>
      <c r="AY189" s="839"/>
      <c r="AZ189" s="853">
        <v>-6</v>
      </c>
      <c r="BA189" s="839"/>
      <c r="BB189" s="852" t="str">
        <f>+segmthSales!BB166</f>
        <v>1/4</v>
      </c>
      <c r="BC189" s="839"/>
      <c r="BD189" s="905"/>
      <c r="BE189" s="839"/>
      <c r="BF189" s="854">
        <f>+segmthSales!BF166</f>
        <v>37624</v>
      </c>
      <c r="BG189" s="839"/>
      <c r="BH189" s="905"/>
      <c r="BI189" s="839"/>
      <c r="BJ189" s="854">
        <f>+segmthSales!BJ166</f>
        <v>38354</v>
      </c>
      <c r="BK189" s="839"/>
      <c r="BL189" s="905"/>
      <c r="BM189" s="839"/>
      <c r="BN189" s="854">
        <f>+segmthSales!BN166</f>
        <v>38717</v>
      </c>
      <c r="BO189" s="839"/>
      <c r="BP189" s="905"/>
      <c r="BQ189" s="839"/>
      <c r="BR189" s="854">
        <f>+segmthSales!BR166</f>
        <v>38716</v>
      </c>
      <c r="BS189" s="839"/>
      <c r="BT189" s="905"/>
      <c r="BU189" s="839"/>
      <c r="BV189" s="854">
        <f>+segmthSales!BV166</f>
        <v>39087</v>
      </c>
      <c r="BW189" s="839"/>
      <c r="BX189" s="905"/>
      <c r="BY189" s="839"/>
      <c r="BZ189" s="854"/>
      <c r="CA189" s="839"/>
      <c r="CB189" s="905"/>
      <c r="CC189" s="839"/>
      <c r="CD189" s="854"/>
      <c r="CE189" s="839"/>
      <c r="CF189" s="905"/>
      <c r="CG189" s="839"/>
      <c r="CH189" s="854"/>
      <c r="CI189" s="839"/>
      <c r="CJ189" s="905"/>
      <c r="CK189" s="839"/>
      <c r="CL189" s="854"/>
      <c r="CM189" s="839"/>
      <c r="CN189" s="905"/>
      <c r="CO189" s="839"/>
      <c r="CP189" s="854"/>
      <c r="CQ189" s="839"/>
      <c r="CR189" s="905"/>
      <c r="CS189" s="839"/>
      <c r="CT189" s="839"/>
      <c r="CU189" s="839"/>
      <c r="CV189" s="839"/>
      <c r="CW189" s="839"/>
      <c r="CX189" s="839"/>
      <c r="CY189" s="839"/>
      <c r="CZ189" s="839"/>
      <c r="DA189" s="839"/>
      <c r="DB189" s="839"/>
      <c r="DC189" s="839"/>
      <c r="DD189" s="839"/>
      <c r="DE189" s="839"/>
      <c r="DF189" s="839"/>
      <c r="DG189" s="839"/>
      <c r="DH189" s="839"/>
      <c r="DI189" s="839"/>
      <c r="DJ189" s="839"/>
      <c r="DK189" s="839"/>
      <c r="DL189" s="839"/>
      <c r="DM189" s="839"/>
      <c r="DN189" s="839"/>
      <c r="DO189" s="839"/>
      <c r="DP189" s="839"/>
      <c r="DQ189" s="839"/>
      <c r="DR189" s="839"/>
      <c r="DS189" s="839"/>
      <c r="DT189" s="839"/>
      <c r="DU189" s="839"/>
      <c r="DV189" s="839"/>
      <c r="DW189" s="839"/>
      <c r="DX189" s="839"/>
      <c r="DY189" s="839"/>
      <c r="DZ189" s="839"/>
      <c r="EA189" s="839"/>
      <c r="EB189" s="839"/>
      <c r="EC189" s="839"/>
      <c r="ED189" s="839"/>
      <c r="EE189" s="839"/>
      <c r="EF189" s="839"/>
      <c r="EG189" s="839"/>
      <c r="EH189" s="839"/>
      <c r="EI189" s="839"/>
      <c r="EJ189" s="839"/>
      <c r="EK189" s="839"/>
    </row>
    <row r="190" spans="1:141" hidden="1" outlineLevel="1">
      <c r="A190" s="840" t="s">
        <v>601</v>
      </c>
      <c r="B190" s="840"/>
      <c r="C190" s="839"/>
      <c r="D190" s="877">
        <f>+D185</f>
        <v>4</v>
      </c>
      <c r="E190" s="839"/>
      <c r="F190" s="841"/>
      <c r="G190" s="839"/>
      <c r="H190" s="857"/>
      <c r="I190" s="839"/>
      <c r="J190" s="852" t="str">
        <f>+segmthSales!J167</f>
        <v>2/1</v>
      </c>
      <c r="K190" s="839"/>
      <c r="L190" s="857"/>
      <c r="M190" s="839"/>
      <c r="N190" s="852" t="str">
        <f>+segmthSales!N167</f>
        <v xml:space="preserve"> 1/30</v>
      </c>
      <c r="O190" s="839"/>
      <c r="P190" s="857"/>
      <c r="Q190" s="839"/>
      <c r="R190" s="852" t="str">
        <f>+segmthSales!R167</f>
        <v>1/29</v>
      </c>
      <c r="S190" s="839"/>
      <c r="T190" s="858">
        <v>11</v>
      </c>
      <c r="U190" s="839"/>
      <c r="V190" s="852" t="str">
        <f>+segmthSales!V167</f>
        <v>1/28</v>
      </c>
      <c r="W190" s="839"/>
      <c r="X190" s="858">
        <v>-6</v>
      </c>
      <c r="Y190" s="839"/>
      <c r="Z190" s="852" t="str">
        <f>+segmthSales!Z167</f>
        <v>2/3</v>
      </c>
      <c r="AA190" s="839"/>
      <c r="AB190" s="858">
        <v>-16</v>
      </c>
      <c r="AC190" s="839"/>
      <c r="AD190" s="852" t="str">
        <f>+segmthSales!AD167</f>
        <v>2/1</v>
      </c>
      <c r="AE190" s="839"/>
      <c r="AF190" s="858">
        <v>50</v>
      </c>
      <c r="AG190" s="839"/>
      <c r="AH190" s="852" t="str">
        <f>+segmthSales!AH167</f>
        <v>1/30</v>
      </c>
      <c r="AI190" s="839"/>
      <c r="AJ190" s="858">
        <v>-3</v>
      </c>
      <c r="AK190" s="839"/>
      <c r="AL190" s="852" t="str">
        <f>+segmthSales!AL167</f>
        <v>1/30</v>
      </c>
      <c r="AM190" s="839"/>
      <c r="AN190" s="858">
        <v>-14</v>
      </c>
      <c r="AO190" s="839"/>
      <c r="AP190" s="852" t="str">
        <f>+segmthSales!AP167</f>
        <v>1/29</v>
      </c>
      <c r="AQ190" s="839"/>
      <c r="AR190" s="858">
        <v>-9</v>
      </c>
      <c r="AS190" s="839"/>
      <c r="AT190" s="852" t="str">
        <f>+segmthSales!AT167</f>
        <v>2/3</v>
      </c>
      <c r="AU190" s="839"/>
      <c r="AV190" s="858">
        <v>-12</v>
      </c>
      <c r="AW190" s="839"/>
      <c r="AX190" s="852" t="str">
        <f>+segmthSales!AX167</f>
        <v>2/2</v>
      </c>
      <c r="AY190" s="839"/>
      <c r="AZ190" s="858">
        <v>14</v>
      </c>
      <c r="BA190" s="839"/>
      <c r="BB190" s="852" t="str">
        <f>+segmthSales!BB167</f>
        <v>2/1</v>
      </c>
      <c r="BC190" s="839"/>
      <c r="BD190" s="906"/>
      <c r="BE190" s="839"/>
      <c r="BF190" s="854">
        <f>+segmthSales!BF167</f>
        <v>37652</v>
      </c>
      <c r="BG190" s="839"/>
      <c r="BH190" s="906"/>
      <c r="BI190" s="839"/>
      <c r="BJ190" s="854">
        <f>+segmthSales!BJ167</f>
        <v>38382</v>
      </c>
      <c r="BK190" s="839"/>
      <c r="BL190" s="906"/>
      <c r="BM190" s="839"/>
      <c r="BN190" s="854">
        <f>+segmthSales!BN167</f>
        <v>38745</v>
      </c>
      <c r="BO190" s="839"/>
      <c r="BP190" s="906"/>
      <c r="BQ190" s="839"/>
      <c r="BR190" s="854">
        <f>+segmthSales!BR167</f>
        <v>38386</v>
      </c>
      <c r="BS190" s="839"/>
      <c r="BT190" s="906"/>
      <c r="BU190" s="839"/>
      <c r="BV190" s="854">
        <f>+segmthSales!BV167</f>
        <v>39115</v>
      </c>
      <c r="BW190" s="839"/>
      <c r="BX190" s="906"/>
      <c r="BY190" s="839"/>
      <c r="BZ190" s="854"/>
      <c r="CA190" s="839"/>
      <c r="CB190" s="906"/>
      <c r="CC190" s="839"/>
      <c r="CD190" s="854"/>
      <c r="CE190" s="839"/>
      <c r="CF190" s="906"/>
      <c r="CG190" s="839"/>
      <c r="CH190" s="854"/>
      <c r="CI190" s="839"/>
      <c r="CJ190" s="906"/>
      <c r="CK190" s="839"/>
      <c r="CL190" s="854"/>
      <c r="CM190" s="839"/>
      <c r="CN190" s="906"/>
      <c r="CO190" s="839"/>
      <c r="CP190" s="854"/>
      <c r="CQ190" s="839"/>
      <c r="CR190" s="906"/>
      <c r="CS190" s="839"/>
      <c r="CT190" s="839"/>
      <c r="CU190" s="839"/>
      <c r="CV190" s="839"/>
      <c r="CW190" s="839"/>
      <c r="CX190" s="839"/>
      <c r="CY190" s="839"/>
      <c r="CZ190" s="839"/>
      <c r="DA190" s="839"/>
      <c r="DB190" s="839"/>
      <c r="DC190" s="839"/>
      <c r="DD190" s="839"/>
      <c r="DE190" s="839"/>
      <c r="DF190" s="839"/>
      <c r="DG190" s="839"/>
      <c r="DH190" s="839"/>
      <c r="DI190" s="839"/>
      <c r="DJ190" s="839"/>
      <c r="DK190" s="839"/>
      <c r="DL190" s="839"/>
      <c r="DM190" s="839"/>
      <c r="DN190" s="839"/>
      <c r="DO190" s="839"/>
      <c r="DP190" s="839"/>
      <c r="DQ190" s="839"/>
      <c r="DR190" s="839"/>
      <c r="DS190" s="839"/>
      <c r="DT190" s="839"/>
      <c r="DU190" s="839"/>
      <c r="DV190" s="839"/>
      <c r="DW190" s="839"/>
      <c r="DX190" s="839"/>
      <c r="DY190" s="839"/>
      <c r="DZ190" s="839"/>
      <c r="EA190" s="839"/>
      <c r="EB190" s="839"/>
      <c r="EC190" s="839"/>
      <c r="ED190" s="839"/>
      <c r="EE190" s="839"/>
      <c r="EF190" s="839"/>
      <c r="EG190" s="839"/>
      <c r="EH190" s="839"/>
      <c r="EI190" s="839"/>
      <c r="EJ190" s="839"/>
      <c r="EK190" s="839"/>
    </row>
    <row r="191" spans="1:141" hidden="1" outlineLevel="1">
      <c r="A191" s="862"/>
      <c r="B191" s="862" t="s">
        <v>519</v>
      </c>
      <c r="C191" s="861"/>
      <c r="D191" s="861"/>
      <c r="E191" s="861"/>
      <c r="F191" s="861"/>
      <c r="G191" s="861"/>
      <c r="H191" s="864"/>
      <c r="I191" s="861"/>
      <c r="J191" s="861"/>
      <c r="K191" s="861"/>
      <c r="L191" s="864"/>
      <c r="M191" s="861"/>
      <c r="N191" s="861"/>
      <c r="O191" s="861"/>
      <c r="P191" s="864"/>
      <c r="Q191" s="861"/>
      <c r="R191" s="861"/>
      <c r="S191" s="861"/>
      <c r="T191" s="866">
        <v>15</v>
      </c>
      <c r="U191" s="861"/>
      <c r="V191" s="861"/>
      <c r="W191" s="861"/>
      <c r="X191" s="866">
        <v>-1</v>
      </c>
      <c r="Y191" s="861"/>
      <c r="Z191" s="861"/>
      <c r="AA191" s="861"/>
      <c r="AB191" s="866">
        <v>-14</v>
      </c>
      <c r="AC191" s="861"/>
      <c r="AD191" s="861"/>
      <c r="AE191" s="861"/>
      <c r="AF191" s="866">
        <v>8</v>
      </c>
      <c r="AG191" s="861"/>
      <c r="AH191" s="861"/>
      <c r="AI191" s="861"/>
      <c r="AJ191" s="866">
        <v>-4</v>
      </c>
      <c r="AK191" s="861"/>
      <c r="AL191" s="861"/>
      <c r="AM191" s="861"/>
      <c r="AN191" s="866">
        <v>-8</v>
      </c>
      <c r="AO191" s="861"/>
      <c r="AP191" s="861"/>
      <c r="AQ191" s="861"/>
      <c r="AR191" s="866">
        <v>-1</v>
      </c>
      <c r="AS191" s="861"/>
      <c r="AT191" s="861"/>
      <c r="AU191" s="861"/>
      <c r="AV191" s="866">
        <v>-6</v>
      </c>
      <c r="AW191" s="861"/>
      <c r="AX191" s="861"/>
      <c r="AY191" s="861"/>
      <c r="AZ191" s="866">
        <v>-6</v>
      </c>
      <c r="BA191" s="861"/>
      <c r="BB191" s="861"/>
      <c r="BC191" s="861"/>
      <c r="BD191" s="864"/>
      <c r="BE191" s="861"/>
      <c r="BF191" s="861"/>
      <c r="BG191" s="861"/>
      <c r="BH191" s="864"/>
      <c r="BI191" s="861"/>
      <c r="BJ191" s="861"/>
      <c r="BK191" s="861"/>
      <c r="BL191" s="864"/>
      <c r="BM191" s="861"/>
      <c r="BN191" s="861"/>
      <c r="BO191" s="861"/>
      <c r="BP191" s="864"/>
      <c r="BQ191" s="861"/>
      <c r="BR191" s="861"/>
      <c r="BS191" s="861"/>
      <c r="BT191" s="864"/>
      <c r="BU191" s="861"/>
      <c r="BV191" s="861"/>
      <c r="BW191" s="861"/>
      <c r="BX191" s="864"/>
      <c r="BY191" s="861"/>
      <c r="BZ191" s="861"/>
      <c r="CA191" s="861"/>
      <c r="CB191" s="864"/>
      <c r="CC191" s="861"/>
      <c r="CD191" s="861"/>
      <c r="CE191" s="861"/>
      <c r="CF191" s="864"/>
      <c r="CG191" s="861"/>
      <c r="CH191" s="861"/>
      <c r="CI191" s="861"/>
      <c r="CJ191" s="864"/>
      <c r="CK191" s="861"/>
      <c r="CL191" s="861"/>
      <c r="CM191" s="861"/>
      <c r="CN191" s="864"/>
      <c r="CO191" s="861"/>
      <c r="CP191" s="861"/>
      <c r="CQ191" s="861"/>
      <c r="CR191" s="864"/>
      <c r="CS191" s="861"/>
      <c r="CT191" s="876"/>
      <c r="CU191" s="876"/>
      <c r="CV191" s="876"/>
      <c r="CW191" s="876"/>
      <c r="CX191" s="876"/>
      <c r="CY191" s="876"/>
      <c r="CZ191" s="876"/>
      <c r="DA191" s="876"/>
      <c r="DB191" s="876"/>
      <c r="DC191" s="876"/>
      <c r="DD191" s="876"/>
      <c r="DE191" s="876"/>
      <c r="DF191" s="876"/>
      <c r="DG191" s="876"/>
      <c r="DH191" s="876"/>
      <c r="DI191" s="876"/>
      <c r="DJ191" s="876"/>
      <c r="DK191" s="876"/>
      <c r="DL191" s="876"/>
      <c r="DM191" s="876"/>
      <c r="DN191" s="876"/>
      <c r="DO191" s="876"/>
      <c r="DP191" s="876"/>
      <c r="DQ191" s="876"/>
      <c r="DR191" s="876"/>
      <c r="DS191" s="876"/>
      <c r="DT191" s="876"/>
      <c r="DU191" s="876"/>
      <c r="DV191" s="876"/>
      <c r="DW191" s="876"/>
      <c r="DX191" s="839"/>
      <c r="DY191" s="839"/>
      <c r="DZ191" s="839"/>
      <c r="EA191" s="839"/>
      <c r="EB191" s="839"/>
      <c r="EC191" s="839"/>
      <c r="ED191" s="839"/>
      <c r="EE191" s="839"/>
      <c r="EF191" s="839"/>
      <c r="EG191" s="839"/>
      <c r="EH191" s="839"/>
      <c r="EI191" s="839"/>
      <c r="EJ191" s="839"/>
      <c r="EK191" s="839"/>
    </row>
    <row r="192" spans="1:141" hidden="1" outlineLevel="1">
      <c r="A192" s="862"/>
      <c r="B192" s="862" t="s">
        <v>1020</v>
      </c>
      <c r="C192" s="861"/>
      <c r="D192" s="861"/>
      <c r="E192" s="861"/>
      <c r="F192" s="861"/>
      <c r="G192" s="861"/>
      <c r="H192" s="864"/>
      <c r="I192" s="861"/>
      <c r="J192" s="861"/>
      <c r="K192" s="861"/>
      <c r="L192" s="864"/>
      <c r="M192" s="861"/>
      <c r="N192" s="861"/>
      <c r="O192" s="861"/>
      <c r="P192" s="864"/>
      <c r="Q192" s="861"/>
      <c r="R192" s="861"/>
      <c r="S192" s="861"/>
      <c r="T192" s="907">
        <v>17</v>
      </c>
      <c r="U192" s="861"/>
      <c r="V192" s="861"/>
      <c r="W192" s="861"/>
      <c r="X192" s="907">
        <v>5</v>
      </c>
      <c r="Y192" s="861"/>
      <c r="Z192" s="861"/>
      <c r="AA192" s="861"/>
      <c r="AB192" s="866">
        <v>-9</v>
      </c>
      <c r="AC192" s="861"/>
      <c r="AD192" s="861"/>
      <c r="AE192" s="861"/>
      <c r="AF192" s="908">
        <v>7</v>
      </c>
      <c r="AG192" s="861"/>
      <c r="AH192" s="861"/>
      <c r="AI192" s="861"/>
      <c r="AJ192" s="866">
        <v>-3</v>
      </c>
      <c r="AK192" s="861"/>
      <c r="AL192" s="861"/>
      <c r="AM192" s="861"/>
      <c r="AN192" s="866">
        <v>-8</v>
      </c>
      <c r="AO192" s="861"/>
      <c r="AP192" s="861"/>
      <c r="AQ192" s="861"/>
      <c r="AR192" s="908">
        <v>4</v>
      </c>
      <c r="AS192" s="861"/>
      <c r="AT192" s="861"/>
      <c r="AU192" s="861"/>
      <c r="AV192" s="866">
        <v>-4</v>
      </c>
      <c r="AW192" s="861"/>
      <c r="AX192" s="861"/>
      <c r="AY192" s="861"/>
      <c r="AZ192" s="866">
        <v>-8</v>
      </c>
      <c r="BA192" s="861"/>
      <c r="BB192" s="861"/>
      <c r="BC192" s="861"/>
      <c r="BD192" s="864"/>
      <c r="BE192" s="861"/>
      <c r="BF192" s="861"/>
      <c r="BG192" s="861"/>
      <c r="BH192" s="864"/>
      <c r="BI192" s="861"/>
      <c r="BJ192" s="861"/>
      <c r="BK192" s="861"/>
      <c r="BL192" s="864"/>
      <c r="BM192" s="861"/>
      <c r="BN192" s="861"/>
      <c r="BO192" s="861"/>
      <c r="BP192" s="864"/>
      <c r="BQ192" s="861"/>
      <c r="BR192" s="861"/>
      <c r="BS192" s="861"/>
      <c r="BT192" s="864"/>
      <c r="BU192" s="861"/>
      <c r="BV192" s="861"/>
      <c r="BW192" s="861"/>
      <c r="BX192" s="864"/>
      <c r="BY192" s="861"/>
      <c r="BZ192" s="861"/>
      <c r="CA192" s="861"/>
      <c r="CB192" s="864"/>
      <c r="CC192" s="861"/>
      <c r="CD192" s="861"/>
      <c r="CE192" s="861"/>
      <c r="CF192" s="864"/>
      <c r="CG192" s="861"/>
      <c r="CH192" s="861"/>
      <c r="CI192" s="861"/>
      <c r="CJ192" s="864"/>
      <c r="CK192" s="861"/>
      <c r="CL192" s="861"/>
      <c r="CM192" s="861"/>
      <c r="CN192" s="864"/>
      <c r="CO192" s="861"/>
      <c r="CP192" s="861"/>
      <c r="CQ192" s="861"/>
      <c r="CR192" s="864"/>
      <c r="CS192" s="861"/>
      <c r="CT192" s="876"/>
      <c r="CU192" s="876"/>
      <c r="CV192" s="876"/>
      <c r="CW192" s="876"/>
      <c r="CX192" s="876"/>
      <c r="CY192" s="876"/>
      <c r="CZ192" s="876"/>
      <c r="DA192" s="876"/>
      <c r="DB192" s="876"/>
      <c r="DC192" s="876"/>
      <c r="DD192" s="876"/>
      <c r="DE192" s="876"/>
      <c r="DF192" s="876"/>
      <c r="DG192" s="876"/>
      <c r="DH192" s="876"/>
      <c r="DI192" s="876"/>
      <c r="DJ192" s="876"/>
      <c r="DK192" s="876"/>
      <c r="DL192" s="876"/>
      <c r="DM192" s="876"/>
      <c r="DN192" s="876"/>
      <c r="DO192" s="876"/>
      <c r="DP192" s="876"/>
      <c r="DQ192" s="876"/>
      <c r="DR192" s="876"/>
      <c r="DS192" s="876"/>
      <c r="DT192" s="876"/>
      <c r="DU192" s="876"/>
      <c r="DV192" s="876"/>
      <c r="DW192" s="876"/>
      <c r="DX192" s="839"/>
      <c r="DY192" s="839"/>
      <c r="DZ192" s="839"/>
      <c r="EA192" s="839"/>
      <c r="EB192" s="839"/>
      <c r="EC192" s="839"/>
      <c r="ED192" s="839"/>
      <c r="EE192" s="839"/>
      <c r="EF192" s="839"/>
      <c r="EG192" s="839"/>
      <c r="EH192" s="839"/>
      <c r="EI192" s="839"/>
      <c r="EJ192" s="839"/>
      <c r="EK192" s="839"/>
    </row>
    <row r="193" spans="1:141" hidden="1" outlineLevel="1">
      <c r="A193" s="839"/>
      <c r="B193" s="839"/>
      <c r="C193" s="839"/>
      <c r="D193" s="839"/>
      <c r="E193" s="839"/>
      <c r="F193" s="839"/>
      <c r="G193" s="839"/>
      <c r="H193" s="839"/>
      <c r="I193" s="839"/>
      <c r="J193" s="839"/>
      <c r="K193" s="839"/>
      <c r="L193" s="839"/>
      <c r="M193" s="839"/>
      <c r="N193" s="839"/>
      <c r="O193" s="839"/>
      <c r="P193" s="839"/>
      <c r="Q193" s="839"/>
      <c r="R193" s="839"/>
      <c r="S193" s="839"/>
      <c r="T193" s="839"/>
      <c r="U193" s="839"/>
      <c r="V193" s="839"/>
      <c r="W193" s="839"/>
      <c r="X193" s="839"/>
      <c r="Y193" s="839"/>
      <c r="Z193" s="839"/>
      <c r="AA193" s="839"/>
      <c r="AB193" s="839"/>
      <c r="AC193" s="839"/>
      <c r="AD193" s="839"/>
      <c r="AE193" s="839"/>
      <c r="AF193" s="839"/>
      <c r="AG193" s="839"/>
      <c r="AH193" s="839"/>
      <c r="AI193" s="839"/>
      <c r="AJ193" s="839"/>
      <c r="AK193" s="839"/>
      <c r="AL193" s="839"/>
      <c r="AM193" s="839"/>
      <c r="AN193" s="839"/>
      <c r="AO193" s="839"/>
      <c r="AP193" s="839"/>
      <c r="AQ193" s="839"/>
      <c r="AR193" s="839"/>
      <c r="AS193" s="839"/>
      <c r="AT193" s="839"/>
      <c r="AU193" s="839"/>
      <c r="AV193" s="839"/>
      <c r="AW193" s="839"/>
      <c r="AX193" s="839"/>
      <c r="AY193" s="839"/>
      <c r="AZ193" s="839"/>
      <c r="BA193" s="839"/>
      <c r="BB193" s="839"/>
      <c r="BC193" s="839"/>
      <c r="BD193" s="839"/>
      <c r="BE193" s="839"/>
      <c r="BF193" s="839"/>
      <c r="BG193" s="839"/>
      <c r="BH193" s="839"/>
      <c r="BI193" s="839"/>
      <c r="BJ193" s="839"/>
      <c r="BK193" s="839"/>
      <c r="BL193" s="839"/>
      <c r="BM193" s="839"/>
      <c r="BN193" s="839"/>
      <c r="BO193" s="839"/>
      <c r="BP193" s="839"/>
      <c r="BQ193" s="839"/>
      <c r="BR193" s="839"/>
      <c r="BS193" s="839"/>
      <c r="BT193" s="839"/>
      <c r="BU193" s="839"/>
      <c r="BV193" s="839"/>
      <c r="BW193" s="839"/>
      <c r="BX193" s="839"/>
      <c r="BY193" s="839"/>
      <c r="BZ193" s="839"/>
      <c r="CA193" s="839"/>
      <c r="CB193" s="839"/>
      <c r="CC193" s="839"/>
      <c r="CD193" s="839"/>
      <c r="CE193" s="839"/>
      <c r="CF193" s="839"/>
      <c r="CG193" s="839"/>
      <c r="CH193" s="839"/>
      <c r="CI193" s="839"/>
      <c r="CJ193" s="839"/>
      <c r="CK193" s="839"/>
      <c r="CL193" s="839"/>
      <c r="CM193" s="839"/>
      <c r="CN193" s="839"/>
      <c r="CO193" s="839"/>
      <c r="CP193" s="839"/>
      <c r="CQ193" s="839"/>
      <c r="CR193" s="839"/>
      <c r="CS193" s="839"/>
      <c r="CT193" s="839"/>
      <c r="CU193" s="839"/>
      <c r="CV193" s="839"/>
      <c r="CW193" s="839"/>
      <c r="CX193" s="839"/>
      <c r="CY193" s="839"/>
      <c r="CZ193" s="839"/>
      <c r="DA193" s="839"/>
      <c r="DB193" s="839"/>
      <c r="DC193" s="839"/>
      <c r="DD193" s="839"/>
      <c r="DE193" s="839"/>
      <c r="DF193" s="839"/>
      <c r="DG193" s="839"/>
      <c r="DH193" s="839"/>
      <c r="DI193" s="839"/>
      <c r="DJ193" s="839"/>
      <c r="DK193" s="839"/>
      <c r="DL193" s="839"/>
      <c r="DM193" s="839"/>
      <c r="DN193" s="839"/>
      <c r="DO193" s="839"/>
      <c r="DP193" s="839"/>
      <c r="DQ193" s="839"/>
      <c r="DR193" s="839"/>
      <c r="DS193" s="839"/>
      <c r="DT193" s="839"/>
      <c r="DU193" s="839"/>
      <c r="DV193" s="839"/>
      <c r="DW193" s="839"/>
      <c r="DX193" s="839"/>
      <c r="DY193" s="839"/>
      <c r="DZ193" s="839"/>
      <c r="EA193" s="839"/>
      <c r="EB193" s="839"/>
      <c r="EC193" s="839"/>
      <c r="ED193" s="839"/>
      <c r="EE193" s="839"/>
      <c r="EF193" s="839"/>
      <c r="EG193" s="839"/>
      <c r="EH193" s="839"/>
      <c r="EI193" s="839"/>
      <c r="EJ193" s="839"/>
      <c r="EK193" s="839"/>
    </row>
    <row r="194" spans="1:141" hidden="1" outlineLevel="1">
      <c r="A194" s="843"/>
      <c r="B194" s="891" t="s">
        <v>674</v>
      </c>
      <c r="C194" s="844"/>
      <c r="D194" s="843"/>
      <c r="E194" s="843"/>
      <c r="F194" s="845"/>
      <c r="G194" s="843"/>
      <c r="H194" s="846"/>
      <c r="I194" s="846"/>
      <c r="J194" s="845"/>
      <c r="K194" s="843"/>
      <c r="L194" s="846"/>
      <c r="M194" s="846"/>
      <c r="N194" s="845"/>
      <c r="O194" s="843"/>
      <c r="P194" s="846"/>
      <c r="Q194" s="846"/>
      <c r="R194" s="845"/>
      <c r="S194" s="843"/>
      <c r="T194" s="846"/>
      <c r="U194" s="846"/>
      <c r="V194" s="845"/>
      <c r="W194" s="843"/>
      <c r="X194" s="846"/>
      <c r="Y194" s="846"/>
      <c r="Z194" s="845"/>
      <c r="AA194" s="843"/>
      <c r="AB194" s="846"/>
      <c r="AC194" s="846"/>
      <c r="AD194" s="845"/>
      <c r="AE194" s="843"/>
      <c r="AF194" s="846"/>
      <c r="AG194" s="846"/>
      <c r="AH194" s="845"/>
      <c r="AI194" s="843"/>
      <c r="AJ194" s="846"/>
      <c r="AK194" s="846"/>
      <c r="AL194" s="845"/>
      <c r="AM194" s="843"/>
      <c r="AN194" s="846"/>
      <c r="AO194" s="846"/>
      <c r="AP194" s="845"/>
      <c r="AQ194" s="843"/>
      <c r="AR194" s="846"/>
      <c r="AS194" s="846"/>
      <c r="AT194" s="847"/>
      <c r="AU194" s="846"/>
      <c r="AV194" s="846"/>
      <c r="AW194" s="846"/>
      <c r="AX194" s="847"/>
      <c r="AY194" s="846"/>
      <c r="AZ194" s="846"/>
      <c r="BA194" s="846"/>
      <c r="BB194" s="845"/>
      <c r="BC194" s="843"/>
      <c r="BD194" s="846"/>
      <c r="BE194" s="846"/>
      <c r="BF194" s="845"/>
      <c r="BG194" s="843"/>
      <c r="BH194" s="846"/>
      <c r="BI194" s="846"/>
      <c r="BJ194" s="845"/>
      <c r="BK194" s="843"/>
      <c r="BL194" s="846"/>
      <c r="BM194" s="846"/>
      <c r="BN194" s="845"/>
      <c r="BO194" s="843"/>
      <c r="BP194" s="846"/>
      <c r="BQ194" s="846"/>
      <c r="BR194" s="845"/>
      <c r="BS194" s="843"/>
      <c r="BT194" s="846"/>
      <c r="BU194" s="846"/>
      <c r="BV194" s="845"/>
      <c r="BW194" s="843"/>
      <c r="BX194" s="846"/>
      <c r="BY194" s="846"/>
      <c r="BZ194" s="845"/>
      <c r="CA194" s="843"/>
      <c r="CB194" s="846"/>
      <c r="CC194" s="846"/>
      <c r="CD194" s="845"/>
      <c r="CE194" s="843"/>
      <c r="CF194" s="846"/>
      <c r="CG194" s="846"/>
      <c r="CH194" s="845"/>
      <c r="CI194" s="843"/>
      <c r="CJ194" s="846"/>
      <c r="CK194" s="846"/>
      <c r="CL194" s="845"/>
      <c r="CM194" s="843"/>
      <c r="CN194" s="846"/>
      <c r="CO194" s="846"/>
      <c r="CP194" s="845"/>
      <c r="CQ194" s="843"/>
      <c r="CR194" s="846"/>
      <c r="CS194" s="846"/>
      <c r="CT194" s="846"/>
      <c r="CU194" s="846"/>
      <c r="CV194" s="846"/>
      <c r="CW194" s="846"/>
      <c r="CX194" s="846"/>
      <c r="CY194" s="846"/>
      <c r="CZ194" s="846"/>
      <c r="DA194" s="846"/>
      <c r="DB194" s="846"/>
      <c r="DC194" s="846"/>
      <c r="DD194" s="846"/>
      <c r="DE194" s="846"/>
      <c r="DF194" s="846"/>
      <c r="DG194" s="846"/>
      <c r="DH194" s="846"/>
      <c r="DI194" s="846"/>
      <c r="DJ194" s="846"/>
      <c r="DK194" s="846"/>
      <c r="DL194" s="846"/>
      <c r="DM194" s="846"/>
      <c r="DN194" s="846"/>
      <c r="DO194" s="846"/>
      <c r="DP194" s="846"/>
      <c r="DQ194" s="846"/>
      <c r="DR194" s="846"/>
      <c r="DS194" s="846"/>
      <c r="DT194" s="846"/>
      <c r="DU194" s="846"/>
      <c r="DV194" s="846"/>
      <c r="DW194" s="846"/>
      <c r="DX194" s="847"/>
      <c r="DY194" s="847"/>
      <c r="DZ194" s="846"/>
      <c r="EA194" s="846"/>
      <c r="EB194" s="846"/>
      <c r="EC194" s="846"/>
      <c r="ED194" s="846"/>
      <c r="EE194" s="846"/>
      <c r="EF194" s="846"/>
      <c r="EG194" s="846"/>
      <c r="EH194" s="846"/>
      <c r="EI194" s="843"/>
      <c r="EJ194" s="843"/>
      <c r="EK194" s="843"/>
    </row>
    <row r="195" spans="1:141" hidden="1" outlineLevel="1">
      <c r="A195" s="848"/>
      <c r="B195" s="848"/>
      <c r="C195" s="849"/>
      <c r="D195" s="850"/>
      <c r="E195" s="849"/>
      <c r="F195" s="850"/>
      <c r="G195" s="849"/>
      <c r="H195" s="850"/>
      <c r="I195" s="849"/>
      <c r="J195" s="850"/>
      <c r="K195" s="849"/>
      <c r="L195" s="850"/>
      <c r="M195" s="849"/>
      <c r="N195" s="850"/>
      <c r="O195" s="849"/>
      <c r="P195" s="850"/>
      <c r="Q195" s="849"/>
      <c r="R195" s="850"/>
      <c r="S195" s="849"/>
      <c r="T195" s="850"/>
      <c r="U195" s="849"/>
      <c r="V195" s="850"/>
      <c r="W195" s="849"/>
      <c r="X195" s="850"/>
      <c r="Y195" s="849"/>
      <c r="Z195" s="850"/>
      <c r="AA195" s="849"/>
      <c r="AB195" s="850"/>
      <c r="AC195" s="849"/>
      <c r="AD195" s="850"/>
      <c r="AE195" s="849"/>
      <c r="AF195" s="850"/>
      <c r="AG195" s="849"/>
      <c r="AH195" s="850"/>
      <c r="AI195" s="849"/>
      <c r="AJ195" s="850"/>
      <c r="AK195" s="849"/>
      <c r="AL195" s="850"/>
      <c r="AM195" s="849"/>
      <c r="AN195" s="850"/>
      <c r="AO195" s="849"/>
      <c r="AP195" s="850"/>
      <c r="AQ195" s="849"/>
      <c r="AR195" s="838"/>
      <c r="AS195" s="849"/>
      <c r="AT195" s="850"/>
      <c r="AU195" s="849"/>
      <c r="AV195" s="850"/>
      <c r="AW195" s="849"/>
      <c r="AX195" s="850"/>
      <c r="AY195" s="849"/>
      <c r="AZ195" s="850"/>
      <c r="BA195" s="849"/>
      <c r="BB195" s="850"/>
      <c r="BC195" s="849"/>
      <c r="BD195" s="850"/>
      <c r="BE195" s="849"/>
      <c r="BF195" s="850"/>
      <c r="BG195" s="849"/>
      <c r="BH195" s="850"/>
      <c r="BI195" s="849"/>
      <c r="BJ195" s="850"/>
      <c r="BK195" s="849"/>
      <c r="BL195" s="850"/>
      <c r="BM195" s="849"/>
      <c r="BN195" s="850"/>
      <c r="BO195" s="849"/>
      <c r="BP195" s="850"/>
      <c r="BQ195" s="849"/>
      <c r="BR195" s="850"/>
      <c r="BS195" s="849"/>
      <c r="BT195" s="850"/>
      <c r="BU195" s="849"/>
      <c r="BV195" s="850"/>
      <c r="BW195" s="849"/>
      <c r="BX195" s="850"/>
      <c r="BY195" s="849"/>
      <c r="BZ195" s="850"/>
      <c r="CA195" s="849"/>
      <c r="CB195" s="850"/>
      <c r="CC195" s="849"/>
      <c r="CD195" s="850"/>
      <c r="CE195" s="849"/>
      <c r="CF195" s="850"/>
      <c r="CG195" s="849"/>
      <c r="CH195" s="850"/>
      <c r="CI195" s="849"/>
      <c r="CJ195" s="850"/>
      <c r="CK195" s="849"/>
      <c r="CL195" s="850"/>
      <c r="CM195" s="849"/>
      <c r="CN195" s="850"/>
      <c r="CO195" s="849"/>
      <c r="CP195" s="850"/>
      <c r="CQ195" s="849"/>
      <c r="CR195" s="850"/>
      <c r="CS195" s="849"/>
      <c r="CT195" s="849"/>
      <c r="CU195" s="849"/>
      <c r="CV195" s="849"/>
      <c r="CW195" s="849"/>
      <c r="CX195" s="849"/>
      <c r="CY195" s="849"/>
      <c r="CZ195" s="849"/>
      <c r="DA195" s="849"/>
      <c r="DB195" s="849"/>
      <c r="DC195" s="849"/>
      <c r="DD195" s="849"/>
      <c r="DE195" s="849"/>
      <c r="DF195" s="849"/>
      <c r="DG195" s="849"/>
      <c r="DH195" s="849"/>
      <c r="DI195" s="849"/>
      <c r="DJ195" s="849"/>
      <c r="DK195" s="849"/>
      <c r="DL195" s="849"/>
      <c r="DM195" s="849"/>
      <c r="DN195" s="849"/>
      <c r="DO195" s="849"/>
      <c r="DP195" s="849"/>
      <c r="DQ195" s="849"/>
      <c r="DR195" s="849"/>
      <c r="DS195" s="849"/>
      <c r="DT195" s="849"/>
      <c r="DU195" s="849"/>
      <c r="DV195" s="849"/>
      <c r="DW195" s="849"/>
      <c r="DX195" s="890">
        <f>+DX126</f>
        <v>1999</v>
      </c>
      <c r="DY195" s="890"/>
      <c r="DZ195" s="890">
        <f t="shared" ref="DZ195:EH195" si="80">+DZ126</f>
        <v>2000</v>
      </c>
      <c r="EA195" s="890">
        <f t="shared" si="80"/>
        <v>2001</v>
      </c>
      <c r="EB195" s="890">
        <f t="shared" si="80"/>
        <v>2002</v>
      </c>
      <c r="EC195" s="890">
        <f t="shared" si="80"/>
        <v>2003</v>
      </c>
      <c r="ED195" s="890">
        <f t="shared" si="80"/>
        <v>2004</v>
      </c>
      <c r="EE195" s="890">
        <f t="shared" si="80"/>
        <v>2005</v>
      </c>
      <c r="EF195" s="890">
        <f t="shared" si="80"/>
        <v>2006</v>
      </c>
      <c r="EG195" s="890">
        <f t="shared" si="80"/>
        <v>2007</v>
      </c>
      <c r="EH195" s="890">
        <f t="shared" si="80"/>
        <v>2008</v>
      </c>
      <c r="EI195" s="839"/>
      <c r="EJ195" s="839"/>
      <c r="EK195" s="839"/>
    </row>
    <row r="196" spans="1:141" hidden="1" outlineLevel="1">
      <c r="A196" s="840" t="s">
        <v>828</v>
      </c>
      <c r="B196" s="839"/>
      <c r="C196" s="839"/>
      <c r="D196" s="841">
        <v>4</v>
      </c>
      <c r="E196" s="839"/>
      <c r="F196" s="842"/>
      <c r="G196" s="839"/>
      <c r="H196" s="851"/>
      <c r="I196" s="839" t="s">
        <v>1084</v>
      </c>
      <c r="J196" s="852" t="str">
        <f>+J127</f>
        <v>3/2</v>
      </c>
      <c r="K196" s="839"/>
      <c r="L196" s="851"/>
      <c r="M196" s="839" t="s">
        <v>1084</v>
      </c>
      <c r="N196" s="852" t="str">
        <f>+N127</f>
        <v xml:space="preserve"> 2/29</v>
      </c>
      <c r="O196" s="839"/>
      <c r="P196" s="851"/>
      <c r="Q196" s="839" t="s">
        <v>1084</v>
      </c>
      <c r="R196" s="852" t="str">
        <f>+R127</f>
        <v xml:space="preserve"> 2/27</v>
      </c>
      <c r="S196" s="839"/>
      <c r="T196" s="853">
        <v>-22</v>
      </c>
      <c r="U196" s="839" t="s">
        <v>1084</v>
      </c>
      <c r="V196" s="852" t="str">
        <f>+V127</f>
        <v>2/28</v>
      </c>
      <c r="W196" s="839"/>
      <c r="X196" s="853">
        <v>-12</v>
      </c>
      <c r="Y196" s="839" t="s">
        <v>1084</v>
      </c>
      <c r="Z196" s="852" t="str">
        <f>+Z127</f>
        <v>2/25</v>
      </c>
      <c r="AA196" s="839"/>
      <c r="AB196" s="853">
        <v>-8</v>
      </c>
      <c r="AC196" s="839" t="s">
        <v>1084</v>
      </c>
      <c r="AD196" s="852" t="str">
        <f>+AD127</f>
        <v>3/2</v>
      </c>
      <c r="AE196" s="839"/>
      <c r="AF196" s="853">
        <v>7</v>
      </c>
      <c r="AG196" s="839" t="s">
        <v>1084</v>
      </c>
      <c r="AH196" s="852" t="str">
        <f>+AH127</f>
        <v>3/2</v>
      </c>
      <c r="AI196" s="839"/>
      <c r="AJ196" s="853">
        <v>3</v>
      </c>
      <c r="AK196" s="839" t="s">
        <v>1084</v>
      </c>
      <c r="AL196" s="852" t="str">
        <f>+AL127</f>
        <v>2/28</v>
      </c>
      <c r="AM196" s="839"/>
      <c r="AN196" s="853">
        <v>-16</v>
      </c>
      <c r="AO196" s="839" t="s">
        <v>1084</v>
      </c>
      <c r="AP196" s="852" t="str">
        <f>+AP127</f>
        <v>2/27</v>
      </c>
      <c r="AQ196" s="839"/>
      <c r="AR196" s="853">
        <v>8</v>
      </c>
      <c r="AS196" s="839" t="s">
        <v>1084</v>
      </c>
      <c r="AT196" s="852" t="str">
        <f>+AT127</f>
        <v>2/26</v>
      </c>
      <c r="AU196" s="839"/>
      <c r="AV196" s="853">
        <v>-4</v>
      </c>
      <c r="AW196" s="839" t="s">
        <v>1084</v>
      </c>
      <c r="AX196" s="852" t="str">
        <f>+AX127</f>
        <v>3/3</v>
      </c>
      <c r="AY196" s="839"/>
      <c r="AZ196" s="853">
        <v>5</v>
      </c>
      <c r="BA196" s="839" t="s">
        <v>1084</v>
      </c>
      <c r="BB196" s="852" t="str">
        <f>+BB127</f>
        <v>3/2</v>
      </c>
      <c r="BC196" s="839"/>
      <c r="BD196" s="853">
        <v>-1</v>
      </c>
      <c r="BE196" s="839" t="s">
        <v>1084</v>
      </c>
      <c r="BF196" s="854">
        <f>+BF127</f>
        <v>37681</v>
      </c>
      <c r="BG196" s="839"/>
      <c r="BH196" s="853">
        <v>-4</v>
      </c>
      <c r="BI196" s="839" t="s">
        <v>1084</v>
      </c>
      <c r="BJ196" s="854">
        <f>+BJ127</f>
        <v>38046</v>
      </c>
      <c r="BK196" s="839"/>
      <c r="BL196" s="853">
        <v>-5</v>
      </c>
      <c r="BM196" s="839" t="s">
        <v>1084</v>
      </c>
      <c r="BN196" s="854">
        <f>+BN127</f>
        <v>38409</v>
      </c>
      <c r="BO196" s="839"/>
      <c r="BP196" s="853">
        <v>0</v>
      </c>
      <c r="BQ196" s="839" t="s">
        <v>1084</v>
      </c>
      <c r="BR196" s="854">
        <f>+BR127</f>
        <v>38408</v>
      </c>
      <c r="BS196" s="839"/>
      <c r="BT196" s="853">
        <v>-7</v>
      </c>
      <c r="BU196" s="839" t="s">
        <v>1084</v>
      </c>
      <c r="BV196" s="854">
        <f>+BV127</f>
        <v>39144</v>
      </c>
      <c r="BW196" s="839"/>
      <c r="BX196" s="853">
        <v>1</v>
      </c>
      <c r="BY196" s="839" t="s">
        <v>1084</v>
      </c>
      <c r="BZ196" s="854"/>
      <c r="CA196" s="839"/>
      <c r="CB196" s="853"/>
      <c r="CC196" s="839"/>
      <c r="CD196" s="854"/>
      <c r="CE196" s="839"/>
      <c r="CF196" s="853"/>
      <c r="CG196" s="839"/>
      <c r="CH196" s="854"/>
      <c r="CI196" s="839"/>
      <c r="CJ196" s="853"/>
      <c r="CK196" s="839"/>
      <c r="CL196" s="854"/>
      <c r="CM196" s="839"/>
      <c r="CN196" s="853"/>
      <c r="CO196" s="839"/>
      <c r="CP196" s="854"/>
      <c r="CQ196" s="839"/>
      <c r="CR196" s="853"/>
      <c r="CS196" s="839"/>
      <c r="CT196" s="839"/>
      <c r="CU196" s="839"/>
      <c r="CV196" s="839"/>
      <c r="CW196" s="839"/>
      <c r="CX196" s="839"/>
      <c r="CY196" s="839"/>
      <c r="CZ196" s="839"/>
      <c r="DA196" s="839"/>
      <c r="DB196" s="839"/>
      <c r="DC196" s="839"/>
      <c r="DD196" s="839"/>
      <c r="DE196" s="839"/>
      <c r="DF196" s="839"/>
      <c r="DG196" s="839"/>
      <c r="DH196" s="839"/>
      <c r="DI196" s="839"/>
      <c r="DJ196" s="839"/>
      <c r="DK196" s="839"/>
      <c r="DL196" s="839"/>
      <c r="DM196" s="839"/>
      <c r="DN196" s="839"/>
      <c r="DO196" s="839"/>
      <c r="DP196" s="839"/>
      <c r="DQ196" s="839"/>
      <c r="DR196" s="839"/>
      <c r="DS196" s="839"/>
      <c r="DT196" s="839"/>
      <c r="DU196" s="839"/>
      <c r="DV196" s="839"/>
      <c r="DW196" s="839"/>
      <c r="DX196" s="892">
        <v>0.28000000000000003</v>
      </c>
      <c r="DY196" s="892"/>
      <c r="DZ196" s="892">
        <v>0.28000000000000003</v>
      </c>
      <c r="EA196" s="892">
        <v>0.28000000000000003</v>
      </c>
      <c r="EB196" s="892">
        <v>0.28000000000000003</v>
      </c>
      <c r="EC196" s="892">
        <v>0.28000000000000003</v>
      </c>
      <c r="ED196" s="892">
        <v>0.28000000000000003</v>
      </c>
      <c r="EE196" s="892">
        <v>0.28000000000000003</v>
      </c>
      <c r="EF196" s="892">
        <v>0.28000000000000003</v>
      </c>
      <c r="EG196" s="892">
        <v>0.28000000000000003</v>
      </c>
      <c r="EH196" s="892">
        <v>0.28000000000000003</v>
      </c>
      <c r="EI196" s="839"/>
      <c r="EJ196" s="839"/>
      <c r="EK196" s="839"/>
    </row>
    <row r="197" spans="1:141" hidden="1" outlineLevel="1">
      <c r="A197" s="840" t="s">
        <v>829</v>
      </c>
      <c r="B197" s="839"/>
      <c r="C197" s="839"/>
      <c r="D197" s="841">
        <v>5</v>
      </c>
      <c r="E197" s="839"/>
      <c r="F197" s="856"/>
      <c r="G197" s="839"/>
      <c r="H197" s="851"/>
      <c r="I197" s="839"/>
      <c r="J197" s="852" t="str">
        <f>+J128</f>
        <v>4/6</v>
      </c>
      <c r="K197" s="839"/>
      <c r="L197" s="851"/>
      <c r="M197" s="839"/>
      <c r="N197" s="852" t="str">
        <f>+N128</f>
        <v xml:space="preserve"> 4/4</v>
      </c>
      <c r="O197" s="839"/>
      <c r="P197" s="851"/>
      <c r="Q197" s="839"/>
      <c r="R197" s="852" t="str">
        <f>+R128</f>
        <v xml:space="preserve"> 4/3</v>
      </c>
      <c r="S197" s="839"/>
      <c r="T197" s="853">
        <v>-11</v>
      </c>
      <c r="U197" s="839"/>
      <c r="V197" s="852" t="str">
        <f>+V128</f>
        <v>4/2</v>
      </c>
      <c r="W197" s="839"/>
      <c r="X197" s="853">
        <v>-13</v>
      </c>
      <c r="Y197" s="839"/>
      <c r="Z197" s="852" t="str">
        <f>+Z128</f>
        <v>4/1</v>
      </c>
      <c r="AA197" s="839"/>
      <c r="AB197" s="853">
        <v>-16</v>
      </c>
      <c r="AC197" s="839"/>
      <c r="AD197" s="852" t="str">
        <f>+AD128</f>
        <v>4/6</v>
      </c>
      <c r="AE197" s="839"/>
      <c r="AF197" s="853">
        <v>6</v>
      </c>
      <c r="AG197" s="839"/>
      <c r="AH197" s="852" t="str">
        <f>+AH128</f>
        <v>4/5</v>
      </c>
      <c r="AI197" s="839"/>
      <c r="AJ197" s="853">
        <v>-3</v>
      </c>
      <c r="AK197" s="839"/>
      <c r="AL197" s="852" t="str">
        <f>+AL128</f>
        <v>4/4</v>
      </c>
      <c r="AM197" s="839"/>
      <c r="AN197" s="853">
        <v>-1</v>
      </c>
      <c r="AO197" s="839"/>
      <c r="AP197" s="852" t="str">
        <f>+AP128</f>
        <v>4/3</v>
      </c>
      <c r="AQ197" s="839"/>
      <c r="AR197" s="853">
        <v>3</v>
      </c>
      <c r="AS197" s="839"/>
      <c r="AT197" s="852" t="str">
        <f>+AT128</f>
        <v>4/1</v>
      </c>
      <c r="AU197" s="839"/>
      <c r="AV197" s="853">
        <v>14</v>
      </c>
      <c r="AW197" s="839"/>
      <c r="AX197" s="852" t="str">
        <f>+AX128</f>
        <v>4/7</v>
      </c>
      <c r="AY197" s="839"/>
      <c r="AZ197" s="853">
        <v>-10</v>
      </c>
      <c r="BA197" s="839"/>
      <c r="BB197" s="852" t="str">
        <f>+BB128</f>
        <v>4/6</v>
      </c>
      <c r="BC197" s="839"/>
      <c r="BD197" s="853">
        <v>23</v>
      </c>
      <c r="BE197" s="839"/>
      <c r="BF197" s="854">
        <f>+BF128</f>
        <v>37716</v>
      </c>
      <c r="BG197" s="839"/>
      <c r="BH197" s="853">
        <v>-5</v>
      </c>
      <c r="BI197" s="839"/>
      <c r="BJ197" s="854">
        <f>+BJ128</f>
        <v>38081</v>
      </c>
      <c r="BK197" s="839"/>
      <c r="BL197" s="853">
        <v>5</v>
      </c>
      <c r="BM197" s="839"/>
      <c r="BN197" s="854">
        <f>+BN128</f>
        <v>38444</v>
      </c>
      <c r="BO197" s="839"/>
      <c r="BP197" s="853">
        <v>-15</v>
      </c>
      <c r="BQ197" s="839"/>
      <c r="BR197" s="854">
        <f>+BR128</f>
        <v>38443</v>
      </c>
      <c r="BS197" s="839"/>
      <c r="BT197" s="853">
        <v>-11</v>
      </c>
      <c r="BU197" s="839"/>
      <c r="BV197" s="854">
        <f>+BV128</f>
        <v>39179</v>
      </c>
      <c r="BW197" s="839"/>
      <c r="BX197" s="853">
        <v>15</v>
      </c>
      <c r="BY197" s="839"/>
      <c r="BZ197" s="854"/>
      <c r="CA197" s="839"/>
      <c r="CB197" s="853"/>
      <c r="CC197" s="839"/>
      <c r="CD197" s="854"/>
      <c r="CE197" s="839"/>
      <c r="CF197" s="853"/>
      <c r="CG197" s="839"/>
      <c r="CH197" s="854"/>
      <c r="CI197" s="839"/>
      <c r="CJ197" s="853"/>
      <c r="CK197" s="839"/>
      <c r="CL197" s="854"/>
      <c r="CM197" s="839"/>
      <c r="CN197" s="853"/>
      <c r="CO197" s="839"/>
      <c r="CP197" s="854"/>
      <c r="CQ197" s="839"/>
      <c r="CR197" s="853"/>
      <c r="CS197" s="839"/>
      <c r="CT197" s="839"/>
      <c r="CU197" s="839"/>
      <c r="CV197" s="839"/>
      <c r="CW197" s="839"/>
      <c r="CX197" s="839"/>
      <c r="CY197" s="839"/>
      <c r="CZ197" s="839"/>
      <c r="DA197" s="839"/>
      <c r="DB197" s="839"/>
      <c r="DC197" s="839"/>
      <c r="DD197" s="839"/>
      <c r="DE197" s="839"/>
      <c r="DF197" s="839"/>
      <c r="DG197" s="839"/>
      <c r="DH197" s="839"/>
      <c r="DI197" s="839"/>
      <c r="DJ197" s="839"/>
      <c r="DK197" s="839"/>
      <c r="DL197" s="839"/>
      <c r="DM197" s="839"/>
      <c r="DN197" s="839"/>
      <c r="DO197" s="839"/>
      <c r="DP197" s="839"/>
      <c r="DQ197" s="839"/>
      <c r="DR197" s="839"/>
      <c r="DS197" s="839"/>
      <c r="DT197" s="839"/>
      <c r="DU197" s="839"/>
      <c r="DV197" s="839"/>
      <c r="DW197" s="839"/>
      <c r="DX197" s="892">
        <v>0.45</v>
      </c>
      <c r="DY197" s="892"/>
      <c r="DZ197" s="892">
        <v>0.45</v>
      </c>
      <c r="EA197" s="892">
        <v>0.45</v>
      </c>
      <c r="EB197" s="892">
        <v>0.38</v>
      </c>
      <c r="EC197" s="892">
        <v>0.4</v>
      </c>
      <c r="ED197" s="892">
        <v>0.4</v>
      </c>
      <c r="EE197" s="892">
        <v>0.4</v>
      </c>
      <c r="EF197" s="892">
        <v>0.4</v>
      </c>
      <c r="EG197" s="892">
        <v>0.4</v>
      </c>
      <c r="EH197" s="892">
        <v>0.4</v>
      </c>
      <c r="EI197" s="839"/>
      <c r="EJ197" s="839"/>
      <c r="EK197" s="839"/>
    </row>
    <row r="198" spans="1:141" hidden="1" outlineLevel="1">
      <c r="A198" s="840" t="s">
        <v>830</v>
      </c>
      <c r="B198" s="839"/>
      <c r="C198" s="839"/>
      <c r="D198" s="841">
        <v>4</v>
      </c>
      <c r="E198" s="839"/>
      <c r="F198" s="841"/>
      <c r="G198" s="839"/>
      <c r="H198" s="857"/>
      <c r="I198" s="839"/>
      <c r="J198" s="852" t="str">
        <f>+J129</f>
        <v>5/4</v>
      </c>
      <c r="K198" s="839"/>
      <c r="L198" s="857"/>
      <c r="M198" s="839"/>
      <c r="N198" s="852" t="str">
        <f>+N129</f>
        <v xml:space="preserve"> 5/2</v>
      </c>
      <c r="O198" s="839"/>
      <c r="P198" s="857"/>
      <c r="Q198" s="839"/>
      <c r="R198" s="852" t="str">
        <f>+R129</f>
        <v xml:space="preserve"> 5/1</v>
      </c>
      <c r="S198" s="839"/>
      <c r="T198" s="858">
        <v>-7</v>
      </c>
      <c r="U198" s="839"/>
      <c r="V198" s="852" t="str">
        <f>+V129</f>
        <v>4/30</v>
      </c>
      <c r="W198" s="839"/>
      <c r="X198" s="858">
        <v>-28</v>
      </c>
      <c r="Y198" s="839"/>
      <c r="Z198" s="852" t="str">
        <f>+Z129</f>
        <v>4/29</v>
      </c>
      <c r="AA198" s="839"/>
      <c r="AB198" s="858">
        <v>-14</v>
      </c>
      <c r="AC198" s="839"/>
      <c r="AD198" s="852" t="str">
        <f>+AD129</f>
        <v>4/29</v>
      </c>
      <c r="AE198" s="839"/>
      <c r="AF198" s="858">
        <v>3</v>
      </c>
      <c r="AG198" s="839"/>
      <c r="AH198" s="852" t="str">
        <f>+AH129</f>
        <v>5/3</v>
      </c>
      <c r="AI198" s="839"/>
      <c r="AJ198" s="858">
        <v>-6</v>
      </c>
      <c r="AK198" s="839"/>
      <c r="AL198" s="852" t="str">
        <f>+AL129</f>
        <v>5/2</v>
      </c>
      <c r="AM198" s="839"/>
      <c r="AN198" s="858">
        <v>15</v>
      </c>
      <c r="AO198" s="839"/>
      <c r="AP198" s="852" t="str">
        <f>+AP129</f>
        <v>5/1</v>
      </c>
      <c r="AQ198" s="839"/>
      <c r="AR198" s="858">
        <v>5</v>
      </c>
      <c r="AS198" s="840"/>
      <c r="AT198" s="852" t="str">
        <f>+AT129</f>
        <v>4/29</v>
      </c>
      <c r="AU198" s="839"/>
      <c r="AV198" s="858">
        <v>11</v>
      </c>
      <c r="AW198" s="840"/>
      <c r="AX198" s="852" t="str">
        <f>+AX129</f>
        <v>5/5</v>
      </c>
      <c r="AY198" s="839"/>
      <c r="AZ198" s="858">
        <v>8</v>
      </c>
      <c r="BA198" s="840"/>
      <c r="BB198" s="852" t="str">
        <f>+BB129</f>
        <v>5/4</v>
      </c>
      <c r="BC198" s="839"/>
      <c r="BD198" s="858">
        <v>5</v>
      </c>
      <c r="BE198" s="840"/>
      <c r="BF198" s="854">
        <f>+BF129</f>
        <v>37744</v>
      </c>
      <c r="BG198" s="839"/>
      <c r="BH198" s="858">
        <v>-6</v>
      </c>
      <c r="BI198" s="840"/>
      <c r="BJ198" s="854">
        <f>+BJ129</f>
        <v>38109</v>
      </c>
      <c r="BK198" s="839"/>
      <c r="BL198" s="858">
        <v>-2</v>
      </c>
      <c r="BM198" s="840"/>
      <c r="BN198" s="854">
        <f>+BN129</f>
        <v>38472</v>
      </c>
      <c r="BO198" s="839"/>
      <c r="BP198" s="858">
        <v>1</v>
      </c>
      <c r="BQ198" s="840"/>
      <c r="BR198" s="854">
        <f>+BR129</f>
        <v>38471</v>
      </c>
      <c r="BS198" s="839"/>
      <c r="BT198" s="858">
        <v>-1</v>
      </c>
      <c r="BU198" s="840"/>
      <c r="BV198" s="854">
        <f>+BV129</f>
        <v>39207</v>
      </c>
      <c r="BW198" s="839"/>
      <c r="BX198" s="858">
        <v>-6</v>
      </c>
      <c r="BY198" s="840"/>
      <c r="BZ198" s="854"/>
      <c r="CA198" s="839"/>
      <c r="CB198" s="858"/>
      <c r="CC198" s="840"/>
      <c r="CD198" s="854"/>
      <c r="CE198" s="839"/>
      <c r="CF198" s="858"/>
      <c r="CG198" s="840"/>
      <c r="CH198" s="854"/>
      <c r="CI198" s="839"/>
      <c r="CJ198" s="858"/>
      <c r="CK198" s="840"/>
      <c r="CL198" s="854"/>
      <c r="CM198" s="839"/>
      <c r="CN198" s="858"/>
      <c r="CO198" s="840"/>
      <c r="CP198" s="854"/>
      <c r="CQ198" s="839"/>
      <c r="CR198" s="858"/>
      <c r="CS198" s="840"/>
      <c r="CT198" s="840"/>
      <c r="CU198" s="840"/>
      <c r="CV198" s="840"/>
      <c r="CW198" s="840"/>
      <c r="CX198" s="840"/>
      <c r="CY198" s="840"/>
      <c r="CZ198" s="840"/>
      <c r="DA198" s="840"/>
      <c r="DB198" s="840"/>
      <c r="DC198" s="840"/>
      <c r="DD198" s="840"/>
      <c r="DE198" s="840"/>
      <c r="DF198" s="840"/>
      <c r="DG198" s="840"/>
      <c r="DH198" s="840"/>
      <c r="DI198" s="840"/>
      <c r="DJ198" s="840"/>
      <c r="DK198" s="840"/>
      <c r="DL198" s="840"/>
      <c r="DM198" s="840"/>
      <c r="DN198" s="840"/>
      <c r="DO198" s="840"/>
      <c r="DP198" s="840"/>
      <c r="DQ198" s="840"/>
      <c r="DR198" s="840"/>
      <c r="DS198" s="840"/>
      <c r="DT198" s="840"/>
      <c r="DU198" s="840"/>
      <c r="DV198" s="840"/>
      <c r="DW198" s="840"/>
      <c r="DX198" s="893">
        <f>1-DX197-DX196</f>
        <v>0.27</v>
      </c>
      <c r="DY198" s="893"/>
      <c r="DZ198" s="893">
        <f t="shared" ref="DZ198:EH198" si="81">1-DZ197-DZ196</f>
        <v>0.27</v>
      </c>
      <c r="EA198" s="893">
        <f t="shared" si="81"/>
        <v>0.27</v>
      </c>
      <c r="EB198" s="893">
        <f t="shared" si="81"/>
        <v>0.33999999999999997</v>
      </c>
      <c r="EC198" s="893">
        <f t="shared" si="81"/>
        <v>0.31999999999999995</v>
      </c>
      <c r="ED198" s="893">
        <f t="shared" si="81"/>
        <v>0.31999999999999995</v>
      </c>
      <c r="EE198" s="893">
        <f t="shared" si="81"/>
        <v>0.31999999999999995</v>
      </c>
      <c r="EF198" s="893">
        <f t="shared" si="81"/>
        <v>0.31999999999999995</v>
      </c>
      <c r="EG198" s="893">
        <f t="shared" si="81"/>
        <v>0.31999999999999995</v>
      </c>
      <c r="EH198" s="893">
        <f t="shared" si="81"/>
        <v>0.31999999999999995</v>
      </c>
      <c r="EI198" s="839"/>
      <c r="EJ198" s="839"/>
      <c r="EK198" s="839"/>
    </row>
    <row r="199" spans="1:141" hidden="1" outlineLevel="1">
      <c r="A199" s="861"/>
      <c r="B199" s="862" t="s">
        <v>921</v>
      </c>
      <c r="C199" s="861"/>
      <c r="D199" s="863"/>
      <c r="E199" s="861"/>
      <c r="F199" s="863"/>
      <c r="G199" s="861"/>
      <c r="H199" s="864"/>
      <c r="I199" s="861"/>
      <c r="J199" s="865"/>
      <c r="K199" s="861"/>
      <c r="L199" s="864"/>
      <c r="M199" s="861"/>
      <c r="N199" s="865"/>
      <c r="O199" s="861"/>
      <c r="P199" s="864"/>
      <c r="Q199" s="861"/>
      <c r="R199" s="865"/>
      <c r="S199" s="861"/>
      <c r="T199" s="866">
        <v>-13</v>
      </c>
      <c r="U199" s="861"/>
      <c r="V199" s="865"/>
      <c r="W199" s="861"/>
      <c r="X199" s="866">
        <v>-18</v>
      </c>
      <c r="Y199" s="861"/>
      <c r="Z199" s="865"/>
      <c r="AA199" s="861"/>
      <c r="AB199" s="866">
        <v>-13</v>
      </c>
      <c r="AC199" s="861"/>
      <c r="AD199" s="865"/>
      <c r="AE199" s="861"/>
      <c r="AF199" s="866">
        <v>6</v>
      </c>
      <c r="AG199" s="861"/>
      <c r="AH199" s="865"/>
      <c r="AI199" s="861"/>
      <c r="AJ199" s="866">
        <v>-2</v>
      </c>
      <c r="AK199" s="861"/>
      <c r="AL199" s="865"/>
      <c r="AM199" s="861"/>
      <c r="AN199" s="866">
        <v>-2</v>
      </c>
      <c r="AO199" s="861"/>
      <c r="AP199" s="865"/>
      <c r="AQ199" s="861"/>
      <c r="AR199" s="866">
        <v>5</v>
      </c>
      <c r="AS199" s="862"/>
      <c r="AT199" s="865"/>
      <c r="AU199" s="861"/>
      <c r="AV199" s="866">
        <v>8</v>
      </c>
      <c r="AW199" s="862"/>
      <c r="AX199" s="865"/>
      <c r="AY199" s="861"/>
      <c r="AZ199" s="866">
        <v>-1</v>
      </c>
      <c r="BA199" s="862"/>
      <c r="BB199" s="865"/>
      <c r="BC199" s="861"/>
      <c r="BD199" s="866">
        <v>10</v>
      </c>
      <c r="BE199" s="862"/>
      <c r="BF199" s="867"/>
      <c r="BG199" s="861"/>
      <c r="BH199" s="866">
        <v>-5</v>
      </c>
      <c r="BI199" s="862"/>
      <c r="BJ199" s="867"/>
      <c r="BK199" s="861"/>
      <c r="BL199" s="866">
        <v>0</v>
      </c>
      <c r="BM199" s="862"/>
      <c r="BN199" s="867"/>
      <c r="BO199" s="861"/>
      <c r="BP199" s="866">
        <v>-6</v>
      </c>
      <c r="BQ199" s="862"/>
      <c r="BR199" s="867"/>
      <c r="BS199" s="861"/>
      <c r="BT199" s="866">
        <v>-7</v>
      </c>
      <c r="BU199" s="862"/>
      <c r="BV199" s="867"/>
      <c r="BW199" s="861"/>
      <c r="BX199" s="866">
        <v>4</v>
      </c>
      <c r="BY199" s="862"/>
      <c r="BZ199" s="867"/>
      <c r="CA199" s="861"/>
      <c r="CB199" s="866"/>
      <c r="CC199" s="862"/>
      <c r="CD199" s="867"/>
      <c r="CE199" s="861"/>
      <c r="CF199" s="866"/>
      <c r="CG199" s="862"/>
      <c r="CH199" s="867"/>
      <c r="CI199" s="861"/>
      <c r="CJ199" s="866"/>
      <c r="CK199" s="862"/>
      <c r="CL199" s="867"/>
      <c r="CM199" s="861"/>
      <c r="CN199" s="866"/>
      <c r="CO199" s="862"/>
      <c r="CP199" s="867"/>
      <c r="CQ199" s="861"/>
      <c r="CR199" s="866"/>
      <c r="CS199" s="862"/>
      <c r="CT199" s="868"/>
      <c r="CU199" s="868"/>
      <c r="CV199" s="868"/>
      <c r="CW199" s="868"/>
      <c r="CX199" s="868"/>
      <c r="CY199" s="868"/>
      <c r="CZ199" s="868"/>
      <c r="DA199" s="868"/>
      <c r="DB199" s="868"/>
      <c r="DC199" s="868"/>
      <c r="DD199" s="868"/>
      <c r="DE199" s="868"/>
      <c r="DF199" s="868"/>
      <c r="DG199" s="868"/>
      <c r="DH199" s="868"/>
      <c r="DI199" s="868"/>
      <c r="DJ199" s="868"/>
      <c r="DK199" s="868"/>
      <c r="DL199" s="868"/>
      <c r="DM199" s="868"/>
      <c r="DN199" s="868"/>
      <c r="DO199" s="868"/>
      <c r="DP199" s="868"/>
      <c r="DQ199" s="868"/>
      <c r="DR199" s="868"/>
      <c r="DS199" s="868"/>
      <c r="DT199" s="868"/>
      <c r="DU199" s="868"/>
      <c r="DV199" s="868"/>
      <c r="DW199" s="868"/>
      <c r="DX199" s="855">
        <f>+AR196*DX196+AR197*DX197+AR198*DX198</f>
        <v>4.9400000000000004</v>
      </c>
      <c r="DY199" s="855"/>
      <c r="DZ199" s="855">
        <f>+AV196*DZ196+AV197*DZ197+AV198*DZ198</f>
        <v>8.15</v>
      </c>
      <c r="EA199" s="855">
        <f>+AZ196*EA196+AZ197*EA197+AZ198*EA198</f>
        <v>-0.9399999999999995</v>
      </c>
      <c r="EB199" s="855">
        <f>+BD196*EB196+BD197*EB197+BD198*EB198</f>
        <v>10.16</v>
      </c>
      <c r="EC199" s="855">
        <f>+BH196*EC196+BH197*EC197+BH198*EC198</f>
        <v>-5.04</v>
      </c>
      <c r="ED199" s="855">
        <f>+BL196*ED196+BL197*ED197+BL198*ED198</f>
        <v>-4.0000000000000036E-2</v>
      </c>
      <c r="EE199" s="855">
        <f>+BP196*EE196+BP197*EE197+BP198*EE198</f>
        <v>-5.68</v>
      </c>
      <c r="EF199" s="855">
        <f>+BT196*EF196+BT197*EF197+BT198*EF198</f>
        <v>-6.6800000000000006</v>
      </c>
      <c r="EG199" s="855">
        <f>+BX196*EG196+BX197*EG197+BX198*EG198</f>
        <v>4.3600000000000003</v>
      </c>
      <c r="EH199" s="855"/>
      <c r="EI199" s="839"/>
      <c r="EJ199" s="839"/>
      <c r="EK199" s="839"/>
    </row>
    <row r="200" spans="1:141" hidden="1" outlineLevel="1">
      <c r="A200" s="871"/>
      <c r="B200" s="871"/>
      <c r="C200" s="871"/>
      <c r="D200" s="872"/>
      <c r="E200" s="871"/>
      <c r="F200" s="873"/>
      <c r="G200" s="871"/>
      <c r="H200" s="871"/>
      <c r="I200" s="871"/>
      <c r="J200" s="874"/>
      <c r="K200" s="871"/>
      <c r="L200" s="871"/>
      <c r="M200" s="871"/>
      <c r="N200" s="874"/>
      <c r="O200" s="871"/>
      <c r="P200" s="871"/>
      <c r="Q200" s="871"/>
      <c r="R200" s="874"/>
      <c r="S200" s="871"/>
      <c r="T200" s="871"/>
      <c r="U200" s="871"/>
      <c r="V200" s="874"/>
      <c r="W200" s="871"/>
      <c r="X200" s="871"/>
      <c r="Y200" s="871"/>
      <c r="Z200" s="874"/>
      <c r="AA200" s="871"/>
      <c r="AB200" s="871"/>
      <c r="AC200" s="871"/>
      <c r="AD200" s="874"/>
      <c r="AE200" s="871"/>
      <c r="AF200" s="871"/>
      <c r="AG200" s="871"/>
      <c r="AH200" s="874"/>
      <c r="AI200" s="871"/>
      <c r="AJ200" s="871"/>
      <c r="AK200" s="871"/>
      <c r="AL200" s="874"/>
      <c r="AM200" s="871"/>
      <c r="AN200" s="871"/>
      <c r="AO200" s="871"/>
      <c r="AP200" s="874"/>
      <c r="AQ200" s="871"/>
      <c r="AR200" s="871"/>
      <c r="AS200" s="871"/>
      <c r="AT200" s="874"/>
      <c r="AU200" s="871"/>
      <c r="AV200" s="871"/>
      <c r="AW200" s="871"/>
      <c r="AX200" s="874"/>
      <c r="AY200" s="871"/>
      <c r="AZ200" s="871"/>
      <c r="BA200" s="871"/>
      <c r="BB200" s="874"/>
      <c r="BC200" s="871"/>
      <c r="BD200" s="871"/>
      <c r="BE200" s="871"/>
      <c r="BF200" s="875"/>
      <c r="BG200" s="871"/>
      <c r="BH200" s="871"/>
      <c r="BI200" s="871"/>
      <c r="BJ200" s="875"/>
      <c r="BK200" s="871"/>
      <c r="BL200" s="911"/>
      <c r="BM200" s="871"/>
      <c r="BN200" s="875"/>
      <c r="BO200" s="871"/>
      <c r="BP200" s="911"/>
      <c r="BQ200" s="871"/>
      <c r="BR200" s="875"/>
      <c r="BS200" s="871"/>
      <c r="BT200" s="911"/>
      <c r="BU200" s="871"/>
      <c r="BV200" s="875"/>
      <c r="BW200" s="871"/>
      <c r="BX200" s="911"/>
      <c r="BY200" s="871"/>
      <c r="BZ200" s="875"/>
      <c r="CA200" s="871"/>
      <c r="CB200" s="911"/>
      <c r="CC200" s="871"/>
      <c r="CD200" s="875"/>
      <c r="CE200" s="871"/>
      <c r="CF200" s="911"/>
      <c r="CG200" s="871"/>
      <c r="CH200" s="875"/>
      <c r="CI200" s="871"/>
      <c r="CJ200" s="911"/>
      <c r="CK200" s="871"/>
      <c r="CL200" s="875"/>
      <c r="CM200" s="871"/>
      <c r="CN200" s="911"/>
      <c r="CO200" s="871"/>
      <c r="CP200" s="875"/>
      <c r="CQ200" s="871"/>
      <c r="CR200" s="911"/>
      <c r="CS200" s="871"/>
      <c r="CT200" s="876"/>
      <c r="CU200" s="876"/>
      <c r="CV200" s="876"/>
      <c r="CW200" s="876"/>
      <c r="CX200" s="876"/>
      <c r="CY200" s="876"/>
      <c r="CZ200" s="876"/>
      <c r="DA200" s="876"/>
      <c r="DB200" s="876"/>
      <c r="DC200" s="876"/>
      <c r="DD200" s="876"/>
      <c r="DE200" s="876"/>
      <c r="DF200" s="876"/>
      <c r="DG200" s="876"/>
      <c r="DH200" s="876"/>
      <c r="DI200" s="876"/>
      <c r="DJ200" s="876"/>
      <c r="DK200" s="876"/>
      <c r="DL200" s="876"/>
      <c r="DM200" s="876"/>
      <c r="DN200" s="876"/>
      <c r="DO200" s="876"/>
      <c r="DP200" s="876"/>
      <c r="DQ200" s="876"/>
      <c r="DR200" s="876"/>
      <c r="DS200" s="876"/>
      <c r="DT200" s="876"/>
      <c r="DU200" s="876"/>
      <c r="DV200" s="876"/>
      <c r="DW200" s="876"/>
      <c r="DX200" s="839"/>
      <c r="DY200" s="839"/>
      <c r="DZ200" s="839"/>
      <c r="EA200" s="839"/>
      <c r="EB200" s="839"/>
      <c r="EC200" s="839"/>
      <c r="ED200" s="839"/>
      <c r="EE200" s="839"/>
      <c r="EF200" s="839"/>
      <c r="EG200" s="839"/>
      <c r="EH200" s="839"/>
      <c r="EI200" s="839"/>
      <c r="EJ200" s="839"/>
      <c r="EK200" s="839"/>
    </row>
    <row r="201" spans="1:141" hidden="1" outlineLevel="1">
      <c r="A201" s="840" t="s">
        <v>831</v>
      </c>
      <c r="B201" s="839"/>
      <c r="C201" s="839"/>
      <c r="D201" s="877">
        <f>+D196</f>
        <v>4</v>
      </c>
      <c r="E201" s="839"/>
      <c r="F201" s="856"/>
      <c r="G201" s="839"/>
      <c r="H201" s="851"/>
      <c r="I201" s="839" t="s">
        <v>1084</v>
      </c>
      <c r="J201" s="852" t="str">
        <f>+J132</f>
        <v>6/1</v>
      </c>
      <c r="K201" s="839"/>
      <c r="L201" s="851"/>
      <c r="M201" s="839" t="s">
        <v>1084</v>
      </c>
      <c r="N201" s="852" t="str">
        <f>+N132</f>
        <v xml:space="preserve"> 5/30</v>
      </c>
      <c r="O201" s="839"/>
      <c r="P201" s="851"/>
      <c r="Q201" s="839" t="s">
        <v>1084</v>
      </c>
      <c r="R201" s="852" t="str">
        <f>+R132</f>
        <v xml:space="preserve"> 5/29</v>
      </c>
      <c r="S201" s="839"/>
      <c r="T201" s="853">
        <v>-5</v>
      </c>
      <c r="U201" s="839" t="s">
        <v>1084</v>
      </c>
      <c r="V201" s="852" t="str">
        <f>+V132</f>
        <v>5/28</v>
      </c>
      <c r="W201" s="839"/>
      <c r="X201" s="853">
        <v>-28</v>
      </c>
      <c r="Y201" s="839" t="s">
        <v>1084</v>
      </c>
      <c r="Z201" s="852" t="str">
        <f>+Z132</f>
        <v>5/27</v>
      </c>
      <c r="AA201" s="839"/>
      <c r="AB201" s="853">
        <v>-13</v>
      </c>
      <c r="AC201" s="839" t="s">
        <v>1084</v>
      </c>
      <c r="AD201" s="852" t="str">
        <f>+AD132</f>
        <v>6/1</v>
      </c>
      <c r="AE201" s="839"/>
      <c r="AF201" s="853">
        <v>16</v>
      </c>
      <c r="AG201" s="839" t="s">
        <v>1084</v>
      </c>
      <c r="AH201" s="852" t="str">
        <f>+AH132</f>
        <v>5/31</v>
      </c>
      <c r="AI201" s="839"/>
      <c r="AJ201" s="853">
        <v>-15</v>
      </c>
      <c r="AK201" s="839" t="s">
        <v>1084</v>
      </c>
      <c r="AL201" s="852" t="str">
        <f>+AL132</f>
        <v>5/30</v>
      </c>
      <c r="AM201" s="839"/>
      <c r="AN201" s="853">
        <v>-1</v>
      </c>
      <c r="AO201" s="839" t="s">
        <v>1084</v>
      </c>
      <c r="AP201" s="852" t="str">
        <f>+AP132</f>
        <v>5/29</v>
      </c>
      <c r="AQ201" s="839"/>
      <c r="AR201" s="853">
        <v>11</v>
      </c>
      <c r="AS201" s="839" t="s">
        <v>1084</v>
      </c>
      <c r="AT201" s="852" t="str">
        <f>+AT132</f>
        <v>5/27</v>
      </c>
      <c r="AU201" s="839"/>
      <c r="AV201" s="853">
        <v>-3</v>
      </c>
      <c r="AW201" s="839" t="s">
        <v>1084</v>
      </c>
      <c r="AX201" s="852" t="str">
        <f>+AX132</f>
        <v>6/2</v>
      </c>
      <c r="AY201" s="839"/>
      <c r="AZ201" s="853">
        <v>1</v>
      </c>
      <c r="BA201" s="839" t="s">
        <v>1084</v>
      </c>
      <c r="BB201" s="852" t="str">
        <f>+BB132</f>
        <v>6/1</v>
      </c>
      <c r="BC201" s="839"/>
      <c r="BD201" s="853">
        <v>14</v>
      </c>
      <c r="BE201" s="839" t="s">
        <v>1084</v>
      </c>
      <c r="BF201" s="854">
        <f>+BF132</f>
        <v>37772</v>
      </c>
      <c r="BG201" s="839"/>
      <c r="BH201" s="853">
        <v>1</v>
      </c>
      <c r="BI201" s="839" t="s">
        <v>1084</v>
      </c>
      <c r="BJ201" s="854">
        <f>+BJ132</f>
        <v>38137</v>
      </c>
      <c r="BK201" s="839"/>
      <c r="BL201" s="853">
        <v>-11</v>
      </c>
      <c r="BM201" s="839" t="s">
        <v>1084</v>
      </c>
      <c r="BN201" s="854">
        <f>+BN132</f>
        <v>38500</v>
      </c>
      <c r="BO201" s="839"/>
      <c r="BP201" s="853">
        <v>5</v>
      </c>
      <c r="BQ201" s="839" t="s">
        <v>1084</v>
      </c>
      <c r="BR201" s="854">
        <f>+BR132</f>
        <v>38499</v>
      </c>
      <c r="BS201" s="839"/>
      <c r="BT201" s="853">
        <v>-1</v>
      </c>
      <c r="BU201" s="839" t="s">
        <v>1084</v>
      </c>
      <c r="BV201" s="854">
        <f>+BV132</f>
        <v>39235</v>
      </c>
      <c r="BW201" s="839"/>
      <c r="BX201" s="853">
        <v>5</v>
      </c>
      <c r="BY201" s="839" t="s">
        <v>1084</v>
      </c>
      <c r="BZ201" s="854"/>
      <c r="CA201" s="839"/>
      <c r="CB201" s="853"/>
      <c r="CC201" s="839"/>
      <c r="CD201" s="854"/>
      <c r="CE201" s="839"/>
      <c r="CF201" s="853"/>
      <c r="CG201" s="839"/>
      <c r="CH201" s="854"/>
      <c r="CI201" s="839"/>
      <c r="CJ201" s="853"/>
      <c r="CK201" s="839"/>
      <c r="CL201" s="854"/>
      <c r="CM201" s="839"/>
      <c r="CN201" s="853"/>
      <c r="CO201" s="839"/>
      <c r="CP201" s="854"/>
      <c r="CQ201" s="839"/>
      <c r="CR201" s="853"/>
      <c r="CS201" s="839"/>
      <c r="CT201" s="839"/>
      <c r="CU201" s="839"/>
      <c r="CV201" s="839"/>
      <c r="CW201" s="839"/>
      <c r="CX201" s="839"/>
      <c r="CY201" s="839"/>
      <c r="CZ201" s="839"/>
      <c r="DA201" s="839"/>
      <c r="DB201" s="839"/>
      <c r="DC201" s="839"/>
      <c r="DD201" s="839"/>
      <c r="DE201" s="839"/>
      <c r="DF201" s="839"/>
      <c r="DG201" s="839"/>
      <c r="DH201" s="839"/>
      <c r="DI201" s="839"/>
      <c r="DJ201" s="839"/>
      <c r="DK201" s="839"/>
      <c r="DL201" s="839"/>
      <c r="DM201" s="839"/>
      <c r="DN201" s="839"/>
      <c r="DO201" s="839"/>
      <c r="DP201" s="839"/>
      <c r="DQ201" s="839"/>
      <c r="DR201" s="839"/>
      <c r="DS201" s="839"/>
      <c r="DT201" s="839"/>
      <c r="DU201" s="839"/>
      <c r="DV201" s="839"/>
      <c r="DW201" s="839"/>
      <c r="DX201" s="892">
        <v>0.34</v>
      </c>
      <c r="DY201" s="892"/>
      <c r="DZ201" s="892">
        <v>0.34</v>
      </c>
      <c r="EA201" s="892">
        <v>0.34</v>
      </c>
      <c r="EB201" s="892">
        <v>0.34</v>
      </c>
      <c r="EC201" s="892">
        <v>0.34</v>
      </c>
      <c r="ED201" s="892">
        <v>0.34</v>
      </c>
      <c r="EE201" s="892">
        <v>0.34</v>
      </c>
      <c r="EF201" s="892">
        <v>0.34</v>
      </c>
      <c r="EG201" s="892">
        <v>0.34</v>
      </c>
      <c r="EH201" s="892">
        <v>0.34</v>
      </c>
      <c r="EI201" s="839"/>
      <c r="EJ201" s="839"/>
      <c r="EK201" s="839"/>
    </row>
    <row r="202" spans="1:141" hidden="1" outlineLevel="1">
      <c r="A202" s="840" t="s">
        <v>652</v>
      </c>
      <c r="B202" s="839"/>
      <c r="C202" s="839"/>
      <c r="D202" s="877">
        <f>+D197</f>
        <v>5</v>
      </c>
      <c r="E202" s="839"/>
      <c r="F202" s="841"/>
      <c r="G202" s="839"/>
      <c r="H202" s="851"/>
      <c r="I202" s="839"/>
      <c r="J202" s="852" t="str">
        <f>+J133</f>
        <v>7/6</v>
      </c>
      <c r="K202" s="839"/>
      <c r="L202" s="851"/>
      <c r="M202" s="839"/>
      <c r="N202" s="852" t="str">
        <f>+N133</f>
        <v xml:space="preserve"> 7/4</v>
      </c>
      <c r="O202" s="839"/>
      <c r="P202" s="851"/>
      <c r="Q202" s="839"/>
      <c r="R202" s="852" t="str">
        <f>+R133</f>
        <v xml:space="preserve"> 7/3</v>
      </c>
      <c r="S202" s="839"/>
      <c r="T202" s="853">
        <v>-3</v>
      </c>
      <c r="U202" s="839"/>
      <c r="V202" s="852" t="str">
        <f>+V133</f>
        <v>7/2</v>
      </c>
      <c r="W202" s="839"/>
      <c r="X202" s="853">
        <v>-13</v>
      </c>
      <c r="Y202" s="839"/>
      <c r="Z202" s="852" t="str">
        <f>+Z133</f>
        <v>7/1</v>
      </c>
      <c r="AA202" s="839"/>
      <c r="AB202" s="853">
        <v>-8</v>
      </c>
      <c r="AC202" s="839"/>
      <c r="AD202" s="852" t="str">
        <f>+AD133</f>
        <v>7/6</v>
      </c>
      <c r="AE202" s="839"/>
      <c r="AF202" s="853">
        <v>3</v>
      </c>
      <c r="AG202" s="839"/>
      <c r="AH202" s="852" t="str">
        <f>+AH133</f>
        <v>7/5</v>
      </c>
      <c r="AI202" s="839"/>
      <c r="AJ202" s="853">
        <v>-8</v>
      </c>
      <c r="AK202" s="839"/>
      <c r="AL202" s="852" t="str">
        <f>+AL133</f>
        <v>7/4</v>
      </c>
      <c r="AM202" s="839"/>
      <c r="AN202" s="853">
        <v>-9</v>
      </c>
      <c r="AO202" s="839"/>
      <c r="AP202" s="852" t="str">
        <f>+AP133</f>
        <v>7/3</v>
      </c>
      <c r="AQ202" s="839"/>
      <c r="AR202" s="853">
        <v>8</v>
      </c>
      <c r="AS202" s="839"/>
      <c r="AT202" s="852" t="str">
        <f>+AT133</f>
        <v>7/1</v>
      </c>
      <c r="AU202" s="839"/>
      <c r="AV202" s="853">
        <v>8</v>
      </c>
      <c r="AW202" s="839"/>
      <c r="AX202" s="852" t="str">
        <f>+AX133</f>
        <v>7/7</v>
      </c>
      <c r="AY202" s="839"/>
      <c r="AZ202" s="853">
        <v>-8</v>
      </c>
      <c r="BA202" s="839"/>
      <c r="BB202" s="852" t="str">
        <f>+BB133</f>
        <v>7/6</v>
      </c>
      <c r="BC202" s="839"/>
      <c r="BD202" s="853">
        <v>13</v>
      </c>
      <c r="BE202" s="839"/>
      <c r="BF202" s="854">
        <f>+BF133</f>
        <v>37807</v>
      </c>
      <c r="BG202" s="839"/>
      <c r="BH202" s="853">
        <v>0</v>
      </c>
      <c r="BI202" s="839"/>
      <c r="BJ202" s="854">
        <f>+BJ133</f>
        <v>38172</v>
      </c>
      <c r="BK202" s="839"/>
      <c r="BL202" s="853">
        <v>7</v>
      </c>
      <c r="BM202" s="839"/>
      <c r="BN202" s="854">
        <f>+BN133</f>
        <v>38535</v>
      </c>
      <c r="BO202" s="839"/>
      <c r="BP202" s="853">
        <v>-10</v>
      </c>
      <c r="BQ202" s="839"/>
      <c r="BR202" s="854">
        <f>+BR133</f>
        <v>38534</v>
      </c>
      <c r="BS202" s="839"/>
      <c r="BT202" s="853">
        <v>-1</v>
      </c>
      <c r="BU202" s="839"/>
      <c r="BV202" s="854">
        <f>+BV133</f>
        <v>39270</v>
      </c>
      <c r="BW202" s="839"/>
      <c r="BX202" s="853">
        <v>-4</v>
      </c>
      <c r="BY202" s="839"/>
      <c r="BZ202" s="854"/>
      <c r="CA202" s="839"/>
      <c r="CB202" s="853"/>
      <c r="CC202" s="839"/>
      <c r="CD202" s="854"/>
      <c r="CE202" s="839"/>
      <c r="CF202" s="853"/>
      <c r="CG202" s="839"/>
      <c r="CH202" s="854"/>
      <c r="CI202" s="839"/>
      <c r="CJ202" s="853"/>
      <c r="CK202" s="839"/>
      <c r="CL202" s="854"/>
      <c r="CM202" s="839"/>
      <c r="CN202" s="853"/>
      <c r="CO202" s="839"/>
      <c r="CP202" s="854"/>
      <c r="CQ202" s="839"/>
      <c r="CR202" s="853"/>
      <c r="CS202" s="839"/>
      <c r="CT202" s="839"/>
      <c r="CU202" s="839"/>
      <c r="CV202" s="839"/>
      <c r="CW202" s="839"/>
      <c r="CX202" s="839"/>
      <c r="CY202" s="839"/>
      <c r="CZ202" s="839"/>
      <c r="DA202" s="839"/>
      <c r="DB202" s="839"/>
      <c r="DC202" s="839"/>
      <c r="DD202" s="839"/>
      <c r="DE202" s="839"/>
      <c r="DF202" s="839"/>
      <c r="DG202" s="839"/>
      <c r="DH202" s="839"/>
      <c r="DI202" s="839"/>
      <c r="DJ202" s="839"/>
      <c r="DK202" s="839"/>
      <c r="DL202" s="839"/>
      <c r="DM202" s="839"/>
      <c r="DN202" s="839"/>
      <c r="DO202" s="839"/>
      <c r="DP202" s="839"/>
      <c r="DQ202" s="839"/>
      <c r="DR202" s="839"/>
      <c r="DS202" s="839"/>
      <c r="DT202" s="839"/>
      <c r="DU202" s="839"/>
      <c r="DV202" s="839"/>
      <c r="DW202" s="839"/>
      <c r="DX202" s="892">
        <v>0.37</v>
      </c>
      <c r="DY202" s="892"/>
      <c r="DZ202" s="892">
        <v>0.37</v>
      </c>
      <c r="EA202" s="892">
        <v>0.37</v>
      </c>
      <c r="EB202" s="892">
        <v>0.37</v>
      </c>
      <c r="EC202" s="892">
        <v>0.37</v>
      </c>
      <c r="ED202" s="892">
        <v>0.37</v>
      </c>
      <c r="EE202" s="892">
        <v>0.37</v>
      </c>
      <c r="EF202" s="892">
        <v>0.37</v>
      </c>
      <c r="EG202" s="892">
        <v>0.37</v>
      </c>
      <c r="EH202" s="892">
        <v>0.37</v>
      </c>
      <c r="EI202" s="839"/>
      <c r="EJ202" s="839"/>
      <c r="EK202" s="839"/>
    </row>
    <row r="203" spans="1:141" hidden="1" outlineLevel="1">
      <c r="A203" s="840" t="s">
        <v>653</v>
      </c>
      <c r="B203" s="839"/>
      <c r="C203" s="839"/>
      <c r="D203" s="877">
        <f>+D198</f>
        <v>4</v>
      </c>
      <c r="E203" s="839"/>
      <c r="F203" s="841"/>
      <c r="G203" s="839"/>
      <c r="H203" s="857"/>
      <c r="I203" s="839"/>
      <c r="J203" s="852" t="str">
        <f>+J134</f>
        <v>8/3</v>
      </c>
      <c r="K203" s="839"/>
      <c r="L203" s="857"/>
      <c r="M203" s="839"/>
      <c r="N203" s="852" t="str">
        <f>+N134</f>
        <v xml:space="preserve"> 8/1</v>
      </c>
      <c r="O203" s="839"/>
      <c r="P203" s="857"/>
      <c r="Q203" s="839"/>
      <c r="R203" s="852" t="str">
        <f>+R134</f>
        <v xml:space="preserve"> 7/31</v>
      </c>
      <c r="S203" s="839"/>
      <c r="T203" s="858">
        <v>0</v>
      </c>
      <c r="U203" s="839"/>
      <c r="V203" s="852" t="str">
        <f>+V134</f>
        <v>7/30</v>
      </c>
      <c r="W203" s="839"/>
      <c r="X203" s="858">
        <v>-22</v>
      </c>
      <c r="Y203" s="839"/>
      <c r="Z203" s="852" t="str">
        <f>+Z134</f>
        <v>7/29</v>
      </c>
      <c r="AA203" s="839"/>
      <c r="AB203" s="858">
        <v>-5</v>
      </c>
      <c r="AC203" s="839"/>
      <c r="AD203" s="852" t="str">
        <f>+AD134</f>
        <v>8/3</v>
      </c>
      <c r="AE203" s="839"/>
      <c r="AF203" s="858">
        <v>6</v>
      </c>
      <c r="AG203" s="839"/>
      <c r="AH203" s="852" t="str">
        <f>+AH134</f>
        <v>8/2</v>
      </c>
      <c r="AI203" s="839"/>
      <c r="AJ203" s="858">
        <v>-14</v>
      </c>
      <c r="AK203" s="839"/>
      <c r="AL203" s="852" t="str">
        <f>+AL134</f>
        <v>8/1</v>
      </c>
      <c r="AM203" s="839"/>
      <c r="AN203" s="858">
        <v>15</v>
      </c>
      <c r="AO203" s="839"/>
      <c r="AP203" s="852" t="str">
        <f>+AP134</f>
        <v>7/31</v>
      </c>
      <c r="AQ203" s="839"/>
      <c r="AR203" s="858">
        <v>10</v>
      </c>
      <c r="AS203" s="839"/>
      <c r="AT203" s="852" t="str">
        <f>+AT134</f>
        <v>7/29</v>
      </c>
      <c r="AU203" s="839"/>
      <c r="AV203" s="858">
        <v>-4</v>
      </c>
      <c r="AW203" s="839"/>
      <c r="AX203" s="852" t="str">
        <f>+AX134</f>
        <v>8/4</v>
      </c>
      <c r="AY203" s="839"/>
      <c r="AZ203" s="858">
        <v>-7</v>
      </c>
      <c r="BA203" s="839"/>
      <c r="BB203" s="852" t="str">
        <f>+BB134</f>
        <v>8/3</v>
      </c>
      <c r="BC203" s="839"/>
      <c r="BD203" s="858">
        <v>11</v>
      </c>
      <c r="BE203" s="839"/>
      <c r="BF203" s="854">
        <f>+BF134</f>
        <v>37835</v>
      </c>
      <c r="BG203" s="839"/>
      <c r="BH203" s="858">
        <v>-14</v>
      </c>
      <c r="BI203" s="839"/>
      <c r="BJ203" s="854">
        <f>+BJ134</f>
        <v>38200</v>
      </c>
      <c r="BK203" s="839"/>
      <c r="BL203" s="858">
        <v>-3</v>
      </c>
      <c r="BM203" s="839"/>
      <c r="BN203" s="854">
        <f>+BN134</f>
        <v>38563</v>
      </c>
      <c r="BO203" s="839"/>
      <c r="BP203" s="858">
        <v>-2</v>
      </c>
      <c r="BQ203" s="839"/>
      <c r="BR203" s="854">
        <f>+BR134</f>
        <v>38562</v>
      </c>
      <c r="BS203" s="839"/>
      <c r="BT203" s="858">
        <v>-12</v>
      </c>
      <c r="BU203" s="839"/>
      <c r="BV203" s="854">
        <f>+BV134</f>
        <v>39298</v>
      </c>
      <c r="BW203" s="839"/>
      <c r="BX203" s="858">
        <v>10</v>
      </c>
      <c r="BY203" s="839"/>
      <c r="BZ203" s="854"/>
      <c r="CA203" s="839"/>
      <c r="CB203" s="858"/>
      <c r="CC203" s="839"/>
      <c r="CD203" s="854"/>
      <c r="CE203" s="839"/>
      <c r="CF203" s="858"/>
      <c r="CG203" s="839"/>
      <c r="CH203" s="854"/>
      <c r="CI203" s="839"/>
      <c r="CJ203" s="858"/>
      <c r="CK203" s="839"/>
      <c r="CL203" s="854"/>
      <c r="CM203" s="839"/>
      <c r="CN203" s="858"/>
      <c r="CO203" s="839"/>
      <c r="CP203" s="854"/>
      <c r="CQ203" s="839"/>
      <c r="CR203" s="858"/>
      <c r="CS203" s="839"/>
      <c r="CT203" s="839"/>
      <c r="CU203" s="839"/>
      <c r="CV203" s="839"/>
      <c r="CW203" s="839"/>
      <c r="CX203" s="839"/>
      <c r="CY203" s="839"/>
      <c r="CZ203" s="839"/>
      <c r="DA203" s="839"/>
      <c r="DB203" s="839"/>
      <c r="DC203" s="839"/>
      <c r="DD203" s="839"/>
      <c r="DE203" s="839"/>
      <c r="DF203" s="839"/>
      <c r="DG203" s="839"/>
      <c r="DH203" s="839"/>
      <c r="DI203" s="839"/>
      <c r="DJ203" s="839"/>
      <c r="DK203" s="839"/>
      <c r="DL203" s="839"/>
      <c r="DM203" s="839"/>
      <c r="DN203" s="839"/>
      <c r="DO203" s="839"/>
      <c r="DP203" s="839"/>
      <c r="DQ203" s="839"/>
      <c r="DR203" s="839"/>
      <c r="DS203" s="839"/>
      <c r="DT203" s="839"/>
      <c r="DU203" s="839"/>
      <c r="DV203" s="839"/>
      <c r="DW203" s="839"/>
      <c r="DX203" s="893">
        <f>1-DX202-DX201</f>
        <v>0.28999999999999998</v>
      </c>
      <c r="DY203" s="893"/>
      <c r="DZ203" s="893">
        <f t="shared" ref="DZ203:EH203" si="82">1-DZ202-DZ201</f>
        <v>0.28999999999999998</v>
      </c>
      <c r="EA203" s="893">
        <f t="shared" si="82"/>
        <v>0.28999999999999998</v>
      </c>
      <c r="EB203" s="893">
        <f t="shared" si="82"/>
        <v>0.28999999999999998</v>
      </c>
      <c r="EC203" s="893">
        <f t="shared" si="82"/>
        <v>0.28999999999999998</v>
      </c>
      <c r="ED203" s="893">
        <f t="shared" si="82"/>
        <v>0.28999999999999998</v>
      </c>
      <c r="EE203" s="893">
        <f t="shared" si="82"/>
        <v>0.28999999999999998</v>
      </c>
      <c r="EF203" s="893">
        <f t="shared" si="82"/>
        <v>0.28999999999999998</v>
      </c>
      <c r="EG203" s="893">
        <f t="shared" si="82"/>
        <v>0.28999999999999998</v>
      </c>
      <c r="EH203" s="893">
        <f t="shared" si="82"/>
        <v>0.28999999999999998</v>
      </c>
      <c r="EI203" s="839"/>
      <c r="EJ203" s="839"/>
      <c r="EK203" s="839"/>
    </row>
    <row r="204" spans="1:141" hidden="1" outlineLevel="1">
      <c r="A204" s="861"/>
      <c r="B204" s="862" t="s">
        <v>924</v>
      </c>
      <c r="C204" s="861"/>
      <c r="D204" s="863"/>
      <c r="E204" s="861"/>
      <c r="F204" s="863"/>
      <c r="G204" s="861"/>
      <c r="H204" s="864"/>
      <c r="I204" s="861"/>
      <c r="J204" s="863"/>
      <c r="K204" s="861"/>
      <c r="L204" s="864"/>
      <c r="M204" s="861"/>
      <c r="N204" s="863"/>
      <c r="O204" s="861"/>
      <c r="P204" s="864"/>
      <c r="Q204" s="861"/>
      <c r="R204" s="863"/>
      <c r="S204" s="861"/>
      <c r="T204" s="866">
        <v>-3</v>
      </c>
      <c r="U204" s="861"/>
      <c r="V204" s="863"/>
      <c r="W204" s="861"/>
      <c r="X204" s="866">
        <v>-21</v>
      </c>
      <c r="Y204" s="861"/>
      <c r="Z204" s="863"/>
      <c r="AA204" s="861"/>
      <c r="AB204" s="866">
        <v>-9</v>
      </c>
      <c r="AC204" s="861"/>
      <c r="AD204" s="863"/>
      <c r="AE204" s="861"/>
      <c r="AF204" s="866">
        <v>8</v>
      </c>
      <c r="AG204" s="861"/>
      <c r="AH204" s="863"/>
      <c r="AI204" s="861"/>
      <c r="AJ204" s="866">
        <v>-12</v>
      </c>
      <c r="AK204" s="861"/>
      <c r="AL204" s="863"/>
      <c r="AM204" s="861"/>
      <c r="AN204" s="866">
        <v>0</v>
      </c>
      <c r="AO204" s="861"/>
      <c r="AP204" s="863"/>
      <c r="AQ204" s="861"/>
      <c r="AR204" s="866">
        <v>10</v>
      </c>
      <c r="AS204" s="861"/>
      <c r="AT204" s="863"/>
      <c r="AU204" s="861"/>
      <c r="AV204" s="866">
        <v>0</v>
      </c>
      <c r="AW204" s="861"/>
      <c r="AX204" s="863"/>
      <c r="AY204" s="861"/>
      <c r="AZ204" s="866">
        <v>-5</v>
      </c>
      <c r="BA204" s="861"/>
      <c r="BB204" s="863"/>
      <c r="BC204" s="861"/>
      <c r="BD204" s="866">
        <v>13</v>
      </c>
      <c r="BE204" s="861"/>
      <c r="BF204" s="867"/>
      <c r="BG204" s="861"/>
      <c r="BH204" s="866">
        <v>-4</v>
      </c>
      <c r="BI204" s="861"/>
      <c r="BJ204" s="867"/>
      <c r="BK204" s="861"/>
      <c r="BL204" s="866">
        <v>-2</v>
      </c>
      <c r="BM204" s="861"/>
      <c r="BN204" s="867"/>
      <c r="BO204" s="861"/>
      <c r="BP204" s="866">
        <v>-2</v>
      </c>
      <c r="BQ204" s="861"/>
      <c r="BR204" s="867"/>
      <c r="BS204" s="861"/>
      <c r="BT204" s="866">
        <v>-4</v>
      </c>
      <c r="BU204" s="861"/>
      <c r="BV204" s="867"/>
      <c r="BW204" s="861"/>
      <c r="BX204" s="866">
        <v>3</v>
      </c>
      <c r="BY204" s="861"/>
      <c r="BZ204" s="867"/>
      <c r="CA204" s="861"/>
      <c r="CB204" s="866"/>
      <c r="CC204" s="861"/>
      <c r="CD204" s="867"/>
      <c r="CE204" s="861"/>
      <c r="CF204" s="866"/>
      <c r="CG204" s="861"/>
      <c r="CH204" s="867"/>
      <c r="CI204" s="861"/>
      <c r="CJ204" s="866"/>
      <c r="CK204" s="861"/>
      <c r="CL204" s="867"/>
      <c r="CM204" s="861"/>
      <c r="CN204" s="866"/>
      <c r="CO204" s="861"/>
      <c r="CP204" s="867"/>
      <c r="CQ204" s="861"/>
      <c r="CR204" s="866"/>
      <c r="CS204" s="861"/>
      <c r="CT204" s="876"/>
      <c r="CU204" s="876"/>
      <c r="CV204" s="876"/>
      <c r="CW204" s="876"/>
      <c r="CX204" s="876"/>
      <c r="CY204" s="876"/>
      <c r="CZ204" s="876"/>
      <c r="DA204" s="876"/>
      <c r="DB204" s="876"/>
      <c r="DC204" s="876"/>
      <c r="DD204" s="876"/>
      <c r="DE204" s="876"/>
      <c r="DF204" s="876"/>
      <c r="DG204" s="876"/>
      <c r="DH204" s="876"/>
      <c r="DI204" s="876"/>
      <c r="DJ204" s="876"/>
      <c r="DK204" s="876"/>
      <c r="DL204" s="876"/>
      <c r="DM204" s="876"/>
      <c r="DN204" s="876"/>
      <c r="DO204" s="876"/>
      <c r="DP204" s="876"/>
      <c r="DQ204" s="876"/>
      <c r="DR204" s="876"/>
      <c r="DS204" s="876"/>
      <c r="DT204" s="876"/>
      <c r="DU204" s="876"/>
      <c r="DV204" s="876"/>
      <c r="DW204" s="876"/>
      <c r="DX204" s="855">
        <f>+AR201*DX201+AR202*DX202+AR203*DX203</f>
        <v>9.6</v>
      </c>
      <c r="DY204" s="855"/>
      <c r="DZ204" s="855">
        <f>+AV201*DZ201+AV202*DZ202+AV203*DZ203</f>
        <v>0.78</v>
      </c>
      <c r="EA204" s="855">
        <f>+AZ201*EA201+AZ202*EA202+AZ203*EA203</f>
        <v>-4.6500000000000004</v>
      </c>
      <c r="EB204" s="855">
        <f>+BD201*EB201+BD202*EB202+BD203*EB203</f>
        <v>12.76</v>
      </c>
      <c r="EC204" s="855">
        <f>+BH201*EC201+BH202*EC202+BH203*EC203</f>
        <v>-3.7199999999999998</v>
      </c>
      <c r="ED204" s="855">
        <f>+BL201*ED201+BL202*ED202+BL203*ED203</f>
        <v>-2.0200000000000005</v>
      </c>
      <c r="EE204" s="855">
        <f>+BP201*EE201+BP202*EE202+BP203*EE203</f>
        <v>-2.58</v>
      </c>
      <c r="EF204" s="855">
        <f>+BT201*EF201+BT202*EF202+BT203*EF203</f>
        <v>-4.1899999999999995</v>
      </c>
      <c r="EG204" s="855">
        <f>+BX201*EG201+BX202*EG202+BX203*EG203</f>
        <v>3.12</v>
      </c>
      <c r="EH204" s="855"/>
      <c r="EI204" s="839"/>
      <c r="EJ204" s="839"/>
      <c r="EK204" s="839"/>
    </row>
    <row r="205" spans="1:141" hidden="1" outlineLevel="1">
      <c r="A205" s="839"/>
      <c r="B205" s="839"/>
      <c r="C205" s="839"/>
      <c r="D205" s="877"/>
      <c r="E205" s="839"/>
      <c r="F205" s="842"/>
      <c r="G205" s="839"/>
      <c r="H205" s="839"/>
      <c r="I205" s="839"/>
      <c r="J205" s="842"/>
      <c r="K205" s="839"/>
      <c r="L205" s="839"/>
      <c r="M205" s="839"/>
      <c r="N205" s="842"/>
      <c r="O205" s="839"/>
      <c r="P205" s="839"/>
      <c r="Q205" s="839"/>
      <c r="R205" s="842"/>
      <c r="S205" s="839"/>
      <c r="T205" s="839"/>
      <c r="U205" s="839"/>
      <c r="V205" s="842"/>
      <c r="W205" s="839"/>
      <c r="X205" s="839"/>
      <c r="Y205" s="839"/>
      <c r="Z205" s="842"/>
      <c r="AA205" s="839"/>
      <c r="AB205" s="839"/>
      <c r="AC205" s="839"/>
      <c r="AD205" s="842"/>
      <c r="AE205" s="839"/>
      <c r="AF205" s="839"/>
      <c r="AG205" s="839"/>
      <c r="AH205" s="842"/>
      <c r="AI205" s="839"/>
      <c r="AJ205" s="839"/>
      <c r="AK205" s="839"/>
      <c r="AL205" s="842"/>
      <c r="AM205" s="839"/>
      <c r="AN205" s="839"/>
      <c r="AO205" s="839"/>
      <c r="AP205" s="842"/>
      <c r="AQ205" s="839"/>
      <c r="AR205" s="839"/>
      <c r="AS205" s="839"/>
      <c r="AT205" s="842"/>
      <c r="AU205" s="839"/>
      <c r="AV205" s="839"/>
      <c r="AW205" s="839"/>
      <c r="AX205" s="842"/>
      <c r="AY205" s="839"/>
      <c r="AZ205" s="839"/>
      <c r="BA205" s="839"/>
      <c r="BB205" s="842"/>
      <c r="BC205" s="839"/>
      <c r="BD205" s="839"/>
      <c r="BE205" s="839"/>
      <c r="BF205" s="879"/>
      <c r="BG205" s="839"/>
      <c r="BH205" s="839"/>
      <c r="BI205" s="839"/>
      <c r="BJ205" s="879"/>
      <c r="BK205" s="839"/>
      <c r="BL205" s="839"/>
      <c r="BM205" s="839"/>
      <c r="BN205" s="879"/>
      <c r="BO205" s="839"/>
      <c r="BP205" s="839"/>
      <c r="BQ205" s="839"/>
      <c r="BR205" s="879"/>
      <c r="BS205" s="839"/>
      <c r="BT205" s="839"/>
      <c r="BU205" s="839"/>
      <c r="BV205" s="879"/>
      <c r="BW205" s="839"/>
      <c r="BX205" s="839"/>
      <c r="BY205" s="839"/>
      <c r="BZ205" s="879"/>
      <c r="CA205" s="839"/>
      <c r="CB205" s="839"/>
      <c r="CC205" s="839"/>
      <c r="CD205" s="879"/>
      <c r="CE205" s="839"/>
      <c r="CF205" s="839"/>
      <c r="CG205" s="839"/>
      <c r="CH205" s="879"/>
      <c r="CI205" s="839"/>
      <c r="CJ205" s="839"/>
      <c r="CK205" s="839"/>
      <c r="CL205" s="879"/>
      <c r="CM205" s="839"/>
      <c r="CN205" s="839"/>
      <c r="CO205" s="839"/>
      <c r="CP205" s="879"/>
      <c r="CQ205" s="839"/>
      <c r="CR205" s="839"/>
      <c r="CS205" s="839"/>
      <c r="CT205" s="839"/>
      <c r="CU205" s="839"/>
      <c r="CV205" s="839"/>
      <c r="CW205" s="839"/>
      <c r="CX205" s="839"/>
      <c r="CY205" s="839"/>
      <c r="CZ205" s="839"/>
      <c r="DA205" s="839"/>
      <c r="DB205" s="839"/>
      <c r="DC205" s="839"/>
      <c r="DD205" s="839"/>
      <c r="DE205" s="839"/>
      <c r="DF205" s="839"/>
      <c r="DG205" s="839"/>
      <c r="DH205" s="839"/>
      <c r="DI205" s="839"/>
      <c r="DJ205" s="839"/>
      <c r="DK205" s="839"/>
      <c r="DL205" s="839"/>
      <c r="DM205" s="839"/>
      <c r="DN205" s="839"/>
      <c r="DO205" s="839"/>
      <c r="DP205" s="839"/>
      <c r="DQ205" s="839"/>
      <c r="DR205" s="839"/>
      <c r="DS205" s="839"/>
      <c r="DT205" s="839"/>
      <c r="DU205" s="839"/>
      <c r="DV205" s="839"/>
      <c r="DW205" s="839"/>
      <c r="DX205" s="839"/>
      <c r="DY205" s="839"/>
      <c r="DZ205" s="839"/>
      <c r="EA205" s="839"/>
      <c r="EB205" s="839"/>
      <c r="EC205" s="839"/>
      <c r="ED205" s="839"/>
      <c r="EE205" s="839"/>
      <c r="EF205" s="839"/>
      <c r="EG205" s="839"/>
      <c r="EH205" s="839"/>
      <c r="EI205" s="839"/>
      <c r="EJ205" s="839"/>
      <c r="EK205" s="839"/>
    </row>
    <row r="206" spans="1:141" hidden="1" outlineLevel="1">
      <c r="A206" s="840" t="s">
        <v>654</v>
      </c>
      <c r="B206" s="840"/>
      <c r="C206" s="839"/>
      <c r="D206" s="877">
        <f>+D201</f>
        <v>4</v>
      </c>
      <c r="E206" s="839"/>
      <c r="F206" s="856"/>
      <c r="G206" s="839"/>
      <c r="H206" s="851"/>
      <c r="I206" s="839" t="s">
        <v>1084</v>
      </c>
      <c r="J206" s="852" t="str">
        <f>+J137</f>
        <v>8/31</v>
      </c>
      <c r="K206" s="839"/>
      <c r="L206" s="851"/>
      <c r="M206" s="839" t="s">
        <v>1084</v>
      </c>
      <c r="N206" s="852" t="str">
        <f>+N137</f>
        <v xml:space="preserve"> 8/29</v>
      </c>
      <c r="O206" s="839"/>
      <c r="P206" s="851"/>
      <c r="Q206" s="839" t="s">
        <v>1084</v>
      </c>
      <c r="R206" s="852" t="str">
        <f>+R137</f>
        <v xml:space="preserve"> 8/28</v>
      </c>
      <c r="S206" s="839"/>
      <c r="T206" s="853">
        <v>-20</v>
      </c>
      <c r="U206" s="839" t="s">
        <v>1084</v>
      </c>
      <c r="V206" s="852" t="str">
        <f>+V137</f>
        <v>8/27</v>
      </c>
      <c r="W206" s="839"/>
      <c r="X206" s="853">
        <v>-16</v>
      </c>
      <c r="Y206" s="839" t="s">
        <v>1084</v>
      </c>
      <c r="Z206" s="852" t="str">
        <f>+Z137</f>
        <v>8/31</v>
      </c>
      <c r="AA206" s="839"/>
      <c r="AB206" s="853">
        <v>-5</v>
      </c>
      <c r="AC206" s="839" t="s">
        <v>1084</v>
      </c>
      <c r="AD206" s="852" t="str">
        <f>+AD137</f>
        <v>8/31</v>
      </c>
      <c r="AE206" s="839"/>
      <c r="AF206" s="853">
        <v>-1</v>
      </c>
      <c r="AG206" s="839" t="s">
        <v>1084</v>
      </c>
      <c r="AH206" s="852" t="str">
        <f>+AH137</f>
        <v>8/30</v>
      </c>
      <c r="AI206" s="839"/>
      <c r="AJ206" s="853">
        <v>2</v>
      </c>
      <c r="AK206" s="839" t="s">
        <v>1084</v>
      </c>
      <c r="AL206" s="852" t="str">
        <f>+AL137</f>
        <v>8/29</v>
      </c>
      <c r="AM206" s="839"/>
      <c r="AN206" s="853">
        <v>5</v>
      </c>
      <c r="AO206" s="839" t="s">
        <v>1084</v>
      </c>
      <c r="AP206" s="852" t="str">
        <f>+AP137</f>
        <v>8/28</v>
      </c>
      <c r="AQ206" s="839"/>
      <c r="AR206" s="853">
        <v>11</v>
      </c>
      <c r="AS206" s="839" t="s">
        <v>1084</v>
      </c>
      <c r="AT206" s="852" t="str">
        <f>+AT137</f>
        <v>8/26</v>
      </c>
      <c r="AU206" s="839"/>
      <c r="AV206" s="853">
        <v>-6</v>
      </c>
      <c r="AW206" s="839" t="s">
        <v>1084</v>
      </c>
      <c r="AX206" s="852" t="str">
        <f>+AX137</f>
        <v>9/1</v>
      </c>
      <c r="AY206" s="839"/>
      <c r="AZ206" s="853">
        <v>-2</v>
      </c>
      <c r="BA206" s="839" t="s">
        <v>1084</v>
      </c>
      <c r="BB206" s="852" t="str">
        <f>+BB137</f>
        <v>8/31</v>
      </c>
      <c r="BC206" s="839"/>
      <c r="BD206" s="853">
        <v>17</v>
      </c>
      <c r="BE206" s="839" t="s">
        <v>1084</v>
      </c>
      <c r="BF206" s="854">
        <f>+BF137</f>
        <v>37863</v>
      </c>
      <c r="BG206" s="839"/>
      <c r="BH206" s="853">
        <v>-13</v>
      </c>
      <c r="BI206" s="839" t="s">
        <v>1084</v>
      </c>
      <c r="BJ206" s="854">
        <f>+BJ137</f>
        <v>38228</v>
      </c>
      <c r="BK206" s="839"/>
      <c r="BL206" s="853">
        <v>-16</v>
      </c>
      <c r="BM206" s="839" t="s">
        <v>1084</v>
      </c>
      <c r="BN206" s="854">
        <f>+BN137</f>
        <v>38591</v>
      </c>
      <c r="BO206" s="839"/>
      <c r="BP206" s="853">
        <v>3</v>
      </c>
      <c r="BQ206" s="839" t="s">
        <v>1084</v>
      </c>
      <c r="BR206" s="854">
        <f>+BR137</f>
        <v>38590</v>
      </c>
      <c r="BS206" s="839"/>
      <c r="BT206" s="853">
        <v>-1</v>
      </c>
      <c r="BU206" s="839" t="s">
        <v>1084</v>
      </c>
      <c r="BV206" s="854">
        <f>+BV137</f>
        <v>39326</v>
      </c>
      <c r="BW206" s="839"/>
      <c r="BX206" s="853">
        <v>3</v>
      </c>
      <c r="BY206" s="839" t="s">
        <v>1084</v>
      </c>
      <c r="BZ206" s="854"/>
      <c r="CA206" s="839"/>
      <c r="CB206" s="853"/>
      <c r="CC206" s="839"/>
      <c r="CD206" s="854"/>
      <c r="CE206" s="839"/>
      <c r="CF206" s="853"/>
      <c r="CG206" s="839"/>
      <c r="CH206" s="854"/>
      <c r="CI206" s="839"/>
      <c r="CJ206" s="853"/>
      <c r="CK206" s="839"/>
      <c r="CL206" s="854"/>
      <c r="CM206" s="839"/>
      <c r="CN206" s="853"/>
      <c r="CO206" s="839"/>
      <c r="CP206" s="854"/>
      <c r="CQ206" s="839"/>
      <c r="CR206" s="853"/>
      <c r="CS206" s="839"/>
      <c r="CT206" s="839"/>
      <c r="CU206" s="839"/>
      <c r="CV206" s="839"/>
      <c r="CW206" s="839"/>
      <c r="CX206" s="839"/>
      <c r="CY206" s="839"/>
      <c r="CZ206" s="839"/>
      <c r="DA206" s="839"/>
      <c r="DB206" s="839"/>
      <c r="DC206" s="839"/>
      <c r="DD206" s="839"/>
      <c r="DE206" s="839"/>
      <c r="DF206" s="839"/>
      <c r="DG206" s="839"/>
      <c r="DH206" s="839"/>
      <c r="DI206" s="839"/>
      <c r="DJ206" s="839"/>
      <c r="DK206" s="839"/>
      <c r="DL206" s="839"/>
      <c r="DM206" s="839"/>
      <c r="DN206" s="839"/>
      <c r="DO206" s="839"/>
      <c r="DP206" s="839"/>
      <c r="DQ206" s="839"/>
      <c r="DR206" s="839"/>
      <c r="DS206" s="839"/>
      <c r="DT206" s="839"/>
      <c r="DU206" s="839"/>
      <c r="DV206" s="839"/>
      <c r="DW206" s="839"/>
      <c r="DX206" s="892">
        <v>0.3</v>
      </c>
      <c r="DY206" s="892"/>
      <c r="DZ206" s="892">
        <v>0.3</v>
      </c>
      <c r="EA206" s="892">
        <v>0.3</v>
      </c>
      <c r="EB206" s="892">
        <v>0.3</v>
      </c>
      <c r="EC206" s="892">
        <v>0.3</v>
      </c>
      <c r="ED206" s="892">
        <v>0.3</v>
      </c>
      <c r="EE206" s="892">
        <v>0.3</v>
      </c>
      <c r="EF206" s="892">
        <v>0.3</v>
      </c>
      <c r="EG206" s="892">
        <v>0.3</v>
      </c>
      <c r="EH206" s="892">
        <v>0.3</v>
      </c>
      <c r="EI206" s="839"/>
      <c r="EJ206" s="839"/>
      <c r="EK206" s="839"/>
    </row>
    <row r="207" spans="1:141" hidden="1" outlineLevel="1">
      <c r="A207" s="840" t="s">
        <v>655</v>
      </c>
      <c r="B207" s="840"/>
      <c r="C207" s="839"/>
      <c r="D207" s="877">
        <f>+D202</f>
        <v>5</v>
      </c>
      <c r="E207" s="839"/>
      <c r="F207" s="841"/>
      <c r="G207" s="839"/>
      <c r="H207" s="851"/>
      <c r="I207" s="839"/>
      <c r="J207" s="852" t="str">
        <f>+J138</f>
        <v>10/5</v>
      </c>
      <c r="K207" s="839"/>
      <c r="L207" s="851"/>
      <c r="M207" s="839"/>
      <c r="N207" s="852" t="str">
        <f>+N138</f>
        <v>10/3</v>
      </c>
      <c r="O207" s="839"/>
      <c r="P207" s="851"/>
      <c r="Q207" s="839"/>
      <c r="R207" s="852" t="str">
        <f>+R138</f>
        <v>10/2</v>
      </c>
      <c r="S207" s="839"/>
      <c r="T207" s="853">
        <v>-15</v>
      </c>
      <c r="U207" s="839"/>
      <c r="V207" s="852" t="str">
        <f>+V138</f>
        <v>10/1</v>
      </c>
      <c r="W207" s="839"/>
      <c r="X207" s="853">
        <v>-25</v>
      </c>
      <c r="Y207" s="839"/>
      <c r="Z207" s="852" t="str">
        <f>+Z138</f>
        <v>9/30</v>
      </c>
      <c r="AA207" s="839"/>
      <c r="AB207" s="853">
        <v>18</v>
      </c>
      <c r="AC207" s="839"/>
      <c r="AD207" s="852" t="str">
        <f>+AD138</f>
        <v>10/5</v>
      </c>
      <c r="AE207" s="839"/>
      <c r="AF207" s="853">
        <v>2</v>
      </c>
      <c r="AG207" s="839"/>
      <c r="AH207" s="852" t="str">
        <f>+AH138</f>
        <v>10/4</v>
      </c>
      <c r="AI207" s="839"/>
      <c r="AJ207" s="853">
        <v>-24</v>
      </c>
      <c r="AK207" s="839"/>
      <c r="AL207" s="852" t="str">
        <f>+AL138</f>
        <v>10/3</v>
      </c>
      <c r="AM207" s="839"/>
      <c r="AN207" s="853">
        <v>9</v>
      </c>
      <c r="AO207" s="839"/>
      <c r="AP207" s="852" t="str">
        <f>+AP138</f>
        <v>10/2</v>
      </c>
      <c r="AQ207" s="839"/>
      <c r="AR207" s="853">
        <v>7</v>
      </c>
      <c r="AS207" s="839"/>
      <c r="AT207" s="852" t="str">
        <f>+AT138</f>
        <v>9/30</v>
      </c>
      <c r="AU207" s="839"/>
      <c r="AV207" s="853">
        <v>8</v>
      </c>
      <c r="AW207" s="839"/>
      <c r="AX207" s="852" t="str">
        <f>+AX138</f>
        <v>10/6</v>
      </c>
      <c r="AY207" s="839"/>
      <c r="AZ207" s="853">
        <v>-5</v>
      </c>
      <c r="BA207" s="839"/>
      <c r="BB207" s="852" t="str">
        <f>+BB138</f>
        <v>10/5</v>
      </c>
      <c r="BC207" s="839"/>
      <c r="BD207" s="853">
        <v>8</v>
      </c>
      <c r="BE207" s="839"/>
      <c r="BF207" s="854">
        <f>+BF138</f>
        <v>37898</v>
      </c>
      <c r="BG207" s="839"/>
      <c r="BH207" s="853">
        <v>19</v>
      </c>
      <c r="BI207" s="839"/>
      <c r="BJ207" s="854">
        <f>+BJ138</f>
        <v>38263</v>
      </c>
      <c r="BK207" s="839"/>
      <c r="BL207" s="853">
        <v>-24</v>
      </c>
      <c r="BM207" s="839"/>
      <c r="BN207" s="854">
        <f>+BN138</f>
        <v>38626</v>
      </c>
      <c r="BO207" s="839"/>
      <c r="BP207" s="853">
        <v>5</v>
      </c>
      <c r="BQ207" s="839"/>
      <c r="BR207" s="854">
        <f>+BR138</f>
        <v>38625</v>
      </c>
      <c r="BS207" s="839"/>
      <c r="BT207" s="853">
        <v>-2</v>
      </c>
      <c r="BU207" s="839"/>
      <c r="BV207" s="854">
        <f>+BV138</f>
        <v>39361</v>
      </c>
      <c r="BW207" s="839"/>
      <c r="BX207" s="853">
        <v>3</v>
      </c>
      <c r="BY207" s="839"/>
      <c r="BZ207" s="854"/>
      <c r="CA207" s="839"/>
      <c r="CB207" s="853"/>
      <c r="CC207" s="839"/>
      <c r="CD207" s="854"/>
      <c r="CE207" s="839"/>
      <c r="CF207" s="853"/>
      <c r="CG207" s="839"/>
      <c r="CH207" s="854"/>
      <c r="CI207" s="839"/>
      <c r="CJ207" s="853"/>
      <c r="CK207" s="839"/>
      <c r="CL207" s="854"/>
      <c r="CM207" s="839"/>
      <c r="CN207" s="853"/>
      <c r="CO207" s="839"/>
      <c r="CP207" s="854"/>
      <c r="CQ207" s="839"/>
      <c r="CR207" s="853"/>
      <c r="CS207" s="839"/>
      <c r="CT207" s="839"/>
      <c r="CU207" s="839"/>
      <c r="CV207" s="839"/>
      <c r="CW207" s="839"/>
      <c r="CX207" s="839"/>
      <c r="CY207" s="839"/>
      <c r="CZ207" s="839"/>
      <c r="DA207" s="839"/>
      <c r="DB207" s="839"/>
      <c r="DC207" s="839"/>
      <c r="DD207" s="839"/>
      <c r="DE207" s="839"/>
      <c r="DF207" s="839"/>
      <c r="DG207" s="839"/>
      <c r="DH207" s="839"/>
      <c r="DI207" s="839"/>
      <c r="DJ207" s="839"/>
      <c r="DK207" s="839"/>
      <c r="DL207" s="839"/>
      <c r="DM207" s="839"/>
      <c r="DN207" s="839"/>
      <c r="DO207" s="839"/>
      <c r="DP207" s="839"/>
      <c r="DQ207" s="839"/>
      <c r="DR207" s="839"/>
      <c r="DS207" s="839"/>
      <c r="DT207" s="839"/>
      <c r="DU207" s="839"/>
      <c r="DV207" s="839"/>
      <c r="DW207" s="839"/>
      <c r="DX207" s="892">
        <v>0.4</v>
      </c>
      <c r="DY207" s="892"/>
      <c r="DZ207" s="892">
        <v>0.4</v>
      </c>
      <c r="EA207" s="892">
        <v>0.4</v>
      </c>
      <c r="EB207" s="892">
        <v>0.4</v>
      </c>
      <c r="EC207" s="892">
        <v>0.4</v>
      </c>
      <c r="ED207" s="892">
        <v>0.4</v>
      </c>
      <c r="EE207" s="892">
        <v>0.4</v>
      </c>
      <c r="EF207" s="892">
        <v>0.4</v>
      </c>
      <c r="EG207" s="892">
        <v>0.4</v>
      </c>
      <c r="EH207" s="892">
        <v>0.4</v>
      </c>
      <c r="EI207" s="839"/>
      <c r="EJ207" s="839"/>
      <c r="EK207" s="839"/>
    </row>
    <row r="208" spans="1:141" hidden="1" outlineLevel="1">
      <c r="A208" s="840" t="s">
        <v>598</v>
      </c>
      <c r="B208" s="840"/>
      <c r="C208" s="839"/>
      <c r="D208" s="877">
        <f>+D203</f>
        <v>4</v>
      </c>
      <c r="E208" s="839"/>
      <c r="F208" s="841"/>
      <c r="G208" s="839"/>
      <c r="H208" s="857"/>
      <c r="I208" s="839"/>
      <c r="J208" s="852" t="str">
        <f>+J139</f>
        <v>11/2</v>
      </c>
      <c r="K208" s="839"/>
      <c r="L208" s="857"/>
      <c r="M208" s="839"/>
      <c r="N208" s="852" t="str">
        <f>+N139</f>
        <v>10/31</v>
      </c>
      <c r="O208" s="839"/>
      <c r="P208" s="857"/>
      <c r="Q208" s="839"/>
      <c r="R208" s="852" t="str">
        <f>+R139</f>
        <v>10/30</v>
      </c>
      <c r="S208" s="839"/>
      <c r="T208" s="858">
        <v>-14</v>
      </c>
      <c r="U208" s="839"/>
      <c r="V208" s="852" t="str">
        <f>+V139</f>
        <v>10/29</v>
      </c>
      <c r="W208" s="839"/>
      <c r="X208" s="858">
        <v>-12</v>
      </c>
      <c r="Y208" s="839"/>
      <c r="Z208" s="852" t="str">
        <f>+Z139</f>
        <v>10/28</v>
      </c>
      <c r="AA208" s="839"/>
      <c r="AB208" s="858">
        <v>0</v>
      </c>
      <c r="AC208" s="839"/>
      <c r="AD208" s="852" t="str">
        <f>+AD139</f>
        <v>11/2</v>
      </c>
      <c r="AE208" s="839"/>
      <c r="AF208" s="858">
        <v>-2</v>
      </c>
      <c r="AG208" s="839"/>
      <c r="AH208" s="852" t="str">
        <f>+AH139</f>
        <v>11/1</v>
      </c>
      <c r="AI208" s="839"/>
      <c r="AJ208" s="858">
        <v>-14</v>
      </c>
      <c r="AK208" s="839"/>
      <c r="AL208" s="852" t="str">
        <f>+AL139</f>
        <v>10/31</v>
      </c>
      <c r="AM208" s="839"/>
      <c r="AN208" s="858">
        <v>6</v>
      </c>
      <c r="AO208" s="839"/>
      <c r="AP208" s="852" t="str">
        <f>+AP139</f>
        <v>10/30</v>
      </c>
      <c r="AQ208" s="839"/>
      <c r="AR208" s="858">
        <v>10</v>
      </c>
      <c r="AS208" s="839"/>
      <c r="AT208" s="852" t="str">
        <f>+AT139</f>
        <v>10/28</v>
      </c>
      <c r="AU208" s="839"/>
      <c r="AV208" s="858">
        <v>10</v>
      </c>
      <c r="AW208" s="839"/>
      <c r="AX208" s="852" t="str">
        <f>+AX139</f>
        <v>11/3</v>
      </c>
      <c r="AY208" s="839"/>
      <c r="AZ208" s="858">
        <v>-1</v>
      </c>
      <c r="BA208" s="839"/>
      <c r="BB208" s="852" t="str">
        <f>+BB139</f>
        <v>11/2</v>
      </c>
      <c r="BC208" s="839"/>
      <c r="BD208" s="858">
        <v>6</v>
      </c>
      <c r="BE208" s="839"/>
      <c r="BF208" s="854">
        <f>+BF139</f>
        <v>37926</v>
      </c>
      <c r="BG208" s="839"/>
      <c r="BH208" s="858">
        <v>-7</v>
      </c>
      <c r="BI208" s="839"/>
      <c r="BJ208" s="854">
        <f>+BJ139</f>
        <v>38291</v>
      </c>
      <c r="BK208" s="839"/>
      <c r="BL208" s="858">
        <v>5</v>
      </c>
      <c r="BM208" s="839"/>
      <c r="BN208" s="854">
        <f>+BN139</f>
        <v>38654</v>
      </c>
      <c r="BO208" s="839"/>
      <c r="BP208" s="858">
        <v>-2</v>
      </c>
      <c r="BQ208" s="839"/>
      <c r="BR208" s="854">
        <f>+BR139</f>
        <v>38653</v>
      </c>
      <c r="BS208" s="839"/>
      <c r="BT208" s="858">
        <v>-4</v>
      </c>
      <c r="BU208" s="839"/>
      <c r="BV208" s="854">
        <f>+BV139</f>
        <v>39389</v>
      </c>
      <c r="BW208" s="839"/>
      <c r="BX208" s="858">
        <v>5</v>
      </c>
      <c r="BY208" s="839"/>
      <c r="BZ208" s="854"/>
      <c r="CA208" s="839"/>
      <c r="CB208" s="858"/>
      <c r="CC208" s="839"/>
      <c r="CD208" s="854"/>
      <c r="CE208" s="839"/>
      <c r="CF208" s="858"/>
      <c r="CG208" s="839"/>
      <c r="CH208" s="854"/>
      <c r="CI208" s="839"/>
      <c r="CJ208" s="858"/>
      <c r="CK208" s="839"/>
      <c r="CL208" s="854"/>
      <c r="CM208" s="839"/>
      <c r="CN208" s="858"/>
      <c r="CO208" s="839"/>
      <c r="CP208" s="854"/>
      <c r="CQ208" s="839"/>
      <c r="CR208" s="858"/>
      <c r="CS208" s="839"/>
      <c r="CT208" s="839"/>
      <c r="CU208" s="839"/>
      <c r="CV208" s="839"/>
      <c r="CW208" s="839"/>
      <c r="CX208" s="839"/>
      <c r="CY208" s="839"/>
      <c r="CZ208" s="839"/>
      <c r="DA208" s="839"/>
      <c r="DB208" s="839"/>
      <c r="DC208" s="839"/>
      <c r="DD208" s="839"/>
      <c r="DE208" s="839"/>
      <c r="DF208" s="839"/>
      <c r="DG208" s="839"/>
      <c r="DH208" s="839"/>
      <c r="DI208" s="839"/>
      <c r="DJ208" s="839"/>
      <c r="DK208" s="839"/>
      <c r="DL208" s="839"/>
      <c r="DM208" s="839"/>
      <c r="DN208" s="839"/>
      <c r="DO208" s="839"/>
      <c r="DP208" s="839"/>
      <c r="DQ208" s="839"/>
      <c r="DR208" s="839"/>
      <c r="DS208" s="839"/>
      <c r="DT208" s="839"/>
      <c r="DU208" s="839"/>
      <c r="DV208" s="839"/>
      <c r="DW208" s="839"/>
      <c r="DX208" s="893">
        <f>1-DX207-DX206</f>
        <v>0.3</v>
      </c>
      <c r="DY208" s="893"/>
      <c r="DZ208" s="893">
        <f t="shared" ref="DZ208:EH208" si="83">1-DZ207-DZ206</f>
        <v>0.3</v>
      </c>
      <c r="EA208" s="893">
        <f t="shared" si="83"/>
        <v>0.3</v>
      </c>
      <c r="EB208" s="893">
        <f t="shared" si="83"/>
        <v>0.3</v>
      </c>
      <c r="EC208" s="893">
        <f t="shared" si="83"/>
        <v>0.3</v>
      </c>
      <c r="ED208" s="893">
        <f t="shared" si="83"/>
        <v>0.3</v>
      </c>
      <c r="EE208" s="893">
        <f t="shared" si="83"/>
        <v>0.3</v>
      </c>
      <c r="EF208" s="893">
        <f t="shared" si="83"/>
        <v>0.3</v>
      </c>
      <c r="EG208" s="893">
        <f t="shared" si="83"/>
        <v>0.3</v>
      </c>
      <c r="EH208" s="893">
        <f t="shared" si="83"/>
        <v>0.3</v>
      </c>
      <c r="EI208" s="839"/>
      <c r="EJ208" s="839"/>
      <c r="EK208" s="839"/>
    </row>
    <row r="209" spans="1:145" hidden="1" outlineLevel="1">
      <c r="A209" s="862"/>
      <c r="B209" s="862" t="s">
        <v>925</v>
      </c>
      <c r="C209" s="861"/>
      <c r="D209" s="863"/>
      <c r="E209" s="861"/>
      <c r="F209" s="863"/>
      <c r="G209" s="861"/>
      <c r="H209" s="864"/>
      <c r="I209" s="861"/>
      <c r="J209" s="865"/>
      <c r="K209" s="861"/>
      <c r="L209" s="864"/>
      <c r="M209" s="861"/>
      <c r="N209" s="865"/>
      <c r="O209" s="861"/>
      <c r="P209" s="864"/>
      <c r="Q209" s="861"/>
      <c r="R209" s="865"/>
      <c r="S209" s="861"/>
      <c r="T209" s="866">
        <v>-16</v>
      </c>
      <c r="U209" s="861"/>
      <c r="V209" s="865"/>
      <c r="W209" s="861"/>
      <c r="X209" s="866">
        <v>-18</v>
      </c>
      <c r="Y209" s="861"/>
      <c r="Z209" s="865"/>
      <c r="AA209" s="861"/>
      <c r="AB209" s="866">
        <v>4</v>
      </c>
      <c r="AC209" s="861"/>
      <c r="AD209" s="865"/>
      <c r="AE209" s="861"/>
      <c r="AF209" s="866">
        <v>0</v>
      </c>
      <c r="AG209" s="861"/>
      <c r="AH209" s="865"/>
      <c r="AI209" s="861"/>
      <c r="AJ209" s="866">
        <v>-13</v>
      </c>
      <c r="AK209" s="861"/>
      <c r="AL209" s="865"/>
      <c r="AM209" s="861"/>
      <c r="AN209" s="866">
        <v>7</v>
      </c>
      <c r="AO209" s="861"/>
      <c r="AP209" s="865"/>
      <c r="AQ209" s="861"/>
      <c r="AR209" s="866">
        <v>9</v>
      </c>
      <c r="AS209" s="861"/>
      <c r="AT209" s="865"/>
      <c r="AU209" s="861"/>
      <c r="AV209" s="866">
        <v>4</v>
      </c>
      <c r="AW209" s="861"/>
      <c r="AX209" s="865"/>
      <c r="AY209" s="861"/>
      <c r="AZ209" s="866">
        <v>-3</v>
      </c>
      <c r="BA209" s="861"/>
      <c r="BB209" s="865"/>
      <c r="BC209" s="861"/>
      <c r="BD209" s="866">
        <v>10</v>
      </c>
      <c r="BE209" s="861"/>
      <c r="BF209" s="867"/>
      <c r="BG209" s="861"/>
      <c r="BH209" s="866">
        <v>0</v>
      </c>
      <c r="BI209" s="861"/>
      <c r="BJ209" s="867"/>
      <c r="BK209" s="861"/>
      <c r="BL209" s="866">
        <v>-13</v>
      </c>
      <c r="BM209" s="861"/>
      <c r="BN209" s="867"/>
      <c r="BO209" s="861"/>
      <c r="BP209" s="866">
        <v>-3</v>
      </c>
      <c r="BQ209" s="861"/>
      <c r="BR209" s="867"/>
      <c r="BS209" s="861"/>
      <c r="BT209" s="866">
        <v>-2</v>
      </c>
      <c r="BU209" s="861"/>
      <c r="BV209" s="867"/>
      <c r="BW209" s="861"/>
      <c r="BX209" s="900">
        <f>+EG209</f>
        <v>3.6</v>
      </c>
      <c r="BY209" s="861"/>
      <c r="BZ209" s="867"/>
      <c r="CA209" s="861"/>
      <c r="CB209" s="900"/>
      <c r="CC209" s="861"/>
      <c r="CD209" s="867"/>
      <c r="CE209" s="861"/>
      <c r="CF209" s="900"/>
      <c r="CG209" s="861"/>
      <c r="CH209" s="867"/>
      <c r="CI209" s="861"/>
      <c r="CJ209" s="900"/>
      <c r="CK209" s="861"/>
      <c r="CL209" s="867"/>
      <c r="CM209" s="861"/>
      <c r="CN209" s="900"/>
      <c r="CO209" s="861"/>
      <c r="CP209" s="867"/>
      <c r="CQ209" s="861"/>
      <c r="CR209" s="900"/>
      <c r="CS209" s="861"/>
      <c r="CT209" s="876"/>
      <c r="CU209" s="876"/>
      <c r="CV209" s="876"/>
      <c r="CW209" s="876"/>
      <c r="CX209" s="876"/>
      <c r="CY209" s="876"/>
      <c r="CZ209" s="876"/>
      <c r="DA209" s="876"/>
      <c r="DB209" s="876"/>
      <c r="DC209" s="876"/>
      <c r="DD209" s="876"/>
      <c r="DE209" s="876"/>
      <c r="DF209" s="876"/>
      <c r="DG209" s="876"/>
      <c r="DH209" s="876"/>
      <c r="DI209" s="876"/>
      <c r="DJ209" s="876"/>
      <c r="DK209" s="876"/>
      <c r="DL209" s="876"/>
      <c r="DM209" s="876"/>
      <c r="DN209" s="876"/>
      <c r="DO209" s="876"/>
      <c r="DP209" s="876"/>
      <c r="DQ209" s="876"/>
      <c r="DR209" s="876"/>
      <c r="DS209" s="876"/>
      <c r="DT209" s="876"/>
      <c r="DU209" s="876"/>
      <c r="DV209" s="876"/>
      <c r="DW209" s="876"/>
      <c r="DX209" s="855">
        <f>+AR206*DX206+AR207*DX207+AR208*DX208</f>
        <v>9.1</v>
      </c>
      <c r="DY209" s="855"/>
      <c r="DZ209" s="855">
        <f>+AV206*DZ206+AV207*DZ207+AV208*DZ208</f>
        <v>4.4000000000000004</v>
      </c>
      <c r="EA209" s="855">
        <f>+AZ206*EA206+AZ207*EA207+AZ208*EA208</f>
        <v>-2.9</v>
      </c>
      <c r="EB209" s="855">
        <f>+BD206*EB206+BD207*EB207+BD208*EB208</f>
        <v>10.100000000000001</v>
      </c>
      <c r="EC209" s="855">
        <f>+BH206*EC206+BH207*EC207+BH208*EC208</f>
        <v>1.6000000000000005</v>
      </c>
      <c r="ED209" s="855">
        <f>+BL206*ED206+BL207*ED207+BL208*ED208</f>
        <v>-12.900000000000002</v>
      </c>
      <c r="EE209" s="855">
        <f>+BP206*EE206+BP207*EE207+BP208*EE208</f>
        <v>2.2999999999999998</v>
      </c>
      <c r="EF209" s="855">
        <f>+BT206*EF206+BT207*EF207+BT208*EF208</f>
        <v>-2.2999999999999998</v>
      </c>
      <c r="EG209" s="855">
        <f>+BX206*EG206+BX207*EG207+BX208*EG208</f>
        <v>3.6</v>
      </c>
      <c r="EH209" s="855"/>
      <c r="EI209" s="839"/>
      <c r="EJ209" s="839"/>
      <c r="EK209" s="839"/>
    </row>
    <row r="210" spans="1:145" hidden="1" outlineLevel="1">
      <c r="A210" s="839"/>
      <c r="B210" s="839"/>
      <c r="C210" s="839"/>
      <c r="D210" s="877"/>
      <c r="E210" s="839"/>
      <c r="F210" s="877"/>
      <c r="G210" s="839"/>
      <c r="H210" s="839"/>
      <c r="I210" s="839"/>
      <c r="J210" s="884"/>
      <c r="K210" s="839"/>
      <c r="L210" s="839"/>
      <c r="M210" s="839"/>
      <c r="N210" s="884"/>
      <c r="O210" s="839"/>
      <c r="P210" s="839"/>
      <c r="Q210" s="839"/>
      <c r="R210" s="884"/>
      <c r="S210" s="839"/>
      <c r="T210" s="839"/>
      <c r="U210" s="839"/>
      <c r="V210" s="884"/>
      <c r="W210" s="839"/>
      <c r="X210" s="839"/>
      <c r="Y210" s="839"/>
      <c r="Z210" s="884"/>
      <c r="AA210" s="839"/>
      <c r="AB210" s="839"/>
      <c r="AC210" s="839"/>
      <c r="AD210" s="884"/>
      <c r="AE210" s="839"/>
      <c r="AF210" s="839"/>
      <c r="AG210" s="839"/>
      <c r="AH210" s="884"/>
      <c r="AI210" s="839"/>
      <c r="AJ210" s="839"/>
      <c r="AK210" s="839"/>
      <c r="AL210" s="884"/>
      <c r="AM210" s="839"/>
      <c r="AN210" s="839"/>
      <c r="AO210" s="839"/>
      <c r="AP210" s="884"/>
      <c r="AQ210" s="839"/>
      <c r="AR210" s="839"/>
      <c r="AS210" s="839"/>
      <c r="AT210" s="884"/>
      <c r="AU210" s="839"/>
      <c r="AV210" s="839"/>
      <c r="AW210" s="839"/>
      <c r="AX210" s="884"/>
      <c r="AY210" s="839"/>
      <c r="AZ210" s="839"/>
      <c r="BA210" s="839"/>
      <c r="BB210" s="884"/>
      <c r="BC210" s="839"/>
      <c r="BD210" s="839"/>
      <c r="BE210" s="839"/>
      <c r="BF210" s="879"/>
      <c r="BG210" s="839"/>
      <c r="BH210" s="839"/>
      <c r="BI210" s="839"/>
      <c r="BJ210" s="879"/>
      <c r="BK210" s="839"/>
      <c r="BL210" s="839"/>
      <c r="BM210" s="839"/>
      <c r="BN210" s="879"/>
      <c r="BO210" s="839"/>
      <c r="BP210" s="839"/>
      <c r="BQ210" s="839"/>
      <c r="BR210" s="879"/>
      <c r="BS210" s="839"/>
      <c r="BT210" s="839"/>
      <c r="BU210" s="839"/>
      <c r="BV210" s="879"/>
      <c r="BW210" s="839"/>
      <c r="BX210" s="839"/>
      <c r="BY210" s="839"/>
      <c r="BZ210" s="879"/>
      <c r="CA210" s="839"/>
      <c r="CB210" s="839"/>
      <c r="CC210" s="839"/>
      <c r="CD210" s="879"/>
      <c r="CE210" s="839"/>
      <c r="CF210" s="839"/>
      <c r="CG210" s="839"/>
      <c r="CH210" s="879"/>
      <c r="CI210" s="839"/>
      <c r="CJ210" s="839"/>
      <c r="CK210" s="839"/>
      <c r="CL210" s="879"/>
      <c r="CM210" s="839"/>
      <c r="CN210" s="839"/>
      <c r="CO210" s="839"/>
      <c r="CP210" s="879"/>
      <c r="CQ210" s="839"/>
      <c r="CR210" s="839"/>
      <c r="CS210" s="839"/>
      <c r="CT210" s="839"/>
      <c r="CU210" s="839"/>
      <c r="CV210" s="839"/>
      <c r="CW210" s="839"/>
      <c r="CX210" s="839"/>
      <c r="CY210" s="839"/>
      <c r="CZ210" s="839"/>
      <c r="DA210" s="839"/>
      <c r="DB210" s="839"/>
      <c r="DC210" s="839"/>
      <c r="DD210" s="839"/>
      <c r="DE210" s="839"/>
      <c r="DF210" s="839"/>
      <c r="DG210" s="839"/>
      <c r="DH210" s="839"/>
      <c r="DI210" s="839"/>
      <c r="DJ210" s="839"/>
      <c r="DK210" s="839"/>
      <c r="DL210" s="839"/>
      <c r="DM210" s="839"/>
      <c r="DN210" s="839"/>
      <c r="DO210" s="839"/>
      <c r="DP210" s="839"/>
      <c r="DQ210" s="839"/>
      <c r="DR210" s="839"/>
      <c r="DS210" s="839"/>
      <c r="DT210" s="839"/>
      <c r="DU210" s="839"/>
      <c r="DV210" s="839"/>
      <c r="DW210" s="839"/>
      <c r="DX210" s="839"/>
      <c r="DY210" s="839"/>
      <c r="DZ210" s="839"/>
      <c r="EA210" s="839"/>
      <c r="EB210" s="839"/>
      <c r="EC210" s="839"/>
      <c r="ED210" s="839"/>
      <c r="EE210" s="839"/>
      <c r="EF210" s="839"/>
      <c r="EG210" s="839"/>
      <c r="EH210" s="839"/>
      <c r="EI210" s="839"/>
      <c r="EJ210" s="839"/>
      <c r="EK210" s="839"/>
    </row>
    <row r="211" spans="1:145" hidden="1" outlineLevel="1">
      <c r="A211" s="840" t="s">
        <v>599</v>
      </c>
      <c r="B211" s="840"/>
      <c r="C211" s="839"/>
      <c r="D211" s="877">
        <f>+D206</f>
        <v>4</v>
      </c>
      <c r="E211" s="839"/>
      <c r="F211" s="856"/>
      <c r="G211" s="839"/>
      <c r="H211" s="851"/>
      <c r="I211" s="839" t="s">
        <v>1084</v>
      </c>
      <c r="J211" s="852" t="str">
        <f>+J142</f>
        <v>11/30</v>
      </c>
      <c r="K211" s="839"/>
      <c r="L211" s="851"/>
      <c r="M211" s="839" t="s">
        <v>1084</v>
      </c>
      <c r="N211" s="852" t="str">
        <f>+N142</f>
        <v>11/28</v>
      </c>
      <c r="O211" s="839"/>
      <c r="P211" s="851"/>
      <c r="Q211" s="839" t="s">
        <v>1084</v>
      </c>
      <c r="R211" s="852" t="str">
        <f>+R142</f>
        <v>11/27</v>
      </c>
      <c r="S211" s="839"/>
      <c r="T211" s="853">
        <v>-24</v>
      </c>
      <c r="U211" s="839" t="s">
        <v>1084</v>
      </c>
      <c r="V211" s="852" t="str">
        <f>+V142</f>
        <v>11/26</v>
      </c>
      <c r="W211" s="839"/>
      <c r="X211" s="853">
        <v>-21</v>
      </c>
      <c r="Y211" s="839" t="s">
        <v>1084</v>
      </c>
      <c r="Z211" s="852" t="str">
        <f>+Z142</f>
        <v>11/25</v>
      </c>
      <c r="AA211" s="839"/>
      <c r="AB211" s="853">
        <v>-2</v>
      </c>
      <c r="AC211" s="839" t="s">
        <v>1084</v>
      </c>
      <c r="AD211" s="852" t="str">
        <f>+AD142</f>
        <v>11/30</v>
      </c>
      <c r="AE211" s="839"/>
      <c r="AF211" s="853">
        <v>3</v>
      </c>
      <c r="AG211" s="839" t="s">
        <v>1084</v>
      </c>
      <c r="AH211" s="852" t="str">
        <f>+AH142</f>
        <v>11/29</v>
      </c>
      <c r="AI211" s="839"/>
      <c r="AJ211" s="853">
        <v>-6</v>
      </c>
      <c r="AK211" s="839" t="s">
        <v>1084</v>
      </c>
      <c r="AL211" s="852" t="str">
        <f>+AL142</f>
        <v>12/2</v>
      </c>
      <c r="AM211" s="839"/>
      <c r="AN211" s="853">
        <v>2</v>
      </c>
      <c r="AO211" s="839" t="s">
        <v>1084</v>
      </c>
      <c r="AP211" s="852" t="str">
        <f>+AP142</f>
        <v>11/27</v>
      </c>
      <c r="AQ211" s="839"/>
      <c r="AR211" s="853">
        <v>7</v>
      </c>
      <c r="AS211" s="839" t="s">
        <v>1084</v>
      </c>
      <c r="AT211" s="852" t="str">
        <f>+AT142</f>
        <v>11/25</v>
      </c>
      <c r="AU211" s="839"/>
      <c r="AV211" s="853">
        <v>15</v>
      </c>
      <c r="AW211" s="839" t="s">
        <v>1084</v>
      </c>
      <c r="AX211" s="852" t="str">
        <f>+AX142</f>
        <v>12/1</v>
      </c>
      <c r="AY211" s="839"/>
      <c r="AZ211" s="853">
        <v>-3</v>
      </c>
      <c r="BA211" s="839" t="s">
        <v>1084</v>
      </c>
      <c r="BB211" s="852" t="str">
        <f>+BB142</f>
        <v>11/30</v>
      </c>
      <c r="BC211" s="839"/>
      <c r="BD211" s="853">
        <v>2</v>
      </c>
      <c r="BE211" s="839" t="s">
        <v>1084</v>
      </c>
      <c r="BF211" s="854">
        <f>+BF142</f>
        <v>37954</v>
      </c>
      <c r="BG211" s="839"/>
      <c r="BH211" s="853">
        <v>-9</v>
      </c>
      <c r="BI211" s="839" t="s">
        <v>1084</v>
      </c>
      <c r="BJ211" s="854">
        <f>+BJ142</f>
        <v>38319</v>
      </c>
      <c r="BK211" s="839"/>
      <c r="BL211" s="853">
        <v>-1</v>
      </c>
      <c r="BM211" s="839" t="s">
        <v>1084</v>
      </c>
      <c r="BN211" s="854">
        <f>+BN142</f>
        <v>38682</v>
      </c>
      <c r="BO211" s="839"/>
      <c r="BP211" s="853">
        <v>0</v>
      </c>
      <c r="BQ211" s="839" t="s">
        <v>1084</v>
      </c>
      <c r="BR211" s="854">
        <f>+BR142</f>
        <v>38681</v>
      </c>
      <c r="BS211" s="839"/>
      <c r="BT211" s="853">
        <v>1</v>
      </c>
      <c r="BU211" s="839" t="s">
        <v>1084</v>
      </c>
      <c r="BV211" s="854">
        <f>+BV142</f>
        <v>39417</v>
      </c>
      <c r="BW211" s="839"/>
      <c r="BX211" s="853">
        <v>3</v>
      </c>
      <c r="BY211" s="839" t="s">
        <v>1084</v>
      </c>
      <c r="BZ211" s="854"/>
      <c r="CA211" s="839"/>
      <c r="CB211" s="853"/>
      <c r="CC211" s="839"/>
      <c r="CD211" s="854"/>
      <c r="CE211" s="839"/>
      <c r="CF211" s="853"/>
      <c r="CG211" s="839"/>
      <c r="CH211" s="854"/>
      <c r="CI211" s="839"/>
      <c r="CJ211" s="853"/>
      <c r="CK211" s="839"/>
      <c r="CL211" s="854"/>
      <c r="CM211" s="839"/>
      <c r="CN211" s="853"/>
      <c r="CO211" s="839"/>
      <c r="CP211" s="854"/>
      <c r="CQ211" s="839"/>
      <c r="CR211" s="853"/>
      <c r="CS211" s="839"/>
      <c r="CT211" s="839"/>
      <c r="CU211" s="839"/>
      <c r="CV211" s="839"/>
      <c r="CW211" s="839"/>
      <c r="CX211" s="839"/>
      <c r="CY211" s="839"/>
      <c r="CZ211" s="839"/>
      <c r="DA211" s="839"/>
      <c r="DB211" s="839"/>
      <c r="DC211" s="839"/>
      <c r="DD211" s="839"/>
      <c r="DE211" s="839"/>
      <c r="DF211" s="839"/>
      <c r="DG211" s="839"/>
      <c r="DH211" s="839"/>
      <c r="DI211" s="839"/>
      <c r="DJ211" s="839"/>
      <c r="DK211" s="839"/>
      <c r="DL211" s="839"/>
      <c r="DM211" s="839"/>
      <c r="DN211" s="839"/>
      <c r="DO211" s="839"/>
      <c r="DP211" s="839"/>
      <c r="DQ211" s="839"/>
      <c r="DR211" s="839"/>
      <c r="DS211" s="839"/>
      <c r="DT211" s="839"/>
      <c r="DU211" s="839"/>
      <c r="DV211" s="839"/>
      <c r="DW211" s="839"/>
      <c r="DX211" s="892">
        <v>0.3</v>
      </c>
      <c r="DY211" s="892"/>
      <c r="DZ211" s="892">
        <v>0.3</v>
      </c>
      <c r="EA211" s="892">
        <v>0.3</v>
      </c>
      <c r="EB211" s="892">
        <v>0.3</v>
      </c>
      <c r="EC211" s="892">
        <v>0.25</v>
      </c>
      <c r="ED211" s="892">
        <v>0.3</v>
      </c>
      <c r="EE211" s="892">
        <v>0.3</v>
      </c>
      <c r="EF211" s="892">
        <v>0.3</v>
      </c>
      <c r="EG211" s="892">
        <v>0.3</v>
      </c>
      <c r="EH211" s="892">
        <v>0.3</v>
      </c>
      <c r="EI211" s="839"/>
      <c r="EJ211" s="839"/>
      <c r="EK211" s="839"/>
    </row>
    <row r="212" spans="1:145" hidden="1" outlineLevel="1">
      <c r="A212" s="840" t="s">
        <v>600</v>
      </c>
      <c r="B212" s="840"/>
      <c r="C212" s="839"/>
      <c r="D212" s="877">
        <f>+D207</f>
        <v>5</v>
      </c>
      <c r="E212" s="839"/>
      <c r="F212" s="841"/>
      <c r="G212" s="839"/>
      <c r="H212" s="851"/>
      <c r="I212" s="839"/>
      <c r="J212" s="852" t="str">
        <f>+J143</f>
        <v>1/4</v>
      </c>
      <c r="K212" s="839"/>
      <c r="L212" s="851"/>
      <c r="M212" s="839"/>
      <c r="N212" s="852" t="str">
        <f>+N143</f>
        <v xml:space="preserve"> 1/2</v>
      </c>
      <c r="O212" s="839"/>
      <c r="P212" s="851"/>
      <c r="Q212" s="839"/>
      <c r="R212" s="852" t="str">
        <f>+R143</f>
        <v>1/1</v>
      </c>
      <c r="S212" s="839"/>
      <c r="T212" s="853">
        <v>-18</v>
      </c>
      <c r="U212" s="839"/>
      <c r="V212" s="852" t="str">
        <f>+V143</f>
        <v>12/31</v>
      </c>
      <c r="W212" s="839"/>
      <c r="X212" s="853">
        <v>-26</v>
      </c>
      <c r="Y212" s="839"/>
      <c r="Z212" s="852" t="str">
        <f>+Z143</f>
        <v>12/30</v>
      </c>
      <c r="AA212" s="839"/>
      <c r="AB212" s="853">
        <v>0</v>
      </c>
      <c r="AC212" s="839"/>
      <c r="AD212" s="852" t="str">
        <f>+AD143</f>
        <v>1/4</v>
      </c>
      <c r="AE212" s="839"/>
      <c r="AF212" s="853">
        <v>-3</v>
      </c>
      <c r="AG212" s="839"/>
      <c r="AH212" s="852" t="str">
        <f>+AH143</f>
        <v>1/3</v>
      </c>
      <c r="AI212" s="839"/>
      <c r="AJ212" s="853">
        <v>7</v>
      </c>
      <c r="AK212" s="839"/>
      <c r="AL212" s="852" t="str">
        <f>+AL143</f>
        <v>1/2</v>
      </c>
      <c r="AM212" s="839"/>
      <c r="AN212" s="853">
        <v>-2</v>
      </c>
      <c r="AO212" s="839"/>
      <c r="AP212" s="852" t="str">
        <f>+AP143</f>
        <v>1/1</v>
      </c>
      <c r="AQ212" s="839"/>
      <c r="AR212" s="853">
        <v>-8</v>
      </c>
      <c r="AS212" s="839"/>
      <c r="AT212" s="852" t="str">
        <f>+AT143</f>
        <v>12/30</v>
      </c>
      <c r="AU212" s="839"/>
      <c r="AV212" s="853">
        <v>4</v>
      </c>
      <c r="AW212" s="839"/>
      <c r="AX212" s="852" t="str">
        <f>+AX143</f>
        <v>1/5</v>
      </c>
      <c r="AY212" s="839"/>
      <c r="AZ212" s="853">
        <v>0</v>
      </c>
      <c r="BA212" s="839"/>
      <c r="BB212" s="852" t="str">
        <f>+BB143</f>
        <v>1/4</v>
      </c>
      <c r="BC212" s="839"/>
      <c r="BD212" s="853">
        <v>-4</v>
      </c>
      <c r="BE212" s="839"/>
      <c r="BF212" s="854">
        <f>+BF143</f>
        <v>37624</v>
      </c>
      <c r="BG212" s="839"/>
      <c r="BH212" s="853">
        <v>6</v>
      </c>
      <c r="BI212" s="839"/>
      <c r="BJ212" s="854">
        <f>+BJ143</f>
        <v>38354</v>
      </c>
      <c r="BK212" s="839"/>
      <c r="BL212" s="853">
        <v>-3</v>
      </c>
      <c r="BM212" s="839"/>
      <c r="BN212" s="854">
        <f>+BN143</f>
        <v>38717</v>
      </c>
      <c r="BO212" s="839"/>
      <c r="BP212" s="853">
        <v>-1</v>
      </c>
      <c r="BQ212" s="839"/>
      <c r="BR212" s="854">
        <f>+BR143</f>
        <v>38716</v>
      </c>
      <c r="BS212" s="839"/>
      <c r="BT212" s="853">
        <v>-10</v>
      </c>
      <c r="BU212" s="839"/>
      <c r="BV212" s="854">
        <f>+BV143</f>
        <v>39087</v>
      </c>
      <c r="BW212" s="839"/>
      <c r="BX212" s="853">
        <v>5</v>
      </c>
      <c r="BY212" s="839"/>
      <c r="BZ212" s="854"/>
      <c r="CA212" s="839"/>
      <c r="CB212" s="853"/>
      <c r="CC212" s="839"/>
      <c r="CD212" s="854"/>
      <c r="CE212" s="839"/>
      <c r="CF212" s="853"/>
      <c r="CG212" s="839"/>
      <c r="CH212" s="854"/>
      <c r="CI212" s="839"/>
      <c r="CJ212" s="853"/>
      <c r="CK212" s="839"/>
      <c r="CL212" s="854"/>
      <c r="CM212" s="839"/>
      <c r="CN212" s="853"/>
      <c r="CO212" s="839"/>
      <c r="CP212" s="854"/>
      <c r="CQ212" s="839"/>
      <c r="CR212" s="853"/>
      <c r="CS212" s="839"/>
      <c r="CT212" s="839"/>
      <c r="CU212" s="839"/>
      <c r="CV212" s="839"/>
      <c r="CW212" s="839"/>
      <c r="CX212" s="839"/>
      <c r="CY212" s="839"/>
      <c r="CZ212" s="839"/>
      <c r="DA212" s="839"/>
      <c r="DB212" s="839"/>
      <c r="DC212" s="839"/>
      <c r="DD212" s="839"/>
      <c r="DE212" s="839"/>
      <c r="DF212" s="839"/>
      <c r="DG212" s="839"/>
      <c r="DH212" s="839"/>
      <c r="DI212" s="839"/>
      <c r="DJ212" s="839"/>
      <c r="DK212" s="839"/>
      <c r="DL212" s="839"/>
      <c r="DM212" s="839"/>
      <c r="DN212" s="839"/>
      <c r="DO212" s="839"/>
      <c r="DP212" s="839"/>
      <c r="DQ212" s="839"/>
      <c r="DR212" s="839"/>
      <c r="DS212" s="839"/>
      <c r="DT212" s="839"/>
      <c r="DU212" s="839"/>
      <c r="DV212" s="839"/>
      <c r="DW212" s="839"/>
      <c r="DX212" s="892">
        <v>0.5</v>
      </c>
      <c r="DY212" s="892"/>
      <c r="DZ212" s="892">
        <v>0.5</v>
      </c>
      <c r="EA212" s="892">
        <v>0.55000000000000004</v>
      </c>
      <c r="EB212" s="892">
        <v>0.5</v>
      </c>
      <c r="EC212" s="892">
        <v>0.45</v>
      </c>
      <c r="ED212" s="892">
        <v>0.5</v>
      </c>
      <c r="EE212" s="892">
        <v>0.5</v>
      </c>
      <c r="EF212" s="892">
        <v>0.5</v>
      </c>
      <c r="EG212" s="892">
        <v>0.5</v>
      </c>
      <c r="EH212" s="892">
        <v>0.5</v>
      </c>
      <c r="EI212" s="839"/>
      <c r="EJ212" s="839"/>
      <c r="EK212" s="839"/>
    </row>
    <row r="213" spans="1:145" hidden="1" outlineLevel="1">
      <c r="A213" s="840" t="s">
        <v>601</v>
      </c>
      <c r="B213" s="840"/>
      <c r="C213" s="839"/>
      <c r="D213" s="877">
        <f>+D208</f>
        <v>4</v>
      </c>
      <c r="E213" s="839"/>
      <c r="F213" s="841"/>
      <c r="G213" s="839"/>
      <c r="H213" s="857"/>
      <c r="I213" s="839"/>
      <c r="J213" s="852" t="str">
        <f>+J144</f>
        <v>2/1</v>
      </c>
      <c r="K213" s="839"/>
      <c r="L213" s="857"/>
      <c r="M213" s="839"/>
      <c r="N213" s="852" t="str">
        <f>+N144</f>
        <v xml:space="preserve"> 1/30</v>
      </c>
      <c r="O213" s="839"/>
      <c r="P213" s="857"/>
      <c r="Q213" s="839"/>
      <c r="R213" s="852" t="str">
        <f>+R144</f>
        <v>1/29</v>
      </c>
      <c r="S213" s="839"/>
      <c r="T213" s="858">
        <v>-14</v>
      </c>
      <c r="U213" s="839"/>
      <c r="V213" s="852" t="str">
        <f>+V144</f>
        <v>1/28</v>
      </c>
      <c r="W213" s="839"/>
      <c r="X213" s="858">
        <v>-39</v>
      </c>
      <c r="Y213" s="839"/>
      <c r="Z213" s="852" t="str">
        <f>+Z144</f>
        <v>2/3</v>
      </c>
      <c r="AA213" s="839"/>
      <c r="AB213" s="858">
        <v>18</v>
      </c>
      <c r="AC213" s="839"/>
      <c r="AD213" s="852" t="str">
        <f>+AD144</f>
        <v>2/1</v>
      </c>
      <c r="AE213" s="839"/>
      <c r="AF213" s="858">
        <v>11</v>
      </c>
      <c r="AG213" s="839"/>
      <c r="AH213" s="852" t="str">
        <f>+AH144</f>
        <v>1/30</v>
      </c>
      <c r="AI213" s="839"/>
      <c r="AJ213" s="858">
        <v>-16</v>
      </c>
      <c r="AK213" s="839"/>
      <c r="AL213" s="852" t="str">
        <f>+AL144</f>
        <v>1/30</v>
      </c>
      <c r="AM213" s="839"/>
      <c r="AN213" s="858">
        <v>11</v>
      </c>
      <c r="AO213" s="839"/>
      <c r="AP213" s="852" t="str">
        <f>+AP144</f>
        <v>1/29</v>
      </c>
      <c r="AQ213" s="839"/>
      <c r="AR213" s="858">
        <v>11</v>
      </c>
      <c r="AS213" s="839"/>
      <c r="AT213" s="852" t="str">
        <f>+AT144</f>
        <v>2/3</v>
      </c>
      <c r="AU213" s="839"/>
      <c r="AV213" s="858">
        <v>5</v>
      </c>
      <c r="AW213" s="839"/>
      <c r="AX213" s="852" t="str">
        <f>+AX144</f>
        <v>2/2</v>
      </c>
      <c r="AY213" s="839"/>
      <c r="AZ213" s="858">
        <v>13</v>
      </c>
      <c r="BA213" s="839"/>
      <c r="BB213" s="852" t="str">
        <f>+BB144</f>
        <v>2/1</v>
      </c>
      <c r="BC213" s="839"/>
      <c r="BD213" s="858">
        <v>0</v>
      </c>
      <c r="BE213" s="839"/>
      <c r="BF213" s="854">
        <f>+BF144</f>
        <v>37652</v>
      </c>
      <c r="BG213" s="839"/>
      <c r="BH213" s="858">
        <v>27</v>
      </c>
      <c r="BI213" s="839"/>
      <c r="BJ213" s="854">
        <f>+BJ144</f>
        <v>38382</v>
      </c>
      <c r="BK213" s="839"/>
      <c r="BL213" s="858">
        <v>-16</v>
      </c>
      <c r="BM213" s="839"/>
      <c r="BN213" s="854">
        <f>+BN144</f>
        <v>38745</v>
      </c>
      <c r="BO213" s="839"/>
      <c r="BP213" s="858">
        <v>-4</v>
      </c>
      <c r="BQ213" s="839"/>
      <c r="BR213" s="854">
        <f>+BR144</f>
        <v>38386</v>
      </c>
      <c r="BS213" s="839"/>
      <c r="BT213" s="858">
        <v>5</v>
      </c>
      <c r="BU213" s="839"/>
      <c r="BV213" s="854">
        <f>+BV144</f>
        <v>39115</v>
      </c>
      <c r="BW213" s="839"/>
      <c r="BX213" s="858">
        <v>2</v>
      </c>
      <c r="BY213" s="839"/>
      <c r="BZ213" s="854"/>
      <c r="CA213" s="839"/>
      <c r="CB213" s="858"/>
      <c r="CC213" s="839"/>
      <c r="CD213" s="854"/>
      <c r="CE213" s="839"/>
      <c r="CF213" s="858"/>
      <c r="CG213" s="839"/>
      <c r="CH213" s="854"/>
      <c r="CI213" s="839"/>
      <c r="CJ213" s="858"/>
      <c r="CK213" s="839"/>
      <c r="CL213" s="854"/>
      <c r="CM213" s="839"/>
      <c r="CN213" s="858"/>
      <c r="CO213" s="839"/>
      <c r="CP213" s="854"/>
      <c r="CQ213" s="839"/>
      <c r="CR213" s="858"/>
      <c r="CS213" s="839"/>
      <c r="CT213" s="839"/>
      <c r="CU213" s="839"/>
      <c r="CV213" s="839"/>
      <c r="CW213" s="839"/>
      <c r="CX213" s="839"/>
      <c r="CY213" s="839"/>
      <c r="CZ213" s="839"/>
      <c r="DA213" s="839"/>
      <c r="DB213" s="839"/>
      <c r="DC213" s="839"/>
      <c r="DD213" s="839"/>
      <c r="DE213" s="839"/>
      <c r="DF213" s="839"/>
      <c r="DG213" s="839"/>
      <c r="DH213" s="839"/>
      <c r="DI213" s="839"/>
      <c r="DJ213" s="839"/>
      <c r="DK213" s="839"/>
      <c r="DL213" s="839"/>
      <c r="DM213" s="839"/>
      <c r="DN213" s="839"/>
      <c r="DO213" s="839"/>
      <c r="DP213" s="839"/>
      <c r="DQ213" s="839"/>
      <c r="DR213" s="839"/>
      <c r="DS213" s="839"/>
      <c r="DT213" s="839"/>
      <c r="DU213" s="839"/>
      <c r="DV213" s="839"/>
      <c r="DW213" s="839"/>
      <c r="DX213" s="893">
        <f>1-DX212-DX211</f>
        <v>0.2</v>
      </c>
      <c r="DY213" s="893"/>
      <c r="DZ213" s="893">
        <f t="shared" ref="DZ213:EH213" si="84">1-DZ212-DZ211</f>
        <v>0.2</v>
      </c>
      <c r="EA213" s="893">
        <f t="shared" si="84"/>
        <v>0.14999999999999997</v>
      </c>
      <c r="EB213" s="893">
        <f t="shared" si="84"/>
        <v>0.2</v>
      </c>
      <c r="EC213" s="893">
        <f t="shared" si="84"/>
        <v>0.30000000000000004</v>
      </c>
      <c r="ED213" s="893">
        <f t="shared" si="84"/>
        <v>0.2</v>
      </c>
      <c r="EE213" s="893">
        <f t="shared" si="84"/>
        <v>0.2</v>
      </c>
      <c r="EF213" s="893">
        <f t="shared" si="84"/>
        <v>0.2</v>
      </c>
      <c r="EG213" s="893">
        <f t="shared" si="84"/>
        <v>0.2</v>
      </c>
      <c r="EH213" s="893">
        <f t="shared" si="84"/>
        <v>0.2</v>
      </c>
      <c r="EI213" s="839"/>
      <c r="EJ213" s="839"/>
      <c r="EK213" s="839"/>
    </row>
    <row r="214" spans="1:145" hidden="1" outlineLevel="1">
      <c r="A214" s="862"/>
      <c r="B214" s="862" t="s">
        <v>519</v>
      </c>
      <c r="C214" s="861"/>
      <c r="D214" s="861"/>
      <c r="E214" s="861"/>
      <c r="F214" s="861"/>
      <c r="G214" s="861"/>
      <c r="H214" s="864"/>
      <c r="I214" s="861"/>
      <c r="J214" s="861"/>
      <c r="K214" s="861"/>
      <c r="L214" s="864"/>
      <c r="M214" s="861"/>
      <c r="N214" s="861"/>
      <c r="O214" s="861"/>
      <c r="P214" s="864"/>
      <c r="Q214" s="861"/>
      <c r="R214" s="861"/>
      <c r="S214" s="861"/>
      <c r="T214" s="866">
        <v>-19</v>
      </c>
      <c r="U214" s="861"/>
      <c r="V214" s="861"/>
      <c r="W214" s="861"/>
      <c r="X214" s="866">
        <v>-27</v>
      </c>
      <c r="Y214" s="861"/>
      <c r="Z214" s="861"/>
      <c r="AA214" s="861"/>
      <c r="AB214" s="866">
        <v>2</v>
      </c>
      <c r="AC214" s="861"/>
      <c r="AD214" s="861"/>
      <c r="AE214" s="861"/>
      <c r="AF214" s="866">
        <v>1</v>
      </c>
      <c r="AG214" s="861"/>
      <c r="AH214" s="861"/>
      <c r="AI214" s="861"/>
      <c r="AJ214" s="866">
        <v>-1</v>
      </c>
      <c r="AK214" s="861"/>
      <c r="AL214" s="861"/>
      <c r="AM214" s="861"/>
      <c r="AN214" s="866">
        <v>1</v>
      </c>
      <c r="AO214" s="861"/>
      <c r="AP214" s="861"/>
      <c r="AQ214" s="861"/>
      <c r="AR214" s="866">
        <v>0</v>
      </c>
      <c r="AS214" s="861"/>
      <c r="AT214" s="861"/>
      <c r="AU214" s="861"/>
      <c r="AV214" s="866">
        <v>7</v>
      </c>
      <c r="AW214" s="861"/>
      <c r="AX214" s="861"/>
      <c r="AY214" s="861"/>
      <c r="AZ214" s="866">
        <v>1</v>
      </c>
      <c r="BA214" s="861"/>
      <c r="BB214" s="861"/>
      <c r="BC214" s="861"/>
      <c r="BD214" s="866">
        <v>-1</v>
      </c>
      <c r="BE214" s="861"/>
      <c r="BF214" s="861"/>
      <c r="BG214" s="861"/>
      <c r="BH214" s="866">
        <v>5</v>
      </c>
      <c r="BI214" s="861"/>
      <c r="BJ214" s="861"/>
      <c r="BK214" s="861"/>
      <c r="BL214" s="866">
        <v>-5</v>
      </c>
      <c r="BM214" s="861"/>
      <c r="BN214" s="861"/>
      <c r="BO214" s="861"/>
      <c r="BP214" s="866">
        <v>-1</v>
      </c>
      <c r="BQ214" s="861"/>
      <c r="BR214" s="861"/>
      <c r="BS214" s="861"/>
      <c r="BT214" s="866">
        <v>-4</v>
      </c>
      <c r="BU214" s="861"/>
      <c r="BV214" s="861"/>
      <c r="BW214" s="861"/>
      <c r="BX214" s="900">
        <f>+EG214</f>
        <v>3.8</v>
      </c>
      <c r="BY214" s="861"/>
      <c r="BZ214" s="861"/>
      <c r="CA214" s="861"/>
      <c r="CB214" s="900"/>
      <c r="CC214" s="861"/>
      <c r="CD214" s="861"/>
      <c r="CE214" s="861"/>
      <c r="CF214" s="900"/>
      <c r="CG214" s="861"/>
      <c r="CH214" s="861"/>
      <c r="CI214" s="861"/>
      <c r="CJ214" s="900"/>
      <c r="CK214" s="861"/>
      <c r="CL214" s="861"/>
      <c r="CM214" s="861"/>
      <c r="CN214" s="900"/>
      <c r="CO214" s="861"/>
      <c r="CP214" s="861"/>
      <c r="CQ214" s="861"/>
      <c r="CR214" s="900"/>
      <c r="CS214" s="861"/>
      <c r="CT214" s="876"/>
      <c r="CU214" s="876"/>
      <c r="CV214" s="876"/>
      <c r="CW214" s="876"/>
      <c r="CX214" s="876"/>
      <c r="CY214" s="876"/>
      <c r="CZ214" s="876"/>
      <c r="DA214" s="876"/>
      <c r="DB214" s="876"/>
      <c r="DC214" s="876"/>
      <c r="DD214" s="876"/>
      <c r="DE214" s="876"/>
      <c r="DF214" s="876"/>
      <c r="DG214" s="876"/>
      <c r="DH214" s="876"/>
      <c r="DI214" s="876"/>
      <c r="DJ214" s="876"/>
      <c r="DK214" s="876"/>
      <c r="DL214" s="876"/>
      <c r="DM214" s="876"/>
      <c r="DN214" s="876"/>
      <c r="DO214" s="876"/>
      <c r="DP214" s="876"/>
      <c r="DQ214" s="876"/>
      <c r="DR214" s="876"/>
      <c r="DS214" s="876"/>
      <c r="DT214" s="876"/>
      <c r="DU214" s="876"/>
      <c r="DV214" s="876"/>
      <c r="DW214" s="876"/>
      <c r="DX214" s="855">
        <f>+AR211*DX211+AR212*DX212+AR213*DX213</f>
        <v>0.30000000000000027</v>
      </c>
      <c r="DY214" s="855"/>
      <c r="DZ214" s="855">
        <f>+AV211*DZ211+AV212*DZ212+AV213*DZ213</f>
        <v>7.5</v>
      </c>
      <c r="EA214" s="855">
        <f>+AZ211*EA211+AZ212*EA212+AZ213*EA213</f>
        <v>1.0499999999999996</v>
      </c>
      <c r="EB214" s="855">
        <f>+BD211*EB211+BD212*EB212+BD213*EB213</f>
        <v>-1.4</v>
      </c>
      <c r="EC214" s="855">
        <f>+BH211*EC211+BH212*EC212+BH213*EC213</f>
        <v>8.5500000000000007</v>
      </c>
      <c r="ED214" s="855">
        <f>+BL211*ED211+BL212*ED212+BL213*ED213</f>
        <v>-5</v>
      </c>
      <c r="EE214" s="855">
        <f>+BP211*EE211+BP212*EE212+BP213*EE213</f>
        <v>-1.3</v>
      </c>
      <c r="EF214" s="855">
        <f>+BT211*EF211+BT212*EF212+BT213*EF213</f>
        <v>-3.7</v>
      </c>
      <c r="EG214" s="855">
        <f>+BX211*EG211+BX212*EG212+BX213*EG213</f>
        <v>3.8</v>
      </c>
      <c r="EH214" s="855"/>
      <c r="EI214" s="839"/>
      <c r="EJ214" s="839"/>
      <c r="EK214" s="839"/>
    </row>
    <row r="215" spans="1:145" hidden="1" outlineLevel="1">
      <c r="A215" s="885"/>
      <c r="B215" s="885" t="s">
        <v>1020</v>
      </c>
      <c r="C215" s="886"/>
      <c r="D215" s="886"/>
      <c r="E215" s="886"/>
      <c r="F215" s="886"/>
      <c r="G215" s="886"/>
      <c r="H215" s="887"/>
      <c r="I215" s="886"/>
      <c r="J215" s="886"/>
      <c r="K215" s="886"/>
      <c r="L215" s="887"/>
      <c r="M215" s="886"/>
      <c r="N215" s="886"/>
      <c r="O215" s="886"/>
      <c r="P215" s="887"/>
      <c r="Q215" s="886"/>
      <c r="R215" s="886"/>
      <c r="S215" s="886"/>
      <c r="T215" s="888">
        <v>-14</v>
      </c>
      <c r="U215" s="886"/>
      <c r="V215" s="886"/>
      <c r="W215" s="886"/>
      <c r="X215" s="888">
        <v>-21</v>
      </c>
      <c r="Y215" s="886"/>
      <c r="Z215" s="886"/>
      <c r="AA215" s="886"/>
      <c r="AB215" s="888">
        <v>-4</v>
      </c>
      <c r="AC215" s="886"/>
      <c r="AD215" s="886"/>
      <c r="AE215" s="886"/>
      <c r="AF215" s="888">
        <v>3</v>
      </c>
      <c r="AG215" s="886"/>
      <c r="AH215" s="886"/>
      <c r="AI215" s="886"/>
      <c r="AJ215" s="888">
        <v>-7</v>
      </c>
      <c r="AK215" s="886"/>
      <c r="AL215" s="886"/>
      <c r="AM215" s="886"/>
      <c r="AN215" s="888">
        <v>1</v>
      </c>
      <c r="AO215" s="886"/>
      <c r="AP215" s="886"/>
      <c r="AQ215" s="886"/>
      <c r="AR215" s="888">
        <v>5</v>
      </c>
      <c r="AS215" s="886"/>
      <c r="AT215" s="886"/>
      <c r="AU215" s="886"/>
      <c r="AV215" s="888">
        <v>5</v>
      </c>
      <c r="AW215" s="886"/>
      <c r="AX215" s="886"/>
      <c r="AY215" s="886"/>
      <c r="AZ215" s="888">
        <v>-2</v>
      </c>
      <c r="BA215" s="886"/>
      <c r="BB215" s="886"/>
      <c r="BC215" s="886"/>
      <c r="BD215" s="888">
        <v>7</v>
      </c>
      <c r="BE215" s="886"/>
      <c r="BF215" s="886"/>
      <c r="BG215" s="886"/>
      <c r="BH215" s="888">
        <v>0</v>
      </c>
      <c r="BI215" s="886"/>
      <c r="BJ215" s="886"/>
      <c r="BK215" s="886"/>
      <c r="BL215" s="888">
        <v>-5</v>
      </c>
      <c r="BM215" s="886"/>
      <c r="BN215" s="886"/>
      <c r="BO215" s="886"/>
      <c r="BP215" s="888">
        <v>-2</v>
      </c>
      <c r="BQ215" s="886"/>
      <c r="BR215" s="886"/>
      <c r="BS215" s="886"/>
      <c r="BT215" s="888">
        <v>-4</v>
      </c>
      <c r="BU215" s="886"/>
      <c r="BV215" s="886"/>
      <c r="BW215" s="886"/>
      <c r="BX215" s="889">
        <f>segqtrSales!$F$823</f>
        <v>3.2327424413106502</v>
      </c>
      <c r="BY215" s="886"/>
      <c r="BZ215" s="886"/>
      <c r="CA215" s="886"/>
      <c r="CB215" s="889"/>
      <c r="CC215" s="886"/>
      <c r="CD215" s="886"/>
      <c r="CE215" s="886"/>
      <c r="CF215" s="889"/>
      <c r="CG215" s="886"/>
      <c r="CH215" s="886"/>
      <c r="CI215" s="886"/>
      <c r="CJ215" s="889"/>
      <c r="CK215" s="886"/>
      <c r="CL215" s="886"/>
      <c r="CM215" s="886"/>
      <c r="CN215" s="889"/>
      <c r="CO215" s="886"/>
      <c r="CP215" s="886"/>
      <c r="CQ215" s="886"/>
      <c r="CR215" s="889"/>
      <c r="CS215" s="886"/>
      <c r="CT215" s="599"/>
      <c r="CU215" s="599"/>
      <c r="CV215" s="599"/>
      <c r="CW215" s="599"/>
      <c r="CX215" s="599"/>
      <c r="CY215" s="599"/>
      <c r="CZ215" s="599"/>
      <c r="DA215" s="599"/>
      <c r="DB215" s="599"/>
      <c r="DC215" s="599"/>
      <c r="DD215" s="599"/>
      <c r="DE215" s="599"/>
      <c r="DF215" s="599"/>
      <c r="DG215" s="599"/>
      <c r="DH215" s="599"/>
      <c r="DI215" s="599"/>
      <c r="DJ215" s="599"/>
      <c r="DK215" s="599"/>
      <c r="DL215" s="599"/>
      <c r="DM215" s="599"/>
      <c r="DN215" s="599"/>
      <c r="DO215" s="599"/>
      <c r="DP215" s="599"/>
      <c r="DQ215" s="599"/>
      <c r="DR215" s="599"/>
      <c r="DS215" s="599"/>
      <c r="DT215" s="599"/>
      <c r="DU215" s="599"/>
      <c r="DV215" s="599"/>
      <c r="DW215" s="599"/>
      <c r="DX215" s="890"/>
      <c r="DY215" s="890"/>
      <c r="DZ215" s="890"/>
      <c r="EA215" s="890"/>
      <c r="EB215" s="890"/>
      <c r="EC215" s="890"/>
      <c r="ED215" s="890"/>
      <c r="EE215" s="890"/>
      <c r="EF215" s="890"/>
      <c r="EG215" s="890"/>
      <c r="EH215" s="890"/>
      <c r="EI215" s="890"/>
      <c r="EJ215" s="890"/>
      <c r="EK215" s="890"/>
    </row>
    <row r="216" spans="1:145" hidden="1" outlineLevel="1">
      <c r="A216" s="839"/>
      <c r="B216" s="839"/>
      <c r="C216" s="839"/>
      <c r="D216" s="839"/>
      <c r="E216" s="839"/>
      <c r="F216" s="839"/>
      <c r="G216" s="839"/>
      <c r="H216" s="839"/>
      <c r="I216" s="839"/>
      <c r="J216" s="839"/>
      <c r="K216" s="839"/>
      <c r="L216" s="839"/>
      <c r="M216" s="839"/>
      <c r="N216" s="839"/>
      <c r="O216" s="839"/>
      <c r="P216" s="839"/>
      <c r="Q216" s="839"/>
      <c r="R216" s="839"/>
      <c r="S216" s="839"/>
      <c r="T216" s="839"/>
      <c r="U216" s="839"/>
      <c r="V216" s="839"/>
      <c r="W216" s="839"/>
      <c r="X216" s="839"/>
      <c r="Y216" s="839"/>
      <c r="Z216" s="839"/>
      <c r="AA216" s="839"/>
      <c r="AB216" s="839"/>
      <c r="AC216" s="839"/>
      <c r="AD216" s="839"/>
      <c r="AE216" s="839"/>
      <c r="AF216" s="839"/>
      <c r="AG216" s="839"/>
      <c r="AH216" s="839"/>
      <c r="AI216" s="839"/>
      <c r="AJ216" s="839"/>
      <c r="AK216" s="839"/>
      <c r="AL216" s="839"/>
      <c r="AM216" s="839"/>
      <c r="AN216" s="839"/>
      <c r="AO216" s="839"/>
      <c r="AP216" s="839"/>
      <c r="AQ216" s="839"/>
      <c r="AR216" s="839"/>
      <c r="AS216" s="839"/>
      <c r="AT216" s="839"/>
      <c r="AU216" s="839"/>
      <c r="AV216" s="839"/>
      <c r="AW216" s="839"/>
      <c r="AX216" s="839"/>
      <c r="AY216" s="839"/>
      <c r="AZ216" s="839"/>
      <c r="BA216" s="839"/>
      <c r="BB216" s="839"/>
      <c r="BC216" s="839"/>
      <c r="BD216" s="839"/>
      <c r="BE216" s="839"/>
      <c r="BF216" s="839"/>
      <c r="BG216" s="839"/>
      <c r="BH216" s="839"/>
      <c r="BI216" s="839"/>
      <c r="BJ216" s="839"/>
      <c r="BK216" s="839"/>
      <c r="BL216" s="839"/>
      <c r="BM216" s="839"/>
      <c r="BN216" s="839"/>
      <c r="BO216" s="839"/>
      <c r="BP216" s="839"/>
      <c r="BQ216" s="839"/>
      <c r="BR216" s="839"/>
      <c r="BS216" s="839"/>
      <c r="BT216" s="839"/>
      <c r="BU216" s="839"/>
      <c r="BV216" s="839"/>
      <c r="BW216" s="839"/>
      <c r="BX216" s="839"/>
      <c r="BY216" s="839"/>
      <c r="BZ216" s="839"/>
      <c r="CA216" s="839"/>
      <c r="CB216" s="839"/>
      <c r="CC216" s="839"/>
      <c r="CD216" s="839"/>
      <c r="CE216" s="839"/>
      <c r="CF216" s="839"/>
      <c r="CG216" s="839"/>
      <c r="CH216" s="839"/>
      <c r="CI216" s="839"/>
      <c r="CJ216" s="839"/>
      <c r="CK216" s="839"/>
      <c r="CL216" s="839"/>
      <c r="CM216" s="839"/>
      <c r="CN216" s="839"/>
      <c r="CO216" s="839"/>
      <c r="CP216" s="839"/>
      <c r="CQ216" s="839"/>
      <c r="CR216" s="839"/>
      <c r="CS216" s="839"/>
      <c r="CT216" s="839"/>
      <c r="CU216" s="839"/>
      <c r="CV216" s="839"/>
      <c r="CW216" s="839"/>
      <c r="CX216" s="839"/>
      <c r="CY216" s="839"/>
      <c r="CZ216" s="839"/>
      <c r="DA216" s="839"/>
      <c r="DB216" s="839"/>
      <c r="DC216" s="839"/>
      <c r="DD216" s="839"/>
      <c r="DE216" s="839"/>
      <c r="DF216" s="839"/>
      <c r="DG216" s="839"/>
      <c r="DH216" s="839"/>
      <c r="DI216" s="839"/>
      <c r="DJ216" s="839"/>
      <c r="DK216" s="839"/>
      <c r="DL216" s="839"/>
      <c r="DM216" s="839"/>
      <c r="DN216" s="839"/>
      <c r="DO216" s="839"/>
      <c r="DP216" s="839"/>
      <c r="DQ216" s="839"/>
      <c r="DR216" s="839"/>
      <c r="DS216" s="839"/>
      <c r="DT216" s="839"/>
      <c r="DU216" s="839"/>
      <c r="DV216" s="839"/>
      <c r="DW216" s="839"/>
      <c r="DX216" s="839"/>
      <c r="DY216" s="839"/>
      <c r="DZ216" s="839"/>
      <c r="EA216" s="839"/>
      <c r="EB216" s="839"/>
      <c r="EC216" s="839"/>
      <c r="ED216" s="839"/>
      <c r="EE216" s="839"/>
      <c r="EF216" s="839"/>
      <c r="EG216" s="839"/>
      <c r="EH216" s="839"/>
      <c r="EI216" s="839"/>
      <c r="EJ216" s="839"/>
      <c r="EK216" s="839"/>
    </row>
    <row r="217" spans="1:145" hidden="1" outlineLevel="1">
      <c r="A217" s="839"/>
      <c r="B217" s="839"/>
      <c r="C217" s="839"/>
      <c r="D217" s="839"/>
      <c r="E217" s="839"/>
      <c r="F217" s="839"/>
      <c r="G217" s="839"/>
      <c r="H217" s="839"/>
      <c r="I217" s="839"/>
      <c r="J217" s="839"/>
      <c r="K217" s="839"/>
      <c r="L217" s="839"/>
      <c r="M217" s="839"/>
      <c r="N217" s="839"/>
      <c r="O217" s="839"/>
      <c r="P217" s="839"/>
      <c r="Q217" s="839"/>
      <c r="R217" s="839"/>
      <c r="S217" s="839"/>
      <c r="T217" s="839"/>
      <c r="U217" s="839"/>
      <c r="V217" s="839"/>
      <c r="W217" s="839"/>
      <c r="X217" s="839"/>
      <c r="Y217" s="839"/>
      <c r="Z217" s="839"/>
      <c r="AA217" s="839"/>
      <c r="AB217" s="839"/>
      <c r="AC217" s="839"/>
      <c r="AD217" s="839"/>
      <c r="AE217" s="839"/>
      <c r="AF217" s="839"/>
      <c r="AG217" s="839"/>
      <c r="AH217" s="839"/>
      <c r="AI217" s="839"/>
      <c r="AJ217" s="839"/>
      <c r="AK217" s="839"/>
      <c r="AL217" s="839"/>
      <c r="AM217" s="839"/>
      <c r="AN217" s="839"/>
      <c r="AO217" s="839"/>
      <c r="AP217" s="839"/>
      <c r="AQ217" s="839"/>
      <c r="AR217" s="839"/>
      <c r="AS217" s="839"/>
      <c r="AT217" s="839"/>
      <c r="AU217" s="839"/>
      <c r="AV217" s="839"/>
      <c r="AW217" s="839"/>
      <c r="AX217" s="839"/>
      <c r="AY217" s="839"/>
      <c r="AZ217" s="839"/>
      <c r="BA217" s="839"/>
      <c r="BB217" s="839"/>
      <c r="BC217" s="839"/>
      <c r="BD217" s="839"/>
      <c r="BE217" s="839"/>
      <c r="BF217" s="839"/>
      <c r="BG217" s="839"/>
      <c r="BH217" s="839"/>
      <c r="BI217" s="839"/>
      <c r="BJ217" s="839"/>
      <c r="BK217" s="839"/>
      <c r="BL217" s="839"/>
      <c r="BM217" s="839"/>
      <c r="BN217" s="839"/>
      <c r="BO217" s="839"/>
      <c r="BP217" s="839"/>
      <c r="BQ217" s="839"/>
      <c r="BR217" s="839"/>
      <c r="BS217" s="839"/>
      <c r="BT217" s="839"/>
      <c r="BU217" s="839"/>
      <c r="BV217" s="839"/>
      <c r="BW217" s="839"/>
      <c r="BX217" s="839"/>
      <c r="BY217" s="839"/>
      <c r="BZ217" s="839"/>
      <c r="CA217" s="839"/>
      <c r="CB217" s="839"/>
      <c r="CC217" s="839"/>
      <c r="CD217" s="839"/>
      <c r="CE217" s="839"/>
      <c r="CF217" s="839"/>
      <c r="CG217" s="839"/>
      <c r="CH217" s="839"/>
      <c r="CI217" s="839"/>
      <c r="CJ217" s="839"/>
      <c r="CK217" s="839"/>
      <c r="CL217" s="839"/>
      <c r="CM217" s="839"/>
      <c r="CN217" s="839"/>
      <c r="CO217" s="839"/>
      <c r="CP217" s="839"/>
      <c r="CQ217" s="839"/>
      <c r="CR217" s="839"/>
      <c r="CS217" s="839"/>
      <c r="CT217" s="839"/>
      <c r="CU217" s="839"/>
      <c r="CV217" s="839"/>
      <c r="CW217" s="839"/>
      <c r="CX217" s="839"/>
      <c r="CY217" s="839"/>
      <c r="CZ217" s="839"/>
      <c r="DA217" s="839"/>
      <c r="DB217" s="839"/>
      <c r="DC217" s="839"/>
      <c r="DD217" s="839"/>
      <c r="DE217" s="839"/>
      <c r="DF217" s="839"/>
      <c r="DG217" s="839"/>
      <c r="DH217" s="839"/>
      <c r="DI217" s="839"/>
      <c r="DJ217" s="839"/>
      <c r="DK217" s="839"/>
      <c r="DL217" s="839"/>
      <c r="DM217" s="839"/>
      <c r="DN217" s="839"/>
      <c r="DO217" s="839"/>
      <c r="DP217" s="839"/>
      <c r="DQ217" s="839"/>
      <c r="DR217" s="839"/>
      <c r="DS217" s="839"/>
      <c r="DT217" s="839"/>
      <c r="DU217" s="839"/>
      <c r="DV217" s="839"/>
      <c r="DW217" s="839"/>
      <c r="DX217" s="839"/>
      <c r="DY217" s="839"/>
      <c r="DZ217" s="839"/>
      <c r="EA217" s="839"/>
      <c r="EB217" s="839"/>
      <c r="EC217" s="839"/>
      <c r="ED217" s="839"/>
      <c r="EE217" s="839"/>
      <c r="EF217" s="839"/>
      <c r="EG217" s="839"/>
      <c r="EH217" s="839"/>
      <c r="EI217" s="839"/>
      <c r="EJ217" s="839"/>
      <c r="EK217" s="839"/>
    </row>
    <row r="218" spans="1:145" hidden="1" outlineLevel="1">
      <c r="A218" s="839"/>
      <c r="B218" s="891" t="s">
        <v>770</v>
      </c>
      <c r="C218" s="839"/>
      <c r="D218" s="839"/>
      <c r="E218" s="839"/>
      <c r="F218" s="839"/>
      <c r="G218" s="839"/>
      <c r="H218" s="839"/>
      <c r="I218" s="839"/>
      <c r="J218" s="839"/>
      <c r="K218" s="839"/>
      <c r="L218" s="839"/>
      <c r="M218" s="839"/>
      <c r="N218" s="839"/>
      <c r="O218" s="839"/>
      <c r="P218" s="839"/>
      <c r="Q218" s="839"/>
      <c r="R218" s="839"/>
      <c r="S218" s="839"/>
      <c r="T218" s="839"/>
      <c r="U218" s="839"/>
      <c r="V218" s="839"/>
      <c r="W218" s="839"/>
      <c r="X218" s="839"/>
      <c r="Y218" s="839"/>
      <c r="Z218" s="839"/>
      <c r="AA218" s="839"/>
      <c r="AB218" s="839"/>
      <c r="AC218" s="839"/>
      <c r="AD218" s="839"/>
      <c r="AE218" s="839"/>
      <c r="AF218" s="839"/>
      <c r="AG218" s="839"/>
      <c r="AH218" s="839"/>
      <c r="AI218" s="839"/>
      <c r="AJ218" s="839"/>
      <c r="AK218" s="839"/>
      <c r="AL218" s="839"/>
      <c r="AM218" s="839"/>
      <c r="AN218" s="839"/>
      <c r="AO218" s="839"/>
      <c r="AP218" s="839"/>
      <c r="AQ218" s="839"/>
      <c r="AR218" s="839"/>
      <c r="AS218" s="839"/>
      <c r="AT218" s="839"/>
      <c r="AU218" s="839"/>
      <c r="AV218" s="839"/>
      <c r="AW218" s="839"/>
      <c r="AX218" s="839"/>
      <c r="AY218" s="839"/>
      <c r="AZ218" s="839"/>
      <c r="BA218" s="839"/>
      <c r="BB218" s="839"/>
      <c r="BC218" s="839"/>
      <c r="BD218" s="839"/>
      <c r="BE218" s="839"/>
      <c r="BF218" s="839"/>
      <c r="BG218" s="839"/>
      <c r="BH218" s="839"/>
      <c r="BI218" s="839"/>
      <c r="BJ218" s="839"/>
      <c r="BK218" s="839"/>
      <c r="BL218" s="839"/>
      <c r="BM218" s="839"/>
      <c r="BN218" s="839"/>
      <c r="BO218" s="839"/>
      <c r="BP218" s="839"/>
      <c r="BQ218" s="839"/>
      <c r="BR218" s="839"/>
      <c r="BS218" s="839"/>
      <c r="BT218" s="839"/>
      <c r="BU218" s="839"/>
      <c r="BV218" s="839"/>
      <c r="BW218" s="839"/>
      <c r="BX218" s="839"/>
      <c r="BY218" s="839"/>
      <c r="BZ218" s="839"/>
      <c r="CA218" s="839"/>
      <c r="CB218" s="839"/>
      <c r="CC218" s="839"/>
      <c r="CD218" s="839"/>
      <c r="CE218" s="839"/>
      <c r="CF218" s="839"/>
      <c r="CG218" s="839"/>
      <c r="CH218" s="839"/>
      <c r="CI218" s="839"/>
      <c r="CJ218" s="839"/>
      <c r="CK218" s="839"/>
      <c r="CL218" s="839"/>
      <c r="CM218" s="839"/>
      <c r="CN218" s="839"/>
      <c r="CO218" s="839"/>
      <c r="CP218" s="839"/>
      <c r="CQ218" s="839"/>
      <c r="CR218" s="839"/>
      <c r="CS218" s="839"/>
      <c r="CT218" s="839"/>
      <c r="CU218" s="839"/>
      <c r="CV218" s="839"/>
      <c r="CW218" s="839"/>
      <c r="CX218" s="839"/>
      <c r="CY218" s="839"/>
      <c r="CZ218" s="839"/>
      <c r="DA218" s="839"/>
      <c r="DB218" s="839"/>
      <c r="DC218" s="839"/>
      <c r="DD218" s="839"/>
      <c r="DE218" s="839"/>
      <c r="DF218" s="839"/>
      <c r="DG218" s="839"/>
      <c r="DH218" s="839"/>
      <c r="DI218" s="839"/>
      <c r="DJ218" s="839"/>
      <c r="DK218" s="839"/>
      <c r="DL218" s="839"/>
      <c r="DM218" s="839"/>
      <c r="DN218" s="839"/>
      <c r="DO218" s="839"/>
      <c r="DP218" s="839"/>
      <c r="DQ218" s="839"/>
      <c r="DR218" s="839"/>
      <c r="DS218" s="839"/>
      <c r="DT218" s="839"/>
      <c r="DU218" s="839"/>
      <c r="DV218" s="839"/>
      <c r="DW218" s="839"/>
      <c r="DX218" s="839"/>
      <c r="DY218" s="839"/>
      <c r="DZ218" s="839"/>
      <c r="EA218" s="839"/>
      <c r="EB218" s="839"/>
      <c r="EC218" s="839"/>
      <c r="ED218" s="839"/>
      <c r="EE218" s="839"/>
      <c r="EF218" s="839"/>
      <c r="EG218" s="839"/>
      <c r="EH218" s="839"/>
      <c r="EI218" s="839"/>
      <c r="EJ218" s="839"/>
      <c r="EK218" s="839"/>
    </row>
    <row r="219" spans="1:145" hidden="1" outlineLevel="1">
      <c r="A219" s="912"/>
      <c r="B219" s="912" t="s">
        <v>1020</v>
      </c>
      <c r="C219" s="913"/>
      <c r="D219" s="913"/>
      <c r="E219" s="913"/>
      <c r="F219" s="913"/>
      <c r="G219" s="913"/>
      <c r="H219" s="914"/>
      <c r="I219" s="913"/>
      <c r="J219" s="913"/>
      <c r="K219" s="913"/>
      <c r="L219" s="914"/>
      <c r="M219" s="913"/>
      <c r="N219" s="913"/>
      <c r="O219" s="913"/>
      <c r="P219" s="914"/>
      <c r="Q219" s="913"/>
      <c r="R219" s="913"/>
      <c r="S219" s="913"/>
      <c r="T219" s="915"/>
      <c r="U219" s="913"/>
      <c r="V219" s="913"/>
      <c r="W219" s="913"/>
      <c r="X219" s="915"/>
      <c r="Y219" s="913"/>
      <c r="Z219" s="913"/>
      <c r="AA219" s="913"/>
      <c r="AB219" s="915"/>
      <c r="AC219" s="913"/>
      <c r="AD219" s="913"/>
      <c r="AE219" s="913"/>
      <c r="AF219" s="915"/>
      <c r="AG219" s="913"/>
      <c r="AH219" s="913"/>
      <c r="AI219" s="913"/>
      <c r="AJ219" s="915"/>
      <c r="AK219" s="913"/>
      <c r="AL219" s="913"/>
      <c r="AM219" s="913"/>
      <c r="AN219" s="915"/>
      <c r="AO219" s="913"/>
      <c r="AP219" s="913"/>
      <c r="AQ219" s="913"/>
      <c r="AR219" s="915"/>
      <c r="AS219" s="913"/>
      <c r="AT219" s="913"/>
      <c r="AU219" s="913"/>
      <c r="AV219" s="915"/>
      <c r="AW219" s="913"/>
      <c r="AX219" s="913"/>
      <c r="AY219" s="913"/>
      <c r="AZ219" s="915"/>
      <c r="BA219" s="913"/>
      <c r="BB219" s="913"/>
      <c r="BC219" s="913"/>
      <c r="BD219" s="915">
        <v>7</v>
      </c>
      <c r="BE219" s="913"/>
      <c r="BF219" s="913"/>
      <c r="BG219" s="913"/>
      <c r="BH219" s="915">
        <v>8</v>
      </c>
      <c r="BI219" s="913"/>
      <c r="BJ219" s="913"/>
      <c r="BK219" s="913"/>
      <c r="BL219" s="915">
        <v>9</v>
      </c>
      <c r="BM219" s="913"/>
      <c r="BN219" s="913"/>
      <c r="BO219" s="913"/>
      <c r="BP219" s="916" t="s">
        <v>520</v>
      </c>
      <c r="BQ219" s="913"/>
      <c r="BR219" s="913"/>
      <c r="BS219" s="913"/>
      <c r="BT219" s="916"/>
      <c r="BU219" s="913"/>
      <c r="BV219" s="913"/>
      <c r="BW219" s="913"/>
      <c r="BX219" s="916"/>
      <c r="BY219" s="913"/>
      <c r="BZ219" s="913"/>
      <c r="CA219" s="913"/>
      <c r="CB219" s="916"/>
      <c r="CC219" s="913"/>
      <c r="CD219" s="913"/>
      <c r="CE219" s="913"/>
      <c r="CF219" s="916"/>
      <c r="CG219" s="913"/>
      <c r="CH219" s="913"/>
      <c r="CI219" s="913"/>
      <c r="CJ219" s="916"/>
      <c r="CK219" s="913"/>
      <c r="CL219" s="913"/>
      <c r="CM219" s="913"/>
      <c r="CN219" s="916"/>
      <c r="CO219" s="913"/>
      <c r="CP219" s="913"/>
      <c r="CQ219" s="913"/>
      <c r="CR219" s="916"/>
      <c r="CS219" s="913"/>
      <c r="CT219" s="599"/>
      <c r="CU219" s="599"/>
      <c r="CV219" s="599"/>
      <c r="CW219" s="599"/>
      <c r="CX219" s="599"/>
      <c r="CY219" s="599"/>
      <c r="CZ219" s="599"/>
      <c r="DA219" s="599"/>
      <c r="DB219" s="599"/>
      <c r="DC219" s="599"/>
      <c r="DD219" s="599"/>
      <c r="DE219" s="599"/>
      <c r="DF219" s="599"/>
      <c r="DG219" s="599"/>
      <c r="DH219" s="599"/>
      <c r="DI219" s="599"/>
      <c r="DJ219" s="599"/>
      <c r="DK219" s="599"/>
      <c r="DL219" s="599"/>
      <c r="DM219" s="599"/>
      <c r="DN219" s="599"/>
      <c r="DO219" s="599"/>
      <c r="DP219" s="599"/>
      <c r="DQ219" s="599"/>
      <c r="DR219" s="599"/>
      <c r="DS219" s="599"/>
      <c r="DT219" s="599"/>
      <c r="DU219" s="599"/>
      <c r="DV219" s="599"/>
      <c r="DW219" s="599"/>
      <c r="DX219" s="890"/>
      <c r="DY219" s="890"/>
      <c r="DZ219" s="890"/>
      <c r="EA219" s="890"/>
      <c r="EB219" s="890"/>
      <c r="EC219" s="890"/>
      <c r="ED219" s="890"/>
      <c r="EE219" s="890"/>
      <c r="EF219" s="890"/>
      <c r="EG219" s="890"/>
      <c r="EH219" s="890"/>
      <c r="EI219" s="890"/>
      <c r="EJ219" s="890"/>
      <c r="EK219" s="890"/>
    </row>
    <row r="220" spans="1:145" collapsed="1"/>
    <row r="222" spans="1:145">
      <c r="EM222">
        <v>-3</v>
      </c>
      <c r="EN222">
        <v>0.8</v>
      </c>
      <c r="EO222">
        <f>EM222*EN222</f>
        <v>-2.4000000000000004</v>
      </c>
    </row>
    <row r="223" spans="1:145">
      <c r="DO223" s="1375"/>
      <c r="DU223" s="1375"/>
      <c r="EM223">
        <v>18</v>
      </c>
      <c r="EN223">
        <v>0.2</v>
      </c>
      <c r="EO223">
        <f>EM223*EN223</f>
        <v>3.6</v>
      </c>
    </row>
    <row r="224" spans="1:145">
      <c r="EO224">
        <f>EO222+EO223</f>
        <v>1.1999999999999997</v>
      </c>
    </row>
    <row r="65536" spans="128:129">
      <c r="DX65536" s="252"/>
      <c r="DY65536" s="252"/>
    </row>
  </sheetData>
  <dataConsolidate/>
  <mergeCells count="5">
    <mergeCell ref="DB3:DI3"/>
    <mergeCell ref="DB33:DI33"/>
    <mergeCell ref="DG79:DK79"/>
    <mergeCell ref="DM79:DQ79"/>
    <mergeCell ref="DS79:DW79"/>
  </mergeCells>
  <phoneticPr fontId="0" type="noConversion"/>
  <dataValidations count="1">
    <dataValidation type="custom" allowBlank="1" showInputMessage="1" showErrorMessage="1" sqref="AT11:AT28 BB11:BB28 AX11:AX28 BF11:BF28 BJ11:BJ28 BN11:BN28 BR11:BR28 BV11:BV28 BZ11:BZ28 CD11:CD28 CH11:CH28 CL11:CL28 CT11:CT30 CL49 AT80:AT97 BB80:BB97 AX80:AX97 BF80:BF97 BJ80:BJ97 BN80:BN97 CT80:CT97 BR80:BR97 BV80:BV97 BZ80:BZ97 CD80:CD97 CL80:CL97 CH80:CH97 CT57:CT74 CX11:CX28 CT34:CT51 CP57:CP74 CX34:CX51 CX80:CX97 CX57:CX74 CP11:CP28 CP34:CP51 CP80:CP97 DB11:DB28 DB34:DB51 DB80:DB97 DB57:DB74 DG11:DG28 DG34:DG51 DG80:DG97 DG57:DG74 DM11:DM28 DM34:DM51 DM80:DM97 DM57:DM74 DS11:DS28 DS34:DS51 DS80:DS97 DS57:DS74">
      <formula1>-1</formula1>
    </dataValidation>
  </dataValidations>
  <printOptions horizontalCentered="1"/>
  <pageMargins left="0" right="0" top="0.5" bottom="0.25" header="0.5" footer="0.5"/>
  <pageSetup scale="64" orientation="landscape" r:id="rId1"/>
  <headerFooter alignWithMargins="0">
    <oddFooter>&amp;R&amp;8&amp;D/&amp;T
&amp;F/&amp;A</oddFooter>
  </headerFooter>
  <rowBreaks count="3" manualBreakCount="3">
    <brk id="54" max="16383" man="1"/>
    <brk id="101" max="16383" man="1"/>
    <brk id="193" max="16383" man="1"/>
  </rowBreak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AO828"/>
  <sheetViews>
    <sheetView showGridLines="0" zoomScaleNormal="100" zoomScaleSheetLayoutView="100" workbookViewId="0">
      <pane ySplit="8" topLeftCell="A468" activePane="bottomLeft" state="frozen"/>
      <selection pane="bottomLeft" activeCell="F494" sqref="F494"/>
    </sheetView>
  </sheetViews>
  <sheetFormatPr defaultRowHeight="12.75" outlineLevelRow="2"/>
  <cols>
    <col min="1" max="1" width="2.7109375" customWidth="1"/>
    <col min="2" max="2" width="7.28515625" customWidth="1"/>
    <col min="3" max="3" width="1.28515625" customWidth="1"/>
    <col min="4" max="4" width="6.140625" customWidth="1"/>
    <col min="5" max="5" width="1.7109375" customWidth="1"/>
    <col min="7" max="7" width="1.5703125" customWidth="1"/>
    <col min="9" max="9" width="1.7109375" customWidth="1"/>
    <col min="10" max="10" width="6.42578125" customWidth="1"/>
    <col min="11" max="11" width="1.28515625" customWidth="1"/>
    <col min="12" max="12" width="6.85546875" customWidth="1"/>
    <col min="13" max="13" width="1.28515625" customWidth="1"/>
    <col min="14" max="14" width="8.42578125" customWidth="1"/>
    <col min="15" max="15" width="1.7109375" customWidth="1"/>
    <col min="17" max="17" width="4.28515625" customWidth="1"/>
    <col min="18" max="18" width="1.28515625" customWidth="1"/>
    <col min="19" max="19" width="7" customWidth="1"/>
    <col min="20" max="20" width="1.5703125" customWidth="1"/>
    <col min="21" max="21" width="6.42578125" customWidth="1"/>
    <col min="22" max="22" width="1.28515625" customWidth="1"/>
    <col min="23" max="23" width="6.42578125" customWidth="1"/>
    <col min="24" max="25" width="1.7109375" customWidth="1"/>
    <col min="26" max="26" width="6.42578125" customWidth="1"/>
    <col min="27" max="27" width="1.7109375" customWidth="1"/>
    <col min="28" max="28" width="6.28515625" customWidth="1"/>
    <col min="29" max="29" width="1.28515625" customWidth="1"/>
    <col min="30" max="30" width="7.85546875" customWidth="1"/>
    <col min="31" max="31" width="1.7109375" customWidth="1"/>
    <col min="32" max="32" width="9.7109375" customWidth="1"/>
    <col min="33" max="33" width="4" customWidth="1"/>
    <col min="34" max="34" width="1.140625" customWidth="1"/>
    <col min="35" max="35" width="6.85546875" customWidth="1"/>
    <col min="36" max="36" width="1.28515625" customWidth="1"/>
    <col min="37" max="37" width="8.140625" customWidth="1"/>
    <col min="38" max="38" width="1.28515625" customWidth="1"/>
    <col min="39" max="39" width="6.140625" customWidth="1"/>
    <col min="40" max="40" width="1.7109375" customWidth="1"/>
  </cols>
  <sheetData>
    <row r="1" spans="1:41">
      <c r="A1" s="670" t="s">
        <v>852</v>
      </c>
      <c r="B1" s="683"/>
      <c r="C1" s="670"/>
      <c r="D1" s="670"/>
      <c r="E1" s="680"/>
      <c r="F1" s="670"/>
      <c r="G1" s="670"/>
      <c r="H1" s="670"/>
      <c r="I1" s="680"/>
      <c r="J1" s="670"/>
      <c r="K1" s="670"/>
      <c r="L1" s="670"/>
      <c r="M1" s="680"/>
      <c r="N1" s="670"/>
      <c r="O1" s="680"/>
      <c r="P1" s="670"/>
      <c r="Q1" s="670"/>
      <c r="R1" s="680"/>
      <c r="S1" s="670"/>
      <c r="T1" s="670"/>
      <c r="U1" s="680"/>
      <c r="V1" s="680"/>
      <c r="W1" s="670"/>
      <c r="X1" s="682"/>
      <c r="Y1" s="670"/>
      <c r="Z1" s="670"/>
      <c r="AA1" s="670"/>
      <c r="AB1" s="670"/>
      <c r="AC1" s="680"/>
      <c r="AD1" s="670"/>
      <c r="AE1" s="680"/>
      <c r="AF1" s="670"/>
      <c r="AG1" s="670"/>
      <c r="AH1" s="680"/>
      <c r="AI1" s="670"/>
      <c r="AJ1" s="670"/>
      <c r="AK1" s="680"/>
      <c r="AL1" s="680"/>
      <c r="AM1" s="670"/>
      <c r="AN1" s="670"/>
      <c r="AO1" s="681"/>
    </row>
    <row r="2" spans="1:41">
      <c r="A2" s="666"/>
      <c r="B2" s="684"/>
      <c r="C2" s="666"/>
      <c r="D2" s="666"/>
      <c r="E2" s="666"/>
      <c r="F2" s="666"/>
      <c r="G2" s="666"/>
      <c r="H2" s="666"/>
      <c r="I2" s="666"/>
      <c r="J2" s="666"/>
      <c r="K2" s="666"/>
      <c r="L2" s="666"/>
      <c r="M2" s="666"/>
      <c r="N2" s="666"/>
      <c r="O2" s="666"/>
      <c r="P2" s="666"/>
      <c r="Q2" s="666"/>
      <c r="R2" s="666"/>
      <c r="S2" s="666"/>
      <c r="T2" s="666"/>
      <c r="U2" s="666"/>
      <c r="V2" s="666"/>
      <c r="W2" s="666"/>
      <c r="X2" s="685"/>
      <c r="Y2" s="666"/>
      <c r="Z2" s="666"/>
      <c r="AA2" s="666"/>
      <c r="AB2" s="666"/>
      <c r="AC2" s="666"/>
      <c r="AD2" s="666"/>
      <c r="AE2" s="666"/>
      <c r="AF2" s="666"/>
      <c r="AG2" s="666"/>
      <c r="AH2" s="666"/>
      <c r="AI2" s="666"/>
      <c r="AJ2" s="666"/>
      <c r="AK2" s="666"/>
      <c r="AL2" s="666"/>
      <c r="AM2" s="666"/>
      <c r="AN2" s="685"/>
      <c r="AO2" s="666"/>
    </row>
    <row r="3" spans="1:41">
      <c r="A3" s="666"/>
      <c r="B3" s="684"/>
      <c r="C3" s="666"/>
      <c r="D3" s="666"/>
      <c r="E3" s="666"/>
      <c r="F3" s="666"/>
      <c r="G3" s="666"/>
      <c r="H3" s="666"/>
      <c r="I3" s="666"/>
      <c r="J3" s="666"/>
      <c r="K3" s="666"/>
      <c r="L3" s="666"/>
      <c r="M3" s="666"/>
      <c r="N3" s="666"/>
      <c r="O3" s="666"/>
      <c r="P3" s="666"/>
      <c r="Q3" s="666"/>
      <c r="R3" s="666"/>
      <c r="S3" s="666"/>
      <c r="T3" s="666"/>
      <c r="U3" s="666"/>
      <c r="V3" s="666"/>
      <c r="W3" s="666"/>
      <c r="X3" s="685"/>
      <c r="Y3" s="666"/>
      <c r="Z3" s="666"/>
      <c r="AA3" s="666"/>
      <c r="AB3" s="666"/>
      <c r="AC3" s="666"/>
      <c r="AD3" s="666"/>
      <c r="AE3" s="666"/>
      <c r="AF3" s="666"/>
      <c r="AG3" s="666"/>
      <c r="AH3" s="666"/>
      <c r="AI3" s="666"/>
      <c r="AJ3" s="666"/>
      <c r="AK3" s="666"/>
      <c r="AL3" s="666"/>
      <c r="AM3" s="666"/>
      <c r="AN3" s="685"/>
      <c r="AO3" s="666"/>
    </row>
    <row r="4" spans="1:41">
      <c r="A4" s="666"/>
      <c r="B4" s="684"/>
      <c r="C4" s="666"/>
      <c r="D4" s="666"/>
      <c r="E4" s="666"/>
      <c r="F4" s="666"/>
      <c r="G4" s="666"/>
      <c r="H4" s="666"/>
      <c r="I4" s="666"/>
      <c r="J4" s="686" t="s">
        <v>935</v>
      </c>
      <c r="K4" s="687"/>
      <c r="L4" s="687"/>
      <c r="M4" s="687"/>
      <c r="N4" s="687"/>
      <c r="O4" s="687"/>
      <c r="P4" s="687"/>
      <c r="Q4" s="687"/>
      <c r="R4" s="687"/>
      <c r="S4" s="687"/>
      <c r="T4" s="687"/>
      <c r="U4" s="687"/>
      <c r="V4" s="687"/>
      <c r="W4" s="687"/>
      <c r="X4" s="688"/>
      <c r="Y4" s="666"/>
      <c r="Z4" s="686" t="s">
        <v>936</v>
      </c>
      <c r="AA4" s="687"/>
      <c r="AB4" s="687"/>
      <c r="AC4" s="687"/>
      <c r="AD4" s="687"/>
      <c r="AE4" s="687"/>
      <c r="AF4" s="687"/>
      <c r="AG4" s="687"/>
      <c r="AH4" s="687"/>
      <c r="AI4" s="687"/>
      <c r="AJ4" s="687"/>
      <c r="AK4" s="687"/>
      <c r="AL4" s="687"/>
      <c r="AM4" s="687"/>
      <c r="AN4" s="688"/>
      <c r="AO4" s="666"/>
    </row>
    <row r="5" spans="1:41">
      <c r="A5" s="666"/>
      <c r="B5" s="684"/>
      <c r="C5" s="666"/>
      <c r="D5" s="689"/>
      <c r="E5" s="690" t="s">
        <v>1173</v>
      </c>
      <c r="F5" s="689"/>
      <c r="G5" s="666"/>
      <c r="H5" s="691" t="s">
        <v>362</v>
      </c>
      <c r="I5" s="666"/>
      <c r="J5" s="666"/>
      <c r="K5" s="666"/>
      <c r="L5" s="666"/>
      <c r="M5" s="666"/>
      <c r="N5" s="666"/>
      <c r="O5" s="666"/>
      <c r="P5" s="692" t="s">
        <v>253</v>
      </c>
      <c r="Q5" s="692"/>
      <c r="R5" s="666"/>
      <c r="S5" s="669"/>
      <c r="T5" s="669"/>
      <c r="U5" s="689" t="s">
        <v>933</v>
      </c>
      <c r="V5" s="669"/>
      <c r="W5" s="669"/>
      <c r="X5" s="685"/>
      <c r="Y5" s="666"/>
      <c r="Z5" s="666"/>
      <c r="AA5" s="666"/>
      <c r="AB5" s="666"/>
      <c r="AC5" s="666"/>
      <c r="AD5" s="666"/>
      <c r="AE5" s="666"/>
      <c r="AF5" s="692" t="s">
        <v>253</v>
      </c>
      <c r="AG5" s="692"/>
      <c r="AH5" s="666"/>
      <c r="AI5" s="669"/>
      <c r="AJ5" s="669"/>
      <c r="AK5" s="690" t="s">
        <v>934</v>
      </c>
      <c r="AL5" s="669"/>
      <c r="AM5" s="669"/>
      <c r="AN5" s="685"/>
      <c r="AO5" s="666"/>
    </row>
    <row r="6" spans="1:41">
      <c r="A6" s="666"/>
      <c r="B6" s="684"/>
      <c r="C6" s="666"/>
      <c r="D6" s="691"/>
      <c r="E6" s="691"/>
      <c r="F6" s="691" t="s">
        <v>361</v>
      </c>
      <c r="G6" s="691"/>
      <c r="H6" s="690" t="s">
        <v>363</v>
      </c>
      <c r="I6" s="666"/>
      <c r="J6" s="690"/>
      <c r="K6" s="690" t="s">
        <v>368</v>
      </c>
      <c r="L6" s="690"/>
      <c r="M6" s="691"/>
      <c r="N6" s="691" t="s">
        <v>251</v>
      </c>
      <c r="O6" s="666"/>
      <c r="P6" s="692" t="s">
        <v>254</v>
      </c>
      <c r="Q6" s="692"/>
      <c r="R6" s="666"/>
      <c r="S6" s="666"/>
      <c r="T6" s="666"/>
      <c r="U6" s="691" t="s">
        <v>794</v>
      </c>
      <c r="V6" s="666"/>
      <c r="W6" s="691" t="s">
        <v>796</v>
      </c>
      <c r="X6" s="685"/>
      <c r="Y6" s="666"/>
      <c r="Z6" s="690"/>
      <c r="AA6" s="690" t="s">
        <v>595</v>
      </c>
      <c r="AB6" s="690"/>
      <c r="AC6" s="691"/>
      <c r="AD6" s="691" t="s">
        <v>251</v>
      </c>
      <c r="AE6" s="666"/>
      <c r="AF6" s="692" t="s">
        <v>254</v>
      </c>
      <c r="AG6" s="692"/>
      <c r="AH6" s="666"/>
      <c r="AI6" s="666"/>
      <c r="AJ6" s="666"/>
      <c r="AK6" s="691" t="s">
        <v>794</v>
      </c>
      <c r="AL6" s="666"/>
      <c r="AM6" s="691" t="s">
        <v>796</v>
      </c>
      <c r="AN6" s="685"/>
      <c r="AO6" s="666"/>
    </row>
    <row r="7" spans="1:41">
      <c r="A7" s="666"/>
      <c r="B7" s="684"/>
      <c r="C7" s="666"/>
      <c r="D7" s="690" t="s">
        <v>360</v>
      </c>
      <c r="E7" s="691"/>
      <c r="F7" s="690" t="s">
        <v>1186</v>
      </c>
      <c r="G7" s="691"/>
      <c r="H7" s="691" t="s">
        <v>364</v>
      </c>
      <c r="I7" s="666"/>
      <c r="J7" s="690" t="s">
        <v>360</v>
      </c>
      <c r="K7" s="691"/>
      <c r="L7" s="690" t="s">
        <v>1197</v>
      </c>
      <c r="M7" s="691"/>
      <c r="N7" s="690" t="s">
        <v>1084</v>
      </c>
      <c r="O7" s="666"/>
      <c r="P7" s="693" t="s">
        <v>238</v>
      </c>
      <c r="Q7" s="693"/>
      <c r="R7" s="666"/>
      <c r="S7" s="690" t="s">
        <v>360</v>
      </c>
      <c r="T7" s="666"/>
      <c r="U7" s="690" t="s">
        <v>1198</v>
      </c>
      <c r="V7" s="666"/>
      <c r="W7" s="690" t="s">
        <v>1199</v>
      </c>
      <c r="X7" s="685"/>
      <c r="Y7" s="666"/>
      <c r="Z7" s="690" t="s">
        <v>360</v>
      </c>
      <c r="AA7" s="691"/>
      <c r="AB7" s="690" t="s">
        <v>1197</v>
      </c>
      <c r="AC7" s="691"/>
      <c r="AD7" s="690" t="s">
        <v>1084</v>
      </c>
      <c r="AE7" s="666"/>
      <c r="AF7" s="693" t="s">
        <v>932</v>
      </c>
      <c r="AG7" s="693"/>
      <c r="AH7" s="666"/>
      <c r="AI7" s="690" t="s">
        <v>360</v>
      </c>
      <c r="AJ7" s="666"/>
      <c r="AK7" s="690" t="s">
        <v>269</v>
      </c>
      <c r="AL7" s="666"/>
      <c r="AM7" s="690" t="s">
        <v>1199</v>
      </c>
      <c r="AN7" s="685"/>
      <c r="AO7" s="666"/>
    </row>
    <row r="8" spans="1:41">
      <c r="A8" s="666"/>
      <c r="B8" s="684"/>
      <c r="C8" s="666"/>
      <c r="D8" s="694" t="s">
        <v>366</v>
      </c>
      <c r="E8" s="691"/>
      <c r="F8" s="694" t="s">
        <v>367</v>
      </c>
      <c r="G8" s="691"/>
      <c r="H8" s="694" t="s">
        <v>365</v>
      </c>
      <c r="I8" s="666"/>
      <c r="J8" s="694" t="s">
        <v>369</v>
      </c>
      <c r="K8" s="691"/>
      <c r="L8" s="694" t="s">
        <v>250</v>
      </c>
      <c r="M8" s="691"/>
      <c r="N8" s="694" t="s">
        <v>252</v>
      </c>
      <c r="O8" s="666"/>
      <c r="P8" s="695" t="s">
        <v>239</v>
      </c>
      <c r="Q8" s="695"/>
      <c r="R8" s="666"/>
      <c r="S8" s="694" t="s">
        <v>240</v>
      </c>
      <c r="T8" s="666"/>
      <c r="U8" s="694" t="s">
        <v>795</v>
      </c>
      <c r="V8" s="666"/>
      <c r="W8" s="694" t="s">
        <v>797</v>
      </c>
      <c r="X8" s="685"/>
      <c r="Y8" s="666"/>
      <c r="Z8" s="694" t="s">
        <v>266</v>
      </c>
      <c r="AA8" s="691"/>
      <c r="AB8" s="694" t="s">
        <v>267</v>
      </c>
      <c r="AC8" s="691"/>
      <c r="AD8" s="694" t="s">
        <v>268</v>
      </c>
      <c r="AE8" s="666"/>
      <c r="AF8" s="695" t="s">
        <v>270</v>
      </c>
      <c r="AG8" s="695"/>
      <c r="AH8" s="666"/>
      <c r="AI8" s="694" t="s">
        <v>271</v>
      </c>
      <c r="AJ8" s="666"/>
      <c r="AK8" s="694" t="s">
        <v>272</v>
      </c>
      <c r="AL8" s="666"/>
      <c r="AM8" s="694" t="s">
        <v>273</v>
      </c>
      <c r="AN8" s="685"/>
      <c r="AO8" s="666"/>
    </row>
    <row r="9" spans="1:41">
      <c r="A9" s="666"/>
      <c r="B9" s="684"/>
      <c r="C9" s="666"/>
      <c r="D9" s="694"/>
      <c r="E9" s="691"/>
      <c r="F9" s="694"/>
      <c r="G9" s="691"/>
      <c r="H9" s="694"/>
      <c r="I9" s="666"/>
      <c r="J9" s="694"/>
      <c r="K9" s="691"/>
      <c r="L9" s="694"/>
      <c r="M9" s="691"/>
      <c r="N9" s="694"/>
      <c r="O9" s="666"/>
      <c r="P9" s="695"/>
      <c r="Q9" s="695"/>
      <c r="R9" s="666"/>
      <c r="S9" s="694"/>
      <c r="T9" s="666"/>
      <c r="U9" s="694"/>
      <c r="V9" s="666"/>
      <c r="W9" s="694"/>
      <c r="X9" s="685"/>
      <c r="Y9" s="666"/>
      <c r="Z9" s="694"/>
      <c r="AA9" s="691"/>
      <c r="AB9" s="694"/>
      <c r="AC9" s="691"/>
      <c r="AD9" s="694"/>
      <c r="AE9" s="666"/>
      <c r="AF9" s="695"/>
      <c r="AG9" s="695"/>
      <c r="AH9" s="666"/>
      <c r="AI9" s="694"/>
      <c r="AJ9" s="666"/>
      <c r="AK9" s="694"/>
      <c r="AL9" s="666"/>
      <c r="AM9" s="694"/>
      <c r="AN9" s="685"/>
      <c r="AO9" s="666"/>
    </row>
    <row r="10" spans="1:41">
      <c r="A10" s="666"/>
      <c r="B10" s="684"/>
      <c r="C10" s="666"/>
      <c r="D10" s="696" t="s">
        <v>985</v>
      </c>
      <c r="E10" s="691"/>
      <c r="F10" s="694"/>
      <c r="G10" s="691"/>
      <c r="H10" s="694"/>
      <c r="I10" s="666"/>
      <c r="J10" s="694"/>
      <c r="K10" s="691"/>
      <c r="L10" s="694"/>
      <c r="M10" s="691"/>
      <c r="N10" s="694"/>
      <c r="O10" s="666"/>
      <c r="P10" s="695"/>
      <c r="Q10" s="695"/>
      <c r="R10" s="666"/>
      <c r="S10" s="694"/>
      <c r="T10" s="666"/>
      <c r="U10" s="694"/>
      <c r="V10" s="666"/>
      <c r="W10" s="694"/>
      <c r="X10" s="685"/>
      <c r="Y10" s="666"/>
      <c r="Z10" s="697"/>
      <c r="AA10" s="691"/>
      <c r="AB10" s="694"/>
      <c r="AC10" s="691"/>
      <c r="AD10" s="694"/>
      <c r="AE10" s="666"/>
      <c r="AF10" s="695"/>
      <c r="AG10" s="695"/>
      <c r="AH10" s="666"/>
      <c r="AI10" s="694"/>
      <c r="AJ10" s="666"/>
      <c r="AK10" s="694"/>
      <c r="AL10" s="666"/>
      <c r="AM10" s="694"/>
      <c r="AN10" s="685"/>
      <c r="AO10" s="666"/>
    </row>
    <row r="11" spans="1:41" hidden="1" outlineLevel="1" collapsed="1">
      <c r="A11" s="698"/>
      <c r="B11" s="699">
        <v>1992</v>
      </c>
      <c r="C11" s="666"/>
      <c r="D11" s="700"/>
      <c r="E11" s="700"/>
      <c r="F11" s="700"/>
      <c r="G11" s="701"/>
      <c r="H11" s="700"/>
      <c r="I11" s="667"/>
      <c r="J11" s="667"/>
      <c r="K11" s="667"/>
      <c r="L11" s="667"/>
      <c r="M11" s="667"/>
      <c r="N11" s="667"/>
      <c r="O11" s="667"/>
      <c r="P11" s="702"/>
      <c r="Q11" s="702"/>
      <c r="R11" s="667"/>
      <c r="S11" s="667"/>
      <c r="T11" s="667"/>
      <c r="U11" s="667"/>
      <c r="V11" s="666"/>
      <c r="W11" s="666"/>
      <c r="X11" s="685"/>
      <c r="Y11" s="666"/>
      <c r="Z11" s="676"/>
      <c r="AA11" s="666"/>
      <c r="AB11" s="679"/>
      <c r="AC11" s="666"/>
      <c r="AD11" s="667"/>
      <c r="AE11" s="666"/>
      <c r="AF11" s="703"/>
      <c r="AG11" s="668"/>
      <c r="AH11" s="666"/>
      <c r="AI11" s="666"/>
      <c r="AJ11" s="666"/>
      <c r="AK11" s="666"/>
      <c r="AL11" s="666"/>
      <c r="AM11" s="666"/>
      <c r="AN11" s="685"/>
      <c r="AO11" s="666"/>
    </row>
    <row r="12" spans="1:41" hidden="1" outlineLevel="1">
      <c r="A12" s="666"/>
      <c r="B12" s="684"/>
      <c r="C12" s="666"/>
      <c r="D12" s="700"/>
      <c r="E12" s="700"/>
      <c r="F12" s="700"/>
      <c r="G12" s="701"/>
      <c r="H12" s="700"/>
      <c r="I12" s="704"/>
      <c r="J12" s="705">
        <f>+'store&amp;sf'!J29</f>
        <v>513</v>
      </c>
      <c r="K12" s="667"/>
      <c r="L12" s="706"/>
      <c r="M12" s="667"/>
      <c r="N12" s="700"/>
      <c r="O12" s="704"/>
      <c r="P12" s="703"/>
      <c r="Q12" s="702"/>
      <c r="R12" s="667"/>
      <c r="S12" s="672"/>
      <c r="T12" s="667"/>
      <c r="U12" s="707"/>
      <c r="V12" s="666"/>
      <c r="W12" s="708"/>
      <c r="X12" s="685"/>
      <c r="Y12" s="666"/>
      <c r="Z12" s="709"/>
      <c r="AA12" s="666"/>
      <c r="AB12" s="710"/>
      <c r="AC12" s="666"/>
      <c r="AD12" s="700"/>
      <c r="AE12" s="685"/>
      <c r="AF12" s="703"/>
      <c r="AG12" s="668"/>
      <c r="AH12" s="666"/>
      <c r="AI12" s="673"/>
      <c r="AJ12" s="666"/>
      <c r="AK12" s="711"/>
      <c r="AL12" s="666"/>
      <c r="AM12" s="677"/>
      <c r="AN12" s="685"/>
      <c r="AO12" s="666"/>
    </row>
    <row r="13" spans="1:41" hidden="1" outlineLevel="1">
      <c r="A13" s="666"/>
      <c r="B13" s="684"/>
      <c r="C13" s="666"/>
      <c r="D13" s="700"/>
      <c r="E13" s="700"/>
      <c r="F13" s="700"/>
      <c r="G13" s="700"/>
      <c r="H13" s="700"/>
      <c r="I13" s="704"/>
      <c r="J13" s="705">
        <f>+'store&amp;sf'!J30</f>
        <v>524</v>
      </c>
      <c r="K13" s="667"/>
      <c r="L13" s="706"/>
      <c r="M13" s="667"/>
      <c r="N13" s="700"/>
      <c r="O13" s="704"/>
      <c r="P13" s="703"/>
      <c r="Q13" s="702"/>
      <c r="R13" s="667"/>
      <c r="S13" s="712"/>
      <c r="T13" s="667"/>
      <c r="U13" s="713"/>
      <c r="V13" s="666"/>
      <c r="W13" s="708"/>
      <c r="X13" s="685"/>
      <c r="Y13" s="666"/>
      <c r="Z13" s="709"/>
      <c r="AA13" s="666"/>
      <c r="AB13" s="710"/>
      <c r="AC13" s="666"/>
      <c r="AD13" s="700"/>
      <c r="AE13" s="685"/>
      <c r="AF13" s="703"/>
      <c r="AG13" s="668"/>
      <c r="AH13" s="666"/>
      <c r="AI13" s="675"/>
      <c r="AJ13" s="666"/>
      <c r="AK13" s="714"/>
      <c r="AL13" s="666"/>
      <c r="AM13" s="708"/>
      <c r="AN13" s="685"/>
      <c r="AO13" s="666"/>
    </row>
    <row r="14" spans="1:41" hidden="1" outlineLevel="1">
      <c r="A14" s="666"/>
      <c r="B14" s="684"/>
      <c r="C14" s="666"/>
      <c r="D14" s="700"/>
      <c r="E14" s="700"/>
      <c r="F14" s="700"/>
      <c r="G14" s="700"/>
      <c r="H14" s="700"/>
      <c r="I14" s="704"/>
      <c r="J14" s="705">
        <f>+'store&amp;sf'!J31</f>
        <v>533</v>
      </c>
      <c r="K14" s="667"/>
      <c r="L14" s="706"/>
      <c r="M14" s="667"/>
      <c r="N14" s="700"/>
      <c r="O14" s="704"/>
      <c r="P14" s="703"/>
      <c r="Q14" s="702"/>
      <c r="R14" s="667"/>
      <c r="S14" s="712"/>
      <c r="T14" s="667"/>
      <c r="U14" s="713"/>
      <c r="V14" s="666"/>
      <c r="W14" s="708"/>
      <c r="X14" s="685"/>
      <c r="Y14" s="666"/>
      <c r="Z14" s="678"/>
      <c r="AA14" s="666"/>
      <c r="AB14" s="710"/>
      <c r="AC14" s="666"/>
      <c r="AD14" s="700"/>
      <c r="AE14" s="685"/>
      <c r="AF14" s="703"/>
      <c r="AG14" s="668"/>
      <c r="AH14" s="666"/>
      <c r="AI14" s="675"/>
      <c r="AJ14" s="666"/>
      <c r="AK14" s="714"/>
      <c r="AL14" s="666"/>
      <c r="AM14" s="708"/>
      <c r="AN14" s="685"/>
      <c r="AO14" s="666"/>
    </row>
    <row r="15" spans="1:41" hidden="1" outlineLevel="1">
      <c r="A15" s="666"/>
      <c r="B15" s="684"/>
      <c r="C15" s="666"/>
      <c r="D15" s="715"/>
      <c r="E15" s="700"/>
      <c r="F15" s="715"/>
      <c r="G15" s="700"/>
      <c r="H15" s="715"/>
      <c r="I15" s="704"/>
      <c r="J15" s="705">
        <f>+'store&amp;sf'!J32</f>
        <v>545</v>
      </c>
      <c r="K15" s="667"/>
      <c r="L15" s="716"/>
      <c r="M15" s="667"/>
      <c r="N15" s="715"/>
      <c r="O15" s="704"/>
      <c r="P15" s="717"/>
      <c r="Q15" s="702"/>
      <c r="R15" s="667"/>
      <c r="S15" s="718"/>
      <c r="T15" s="667"/>
      <c r="U15" s="719"/>
      <c r="V15" s="666"/>
      <c r="W15" s="720"/>
      <c r="X15" s="685"/>
      <c r="Y15" s="666"/>
      <c r="Z15" s="678">
        <f>+'store&amp;sf'!J396</f>
        <v>2.5362499999999999</v>
      </c>
      <c r="AA15" s="666"/>
      <c r="AB15" s="721"/>
      <c r="AC15" s="666"/>
      <c r="AD15" s="715"/>
      <c r="AE15" s="685"/>
      <c r="AF15" s="717"/>
      <c r="AG15" s="668"/>
      <c r="AH15" s="666"/>
      <c r="AI15" s="722"/>
      <c r="AJ15" s="666"/>
      <c r="AK15" s="723"/>
      <c r="AL15" s="666"/>
      <c r="AM15" s="720"/>
      <c r="AN15" s="685"/>
      <c r="AO15" s="666"/>
    </row>
    <row r="16" spans="1:41" hidden="1" outlineLevel="1">
      <c r="A16" s="666"/>
      <c r="B16" s="684"/>
      <c r="C16" s="666"/>
      <c r="D16" s="700"/>
      <c r="E16" s="700"/>
      <c r="F16" s="700"/>
      <c r="G16" s="700"/>
      <c r="H16" s="700"/>
      <c r="I16" s="704"/>
      <c r="J16" s="724"/>
      <c r="K16" s="667"/>
      <c r="L16" s="725"/>
      <c r="M16" s="667"/>
      <c r="N16" s="700"/>
      <c r="O16" s="704"/>
      <c r="P16" s="703"/>
      <c r="Q16" s="702"/>
      <c r="R16" s="667"/>
      <c r="S16" s="726"/>
      <c r="T16" s="667"/>
      <c r="U16" s="707"/>
      <c r="V16" s="666"/>
      <c r="W16" s="708"/>
      <c r="X16" s="685"/>
      <c r="Y16" s="666"/>
      <c r="Z16" s="727"/>
      <c r="AA16" s="666"/>
      <c r="AB16" s="710"/>
      <c r="AC16" s="666"/>
      <c r="AD16" s="700"/>
      <c r="AE16" s="685"/>
      <c r="AF16" s="703"/>
      <c r="AG16" s="668"/>
      <c r="AH16" s="666"/>
      <c r="AI16" s="673"/>
      <c r="AJ16" s="666"/>
      <c r="AK16" s="711"/>
      <c r="AL16" s="666"/>
      <c r="AM16" s="708"/>
      <c r="AN16" s="685"/>
      <c r="AO16" s="666"/>
    </row>
    <row r="17" spans="1:41" hidden="1" outlineLevel="1">
      <c r="A17" s="666"/>
      <c r="B17" s="684"/>
      <c r="C17" s="666"/>
      <c r="D17" s="700"/>
      <c r="E17" s="700"/>
      <c r="F17" s="700"/>
      <c r="G17" s="700"/>
      <c r="H17" s="700"/>
      <c r="I17" s="704"/>
      <c r="J17" s="724"/>
      <c r="K17" s="667"/>
      <c r="L17" s="667"/>
      <c r="M17" s="667"/>
      <c r="N17" s="667"/>
      <c r="O17" s="704"/>
      <c r="P17" s="702"/>
      <c r="Q17" s="702"/>
      <c r="R17" s="667"/>
      <c r="S17" s="667"/>
      <c r="T17" s="667"/>
      <c r="U17" s="667"/>
      <c r="V17" s="666"/>
      <c r="W17" s="666"/>
      <c r="X17" s="685"/>
      <c r="Y17" s="666"/>
      <c r="Z17" s="727"/>
      <c r="AA17" s="666"/>
      <c r="AB17" s="679"/>
      <c r="AC17" s="666"/>
      <c r="AD17" s="667"/>
      <c r="AE17" s="685"/>
      <c r="AF17" s="703"/>
      <c r="AG17" s="668"/>
      <c r="AH17" s="666"/>
      <c r="AI17" s="666"/>
      <c r="AJ17" s="666"/>
      <c r="AK17" s="666"/>
      <c r="AL17" s="666"/>
      <c r="AM17" s="666"/>
      <c r="AN17" s="685"/>
      <c r="AO17" s="666"/>
    </row>
    <row r="18" spans="1:41" hidden="1" outlineLevel="1" collapsed="1">
      <c r="A18" s="698"/>
      <c r="B18" s="728">
        <v>1993</v>
      </c>
      <c r="C18" s="666"/>
      <c r="D18" s="700"/>
      <c r="E18" s="700"/>
      <c r="F18" s="700"/>
      <c r="G18" s="700"/>
      <c r="H18" s="700"/>
      <c r="I18" s="667"/>
      <c r="J18" s="667"/>
      <c r="K18" s="667"/>
      <c r="L18" s="667"/>
      <c r="M18" s="667"/>
      <c r="N18" s="667"/>
      <c r="O18" s="667"/>
      <c r="P18" s="702"/>
      <c r="Q18" s="702"/>
      <c r="R18" s="667"/>
      <c r="S18" s="667"/>
      <c r="T18" s="667"/>
      <c r="U18" s="667"/>
      <c r="V18" s="666"/>
      <c r="W18" s="666"/>
      <c r="X18" s="685"/>
      <c r="Y18" s="666"/>
      <c r="Z18" s="676"/>
      <c r="AA18" s="666"/>
      <c r="AB18" s="679"/>
      <c r="AC18" s="666"/>
      <c r="AD18" s="667"/>
      <c r="AE18" s="666"/>
      <c r="AF18" s="703"/>
      <c r="AG18" s="668"/>
      <c r="AH18" s="666"/>
      <c r="AI18" s="666"/>
      <c r="AJ18" s="666"/>
      <c r="AK18" s="666"/>
      <c r="AL18" s="666"/>
      <c r="AM18" s="666"/>
      <c r="AN18" s="685"/>
      <c r="AO18" s="666"/>
    </row>
    <row r="19" spans="1:41" hidden="1" outlineLevel="1">
      <c r="A19" s="666" t="str">
        <f>$A$26</f>
        <v>1Q</v>
      </c>
      <c r="B19" s="684" t="str">
        <f>$B$26</f>
        <v>Apr</v>
      </c>
      <c r="C19" s="666"/>
      <c r="D19" s="700"/>
      <c r="E19" s="700"/>
      <c r="F19" s="700"/>
      <c r="G19" s="700"/>
      <c r="H19" s="700"/>
      <c r="I19" s="704"/>
      <c r="J19" s="705">
        <f>+'store&amp;sf'!J35</f>
        <v>554</v>
      </c>
      <c r="K19" s="667"/>
      <c r="L19" s="706">
        <f>AVERAGE(J19,J15)</f>
        <v>549.5</v>
      </c>
      <c r="M19" s="667"/>
      <c r="N19" s="700"/>
      <c r="O19" s="704"/>
      <c r="P19" s="703"/>
      <c r="Q19" s="702"/>
      <c r="R19" s="667"/>
      <c r="S19" s="726"/>
      <c r="T19" s="667"/>
      <c r="U19" s="707"/>
      <c r="V19" s="666"/>
      <c r="W19" s="708"/>
      <c r="X19" s="685"/>
      <c r="Y19" s="666"/>
      <c r="Z19" s="678">
        <f>+'store&amp;sf'!J399</f>
        <v>2.6149999999999998</v>
      </c>
      <c r="AA19" s="666"/>
      <c r="AB19" s="710">
        <f>AVERAGE(Z19,Z15)</f>
        <v>2.5756249999999996</v>
      </c>
      <c r="AC19" s="666"/>
      <c r="AD19" s="700"/>
      <c r="AE19" s="685"/>
      <c r="AF19" s="703"/>
      <c r="AG19" s="668"/>
      <c r="AH19" s="666"/>
      <c r="AI19" s="673"/>
      <c r="AJ19" s="666"/>
      <c r="AK19" s="711"/>
      <c r="AL19" s="666"/>
      <c r="AM19" s="677"/>
      <c r="AN19" s="685"/>
      <c r="AO19" s="666"/>
    </row>
    <row r="20" spans="1:41" hidden="1" outlineLevel="1">
      <c r="A20" s="666" t="str">
        <f>$A$27</f>
        <v>2Q</v>
      </c>
      <c r="B20" s="684" t="str">
        <f>$B$27</f>
        <v>Jul</v>
      </c>
      <c r="C20" s="666"/>
      <c r="D20" s="700"/>
      <c r="E20" s="700"/>
      <c r="F20" s="700"/>
      <c r="G20" s="700"/>
      <c r="H20" s="700"/>
      <c r="I20" s="704"/>
      <c r="J20" s="705">
        <f>+'store&amp;sf'!J36</f>
        <v>559</v>
      </c>
      <c r="K20" s="667"/>
      <c r="L20" s="706">
        <f>AVERAGE(J20,J19)</f>
        <v>556.5</v>
      </c>
      <c r="M20" s="667"/>
      <c r="N20" s="700"/>
      <c r="O20" s="704"/>
      <c r="P20" s="703"/>
      <c r="Q20" s="702"/>
      <c r="R20" s="667"/>
      <c r="S20" s="712"/>
      <c r="T20" s="667"/>
      <c r="U20" s="713"/>
      <c r="V20" s="666"/>
      <c r="W20" s="708"/>
      <c r="X20" s="685"/>
      <c r="Y20" s="666"/>
      <c r="Z20" s="678">
        <f>+'store&amp;sf'!J400</f>
        <v>2.6937499999999996</v>
      </c>
      <c r="AA20" s="666"/>
      <c r="AB20" s="710">
        <f>AVERAGE(Z20,Z19)</f>
        <v>2.6543749999999999</v>
      </c>
      <c r="AC20" s="666"/>
      <c r="AD20" s="700"/>
      <c r="AE20" s="685"/>
      <c r="AF20" s="703"/>
      <c r="AG20" s="668"/>
      <c r="AH20" s="666"/>
      <c r="AI20" s="675"/>
      <c r="AJ20" s="666"/>
      <c r="AK20" s="714"/>
      <c r="AL20" s="666"/>
      <c r="AM20" s="708"/>
      <c r="AN20" s="685"/>
      <c r="AO20" s="666"/>
    </row>
    <row r="21" spans="1:41" hidden="1" outlineLevel="1">
      <c r="A21" s="666" t="str">
        <f>$A$28</f>
        <v>3Q</v>
      </c>
      <c r="B21" s="684" t="str">
        <f>$B$28</f>
        <v>Oct</v>
      </c>
      <c r="C21" s="666"/>
      <c r="D21" s="700"/>
      <c r="E21" s="700"/>
      <c r="F21" s="700"/>
      <c r="G21" s="700"/>
      <c r="H21" s="700"/>
      <c r="I21" s="704"/>
      <c r="J21" s="705">
        <f>+'store&amp;sf'!J37</f>
        <v>577</v>
      </c>
      <c r="K21" s="667"/>
      <c r="L21" s="706">
        <f>AVERAGE(J21,J20)</f>
        <v>568</v>
      </c>
      <c r="M21" s="667"/>
      <c r="N21" s="700"/>
      <c r="O21" s="704"/>
      <c r="P21" s="703"/>
      <c r="Q21" s="702"/>
      <c r="R21" s="667"/>
      <c r="S21" s="712"/>
      <c r="T21" s="667"/>
      <c r="U21" s="713"/>
      <c r="V21" s="666"/>
      <c r="W21" s="708"/>
      <c r="X21" s="685"/>
      <c r="Y21" s="666"/>
      <c r="Z21" s="678">
        <f>+'store&amp;sf'!J401</f>
        <v>2.8599999999999994</v>
      </c>
      <c r="AA21" s="666"/>
      <c r="AB21" s="710">
        <f>AVERAGE(Z21,Z20)</f>
        <v>2.7768749999999995</v>
      </c>
      <c r="AC21" s="666"/>
      <c r="AD21" s="700"/>
      <c r="AE21" s="685"/>
      <c r="AF21" s="703"/>
      <c r="AG21" s="668"/>
      <c r="AH21" s="666"/>
      <c r="AI21" s="675"/>
      <c r="AJ21" s="666"/>
      <c r="AK21" s="714"/>
      <c r="AL21" s="666"/>
      <c r="AM21" s="708"/>
      <c r="AN21" s="685"/>
      <c r="AO21" s="666"/>
    </row>
    <row r="22" spans="1:41" hidden="1" outlineLevel="1">
      <c r="A22" s="666" t="str">
        <f>$A$29</f>
        <v>4Q</v>
      </c>
      <c r="B22" s="684" t="str">
        <f>$B$29</f>
        <v>Jan</v>
      </c>
      <c r="C22" s="666"/>
      <c r="D22" s="715"/>
      <c r="E22" s="700"/>
      <c r="F22" s="715"/>
      <c r="G22" s="700"/>
      <c r="H22" s="715"/>
      <c r="I22" s="704"/>
      <c r="J22" s="705">
        <f>+'store&amp;sf'!J38</f>
        <v>570</v>
      </c>
      <c r="K22" s="667"/>
      <c r="L22" s="716">
        <f>AVERAGE(J22,J21)</f>
        <v>573.5</v>
      </c>
      <c r="M22" s="667"/>
      <c r="N22" s="715"/>
      <c r="O22" s="704"/>
      <c r="P22" s="717"/>
      <c r="Q22" s="702"/>
      <c r="R22" s="667"/>
      <c r="S22" s="718"/>
      <c r="T22" s="667"/>
      <c r="U22" s="719"/>
      <c r="V22" s="666"/>
      <c r="W22" s="720"/>
      <c r="X22" s="685"/>
      <c r="Y22" s="666"/>
      <c r="Z22" s="678">
        <f>+'store&amp;sf'!J402</f>
        <v>2.9325000000000001</v>
      </c>
      <c r="AA22" s="666"/>
      <c r="AB22" s="721">
        <f>AVERAGE(Z22,Z21)</f>
        <v>2.8962499999999998</v>
      </c>
      <c r="AC22" s="666"/>
      <c r="AD22" s="715"/>
      <c r="AE22" s="685"/>
      <c r="AF22" s="717"/>
      <c r="AG22" s="668"/>
      <c r="AH22" s="666"/>
      <c r="AI22" s="722"/>
      <c r="AJ22" s="666"/>
      <c r="AK22" s="723"/>
      <c r="AL22" s="666"/>
      <c r="AM22" s="720"/>
      <c r="AN22" s="685"/>
      <c r="AO22" s="666"/>
    </row>
    <row r="23" spans="1:41" hidden="1" outlineLevel="1">
      <c r="A23" s="666"/>
      <c r="B23" s="684" t="str">
        <f>$B$30</f>
        <v>Year</v>
      </c>
      <c r="C23" s="666"/>
      <c r="D23" s="700"/>
      <c r="E23" s="700"/>
      <c r="F23" s="700"/>
      <c r="G23" s="700"/>
      <c r="H23" s="700"/>
      <c r="I23" s="704"/>
      <c r="J23" s="724"/>
      <c r="K23" s="667"/>
      <c r="L23" s="725">
        <f>AVERAGE(L19:L22)</f>
        <v>561.875</v>
      </c>
      <c r="M23" s="667"/>
      <c r="N23" s="700"/>
      <c r="O23" s="704"/>
      <c r="P23" s="703"/>
      <c r="Q23" s="702"/>
      <c r="R23" s="667"/>
      <c r="S23" s="726"/>
      <c r="T23" s="667"/>
      <c r="U23" s="707"/>
      <c r="V23" s="666"/>
      <c r="W23" s="708"/>
      <c r="X23" s="685"/>
      <c r="Y23" s="666"/>
      <c r="Z23" s="727"/>
      <c r="AA23" s="666"/>
      <c r="AB23" s="710">
        <f>AVERAGE(AB19:AB22)</f>
        <v>2.7257812499999998</v>
      </c>
      <c r="AC23" s="666"/>
      <c r="AD23" s="700"/>
      <c r="AE23" s="685"/>
      <c r="AF23" s="703"/>
      <c r="AG23" s="668"/>
      <c r="AH23" s="666"/>
      <c r="AI23" s="673"/>
      <c r="AJ23" s="666"/>
      <c r="AK23" s="711"/>
      <c r="AL23" s="666"/>
      <c r="AM23" s="708"/>
      <c r="AN23" s="685"/>
      <c r="AO23" s="666"/>
    </row>
    <row r="24" spans="1:41" hidden="1" outlineLevel="1">
      <c r="A24" s="666"/>
      <c r="B24" s="684"/>
      <c r="C24" s="666"/>
      <c r="D24" s="700"/>
      <c r="E24" s="700"/>
      <c r="F24" s="700"/>
      <c r="G24" s="700"/>
      <c r="H24" s="700"/>
      <c r="I24" s="704"/>
      <c r="J24" s="724"/>
      <c r="K24" s="667"/>
      <c r="L24" s="667"/>
      <c r="M24" s="667"/>
      <c r="N24" s="667"/>
      <c r="O24" s="704"/>
      <c r="P24" s="702"/>
      <c r="Q24" s="702"/>
      <c r="R24" s="667"/>
      <c r="S24" s="667"/>
      <c r="T24" s="667"/>
      <c r="U24" s="667"/>
      <c r="V24" s="666"/>
      <c r="W24" s="666"/>
      <c r="X24" s="685"/>
      <c r="Y24" s="666"/>
      <c r="Z24" s="727"/>
      <c r="AA24" s="666"/>
      <c r="AB24" s="679"/>
      <c r="AC24" s="666"/>
      <c r="AD24" s="667"/>
      <c r="AE24" s="685"/>
      <c r="AF24" s="703"/>
      <c r="AG24" s="668"/>
      <c r="AH24" s="666"/>
      <c r="AI24" s="666"/>
      <c r="AJ24" s="666"/>
      <c r="AK24" s="666"/>
      <c r="AL24" s="666"/>
      <c r="AM24" s="666"/>
      <c r="AN24" s="685"/>
      <c r="AO24" s="666"/>
    </row>
    <row r="25" spans="1:41" hidden="1" outlineLevel="1">
      <c r="A25" s="729"/>
      <c r="B25" s="699">
        <v>1994</v>
      </c>
      <c r="C25" s="666"/>
      <c r="D25" s="700"/>
      <c r="E25" s="700"/>
      <c r="F25" s="700"/>
      <c r="G25" s="700"/>
      <c r="H25" s="700"/>
      <c r="I25" s="667"/>
      <c r="J25" s="667"/>
      <c r="K25" s="667"/>
      <c r="L25" s="667"/>
      <c r="M25" s="667"/>
      <c r="N25" s="667"/>
      <c r="O25" s="667"/>
      <c r="P25" s="702"/>
      <c r="Q25" s="702"/>
      <c r="R25" s="667"/>
      <c r="S25" s="667"/>
      <c r="T25" s="667"/>
      <c r="U25" s="667"/>
      <c r="V25" s="666"/>
      <c r="W25" s="666"/>
      <c r="X25" s="685"/>
      <c r="Y25" s="666"/>
      <c r="Z25" s="676"/>
      <c r="AA25" s="666"/>
      <c r="AB25" s="679"/>
      <c r="AC25" s="666"/>
      <c r="AD25" s="667"/>
      <c r="AE25" s="666"/>
      <c r="AF25" s="703"/>
      <c r="AG25" s="668"/>
      <c r="AH25" s="666"/>
      <c r="AI25" s="666"/>
      <c r="AJ25" s="666"/>
      <c r="AK25" s="666"/>
      <c r="AL25" s="666"/>
      <c r="AM25" s="666"/>
      <c r="AN25" s="685"/>
      <c r="AO25" s="666"/>
    </row>
    <row r="26" spans="1:41" hidden="1" outlineLevel="1">
      <c r="A26" s="666" t="s">
        <v>119</v>
      </c>
      <c r="B26" s="684" t="s">
        <v>830</v>
      </c>
      <c r="C26" s="666"/>
      <c r="D26" s="700"/>
      <c r="E26" s="700"/>
      <c r="F26" s="700">
        <v>13</v>
      </c>
      <c r="G26" s="700" t="s">
        <v>1084</v>
      </c>
      <c r="H26" s="700"/>
      <c r="I26" s="704"/>
      <c r="J26" s="705">
        <f>+'store&amp;sf'!J41</f>
        <v>577</v>
      </c>
      <c r="K26" s="667"/>
      <c r="L26" s="706">
        <f>AVERAGE(J26,J22)</f>
        <v>573.5</v>
      </c>
      <c r="M26" s="667"/>
      <c r="N26" s="700">
        <f>(L26/L19-1)*100</f>
        <v>4.3676069153776087</v>
      </c>
      <c r="O26" s="704" t="s">
        <v>1084</v>
      </c>
      <c r="P26" s="703"/>
      <c r="Q26" s="702"/>
      <c r="R26" s="667"/>
      <c r="S26" s="726">
        <f>+'segSales&amp;OM'!E24</f>
        <v>222</v>
      </c>
      <c r="T26" s="667"/>
      <c r="U26" s="707">
        <f>S26/L26</f>
        <v>0.38709677419354838</v>
      </c>
      <c r="V26" s="666"/>
      <c r="W26" s="708"/>
      <c r="X26" s="685"/>
      <c r="Y26" s="666"/>
      <c r="Z26" s="678">
        <f>+'store&amp;sf'!J405</f>
        <v>3.0024999999999999</v>
      </c>
      <c r="AA26" s="666"/>
      <c r="AB26" s="710">
        <f>AVERAGE(Z26,Z22)</f>
        <v>2.9675000000000002</v>
      </c>
      <c r="AC26" s="666"/>
      <c r="AD26" s="700">
        <f>(AB26/AB19-1)*100</f>
        <v>15.214753700558138</v>
      </c>
      <c r="AE26" s="685" t="s">
        <v>1084</v>
      </c>
      <c r="AF26" s="703"/>
      <c r="AG26" s="668"/>
      <c r="AH26" s="666"/>
      <c r="AI26" s="673">
        <f>+S26</f>
        <v>222</v>
      </c>
      <c r="AJ26" s="666"/>
      <c r="AK26" s="711">
        <f>AI26/AB26</f>
        <v>74.81044650379107</v>
      </c>
      <c r="AL26" s="666"/>
      <c r="AM26" s="677"/>
      <c r="AN26" s="685"/>
      <c r="AO26" s="666"/>
    </row>
    <row r="27" spans="1:41" hidden="1" outlineLevel="1">
      <c r="A27" s="666" t="s">
        <v>120</v>
      </c>
      <c r="B27" s="684" t="s">
        <v>653</v>
      </c>
      <c r="C27" s="666"/>
      <c r="D27" s="700"/>
      <c r="E27" s="700"/>
      <c r="F27" s="700">
        <v>11</v>
      </c>
      <c r="G27" s="700"/>
      <c r="H27" s="700"/>
      <c r="I27" s="704"/>
      <c r="J27" s="705">
        <f>+'store&amp;sf'!J42</f>
        <v>578</v>
      </c>
      <c r="K27" s="667"/>
      <c r="L27" s="706">
        <f>AVERAGE(J27,J26)</f>
        <v>577.5</v>
      </c>
      <c r="M27" s="667"/>
      <c r="N27" s="700">
        <f>(L27/L20-1)*100</f>
        <v>3.7735849056603765</v>
      </c>
      <c r="O27" s="704"/>
      <c r="P27" s="703"/>
      <c r="Q27" s="702"/>
      <c r="R27" s="667"/>
      <c r="S27" s="712">
        <f>+'segSales&amp;OM'!E25</f>
        <v>255</v>
      </c>
      <c r="T27" s="667"/>
      <c r="U27" s="713">
        <f>S27/L27</f>
        <v>0.44155844155844154</v>
      </c>
      <c r="V27" s="666"/>
      <c r="W27" s="708"/>
      <c r="X27" s="685"/>
      <c r="Y27" s="666"/>
      <c r="Z27" s="678">
        <f>+'store&amp;sf'!J406</f>
        <v>3.0375000000000001</v>
      </c>
      <c r="AA27" s="666"/>
      <c r="AB27" s="710">
        <f>AVERAGE(Z27,Z26)</f>
        <v>3.02</v>
      </c>
      <c r="AC27" s="666"/>
      <c r="AD27" s="700">
        <f>(AB27/AB20-1)*100</f>
        <v>13.77442900871204</v>
      </c>
      <c r="AE27" s="685"/>
      <c r="AF27" s="703"/>
      <c r="AG27" s="668"/>
      <c r="AH27" s="666"/>
      <c r="AI27" s="675">
        <f>+S27</f>
        <v>255</v>
      </c>
      <c r="AJ27" s="666"/>
      <c r="AK27" s="714">
        <f>AI27/AB27</f>
        <v>84.437086092715234</v>
      </c>
      <c r="AL27" s="666"/>
      <c r="AM27" s="708"/>
      <c r="AN27" s="685"/>
      <c r="AO27" s="666"/>
    </row>
    <row r="28" spans="1:41" hidden="1" outlineLevel="1">
      <c r="A28" s="666" t="s">
        <v>1018</v>
      </c>
      <c r="B28" s="684" t="s">
        <v>598</v>
      </c>
      <c r="C28" s="666"/>
      <c r="D28" s="700"/>
      <c r="E28" s="700"/>
      <c r="F28" s="700">
        <v>11</v>
      </c>
      <c r="G28" s="700"/>
      <c r="H28" s="700"/>
      <c r="I28" s="704"/>
      <c r="J28" s="705">
        <f>+'store&amp;sf'!J43</f>
        <v>594</v>
      </c>
      <c r="K28" s="667"/>
      <c r="L28" s="706">
        <f>AVERAGE(J28,J27)</f>
        <v>586</v>
      </c>
      <c r="M28" s="667"/>
      <c r="N28" s="700">
        <f>(L28/L21-1)*100</f>
        <v>3.1690140845070491</v>
      </c>
      <c r="O28" s="704"/>
      <c r="P28" s="703"/>
      <c r="Q28" s="702"/>
      <c r="R28" s="667"/>
      <c r="S28" s="712">
        <f>+'segSales&amp;OM'!E26</f>
        <v>256</v>
      </c>
      <c r="T28" s="667"/>
      <c r="U28" s="713">
        <f>S28/L28</f>
        <v>0.43686006825938567</v>
      </c>
      <c r="V28" s="666"/>
      <c r="W28" s="708"/>
      <c r="X28" s="685"/>
      <c r="Y28" s="666"/>
      <c r="Z28" s="678">
        <f>+'store&amp;sf'!J407</f>
        <v>3.1637499999999998</v>
      </c>
      <c r="AA28" s="666"/>
      <c r="AB28" s="710">
        <f>AVERAGE(Z28,Z27)</f>
        <v>3.100625</v>
      </c>
      <c r="AC28" s="666"/>
      <c r="AD28" s="700">
        <f>(AB28/AB21-1)*100</f>
        <v>11.658789106459611</v>
      </c>
      <c r="AE28" s="685"/>
      <c r="AF28" s="703"/>
      <c r="AG28" s="668"/>
      <c r="AH28" s="666"/>
      <c r="AI28" s="675">
        <f>+S28</f>
        <v>256</v>
      </c>
      <c r="AJ28" s="666"/>
      <c r="AK28" s="714">
        <f>AI28/AB28</f>
        <v>82.563999193710941</v>
      </c>
      <c r="AL28" s="666"/>
      <c r="AM28" s="708"/>
      <c r="AN28" s="685"/>
      <c r="AO28" s="666"/>
    </row>
    <row r="29" spans="1:41" hidden="1" outlineLevel="1">
      <c r="A29" s="666" t="s">
        <v>1019</v>
      </c>
      <c r="B29" s="684" t="s">
        <v>601</v>
      </c>
      <c r="C29" s="666"/>
      <c r="D29" s="715"/>
      <c r="E29" s="700"/>
      <c r="F29" s="715">
        <v>12</v>
      </c>
      <c r="G29" s="700"/>
      <c r="H29" s="715"/>
      <c r="I29" s="704"/>
      <c r="J29" s="705">
        <f>+'store&amp;sf'!J44</f>
        <v>601</v>
      </c>
      <c r="K29" s="667"/>
      <c r="L29" s="716">
        <f>AVERAGE(J29,J28)</f>
        <v>597.5</v>
      </c>
      <c r="M29" s="667"/>
      <c r="N29" s="715">
        <f>(L29/L22-1)*100</f>
        <v>4.1848299912816023</v>
      </c>
      <c r="O29" s="704"/>
      <c r="P29" s="717"/>
      <c r="Q29" s="702"/>
      <c r="R29" s="667"/>
      <c r="S29" s="718">
        <f>+'segSales&amp;OM'!E27</f>
        <v>448</v>
      </c>
      <c r="T29" s="667"/>
      <c r="U29" s="719">
        <f>S29/L29</f>
        <v>0.74979079497907952</v>
      </c>
      <c r="V29" s="666"/>
      <c r="W29" s="720"/>
      <c r="X29" s="685"/>
      <c r="Y29" s="666"/>
      <c r="Z29" s="678">
        <f>+'store&amp;sf'!J408</f>
        <v>3.2324999999999995</v>
      </c>
      <c r="AA29" s="666"/>
      <c r="AB29" s="721">
        <f>AVERAGE(Z29,Z28)</f>
        <v>3.1981249999999997</v>
      </c>
      <c r="AC29" s="666"/>
      <c r="AD29" s="715">
        <f>(AB29/AB22-1)*100</f>
        <v>10.422960725075537</v>
      </c>
      <c r="AE29" s="685"/>
      <c r="AF29" s="717"/>
      <c r="AG29" s="668"/>
      <c r="AH29" s="666"/>
      <c r="AI29" s="722">
        <f>+S29</f>
        <v>448</v>
      </c>
      <c r="AJ29" s="666"/>
      <c r="AK29" s="723">
        <f>AI29/AB29</f>
        <v>140.08207934336528</v>
      </c>
      <c r="AL29" s="666"/>
      <c r="AM29" s="720"/>
      <c r="AN29" s="685"/>
      <c r="AO29" s="666"/>
    </row>
    <row r="30" spans="1:41" hidden="1" outlineLevel="1">
      <c r="A30" s="666"/>
      <c r="B30" s="684" t="s">
        <v>1020</v>
      </c>
      <c r="C30" s="666"/>
      <c r="D30" s="700"/>
      <c r="E30" s="700"/>
      <c r="F30" s="700">
        <v>12</v>
      </c>
      <c r="G30" s="700"/>
      <c r="H30" s="700"/>
      <c r="I30" s="704"/>
      <c r="J30" s="724"/>
      <c r="K30" s="667"/>
      <c r="L30" s="725">
        <f>AVERAGE(L26:L29)</f>
        <v>583.625</v>
      </c>
      <c r="M30" s="667"/>
      <c r="N30" s="700">
        <f>(L30/L23-1)*100</f>
        <v>3.8709677419354938</v>
      </c>
      <c r="O30" s="704"/>
      <c r="P30" s="703"/>
      <c r="Q30" s="702"/>
      <c r="R30" s="667"/>
      <c r="S30" s="726">
        <f>SUM(S26:S29)</f>
        <v>1181</v>
      </c>
      <c r="T30" s="667"/>
      <c r="U30" s="707">
        <f>SUM(U26:U29)</f>
        <v>2.0153060789904553</v>
      </c>
      <c r="V30" s="666"/>
      <c r="W30" s="708"/>
      <c r="X30" s="685"/>
      <c r="Y30" s="666"/>
      <c r="Z30" s="727"/>
      <c r="AA30" s="666"/>
      <c r="AB30" s="710">
        <f>AVERAGE(AB26:AB29)</f>
        <v>3.0715625000000002</v>
      </c>
      <c r="AC30" s="666"/>
      <c r="AD30" s="700">
        <f>(AB30/AB23-1)*100</f>
        <v>12.685583261679589</v>
      </c>
      <c r="AE30" s="685"/>
      <c r="AF30" s="703"/>
      <c r="AG30" s="668"/>
      <c r="AH30" s="666"/>
      <c r="AI30" s="673">
        <f>SUM(AI26:AI29)</f>
        <v>1181</v>
      </c>
      <c r="AJ30" s="666"/>
      <c r="AK30" s="711">
        <f>SUM(AK26:AK29)</f>
        <v>381.89361113358251</v>
      </c>
      <c r="AL30" s="666"/>
      <c r="AM30" s="708"/>
      <c r="AN30" s="685"/>
      <c r="AO30" s="666"/>
    </row>
    <row r="31" spans="1:41" hidden="1" outlineLevel="1">
      <c r="A31" s="666"/>
      <c r="B31" s="684"/>
      <c r="C31" s="666"/>
      <c r="D31" s="700"/>
      <c r="E31" s="700"/>
      <c r="F31" s="700"/>
      <c r="G31" s="700"/>
      <c r="H31" s="700"/>
      <c r="I31" s="667"/>
      <c r="J31" s="667"/>
      <c r="K31" s="667"/>
      <c r="L31" s="667"/>
      <c r="M31" s="667"/>
      <c r="N31" s="667"/>
      <c r="O31" s="667"/>
      <c r="P31" s="702"/>
      <c r="Q31" s="702"/>
      <c r="R31" s="667"/>
      <c r="S31" s="667"/>
      <c r="T31" s="667"/>
      <c r="U31" s="667"/>
      <c r="V31" s="666"/>
      <c r="W31" s="666"/>
      <c r="X31" s="685"/>
      <c r="Y31" s="666"/>
      <c r="Z31" s="676"/>
      <c r="AA31" s="666"/>
      <c r="AB31" s="679"/>
      <c r="AC31" s="666"/>
      <c r="AD31" s="667"/>
      <c r="AE31" s="666"/>
      <c r="AF31" s="703"/>
      <c r="AG31" s="668"/>
      <c r="AH31" s="666"/>
      <c r="AI31" s="666"/>
      <c r="AJ31" s="666"/>
      <c r="AK31" s="666"/>
      <c r="AL31" s="666"/>
      <c r="AM31" s="666"/>
      <c r="AN31" s="685"/>
      <c r="AO31" s="666"/>
    </row>
    <row r="32" spans="1:41" hidden="1" outlineLevel="1">
      <c r="A32" s="698"/>
      <c r="B32" s="728">
        <f>B25+1</f>
        <v>1995</v>
      </c>
      <c r="C32" s="666"/>
      <c r="D32" s="700"/>
      <c r="E32" s="700"/>
      <c r="F32" s="700"/>
      <c r="G32" s="700"/>
      <c r="H32" s="700"/>
      <c r="I32" s="667"/>
      <c r="J32" s="667"/>
      <c r="K32" s="667"/>
      <c r="L32" s="667"/>
      <c r="M32" s="667"/>
      <c r="N32" s="667"/>
      <c r="O32" s="667"/>
      <c r="P32" s="702"/>
      <c r="Q32" s="702"/>
      <c r="R32" s="667"/>
      <c r="S32" s="667"/>
      <c r="T32" s="667"/>
      <c r="U32" s="667"/>
      <c r="V32" s="666"/>
      <c r="W32" s="666"/>
      <c r="X32" s="685"/>
      <c r="Y32" s="666"/>
      <c r="Z32" s="676"/>
      <c r="AA32" s="666"/>
      <c r="AB32" s="679"/>
      <c r="AC32" s="666"/>
      <c r="AD32" s="667"/>
      <c r="AE32" s="666"/>
      <c r="AF32" s="703"/>
      <c r="AG32" s="668"/>
      <c r="AH32" s="666"/>
      <c r="AI32" s="666"/>
      <c r="AJ32" s="666"/>
      <c r="AK32" s="666"/>
      <c r="AL32" s="666"/>
      <c r="AM32" s="666"/>
      <c r="AN32" s="685"/>
      <c r="AO32" s="666"/>
    </row>
    <row r="33" spans="1:41" hidden="1" outlineLevel="1">
      <c r="A33" s="666" t="str">
        <f>$A$26</f>
        <v>1Q</v>
      </c>
      <c r="B33" s="684" t="str">
        <f>$B$26</f>
        <v>Apr</v>
      </c>
      <c r="C33" s="666"/>
      <c r="D33" s="700">
        <f>(S33/S26-1)*100</f>
        <v>8.5585585585585591</v>
      </c>
      <c r="E33" s="700" t="s">
        <v>1084</v>
      </c>
      <c r="F33" s="700">
        <v>0</v>
      </c>
      <c r="G33" s="700" t="s">
        <v>1084</v>
      </c>
      <c r="H33" s="700">
        <f>D33-F33</f>
        <v>8.5585585585585591</v>
      </c>
      <c r="I33" s="704" t="s">
        <v>1084</v>
      </c>
      <c r="J33" s="705">
        <f>+'store&amp;sf'!J47</f>
        <v>609</v>
      </c>
      <c r="K33" s="667"/>
      <c r="L33" s="706">
        <f>AVERAGE(J33,J29)</f>
        <v>605</v>
      </c>
      <c r="M33" s="667"/>
      <c r="N33" s="700">
        <f>(L33/L26-1)*100</f>
        <v>5.4925893635570988</v>
      </c>
      <c r="O33" s="704" t="s">
        <v>1084</v>
      </c>
      <c r="P33" s="703">
        <f>H33/N33*100</f>
        <v>155.82010582010602</v>
      </c>
      <c r="Q33" s="702" t="s">
        <v>1084</v>
      </c>
      <c r="R33" s="667"/>
      <c r="S33" s="726">
        <f>+'segSales&amp;OM'!E31</f>
        <v>241</v>
      </c>
      <c r="T33" s="667"/>
      <c r="U33" s="707">
        <f>S33/L33</f>
        <v>0.39834710743801655</v>
      </c>
      <c r="V33" s="666"/>
      <c r="W33" s="708">
        <f>(U33/U26-1)*100</f>
        <v>2.906336088154271</v>
      </c>
      <c r="X33" s="685" t="s">
        <v>1084</v>
      </c>
      <c r="Y33" s="666"/>
      <c r="Z33" s="678">
        <f>+'store&amp;sf'!J411</f>
        <v>3.3074999999999997</v>
      </c>
      <c r="AA33" s="666"/>
      <c r="AB33" s="710">
        <f>AVERAGE(Z33,Z29)</f>
        <v>3.2699999999999996</v>
      </c>
      <c r="AC33" s="666"/>
      <c r="AD33" s="700">
        <f>(AB33/AB26-1)*100</f>
        <v>10.193765796124655</v>
      </c>
      <c r="AE33" s="685" t="s">
        <v>1084</v>
      </c>
      <c r="AF33" s="703">
        <f>+H33/AD33*100</f>
        <v>83.958752140570567</v>
      </c>
      <c r="AG33" s="668" t="s">
        <v>1084</v>
      </c>
      <c r="AH33" s="666"/>
      <c r="AI33" s="673">
        <f>+S33</f>
        <v>241</v>
      </c>
      <c r="AJ33" s="666"/>
      <c r="AK33" s="711">
        <f>AI33/AB33</f>
        <v>73.700305810397566</v>
      </c>
      <c r="AL33" s="666"/>
      <c r="AM33" s="708">
        <f>(AK33/AK26-1)*100</f>
        <v>-1.4839380665068624</v>
      </c>
      <c r="AN33" s="685" t="s">
        <v>1084</v>
      </c>
      <c r="AO33" s="666"/>
    </row>
    <row r="34" spans="1:41" hidden="1" outlineLevel="1">
      <c r="A34" s="666" t="str">
        <f>$A$27</f>
        <v>2Q</v>
      </c>
      <c r="B34" s="684" t="str">
        <f>$B$27</f>
        <v>Jul</v>
      </c>
      <c r="C34" s="666"/>
      <c r="D34" s="700">
        <f>(S34/S27-1)*100</f>
        <v>10.196078431372557</v>
      </c>
      <c r="E34" s="700"/>
      <c r="F34" s="700">
        <v>2</v>
      </c>
      <c r="G34" s="700"/>
      <c r="H34" s="700">
        <f>D34-F34</f>
        <v>8.1960784313725572</v>
      </c>
      <c r="I34" s="704"/>
      <c r="J34" s="705">
        <f>+'store&amp;sf'!J48</f>
        <v>629</v>
      </c>
      <c r="K34" s="667"/>
      <c r="L34" s="706">
        <f>AVERAGE(J34,J33)</f>
        <v>619</v>
      </c>
      <c r="M34" s="667"/>
      <c r="N34" s="700">
        <f>(L34/L27-1)*100</f>
        <v>7.1861471861471848</v>
      </c>
      <c r="O34" s="704"/>
      <c r="P34" s="703">
        <f>H34/N34*100</f>
        <v>114.0538625088591</v>
      </c>
      <c r="Q34" s="702"/>
      <c r="R34" s="667"/>
      <c r="S34" s="712">
        <f>+'segSales&amp;OM'!E32</f>
        <v>281</v>
      </c>
      <c r="T34" s="667"/>
      <c r="U34" s="713">
        <f>S34/L34</f>
        <v>0.45395799676898224</v>
      </c>
      <c r="V34" s="666"/>
      <c r="W34" s="708">
        <f>(U34/U27-1)*100</f>
        <v>2.8081345623871545</v>
      </c>
      <c r="X34" s="685"/>
      <c r="Y34" s="666"/>
      <c r="Z34" s="678">
        <f>+'store&amp;sf'!J412</f>
        <v>3.4537499999999999</v>
      </c>
      <c r="AA34" s="666"/>
      <c r="AB34" s="710">
        <f>AVERAGE(Z34,Z33)</f>
        <v>3.3806249999999998</v>
      </c>
      <c r="AC34" s="666"/>
      <c r="AD34" s="700">
        <f>(AB34/AB27-1)*100</f>
        <v>11.941225165562908</v>
      </c>
      <c r="AE34" s="685"/>
      <c r="AF34" s="703">
        <f>+H34/AD34*100</f>
        <v>68.636830121996908</v>
      </c>
      <c r="AG34" s="668"/>
      <c r="AH34" s="666"/>
      <c r="AI34" s="675">
        <f>+S34</f>
        <v>281</v>
      </c>
      <c r="AJ34" s="666"/>
      <c r="AK34" s="714">
        <f>AI34/AB34</f>
        <v>83.12072471806249</v>
      </c>
      <c r="AL34" s="666"/>
      <c r="AM34" s="708">
        <f>(AK34/AK27-1)*100</f>
        <v>-1.5589848437063902</v>
      </c>
      <c r="AN34" s="685"/>
      <c r="AO34" s="666"/>
    </row>
    <row r="35" spans="1:41" hidden="1" outlineLevel="1">
      <c r="A35" s="666" t="str">
        <f>$A$28</f>
        <v>3Q</v>
      </c>
      <c r="B35" s="684" t="str">
        <f>$B$28</f>
        <v>Oct</v>
      </c>
      <c r="C35" s="666"/>
      <c r="D35" s="700">
        <f>(S35/S28-1)*100</f>
        <v>3.125</v>
      </c>
      <c r="E35" s="700"/>
      <c r="F35" s="700">
        <v>-6</v>
      </c>
      <c r="G35" s="700"/>
      <c r="H35" s="700">
        <f>D35-F35</f>
        <v>9.125</v>
      </c>
      <c r="I35" s="704"/>
      <c r="J35" s="705">
        <f>+'store&amp;sf'!J49</f>
        <v>659</v>
      </c>
      <c r="K35" s="667"/>
      <c r="L35" s="706">
        <f>AVERAGE(J35,J34)</f>
        <v>644</v>
      </c>
      <c r="M35" s="667"/>
      <c r="N35" s="700">
        <f>(L35/L28-1)*100</f>
        <v>9.8976109215016983</v>
      </c>
      <c r="O35" s="704"/>
      <c r="P35" s="703">
        <f>H35/N35*100</f>
        <v>92.193965517241466</v>
      </c>
      <c r="Q35" s="702"/>
      <c r="R35" s="667"/>
      <c r="S35" s="712">
        <f>+'segSales&amp;OM'!E33</f>
        <v>264</v>
      </c>
      <c r="T35" s="667"/>
      <c r="U35" s="713">
        <f>S35/L35</f>
        <v>0.40993788819875776</v>
      </c>
      <c r="V35" s="666"/>
      <c r="W35" s="708">
        <f>(U35/U28-1)*100</f>
        <v>-6.1626552795031042</v>
      </c>
      <c r="X35" s="685"/>
      <c r="Y35" s="666"/>
      <c r="Z35" s="678">
        <f>+'store&amp;sf'!J413</f>
        <v>3.6762499999999996</v>
      </c>
      <c r="AA35" s="666"/>
      <c r="AB35" s="710">
        <f>AVERAGE(Z35,Z34)</f>
        <v>3.5649999999999995</v>
      </c>
      <c r="AC35" s="666"/>
      <c r="AD35" s="700">
        <f>(AB35/AB28-1)*100</f>
        <v>14.97681918967948</v>
      </c>
      <c r="AE35" s="685"/>
      <c r="AF35" s="703">
        <f>+H35/AD35*100</f>
        <v>60.927489905787432</v>
      </c>
      <c r="AG35" s="668"/>
      <c r="AH35" s="666"/>
      <c r="AI35" s="675">
        <f>+S35</f>
        <v>264</v>
      </c>
      <c r="AJ35" s="666"/>
      <c r="AK35" s="714">
        <f>AI35/AB35</f>
        <v>74.053295932678836</v>
      </c>
      <c r="AL35" s="666"/>
      <c r="AM35" s="708">
        <f>(AK35/AK28-1)*100</f>
        <v>-10.308007538569408</v>
      </c>
      <c r="AN35" s="685"/>
      <c r="AO35" s="666"/>
    </row>
    <row r="36" spans="1:41" hidden="1" outlineLevel="1">
      <c r="A36" s="666" t="str">
        <f>$A$29</f>
        <v>4Q</v>
      </c>
      <c r="B36" s="684" t="str">
        <f>$B$29</f>
        <v>Jan</v>
      </c>
      <c r="C36" s="666"/>
      <c r="D36" s="715">
        <f>(S36/S29-1)*100</f>
        <v>11.607142857142861</v>
      </c>
      <c r="E36" s="700"/>
      <c r="F36" s="715">
        <v>-1</v>
      </c>
      <c r="G36" s="700"/>
      <c r="H36" s="715">
        <f>D36-F36</f>
        <v>12.607142857142861</v>
      </c>
      <c r="I36" s="704"/>
      <c r="J36" s="705">
        <f>+'store&amp;sf'!J50</f>
        <v>671</v>
      </c>
      <c r="K36" s="667"/>
      <c r="L36" s="716">
        <f>AVERAGE(J36,J35)</f>
        <v>665</v>
      </c>
      <c r="M36" s="667"/>
      <c r="N36" s="715">
        <f>(L36/L29-1)*100</f>
        <v>11.297071129707103</v>
      </c>
      <c r="O36" s="704"/>
      <c r="P36" s="717">
        <f>H36/N36*100</f>
        <v>111.59656084656098</v>
      </c>
      <c r="Q36" s="702"/>
      <c r="R36" s="667"/>
      <c r="S36" s="718">
        <f>+'segSales&amp;OM'!E34</f>
        <v>500</v>
      </c>
      <c r="T36" s="667"/>
      <c r="U36" s="719">
        <f>S36/L36</f>
        <v>0.75187969924812026</v>
      </c>
      <c r="V36" s="666"/>
      <c r="W36" s="720">
        <f>(U36/U29-1)*100</f>
        <v>0.27859828141783005</v>
      </c>
      <c r="X36" s="685"/>
      <c r="Y36" s="666"/>
      <c r="Z36" s="678">
        <f>+'store&amp;sf'!J414</f>
        <v>3.7674999999999996</v>
      </c>
      <c r="AA36" s="666"/>
      <c r="AB36" s="721">
        <f>AVERAGE(Z36,Z35)</f>
        <v>3.7218749999999998</v>
      </c>
      <c r="AC36" s="666"/>
      <c r="AD36" s="715">
        <f>(AB36/AB29-1)*100</f>
        <v>16.376783271448115</v>
      </c>
      <c r="AE36" s="685"/>
      <c r="AF36" s="717">
        <f>+H36/AD36*100</f>
        <v>76.981801909307904</v>
      </c>
      <c r="AG36" s="668"/>
      <c r="AH36" s="666"/>
      <c r="AI36" s="722">
        <f>+S36</f>
        <v>500</v>
      </c>
      <c r="AJ36" s="666"/>
      <c r="AK36" s="723">
        <f>AI36/AB36</f>
        <v>134.34089000839631</v>
      </c>
      <c r="AL36" s="666"/>
      <c r="AM36" s="720">
        <f>(AK36/AK29-1)*100</f>
        <v>-4.0984466834592892</v>
      </c>
      <c r="AN36" s="685"/>
      <c r="AO36" s="666"/>
    </row>
    <row r="37" spans="1:41" hidden="1" outlineLevel="1">
      <c r="A37" s="666"/>
      <c r="B37" s="684" t="str">
        <f>$B$30</f>
        <v>Year</v>
      </c>
      <c r="C37" s="666"/>
      <c r="D37" s="700">
        <f>(S37/S30-1)*100</f>
        <v>8.8907705334462239</v>
      </c>
      <c r="E37" s="700"/>
      <c r="F37" s="700">
        <v>-1</v>
      </c>
      <c r="G37" s="700"/>
      <c r="H37" s="700">
        <f>D37-F37</f>
        <v>9.8907705334462239</v>
      </c>
      <c r="I37" s="704"/>
      <c r="J37" s="724"/>
      <c r="K37" s="667"/>
      <c r="L37" s="725">
        <f>AVERAGE(L33:L36)</f>
        <v>633.25</v>
      </c>
      <c r="M37" s="667"/>
      <c r="N37" s="700">
        <f>(L37/L30-1)*100</f>
        <v>8.5028914114371403</v>
      </c>
      <c r="O37" s="704"/>
      <c r="P37" s="703">
        <f>H37/N37*100</f>
        <v>116.32243733163831</v>
      </c>
      <c r="Q37" s="702"/>
      <c r="R37" s="667"/>
      <c r="S37" s="726">
        <f>SUM(S33:S36)</f>
        <v>1286</v>
      </c>
      <c r="T37" s="667"/>
      <c r="U37" s="707">
        <f>SUM(U33:U36)</f>
        <v>2.0141226916538768</v>
      </c>
      <c r="V37" s="666"/>
      <c r="W37" s="708">
        <f>(U37/U30-1)*100</f>
        <v>-5.8719980499011282E-2</v>
      </c>
      <c r="X37" s="685"/>
      <c r="Y37" s="666"/>
      <c r="Z37" s="678"/>
      <c r="AA37" s="666"/>
      <c r="AB37" s="710">
        <f>AVERAGE(AB33:AB36)</f>
        <v>3.484375</v>
      </c>
      <c r="AC37" s="666"/>
      <c r="AD37" s="700">
        <f>(AB37/AB30-1)*100</f>
        <v>13.43982093804048</v>
      </c>
      <c r="AE37" s="685"/>
      <c r="AF37" s="703">
        <f>+H37/AD37*100</f>
        <v>73.593023144014396</v>
      </c>
      <c r="AG37" s="668"/>
      <c r="AH37" s="666"/>
      <c r="AI37" s="673">
        <f>SUM(AI33:AI36)</f>
        <v>1286</v>
      </c>
      <c r="AJ37" s="666"/>
      <c r="AK37" s="711">
        <f>SUM(AK33:AK36)</f>
        <v>365.21521646953522</v>
      </c>
      <c r="AL37" s="666"/>
      <c r="AM37" s="708">
        <f>(AK37/AK30-1)*100</f>
        <v>-4.3672882126884698</v>
      </c>
      <c r="AN37" s="685"/>
      <c r="AO37" s="666"/>
    </row>
    <row r="38" spans="1:41" hidden="1" outlineLevel="1">
      <c r="A38" s="666"/>
      <c r="B38" s="684"/>
      <c r="C38" s="666"/>
      <c r="D38" s="700"/>
      <c r="E38" s="700"/>
      <c r="F38" s="700"/>
      <c r="G38" s="700"/>
      <c r="H38" s="700"/>
      <c r="I38" s="704"/>
      <c r="J38" s="724"/>
      <c r="K38" s="667"/>
      <c r="L38" s="667"/>
      <c r="M38" s="667"/>
      <c r="N38" s="667"/>
      <c r="O38" s="704"/>
      <c r="P38" s="702"/>
      <c r="Q38" s="702"/>
      <c r="R38" s="667"/>
      <c r="S38" s="667"/>
      <c r="T38" s="667"/>
      <c r="U38" s="667"/>
      <c r="V38" s="666"/>
      <c r="W38" s="666"/>
      <c r="X38" s="685"/>
      <c r="Y38" s="666"/>
      <c r="Z38" s="676"/>
      <c r="AA38" s="666"/>
      <c r="AB38" s="679"/>
      <c r="AC38" s="666"/>
      <c r="AD38" s="667"/>
      <c r="AE38" s="685"/>
      <c r="AF38" s="703"/>
      <c r="AG38" s="668"/>
      <c r="AH38" s="666"/>
      <c r="AI38" s="666"/>
      <c r="AJ38" s="666"/>
      <c r="AK38" s="666"/>
      <c r="AL38" s="666"/>
      <c r="AM38" s="666"/>
      <c r="AN38" s="685"/>
      <c r="AO38" s="666"/>
    </row>
    <row r="39" spans="1:41" hidden="1" outlineLevel="1" collapsed="1">
      <c r="A39" s="698"/>
      <c r="B39" s="728">
        <f>B32+1</f>
        <v>1996</v>
      </c>
      <c r="C39" s="666"/>
      <c r="D39" s="700"/>
      <c r="E39" s="700"/>
      <c r="F39" s="700"/>
      <c r="G39" s="700"/>
      <c r="H39" s="700"/>
      <c r="I39" s="704"/>
      <c r="J39" s="724"/>
      <c r="K39" s="667"/>
      <c r="L39" s="667"/>
      <c r="M39" s="667"/>
      <c r="N39" s="667"/>
      <c r="O39" s="704"/>
      <c r="P39" s="702"/>
      <c r="Q39" s="702"/>
      <c r="R39" s="667"/>
      <c r="S39" s="667"/>
      <c r="T39" s="667"/>
      <c r="U39" s="667"/>
      <c r="V39" s="666"/>
      <c r="W39" s="666"/>
      <c r="X39" s="685"/>
      <c r="Y39" s="666"/>
      <c r="Z39" s="676"/>
      <c r="AA39" s="666"/>
      <c r="AB39" s="679"/>
      <c r="AC39" s="666"/>
      <c r="AD39" s="667"/>
      <c r="AE39" s="685"/>
      <c r="AF39" s="703"/>
      <c r="AG39" s="668"/>
      <c r="AH39" s="666"/>
      <c r="AI39" s="666"/>
      <c r="AJ39" s="666"/>
      <c r="AK39" s="666"/>
      <c r="AL39" s="666"/>
      <c r="AM39" s="666"/>
      <c r="AN39" s="685"/>
      <c r="AO39" s="666"/>
    </row>
    <row r="40" spans="1:41" hidden="1" outlineLevel="1">
      <c r="A40" s="666" t="str">
        <f>$A$26</f>
        <v>1Q</v>
      </c>
      <c r="B40" s="684" t="str">
        <f>$B$26</f>
        <v>Apr</v>
      </c>
      <c r="C40" s="666"/>
      <c r="D40" s="700">
        <f>(S40/S33-1)*100</f>
        <v>18.672199170124482</v>
      </c>
      <c r="E40" s="700" t="s">
        <v>1084</v>
      </c>
      <c r="F40" s="703">
        <v>8</v>
      </c>
      <c r="G40" s="700" t="s">
        <v>1084</v>
      </c>
      <c r="H40" s="700">
        <f>D40-F40</f>
        <v>10.672199170124482</v>
      </c>
      <c r="I40" s="704" t="s">
        <v>1084</v>
      </c>
      <c r="J40" s="705">
        <f>+'store&amp;sf'!J53</f>
        <v>683</v>
      </c>
      <c r="K40" s="667"/>
      <c r="L40" s="706">
        <f>AVERAGE(J40,J36)</f>
        <v>677</v>
      </c>
      <c r="M40" s="667"/>
      <c r="N40" s="700">
        <f>(L40/L33-1)*100</f>
        <v>11.900826446280988</v>
      </c>
      <c r="O40" s="704" t="s">
        <v>1084</v>
      </c>
      <c r="P40" s="703">
        <f>H40/N40*100</f>
        <v>89.676118026740468</v>
      </c>
      <c r="Q40" s="702" t="s">
        <v>1084</v>
      </c>
      <c r="R40" s="667"/>
      <c r="S40" s="726">
        <f>+'segSales&amp;OM'!E38</f>
        <v>286</v>
      </c>
      <c r="T40" s="667"/>
      <c r="U40" s="707">
        <f>S40/L40</f>
        <v>0.42245199409158052</v>
      </c>
      <c r="V40" s="666"/>
      <c r="W40" s="730">
        <f>(U40/U33-1)*100</f>
        <v>6.0512267325336877</v>
      </c>
      <c r="X40" s="685" t="s">
        <v>1084</v>
      </c>
      <c r="Y40" s="666"/>
      <c r="Z40" s="678">
        <f>+'store&amp;sf'!J417</f>
        <v>3.8424999999999994</v>
      </c>
      <c r="AA40" s="666"/>
      <c r="AB40" s="710">
        <f>AVERAGE(Z40,Z36)</f>
        <v>3.8049999999999997</v>
      </c>
      <c r="AC40" s="666"/>
      <c r="AD40" s="700">
        <f>(AB40/AB33-1)*100</f>
        <v>16.360856269113167</v>
      </c>
      <c r="AE40" s="685" t="s">
        <v>1084</v>
      </c>
      <c r="AF40" s="703">
        <f>+H40/AD40*100</f>
        <v>65.230077170667329</v>
      </c>
      <c r="AG40" s="668" t="s">
        <v>1084</v>
      </c>
      <c r="AH40" s="666"/>
      <c r="AI40" s="673">
        <f>+S40</f>
        <v>286</v>
      </c>
      <c r="AJ40" s="666"/>
      <c r="AK40" s="711">
        <f>AI40/AB40</f>
        <v>75.16425755584757</v>
      </c>
      <c r="AL40" s="666"/>
      <c r="AM40" s="677">
        <f>(AK40/AK33-1)*100</f>
        <v>1.9863577624985584</v>
      </c>
      <c r="AN40" s="685" t="s">
        <v>1084</v>
      </c>
      <c r="AO40" s="666"/>
    </row>
    <row r="41" spans="1:41" hidden="1" outlineLevel="1">
      <c r="A41" s="666" t="str">
        <f>$A$27</f>
        <v>2Q</v>
      </c>
      <c r="B41" s="684" t="str">
        <f>$B$27</f>
        <v>Jul</v>
      </c>
      <c r="C41" s="666"/>
      <c r="D41" s="700">
        <f>(S41/S34-1)*100</f>
        <v>13.523131672597867</v>
      </c>
      <c r="E41" s="700"/>
      <c r="F41" s="703">
        <v>3</v>
      </c>
      <c r="G41" s="700"/>
      <c r="H41" s="700">
        <f>D41-F41</f>
        <v>10.523131672597867</v>
      </c>
      <c r="I41" s="704"/>
      <c r="J41" s="705">
        <f>+'store&amp;sf'!J54</f>
        <v>703</v>
      </c>
      <c r="K41" s="667"/>
      <c r="L41" s="706">
        <f>AVERAGE(J41,J40)</f>
        <v>693</v>
      </c>
      <c r="M41" s="667"/>
      <c r="N41" s="700">
        <f>(L41/L34-1)*100</f>
        <v>11.954765751211639</v>
      </c>
      <c r="O41" s="704"/>
      <c r="P41" s="703">
        <f>H41/N41*100</f>
        <v>88.02457439646048</v>
      </c>
      <c r="Q41" s="702"/>
      <c r="R41" s="667"/>
      <c r="S41" s="712">
        <f>+'segSales&amp;OM'!E39</f>
        <v>319</v>
      </c>
      <c r="T41" s="667"/>
      <c r="U41" s="713">
        <f>S41/L41</f>
        <v>0.46031746031746029</v>
      </c>
      <c r="V41" s="666"/>
      <c r="W41" s="730">
        <f>(U41/U34-1)*100</f>
        <v>1.4008925040953413</v>
      </c>
      <c r="X41" s="685"/>
      <c r="Y41" s="666"/>
      <c r="Z41" s="678">
        <f>+'store&amp;sf'!J418</f>
        <v>3.9937499999999995</v>
      </c>
      <c r="AA41" s="666"/>
      <c r="AB41" s="710">
        <f>AVERAGE(Z41,Z40)</f>
        <v>3.9181249999999994</v>
      </c>
      <c r="AC41" s="666"/>
      <c r="AD41" s="700">
        <f>(AB41/AB34-1)*100</f>
        <v>15.899426881124047</v>
      </c>
      <c r="AE41" s="685"/>
      <c r="AF41" s="703">
        <f>+H41/AD41*100</f>
        <v>66.185603740792885</v>
      </c>
      <c r="AG41" s="668"/>
      <c r="AH41" s="666"/>
      <c r="AI41" s="675">
        <f>+S41</f>
        <v>319</v>
      </c>
      <c r="AJ41" s="666"/>
      <c r="AK41" s="714">
        <f>AI41/AB41</f>
        <v>81.416493858669654</v>
      </c>
      <c r="AL41" s="666"/>
      <c r="AM41" s="677">
        <f>(AK41/AK34-1)*100</f>
        <v>-2.0503079889803932</v>
      </c>
      <c r="AN41" s="685"/>
      <c r="AO41" s="666"/>
    </row>
    <row r="42" spans="1:41" hidden="1" outlineLevel="1">
      <c r="A42" s="666" t="str">
        <f>$A$28</f>
        <v>3Q</v>
      </c>
      <c r="B42" s="684" t="str">
        <f>$B$28</f>
        <v>Oct</v>
      </c>
      <c r="C42" s="666"/>
      <c r="D42" s="700">
        <f>(S42/S35-1)*100</f>
        <v>15.151515151515159</v>
      </c>
      <c r="E42" s="700"/>
      <c r="F42" s="703">
        <v>6</v>
      </c>
      <c r="G42" s="700"/>
      <c r="H42" s="700">
        <f>D42-F42</f>
        <v>9.1515151515151594</v>
      </c>
      <c r="I42" s="704"/>
      <c r="J42" s="705">
        <f>+'store&amp;sf'!J55</f>
        <v>726</v>
      </c>
      <c r="K42" s="667"/>
      <c r="L42" s="706">
        <f>AVERAGE(J42,J41)</f>
        <v>714.5</v>
      </c>
      <c r="M42" s="667"/>
      <c r="N42" s="700">
        <f>(L42/L35-1)*100</f>
        <v>10.947204968944103</v>
      </c>
      <c r="O42" s="704"/>
      <c r="P42" s="703">
        <f>H42/N42*100</f>
        <v>83.596819256393772</v>
      </c>
      <c r="Q42" s="702"/>
      <c r="R42" s="667"/>
      <c r="S42" s="712">
        <f>+'segSales&amp;OM'!E40</f>
        <v>304</v>
      </c>
      <c r="T42" s="667"/>
      <c r="U42" s="713">
        <f>S42/L42</f>
        <v>0.42547235829251223</v>
      </c>
      <c r="V42" s="666"/>
      <c r="W42" s="730">
        <f>(U42/U35-1)*100</f>
        <v>3.7894692198401136</v>
      </c>
      <c r="X42" s="685"/>
      <c r="Y42" s="666"/>
      <c r="Z42" s="678">
        <f>+'store&amp;sf'!J419</f>
        <v>4.1025</v>
      </c>
      <c r="AA42" s="666"/>
      <c r="AB42" s="710">
        <f>AVERAGE(Z42,Z41)</f>
        <v>4.0481249999999998</v>
      </c>
      <c r="AC42" s="666"/>
      <c r="AD42" s="700">
        <f>(AB42/AB35-1)*100</f>
        <v>13.551893408134653</v>
      </c>
      <c r="AE42" s="685"/>
      <c r="AF42" s="703">
        <f>+H42/AD42*100</f>
        <v>67.52942098867068</v>
      </c>
      <c r="AG42" s="668"/>
      <c r="AH42" s="666"/>
      <c r="AI42" s="675">
        <f>+S42</f>
        <v>304</v>
      </c>
      <c r="AJ42" s="666"/>
      <c r="AK42" s="714">
        <f>AI42/AB42</f>
        <v>75.096495291029797</v>
      </c>
      <c r="AL42" s="666"/>
      <c r="AM42" s="677">
        <f>(AK42/AK35-1)*100</f>
        <v>1.4087142850458978</v>
      </c>
      <c r="AN42" s="685"/>
      <c r="AO42" s="666"/>
    </row>
    <row r="43" spans="1:41" hidden="1" outlineLevel="1">
      <c r="A43" s="666" t="str">
        <f>$A$29</f>
        <v>4Q</v>
      </c>
      <c r="B43" s="684" t="str">
        <f>$B$29</f>
        <v>Jan</v>
      </c>
      <c r="C43" s="666"/>
      <c r="D43" s="715">
        <f>(S43/S36-1)*100</f>
        <v>8.2000000000000064</v>
      </c>
      <c r="E43" s="700"/>
      <c r="F43" s="717">
        <v>5</v>
      </c>
      <c r="G43" s="700"/>
      <c r="H43" s="715">
        <f>D43-F43</f>
        <v>3.2000000000000064</v>
      </c>
      <c r="I43" s="704"/>
      <c r="J43" s="705">
        <f>+'store&amp;sf'!J56</f>
        <v>736</v>
      </c>
      <c r="K43" s="667"/>
      <c r="L43" s="716">
        <f>AVERAGE(J43,J42)</f>
        <v>731</v>
      </c>
      <c r="M43" s="667"/>
      <c r="N43" s="715">
        <f>(L43/L36-1)*100</f>
        <v>9.9248120300751808</v>
      </c>
      <c r="O43" s="704"/>
      <c r="P43" s="717">
        <f>H43/N43*100</f>
        <v>32.242424242424327</v>
      </c>
      <c r="Q43" s="702"/>
      <c r="R43" s="667"/>
      <c r="S43" s="718">
        <f>+'segSales&amp;OM'!E41</f>
        <v>541</v>
      </c>
      <c r="T43" s="667"/>
      <c r="U43" s="719">
        <f>S43/L43</f>
        <v>0.74008207934336523</v>
      </c>
      <c r="V43" s="666"/>
      <c r="W43" s="720">
        <f>(U43/U36-1)*100</f>
        <v>-1.56908344733242</v>
      </c>
      <c r="X43" s="685"/>
      <c r="Y43" s="666"/>
      <c r="Z43" s="678">
        <f>+'store&amp;sf'!J420</f>
        <v>4.1574999999999998</v>
      </c>
      <c r="AA43" s="666"/>
      <c r="AB43" s="721">
        <f>AVERAGE(Z43,Z42)</f>
        <v>4.13</v>
      </c>
      <c r="AC43" s="666"/>
      <c r="AD43" s="715">
        <f>(AB43/AB36-1)*100</f>
        <v>10.965575146935347</v>
      </c>
      <c r="AE43" s="685"/>
      <c r="AF43" s="717">
        <f>+H43/AD43*100</f>
        <v>29.182235834609553</v>
      </c>
      <c r="AG43" s="668"/>
      <c r="AH43" s="666"/>
      <c r="AI43" s="722">
        <f>+S43</f>
        <v>541</v>
      </c>
      <c r="AJ43" s="666"/>
      <c r="AK43" s="723">
        <f>AI43/AB43</f>
        <v>130.99273607748185</v>
      </c>
      <c r="AL43" s="666"/>
      <c r="AM43" s="731">
        <f>(AK43/AK36-1)*100</f>
        <v>-2.4922820823244485</v>
      </c>
      <c r="AN43" s="685"/>
      <c r="AO43" s="666"/>
    </row>
    <row r="44" spans="1:41" hidden="1" outlineLevel="1">
      <c r="A44" s="666"/>
      <c r="B44" s="684" t="str">
        <f>$B$30</f>
        <v>Year</v>
      </c>
      <c r="C44" s="666"/>
      <c r="D44" s="700">
        <f>(S44/S37-1)*100</f>
        <v>12.752721617418361</v>
      </c>
      <c r="E44" s="700"/>
      <c r="F44" s="703">
        <v>5</v>
      </c>
      <c r="G44" s="700"/>
      <c r="H44" s="700">
        <f>D44-F44</f>
        <v>7.7527216174183611</v>
      </c>
      <c r="I44" s="704"/>
      <c r="J44" s="724"/>
      <c r="K44" s="667"/>
      <c r="L44" s="725">
        <f>AVERAGE(L40:L43)</f>
        <v>703.875</v>
      </c>
      <c r="M44" s="667"/>
      <c r="N44" s="700">
        <f>(L44/L37-1)*100</f>
        <v>11.15278326095539</v>
      </c>
      <c r="O44" s="704"/>
      <c r="P44" s="703">
        <f>H44/N44*100</f>
        <v>69.513783564321088</v>
      </c>
      <c r="Q44" s="702"/>
      <c r="R44" s="667"/>
      <c r="S44" s="726">
        <f>SUM(S40:S43)</f>
        <v>1450</v>
      </c>
      <c r="T44" s="667"/>
      <c r="U44" s="707">
        <f>SUM(U40:U43)</f>
        <v>2.0483238920449183</v>
      </c>
      <c r="V44" s="666"/>
      <c r="W44" s="730">
        <f>(U44/U37-1)*100</f>
        <v>1.6980693645309852</v>
      </c>
      <c r="X44" s="685"/>
      <c r="Y44" s="666"/>
      <c r="Z44" s="676"/>
      <c r="AA44" s="666"/>
      <c r="AB44" s="710">
        <f>AVERAGE(AB40:AB43)</f>
        <v>3.9753124999999994</v>
      </c>
      <c r="AC44" s="666"/>
      <c r="AD44" s="700">
        <f>(AB44/AB37-1)*100</f>
        <v>14.089686098654685</v>
      </c>
      <c r="AE44" s="685"/>
      <c r="AF44" s="703">
        <f>+H44/AD44*100</f>
        <v>55.024090410066748</v>
      </c>
      <c r="AG44" s="668"/>
      <c r="AH44" s="666"/>
      <c r="AI44" s="673">
        <f>SUM(AI40:AI43)</f>
        <v>1450</v>
      </c>
      <c r="AJ44" s="666"/>
      <c r="AK44" s="711">
        <f>SUM(AK40:AK43)</f>
        <v>362.6699827830289</v>
      </c>
      <c r="AL44" s="666"/>
      <c r="AM44" s="677">
        <f>(AK44/AK37-1)*100</f>
        <v>-0.69691337373908313</v>
      </c>
      <c r="AN44" s="685"/>
      <c r="AO44" s="666"/>
    </row>
    <row r="45" spans="1:41" hidden="1" outlineLevel="1">
      <c r="A45" s="666"/>
      <c r="B45" s="684"/>
      <c r="C45" s="666"/>
      <c r="D45" s="700"/>
      <c r="E45" s="700"/>
      <c r="F45" s="703"/>
      <c r="G45" s="700"/>
      <c r="H45" s="700"/>
      <c r="I45" s="704"/>
      <c r="J45" s="724"/>
      <c r="K45" s="667"/>
      <c r="L45" s="667"/>
      <c r="M45" s="667"/>
      <c r="N45" s="667"/>
      <c r="O45" s="704"/>
      <c r="P45" s="702"/>
      <c r="Q45" s="702"/>
      <c r="R45" s="667"/>
      <c r="S45" s="667"/>
      <c r="T45" s="667"/>
      <c r="U45" s="667"/>
      <c r="V45" s="666"/>
      <c r="W45" s="666"/>
      <c r="X45" s="685"/>
      <c r="Y45" s="666"/>
      <c r="Z45" s="676"/>
      <c r="AA45" s="666"/>
      <c r="AB45" s="679"/>
      <c r="AC45" s="666"/>
      <c r="AD45" s="667"/>
      <c r="AE45" s="685"/>
      <c r="AF45" s="703"/>
      <c r="AG45" s="668"/>
      <c r="AH45" s="666"/>
      <c r="AI45" s="666"/>
      <c r="AJ45" s="666"/>
      <c r="AK45" s="666"/>
      <c r="AL45" s="666"/>
      <c r="AM45" s="666"/>
      <c r="AN45" s="685"/>
      <c r="AO45" s="666"/>
    </row>
    <row r="46" spans="1:41" hidden="1" outlineLevel="1">
      <c r="A46" s="698"/>
      <c r="B46" s="728">
        <f>B39+1</f>
        <v>1997</v>
      </c>
      <c r="C46" s="666"/>
      <c r="D46" s="700"/>
      <c r="E46" s="700"/>
      <c r="F46" s="703"/>
      <c r="G46" s="700"/>
      <c r="H46" s="700"/>
      <c r="I46" s="704"/>
      <c r="J46" s="724"/>
      <c r="K46" s="667"/>
      <c r="L46" s="667"/>
      <c r="M46" s="667"/>
      <c r="N46" s="667"/>
      <c r="O46" s="704"/>
      <c r="P46" s="702"/>
      <c r="Q46" s="702"/>
      <c r="R46" s="667"/>
      <c r="S46" s="667"/>
      <c r="T46" s="667"/>
      <c r="U46" s="667"/>
      <c r="V46" s="666"/>
      <c r="W46" s="666"/>
      <c r="X46" s="685"/>
      <c r="Y46" s="666"/>
      <c r="Z46" s="676"/>
      <c r="AA46" s="666"/>
      <c r="AB46" s="679"/>
      <c r="AC46" s="666"/>
      <c r="AD46" s="667"/>
      <c r="AE46" s="685"/>
      <c r="AF46" s="703"/>
      <c r="AG46" s="668"/>
      <c r="AH46" s="666"/>
      <c r="AI46" s="666"/>
      <c r="AJ46" s="666"/>
      <c r="AK46" s="666"/>
      <c r="AL46" s="666"/>
      <c r="AM46" s="666"/>
      <c r="AN46" s="685"/>
      <c r="AO46" s="666"/>
    </row>
    <row r="47" spans="1:41" hidden="1" outlineLevel="1">
      <c r="A47" s="666" t="str">
        <f>$A$26</f>
        <v>1Q</v>
      </c>
      <c r="B47" s="684" t="str">
        <f>$B$26</f>
        <v>Apr</v>
      </c>
      <c r="C47" s="666"/>
      <c r="D47" s="700">
        <f>(S47/S40-1)*100</f>
        <v>13.636363636363647</v>
      </c>
      <c r="E47" s="700" t="s">
        <v>1084</v>
      </c>
      <c r="F47" s="703">
        <v>7</v>
      </c>
      <c r="G47" s="700" t="s">
        <v>1084</v>
      </c>
      <c r="H47" s="700">
        <f>D47-F47</f>
        <v>6.6363636363636473</v>
      </c>
      <c r="I47" s="704" t="s">
        <v>1084</v>
      </c>
      <c r="J47" s="705">
        <f>+'store&amp;sf'!J59</f>
        <v>742</v>
      </c>
      <c r="K47" s="667"/>
      <c r="L47" s="706">
        <f>AVERAGE(J47,J43)</f>
        <v>739</v>
      </c>
      <c r="M47" s="667"/>
      <c r="N47" s="700">
        <f>(L47/L40-1)*100</f>
        <v>9.1580502215657269</v>
      </c>
      <c r="O47" s="704" t="s">
        <v>1084</v>
      </c>
      <c r="P47" s="703">
        <f>H47/N47*100</f>
        <v>72.464809384164369</v>
      </c>
      <c r="Q47" s="702" t="s">
        <v>1084</v>
      </c>
      <c r="R47" s="667"/>
      <c r="S47" s="726">
        <f>+'segSales&amp;OM'!E45</f>
        <v>325</v>
      </c>
      <c r="T47" s="667"/>
      <c r="U47" s="707">
        <f>S47/L47</f>
        <v>0.43978349120433019</v>
      </c>
      <c r="V47" s="666"/>
      <c r="W47" s="730">
        <f>(U47/U40-1)*100</f>
        <v>4.102595645220819</v>
      </c>
      <c r="X47" s="685" t="s">
        <v>1084</v>
      </c>
      <c r="Y47" s="666"/>
      <c r="Z47" s="678">
        <f>+'store&amp;sf'!J423</f>
        <v>4.1999999999999993</v>
      </c>
      <c r="AA47" s="666"/>
      <c r="AB47" s="710">
        <f>AVERAGE(Z47,Z43)</f>
        <v>4.1787499999999991</v>
      </c>
      <c r="AC47" s="666"/>
      <c r="AD47" s="700">
        <f>(AB47/AB40-1)*100</f>
        <v>9.8226018396846193</v>
      </c>
      <c r="AE47" s="685" t="s">
        <v>1084</v>
      </c>
      <c r="AF47" s="703">
        <f>+H47/AD47*100</f>
        <v>67.562176953481455</v>
      </c>
      <c r="AG47" s="668" t="s">
        <v>1084</v>
      </c>
      <c r="AH47" s="666"/>
      <c r="AI47" s="673">
        <f>+S47</f>
        <v>325</v>
      </c>
      <c r="AJ47" s="666"/>
      <c r="AK47" s="711">
        <f>AI47/AB47</f>
        <v>77.774454083158858</v>
      </c>
      <c r="AL47" s="666"/>
      <c r="AM47" s="677">
        <f>(AK47/AK40-1)*100</f>
        <v>3.472656568678123</v>
      </c>
      <c r="AN47" s="685" t="s">
        <v>1084</v>
      </c>
      <c r="AO47" s="666"/>
    </row>
    <row r="48" spans="1:41" hidden="1" outlineLevel="1">
      <c r="A48" s="666" t="str">
        <f>$A$27</f>
        <v>2Q</v>
      </c>
      <c r="B48" s="684" t="str">
        <f>$B$27</f>
        <v>Jul</v>
      </c>
      <c r="C48" s="666"/>
      <c r="D48" s="700">
        <f>(S48/S41-1)*100</f>
        <v>21.943573667711604</v>
      </c>
      <c r="E48" s="700"/>
      <c r="F48" s="703">
        <v>15</v>
      </c>
      <c r="G48" s="700"/>
      <c r="H48" s="700">
        <f>D48-F48</f>
        <v>6.943573667711604</v>
      </c>
      <c r="I48" s="704"/>
      <c r="J48" s="705">
        <f>+'store&amp;sf'!J60</f>
        <v>757</v>
      </c>
      <c r="K48" s="667"/>
      <c r="L48" s="706">
        <f>AVERAGE(J48,J47)</f>
        <v>749.5</v>
      </c>
      <c r="M48" s="667"/>
      <c r="N48" s="700">
        <f>(L48/L41-1)*100</f>
        <v>8.1529581529581563</v>
      </c>
      <c r="O48" s="704"/>
      <c r="P48" s="703">
        <f>H48/N48*100</f>
        <v>85.166310649984766</v>
      </c>
      <c r="Q48" s="702"/>
      <c r="R48" s="667"/>
      <c r="S48" s="712">
        <f>+'segSales&amp;OM'!E46</f>
        <v>389</v>
      </c>
      <c r="T48" s="667"/>
      <c r="U48" s="713">
        <f>S48/L48</f>
        <v>0.51901267511674454</v>
      </c>
      <c r="V48" s="666"/>
      <c r="W48" s="730">
        <f>(U48/U41-1)*100</f>
        <v>12.751029421913485</v>
      </c>
      <c r="X48" s="685"/>
      <c r="Y48" s="666"/>
      <c r="Z48" s="678">
        <f>+'store&amp;sf'!J424</f>
        <v>4.2912499999999998</v>
      </c>
      <c r="AA48" s="666"/>
      <c r="AB48" s="710">
        <f>AVERAGE(Z48,Z47)</f>
        <v>4.2456249999999995</v>
      </c>
      <c r="AC48" s="666"/>
      <c r="AD48" s="700">
        <f>(AB48/AB41-1)*100</f>
        <v>8.3585898867442943</v>
      </c>
      <c r="AE48" s="685"/>
      <c r="AF48" s="703">
        <f>+H48/AD48*100</f>
        <v>83.071113211610808</v>
      </c>
      <c r="AG48" s="668"/>
      <c r="AH48" s="666"/>
      <c r="AI48" s="675">
        <f>+S48</f>
        <v>389</v>
      </c>
      <c r="AJ48" s="666"/>
      <c r="AK48" s="714">
        <f>AI48/AB48</f>
        <v>91.62373031061388</v>
      </c>
      <c r="AL48" s="666"/>
      <c r="AM48" s="677">
        <f>(AK48/AK41-1)*100</f>
        <v>12.537062170305324</v>
      </c>
      <c r="AN48" s="685"/>
      <c r="AO48" s="666"/>
    </row>
    <row r="49" spans="1:41" hidden="1" outlineLevel="1">
      <c r="A49" s="666" t="str">
        <f>$A$28</f>
        <v>3Q</v>
      </c>
      <c r="B49" s="684" t="str">
        <f>$B$28</f>
        <v>Oct</v>
      </c>
      <c r="C49" s="666"/>
      <c r="D49" s="700">
        <f>(S49/S42-1)*100</f>
        <v>9.210526315789469</v>
      </c>
      <c r="E49" s="700"/>
      <c r="F49" s="703">
        <v>3</v>
      </c>
      <c r="G49" s="700"/>
      <c r="H49" s="700">
        <f>D49-F49</f>
        <v>6.210526315789469</v>
      </c>
      <c r="I49" s="704"/>
      <c r="J49" s="705">
        <f>+'store&amp;sf'!J61</f>
        <v>784</v>
      </c>
      <c r="K49" s="667"/>
      <c r="L49" s="706">
        <f>AVERAGE(J49,J48)</f>
        <v>770.5</v>
      </c>
      <c r="M49" s="667"/>
      <c r="N49" s="700">
        <f>(L49/L42-1)*100</f>
        <v>7.8376487053883892</v>
      </c>
      <c r="O49" s="704"/>
      <c r="P49" s="703">
        <f>H49/N49*100</f>
        <v>79.239661654135219</v>
      </c>
      <c r="Q49" s="702"/>
      <c r="R49" s="667"/>
      <c r="S49" s="712">
        <f>+'segSales&amp;OM'!E47</f>
        <v>332</v>
      </c>
      <c r="T49" s="667"/>
      <c r="U49" s="713">
        <f>S49/L49</f>
        <v>0.43088903309539262</v>
      </c>
      <c r="V49" s="666"/>
      <c r="W49" s="730">
        <f>(U49/U42-1)*100</f>
        <v>1.2730967587690989</v>
      </c>
      <c r="X49" s="685"/>
      <c r="Y49" s="666"/>
      <c r="Z49" s="678">
        <f>+'store&amp;sf'!J425</f>
        <v>4.4162499999999998</v>
      </c>
      <c r="AA49" s="666"/>
      <c r="AB49" s="710">
        <f>AVERAGE(Z49,Z48)</f>
        <v>4.3537499999999998</v>
      </c>
      <c r="AC49" s="666"/>
      <c r="AD49" s="700">
        <f>(AB49/AB42-1)*100</f>
        <v>7.5497915701713714</v>
      </c>
      <c r="AE49" s="685"/>
      <c r="AF49" s="703">
        <f>+H49/AD49*100</f>
        <v>82.260897642880195</v>
      </c>
      <c r="AG49" s="668"/>
      <c r="AH49" s="666"/>
      <c r="AI49" s="675">
        <f>+S49</f>
        <v>332</v>
      </c>
      <c r="AJ49" s="666"/>
      <c r="AK49" s="714">
        <f>AI49/AB49</f>
        <v>76.256101062302619</v>
      </c>
      <c r="AL49" s="666"/>
      <c r="AM49" s="677">
        <f>(AK49/AK42-1)*100</f>
        <v>1.5441543134321778</v>
      </c>
      <c r="AN49" s="685"/>
      <c r="AO49" s="666"/>
    </row>
    <row r="50" spans="1:41" hidden="1" outlineLevel="1">
      <c r="A50" s="666" t="str">
        <f>$A$29</f>
        <v>4Q</v>
      </c>
      <c r="B50" s="684" t="str">
        <f>$B$29</f>
        <v>Jan</v>
      </c>
      <c r="C50" s="666"/>
      <c r="D50" s="715">
        <f>(S50/S43-1)*100</f>
        <v>21.25693160813309</v>
      </c>
      <c r="E50" s="700"/>
      <c r="F50" s="717">
        <v>15</v>
      </c>
      <c r="G50" s="700"/>
      <c r="H50" s="715">
        <f>D50-F50</f>
        <v>6.2569316081330904</v>
      </c>
      <c r="I50" s="704"/>
      <c r="J50" s="705">
        <f>+'store&amp;sf'!J62</f>
        <v>789</v>
      </c>
      <c r="K50" s="667"/>
      <c r="L50" s="716">
        <f>AVERAGE(J50,J49)</f>
        <v>786.5</v>
      </c>
      <c r="M50" s="667"/>
      <c r="N50" s="715">
        <f>(L50/L43-1)*100</f>
        <v>7.5923392612859075</v>
      </c>
      <c r="O50" s="704"/>
      <c r="P50" s="717">
        <f>H50/N50*100</f>
        <v>82.411117217032256</v>
      </c>
      <c r="Q50" s="702"/>
      <c r="R50" s="667"/>
      <c r="S50" s="718">
        <f>+'segSales&amp;OM'!E48</f>
        <v>656</v>
      </c>
      <c r="T50" s="667"/>
      <c r="U50" s="719">
        <f>S50/L50</f>
        <v>0.83407501589319766</v>
      </c>
      <c r="V50" s="666"/>
      <c r="W50" s="720">
        <f>(U50/U43-1)*100</f>
        <v>12.700339485753709</v>
      </c>
      <c r="X50" s="685"/>
      <c r="Y50" s="666"/>
      <c r="Z50" s="678">
        <f>+'store&amp;sf'!J426</f>
        <v>4.4437499999999996</v>
      </c>
      <c r="AA50" s="666"/>
      <c r="AB50" s="721">
        <f>AVERAGE(Z50,Z49)</f>
        <v>4.43</v>
      </c>
      <c r="AC50" s="666"/>
      <c r="AD50" s="715">
        <f>(AB50/AB43-1)*100</f>
        <v>7.2639225181597933</v>
      </c>
      <c r="AE50" s="685"/>
      <c r="AF50" s="717">
        <f>+H50/AD50*100</f>
        <v>86.137091805299022</v>
      </c>
      <c r="AG50" s="668"/>
      <c r="AH50" s="666"/>
      <c r="AI50" s="722">
        <f>+S50</f>
        <v>656</v>
      </c>
      <c r="AJ50" s="666"/>
      <c r="AK50" s="723">
        <f>AI50/AB50</f>
        <v>148.08126410835214</v>
      </c>
      <c r="AL50" s="666"/>
      <c r="AM50" s="731">
        <f>(AK50/AK43-1)*100</f>
        <v>13.045401250923172</v>
      </c>
      <c r="AN50" s="685"/>
      <c r="AO50" s="666"/>
    </row>
    <row r="51" spans="1:41" hidden="1" outlineLevel="1">
      <c r="A51" s="666"/>
      <c r="B51" s="684" t="str">
        <f>$B$30</f>
        <v>Year</v>
      </c>
      <c r="C51" s="666"/>
      <c r="D51" s="700">
        <f>(S51/S44-1)*100</f>
        <v>17.37931034482758</v>
      </c>
      <c r="E51" s="700"/>
      <c r="F51" s="703">
        <v>11</v>
      </c>
      <c r="G51" s="700"/>
      <c r="H51" s="700">
        <f>D51-F51</f>
        <v>6.3793103448275801</v>
      </c>
      <c r="I51" s="704"/>
      <c r="J51" s="724"/>
      <c r="K51" s="667"/>
      <c r="L51" s="725">
        <f>AVERAGE(L47:L50)</f>
        <v>761.375</v>
      </c>
      <c r="M51" s="667"/>
      <c r="N51" s="700">
        <f>(L51/L44-1)*100</f>
        <v>8.1690641093944194</v>
      </c>
      <c r="O51" s="704"/>
      <c r="P51" s="703">
        <f>H51/N51*100</f>
        <v>78.091079460269825</v>
      </c>
      <c r="Q51" s="702"/>
      <c r="R51" s="667"/>
      <c r="S51" s="726">
        <f>SUM(S47:S50)</f>
        <v>1702</v>
      </c>
      <c r="T51" s="667"/>
      <c r="U51" s="707">
        <f>SUM(U47:U50)</f>
        <v>2.2237602153096652</v>
      </c>
      <c r="V51" s="666"/>
      <c r="W51" s="730">
        <f>(U51/U44-1)*100</f>
        <v>8.5648721838420983</v>
      </c>
      <c r="X51" s="685"/>
      <c r="Y51" s="666"/>
      <c r="Z51" s="727"/>
      <c r="AA51" s="666"/>
      <c r="AB51" s="710">
        <f>AVERAGE(AB47:AB50)</f>
        <v>4.3020312499999989</v>
      </c>
      <c r="AC51" s="666"/>
      <c r="AD51" s="700">
        <f>(AB51/AB44-1)*100</f>
        <v>8.2186934989387552</v>
      </c>
      <c r="AE51" s="685"/>
      <c r="AF51" s="703">
        <f>+H51/AD51*100</f>
        <v>77.619518791536791</v>
      </c>
      <c r="AG51" s="668"/>
      <c r="AH51" s="666"/>
      <c r="AI51" s="673">
        <f>SUM(AI47:AI50)</f>
        <v>1702</v>
      </c>
      <c r="AJ51" s="666"/>
      <c r="AK51" s="711">
        <f>SUM(AK47:AK50)</f>
        <v>393.73554956442752</v>
      </c>
      <c r="AL51" s="666"/>
      <c r="AM51" s="677">
        <f>(AK51/AK44-1)*100</f>
        <v>8.5657948703143472</v>
      </c>
      <c r="AN51" s="685"/>
      <c r="AO51" s="666"/>
    </row>
    <row r="52" spans="1:41" hidden="1" outlineLevel="1">
      <c r="A52" s="666"/>
      <c r="B52" s="684"/>
      <c r="C52" s="666"/>
      <c r="D52" s="700"/>
      <c r="E52" s="700"/>
      <c r="F52" s="703"/>
      <c r="G52" s="700"/>
      <c r="H52" s="700"/>
      <c r="I52" s="704"/>
      <c r="J52" s="724"/>
      <c r="K52" s="667"/>
      <c r="L52" s="667"/>
      <c r="M52" s="667"/>
      <c r="N52" s="667"/>
      <c r="O52" s="704"/>
      <c r="P52" s="702"/>
      <c r="Q52" s="702"/>
      <c r="R52" s="667"/>
      <c r="S52" s="667"/>
      <c r="T52" s="667"/>
      <c r="U52" s="667"/>
      <c r="V52" s="666"/>
      <c r="W52" s="666"/>
      <c r="X52" s="685"/>
      <c r="Y52" s="666"/>
      <c r="Z52" s="727"/>
      <c r="AA52" s="666"/>
      <c r="AB52" s="679"/>
      <c r="AC52" s="666"/>
      <c r="AD52" s="667"/>
      <c r="AE52" s="685"/>
      <c r="AF52" s="703"/>
      <c r="AG52" s="668"/>
      <c r="AH52" s="666"/>
      <c r="AI52" s="666"/>
      <c r="AJ52" s="666"/>
      <c r="AK52" s="666"/>
      <c r="AL52" s="666"/>
      <c r="AM52" s="666"/>
      <c r="AN52" s="685"/>
      <c r="AO52" s="666"/>
    </row>
    <row r="53" spans="1:41" hidden="1" outlineLevel="1">
      <c r="A53" s="698"/>
      <c r="B53" s="728">
        <f>B46+1</f>
        <v>1998</v>
      </c>
      <c r="C53" s="666"/>
      <c r="D53" s="700"/>
      <c r="E53" s="700"/>
      <c r="F53" s="703"/>
      <c r="G53" s="700"/>
      <c r="H53" s="700"/>
      <c r="I53" s="704"/>
      <c r="J53" s="724"/>
      <c r="K53" s="667"/>
      <c r="L53" s="667"/>
      <c r="M53" s="667"/>
      <c r="N53" s="667"/>
      <c r="O53" s="704"/>
      <c r="P53" s="702"/>
      <c r="Q53" s="702"/>
      <c r="R53" s="667"/>
      <c r="S53" s="667"/>
      <c r="T53" s="667"/>
      <c r="U53" s="667"/>
      <c r="V53" s="666"/>
      <c r="W53" s="666"/>
      <c r="X53" s="685"/>
      <c r="Y53" s="666"/>
      <c r="Z53" s="727"/>
      <c r="AA53" s="666"/>
      <c r="AB53" s="679"/>
      <c r="AC53" s="666"/>
      <c r="AD53" s="667"/>
      <c r="AE53" s="685"/>
      <c r="AF53" s="703"/>
      <c r="AG53" s="668"/>
      <c r="AH53" s="666"/>
      <c r="AI53" s="666"/>
      <c r="AJ53" s="666"/>
      <c r="AK53" s="666"/>
      <c r="AL53" s="666"/>
      <c r="AM53" s="666"/>
      <c r="AN53" s="685"/>
      <c r="AO53" s="666"/>
    </row>
    <row r="54" spans="1:41" hidden="1" outlineLevel="1">
      <c r="A54" s="666" t="str">
        <f>$A$26</f>
        <v>1Q</v>
      </c>
      <c r="B54" s="684" t="str">
        <f>$B$26</f>
        <v>Apr</v>
      </c>
      <c r="C54" s="666"/>
      <c r="D54" s="700">
        <f>(S54/S47-1)*100</f>
        <v>11.384615384615394</v>
      </c>
      <c r="E54" s="701" t="s">
        <v>1084</v>
      </c>
      <c r="F54" s="703">
        <v>6</v>
      </c>
      <c r="G54" s="701" t="s">
        <v>1084</v>
      </c>
      <c r="H54" s="700">
        <f>D54-F54</f>
        <v>5.3846153846153939</v>
      </c>
      <c r="I54" s="704" t="s">
        <v>1084</v>
      </c>
      <c r="J54" s="705">
        <f>+'store&amp;sf'!J65</f>
        <v>797</v>
      </c>
      <c r="K54" s="667"/>
      <c r="L54" s="706">
        <f>AVERAGE(J54,J50)</f>
        <v>793</v>
      </c>
      <c r="M54" s="667"/>
      <c r="N54" s="700">
        <f>(L54/L47-1)*100</f>
        <v>7.3071718538565644</v>
      </c>
      <c r="O54" s="704" t="s">
        <v>1084</v>
      </c>
      <c r="P54" s="703">
        <f>H54/N54*100</f>
        <v>73.689458689458803</v>
      </c>
      <c r="Q54" s="702" t="s">
        <v>1084</v>
      </c>
      <c r="R54" s="667"/>
      <c r="S54" s="726">
        <f>+'segSales&amp;OM'!E52</f>
        <v>362</v>
      </c>
      <c r="T54" s="667"/>
      <c r="U54" s="707">
        <f>S54/L54</f>
        <v>0.45649432534678436</v>
      </c>
      <c r="V54" s="666"/>
      <c r="W54" s="730">
        <f>(U54/U47-1)*100</f>
        <v>3.7997865942380304</v>
      </c>
      <c r="X54" s="685" t="s">
        <v>1084</v>
      </c>
      <c r="Y54" s="666"/>
      <c r="Z54" s="678">
        <f>+'store&amp;sf'!J429</f>
        <v>4.4749999999999996</v>
      </c>
      <c r="AA54" s="666"/>
      <c r="AB54" s="710">
        <f>AVERAGE(Z54,Z50)</f>
        <v>4.4593749999999996</v>
      </c>
      <c r="AC54" s="666"/>
      <c r="AD54" s="700">
        <f>(AB54/AB47-1)*100</f>
        <v>6.7155249775650683</v>
      </c>
      <c r="AE54" s="685" t="s">
        <v>1084</v>
      </c>
      <c r="AF54" s="703">
        <f>+H54/AD54*100</f>
        <v>80.181600137056762</v>
      </c>
      <c r="AG54" s="668" t="s">
        <v>1084</v>
      </c>
      <c r="AH54" s="666"/>
      <c r="AI54" s="673">
        <f>+S54</f>
        <v>362</v>
      </c>
      <c r="AJ54" s="666"/>
      <c r="AK54" s="711">
        <f>AI54/AB54</f>
        <v>81.177295024526984</v>
      </c>
      <c r="AL54" s="666"/>
      <c r="AM54" s="677">
        <f>(AK54/AK47-1)*100</f>
        <v>4.3752681796129345</v>
      </c>
      <c r="AN54" s="685" t="s">
        <v>1084</v>
      </c>
      <c r="AO54" s="666"/>
    </row>
    <row r="55" spans="1:41" hidden="1" outlineLevel="1">
      <c r="A55" s="666" t="str">
        <f>$A$27</f>
        <v>2Q</v>
      </c>
      <c r="B55" s="684" t="str">
        <f>$B$27</f>
        <v>Jul</v>
      </c>
      <c r="C55" s="666"/>
      <c r="D55" s="700">
        <f>(S55/S48-1)*100</f>
        <v>6.1696658097686319</v>
      </c>
      <c r="E55" s="700"/>
      <c r="F55" s="703">
        <v>2</v>
      </c>
      <c r="G55" s="700"/>
      <c r="H55" s="700">
        <f>D55-F55</f>
        <v>4.1696658097686319</v>
      </c>
      <c r="I55" s="704"/>
      <c r="J55" s="705">
        <f>+'store&amp;sf'!J66</f>
        <v>799</v>
      </c>
      <c r="K55" s="667"/>
      <c r="L55" s="706">
        <f>AVERAGE(J55,J54)</f>
        <v>798</v>
      </c>
      <c r="M55" s="667"/>
      <c r="N55" s="700">
        <f>(L55/L48-1)*100</f>
        <v>6.4709806537691872</v>
      </c>
      <c r="O55" s="704"/>
      <c r="P55" s="703">
        <f>H55/N55*100</f>
        <v>64.436381946836818</v>
      </c>
      <c r="Q55" s="702"/>
      <c r="R55" s="667"/>
      <c r="S55" s="712">
        <f>+'segSales&amp;OM'!E53</f>
        <v>413</v>
      </c>
      <c r="T55" s="667"/>
      <c r="U55" s="713">
        <f>S55/L55</f>
        <v>0.51754385964912286</v>
      </c>
      <c r="V55" s="666"/>
      <c r="W55" s="730">
        <f>(U55/U48-1)*100</f>
        <v>-0.28300184909574311</v>
      </c>
      <c r="X55" s="685"/>
      <c r="Y55" s="666"/>
      <c r="Z55" s="678">
        <f>+'store&amp;sf'!J430</f>
        <v>4.4937499999999995</v>
      </c>
      <c r="AA55" s="666"/>
      <c r="AB55" s="710">
        <f>AVERAGE(Z55,Z54)</f>
        <v>4.484375</v>
      </c>
      <c r="AC55" s="666"/>
      <c r="AD55" s="700">
        <f>(AB55/AB48-1)*100</f>
        <v>5.6234358898866521</v>
      </c>
      <c r="AE55" s="685"/>
      <c r="AF55" s="703">
        <f>+H55/AD55*100</f>
        <v>74.148010067430093</v>
      </c>
      <c r="AG55" s="668"/>
      <c r="AH55" s="666"/>
      <c r="AI55" s="675">
        <f>+S55</f>
        <v>413</v>
      </c>
      <c r="AJ55" s="666"/>
      <c r="AK55" s="714">
        <f>AI55/AB55</f>
        <v>92.097560975609753</v>
      </c>
      <c r="AL55" s="666"/>
      <c r="AM55" s="677">
        <f>(AK55/AK48-1)*100</f>
        <v>0.51714841055863214</v>
      </c>
      <c r="AN55" s="685"/>
      <c r="AO55" s="666"/>
    </row>
    <row r="56" spans="1:41" hidden="1" outlineLevel="1">
      <c r="A56" s="666" t="str">
        <f>$A$28</f>
        <v>3Q</v>
      </c>
      <c r="B56" s="684" t="str">
        <f>$B$28</f>
        <v>Oct</v>
      </c>
      <c r="C56" s="666"/>
      <c r="D56" s="700">
        <f>(S56/S49-1)*100</f>
        <v>6.024096385542177</v>
      </c>
      <c r="E56" s="700"/>
      <c r="F56" s="703">
        <v>4</v>
      </c>
      <c r="G56" s="700"/>
      <c r="H56" s="700">
        <f>D56-F56</f>
        <v>2.024096385542177</v>
      </c>
      <c r="I56" s="704"/>
      <c r="J56" s="705">
        <f>+'store&amp;sf'!J67</f>
        <v>812</v>
      </c>
      <c r="K56" s="667"/>
      <c r="L56" s="706">
        <f>AVERAGE(J56,J55)</f>
        <v>805.5</v>
      </c>
      <c r="M56" s="667"/>
      <c r="N56" s="700">
        <f>(L56/L49-1)*100</f>
        <v>4.542504866969499</v>
      </c>
      <c r="O56" s="704"/>
      <c r="P56" s="703">
        <f>H56/N56*100</f>
        <v>44.559036144578506</v>
      </c>
      <c r="Q56" s="702"/>
      <c r="R56" s="667"/>
      <c r="S56" s="712">
        <f>+'segSales&amp;OM'!E54</f>
        <v>352</v>
      </c>
      <c r="T56" s="667"/>
      <c r="U56" s="713">
        <f>S56/L56</f>
        <v>0.43699565487274983</v>
      </c>
      <c r="V56" s="666"/>
      <c r="W56" s="730">
        <f>(U56/U49-1)*100</f>
        <v>1.4172144817631738</v>
      </c>
      <c r="X56" s="685"/>
      <c r="Y56" s="666"/>
      <c r="Z56" s="678">
        <f>+'store&amp;sf'!J431</f>
        <v>4.5774999999999997</v>
      </c>
      <c r="AA56" s="666"/>
      <c r="AB56" s="710">
        <f>AVERAGE(Z56,Z55)</f>
        <v>4.5356249999999996</v>
      </c>
      <c r="AC56" s="666"/>
      <c r="AD56" s="700">
        <f>(AB56/AB49-1)*100</f>
        <v>4.1774332472006792</v>
      </c>
      <c r="AE56" s="685"/>
      <c r="AF56" s="703">
        <f>+H56/AD56*100</f>
        <v>48.453111414731403</v>
      </c>
      <c r="AG56" s="668"/>
      <c r="AH56" s="666"/>
      <c r="AI56" s="675">
        <f>+S56</f>
        <v>352</v>
      </c>
      <c r="AJ56" s="666"/>
      <c r="AK56" s="714">
        <f>AI56/AB56</f>
        <v>77.607826925726897</v>
      </c>
      <c r="AL56" s="666"/>
      <c r="AM56" s="730">
        <f>(AK56/AK49-1)*100</f>
        <v>1.772613396952849</v>
      </c>
      <c r="AN56" s="685"/>
      <c r="AO56" s="666"/>
    </row>
    <row r="57" spans="1:41" hidden="1" outlineLevel="1">
      <c r="A57" s="666" t="str">
        <f>$A$29</f>
        <v>4Q</v>
      </c>
      <c r="B57" s="684" t="str">
        <f>$B$29</f>
        <v>Jan</v>
      </c>
      <c r="C57" s="666"/>
      <c r="D57" s="715">
        <f>(S57/S50-1)*100</f>
        <v>7.0121951219512146</v>
      </c>
      <c r="E57" s="700"/>
      <c r="F57" s="717">
        <v>5</v>
      </c>
      <c r="G57" s="700"/>
      <c r="H57" s="715">
        <f>D57-F57</f>
        <v>2.0121951219512146</v>
      </c>
      <c r="I57" s="704"/>
      <c r="J57" s="705">
        <f>+'store&amp;sf'!J68</f>
        <v>829</v>
      </c>
      <c r="K57" s="667"/>
      <c r="L57" s="716">
        <f>AVERAGE(J57,J56)</f>
        <v>820.5</v>
      </c>
      <c r="M57" s="667"/>
      <c r="N57" s="715">
        <f>(L57/L50-1)*100</f>
        <v>4.322949777495233</v>
      </c>
      <c r="O57" s="704"/>
      <c r="P57" s="717">
        <f>H57/N57*100</f>
        <v>46.546807747489119</v>
      </c>
      <c r="Q57" s="702"/>
      <c r="R57" s="667"/>
      <c r="S57" s="718">
        <f>+'segSales&amp;OM'!E55</f>
        <v>702</v>
      </c>
      <c r="T57" s="667"/>
      <c r="U57" s="719">
        <f>S57/L57</f>
        <v>0.8555758683729433</v>
      </c>
      <c r="V57" s="666"/>
      <c r="W57" s="720">
        <f>(U57/U50-1)*100</f>
        <v>2.5778079992865743</v>
      </c>
      <c r="X57" s="685"/>
      <c r="Y57" s="666"/>
      <c r="Z57" s="678">
        <f>+'store&amp;sf'!J432</f>
        <v>4.6274999999999995</v>
      </c>
      <c r="AA57" s="666"/>
      <c r="AB57" s="721">
        <f>AVERAGE(Z57,Z56)</f>
        <v>4.6024999999999991</v>
      </c>
      <c r="AC57" s="666"/>
      <c r="AD57" s="715">
        <f>(AB57/AB50-1)*100</f>
        <v>3.8939051918735812</v>
      </c>
      <c r="AE57" s="685"/>
      <c r="AF57" s="717">
        <f>+H57/AD57*100</f>
        <v>51.675503711558832</v>
      </c>
      <c r="AG57" s="668"/>
      <c r="AH57" s="666"/>
      <c r="AI57" s="722">
        <f>+S57</f>
        <v>702</v>
      </c>
      <c r="AJ57" s="666"/>
      <c r="AK57" s="723">
        <f>AI57/AB57</f>
        <v>152.52580119500274</v>
      </c>
      <c r="AL57" s="666"/>
      <c r="AM57" s="720">
        <f>(AK57/AK50-1)*100</f>
        <v>3.0014175752838712</v>
      </c>
      <c r="AN57" s="685"/>
      <c r="AO57" s="666"/>
    </row>
    <row r="58" spans="1:41" hidden="1" outlineLevel="1">
      <c r="A58" s="666"/>
      <c r="B58" s="684" t="str">
        <f>$B$30</f>
        <v>Year</v>
      </c>
      <c r="C58" s="666"/>
      <c r="D58" s="700">
        <f>(S58/S51-1)*100</f>
        <v>7.4618096357226715</v>
      </c>
      <c r="E58" s="700"/>
      <c r="F58" s="703">
        <v>4</v>
      </c>
      <c r="G58" s="700"/>
      <c r="H58" s="700">
        <f>D58-F58</f>
        <v>3.4618096357226715</v>
      </c>
      <c r="I58" s="704"/>
      <c r="J58" s="667"/>
      <c r="K58" s="667"/>
      <c r="L58" s="725">
        <f>AVERAGE(L54:L57)</f>
        <v>804.25</v>
      </c>
      <c r="M58" s="667"/>
      <c r="N58" s="700">
        <f>(L58/L51-1)*100</f>
        <v>5.6312592349367918</v>
      </c>
      <c r="O58" s="704"/>
      <c r="P58" s="703">
        <f>H58/N58*100</f>
        <v>61.474876067599979</v>
      </c>
      <c r="Q58" s="702"/>
      <c r="R58" s="667"/>
      <c r="S58" s="726">
        <f>SUM(S54:S57)</f>
        <v>1829</v>
      </c>
      <c r="T58" s="667"/>
      <c r="U58" s="707">
        <f>SUM(U54:U57)</f>
        <v>2.2666097082416004</v>
      </c>
      <c r="V58" s="666"/>
      <c r="W58" s="730">
        <f>(U58/U51-1)*100</f>
        <v>1.9268935848808733</v>
      </c>
      <c r="X58" s="685"/>
      <c r="Y58" s="666"/>
      <c r="Z58" s="727"/>
      <c r="AA58" s="666"/>
      <c r="AB58" s="710">
        <f>AVERAGE(AB54:AB57)</f>
        <v>4.5204687499999991</v>
      </c>
      <c r="AC58" s="666"/>
      <c r="AD58" s="700">
        <f>(AB58/AB51-1)*100</f>
        <v>5.0775433116623692</v>
      </c>
      <c r="AE58" s="685"/>
      <c r="AF58" s="703">
        <f>+H58/AD58*100</f>
        <v>68.178830257762741</v>
      </c>
      <c r="AG58" s="668"/>
      <c r="AH58" s="666"/>
      <c r="AI58" s="673">
        <f>SUM(AI54:AI57)</f>
        <v>1829</v>
      </c>
      <c r="AJ58" s="666"/>
      <c r="AK58" s="711">
        <f>SUM(AK54:AK57)</f>
        <v>403.40848412086638</v>
      </c>
      <c r="AL58" s="666"/>
      <c r="AM58" s="730">
        <f>(AK58/AK51-1)*100</f>
        <v>2.456708460066559</v>
      </c>
      <c r="AN58" s="685"/>
      <c r="AO58" s="666"/>
    </row>
    <row r="59" spans="1:41" hidden="1" outlineLevel="1">
      <c r="A59" s="666"/>
      <c r="B59" s="684"/>
      <c r="C59" s="666"/>
      <c r="D59" s="700"/>
      <c r="E59" s="700"/>
      <c r="F59" s="703"/>
      <c r="G59" s="700"/>
      <c r="H59" s="700"/>
      <c r="I59" s="704"/>
      <c r="J59" s="667"/>
      <c r="K59" s="667"/>
      <c r="L59" s="667"/>
      <c r="M59" s="667"/>
      <c r="N59" s="667"/>
      <c r="O59" s="704"/>
      <c r="P59" s="702"/>
      <c r="Q59" s="702"/>
      <c r="R59" s="667"/>
      <c r="S59" s="667"/>
      <c r="T59" s="667"/>
      <c r="U59" s="667"/>
      <c r="V59" s="666"/>
      <c r="W59" s="666"/>
      <c r="X59" s="685"/>
      <c r="Y59" s="666"/>
      <c r="Z59" s="676"/>
      <c r="AA59" s="666"/>
      <c r="AB59" s="679"/>
      <c r="AC59" s="666"/>
      <c r="AD59" s="667"/>
      <c r="AE59" s="685"/>
      <c r="AF59" s="703"/>
      <c r="AG59" s="668"/>
      <c r="AH59" s="666"/>
      <c r="AI59" s="666"/>
      <c r="AJ59" s="666"/>
      <c r="AK59" s="666"/>
      <c r="AL59" s="666"/>
      <c r="AM59" s="666"/>
      <c r="AN59" s="685"/>
      <c r="AO59" s="666"/>
    </row>
    <row r="60" spans="1:41" hidden="1" outlineLevel="1">
      <c r="A60" s="698"/>
      <c r="B60" s="728">
        <f>B53+1</f>
        <v>1999</v>
      </c>
      <c r="C60" s="666"/>
      <c r="D60" s="700"/>
      <c r="E60" s="700"/>
      <c r="F60" s="703"/>
      <c r="G60" s="700"/>
      <c r="H60" s="700"/>
      <c r="I60" s="704"/>
      <c r="J60" s="667"/>
      <c r="K60" s="667"/>
      <c r="L60" s="667"/>
      <c r="M60" s="667"/>
      <c r="N60" s="667"/>
      <c r="O60" s="704"/>
      <c r="P60" s="702"/>
      <c r="Q60" s="702"/>
      <c r="R60" s="667"/>
      <c r="S60" s="667"/>
      <c r="T60" s="667"/>
      <c r="U60" s="667"/>
      <c r="V60" s="666"/>
      <c r="W60" s="666"/>
      <c r="X60" s="685"/>
      <c r="Y60" s="666"/>
      <c r="Z60" s="676"/>
      <c r="AA60" s="666"/>
      <c r="AB60" s="679"/>
      <c r="AC60" s="666"/>
      <c r="AD60" s="667"/>
      <c r="AE60" s="685"/>
      <c r="AF60" s="703"/>
      <c r="AG60" s="668"/>
      <c r="AH60" s="666"/>
      <c r="AI60" s="666"/>
      <c r="AJ60" s="666"/>
      <c r="AK60" s="666"/>
      <c r="AL60" s="666"/>
      <c r="AM60" s="666"/>
      <c r="AN60" s="685"/>
      <c r="AO60" s="666"/>
    </row>
    <row r="61" spans="1:41" hidden="1" outlineLevel="1">
      <c r="A61" s="666" t="str">
        <f>$A$26</f>
        <v>1Q</v>
      </c>
      <c r="B61" s="684" t="str">
        <f>$B$26</f>
        <v>Apr</v>
      </c>
      <c r="C61" s="666"/>
      <c r="D61" s="700">
        <f>(S61/S54-1)*100</f>
        <v>15.998895027624304</v>
      </c>
      <c r="E61" s="701" t="s">
        <v>1084</v>
      </c>
      <c r="F61" s="703">
        <v>13</v>
      </c>
      <c r="G61" s="701" t="s">
        <v>1084</v>
      </c>
      <c r="H61" s="700">
        <f>D61-F61</f>
        <v>2.9988950276243038</v>
      </c>
      <c r="I61" s="704" t="s">
        <v>1084</v>
      </c>
      <c r="J61" s="705">
        <f>+'store&amp;sf'!J71</f>
        <v>849</v>
      </c>
      <c r="K61" s="667"/>
      <c r="L61" s="706">
        <f>AVERAGE(J61,J57)</f>
        <v>839</v>
      </c>
      <c r="M61" s="667"/>
      <c r="N61" s="700">
        <f>(L61/L54-1)*100</f>
        <v>5.8007566204287597</v>
      </c>
      <c r="O61" s="704" t="s">
        <v>1084</v>
      </c>
      <c r="P61" s="703">
        <f>H61/N61*100</f>
        <v>51.69834254143629</v>
      </c>
      <c r="Q61" s="702" t="s">
        <v>1084</v>
      </c>
      <c r="R61" s="667"/>
      <c r="S61" s="726">
        <f>+'segSales&amp;OM'!E59</f>
        <v>419.916</v>
      </c>
      <c r="T61" s="667"/>
      <c r="U61" s="707">
        <f>S61/L61</f>
        <v>0.50049582836710371</v>
      </c>
      <c r="V61" s="666"/>
      <c r="W61" s="730">
        <f>(U61/U54-1)*100</f>
        <v>9.6390032859428931</v>
      </c>
      <c r="X61" s="685" t="s">
        <v>1084</v>
      </c>
      <c r="Y61" s="666"/>
      <c r="Z61" s="678">
        <f>+'store&amp;sf'!J435</f>
        <v>4.7050000000000001</v>
      </c>
      <c r="AA61" s="666"/>
      <c r="AB61" s="710">
        <f>AVERAGE(Z61,Z57)</f>
        <v>4.6662499999999998</v>
      </c>
      <c r="AC61" s="666"/>
      <c r="AD61" s="700">
        <f>(AB61/AB54-1)*100</f>
        <v>4.6391030133146494</v>
      </c>
      <c r="AE61" s="685" t="s">
        <v>1084</v>
      </c>
      <c r="AF61" s="703">
        <f>+H61/AD61*100</f>
        <v>64.643855051659799</v>
      </c>
      <c r="AG61" s="668" t="s">
        <v>1084</v>
      </c>
      <c r="AH61" s="666"/>
      <c r="AI61" s="673">
        <f>+S61</f>
        <v>419.916</v>
      </c>
      <c r="AJ61" s="666"/>
      <c r="AK61" s="711">
        <f>AI61/AB61</f>
        <v>89.990034824537915</v>
      </c>
      <c r="AL61" s="666"/>
      <c r="AM61" s="677">
        <f>(AK61/AK54-1)*100</f>
        <v>10.856163410407117</v>
      </c>
      <c r="AN61" s="685" t="s">
        <v>1084</v>
      </c>
      <c r="AO61" s="666"/>
    </row>
    <row r="62" spans="1:41" hidden="1" outlineLevel="1">
      <c r="A62" s="666" t="str">
        <f>$A$27</f>
        <v>2Q</v>
      </c>
      <c r="B62" s="684" t="str">
        <f>$B$27</f>
        <v>Jul</v>
      </c>
      <c r="C62" s="666"/>
      <c r="D62" s="700">
        <f>(S62/S55-1)*100</f>
        <v>16.66997578692493</v>
      </c>
      <c r="E62" s="701"/>
      <c r="F62" s="703">
        <v>13</v>
      </c>
      <c r="G62" s="701"/>
      <c r="H62" s="700">
        <f>D62-F62</f>
        <v>3.6699757869249297</v>
      </c>
      <c r="I62" s="704"/>
      <c r="J62" s="705">
        <f>+'store&amp;sf'!J72</f>
        <v>859</v>
      </c>
      <c r="K62" s="667"/>
      <c r="L62" s="706">
        <f>AVERAGE(J62,J61)</f>
        <v>854</v>
      </c>
      <c r="M62" s="667"/>
      <c r="N62" s="700">
        <f>(L62/L55-1)*100</f>
        <v>7.0175438596491224</v>
      </c>
      <c r="O62" s="704"/>
      <c r="P62" s="703">
        <f>H62/N62*100</f>
        <v>52.297154963680249</v>
      </c>
      <c r="Q62" s="702"/>
      <c r="R62" s="667"/>
      <c r="S62" s="712">
        <f>+'segSales&amp;OM'!E60</f>
        <v>481.84699999999998</v>
      </c>
      <c r="T62" s="667"/>
      <c r="U62" s="713">
        <f>S62/L62</f>
        <v>0.56422365339578451</v>
      </c>
      <c r="V62" s="666"/>
      <c r="W62" s="730">
        <f>(U62/U55-1)*100</f>
        <v>9.0194855713888522</v>
      </c>
      <c r="X62" s="685"/>
      <c r="Y62" s="666"/>
      <c r="Z62" s="678">
        <f>+'store&amp;sf'!J436</f>
        <v>4.7625000000000002</v>
      </c>
      <c r="AA62" s="666"/>
      <c r="AB62" s="710">
        <f>AVERAGE(Z62,Z61)</f>
        <v>4.7337500000000006</v>
      </c>
      <c r="AC62" s="666"/>
      <c r="AD62" s="700">
        <f>(AB62/AB55-1)*100</f>
        <v>5.5609756097561025</v>
      </c>
      <c r="AE62" s="685"/>
      <c r="AF62" s="703">
        <f>+H62/AD62*100</f>
        <v>65.995178624527185</v>
      </c>
      <c r="AG62" s="668"/>
      <c r="AH62" s="666"/>
      <c r="AI62" s="675">
        <f>+S62</f>
        <v>481.84699999999998</v>
      </c>
      <c r="AJ62" s="666"/>
      <c r="AK62" s="714">
        <f>AI62/AB62</f>
        <v>101.78970161077368</v>
      </c>
      <c r="AL62" s="666"/>
      <c r="AM62" s="677">
        <f>(AK62/AK55-1)*100</f>
        <v>10.523775583732009</v>
      </c>
      <c r="AN62" s="685"/>
      <c r="AO62" s="666"/>
    </row>
    <row r="63" spans="1:41" hidden="1" outlineLevel="1">
      <c r="A63" s="666" t="str">
        <f>$A$28</f>
        <v>3Q</v>
      </c>
      <c r="B63" s="684" t="str">
        <f>$B$28</f>
        <v>Oct</v>
      </c>
      <c r="C63" s="666"/>
      <c r="D63" s="700">
        <f>(S63/S56-1)*100</f>
        <v>19.404545454545442</v>
      </c>
      <c r="E63" s="701"/>
      <c r="F63" s="703">
        <v>16</v>
      </c>
      <c r="G63" s="701"/>
      <c r="H63" s="700">
        <f>D63-F63</f>
        <v>3.4045454545454419</v>
      </c>
      <c r="I63" s="704"/>
      <c r="J63" s="705">
        <f>+'store&amp;sf'!J73</f>
        <v>887</v>
      </c>
      <c r="K63" s="667"/>
      <c r="L63" s="706">
        <f>AVERAGE(J63,J62)</f>
        <v>873</v>
      </c>
      <c r="M63" s="667"/>
      <c r="N63" s="700">
        <f>(L63/L56-1)*100</f>
        <v>8.3798882681564315</v>
      </c>
      <c r="O63" s="704"/>
      <c r="P63" s="703">
        <f>H63/N63*100</f>
        <v>40.62757575757557</v>
      </c>
      <c r="Q63" s="702"/>
      <c r="R63" s="667"/>
      <c r="S63" s="712">
        <f>+'segSales&amp;OM'!E61</f>
        <v>420.30399999999997</v>
      </c>
      <c r="T63" s="667"/>
      <c r="U63" s="713">
        <f>S63/L63</f>
        <v>0.48144788087056123</v>
      </c>
      <c r="V63" s="666"/>
      <c r="W63" s="730">
        <f>(U63/U56-1)*100</f>
        <v>10.172235238987803</v>
      </c>
      <c r="X63" s="685"/>
      <c r="Y63" s="666"/>
      <c r="Z63" s="678">
        <f>+'store&amp;sf'!J437</f>
        <v>4.90625</v>
      </c>
      <c r="AA63" s="666"/>
      <c r="AB63" s="710">
        <f>AVERAGE(Z63,Z62)</f>
        <v>4.8343749999999996</v>
      </c>
      <c r="AC63" s="666"/>
      <c r="AD63" s="700">
        <f>(AB63/AB56-1)*100</f>
        <v>6.5867438335400319</v>
      </c>
      <c r="AE63" s="685"/>
      <c r="AF63" s="703">
        <f>+H63/AD63*100</f>
        <v>51.687837580829012</v>
      </c>
      <c r="AG63" s="668"/>
      <c r="AH63" s="666"/>
      <c r="AI63" s="675">
        <f>+S63</f>
        <v>420.30399999999997</v>
      </c>
      <c r="AJ63" s="666"/>
      <c r="AK63" s="714">
        <f>AI63/AB63</f>
        <v>86.940711053652237</v>
      </c>
      <c r="AL63" s="666"/>
      <c r="AM63" s="730">
        <f>(AK63/AK56-1)*100</f>
        <v>12.025699594523109</v>
      </c>
      <c r="AN63" s="685"/>
      <c r="AO63" s="666"/>
    </row>
    <row r="64" spans="1:41" hidden="1" outlineLevel="1">
      <c r="A64" s="666" t="str">
        <f>$A$29</f>
        <v>4Q</v>
      </c>
      <c r="B64" s="684" t="str">
        <f>$B$29</f>
        <v>Jan</v>
      </c>
      <c r="C64" s="666"/>
      <c r="D64" s="715">
        <f>(S64/S57-1)*100</f>
        <v>13.988034188034181</v>
      </c>
      <c r="E64" s="701"/>
      <c r="F64" s="717">
        <v>10</v>
      </c>
      <c r="G64" s="701"/>
      <c r="H64" s="715">
        <f>D64-F64</f>
        <v>3.988034188034181</v>
      </c>
      <c r="I64" s="704"/>
      <c r="J64" s="705">
        <f>+'store&amp;sf'!J74</f>
        <v>896</v>
      </c>
      <c r="K64" s="667"/>
      <c r="L64" s="716">
        <f>AVERAGE(J64,J63)</f>
        <v>891.5</v>
      </c>
      <c r="M64" s="667"/>
      <c r="N64" s="715">
        <f>(L64/L57-1)*100</f>
        <v>8.6532602071907263</v>
      </c>
      <c r="O64" s="704"/>
      <c r="P64" s="717">
        <f>H64/N64*100</f>
        <v>46.0870711448176</v>
      </c>
      <c r="Q64" s="702"/>
      <c r="R64" s="667"/>
      <c r="S64" s="718">
        <f>+'segSales&amp;OM'!E62</f>
        <v>800.19600000000003</v>
      </c>
      <c r="T64" s="667"/>
      <c r="U64" s="719">
        <f>S64/L64</f>
        <v>0.89758384744812114</v>
      </c>
      <c r="V64" s="666"/>
      <c r="W64" s="720">
        <f>(U64/U57-1)*100</f>
        <v>4.9099069560090358</v>
      </c>
      <c r="X64" s="685"/>
      <c r="Y64" s="666"/>
      <c r="Z64" s="678">
        <f>+'store&amp;sf'!J438</f>
        <v>4.97</v>
      </c>
      <c r="AA64" s="666"/>
      <c r="AB64" s="721">
        <f>AVERAGE(Z64,Z63)</f>
        <v>4.9381249999999994</v>
      </c>
      <c r="AC64" s="666"/>
      <c r="AD64" s="715">
        <f>(AB64/AB57-1)*100</f>
        <v>7.2922324823465612</v>
      </c>
      <c r="AE64" s="685"/>
      <c r="AF64" s="717">
        <f>+H64/AD64*100</f>
        <v>54.688796574829922</v>
      </c>
      <c r="AG64" s="668"/>
      <c r="AH64" s="666"/>
      <c r="AI64" s="722">
        <f>+S64</f>
        <v>800.19600000000003</v>
      </c>
      <c r="AJ64" s="666"/>
      <c r="AK64" s="723">
        <f>AI64/AB64</f>
        <v>162.04450069611443</v>
      </c>
      <c r="AL64" s="666"/>
      <c r="AM64" s="720">
        <f>(AK64/AK57-1)*100</f>
        <v>6.2407143096675943</v>
      </c>
      <c r="AN64" s="685"/>
      <c r="AO64" s="666"/>
    </row>
    <row r="65" spans="1:41" hidden="1" outlineLevel="1">
      <c r="A65" s="666"/>
      <c r="B65" s="684" t="str">
        <f>$B$30</f>
        <v>Year</v>
      </c>
      <c r="C65" s="666"/>
      <c r="D65" s="700">
        <f>(S65/S58-1)*100</f>
        <v>16.034062329141598</v>
      </c>
      <c r="E65" s="701"/>
      <c r="F65" s="703">
        <v>12</v>
      </c>
      <c r="G65" s="701"/>
      <c r="H65" s="700">
        <f>D65-F65</f>
        <v>4.034062329141598</v>
      </c>
      <c r="I65" s="704"/>
      <c r="J65" s="667"/>
      <c r="K65" s="667"/>
      <c r="L65" s="725">
        <f>AVERAGE(L61:L64)</f>
        <v>864.375</v>
      </c>
      <c r="M65" s="667"/>
      <c r="N65" s="700">
        <f>(L65/L58-1)*100</f>
        <v>7.4759092322039145</v>
      </c>
      <c r="O65" s="704"/>
      <c r="P65" s="703">
        <f>H65/N65*100</f>
        <v>53.96082541724958</v>
      </c>
      <c r="Q65" s="702"/>
      <c r="R65" s="667"/>
      <c r="S65" s="726">
        <f>SUM(S61:S64)</f>
        <v>2122.2629999999999</v>
      </c>
      <c r="T65" s="667"/>
      <c r="U65" s="707">
        <f>SUM(U61:U64)</f>
        <v>2.4437512100815706</v>
      </c>
      <c r="V65" s="666"/>
      <c r="W65" s="730">
        <f>(U65/U58-1)*100</f>
        <v>7.8152626451685858</v>
      </c>
      <c r="X65" s="685"/>
      <c r="Y65" s="666"/>
      <c r="Z65" s="676"/>
      <c r="AA65" s="666"/>
      <c r="AB65" s="710">
        <f>AVERAGE(AB61:AB64)</f>
        <v>4.7931249999999999</v>
      </c>
      <c r="AC65" s="666"/>
      <c r="AD65" s="700">
        <f>(AB65/AB58-1)*100</f>
        <v>6.031592409526132</v>
      </c>
      <c r="AE65" s="685"/>
      <c r="AF65" s="703">
        <f>+H65/AD65*100</f>
        <v>66.882210455240823</v>
      </c>
      <c r="AG65" s="668"/>
      <c r="AH65" s="666"/>
      <c r="AI65" s="673">
        <f>SUM(AI61:AI64)</f>
        <v>2122.2629999999999</v>
      </c>
      <c r="AJ65" s="666"/>
      <c r="AK65" s="711">
        <f>SUM(AK61:AK64)</f>
        <v>440.76494818507825</v>
      </c>
      <c r="AL65" s="666"/>
      <c r="AM65" s="730">
        <f>(AK65/AK58-1)*100</f>
        <v>9.2602078376267762</v>
      </c>
      <c r="AN65" s="685"/>
      <c r="AO65" s="666"/>
    </row>
    <row r="66" spans="1:41" hidden="1" outlineLevel="1">
      <c r="A66" s="666"/>
      <c r="B66" s="684"/>
      <c r="C66" s="666"/>
      <c r="D66" s="700"/>
      <c r="E66" s="701"/>
      <c r="F66" s="703"/>
      <c r="G66" s="701"/>
      <c r="H66" s="700"/>
      <c r="I66" s="704"/>
      <c r="J66" s="667"/>
      <c r="K66" s="667"/>
      <c r="L66" s="667"/>
      <c r="M66" s="667"/>
      <c r="N66" s="667"/>
      <c r="O66" s="704"/>
      <c r="P66" s="702"/>
      <c r="Q66" s="702"/>
      <c r="R66" s="667"/>
      <c r="S66" s="667"/>
      <c r="T66" s="667"/>
      <c r="U66" s="667"/>
      <c r="V66" s="666"/>
      <c r="W66" s="666"/>
      <c r="X66" s="685"/>
      <c r="Y66" s="666"/>
      <c r="Z66" s="676"/>
      <c r="AA66" s="666"/>
      <c r="AB66" s="679"/>
      <c r="AC66" s="666"/>
      <c r="AD66" s="667"/>
      <c r="AE66" s="685"/>
      <c r="AF66" s="703"/>
      <c r="AG66" s="668"/>
      <c r="AH66" s="666"/>
      <c r="AI66" s="666"/>
      <c r="AJ66" s="666"/>
      <c r="AK66" s="666"/>
      <c r="AL66" s="666"/>
      <c r="AM66" s="666"/>
      <c r="AN66" s="685"/>
      <c r="AO66" s="666"/>
    </row>
    <row r="67" spans="1:41" hidden="1" outlineLevel="1">
      <c r="A67" s="698"/>
      <c r="B67" s="728">
        <f>B60+1</f>
        <v>2000</v>
      </c>
      <c r="C67" s="666"/>
      <c r="D67" s="700"/>
      <c r="E67" s="701"/>
      <c r="F67" s="703"/>
      <c r="G67" s="701"/>
      <c r="H67" s="700"/>
      <c r="I67" s="704"/>
      <c r="J67" s="667"/>
      <c r="K67" s="667"/>
      <c r="L67" s="667"/>
      <c r="M67" s="667"/>
      <c r="N67" s="667"/>
      <c r="O67" s="704"/>
      <c r="P67" s="702"/>
      <c r="Q67" s="702"/>
      <c r="R67" s="667"/>
      <c r="S67" s="667"/>
      <c r="T67" s="667"/>
      <c r="U67" s="667"/>
      <c r="V67" s="666"/>
      <c r="W67" s="666"/>
      <c r="X67" s="685"/>
      <c r="Y67" s="666"/>
      <c r="Z67" s="676"/>
      <c r="AA67" s="666"/>
      <c r="AB67" s="679"/>
      <c r="AC67" s="666"/>
      <c r="AD67" s="667"/>
      <c r="AE67" s="685"/>
      <c r="AF67" s="703"/>
      <c r="AG67" s="668"/>
      <c r="AH67" s="666"/>
      <c r="AI67" s="666"/>
      <c r="AJ67" s="666"/>
      <c r="AK67" s="666"/>
      <c r="AL67" s="666"/>
      <c r="AM67" s="666"/>
      <c r="AN67" s="685"/>
      <c r="AO67" s="666"/>
    </row>
    <row r="68" spans="1:41" hidden="1" outlineLevel="1">
      <c r="A68" s="666" t="str">
        <f>$A$26</f>
        <v>1Q</v>
      </c>
      <c r="B68" s="684" t="str">
        <f>$B$26</f>
        <v>Apr</v>
      </c>
      <c r="C68" s="666"/>
      <c r="D68" s="700">
        <f>(S68/S61-1)*100</f>
        <v>18.037417007210976</v>
      </c>
      <c r="E68" s="701" t="s">
        <v>1084</v>
      </c>
      <c r="F68" s="703">
        <v>14</v>
      </c>
      <c r="G68" s="701" t="s">
        <v>1084</v>
      </c>
      <c r="H68" s="700">
        <f>D68-F68</f>
        <v>4.0374170072109763</v>
      </c>
      <c r="I68" s="704" t="s">
        <v>1084</v>
      </c>
      <c r="J68" s="705">
        <f>+'store&amp;sf'!J77</f>
        <v>894</v>
      </c>
      <c r="K68" s="667"/>
      <c r="L68" s="706">
        <f>AVERAGE(J68,J64)</f>
        <v>895</v>
      </c>
      <c r="M68" s="667"/>
      <c r="N68" s="700">
        <f>(L68/L61-1)*100</f>
        <v>6.6746126340881951</v>
      </c>
      <c r="O68" s="704" t="s">
        <v>1084</v>
      </c>
      <c r="P68" s="703">
        <f>H68/N68*100</f>
        <v>60.489158375893069</v>
      </c>
      <c r="Q68" s="702" t="s">
        <v>1084</v>
      </c>
      <c r="R68" s="667"/>
      <c r="S68" s="726">
        <f>+'segSales&amp;OM'!E66</f>
        <v>495.65800000000002</v>
      </c>
      <c r="T68" s="667"/>
      <c r="U68" s="707">
        <f>S68/L68</f>
        <v>0.55380782122905026</v>
      </c>
      <c r="V68" s="666"/>
      <c r="W68" s="730">
        <f>(U68/U61-1)*100</f>
        <v>10.65183560787708</v>
      </c>
      <c r="X68" s="685" t="s">
        <v>1084</v>
      </c>
      <c r="Y68" s="666"/>
      <c r="Z68" s="678">
        <f>+'store&amp;sf'!J441</f>
        <v>4.9624999999999995</v>
      </c>
      <c r="AA68" s="666"/>
      <c r="AB68" s="710">
        <f>AVERAGE(Z68,Z64)</f>
        <v>4.9662499999999996</v>
      </c>
      <c r="AC68" s="666"/>
      <c r="AD68" s="700">
        <f>(AB68/AB61-1)*100</f>
        <v>6.4291454594160191</v>
      </c>
      <c r="AE68" s="685" t="s">
        <v>1084</v>
      </c>
      <c r="AF68" s="703">
        <f>+H68/AD68*100</f>
        <v>62.798657032994065</v>
      </c>
      <c r="AG68" s="668" t="s">
        <v>1084</v>
      </c>
      <c r="AH68" s="666"/>
      <c r="AI68" s="673">
        <f>+S68</f>
        <v>495.65800000000002</v>
      </c>
      <c r="AJ68" s="666"/>
      <c r="AK68" s="711">
        <f>AI68/AB68</f>
        <v>99.80528567832873</v>
      </c>
      <c r="AL68" s="666"/>
      <c r="AM68" s="730">
        <f>(AK68/AK61-1)*100</f>
        <v>10.907041955177089</v>
      </c>
      <c r="AN68" s="685" t="s">
        <v>1084</v>
      </c>
      <c r="AO68" s="666"/>
    </row>
    <row r="69" spans="1:41" hidden="1" outlineLevel="1">
      <c r="A69" s="666" t="str">
        <f>$A$27</f>
        <v>2Q</v>
      </c>
      <c r="B69" s="684" t="str">
        <f>$B$27</f>
        <v>Jul</v>
      </c>
      <c r="C69" s="666"/>
      <c r="D69" s="700">
        <f>(S69/S62-1)*100</f>
        <v>14.616050323027864</v>
      </c>
      <c r="E69" s="700"/>
      <c r="F69" s="703">
        <v>12</v>
      </c>
      <c r="G69" s="700"/>
      <c r="H69" s="700">
        <f>D69-F69</f>
        <v>2.6160503230278636</v>
      </c>
      <c r="I69" s="667"/>
      <c r="J69" s="705">
        <f>+'store&amp;sf'!J78</f>
        <v>902</v>
      </c>
      <c r="K69" s="724"/>
      <c r="L69" s="706">
        <f>AVERAGE(J69,J68)</f>
        <v>898</v>
      </c>
      <c r="M69" s="667"/>
      <c r="N69" s="700">
        <f>(L69/L62-1)*100</f>
        <v>5.1522248243559776</v>
      </c>
      <c r="O69" s="704"/>
      <c r="P69" s="703">
        <f>H69/N69*100</f>
        <v>50.775158542404384</v>
      </c>
      <c r="Q69" s="702"/>
      <c r="R69" s="667"/>
      <c r="S69" s="712">
        <f>+'segSales&amp;OM'!E67</f>
        <v>552.274</v>
      </c>
      <c r="T69" s="667"/>
      <c r="U69" s="713">
        <f>S69/L69</f>
        <v>0.61500445434298445</v>
      </c>
      <c r="V69" s="666"/>
      <c r="W69" s="730">
        <f>(U69/U62-1)*100</f>
        <v>9.0001191267993228</v>
      </c>
      <c r="X69" s="685"/>
      <c r="Y69" s="666"/>
      <c r="Z69" s="678">
        <f>+'store&amp;sf'!J442</f>
        <v>4.9987499999999994</v>
      </c>
      <c r="AA69" s="724"/>
      <c r="AB69" s="710">
        <f>AVERAGE(Z69,Z68)</f>
        <v>4.9806249999999999</v>
      </c>
      <c r="AC69" s="666"/>
      <c r="AD69" s="700">
        <f>(AB69/AB62-1)*100</f>
        <v>5.2152099287034348</v>
      </c>
      <c r="AE69" s="685"/>
      <c r="AF69" s="703">
        <f>+H69/AD69*100</f>
        <v>50.161937080033248</v>
      </c>
      <c r="AG69" s="668"/>
      <c r="AH69" s="666"/>
      <c r="AI69" s="675">
        <f>+S69</f>
        <v>552.274</v>
      </c>
      <c r="AJ69" s="666"/>
      <c r="AK69" s="714">
        <f>AI69/AB69</f>
        <v>110.8844773497302</v>
      </c>
      <c r="AL69" s="666"/>
      <c r="AM69" s="730">
        <f>(AK69/AK62-1)*100</f>
        <v>8.9348682578257232</v>
      </c>
      <c r="AN69" s="685"/>
      <c r="AO69" s="666"/>
    </row>
    <row r="70" spans="1:41" hidden="1" outlineLevel="1">
      <c r="A70" s="666" t="str">
        <f>$A$28</f>
        <v>3Q</v>
      </c>
      <c r="B70" s="684" t="str">
        <f>$B$28</f>
        <v>Oct</v>
      </c>
      <c r="C70" s="666"/>
      <c r="D70" s="700">
        <f>(S70/S63-1)*100</f>
        <v>9.9294796147550546</v>
      </c>
      <c r="E70" s="700"/>
      <c r="F70" s="703">
        <v>8</v>
      </c>
      <c r="G70" s="700"/>
      <c r="H70" s="700">
        <f>D70-F70</f>
        <v>1.9294796147550546</v>
      </c>
      <c r="I70" s="667"/>
      <c r="J70" s="705">
        <f>+'store&amp;sf'!J79</f>
        <v>927</v>
      </c>
      <c r="K70" s="724"/>
      <c r="L70" s="706">
        <f>AVERAGE(J70,J69)</f>
        <v>914.5</v>
      </c>
      <c r="M70" s="667"/>
      <c r="N70" s="700">
        <f>(L70/L63-1)*100</f>
        <v>4.7537227949599137</v>
      </c>
      <c r="O70" s="704"/>
      <c r="P70" s="703">
        <f>H70/N70*100</f>
        <v>40.588812136895442</v>
      </c>
      <c r="Q70" s="702"/>
      <c r="R70" s="667"/>
      <c r="S70" s="712">
        <f>+'segSales&amp;OM'!E68</f>
        <v>462.03800000000001</v>
      </c>
      <c r="T70" s="667"/>
      <c r="U70" s="713">
        <f>S70/L70</f>
        <v>0.50523564789502462</v>
      </c>
      <c r="V70" s="666"/>
      <c r="W70" s="730">
        <f>(U70/U63-1)*100</f>
        <v>4.9408810319094165</v>
      </c>
      <c r="X70" s="685"/>
      <c r="Y70" s="666"/>
      <c r="Z70" s="678">
        <f>+'store&amp;sf'!J443</f>
        <v>5.1187499999999995</v>
      </c>
      <c r="AA70" s="724"/>
      <c r="AB70" s="710">
        <f>AVERAGE(Z70,Z69)</f>
        <v>5.0587499999999999</v>
      </c>
      <c r="AC70" s="666"/>
      <c r="AD70" s="700">
        <f>(AB70/AB63-1)*100</f>
        <v>4.6412411118293528</v>
      </c>
      <c r="AE70" s="685"/>
      <c r="AF70" s="703">
        <f>+H70/AD70*100</f>
        <v>41.572492535181979</v>
      </c>
      <c r="AG70" s="668"/>
      <c r="AH70" s="666"/>
      <c r="AI70" s="675">
        <f>+S70</f>
        <v>462.03800000000001</v>
      </c>
      <c r="AJ70" s="666"/>
      <c r="AK70" s="714">
        <f>AI70/AB70</f>
        <v>91.334420558438353</v>
      </c>
      <c r="AL70" s="666"/>
      <c r="AM70" s="730">
        <f>(AK70/AK63-1)*100</f>
        <v>5.0536848060452444</v>
      </c>
      <c r="AN70" s="685"/>
      <c r="AO70" s="666"/>
    </row>
    <row r="71" spans="1:41" hidden="1" outlineLevel="1">
      <c r="A71" s="666" t="str">
        <f>$A$29</f>
        <v>4Q</v>
      </c>
      <c r="B71" s="684" t="str">
        <f>$B$29</f>
        <v>Jan</v>
      </c>
      <c r="C71" s="666"/>
      <c r="D71" s="715">
        <f>(S71/S64-1)*100</f>
        <v>3.5723747681817963</v>
      </c>
      <c r="E71" s="700"/>
      <c r="F71" s="717">
        <v>-4</v>
      </c>
      <c r="G71" s="700"/>
      <c r="H71" s="715">
        <f>D71-F71</f>
        <v>7.5723747681817963</v>
      </c>
      <c r="I71" s="667"/>
      <c r="J71" s="705">
        <f>+'store&amp;sf'!J80</f>
        <v>958</v>
      </c>
      <c r="K71" s="724"/>
      <c r="L71" s="716">
        <f>AVERAGE(J71,J70)</f>
        <v>942.5</v>
      </c>
      <c r="M71" s="667"/>
      <c r="N71" s="715">
        <f>(L71/L64-1)*100</f>
        <v>5.7206954570947932</v>
      </c>
      <c r="O71" s="704"/>
      <c r="P71" s="717">
        <f>H71/N71*100</f>
        <v>132.3680805065502</v>
      </c>
      <c r="Q71" s="702"/>
      <c r="R71" s="667"/>
      <c r="S71" s="718">
        <f>+'segSales&amp;OM'!E69</f>
        <v>828.78200000000004</v>
      </c>
      <c r="T71" s="667"/>
      <c r="U71" s="719">
        <f>S71/L71</f>
        <v>0.87934429708222817</v>
      </c>
      <c r="V71" s="666"/>
      <c r="W71" s="720">
        <f>(U71/U64-1)*100</f>
        <v>-2.0320720362503208</v>
      </c>
      <c r="X71" s="685"/>
      <c r="Y71" s="666"/>
      <c r="Z71" s="678">
        <f>+'store&amp;sf'!J444</f>
        <v>5.2587499999999991</v>
      </c>
      <c r="AA71" s="671"/>
      <c r="AB71" s="721">
        <f>AVERAGE(Z71,Z70)</f>
        <v>5.1887499999999989</v>
      </c>
      <c r="AC71" s="666"/>
      <c r="AD71" s="715">
        <f>(AB71/AB64-1)*100</f>
        <v>5.0753069231742609</v>
      </c>
      <c r="AE71" s="685"/>
      <c r="AF71" s="717">
        <f>+H71/AD71*100</f>
        <v>149.2003317790639</v>
      </c>
      <c r="AG71" s="668"/>
      <c r="AH71" s="666"/>
      <c r="AI71" s="722">
        <f>+S71</f>
        <v>828.78200000000004</v>
      </c>
      <c r="AJ71" s="666"/>
      <c r="AK71" s="723">
        <f>AI71/AB71</f>
        <v>159.72671645386657</v>
      </c>
      <c r="AL71" s="666"/>
      <c r="AM71" s="720">
        <f>(AK71/AK64-1)*100</f>
        <v>-1.4303381060702836</v>
      </c>
      <c r="AN71" s="685"/>
      <c r="AO71" s="666"/>
    </row>
    <row r="72" spans="1:41" hidden="1" outlineLevel="1">
      <c r="A72" s="666"/>
      <c r="B72" s="684" t="str">
        <f>$B$30</f>
        <v>Year</v>
      </c>
      <c r="C72" s="666"/>
      <c r="D72" s="700">
        <f>(S72/S65-1)*100</f>
        <v>10.200856350037668</v>
      </c>
      <c r="E72" s="700"/>
      <c r="F72" s="703">
        <v>5</v>
      </c>
      <c r="G72" s="700"/>
      <c r="H72" s="700">
        <f>D72-F72</f>
        <v>5.2008563500376681</v>
      </c>
      <c r="I72" s="667"/>
      <c r="J72" s="667"/>
      <c r="K72" s="667"/>
      <c r="L72" s="725">
        <f>AVERAGE(L68:L71)</f>
        <v>912.5</v>
      </c>
      <c r="M72" s="667"/>
      <c r="N72" s="700">
        <f>(L72/L65-1)*100</f>
        <v>5.567606652205348</v>
      </c>
      <c r="O72" s="704"/>
      <c r="P72" s="703">
        <f>H72/N72*100</f>
        <v>93.412783533793487</v>
      </c>
      <c r="Q72" s="702"/>
      <c r="R72" s="667"/>
      <c r="S72" s="726">
        <f>SUM(S68:S71)</f>
        <v>2338.752</v>
      </c>
      <c r="T72" s="667"/>
      <c r="U72" s="707">
        <f>SUM(U68:U71)</f>
        <v>2.5533922205492874</v>
      </c>
      <c r="V72" s="666"/>
      <c r="W72" s="730">
        <f>(U72/U65-1)*100</f>
        <v>4.4865864419994406</v>
      </c>
      <c r="X72" s="685"/>
      <c r="Y72" s="666"/>
      <c r="Z72" s="676"/>
      <c r="AA72" s="666"/>
      <c r="AB72" s="710">
        <f>AVERAGE(AB68:AB71)</f>
        <v>5.0485937499999993</v>
      </c>
      <c r="AC72" s="666"/>
      <c r="AD72" s="700">
        <f>(AB72/AB65-1)*100</f>
        <v>5.3298995957751893</v>
      </c>
      <c r="AE72" s="685"/>
      <c r="AF72" s="703">
        <f>+H72/AD72*100</f>
        <v>97.578880363153388</v>
      </c>
      <c r="AG72" s="668"/>
      <c r="AH72" s="666"/>
      <c r="AI72" s="673">
        <f>SUM(AI68:AI71)</f>
        <v>2338.752</v>
      </c>
      <c r="AJ72" s="666"/>
      <c r="AK72" s="711">
        <f>SUM(AK68:AK71)</f>
        <v>461.75090004036389</v>
      </c>
      <c r="AL72" s="666"/>
      <c r="AM72" s="730">
        <f>(AK72/AK65-1)*100</f>
        <v>4.7612569787363279</v>
      </c>
      <c r="AN72" s="685"/>
      <c r="AO72" s="666"/>
    </row>
    <row r="73" spans="1:41" hidden="1" outlineLevel="1">
      <c r="A73" s="666"/>
      <c r="B73" s="684"/>
      <c r="C73" s="666"/>
      <c r="D73" s="700"/>
      <c r="E73" s="700"/>
      <c r="F73" s="703"/>
      <c r="G73" s="700"/>
      <c r="H73" s="700"/>
      <c r="I73" s="667"/>
      <c r="J73" s="667"/>
      <c r="K73" s="667"/>
      <c r="L73" s="667"/>
      <c r="M73" s="667"/>
      <c r="N73" s="667"/>
      <c r="O73" s="704"/>
      <c r="P73" s="702"/>
      <c r="Q73" s="702"/>
      <c r="R73" s="667"/>
      <c r="S73" s="667"/>
      <c r="T73" s="667"/>
      <c r="U73" s="667"/>
      <c r="V73" s="666"/>
      <c r="W73" s="666"/>
      <c r="X73" s="685"/>
      <c r="Y73" s="666"/>
      <c r="Z73" s="676"/>
      <c r="AA73" s="666"/>
      <c r="AB73" s="679"/>
      <c r="AC73" s="666"/>
      <c r="AD73" s="667"/>
      <c r="AE73" s="685"/>
      <c r="AF73" s="703"/>
      <c r="AG73" s="668"/>
      <c r="AH73" s="666"/>
      <c r="AI73" s="666"/>
      <c r="AJ73" s="666"/>
      <c r="AK73" s="666"/>
      <c r="AL73" s="666"/>
      <c r="AM73" s="666"/>
      <c r="AN73" s="666"/>
      <c r="AO73" s="666"/>
    </row>
    <row r="74" spans="1:41" hidden="1" outlineLevel="1">
      <c r="A74" s="698"/>
      <c r="B74" s="728">
        <f>B67+1</f>
        <v>2001</v>
      </c>
      <c r="C74" s="666"/>
      <c r="D74" s="700"/>
      <c r="E74" s="701"/>
      <c r="F74" s="703"/>
      <c r="G74" s="701"/>
      <c r="H74" s="700"/>
      <c r="I74" s="704"/>
      <c r="J74" s="667"/>
      <c r="K74" s="667"/>
      <c r="L74" s="667"/>
      <c r="M74" s="667"/>
      <c r="N74" s="667"/>
      <c r="O74" s="704"/>
      <c r="P74" s="702"/>
      <c r="Q74" s="702"/>
      <c r="R74" s="667"/>
      <c r="S74" s="667"/>
      <c r="T74" s="667"/>
      <c r="U74" s="667"/>
      <c r="V74" s="666"/>
      <c r="W74" s="666"/>
      <c r="X74" s="685"/>
      <c r="Y74" s="666"/>
      <c r="Z74" s="676"/>
      <c r="AA74" s="666"/>
      <c r="AB74" s="679"/>
      <c r="AC74" s="666"/>
      <c r="AD74" s="667"/>
      <c r="AE74" s="685"/>
      <c r="AF74" s="703"/>
      <c r="AG74" s="668"/>
      <c r="AH74" s="666"/>
      <c r="AI74" s="666"/>
      <c r="AJ74" s="666"/>
      <c r="AK74" s="666"/>
      <c r="AL74" s="666"/>
      <c r="AM74" s="666"/>
      <c r="AN74" s="685"/>
      <c r="AO74" s="666"/>
    </row>
    <row r="75" spans="1:41" hidden="1" outlineLevel="1">
      <c r="A75" s="666" t="str">
        <f>$A$26</f>
        <v>1Q</v>
      </c>
      <c r="B75" s="684" t="str">
        <f>$B$26</f>
        <v>Apr</v>
      </c>
      <c r="C75" s="666"/>
      <c r="D75" s="700">
        <f>(S75/S68-1)*100</f>
        <v>-3.2169358711046758</v>
      </c>
      <c r="E75" s="701" t="s">
        <v>1084</v>
      </c>
      <c r="F75" s="703">
        <v>-7</v>
      </c>
      <c r="G75" s="701" t="s">
        <v>1084</v>
      </c>
      <c r="H75" s="700">
        <f>D75-F75</f>
        <v>3.7830641288953242</v>
      </c>
      <c r="I75" s="704" t="s">
        <v>1084</v>
      </c>
      <c r="J75" s="705">
        <f>+'store&amp;sf'!J83</f>
        <v>966</v>
      </c>
      <c r="K75" s="667"/>
      <c r="L75" s="706">
        <f>AVERAGE(J75,J71)</f>
        <v>962</v>
      </c>
      <c r="M75" s="667"/>
      <c r="N75" s="700">
        <f>(L75/L68-1)*100</f>
        <v>7.4860335195530814</v>
      </c>
      <c r="O75" s="704" t="s">
        <v>1084</v>
      </c>
      <c r="P75" s="703">
        <f>H75/N75*100</f>
        <v>50.534961124795686</v>
      </c>
      <c r="Q75" s="702" t="s">
        <v>1084</v>
      </c>
      <c r="R75" s="667"/>
      <c r="S75" s="726">
        <f>+'segSales&amp;OM'!E73</f>
        <v>479.71300000000002</v>
      </c>
      <c r="T75" s="667"/>
      <c r="U75" s="707">
        <f>S75/L75</f>
        <v>0.49866216216216219</v>
      </c>
      <c r="V75" s="666"/>
      <c r="W75" s="730">
        <f>(U75/U68-1)*100</f>
        <v>-9.9575442875661899</v>
      </c>
      <c r="X75" s="685" t="s">
        <v>1084</v>
      </c>
      <c r="Y75" s="666"/>
      <c r="Z75" s="678">
        <f>+'store&amp;sf'!J447</f>
        <v>5.2837499999999995</v>
      </c>
      <c r="AA75" s="666"/>
      <c r="AB75" s="710">
        <f>AVERAGE(Z75,Z71)</f>
        <v>5.2712499999999993</v>
      </c>
      <c r="AC75" s="666"/>
      <c r="AD75" s="700">
        <f>(AB75/AB68-1)*100</f>
        <v>6.1414548200352304</v>
      </c>
      <c r="AE75" s="685" t="s">
        <v>1084</v>
      </c>
      <c r="AF75" s="703">
        <f>+H75/AD75*100</f>
        <v>61.598826984021073</v>
      </c>
      <c r="AG75" s="668" t="s">
        <v>1084</v>
      </c>
      <c r="AH75" s="666"/>
      <c r="AI75" s="673">
        <f>+S75</f>
        <v>479.71300000000002</v>
      </c>
      <c r="AJ75" s="666"/>
      <c r="AK75" s="711">
        <f>AI75/AB75</f>
        <v>91.005548968461014</v>
      </c>
      <c r="AL75" s="666"/>
      <c r="AM75" s="730">
        <f>(AK75/AK68-1)*100</f>
        <v>-8.8169044856293173</v>
      </c>
      <c r="AN75" s="685" t="s">
        <v>1084</v>
      </c>
      <c r="AO75" s="666"/>
    </row>
    <row r="76" spans="1:41" hidden="1" outlineLevel="1">
      <c r="A76" s="666" t="str">
        <f>$A$27</f>
        <v>2Q</v>
      </c>
      <c r="B76" s="684" t="str">
        <f>$B$27</f>
        <v>Jul</v>
      </c>
      <c r="C76" s="666"/>
      <c r="D76" s="700">
        <f>(S76/S69-1)*100</f>
        <v>1.933098425781421</v>
      </c>
      <c r="E76" s="700"/>
      <c r="F76" s="703">
        <v>-3</v>
      </c>
      <c r="G76" s="700"/>
      <c r="H76" s="700">
        <f>D76-F76</f>
        <v>4.933098425781421</v>
      </c>
      <c r="I76" s="667"/>
      <c r="J76" s="705">
        <f>+'store&amp;sf'!J84</f>
        <v>982</v>
      </c>
      <c r="K76" s="724"/>
      <c r="L76" s="706">
        <f>AVERAGE(J76,J75)</f>
        <v>974</v>
      </c>
      <c r="M76" s="667"/>
      <c r="N76" s="700">
        <f>(L76/L69-1)*100</f>
        <v>8.4632516703786251</v>
      </c>
      <c r="O76" s="704"/>
      <c r="P76" s="703">
        <f>H76/N76*100</f>
        <v>58.288452451996221</v>
      </c>
      <c r="Q76" s="702"/>
      <c r="R76" s="667"/>
      <c r="S76" s="712">
        <f>+'segSales&amp;OM'!E74</f>
        <v>562.95000000000005</v>
      </c>
      <c r="T76" s="667"/>
      <c r="U76" s="713">
        <f>S76/L76</f>
        <v>0.57797741273100622</v>
      </c>
      <c r="V76" s="666"/>
      <c r="W76" s="730">
        <f>(U76/U69-1)*100</f>
        <v>-6.0206135663740223</v>
      </c>
      <c r="X76" s="685"/>
      <c r="Y76" s="666"/>
      <c r="Z76" s="678">
        <f>+'store&amp;sf'!J448</f>
        <v>5.39</v>
      </c>
      <c r="AA76" s="724"/>
      <c r="AB76" s="710">
        <f>AVERAGE(Z76,Z75)</f>
        <v>5.3368749999999991</v>
      </c>
      <c r="AC76" s="666"/>
      <c r="AD76" s="700">
        <f>(AB76/AB69-1)*100</f>
        <v>7.1527167775128575</v>
      </c>
      <c r="AE76" s="685"/>
      <c r="AF76" s="703">
        <f>+H76/AD76*100</f>
        <v>68.968177815881006</v>
      </c>
      <c r="AG76" s="668"/>
      <c r="AH76" s="666"/>
      <c r="AI76" s="675">
        <f>+S76</f>
        <v>562.95000000000005</v>
      </c>
      <c r="AJ76" s="666"/>
      <c r="AK76" s="714">
        <f>AI76/AB76</f>
        <v>105.48307764375222</v>
      </c>
      <c r="AL76" s="666"/>
      <c r="AM76" s="730">
        <f>(AK76/AK69-1)*100</f>
        <v>-4.8711955316720683</v>
      </c>
      <c r="AN76" s="685"/>
      <c r="AO76" s="666"/>
    </row>
    <row r="77" spans="1:41" hidden="1" outlineLevel="1">
      <c r="A77" s="666" t="str">
        <f>$A$28</f>
        <v>3Q</v>
      </c>
      <c r="B77" s="684" t="str">
        <f>$B$28</f>
        <v>Oct</v>
      </c>
      <c r="C77" s="666"/>
      <c r="D77" s="700">
        <f>(S77/S70-1)*100</f>
        <v>-1.082162073249382</v>
      </c>
      <c r="E77" s="700"/>
      <c r="F77" s="703">
        <v>-5</v>
      </c>
      <c r="G77" s="700"/>
      <c r="H77" s="700">
        <f>D77-F77</f>
        <v>3.917837926750618</v>
      </c>
      <c r="I77" s="667"/>
      <c r="J77" s="705">
        <f>+'store&amp;sf'!J85</f>
        <v>1003</v>
      </c>
      <c r="K77" s="724"/>
      <c r="L77" s="706">
        <f>AVERAGE(J77,J76)</f>
        <v>992.5</v>
      </c>
      <c r="M77" s="667"/>
      <c r="N77" s="700">
        <f>(L77/L70-1)*100</f>
        <v>8.5292509568069885</v>
      </c>
      <c r="O77" s="704"/>
      <c r="P77" s="703">
        <f>H77/N77*100</f>
        <v>45.934138256582621</v>
      </c>
      <c r="Q77" s="702"/>
      <c r="R77" s="667"/>
      <c r="S77" s="712">
        <f>+'segSales&amp;OM'!E75</f>
        <v>457.03800000000001</v>
      </c>
      <c r="T77" s="667"/>
      <c r="U77" s="713">
        <f>S77/L77</f>
        <v>0.46049168765743076</v>
      </c>
      <c r="V77" s="666"/>
      <c r="W77" s="730">
        <f>(U77/U70-1)*100</f>
        <v>-8.8560576483491804</v>
      </c>
      <c r="X77" s="685"/>
      <c r="Y77" s="666"/>
      <c r="Z77" s="678">
        <f>+'store&amp;sf'!J449</f>
        <v>5.5462499999999997</v>
      </c>
      <c r="AA77" s="724"/>
      <c r="AB77" s="710">
        <f>AVERAGE(Z77,Z76)</f>
        <v>5.4681249999999997</v>
      </c>
      <c r="AC77" s="666"/>
      <c r="AD77" s="700">
        <f>(AB77/AB70-1)*100</f>
        <v>8.0924141339263613</v>
      </c>
      <c r="AE77" s="685"/>
      <c r="AF77" s="703">
        <f>+H77/AD77*100</f>
        <v>48.413710197129035</v>
      </c>
      <c r="AG77" s="668"/>
      <c r="AH77" s="666"/>
      <c r="AI77" s="675">
        <f>+S77</f>
        <v>457.03800000000001</v>
      </c>
      <c r="AJ77" s="666"/>
      <c r="AK77" s="714">
        <f>AI77/AB77</f>
        <v>83.582215110298321</v>
      </c>
      <c r="AL77" s="666"/>
      <c r="AM77" s="730">
        <f>(AK77/AK70-1)*100</f>
        <v>-8.4877151469745726</v>
      </c>
      <c r="AN77" s="685"/>
      <c r="AO77" s="666"/>
    </row>
    <row r="78" spans="1:41" hidden="1" outlineLevel="1">
      <c r="A78" s="666" t="str">
        <f>$A$29</f>
        <v>4Q</v>
      </c>
      <c r="B78" s="684" t="str">
        <f>$B$29</f>
        <v>Jan</v>
      </c>
      <c r="C78" s="666"/>
      <c r="D78" s="715">
        <f>(S78/S71-1)*100</f>
        <v>8.9979029467338822</v>
      </c>
      <c r="E78" s="700"/>
      <c r="F78" s="717">
        <v>10</v>
      </c>
      <c r="G78" s="700"/>
      <c r="H78" s="715">
        <f>D78-F78</f>
        <v>-1.0020970532661178</v>
      </c>
      <c r="I78" s="667"/>
      <c r="J78" s="705">
        <f>+'store&amp;sf'!J86</f>
        <v>1002</v>
      </c>
      <c r="K78" s="724"/>
      <c r="L78" s="716">
        <f>AVERAGE(J78,J77)</f>
        <v>1002.5</v>
      </c>
      <c r="M78" s="667"/>
      <c r="N78" s="715">
        <f>(L78/L71-1)*100</f>
        <v>6.3660477453580944</v>
      </c>
      <c r="O78" s="704"/>
      <c r="P78" s="717">
        <f>H78/N78*100</f>
        <v>-15.741274545055257</v>
      </c>
      <c r="Q78" s="702"/>
      <c r="R78" s="667"/>
      <c r="S78" s="718">
        <f>+'segSales&amp;OM'!E76</f>
        <v>903.35500000000002</v>
      </c>
      <c r="T78" s="667"/>
      <c r="U78" s="719">
        <f>S78/L78</f>
        <v>0.90110224438902742</v>
      </c>
      <c r="V78" s="666"/>
      <c r="W78" s="720">
        <f>(U78/U71-1)*100</f>
        <v>2.4743376830889563</v>
      </c>
      <c r="X78" s="685"/>
      <c r="Y78" s="666"/>
      <c r="Z78" s="678">
        <f>+'store&amp;sf'!J450</f>
        <v>5.5724999999999998</v>
      </c>
      <c r="AA78" s="671"/>
      <c r="AB78" s="721">
        <f>AVERAGE(Z78,Z77)</f>
        <v>5.5593749999999993</v>
      </c>
      <c r="AC78" s="666"/>
      <c r="AD78" s="715">
        <f>(AB78/AB71-1)*100</f>
        <v>7.1428571428571619</v>
      </c>
      <c r="AE78" s="685"/>
      <c r="AF78" s="717">
        <f>+H78/AD78*100</f>
        <v>-14.029358745725611</v>
      </c>
      <c r="AG78" s="668"/>
      <c r="AH78" s="666"/>
      <c r="AI78" s="722">
        <f>+S78</f>
        <v>903.35500000000002</v>
      </c>
      <c r="AJ78" s="666"/>
      <c r="AK78" s="723">
        <f>AI78/AB78</f>
        <v>162.49218662169761</v>
      </c>
      <c r="AL78" s="666"/>
      <c r="AM78" s="720">
        <f>(AK78/AK71-1)*100</f>
        <v>1.7313760836182857</v>
      </c>
      <c r="AN78" s="685"/>
      <c r="AO78" s="666"/>
    </row>
    <row r="79" spans="1:41" hidden="1" outlineLevel="1">
      <c r="A79" s="666"/>
      <c r="B79" s="684" t="str">
        <f>$B$30</f>
        <v>Year</v>
      </c>
      <c r="C79" s="666"/>
      <c r="D79" s="700">
        <f>(S79/S72-1)*100</f>
        <v>2.7495005883479751</v>
      </c>
      <c r="E79" s="700"/>
      <c r="F79" s="703">
        <v>0</v>
      </c>
      <c r="G79" s="700"/>
      <c r="H79" s="700">
        <f>D79-F79</f>
        <v>2.7495005883479751</v>
      </c>
      <c r="I79" s="667"/>
      <c r="J79" s="667"/>
      <c r="K79" s="667"/>
      <c r="L79" s="725">
        <f>AVERAGE(L75:L78)</f>
        <v>982.75</v>
      </c>
      <c r="M79" s="667"/>
      <c r="N79" s="700">
        <f>(L79/L72-1)*100</f>
        <v>7.6986301369863064</v>
      </c>
      <c r="O79" s="704"/>
      <c r="P79" s="703">
        <f>H79/N79*100</f>
        <v>35.714153549715668</v>
      </c>
      <c r="Q79" s="702"/>
      <c r="R79" s="667"/>
      <c r="S79" s="726">
        <f>SUM(S75:S78)</f>
        <v>2403.056</v>
      </c>
      <c r="T79" s="667"/>
      <c r="U79" s="707">
        <f>SUM(U75:U78)</f>
        <v>2.4382335069396266</v>
      </c>
      <c r="V79" s="666"/>
      <c r="W79" s="730">
        <f>(U79/U72-1)*100</f>
        <v>-4.5100283725657997</v>
      </c>
      <c r="X79" s="685"/>
      <c r="Y79" s="666"/>
      <c r="Z79" s="676"/>
      <c r="AA79" s="666"/>
      <c r="AB79" s="710">
        <f>AVERAGE(AB75:AB78)</f>
        <v>5.4089062499999994</v>
      </c>
      <c r="AC79" s="666"/>
      <c r="AD79" s="700">
        <f>(AB79/AB72-1)*100</f>
        <v>7.1368883661910854</v>
      </c>
      <c r="AE79" s="685"/>
      <c r="AF79" s="703">
        <f>+H79/AD79*100</f>
        <v>38.525201001782897</v>
      </c>
      <c r="AG79" s="668"/>
      <c r="AH79" s="666"/>
      <c r="AI79" s="673">
        <f>SUM(AI75:AI78)</f>
        <v>2403.056</v>
      </c>
      <c r="AJ79" s="666"/>
      <c r="AK79" s="711">
        <f>SUM(AK75:AK78)</f>
        <v>442.56302834420916</v>
      </c>
      <c r="AL79" s="666"/>
      <c r="AM79" s="730">
        <f>(AK79/AK72-1)*100</f>
        <v>-4.155459511714521</v>
      </c>
      <c r="AN79" s="685"/>
      <c r="AO79" s="666"/>
    </row>
    <row r="80" spans="1:41" hidden="1" outlineLevel="1">
      <c r="A80" s="666"/>
      <c r="B80" s="684"/>
      <c r="C80" s="666"/>
      <c r="D80" s="700"/>
      <c r="E80" s="700"/>
      <c r="F80" s="703"/>
      <c r="G80" s="700"/>
      <c r="H80" s="700"/>
      <c r="I80" s="667"/>
      <c r="J80" s="667"/>
      <c r="K80" s="667"/>
      <c r="L80" s="667"/>
      <c r="M80" s="667"/>
      <c r="N80" s="667"/>
      <c r="O80" s="704"/>
      <c r="P80" s="667"/>
      <c r="Q80" s="667"/>
      <c r="R80" s="667"/>
      <c r="S80" s="667"/>
      <c r="T80" s="667"/>
      <c r="U80" s="667"/>
      <c r="V80" s="666"/>
      <c r="W80" s="666"/>
      <c r="X80" s="666"/>
      <c r="Y80" s="666"/>
      <c r="Z80" s="676"/>
      <c r="AA80" s="666"/>
      <c r="AB80" s="679"/>
      <c r="AC80" s="666"/>
      <c r="AD80" s="667"/>
      <c r="AE80" s="685"/>
      <c r="AF80" s="703"/>
      <c r="AG80" s="666"/>
      <c r="AH80" s="666"/>
      <c r="AI80" s="666"/>
      <c r="AJ80" s="666"/>
      <c r="AK80" s="666"/>
      <c r="AL80" s="666"/>
      <c r="AM80" s="666"/>
      <c r="AN80" s="666"/>
      <c r="AO80" s="666"/>
    </row>
    <row r="81" spans="1:41" hidden="1" outlineLevel="1">
      <c r="A81" s="698"/>
      <c r="B81" s="728">
        <f>B74+1</f>
        <v>2002</v>
      </c>
      <c r="C81" s="666"/>
      <c r="D81" s="700"/>
      <c r="E81" s="701"/>
      <c r="F81" s="703"/>
      <c r="G81" s="701"/>
      <c r="H81" s="700"/>
      <c r="I81" s="704"/>
      <c r="J81" s="667"/>
      <c r="K81" s="667"/>
      <c r="L81" s="667"/>
      <c r="M81" s="667"/>
      <c r="N81" s="667"/>
      <c r="O81" s="704"/>
      <c r="P81" s="702"/>
      <c r="Q81" s="702"/>
      <c r="R81" s="667"/>
      <c r="S81" s="667"/>
      <c r="T81" s="667"/>
      <c r="U81" s="667"/>
      <c r="V81" s="666"/>
      <c r="W81" s="666"/>
      <c r="X81" s="685"/>
      <c r="Y81" s="666"/>
      <c r="Z81" s="676"/>
      <c r="AA81" s="666"/>
      <c r="AB81" s="679"/>
      <c r="AC81" s="666"/>
      <c r="AD81" s="667"/>
      <c r="AE81" s="685"/>
      <c r="AF81" s="703"/>
      <c r="AG81" s="668"/>
      <c r="AH81" s="666"/>
      <c r="AI81" s="666"/>
      <c r="AJ81" s="666"/>
      <c r="AK81" s="666"/>
      <c r="AL81" s="666"/>
      <c r="AM81" s="666"/>
      <c r="AN81" s="685"/>
      <c r="AO81" s="666"/>
    </row>
    <row r="82" spans="1:41" hidden="1" outlineLevel="1">
      <c r="A82" s="666" t="str">
        <f>$A$26</f>
        <v>1Q</v>
      </c>
      <c r="B82" s="684" t="str">
        <f>$B$26</f>
        <v>Apr</v>
      </c>
      <c r="C82" s="666"/>
      <c r="D82" s="700">
        <f>(S82/S75-1)*100</f>
        <v>11.789757625913811</v>
      </c>
      <c r="E82" s="701" t="s">
        <v>1084</v>
      </c>
      <c r="F82" s="703">
        <v>8</v>
      </c>
      <c r="G82" s="701" t="s">
        <v>1084</v>
      </c>
      <c r="H82" s="700">
        <f>D82-F82</f>
        <v>3.7897576259138113</v>
      </c>
      <c r="I82" s="704" t="s">
        <v>1084</v>
      </c>
      <c r="J82" s="705">
        <f>+'store&amp;sf'!J89</f>
        <v>1006</v>
      </c>
      <c r="K82" s="667"/>
      <c r="L82" s="706">
        <f>AVERAGE(J82,J78)</f>
        <v>1004</v>
      </c>
      <c r="M82" s="667"/>
      <c r="N82" s="700">
        <f>(L82/L75-1)*100</f>
        <v>4.3659043659043606</v>
      </c>
      <c r="O82" s="704" t="s">
        <v>1084</v>
      </c>
      <c r="P82" s="703">
        <f>H82/N82*100</f>
        <v>86.803496098311683</v>
      </c>
      <c r="Q82" s="702" t="s">
        <v>1084</v>
      </c>
      <c r="R82" s="667"/>
      <c r="S82" s="726">
        <f>+'segSales&amp;OM'!E80</f>
        <v>536.27</v>
      </c>
      <c r="T82" s="667"/>
      <c r="U82" s="707">
        <f>S82/L82</f>
        <v>0.5341334661354582</v>
      </c>
      <c r="V82" s="666"/>
      <c r="W82" s="730">
        <f>(U82/U75-1)*100</f>
        <v>7.1132936614831666</v>
      </c>
      <c r="X82" s="685" t="s">
        <v>1084</v>
      </c>
      <c r="Y82" s="666"/>
      <c r="Z82" s="678">
        <f>+'store&amp;sf'!J453</f>
        <v>5.6012499999999994</v>
      </c>
      <c r="AA82" s="666"/>
      <c r="AB82" s="710">
        <f>AVERAGE(Z82,Z78)</f>
        <v>5.5868749999999991</v>
      </c>
      <c r="AC82" s="666"/>
      <c r="AD82" s="700">
        <f>(AB82/AB75-1)*100</f>
        <v>5.9876689589755783</v>
      </c>
      <c r="AE82" s="685" t="s">
        <v>1084</v>
      </c>
      <c r="AF82" s="703">
        <f>+H82/AD82*100</f>
        <v>63.2927045880338</v>
      </c>
      <c r="AG82" s="668" t="s">
        <v>1084</v>
      </c>
      <c r="AH82" s="666"/>
      <c r="AI82" s="673">
        <f>+S82</f>
        <v>536.27</v>
      </c>
      <c r="AJ82" s="666"/>
      <c r="AK82" s="711">
        <f>AI82/AB82</f>
        <v>95.987470634299143</v>
      </c>
      <c r="AL82" s="666"/>
      <c r="AM82" s="730">
        <f>(AK82/AK75-1)*100</f>
        <v>5.4743053828120614</v>
      </c>
      <c r="AN82" s="685" t="s">
        <v>1084</v>
      </c>
      <c r="AO82" s="666"/>
    </row>
    <row r="83" spans="1:41" hidden="1" outlineLevel="1">
      <c r="A83" s="666" t="str">
        <f>$A$27</f>
        <v>2Q</v>
      </c>
      <c r="B83" s="684" t="str">
        <f>$B$27</f>
        <v>Jul</v>
      </c>
      <c r="C83" s="666"/>
      <c r="D83" s="700">
        <f>(S83/S76-1)*100</f>
        <v>9.2926547650768363</v>
      </c>
      <c r="E83" s="700"/>
      <c r="F83" s="703">
        <v>5</v>
      </c>
      <c r="G83" s="700"/>
      <c r="H83" s="700">
        <f>D83-F83</f>
        <v>4.2926547650768363</v>
      </c>
      <c r="I83" s="667"/>
      <c r="J83" s="705">
        <f>+'store&amp;sf'!J90</f>
        <v>1009</v>
      </c>
      <c r="K83" s="724"/>
      <c r="L83" s="706">
        <f>AVERAGE(J83,J82)</f>
        <v>1007.5</v>
      </c>
      <c r="M83" s="667"/>
      <c r="N83" s="700">
        <f>(L83/L76-1)*100</f>
        <v>3.4394250513346991</v>
      </c>
      <c r="O83" s="704"/>
      <c r="P83" s="703">
        <f>H83/N83*100</f>
        <v>124.80733555775649</v>
      </c>
      <c r="Q83" s="702"/>
      <c r="R83" s="667"/>
      <c r="S83" s="712">
        <f>+'segSales&amp;OM'!E81</f>
        <v>615.26300000000003</v>
      </c>
      <c r="T83" s="667"/>
      <c r="U83" s="713">
        <f>S83/L83</f>
        <v>0.61068287841191071</v>
      </c>
      <c r="V83" s="666"/>
      <c r="W83" s="730">
        <f>(U83/U76-1)*100</f>
        <v>5.6586061947244026</v>
      </c>
      <c r="X83" s="685"/>
      <c r="Y83" s="666"/>
      <c r="Z83" s="678">
        <f>+'store&amp;sf'!J454</f>
        <v>5.6712499999999997</v>
      </c>
      <c r="AA83" s="724"/>
      <c r="AB83" s="710">
        <f>AVERAGE(Z83,Z82)</f>
        <v>5.6362499999999995</v>
      </c>
      <c r="AC83" s="666"/>
      <c r="AD83" s="700">
        <f>(AB83/AB76-1)*100</f>
        <v>5.6095561541164241</v>
      </c>
      <c r="AE83" s="685"/>
      <c r="AF83" s="703">
        <f>+H83/AD83*100</f>
        <v>76.523964590795387</v>
      </c>
      <c r="AG83" s="668"/>
      <c r="AH83" s="666"/>
      <c r="AI83" s="675">
        <f>+S83</f>
        <v>615.26300000000003</v>
      </c>
      <c r="AJ83" s="666"/>
      <c r="AK83" s="714">
        <f>AI83/AB83</f>
        <v>109.16176535817256</v>
      </c>
      <c r="AL83" s="666"/>
      <c r="AM83" s="730">
        <f>(AK83/AK76-1)*100</f>
        <v>3.4874671810812607</v>
      </c>
      <c r="AN83" s="685"/>
      <c r="AO83" s="666"/>
    </row>
    <row r="84" spans="1:41" hidden="1" outlineLevel="1">
      <c r="A84" s="666" t="str">
        <f>$A$28</f>
        <v>3Q</v>
      </c>
      <c r="B84" s="684" t="str">
        <f>$B$28</f>
        <v>Oct</v>
      </c>
      <c r="C84" s="666"/>
      <c r="D84" s="700">
        <f>(S84/S77-1)*100</f>
        <v>12.703320074041979</v>
      </c>
      <c r="E84" s="700"/>
      <c r="F84" s="703">
        <v>8</v>
      </c>
      <c r="G84" s="700"/>
      <c r="H84" s="700">
        <f>D84-F84</f>
        <v>4.7033200740419794</v>
      </c>
      <c r="I84" s="667"/>
      <c r="J84" s="705">
        <f>+'store&amp;sf'!J91</f>
        <v>1018</v>
      </c>
      <c r="K84" s="724"/>
      <c r="L84" s="706">
        <f>AVERAGE(J84,J83)</f>
        <v>1013.5</v>
      </c>
      <c r="M84" s="667"/>
      <c r="N84" s="700">
        <f>(L84/L77-1)*100</f>
        <v>2.1158690176322326</v>
      </c>
      <c r="O84" s="704"/>
      <c r="P84" s="703">
        <f>H84/N84*100</f>
        <v>222.28786540412787</v>
      </c>
      <c r="Q84" s="702"/>
      <c r="R84" s="667"/>
      <c r="S84" s="712">
        <f>+'segSales&amp;OM'!E82</f>
        <v>515.09699999999998</v>
      </c>
      <c r="T84" s="667"/>
      <c r="U84" s="713">
        <f>S84/L84</f>
        <v>0.508235816477553</v>
      </c>
      <c r="V84" s="666"/>
      <c r="W84" s="730">
        <f>(U84/U77-1)*100</f>
        <v>10.36807614552211</v>
      </c>
      <c r="X84" s="685"/>
      <c r="Y84" s="666"/>
      <c r="Z84" s="678">
        <f>+'store&amp;sf'!J455</f>
        <v>5.8074999999999992</v>
      </c>
      <c r="AA84" s="724"/>
      <c r="AB84" s="710">
        <f>AVERAGE(Z84,Z83)</f>
        <v>5.739374999999999</v>
      </c>
      <c r="AC84" s="666"/>
      <c r="AD84" s="700">
        <f>(AB84/AB77-1)*100</f>
        <v>4.9605669219339177</v>
      </c>
      <c r="AE84" s="685"/>
      <c r="AF84" s="703">
        <f>+H84/AD84*100</f>
        <v>94.814164349754435</v>
      </c>
      <c r="AG84" s="668"/>
      <c r="AH84" s="666"/>
      <c r="AI84" s="675">
        <f>+S84</f>
        <v>515.09699999999998</v>
      </c>
      <c r="AJ84" s="666"/>
      <c r="AK84" s="714">
        <f>AI84/AB84</f>
        <v>89.747925514537741</v>
      </c>
      <c r="AL84" s="666"/>
      <c r="AM84" s="730">
        <f>(AK84/AK77-1)*100</f>
        <v>7.3768210092337361</v>
      </c>
      <c r="AN84" s="685"/>
      <c r="AO84" s="666"/>
    </row>
    <row r="85" spans="1:41" hidden="1" outlineLevel="1">
      <c r="A85" s="666" t="str">
        <f>$A$29</f>
        <v>4Q</v>
      </c>
      <c r="B85" s="684" t="str">
        <f>$B$29</f>
        <v>Jan</v>
      </c>
      <c r="C85" s="666"/>
      <c r="D85" s="732">
        <f>(S85/S78-1)*100</f>
        <v>8.5254412717038264</v>
      </c>
      <c r="E85" s="667"/>
      <c r="F85" s="717">
        <v>5</v>
      </c>
      <c r="G85" s="667"/>
      <c r="H85" s="732">
        <f>D85-F85</f>
        <v>3.5254412717038264</v>
      </c>
      <c r="I85" s="667"/>
      <c r="J85" s="705">
        <f>+'store&amp;sf'!J92</f>
        <v>1014</v>
      </c>
      <c r="K85" s="724"/>
      <c r="L85" s="716">
        <f>AVERAGE(J85,J84)</f>
        <v>1016</v>
      </c>
      <c r="M85" s="667"/>
      <c r="N85" s="715">
        <f>(L85/L78-1)*100</f>
        <v>1.3466334164588423</v>
      </c>
      <c r="O85" s="704"/>
      <c r="P85" s="717">
        <f>H85/N85*100</f>
        <v>261.79665739874918</v>
      </c>
      <c r="Q85" s="702"/>
      <c r="R85" s="667"/>
      <c r="S85" s="718">
        <f>+'segSales&amp;OM'!E83</f>
        <v>980.37000000000012</v>
      </c>
      <c r="T85" s="667"/>
      <c r="U85" s="719">
        <f>S85/L85</f>
        <v>0.96493110236220481</v>
      </c>
      <c r="V85" s="666"/>
      <c r="W85" s="720">
        <f>(U85/U78-1)*100</f>
        <v>7.0834201524439866</v>
      </c>
      <c r="X85" s="685"/>
      <c r="Y85" s="666"/>
      <c r="Z85" s="678">
        <f>+'store&amp;sf'!J456</f>
        <v>5.8287500000000003</v>
      </c>
      <c r="AA85" s="671"/>
      <c r="AB85" s="721">
        <f>AVERAGE(Z85,Z84)</f>
        <v>5.8181250000000002</v>
      </c>
      <c r="AC85" s="666"/>
      <c r="AD85" s="715">
        <f>(AB85/AB78-1)*100</f>
        <v>4.6543001686340846</v>
      </c>
      <c r="AE85" s="685"/>
      <c r="AF85" s="717">
        <f>+H85/AD85*100</f>
        <v>75.745893989868108</v>
      </c>
      <c r="AG85" s="668"/>
      <c r="AH85" s="666"/>
      <c r="AI85" s="722">
        <f>+S85</f>
        <v>980.37000000000012</v>
      </c>
      <c r="AJ85" s="666"/>
      <c r="AK85" s="723">
        <f>AI85/AB85</f>
        <v>168.50273928456335</v>
      </c>
      <c r="AL85" s="666"/>
      <c r="AM85" s="720">
        <f>(AK85/AK78-1)*100</f>
        <v>3.6989794942319687</v>
      </c>
      <c r="AN85" s="685"/>
      <c r="AO85" s="666"/>
    </row>
    <row r="86" spans="1:41" hidden="1" outlineLevel="1">
      <c r="A86" s="666"/>
      <c r="B86" s="684" t="str">
        <f>$B$30</f>
        <v>Year</v>
      </c>
      <c r="C86" s="666"/>
      <c r="D86" s="733">
        <f>(S86/S79-1)*100</f>
        <v>10.15140720815495</v>
      </c>
      <c r="E86" s="667"/>
      <c r="F86" s="703">
        <v>6</v>
      </c>
      <c r="G86" s="667"/>
      <c r="H86" s="733">
        <f>D86-F86</f>
        <v>4.15140720815495</v>
      </c>
      <c r="I86" s="667"/>
      <c r="J86" s="667"/>
      <c r="K86" s="667"/>
      <c r="L86" s="725">
        <f>AVERAGE(L82:L85)</f>
        <v>1010.25</v>
      </c>
      <c r="M86" s="667"/>
      <c r="N86" s="700">
        <f>(L86/L79-1)*100</f>
        <v>2.798270160264571</v>
      </c>
      <c r="O86" s="704"/>
      <c r="P86" s="703">
        <f>H86/N86*100</f>
        <v>148.35619759324607</v>
      </c>
      <c r="Q86" s="702"/>
      <c r="R86" s="667"/>
      <c r="S86" s="726">
        <f>SUM(S82:S85)</f>
        <v>2647</v>
      </c>
      <c r="T86" s="667"/>
      <c r="U86" s="707">
        <f>SUM(U82:U85)</f>
        <v>2.6179832633871269</v>
      </c>
      <c r="V86" s="666"/>
      <c r="W86" s="730">
        <f>(U86/U79-1)*100</f>
        <v>7.3721305172741669</v>
      </c>
      <c r="X86" s="685"/>
      <c r="Y86" s="666"/>
      <c r="Z86" s="676"/>
      <c r="AA86" s="666"/>
      <c r="AB86" s="710">
        <f>AVERAGE(AB82:AB85)</f>
        <v>5.6951562500000001</v>
      </c>
      <c r="AC86" s="666"/>
      <c r="AD86" s="700">
        <f>(AB86/AB79-1)*100</f>
        <v>5.2921974752289547</v>
      </c>
      <c r="AE86" s="685"/>
      <c r="AF86" s="703">
        <f>+H86/AD86*100</f>
        <v>78.443921028766013</v>
      </c>
      <c r="AG86" s="668"/>
      <c r="AH86" s="666"/>
      <c r="AI86" s="673">
        <f>SUM(AI82:AI85)</f>
        <v>2647</v>
      </c>
      <c r="AJ86" s="666"/>
      <c r="AK86" s="711">
        <f>SUM(AK82:AK85)</f>
        <v>463.39990079157275</v>
      </c>
      <c r="AL86" s="666"/>
      <c r="AM86" s="730">
        <f>(AK86/AK79-1)*100</f>
        <v>4.7082271027749423</v>
      </c>
      <c r="AN86" s="685"/>
      <c r="AO86" s="666"/>
    </row>
    <row r="87" spans="1:41" hidden="1" outlineLevel="1">
      <c r="A87" s="666"/>
      <c r="B87" s="684"/>
      <c r="C87" s="666"/>
      <c r="D87" s="667"/>
      <c r="E87" s="667"/>
      <c r="F87" s="703"/>
      <c r="G87" s="667"/>
      <c r="H87" s="666"/>
      <c r="I87" s="666"/>
      <c r="J87" s="666"/>
      <c r="K87" s="666"/>
      <c r="L87" s="666"/>
      <c r="M87" s="666"/>
      <c r="N87" s="666"/>
      <c r="O87" s="685"/>
      <c r="P87" s="666"/>
      <c r="Q87" s="666"/>
      <c r="R87" s="666"/>
      <c r="S87" s="666"/>
      <c r="T87" s="666"/>
      <c r="U87" s="666"/>
      <c r="V87" s="666"/>
      <c r="W87" s="666"/>
      <c r="X87" s="666"/>
      <c r="Y87" s="666"/>
      <c r="Z87" s="666"/>
      <c r="AA87" s="666"/>
      <c r="AB87" s="666"/>
      <c r="AC87" s="666"/>
      <c r="AD87" s="666"/>
      <c r="AE87" s="685"/>
      <c r="AF87" s="666"/>
      <c r="AG87" s="666"/>
      <c r="AH87" s="666"/>
      <c r="AI87" s="666"/>
      <c r="AJ87" s="666"/>
      <c r="AK87" s="666"/>
      <c r="AL87" s="666"/>
      <c r="AM87" s="666"/>
      <c r="AN87" s="666"/>
      <c r="AO87" s="666"/>
    </row>
    <row r="88" spans="1:41" hidden="1" outlineLevel="1">
      <c r="A88" s="698"/>
      <c r="B88" s="728">
        <f>B81+1</f>
        <v>2003</v>
      </c>
      <c r="C88" s="666"/>
      <c r="D88" s="700"/>
      <c r="E88" s="701"/>
      <c r="F88" s="703"/>
      <c r="G88" s="701"/>
      <c r="H88" s="700"/>
      <c r="I88" s="704"/>
      <c r="J88" s="667"/>
      <c r="K88" s="667"/>
      <c r="L88" s="667"/>
      <c r="M88" s="667"/>
      <c r="N88" s="667"/>
      <c r="O88" s="704"/>
      <c r="P88" s="702"/>
      <c r="Q88" s="702"/>
      <c r="R88" s="667"/>
      <c r="S88" s="667"/>
      <c r="T88" s="667"/>
      <c r="U88" s="667"/>
      <c r="V88" s="666"/>
      <c r="W88" s="666"/>
      <c r="X88" s="685"/>
      <c r="Y88" s="666"/>
      <c r="Z88" s="676"/>
      <c r="AA88" s="666"/>
      <c r="AB88" s="679"/>
      <c r="AC88" s="666"/>
      <c r="AD88" s="667"/>
      <c r="AE88" s="685"/>
      <c r="AF88" s="703"/>
      <c r="AG88" s="668"/>
      <c r="AH88" s="666"/>
      <c r="AI88" s="666"/>
      <c r="AJ88" s="666"/>
      <c r="AK88" s="666"/>
      <c r="AL88" s="666"/>
      <c r="AM88" s="666"/>
      <c r="AN88" s="685"/>
      <c r="AO88" s="666"/>
    </row>
    <row r="89" spans="1:41" hidden="1" outlineLevel="1">
      <c r="A89" s="666" t="str">
        <f>$A$26</f>
        <v>1Q</v>
      </c>
      <c r="B89" s="684" t="str">
        <f>$B$26</f>
        <v>Apr</v>
      </c>
      <c r="C89" s="666"/>
      <c r="D89" s="700">
        <f>(S89/S82-1)*100</f>
        <v>4.7606616070263064</v>
      </c>
      <c r="E89" s="701" t="s">
        <v>1084</v>
      </c>
      <c r="F89" s="703">
        <v>1</v>
      </c>
      <c r="G89" s="701" t="s">
        <v>1084</v>
      </c>
      <c r="H89" s="700">
        <f>D89-F89</f>
        <v>3.7606616070263064</v>
      </c>
      <c r="I89" s="704" t="s">
        <v>1084</v>
      </c>
      <c r="J89" s="705">
        <f>+'store&amp;sf'!J95</f>
        <v>1011</v>
      </c>
      <c r="K89" s="667"/>
      <c r="L89" s="706">
        <f>AVERAGE(J89,J85)</f>
        <v>1012.5</v>
      </c>
      <c r="M89" s="667"/>
      <c r="N89" s="700">
        <f>(L89/L82-1)*100</f>
        <v>0.84661354581674342</v>
      </c>
      <c r="O89" s="704" t="s">
        <v>1084</v>
      </c>
      <c r="P89" s="703">
        <f>H89/N89*100</f>
        <v>444.20050040639592</v>
      </c>
      <c r="Q89" s="702" t="s">
        <v>1084</v>
      </c>
      <c r="R89" s="667"/>
      <c r="S89" s="726">
        <f>+'segSales&amp;OM'!E87</f>
        <v>561.79999999999995</v>
      </c>
      <c r="T89" s="667"/>
      <c r="U89" s="707">
        <f>S89/L89</f>
        <v>0.55486419753086413</v>
      </c>
      <c r="V89" s="666"/>
      <c r="W89" s="730">
        <f>(U89/U82-1)*100</f>
        <v>3.8811893861278035</v>
      </c>
      <c r="X89" s="685" t="s">
        <v>1084</v>
      </c>
      <c r="Y89" s="666"/>
      <c r="Z89" s="678">
        <f>+'store&amp;sf'!J459</f>
        <v>5.8174999999999999</v>
      </c>
      <c r="AA89" s="666"/>
      <c r="AB89" s="710">
        <f>AVERAGE(Z89,Z85)</f>
        <v>5.8231250000000001</v>
      </c>
      <c r="AC89" s="666"/>
      <c r="AD89" s="700">
        <f>(AB89/AB82-1)*100</f>
        <v>4.228660924040728</v>
      </c>
      <c r="AE89" s="685" t="s">
        <v>1084</v>
      </c>
      <c r="AF89" s="703">
        <f>+H89/AD89*100</f>
        <v>88.932682818010818</v>
      </c>
      <c r="AG89" s="668" t="s">
        <v>1084</v>
      </c>
      <c r="AH89" s="666"/>
      <c r="AI89" s="673">
        <f>+S89</f>
        <v>561.79999999999995</v>
      </c>
      <c r="AJ89" s="666"/>
      <c r="AK89" s="711">
        <f>AI89/AB89</f>
        <v>96.477406890630022</v>
      </c>
      <c r="AL89" s="666"/>
      <c r="AM89" s="730">
        <f>(AK89/AK82-1)*100</f>
        <v>0.51041688367585714</v>
      </c>
      <c r="AN89" s="685" t="s">
        <v>1084</v>
      </c>
      <c r="AO89" s="666"/>
    </row>
    <row r="90" spans="1:41" hidden="1" outlineLevel="1">
      <c r="A90" s="666" t="str">
        <f>$A$27</f>
        <v>2Q</v>
      </c>
      <c r="B90" s="684" t="str">
        <f>$B$27</f>
        <v>Jul</v>
      </c>
      <c r="C90" s="666"/>
      <c r="D90" s="700">
        <f>(S90/S83-1)*100</f>
        <v>8.7339885544880822</v>
      </c>
      <c r="E90" s="700"/>
      <c r="F90" s="703">
        <v>6</v>
      </c>
      <c r="G90" s="700"/>
      <c r="H90" s="700">
        <f>D90-F90</f>
        <v>2.7339885544880822</v>
      </c>
      <c r="I90" s="667"/>
      <c r="J90" s="705">
        <f>+'store&amp;sf'!J96</f>
        <v>1009</v>
      </c>
      <c r="K90" s="724"/>
      <c r="L90" s="706">
        <f>AVERAGE(J90,J89)</f>
        <v>1010</v>
      </c>
      <c r="M90" s="667"/>
      <c r="N90" s="700">
        <f>(L90/L83-1)*100</f>
        <v>0.24813895781636841</v>
      </c>
      <c r="O90" s="704"/>
      <c r="P90" s="703">
        <f>H90/N90*100</f>
        <v>1101.797387458736</v>
      </c>
      <c r="Q90" s="702"/>
      <c r="R90" s="667"/>
      <c r="S90" s="712">
        <f>+'segSales&amp;OM'!E88</f>
        <v>669</v>
      </c>
      <c r="T90" s="667"/>
      <c r="U90" s="713">
        <f>S90/L90</f>
        <v>0.66237623762376241</v>
      </c>
      <c r="V90" s="666"/>
      <c r="W90" s="730">
        <f>(U90/U83-1)*100</f>
        <v>8.4648450184621193</v>
      </c>
      <c r="X90" s="685"/>
      <c r="Y90" s="666"/>
      <c r="Z90" s="678">
        <f>+'store&amp;sf'!J460</f>
        <v>5.8325000000000005</v>
      </c>
      <c r="AA90" s="724"/>
      <c r="AB90" s="710">
        <f>AVERAGE(Z90,Z89)</f>
        <v>5.8250000000000002</v>
      </c>
      <c r="AC90" s="666"/>
      <c r="AD90" s="700">
        <f>(AB90/AB83-1)*100</f>
        <v>3.3488578398758184</v>
      </c>
      <c r="AE90" s="685"/>
      <c r="AF90" s="703">
        <f>+H90/AD90*100</f>
        <v>81.639433060839139</v>
      </c>
      <c r="AG90" s="668"/>
      <c r="AH90" s="666"/>
      <c r="AI90" s="675">
        <f>+S90</f>
        <v>669</v>
      </c>
      <c r="AJ90" s="666"/>
      <c r="AK90" s="714">
        <f>AI90/AB90</f>
        <v>114.84978540772532</v>
      </c>
      <c r="AL90" s="666"/>
      <c r="AM90" s="730">
        <f>(AK90/AK83-1)*100</f>
        <v>5.2106339897396214</v>
      </c>
      <c r="AN90" s="685"/>
      <c r="AO90" s="666"/>
    </row>
    <row r="91" spans="1:41" hidden="1" outlineLevel="1">
      <c r="A91" s="666" t="str">
        <f>$A$28</f>
        <v>3Q</v>
      </c>
      <c r="B91" s="684" t="str">
        <f>$B$28</f>
        <v>Oct</v>
      </c>
      <c r="C91" s="666"/>
      <c r="D91" s="700">
        <f>(S91/S84-1)*100</f>
        <v>8.0573173596429459</v>
      </c>
      <c r="E91" s="700"/>
      <c r="F91" s="703">
        <v>5</v>
      </c>
      <c r="G91" s="700"/>
      <c r="H91" s="700">
        <f>D91-F91</f>
        <v>3.0573173596429459</v>
      </c>
      <c r="I91" s="667"/>
      <c r="J91" s="705">
        <f>+'store&amp;sf'!J97</f>
        <v>1011</v>
      </c>
      <c r="K91" s="724"/>
      <c r="L91" s="706">
        <f>AVERAGE(J91,J90)</f>
        <v>1010</v>
      </c>
      <c r="M91" s="667"/>
      <c r="N91" s="700">
        <f>(L91/L84-1)*100</f>
        <v>-0.3453379378391741</v>
      </c>
      <c r="O91" s="704"/>
      <c r="P91" s="703">
        <f>H91/N91*100</f>
        <v>-885.3117554280285</v>
      </c>
      <c r="Q91" s="702"/>
      <c r="R91" s="667"/>
      <c r="S91" s="712">
        <f>+'segSales&amp;OM'!E89</f>
        <v>556.6</v>
      </c>
      <c r="T91" s="667"/>
      <c r="U91" s="713">
        <f>S91/L91</f>
        <v>0.55108910891089113</v>
      </c>
      <c r="V91" s="666"/>
      <c r="W91" s="730">
        <f>(U91/U84-1)*100</f>
        <v>8.4317734098991348</v>
      </c>
      <c r="X91" s="685"/>
      <c r="Y91" s="666"/>
      <c r="Z91" s="678">
        <f>+'store&amp;sf'!J461</f>
        <v>5.8874999999999993</v>
      </c>
      <c r="AA91" s="724"/>
      <c r="AB91" s="710">
        <f>AVERAGE(Z91,Z90)</f>
        <v>5.8599999999999994</v>
      </c>
      <c r="AC91" s="666"/>
      <c r="AD91" s="700">
        <f>(AB91/AB84-1)*100</f>
        <v>2.1017096809321734</v>
      </c>
      <c r="AE91" s="685"/>
      <c r="AF91" s="703">
        <f>+H91/AD91*100</f>
        <v>145.46811043316558</v>
      </c>
      <c r="AG91" s="668"/>
      <c r="AH91" s="666"/>
      <c r="AI91" s="675">
        <f>+S91</f>
        <v>556.6</v>
      </c>
      <c r="AJ91" s="666"/>
      <c r="AK91" s="714">
        <f>AI91/AB91</f>
        <v>94.982935153583625</v>
      </c>
      <c r="AL91" s="666"/>
      <c r="AM91" s="730">
        <f>(AK91/AK84-1)*100</f>
        <v>5.8330146452219678</v>
      </c>
      <c r="AN91" s="685"/>
      <c r="AO91" s="666"/>
    </row>
    <row r="92" spans="1:41" hidden="1" outlineLevel="1">
      <c r="A92" s="666" t="str">
        <f>$A$29</f>
        <v>4Q</v>
      </c>
      <c r="B92" s="684" t="str">
        <f>$B$29</f>
        <v>Jan</v>
      </c>
      <c r="C92" s="666"/>
      <c r="D92" s="732">
        <f>(S92/S85-1)*100</f>
        <v>5.4601834001448468</v>
      </c>
      <c r="E92" s="667"/>
      <c r="F92" s="717">
        <v>4</v>
      </c>
      <c r="G92" s="667"/>
      <c r="H92" s="732">
        <f>D92-F92</f>
        <v>1.4601834001448468</v>
      </c>
      <c r="I92" s="667"/>
      <c r="J92" s="705">
        <f>+'store&amp;sf'!J98</f>
        <v>1009</v>
      </c>
      <c r="K92" s="724"/>
      <c r="L92" s="716">
        <f>AVERAGE(J92,J91)</f>
        <v>1010</v>
      </c>
      <c r="M92" s="667"/>
      <c r="N92" s="715">
        <f>(L92/L85-1)*100</f>
        <v>-0.59055118110236116</v>
      </c>
      <c r="O92" s="704"/>
      <c r="P92" s="717">
        <f>H92/N92*100</f>
        <v>-247.25772242452783</v>
      </c>
      <c r="Q92" s="702"/>
      <c r="R92" s="667"/>
      <c r="S92" s="718">
        <f>+'segSales&amp;OM'!E90</f>
        <v>1033.9000000000001</v>
      </c>
      <c r="T92" s="667"/>
      <c r="U92" s="719">
        <f>S92/L92</f>
        <v>1.0236633663366337</v>
      </c>
      <c r="V92" s="666"/>
      <c r="W92" s="720">
        <f>(U92/U85-1)*100</f>
        <v>6.0866795391556039</v>
      </c>
      <c r="X92" s="685"/>
      <c r="Y92" s="666"/>
      <c r="Z92" s="678">
        <f>+'store&amp;sf'!J462</f>
        <v>5.9187500000000002</v>
      </c>
      <c r="AA92" s="671"/>
      <c r="AB92" s="721">
        <f>AVERAGE(Z92,Z91)</f>
        <v>5.9031249999999993</v>
      </c>
      <c r="AC92" s="666"/>
      <c r="AD92" s="715">
        <f>(AB92/AB85-1)*100</f>
        <v>1.4609517671070771</v>
      </c>
      <c r="AE92" s="685"/>
      <c r="AF92" s="717">
        <f>+H92/AD92*100</f>
        <v>99.947406411386751</v>
      </c>
      <c r="AG92" s="668"/>
      <c r="AH92" s="666"/>
      <c r="AI92" s="722">
        <f>+S92</f>
        <v>1033.9000000000001</v>
      </c>
      <c r="AJ92" s="666"/>
      <c r="AK92" s="723">
        <f>AI92/AB92</f>
        <v>175.14452091053471</v>
      </c>
      <c r="AL92" s="666"/>
      <c r="AM92" s="720">
        <f>(AK92/AK85-1)*100</f>
        <v>3.941646084907191</v>
      </c>
      <c r="AN92" s="685"/>
      <c r="AO92" s="666"/>
    </row>
    <row r="93" spans="1:41" hidden="1" outlineLevel="1">
      <c r="A93" s="666"/>
      <c r="B93" s="684" t="str">
        <f>$B$30</f>
        <v>Year</v>
      </c>
      <c r="C93" s="666"/>
      <c r="D93" s="733">
        <f>(S93/S86-1)*100</f>
        <v>6.5848129958443691</v>
      </c>
      <c r="E93" s="667"/>
      <c r="F93" s="703">
        <v>4</v>
      </c>
      <c r="G93" s="667"/>
      <c r="H93" s="733">
        <f>D93-F93</f>
        <v>2.5848129958443691</v>
      </c>
      <c r="I93" s="667"/>
      <c r="J93" s="667"/>
      <c r="K93" s="667"/>
      <c r="L93" s="725">
        <f>AVERAGE(L89:L92)</f>
        <v>1010.625</v>
      </c>
      <c r="M93" s="667"/>
      <c r="N93" s="700">
        <f>(L93/L86-1)*100</f>
        <v>3.7119524870088405E-2</v>
      </c>
      <c r="O93" s="704"/>
      <c r="P93" s="734" t="s">
        <v>886</v>
      </c>
      <c r="Q93" s="702"/>
      <c r="R93" s="667"/>
      <c r="S93" s="726">
        <f>SUM(S89:S92)</f>
        <v>2821.3</v>
      </c>
      <c r="T93" s="667"/>
      <c r="U93" s="707">
        <f>SUM(U89:U92)</f>
        <v>2.7919929104021515</v>
      </c>
      <c r="V93" s="666"/>
      <c r="W93" s="730">
        <f>(U93/U86-1)*100</f>
        <v>6.6467058612854624</v>
      </c>
      <c r="X93" s="685"/>
      <c r="Y93" s="666"/>
      <c r="Z93" s="676"/>
      <c r="AA93" s="666"/>
      <c r="AB93" s="710">
        <f>AVERAGE(AB89:AB92)</f>
        <v>5.8528124999999998</v>
      </c>
      <c r="AC93" s="666"/>
      <c r="AD93" s="700">
        <f>(AB93/AB86-1)*100</f>
        <v>2.7682515295344157</v>
      </c>
      <c r="AE93" s="685"/>
      <c r="AF93" s="703">
        <f>+H93/AD93*100</f>
        <v>93.373487498049045</v>
      </c>
      <c r="AG93" s="668"/>
      <c r="AH93" s="666"/>
      <c r="AI93" s="673">
        <f>SUM(AI89:AI92)</f>
        <v>2821.3</v>
      </c>
      <c r="AJ93" s="666"/>
      <c r="AK93" s="711">
        <f>SUM(AK89:AK92)</f>
        <v>481.45464836247368</v>
      </c>
      <c r="AL93" s="666"/>
      <c r="AM93" s="730">
        <f>(AK93/AK86-1)*100</f>
        <v>3.8961483461822155</v>
      </c>
      <c r="AN93" s="685"/>
      <c r="AO93" s="666"/>
    </row>
    <row r="94" spans="1:41" hidden="1" outlineLevel="1">
      <c r="A94" s="666"/>
      <c r="B94" s="684"/>
      <c r="C94" s="666"/>
      <c r="D94" s="667"/>
      <c r="E94" s="667"/>
      <c r="F94" s="703"/>
      <c r="G94" s="667"/>
      <c r="H94" s="666"/>
      <c r="I94" s="666"/>
      <c r="J94" s="666"/>
      <c r="K94" s="666"/>
      <c r="L94" s="666"/>
      <c r="M94" s="666"/>
      <c r="N94" s="666"/>
      <c r="O94" s="685"/>
      <c r="P94" s="666"/>
      <c r="Q94" s="666"/>
      <c r="R94" s="666"/>
      <c r="S94" s="666"/>
      <c r="T94" s="666"/>
      <c r="U94" s="666"/>
      <c r="V94" s="666"/>
      <c r="W94" s="666"/>
      <c r="X94" s="666"/>
      <c r="Y94" s="666"/>
      <c r="Z94" s="666"/>
      <c r="AA94" s="666"/>
      <c r="AB94" s="666"/>
      <c r="AC94" s="666"/>
      <c r="AD94" s="666"/>
      <c r="AE94" s="685"/>
      <c r="AF94" s="666"/>
      <c r="AG94" s="666"/>
      <c r="AH94" s="666"/>
      <c r="AI94" s="666"/>
      <c r="AJ94" s="666"/>
      <c r="AK94" s="666"/>
      <c r="AL94" s="666"/>
      <c r="AM94" s="666"/>
      <c r="AN94" s="666"/>
      <c r="AO94" s="666"/>
    </row>
    <row r="95" spans="1:41" hidden="1" outlineLevel="1">
      <c r="A95" s="698"/>
      <c r="B95" s="728">
        <f>B88+1</f>
        <v>2004</v>
      </c>
      <c r="C95" s="666"/>
      <c r="D95" s="700"/>
      <c r="E95" s="701"/>
      <c r="F95" s="703"/>
      <c r="G95" s="701"/>
      <c r="H95" s="700"/>
      <c r="I95" s="704"/>
      <c r="J95" s="667"/>
      <c r="K95" s="667"/>
      <c r="L95" s="667"/>
      <c r="M95" s="667"/>
      <c r="N95" s="667"/>
      <c r="O95" s="704"/>
      <c r="P95" s="735"/>
      <c r="Q95" s="702"/>
      <c r="R95" s="667"/>
      <c r="S95" s="667"/>
      <c r="T95" s="667"/>
      <c r="U95" s="667"/>
      <c r="V95" s="666"/>
      <c r="W95" s="666"/>
      <c r="X95" s="685"/>
      <c r="Y95" s="666"/>
      <c r="Z95" s="676"/>
      <c r="AA95" s="666"/>
      <c r="AB95" s="679"/>
      <c r="AC95" s="666"/>
      <c r="AD95" s="667"/>
      <c r="AE95" s="685"/>
      <c r="AF95" s="703"/>
      <c r="AG95" s="668"/>
      <c r="AH95" s="666"/>
      <c r="AI95" s="666"/>
      <c r="AJ95" s="666"/>
      <c r="AK95" s="666"/>
      <c r="AL95" s="666"/>
      <c r="AM95" s="666"/>
      <c r="AN95" s="685"/>
      <c r="AO95" s="666"/>
    </row>
    <row r="96" spans="1:41" hidden="1" outlineLevel="1">
      <c r="A96" s="666" t="str">
        <f>$A$26</f>
        <v>1Q</v>
      </c>
      <c r="B96" s="684" t="str">
        <f>$B$26</f>
        <v>Apr</v>
      </c>
      <c r="C96" s="666"/>
      <c r="D96" s="700">
        <f>(S96/S89-1)*100</f>
        <v>15.450338198647229</v>
      </c>
      <c r="E96" s="701" t="s">
        <v>1084</v>
      </c>
      <c r="F96" s="736">
        <v>15</v>
      </c>
      <c r="G96" s="701" t="s">
        <v>1084</v>
      </c>
      <c r="H96" s="700">
        <f>D96-F96</f>
        <v>0.45033819864722879</v>
      </c>
      <c r="I96" s="704" t="s">
        <v>1084</v>
      </c>
      <c r="J96" s="705">
        <f>+'store&amp;sf'!J101</f>
        <v>1006</v>
      </c>
      <c r="K96" s="667"/>
      <c r="L96" s="706">
        <f>AVERAGE(J96,J92)</f>
        <v>1007.5</v>
      </c>
      <c r="M96" s="667"/>
      <c r="N96" s="700">
        <f>(L96/L89-1)*100</f>
        <v>-0.49382716049383157</v>
      </c>
      <c r="O96" s="704" t="s">
        <v>1084</v>
      </c>
      <c r="P96" s="703">
        <f>H96/N96*100</f>
        <v>-91.193485226063018</v>
      </c>
      <c r="Q96" s="702" t="s">
        <v>1084</v>
      </c>
      <c r="R96" s="667"/>
      <c r="S96" s="726">
        <f>'segSales&amp;OM'!E94</f>
        <v>648.6</v>
      </c>
      <c r="T96" s="667"/>
      <c r="U96" s="707">
        <f>S96/L96</f>
        <v>0.64377171215880891</v>
      </c>
      <c r="V96" s="666"/>
      <c r="W96" s="730">
        <f>(U96/U89-1)*100</f>
        <v>16.023292730650418</v>
      </c>
      <c r="X96" s="685" t="s">
        <v>1084</v>
      </c>
      <c r="Y96" s="666"/>
      <c r="Z96" s="678">
        <f>+'store&amp;sf'!J465</f>
        <v>5.9099999999999993</v>
      </c>
      <c r="AA96" s="666"/>
      <c r="AB96" s="710">
        <f>AVERAGE(Z96,Z92)</f>
        <v>5.9143749999999997</v>
      </c>
      <c r="AC96" s="666"/>
      <c r="AD96" s="700">
        <f>(AB96/AB89-1)*100</f>
        <v>1.5670280133089909</v>
      </c>
      <c r="AE96" s="685" t="s">
        <v>1084</v>
      </c>
      <c r="AF96" s="703">
        <f>+H96/AD96*100</f>
        <v>28.738362991755263</v>
      </c>
      <c r="AG96" s="668" t="s">
        <v>1084</v>
      </c>
      <c r="AH96" s="666"/>
      <c r="AI96" s="673">
        <f>+S96</f>
        <v>648.6</v>
      </c>
      <c r="AJ96" s="666"/>
      <c r="AK96" s="711">
        <f>AI96/AB96</f>
        <v>109.66501109584699</v>
      </c>
      <c r="AL96" s="666"/>
      <c r="AM96" s="730">
        <f>(AK96/AK89-1)*100</f>
        <v>13.669111380830202</v>
      </c>
      <c r="AN96" s="685" t="s">
        <v>1084</v>
      </c>
      <c r="AO96" s="666"/>
    </row>
    <row r="97" spans="1:41" hidden="1" outlineLevel="1">
      <c r="A97" s="666" t="str">
        <f>$A$27</f>
        <v>2Q</v>
      </c>
      <c r="B97" s="684" t="str">
        <f>$B$27</f>
        <v>Jul</v>
      </c>
      <c r="C97" s="666"/>
      <c r="D97" s="700">
        <f>(S97/S90-1)*100</f>
        <v>8.5650224215246595</v>
      </c>
      <c r="E97" s="700"/>
      <c r="F97" s="736">
        <v>7</v>
      </c>
      <c r="G97" s="700"/>
      <c r="H97" s="700">
        <f>D97-F97</f>
        <v>1.5650224215246595</v>
      </c>
      <c r="I97" s="667"/>
      <c r="J97" s="705">
        <f>+'store&amp;sf'!J102</f>
        <v>1000</v>
      </c>
      <c r="K97" s="724"/>
      <c r="L97" s="706">
        <f>AVERAGE(J97,J96)</f>
        <v>1003</v>
      </c>
      <c r="M97" s="667"/>
      <c r="N97" s="700">
        <f>(L97/L90-1)*100</f>
        <v>-0.69306930693069368</v>
      </c>
      <c r="O97" s="704"/>
      <c r="P97" s="703">
        <f>H97/N97*100</f>
        <v>-225.81037796284355</v>
      </c>
      <c r="Q97" s="702"/>
      <c r="R97" s="667"/>
      <c r="S97" s="712">
        <f>'segSales&amp;OM'!E95</f>
        <v>726.3</v>
      </c>
      <c r="T97" s="667"/>
      <c r="U97" s="713">
        <f>S97/L97</f>
        <v>0.72412761714855434</v>
      </c>
      <c r="V97" s="666"/>
      <c r="W97" s="730">
        <f>(U97/U90-1)*100</f>
        <v>9.3227045321434776</v>
      </c>
      <c r="X97" s="685"/>
      <c r="Y97" s="666"/>
      <c r="Z97" s="678">
        <f>+'store&amp;sf'!J466</f>
        <v>5.9649999999999999</v>
      </c>
      <c r="AA97" s="724"/>
      <c r="AB97" s="710">
        <f>AVERAGE(Z97,Z96)</f>
        <v>5.9375</v>
      </c>
      <c r="AC97" s="666"/>
      <c r="AD97" s="700">
        <f>(AB97/AB90-1)*100</f>
        <v>1.93133047210301</v>
      </c>
      <c r="AE97" s="685"/>
      <c r="AF97" s="703">
        <f>+H97/AD97*100</f>
        <v>81.033383158943238</v>
      </c>
      <c r="AG97" s="668"/>
      <c r="AH97" s="666"/>
      <c r="AI97" s="675">
        <f>+S97</f>
        <v>726.3</v>
      </c>
      <c r="AJ97" s="666"/>
      <c r="AK97" s="714">
        <f>AI97/AB97</f>
        <v>122.32421052631578</v>
      </c>
      <c r="AL97" s="666"/>
      <c r="AM97" s="730">
        <f>(AK97/AK90-1)*100</f>
        <v>6.5080009440641851</v>
      </c>
      <c r="AN97" s="685"/>
      <c r="AO97" s="666"/>
    </row>
    <row r="98" spans="1:41" hidden="1" outlineLevel="1">
      <c r="A98" s="666" t="str">
        <f>$A$28</f>
        <v>3Q</v>
      </c>
      <c r="B98" s="684" t="str">
        <f>$B$28</f>
        <v>Oct</v>
      </c>
      <c r="C98" s="666"/>
      <c r="D98" s="700">
        <f>(S98/S91-1)*100</f>
        <v>13.553539346029453</v>
      </c>
      <c r="E98" s="700"/>
      <c r="F98" s="736">
        <v>13</v>
      </c>
      <c r="G98" s="700"/>
      <c r="H98" s="700">
        <f>D98-F98</f>
        <v>0.55353934602945287</v>
      </c>
      <c r="I98" s="667"/>
      <c r="J98" s="705">
        <f>+'store&amp;sf'!J103</f>
        <v>1001</v>
      </c>
      <c r="K98" s="724"/>
      <c r="L98" s="706">
        <f>AVERAGE(J98,J97)</f>
        <v>1000.5</v>
      </c>
      <c r="M98" s="667"/>
      <c r="N98" s="700">
        <f>(L98/L91-1)*100</f>
        <v>-0.94059405940594143</v>
      </c>
      <c r="O98" s="704"/>
      <c r="P98" s="703">
        <f>H98/N98*100</f>
        <v>-58.849972577868094</v>
      </c>
      <c r="Q98" s="702"/>
      <c r="R98" s="667"/>
      <c r="S98" s="712">
        <f>'segSales&amp;OM'!E96</f>
        <v>632.03899999999999</v>
      </c>
      <c r="T98" s="667"/>
      <c r="U98" s="713">
        <f>S98/L98</f>
        <v>0.63172313843078465</v>
      </c>
      <c r="V98" s="666"/>
      <c r="W98" s="730">
        <f>(U98/U91-1)*100</f>
        <v>14.631758860059719</v>
      </c>
      <c r="X98" s="685"/>
      <c r="Y98" s="666"/>
      <c r="Z98" s="678">
        <f>+'store&amp;sf'!J467</f>
        <v>6.0324999999999989</v>
      </c>
      <c r="AA98" s="724"/>
      <c r="AB98" s="710">
        <f>AVERAGE(Z98,Z97)</f>
        <v>5.9987499999999994</v>
      </c>
      <c r="AC98" s="666"/>
      <c r="AD98" s="700">
        <f>(AB98/AB91-1)*100</f>
        <v>2.3677474402730381</v>
      </c>
      <c r="AE98" s="685"/>
      <c r="AF98" s="703">
        <f>+H98/AD98*100</f>
        <v>23.378310398072742</v>
      </c>
      <c r="AG98" s="668"/>
      <c r="AH98" s="666"/>
      <c r="AI98" s="675">
        <f>+S98</f>
        <v>632.03899999999999</v>
      </c>
      <c r="AJ98" s="666"/>
      <c r="AK98" s="714">
        <f>AI98/AB98</f>
        <v>105.36178370493853</v>
      </c>
      <c r="AL98" s="666"/>
      <c r="AM98" s="730">
        <f>(AK98/AK91-1)*100</f>
        <v>10.927066566823518</v>
      </c>
      <c r="AN98" s="685"/>
      <c r="AO98" s="666"/>
    </row>
    <row r="99" spans="1:41" hidden="1" outlineLevel="1">
      <c r="A99" s="666" t="str">
        <f>$A$29</f>
        <v>4Q</v>
      </c>
      <c r="B99" s="684" t="str">
        <f>$B$29</f>
        <v>Jan</v>
      </c>
      <c r="C99" s="666"/>
      <c r="D99" s="715">
        <f>(S99/S92-1)*100</f>
        <v>6.9735951252538841</v>
      </c>
      <c r="E99" s="667"/>
      <c r="F99" s="737">
        <v>5</v>
      </c>
      <c r="G99" s="667"/>
      <c r="H99" s="715">
        <f>D99-F99</f>
        <v>1.9735951252538841</v>
      </c>
      <c r="I99" s="667"/>
      <c r="J99" s="705">
        <f>+'store&amp;sf'!J104</f>
        <v>1001</v>
      </c>
      <c r="K99" s="724"/>
      <c r="L99" s="716">
        <f>AVERAGE(J99,J98)</f>
        <v>1001</v>
      </c>
      <c r="M99" s="667"/>
      <c r="N99" s="715">
        <f>(L99/L92-1)*100</f>
        <v>-0.89108910891089188</v>
      </c>
      <c r="O99" s="704"/>
      <c r="P99" s="717">
        <f>H99/N99*100</f>
        <v>-221.48123072293569</v>
      </c>
      <c r="Q99" s="702"/>
      <c r="R99" s="667"/>
      <c r="S99" s="718">
        <f>'segSales&amp;OM'!E97</f>
        <v>1106</v>
      </c>
      <c r="T99" s="667"/>
      <c r="U99" s="719">
        <f>S99/L99</f>
        <v>1.1048951048951048</v>
      </c>
      <c r="V99" s="666"/>
      <c r="W99" s="720">
        <f>(U99/U92-1)*100</f>
        <v>7.9353956808255965</v>
      </c>
      <c r="X99" s="685"/>
      <c r="Y99" s="666"/>
      <c r="Z99" s="678">
        <f>+'store&amp;sf'!J468</f>
        <v>6.085</v>
      </c>
      <c r="AA99" s="671"/>
      <c r="AB99" s="721">
        <f>AVERAGE(Z99,Z98)</f>
        <v>6.0587499999999999</v>
      </c>
      <c r="AC99" s="666"/>
      <c r="AD99" s="715">
        <f>(AB99/AB92-1)*100</f>
        <v>2.6363155108523051</v>
      </c>
      <c r="AE99" s="685"/>
      <c r="AF99" s="717">
        <f>+H99/AD99*100</f>
        <v>74.861871317361135</v>
      </c>
      <c r="AG99" s="668"/>
      <c r="AH99" s="666"/>
      <c r="AI99" s="722">
        <f>+S99</f>
        <v>1106</v>
      </c>
      <c r="AJ99" s="666"/>
      <c r="AK99" s="723">
        <f>AI99/AB99</f>
        <v>182.54590468330926</v>
      </c>
      <c r="AL99" s="666"/>
      <c r="AM99" s="720">
        <f>(AK99/AK92-1)*100</f>
        <v>4.2258722878092403</v>
      </c>
      <c r="AN99" s="685"/>
      <c r="AO99" s="666"/>
    </row>
    <row r="100" spans="1:41" hidden="1" outlineLevel="1">
      <c r="A100" s="666"/>
      <c r="B100" s="684" t="str">
        <f>$B$30</f>
        <v>Year</v>
      </c>
      <c r="C100" s="666"/>
      <c r="D100" s="733">
        <f>(S100/S93-1)*100</f>
        <v>10.337043207032215</v>
      </c>
      <c r="E100" s="667"/>
      <c r="F100" s="703">
        <v>9</v>
      </c>
      <c r="G100" s="667"/>
      <c r="H100" s="733">
        <f>D100-F100</f>
        <v>1.3370432070322149</v>
      </c>
      <c r="I100" s="667"/>
      <c r="J100" s="667"/>
      <c r="K100" s="667"/>
      <c r="L100" s="725">
        <f>AVERAGE(L96:L99)</f>
        <v>1003</v>
      </c>
      <c r="M100" s="667"/>
      <c r="N100" s="700">
        <f>(L100/L93-1)*100</f>
        <v>-0.75448361162646638</v>
      </c>
      <c r="O100" s="704"/>
      <c r="P100" s="703">
        <f>H100/N100*100</f>
        <v>-177.21302178451626</v>
      </c>
      <c r="Q100" s="702"/>
      <c r="R100" s="667"/>
      <c r="S100" s="726">
        <f>SUM(S96:S99)</f>
        <v>3112.9390000000003</v>
      </c>
      <c r="T100" s="667"/>
      <c r="U100" s="707">
        <f>SUM(U96:U99)</f>
        <v>3.1045175726332523</v>
      </c>
      <c r="V100" s="666"/>
      <c r="W100" s="730">
        <f>(U100/U93-1)*100</f>
        <v>11.193605150884345</v>
      </c>
      <c r="X100" s="685"/>
      <c r="Y100" s="666"/>
      <c r="Z100" s="676"/>
      <c r="AA100" s="666"/>
      <c r="AB100" s="710">
        <f>AVERAGE(AB96:AB99)</f>
        <v>5.9773437500000002</v>
      </c>
      <c r="AC100" s="666"/>
      <c r="AD100" s="700">
        <f>(AB100/AB93-1)*100</f>
        <v>2.1277163756741047</v>
      </c>
      <c r="AE100" s="685"/>
      <c r="AF100" s="703">
        <f>+H100/AD100*100</f>
        <v>62.839353135523609</v>
      </c>
      <c r="AG100" s="668"/>
      <c r="AH100" s="666"/>
      <c r="AI100" s="673">
        <f>SUM(AI96:AI99)</f>
        <v>3112.9390000000003</v>
      </c>
      <c r="AJ100" s="666"/>
      <c r="AK100" s="711">
        <f>SUM(AK96:AK99)</f>
        <v>519.89691001041058</v>
      </c>
      <c r="AL100" s="666"/>
      <c r="AM100" s="730">
        <f>(AK100/AK93-1)*100</f>
        <v>7.984607019308454</v>
      </c>
      <c r="AN100" s="685"/>
      <c r="AO100" s="666"/>
    </row>
    <row r="101" spans="1:41" hidden="1" outlineLevel="1">
      <c r="A101" s="666"/>
      <c r="B101" s="684"/>
      <c r="C101" s="666"/>
      <c r="D101" s="667"/>
      <c r="E101" s="667"/>
      <c r="F101" s="703"/>
      <c r="G101" s="667"/>
      <c r="H101" s="666"/>
      <c r="I101" s="666"/>
      <c r="J101" s="666"/>
      <c r="K101" s="666"/>
      <c r="L101" s="666"/>
      <c r="M101" s="666"/>
      <c r="N101" s="666"/>
      <c r="O101" s="685"/>
      <c r="P101" s="666"/>
      <c r="Q101" s="666"/>
      <c r="R101" s="666"/>
      <c r="S101" s="666"/>
      <c r="T101" s="666"/>
      <c r="U101" s="666"/>
      <c r="V101" s="666"/>
      <c r="W101" s="666"/>
      <c r="X101" s="666"/>
      <c r="Y101" s="666"/>
      <c r="Z101" s="666"/>
      <c r="AA101" s="666"/>
      <c r="AB101" s="666"/>
      <c r="AC101" s="666"/>
      <c r="AD101" s="666"/>
      <c r="AE101" s="685"/>
      <c r="AF101" s="666"/>
      <c r="AG101" s="666"/>
      <c r="AH101" s="666"/>
      <c r="AI101" s="666"/>
      <c r="AJ101" s="666"/>
      <c r="AK101" s="666"/>
      <c r="AL101" s="666"/>
      <c r="AM101" s="666"/>
      <c r="AN101" s="666"/>
      <c r="AO101" s="666"/>
    </row>
    <row r="102" spans="1:41" hidden="1" outlineLevel="1">
      <c r="A102" s="698"/>
      <c r="B102" s="738">
        <f>B95+1</f>
        <v>2005</v>
      </c>
      <c r="C102" s="666"/>
      <c r="D102" s="700"/>
      <c r="E102" s="701"/>
      <c r="F102" s="703"/>
      <c r="G102" s="701"/>
      <c r="H102" s="700"/>
      <c r="I102" s="704"/>
      <c r="J102" s="705"/>
      <c r="K102" s="667"/>
      <c r="L102" s="667"/>
      <c r="M102" s="667"/>
      <c r="N102" s="667"/>
      <c r="O102" s="704"/>
      <c r="P102" s="735"/>
      <c r="Q102" s="702"/>
      <c r="R102" s="667"/>
      <c r="S102" s="667"/>
      <c r="T102" s="667"/>
      <c r="U102" s="667"/>
      <c r="V102" s="666"/>
      <c r="W102" s="666"/>
      <c r="X102" s="685"/>
      <c r="Y102" s="666"/>
      <c r="Z102" s="676"/>
      <c r="AA102" s="666"/>
      <c r="AB102" s="679"/>
      <c r="AC102" s="666"/>
      <c r="AD102" s="667"/>
      <c r="AE102" s="685"/>
      <c r="AF102" s="703"/>
      <c r="AG102" s="668"/>
      <c r="AH102" s="666"/>
      <c r="AI102" s="666"/>
      <c r="AJ102" s="666"/>
      <c r="AK102" s="666"/>
      <c r="AL102" s="666"/>
      <c r="AM102" s="666"/>
      <c r="AN102" s="685"/>
      <c r="AO102" s="666"/>
    </row>
    <row r="103" spans="1:41" hidden="1" outlineLevel="1">
      <c r="A103" s="666" t="str">
        <f>$A$26</f>
        <v>1Q</v>
      </c>
      <c r="B103" s="684" t="str">
        <f>$B$26</f>
        <v>Apr</v>
      </c>
      <c r="C103" s="666"/>
      <c r="D103" s="700">
        <f>(S103/S96-1)*100</f>
        <v>3.1108541473943818</v>
      </c>
      <c r="E103" s="701" t="s">
        <v>1084</v>
      </c>
      <c r="F103" s="703">
        <v>0</v>
      </c>
      <c r="G103" s="701" t="s">
        <v>1084</v>
      </c>
      <c r="H103" s="700">
        <f>D103-F103</f>
        <v>3.1108541473943818</v>
      </c>
      <c r="I103" s="704" t="s">
        <v>1084</v>
      </c>
      <c r="J103" s="705">
        <f>+'store&amp;sf'!J107</f>
        <v>998</v>
      </c>
      <c r="K103" s="667"/>
      <c r="L103" s="706">
        <f>AVERAGE(J103,J99)</f>
        <v>999.5</v>
      </c>
      <c r="M103" s="667"/>
      <c r="N103" s="700">
        <f>(L103/L96-1)*100</f>
        <v>-0.79404466501240556</v>
      </c>
      <c r="O103" s="704" t="s">
        <v>1084</v>
      </c>
      <c r="P103" s="703">
        <f>H103/N103*100</f>
        <v>-391.77319418748067</v>
      </c>
      <c r="Q103" s="702" t="s">
        <v>1084</v>
      </c>
      <c r="R103" s="667"/>
      <c r="S103" s="726">
        <f>'segSales&amp;OM'!E101</f>
        <v>668.77700000000004</v>
      </c>
      <c r="T103" s="667"/>
      <c r="U103" s="707">
        <f>S103/L103</f>
        <v>0.66911155577788894</v>
      </c>
      <c r="V103" s="666"/>
      <c r="W103" s="730">
        <f>(U103/U96-1)*100</f>
        <v>3.9361536303150091</v>
      </c>
      <c r="X103" s="685" t="s">
        <v>1084</v>
      </c>
      <c r="Y103" s="666"/>
      <c r="Z103" s="678">
        <f>+'store&amp;sf'!J471</f>
        <v>6.09375</v>
      </c>
      <c r="AA103" s="666"/>
      <c r="AB103" s="710">
        <f>AVERAGE(Z103,Z99)</f>
        <v>6.0893750000000004</v>
      </c>
      <c r="AC103" s="666"/>
      <c r="AD103" s="700">
        <f>(AB103/AB96-1)*100</f>
        <v>2.9588925287963752</v>
      </c>
      <c r="AE103" s="685" t="s">
        <v>1084</v>
      </c>
      <c r="AF103" s="703">
        <f>+H103/AD103*100</f>
        <v>105.13575998854618</v>
      </c>
      <c r="AG103" s="668" t="s">
        <v>1084</v>
      </c>
      <c r="AH103" s="666"/>
      <c r="AI103" s="673">
        <f>+S103</f>
        <v>668.77700000000004</v>
      </c>
      <c r="AJ103" s="666"/>
      <c r="AK103" s="711">
        <f>AI103/AB103</f>
        <v>109.82687057374525</v>
      </c>
      <c r="AL103" s="666"/>
      <c r="AM103" s="730">
        <f>(AK103/AK96-1)*100</f>
        <v>0.14759445723011577</v>
      </c>
      <c r="AN103" s="685" t="s">
        <v>1084</v>
      </c>
      <c r="AO103" s="666"/>
    </row>
    <row r="104" spans="1:41" hidden="1" outlineLevel="1">
      <c r="A104" s="666" t="str">
        <f>$A$27</f>
        <v>2Q</v>
      </c>
      <c r="B104" s="684" t="str">
        <f>$B$27</f>
        <v>Jul</v>
      </c>
      <c r="C104" s="666"/>
      <c r="D104" s="700">
        <f>(S104/S97-1)*100</f>
        <v>4.9841663224562849</v>
      </c>
      <c r="E104" s="700"/>
      <c r="F104" s="703">
        <v>2</v>
      </c>
      <c r="G104" s="700"/>
      <c r="H104" s="700">
        <f>D104-F104</f>
        <v>2.9841663224562849</v>
      </c>
      <c r="I104" s="667"/>
      <c r="J104" s="705">
        <f>+'store&amp;sf'!J108</f>
        <v>991</v>
      </c>
      <c r="K104" s="724"/>
      <c r="L104" s="706">
        <f>AVERAGE(J104,J103)</f>
        <v>994.5</v>
      </c>
      <c r="M104" s="667"/>
      <c r="N104" s="700">
        <f>(L104/L97-1)*100</f>
        <v>-0.84745762711864181</v>
      </c>
      <c r="O104" s="704"/>
      <c r="P104" s="703">
        <f>H104/N104*100</f>
        <v>-352.13162604984257</v>
      </c>
      <c r="Q104" s="702"/>
      <c r="R104" s="667"/>
      <c r="S104" s="712">
        <f>'segSales&amp;OM'!E102</f>
        <v>762.5</v>
      </c>
      <c r="T104" s="667"/>
      <c r="U104" s="713">
        <f>S104/L104</f>
        <v>0.76671694318753147</v>
      </c>
      <c r="V104" s="666"/>
      <c r="W104" s="730">
        <f>(U104/U97-1)*100</f>
        <v>5.8814668893149014</v>
      </c>
      <c r="X104" s="685"/>
      <c r="Y104" s="666"/>
      <c r="Z104" s="678">
        <f>+'store&amp;sf'!J472</f>
        <v>6.13</v>
      </c>
      <c r="AA104" s="724"/>
      <c r="AB104" s="710">
        <f>AVERAGE(Z104,Z103)</f>
        <v>6.1118749999999995</v>
      </c>
      <c r="AC104" s="666"/>
      <c r="AD104" s="700">
        <f>(AB104/AB97-1)*100</f>
        <v>2.9368421052631488</v>
      </c>
      <c r="AE104" s="685"/>
      <c r="AF104" s="703">
        <f>+H104/AD104*100</f>
        <v>101.61139807646879</v>
      </c>
      <c r="AG104" s="668"/>
      <c r="AH104" s="666"/>
      <c r="AI104" s="675">
        <f>+S104</f>
        <v>762.5</v>
      </c>
      <c r="AJ104" s="666"/>
      <c r="AK104" s="714">
        <f>AI104/AB104</f>
        <v>124.75713263114839</v>
      </c>
      <c r="AL104" s="666"/>
      <c r="AM104" s="730">
        <f>(AK104/AK97-1)*100</f>
        <v>1.9889129832636243</v>
      </c>
      <c r="AN104" s="685"/>
      <c r="AO104" s="666"/>
    </row>
    <row r="105" spans="1:41" hidden="1" outlineLevel="1">
      <c r="A105" s="666" t="str">
        <f>$A$28</f>
        <v>3Q</v>
      </c>
      <c r="B105" s="684" t="str">
        <f>$B$28</f>
        <v>Oct</v>
      </c>
      <c r="C105" s="666"/>
      <c r="D105" s="700">
        <f>(S105/S98-1)*100</f>
        <v>-0.68081241822102179</v>
      </c>
      <c r="E105" s="700"/>
      <c r="F105" s="703">
        <v>-4</v>
      </c>
      <c r="G105" s="700"/>
      <c r="H105" s="700">
        <f>D105-F105</f>
        <v>3.3191875817789782</v>
      </c>
      <c r="I105" s="667"/>
      <c r="J105" s="705">
        <f>+'store&amp;sf'!J109</f>
        <v>1001</v>
      </c>
      <c r="K105" s="724"/>
      <c r="L105" s="706">
        <f>AVERAGE(J105,J104)</f>
        <v>996</v>
      </c>
      <c r="M105" s="667"/>
      <c r="N105" s="700">
        <f>(L105/L98-1)*100</f>
        <v>-0.44977511244377322</v>
      </c>
      <c r="O105" s="704"/>
      <c r="P105" s="703">
        <f>H105/N105*100</f>
        <v>-737.96603901553419</v>
      </c>
      <c r="Q105" s="702"/>
      <c r="R105" s="667"/>
      <c r="S105" s="712">
        <f>'segSales&amp;OM'!E103</f>
        <v>627.73599999999999</v>
      </c>
      <c r="T105" s="667"/>
      <c r="U105" s="713">
        <f>S105/L105</f>
        <v>0.63025702811244977</v>
      </c>
      <c r="V105" s="666"/>
      <c r="W105" s="730">
        <f>(U105/U98-1)*100</f>
        <v>-0.2320811490262531</v>
      </c>
      <c r="X105" s="685"/>
      <c r="Y105" s="666"/>
      <c r="Z105" s="739">
        <f>+'store&amp;sf'!J473</f>
        <v>6.2237499999999999</v>
      </c>
      <c r="AA105" s="724"/>
      <c r="AB105" s="710">
        <f>AVERAGE(Z105,Z104)</f>
        <v>6.1768749999999999</v>
      </c>
      <c r="AC105" s="666"/>
      <c r="AD105" s="700">
        <f>(AB105/AB98-1)*100</f>
        <v>2.9693686184621981</v>
      </c>
      <c r="AE105" s="685"/>
      <c r="AF105" s="703">
        <f>+H105/AD105*100</f>
        <v>111.78092073654187</v>
      </c>
      <c r="AG105" s="668"/>
      <c r="AH105" s="666"/>
      <c r="AI105" s="675">
        <f>+S105</f>
        <v>627.73599999999999</v>
      </c>
      <c r="AJ105" s="666"/>
      <c r="AK105" s="714">
        <f>AI105/AB105</f>
        <v>101.62679348376</v>
      </c>
      <c r="AL105" s="666"/>
      <c r="AM105" s="730">
        <f>(AK105/AK98-1)*100</f>
        <v>-3.5449193149939662</v>
      </c>
      <c r="AN105" s="685"/>
      <c r="AO105" s="666"/>
    </row>
    <row r="106" spans="1:41" hidden="1" outlineLevel="1">
      <c r="A106" s="666" t="str">
        <f>$A$29</f>
        <v>4Q</v>
      </c>
      <c r="B106" s="684" t="str">
        <f>$B$29</f>
        <v>Jan</v>
      </c>
      <c r="C106" s="666"/>
      <c r="D106" s="732">
        <f>(S106/S99-1)*100</f>
        <v>5.1537070524412254</v>
      </c>
      <c r="E106" s="667"/>
      <c r="F106" s="717">
        <v>3</v>
      </c>
      <c r="G106" s="667"/>
      <c r="H106" s="732">
        <f>D106-F106</f>
        <v>2.1537070524412254</v>
      </c>
      <c r="I106" s="667"/>
      <c r="J106" s="705">
        <f>+'store&amp;sf'!J110</f>
        <v>998</v>
      </c>
      <c r="K106" s="724"/>
      <c r="L106" s="716">
        <f>AVERAGE(J106,J105)</f>
        <v>999.5</v>
      </c>
      <c r="M106" s="667"/>
      <c r="N106" s="715">
        <f>(L106/L99-1)*100</f>
        <v>-0.14985014985015033</v>
      </c>
      <c r="O106" s="704"/>
      <c r="P106" s="717">
        <f>H106/N106*100</f>
        <v>-1437.2405063291064</v>
      </c>
      <c r="Q106" s="702"/>
      <c r="R106" s="667"/>
      <c r="S106" s="718">
        <f>'segSales&amp;OM'!E104</f>
        <v>1163</v>
      </c>
      <c r="T106" s="667"/>
      <c r="U106" s="719">
        <f>S106/L106</f>
        <v>1.1635817908954478</v>
      </c>
      <c r="V106" s="666"/>
      <c r="W106" s="720">
        <f>(U106/U99-1)*100</f>
        <v>5.3115165177525681</v>
      </c>
      <c r="X106" s="685"/>
      <c r="Y106" s="666"/>
      <c r="Z106" s="678">
        <f>'store&amp;sf'!J474</f>
        <v>6.2512499999999998</v>
      </c>
      <c r="AA106" s="671"/>
      <c r="AB106" s="721">
        <f>AVERAGE(Z106,Z105)</f>
        <v>6.2374999999999998</v>
      </c>
      <c r="AC106" s="666"/>
      <c r="AD106" s="715">
        <f>(AB106/AB99-1)*100</f>
        <v>2.9502785227976114</v>
      </c>
      <c r="AE106" s="685"/>
      <c r="AF106" s="717">
        <f>+H106/AD106*100</f>
        <v>73.000126455822397</v>
      </c>
      <c r="AG106" s="668"/>
      <c r="AH106" s="666"/>
      <c r="AI106" s="722">
        <f>+S106</f>
        <v>1163</v>
      </c>
      <c r="AJ106" s="666"/>
      <c r="AK106" s="723">
        <f>AI106/AB106</f>
        <v>186.45290581162325</v>
      </c>
      <c r="AL106" s="666"/>
      <c r="AM106" s="720">
        <f>(AK106/AK99-1)*100</f>
        <v>2.1402841850065357</v>
      </c>
      <c r="AN106" s="685"/>
      <c r="AO106" s="666"/>
    </row>
    <row r="107" spans="1:41" hidden="1" outlineLevel="1">
      <c r="A107" s="666"/>
      <c r="B107" s="684" t="str">
        <f>$B$30</f>
        <v>Year</v>
      </c>
      <c r="C107" s="666"/>
      <c r="D107" s="733">
        <f>(S107/S100-1)*100</f>
        <v>3.5038913386995274</v>
      </c>
      <c r="E107" s="667"/>
      <c r="F107" s="703">
        <v>1</v>
      </c>
      <c r="G107" s="667"/>
      <c r="H107" s="733">
        <f>D107-F107</f>
        <v>2.5038913386995274</v>
      </c>
      <c r="I107" s="667"/>
      <c r="J107" s="667"/>
      <c r="K107" s="667"/>
      <c r="L107" s="725">
        <f>AVERAGE(L103:L106)</f>
        <v>997.375</v>
      </c>
      <c r="M107" s="667"/>
      <c r="N107" s="700">
        <f>(L107/L100-1)*100</f>
        <v>-0.56081754735792799</v>
      </c>
      <c r="O107" s="704"/>
      <c r="P107" s="703">
        <f>H107/N107*100</f>
        <v>-446.4716467049987</v>
      </c>
      <c r="Q107" s="702"/>
      <c r="R107" s="667"/>
      <c r="S107" s="726">
        <f>SUM(S103:S106)</f>
        <v>3222.0129999999999</v>
      </c>
      <c r="T107" s="667"/>
      <c r="U107" s="707">
        <f>SUM(U103:U106)</f>
        <v>3.229667317973318</v>
      </c>
      <c r="V107" s="666"/>
      <c r="W107" s="730">
        <f>(U107/U100-1)*100</f>
        <v>4.0312139458728691</v>
      </c>
      <c r="X107" s="685"/>
      <c r="Y107" s="666"/>
      <c r="Z107" s="676"/>
      <c r="AA107" s="666"/>
      <c r="AB107" s="710">
        <f>AVERAGE(AB103:AB106)</f>
        <v>6.1539062500000004</v>
      </c>
      <c r="AC107" s="666"/>
      <c r="AD107" s="700">
        <f>(AB107/AB100-1)*100</f>
        <v>2.953862240230043</v>
      </c>
      <c r="AE107" s="685"/>
      <c r="AF107" s="703">
        <f>+H107/AD107*100</f>
        <v>84.766693063672719</v>
      </c>
      <c r="AG107" s="668"/>
      <c r="AH107" s="666"/>
      <c r="AI107" s="673">
        <f>SUM(AI103:AI106)</f>
        <v>3222.0129999999999</v>
      </c>
      <c r="AJ107" s="666"/>
      <c r="AK107" s="711">
        <f>SUM(AK103:AK106)</f>
        <v>522.66370250027694</v>
      </c>
      <c r="AL107" s="666"/>
      <c r="AM107" s="730">
        <f>(AK107/AK100-1)*100</f>
        <v>0.5321809836898117</v>
      </c>
      <c r="AN107" s="685"/>
      <c r="AO107" s="666"/>
    </row>
    <row r="108" spans="1:41" hidden="1" outlineLevel="1">
      <c r="A108" s="666"/>
      <c r="B108" s="684"/>
      <c r="C108" s="666"/>
      <c r="D108" s="667"/>
      <c r="E108" s="667"/>
      <c r="F108" s="667"/>
      <c r="G108" s="667"/>
      <c r="H108" s="666"/>
      <c r="I108" s="666"/>
      <c r="J108" s="666"/>
      <c r="K108" s="666"/>
      <c r="L108" s="666"/>
      <c r="M108" s="666"/>
      <c r="N108" s="666"/>
      <c r="O108" s="685"/>
      <c r="P108" s="666"/>
      <c r="Q108" s="666"/>
      <c r="R108" s="666"/>
      <c r="S108" s="666"/>
      <c r="T108" s="666"/>
      <c r="U108" s="666"/>
      <c r="V108" s="666"/>
      <c r="W108" s="666"/>
      <c r="X108" s="666"/>
      <c r="Y108" s="666"/>
      <c r="Z108" s="666"/>
      <c r="AA108" s="666"/>
      <c r="AB108" s="666"/>
      <c r="AC108" s="666"/>
      <c r="AD108" s="666"/>
      <c r="AE108" s="685"/>
      <c r="AF108" s="666"/>
      <c r="AG108" s="666"/>
      <c r="AH108" s="666"/>
      <c r="AI108" s="666"/>
      <c r="AJ108" s="666"/>
      <c r="AK108" s="666"/>
      <c r="AL108" s="666"/>
      <c r="AM108" s="666"/>
      <c r="AN108" s="666"/>
      <c r="AO108" s="666"/>
    </row>
    <row r="109" spans="1:41" hidden="1" outlineLevel="1">
      <c r="A109" s="698"/>
      <c r="B109" s="738">
        <f>B102+1</f>
        <v>2006</v>
      </c>
      <c r="C109" s="666"/>
      <c r="D109" s="700"/>
      <c r="E109" s="701"/>
      <c r="F109" s="703"/>
      <c r="G109" s="701"/>
      <c r="H109" s="700"/>
      <c r="I109" s="704"/>
      <c r="J109" s="705"/>
      <c r="K109" s="667"/>
      <c r="L109" s="667"/>
      <c r="M109" s="667"/>
      <c r="N109" s="667"/>
      <c r="O109" s="704"/>
      <c r="P109" s="735"/>
      <c r="Q109" s="702"/>
      <c r="R109" s="667"/>
      <c r="S109" s="667"/>
      <c r="T109" s="667"/>
      <c r="U109" s="667"/>
      <c r="V109" s="666"/>
      <c r="W109" s="666"/>
      <c r="X109" s="685"/>
      <c r="Y109" s="666"/>
      <c r="Z109" s="676"/>
      <c r="AA109" s="666"/>
      <c r="AB109" s="679"/>
      <c r="AC109" s="666"/>
      <c r="AD109" s="667"/>
      <c r="AE109" s="685"/>
      <c r="AF109" s="703"/>
      <c r="AG109" s="668"/>
      <c r="AH109" s="666"/>
      <c r="AI109" s="666"/>
      <c r="AJ109" s="666"/>
      <c r="AK109" s="666"/>
      <c r="AL109" s="666"/>
      <c r="AM109" s="666"/>
      <c r="AN109" s="685"/>
      <c r="AO109" s="666"/>
    </row>
    <row r="110" spans="1:41" hidden="1" outlineLevel="1">
      <c r="A110" s="666" t="str">
        <f>$A$26</f>
        <v>1Q</v>
      </c>
      <c r="B110" s="684" t="str">
        <f>$B$26</f>
        <v>Apr</v>
      </c>
      <c r="C110" s="666"/>
      <c r="D110" s="700">
        <f>(S110/S103-1)*100</f>
        <v>10.111442229622124</v>
      </c>
      <c r="E110" s="701" t="s">
        <v>1084</v>
      </c>
      <c r="F110" s="703">
        <v>8</v>
      </c>
      <c r="G110" s="701" t="s">
        <v>1084</v>
      </c>
      <c r="H110" s="700">
        <f>D110-F110</f>
        <v>2.1114422296221242</v>
      </c>
      <c r="I110" s="704" t="s">
        <v>1084</v>
      </c>
      <c r="J110" s="705">
        <f>+'store&amp;sf'!J113</f>
        <v>994</v>
      </c>
      <c r="K110" s="667"/>
      <c r="L110" s="706">
        <f>AVERAGE(J110,J106)</f>
        <v>996</v>
      </c>
      <c r="M110" s="667"/>
      <c r="N110" s="700">
        <f>(L110/L103-1)*100</f>
        <v>-0.35017508754376925</v>
      </c>
      <c r="O110" s="704" t="s">
        <v>1084</v>
      </c>
      <c r="P110" s="703">
        <f>H110/N110*100</f>
        <v>-602.96757385923684</v>
      </c>
      <c r="Q110" s="702" t="s">
        <v>1084</v>
      </c>
      <c r="R110" s="667"/>
      <c r="S110" s="726">
        <f>'segSales&amp;OM'!E115</f>
        <v>736.4</v>
      </c>
      <c r="T110" s="667"/>
      <c r="U110" s="707">
        <f>S110/L110</f>
        <v>0.73935742971887553</v>
      </c>
      <c r="V110" s="666"/>
      <c r="W110" s="730">
        <f>(U110/U103-1)*100</f>
        <v>10.498380028621801</v>
      </c>
      <c r="X110" s="685" t="s">
        <v>1084</v>
      </c>
      <c r="Y110" s="666"/>
      <c r="Z110" s="678">
        <f>'store&amp;sf'!J477</f>
        <v>6.2487499999999994</v>
      </c>
      <c r="AA110" s="666"/>
      <c r="AB110" s="710">
        <f>AVERAGE(Z110,Z106)</f>
        <v>6.25</v>
      </c>
      <c r="AC110" s="666"/>
      <c r="AD110" s="700">
        <f>(AB110/AB103-1)*100</f>
        <v>2.6377912347326227</v>
      </c>
      <c r="AE110" s="685" t="s">
        <v>1084</v>
      </c>
      <c r="AF110" s="703">
        <f>+H110/AD110*100</f>
        <v>80.045842969682496</v>
      </c>
      <c r="AG110" s="668" t="s">
        <v>1084</v>
      </c>
      <c r="AH110" s="666"/>
      <c r="AI110" s="673">
        <f>+S110</f>
        <v>736.4</v>
      </c>
      <c r="AJ110" s="666"/>
      <c r="AK110" s="711">
        <f>AI110/AB110</f>
        <v>117.824</v>
      </c>
      <c r="AL110" s="666"/>
      <c r="AM110" s="730">
        <f>(AK110/AK103-1)*100</f>
        <v>7.2815781643208455</v>
      </c>
      <c r="AN110" s="685" t="s">
        <v>1084</v>
      </c>
      <c r="AO110" s="666"/>
    </row>
    <row r="111" spans="1:41" hidden="1" outlineLevel="1">
      <c r="A111" s="666" t="str">
        <f>$A$27</f>
        <v>2Q</v>
      </c>
      <c r="B111" s="684" t="str">
        <f>$B$27</f>
        <v>Jul</v>
      </c>
      <c r="C111" s="666"/>
      <c r="D111" s="700">
        <f>(S111/S104-1)*100</f>
        <v>14.006557377049166</v>
      </c>
      <c r="E111" s="700"/>
      <c r="F111" s="703">
        <v>11</v>
      </c>
      <c r="G111" s="700"/>
      <c r="H111" s="700">
        <f>D111-F111</f>
        <v>3.006557377049166</v>
      </c>
      <c r="I111" s="667"/>
      <c r="J111" s="705">
        <f>+'store&amp;sf'!J114</f>
        <v>991</v>
      </c>
      <c r="K111" s="724"/>
      <c r="L111" s="706">
        <f>AVERAGE(J111,J110)</f>
        <v>992.5</v>
      </c>
      <c r="M111" s="667"/>
      <c r="N111" s="700">
        <f>(L111/L104-1)*100</f>
        <v>-0.20110608345902392</v>
      </c>
      <c r="O111" s="704"/>
      <c r="P111" s="703">
        <f>H111/N111*100</f>
        <v>-1495.0106557377032</v>
      </c>
      <c r="Q111" s="702"/>
      <c r="R111" s="667"/>
      <c r="S111" s="712">
        <f>'segSales&amp;OM'!$E$116</f>
        <v>869.3</v>
      </c>
      <c r="T111" s="667"/>
      <c r="U111" s="713">
        <f>S111/L111</f>
        <v>0.87586901763224179</v>
      </c>
      <c r="V111" s="666"/>
      <c r="W111" s="730">
        <f>(U111/U104-1)*100</f>
        <v>14.236293512821563</v>
      </c>
      <c r="X111" s="685"/>
      <c r="Y111" s="666"/>
      <c r="Z111" s="678">
        <f>'store&amp;sf'!J478</f>
        <v>6.2762499999999992</v>
      </c>
      <c r="AA111" s="724"/>
      <c r="AB111" s="710">
        <f>AVERAGE(Z111,Z110)</f>
        <v>6.2624999999999993</v>
      </c>
      <c r="AC111" s="666"/>
      <c r="AD111" s="700">
        <f>(AB111/AB104-1)*100</f>
        <v>2.4644646691890815</v>
      </c>
      <c r="AE111" s="685"/>
      <c r="AF111" s="703">
        <f>+H111/AD111*100</f>
        <v>121.99636759404051</v>
      </c>
      <c r="AG111" s="668"/>
      <c r="AH111" s="666"/>
      <c r="AI111" s="675">
        <f>+S111</f>
        <v>869.3</v>
      </c>
      <c r="AJ111" s="666"/>
      <c r="AK111" s="714">
        <f>AI111/AB111</f>
        <v>138.81037924151698</v>
      </c>
      <c r="AL111" s="666"/>
      <c r="AM111" s="730">
        <f>(AK111/AK104-1)*100</f>
        <v>11.26448349203233</v>
      </c>
      <c r="AN111" s="685"/>
      <c r="AO111" s="666"/>
    </row>
    <row r="112" spans="1:41" hidden="1" outlineLevel="1">
      <c r="A112" s="666" t="str">
        <f>$A$28</f>
        <v>3Q</v>
      </c>
      <c r="B112" s="684" t="str">
        <f>$B$28</f>
        <v>Oct</v>
      </c>
      <c r="C112" s="666"/>
      <c r="D112" s="700">
        <f>(S112/S105-1)*100</f>
        <v>18.712324926402204</v>
      </c>
      <c r="E112" s="700"/>
      <c r="F112" s="703">
        <v>17</v>
      </c>
      <c r="G112" s="700"/>
      <c r="H112" s="700">
        <f>D112-F112</f>
        <v>1.7123249264022036</v>
      </c>
      <c r="I112" s="667"/>
      <c r="J112" s="705">
        <f>+'store&amp;sf'!J115</f>
        <v>1001</v>
      </c>
      <c r="K112" s="724"/>
      <c r="L112" s="706">
        <f>AVERAGE(J112,J111)</f>
        <v>996</v>
      </c>
      <c r="M112" s="667"/>
      <c r="N112" s="700">
        <f>(L112/L105-1)*100</f>
        <v>0</v>
      </c>
      <c r="O112" s="704"/>
      <c r="P112" s="740" t="s">
        <v>886</v>
      </c>
      <c r="Q112" s="702"/>
      <c r="R112" s="667"/>
      <c r="S112" s="712">
        <f>'segSales&amp;OM'!$E$117</f>
        <v>745.2</v>
      </c>
      <c r="T112" s="667"/>
      <c r="U112" s="713">
        <f>S112/L112</f>
        <v>0.74819277108433735</v>
      </c>
      <c r="V112" s="666"/>
      <c r="W112" s="730">
        <f>(U112/U105-1)*100</f>
        <v>18.712324926402179</v>
      </c>
      <c r="X112" s="685"/>
      <c r="Y112" s="666"/>
      <c r="Z112" s="678">
        <f>'store&amp;sf'!J479</f>
        <v>6.3587499999999997</v>
      </c>
      <c r="AA112" s="724"/>
      <c r="AB112" s="710">
        <f>AVERAGE(Z112,Z111)</f>
        <v>6.317499999999999</v>
      </c>
      <c r="AC112" s="666"/>
      <c r="AD112" s="700">
        <f>(AB112/AB105-1)*100</f>
        <v>2.2766366487908307</v>
      </c>
      <c r="AE112" s="685"/>
      <c r="AF112" s="703">
        <f>+H112/AD112*100</f>
        <v>75.212921100591743</v>
      </c>
      <c r="AG112" s="668"/>
      <c r="AH112" s="666"/>
      <c r="AI112" s="675">
        <f>+S112</f>
        <v>745.2</v>
      </c>
      <c r="AJ112" s="666"/>
      <c r="AK112" s="714">
        <f>AI112/AB112</f>
        <v>117.95805302730513</v>
      </c>
      <c r="AL112" s="666"/>
      <c r="AM112" s="730">
        <f>(AK112/AK105-1)*100</f>
        <v>16.069836490664112</v>
      </c>
      <c r="AN112" s="685"/>
      <c r="AO112" s="666"/>
    </row>
    <row r="113" spans="1:41" hidden="1" outlineLevel="1">
      <c r="A113" s="666" t="str">
        <f>$A$29</f>
        <v>4Q</v>
      </c>
      <c r="B113" s="684" t="str">
        <f>$B$29</f>
        <v>Jan</v>
      </c>
      <c r="C113" s="666"/>
      <c r="D113" s="732">
        <f>(S113/S106-1)*100</f>
        <v>16.001719690455719</v>
      </c>
      <c r="E113" s="667"/>
      <c r="F113" s="717">
        <v>10</v>
      </c>
      <c r="G113" s="667"/>
      <c r="H113" s="732">
        <f>D113-F113</f>
        <v>6.0017196904557188</v>
      </c>
      <c r="I113" s="667"/>
      <c r="J113" s="705">
        <f>+'store&amp;sf'!J116</f>
        <v>1003</v>
      </c>
      <c r="K113" s="724"/>
      <c r="L113" s="716">
        <f>AVERAGE(J113,J112)</f>
        <v>1002</v>
      </c>
      <c r="M113" s="667"/>
      <c r="N113" s="715">
        <f>(L113/L106-1)*100</f>
        <v>0.25012506253125899</v>
      </c>
      <c r="O113" s="704"/>
      <c r="P113" s="741">
        <f>H113/N113*100</f>
        <v>2399.4875322442604</v>
      </c>
      <c r="Q113" s="702"/>
      <c r="R113" s="667"/>
      <c r="S113" s="718">
        <f>'segSales&amp;OM'!$E$118</f>
        <v>1349.1</v>
      </c>
      <c r="T113" s="667"/>
      <c r="U113" s="719">
        <f>S113/L113</f>
        <v>1.3464071856287425</v>
      </c>
      <c r="V113" s="666"/>
      <c r="W113" s="720">
        <f>(U113/U106-1)*100</f>
        <v>15.712294242126234</v>
      </c>
      <c r="X113" s="685"/>
      <c r="Y113" s="666"/>
      <c r="Z113" s="678">
        <f>'store&amp;sf'!J480</f>
        <v>6.4074999999999998</v>
      </c>
      <c r="AA113" s="671"/>
      <c r="AB113" s="721">
        <f>AVERAGE(Z113,Z112)</f>
        <v>6.3831249999999997</v>
      </c>
      <c r="AC113" s="666"/>
      <c r="AD113" s="715">
        <f>(AB113/AB106-1)*100</f>
        <v>2.3346693386773421</v>
      </c>
      <c r="AE113" s="685"/>
      <c r="AF113" s="717">
        <f>+H113/AD113*100</f>
        <v>257.0693669989202</v>
      </c>
      <c r="AG113" s="668"/>
      <c r="AH113" s="666"/>
      <c r="AI113" s="722">
        <f>+S113</f>
        <v>1349.1</v>
      </c>
      <c r="AJ113" s="666"/>
      <c r="AK113" s="723">
        <f>AI113/AB113</f>
        <v>211.35415646724763</v>
      </c>
      <c r="AL113" s="666"/>
      <c r="AM113" s="720">
        <f>(AK113/AK106-1)*100</f>
        <v>13.355249438044471</v>
      </c>
      <c r="AN113" s="685"/>
      <c r="AO113" s="666"/>
    </row>
    <row r="114" spans="1:41" hidden="1" outlineLevel="1">
      <c r="A114" s="666"/>
      <c r="B114" s="684" t="str">
        <f>$B$30</f>
        <v>Year</v>
      </c>
      <c r="C114" s="666"/>
      <c r="D114" s="733">
        <f>(S114/S107-1)*100</f>
        <v>14.835042565005164</v>
      </c>
      <c r="E114" s="667"/>
      <c r="F114" s="703">
        <v>11</v>
      </c>
      <c r="G114" s="667"/>
      <c r="H114" s="733">
        <f>D114-F114</f>
        <v>3.8350425650051641</v>
      </c>
      <c r="I114" s="667"/>
      <c r="J114" s="667"/>
      <c r="K114" s="667"/>
      <c r="L114" s="725">
        <f>AVERAGE(L110:L113)</f>
        <v>996.625</v>
      </c>
      <c r="M114" s="667"/>
      <c r="N114" s="700">
        <f>(L114/L107-1)*100</f>
        <v>-7.5197393157033776E-2</v>
      </c>
      <c r="O114" s="704"/>
      <c r="P114" s="703">
        <f>H114/N114*100</f>
        <v>-5099.9674376962685</v>
      </c>
      <c r="Q114" s="702"/>
      <c r="R114" s="667"/>
      <c r="S114" s="726">
        <f>SUM(S110:S113)</f>
        <v>3699.9999999999995</v>
      </c>
      <c r="T114" s="667"/>
      <c r="U114" s="707">
        <f>SUM(U110:U113)</f>
        <v>3.7098264040641968</v>
      </c>
      <c r="V114" s="666"/>
      <c r="W114" s="730">
        <f>(U114/U107-1)*100</f>
        <v>14.867137659001628</v>
      </c>
      <c r="X114" s="685"/>
      <c r="Y114" s="666"/>
      <c r="Z114" s="676"/>
      <c r="AA114" s="666"/>
      <c r="AB114" s="710">
        <f>AVERAGE(AB110:AB113)</f>
        <v>6.3032812499999995</v>
      </c>
      <c r="AC114" s="666"/>
      <c r="AD114" s="700">
        <f>(AB114/AB107-1)*100</f>
        <v>2.4273200457026745</v>
      </c>
      <c r="AE114" s="685"/>
      <c r="AF114" s="703">
        <f>+H114/AD114*100</f>
        <v>157.99492826645258</v>
      </c>
      <c r="AG114" s="668"/>
      <c r="AH114" s="666"/>
      <c r="AI114" s="673">
        <f>SUM(AI110:AI113)</f>
        <v>3699.9999999999995</v>
      </c>
      <c r="AJ114" s="666"/>
      <c r="AK114" s="711">
        <f>SUM(AK110:AK113)</f>
        <v>585.94658873606977</v>
      </c>
      <c r="AL114" s="666"/>
      <c r="AM114" s="730">
        <f>(AK114/AK107-1)*100</f>
        <v>12.10776373661786</v>
      </c>
      <c r="AN114" s="685"/>
      <c r="AO114" s="666"/>
    </row>
    <row r="115" spans="1:41" hidden="1" outlineLevel="1">
      <c r="A115" s="666"/>
      <c r="B115" s="684"/>
      <c r="C115" s="666"/>
      <c r="D115" s="733"/>
      <c r="E115" s="667"/>
      <c r="F115" s="703"/>
      <c r="G115" s="667"/>
      <c r="H115" s="733"/>
      <c r="I115" s="667"/>
      <c r="J115" s="667"/>
      <c r="K115" s="667"/>
      <c r="L115" s="725"/>
      <c r="M115" s="667"/>
      <c r="N115" s="700"/>
      <c r="O115" s="704"/>
      <c r="P115" s="703"/>
      <c r="Q115" s="702"/>
      <c r="R115" s="667"/>
      <c r="S115" s="726"/>
      <c r="T115" s="667"/>
      <c r="U115" s="707"/>
      <c r="V115" s="666"/>
      <c r="W115" s="730"/>
      <c r="X115" s="685"/>
      <c r="Y115" s="666"/>
      <c r="Z115" s="676"/>
      <c r="AA115" s="666"/>
      <c r="AB115" s="710"/>
      <c r="AC115" s="666"/>
      <c r="AD115" s="700"/>
      <c r="AE115" s="685"/>
      <c r="AF115" s="703"/>
      <c r="AG115" s="668"/>
      <c r="AH115" s="666"/>
      <c r="AI115" s="673"/>
      <c r="AJ115" s="666"/>
      <c r="AK115" s="711"/>
      <c r="AL115" s="666"/>
      <c r="AM115" s="730"/>
      <c r="AN115" s="685"/>
      <c r="AO115" s="666"/>
    </row>
    <row r="116" spans="1:41" hidden="1" outlineLevel="1">
      <c r="A116" s="698"/>
      <c r="B116" s="738">
        <f>B109+1</f>
        <v>2007</v>
      </c>
      <c r="C116" s="666"/>
      <c r="D116" s="700"/>
      <c r="E116" s="701"/>
      <c r="F116" s="703"/>
      <c r="G116" s="701"/>
      <c r="H116" s="700"/>
      <c r="I116" s="704"/>
      <c r="J116" s="705"/>
      <c r="K116" s="667"/>
      <c r="L116" s="667"/>
      <c r="M116" s="667"/>
      <c r="N116" s="667"/>
      <c r="O116" s="704"/>
      <c r="P116" s="735"/>
      <c r="Q116" s="702"/>
      <c r="R116" s="667"/>
      <c r="S116" s="667"/>
      <c r="T116" s="667"/>
      <c r="U116" s="667"/>
      <c r="V116" s="666"/>
      <c r="W116" s="666"/>
      <c r="X116" s="685"/>
      <c r="Y116" s="666"/>
      <c r="Z116" s="676"/>
      <c r="AA116" s="666"/>
      <c r="AB116" s="679"/>
      <c r="AC116" s="666"/>
      <c r="AD116" s="667"/>
      <c r="AE116" s="685"/>
      <c r="AF116" s="703"/>
      <c r="AG116" s="668"/>
      <c r="AH116" s="666"/>
      <c r="AI116" s="666"/>
      <c r="AJ116" s="666"/>
      <c r="AK116" s="666"/>
      <c r="AL116" s="666"/>
      <c r="AM116" s="666"/>
      <c r="AN116" s="685"/>
      <c r="AO116" s="666"/>
    </row>
    <row r="117" spans="1:41" hidden="1" outlineLevel="1">
      <c r="A117" s="666" t="str">
        <f>$A$26</f>
        <v>1Q</v>
      </c>
      <c r="B117" s="684" t="str">
        <f>$B$26</f>
        <v>Apr</v>
      </c>
      <c r="C117" s="666"/>
      <c r="D117" s="700">
        <f>(S117/S110-1)*100</f>
        <v>4.7256925583921916</v>
      </c>
      <c r="E117" s="701" t="s">
        <v>1084</v>
      </c>
      <c r="F117" s="703">
        <v>2</v>
      </c>
      <c r="G117" s="701" t="s">
        <v>1084</v>
      </c>
      <c r="H117" s="700">
        <f>D117-F117</f>
        <v>2.7256925583921916</v>
      </c>
      <c r="I117" s="704" t="s">
        <v>1084</v>
      </c>
      <c r="J117" s="705">
        <f>'store&amp;sf'!$J$119</f>
        <v>1003</v>
      </c>
      <c r="K117" s="667"/>
      <c r="L117" s="706">
        <f>AVERAGE(J117,J113)</f>
        <v>1003</v>
      </c>
      <c r="M117" s="667"/>
      <c r="N117" s="700">
        <f>(L117/L110-1)*100</f>
        <v>0.70281124497992842</v>
      </c>
      <c r="O117" s="704" t="s">
        <v>1084</v>
      </c>
      <c r="P117" s="745">
        <f>H117/N117*100</f>
        <v>387.82711259408416</v>
      </c>
      <c r="Q117" s="702" t="s">
        <v>1084</v>
      </c>
      <c r="R117" s="667"/>
      <c r="S117" s="726">
        <f>'segSales&amp;OM'!E122</f>
        <v>771.2</v>
      </c>
      <c r="T117" s="667"/>
      <c r="U117" s="707">
        <f>S117/L117</f>
        <v>0.76889332003988042</v>
      </c>
      <c r="V117" s="666"/>
      <c r="W117" s="730">
        <f>(U117/U110-1)*100</f>
        <v>3.994805372042487</v>
      </c>
      <c r="X117" s="685" t="s">
        <v>1084</v>
      </c>
      <c r="Y117" s="666"/>
      <c r="Z117" s="678">
        <f>'store&amp;sf'!J483</f>
        <v>6.43</v>
      </c>
      <c r="AA117" s="666"/>
      <c r="AB117" s="710">
        <f>AVERAGE(Z117,Z113)</f>
        <v>6.4187499999999993</v>
      </c>
      <c r="AC117" s="666"/>
      <c r="AD117" s="700">
        <f>(AB117/AB110-1)*100</f>
        <v>2.6999999999999913</v>
      </c>
      <c r="AE117" s="685" t="s">
        <v>1084</v>
      </c>
      <c r="AF117" s="703">
        <f>+H117/AD117*100</f>
        <v>100.95157623674815</v>
      </c>
      <c r="AG117" s="668" t="s">
        <v>1084</v>
      </c>
      <c r="AH117" s="666"/>
      <c r="AI117" s="673">
        <f>+S117</f>
        <v>771.2</v>
      </c>
      <c r="AJ117" s="666"/>
      <c r="AK117" s="711">
        <f>AI117/AB117</f>
        <v>120.14800389483936</v>
      </c>
      <c r="AL117" s="666"/>
      <c r="AM117" s="730">
        <f>(AK117/AK110-1)*100</f>
        <v>1.972436765717811</v>
      </c>
      <c r="AN117" s="685" t="s">
        <v>1084</v>
      </c>
      <c r="AO117" s="666"/>
    </row>
    <row r="118" spans="1:41" hidden="1" outlineLevel="1">
      <c r="A118" s="666" t="str">
        <f>$A$27</f>
        <v>2Q</v>
      </c>
      <c r="B118" s="684" t="str">
        <f>$B$27</f>
        <v>Jul</v>
      </c>
      <c r="C118" s="666"/>
      <c r="D118" s="700">
        <f>(S118/S111-1)*100</f>
        <v>5.8782928793281952</v>
      </c>
      <c r="E118" s="700"/>
      <c r="F118" s="703">
        <v>4</v>
      </c>
      <c r="G118" s="700"/>
      <c r="H118" s="700">
        <f>D118-F118</f>
        <v>1.8782928793281952</v>
      </c>
      <c r="I118" s="667"/>
      <c r="J118" s="705">
        <f>'store&amp;sf'!$J$120</f>
        <v>1006</v>
      </c>
      <c r="K118" s="724"/>
      <c r="L118" s="706">
        <f>AVERAGE(J118,J117)</f>
        <v>1004.5</v>
      </c>
      <c r="M118" s="667"/>
      <c r="N118" s="700">
        <f>(L118/L111-1)*100</f>
        <v>1.2090680100755646</v>
      </c>
      <c r="O118" s="704"/>
      <c r="P118" s="745">
        <f>H118/N118*100</f>
        <v>155.35047356110309</v>
      </c>
      <c r="Q118" s="702"/>
      <c r="R118" s="667"/>
      <c r="S118" s="712">
        <f>'segSales&amp;OM'!E123</f>
        <v>920.4</v>
      </c>
      <c r="T118" s="667"/>
      <c r="U118" s="713">
        <f>S118/L118</f>
        <v>0.91627675460428071</v>
      </c>
      <c r="V118" s="666"/>
      <c r="W118" s="730">
        <f>(U118/U111-1)*100</f>
        <v>4.6134451794258124</v>
      </c>
      <c r="X118" s="685"/>
      <c r="Y118" s="666"/>
      <c r="Z118" s="678">
        <f>'store&amp;sf'!J484</f>
        <v>6.5962499999999995</v>
      </c>
      <c r="AA118" s="724"/>
      <c r="AB118" s="710">
        <f>AVERAGE(Z118,Z117)</f>
        <v>6.5131249999999996</v>
      </c>
      <c r="AC118" s="666"/>
      <c r="AD118" s="700">
        <f>(AB118/AB111-1)*100</f>
        <v>4.0019960079840322</v>
      </c>
      <c r="AE118" s="685"/>
      <c r="AF118" s="703">
        <f>+H118/AD118*100</f>
        <v>46.933901872490061</v>
      </c>
      <c r="AG118" s="668"/>
      <c r="AH118" s="666"/>
      <c r="AI118" s="675">
        <f>+S118</f>
        <v>920.4</v>
      </c>
      <c r="AJ118" s="666"/>
      <c r="AK118" s="714">
        <f>AI118/AB118</f>
        <v>141.3146531043086</v>
      </c>
      <c r="AL118" s="666"/>
      <c r="AM118" s="730">
        <f>(AK118/AK111-1)*100</f>
        <v>1.804096982138792</v>
      </c>
      <c r="AN118" s="685"/>
      <c r="AO118" s="666"/>
    </row>
    <row r="119" spans="1:41" hidden="1" outlineLevel="1">
      <c r="A119" s="666" t="str">
        <f>$A$28</f>
        <v>3Q</v>
      </c>
      <c r="B119" s="684" t="str">
        <f>$B$28</f>
        <v>Oct</v>
      </c>
      <c r="C119" s="666"/>
      <c r="D119" s="700">
        <f>(S119/S112-1)*100</f>
        <v>-1.3821792807300115</v>
      </c>
      <c r="E119" s="700"/>
      <c r="F119" s="736">
        <v>-4</v>
      </c>
      <c r="G119" s="700"/>
      <c r="H119" s="700">
        <f>D119-F119</f>
        <v>2.6178207192699885</v>
      </c>
      <c r="I119" s="667"/>
      <c r="J119" s="705">
        <f>'store&amp;sf'!$J$121</f>
        <v>1019</v>
      </c>
      <c r="K119" s="724"/>
      <c r="L119" s="706">
        <f>AVERAGE(J119,J118)</f>
        <v>1012.5</v>
      </c>
      <c r="M119" s="667"/>
      <c r="N119" s="700">
        <f>(L119/L112-1)*100</f>
        <v>1.6566265060240948</v>
      </c>
      <c r="O119" s="704"/>
      <c r="P119" s="745">
        <f>H119/N119*100</f>
        <v>158.02117796320672</v>
      </c>
      <c r="Q119" s="702"/>
      <c r="R119" s="667"/>
      <c r="S119" s="712">
        <f>'segSales&amp;OM'!E124</f>
        <v>734.9</v>
      </c>
      <c r="T119" s="667"/>
      <c r="U119" s="713">
        <f>S119/L119</f>
        <v>0.72582716049382712</v>
      </c>
      <c r="V119" s="666"/>
      <c r="W119" s="730">
        <f>(U119/U112-1)*100</f>
        <v>-2.9892845072662655</v>
      </c>
      <c r="X119" s="685"/>
      <c r="Y119" s="666"/>
      <c r="Z119" s="678">
        <f>'store&amp;sf'!J485</f>
        <v>6.8862500000000004</v>
      </c>
      <c r="AA119" s="724"/>
      <c r="AB119" s="710">
        <f>AVERAGE(Z119,Z118)</f>
        <v>6.74125</v>
      </c>
      <c r="AC119" s="666"/>
      <c r="AD119" s="700">
        <f>(AB119/AB112-1)*100</f>
        <v>6.7075583696082575</v>
      </c>
      <c r="AE119" s="685"/>
      <c r="AF119" s="703">
        <f>+H119/AD119*100</f>
        <v>39.027923053659201</v>
      </c>
      <c r="AG119" s="668"/>
      <c r="AH119" s="666"/>
      <c r="AI119" s="675">
        <f>+S119</f>
        <v>734.9</v>
      </c>
      <c r="AJ119" s="666"/>
      <c r="AK119" s="714">
        <f>AI119/AB119</f>
        <v>109.0153903207862</v>
      </c>
      <c r="AL119" s="666"/>
      <c r="AM119" s="730">
        <f>(AK119/AK112-1)*100</f>
        <v>-7.5812227118133846</v>
      </c>
      <c r="AN119" s="685"/>
      <c r="AO119" s="666"/>
    </row>
    <row r="120" spans="1:41" hidden="1" outlineLevel="1">
      <c r="A120" s="666" t="str">
        <f>$A$29</f>
        <v>4Q</v>
      </c>
      <c r="B120" s="684" t="str">
        <f>$B$29</f>
        <v>Jan</v>
      </c>
      <c r="C120" s="666"/>
      <c r="D120" s="732">
        <f>(S120/S113-1)*100</f>
        <v>-3.9258023867763669</v>
      </c>
      <c r="E120" s="667"/>
      <c r="F120" s="737">
        <v>-8</v>
      </c>
      <c r="G120" s="667"/>
      <c r="H120" s="732">
        <f>D120-F120</f>
        <v>4.0741976132236335</v>
      </c>
      <c r="I120" s="667"/>
      <c r="J120" s="705">
        <f>'store&amp;sf'!$J$122</f>
        <v>1020</v>
      </c>
      <c r="K120" s="724"/>
      <c r="L120" s="716">
        <f>AVERAGE(J120,J119)</f>
        <v>1019.5</v>
      </c>
      <c r="M120" s="667"/>
      <c r="N120" s="715">
        <f>(L120/L113-1)*100</f>
        <v>1.7465069860279403</v>
      </c>
      <c r="O120" s="704"/>
      <c r="P120" s="741">
        <f>H120/N120*100</f>
        <v>233.27691476857657</v>
      </c>
      <c r="Q120" s="702"/>
      <c r="R120" s="667"/>
      <c r="S120" s="718">
        <f>'segSales&amp;OM'!E125</f>
        <v>1296.1369999999999</v>
      </c>
      <c r="T120" s="667"/>
      <c r="U120" s="719">
        <f>S120/L120</f>
        <v>1.2713457577243747</v>
      </c>
      <c r="V120" s="666"/>
      <c r="W120" s="720">
        <f>(U120/U113-1)*100</f>
        <v>-5.5749426106423865</v>
      </c>
      <c r="X120" s="685"/>
      <c r="Y120" s="666"/>
      <c r="Z120" s="678">
        <f>'store&amp;sf'!J486</f>
        <v>6.9987500000000002</v>
      </c>
      <c r="AA120" s="671"/>
      <c r="AB120" s="721">
        <f>AVERAGE(Z120,Z119)</f>
        <v>6.9425000000000008</v>
      </c>
      <c r="AC120" s="666"/>
      <c r="AD120" s="715">
        <f>(AB120/AB113-1)*100</f>
        <v>8.7633408401057711</v>
      </c>
      <c r="AE120" s="685"/>
      <c r="AF120" s="717">
        <f>+H120/AD120*100</f>
        <v>46.491374551790905</v>
      </c>
      <c r="AG120" s="668"/>
      <c r="AH120" s="666"/>
      <c r="AI120" s="722">
        <f>+S120</f>
        <v>1296.1369999999999</v>
      </c>
      <c r="AJ120" s="666"/>
      <c r="AK120" s="723">
        <f>AI120/AB120</f>
        <v>186.69600288080659</v>
      </c>
      <c r="AL120" s="666"/>
      <c r="AM120" s="720">
        <f>(AK120/AK113-1)*100</f>
        <v>-11.666746468864542</v>
      </c>
      <c r="AN120" s="685"/>
      <c r="AO120" s="666"/>
    </row>
    <row r="121" spans="1:41" hidden="1" outlineLevel="1">
      <c r="A121" s="666"/>
      <c r="B121" s="684" t="str">
        <f>$B$30</f>
        <v>Year</v>
      </c>
      <c r="C121" s="666"/>
      <c r="D121" s="733">
        <f>(S121/S114-1)*100</f>
        <v>0.6118108108108089</v>
      </c>
      <c r="E121" s="667"/>
      <c r="F121" s="703">
        <v>-2</v>
      </c>
      <c r="G121" s="667"/>
      <c r="H121" s="733">
        <f>D121-F121</f>
        <v>2.6118108108108089</v>
      </c>
      <c r="I121" s="667"/>
      <c r="J121" s="667"/>
      <c r="K121" s="667"/>
      <c r="L121" s="725">
        <f>AVERAGE(L117:L120)</f>
        <v>1009.875</v>
      </c>
      <c r="M121" s="667"/>
      <c r="N121" s="700">
        <f>(L121/L114-1)*100</f>
        <v>1.3294870186880692</v>
      </c>
      <c r="O121" s="704"/>
      <c r="P121" s="703">
        <f>H121/N121*100</f>
        <v>196.4525244773078</v>
      </c>
      <c r="Q121" s="702"/>
      <c r="R121" s="667"/>
      <c r="S121" s="726">
        <f>SUM(S117:S120)</f>
        <v>3722.6369999999997</v>
      </c>
      <c r="T121" s="667"/>
      <c r="U121" s="707">
        <f>SUM(U117:U120)</f>
        <v>3.6823429928623632</v>
      </c>
      <c r="V121" s="666"/>
      <c r="W121" s="730">
        <f>(U121/U114-1)*100</f>
        <v>-0.74082741908690908</v>
      </c>
      <c r="X121" s="685"/>
      <c r="Y121" s="666"/>
      <c r="Z121" s="676"/>
      <c r="AA121" s="666"/>
      <c r="AB121" s="710">
        <f>AVERAGE(AB117:AB120)</f>
        <v>6.6539062500000004</v>
      </c>
      <c r="AC121" s="666"/>
      <c r="AD121" s="700">
        <f>(AB121/AB114-1)*100</f>
        <v>5.5625790139064657</v>
      </c>
      <c r="AE121" s="685"/>
      <c r="AF121" s="703">
        <f>+H121/AD121*100</f>
        <v>46.953235257985071</v>
      </c>
      <c r="AG121" s="668"/>
      <c r="AH121" s="666"/>
      <c r="AI121" s="673">
        <f>SUM(AI117:AI120)</f>
        <v>3722.6369999999997</v>
      </c>
      <c r="AJ121" s="666"/>
      <c r="AK121" s="711">
        <f>SUM(AK117:AK120)</f>
        <v>557.17405020074079</v>
      </c>
      <c r="AL121" s="666"/>
      <c r="AM121" s="730">
        <f>(AK121/AK114-1)*100</f>
        <v>-4.9104370753985442</v>
      </c>
      <c r="AN121" s="685"/>
      <c r="AO121" s="666"/>
    </row>
    <row r="122" spans="1:41" hidden="1" outlineLevel="1">
      <c r="A122" s="666"/>
      <c r="B122" s="684"/>
      <c r="C122" s="666"/>
      <c r="D122" s="733"/>
      <c r="E122" s="667"/>
      <c r="F122" s="703"/>
      <c r="G122" s="667"/>
      <c r="H122" s="733"/>
      <c r="I122" s="667"/>
      <c r="J122" s="667"/>
      <c r="K122" s="667"/>
      <c r="L122" s="725"/>
      <c r="M122" s="667"/>
      <c r="N122" s="700"/>
      <c r="O122" s="704"/>
      <c r="P122" s="703"/>
      <c r="Q122" s="702"/>
      <c r="R122" s="667"/>
      <c r="S122" s="726"/>
      <c r="T122" s="667"/>
      <c r="U122" s="707"/>
      <c r="V122" s="666"/>
      <c r="W122" s="730"/>
      <c r="X122" s="685"/>
      <c r="Y122" s="666"/>
      <c r="Z122" s="676"/>
      <c r="AA122" s="666"/>
      <c r="AB122" s="710"/>
      <c r="AC122" s="666"/>
      <c r="AD122" s="700"/>
      <c r="AE122" s="685"/>
      <c r="AF122" s="703"/>
      <c r="AG122" s="668"/>
      <c r="AH122" s="666"/>
      <c r="AI122" s="673"/>
      <c r="AJ122" s="666"/>
      <c r="AK122" s="711"/>
      <c r="AL122" s="666"/>
      <c r="AM122" s="730"/>
      <c r="AN122" s="685"/>
      <c r="AO122" s="666"/>
    </row>
    <row r="123" spans="1:41" hidden="1" outlineLevel="1">
      <c r="A123" s="698"/>
      <c r="B123" s="738">
        <f>B116+1</f>
        <v>2008</v>
      </c>
      <c r="C123" s="666"/>
      <c r="D123" s="700"/>
      <c r="E123" s="701"/>
      <c r="F123" s="703"/>
      <c r="G123" s="701"/>
      <c r="H123" s="700"/>
      <c r="I123" s="704"/>
      <c r="J123" s="705"/>
      <c r="K123" s="667"/>
      <c r="L123" s="667"/>
      <c r="M123" s="667"/>
      <c r="N123" s="667"/>
      <c r="O123" s="704"/>
      <c r="P123" s="735"/>
      <c r="Q123" s="702"/>
      <c r="R123" s="667"/>
      <c r="S123" s="712"/>
      <c r="T123" s="667"/>
      <c r="U123" s="667"/>
      <c r="V123" s="666"/>
      <c r="W123" s="666"/>
      <c r="X123" s="685"/>
      <c r="Y123" s="666"/>
      <c r="Z123" s="676"/>
      <c r="AA123" s="666"/>
      <c r="AB123" s="679"/>
      <c r="AC123" s="666"/>
      <c r="AD123" s="667"/>
      <c r="AE123" s="685"/>
      <c r="AF123" s="703"/>
      <c r="AG123" s="668"/>
      <c r="AH123" s="666"/>
      <c r="AI123" s="666"/>
      <c r="AJ123" s="666"/>
      <c r="AK123" s="666"/>
      <c r="AL123" s="666"/>
      <c r="AM123" s="666"/>
      <c r="AN123" s="685"/>
      <c r="AO123" s="666"/>
    </row>
    <row r="124" spans="1:41" hidden="1" outlineLevel="1">
      <c r="A124" s="666" t="str">
        <f>$A$26</f>
        <v>1Q</v>
      </c>
      <c r="B124" s="684" t="str">
        <f>$B$26</f>
        <v>Apr</v>
      </c>
      <c r="C124" s="666"/>
      <c r="D124" s="700">
        <f>(S124/S117-1)*100</f>
        <v>-1.3615145228215719</v>
      </c>
      <c r="E124" s="701" t="s">
        <v>1084</v>
      </c>
      <c r="F124" s="703">
        <v>-7</v>
      </c>
      <c r="G124" s="701" t="s">
        <v>1084</v>
      </c>
      <c r="H124" s="700">
        <f>D124-F124</f>
        <v>5.6384854771784276</v>
      </c>
      <c r="I124" s="704" t="s">
        <v>1084</v>
      </c>
      <c r="J124" s="705">
        <f>'store&amp;sf'!$J$125</f>
        <v>1028</v>
      </c>
      <c r="K124" s="667"/>
      <c r="L124" s="706">
        <f>AVERAGE(J124,J120)</f>
        <v>1024</v>
      </c>
      <c r="M124" s="667"/>
      <c r="N124" s="700">
        <f>(L124/L117-1)*100</f>
        <v>2.093718843469583</v>
      </c>
      <c r="O124" s="704" t="s">
        <v>1084</v>
      </c>
      <c r="P124" s="745">
        <f>H124/N124*100</f>
        <v>269.30480636238025</v>
      </c>
      <c r="Q124" s="702" t="s">
        <v>1084</v>
      </c>
      <c r="R124" s="667"/>
      <c r="S124" s="726">
        <f>'segSales&amp;OM'!E157</f>
        <v>760.7</v>
      </c>
      <c r="T124" s="667"/>
      <c r="U124" s="707">
        <f>S124/L124</f>
        <v>0.74287109375000004</v>
      </c>
      <c r="V124" s="666"/>
      <c r="W124" s="730">
        <f>(U124/U117-1)*100</f>
        <v>-3.3843740882715245</v>
      </c>
      <c r="X124" s="685" t="s">
        <v>1084</v>
      </c>
      <c r="Y124" s="666"/>
      <c r="Z124" s="678">
        <f>'store&amp;sf'!J489</f>
        <v>7.0724999999999998</v>
      </c>
      <c r="AA124" s="666"/>
      <c r="AB124" s="710">
        <f>AVERAGE(Z124,Z120)</f>
        <v>7.0356249999999996</v>
      </c>
      <c r="AC124" s="666"/>
      <c r="AD124" s="700">
        <f>(AB124/AB117-1)*100</f>
        <v>9.6105160662122824</v>
      </c>
      <c r="AE124" s="685" t="s">
        <v>1084</v>
      </c>
      <c r="AF124" s="703">
        <f>+H124/AD124*100</f>
        <v>58.66995526912094</v>
      </c>
      <c r="AG124" s="668" t="s">
        <v>1084</v>
      </c>
      <c r="AH124" s="666"/>
      <c r="AI124" s="673">
        <f>+S124</f>
        <v>760.7</v>
      </c>
      <c r="AJ124" s="666"/>
      <c r="AK124" s="711">
        <f>AI124/AB124</f>
        <v>108.12116905036868</v>
      </c>
      <c r="AL124" s="666"/>
      <c r="AM124" s="730">
        <f>(AK124/AK117-1)*100</f>
        <v>-10.01001635865485</v>
      </c>
      <c r="AN124" s="685" t="s">
        <v>1084</v>
      </c>
      <c r="AO124" s="666"/>
    </row>
    <row r="125" spans="1:41" hidden="1" outlineLevel="1">
      <c r="A125" s="666" t="str">
        <f>$A$27</f>
        <v>2Q</v>
      </c>
      <c r="B125" s="684" t="str">
        <f>$B$27</f>
        <v>Jul</v>
      </c>
      <c r="C125" s="666"/>
      <c r="D125" s="700">
        <f>(S125/S118-1)*100</f>
        <v>-0.76053889613211245</v>
      </c>
      <c r="E125" s="700"/>
      <c r="F125" s="703">
        <v>-8</v>
      </c>
      <c r="G125" s="700"/>
      <c r="H125" s="700">
        <f>D125-F125</f>
        <v>7.2394611038678871</v>
      </c>
      <c r="I125" s="667"/>
      <c r="J125" s="705">
        <f>'store&amp;sf'!$J$126</f>
        <v>1036</v>
      </c>
      <c r="K125" s="724"/>
      <c r="L125" s="706">
        <f>AVERAGE(J125,J124)</f>
        <v>1032</v>
      </c>
      <c r="M125" s="667"/>
      <c r="N125" s="700">
        <f>(L125/L118-1)*100</f>
        <v>2.7376804380288666</v>
      </c>
      <c r="O125" s="704"/>
      <c r="P125" s="745">
        <f>H125/N125*100</f>
        <v>264.4377701394655</v>
      </c>
      <c r="Q125" s="702"/>
      <c r="R125" s="667"/>
      <c r="S125" s="712">
        <f>'segSales&amp;OM'!E158</f>
        <v>913.4</v>
      </c>
      <c r="T125" s="667"/>
      <c r="U125" s="713">
        <f>S125/L125</f>
        <v>0.88507751937984491</v>
      </c>
      <c r="V125" s="666"/>
      <c r="W125" s="730">
        <f>(U125/U118-1)*100</f>
        <v>-3.4050012801983609</v>
      </c>
      <c r="X125" s="685"/>
      <c r="Y125" s="666"/>
      <c r="Z125" s="678">
        <f>'store&amp;sf'!J490</f>
        <v>7.2649999999999997</v>
      </c>
      <c r="AA125" s="724"/>
      <c r="AB125" s="710">
        <f>AVERAGE(Z125,Z124)</f>
        <v>7.1687499999999993</v>
      </c>
      <c r="AC125" s="666"/>
      <c r="AD125" s="700">
        <f>(AB125/AB118-1)*100</f>
        <v>10.066212455618452</v>
      </c>
      <c r="AE125" s="685"/>
      <c r="AF125" s="703">
        <f>+H125/AD125*100</f>
        <v>71.918421509444556</v>
      </c>
      <c r="AG125" s="668"/>
      <c r="AH125" s="666"/>
      <c r="AI125" s="675">
        <f>+S125</f>
        <v>913.4</v>
      </c>
      <c r="AJ125" s="666"/>
      <c r="AK125" s="714">
        <f>AI125/AB125</f>
        <v>127.41412380122058</v>
      </c>
      <c r="AL125" s="666"/>
      <c r="AM125" s="730">
        <f>(AK125/AK118-1)*100</f>
        <v>-9.8365802821789643</v>
      </c>
      <c r="AN125" s="685"/>
      <c r="AO125" s="666"/>
    </row>
    <row r="126" spans="1:41" hidden="1" outlineLevel="1">
      <c r="A126" s="666" t="str">
        <f>$A$28</f>
        <v>3Q</v>
      </c>
      <c r="B126" s="684" t="str">
        <f>$B$28</f>
        <v>Oct</v>
      </c>
      <c r="C126" s="666"/>
      <c r="D126" s="700">
        <f>(S126/S119-1)*100</f>
        <v>-0.55789903388215878</v>
      </c>
      <c r="E126" s="700"/>
      <c r="F126" s="703">
        <v>-8</v>
      </c>
      <c r="G126" s="700"/>
      <c r="H126" s="700">
        <f>D126-F126</f>
        <v>7.4421009661178417</v>
      </c>
      <c r="I126" s="667"/>
      <c r="J126" s="705">
        <f>'store&amp;sf'!$J$127</f>
        <v>1044</v>
      </c>
      <c r="K126" s="724"/>
      <c r="L126" s="706">
        <f>AVERAGE(J126,J125)</f>
        <v>1040</v>
      </c>
      <c r="M126" s="667"/>
      <c r="N126" s="700">
        <f>(L126/L119-1)*100</f>
        <v>2.716049382716057</v>
      </c>
      <c r="O126" s="704"/>
      <c r="P126" s="745">
        <f>H126/N126*100</f>
        <v>274.00462647979248</v>
      </c>
      <c r="Q126" s="702"/>
      <c r="R126" s="667"/>
      <c r="S126" s="712">
        <f>'segSales&amp;OM'!E159</f>
        <v>730.8</v>
      </c>
      <c r="T126" s="667"/>
      <c r="U126" s="713">
        <f>S126/L126</f>
        <v>0.70269230769230762</v>
      </c>
      <c r="V126" s="666"/>
      <c r="W126" s="730">
        <f>(U126/U119-1)*100</f>
        <v>-3.187377665197777</v>
      </c>
      <c r="X126" s="685"/>
      <c r="Y126" s="666"/>
      <c r="Z126" s="678">
        <f>'store&amp;sf'!J491</f>
        <v>7.4287499999999991</v>
      </c>
      <c r="AA126" s="724"/>
      <c r="AB126" s="710">
        <f>AVERAGE(Z126,Z125)</f>
        <v>7.3468749999999989</v>
      </c>
      <c r="AC126" s="666"/>
      <c r="AD126" s="700">
        <f>(AB126/AB119-1)*100</f>
        <v>8.9838679770072094</v>
      </c>
      <c r="AE126" s="685"/>
      <c r="AF126" s="703">
        <f>+H126/AD126*100</f>
        <v>82.838494345249984</v>
      </c>
      <c r="AG126" s="668"/>
      <c r="AH126" s="666"/>
      <c r="AI126" s="675">
        <f>+S126</f>
        <v>730.8</v>
      </c>
      <c r="AJ126" s="666"/>
      <c r="AK126" s="714">
        <f>AI126/AB126</f>
        <v>99.470863462356448</v>
      </c>
      <c r="AL126" s="666"/>
      <c r="AM126" s="730">
        <f>(AK126/AK119-1)*100</f>
        <v>-8.7552104618845448</v>
      </c>
      <c r="AN126" s="685"/>
      <c r="AO126" s="666"/>
    </row>
    <row r="127" spans="1:41" hidden="1" outlineLevel="1">
      <c r="A127" s="666" t="str">
        <f>$A$29</f>
        <v>4Q</v>
      </c>
      <c r="B127" s="684" t="str">
        <f>$B$29</f>
        <v>Jan</v>
      </c>
      <c r="C127" s="666"/>
      <c r="D127" s="732">
        <f>(S127/S120-1)*100</f>
        <v>-8.5899098629234398</v>
      </c>
      <c r="E127" s="667"/>
      <c r="F127" s="717">
        <v>-10</v>
      </c>
      <c r="G127" s="667"/>
      <c r="H127" s="732">
        <f>D127-F127</f>
        <v>1.4100901370765602</v>
      </c>
      <c r="I127" s="667"/>
      <c r="J127" s="705">
        <f>'store&amp;sf'!$J$128</f>
        <v>1043</v>
      </c>
      <c r="K127" s="724"/>
      <c r="L127" s="716">
        <f>AVERAGE(J127,J126)</f>
        <v>1043.5</v>
      </c>
      <c r="M127" s="667"/>
      <c r="N127" s="715">
        <f>(L127/L120-1)*100</f>
        <v>2.3540951446787695</v>
      </c>
      <c r="O127" s="704"/>
      <c r="P127" s="741">
        <f>H127/N127*100</f>
        <v>59.899453947897911</v>
      </c>
      <c r="Q127" s="702"/>
      <c r="R127" s="667"/>
      <c r="S127" s="718">
        <f>'segSales&amp;OM'!E160</f>
        <v>1184.8</v>
      </c>
      <c r="T127" s="667"/>
      <c r="U127" s="719">
        <f>S127/L127</f>
        <v>1.1354096789650214</v>
      </c>
      <c r="V127" s="666"/>
      <c r="W127" s="720">
        <f>(U127/U120-1)*100</f>
        <v>-10.692298136320522</v>
      </c>
      <c r="X127" s="685"/>
      <c r="Y127" s="666"/>
      <c r="Z127" s="678">
        <f>'store&amp;sf'!J492</f>
        <v>7.4662499999999996</v>
      </c>
      <c r="AA127" s="671"/>
      <c r="AB127" s="721">
        <f>AVERAGE(Z127,Z126)</f>
        <v>7.4474999999999998</v>
      </c>
      <c r="AC127" s="666"/>
      <c r="AD127" s="715">
        <f>(AB127/AB120-1)*100</f>
        <v>7.2740367302844611</v>
      </c>
      <c r="AE127" s="685"/>
      <c r="AF127" s="717">
        <f>+H127/AD127*100</f>
        <v>19.385249062681275</v>
      </c>
      <c r="AG127" s="668"/>
      <c r="AH127" s="666"/>
      <c r="AI127" s="722">
        <f>+S127</f>
        <v>1184.8</v>
      </c>
      <c r="AJ127" s="666"/>
      <c r="AK127" s="723">
        <f>AI127/AB127</f>
        <v>159.08694192682108</v>
      </c>
      <c r="AL127" s="666"/>
      <c r="AM127" s="720">
        <f>(AK127/AK120-1)*100</f>
        <v>-14.788244273023942</v>
      </c>
      <c r="AN127" s="685"/>
      <c r="AO127" s="666"/>
    </row>
    <row r="128" spans="1:41" hidden="1" outlineLevel="1">
      <c r="A128" s="666"/>
      <c r="B128" s="684" t="str">
        <f>$B$30</f>
        <v>Year</v>
      </c>
      <c r="C128" s="666"/>
      <c r="D128" s="733">
        <f>(S128/S121-1)*100</f>
        <v>-3.5710438595006666</v>
      </c>
      <c r="E128" s="667"/>
      <c r="F128" s="700">
        <f>+F124*S124/S128+F125*S125/S128+F126*S126/S128+F127*S127/S128</f>
        <v>-8.4481990138451692</v>
      </c>
      <c r="G128" s="667"/>
      <c r="H128" s="733">
        <f>D128-F128</f>
        <v>4.8771551543445026</v>
      </c>
      <c r="I128" s="667"/>
      <c r="J128" s="667"/>
      <c r="K128" s="667"/>
      <c r="L128" s="725">
        <f>AVERAGE(L124:L127)</f>
        <v>1034.875</v>
      </c>
      <c r="M128" s="667"/>
      <c r="N128" s="700">
        <f>(L128/L121-1)*100</f>
        <v>2.4755539051862785</v>
      </c>
      <c r="O128" s="704"/>
      <c r="P128" s="703">
        <f>H128/N128*100</f>
        <v>197.01268245974674</v>
      </c>
      <c r="Q128" s="702"/>
      <c r="R128" s="667"/>
      <c r="S128" s="726">
        <f>SUM(S124:S127)</f>
        <v>3589.7</v>
      </c>
      <c r="T128" s="667"/>
      <c r="U128" s="707">
        <f>SUM(U124:U127)</f>
        <v>3.4660505997871738</v>
      </c>
      <c r="V128" s="666"/>
      <c r="W128" s="730">
        <f>(U128/U121-1)*100</f>
        <v>-5.8737709522018395</v>
      </c>
      <c r="X128" s="685"/>
      <c r="Y128" s="666"/>
      <c r="Z128" s="676"/>
      <c r="AA128" s="666"/>
      <c r="AB128" s="710">
        <f>AVERAGE(AB124:AB127)</f>
        <v>7.2496874999999985</v>
      </c>
      <c r="AC128" s="666"/>
      <c r="AD128" s="700">
        <f>(AB128/AB121-1)*100</f>
        <v>8.9538569918985225</v>
      </c>
      <c r="AE128" s="685"/>
      <c r="AF128" s="703">
        <f>+H128/AD128*100</f>
        <v>54.46987994958338</v>
      </c>
      <c r="AG128" s="668"/>
      <c r="AH128" s="666"/>
      <c r="AI128" s="673">
        <f>SUM(AI124:AI127)</f>
        <v>3589.7</v>
      </c>
      <c r="AJ128" s="666"/>
      <c r="AK128" s="711">
        <f>SUM(AK124:AK127)</f>
        <v>494.09309824076672</v>
      </c>
      <c r="AL128" s="666"/>
      <c r="AM128" s="730">
        <f>(AK128/AK121-1)*100</f>
        <v>-11.321588278787754</v>
      </c>
      <c r="AN128" s="685"/>
      <c r="AO128" s="666"/>
    </row>
    <row r="129" spans="1:41" hidden="1" outlineLevel="1">
      <c r="A129" s="666"/>
      <c r="B129" s="684"/>
      <c r="C129" s="666"/>
      <c r="D129" s="733"/>
      <c r="E129" s="667"/>
      <c r="F129" s="700"/>
      <c r="G129" s="667"/>
      <c r="H129" s="733"/>
      <c r="I129" s="667"/>
      <c r="J129" s="667"/>
      <c r="K129" s="667"/>
      <c r="L129" s="725"/>
      <c r="M129" s="667"/>
      <c r="N129" s="700"/>
      <c r="O129" s="704"/>
      <c r="P129" s="703"/>
      <c r="Q129" s="702"/>
      <c r="R129" s="667"/>
      <c r="S129" s="726"/>
      <c r="T129" s="667"/>
      <c r="U129" s="707"/>
      <c r="V129" s="666"/>
      <c r="W129" s="730"/>
      <c r="X129" s="685"/>
      <c r="Y129" s="666"/>
      <c r="Z129" s="676"/>
      <c r="AA129" s="666"/>
      <c r="AB129" s="710"/>
      <c r="AC129" s="666"/>
      <c r="AD129" s="700"/>
      <c r="AE129" s="685"/>
      <c r="AF129" s="703"/>
      <c r="AG129" s="668"/>
      <c r="AH129" s="666"/>
      <c r="AI129" s="673"/>
      <c r="AJ129" s="666"/>
      <c r="AK129" s="711"/>
      <c r="AL129" s="666"/>
      <c r="AM129" s="730"/>
      <c r="AN129" s="685"/>
      <c r="AO129" s="666"/>
    </row>
    <row r="130" spans="1:41" hidden="1" outlineLevel="1">
      <c r="A130" s="698"/>
      <c r="B130" s="738">
        <f>B123+1</f>
        <v>2009</v>
      </c>
      <c r="C130" s="666"/>
      <c r="D130" s="700"/>
      <c r="E130" s="701"/>
      <c r="F130" s="703"/>
      <c r="G130" s="701"/>
      <c r="H130" s="700"/>
      <c r="I130" s="704"/>
      <c r="J130" s="705"/>
      <c r="K130" s="667"/>
      <c r="L130" s="667"/>
      <c r="M130" s="667"/>
      <c r="N130" s="667"/>
      <c r="O130" s="704"/>
      <c r="P130" s="735"/>
      <c r="Q130" s="702"/>
      <c r="R130" s="667"/>
      <c r="S130" s="712"/>
      <c r="T130" s="667"/>
      <c r="U130" s="667"/>
      <c r="V130" s="666"/>
      <c r="W130" s="666"/>
      <c r="X130" s="685"/>
      <c r="Y130" s="666"/>
      <c r="Z130" s="676"/>
      <c r="AA130" s="666"/>
      <c r="AB130" s="679"/>
      <c r="AC130" s="666"/>
      <c r="AD130" s="667"/>
      <c r="AE130" s="685"/>
      <c r="AF130" s="703"/>
      <c r="AG130" s="668"/>
      <c r="AH130" s="666"/>
      <c r="AI130" s="666"/>
      <c r="AJ130" s="666"/>
      <c r="AK130" s="666"/>
      <c r="AL130" s="666"/>
      <c r="AM130" s="666"/>
      <c r="AN130" s="685"/>
      <c r="AO130" s="666"/>
    </row>
    <row r="131" spans="1:41" hidden="1" outlineLevel="1">
      <c r="A131" s="666" t="str">
        <f>$A$26</f>
        <v>1Q</v>
      </c>
      <c r="B131" s="684" t="str">
        <f>$B$26</f>
        <v>Apr</v>
      </c>
      <c r="C131" s="666"/>
      <c r="D131" s="700">
        <f>(S131/S124-1)*100</f>
        <v>-4.4564217168397651</v>
      </c>
      <c r="E131" s="701" t="s">
        <v>1084</v>
      </c>
      <c r="F131" s="703">
        <f>segmthSales!$CF$14</f>
        <v>-9</v>
      </c>
      <c r="G131" s="701" t="s">
        <v>1084</v>
      </c>
      <c r="H131" s="700">
        <f>D131-F131</f>
        <v>4.5435782831602349</v>
      </c>
      <c r="I131" s="704" t="s">
        <v>1084</v>
      </c>
      <c r="J131" s="705">
        <f>'store&amp;sf'!J131</f>
        <v>1040</v>
      </c>
      <c r="K131" s="667"/>
      <c r="L131" s="706">
        <f>AVERAGE(J131,J127)</f>
        <v>1041.5</v>
      </c>
      <c r="M131" s="667"/>
      <c r="N131" s="700">
        <f>(L131/L124-1)*100</f>
        <v>1.708984375</v>
      </c>
      <c r="O131" s="704" t="s">
        <v>1084</v>
      </c>
      <c r="P131" s="745">
        <f>H131/N131*100</f>
        <v>265.86423782606175</v>
      </c>
      <c r="Q131" s="702" t="s">
        <v>1084</v>
      </c>
      <c r="R131" s="667"/>
      <c r="S131" s="726">
        <f>'segSales&amp;OM'!E164</f>
        <v>726.8</v>
      </c>
      <c r="T131" s="667"/>
      <c r="U131" s="707">
        <f>S131/L131</f>
        <v>0.69783965434469508</v>
      </c>
      <c r="V131" s="666"/>
      <c r="W131" s="730">
        <f>(U131/U124-1)*100</f>
        <v>-6.0618106942332384</v>
      </c>
      <c r="X131" s="685" t="s">
        <v>1084</v>
      </c>
      <c r="Y131" s="666"/>
      <c r="Z131" s="678">
        <f>'store&amp;sf'!J495</f>
        <v>7.4687499999999991</v>
      </c>
      <c r="AA131" s="666"/>
      <c r="AB131" s="710">
        <f>AVERAGE(Z131,Z127)</f>
        <v>7.4674999999999994</v>
      </c>
      <c r="AC131" s="666"/>
      <c r="AD131" s="700">
        <f>(AB131/AB124-1)*100</f>
        <v>6.1384027716087752</v>
      </c>
      <c r="AE131" s="685" t="s">
        <v>1084</v>
      </c>
      <c r="AF131" s="703">
        <f>+H131/AD131*100</f>
        <v>74.018901206273185</v>
      </c>
      <c r="AG131" s="668" t="s">
        <v>1084</v>
      </c>
      <c r="AH131" s="666"/>
      <c r="AI131" s="673">
        <f>+S131</f>
        <v>726.8</v>
      </c>
      <c r="AJ131" s="666"/>
      <c r="AK131" s="711">
        <f>AI131/AB131</f>
        <v>97.328423167057252</v>
      </c>
      <c r="AL131" s="666"/>
      <c r="AM131" s="730">
        <f>(AK131/AK124-1)*100</f>
        <v>-9.9820839694061974</v>
      </c>
      <c r="AN131" s="685" t="s">
        <v>1084</v>
      </c>
      <c r="AO131" s="666"/>
    </row>
    <row r="132" spans="1:41" hidden="1" outlineLevel="1">
      <c r="A132" s="666" t="str">
        <f>$A$27</f>
        <v>2Q</v>
      </c>
      <c r="B132" s="684" t="str">
        <f>$B$27</f>
        <v>Jul</v>
      </c>
      <c r="C132" s="666"/>
      <c r="D132" s="700">
        <f>(S132/S125-1)*100</f>
        <v>-8.2877162250930567</v>
      </c>
      <c r="E132" s="700"/>
      <c r="F132" s="703">
        <f>segmthSales!CF19</f>
        <v>-12</v>
      </c>
      <c r="G132" s="700"/>
      <c r="H132" s="700">
        <f>D132-F132</f>
        <v>3.7122837749069433</v>
      </c>
      <c r="I132" s="667"/>
      <c r="J132" s="705">
        <f>'store&amp;sf'!J132</f>
        <v>1046</v>
      </c>
      <c r="K132" s="724"/>
      <c r="L132" s="706">
        <f>AVERAGE(J132,J131)</f>
        <v>1043</v>
      </c>
      <c r="M132" s="667"/>
      <c r="N132" s="700">
        <f>(L132/L125-1)*100</f>
        <v>1.0658914728682189</v>
      </c>
      <c r="O132" s="704"/>
      <c r="P132" s="745">
        <f>H132/N132*100</f>
        <v>348.27971415490538</v>
      </c>
      <c r="Q132" s="702"/>
      <c r="R132" s="667"/>
      <c r="S132" s="712">
        <f>'segSales&amp;OM'!E165</f>
        <v>837.7</v>
      </c>
      <c r="T132" s="667"/>
      <c r="U132" s="713">
        <f>S132/L132</f>
        <v>0.80316395014381592</v>
      </c>
      <c r="V132" s="666"/>
      <c r="W132" s="730">
        <f>(U132/U125-1)*100</f>
        <v>-9.2549598698907332</v>
      </c>
      <c r="X132" s="685"/>
      <c r="Y132" s="666"/>
      <c r="Z132" s="678">
        <f>'store&amp;sf'!J496</f>
        <v>7.5249999999999995</v>
      </c>
      <c r="AA132" s="724"/>
      <c r="AB132" s="710">
        <f>AVERAGE(Z132,Z131)</f>
        <v>7.4968749999999993</v>
      </c>
      <c r="AC132" s="666"/>
      <c r="AD132" s="700">
        <f>(AB132/AB125-1)*100</f>
        <v>4.5771578029642601</v>
      </c>
      <c r="AE132" s="685"/>
      <c r="AF132" s="703">
        <f>+H132/AD132*100</f>
        <v>81.104561710823972</v>
      </c>
      <c r="AG132" s="668"/>
      <c r="AH132" s="666"/>
      <c r="AI132" s="675">
        <f>+S132</f>
        <v>837.7</v>
      </c>
      <c r="AJ132" s="666"/>
      <c r="AK132" s="714">
        <f>AI132/AB132</f>
        <v>111.73989162150897</v>
      </c>
      <c r="AL132" s="666"/>
      <c r="AM132" s="730">
        <f>(AK132/AK125-1)*100</f>
        <v>-12.301801175641291</v>
      </c>
      <c r="AN132" s="685"/>
      <c r="AO132" s="666"/>
    </row>
    <row r="133" spans="1:41" hidden="1" outlineLevel="1">
      <c r="A133" s="666" t="str">
        <f>$A$28</f>
        <v>3Q</v>
      </c>
      <c r="B133" s="684" t="str">
        <f>$B$28</f>
        <v>Oct</v>
      </c>
      <c r="C133" s="666"/>
      <c r="D133" s="700">
        <f>(S133/S126-1)*100</f>
        <v>-8.2101806239720521E-2</v>
      </c>
      <c r="E133" s="700"/>
      <c r="F133" s="703">
        <f>segmthSales!CF24</f>
        <v>-4</v>
      </c>
      <c r="G133" s="700"/>
      <c r="H133" s="700">
        <f>D133-F133</f>
        <v>3.9178981937602795</v>
      </c>
      <c r="I133" s="667"/>
      <c r="J133" s="705">
        <f>'store&amp;sf'!J133</f>
        <v>1049</v>
      </c>
      <c r="K133" s="724"/>
      <c r="L133" s="706">
        <f>AVERAGE(J133,J132)</f>
        <v>1047.5</v>
      </c>
      <c r="M133" s="667"/>
      <c r="N133" s="700">
        <f>(L133/L126-1)*100</f>
        <v>0.72115384615385469</v>
      </c>
      <c r="O133" s="704"/>
      <c r="P133" s="745">
        <f>H133/N133*100</f>
        <v>543.28188286808563</v>
      </c>
      <c r="Q133" s="702"/>
      <c r="R133" s="667"/>
      <c r="S133" s="712">
        <f>'segSales&amp;OM'!E166</f>
        <v>730.2</v>
      </c>
      <c r="T133" s="667"/>
      <c r="U133" s="713">
        <f>S133/L133</f>
        <v>0.69708830548926015</v>
      </c>
      <c r="V133" s="666"/>
      <c r="W133" s="730">
        <f>(U133/U126-1)*100</f>
        <v>-0.79750441860555465</v>
      </c>
      <c r="X133" s="685"/>
      <c r="Y133" s="666"/>
      <c r="Z133" s="678">
        <f>'store&amp;sf'!J497</f>
        <v>7.6</v>
      </c>
      <c r="AA133" s="724"/>
      <c r="AB133" s="710">
        <f>AVERAGE(Z133,Z132)</f>
        <v>7.5625</v>
      </c>
      <c r="AC133" s="666"/>
      <c r="AD133" s="700">
        <f>(AB133/AB126-1)*100</f>
        <v>2.9349213100808402</v>
      </c>
      <c r="AE133" s="685"/>
      <c r="AF133" s="703">
        <f>+H133/AD133*100</f>
        <v>133.49244425406295</v>
      </c>
      <c r="AG133" s="668"/>
      <c r="AH133" s="666"/>
      <c r="AI133" s="675">
        <f>+S133</f>
        <v>730.2</v>
      </c>
      <c r="AJ133" s="666"/>
      <c r="AK133" s="714">
        <f>AI133/AB133</f>
        <v>96.555371900826458</v>
      </c>
      <c r="AL133" s="666"/>
      <c r="AM133" s="730">
        <f>(AK133/AK126-1)*100</f>
        <v>-2.9310005563923935</v>
      </c>
      <c r="AN133" s="685"/>
      <c r="AO133" s="666"/>
    </row>
    <row r="134" spans="1:41" hidden="1" outlineLevel="1">
      <c r="A134" s="666" t="str">
        <f>$A$29</f>
        <v>4Q</v>
      </c>
      <c r="B134" s="684" t="str">
        <f>$B$29</f>
        <v>Jan</v>
      </c>
      <c r="C134" s="666"/>
      <c r="D134" s="732">
        <f>(S134/S127-1)*100</f>
        <v>1.3588791357191266</v>
      </c>
      <c r="E134" s="667"/>
      <c r="F134" s="717">
        <f>segmthSales!CF29</f>
        <v>0</v>
      </c>
      <c r="G134" s="667"/>
      <c r="H134" s="732">
        <f>D134-F134</f>
        <v>1.3588791357191266</v>
      </c>
      <c r="I134" s="667"/>
      <c r="J134" s="705">
        <f>'store&amp;sf'!J134</f>
        <v>1044</v>
      </c>
      <c r="K134" s="724"/>
      <c r="L134" s="716">
        <f>AVERAGE(J134,J133)</f>
        <v>1046.5</v>
      </c>
      <c r="M134" s="667"/>
      <c r="N134" s="715">
        <f>(L134/L127-1)*100</f>
        <v>0.28749401054144474</v>
      </c>
      <c r="O134" s="704"/>
      <c r="P134" s="741">
        <f>H134/N134*100</f>
        <v>472.66345937430663</v>
      </c>
      <c r="Q134" s="702"/>
      <c r="R134" s="667"/>
      <c r="S134" s="718">
        <f>'segSales&amp;OM'!E167</f>
        <v>1200.9000000000001</v>
      </c>
      <c r="T134" s="667"/>
      <c r="U134" s="719">
        <f>S134/L134</f>
        <v>1.1475394171046345</v>
      </c>
      <c r="V134" s="666"/>
      <c r="W134" s="720">
        <f>(U134/U127-1)*100</f>
        <v>1.0683137870261872</v>
      </c>
      <c r="X134" s="685"/>
      <c r="Y134" s="666"/>
      <c r="Z134" s="678">
        <f>'store&amp;sf'!J498</f>
        <v>7.5974999999999993</v>
      </c>
      <c r="AA134" s="671"/>
      <c r="AB134" s="721">
        <f>AVERAGE(Z134,Z133)</f>
        <v>7.598749999999999</v>
      </c>
      <c r="AC134" s="666"/>
      <c r="AD134" s="715">
        <f>(AB134/AB127-1)*100</f>
        <v>2.0308828465928075</v>
      </c>
      <c r="AE134" s="685"/>
      <c r="AF134" s="717">
        <f>+H134/AD134*100</f>
        <v>66.910759426566869</v>
      </c>
      <c r="AG134" s="668"/>
      <c r="AH134" s="666"/>
      <c r="AI134" s="722">
        <f>+S134</f>
        <v>1200.9000000000001</v>
      </c>
      <c r="AJ134" s="666"/>
      <c r="AK134" s="723">
        <f>AI134/AB134</f>
        <v>158.03915117618033</v>
      </c>
      <c r="AL134" s="666"/>
      <c r="AM134" s="720">
        <f>(AK134/AK127-1)*100</f>
        <v>-0.65862775281879671</v>
      </c>
      <c r="AN134" s="685"/>
      <c r="AO134" s="666"/>
    </row>
    <row r="135" spans="1:41" hidden="1" outlineLevel="1">
      <c r="A135" s="666"/>
      <c r="B135" s="684" t="str">
        <f>$B$30</f>
        <v>Year</v>
      </c>
      <c r="C135" s="666"/>
      <c r="D135" s="733">
        <f>(S135/S128-1)*100</f>
        <v>-2.6213889740089646</v>
      </c>
      <c r="E135" s="667"/>
      <c r="F135" s="700">
        <f>segmthSales!$CF$30</f>
        <v>-6</v>
      </c>
      <c r="G135" s="667"/>
      <c r="H135" s="733">
        <f>D135-F135</f>
        <v>3.3786110259910354</v>
      </c>
      <c r="I135" s="667"/>
      <c r="J135" s="667"/>
      <c r="K135" s="667"/>
      <c r="L135" s="725">
        <f>AVERAGE(L131:L134)</f>
        <v>1044.625</v>
      </c>
      <c r="M135" s="667"/>
      <c r="N135" s="700">
        <f>(L135/L128-1)*100</f>
        <v>0.94214277086603904</v>
      </c>
      <c r="O135" s="704"/>
      <c r="P135" s="703">
        <f>H135/N135*100</f>
        <v>358.60923954076929</v>
      </c>
      <c r="Q135" s="702"/>
      <c r="R135" s="667"/>
      <c r="S135" s="726">
        <f>SUM(S131:S134)</f>
        <v>3495.6</v>
      </c>
      <c r="T135" s="667"/>
      <c r="U135" s="707">
        <f>SUM(U131:U134)</f>
        <v>3.3456313270824056</v>
      </c>
      <c r="V135" s="666"/>
      <c r="W135" s="730">
        <f>(U135/U128-1)*100</f>
        <v>-3.4742502810594322</v>
      </c>
      <c r="X135" s="685"/>
      <c r="Y135" s="666"/>
      <c r="Z135" s="676"/>
      <c r="AA135" s="666"/>
      <c r="AB135" s="710">
        <f>AVERAGE(AB131:AB134)</f>
        <v>7.531406249999999</v>
      </c>
      <c r="AC135" s="666"/>
      <c r="AD135" s="700">
        <f>(AB135/AB128-1)*100</f>
        <v>3.885943359627575</v>
      </c>
      <c r="AE135" s="685"/>
      <c r="AF135" s="703">
        <f>+H135/AD135*100</f>
        <v>86.944422841892319</v>
      </c>
      <c r="AG135" s="668"/>
      <c r="AH135" s="666"/>
      <c r="AI135" s="673">
        <f>SUM(AI131:AI134)</f>
        <v>3495.6</v>
      </c>
      <c r="AJ135" s="666"/>
      <c r="AK135" s="711">
        <f>SUM(AK131:AK134)</f>
        <v>463.66283786557301</v>
      </c>
      <c r="AL135" s="666"/>
      <c r="AM135" s="730">
        <f>(AK135/AK128-1)*100</f>
        <v>-6.1588110587946998</v>
      </c>
      <c r="AN135" s="685"/>
      <c r="AO135" s="666"/>
    </row>
    <row r="136" spans="1:41" hidden="1" outlineLevel="1">
      <c r="A136" s="666"/>
      <c r="B136" s="684"/>
      <c r="C136" s="666"/>
      <c r="D136" s="733"/>
      <c r="E136" s="667"/>
      <c r="F136" s="700"/>
      <c r="G136" s="667"/>
      <c r="H136" s="733"/>
      <c r="I136" s="667"/>
      <c r="J136" s="667"/>
      <c r="K136" s="667"/>
      <c r="L136" s="725"/>
      <c r="M136" s="667"/>
      <c r="N136" s="700"/>
      <c r="O136" s="704"/>
      <c r="P136" s="703"/>
      <c r="Q136" s="702"/>
      <c r="R136" s="667"/>
      <c r="S136" s="726"/>
      <c r="T136" s="667"/>
      <c r="U136" s="707"/>
      <c r="V136" s="666"/>
      <c r="W136" s="730"/>
      <c r="X136" s="685"/>
      <c r="Y136" s="666"/>
      <c r="Z136" s="676"/>
      <c r="AA136" s="666"/>
      <c r="AB136" s="710"/>
      <c r="AC136" s="666"/>
      <c r="AD136" s="700"/>
      <c r="AE136" s="685"/>
      <c r="AF136" s="703"/>
      <c r="AG136" s="668"/>
      <c r="AH136" s="666"/>
      <c r="AI136" s="673"/>
      <c r="AJ136" s="666"/>
      <c r="AK136" s="711"/>
      <c r="AL136" s="666"/>
      <c r="AM136" s="730"/>
      <c r="AN136" s="685"/>
      <c r="AO136" s="666"/>
    </row>
    <row r="137" spans="1:41" hidden="1" outlineLevel="1">
      <c r="A137" s="698"/>
      <c r="B137" s="738">
        <f>B130+1</f>
        <v>2010</v>
      </c>
      <c r="C137" s="666"/>
      <c r="D137" s="700"/>
      <c r="E137" s="701"/>
      <c r="F137" s="703"/>
      <c r="G137" s="701"/>
      <c r="H137" s="700"/>
      <c r="I137" s="704"/>
      <c r="J137" s="705"/>
      <c r="K137" s="667"/>
      <c r="L137" s="667"/>
      <c r="M137" s="667"/>
      <c r="N137" s="667"/>
      <c r="O137" s="704"/>
      <c r="P137" s="735"/>
      <c r="Q137" s="702"/>
      <c r="R137" s="667"/>
      <c r="S137" s="712"/>
      <c r="T137" s="667"/>
      <c r="U137" s="667"/>
      <c r="V137" s="666"/>
      <c r="W137" s="666"/>
      <c r="X137" s="685"/>
      <c r="Y137" s="666"/>
      <c r="Z137" s="676"/>
      <c r="AA137" s="666"/>
      <c r="AB137" s="679"/>
      <c r="AC137" s="666"/>
      <c r="AD137" s="667"/>
      <c r="AE137" s="685"/>
      <c r="AF137" s="703"/>
      <c r="AG137" s="668"/>
      <c r="AH137" s="666"/>
      <c r="AI137" s="666"/>
      <c r="AJ137" s="666"/>
      <c r="AK137" s="666"/>
      <c r="AL137" s="666"/>
      <c r="AM137" s="666"/>
      <c r="AN137" s="685"/>
      <c r="AO137" s="666"/>
    </row>
    <row r="138" spans="1:41" hidden="1" outlineLevel="1">
      <c r="A138" s="666" t="str">
        <f>$A$26</f>
        <v>1Q</v>
      </c>
      <c r="B138" s="684" t="str">
        <f>$B$26</f>
        <v>Apr</v>
      </c>
      <c r="C138" s="666"/>
      <c r="D138" s="700">
        <f>(S138/S131-1)*100</f>
        <v>13.937809576224547</v>
      </c>
      <c r="E138" s="701" t="s">
        <v>1084</v>
      </c>
      <c r="F138" s="703">
        <f>segmthSales!$CJ$14</f>
        <v>12</v>
      </c>
      <c r="G138" s="701" t="s">
        <v>1084</v>
      </c>
      <c r="H138" s="700">
        <f>D138-F138</f>
        <v>1.9378095762245469</v>
      </c>
      <c r="I138" s="704" t="s">
        <v>1084</v>
      </c>
      <c r="J138" s="705">
        <f>'store&amp;sf'!J137</f>
        <v>1044</v>
      </c>
      <c r="K138" s="667"/>
      <c r="L138" s="706">
        <f>AVERAGE(J138,J134)</f>
        <v>1044</v>
      </c>
      <c r="M138" s="667"/>
      <c r="N138" s="700">
        <f>(L138/L131-1)*100</f>
        <v>0.24003840614499339</v>
      </c>
      <c r="O138" s="704" t="s">
        <v>1084</v>
      </c>
      <c r="P138" s="1148" t="s">
        <v>401</v>
      </c>
      <c r="Q138" s="702" t="s">
        <v>1084</v>
      </c>
      <c r="R138" s="667"/>
      <c r="S138" s="726">
        <f>'segSales&amp;OM'!E171</f>
        <v>828.1</v>
      </c>
      <c r="T138" s="667"/>
      <c r="U138" s="707">
        <f>S138/L138</f>
        <v>0.79319923371647516</v>
      </c>
      <c r="V138" s="666"/>
      <c r="W138" s="730">
        <f>(U138/U131-1)*100</f>
        <v>13.664969993906029</v>
      </c>
      <c r="X138" s="685" t="s">
        <v>1084</v>
      </c>
      <c r="Y138" s="666"/>
      <c r="Z138" s="678">
        <f>'store&amp;sf'!J501</f>
        <v>7.5924999999999994</v>
      </c>
      <c r="AA138" s="666"/>
      <c r="AB138" s="710">
        <f>AVERAGE(Z138,Z134)</f>
        <v>7.5949999999999989</v>
      </c>
      <c r="AC138" s="666"/>
      <c r="AD138" s="700">
        <f>(AB138/AB131-1)*100</f>
        <v>1.7073987278205527</v>
      </c>
      <c r="AE138" s="685" t="s">
        <v>1084</v>
      </c>
      <c r="AF138" s="703">
        <f>+H138/AD138*100</f>
        <v>113.49484714083789</v>
      </c>
      <c r="AG138" s="668" t="s">
        <v>1084</v>
      </c>
      <c r="AH138" s="666"/>
      <c r="AI138" s="673">
        <f>+S138</f>
        <v>828.1</v>
      </c>
      <c r="AJ138" s="666"/>
      <c r="AK138" s="711">
        <f>AI138/AB138</f>
        <v>109.03225806451614</v>
      </c>
      <c r="AL138" s="666"/>
      <c r="AM138" s="730">
        <f>(AK138/AK131-1)*100</f>
        <v>12.025094537255686</v>
      </c>
      <c r="AN138" s="685" t="s">
        <v>1084</v>
      </c>
      <c r="AO138" s="666"/>
    </row>
    <row r="139" spans="1:41" hidden="1" outlineLevel="1">
      <c r="A139" s="666" t="str">
        <f>$A$27</f>
        <v>2Q</v>
      </c>
      <c r="B139" s="684" t="str">
        <f>$B$27</f>
        <v>Jul</v>
      </c>
      <c r="C139" s="666"/>
      <c r="D139" s="700">
        <f>(S139/S132-1)*100</f>
        <v>14.038438581831203</v>
      </c>
      <c r="E139" s="700"/>
      <c r="F139" s="703">
        <f>segmthSales!CJ19</f>
        <v>13</v>
      </c>
      <c r="G139" s="700"/>
      <c r="H139" s="700">
        <f>D139-F139</f>
        <v>1.038438581831203</v>
      </c>
      <c r="I139" s="667"/>
      <c r="J139" s="705">
        <f>'store&amp;sf'!J138</f>
        <v>1045</v>
      </c>
      <c r="K139" s="724"/>
      <c r="L139" s="706">
        <f>AVERAGE(J139,J138)</f>
        <v>1044.5</v>
      </c>
      <c r="M139" s="667"/>
      <c r="N139" s="700">
        <f>(L139/L132-1)*100</f>
        <v>0.14381591562799834</v>
      </c>
      <c r="O139" s="704"/>
      <c r="P139" s="1148" t="s">
        <v>401</v>
      </c>
      <c r="Q139" s="702"/>
      <c r="R139" s="667"/>
      <c r="S139" s="712">
        <f>'segSales&amp;OM'!E172</f>
        <v>955.3</v>
      </c>
      <c r="T139" s="667"/>
      <c r="U139" s="713">
        <f>S139/L139</f>
        <v>0.91460028721876496</v>
      </c>
      <c r="V139" s="666"/>
      <c r="W139" s="730">
        <f>(U139/U132-1)*100</f>
        <v>13.874668684394397</v>
      </c>
      <c r="X139" s="685"/>
      <c r="Y139" s="666"/>
      <c r="Z139" s="678">
        <f>'store&amp;sf'!J502</f>
        <v>7.6337499999999991</v>
      </c>
      <c r="AA139" s="724"/>
      <c r="AB139" s="710">
        <f>AVERAGE(Z139,Z138)</f>
        <v>7.6131249999999993</v>
      </c>
      <c r="AC139" s="666"/>
      <c r="AD139" s="700">
        <f>(AB139/AB132-1)*100</f>
        <v>1.5506461025427187</v>
      </c>
      <c r="AE139" s="685"/>
      <c r="AF139" s="703">
        <f>+H139/AD139*100</f>
        <v>66.968122521856671</v>
      </c>
      <c r="AG139" s="668"/>
      <c r="AH139" s="666"/>
      <c r="AI139" s="675">
        <f>+S139</f>
        <v>955.3</v>
      </c>
      <c r="AJ139" s="666"/>
      <c r="AK139" s="714">
        <f>AI139/AB139</f>
        <v>125.48066661193663</v>
      </c>
      <c r="AL139" s="666"/>
      <c r="AM139" s="730">
        <f>(AK139/AK132-1)*100</f>
        <v>12.297107855600121</v>
      </c>
      <c r="AN139" s="685"/>
      <c r="AO139" s="666"/>
    </row>
    <row r="140" spans="1:41" hidden="1" outlineLevel="1">
      <c r="A140" s="666" t="str">
        <f>$A$28</f>
        <v>3Q</v>
      </c>
      <c r="B140" s="684" t="str">
        <f>$B$28</f>
        <v>Oct</v>
      </c>
      <c r="C140" s="666"/>
      <c r="D140" s="700">
        <f>(S140/S133-1)*100</f>
        <v>15.310873733223772</v>
      </c>
      <c r="E140" s="700"/>
      <c r="F140" s="703">
        <f>+segmthSales!CJ24</f>
        <v>14</v>
      </c>
      <c r="G140" s="700"/>
      <c r="H140" s="700">
        <f>D140-F140</f>
        <v>1.3108737332237723</v>
      </c>
      <c r="I140" s="667"/>
      <c r="J140" s="705">
        <f>'store&amp;sf'!J139</f>
        <v>1051</v>
      </c>
      <c r="K140" s="724"/>
      <c r="L140" s="706">
        <f>AVERAGE(J140,J139)</f>
        <v>1048</v>
      </c>
      <c r="M140" s="667"/>
      <c r="N140" s="700">
        <f>(L140/L133-1)*100</f>
        <v>4.7732696897373472E-2</v>
      </c>
      <c r="O140" s="704"/>
      <c r="P140" s="1148" t="s">
        <v>401</v>
      </c>
      <c r="Q140" s="702"/>
      <c r="R140" s="667"/>
      <c r="S140" s="712">
        <f>'segSales&amp;OM'!E173</f>
        <v>842</v>
      </c>
      <c r="T140" s="667"/>
      <c r="U140" s="713">
        <f>S140/L140</f>
        <v>0.80343511450381677</v>
      </c>
      <c r="V140" s="666"/>
      <c r="W140" s="730">
        <f>(U140/U133-1)*100</f>
        <v>15.255859003389215</v>
      </c>
      <c r="X140" s="685"/>
      <c r="Y140" s="666"/>
      <c r="Z140" s="678">
        <f>'store&amp;sf'!J503</f>
        <v>7.7062499999999998</v>
      </c>
      <c r="AA140" s="724"/>
      <c r="AB140" s="710">
        <f>AVERAGE(Z140,Z139)</f>
        <v>7.67</v>
      </c>
      <c r="AC140" s="666"/>
      <c r="AD140" s="700">
        <f>(AB140/AB133-1)*100</f>
        <v>1.4214876033057822</v>
      </c>
      <c r="AE140" s="685"/>
      <c r="AF140" s="703">
        <f>+H140/AD140*100</f>
        <v>92.218442860509754</v>
      </c>
      <c r="AG140" s="668"/>
      <c r="AH140" s="666"/>
      <c r="AI140" s="675">
        <f>+S140</f>
        <v>842</v>
      </c>
      <c r="AJ140" s="666"/>
      <c r="AK140" s="714">
        <f>AI140/AB140</f>
        <v>109.77835723598436</v>
      </c>
      <c r="AL140" s="666"/>
      <c r="AM140" s="730">
        <f>(AK140/AK133-1)*100</f>
        <v>13.694717419492131</v>
      </c>
      <c r="AN140" s="685"/>
      <c r="AO140" s="666"/>
    </row>
    <row r="141" spans="1:41" hidden="1" outlineLevel="1">
      <c r="A141" s="666" t="str">
        <f>$A$29</f>
        <v>4Q</v>
      </c>
      <c r="B141" s="684" t="str">
        <f>$B$29</f>
        <v>Jan</v>
      </c>
      <c r="C141" s="666"/>
      <c r="D141" s="732">
        <f>(S141/S134-1)*100</f>
        <v>15.996336081272378</v>
      </c>
      <c r="E141" s="667"/>
      <c r="F141" s="717">
        <f>+segmthSales!CJ29</f>
        <v>15</v>
      </c>
      <c r="G141" s="667"/>
      <c r="H141" s="732">
        <f>D141-F141</f>
        <v>0.99633608127237849</v>
      </c>
      <c r="I141" s="667"/>
      <c r="J141" s="705">
        <f>'store&amp;sf'!J140</f>
        <v>1040</v>
      </c>
      <c r="K141" s="724"/>
      <c r="L141" s="716">
        <f>AVERAGE(J141,J140)</f>
        <v>1045.5</v>
      </c>
      <c r="M141" s="667"/>
      <c r="N141" s="715">
        <f>(L141/L134-1)*100</f>
        <v>-9.5556617295744495E-2</v>
      </c>
      <c r="O141" s="704"/>
      <c r="P141" s="1149" t="s">
        <v>401</v>
      </c>
      <c r="Q141" s="702"/>
      <c r="R141" s="667"/>
      <c r="S141" s="718">
        <f>'segSales&amp;OM'!E174</f>
        <v>1393</v>
      </c>
      <c r="T141" s="667"/>
      <c r="U141" s="719">
        <f>S141/L141</f>
        <v>1.3323768531802964</v>
      </c>
      <c r="V141" s="666"/>
      <c r="W141" s="720">
        <f>(U141/U134-1)*100</f>
        <v>16.107284274559099</v>
      </c>
      <c r="X141" s="685"/>
      <c r="Y141" s="666"/>
      <c r="Z141" s="678">
        <f>'store&amp;sf'!J504</f>
        <v>7.66</v>
      </c>
      <c r="AA141" s="671"/>
      <c r="AB141" s="721">
        <f>AVERAGE(Z141,Z140)</f>
        <v>7.6831250000000004</v>
      </c>
      <c r="AC141" s="666"/>
      <c r="AD141" s="715">
        <f>(AB141/AB134-1)*100</f>
        <v>1.1103799967099981</v>
      </c>
      <c r="AE141" s="685"/>
      <c r="AF141" s="717">
        <f>+H141/AD141*100</f>
        <v>89.729289452662499</v>
      </c>
      <c r="AG141" s="668"/>
      <c r="AH141" s="666"/>
      <c r="AI141" s="722">
        <f>+S141</f>
        <v>1393</v>
      </c>
      <c r="AJ141" s="666"/>
      <c r="AK141" s="723">
        <f>AI141/AB141</f>
        <v>181.3064345562515</v>
      </c>
      <c r="AL141" s="666"/>
      <c r="AM141" s="720">
        <f>(AK141/AK134-1)*100</f>
        <v>14.722480604905975</v>
      </c>
      <c r="AN141" s="685"/>
      <c r="AO141" s="666"/>
    </row>
    <row r="142" spans="1:41" hidden="1" outlineLevel="1">
      <c r="A142" s="666"/>
      <c r="B142" s="684" t="str">
        <f>$B$30</f>
        <v>Year</v>
      </c>
      <c r="C142" s="666"/>
      <c r="D142" s="733">
        <f>(S142/S135-1)*100</f>
        <v>14.9559446160888</v>
      </c>
      <c r="E142" s="667"/>
      <c r="F142" s="700">
        <f>+segmthSales!CJ30</f>
        <v>14</v>
      </c>
      <c r="G142" s="667"/>
      <c r="H142" s="733">
        <f>D142-F142</f>
        <v>0.9559446160888001</v>
      </c>
      <c r="I142" s="667"/>
      <c r="J142" s="667"/>
      <c r="K142" s="667"/>
      <c r="L142" s="725">
        <f>AVERAGE(L138:L141)</f>
        <v>1045.5</v>
      </c>
      <c r="M142" s="667"/>
      <c r="N142" s="700">
        <f>(L142/L135-1)*100</f>
        <v>8.3762115591712316E-2</v>
      </c>
      <c r="O142" s="704"/>
      <c r="P142" s="703">
        <f>H142/N142*100</f>
        <v>1141.2613080935414</v>
      </c>
      <c r="Q142" s="702"/>
      <c r="R142" s="667"/>
      <c r="S142" s="726">
        <f>SUM(S138:S141)</f>
        <v>4018.4</v>
      </c>
      <c r="T142" s="667"/>
      <c r="U142" s="707">
        <f>SUM(U138:U141)</f>
        <v>3.8436114886193531</v>
      </c>
      <c r="V142" s="666"/>
      <c r="W142" s="730">
        <f>(U142/U135-1)*100</f>
        <v>14.884490036480402</v>
      </c>
      <c r="X142" s="685"/>
      <c r="Y142" s="666"/>
      <c r="Z142" s="676"/>
      <c r="AA142" s="666"/>
      <c r="AB142" s="710">
        <f>AVERAGE(AB138:AB141)</f>
        <v>7.6403124999999994</v>
      </c>
      <c r="AC142" s="666"/>
      <c r="AD142" s="700">
        <f>(AB142/AB135-1)*100</f>
        <v>1.4460280907035106</v>
      </c>
      <c r="AE142" s="685"/>
      <c r="AF142" s="703">
        <f>+H142/AD142*100</f>
        <v>66.108301922663287</v>
      </c>
      <c r="AG142" s="668"/>
      <c r="AH142" s="666"/>
      <c r="AI142" s="673">
        <f>SUM(AI138:AI141)</f>
        <v>4018.4</v>
      </c>
      <c r="AJ142" s="666"/>
      <c r="AK142" s="711">
        <f>SUM(AK138:AK141)</f>
        <v>525.59771646868865</v>
      </c>
      <c r="AL142" s="666"/>
      <c r="AM142" s="730">
        <f>(AK142/AK135-1)*100</f>
        <v>13.357740484060976</v>
      </c>
      <c r="AN142" s="685"/>
      <c r="AO142" s="666"/>
    </row>
    <row r="143" spans="1:41" hidden="1" outlineLevel="1">
      <c r="A143" s="666"/>
      <c r="B143" s="684"/>
      <c r="C143" s="666"/>
      <c r="D143" s="733"/>
      <c r="E143" s="667"/>
      <c r="F143" s="700"/>
      <c r="G143" s="667"/>
      <c r="H143" s="733"/>
      <c r="I143" s="667"/>
      <c r="J143" s="667"/>
      <c r="K143" s="667"/>
      <c r="L143" s="725"/>
      <c r="M143" s="667"/>
      <c r="N143" s="700"/>
      <c r="O143" s="704"/>
      <c r="P143" s="703"/>
      <c r="Q143" s="702"/>
      <c r="R143" s="667"/>
      <c r="S143" s="726"/>
      <c r="T143" s="667"/>
      <c r="U143" s="707"/>
      <c r="V143" s="666"/>
      <c r="W143" s="730"/>
      <c r="X143" s="685"/>
      <c r="Y143" s="666"/>
      <c r="Z143" s="676"/>
      <c r="AA143" s="666"/>
      <c r="AB143" s="710"/>
      <c r="AC143" s="666"/>
      <c r="AD143" s="700"/>
      <c r="AE143" s="685"/>
      <c r="AF143" s="703"/>
      <c r="AG143" s="668"/>
      <c r="AH143" s="666"/>
      <c r="AI143" s="673"/>
      <c r="AJ143" s="666"/>
      <c r="AK143" s="711"/>
      <c r="AL143" s="666"/>
      <c r="AM143" s="730"/>
      <c r="AN143" s="685"/>
      <c r="AO143" s="666"/>
    </row>
    <row r="144" spans="1:41" hidden="1" outlineLevel="1">
      <c r="A144" s="698"/>
      <c r="B144" s="738">
        <f>B137+1</f>
        <v>2011</v>
      </c>
      <c r="C144" s="666"/>
      <c r="D144" s="700"/>
      <c r="E144" s="701"/>
      <c r="F144" s="703"/>
      <c r="G144" s="701"/>
      <c r="H144" s="700"/>
      <c r="I144" s="704"/>
      <c r="J144" s="705"/>
      <c r="K144" s="667"/>
      <c r="L144" s="667"/>
      <c r="M144" s="667"/>
      <c r="N144" s="667"/>
      <c r="O144" s="704"/>
      <c r="P144" s="1094"/>
      <c r="Q144" s="702"/>
      <c r="R144" s="667"/>
      <c r="S144" s="712"/>
      <c r="T144" s="667"/>
      <c r="U144" s="667"/>
      <c r="V144" s="666"/>
      <c r="W144" s="666"/>
      <c r="X144" s="685"/>
      <c r="Y144" s="666"/>
      <c r="Z144" s="676"/>
      <c r="AA144" s="666"/>
      <c r="AB144" s="679"/>
      <c r="AC144" s="666"/>
      <c r="AD144" s="667"/>
      <c r="AE144" s="685"/>
      <c r="AF144" s="703"/>
      <c r="AG144" s="668"/>
      <c r="AH144" s="666"/>
      <c r="AI144" s="666"/>
      <c r="AJ144" s="666"/>
      <c r="AK144" s="666"/>
      <c r="AL144" s="666"/>
      <c r="AM144" s="666"/>
      <c r="AN144" s="685"/>
      <c r="AO144" s="666"/>
    </row>
    <row r="145" spans="1:41" hidden="1" outlineLevel="1">
      <c r="A145" s="666" t="str">
        <f>$A$26</f>
        <v>1Q</v>
      </c>
      <c r="B145" s="684" t="str">
        <f>$B$26</f>
        <v>Apr</v>
      </c>
      <c r="C145" s="666"/>
      <c r="D145" s="700">
        <f>(S145/S138-1)*100</f>
        <v>19.140200458881786</v>
      </c>
      <c r="E145" s="701" t="s">
        <v>1084</v>
      </c>
      <c r="F145" s="703">
        <f>+segmthSales!CN14</f>
        <v>19</v>
      </c>
      <c r="G145" s="701" t="s">
        <v>1084</v>
      </c>
      <c r="H145" s="700">
        <f>D145-F145</f>
        <v>0.14020045888178601</v>
      </c>
      <c r="I145" s="704" t="s">
        <v>1084</v>
      </c>
      <c r="J145" s="705">
        <f>'store&amp;sf'!J143</f>
        <v>1033</v>
      </c>
      <c r="K145" s="667"/>
      <c r="L145" s="706">
        <f>AVERAGE(J145,J141)</f>
        <v>1036.5</v>
      </c>
      <c r="M145" s="667"/>
      <c r="N145" s="700">
        <f>(L145/L138-1)*100</f>
        <v>-0.71839080459770166</v>
      </c>
      <c r="O145" s="704" t="s">
        <v>1084</v>
      </c>
      <c r="P145" s="1148" t="s">
        <v>401</v>
      </c>
      <c r="Q145" s="702" t="s">
        <v>1084</v>
      </c>
      <c r="R145" s="667"/>
      <c r="S145" s="726">
        <f>'segSales&amp;OM'!E178</f>
        <v>986.6</v>
      </c>
      <c r="T145" s="667"/>
      <c r="U145" s="707">
        <f>S145/L145</f>
        <v>0.95185721177038107</v>
      </c>
      <c r="V145" s="666"/>
      <c r="W145" s="730">
        <f>(U145/U138-1)*100</f>
        <v>20.00228584570436</v>
      </c>
      <c r="X145" s="685" t="s">
        <v>1084</v>
      </c>
      <c r="Y145" s="666"/>
      <c r="Z145" s="678">
        <f>'store&amp;sf'!J507</f>
        <v>7.6274999999999986</v>
      </c>
      <c r="AA145" s="666"/>
      <c r="AB145" s="710">
        <f>AVERAGE(Z145,Z141)</f>
        <v>7.6437499999999989</v>
      </c>
      <c r="AC145" s="666"/>
      <c r="AD145" s="700">
        <f>(AB145/AB138-1)*100</f>
        <v>0.64186965108623539</v>
      </c>
      <c r="AE145" s="685" t="s">
        <v>1084</v>
      </c>
      <c r="AF145" s="703">
        <f>+H145/AD145*100</f>
        <v>21.842512517070233</v>
      </c>
      <c r="AG145" s="668" t="s">
        <v>1084</v>
      </c>
      <c r="AH145" s="666"/>
      <c r="AI145" s="673">
        <f>+S145</f>
        <v>986.6</v>
      </c>
      <c r="AJ145" s="666"/>
      <c r="AK145" s="711">
        <f>AI145/AB145</f>
        <v>129.07277187244483</v>
      </c>
      <c r="AL145" s="666"/>
      <c r="AM145" s="730">
        <f>(AK145/AK138-1)*100</f>
        <v>18.380352900763008</v>
      </c>
      <c r="AN145" s="685" t="s">
        <v>1084</v>
      </c>
      <c r="AO145" s="666"/>
    </row>
    <row r="146" spans="1:41" hidden="1" outlineLevel="1">
      <c r="A146" s="666" t="str">
        <f>$A$27</f>
        <v>2Q</v>
      </c>
      <c r="B146" s="684" t="str">
        <f>$B$27</f>
        <v>Jul</v>
      </c>
      <c r="C146" s="666"/>
      <c r="D146" s="700">
        <f>(S146/S139-1)*100</f>
        <v>11.336752852507059</v>
      </c>
      <c r="E146" s="700"/>
      <c r="F146" s="703">
        <f>segmthSales!CN19</f>
        <v>12</v>
      </c>
      <c r="G146" s="700"/>
      <c r="H146" s="700">
        <f>D146-F146</f>
        <v>-0.66324714749294067</v>
      </c>
      <c r="I146" s="667"/>
      <c r="J146" s="705">
        <f>'store&amp;sf'!J144</f>
        <v>1032</v>
      </c>
      <c r="K146" s="724"/>
      <c r="L146" s="706">
        <f>AVERAGE(J146,J145)</f>
        <v>1032.5</v>
      </c>
      <c r="M146" s="667"/>
      <c r="N146" s="700">
        <f>(L146/L139-1)*100</f>
        <v>-1.1488750598372399</v>
      </c>
      <c r="O146" s="704"/>
      <c r="P146" s="1148" t="s">
        <v>401</v>
      </c>
      <c r="Q146" s="702"/>
      <c r="R146" s="667"/>
      <c r="S146" s="712">
        <f>'segSales&amp;OM'!E179</f>
        <v>1063.5999999999999</v>
      </c>
      <c r="T146" s="667"/>
      <c r="U146" s="713">
        <f>S146/L146</f>
        <v>1.0301210653753026</v>
      </c>
      <c r="V146" s="666"/>
      <c r="W146" s="730">
        <f>(U146/U139-1)*100</f>
        <v>12.630739326337647</v>
      </c>
      <c r="X146" s="685"/>
      <c r="Y146" s="666"/>
      <c r="Z146" s="678">
        <f>'store&amp;sf'!J508</f>
        <v>7.638749999999999</v>
      </c>
      <c r="AA146" s="724"/>
      <c r="AB146" s="710">
        <f>AVERAGE(Z146,Z145)</f>
        <v>7.6331249999999988</v>
      </c>
      <c r="AC146" s="666"/>
      <c r="AD146" s="700">
        <f>(AB146/AB139-1)*100</f>
        <v>0.26270421147689405</v>
      </c>
      <c r="AE146" s="685"/>
      <c r="AF146" s="703">
        <f>+H146/AD146*100</f>
        <v>-252.46917198785604</v>
      </c>
      <c r="AG146" s="668"/>
      <c r="AH146" s="666"/>
      <c r="AI146" s="675">
        <f>+S146</f>
        <v>1063.5999999999999</v>
      </c>
      <c r="AJ146" s="666"/>
      <c r="AK146" s="714">
        <f>AI146/AB146</f>
        <v>139.34004749037911</v>
      </c>
      <c r="AL146" s="666"/>
      <c r="AM146" s="730">
        <f>(AK146/AK139-1)*100</f>
        <v>11.045032874509818</v>
      </c>
      <c r="AN146" s="685"/>
      <c r="AO146" s="666"/>
    </row>
    <row r="147" spans="1:41" hidden="1" outlineLevel="1">
      <c r="A147" s="666" t="str">
        <f>$A$28</f>
        <v>3Q</v>
      </c>
      <c r="B147" s="684" t="str">
        <f>$B$28</f>
        <v>Oct</v>
      </c>
      <c r="C147" s="666"/>
      <c r="D147" s="700">
        <f>(S147/S140-1)*100</f>
        <v>11.82897862232779</v>
      </c>
      <c r="E147" s="700"/>
      <c r="F147" s="703">
        <f>segmthSales!CN24</f>
        <v>13</v>
      </c>
      <c r="G147" s="700"/>
      <c r="H147" s="700">
        <f>D147-F147</f>
        <v>-1.1710213776722096</v>
      </c>
      <c r="I147" s="667"/>
      <c r="J147" s="705">
        <f>'store&amp;sf'!J145</f>
        <v>1034</v>
      </c>
      <c r="K147" s="724"/>
      <c r="L147" s="706">
        <f>AVERAGE(J147,J146)</f>
        <v>1033</v>
      </c>
      <c r="M147" s="667"/>
      <c r="N147" s="700">
        <f>(L147/L140-1)*100</f>
        <v>-1.4312977099236623</v>
      </c>
      <c r="O147" s="704"/>
      <c r="P147" s="1148" t="s">
        <v>401</v>
      </c>
      <c r="Q147" s="702"/>
      <c r="R147" s="667"/>
      <c r="S147" s="712">
        <f>'segSales&amp;OM'!E180</f>
        <v>941.6</v>
      </c>
      <c r="T147" s="667"/>
      <c r="U147" s="713">
        <f>S147/L147</f>
        <v>0.91151984511132622</v>
      </c>
      <c r="V147" s="666"/>
      <c r="W147" s="730">
        <f>(U147/U140-1)*100</f>
        <v>13.452826327395485</v>
      </c>
      <c r="X147" s="685"/>
      <c r="Y147" s="666"/>
      <c r="Z147" s="678">
        <f>'store&amp;sf'!J509</f>
        <v>7.6837499999999999</v>
      </c>
      <c r="AA147" s="724"/>
      <c r="AB147" s="710">
        <f>AVERAGE(Z147,Z146)</f>
        <v>7.661249999999999</v>
      </c>
      <c r="AC147" s="666"/>
      <c r="AD147" s="700">
        <f>(AB147/AB140-1)*100</f>
        <v>-0.11408083441982741</v>
      </c>
      <c r="AE147" s="685"/>
      <c r="AF147" s="703">
        <f>+H147/AD147*100</f>
        <v>1026.4838819137217</v>
      </c>
      <c r="AG147" s="668"/>
      <c r="AH147" s="666"/>
      <c r="AI147" s="675">
        <f>+S147</f>
        <v>941.6</v>
      </c>
      <c r="AJ147" s="666"/>
      <c r="AK147" s="714">
        <f>AI147/AB147</f>
        <v>122.90422581171482</v>
      </c>
      <c r="AL147" s="666"/>
      <c r="AM147" s="730">
        <f>(AK147/AK140-1)*100</f>
        <v>11.956699759602451</v>
      </c>
      <c r="AN147" s="685"/>
      <c r="AO147" s="666"/>
    </row>
    <row r="148" spans="1:41" hidden="1" outlineLevel="1">
      <c r="A148" s="666" t="str">
        <f>$A$29</f>
        <v>4Q</v>
      </c>
      <c r="B148" s="684" t="str">
        <f>$B$29</f>
        <v>Jan</v>
      </c>
      <c r="C148" s="666"/>
      <c r="D148" s="732">
        <f>(S148/S141-1)*100</f>
        <v>12.864321608040207</v>
      </c>
      <c r="E148" s="667"/>
      <c r="F148" s="717">
        <f>segmthSales!CN29</f>
        <v>12</v>
      </c>
      <c r="G148" s="667"/>
      <c r="H148" s="732">
        <f>D148-F148</f>
        <v>0.86432160804020697</v>
      </c>
      <c r="I148" s="667"/>
      <c r="J148" s="705">
        <f>'store&amp;sf'!J146</f>
        <v>1036</v>
      </c>
      <c r="K148" s="724"/>
      <c r="L148" s="716">
        <f>AVERAGE(J148,J147)</f>
        <v>1035</v>
      </c>
      <c r="M148" s="667"/>
      <c r="N148" s="715">
        <f>(L148/L141-1)*100</f>
        <v>-1.0043041606886627</v>
      </c>
      <c r="O148" s="704"/>
      <c r="P148" s="1149" t="s">
        <v>401</v>
      </c>
      <c r="Q148" s="702"/>
      <c r="R148" s="667"/>
      <c r="S148" s="718">
        <f>'segSales&amp;OM'!E181</f>
        <v>1572.2</v>
      </c>
      <c r="T148" s="667"/>
      <c r="U148" s="719">
        <f>S148/L148</f>
        <v>1.5190338164251209</v>
      </c>
      <c r="V148" s="666"/>
      <c r="W148" s="720">
        <f>(U148/U141-1)*100</f>
        <v>14.009321972179766</v>
      </c>
      <c r="X148" s="685"/>
      <c r="Y148" s="666"/>
      <c r="Z148" s="678">
        <f>'store&amp;sf'!J510</f>
        <v>7.7187499999999991</v>
      </c>
      <c r="AA148" s="671"/>
      <c r="AB148" s="721">
        <f>AVERAGE(Z148,Z147)</f>
        <v>7.7012499999999999</v>
      </c>
      <c r="AC148" s="666"/>
      <c r="AD148" s="715">
        <f>(AB148/AB141-1)*100</f>
        <v>0.23590661351988729</v>
      </c>
      <c r="AE148" s="685"/>
      <c r="AF148" s="717">
        <f>+H148/AD148*100</f>
        <v>366.3829492289089</v>
      </c>
      <c r="AG148" s="668"/>
      <c r="AH148" s="666"/>
      <c r="AI148" s="722">
        <f>+S148</f>
        <v>1572.2</v>
      </c>
      <c r="AJ148" s="666"/>
      <c r="AK148" s="723">
        <f>AI148/AB148</f>
        <v>204.14867716279826</v>
      </c>
      <c r="AL148" s="666"/>
      <c r="AM148" s="720">
        <f>(AK148/AK141-1)*100</f>
        <v>12.598693842528697</v>
      </c>
      <c r="AN148" s="685"/>
      <c r="AO148" s="666"/>
    </row>
    <row r="149" spans="1:41" hidden="1" outlineLevel="1">
      <c r="A149" s="666"/>
      <c r="B149" s="684" t="str">
        <f>$B$30</f>
        <v>Year</v>
      </c>
      <c r="C149" s="666"/>
      <c r="D149" s="733">
        <f>(S149/S142-1)*100</f>
        <v>13.577543300816242</v>
      </c>
      <c r="E149" s="667"/>
      <c r="F149" s="700">
        <f>+F145*S145/S149+F146*S146/S149+F147*S147/S149+F148*S148/S149</f>
        <v>13.719500438212096</v>
      </c>
      <c r="G149" s="667"/>
      <c r="H149" s="733">
        <f>D149-F149</f>
        <v>-0.14195713739585436</v>
      </c>
      <c r="I149" s="667"/>
      <c r="J149" s="667"/>
      <c r="K149" s="667"/>
      <c r="L149" s="725">
        <f>AVERAGE(L145:L148)</f>
        <v>1034.25</v>
      </c>
      <c r="M149" s="667"/>
      <c r="N149" s="700">
        <f>(L149/L142-1)*100</f>
        <v>-1.0760401721664259</v>
      </c>
      <c r="O149" s="704"/>
      <c r="P149" s="703">
        <f>H149/N149*100</f>
        <v>13.192549968654751</v>
      </c>
      <c r="Q149" s="702"/>
      <c r="R149" s="667"/>
      <c r="S149" s="726">
        <f>SUM(S145:S148)</f>
        <v>4564</v>
      </c>
      <c r="T149" s="667"/>
      <c r="U149" s="707">
        <f>SUM(U145:U148)</f>
        <v>4.4125319386821307</v>
      </c>
      <c r="V149" s="666"/>
      <c r="W149" s="730">
        <f>(U149/U142-1)*100</f>
        <v>14.801715827609229</v>
      </c>
      <c r="X149" s="685"/>
      <c r="Y149" s="666"/>
      <c r="Z149" s="676"/>
      <c r="AA149" s="666"/>
      <c r="AB149" s="710">
        <f>AVERAGE(AB145:AB148)</f>
        <v>7.6598437499999985</v>
      </c>
      <c r="AC149" s="666"/>
      <c r="AD149" s="700">
        <f>(AB149/AB142-1)*100</f>
        <v>0.25563417726695015</v>
      </c>
      <c r="AE149" s="685"/>
      <c r="AF149" s="703">
        <f>+H149/AD149*100</f>
        <v>-55.531360835062884</v>
      </c>
      <c r="AG149" s="668"/>
      <c r="AH149" s="666"/>
      <c r="AI149" s="673">
        <f>SUM(AI145:AI148)</f>
        <v>4564</v>
      </c>
      <c r="AJ149" s="666"/>
      <c r="AK149" s="711">
        <f>SUM(AK145:AK148)</f>
        <v>595.46572233733696</v>
      </c>
      <c r="AL149" s="666"/>
      <c r="AM149" s="730">
        <f>(AK149/AK142-1)*100</f>
        <v>13.293057347750214</v>
      </c>
      <c r="AN149" s="685"/>
      <c r="AO149" s="666"/>
    </row>
    <row r="150" spans="1:41" hidden="1" outlineLevel="1">
      <c r="A150" s="666"/>
      <c r="B150" s="684"/>
      <c r="C150" s="666"/>
      <c r="D150" s="733"/>
      <c r="E150" s="667"/>
      <c r="F150" s="700"/>
      <c r="G150" s="667"/>
      <c r="H150" s="733"/>
      <c r="I150" s="667"/>
      <c r="J150" s="667"/>
      <c r="K150" s="667"/>
      <c r="L150" s="725"/>
      <c r="M150" s="667"/>
      <c r="N150" s="700"/>
      <c r="O150" s="704"/>
      <c r="P150" s="703"/>
      <c r="Q150" s="702"/>
      <c r="R150" s="667"/>
      <c r="S150" s="726"/>
      <c r="T150" s="667"/>
      <c r="U150" s="707"/>
      <c r="V150" s="666"/>
      <c r="W150" s="730"/>
      <c r="X150" s="685"/>
      <c r="Y150" s="666"/>
      <c r="Z150" s="676"/>
      <c r="AA150" s="666"/>
      <c r="AB150" s="710"/>
      <c r="AC150" s="666"/>
      <c r="AD150" s="700"/>
      <c r="AE150" s="685"/>
      <c r="AF150" s="703"/>
      <c r="AG150" s="668"/>
      <c r="AH150" s="666"/>
      <c r="AI150" s="673"/>
      <c r="AJ150" s="666"/>
      <c r="AK150" s="711"/>
      <c r="AL150" s="666"/>
      <c r="AM150" s="730"/>
      <c r="AN150" s="685"/>
      <c r="AO150" s="666"/>
    </row>
    <row r="151" spans="1:41" collapsed="1">
      <c r="A151" s="698"/>
      <c r="B151" s="728">
        <f>B144+1</f>
        <v>2012</v>
      </c>
      <c r="C151" s="666"/>
      <c r="D151" s="700"/>
      <c r="E151" s="701"/>
      <c r="F151" s="703"/>
      <c r="G151" s="701"/>
      <c r="H151" s="700"/>
      <c r="I151" s="704"/>
      <c r="J151" s="705"/>
      <c r="K151" s="667"/>
      <c r="L151" s="667"/>
      <c r="M151" s="667"/>
      <c r="N151" s="667"/>
      <c r="O151" s="704"/>
      <c r="P151" s="1094"/>
      <c r="Q151" s="702"/>
      <c r="R151" s="667"/>
      <c r="S151" s="712"/>
      <c r="T151" s="667"/>
      <c r="U151" s="667"/>
      <c r="V151" s="666"/>
      <c r="W151" s="666"/>
      <c r="X151" s="685"/>
      <c r="Y151" s="666"/>
      <c r="Z151" s="676"/>
      <c r="AA151" s="666"/>
      <c r="AB151" s="679"/>
      <c r="AC151" s="666"/>
      <c r="AD151" s="667"/>
      <c r="AE151" s="685"/>
      <c r="AF151" s="703"/>
      <c r="AG151" s="668"/>
      <c r="AH151" s="666"/>
      <c r="AI151" s="666"/>
      <c r="AJ151" s="666"/>
      <c r="AK151" s="666"/>
      <c r="AL151" s="666"/>
      <c r="AM151" s="666"/>
      <c r="AN151" s="685"/>
      <c r="AO151" s="666"/>
    </row>
    <row r="152" spans="1:41">
      <c r="A152" s="666" t="str">
        <f>$A$26</f>
        <v>1Q</v>
      </c>
      <c r="B152" s="684" t="str">
        <f>$B$26</f>
        <v>Apr</v>
      </c>
      <c r="C152" s="666"/>
      <c r="D152" s="700">
        <f>(S152/S145-1)*100</f>
        <v>13.244577336306506</v>
      </c>
      <c r="E152" s="701" t="s">
        <v>1084</v>
      </c>
      <c r="F152" s="703">
        <f>+segmthSales!CR14</f>
        <v>9</v>
      </c>
      <c r="G152" s="701" t="s">
        <v>1084</v>
      </c>
      <c r="H152" s="700">
        <f>D152-F152</f>
        <v>4.2445773363065058</v>
      </c>
      <c r="I152" s="704" t="s">
        <v>1084</v>
      </c>
      <c r="J152" s="705">
        <f>'store&amp;sf'!J149</f>
        <v>1030</v>
      </c>
      <c r="K152" s="667"/>
      <c r="L152" s="706">
        <f>AVERAGE(J152,J148)</f>
        <v>1033</v>
      </c>
      <c r="M152" s="667"/>
      <c r="N152" s="700">
        <f>(L152/L145-1)*100</f>
        <v>-0.33767486734201935</v>
      </c>
      <c r="O152" s="704" t="s">
        <v>1084</v>
      </c>
      <c r="P152" s="1148" t="s">
        <v>401</v>
      </c>
      <c r="Q152" s="702" t="s">
        <v>1084</v>
      </c>
      <c r="R152" s="667"/>
      <c r="S152" s="726">
        <f>'segSales&amp;OM'!E202</f>
        <v>1117.271</v>
      </c>
      <c r="T152" s="667"/>
      <c r="U152" s="707">
        <f>S152/L152</f>
        <v>1.0815788964181994</v>
      </c>
      <c r="V152" s="666"/>
      <c r="W152" s="730">
        <f>(U152/U145-1)*100</f>
        <v>13.628271451192342</v>
      </c>
      <c r="X152" s="685" t="s">
        <v>1084</v>
      </c>
      <c r="Y152" s="666"/>
      <c r="Z152" s="678">
        <f>'store&amp;sf'!J508</f>
        <v>7.638749999999999</v>
      </c>
      <c r="AA152" s="666"/>
      <c r="AB152" s="710">
        <f>AVERAGE(Z152,Z148)</f>
        <v>7.6787499999999991</v>
      </c>
      <c r="AC152" s="666"/>
      <c r="AD152" s="700">
        <f>(AB152/AB145-1)*100</f>
        <v>0.45789043336059709</v>
      </c>
      <c r="AE152" s="685" t="s">
        <v>1084</v>
      </c>
      <c r="AF152" s="703">
        <f>+H152/AD152*100</f>
        <v>926.98537183977885</v>
      </c>
      <c r="AG152" s="668" t="s">
        <v>1084</v>
      </c>
      <c r="AH152" s="666"/>
      <c r="AI152" s="673">
        <f>+S152</f>
        <v>1117.271</v>
      </c>
      <c r="AJ152" s="666"/>
      <c r="AK152" s="711">
        <f>AI152/AB152</f>
        <v>145.50167670519292</v>
      </c>
      <c r="AL152" s="666"/>
      <c r="AM152" s="730">
        <f>(AK152/AK145-1)*100</f>
        <v>12.728404755252187</v>
      </c>
      <c r="AN152" s="685" t="s">
        <v>1084</v>
      </c>
      <c r="AO152" s="666"/>
    </row>
    <row r="153" spans="1:41">
      <c r="A153" s="666" t="str">
        <f>$A$27</f>
        <v>2Q</v>
      </c>
      <c r="B153" s="684" t="str">
        <f>$B$27</f>
        <v>Jul</v>
      </c>
      <c r="C153" s="666"/>
      <c r="D153" s="700">
        <f>(S153/S146-1)*100</f>
        <v>13.366679202707799</v>
      </c>
      <c r="E153" s="700"/>
      <c r="F153" s="703">
        <f>+segmthSales!CR19</f>
        <v>11</v>
      </c>
      <c r="G153" s="700"/>
      <c r="H153" s="700">
        <f>D153-F153</f>
        <v>2.3666792027077985</v>
      </c>
      <c r="I153" s="667"/>
      <c r="J153" s="705">
        <f>'store&amp;sf'!J150</f>
        <v>1035</v>
      </c>
      <c r="K153" s="724"/>
      <c r="L153" s="706">
        <f>AVERAGE(J153,J152)</f>
        <v>1032.5</v>
      </c>
      <c r="M153" s="667"/>
      <c r="N153" s="700">
        <f>(L153/L146-1)*100</f>
        <v>0</v>
      </c>
      <c r="O153" s="704"/>
      <c r="P153" s="1148" t="s">
        <v>401</v>
      </c>
      <c r="Q153" s="702"/>
      <c r="R153" s="667"/>
      <c r="S153" s="712">
        <f>'segSales&amp;OM'!E203</f>
        <v>1205.768</v>
      </c>
      <c r="T153" s="667"/>
      <c r="U153" s="713">
        <f>S153/L153</f>
        <v>1.1678140435835351</v>
      </c>
      <c r="V153" s="666"/>
      <c r="W153" s="730">
        <f>(U153/U146-1)*100</f>
        <v>13.366679202707799</v>
      </c>
      <c r="X153" s="685"/>
      <c r="Y153" s="666"/>
      <c r="Z153" s="678">
        <f>'store&amp;sf'!J509</f>
        <v>7.6837499999999999</v>
      </c>
      <c r="AA153" s="724"/>
      <c r="AB153" s="710">
        <f>AVERAGE(Z153,Z152)</f>
        <v>7.661249999999999</v>
      </c>
      <c r="AC153" s="666"/>
      <c r="AD153" s="700">
        <f>(AB153/AB146-1)*100</f>
        <v>0.36845983787767711</v>
      </c>
      <c r="AE153" s="685"/>
      <c r="AF153" s="703">
        <f>+H153/AD153*100</f>
        <v>642.3167356148864</v>
      </c>
      <c r="AG153" s="668"/>
      <c r="AH153" s="666"/>
      <c r="AI153" s="675">
        <f>+S153</f>
        <v>1205.768</v>
      </c>
      <c r="AJ153" s="666"/>
      <c r="AK153" s="714">
        <f>AI153/AB153</f>
        <v>157.38528308043729</v>
      </c>
      <c r="AL153" s="666"/>
      <c r="AM153" s="730">
        <f>(AK153/AK146-1)*100</f>
        <v>12.950501966280825</v>
      </c>
      <c r="AN153" s="685"/>
      <c r="AO153" s="666"/>
    </row>
    <row r="154" spans="1:41">
      <c r="A154" s="666" t="str">
        <f>$A$28</f>
        <v>3Q</v>
      </c>
      <c r="B154" s="684" t="str">
        <f>$B$28</f>
        <v>Oct</v>
      </c>
      <c r="C154" s="666"/>
      <c r="D154" s="700">
        <f>(S154/S147-1)*100</f>
        <v>11.099405267629582</v>
      </c>
      <c r="E154" s="700"/>
      <c r="F154" s="703">
        <f>+segmthSales!CR24</f>
        <v>6</v>
      </c>
      <c r="G154" s="700"/>
      <c r="H154" s="700">
        <f>D154-F154</f>
        <v>5.0994052676295816</v>
      </c>
      <c r="I154" s="667"/>
      <c r="J154" s="705">
        <f>'store&amp;sf'!J151</f>
        <v>1046</v>
      </c>
      <c r="K154" s="724"/>
      <c r="L154" s="706">
        <f>AVERAGE(J154,J153)</f>
        <v>1040.5</v>
      </c>
      <c r="M154" s="667"/>
      <c r="N154" s="700">
        <f>(L154/L147-1)*100</f>
        <v>0.72604065827686082</v>
      </c>
      <c r="O154" s="704"/>
      <c r="P154" s="1148" t="s">
        <v>401</v>
      </c>
      <c r="Q154" s="702"/>
      <c r="R154" s="667"/>
      <c r="S154" s="712">
        <f>'segSales&amp;OM'!E204</f>
        <v>1046.1120000000001</v>
      </c>
      <c r="T154" s="667"/>
      <c r="U154" s="713">
        <f>S154/L154</f>
        <v>1.0053935607880826</v>
      </c>
      <c r="V154" s="666"/>
      <c r="W154" s="730">
        <f>(U154/U147-1)*100</f>
        <v>10.298592639559189</v>
      </c>
      <c r="X154" s="685"/>
      <c r="Y154" s="666"/>
      <c r="Z154" s="678">
        <f>'store&amp;sf'!J510</f>
        <v>7.7187499999999991</v>
      </c>
      <c r="AA154" s="724"/>
      <c r="AB154" s="710">
        <f>AVERAGE(Z154,Z153)</f>
        <v>7.7012499999999999</v>
      </c>
      <c r="AC154" s="666"/>
      <c r="AD154" s="700">
        <f>(AB154/AB147-1)*100</f>
        <v>0.52210801109480176</v>
      </c>
      <c r="AE154" s="685"/>
      <c r="AF154" s="703">
        <f>+H154/AD154*100</f>
        <v>976.69546516566606</v>
      </c>
      <c r="AG154" s="668"/>
      <c r="AH154" s="666"/>
      <c r="AI154" s="675">
        <f>+S154</f>
        <v>1046.1120000000001</v>
      </c>
      <c r="AJ154" s="666"/>
      <c r="AK154" s="714">
        <f>AI154/AB154</f>
        <v>135.83664989449767</v>
      </c>
      <c r="AL154" s="666"/>
      <c r="AM154" s="730">
        <f>(AK154/AK147-1)*100</f>
        <v>10.522359176319029</v>
      </c>
      <c r="AN154" s="685"/>
      <c r="AO154" s="666"/>
    </row>
    <row r="155" spans="1:41">
      <c r="A155" s="666" t="str">
        <f>$A$29</f>
        <v>4Q</v>
      </c>
      <c r="B155" s="684" t="str">
        <f>$B$29</f>
        <v>Jan</v>
      </c>
      <c r="C155" s="666"/>
      <c r="D155" s="715">
        <f>(S155/S148-1)*100</f>
        <v>13.081987024551589</v>
      </c>
      <c r="E155" s="667"/>
      <c r="F155" s="717">
        <f>segmthSales!CR29</f>
        <v>3</v>
      </c>
      <c r="G155" s="667"/>
      <c r="H155" s="715">
        <f>D155-F155</f>
        <v>10.081987024551589</v>
      </c>
      <c r="I155" s="667"/>
      <c r="J155" s="705">
        <f>'store&amp;sf'!J152</f>
        <v>1047</v>
      </c>
      <c r="K155" s="724"/>
      <c r="L155" s="716">
        <f>AVERAGE(J155,J154)</f>
        <v>1046.5</v>
      </c>
      <c r="M155" s="667"/>
      <c r="N155" s="715">
        <f>(L155/L148-1)*100</f>
        <v>1.1111111111111072</v>
      </c>
      <c r="O155" s="704"/>
      <c r="P155" s="1149" t="s">
        <v>401</v>
      </c>
      <c r="Q155" s="702"/>
      <c r="R155" s="667"/>
      <c r="S155" s="718">
        <f>'segSales&amp;OM'!E205</f>
        <v>1777.875</v>
      </c>
      <c r="T155" s="667"/>
      <c r="U155" s="719">
        <f>S155/L155</f>
        <v>1.698877209746775</v>
      </c>
      <c r="V155" s="666"/>
      <c r="W155" s="720">
        <f>(U155/U148-1)*100</f>
        <v>11.839327826479584</v>
      </c>
      <c r="X155" s="685"/>
      <c r="Y155" s="666"/>
      <c r="Z155" s="678">
        <f>'store&amp;sf'!J516</f>
        <v>7.9587499999999984</v>
      </c>
      <c r="AA155" s="671"/>
      <c r="AB155" s="721">
        <f>AVERAGE(Z155,Z154)</f>
        <v>7.8387499999999992</v>
      </c>
      <c r="AC155" s="666"/>
      <c r="AD155" s="715">
        <f>(AB155/AB148-1)*100</f>
        <v>1.7854244440837386</v>
      </c>
      <c r="AE155" s="685"/>
      <c r="AF155" s="717">
        <f>+H155/AD155*100</f>
        <v>564.68292780238937</v>
      </c>
      <c r="AG155" s="668"/>
      <c r="AH155" s="666"/>
      <c r="AI155" s="722">
        <f>+S155</f>
        <v>1777.875</v>
      </c>
      <c r="AJ155" s="666"/>
      <c r="AK155" s="723">
        <f>AI155/AB155</f>
        <v>226.80593206825071</v>
      </c>
      <c r="AL155" s="666"/>
      <c r="AM155" s="720">
        <f>(AK155/AK148-1)*100</f>
        <v>11.098408875500287</v>
      </c>
      <c r="AN155" s="685"/>
      <c r="AO155" s="666"/>
    </row>
    <row r="156" spans="1:41">
      <c r="A156" s="666"/>
      <c r="B156" s="684" t="str">
        <f>$B$30</f>
        <v>Year</v>
      </c>
      <c r="C156" s="666"/>
      <c r="D156" s="733">
        <f>(S156/S149-1)*100</f>
        <v>12.774452234881672</v>
      </c>
      <c r="E156" s="667"/>
      <c r="F156" s="700">
        <f>+F152*S152/S156+F153*S153/S156+F154*S154/S156+F155*S155/S156</f>
        <v>6.7862847399643993</v>
      </c>
      <c r="G156" s="667"/>
      <c r="H156" s="733">
        <f>D156-F156</f>
        <v>5.9881674949172723</v>
      </c>
      <c r="I156" s="667"/>
      <c r="J156" s="667"/>
      <c r="K156" s="667"/>
      <c r="L156" s="725">
        <f>AVERAGE(L152:L155)</f>
        <v>1038.125</v>
      </c>
      <c r="M156" s="667"/>
      <c r="N156" s="700">
        <f>(L156/L149-1)*100</f>
        <v>0.37466763355087362</v>
      </c>
      <c r="O156" s="704"/>
      <c r="P156" s="740" t="s">
        <v>401</v>
      </c>
      <c r="Q156" s="702"/>
      <c r="R156" s="667"/>
      <c r="S156" s="726">
        <f>SUM(S152:S155)</f>
        <v>5147.0259999999998</v>
      </c>
      <c r="T156" s="667"/>
      <c r="U156" s="707">
        <f>SUM(U152:U155)</f>
        <v>4.9536637105365919</v>
      </c>
      <c r="V156" s="666"/>
      <c r="W156" s="730">
        <f>(U156/U149-1)*100</f>
        <v>12.26352079427846</v>
      </c>
      <c r="X156" s="685"/>
      <c r="Y156" s="666"/>
      <c r="Z156" s="676"/>
      <c r="AA156" s="666"/>
      <c r="AB156" s="710">
        <f>AVERAGE(AB152:AB155)</f>
        <v>7.7199999999999989</v>
      </c>
      <c r="AC156" s="666"/>
      <c r="AD156" s="700">
        <f>(AB156/AB149-1)*100</f>
        <v>0.78534565408074908</v>
      </c>
      <c r="AE156" s="685"/>
      <c r="AF156" s="703">
        <f>+H156/AD156*100</f>
        <v>762.48814312551985</v>
      </c>
      <c r="AG156" s="668"/>
      <c r="AH156" s="666"/>
      <c r="AI156" s="673">
        <f>SUM(AI152:AI155)</f>
        <v>5147.0259999999998</v>
      </c>
      <c r="AJ156" s="666"/>
      <c r="AK156" s="711">
        <f>SUM(AK152:AK155)</f>
        <v>665.52954174837862</v>
      </c>
      <c r="AL156" s="666"/>
      <c r="AM156" s="730">
        <f>(AK156/AK149-1)*100</f>
        <v>11.766222098566036</v>
      </c>
      <c r="AN156" s="685"/>
      <c r="AO156" s="666"/>
    </row>
    <row r="157" spans="1:41">
      <c r="A157" s="666"/>
      <c r="B157" s="684"/>
      <c r="C157" s="666"/>
      <c r="D157" s="733"/>
      <c r="E157" s="667"/>
      <c r="F157" s="700"/>
      <c r="G157" s="667"/>
      <c r="H157" s="733"/>
      <c r="I157" s="667"/>
      <c r="J157" s="667"/>
      <c r="K157" s="667"/>
      <c r="L157" s="725"/>
      <c r="M157" s="667"/>
      <c r="N157" s="700"/>
      <c r="O157" s="704"/>
      <c r="P157" s="740"/>
      <c r="Q157" s="702"/>
      <c r="R157" s="667"/>
      <c r="S157" s="726"/>
      <c r="T157" s="667"/>
      <c r="U157" s="707"/>
      <c r="V157" s="666"/>
      <c r="W157" s="730"/>
      <c r="X157" s="685"/>
      <c r="Y157" s="666"/>
      <c r="Z157" s="676"/>
      <c r="AA157" s="666"/>
      <c r="AB157" s="710"/>
      <c r="AC157" s="666"/>
      <c r="AD157" s="700"/>
      <c r="AE157" s="685"/>
      <c r="AF157" s="703"/>
      <c r="AG157" s="668"/>
      <c r="AH157" s="666"/>
      <c r="AI157" s="673"/>
      <c r="AJ157" s="666"/>
      <c r="AK157" s="711"/>
      <c r="AL157" s="666"/>
      <c r="AM157" s="730"/>
      <c r="AN157" s="685"/>
      <c r="AO157" s="666"/>
    </row>
    <row r="158" spans="1:41">
      <c r="A158" s="698"/>
      <c r="B158" s="728">
        <f>B151+1</f>
        <v>2013</v>
      </c>
      <c r="C158" s="666"/>
      <c r="D158" s="733"/>
      <c r="E158" s="667"/>
      <c r="F158" s="700"/>
      <c r="G158" s="667"/>
      <c r="H158" s="733"/>
      <c r="I158" s="667"/>
      <c r="J158" s="667"/>
      <c r="K158" s="667"/>
      <c r="L158" s="725"/>
      <c r="M158" s="667"/>
      <c r="N158" s="700"/>
      <c r="O158" s="704"/>
      <c r="P158" s="740"/>
      <c r="Q158" s="702"/>
      <c r="R158" s="667"/>
      <c r="S158" s="726"/>
      <c r="T158" s="667"/>
      <c r="U158" s="707"/>
      <c r="V158" s="666"/>
      <c r="W158" s="730"/>
      <c r="X158" s="685"/>
      <c r="Y158" s="666"/>
      <c r="Z158" s="676"/>
      <c r="AA158" s="666"/>
      <c r="AB158" s="710"/>
      <c r="AC158" s="666"/>
      <c r="AD158" s="700"/>
      <c r="AE158" s="685"/>
      <c r="AF158" s="703"/>
      <c r="AG158" s="668"/>
      <c r="AH158" s="666"/>
      <c r="AI158" s="673"/>
      <c r="AJ158" s="666"/>
      <c r="AK158" s="711"/>
      <c r="AL158" s="666"/>
      <c r="AM158" s="730"/>
      <c r="AN158" s="685"/>
      <c r="AO158" s="666"/>
    </row>
    <row r="159" spans="1:41">
      <c r="A159" s="666" t="str">
        <f>$A$26</f>
        <v>1Q</v>
      </c>
      <c r="B159" s="684" t="str">
        <f>$B$26</f>
        <v>Apr</v>
      </c>
      <c r="C159" s="666"/>
      <c r="D159" s="733">
        <f>(S159/S152-1)*100</f>
        <v>6.0262013423779903</v>
      </c>
      <c r="E159" s="701" t="s">
        <v>1084</v>
      </c>
      <c r="F159" s="703">
        <f>segmthSales!CV14</f>
        <v>3</v>
      </c>
      <c r="G159" s="701" t="s">
        <v>1084</v>
      </c>
      <c r="H159" s="733">
        <f>D159-F159</f>
        <v>3.0262013423779903</v>
      </c>
      <c r="I159" s="667" t="s">
        <v>1084</v>
      </c>
      <c r="J159" s="705">
        <f>'store&amp;sf'!J155</f>
        <v>1047</v>
      </c>
      <c r="K159" s="667"/>
      <c r="L159" s="706">
        <f>AVERAGE(J159,J155)</f>
        <v>1047</v>
      </c>
      <c r="M159" s="667"/>
      <c r="N159" s="700">
        <f>(L159/L152-1)*100</f>
        <v>1.3552758954501476</v>
      </c>
      <c r="O159" s="704" t="s">
        <v>1084</v>
      </c>
      <c r="P159" s="1148" t="s">
        <v>401</v>
      </c>
      <c r="Q159" s="702" t="s">
        <v>1084</v>
      </c>
      <c r="R159" s="667"/>
      <c r="S159" s="712">
        <f>'segSales&amp;OM'!E209</f>
        <v>1184.5999999999999</v>
      </c>
      <c r="T159" s="667"/>
      <c r="U159" s="707">
        <f>S159/L159</f>
        <v>1.1314231136580706</v>
      </c>
      <c r="V159" s="666"/>
      <c r="W159" s="730">
        <f>(U159/U152-1)*100</f>
        <v>4.6084679910949999</v>
      </c>
      <c r="X159" s="685" t="s">
        <v>1084</v>
      </c>
      <c r="Y159" s="666"/>
      <c r="Z159" s="678">
        <f>'store&amp;sf'!J519</f>
        <v>7.9137500000000003</v>
      </c>
      <c r="AA159" s="666"/>
      <c r="AB159" s="710">
        <f>AVERAGE(Z159,Z155)</f>
        <v>7.9362499999999994</v>
      </c>
      <c r="AC159" s="666"/>
      <c r="AD159" s="700">
        <f>(AB159/AB152-1)*100</f>
        <v>3.3534103858049891</v>
      </c>
      <c r="AE159" s="685" t="s">
        <v>1084</v>
      </c>
      <c r="AF159" s="703">
        <f>+H159/AD159*100</f>
        <v>90.242499253533751</v>
      </c>
      <c r="AG159" s="668" t="s">
        <v>1084</v>
      </c>
      <c r="AH159" s="666"/>
      <c r="AI159" s="673">
        <f>+S159</f>
        <v>1184.5999999999999</v>
      </c>
      <c r="AJ159" s="666"/>
      <c r="AK159" s="711">
        <f>AI159/AB159</f>
        <v>149.26445109466059</v>
      </c>
      <c r="AL159" s="666"/>
      <c r="AM159" s="730">
        <f>(AK159/AK152-1)*100</f>
        <v>2.5860694355375635</v>
      </c>
      <c r="AN159" s="685" t="s">
        <v>1084</v>
      </c>
      <c r="AO159" s="666"/>
    </row>
    <row r="160" spans="1:41">
      <c r="A160" s="666" t="str">
        <f>$A$27</f>
        <v>2Q</v>
      </c>
      <c r="B160" s="684" t="str">
        <f>$B$27</f>
        <v>Jul</v>
      </c>
      <c r="C160" s="666"/>
      <c r="D160" s="733">
        <f>(S160/S153-1)*100</f>
        <v>6.2920064224627037</v>
      </c>
      <c r="E160" s="667"/>
      <c r="F160" s="703">
        <f>segmthSales!CV19</f>
        <v>1</v>
      </c>
      <c r="G160" s="667"/>
      <c r="H160" s="733">
        <f>D160-F160</f>
        <v>5.2920064224627037</v>
      </c>
      <c r="I160" s="667"/>
      <c r="J160" s="705">
        <f>'store&amp;sf'!J156</f>
        <v>1064</v>
      </c>
      <c r="K160" s="667"/>
      <c r="L160" s="706">
        <f>AVERAGE(J160,J159)</f>
        <v>1055.5</v>
      </c>
      <c r="M160" s="667"/>
      <c r="N160" s="700">
        <f>(L160/L153-1)*100</f>
        <v>2.2276029055690039</v>
      </c>
      <c r="O160" s="704"/>
      <c r="P160" s="1148" t="s">
        <v>401</v>
      </c>
      <c r="Q160" s="702"/>
      <c r="R160" s="667"/>
      <c r="S160" s="712">
        <f>'segSales&amp;OM'!E210</f>
        <v>1281.635</v>
      </c>
      <c r="T160" s="667"/>
      <c r="U160" s="713">
        <f>S160/L160</f>
        <v>1.2142444339175746</v>
      </c>
      <c r="V160" s="666"/>
      <c r="W160" s="730">
        <f>(U160/U153-1)*100</f>
        <v>3.9758376420584884</v>
      </c>
      <c r="X160" s="685"/>
      <c r="Y160" s="666"/>
      <c r="Z160" s="678">
        <f>'store&amp;sf'!J520</f>
        <v>8.0212500000000002</v>
      </c>
      <c r="AA160" s="666"/>
      <c r="AB160" s="710">
        <f>AVERAGE(Z160,Z159)</f>
        <v>7.9675000000000002</v>
      </c>
      <c r="AC160" s="666"/>
      <c r="AD160" s="700">
        <f>(AB160/AB153-1)*100</f>
        <v>3.9973894599445448</v>
      </c>
      <c r="AE160" s="685"/>
      <c r="AF160" s="703">
        <f>+H160/AD160*100</f>
        <v>132.38656066642352</v>
      </c>
      <c r="AG160" s="668"/>
      <c r="AH160" s="666"/>
      <c r="AI160" s="675">
        <f>+S160</f>
        <v>1281.635</v>
      </c>
      <c r="AJ160" s="666"/>
      <c r="AK160" s="714">
        <f>AI160/AB160</f>
        <v>160.85786005647944</v>
      </c>
      <c r="AL160" s="666"/>
      <c r="AM160" s="730">
        <f>(AK160/AK153-1)*100</f>
        <v>2.2064178480190932</v>
      </c>
      <c r="AN160" s="685"/>
      <c r="AO160" s="666"/>
    </row>
    <row r="161" spans="1:41">
      <c r="A161" s="666" t="str">
        <f>$A$28</f>
        <v>3Q</v>
      </c>
      <c r="B161" s="684" t="str">
        <f>$B$28</f>
        <v>Oct</v>
      </c>
      <c r="C161" s="666"/>
      <c r="D161" s="733">
        <f>(S161/S154-1)*100</f>
        <v>5.5412804747483779</v>
      </c>
      <c r="E161" s="667"/>
      <c r="F161" s="703">
        <f>segmthSales!CV24</f>
        <v>4</v>
      </c>
      <c r="G161" s="667"/>
      <c r="H161" s="733">
        <f>D161-F161</f>
        <v>1.5412804747483779</v>
      </c>
      <c r="I161" s="667"/>
      <c r="J161" s="705">
        <f>'store&amp;sf'!J157</f>
        <v>1096</v>
      </c>
      <c r="K161" s="667"/>
      <c r="L161" s="706">
        <f>AVERAGE(J161,J160)</f>
        <v>1080</v>
      </c>
      <c r="M161" s="667"/>
      <c r="N161" s="700">
        <f>(L161/L154-1)*100</f>
        <v>3.7962518020182578</v>
      </c>
      <c r="O161" s="704"/>
      <c r="P161" s="1148" t="s">
        <v>401</v>
      </c>
      <c r="Q161" s="702"/>
      <c r="R161" s="667"/>
      <c r="S161" s="712">
        <f>'segSales&amp;OM'!E211</f>
        <v>1104.08</v>
      </c>
      <c r="T161" s="667"/>
      <c r="U161" s="713">
        <f>S161/L161</f>
        <v>1.0222962962962963</v>
      </c>
      <c r="V161" s="666"/>
      <c r="W161" s="730">
        <f>(U161/U154-1)*100</f>
        <v>1.6812058647923234</v>
      </c>
      <c r="X161" s="685"/>
      <c r="Y161" s="666"/>
      <c r="Z161" s="678">
        <f>'store&amp;sf'!J521</f>
        <v>8.3187499999999996</v>
      </c>
      <c r="AA161" s="666"/>
      <c r="AB161" s="710">
        <f>AVERAGE(Z161,Z160)</f>
        <v>8.17</v>
      </c>
      <c r="AC161" s="666"/>
      <c r="AD161" s="700">
        <f>(AB161/AB154-1)*100</f>
        <v>6.0866742411946007</v>
      </c>
      <c r="AE161" s="685"/>
      <c r="AF161" s="703">
        <f>+H161/AD161*100</f>
        <v>25.322210679799394</v>
      </c>
      <c r="AG161" s="668"/>
      <c r="AH161" s="666"/>
      <c r="AI161" s="675">
        <f>+S161</f>
        <v>1104.08</v>
      </c>
      <c r="AJ161" s="666"/>
      <c r="AK161" s="714">
        <f>AI161/AB161</f>
        <v>135.13831089351285</v>
      </c>
      <c r="AL161" s="666"/>
      <c r="AM161" s="730">
        <f>(AK161/AK154-1)*100</f>
        <v>-0.51410204943010962</v>
      </c>
      <c r="AN161" s="685"/>
      <c r="AO161" s="666"/>
    </row>
    <row r="162" spans="1:41">
      <c r="A162" s="666" t="str">
        <f>$A$29</f>
        <v>4Q</v>
      </c>
      <c r="B162" s="684" t="str">
        <f>$B$29</f>
        <v>Jan</v>
      </c>
      <c r="C162" s="666"/>
      <c r="D162" s="732">
        <f>(S162/S155-1)*100</f>
        <v>1.1140265766715896</v>
      </c>
      <c r="E162" s="667"/>
      <c r="F162" s="717">
        <f>segmthSales!CV29</f>
        <v>2</v>
      </c>
      <c r="G162" s="667"/>
      <c r="H162" s="732">
        <f>D162-F162</f>
        <v>-0.88597342332841045</v>
      </c>
      <c r="I162" s="667"/>
      <c r="J162" s="705">
        <f>'store&amp;sf'!J158</f>
        <v>1094</v>
      </c>
      <c r="K162" s="667"/>
      <c r="L162" s="716">
        <f>AVERAGE(J162,J161)</f>
        <v>1095</v>
      </c>
      <c r="M162" s="667"/>
      <c r="N162" s="715">
        <f>(L162/L155-1)*100</f>
        <v>4.6344959388437745</v>
      </c>
      <c r="O162" s="704"/>
      <c r="P162" s="1149" t="s">
        <v>401</v>
      </c>
      <c r="Q162" s="702"/>
      <c r="R162" s="667"/>
      <c r="S162" s="718">
        <f>'segSales&amp;OM'!E212</f>
        <v>1797.681</v>
      </c>
      <c r="T162" s="667"/>
      <c r="U162" s="719">
        <f>S162/L162</f>
        <v>1.6417178082191781</v>
      </c>
      <c r="V162" s="666"/>
      <c r="W162" s="720">
        <f>(U162/U155-1)*100</f>
        <v>-3.3645398972723117</v>
      </c>
      <c r="X162" s="685"/>
      <c r="Y162" s="666"/>
      <c r="Z162" s="678">
        <f>'store&amp;sf'!J522</f>
        <v>8.3875000000000011</v>
      </c>
      <c r="AA162" s="666"/>
      <c r="AB162" s="721">
        <f>AVERAGE(Z162,Z161)</f>
        <v>8.3531250000000004</v>
      </c>
      <c r="AC162" s="666"/>
      <c r="AD162" s="715">
        <f>(AB162/AB155-1)*100</f>
        <v>6.5619518418115197</v>
      </c>
      <c r="AE162" s="685"/>
      <c r="AF162" s="717">
        <f>+H162/AD162*100</f>
        <v>-13.501675182727718</v>
      </c>
      <c r="AG162" s="668"/>
      <c r="AH162" s="666"/>
      <c r="AI162" s="722">
        <f>+S162</f>
        <v>1797.681</v>
      </c>
      <c r="AJ162" s="666"/>
      <c r="AK162" s="723">
        <f>AI162/AB162</f>
        <v>215.21059483726151</v>
      </c>
      <c r="AL162" s="666"/>
      <c r="AM162" s="720">
        <f>(AK162/AK155-1)*100</f>
        <v>-5.1124488346715342</v>
      </c>
      <c r="AN162" s="685"/>
      <c r="AO162" s="666"/>
    </row>
    <row r="163" spans="1:41">
      <c r="A163" s="666"/>
      <c r="B163" s="684" t="str">
        <f>$B$30</f>
        <v>Year</v>
      </c>
      <c r="C163" s="666"/>
      <c r="D163" s="733">
        <f>(S163/S156-1)*100</f>
        <v>4.293158806658437</v>
      </c>
      <c r="E163" s="666"/>
      <c r="F163" s="700">
        <f>+F159*S159/S163+F160*S160/S163+F161*S161/S163+F162*S162/S163</f>
        <v>2.3932799130252707</v>
      </c>
      <c r="G163" s="666"/>
      <c r="H163" s="733">
        <f>D163-F163</f>
        <v>1.8998788936331663</v>
      </c>
      <c r="I163" s="666"/>
      <c r="J163" s="666"/>
      <c r="K163" s="666"/>
      <c r="L163" s="725">
        <f>AVERAGE(L159:L162)</f>
        <v>1069.375</v>
      </c>
      <c r="M163" s="666"/>
      <c r="N163" s="700">
        <f>(L163/L156-1)*100</f>
        <v>3.0102347983142597</v>
      </c>
      <c r="O163" s="704"/>
      <c r="P163" s="740" t="s">
        <v>401</v>
      </c>
      <c r="Q163" s="702"/>
      <c r="R163" s="666"/>
      <c r="S163" s="726">
        <f>SUM(S159:S162)</f>
        <v>5367.9959999999992</v>
      </c>
      <c r="T163" s="666"/>
      <c r="U163" s="707">
        <f>SUM(U159:U162)</f>
        <v>5.0096816520911194</v>
      </c>
      <c r="V163" s="666"/>
      <c r="W163" s="730">
        <f>(U163/U156-1)*100</f>
        <v>1.1308386040694618</v>
      </c>
      <c r="X163" s="685"/>
      <c r="Y163" s="666"/>
      <c r="Z163" s="666"/>
      <c r="AA163" s="666"/>
      <c r="AB163" s="710">
        <f>AVERAGE(AB159:AB162)</f>
        <v>8.1067187499999989</v>
      </c>
      <c r="AC163" s="666"/>
      <c r="AD163" s="700">
        <f>(AB163/AB156-1)*100</f>
        <v>5.0093102331606243</v>
      </c>
      <c r="AE163" s="685"/>
      <c r="AF163" s="703">
        <f>+H163/AD163*100</f>
        <v>37.926956111768661</v>
      </c>
      <c r="AG163" s="668"/>
      <c r="AH163" s="666"/>
      <c r="AI163" s="673">
        <f>SUM(AI159:AI162)</f>
        <v>5367.9959999999992</v>
      </c>
      <c r="AJ163" s="666"/>
      <c r="AK163" s="711">
        <f>SUM(AK159:AK162)</f>
        <v>660.47121688191442</v>
      </c>
      <c r="AL163" s="666"/>
      <c r="AM163" s="730">
        <f>(AK163/AK156-1)*100</f>
        <v>-0.76004512935304858</v>
      </c>
      <c r="AN163" s="685"/>
      <c r="AO163" s="666"/>
    </row>
    <row r="164" spans="1:41">
      <c r="A164" s="666"/>
      <c r="B164" s="684"/>
      <c r="C164" s="666"/>
      <c r="D164" s="666"/>
      <c r="E164" s="666"/>
      <c r="F164" s="666"/>
      <c r="G164" s="666"/>
      <c r="H164" s="666"/>
      <c r="I164" s="666"/>
      <c r="J164" s="666"/>
      <c r="K164" s="666"/>
      <c r="L164" s="666"/>
      <c r="M164" s="666"/>
      <c r="N164" s="666"/>
      <c r="O164" s="666"/>
      <c r="P164" s="666"/>
      <c r="Q164" s="666"/>
      <c r="R164" s="666"/>
      <c r="S164" s="673"/>
      <c r="T164" s="666"/>
      <c r="U164" s="673"/>
      <c r="V164" s="666"/>
      <c r="W164" s="666"/>
      <c r="X164" s="666"/>
      <c r="Y164" s="666"/>
      <c r="Z164" s="666"/>
      <c r="AA164" s="666"/>
      <c r="AB164" s="666"/>
      <c r="AC164" s="666"/>
      <c r="AD164" s="666"/>
      <c r="AE164" s="666"/>
      <c r="AF164" s="666"/>
      <c r="AG164" s="666"/>
      <c r="AH164" s="666"/>
      <c r="AI164" s="666"/>
      <c r="AJ164" s="666"/>
      <c r="AK164" s="666"/>
      <c r="AL164" s="666"/>
      <c r="AM164" s="666"/>
      <c r="AN164" s="666"/>
      <c r="AO164" s="666"/>
    </row>
    <row r="165" spans="1:41">
      <c r="A165" s="698"/>
      <c r="B165" s="728">
        <f>B158+1</f>
        <v>2014</v>
      </c>
      <c r="C165" s="666"/>
      <c r="D165" s="733"/>
      <c r="E165" s="667"/>
      <c r="F165" s="700"/>
      <c r="G165" s="667"/>
      <c r="H165" s="733"/>
      <c r="I165" s="667"/>
      <c r="J165" s="667"/>
      <c r="K165" s="667"/>
      <c r="L165" s="725"/>
      <c r="M165" s="667"/>
      <c r="N165" s="700"/>
      <c r="O165" s="704"/>
      <c r="P165" s="740"/>
      <c r="Q165" s="702"/>
      <c r="R165" s="667"/>
      <c r="S165" s="726"/>
      <c r="T165" s="667"/>
      <c r="U165" s="707"/>
      <c r="V165" s="666"/>
      <c r="W165" s="730"/>
      <c r="X165" s="685"/>
      <c r="Y165" s="666"/>
      <c r="Z165" s="676"/>
      <c r="AA165" s="666"/>
      <c r="AB165" s="710"/>
      <c r="AC165" s="666"/>
      <c r="AD165" s="700"/>
      <c r="AE165" s="685"/>
      <c r="AF165" s="703"/>
      <c r="AG165" s="668"/>
      <c r="AH165" s="666"/>
      <c r="AI165" s="673"/>
      <c r="AJ165" s="666"/>
      <c r="AK165" s="711"/>
      <c r="AL165" s="666"/>
      <c r="AM165" s="730"/>
      <c r="AN165" s="685"/>
      <c r="AO165" s="666"/>
    </row>
    <row r="166" spans="1:41">
      <c r="A166" s="666" t="str">
        <f>$A$26</f>
        <v>1Q</v>
      </c>
      <c r="B166" s="684" t="str">
        <f>$B$26</f>
        <v>Apr</v>
      </c>
      <c r="C166" s="666"/>
      <c r="D166" s="733">
        <f>(S166/S159-1)*100</f>
        <v>5.1240925206820886</v>
      </c>
      <c r="E166" s="701" t="s">
        <v>1084</v>
      </c>
      <c r="F166" s="703">
        <f>segmthSales!CZ14</f>
        <v>2</v>
      </c>
      <c r="G166" s="701" t="s">
        <v>1084</v>
      </c>
      <c r="H166" s="733">
        <f>D166-F166</f>
        <v>3.1240925206820886</v>
      </c>
      <c r="I166" s="667" t="s">
        <v>1084</v>
      </c>
      <c r="J166" s="705">
        <f>'store&amp;sf'!J161</f>
        <v>1100</v>
      </c>
      <c r="K166" s="667"/>
      <c r="L166" s="706">
        <f>AVERAGE(J166,J162)</f>
        <v>1097</v>
      </c>
      <c r="M166" s="667"/>
      <c r="N166" s="700">
        <f>(L166/L159-1)*100</f>
        <v>4.7755491881566359</v>
      </c>
      <c r="O166" s="704" t="s">
        <v>1084</v>
      </c>
      <c r="P166" s="1148" t="s">
        <v>401</v>
      </c>
      <c r="Q166" s="702" t="s">
        <v>1084</v>
      </c>
      <c r="R166" s="667"/>
      <c r="S166" s="712">
        <f>'segSales&amp;OM'!E216</f>
        <v>1245.3</v>
      </c>
      <c r="T166" s="667"/>
      <c r="U166" s="707">
        <f>S166/L166</f>
        <v>1.135186873290793</v>
      </c>
      <c r="V166" s="666"/>
      <c r="W166" s="730">
        <f>(U166/U159-1)*100</f>
        <v>0.33265712776131551</v>
      </c>
      <c r="X166" s="685" t="s">
        <v>1084</v>
      </c>
      <c r="Y166" s="666"/>
      <c r="Z166" s="820">
        <f>'store&amp;sf'!J525</f>
        <v>8.3562499999999993</v>
      </c>
      <c r="AA166" s="666"/>
      <c r="AB166" s="710">
        <f>AVERAGE(Z166,Z162)</f>
        <v>8.3718749999999993</v>
      </c>
      <c r="AC166" s="666"/>
      <c r="AD166" s="700">
        <f>(AB166/AB159-1)*100</f>
        <v>5.4890533942353104</v>
      </c>
      <c r="AE166" s="685" t="s">
        <v>1084</v>
      </c>
      <c r="AF166" s="703">
        <f>+H166/AD166*100</f>
        <v>56.914959580518186</v>
      </c>
      <c r="AG166" s="668" t="s">
        <v>1084</v>
      </c>
      <c r="AH166" s="666"/>
      <c r="AI166" s="673">
        <f>+S166</f>
        <v>1245.3</v>
      </c>
      <c r="AJ166" s="666"/>
      <c r="AK166" s="711">
        <f>AI166/AB166</f>
        <v>148.74804031354984</v>
      </c>
      <c r="AL166" s="666"/>
      <c r="AM166" s="730">
        <f>(AK166/AK159-1)*100</f>
        <v>-0.34597037494430438</v>
      </c>
      <c r="AN166" s="685" t="s">
        <v>1084</v>
      </c>
      <c r="AO166" s="666"/>
    </row>
    <row r="167" spans="1:41">
      <c r="A167" s="666" t="str">
        <f>$A$27</f>
        <v>2Q</v>
      </c>
      <c r="B167" s="684" t="str">
        <f>$B$27</f>
        <v>Jul</v>
      </c>
      <c r="C167" s="666"/>
      <c r="D167" s="733">
        <f>(S167/S160-1)*100</f>
        <v>6.348531368135224</v>
      </c>
      <c r="E167" s="667"/>
      <c r="F167" s="703">
        <f>segmthSales!CZ19</f>
        <v>3</v>
      </c>
      <c r="G167" s="667"/>
      <c r="H167" s="733">
        <f>D167-F167</f>
        <v>3.348531368135224</v>
      </c>
      <c r="I167" s="667"/>
      <c r="J167" s="705">
        <f>'store&amp;sf'!J162</f>
        <v>1113</v>
      </c>
      <c r="K167" s="667"/>
      <c r="L167" s="706">
        <f>AVERAGE(J167,J166)</f>
        <v>1106.5</v>
      </c>
      <c r="M167" s="667"/>
      <c r="N167" s="700">
        <f>(L167/L160-1)*100</f>
        <v>4.8318332543818121</v>
      </c>
      <c r="O167" s="704"/>
      <c r="P167" s="1148" t="s">
        <v>401</v>
      </c>
      <c r="Q167" s="702"/>
      <c r="R167" s="667"/>
      <c r="S167" s="712">
        <f>'segSales&amp;OM'!E217</f>
        <v>1363</v>
      </c>
      <c r="T167" s="667"/>
      <c r="U167" s="713">
        <f>S167/L167</f>
        <v>1.2318120198825124</v>
      </c>
      <c r="V167" s="666"/>
      <c r="W167" s="730">
        <f>(U167/U160-1)*100</f>
        <v>1.4467915581262814</v>
      </c>
      <c r="X167" s="685"/>
      <c r="Y167" s="666"/>
      <c r="Z167" s="820">
        <f>'store&amp;sf'!J526</f>
        <v>8.4687499999999982</v>
      </c>
      <c r="AA167" s="666"/>
      <c r="AB167" s="710">
        <f>AVERAGE(Z167,Z166)</f>
        <v>8.4124999999999979</v>
      </c>
      <c r="AC167" s="666"/>
      <c r="AD167" s="700">
        <f>(AB167/AB160-1)*100</f>
        <v>5.5851898336993777</v>
      </c>
      <c r="AE167" s="685"/>
      <c r="AF167" s="703">
        <f>+H167/AD167*100</f>
        <v>59.953761068803423</v>
      </c>
      <c r="AG167" s="668"/>
      <c r="AH167" s="666"/>
      <c r="AI167" s="675">
        <f>+S167</f>
        <v>1363</v>
      </c>
      <c r="AJ167" s="666"/>
      <c r="AK167" s="714">
        <f>AI167/AB167</f>
        <v>162.02080237741461</v>
      </c>
      <c r="AL167" s="666"/>
      <c r="AM167" s="730">
        <f>(AK167/AK160-1)*100</f>
        <v>0.72296269546718861</v>
      </c>
      <c r="AN167" s="685"/>
      <c r="AO167" s="666"/>
    </row>
    <row r="168" spans="1:41">
      <c r="A168" s="666" t="str">
        <f>$A$28</f>
        <v>3Q</v>
      </c>
      <c r="B168" s="684" t="str">
        <f>$B$28</f>
        <v>Oct</v>
      </c>
      <c r="C168" s="666"/>
      <c r="D168" s="733">
        <f>(S168/S161-1)*100</f>
        <v>6.6589377581334652</v>
      </c>
      <c r="E168" s="667"/>
      <c r="F168" s="703">
        <f>segmthSales!CZ24</f>
        <v>3</v>
      </c>
      <c r="G168" s="667"/>
      <c r="H168" s="733">
        <f>D168-F168</f>
        <v>3.6589377581334652</v>
      </c>
      <c r="I168" s="667"/>
      <c r="J168" s="705">
        <f>'store&amp;sf'!J163</f>
        <v>1136</v>
      </c>
      <c r="K168" s="667"/>
      <c r="L168" s="706">
        <f>AVERAGE(J168,J167)</f>
        <v>1124.5</v>
      </c>
      <c r="M168" s="667"/>
      <c r="N168" s="700">
        <f>(L168/L161-1)*100</f>
        <v>4.1203703703703631</v>
      </c>
      <c r="O168" s="704"/>
      <c r="P168" s="1148" t="s">
        <v>401</v>
      </c>
      <c r="Q168" s="702"/>
      <c r="R168" s="667"/>
      <c r="S168" s="712">
        <f>'segSales&amp;OM'!E218</f>
        <v>1177.5999999999999</v>
      </c>
      <c r="T168" s="667"/>
      <c r="U168" s="713">
        <f>S168/L168</f>
        <v>1.0472209871053801</v>
      </c>
      <c r="V168" s="666"/>
      <c r="W168" s="730">
        <f>(U168/U161-1)*100</f>
        <v>2.4381082959396672</v>
      </c>
      <c r="X168" s="685"/>
      <c r="Y168" s="666"/>
      <c r="Z168" s="820">
        <f>'store&amp;sf'!J527</f>
        <v>8.7062499999999989</v>
      </c>
      <c r="AA168" s="666"/>
      <c r="AB168" s="710">
        <f>AVERAGE(Z168,Z167)</f>
        <v>8.5874999999999986</v>
      </c>
      <c r="AC168" s="666"/>
      <c r="AD168" s="700">
        <f>(AB168/AB161-1)*100</f>
        <v>5.1101591187270312</v>
      </c>
      <c r="AE168" s="685"/>
      <c r="AF168" s="703">
        <f>+H168/AD168*100</f>
        <v>71.601249063354544</v>
      </c>
      <c r="AG168" s="668"/>
      <c r="AH168" s="666"/>
      <c r="AI168" s="675">
        <f>+S168</f>
        <v>1177.5999999999999</v>
      </c>
      <c r="AJ168" s="666"/>
      <c r="AK168" s="714">
        <f>AI168/AB168</f>
        <v>137.12954876273656</v>
      </c>
      <c r="AL168" s="666"/>
      <c r="AM168" s="730">
        <f>(AK168/AK161-1)*100</f>
        <v>1.4734813955109782</v>
      </c>
      <c r="AN168" s="685"/>
      <c r="AO168" s="666"/>
    </row>
    <row r="169" spans="1:41">
      <c r="A169" s="666" t="str">
        <f>$A$29</f>
        <v>4Q</v>
      </c>
      <c r="B169" s="684" t="str">
        <f>$B$29</f>
        <v>Jan</v>
      </c>
      <c r="C169" s="666"/>
      <c r="D169" s="732">
        <f>(S169/S162-1)*100</f>
        <v>6.4816282755394417</v>
      </c>
      <c r="E169" s="667"/>
      <c r="F169" s="717">
        <f>segmthSales!CZ29</f>
        <v>4</v>
      </c>
      <c r="G169" s="667"/>
      <c r="H169" s="732">
        <f>D169-F169</f>
        <v>2.4816282755394417</v>
      </c>
      <c r="I169" s="667"/>
      <c r="J169" s="705">
        <f>'store&amp;sf'!J164</f>
        <v>1139</v>
      </c>
      <c r="K169" s="667"/>
      <c r="L169" s="716">
        <f>AVERAGE(J169,J168)</f>
        <v>1137.5</v>
      </c>
      <c r="M169" s="667"/>
      <c r="N169" s="715">
        <f>(L169/L162-1)*100</f>
        <v>3.8812785388127935</v>
      </c>
      <c r="O169" s="704"/>
      <c r="P169" s="1149" t="s">
        <v>401</v>
      </c>
      <c r="Q169" s="702"/>
      <c r="R169" s="667"/>
      <c r="S169" s="718">
        <f>'segSales&amp;OM'!E219</f>
        <v>1914.2</v>
      </c>
      <c r="T169" s="667"/>
      <c r="U169" s="719">
        <f>S169/L169</f>
        <v>1.6828131868131868</v>
      </c>
      <c r="V169" s="666"/>
      <c r="W169" s="720">
        <f>(U169/U162-1)*100</f>
        <v>2.5031938124973063</v>
      </c>
      <c r="X169" s="685"/>
      <c r="Y169" s="666"/>
      <c r="Z169" s="820">
        <f>'store&amp;sf'!J528</f>
        <v>8.7575000000000003</v>
      </c>
      <c r="AA169" s="666"/>
      <c r="AB169" s="721">
        <f>AVERAGE(Z169,Z168)</f>
        <v>8.7318749999999987</v>
      </c>
      <c r="AC169" s="666"/>
      <c r="AD169" s="715">
        <f>(AB169/AB162-1)*100</f>
        <v>4.5342312008978425</v>
      </c>
      <c r="AE169" s="685"/>
      <c r="AF169" s="717">
        <f>+H169/AD169*100</f>
        <v>54.730960235288485</v>
      </c>
      <c r="AG169" s="668"/>
      <c r="AH169" s="666"/>
      <c r="AI169" s="722">
        <f>+S169</f>
        <v>1914.2</v>
      </c>
      <c r="AJ169" s="666"/>
      <c r="AK169" s="723">
        <f>AI169/AB169</f>
        <v>219.21981246868518</v>
      </c>
      <c r="AL169" s="666"/>
      <c r="AM169" s="720">
        <f>(AK169/AK162-1)*100</f>
        <v>1.8629276288443686</v>
      </c>
      <c r="AN169" s="685"/>
      <c r="AO169" s="666"/>
    </row>
    <row r="170" spans="1:41">
      <c r="A170" s="666"/>
      <c r="B170" s="684" t="str">
        <f>$B$30</f>
        <v>Year</v>
      </c>
      <c r="C170" s="666"/>
      <c r="D170" s="733">
        <f>(S170/S163-1)*100</f>
        <v>6.186740824695125</v>
      </c>
      <c r="E170" s="666"/>
      <c r="F170" s="700">
        <f>+F166*S166/S170+F167*S167/S170+F168*S168/S170+F169*S169/S170</f>
        <v>3.1173488184417817</v>
      </c>
      <c r="G170" s="666"/>
      <c r="H170" s="733">
        <f>D170-F170</f>
        <v>3.0693920062533433</v>
      </c>
      <c r="I170" s="666"/>
      <c r="J170" s="666"/>
      <c r="K170" s="666"/>
      <c r="L170" s="725">
        <f>AVERAGE(L166:L169)</f>
        <v>1116.375</v>
      </c>
      <c r="M170" s="666"/>
      <c r="N170" s="700">
        <f>(L170/L163-1)*100</f>
        <v>4.3950905902980786</v>
      </c>
      <c r="O170" s="704"/>
      <c r="P170" s="740" t="s">
        <v>401</v>
      </c>
      <c r="Q170" s="702"/>
      <c r="R170" s="666"/>
      <c r="S170" s="726">
        <f>SUM(S166:S169)</f>
        <v>5700.1</v>
      </c>
      <c r="T170" s="666"/>
      <c r="U170" s="707">
        <f>SUM(U166:U169)</f>
        <v>5.0970330670918722</v>
      </c>
      <c r="V170" s="666"/>
      <c r="W170" s="730">
        <f>(U170/U163-1)*100</f>
        <v>1.743652013582353</v>
      </c>
      <c r="X170" s="685"/>
      <c r="Y170" s="666"/>
      <c r="Z170" s="666"/>
      <c r="AA170" s="666"/>
      <c r="AB170" s="710">
        <f>AVERAGE(AB166:AB169)</f>
        <v>8.5259374999999977</v>
      </c>
      <c r="AC170" s="666"/>
      <c r="AD170" s="700">
        <f>(AB170/AB163-1)*100</f>
        <v>5.171250698687424</v>
      </c>
      <c r="AE170" s="685"/>
      <c r="AF170" s="703">
        <f>+H170/AD170*100</f>
        <v>59.354925628193236</v>
      </c>
      <c r="AG170" s="668"/>
      <c r="AH170" s="666"/>
      <c r="AI170" s="673">
        <f>SUM(AI166:AI169)</f>
        <v>5700.1</v>
      </c>
      <c r="AJ170" s="666"/>
      <c r="AK170" s="711">
        <f>SUM(AK166:AK169)</f>
        <v>667.11820392238621</v>
      </c>
      <c r="AL170" s="666"/>
      <c r="AM170" s="730">
        <f>(AK170/AK163-1)*100</f>
        <v>1.0064007136983522</v>
      </c>
      <c r="AN170" s="685"/>
      <c r="AO170" s="666"/>
    </row>
    <row r="171" spans="1:41">
      <c r="A171" s="666"/>
      <c r="B171" s="684"/>
      <c r="C171" s="666"/>
      <c r="D171" s="733"/>
      <c r="E171" s="666"/>
      <c r="F171" s="700"/>
      <c r="G171" s="666"/>
      <c r="H171" s="733"/>
      <c r="I171" s="666"/>
      <c r="J171" s="666"/>
      <c r="K171" s="666"/>
      <c r="L171" s="725"/>
      <c r="M171" s="666"/>
      <c r="N171" s="700"/>
      <c r="O171" s="704"/>
      <c r="P171" s="734"/>
      <c r="Q171" s="702"/>
      <c r="R171" s="666"/>
      <c r="S171" s="726"/>
      <c r="T171" s="666"/>
      <c r="U171" s="707"/>
      <c r="V171" s="666"/>
      <c r="W171" s="730"/>
      <c r="X171" s="685"/>
      <c r="Y171" s="666"/>
      <c r="Z171" s="666"/>
      <c r="AA171" s="666"/>
      <c r="AB171" s="710"/>
      <c r="AC171" s="666"/>
      <c r="AD171" s="700"/>
      <c r="AE171" s="685"/>
      <c r="AF171" s="703"/>
      <c r="AG171" s="668"/>
      <c r="AH171" s="666"/>
      <c r="AI171" s="673"/>
      <c r="AJ171" s="666"/>
      <c r="AK171" s="711"/>
      <c r="AL171" s="666"/>
      <c r="AM171" s="730"/>
      <c r="AN171" s="685"/>
      <c r="AO171" s="666"/>
    </row>
    <row r="172" spans="1:41">
      <c r="A172" s="698"/>
      <c r="B172" s="728">
        <f>B165+1</f>
        <v>2015</v>
      </c>
      <c r="C172" s="666"/>
      <c r="D172" s="733"/>
      <c r="E172" s="667"/>
      <c r="F172" s="700"/>
      <c r="G172" s="667"/>
      <c r="H172" s="733"/>
      <c r="I172" s="667"/>
      <c r="J172" s="667"/>
      <c r="K172" s="667"/>
      <c r="L172" s="725"/>
      <c r="M172" s="667"/>
      <c r="N172" s="700"/>
      <c r="O172" s="704"/>
      <c r="P172" s="740"/>
      <c r="Q172" s="702"/>
      <c r="R172" s="667"/>
      <c r="S172" s="726"/>
      <c r="T172" s="667"/>
      <c r="U172" s="707"/>
      <c r="V172" s="666"/>
      <c r="W172" s="730"/>
      <c r="X172" s="685"/>
      <c r="Y172" s="666"/>
      <c r="Z172" s="676"/>
      <c r="AA172" s="666"/>
      <c r="AB172" s="710"/>
      <c r="AC172" s="666"/>
      <c r="AD172" s="700"/>
      <c r="AE172" s="685"/>
      <c r="AF172" s="703"/>
      <c r="AG172" s="668"/>
      <c r="AH172" s="666"/>
      <c r="AI172" s="673"/>
      <c r="AJ172" s="666"/>
      <c r="AK172" s="711"/>
      <c r="AL172" s="666"/>
      <c r="AM172" s="730"/>
      <c r="AN172" s="685"/>
      <c r="AO172" s="666"/>
    </row>
    <row r="173" spans="1:41">
      <c r="A173" s="666" t="str">
        <f>$A$26</f>
        <v>1Q</v>
      </c>
      <c r="B173" s="684" t="str">
        <f>$B$26</f>
        <v>Apr</v>
      </c>
      <c r="C173" s="666"/>
      <c r="D173" s="733">
        <f>(S173/S166-1)*100</f>
        <v>8.0542841082469998</v>
      </c>
      <c r="E173" s="701" t="s">
        <v>1084</v>
      </c>
      <c r="F173" s="703">
        <f>segmthSales!DD14</f>
        <v>5</v>
      </c>
      <c r="G173" s="701" t="s">
        <v>1084</v>
      </c>
      <c r="H173" s="733">
        <f>D173-F173</f>
        <v>3.0542841082469998</v>
      </c>
      <c r="I173" s="667" t="s">
        <v>1084</v>
      </c>
      <c r="J173" s="705">
        <f>'store&amp;sf'!J167</f>
        <v>1146</v>
      </c>
      <c r="K173" s="667"/>
      <c r="L173" s="706">
        <f>AVERAGE(J173,J169)</f>
        <v>1142.5</v>
      </c>
      <c r="M173" s="667"/>
      <c r="N173" s="700">
        <f>(L173/L166-1)*100</f>
        <v>4.1476754785779502</v>
      </c>
      <c r="O173" s="704" t="s">
        <v>1084</v>
      </c>
      <c r="P173" s="1148" t="s">
        <v>401</v>
      </c>
      <c r="Q173" s="702" t="s">
        <v>1084</v>
      </c>
      <c r="R173" s="667"/>
      <c r="S173" s="712">
        <f>'segSales&amp;OM'!E223</f>
        <v>1345.6</v>
      </c>
      <c r="T173" s="667"/>
      <c r="U173" s="707">
        <f>S173/L173</f>
        <v>1.1777680525164114</v>
      </c>
      <c r="V173" s="666"/>
      <c r="W173" s="730">
        <f>(U173/U166-1)*100</f>
        <v>3.7510281547019408</v>
      </c>
      <c r="X173" s="685" t="s">
        <v>1084</v>
      </c>
      <c r="Y173" s="666"/>
      <c r="Z173" s="820">
        <f>'store&amp;sf'!J531</f>
        <v>8.7999999999999989</v>
      </c>
      <c r="AA173" s="666"/>
      <c r="AB173" s="710">
        <f>AVERAGE(Z173,Z169)</f>
        <v>8.7787499999999987</v>
      </c>
      <c r="AC173" s="666"/>
      <c r="AD173" s="700">
        <f>(AB173/AB166-1)*100</f>
        <v>4.8600223964165634</v>
      </c>
      <c r="AE173" s="685" t="s">
        <v>1084</v>
      </c>
      <c r="AF173" s="703">
        <f>+H173/AD173*100</f>
        <v>62.845062411626188</v>
      </c>
      <c r="AG173" s="668" t="s">
        <v>1084</v>
      </c>
      <c r="AH173" s="666"/>
      <c r="AI173" s="673">
        <f>+S173</f>
        <v>1345.6</v>
      </c>
      <c r="AJ173" s="666"/>
      <c r="AK173" s="711">
        <f>AI173/AB173</f>
        <v>153.27922540224975</v>
      </c>
      <c r="AL173" s="666"/>
      <c r="AM173" s="730">
        <f>(AK173/AK166-1)*100</f>
        <v>3.0462149814871609</v>
      </c>
      <c r="AN173" s="685" t="s">
        <v>1084</v>
      </c>
      <c r="AO173" s="666"/>
    </row>
    <row r="174" spans="1:41">
      <c r="A174" s="666" t="str">
        <f>$A$27</f>
        <v>2Q</v>
      </c>
      <c r="B174" s="684" t="str">
        <f>$B$27</f>
        <v>Jul</v>
      </c>
      <c r="C174" s="666"/>
      <c r="D174" s="733">
        <f>(S174/S167-1)*100</f>
        <v>5.4658840792369823</v>
      </c>
      <c r="E174" s="667"/>
      <c r="F174" s="703">
        <f>segmthSales!DD19</f>
        <v>3</v>
      </c>
      <c r="G174" s="667"/>
      <c r="H174" s="733">
        <f>D174-F174</f>
        <v>2.4658840792369823</v>
      </c>
      <c r="I174" s="667"/>
      <c r="J174" s="705">
        <f>'store&amp;sf'!J168</f>
        <v>1148</v>
      </c>
      <c r="K174" s="667"/>
      <c r="L174" s="706">
        <f>AVERAGE(J174,J173)</f>
        <v>1147</v>
      </c>
      <c r="M174" s="667"/>
      <c r="N174" s="700">
        <f>(L174/L167-1)*100</f>
        <v>3.6601897876186174</v>
      </c>
      <c r="O174" s="704"/>
      <c r="P174" s="1148" t="s">
        <v>401</v>
      </c>
      <c r="Q174" s="702"/>
      <c r="R174" s="667"/>
      <c r="S174" s="712">
        <f>'segSales&amp;OM'!E224</f>
        <v>1437.5</v>
      </c>
      <c r="T174" s="667"/>
      <c r="U174" s="713">
        <f>S174/L174</f>
        <v>1.2532693984306889</v>
      </c>
      <c r="V174" s="666"/>
      <c r="W174" s="730">
        <f>(U174/U167-1)*100</f>
        <v>1.7419361235184949</v>
      </c>
      <c r="X174" s="685"/>
      <c r="Y174" s="666"/>
      <c r="Z174" s="820">
        <f>'store&amp;sf'!J532</f>
        <v>8.8612499999999983</v>
      </c>
      <c r="AA174" s="666"/>
      <c r="AB174" s="710">
        <f>AVERAGE(Z174,Z173)</f>
        <v>8.8306249999999977</v>
      </c>
      <c r="AC174" s="666"/>
      <c r="AD174" s="700">
        <f>(AB174/AB167-1)*100</f>
        <v>4.9702823179792022</v>
      </c>
      <c r="AE174" s="685"/>
      <c r="AF174" s="703">
        <f>+H174/AD174*100</f>
        <v>49.61255561514163</v>
      </c>
      <c r="AG174" s="668"/>
      <c r="AH174" s="666"/>
      <c r="AI174" s="675">
        <f>+S174</f>
        <v>1437.5</v>
      </c>
      <c r="AJ174" s="666"/>
      <c r="AK174" s="714">
        <f>AI174/AB174</f>
        <v>162.78575978483974</v>
      </c>
      <c r="AL174" s="666"/>
      <c r="AM174" s="730">
        <f>(AK174/AK167-1)*100</f>
        <v>0.47213530373910739</v>
      </c>
      <c r="AN174" s="685"/>
      <c r="AO174" s="666"/>
    </row>
    <row r="175" spans="1:41">
      <c r="A175" s="666" t="str">
        <f>$A$28</f>
        <v>3Q</v>
      </c>
      <c r="B175" s="684" t="str">
        <f>$B$28</f>
        <v>Oct</v>
      </c>
      <c r="C175" s="666"/>
      <c r="D175" s="733">
        <f>(S175/S168-1)*100</f>
        <v>8.8739809782608638</v>
      </c>
      <c r="E175" s="667"/>
      <c r="F175" s="703">
        <f>segmthSales!DD24</f>
        <v>7</v>
      </c>
      <c r="G175" s="667"/>
      <c r="H175" s="733">
        <f>D175-F175</f>
        <v>1.8739809782608638</v>
      </c>
      <c r="I175" s="667"/>
      <c r="J175" s="705">
        <f>'store&amp;sf'!J169</f>
        <v>1161</v>
      </c>
      <c r="K175" s="667"/>
      <c r="L175" s="706">
        <f>AVERAGE(J175,J174)</f>
        <v>1154.5</v>
      </c>
      <c r="M175" s="667"/>
      <c r="N175" s="700">
        <f>(L175/L168-1)*100</f>
        <v>2.667852378835045</v>
      </c>
      <c r="O175" s="704"/>
      <c r="P175" s="1148" t="s">
        <v>401</v>
      </c>
      <c r="Q175" s="702"/>
      <c r="R175" s="667"/>
      <c r="S175" s="712">
        <f>'segSales&amp;OM'!E225</f>
        <v>1282.0999999999999</v>
      </c>
      <c r="T175" s="667"/>
      <c r="U175" s="713">
        <f>S175/L175</f>
        <v>1.1105240363793849</v>
      </c>
      <c r="V175" s="666"/>
      <c r="W175" s="730">
        <f>(U175/U168-1)*100</f>
        <v>6.0448606410171912</v>
      </c>
      <c r="X175" s="685"/>
      <c r="Y175" s="666"/>
      <c r="Z175" s="820">
        <f>'store&amp;sf'!J533</f>
        <v>9.0287499999999987</v>
      </c>
      <c r="AA175" s="666"/>
      <c r="AB175" s="710">
        <f>AVERAGE(Z175,Z174)</f>
        <v>8.9449999999999985</v>
      </c>
      <c r="AC175" s="666"/>
      <c r="AD175" s="700">
        <f>(AB175/AB168-1)*100</f>
        <v>4.1630276564774471</v>
      </c>
      <c r="AE175" s="685"/>
      <c r="AF175" s="703">
        <f>+H175/AD175*100</f>
        <v>45.014857764517856</v>
      </c>
      <c r="AG175" s="668"/>
      <c r="AH175" s="666"/>
      <c r="AI175" s="675">
        <f>+S175</f>
        <v>1282.0999999999999</v>
      </c>
      <c r="AJ175" s="666"/>
      <c r="AK175" s="714">
        <f>AI175/AB175</f>
        <v>143.33147009502517</v>
      </c>
      <c r="AL175" s="666"/>
      <c r="AM175" s="730">
        <f>(AK175/AK168-1)*100</f>
        <v>4.5226731862286318</v>
      </c>
      <c r="AN175" s="685"/>
      <c r="AO175" s="666"/>
    </row>
    <row r="176" spans="1:41">
      <c r="A176" s="666" t="str">
        <f>$A$29</f>
        <v>4Q</v>
      </c>
      <c r="B176" s="684" t="str">
        <f>$B$29</f>
        <v>Jan</v>
      </c>
      <c r="C176" s="666"/>
      <c r="D176" s="732">
        <f>(S176/S169-1)*100</f>
        <v>6.9480723017448565</v>
      </c>
      <c r="E176" s="667"/>
      <c r="F176" s="717">
        <f>segmthSales!DD29</f>
        <v>5</v>
      </c>
      <c r="G176" s="667"/>
      <c r="H176" s="732">
        <f>D176-F176</f>
        <v>1.9480723017448565</v>
      </c>
      <c r="I176" s="667"/>
      <c r="J176" s="705">
        <f>'store&amp;sf'!J170</f>
        <v>1164</v>
      </c>
      <c r="K176" s="667"/>
      <c r="L176" s="716">
        <f>AVERAGE(J176,J175)</f>
        <v>1162.5</v>
      </c>
      <c r="M176" s="667"/>
      <c r="N176" s="715">
        <f>(L176/L169-1)*100</f>
        <v>2.19780219780219</v>
      </c>
      <c r="O176" s="704"/>
      <c r="P176" s="1149" t="s">
        <v>401</v>
      </c>
      <c r="Q176" s="702"/>
      <c r="R176" s="667"/>
      <c r="S176" s="718">
        <f>'segSales&amp;OM'!E226</f>
        <v>2047.2</v>
      </c>
      <c r="T176" s="667"/>
      <c r="U176" s="719">
        <f>S176/L176</f>
        <v>1.7610322580645161</v>
      </c>
      <c r="V176" s="666"/>
      <c r="W176" s="720">
        <f>(U176/U169-1)*100</f>
        <v>4.6481137576213083</v>
      </c>
      <c r="X176" s="685"/>
      <c r="Y176" s="666"/>
      <c r="Z176" s="820">
        <f>'store&amp;sf'!J534</f>
        <v>9.1362500000000004</v>
      </c>
      <c r="AA176" s="666"/>
      <c r="AB176" s="721">
        <f>AVERAGE(Z176,Z175)</f>
        <v>9.0824999999999996</v>
      </c>
      <c r="AC176" s="666"/>
      <c r="AD176" s="715">
        <f>(AB176/AB169-1)*100</f>
        <v>4.0154605969508372</v>
      </c>
      <c r="AE176" s="685"/>
      <c r="AF176" s="717">
        <f>+H176/AD176*100</f>
        <v>48.514292562704668</v>
      </c>
      <c r="AG176" s="668"/>
      <c r="AH176" s="666"/>
      <c r="AI176" s="722">
        <f>+S176</f>
        <v>2047.2</v>
      </c>
      <c r="AJ176" s="666"/>
      <c r="AK176" s="723">
        <f>AI176/AB176</f>
        <v>225.40049545829893</v>
      </c>
      <c r="AL176" s="666"/>
      <c r="AM176" s="720">
        <f>(AK176/AK169-1)*100</f>
        <v>2.8193998161077038</v>
      </c>
      <c r="AN176" s="685"/>
      <c r="AO176" s="666"/>
    </row>
    <row r="177" spans="1:41">
      <c r="A177" s="666"/>
      <c r="B177" s="684" t="str">
        <f>$B$30</f>
        <v>Year</v>
      </c>
      <c r="C177" s="666"/>
      <c r="D177" s="733">
        <f>(S177/S170-1)*100</f>
        <v>7.2332064349748038</v>
      </c>
      <c r="E177" s="666"/>
      <c r="F177" s="700">
        <f>+F173*S173/S177+F174*S174/S177+F175*S175/S177+F176*S176/S177</f>
        <v>4.9491525423728815</v>
      </c>
      <c r="G177" s="666"/>
      <c r="H177" s="733">
        <f>D177-F177</f>
        <v>2.2840538926019223</v>
      </c>
      <c r="I177" s="666"/>
      <c r="J177" s="666"/>
      <c r="K177" s="666"/>
      <c r="L177" s="725">
        <f>AVERAGE(L173:L176)</f>
        <v>1151.625</v>
      </c>
      <c r="M177" s="666"/>
      <c r="N177" s="700">
        <f>(L177/L170-1)*100</f>
        <v>3.15754114880753</v>
      </c>
      <c r="O177" s="704"/>
      <c r="P177" s="740" t="s">
        <v>401</v>
      </c>
      <c r="Q177" s="702"/>
      <c r="R177" s="666"/>
      <c r="S177" s="726">
        <f>SUM(S173:S176)</f>
        <v>6112.4</v>
      </c>
      <c r="T177" s="666"/>
      <c r="U177" s="707">
        <f>SUM(U173:U176)</f>
        <v>5.3025937453910004</v>
      </c>
      <c r="V177" s="666"/>
      <c r="W177" s="730">
        <f>(U177/U170-1)*100</f>
        <v>4.0329477088602017</v>
      </c>
      <c r="X177" s="685"/>
      <c r="Y177" s="666"/>
      <c r="Z177" s="666"/>
      <c r="AA177" s="666"/>
      <c r="AB177" s="710">
        <f>AVERAGE(AB173:AB176)</f>
        <v>8.9092187499999973</v>
      </c>
      <c r="AC177" s="666"/>
      <c r="AD177" s="700">
        <f>(AB177/AB170-1)*100</f>
        <v>4.4954733716966677</v>
      </c>
      <c r="AE177" s="685"/>
      <c r="AF177" s="703">
        <f>+H177/AD177*100</f>
        <v>50.807861681091026</v>
      </c>
      <c r="AG177" s="668"/>
      <c r="AH177" s="666"/>
      <c r="AI177" s="673">
        <f>SUM(AI173:AI176)</f>
        <v>6112.4</v>
      </c>
      <c r="AJ177" s="666"/>
      <c r="AK177" s="711">
        <f>SUM(AK173:AK176)</f>
        <v>684.79695074041365</v>
      </c>
      <c r="AL177" s="666"/>
      <c r="AM177" s="730">
        <f>(AK177/AK170-1)*100</f>
        <v>2.6500171504965087</v>
      </c>
      <c r="AN177" s="685"/>
      <c r="AO177" s="666"/>
    </row>
    <row r="178" spans="1:41">
      <c r="A178" s="666"/>
      <c r="B178" s="684"/>
      <c r="C178" s="666"/>
      <c r="D178" s="733"/>
      <c r="E178" s="666"/>
      <c r="F178" s="700"/>
      <c r="G178" s="666"/>
      <c r="H178" s="733"/>
      <c r="I178" s="666"/>
      <c r="J178" s="666"/>
      <c r="K178" s="666"/>
      <c r="L178" s="725"/>
      <c r="M178" s="666"/>
      <c r="N178" s="700"/>
      <c r="O178" s="704"/>
      <c r="P178" s="734"/>
      <c r="Q178" s="702"/>
      <c r="R178" s="666"/>
      <c r="S178" s="726"/>
      <c r="T178" s="666"/>
      <c r="U178" s="707"/>
      <c r="V178" s="666"/>
      <c r="W178" s="730"/>
      <c r="X178" s="685"/>
      <c r="Y178" s="666"/>
      <c r="Z178" s="666"/>
      <c r="AA178" s="666"/>
      <c r="AB178" s="710"/>
      <c r="AC178" s="666"/>
      <c r="AD178" s="700"/>
      <c r="AE178" s="685"/>
      <c r="AF178" s="703"/>
      <c r="AG178" s="668"/>
      <c r="AH178" s="666"/>
      <c r="AI178" s="673"/>
      <c r="AJ178" s="666"/>
      <c r="AK178" s="711"/>
      <c r="AL178" s="666"/>
      <c r="AM178" s="730"/>
      <c r="AN178" s="685"/>
      <c r="AO178" s="666"/>
    </row>
    <row r="179" spans="1:41">
      <c r="A179" s="698"/>
      <c r="B179" s="728">
        <f>B172+1</f>
        <v>2016</v>
      </c>
      <c r="C179" s="666"/>
      <c r="D179" s="733"/>
      <c r="E179" s="667"/>
      <c r="F179" s="700"/>
      <c r="G179" s="667"/>
      <c r="H179" s="733"/>
      <c r="I179" s="667"/>
      <c r="J179" s="667"/>
      <c r="K179" s="667"/>
      <c r="L179" s="725"/>
      <c r="M179" s="667"/>
      <c r="N179" s="700"/>
      <c r="O179" s="704"/>
      <c r="P179" s="740"/>
      <c r="Q179" s="702"/>
      <c r="R179" s="667"/>
      <c r="S179" s="726"/>
      <c r="T179" s="667"/>
      <c r="U179" s="707"/>
      <c r="V179" s="666"/>
      <c r="W179" s="730"/>
      <c r="X179" s="685"/>
      <c r="Y179" s="666"/>
      <c r="Z179" s="676"/>
      <c r="AA179" s="666"/>
      <c r="AB179" s="710"/>
      <c r="AC179" s="666"/>
      <c r="AD179" s="700"/>
      <c r="AE179" s="685"/>
      <c r="AF179" s="703"/>
      <c r="AG179" s="668"/>
      <c r="AH179" s="666"/>
      <c r="AI179" s="673"/>
      <c r="AJ179" s="666"/>
      <c r="AK179" s="711"/>
      <c r="AL179" s="666"/>
      <c r="AM179" s="730"/>
      <c r="AN179" s="685"/>
      <c r="AO179" s="666"/>
    </row>
    <row r="180" spans="1:41">
      <c r="A180" s="666" t="str">
        <f>$A$26</f>
        <v>1Q</v>
      </c>
      <c r="B180" s="684" t="str">
        <f>$B$26</f>
        <v>Apr</v>
      </c>
      <c r="C180" s="666"/>
      <c r="D180" s="733">
        <f>(S180/S173-1)*100</f>
        <v>2.6456599286563742</v>
      </c>
      <c r="E180" s="701" t="s">
        <v>1084</v>
      </c>
      <c r="F180" s="703">
        <f>segmthSales!DI14</f>
        <v>1</v>
      </c>
      <c r="G180" s="701" t="s">
        <v>1084</v>
      </c>
      <c r="H180" s="733">
        <f>D180-F180</f>
        <v>1.6456599286563742</v>
      </c>
      <c r="I180" s="667" t="s">
        <v>1084</v>
      </c>
      <c r="J180" s="705">
        <f>'store&amp;sf'!J173</f>
        <v>1167</v>
      </c>
      <c r="K180" s="667"/>
      <c r="L180" s="706">
        <f>AVERAGE(J180,J176)</f>
        <v>1165.5</v>
      </c>
      <c r="M180" s="667"/>
      <c r="N180" s="700">
        <f>(L180/L173-1)*100</f>
        <v>2.0131291028446352</v>
      </c>
      <c r="O180" s="704" t="s">
        <v>1084</v>
      </c>
      <c r="P180" s="1148" t="s">
        <v>401</v>
      </c>
      <c r="Q180" s="702" t="s">
        <v>1084</v>
      </c>
      <c r="R180" s="667"/>
      <c r="S180" s="712">
        <f>'segSales&amp;OM'!E230</f>
        <v>1381.2</v>
      </c>
      <c r="T180" s="667"/>
      <c r="U180" s="707">
        <f>S180/L180</f>
        <v>1.1850707850707851</v>
      </c>
      <c r="V180" s="666"/>
      <c r="W180" s="730">
        <f>(U180/U173-1)*100</f>
        <v>0.62004845001277786</v>
      </c>
      <c r="X180" s="685" t="s">
        <v>1084</v>
      </c>
      <c r="Y180" s="666"/>
      <c r="Z180" s="820">
        <f>'store&amp;sf'!J537</f>
        <v>9.1612500000000008</v>
      </c>
      <c r="AA180" s="666"/>
      <c r="AB180" s="710">
        <f>AVERAGE(Z180,Z176)</f>
        <v>9.1487499999999997</v>
      </c>
      <c r="AC180" s="666"/>
      <c r="AD180" s="700">
        <f>(AB180/AB173-1)*100</f>
        <v>4.2147230528264412</v>
      </c>
      <c r="AE180" s="685" t="s">
        <v>1084</v>
      </c>
      <c r="AF180" s="703">
        <f>+H180/AD180*100</f>
        <v>39.045505672140806</v>
      </c>
      <c r="AG180" s="668" t="s">
        <v>1084</v>
      </c>
      <c r="AH180" s="666"/>
      <c r="AI180" s="673">
        <f>+S180</f>
        <v>1381.2</v>
      </c>
      <c r="AJ180" s="666"/>
      <c r="AK180" s="711">
        <f>AI180/AB180</f>
        <v>150.97144418636427</v>
      </c>
      <c r="AL180" s="666"/>
      <c r="AM180" s="730">
        <f>(AK180/AK173-1)*100</f>
        <v>-1.5056060009627448</v>
      </c>
      <c r="AN180" s="685" t="s">
        <v>1084</v>
      </c>
      <c r="AO180" s="666"/>
    </row>
    <row r="181" spans="1:41">
      <c r="A181" s="666" t="str">
        <f>$A$27</f>
        <v>2Q</v>
      </c>
      <c r="B181" s="684" t="str">
        <f>$B$27</f>
        <v>Jul</v>
      </c>
      <c r="C181" s="666"/>
      <c r="D181" s="733">
        <f>(S181/S174-1)*100</f>
        <v>2.1982608695652051</v>
      </c>
      <c r="E181" s="667"/>
      <c r="F181" s="703">
        <f>segmthSales!DI19</f>
        <v>1</v>
      </c>
      <c r="G181" s="667"/>
      <c r="H181" s="733">
        <f>D181-F181</f>
        <v>1.1982608695652051</v>
      </c>
      <c r="I181" s="667"/>
      <c r="J181" s="705">
        <f>'store&amp;sf'!J174</f>
        <v>1169</v>
      </c>
      <c r="K181" s="667"/>
      <c r="L181" s="706">
        <f>AVERAGE(J181,J180)</f>
        <v>1168</v>
      </c>
      <c r="M181" s="667"/>
      <c r="N181" s="700">
        <f>(L181/L174-1)*100</f>
        <v>1.8308631211856996</v>
      </c>
      <c r="O181" s="704"/>
      <c r="P181" s="1148" t="s">
        <v>401</v>
      </c>
      <c r="Q181" s="702"/>
      <c r="R181" s="667"/>
      <c r="S181" s="712">
        <f>'segSales&amp;OM'!E231</f>
        <v>1469.1</v>
      </c>
      <c r="T181" s="667"/>
      <c r="U181" s="713">
        <f>S181/L181</f>
        <v>1.2577910958904108</v>
      </c>
      <c r="V181" s="666"/>
      <c r="W181" s="730">
        <f>(U181/U174-1)*100</f>
        <v>0.36079213817745703</v>
      </c>
      <c r="X181" s="685"/>
      <c r="Y181" s="666"/>
      <c r="Z181" s="820">
        <f>'store&amp;sf'!J538</f>
        <v>9.24</v>
      </c>
      <c r="AA181" s="666"/>
      <c r="AB181" s="710">
        <f>AVERAGE(Z181,Z180)</f>
        <v>9.2006250000000005</v>
      </c>
      <c r="AC181" s="666"/>
      <c r="AD181" s="700">
        <f>(AB181/AB174-1)*100</f>
        <v>4.1899639040272163</v>
      </c>
      <c r="AE181" s="685"/>
      <c r="AF181" s="703">
        <f>+H181/AD181*100</f>
        <v>28.598357814335518</v>
      </c>
      <c r="AG181" s="668"/>
      <c r="AH181" s="666"/>
      <c r="AI181" s="675">
        <f>+S181</f>
        <v>1469.1</v>
      </c>
      <c r="AJ181" s="666"/>
      <c r="AK181" s="714">
        <f>AI181/AB181</f>
        <v>159.6739351946199</v>
      </c>
      <c r="AL181" s="666"/>
      <c r="AM181" s="730">
        <f>(AK181/AK174-1)*100</f>
        <v>-1.9116073754441798</v>
      </c>
      <c r="AN181" s="685"/>
      <c r="AO181" s="666"/>
    </row>
    <row r="182" spans="1:41">
      <c r="A182" s="666" t="str">
        <f>$A$28</f>
        <v>3Q</v>
      </c>
      <c r="B182" s="684" t="str">
        <f>$B$28</f>
        <v>Oct</v>
      </c>
      <c r="C182" s="666"/>
      <c r="D182" s="733">
        <f>(S182/S175-1)*100</f>
        <v>0.29638873722799275</v>
      </c>
      <c r="E182" s="667"/>
      <c r="F182" s="703">
        <f>segmthSales!DI24</f>
        <v>-2</v>
      </c>
      <c r="G182" s="667"/>
      <c r="H182" s="733">
        <f>D182-F182</f>
        <v>2.2963887372279927</v>
      </c>
      <c r="I182" s="667"/>
      <c r="J182" s="705">
        <f>'store&amp;sf'!J175</f>
        <v>1176</v>
      </c>
      <c r="K182" s="667"/>
      <c r="L182" s="706">
        <f>AVERAGE(J182,J181)</f>
        <v>1172.5</v>
      </c>
      <c r="M182" s="667"/>
      <c r="N182" s="700">
        <f>(L182/L175-1)*100</f>
        <v>1.5591165006496377</v>
      </c>
      <c r="O182" s="704"/>
      <c r="P182" s="1148" t="s">
        <v>401</v>
      </c>
      <c r="Q182" s="702"/>
      <c r="R182" s="667"/>
      <c r="S182" s="712">
        <f>'segSales&amp;OM'!E232</f>
        <v>1285.9000000000001</v>
      </c>
      <c r="T182" s="667"/>
      <c r="U182" s="713">
        <f>S182/L182</f>
        <v>1.0967164179104478</v>
      </c>
      <c r="V182" s="666"/>
      <c r="W182" s="730">
        <f>(U182/U175-1)*100</f>
        <v>-1.2433426037273154</v>
      </c>
      <c r="X182" s="685"/>
      <c r="Y182" s="666"/>
      <c r="Z182" s="820">
        <f>'store&amp;sf'!J539</f>
        <v>9.4375</v>
      </c>
      <c r="AA182" s="666"/>
      <c r="AB182" s="710">
        <f>AVERAGE(Z182,Z181)</f>
        <v>9.338750000000001</v>
      </c>
      <c r="AC182" s="666"/>
      <c r="AD182" s="700">
        <f>(AB182/AB175-1)*100</f>
        <v>4.401900503074363</v>
      </c>
      <c r="AE182" s="685"/>
      <c r="AF182" s="703">
        <f>+H182/AD182*100</f>
        <v>52.168120011439498</v>
      </c>
      <c r="AG182" s="668"/>
      <c r="AH182" s="666"/>
      <c r="AI182" s="675">
        <f>+S182</f>
        <v>1285.9000000000001</v>
      </c>
      <c r="AJ182" s="666"/>
      <c r="AK182" s="714">
        <f>AI182/AB182</f>
        <v>137.69508767233302</v>
      </c>
      <c r="AL182" s="666"/>
      <c r="AM182" s="730">
        <f>(AK182/AK175-1)*100</f>
        <v>-3.9324109485204928</v>
      </c>
      <c r="AN182" s="685"/>
      <c r="AO182" s="666"/>
    </row>
    <row r="183" spans="1:41">
      <c r="A183" s="666" t="str">
        <f>$A$29</f>
        <v>4Q</v>
      </c>
      <c r="B183" s="684" t="str">
        <f>$B$29</f>
        <v>Jan</v>
      </c>
      <c r="C183" s="666"/>
      <c r="D183" s="732">
        <f>(S183/S176-1)*100</f>
        <v>0.75713169206719222</v>
      </c>
      <c r="E183" s="667"/>
      <c r="F183" s="717">
        <f>segmthSales!DI29</f>
        <v>-2</v>
      </c>
      <c r="G183" s="667"/>
      <c r="H183" s="732">
        <f>D183-F183</f>
        <v>2.7571316920671922</v>
      </c>
      <c r="I183" s="667"/>
      <c r="J183" s="705">
        <f>'store&amp;sf'!J176</f>
        <v>1177</v>
      </c>
      <c r="K183" s="667"/>
      <c r="L183" s="716">
        <f>AVERAGE(J183,J182)</f>
        <v>1176.5</v>
      </c>
      <c r="M183" s="667"/>
      <c r="N183" s="715">
        <f>(L183/L176-1)*100</f>
        <v>1.2043010752688099</v>
      </c>
      <c r="O183" s="704"/>
      <c r="P183" s="1149" t="s">
        <v>401</v>
      </c>
      <c r="Q183" s="702"/>
      <c r="R183" s="667"/>
      <c r="S183" s="718">
        <f>'segSales&amp;OM'!E233</f>
        <v>2062.6999999999998</v>
      </c>
      <c r="T183" s="667"/>
      <c r="U183" s="719">
        <f>S183/L183</f>
        <v>1.7532511687207819</v>
      </c>
      <c r="V183" s="666"/>
      <c r="W183" s="720">
        <f>(U183/U176-1)*100</f>
        <v>-0.4418482005710711</v>
      </c>
      <c r="X183" s="685"/>
      <c r="Y183" s="666"/>
      <c r="Z183" s="820">
        <f>'store&amp;sf'!J540</f>
        <v>9.4712499999999995</v>
      </c>
      <c r="AA183" s="666"/>
      <c r="AB183" s="721">
        <f>AVERAGE(Z183,Z182)</f>
        <v>9.4543749999999989</v>
      </c>
      <c r="AC183" s="666"/>
      <c r="AD183" s="715">
        <f>(AB183/AB176-1)*100</f>
        <v>4.0944123314065495</v>
      </c>
      <c r="AE183" s="685"/>
      <c r="AF183" s="717">
        <f>+H183/AD183*100</f>
        <v>67.338886973311688</v>
      </c>
      <c r="AG183" s="668"/>
      <c r="AH183" s="666"/>
      <c r="AI183" s="722">
        <f>+S183</f>
        <v>2062.6999999999998</v>
      </c>
      <c r="AJ183" s="666"/>
      <c r="AK183" s="723">
        <f>AI183/AB183</f>
        <v>218.17412573543996</v>
      </c>
      <c r="AL183" s="666"/>
      <c r="AM183" s="720">
        <f>(AK183/AK176-1)*100</f>
        <v>-3.2060132379770789</v>
      </c>
      <c r="AN183" s="685"/>
      <c r="AO183" s="666"/>
    </row>
    <row r="184" spans="1:41">
      <c r="A184" s="666"/>
      <c r="B184" s="684" t="str">
        <f>$B$30</f>
        <v>Year</v>
      </c>
      <c r="C184" s="666"/>
      <c r="D184" s="733">
        <f>(S184/S177-1)*100</f>
        <v>1.4151560761730408</v>
      </c>
      <c r="E184" s="666"/>
      <c r="F184" s="700">
        <f>+F180*S180/S184+F181*S181/S184+F182*S182/S184+F183*S183/S184</f>
        <v>-0.6205778444562744</v>
      </c>
      <c r="G184" s="666"/>
      <c r="H184" s="733">
        <f>D184-F184</f>
        <v>2.0357339206293155</v>
      </c>
      <c r="I184" s="666"/>
      <c r="J184" s="666"/>
      <c r="K184" s="666"/>
      <c r="L184" s="725">
        <f>AVERAGE(L180:L183)</f>
        <v>1170.625</v>
      </c>
      <c r="M184" s="666"/>
      <c r="N184" s="700">
        <f>(L184/L177-1)*100</f>
        <v>1.6498426136980271</v>
      </c>
      <c r="O184" s="704"/>
      <c r="P184" s="740" t="s">
        <v>401</v>
      </c>
      <c r="Q184" s="702"/>
      <c r="R184" s="666"/>
      <c r="S184" s="726">
        <f>SUM(S180:S183)</f>
        <v>6198.9000000000005</v>
      </c>
      <c r="T184" s="666"/>
      <c r="U184" s="707">
        <f>SUM(U180:U183)</f>
        <v>5.2928294675924263</v>
      </c>
      <c r="V184" s="666"/>
      <c r="W184" s="730">
        <f>(U184/U177-1)*100</f>
        <v>-0.18414154029924301</v>
      </c>
      <c r="X184" s="685"/>
      <c r="Y184" s="666"/>
      <c r="Z184" s="666"/>
      <c r="AA184" s="666"/>
      <c r="AB184" s="710">
        <f>AVERAGE(AB180:AB183)</f>
        <v>9.2856249999999996</v>
      </c>
      <c r="AC184" s="666"/>
      <c r="AD184" s="700">
        <f>(AB184/AB177-1)*100</f>
        <v>4.2249074869780578</v>
      </c>
      <c r="AE184" s="685"/>
      <c r="AF184" s="703">
        <f>+H184/AD184*100</f>
        <v>48.184106442657551</v>
      </c>
      <c r="AG184" s="668"/>
      <c r="AH184" s="666"/>
      <c r="AI184" s="673">
        <f>SUM(AI180:AI183)</f>
        <v>6198.9000000000005</v>
      </c>
      <c r="AJ184" s="666"/>
      <c r="AK184" s="711">
        <f>SUM(AK180:AK183)</f>
        <v>666.51459278875711</v>
      </c>
      <c r="AL184" s="666"/>
      <c r="AM184" s="730">
        <f>(AK184/AK177-1)*100</f>
        <v>-2.6697487382047136</v>
      </c>
      <c r="AN184" s="685"/>
      <c r="AO184" s="666"/>
    </row>
    <row r="185" spans="1:41">
      <c r="A185" s="666"/>
      <c r="B185" s="684"/>
      <c r="C185" s="666"/>
      <c r="D185" s="733"/>
      <c r="E185" s="666"/>
      <c r="F185" s="700"/>
      <c r="G185" s="666"/>
      <c r="H185" s="733"/>
      <c r="I185" s="666"/>
      <c r="J185" s="666"/>
      <c r="K185" s="666"/>
      <c r="L185" s="725"/>
      <c r="M185" s="666"/>
      <c r="N185" s="700"/>
      <c r="O185" s="704"/>
      <c r="P185" s="734"/>
      <c r="Q185" s="702"/>
      <c r="R185" s="666"/>
      <c r="S185" s="726"/>
      <c r="T185" s="666"/>
      <c r="U185" s="707"/>
      <c r="V185" s="666"/>
      <c r="W185" s="730"/>
      <c r="X185" s="685"/>
      <c r="Y185" s="666"/>
      <c r="Z185" s="666"/>
      <c r="AA185" s="666"/>
      <c r="AB185" s="710"/>
      <c r="AC185" s="666"/>
      <c r="AD185" s="700"/>
      <c r="AE185" s="685"/>
      <c r="AF185" s="703"/>
      <c r="AG185" s="668"/>
      <c r="AH185" s="666"/>
      <c r="AI185" s="673"/>
      <c r="AJ185" s="666"/>
      <c r="AK185" s="711"/>
      <c r="AL185" s="666"/>
      <c r="AM185" s="730"/>
      <c r="AN185" s="685"/>
      <c r="AO185" s="666"/>
    </row>
    <row r="186" spans="1:41">
      <c r="A186" s="698"/>
      <c r="B186" s="728">
        <f>B179+1</f>
        <v>2017</v>
      </c>
      <c r="C186" s="666"/>
      <c r="D186" s="733"/>
      <c r="E186" s="667"/>
      <c r="F186" s="700"/>
      <c r="G186" s="667"/>
      <c r="H186" s="2572"/>
      <c r="I186" s="667"/>
      <c r="J186" s="667"/>
      <c r="K186" s="667"/>
      <c r="L186" s="725"/>
      <c r="M186" s="667"/>
      <c r="N186" s="700"/>
      <c r="O186" s="704"/>
      <c r="P186" s="740"/>
      <c r="Q186" s="702"/>
      <c r="R186" s="667"/>
      <c r="S186" s="726"/>
      <c r="T186" s="667"/>
      <c r="U186" s="707"/>
      <c r="V186" s="666"/>
      <c r="W186" s="730"/>
      <c r="X186" s="685"/>
      <c r="Y186" s="666"/>
      <c r="AA186" s="666"/>
      <c r="AB186" s="710"/>
      <c r="AC186" s="666"/>
      <c r="AD186" s="700"/>
      <c r="AE186" s="685"/>
      <c r="AF186" s="703"/>
      <c r="AG186" s="668"/>
      <c r="AH186" s="666"/>
      <c r="AI186" s="673"/>
      <c r="AJ186" s="666"/>
      <c r="AK186" s="711"/>
      <c r="AL186" s="666"/>
      <c r="AM186" s="730"/>
      <c r="AN186" s="685"/>
      <c r="AO186" s="666"/>
    </row>
    <row r="187" spans="1:41">
      <c r="A187" s="666" t="str">
        <f>$A$26</f>
        <v>1Q</v>
      </c>
      <c r="B187" s="684" t="str">
        <f>$B$26</f>
        <v>Apr</v>
      </c>
      <c r="C187" s="666"/>
      <c r="D187" s="733">
        <f>(S187/S180-1)*100</f>
        <v>-9.7523892267593393</v>
      </c>
      <c r="E187" s="667"/>
      <c r="F187" s="703">
        <f>segmthSales!DO14</f>
        <v>-12</v>
      </c>
      <c r="G187" s="667"/>
      <c r="H187" s="733">
        <f>D187-F187</f>
        <v>2.2476107732406607</v>
      </c>
      <c r="I187" s="667"/>
      <c r="J187" s="705">
        <f>'store&amp;sf'!J179</f>
        <v>1178</v>
      </c>
      <c r="K187" s="667"/>
      <c r="L187" s="706">
        <f>AVERAGE(J187,J183)</f>
        <v>1177.5</v>
      </c>
      <c r="M187" s="667"/>
      <c r="N187" s="700">
        <f>(L187/L180-1)*100</f>
        <v>1.0296010296010349</v>
      </c>
      <c r="O187" s="704"/>
      <c r="P187" s="1148" t="s">
        <v>401</v>
      </c>
      <c r="Q187" s="702"/>
      <c r="R187" s="667"/>
      <c r="S187" s="712">
        <f>'segSales&amp;OM'!E237</f>
        <v>1246.5</v>
      </c>
      <c r="T187" s="667"/>
      <c r="U187" s="713">
        <f>S187/L187</f>
        <v>1.0585987261146497</v>
      </c>
      <c r="V187" s="666"/>
      <c r="W187" s="730">
        <f>(U187/U180-1)*100</f>
        <v>-10.672110100881538</v>
      </c>
      <c r="X187" s="685"/>
      <c r="Y187" s="666"/>
      <c r="Z187" s="820">
        <f>'store&amp;sf'!J543</f>
        <v>9.4887499999999996</v>
      </c>
      <c r="AA187" s="666"/>
      <c r="AB187" s="710">
        <f>AVERAGE(Z187,Z186)</f>
        <v>9.4887499999999996</v>
      </c>
      <c r="AC187" s="666"/>
      <c r="AD187" s="700">
        <f>(AB187/AB180-1)*100</f>
        <v>3.7163546932641012</v>
      </c>
      <c r="AE187" s="685"/>
      <c r="AF187" s="703">
        <f>+H187/AD187*100</f>
        <v>60.478909004957437</v>
      </c>
      <c r="AG187" s="668"/>
      <c r="AH187" s="666"/>
      <c r="AI187" s="675">
        <f>+S187</f>
        <v>1246.5</v>
      </c>
      <c r="AJ187" s="666"/>
      <c r="AK187" s="714">
        <f>AI187/AB187</f>
        <v>131.36609142405482</v>
      </c>
      <c r="AL187" s="666"/>
      <c r="AM187" s="730">
        <f>(AK187/AK180-1)*100</f>
        <v>-12.986133151185818</v>
      </c>
      <c r="AN187" s="685" t="s">
        <v>1084</v>
      </c>
      <c r="AO187" s="666"/>
    </row>
    <row r="188" spans="1:41">
      <c r="A188" s="666" t="str">
        <f>$A$27</f>
        <v>2Q</v>
      </c>
      <c r="B188" s="684" t="str">
        <f>$B$27</f>
        <v>Jul</v>
      </c>
      <c r="C188" s="666"/>
      <c r="D188" s="733">
        <f>(S188/S181-1)*100</f>
        <v>-8.0389354026274553</v>
      </c>
      <c r="E188" s="667"/>
      <c r="F188" s="703">
        <f>segmthSales!DO19</f>
        <v>-11</v>
      </c>
      <c r="G188" s="667"/>
      <c r="H188" s="733">
        <f>D188-F188</f>
        <v>2.9610645973725447</v>
      </c>
      <c r="I188" s="667"/>
      <c r="J188" s="705">
        <f>'store&amp;sf'!J180</f>
        <v>1174</v>
      </c>
      <c r="K188" s="667"/>
      <c r="L188" s="706">
        <f>AVERAGE(J188,J187)</f>
        <v>1176</v>
      </c>
      <c r="M188" s="667"/>
      <c r="N188" s="700">
        <f>(L188/L181-1)*100</f>
        <v>0.68493150684931781</v>
      </c>
      <c r="O188" s="704"/>
      <c r="P188" s="1148" t="s">
        <v>401</v>
      </c>
      <c r="Q188" s="702"/>
      <c r="R188" s="667"/>
      <c r="S188" s="712">
        <f>'segSales&amp;OM'!E238</f>
        <v>1351</v>
      </c>
      <c r="T188" s="667"/>
      <c r="U188" s="713">
        <f>S188/L188</f>
        <v>1.1488095238095237</v>
      </c>
      <c r="V188" s="666"/>
      <c r="W188" s="730">
        <f>(U188/U181-1)*100</f>
        <v>-8.6645208760789743</v>
      </c>
      <c r="X188" s="685"/>
      <c r="Y188" s="666"/>
      <c r="Z188" s="820">
        <f>'store&amp;sf'!J544</f>
        <v>9.5162499999999994</v>
      </c>
      <c r="AA188" s="666"/>
      <c r="AB188" s="710">
        <f>AVERAGE(Z188,Z187)</f>
        <v>9.5024999999999995</v>
      </c>
      <c r="AC188" s="666"/>
      <c r="AD188" s="700">
        <f>(AB188/AB181-1)*100</f>
        <v>3.2810271041369354</v>
      </c>
      <c r="AE188" s="685"/>
      <c r="AF188" s="703">
        <f>+H188/AD188*100</f>
        <v>90.248099250354841</v>
      </c>
      <c r="AG188" s="668"/>
      <c r="AH188" s="666"/>
      <c r="AI188" s="675">
        <f>+S188</f>
        <v>1351</v>
      </c>
      <c r="AJ188" s="666"/>
      <c r="AK188" s="714">
        <f>AI188/AB188</f>
        <v>142.1731123388582</v>
      </c>
      <c r="AL188" s="666"/>
      <c r="AM188" s="730">
        <f>(AK188/AK181-1)*100</f>
        <v>-10.960350438179322</v>
      </c>
      <c r="AN188" s="685"/>
      <c r="AO188" s="666"/>
    </row>
    <row r="189" spans="1:41">
      <c r="A189" s="666" t="str">
        <f>$A$28</f>
        <v>3Q</v>
      </c>
      <c r="B189" s="684" t="str">
        <f>$B$28</f>
        <v>Oct</v>
      </c>
      <c r="C189" s="666"/>
      <c r="D189" s="733">
        <f>(S189/S182-1)*100</f>
        <v>-3.3361847733105243</v>
      </c>
      <c r="E189" s="667"/>
      <c r="F189" s="703">
        <f>segmthSales!DO24</f>
        <v>-5</v>
      </c>
      <c r="G189" s="667"/>
      <c r="H189" s="733">
        <f>D189-F189</f>
        <v>1.6638152266894757</v>
      </c>
      <c r="I189" s="667"/>
      <c r="J189" s="705">
        <f>'store&amp;sf'!J181</f>
        <v>1178</v>
      </c>
      <c r="K189" s="667"/>
      <c r="L189" s="706">
        <f>AVERAGE(J189,J188)</f>
        <v>1176</v>
      </c>
      <c r="M189" s="667"/>
      <c r="N189" s="700">
        <f>(L189/L182-1)*100</f>
        <v>0.29850746268655914</v>
      </c>
      <c r="O189" s="704"/>
      <c r="P189" s="1148" t="s">
        <v>401</v>
      </c>
      <c r="Q189" s="702"/>
      <c r="R189" s="667"/>
      <c r="S189" s="712">
        <f>'segSales&amp;OM'!E239</f>
        <v>1243</v>
      </c>
      <c r="T189" s="667"/>
      <c r="U189" s="713">
        <f>S189/L189</f>
        <v>1.0569727891156462</v>
      </c>
      <c r="V189" s="666"/>
      <c r="W189" s="730">
        <f>(U189/U182-1)*100</f>
        <v>-3.6238746995804427</v>
      </c>
      <c r="X189" s="685"/>
      <c r="Y189" s="666"/>
      <c r="Z189" s="820">
        <f>'store&amp;sf'!J545</f>
        <v>9.5512499999999978</v>
      </c>
      <c r="AA189" s="666"/>
      <c r="AB189" s="710">
        <f>AVERAGE(Z189,Z188)</f>
        <v>9.5337499999999977</v>
      </c>
      <c r="AC189" s="666"/>
      <c r="AD189" s="700">
        <f>(AB189/AB182-1)*100</f>
        <v>2.0880738856912995</v>
      </c>
      <c r="AE189" s="685"/>
      <c r="AF189" s="703">
        <f>+H189/AD189*100</f>
        <v>79.681817683316112</v>
      </c>
      <c r="AG189" s="668"/>
      <c r="AH189" s="666"/>
      <c r="AI189" s="675">
        <f>+S189</f>
        <v>1243</v>
      </c>
      <c r="AJ189" s="666"/>
      <c r="AK189" s="714">
        <f>AI189/AB189</f>
        <v>130.37891700537568</v>
      </c>
      <c r="AL189" s="666"/>
      <c r="AM189" s="730">
        <f>(AK189/AK182-1)*100</f>
        <v>-5.3133127627379872</v>
      </c>
      <c r="AN189" s="685"/>
      <c r="AO189" s="666"/>
    </row>
    <row r="190" spans="1:41">
      <c r="A190" s="666" t="str">
        <f>$A$29</f>
        <v>4Q</v>
      </c>
      <c r="B190" s="684" t="str">
        <f>$B$29</f>
        <v>Jan</v>
      </c>
      <c r="C190" s="666"/>
      <c r="D190" s="732">
        <f>(S190/S183-1)*100</f>
        <v>-1.1829155960634052</v>
      </c>
      <c r="E190" s="667"/>
      <c r="F190" s="717">
        <f>segmthSales!DO28</f>
        <v>0</v>
      </c>
      <c r="G190" s="667"/>
      <c r="H190" s="732">
        <f>D190-F190</f>
        <v>-1.1829155960634052</v>
      </c>
      <c r="I190" s="667"/>
      <c r="J190" s="705">
        <f>'store&amp;sf'!J182</f>
        <v>1170</v>
      </c>
      <c r="K190" s="667"/>
      <c r="L190" s="716">
        <f>AVERAGE(J190,J189)</f>
        <v>1174</v>
      </c>
      <c r="M190" s="667"/>
      <c r="N190" s="715">
        <f>(L190/L183-1)*100</f>
        <v>-0.21249468763281376</v>
      </c>
      <c r="O190" s="704"/>
      <c r="P190" s="1149" t="s">
        <v>401</v>
      </c>
      <c r="Q190" s="702"/>
      <c r="R190" s="667"/>
      <c r="S190" s="718">
        <f>'segSales&amp;OM'!E240</f>
        <v>2038.3</v>
      </c>
      <c r="T190" s="667"/>
      <c r="U190" s="719">
        <f>S190/L190</f>
        <v>1.7362010221465076</v>
      </c>
      <c r="V190" s="666"/>
      <c r="W190" s="720">
        <f>(U190/U183-1)*100</f>
        <v>-0.97248739247751681</v>
      </c>
      <c r="X190" s="685"/>
      <c r="Y190" s="666"/>
      <c r="Z190" s="820">
        <f>'store&amp;sf'!J546</f>
        <v>9.5212500000000002</v>
      </c>
      <c r="AA190" s="666"/>
      <c r="AB190" s="721">
        <f>AVERAGE(Z190,Z189)</f>
        <v>9.536249999999999</v>
      </c>
      <c r="AC190" s="666"/>
      <c r="AD190" s="715">
        <f>(AB190/AB183-1)*100</f>
        <v>0.86600118992530284</v>
      </c>
      <c r="AE190" s="685"/>
      <c r="AF190" s="717">
        <f>+H190/AD190*100</f>
        <v>-136.59514673016071</v>
      </c>
      <c r="AG190" s="668"/>
      <c r="AH190" s="666"/>
      <c r="AI190" s="722">
        <f>+S190</f>
        <v>2038.3</v>
      </c>
      <c r="AJ190" s="666"/>
      <c r="AK190" s="723">
        <f>AI190/AB190</f>
        <v>213.74229912177219</v>
      </c>
      <c r="AL190" s="666"/>
      <c r="AM190" s="720">
        <f>(AK190/AK183-1)*100</f>
        <v>-2.0313254831335281</v>
      </c>
      <c r="AN190" s="685"/>
      <c r="AO190" s="666"/>
    </row>
    <row r="191" spans="1:41">
      <c r="A191" s="666"/>
      <c r="B191" s="684" t="str">
        <f>$B$30</f>
        <v>Year</v>
      </c>
      <c r="C191" s="666"/>
      <c r="D191" s="733">
        <f>(S191/S184-1)*100</f>
        <v>-5.163819387310653</v>
      </c>
      <c r="E191" s="667"/>
      <c r="F191" s="700">
        <f>+F187*S187/S191+F188*S188/S191+F189*S189/S191+F190*S190/S191</f>
        <v>-6.1294822072531812</v>
      </c>
      <c r="G191" s="667"/>
      <c r="H191" s="733">
        <f>D191-F191</f>
        <v>0.96566281994252812</v>
      </c>
      <c r="I191" s="667"/>
      <c r="J191" s="667"/>
      <c r="K191" s="667"/>
      <c r="L191" s="725">
        <f>AVERAGE(L187:L190)</f>
        <v>1175.875</v>
      </c>
      <c r="M191" s="666"/>
      <c r="N191" s="700">
        <f>(L191/L184-1)*100</f>
        <v>0.44847837693540171</v>
      </c>
      <c r="O191" s="704"/>
      <c r="P191" s="740" t="s">
        <v>401</v>
      </c>
      <c r="Q191" s="702"/>
      <c r="R191" s="666"/>
      <c r="S191" s="726">
        <f>SUM(S187:S190)</f>
        <v>5878.8</v>
      </c>
      <c r="T191" s="666"/>
      <c r="U191" s="707">
        <f>SUM(U187:U190)</f>
        <v>5.0005820611863268</v>
      </c>
      <c r="V191" s="666"/>
      <c r="W191" s="730">
        <f>(U191/U184-1)*100</f>
        <v>-5.5215723120404121</v>
      </c>
      <c r="X191" s="685"/>
      <c r="Y191" s="666"/>
      <c r="Z191" s="667"/>
      <c r="AA191" s="666"/>
      <c r="AB191" s="710">
        <f>AVERAGE(AB187:AB190)</f>
        <v>9.5153125000000003</v>
      </c>
      <c r="AC191" s="666"/>
      <c r="AD191" s="700">
        <f>(AB191/AB184-1)*100</f>
        <v>2.4735814767449682</v>
      </c>
      <c r="AE191" s="685"/>
      <c r="AF191" s="703">
        <f>+H191/AD191*100</f>
        <v>39.039054464996312</v>
      </c>
      <c r="AG191" s="668"/>
      <c r="AH191" s="666"/>
      <c r="AI191" s="673">
        <f>SUM(AI187:AI190)</f>
        <v>5878.8</v>
      </c>
      <c r="AJ191" s="666"/>
      <c r="AK191" s="711">
        <f>SUM(AK187:AK190)</f>
        <v>617.66041989006089</v>
      </c>
      <c r="AL191" s="666"/>
      <c r="AM191" s="730">
        <f>(AK191/AK184-1)*100</f>
        <v>-7.329797941000205</v>
      </c>
      <c r="AN191" s="685"/>
      <c r="AO191" s="666"/>
    </row>
    <row r="192" spans="1:41" s="2702" customFormat="1">
      <c r="A192" s="666"/>
      <c r="B192" s="684"/>
      <c r="C192" s="666"/>
      <c r="D192" s="733"/>
      <c r="E192" s="666"/>
      <c r="F192" s="700"/>
      <c r="G192" s="666"/>
      <c r="H192" s="733"/>
      <c r="I192" s="666"/>
      <c r="J192" s="666"/>
      <c r="K192" s="666"/>
      <c r="L192" s="725"/>
      <c r="M192" s="666"/>
      <c r="N192" s="700"/>
      <c r="O192" s="704"/>
      <c r="P192" s="734"/>
      <c r="Q192" s="702"/>
      <c r="R192" s="666"/>
      <c r="S192" s="726"/>
      <c r="T192" s="666"/>
      <c r="U192" s="707"/>
      <c r="V192" s="666"/>
      <c r="W192" s="730"/>
      <c r="X192" s="685"/>
      <c r="Y192" s="666"/>
      <c r="Z192" s="666"/>
      <c r="AA192" s="666"/>
      <c r="AB192" s="710"/>
      <c r="AC192" s="666"/>
      <c r="AD192" s="700"/>
      <c r="AE192" s="685"/>
      <c r="AF192" s="703"/>
      <c r="AG192" s="668"/>
      <c r="AH192" s="666"/>
      <c r="AI192" s="673"/>
      <c r="AJ192" s="666"/>
      <c r="AK192" s="711"/>
      <c r="AL192" s="666"/>
      <c r="AM192" s="730"/>
      <c r="AN192" s="685"/>
      <c r="AO192" s="666"/>
    </row>
    <row r="193" spans="1:41" s="2702" customFormat="1">
      <c r="A193" s="698"/>
      <c r="B193" s="742">
        <f>B186+1</f>
        <v>2018</v>
      </c>
      <c r="C193" s="666"/>
      <c r="D193" s="733"/>
      <c r="E193" s="667"/>
      <c r="F193" s="700"/>
      <c r="G193" s="667"/>
      <c r="H193" s="2572"/>
      <c r="I193" s="667"/>
      <c r="J193" s="667"/>
      <c r="K193" s="667"/>
      <c r="L193" s="725"/>
      <c r="M193" s="667"/>
      <c r="N193" s="700"/>
      <c r="O193" s="704"/>
      <c r="P193" s="740"/>
      <c r="Q193" s="702"/>
      <c r="R193" s="667"/>
      <c r="S193" s="726"/>
      <c r="T193" s="667"/>
      <c r="U193" s="707"/>
      <c r="V193" s="666"/>
      <c r="W193" s="730"/>
      <c r="X193" s="685"/>
      <c r="Y193" s="666"/>
      <c r="AA193" s="666"/>
      <c r="AB193" s="710"/>
      <c r="AC193" s="666"/>
      <c r="AD193" s="700"/>
      <c r="AE193" s="685"/>
      <c r="AF193" s="703"/>
      <c r="AG193" s="668"/>
      <c r="AH193" s="666"/>
      <c r="AI193" s="673"/>
      <c r="AJ193" s="666"/>
      <c r="AK193" s="711"/>
      <c r="AL193" s="666"/>
      <c r="AM193" s="730"/>
      <c r="AN193" s="685"/>
      <c r="AO193" s="666"/>
    </row>
    <row r="194" spans="1:41" s="2702" customFormat="1">
      <c r="A194" s="666" t="str">
        <f>$A$26</f>
        <v>1Q</v>
      </c>
      <c r="B194" s="684" t="str">
        <f>$B$26</f>
        <v>Apr</v>
      </c>
      <c r="C194" s="666"/>
      <c r="D194" s="733">
        <f t="shared" ref="D194:D195" si="0">F194+H194</f>
        <v>0.375</v>
      </c>
      <c r="E194" s="667"/>
      <c r="F194" s="703">
        <f>segmthSales!DU14</f>
        <v>-4.625</v>
      </c>
      <c r="G194" s="667"/>
      <c r="H194" s="2572">
        <v>5</v>
      </c>
      <c r="I194" s="667"/>
      <c r="J194" s="705">
        <f>'store&amp;sf'!J185</f>
        <v>1170</v>
      </c>
      <c r="K194" s="667"/>
      <c r="L194" s="706">
        <f>AVERAGE(J194,J190)</f>
        <v>1170</v>
      </c>
      <c r="M194" s="667"/>
      <c r="N194" s="700">
        <f>(L194/L187-1)*100</f>
        <v>-0.63694267515923553</v>
      </c>
      <c r="O194" s="704"/>
      <c r="P194" s="1148" t="s">
        <v>401</v>
      </c>
      <c r="Q194" s="702"/>
      <c r="R194" s="667"/>
      <c r="S194" s="712">
        <f t="shared" ref="S194:S195" si="1">S187*(1+D194/100)</f>
        <v>1251.1743749999998</v>
      </c>
      <c r="T194" s="667"/>
      <c r="U194" s="713">
        <f>S194/L194</f>
        <v>1.0693798076923076</v>
      </c>
      <c r="V194" s="666"/>
      <c r="W194" s="730">
        <f>(U194/U187-1)*100</f>
        <v>1.018429487179473</v>
      </c>
      <c r="X194" s="685"/>
      <c r="Y194" s="666"/>
      <c r="Z194" s="820">
        <f>'store&amp;sf'!J549</f>
        <v>9.5558916258523006</v>
      </c>
      <c r="AA194" s="666"/>
      <c r="AB194" s="710">
        <f>AVERAGE(Z194,Z193)</f>
        <v>9.5558916258523006</v>
      </c>
      <c r="AC194" s="666"/>
      <c r="AD194" s="700">
        <f>(AB194/AB187-1)*100</f>
        <v>0.70759189410936063</v>
      </c>
      <c r="AE194" s="685"/>
      <c r="AF194" s="703">
        <f>+H194/AD194*100</f>
        <v>706.62200084887252</v>
      </c>
      <c r="AG194" s="668"/>
      <c r="AH194" s="666"/>
      <c r="AI194" s="675">
        <f>+S194</f>
        <v>1251.1743749999998</v>
      </c>
      <c r="AJ194" s="666"/>
      <c r="AK194" s="714">
        <f>AI194/AB194</f>
        <v>130.93224829121127</v>
      </c>
      <c r="AL194" s="666"/>
      <c r="AM194" s="730">
        <f>(AK194/AK187-1)*100</f>
        <v>-0.33025503624302122</v>
      </c>
      <c r="AN194" s="685" t="s">
        <v>1084</v>
      </c>
      <c r="AO194" s="666"/>
    </row>
    <row r="195" spans="1:41" s="2702" customFormat="1">
      <c r="A195" s="666" t="str">
        <f>$A$27</f>
        <v>2Q</v>
      </c>
      <c r="B195" s="684" t="str">
        <f>$B$27</f>
        <v>Jul</v>
      </c>
      <c r="C195" s="666"/>
      <c r="D195" s="733">
        <f t="shared" si="0"/>
        <v>2.83</v>
      </c>
      <c r="E195" s="667"/>
      <c r="F195" s="703">
        <f>segmthSales!DU19</f>
        <v>-0.16999999999999998</v>
      </c>
      <c r="G195" s="667"/>
      <c r="H195" s="2572">
        <v>3</v>
      </c>
      <c r="I195" s="667"/>
      <c r="J195" s="705">
        <f>'store&amp;sf'!J186</f>
        <v>1166</v>
      </c>
      <c r="K195" s="667"/>
      <c r="L195" s="706">
        <f>AVERAGE(J195,J194)</f>
        <v>1168</v>
      </c>
      <c r="M195" s="667"/>
      <c r="N195" s="700">
        <f>(L195/L188-1)*100</f>
        <v>-0.68027210884353817</v>
      </c>
      <c r="O195" s="704"/>
      <c r="P195" s="1148" t="s">
        <v>401</v>
      </c>
      <c r="Q195" s="702"/>
      <c r="R195" s="667"/>
      <c r="S195" s="712">
        <f t="shared" si="1"/>
        <v>1389.2333000000001</v>
      </c>
      <c r="T195" s="667"/>
      <c r="U195" s="713">
        <f>S195/L195</f>
        <v>1.1894120719178083</v>
      </c>
      <c r="V195" s="666"/>
      <c r="W195" s="730">
        <f>(U195/U188-1)*100</f>
        <v>3.5343150684931546</v>
      </c>
      <c r="X195" s="685"/>
      <c r="Y195" s="666"/>
      <c r="Z195" s="820">
        <f>'store&amp;sf'!J550</f>
        <v>9.5674776961490462</v>
      </c>
      <c r="AA195" s="666"/>
      <c r="AB195" s="710">
        <f>AVERAGE(Z195,Z194)</f>
        <v>9.5616846610006725</v>
      </c>
      <c r="AC195" s="666"/>
      <c r="AD195" s="700">
        <f>(AB195/AB188-1)*100</f>
        <v>0.62283252828911895</v>
      </c>
      <c r="AE195" s="685"/>
      <c r="AF195" s="703">
        <f>+H195/AD195*100</f>
        <v>481.67041118433679</v>
      </c>
      <c r="AG195" s="668"/>
      <c r="AH195" s="666"/>
      <c r="AI195" s="675">
        <f>+S195</f>
        <v>1389.2333000000001</v>
      </c>
      <c r="AJ195" s="666"/>
      <c r="AK195" s="714">
        <f>AI195/AB195</f>
        <v>145.29168752722813</v>
      </c>
      <c r="AL195" s="666"/>
      <c r="AM195" s="730">
        <f>(AK195/AK188-1)*100</f>
        <v>2.1935056052912794</v>
      </c>
      <c r="AN195" s="685"/>
      <c r="AO195" s="666"/>
    </row>
    <row r="196" spans="1:41" s="2702" customFormat="1">
      <c r="A196" s="666" t="str">
        <f>$A$28</f>
        <v>3Q</v>
      </c>
      <c r="B196" s="684" t="str">
        <f>$B$28</f>
        <v>Oct</v>
      </c>
      <c r="C196" s="666"/>
      <c r="D196" s="733">
        <f>F196+H196</f>
        <v>3</v>
      </c>
      <c r="E196" s="667"/>
      <c r="F196" s="703">
        <f>segmthSales!DU24</f>
        <v>0</v>
      </c>
      <c r="G196" s="667"/>
      <c r="H196" s="2572">
        <v>3</v>
      </c>
      <c r="I196" s="667"/>
      <c r="J196" s="705">
        <f>'store&amp;sf'!J187</f>
        <v>1165</v>
      </c>
      <c r="K196" s="667"/>
      <c r="L196" s="706">
        <f>AVERAGE(J196,J195)</f>
        <v>1165.5</v>
      </c>
      <c r="M196" s="667"/>
      <c r="N196" s="700">
        <f>(L196/L189-1)*100</f>
        <v>-0.89285714285713969</v>
      </c>
      <c r="O196" s="704"/>
      <c r="P196" s="1148" t="s">
        <v>401</v>
      </c>
      <c r="Q196" s="702"/>
      <c r="R196" s="667"/>
      <c r="S196" s="712">
        <f>S189*(1+D196/100)</f>
        <v>1280.29</v>
      </c>
      <c r="T196" s="667"/>
      <c r="U196" s="713">
        <f>S196/L196</f>
        <v>1.0984899184899184</v>
      </c>
      <c r="V196" s="666"/>
      <c r="W196" s="730">
        <f>(U196/U189-1)*100</f>
        <v>3.9279279279279322</v>
      </c>
      <c r="X196" s="685"/>
      <c r="Y196" s="666"/>
      <c r="Z196" s="820">
        <f>'store&amp;sf'!J551</f>
        <v>9.6004003769326811</v>
      </c>
      <c r="AA196" s="666"/>
      <c r="AB196" s="710">
        <f>AVERAGE(Z196,Z195)</f>
        <v>9.5839390365408637</v>
      </c>
      <c r="AC196" s="666"/>
      <c r="AD196" s="700">
        <f>(AB196/AB189-1)*100</f>
        <v>0.52643541671288929</v>
      </c>
      <c r="AE196" s="685"/>
      <c r="AF196" s="703">
        <f>+H196/AD196*100</f>
        <v>569.87047314032816</v>
      </c>
      <c r="AG196" s="668"/>
      <c r="AH196" s="666"/>
      <c r="AI196" s="675">
        <f>+S196</f>
        <v>1280.29</v>
      </c>
      <c r="AJ196" s="666"/>
      <c r="AK196" s="714">
        <f>AI196/AB196</f>
        <v>133.58703505089235</v>
      </c>
      <c r="AL196" s="666"/>
      <c r="AM196" s="730">
        <f>(AK196/AK189-1)*100</f>
        <v>2.460611055224815</v>
      </c>
      <c r="AN196" s="685"/>
      <c r="AO196" s="666"/>
    </row>
    <row r="197" spans="1:41" s="2702" customFormat="1">
      <c r="A197" s="666" t="str">
        <f>$A$29</f>
        <v>4Q</v>
      </c>
      <c r="B197" s="684" t="str">
        <f>$B$29</f>
        <v>Jan</v>
      </c>
      <c r="C197" s="666"/>
      <c r="D197" s="732">
        <f>F197+H197</f>
        <v>-1</v>
      </c>
      <c r="E197" s="667"/>
      <c r="F197" s="717">
        <f>segmthSales!DU29</f>
        <v>0</v>
      </c>
      <c r="G197" s="667"/>
      <c r="H197" s="1198">
        <v>-1</v>
      </c>
      <c r="I197" s="667"/>
      <c r="J197" s="705">
        <f>'store&amp;sf'!J188</f>
        <v>1161</v>
      </c>
      <c r="K197" s="667"/>
      <c r="L197" s="716">
        <f>AVERAGE(J197,J196)</f>
        <v>1163</v>
      </c>
      <c r="M197" s="667"/>
      <c r="N197" s="715">
        <f>(L197/L190-1)*100</f>
        <v>-0.93696763202725242</v>
      </c>
      <c r="O197" s="704"/>
      <c r="P197" s="1149" t="s">
        <v>401</v>
      </c>
      <c r="Q197" s="702"/>
      <c r="R197" s="667"/>
      <c r="S197" s="718">
        <f>S190*(1+D197/100)</f>
        <v>2017.9169999999999</v>
      </c>
      <c r="T197" s="667"/>
      <c r="U197" s="719">
        <f>S197/L197</f>
        <v>1.7350963026655202</v>
      </c>
      <c r="V197" s="666"/>
      <c r="W197" s="720">
        <f>(U197/U190-1)*100</f>
        <v>-6.3628546861560498E-2</v>
      </c>
      <c r="X197" s="685"/>
      <c r="Y197" s="666"/>
      <c r="Z197" s="820">
        <f>'store&amp;sf'!J552</f>
        <v>9.577811701719007</v>
      </c>
      <c r="AA197" s="666"/>
      <c r="AB197" s="721">
        <f>AVERAGE(Z197,Z196)</f>
        <v>9.5891060393258449</v>
      </c>
      <c r="AC197" s="666"/>
      <c r="AD197" s="715">
        <f>(AB197/AB190-1)*100</f>
        <v>0.55426440504229291</v>
      </c>
      <c r="AE197" s="685"/>
      <c r="AF197" s="717">
        <f>+H197/AD197*100</f>
        <v>-180.41930726612244</v>
      </c>
      <c r="AG197" s="668"/>
      <c r="AH197" s="666"/>
      <c r="AI197" s="722">
        <f>+S197</f>
        <v>2017.9169999999999</v>
      </c>
      <c r="AJ197" s="666"/>
      <c r="AK197" s="723">
        <f>AI197/AB197</f>
        <v>210.43849048329724</v>
      </c>
      <c r="AL197" s="666"/>
      <c r="AM197" s="720">
        <f>(AK197/AK190-1)*100</f>
        <v>-1.5456971558973964</v>
      </c>
      <c r="AN197" s="685"/>
      <c r="AO197" s="666"/>
    </row>
    <row r="198" spans="1:41" s="2702" customFormat="1">
      <c r="A198" s="666"/>
      <c r="B198" s="684" t="str">
        <f>$B$30</f>
        <v>Year</v>
      </c>
      <c r="C198" s="666"/>
      <c r="D198" s="733">
        <f>(S198/S191-1)*100</f>
        <v>1.0174640232700538</v>
      </c>
      <c r="E198" s="667"/>
      <c r="F198" s="700">
        <f>+F194*S194/S198+F195*S195/S198+F196*S196/S198+F197*S197/S198</f>
        <v>-1.0141845320811287</v>
      </c>
      <c r="G198" s="667"/>
      <c r="H198" s="733">
        <f>D198-F198</f>
        <v>2.0316485553511825</v>
      </c>
      <c r="I198" s="667"/>
      <c r="J198" s="667"/>
      <c r="K198" s="667"/>
      <c r="L198" s="725">
        <f>AVERAGE(L194:L197)</f>
        <v>1166.625</v>
      </c>
      <c r="M198" s="666"/>
      <c r="N198" s="700">
        <f>(L198/L191-1)*100</f>
        <v>-0.78664824067183892</v>
      </c>
      <c r="O198" s="704"/>
      <c r="P198" s="740" t="s">
        <v>401</v>
      </c>
      <c r="Q198" s="702"/>
      <c r="R198" s="666"/>
      <c r="S198" s="726">
        <f>SUM(S194:S197)</f>
        <v>5938.6146749999998</v>
      </c>
      <c r="T198" s="666"/>
      <c r="U198" s="707">
        <f>SUM(U194:U197)</f>
        <v>5.0923781007655542</v>
      </c>
      <c r="V198" s="666"/>
      <c r="W198" s="730">
        <f>(U198/U191-1)*100</f>
        <v>1.8357070928149088</v>
      </c>
      <c r="X198" s="685"/>
      <c r="Y198" s="666"/>
      <c r="Z198" s="667"/>
      <c r="AA198" s="666"/>
      <c r="AB198" s="710">
        <f>AVERAGE(AB194:AB197)</f>
        <v>9.5726553406799191</v>
      </c>
      <c r="AC198" s="666"/>
      <c r="AD198" s="700">
        <f>(AB198/AB191-1)*100</f>
        <v>0.60263749277722489</v>
      </c>
      <c r="AE198" s="685"/>
      <c r="AF198" s="703">
        <f>+H198/AD198*100</f>
        <v>337.1261462655487</v>
      </c>
      <c r="AG198" s="668"/>
      <c r="AH198" s="666"/>
      <c r="AI198" s="673">
        <f>SUM(AI194:AI197)</f>
        <v>5938.6146749999998</v>
      </c>
      <c r="AJ198" s="666"/>
      <c r="AK198" s="711">
        <f>SUM(AK194:AK197)</f>
        <v>620.24946135262894</v>
      </c>
      <c r="AL198" s="666"/>
      <c r="AM198" s="730">
        <f>(AK198/AK191-1)*100</f>
        <v>0.41916907400816328</v>
      </c>
      <c r="AN198" s="685"/>
      <c r="AO198" s="666"/>
    </row>
    <row r="199" spans="1:41">
      <c r="A199" s="666"/>
      <c r="B199" s="684"/>
      <c r="C199" s="666"/>
      <c r="D199" s="733"/>
      <c r="E199" s="666"/>
      <c r="F199" s="700"/>
      <c r="G199" s="666"/>
      <c r="H199" s="733"/>
      <c r="I199" s="666"/>
      <c r="J199" s="666"/>
      <c r="K199" s="666"/>
      <c r="L199" s="725"/>
      <c r="M199" s="666"/>
      <c r="N199" s="700"/>
      <c r="O199" s="704"/>
      <c r="P199" s="740"/>
      <c r="Q199" s="702"/>
      <c r="R199" s="666"/>
      <c r="S199" s="726"/>
      <c r="T199" s="666"/>
      <c r="U199" s="707"/>
      <c r="V199" s="666"/>
      <c r="W199" s="730"/>
      <c r="X199" s="685"/>
      <c r="Y199" s="666"/>
      <c r="Z199" s="666"/>
      <c r="AA199" s="666"/>
      <c r="AB199" s="710"/>
      <c r="AC199" s="666"/>
      <c r="AD199" s="700"/>
      <c r="AE199" s="685"/>
      <c r="AF199" s="703"/>
      <c r="AG199" s="668"/>
      <c r="AH199" s="666"/>
      <c r="AI199" s="673"/>
      <c r="AJ199" s="666"/>
      <c r="AK199" s="711"/>
      <c r="AL199" s="666"/>
      <c r="AM199" s="730"/>
      <c r="AN199" s="685"/>
      <c r="AO199" s="666"/>
    </row>
    <row r="200" spans="1:41">
      <c r="A200" s="666"/>
      <c r="B200" s="684"/>
      <c r="C200" s="666"/>
      <c r="D200" s="696" t="s">
        <v>986</v>
      </c>
      <c r="E200" s="691"/>
      <c r="F200" s="694"/>
      <c r="G200" s="691"/>
      <c r="H200" s="694"/>
      <c r="I200" s="666"/>
      <c r="J200" s="694"/>
      <c r="K200" s="691"/>
      <c r="L200" s="694"/>
      <c r="M200" s="691"/>
      <c r="N200" s="694"/>
      <c r="O200" s="666"/>
      <c r="P200" s="695"/>
      <c r="Q200" s="695"/>
      <c r="R200" s="666"/>
      <c r="S200" s="694"/>
      <c r="T200" s="666"/>
      <c r="U200" s="694"/>
      <c r="V200" s="666"/>
      <c r="W200" s="694"/>
      <c r="X200" s="685"/>
      <c r="Y200" s="666"/>
      <c r="Z200" s="694"/>
      <c r="AA200" s="691"/>
      <c r="AB200" s="694"/>
      <c r="AC200" s="691"/>
      <c r="AD200" s="694"/>
      <c r="AE200" s="666"/>
      <c r="AF200" s="695"/>
      <c r="AG200" s="695"/>
      <c r="AH200" s="666"/>
      <c r="AI200" s="694"/>
      <c r="AJ200" s="666"/>
      <c r="AK200" s="694"/>
      <c r="AL200" s="666"/>
      <c r="AM200" s="694"/>
      <c r="AN200" s="685"/>
      <c r="AO200" s="666"/>
    </row>
    <row r="201" spans="1:41" hidden="1" outlineLevel="1" collapsed="1">
      <c r="A201" s="698"/>
      <c r="B201" s="699">
        <v>1993</v>
      </c>
      <c r="C201" s="666"/>
      <c r="D201" s="700"/>
      <c r="E201" s="700"/>
      <c r="F201" s="700"/>
      <c r="G201" s="700"/>
      <c r="H201" s="700"/>
      <c r="I201" s="667"/>
      <c r="J201" s="667"/>
      <c r="K201" s="667"/>
      <c r="L201" s="667"/>
      <c r="M201" s="667"/>
      <c r="N201" s="667"/>
      <c r="O201" s="667"/>
      <c r="P201" s="702"/>
      <c r="Q201" s="702"/>
      <c r="R201" s="667"/>
      <c r="S201" s="667"/>
      <c r="T201" s="667"/>
      <c r="U201" s="667"/>
      <c r="V201" s="666"/>
      <c r="W201" s="666"/>
      <c r="X201" s="685"/>
      <c r="Y201" s="666"/>
      <c r="Z201" s="676"/>
      <c r="AA201" s="666"/>
      <c r="AB201" s="679"/>
      <c r="AC201" s="666"/>
      <c r="AD201" s="667"/>
      <c r="AE201" s="666"/>
      <c r="AF201" s="703"/>
      <c r="AG201" s="668"/>
      <c r="AH201" s="666"/>
      <c r="AI201" s="666"/>
      <c r="AJ201" s="666"/>
      <c r="AK201" s="666"/>
      <c r="AL201" s="666"/>
      <c r="AM201" s="666"/>
      <c r="AN201" s="685"/>
      <c r="AO201" s="666"/>
    </row>
    <row r="202" spans="1:41" hidden="1" outlineLevel="1">
      <c r="A202" s="666" t="str">
        <f>$A$26</f>
        <v>1Q</v>
      </c>
      <c r="B202" s="684" t="str">
        <f>$B$26</f>
        <v>Apr</v>
      </c>
      <c r="C202" s="666"/>
      <c r="D202" s="700"/>
      <c r="E202" s="700"/>
      <c r="F202" s="700"/>
      <c r="G202" s="700"/>
      <c r="H202" s="700"/>
      <c r="I202" s="704"/>
      <c r="J202" s="705">
        <f>+'store&amp;sf'!L35</f>
        <v>125</v>
      </c>
      <c r="K202" s="667"/>
      <c r="L202" s="743">
        <f>AVERAGE(J202,121)</f>
        <v>123</v>
      </c>
      <c r="M202" s="667"/>
      <c r="N202" s="700"/>
      <c r="O202" s="704"/>
      <c r="P202" s="703"/>
      <c r="Q202" s="702"/>
      <c r="R202" s="667"/>
      <c r="S202" s="726"/>
      <c r="T202" s="667"/>
      <c r="U202" s="707"/>
      <c r="V202" s="666"/>
      <c r="W202" s="708"/>
      <c r="X202" s="685"/>
      <c r="Y202" s="666"/>
      <c r="Z202" s="678">
        <f>+'store&amp;sf'!L399</f>
        <v>0.17125000000000001</v>
      </c>
      <c r="AA202" s="666"/>
      <c r="AB202" s="744">
        <f>AVERAGE(Z202,0.176)</f>
        <v>0.173625</v>
      </c>
      <c r="AC202" s="666"/>
      <c r="AD202" s="700"/>
      <c r="AE202" s="685"/>
      <c r="AF202" s="703"/>
      <c r="AG202" s="668"/>
      <c r="AH202" s="666"/>
      <c r="AI202" s="673"/>
      <c r="AJ202" s="666"/>
      <c r="AK202" s="711"/>
      <c r="AL202" s="666"/>
      <c r="AM202" s="677"/>
      <c r="AN202" s="685"/>
      <c r="AO202" s="666"/>
    </row>
    <row r="203" spans="1:41" hidden="1" outlineLevel="1">
      <c r="A203" s="666" t="str">
        <f>$A$27</f>
        <v>2Q</v>
      </c>
      <c r="B203" s="684" t="str">
        <f>$B$27</f>
        <v>Jul</v>
      </c>
      <c r="C203" s="666"/>
      <c r="D203" s="700"/>
      <c r="E203" s="700"/>
      <c r="F203" s="700"/>
      <c r="G203" s="700"/>
      <c r="H203" s="700"/>
      <c r="I203" s="704"/>
      <c r="J203" s="705">
        <f>+'store&amp;sf'!L36</f>
        <v>131</v>
      </c>
      <c r="K203" s="667"/>
      <c r="L203" s="706">
        <f>AVERAGE(J203,J202)</f>
        <v>128</v>
      </c>
      <c r="M203" s="667"/>
      <c r="N203" s="700"/>
      <c r="O203" s="704"/>
      <c r="P203" s="703"/>
      <c r="Q203" s="702"/>
      <c r="R203" s="667"/>
      <c r="S203" s="712"/>
      <c r="T203" s="667"/>
      <c r="U203" s="713"/>
      <c r="V203" s="666"/>
      <c r="W203" s="708"/>
      <c r="X203" s="685"/>
      <c r="Y203" s="666"/>
      <c r="Z203" s="678">
        <f>+'store&amp;sf'!L400</f>
        <v>0.18249999999999997</v>
      </c>
      <c r="AA203" s="666"/>
      <c r="AB203" s="710">
        <f>AVERAGE(Z203,Z202)</f>
        <v>0.176875</v>
      </c>
      <c r="AC203" s="666"/>
      <c r="AD203" s="700"/>
      <c r="AE203" s="685"/>
      <c r="AF203" s="703"/>
      <c r="AG203" s="668"/>
      <c r="AH203" s="666"/>
      <c r="AI203" s="675"/>
      <c r="AJ203" s="666"/>
      <c r="AK203" s="714"/>
      <c r="AL203" s="666"/>
      <c r="AM203" s="708"/>
      <c r="AN203" s="685"/>
      <c r="AO203" s="666"/>
    </row>
    <row r="204" spans="1:41" hidden="1" outlineLevel="1">
      <c r="A204" s="666" t="str">
        <f>$A$28</f>
        <v>3Q</v>
      </c>
      <c r="B204" s="684" t="str">
        <f>$B$28</f>
        <v>Oct</v>
      </c>
      <c r="C204" s="666"/>
      <c r="D204" s="700"/>
      <c r="E204" s="700"/>
      <c r="F204" s="700"/>
      <c r="G204" s="700"/>
      <c r="H204" s="700"/>
      <c r="I204" s="704"/>
      <c r="J204" s="705">
        <f>+'store&amp;sf'!L37</f>
        <v>179</v>
      </c>
      <c r="K204" s="667"/>
      <c r="L204" s="706">
        <f>AVERAGE(J204,J203)</f>
        <v>155</v>
      </c>
      <c r="M204" s="667"/>
      <c r="N204" s="700"/>
      <c r="O204" s="704"/>
      <c r="P204" s="703"/>
      <c r="Q204" s="702"/>
      <c r="R204" s="667"/>
      <c r="S204" s="712"/>
      <c r="T204" s="667"/>
      <c r="U204" s="713"/>
      <c r="V204" s="666"/>
      <c r="W204" s="708"/>
      <c r="X204" s="685"/>
      <c r="Y204" s="666"/>
      <c r="Z204" s="678">
        <f>+'store&amp;sf'!L401</f>
        <v>0.27625</v>
      </c>
      <c r="AA204" s="666"/>
      <c r="AB204" s="710">
        <f>AVERAGE(Z204,Z203)</f>
        <v>0.229375</v>
      </c>
      <c r="AC204" s="666"/>
      <c r="AD204" s="700"/>
      <c r="AE204" s="685"/>
      <c r="AF204" s="703"/>
      <c r="AG204" s="668"/>
      <c r="AH204" s="666"/>
      <c r="AI204" s="675"/>
      <c r="AJ204" s="666"/>
      <c r="AK204" s="714"/>
      <c r="AL204" s="666"/>
      <c r="AM204" s="708"/>
      <c r="AN204" s="685"/>
      <c r="AO204" s="666"/>
    </row>
    <row r="205" spans="1:41" hidden="1" outlineLevel="1">
      <c r="A205" s="666" t="str">
        <f>$A$29</f>
        <v>4Q</v>
      </c>
      <c r="B205" s="684" t="str">
        <f>$B$29</f>
        <v>Jan</v>
      </c>
      <c r="C205" s="666"/>
      <c r="D205" s="715"/>
      <c r="E205" s="700"/>
      <c r="F205" s="715"/>
      <c r="G205" s="700"/>
      <c r="H205" s="715"/>
      <c r="I205" s="704"/>
      <c r="J205" s="705">
        <f>+'store&amp;sf'!L38</f>
        <v>194</v>
      </c>
      <c r="K205" s="667"/>
      <c r="L205" s="716">
        <f>AVERAGE(J205,J204)</f>
        <v>186.5</v>
      </c>
      <c r="M205" s="667"/>
      <c r="N205" s="715"/>
      <c r="O205" s="704"/>
      <c r="P205" s="717"/>
      <c r="Q205" s="702"/>
      <c r="R205" s="667"/>
      <c r="S205" s="718"/>
      <c r="T205" s="667"/>
      <c r="U205" s="719"/>
      <c r="V205" s="666"/>
      <c r="W205" s="720"/>
      <c r="X205" s="685"/>
      <c r="Y205" s="666"/>
      <c r="Z205" s="678">
        <f>+'store&amp;sf'!L402</f>
        <v>0.31</v>
      </c>
      <c r="AA205" s="666"/>
      <c r="AB205" s="721">
        <f>AVERAGE(Z205,Z204)</f>
        <v>0.29312499999999997</v>
      </c>
      <c r="AC205" s="666"/>
      <c r="AD205" s="715"/>
      <c r="AE205" s="685"/>
      <c r="AF205" s="717"/>
      <c r="AG205" s="668"/>
      <c r="AH205" s="666"/>
      <c r="AI205" s="722"/>
      <c r="AJ205" s="666"/>
      <c r="AK205" s="723"/>
      <c r="AL205" s="666"/>
      <c r="AM205" s="720"/>
      <c r="AN205" s="685"/>
      <c r="AO205" s="666"/>
    </row>
    <row r="206" spans="1:41" hidden="1" outlineLevel="1">
      <c r="A206" s="666"/>
      <c r="B206" s="684" t="str">
        <f>$B$30</f>
        <v>Year</v>
      </c>
      <c r="C206" s="666"/>
      <c r="D206" s="700"/>
      <c r="E206" s="700"/>
      <c r="F206" s="700"/>
      <c r="G206" s="700"/>
      <c r="H206" s="700"/>
      <c r="I206" s="704"/>
      <c r="J206" s="724"/>
      <c r="K206" s="667"/>
      <c r="L206" s="725">
        <f>AVERAGE(L202:L205)</f>
        <v>148.125</v>
      </c>
      <c r="M206" s="667"/>
      <c r="N206" s="700"/>
      <c r="O206" s="704"/>
      <c r="P206" s="703"/>
      <c r="Q206" s="702"/>
      <c r="R206" s="667"/>
      <c r="S206" s="726"/>
      <c r="T206" s="667"/>
      <c r="U206" s="707"/>
      <c r="V206" s="666"/>
      <c r="W206" s="708"/>
      <c r="X206" s="685"/>
      <c r="Y206" s="666"/>
      <c r="Z206" s="727"/>
      <c r="AA206" s="666"/>
      <c r="AB206" s="710">
        <f>AVERAGE(AB202:AB205)</f>
        <v>0.21825</v>
      </c>
      <c r="AC206" s="666"/>
      <c r="AD206" s="700"/>
      <c r="AE206" s="685"/>
      <c r="AF206" s="703"/>
      <c r="AG206" s="668"/>
      <c r="AH206" s="666"/>
      <c r="AI206" s="673"/>
      <c r="AJ206" s="666"/>
      <c r="AK206" s="711"/>
      <c r="AL206" s="666"/>
      <c r="AM206" s="708"/>
      <c r="AN206" s="685"/>
      <c r="AO206" s="666"/>
    </row>
    <row r="207" spans="1:41" hidden="1" outlineLevel="1">
      <c r="A207" s="666"/>
      <c r="B207" s="684"/>
      <c r="C207" s="666"/>
      <c r="D207" s="700"/>
      <c r="E207" s="700"/>
      <c r="F207" s="700">
        <f>AVERAGE(F227,F234,F241,F248,F255,F262,F269,F276,F283,F290,F297,F304,F311,F318,F325,F332,F339,F346,F353,F360)</f>
        <v>3.8126781987740492</v>
      </c>
      <c r="G207" s="700"/>
      <c r="H207" s="700"/>
      <c r="I207" s="704"/>
      <c r="J207" s="724"/>
      <c r="K207" s="667"/>
      <c r="L207" s="667"/>
      <c r="M207" s="667"/>
      <c r="N207" s="667"/>
      <c r="O207" s="704"/>
      <c r="P207" s="702"/>
      <c r="Q207" s="702"/>
      <c r="R207" s="667"/>
      <c r="S207" s="667"/>
      <c r="T207" s="667"/>
      <c r="U207" s="667"/>
      <c r="V207" s="666"/>
      <c r="W207" s="666"/>
      <c r="X207" s="685"/>
      <c r="Y207" s="666"/>
      <c r="Z207" s="727"/>
      <c r="AA207" s="666"/>
      <c r="AB207" s="679"/>
      <c r="AC207" s="666"/>
      <c r="AD207" s="667"/>
      <c r="AE207" s="685"/>
      <c r="AF207" s="703"/>
      <c r="AG207" s="668"/>
      <c r="AH207" s="666"/>
      <c r="AI207" s="666"/>
      <c r="AJ207" s="666"/>
      <c r="AK207" s="666"/>
      <c r="AL207" s="666"/>
      <c r="AM207" s="666"/>
      <c r="AN207" s="685"/>
      <c r="AO207" s="666"/>
    </row>
    <row r="208" spans="1:41" hidden="1" outlineLevel="1">
      <c r="A208" s="729"/>
      <c r="B208" s="728">
        <f>+B201+1</f>
        <v>1994</v>
      </c>
      <c r="C208" s="666"/>
      <c r="D208" s="700"/>
      <c r="E208" s="700"/>
      <c r="F208" s="700"/>
      <c r="G208" s="700"/>
      <c r="H208" s="700"/>
      <c r="I208" s="667"/>
      <c r="J208" s="667"/>
      <c r="K208" s="667"/>
      <c r="L208" s="667"/>
      <c r="M208" s="667"/>
      <c r="N208" s="667"/>
      <c r="O208" s="667"/>
      <c r="P208" s="702"/>
      <c r="Q208" s="702"/>
      <c r="R208" s="667"/>
      <c r="S208" s="667"/>
      <c r="T208" s="667"/>
      <c r="U208" s="667"/>
      <c r="V208" s="666"/>
      <c r="W208" s="666"/>
      <c r="X208" s="685"/>
      <c r="Y208" s="666"/>
      <c r="Z208" s="676"/>
      <c r="AA208" s="666"/>
      <c r="AB208" s="679"/>
      <c r="AC208" s="666"/>
      <c r="AD208" s="667"/>
      <c r="AE208" s="666"/>
      <c r="AF208" s="703"/>
      <c r="AG208" s="668"/>
      <c r="AH208" s="666"/>
      <c r="AI208" s="666"/>
      <c r="AJ208" s="666"/>
      <c r="AK208" s="666"/>
      <c r="AL208" s="666"/>
      <c r="AM208" s="666"/>
      <c r="AN208" s="685"/>
      <c r="AO208" s="666"/>
    </row>
    <row r="209" spans="1:41" hidden="1" outlineLevel="1">
      <c r="A209" s="666" t="s">
        <v>119</v>
      </c>
      <c r="B209" s="684" t="s">
        <v>830</v>
      </c>
      <c r="C209" s="666"/>
      <c r="D209" s="700"/>
      <c r="E209" s="700"/>
      <c r="F209" s="703">
        <v>42.092417601184053</v>
      </c>
      <c r="G209" s="701" t="s">
        <v>1084</v>
      </c>
      <c r="H209" s="700"/>
      <c r="I209" s="704"/>
      <c r="J209" s="705">
        <f>+'store&amp;sf'!L41</f>
        <v>213</v>
      </c>
      <c r="K209" s="667"/>
      <c r="L209" s="706">
        <f>AVERAGE(J209,J205)</f>
        <v>203.5</v>
      </c>
      <c r="M209" s="667"/>
      <c r="N209" s="700">
        <f>(L209/L202-1)*100</f>
        <v>65.447154471544721</v>
      </c>
      <c r="O209" s="704" t="s">
        <v>1084</v>
      </c>
      <c r="P209" s="703"/>
      <c r="Q209" s="702"/>
      <c r="R209" s="667"/>
      <c r="S209" s="726">
        <f>+'segSales&amp;OM'!W24</f>
        <v>32</v>
      </c>
      <c r="T209" s="667"/>
      <c r="U209" s="707">
        <f>S209/L209</f>
        <v>0.15724815724815724</v>
      </c>
      <c r="V209" s="666"/>
      <c r="W209" s="708"/>
      <c r="X209" s="685"/>
      <c r="Y209" s="666"/>
      <c r="Z209" s="678">
        <f>+'store&amp;sf'!L405</f>
        <v>0.34875</v>
      </c>
      <c r="AA209" s="666"/>
      <c r="AB209" s="710">
        <f>AVERAGE(Z209,Z205)</f>
        <v>0.32937499999999997</v>
      </c>
      <c r="AC209" s="666"/>
      <c r="AD209" s="700">
        <f>(AB209/AB202-1)*100</f>
        <v>89.70482361411085</v>
      </c>
      <c r="AE209" s="685" t="s">
        <v>1084</v>
      </c>
      <c r="AF209" s="703"/>
      <c r="AG209" s="668"/>
      <c r="AH209" s="666"/>
      <c r="AI209" s="673">
        <f>+S209</f>
        <v>32</v>
      </c>
      <c r="AJ209" s="666"/>
      <c r="AK209" s="711">
        <f>AI209/AB209</f>
        <v>97.153700189753323</v>
      </c>
      <c r="AL209" s="666"/>
      <c r="AM209" s="677"/>
      <c r="AN209" s="685"/>
      <c r="AO209" s="666"/>
    </row>
    <row r="210" spans="1:41" hidden="1" outlineLevel="1">
      <c r="A210" s="666" t="s">
        <v>120</v>
      </c>
      <c r="B210" s="684" t="s">
        <v>653</v>
      </c>
      <c r="C210" s="666"/>
      <c r="D210" s="700"/>
      <c r="E210" s="700"/>
      <c r="F210" s="703">
        <v>44.264584899295102</v>
      </c>
      <c r="G210" s="700"/>
      <c r="H210" s="700"/>
      <c r="I210" s="704"/>
      <c r="J210" s="705">
        <f>+'store&amp;sf'!L42</f>
        <v>244</v>
      </c>
      <c r="K210" s="667"/>
      <c r="L210" s="706">
        <f>AVERAGE(J210,J209)</f>
        <v>228.5</v>
      </c>
      <c r="M210" s="667"/>
      <c r="N210" s="700">
        <f>(L210/L203-1)*100</f>
        <v>78.515625</v>
      </c>
      <c r="O210" s="704"/>
      <c r="P210" s="703"/>
      <c r="Q210" s="702"/>
      <c r="R210" s="667"/>
      <c r="S210" s="712">
        <f>+'segSales&amp;OM'!W25</f>
        <v>44</v>
      </c>
      <c r="T210" s="667"/>
      <c r="U210" s="713">
        <f>S210/L210</f>
        <v>0.1925601750547046</v>
      </c>
      <c r="V210" s="666"/>
      <c r="W210" s="708"/>
      <c r="X210" s="685"/>
      <c r="Y210" s="666"/>
      <c r="Z210" s="678">
        <f>+'store&amp;sf'!L406</f>
        <v>0.42249999999999999</v>
      </c>
      <c r="AA210" s="666"/>
      <c r="AB210" s="710">
        <f>AVERAGE(Z210,Z209)</f>
        <v>0.385625</v>
      </c>
      <c r="AC210" s="666"/>
      <c r="AD210" s="700">
        <f>(AB210/AB203-1)*100</f>
        <v>118.02120141342756</v>
      </c>
      <c r="AE210" s="685"/>
      <c r="AF210" s="703"/>
      <c r="AG210" s="668"/>
      <c r="AH210" s="666"/>
      <c r="AI210" s="675">
        <f>+S210</f>
        <v>44</v>
      </c>
      <c r="AJ210" s="666"/>
      <c r="AK210" s="714">
        <f>AI210/AB210</f>
        <v>114.10048622366288</v>
      </c>
      <c r="AL210" s="666"/>
      <c r="AM210" s="708"/>
      <c r="AN210" s="685"/>
      <c r="AO210" s="666"/>
    </row>
    <row r="211" spans="1:41" hidden="1" outlineLevel="1">
      <c r="A211" s="666" t="s">
        <v>1018</v>
      </c>
      <c r="B211" s="684" t="s">
        <v>598</v>
      </c>
      <c r="C211" s="666"/>
      <c r="D211" s="700"/>
      <c r="E211" s="700"/>
      <c r="F211" s="703">
        <v>38.571620116341457</v>
      </c>
      <c r="G211" s="700"/>
      <c r="H211" s="700"/>
      <c r="I211" s="704"/>
      <c r="J211" s="705">
        <f>+'store&amp;sf'!L43</f>
        <v>286</v>
      </c>
      <c r="K211" s="667"/>
      <c r="L211" s="706">
        <f>AVERAGE(J211,J210)</f>
        <v>265</v>
      </c>
      <c r="M211" s="667"/>
      <c r="N211" s="700">
        <f>(L211/L204-1)*100</f>
        <v>70.967741935483872</v>
      </c>
      <c r="O211" s="704"/>
      <c r="P211" s="703"/>
      <c r="Q211" s="702"/>
      <c r="R211" s="667"/>
      <c r="S211" s="712">
        <f>+'segSales&amp;OM'!W26</f>
        <v>47</v>
      </c>
      <c r="T211" s="667"/>
      <c r="U211" s="713">
        <f>S211/L211</f>
        <v>0.17735849056603772</v>
      </c>
      <c r="V211" s="666"/>
      <c r="W211" s="708"/>
      <c r="X211" s="685"/>
      <c r="Y211" s="666"/>
      <c r="Z211" s="678">
        <f>+'store&amp;sf'!L407</f>
        <v>0.52999999999999992</v>
      </c>
      <c r="AA211" s="666"/>
      <c r="AB211" s="710">
        <f>AVERAGE(Z211,Z210)</f>
        <v>0.47624999999999995</v>
      </c>
      <c r="AC211" s="666"/>
      <c r="AD211" s="700">
        <f>(AB211/AB204-1)*100</f>
        <v>107.62942779291551</v>
      </c>
      <c r="AE211" s="685"/>
      <c r="AF211" s="703"/>
      <c r="AG211" s="668"/>
      <c r="AH211" s="666"/>
      <c r="AI211" s="675">
        <f>+S211</f>
        <v>47</v>
      </c>
      <c r="AJ211" s="666"/>
      <c r="AK211" s="714">
        <f>AI211/AB211</f>
        <v>98.687664041994765</v>
      </c>
      <c r="AL211" s="666"/>
      <c r="AM211" s="708"/>
      <c r="AN211" s="685"/>
      <c r="AO211" s="666"/>
    </row>
    <row r="212" spans="1:41" hidden="1" outlineLevel="1">
      <c r="A212" s="666" t="s">
        <v>1019</v>
      </c>
      <c r="B212" s="684" t="s">
        <v>601</v>
      </c>
      <c r="C212" s="666"/>
      <c r="D212" s="715"/>
      <c r="E212" s="700"/>
      <c r="F212" s="717">
        <v>37.82802429033584</v>
      </c>
      <c r="G212" s="700"/>
      <c r="H212" s="715"/>
      <c r="I212" s="704"/>
      <c r="J212" s="705">
        <f>+'store&amp;sf'!L44</f>
        <v>318</v>
      </c>
      <c r="K212" s="667"/>
      <c r="L212" s="716">
        <f>AVERAGE(J212,J211)</f>
        <v>302</v>
      </c>
      <c r="M212" s="667"/>
      <c r="N212" s="715">
        <f>(L212/L205-1)*100</f>
        <v>61.930294906166218</v>
      </c>
      <c r="O212" s="704"/>
      <c r="P212" s="717"/>
      <c r="Q212" s="702"/>
      <c r="R212" s="667"/>
      <c r="S212" s="718">
        <f>+'segSales&amp;OM'!W27</f>
        <v>137</v>
      </c>
      <c r="T212" s="667"/>
      <c r="U212" s="719">
        <f>S212/L212</f>
        <v>0.45364238410596025</v>
      </c>
      <c r="V212" s="666"/>
      <c r="W212" s="720"/>
      <c r="X212" s="685"/>
      <c r="Y212" s="666"/>
      <c r="Z212" s="678">
        <f>+'store&amp;sf'!L408</f>
        <v>0.61124999999999996</v>
      </c>
      <c r="AA212" s="666"/>
      <c r="AB212" s="721">
        <f>AVERAGE(Z212,Z211)</f>
        <v>0.57062499999999994</v>
      </c>
      <c r="AC212" s="666"/>
      <c r="AD212" s="715">
        <f>(AB212/AB205-1)*100</f>
        <v>94.66950959488274</v>
      </c>
      <c r="AE212" s="685"/>
      <c r="AF212" s="717"/>
      <c r="AG212" s="668"/>
      <c r="AH212" s="666"/>
      <c r="AI212" s="722">
        <f>+S212</f>
        <v>137</v>
      </c>
      <c r="AJ212" s="666"/>
      <c r="AK212" s="723">
        <f>AI212/AB212</f>
        <v>240.08762322015338</v>
      </c>
      <c r="AL212" s="666"/>
      <c r="AM212" s="720"/>
      <c r="AN212" s="685"/>
      <c r="AO212" s="666"/>
    </row>
    <row r="213" spans="1:41" hidden="1" outlineLevel="1">
      <c r="A213" s="666"/>
      <c r="B213" s="684" t="s">
        <v>1020</v>
      </c>
      <c r="C213" s="666"/>
      <c r="D213" s="700"/>
      <c r="E213" s="700"/>
      <c r="F213" s="703">
        <v>39</v>
      </c>
      <c r="G213" s="700"/>
      <c r="H213" s="700"/>
      <c r="I213" s="704"/>
      <c r="J213" s="724"/>
      <c r="K213" s="667"/>
      <c r="L213" s="725">
        <f>AVERAGE(L209:L212)</f>
        <v>249.75</v>
      </c>
      <c r="M213" s="667"/>
      <c r="N213" s="700">
        <f>(L213/L206-1)*100</f>
        <v>68.607594936708864</v>
      </c>
      <c r="O213" s="704"/>
      <c r="P213" s="703"/>
      <c r="Q213" s="702"/>
      <c r="R213" s="667"/>
      <c r="S213" s="726">
        <f>SUM(S209:S212)</f>
        <v>260</v>
      </c>
      <c r="T213" s="667"/>
      <c r="U213" s="707">
        <f>SUM(U209:U212)</f>
        <v>0.98080920697485985</v>
      </c>
      <c r="V213" s="666"/>
      <c r="W213" s="708"/>
      <c r="X213" s="685"/>
      <c r="Y213" s="666"/>
      <c r="Z213" s="727"/>
      <c r="AA213" s="666"/>
      <c r="AB213" s="710">
        <f>AVERAGE(AB209:AB212)</f>
        <v>0.44046874999999996</v>
      </c>
      <c r="AC213" s="666"/>
      <c r="AD213" s="700">
        <f>(AB213/AB206-1)*100</f>
        <v>101.81844215349369</v>
      </c>
      <c r="AE213" s="685"/>
      <c r="AF213" s="703"/>
      <c r="AG213" s="668"/>
      <c r="AH213" s="666"/>
      <c r="AI213" s="673">
        <f>SUM(AI209:AI212)</f>
        <v>260</v>
      </c>
      <c r="AJ213" s="666"/>
      <c r="AK213" s="711">
        <f>SUM(AK209:AK212)</f>
        <v>550.0294736755643</v>
      </c>
      <c r="AL213" s="666"/>
      <c r="AM213" s="708"/>
      <c r="AN213" s="685"/>
      <c r="AO213" s="666"/>
    </row>
    <row r="214" spans="1:41" hidden="1" outlineLevel="1">
      <c r="A214" s="666"/>
      <c r="B214" s="684"/>
      <c r="C214" s="666"/>
      <c r="D214" s="700"/>
      <c r="E214" s="700"/>
      <c r="F214" s="700"/>
      <c r="G214" s="700"/>
      <c r="H214" s="700"/>
      <c r="I214" s="667"/>
      <c r="J214" s="667"/>
      <c r="K214" s="667"/>
      <c r="L214" s="667"/>
      <c r="M214" s="667"/>
      <c r="N214" s="667"/>
      <c r="O214" s="667"/>
      <c r="P214" s="702"/>
      <c r="Q214" s="702"/>
      <c r="R214" s="667"/>
      <c r="S214" s="667"/>
      <c r="T214" s="667"/>
      <c r="U214" s="667"/>
      <c r="V214" s="666"/>
      <c r="W214" s="666"/>
      <c r="X214" s="685"/>
      <c r="Y214" s="666"/>
      <c r="Z214" s="676"/>
      <c r="AA214" s="666"/>
      <c r="AB214" s="679"/>
      <c r="AC214" s="666"/>
      <c r="AD214" s="667"/>
      <c r="AE214" s="666"/>
      <c r="AF214" s="703"/>
      <c r="AG214" s="668"/>
      <c r="AH214" s="666"/>
      <c r="AI214" s="666"/>
      <c r="AJ214" s="666"/>
      <c r="AK214" s="666"/>
      <c r="AL214" s="666"/>
      <c r="AM214" s="666"/>
      <c r="AN214" s="685"/>
      <c r="AO214" s="666"/>
    </row>
    <row r="215" spans="1:41" hidden="1" outlineLevel="1">
      <c r="A215" s="698"/>
      <c r="B215" s="728">
        <f>B208+1</f>
        <v>1995</v>
      </c>
      <c r="C215" s="666"/>
      <c r="D215" s="700"/>
      <c r="E215" s="700"/>
      <c r="F215" s="700"/>
      <c r="G215" s="700"/>
      <c r="H215" s="700"/>
      <c r="I215" s="667"/>
      <c r="J215" s="667"/>
      <c r="K215" s="667"/>
      <c r="L215" s="667"/>
      <c r="M215" s="667"/>
      <c r="N215" s="667"/>
      <c r="O215" s="667"/>
      <c r="P215" s="702"/>
      <c r="Q215" s="702"/>
      <c r="R215" s="667"/>
      <c r="S215" s="667"/>
      <c r="T215" s="667"/>
      <c r="U215" s="667"/>
      <c r="V215" s="666"/>
      <c r="W215" s="666"/>
      <c r="X215" s="685"/>
      <c r="Y215" s="666"/>
      <c r="Z215" s="676"/>
      <c r="AA215" s="666"/>
      <c r="AB215" s="679"/>
      <c r="AC215" s="666"/>
      <c r="AD215" s="667"/>
      <c r="AE215" s="666"/>
      <c r="AF215" s="703"/>
      <c r="AG215" s="668"/>
      <c r="AH215" s="666"/>
      <c r="AI215" s="666"/>
      <c r="AJ215" s="666"/>
      <c r="AK215" s="666"/>
      <c r="AL215" s="666"/>
      <c r="AM215" s="666"/>
      <c r="AN215" s="685"/>
      <c r="AO215" s="666"/>
    </row>
    <row r="216" spans="1:41" hidden="1" outlineLevel="1">
      <c r="A216" s="666" t="str">
        <f>$A$26</f>
        <v>1Q</v>
      </c>
      <c r="B216" s="684" t="str">
        <f>$B$26</f>
        <v>Apr</v>
      </c>
      <c r="C216" s="666"/>
      <c r="D216" s="700">
        <f>(S216/S209-1)*100</f>
        <v>106.25</v>
      </c>
      <c r="E216" s="700" t="s">
        <v>1084</v>
      </c>
      <c r="F216" s="703">
        <v>28.072727272727271</v>
      </c>
      <c r="G216" s="701" t="s">
        <v>1084</v>
      </c>
      <c r="H216" s="700">
        <f>D216-F216</f>
        <v>78.177272727272737</v>
      </c>
      <c r="I216" s="704" t="s">
        <v>1084</v>
      </c>
      <c r="J216" s="705">
        <f>+'store&amp;sf'!L47</f>
        <v>347</v>
      </c>
      <c r="K216" s="667"/>
      <c r="L216" s="706">
        <f>AVERAGE(J216,J212)</f>
        <v>332.5</v>
      </c>
      <c r="M216" s="667"/>
      <c r="N216" s="700">
        <f>(L216/L209-1)*100</f>
        <v>63.390663390663391</v>
      </c>
      <c r="O216" s="704" t="s">
        <v>1084</v>
      </c>
      <c r="P216" s="703">
        <f>H216/N216*100</f>
        <v>123.32616279069768</v>
      </c>
      <c r="Q216" s="702" t="s">
        <v>1084</v>
      </c>
      <c r="R216" s="667"/>
      <c r="S216" s="726">
        <f>+'segSales&amp;OM'!W31</f>
        <v>66</v>
      </c>
      <c r="T216" s="667"/>
      <c r="U216" s="707">
        <f>S216/L216</f>
        <v>0.19849624060150375</v>
      </c>
      <c r="V216" s="666"/>
      <c r="W216" s="708">
        <f>(U216/U209-1)*100</f>
        <v>26.231203007518801</v>
      </c>
      <c r="X216" s="685" t="s">
        <v>1084</v>
      </c>
      <c r="Y216" s="666"/>
      <c r="Z216" s="678">
        <f>+'store&amp;sf'!L411</f>
        <v>0.68625000000000003</v>
      </c>
      <c r="AA216" s="666"/>
      <c r="AB216" s="710">
        <f>AVERAGE(Z216,Z212)</f>
        <v>0.64874999999999994</v>
      </c>
      <c r="AC216" s="666"/>
      <c r="AD216" s="700">
        <f>(AB216/AB209-1)*100</f>
        <v>96.963946869070213</v>
      </c>
      <c r="AE216" s="685" t="s">
        <v>1084</v>
      </c>
      <c r="AF216" s="703">
        <f>+H216/AD216*100</f>
        <v>80.625093399750938</v>
      </c>
      <c r="AG216" s="668" t="s">
        <v>1084</v>
      </c>
      <c r="AH216" s="666"/>
      <c r="AI216" s="673">
        <f>+S216</f>
        <v>66</v>
      </c>
      <c r="AJ216" s="666"/>
      <c r="AK216" s="711">
        <f>AI216/AB216</f>
        <v>101.73410404624279</v>
      </c>
      <c r="AL216" s="666"/>
      <c r="AM216" s="708">
        <f>(AK216/AK209-1)*100</f>
        <v>4.7145953757225634</v>
      </c>
      <c r="AN216" s="685" t="s">
        <v>1084</v>
      </c>
      <c r="AO216" s="666"/>
    </row>
    <row r="217" spans="1:41" hidden="1" outlineLevel="1">
      <c r="A217" s="666" t="str">
        <f>$A$27</f>
        <v>2Q</v>
      </c>
      <c r="B217" s="684" t="str">
        <f>$B$27</f>
        <v>Jul</v>
      </c>
      <c r="C217" s="666"/>
      <c r="D217" s="700">
        <f>(S217/S210-1)*100</f>
        <v>90.909090909090921</v>
      </c>
      <c r="E217" s="700"/>
      <c r="F217" s="703">
        <v>25.930318051372058</v>
      </c>
      <c r="G217" s="701"/>
      <c r="H217" s="700">
        <f>D217-F217</f>
        <v>64.978772857718866</v>
      </c>
      <c r="I217" s="704"/>
      <c r="J217" s="705">
        <f>+'store&amp;sf'!L48</f>
        <v>383</v>
      </c>
      <c r="K217" s="667"/>
      <c r="L217" s="706">
        <f>AVERAGE(J217,J216)</f>
        <v>365</v>
      </c>
      <c r="M217" s="667"/>
      <c r="N217" s="700">
        <f>(L217/L210-1)*100</f>
        <v>59.737417943107232</v>
      </c>
      <c r="O217" s="704"/>
      <c r="P217" s="703">
        <f>H217/N217*100</f>
        <v>108.77398972885537</v>
      </c>
      <c r="Q217" s="702"/>
      <c r="R217" s="667"/>
      <c r="S217" s="712">
        <f>+'segSales&amp;OM'!W32</f>
        <v>84</v>
      </c>
      <c r="T217" s="667"/>
      <c r="U217" s="713">
        <f>S217/L217</f>
        <v>0.23013698630136986</v>
      </c>
      <c r="V217" s="666"/>
      <c r="W217" s="708">
        <f>(U217/U210-1)*100</f>
        <v>19.514321295143212</v>
      </c>
      <c r="X217" s="685"/>
      <c r="Y217" s="666"/>
      <c r="Z217" s="678">
        <f>+'store&amp;sf'!L412</f>
        <v>0.77749999999999997</v>
      </c>
      <c r="AA217" s="666"/>
      <c r="AB217" s="710">
        <f>AVERAGE(Z217,Z216)</f>
        <v>0.73187500000000005</v>
      </c>
      <c r="AC217" s="666"/>
      <c r="AD217" s="700">
        <f>(AB217/AB210-1)*100</f>
        <v>89.789303079416555</v>
      </c>
      <c r="AE217" s="685"/>
      <c r="AF217" s="703">
        <f>+H217/AD217*100</f>
        <v>72.368055691719363</v>
      </c>
      <c r="AG217" s="668"/>
      <c r="AH217" s="666"/>
      <c r="AI217" s="675">
        <f>+S217</f>
        <v>84</v>
      </c>
      <c r="AJ217" s="666"/>
      <c r="AK217" s="714">
        <f>AI217/AB217</f>
        <v>114.77369769427838</v>
      </c>
      <c r="AL217" s="666"/>
      <c r="AM217" s="708">
        <f>(AK217/AK210-1)*100</f>
        <v>0.59001630308204156</v>
      </c>
      <c r="AN217" s="685"/>
      <c r="AO217" s="666"/>
    </row>
    <row r="218" spans="1:41" hidden="1" outlineLevel="1">
      <c r="A218" s="666" t="str">
        <f>$A$28</f>
        <v>3Q</v>
      </c>
      <c r="B218" s="684" t="str">
        <f>$B$28</f>
        <v>Oct</v>
      </c>
      <c r="C218" s="666"/>
      <c r="D218" s="700">
        <f>(S218/S211-1)*100</f>
        <v>85.106382978723389</v>
      </c>
      <c r="E218" s="700"/>
      <c r="F218" s="703">
        <v>25.750995702166918</v>
      </c>
      <c r="G218" s="701"/>
      <c r="H218" s="700">
        <f>D218-F218</f>
        <v>59.355387276556471</v>
      </c>
      <c r="I218" s="704"/>
      <c r="J218" s="705">
        <f>+'store&amp;sf'!L49</f>
        <v>450</v>
      </c>
      <c r="K218" s="667"/>
      <c r="L218" s="706">
        <f>AVERAGE(J218,J217)</f>
        <v>416.5</v>
      </c>
      <c r="M218" s="667"/>
      <c r="N218" s="700">
        <f>(L218/L211-1)*100</f>
        <v>57.169811320754718</v>
      </c>
      <c r="O218" s="704"/>
      <c r="P218" s="703">
        <f>H218/N218*100</f>
        <v>103.82295464216149</v>
      </c>
      <c r="Q218" s="702"/>
      <c r="R218" s="667"/>
      <c r="S218" s="712">
        <f>+'segSales&amp;OM'!W33</f>
        <v>87</v>
      </c>
      <c r="T218" s="667"/>
      <c r="U218" s="713">
        <f>S218/L218</f>
        <v>0.20888355342136855</v>
      </c>
      <c r="V218" s="666"/>
      <c r="W218" s="708">
        <f>(U218/U211-1)*100</f>
        <v>17.774769482261</v>
      </c>
      <c r="X218" s="685"/>
      <c r="Y218" s="666"/>
      <c r="Z218" s="678">
        <f>+'store&amp;sf'!L413</f>
        <v>0.93499999999999994</v>
      </c>
      <c r="AA218" s="666"/>
      <c r="AB218" s="710">
        <f>AVERAGE(Z218,Z217)</f>
        <v>0.85624999999999996</v>
      </c>
      <c r="AC218" s="666"/>
      <c r="AD218" s="700">
        <f>(AB218/AB211-1)*100</f>
        <v>79.790026246719165</v>
      </c>
      <c r="AE218" s="685"/>
      <c r="AF218" s="703">
        <f>+H218/AD218*100</f>
        <v>74.389482080157947</v>
      </c>
      <c r="AG218" s="668"/>
      <c r="AH218" s="666"/>
      <c r="AI218" s="675">
        <f>+S218</f>
        <v>87</v>
      </c>
      <c r="AJ218" s="666"/>
      <c r="AK218" s="714">
        <f>AI218/AB218</f>
        <v>101.6058394160584</v>
      </c>
      <c r="AL218" s="666"/>
      <c r="AM218" s="708">
        <f>(AK218/AK211-1)*100</f>
        <v>2.9569808976549039</v>
      </c>
      <c r="AN218" s="685"/>
      <c r="AO218" s="666"/>
    </row>
    <row r="219" spans="1:41" hidden="1" outlineLevel="1">
      <c r="A219" s="666" t="str">
        <f>$A$29</f>
        <v>4Q</v>
      </c>
      <c r="B219" s="684" t="str">
        <f>$B$29</f>
        <v>Jan</v>
      </c>
      <c r="C219" s="666"/>
      <c r="D219" s="715">
        <f>(S219/S212-1)*100</f>
        <v>73.72262773722629</v>
      </c>
      <c r="E219" s="700"/>
      <c r="F219" s="717">
        <v>16.832949803034438</v>
      </c>
      <c r="G219" s="701"/>
      <c r="H219" s="715">
        <f>D219-F219</f>
        <v>56.889677934191852</v>
      </c>
      <c r="I219" s="704"/>
      <c r="J219" s="705">
        <f>+'store&amp;sf'!L50</f>
        <v>498</v>
      </c>
      <c r="K219" s="667"/>
      <c r="L219" s="716">
        <f>AVERAGE(J219,J218)</f>
        <v>474</v>
      </c>
      <c r="M219" s="667"/>
      <c r="N219" s="715">
        <f>(L219/L212-1)*100</f>
        <v>56.953642384105962</v>
      </c>
      <c r="O219" s="704"/>
      <c r="P219" s="717">
        <f>H219/N219*100</f>
        <v>99.887690326313589</v>
      </c>
      <c r="Q219" s="702"/>
      <c r="R219" s="667"/>
      <c r="S219" s="718">
        <f>+'segSales&amp;OM'!W34</f>
        <v>238</v>
      </c>
      <c r="T219" s="667"/>
      <c r="U219" s="719">
        <f>S219/L219</f>
        <v>0.50210970464135019</v>
      </c>
      <c r="V219" s="666"/>
      <c r="W219" s="720">
        <f>(U219/U212-1)*100</f>
        <v>10.684037081523922</v>
      </c>
      <c r="X219" s="685"/>
      <c r="Y219" s="666"/>
      <c r="Z219" s="678">
        <f>+'store&amp;sf'!L414</f>
        <v>1.0599999999999998</v>
      </c>
      <c r="AA219" s="666"/>
      <c r="AB219" s="721">
        <f>AVERAGE(Z219,Z218)</f>
        <v>0.99749999999999983</v>
      </c>
      <c r="AC219" s="666"/>
      <c r="AD219" s="715">
        <f>(AB219/AB212-1)*100</f>
        <v>74.808324205914573</v>
      </c>
      <c r="AE219" s="685"/>
      <c r="AF219" s="717">
        <f>+H219/AD219*100</f>
        <v>76.047256155076354</v>
      </c>
      <c r="AG219" s="668"/>
      <c r="AH219" s="666"/>
      <c r="AI219" s="722">
        <f>+S219</f>
        <v>238</v>
      </c>
      <c r="AJ219" s="666"/>
      <c r="AK219" s="723">
        <f>AI219/AB219</f>
        <v>238.59649122807022</v>
      </c>
      <c r="AL219" s="666"/>
      <c r="AM219" s="720">
        <f>(AK219/AK212-1)*100</f>
        <v>-0.62107824305288606</v>
      </c>
      <c r="AN219" s="685"/>
      <c r="AO219" s="666"/>
    </row>
    <row r="220" spans="1:41" hidden="1" outlineLevel="1">
      <c r="A220" s="666"/>
      <c r="B220" s="684" t="str">
        <f>$B$30</f>
        <v>Year</v>
      </c>
      <c r="C220" s="666"/>
      <c r="D220" s="700">
        <f>(S220/S213-1)*100</f>
        <v>82.692307692307693</v>
      </c>
      <c r="E220" s="700"/>
      <c r="F220" s="703">
        <v>21</v>
      </c>
      <c r="G220" s="701"/>
      <c r="H220" s="700">
        <f>D220-F220</f>
        <v>61.692307692307693</v>
      </c>
      <c r="I220" s="704"/>
      <c r="J220" s="724"/>
      <c r="K220" s="667"/>
      <c r="L220" s="725">
        <f>AVERAGE(L216:L219)</f>
        <v>397</v>
      </c>
      <c r="M220" s="667"/>
      <c r="N220" s="700">
        <f>(L220/L213-1)*100</f>
        <v>58.958958958958952</v>
      </c>
      <c r="O220" s="704"/>
      <c r="P220" s="703">
        <f>H220/N220*100</f>
        <v>104.63601932871885</v>
      </c>
      <c r="Q220" s="702"/>
      <c r="R220" s="667"/>
      <c r="S220" s="726">
        <f>SUM(S216:S219)</f>
        <v>475</v>
      </c>
      <c r="T220" s="667"/>
      <c r="U220" s="707">
        <f>SUM(U216:U219)</f>
        <v>1.1396264849655924</v>
      </c>
      <c r="V220" s="666"/>
      <c r="W220" s="708">
        <f>(U220/U213-1)*100</f>
        <v>16.192474220401909</v>
      </c>
      <c r="X220" s="685"/>
      <c r="Y220" s="666"/>
      <c r="Z220" s="676"/>
      <c r="AA220" s="666"/>
      <c r="AB220" s="710">
        <f>AVERAGE(AB216:AB219)</f>
        <v>0.80859375</v>
      </c>
      <c r="AC220" s="666"/>
      <c r="AD220" s="700">
        <f>(AB220/AB213-1)*100</f>
        <v>83.575736076622945</v>
      </c>
      <c r="AE220" s="685"/>
      <c r="AF220" s="703">
        <f>+H220/AD220*100</f>
        <v>73.816050672587153</v>
      </c>
      <c r="AG220" s="668"/>
      <c r="AH220" s="666"/>
      <c r="AI220" s="673">
        <f>SUM(AI216:AI219)</f>
        <v>475</v>
      </c>
      <c r="AJ220" s="666"/>
      <c r="AK220" s="711">
        <f>SUM(AK216:AK219)</f>
        <v>556.7101323846498</v>
      </c>
      <c r="AL220" s="666"/>
      <c r="AM220" s="708">
        <f>(AK220/AK213-1)*100</f>
        <v>1.2146001312333565</v>
      </c>
      <c r="AN220" s="685"/>
      <c r="AO220" s="666"/>
    </row>
    <row r="221" spans="1:41" hidden="1" outlineLevel="1">
      <c r="A221" s="666"/>
      <c r="B221" s="684"/>
      <c r="C221" s="666"/>
      <c r="D221" s="700"/>
      <c r="E221" s="700"/>
      <c r="F221" s="700"/>
      <c r="G221" s="701"/>
      <c r="H221" s="700"/>
      <c r="I221" s="704"/>
      <c r="J221" s="724"/>
      <c r="K221" s="667"/>
      <c r="L221" s="667"/>
      <c r="M221" s="667"/>
      <c r="N221" s="667"/>
      <c r="O221" s="704"/>
      <c r="P221" s="702"/>
      <c r="Q221" s="702"/>
      <c r="R221" s="667"/>
      <c r="S221" s="667"/>
      <c r="T221" s="667"/>
      <c r="U221" s="667"/>
      <c r="V221" s="666"/>
      <c r="W221" s="666"/>
      <c r="X221" s="685"/>
      <c r="Y221" s="666"/>
      <c r="Z221" s="676"/>
      <c r="AA221" s="666"/>
      <c r="AB221" s="679"/>
      <c r="AC221" s="666"/>
      <c r="AD221" s="667"/>
      <c r="AE221" s="685"/>
      <c r="AF221" s="703"/>
      <c r="AG221" s="668"/>
      <c r="AH221" s="666"/>
      <c r="AI221" s="666"/>
      <c r="AJ221" s="666"/>
      <c r="AK221" s="666"/>
      <c r="AL221" s="666"/>
      <c r="AM221" s="666"/>
      <c r="AN221" s="685"/>
      <c r="AO221" s="666"/>
    </row>
    <row r="222" spans="1:41" hidden="1" outlineLevel="1" collapsed="1">
      <c r="A222" s="698"/>
      <c r="B222" s="728">
        <f>B215+1</f>
        <v>1996</v>
      </c>
      <c r="C222" s="666"/>
      <c r="D222" s="700"/>
      <c r="E222" s="700"/>
      <c r="F222" s="700"/>
      <c r="G222" s="701"/>
      <c r="H222" s="700"/>
      <c r="I222" s="704"/>
      <c r="J222" s="724"/>
      <c r="K222" s="667"/>
      <c r="L222" s="667"/>
      <c r="M222" s="667"/>
      <c r="N222" s="667"/>
      <c r="O222" s="704"/>
      <c r="P222" s="702"/>
      <c r="Q222" s="702"/>
      <c r="R222" s="667"/>
      <c r="S222" s="667"/>
      <c r="T222" s="667"/>
      <c r="U222" s="667"/>
      <c r="V222" s="666"/>
      <c r="W222" s="666"/>
      <c r="X222" s="685"/>
      <c r="Y222" s="666"/>
      <c r="Z222" s="676"/>
      <c r="AA222" s="666"/>
      <c r="AB222" s="679"/>
      <c r="AC222" s="666"/>
      <c r="AD222" s="667"/>
      <c r="AE222" s="685"/>
      <c r="AF222" s="703"/>
      <c r="AG222" s="668"/>
      <c r="AH222" s="666"/>
      <c r="AI222" s="666"/>
      <c r="AJ222" s="666"/>
      <c r="AK222" s="666"/>
      <c r="AL222" s="666"/>
      <c r="AM222" s="666"/>
      <c r="AN222" s="685"/>
      <c r="AO222" s="666"/>
    </row>
    <row r="223" spans="1:41" hidden="1" outlineLevel="1">
      <c r="A223" s="666" t="str">
        <f>$A$26</f>
        <v>1Q</v>
      </c>
      <c r="B223" s="684" t="str">
        <f>$B$26</f>
        <v>Apr</v>
      </c>
      <c r="C223" s="666"/>
      <c r="D223" s="700">
        <f>(S223/S216-1)*100</f>
        <v>68.181818181818187</v>
      </c>
      <c r="E223" s="700" t="s">
        <v>1084</v>
      </c>
      <c r="F223" s="703">
        <v>14</v>
      </c>
      <c r="G223" s="701" t="s">
        <v>1084</v>
      </c>
      <c r="H223" s="700">
        <f>D223-F223</f>
        <v>54.181818181818187</v>
      </c>
      <c r="I223" s="704" t="s">
        <v>1084</v>
      </c>
      <c r="J223" s="705">
        <f>+'store&amp;sf'!L53</f>
        <v>528</v>
      </c>
      <c r="K223" s="667"/>
      <c r="L223" s="706">
        <f>AVERAGE(J223,J219)</f>
        <v>513</v>
      </c>
      <c r="M223" s="667"/>
      <c r="N223" s="700">
        <f>(L223/L216-1)*100</f>
        <v>54.285714285714292</v>
      </c>
      <c r="O223" s="704" t="s">
        <v>1084</v>
      </c>
      <c r="P223" s="703">
        <f>H223/N223*100</f>
        <v>99.808612440191396</v>
      </c>
      <c r="Q223" s="702" t="s">
        <v>1084</v>
      </c>
      <c r="R223" s="667"/>
      <c r="S223" s="726">
        <f>+'segSales&amp;OM'!W38</f>
        <v>111</v>
      </c>
      <c r="T223" s="667"/>
      <c r="U223" s="707">
        <f>S223/L223</f>
        <v>0.21637426900584794</v>
      </c>
      <c r="V223" s="666"/>
      <c r="W223" s="730">
        <f>(U223/U216-1)*100</f>
        <v>9.0067340067339963</v>
      </c>
      <c r="X223" s="685" t="s">
        <v>1084</v>
      </c>
      <c r="Y223" s="666"/>
      <c r="Z223" s="678">
        <f>+'store&amp;sf'!L417</f>
        <v>1.1325000000000001</v>
      </c>
      <c r="AA223" s="666"/>
      <c r="AB223" s="710">
        <f>AVERAGE(Z223,Z219)</f>
        <v>1.0962499999999999</v>
      </c>
      <c r="AC223" s="666"/>
      <c r="AD223" s="700">
        <f>(AB223/AB216-1)*100</f>
        <v>68.978805394990374</v>
      </c>
      <c r="AE223" s="685" t="s">
        <v>1084</v>
      </c>
      <c r="AF223" s="703">
        <f>+H223/AD223*100</f>
        <v>78.548501777552062</v>
      </c>
      <c r="AG223" s="668" t="s">
        <v>1084</v>
      </c>
      <c r="AH223" s="666"/>
      <c r="AI223" s="673">
        <f>+S223</f>
        <v>111</v>
      </c>
      <c r="AJ223" s="666"/>
      <c r="AK223" s="711">
        <f>AI223/AB223</f>
        <v>101.25427594070696</v>
      </c>
      <c r="AL223" s="666"/>
      <c r="AM223" s="677">
        <f>(AK223/AK216-1)*100</f>
        <v>-0.47164921737328225</v>
      </c>
      <c r="AN223" s="685" t="s">
        <v>1084</v>
      </c>
      <c r="AO223" s="666">
        <v>79</v>
      </c>
    </row>
    <row r="224" spans="1:41" hidden="1" outlineLevel="1">
      <c r="A224" s="666" t="str">
        <f>$A$27</f>
        <v>2Q</v>
      </c>
      <c r="B224" s="684" t="str">
        <f>$B$27</f>
        <v>Jul</v>
      </c>
      <c r="C224" s="666"/>
      <c r="D224" s="700">
        <f>(S224/S217-1)*100</f>
        <v>59.523809523809533</v>
      </c>
      <c r="E224" s="700"/>
      <c r="F224" s="703">
        <v>11</v>
      </c>
      <c r="G224" s="700"/>
      <c r="H224" s="700">
        <f>D224-F224</f>
        <v>48.523809523809533</v>
      </c>
      <c r="I224" s="704"/>
      <c r="J224" s="705">
        <f>+'store&amp;sf'!L54</f>
        <v>603</v>
      </c>
      <c r="K224" s="667"/>
      <c r="L224" s="706">
        <f>AVERAGE(J224,J223)</f>
        <v>565.5</v>
      </c>
      <c r="M224" s="667"/>
      <c r="N224" s="700">
        <f>(L224/L217-1)*100</f>
        <v>54.93150684931507</v>
      </c>
      <c r="O224" s="704"/>
      <c r="P224" s="703">
        <f>H224/N224*100</f>
        <v>88.335114594466219</v>
      </c>
      <c r="Q224" s="702"/>
      <c r="R224" s="667"/>
      <c r="S224" s="712">
        <f>+'segSales&amp;OM'!W39</f>
        <v>134</v>
      </c>
      <c r="T224" s="667"/>
      <c r="U224" s="713">
        <f>S224/L224</f>
        <v>0.23695844385499559</v>
      </c>
      <c r="V224" s="666"/>
      <c r="W224" s="730">
        <f>(U224/U217-1)*100</f>
        <v>2.964085722706411</v>
      </c>
      <c r="X224" s="685"/>
      <c r="Y224" s="666"/>
      <c r="Z224" s="678">
        <f>+'store&amp;sf'!L418</f>
        <v>1.3025</v>
      </c>
      <c r="AA224" s="666"/>
      <c r="AB224" s="710">
        <f>AVERAGE(Z224,Z223)</f>
        <v>1.2175</v>
      </c>
      <c r="AC224" s="666"/>
      <c r="AD224" s="700">
        <f>(AB224/AB217-1)*100</f>
        <v>66.353543979504678</v>
      </c>
      <c r="AE224" s="685"/>
      <c r="AF224" s="703">
        <f>+H224/AD224*100</f>
        <v>73.129190414904727</v>
      </c>
      <c r="AG224" s="668"/>
      <c r="AH224" s="666"/>
      <c r="AI224" s="675">
        <f>+S224</f>
        <v>134</v>
      </c>
      <c r="AJ224" s="666"/>
      <c r="AK224" s="714">
        <f>AI224/AB224</f>
        <v>110.06160164271047</v>
      </c>
      <c r="AL224" s="666"/>
      <c r="AM224" s="677">
        <f>(AK224/AK217-1)*100</f>
        <v>-4.1055539258824547</v>
      </c>
      <c r="AN224" s="685"/>
      <c r="AO224" s="666">
        <v>31</v>
      </c>
    </row>
    <row r="225" spans="1:41" hidden="1" outlineLevel="1">
      <c r="A225" s="666" t="str">
        <f>$A$28</f>
        <v>3Q</v>
      </c>
      <c r="B225" s="684" t="str">
        <f>$B$28</f>
        <v>Oct</v>
      </c>
      <c r="C225" s="666"/>
      <c r="D225" s="700">
        <f>(S225/S218-1)*100</f>
        <v>52.873563218390807</v>
      </c>
      <c r="E225" s="700"/>
      <c r="F225" s="703">
        <v>2</v>
      </c>
      <c r="G225" s="700"/>
      <c r="H225" s="700">
        <f>D225-F225</f>
        <v>50.873563218390807</v>
      </c>
      <c r="I225" s="704"/>
      <c r="J225" s="705">
        <f>+'store&amp;sf'!L55</f>
        <v>737</v>
      </c>
      <c r="K225" s="667"/>
      <c r="L225" s="706">
        <f>AVERAGE(J225,J224)</f>
        <v>670</v>
      </c>
      <c r="M225" s="667"/>
      <c r="N225" s="700">
        <f>(L225/L218-1)*100</f>
        <v>60.864345738295313</v>
      </c>
      <c r="O225" s="704"/>
      <c r="P225" s="703">
        <f>H225/N225*100</f>
        <v>83.585164025482342</v>
      </c>
      <c r="Q225" s="702"/>
      <c r="R225" s="667"/>
      <c r="S225" s="712">
        <f>+'segSales&amp;OM'!W40</f>
        <v>133</v>
      </c>
      <c r="T225" s="667"/>
      <c r="U225" s="713">
        <f>S225/L225</f>
        <v>0.19850746268656716</v>
      </c>
      <c r="V225" s="666"/>
      <c r="W225" s="730">
        <f>(U225/U218-1)*100</f>
        <v>-4.9674043575227316</v>
      </c>
      <c r="X225" s="685"/>
      <c r="Y225" s="666"/>
      <c r="Z225" s="678">
        <f>+'store&amp;sf'!L419</f>
        <v>1.6412499999999999</v>
      </c>
      <c r="AA225" s="666"/>
      <c r="AB225" s="710">
        <f>AVERAGE(Z225,Z224)</f>
        <v>1.4718749999999998</v>
      </c>
      <c r="AC225" s="666"/>
      <c r="AD225" s="700">
        <f>(AB225/AB218-1)*100</f>
        <v>71.897810218978094</v>
      </c>
      <c r="AE225" s="685"/>
      <c r="AF225" s="703">
        <f>+H225/AD225*100</f>
        <v>70.75815391796489</v>
      </c>
      <c r="AG225" s="668"/>
      <c r="AH225" s="666"/>
      <c r="AI225" s="675">
        <f>+S225</f>
        <v>133</v>
      </c>
      <c r="AJ225" s="666"/>
      <c r="AK225" s="714">
        <f>AI225/AB225</f>
        <v>90.360934182590242</v>
      </c>
      <c r="AL225" s="666"/>
      <c r="AM225" s="677">
        <f>(AK225/AK218-1)*100</f>
        <v>-11.067184030065647</v>
      </c>
      <c r="AN225" s="685"/>
      <c r="AO225" s="666">
        <v>71</v>
      </c>
    </row>
    <row r="226" spans="1:41" hidden="1" outlineLevel="1">
      <c r="A226" s="666" t="str">
        <f>$A$29</f>
        <v>4Q</v>
      </c>
      <c r="B226" s="684" t="str">
        <f>$B$29</f>
        <v>Jan</v>
      </c>
      <c r="C226" s="666"/>
      <c r="D226" s="715">
        <f>(S226/S219-1)*100</f>
        <v>57.563025210084028</v>
      </c>
      <c r="E226" s="700"/>
      <c r="F226" s="717">
        <v>15</v>
      </c>
      <c r="G226" s="700"/>
      <c r="H226" s="715">
        <f>D226-F226</f>
        <v>42.563025210084028</v>
      </c>
      <c r="I226" s="704"/>
      <c r="J226" s="705">
        <f>+'store&amp;sf'!L56</f>
        <v>750</v>
      </c>
      <c r="K226" s="667"/>
      <c r="L226" s="716">
        <f>AVERAGE(J226,J225)</f>
        <v>743.5</v>
      </c>
      <c r="M226" s="667"/>
      <c r="N226" s="715">
        <f>(L226/L219-1)*100</f>
        <v>56.856540084388186</v>
      </c>
      <c r="O226" s="704"/>
      <c r="P226" s="717">
        <f>H226/N226*100</f>
        <v>74.860385712726639</v>
      </c>
      <c r="Q226" s="702"/>
      <c r="R226" s="667"/>
      <c r="S226" s="718">
        <f>+'segSales&amp;OM'!W41</f>
        <v>375</v>
      </c>
      <c r="T226" s="667"/>
      <c r="U226" s="719">
        <f>S226/L226</f>
        <v>0.50437121721587086</v>
      </c>
      <c r="V226" s="666"/>
      <c r="W226" s="720">
        <f>(U226/U219-1)*100</f>
        <v>0.45040208416924354</v>
      </c>
      <c r="X226" s="685"/>
      <c r="Y226" s="666"/>
      <c r="Z226" s="678">
        <f>+'store&amp;sf'!L420</f>
        <v>1.6925000000000001</v>
      </c>
      <c r="AA226" s="666"/>
      <c r="AB226" s="721">
        <f>AVERAGE(Z226,Z225)</f>
        <v>1.6668750000000001</v>
      </c>
      <c r="AC226" s="666"/>
      <c r="AD226" s="715">
        <f>(AB226/AB219-1)*100</f>
        <v>67.105263157894782</v>
      </c>
      <c r="AE226" s="685"/>
      <c r="AF226" s="717">
        <f>+H226/AD226*100</f>
        <v>63.427253254242821</v>
      </c>
      <c r="AG226" s="668"/>
      <c r="AH226" s="666"/>
      <c r="AI226" s="722">
        <f>+S226</f>
        <v>375</v>
      </c>
      <c r="AJ226" s="666"/>
      <c r="AK226" s="723">
        <f>AI226/AB226</f>
        <v>224.97187851518558</v>
      </c>
      <c r="AL226" s="666"/>
      <c r="AM226" s="731">
        <f>(AK226/AK219-1)*100</f>
        <v>-5.7103156223119456</v>
      </c>
      <c r="AN226" s="685"/>
      <c r="AO226" s="666">
        <v>63</v>
      </c>
    </row>
    <row r="227" spans="1:41" hidden="1" outlineLevel="1">
      <c r="A227" s="666"/>
      <c r="B227" s="684" t="str">
        <f>$B$30</f>
        <v>Year</v>
      </c>
      <c r="C227" s="666"/>
      <c r="D227" s="700">
        <f>(S227/S220-1)*100</f>
        <v>58.526315789473692</v>
      </c>
      <c r="E227" s="700"/>
      <c r="F227" s="703">
        <v>11</v>
      </c>
      <c r="G227" s="700"/>
      <c r="H227" s="700">
        <f>D227-F227</f>
        <v>47.526315789473692</v>
      </c>
      <c r="I227" s="704"/>
      <c r="J227" s="724"/>
      <c r="K227" s="667"/>
      <c r="L227" s="725">
        <f>AVERAGE(L223:L226)</f>
        <v>623</v>
      </c>
      <c r="M227" s="667"/>
      <c r="N227" s="700">
        <f>(L227/L220-1)*100</f>
        <v>56.926952141057939</v>
      </c>
      <c r="O227" s="704"/>
      <c r="P227" s="703">
        <f>H227/N227*100</f>
        <v>83.486492780624133</v>
      </c>
      <c r="Q227" s="702"/>
      <c r="R227" s="667"/>
      <c r="S227" s="726">
        <f>SUM(S223:S226)</f>
        <v>753</v>
      </c>
      <c r="T227" s="667"/>
      <c r="U227" s="707">
        <f>SUM(U223:U226)</f>
        <v>1.1562113927632816</v>
      </c>
      <c r="V227" s="666"/>
      <c r="W227" s="730">
        <f>(U227/U220-1)*100</f>
        <v>1.4552932927133444</v>
      </c>
      <c r="X227" s="685"/>
      <c r="Y227" s="666"/>
      <c r="Z227" s="676"/>
      <c r="AA227" s="666"/>
      <c r="AB227" s="710">
        <f>AVERAGE(AB223:AB226)</f>
        <v>1.3631249999999999</v>
      </c>
      <c r="AC227" s="666"/>
      <c r="AD227" s="700">
        <f>(AB227/AB220-1)*100</f>
        <v>68.579710144927517</v>
      </c>
      <c r="AE227" s="685"/>
      <c r="AF227" s="703">
        <f>+H227/AD227*100</f>
        <v>69.300840859545346</v>
      </c>
      <c r="AG227" s="668"/>
      <c r="AH227" s="666"/>
      <c r="AI227" s="673">
        <f>SUM(AI223:AI226)</f>
        <v>753</v>
      </c>
      <c r="AJ227" s="666"/>
      <c r="AK227" s="711">
        <f>SUM(AK223:AK226)</f>
        <v>526.64869028119324</v>
      </c>
      <c r="AL227" s="666"/>
      <c r="AM227" s="677">
        <f>(AK227/AK220-1)*100</f>
        <v>-5.3998374297032026</v>
      </c>
      <c r="AN227" s="685"/>
      <c r="AO227" s="666">
        <v>69</v>
      </c>
    </row>
    <row r="228" spans="1:41" hidden="1" outlineLevel="1">
      <c r="A228" s="666"/>
      <c r="B228" s="684"/>
      <c r="C228" s="666"/>
      <c r="D228" s="700"/>
      <c r="E228" s="700"/>
      <c r="F228" s="700"/>
      <c r="G228" s="700"/>
      <c r="H228" s="700"/>
      <c r="I228" s="704"/>
      <c r="J228" s="724"/>
      <c r="K228" s="667"/>
      <c r="L228" s="667"/>
      <c r="M228" s="667"/>
      <c r="N228" s="667"/>
      <c r="O228" s="704"/>
      <c r="P228" s="702"/>
      <c r="Q228" s="702"/>
      <c r="R228" s="667"/>
      <c r="S228" s="667"/>
      <c r="T228" s="667"/>
      <c r="U228" s="667"/>
      <c r="V228" s="666"/>
      <c r="W228" s="666"/>
      <c r="X228" s="685"/>
      <c r="Y228" s="666"/>
      <c r="Z228" s="676"/>
      <c r="AA228" s="666"/>
      <c r="AB228" s="679"/>
      <c r="AC228" s="666"/>
      <c r="AD228" s="667"/>
      <c r="AE228" s="685"/>
      <c r="AF228" s="703"/>
      <c r="AG228" s="668"/>
      <c r="AH228" s="666"/>
      <c r="AI228" s="666"/>
      <c r="AJ228" s="666"/>
      <c r="AK228" s="666"/>
      <c r="AL228" s="666"/>
      <c r="AM228" s="666"/>
      <c r="AN228" s="685"/>
      <c r="AO228" s="666"/>
    </row>
    <row r="229" spans="1:41" hidden="1" outlineLevel="1">
      <c r="A229" s="698"/>
      <c r="B229" s="728">
        <f>B222+1</f>
        <v>1997</v>
      </c>
      <c r="C229" s="666"/>
      <c r="D229" s="700"/>
      <c r="E229" s="700"/>
      <c r="F229" s="700"/>
      <c r="G229" s="700"/>
      <c r="H229" s="700"/>
      <c r="I229" s="704"/>
      <c r="J229" s="724"/>
      <c r="K229" s="667"/>
      <c r="L229" s="667"/>
      <c r="M229" s="667"/>
      <c r="N229" s="667"/>
      <c r="O229" s="704"/>
      <c r="P229" s="702"/>
      <c r="Q229" s="702"/>
      <c r="R229" s="667"/>
      <c r="S229" s="667"/>
      <c r="T229" s="667"/>
      <c r="U229" s="667"/>
      <c r="V229" s="666"/>
      <c r="W229" s="666"/>
      <c r="X229" s="685"/>
      <c r="Y229" s="666"/>
      <c r="Z229" s="676"/>
      <c r="AA229" s="666"/>
      <c r="AB229" s="679"/>
      <c r="AC229" s="666"/>
      <c r="AD229" s="667"/>
      <c r="AE229" s="685"/>
      <c r="AF229" s="703"/>
      <c r="AG229" s="668"/>
      <c r="AH229" s="666"/>
      <c r="AI229" s="666"/>
      <c r="AJ229" s="666"/>
      <c r="AK229" s="666"/>
      <c r="AL229" s="666"/>
      <c r="AM229" s="666"/>
      <c r="AN229" s="685"/>
      <c r="AO229" s="666"/>
    </row>
    <row r="230" spans="1:41" hidden="1" outlineLevel="1">
      <c r="A230" s="666" t="str">
        <f>$A$26</f>
        <v>1Q</v>
      </c>
      <c r="B230" s="684" t="str">
        <f>$B$26</f>
        <v>Apr</v>
      </c>
      <c r="C230" s="666"/>
      <c r="D230" s="700">
        <f>(S230/S223-1)*100</f>
        <v>59.459459459459453</v>
      </c>
      <c r="E230" s="700" t="s">
        <v>1084</v>
      </c>
      <c r="F230" s="703">
        <v>12.777590681273402</v>
      </c>
      <c r="G230" s="701" t="s">
        <v>1084</v>
      </c>
      <c r="H230" s="700">
        <f>D230-F230</f>
        <v>46.68186877818605</v>
      </c>
      <c r="I230" s="704" t="s">
        <v>1084</v>
      </c>
      <c r="J230" s="705">
        <f>+'store&amp;sf'!L59</f>
        <v>796</v>
      </c>
      <c r="K230" s="667"/>
      <c r="L230" s="706">
        <f>AVERAGE(J230,J226)</f>
        <v>773</v>
      </c>
      <c r="M230" s="667"/>
      <c r="N230" s="700">
        <f>(L230/L223-1)*100</f>
        <v>50.682261208576996</v>
      </c>
      <c r="O230" s="704" t="s">
        <v>1084</v>
      </c>
      <c r="P230" s="703">
        <f>H230/N230*100</f>
        <v>92.106918012344025</v>
      </c>
      <c r="Q230" s="702" t="s">
        <v>1084</v>
      </c>
      <c r="R230" s="667"/>
      <c r="S230" s="726">
        <f>+'segSales&amp;OM'!W45</f>
        <v>177</v>
      </c>
      <c r="T230" s="667"/>
      <c r="U230" s="707">
        <f>S230/L230</f>
        <v>0.22897800776196636</v>
      </c>
      <c r="V230" s="666"/>
      <c r="W230" s="730">
        <f>(U230/U223-1)*100</f>
        <v>5.8249711548547412</v>
      </c>
      <c r="X230" s="685" t="s">
        <v>1084</v>
      </c>
      <c r="Y230" s="666"/>
      <c r="Z230" s="678">
        <f>+'store&amp;sf'!L423</f>
        <v>1.82125</v>
      </c>
      <c r="AA230" s="666"/>
      <c r="AB230" s="710">
        <f>AVERAGE(Z230,Z226)</f>
        <v>1.756875</v>
      </c>
      <c r="AC230" s="666"/>
      <c r="AD230" s="700">
        <f>(AB230/AB223-1)*100</f>
        <v>60.262257696693268</v>
      </c>
      <c r="AE230" s="685" t="s">
        <v>1084</v>
      </c>
      <c r="AF230" s="703">
        <f>+H230/AD230*100</f>
        <v>77.464520186318197</v>
      </c>
      <c r="AG230" s="668" t="s">
        <v>1084</v>
      </c>
      <c r="AH230" s="666"/>
      <c r="AI230" s="673">
        <f>+S230</f>
        <v>177</v>
      </c>
      <c r="AJ230" s="666"/>
      <c r="AK230" s="711">
        <f>AI230/AB230</f>
        <v>100.74706510138741</v>
      </c>
      <c r="AL230" s="666"/>
      <c r="AM230" s="677">
        <f>(AK230/AK223-1)*100</f>
        <v>-0.50092782216581977</v>
      </c>
      <c r="AN230" s="685" t="s">
        <v>1084</v>
      </c>
      <c r="AO230" s="666"/>
    </row>
    <row r="231" spans="1:41" hidden="1" outlineLevel="1">
      <c r="A231" s="666" t="str">
        <f>$A$27</f>
        <v>2Q</v>
      </c>
      <c r="B231" s="684" t="str">
        <f>$B$27</f>
        <v>Jul</v>
      </c>
      <c r="C231" s="666"/>
      <c r="D231" s="700">
        <f>(S231/S224-1)*100</f>
        <v>58.208955223880587</v>
      </c>
      <c r="E231" s="700"/>
      <c r="F231" s="703">
        <v>16.111174897895584</v>
      </c>
      <c r="G231" s="700"/>
      <c r="H231" s="700">
        <f>D231-F231</f>
        <v>42.097780325984999</v>
      </c>
      <c r="I231" s="704"/>
      <c r="J231" s="705">
        <f>+'store&amp;sf'!L60</f>
        <v>844</v>
      </c>
      <c r="K231" s="667"/>
      <c r="L231" s="706">
        <f>AVERAGE(J231,J230)</f>
        <v>820</v>
      </c>
      <c r="M231" s="667"/>
      <c r="N231" s="700">
        <f>(L231/L224-1)*100</f>
        <v>45.004420866489838</v>
      </c>
      <c r="O231" s="704"/>
      <c r="P231" s="703">
        <f>H231/N231*100</f>
        <v>93.541433298013814</v>
      </c>
      <c r="Q231" s="702"/>
      <c r="R231" s="667"/>
      <c r="S231" s="712">
        <f>+'segSales&amp;OM'!W46</f>
        <v>212</v>
      </c>
      <c r="T231" s="667"/>
      <c r="U231" s="713">
        <f>S231/L231</f>
        <v>0.25853658536585367</v>
      </c>
      <c r="V231" s="666"/>
      <c r="W231" s="730">
        <f>(U231/U224-1)*100</f>
        <v>9.1062977793957103</v>
      </c>
      <c r="X231" s="685"/>
      <c r="Y231" s="666"/>
      <c r="Z231" s="678">
        <f>+'store&amp;sf'!L424</f>
        <v>1.9550000000000001</v>
      </c>
      <c r="AA231" s="666"/>
      <c r="AB231" s="710">
        <f>AVERAGE(Z231,Z230)</f>
        <v>1.8881250000000001</v>
      </c>
      <c r="AC231" s="666"/>
      <c r="AD231" s="700">
        <f>(AB231/AB224-1)*100</f>
        <v>55.082135523613964</v>
      </c>
      <c r="AE231" s="685"/>
      <c r="AF231" s="703">
        <f>+H231/AD231*100</f>
        <v>76.427284319681988</v>
      </c>
      <c r="AG231" s="668"/>
      <c r="AH231" s="666"/>
      <c r="AI231" s="675">
        <f>+S231</f>
        <v>212</v>
      </c>
      <c r="AJ231" s="666"/>
      <c r="AK231" s="714">
        <f>AI231/AB231</f>
        <v>112.28070175438596</v>
      </c>
      <c r="AL231" s="666"/>
      <c r="AM231" s="677">
        <f>(AK231/AK224-1)*100</f>
        <v>2.01623461639171</v>
      </c>
      <c r="AN231" s="685"/>
      <c r="AO231" s="666"/>
    </row>
    <row r="232" spans="1:41" hidden="1" outlineLevel="1">
      <c r="A232" s="666" t="str">
        <f>$A$28</f>
        <v>3Q</v>
      </c>
      <c r="B232" s="684" t="str">
        <f>$B$28</f>
        <v>Oct</v>
      </c>
      <c r="C232" s="666"/>
      <c r="D232" s="700">
        <f>(S232/S225-1)*100</f>
        <v>36.842105263157897</v>
      </c>
      <c r="E232" s="700"/>
      <c r="F232" s="703">
        <v>9.1480418205598557</v>
      </c>
      <c r="G232" s="700"/>
      <c r="H232" s="700">
        <f>D232-F232</f>
        <v>27.694063442598043</v>
      </c>
      <c r="I232" s="704"/>
      <c r="J232" s="705">
        <f>+'store&amp;sf'!L61</f>
        <v>906</v>
      </c>
      <c r="K232" s="667"/>
      <c r="L232" s="706">
        <f>AVERAGE(J232,J231)</f>
        <v>875</v>
      </c>
      <c r="M232" s="667"/>
      <c r="N232" s="700">
        <f>(L232/L225-1)*100</f>
        <v>30.597014925373145</v>
      </c>
      <c r="O232" s="704"/>
      <c r="P232" s="703">
        <f>H232/N232*100</f>
        <v>90.512304909954537</v>
      </c>
      <c r="Q232" s="702"/>
      <c r="R232" s="667"/>
      <c r="S232" s="712">
        <f>+'segSales&amp;OM'!W47</f>
        <v>182</v>
      </c>
      <c r="T232" s="667"/>
      <c r="U232" s="713">
        <f>S232/L232</f>
        <v>0.20799999999999999</v>
      </c>
      <c r="V232" s="666"/>
      <c r="W232" s="730">
        <f>(U232/U225-1)*100</f>
        <v>4.7819548872180428</v>
      </c>
      <c r="X232" s="685"/>
      <c r="Y232" s="666"/>
      <c r="Z232" s="678">
        <f>+'store&amp;sf'!L425</f>
        <v>2.1599999999999997</v>
      </c>
      <c r="AA232" s="666"/>
      <c r="AB232" s="710">
        <f>AVERAGE(Z232,Z231)</f>
        <v>2.0575000000000001</v>
      </c>
      <c r="AC232" s="666"/>
      <c r="AD232" s="700">
        <f>(AB232/AB225-1)*100</f>
        <v>39.787685774946937</v>
      </c>
      <c r="AE232" s="685"/>
      <c r="AF232" s="703">
        <f>+H232/AD232*100</f>
        <v>69.604609826380326</v>
      </c>
      <c r="AG232" s="668"/>
      <c r="AH232" s="666"/>
      <c r="AI232" s="675">
        <f>+S232</f>
        <v>182</v>
      </c>
      <c r="AJ232" s="666"/>
      <c r="AK232" s="714">
        <f>AI232/AB232</f>
        <v>88.456865127582006</v>
      </c>
      <c r="AL232" s="666"/>
      <c r="AM232" s="677">
        <f>(AK232/AK225-1)*100</f>
        <v>-2.1071816844663527</v>
      </c>
      <c r="AN232" s="685"/>
      <c r="AO232" s="666"/>
    </row>
    <row r="233" spans="1:41" hidden="1" outlineLevel="1">
      <c r="A233" s="666" t="str">
        <f>$A$29</f>
        <v>4Q</v>
      </c>
      <c r="B233" s="684" t="str">
        <f>$B$29</f>
        <v>Jan</v>
      </c>
      <c r="C233" s="666"/>
      <c r="D233" s="715">
        <f>(S233/S226-1)*100</f>
        <v>29.600000000000005</v>
      </c>
      <c r="E233" s="700"/>
      <c r="F233" s="717">
        <v>9.6029351352117072</v>
      </c>
      <c r="G233" s="700"/>
      <c r="H233" s="715">
        <f>D233-F233</f>
        <v>19.9970648647883</v>
      </c>
      <c r="I233" s="704"/>
      <c r="J233" s="705">
        <f>+'store&amp;sf'!L62</f>
        <v>921</v>
      </c>
      <c r="K233" s="667"/>
      <c r="L233" s="716">
        <f>AVERAGE(J233,J232)</f>
        <v>913.5</v>
      </c>
      <c r="M233" s="667"/>
      <c r="N233" s="715">
        <f>(L233/L226-1)*100</f>
        <v>22.864828513786151</v>
      </c>
      <c r="O233" s="704"/>
      <c r="P233" s="717">
        <f>H233/N233*100</f>
        <v>87.457751335118232</v>
      </c>
      <c r="Q233" s="702"/>
      <c r="R233" s="667"/>
      <c r="S233" s="718">
        <f>+'segSales&amp;OM'!W48</f>
        <v>486</v>
      </c>
      <c r="T233" s="667"/>
      <c r="U233" s="719">
        <f>S233/L233</f>
        <v>0.53201970443349755</v>
      </c>
      <c r="V233" s="666"/>
      <c r="W233" s="720">
        <f>(U233/U226-1)*100</f>
        <v>5.4817733990147888</v>
      </c>
      <c r="X233" s="685"/>
      <c r="Y233" s="666"/>
      <c r="Z233" s="678">
        <f>+'store&amp;sf'!L426</f>
        <v>2.2162499999999996</v>
      </c>
      <c r="AA233" s="666"/>
      <c r="AB233" s="721">
        <f>AVERAGE(Z233,Z232)</f>
        <v>2.1881249999999994</v>
      </c>
      <c r="AC233" s="666"/>
      <c r="AD233" s="715">
        <f>(AB233/AB226-1)*100</f>
        <v>31.271091113610751</v>
      </c>
      <c r="AE233" s="685"/>
      <c r="AF233" s="717">
        <f>+H233/AD233*100</f>
        <v>63.947448434520958</v>
      </c>
      <c r="AG233" s="668"/>
      <c r="AH233" s="666"/>
      <c r="AI233" s="722">
        <f>+S233</f>
        <v>486</v>
      </c>
      <c r="AJ233" s="666"/>
      <c r="AK233" s="723">
        <f>AI233/AB233</f>
        <v>222.107969151671</v>
      </c>
      <c r="AL233" s="666"/>
      <c r="AM233" s="731">
        <f>(AK233/AK226-1)*100</f>
        <v>-1.2730077120822303</v>
      </c>
      <c r="AN233" s="685"/>
      <c r="AO233" s="666"/>
    </row>
    <row r="234" spans="1:41" hidden="1" outlineLevel="1">
      <c r="A234" s="666"/>
      <c r="B234" s="684" t="str">
        <f>$B$30</f>
        <v>Year</v>
      </c>
      <c r="C234" s="666"/>
      <c r="D234" s="700">
        <f>(S234/S227-1)*100</f>
        <v>40.371845949535199</v>
      </c>
      <c r="E234" s="700"/>
      <c r="F234" s="703">
        <v>11</v>
      </c>
      <c r="G234" s="700"/>
      <c r="H234" s="700">
        <f>D234-F234</f>
        <v>29.371845949535199</v>
      </c>
      <c r="I234" s="704"/>
      <c r="J234" s="724"/>
      <c r="K234" s="667"/>
      <c r="L234" s="725">
        <f>AVERAGE(L230:L233)</f>
        <v>845.375</v>
      </c>
      <c r="M234" s="667"/>
      <c r="N234" s="700">
        <f>(L234/L227-1)*100</f>
        <v>35.694221508828264</v>
      </c>
      <c r="O234" s="704"/>
      <c r="P234" s="703">
        <f>H234/N234*100</f>
        <v>82.287397533717467</v>
      </c>
      <c r="Q234" s="702"/>
      <c r="R234" s="667"/>
      <c r="S234" s="726">
        <f>SUM(S230:S233)</f>
        <v>1057</v>
      </c>
      <c r="T234" s="667"/>
      <c r="U234" s="707">
        <f>SUM(U230:U233)</f>
        <v>1.2275342975613177</v>
      </c>
      <c r="V234" s="666"/>
      <c r="W234" s="730">
        <f>(U234/U227-1)*100</f>
        <v>6.1686734142601951</v>
      </c>
      <c r="X234" s="685"/>
      <c r="Y234" s="666"/>
      <c r="Z234" s="727"/>
      <c r="AA234" s="666"/>
      <c r="AB234" s="710">
        <f>AVERAGE(AB230:AB233)</f>
        <v>1.97265625</v>
      </c>
      <c r="AC234" s="666"/>
      <c r="AD234" s="700">
        <f>(AB234/AB227-1)*100</f>
        <v>44.715726730857419</v>
      </c>
      <c r="AE234" s="685"/>
      <c r="AF234" s="703">
        <f>+H234/AD234*100</f>
        <v>65.685717524671887</v>
      </c>
      <c r="AG234" s="668"/>
      <c r="AH234" s="666"/>
      <c r="AI234" s="673">
        <f>SUM(AI230:AI233)</f>
        <v>1057</v>
      </c>
      <c r="AJ234" s="666"/>
      <c r="AK234" s="711">
        <f>SUM(AK230:AK233)</f>
        <v>523.59260113502637</v>
      </c>
      <c r="AL234" s="666"/>
      <c r="AM234" s="677">
        <f>(AK234/AK227-1)*100</f>
        <v>-0.58028989771817807</v>
      </c>
      <c r="AN234" s="685"/>
      <c r="AO234" s="666"/>
    </row>
    <row r="235" spans="1:41" hidden="1" outlineLevel="1">
      <c r="A235" s="666"/>
      <c r="B235" s="684"/>
      <c r="C235" s="666"/>
      <c r="D235" s="700"/>
      <c r="E235" s="700"/>
      <c r="F235" s="700"/>
      <c r="G235" s="700"/>
      <c r="H235" s="700"/>
      <c r="I235" s="704"/>
      <c r="J235" s="724"/>
      <c r="K235" s="667"/>
      <c r="L235" s="667"/>
      <c r="M235" s="667"/>
      <c r="N235" s="667"/>
      <c r="O235" s="704"/>
      <c r="P235" s="702"/>
      <c r="Q235" s="702"/>
      <c r="R235" s="667"/>
      <c r="S235" s="667"/>
      <c r="T235" s="667"/>
      <c r="U235" s="667"/>
      <c r="V235" s="666"/>
      <c r="W235" s="666"/>
      <c r="X235" s="685"/>
      <c r="Y235" s="666"/>
      <c r="Z235" s="727"/>
      <c r="AA235" s="666"/>
      <c r="AB235" s="679"/>
      <c r="AC235" s="666"/>
      <c r="AD235" s="667"/>
      <c r="AE235" s="685"/>
      <c r="AF235" s="703"/>
      <c r="AG235" s="668"/>
      <c r="AH235" s="666"/>
      <c r="AI235" s="666"/>
      <c r="AJ235" s="666"/>
      <c r="AK235" s="666"/>
      <c r="AL235" s="666"/>
      <c r="AM235" s="666"/>
      <c r="AN235" s="685"/>
      <c r="AO235" s="666"/>
    </row>
    <row r="236" spans="1:41" hidden="1" outlineLevel="1">
      <c r="A236" s="698"/>
      <c r="B236" s="728">
        <f>B229+1</f>
        <v>1998</v>
      </c>
      <c r="C236" s="666"/>
      <c r="D236" s="700"/>
      <c r="E236" s="700"/>
      <c r="F236" s="700"/>
      <c r="G236" s="700"/>
      <c r="H236" s="700"/>
      <c r="I236" s="704"/>
      <c r="J236" s="724"/>
      <c r="K236" s="667"/>
      <c r="L236" s="667"/>
      <c r="M236" s="667"/>
      <c r="N236" s="667"/>
      <c r="O236" s="704"/>
      <c r="P236" s="702"/>
      <c r="Q236" s="702"/>
      <c r="R236" s="667"/>
      <c r="S236" s="667"/>
      <c r="T236" s="667"/>
      <c r="U236" s="667"/>
      <c r="V236" s="666"/>
      <c r="W236" s="666"/>
      <c r="X236" s="685"/>
      <c r="Y236" s="666"/>
      <c r="Z236" s="727"/>
      <c r="AA236" s="666"/>
      <c r="AB236" s="679"/>
      <c r="AC236" s="666"/>
      <c r="AD236" s="667"/>
      <c r="AE236" s="685"/>
      <c r="AF236" s="703"/>
      <c r="AG236" s="668"/>
      <c r="AH236" s="666"/>
      <c r="AI236" s="666"/>
      <c r="AJ236" s="666"/>
      <c r="AK236" s="666"/>
      <c r="AL236" s="666"/>
      <c r="AM236" s="666"/>
      <c r="AN236" s="685"/>
      <c r="AO236" s="666"/>
    </row>
    <row r="237" spans="1:41" hidden="1" outlineLevel="1">
      <c r="A237" s="666" t="str">
        <f>$A$26</f>
        <v>1Q</v>
      </c>
      <c r="B237" s="684" t="str">
        <f>$B$26</f>
        <v>Apr</v>
      </c>
      <c r="C237" s="666"/>
      <c r="D237" s="700">
        <f>(S237/S230-1)*100</f>
        <v>15.819209039548031</v>
      </c>
      <c r="E237" s="701" t="s">
        <v>1084</v>
      </c>
      <c r="F237" s="703">
        <v>-0.98226206370398628</v>
      </c>
      <c r="G237" s="701" t="s">
        <v>1084</v>
      </c>
      <c r="H237" s="700">
        <f>D237-F237</f>
        <v>16.801471103252016</v>
      </c>
      <c r="I237" s="704" t="s">
        <v>1084</v>
      </c>
      <c r="J237" s="705">
        <f>+'store&amp;sf'!L65</f>
        <v>960</v>
      </c>
      <c r="K237" s="667"/>
      <c r="L237" s="706">
        <f>AVERAGE(J237,J233)</f>
        <v>940.5</v>
      </c>
      <c r="M237" s="667"/>
      <c r="N237" s="700">
        <f>(L237/L230-1)*100</f>
        <v>21.668822768434669</v>
      </c>
      <c r="O237" s="704" t="s">
        <v>1084</v>
      </c>
      <c r="P237" s="703">
        <f>H237/N237*100</f>
        <v>77.537535300380938</v>
      </c>
      <c r="Q237" s="702" t="s">
        <v>1084</v>
      </c>
      <c r="R237" s="667"/>
      <c r="S237" s="726">
        <f>+'segSales&amp;OM'!W52</f>
        <v>205</v>
      </c>
      <c r="T237" s="667"/>
      <c r="U237" s="707">
        <f>S237/L237</f>
        <v>0.2179691653375864</v>
      </c>
      <c r="V237" s="666"/>
      <c r="W237" s="730">
        <f>(U237/U230-1)*100</f>
        <v>-4.807816493811135</v>
      </c>
      <c r="X237" s="685" t="s">
        <v>1084</v>
      </c>
      <c r="Y237" s="666"/>
      <c r="Z237" s="678">
        <f>+'store&amp;sf'!L429</f>
        <v>2.335</v>
      </c>
      <c r="AA237" s="666"/>
      <c r="AB237" s="710">
        <f>AVERAGE(Z237,Z233)</f>
        <v>2.2756249999999998</v>
      </c>
      <c r="AC237" s="666"/>
      <c r="AD237" s="700">
        <f>(AB237/AB230-1)*100</f>
        <v>29.52685876912129</v>
      </c>
      <c r="AE237" s="685" t="s">
        <v>1084</v>
      </c>
      <c r="AF237" s="703">
        <f>+H237/AD237*100</f>
        <v>56.902331652098127</v>
      </c>
      <c r="AG237" s="668" t="s">
        <v>1084</v>
      </c>
      <c r="AH237" s="666"/>
      <c r="AI237" s="673">
        <f>+S237</f>
        <v>205</v>
      </c>
      <c r="AJ237" s="666"/>
      <c r="AK237" s="711">
        <f>AI237/AB237</f>
        <v>90.085141444658063</v>
      </c>
      <c r="AL237" s="666"/>
      <c r="AM237" s="677">
        <f>(AK237/AK230-1)*100</f>
        <v>-10.582862782156132</v>
      </c>
      <c r="AN237" s="685" t="s">
        <v>1084</v>
      </c>
      <c r="AO237" s="666"/>
    </row>
    <row r="238" spans="1:41" hidden="1" outlineLevel="1">
      <c r="A238" s="666" t="str">
        <f>$A$27</f>
        <v>2Q</v>
      </c>
      <c r="B238" s="684" t="str">
        <f>$B$27</f>
        <v>Jul</v>
      </c>
      <c r="C238" s="666"/>
      <c r="D238" s="700">
        <f>(S238/S231-1)*100</f>
        <v>19.811320754716988</v>
      </c>
      <c r="E238" s="700"/>
      <c r="F238" s="703">
        <v>3.0209626906654923</v>
      </c>
      <c r="G238" s="700"/>
      <c r="H238" s="700">
        <f>D238-F238</f>
        <v>16.790358064051496</v>
      </c>
      <c r="I238" s="704"/>
      <c r="J238" s="705">
        <f>+'store&amp;sf'!L66</f>
        <v>1000</v>
      </c>
      <c r="K238" s="667"/>
      <c r="L238" s="706">
        <f>AVERAGE(J238,J237)</f>
        <v>980</v>
      </c>
      <c r="M238" s="667"/>
      <c r="N238" s="700">
        <f>(L238/L231-1)*100</f>
        <v>19.512195121951216</v>
      </c>
      <c r="O238" s="704"/>
      <c r="P238" s="703">
        <f>H238/N238*100</f>
        <v>86.050585078263936</v>
      </c>
      <c r="Q238" s="702"/>
      <c r="R238" s="667"/>
      <c r="S238" s="712">
        <f>+'segSales&amp;OM'!W53</f>
        <v>254</v>
      </c>
      <c r="T238" s="667"/>
      <c r="U238" s="713">
        <f>S238/L238</f>
        <v>0.25918367346938775</v>
      </c>
      <c r="V238" s="666"/>
      <c r="W238" s="730">
        <f>(U238/U231-1)*100</f>
        <v>0.25028879476318711</v>
      </c>
      <c r="X238" s="685"/>
      <c r="Y238" s="666"/>
      <c r="Z238" s="678">
        <f>+'store&amp;sf'!L430</f>
        <v>2.4424999999999999</v>
      </c>
      <c r="AA238" s="666"/>
      <c r="AB238" s="710">
        <f>AVERAGE(Z238,Z237)</f>
        <v>2.3887499999999999</v>
      </c>
      <c r="AC238" s="666"/>
      <c r="AD238" s="700">
        <f>(AB238/AB231-1)*100</f>
        <v>26.51439920556107</v>
      </c>
      <c r="AE238" s="685"/>
      <c r="AF238" s="703">
        <f>+H238/AD238*100</f>
        <v>63.32543284831408</v>
      </c>
      <c r="AG238" s="668"/>
      <c r="AH238" s="666"/>
      <c r="AI238" s="675">
        <f>+S238</f>
        <v>254</v>
      </c>
      <c r="AJ238" s="666"/>
      <c r="AK238" s="714">
        <f>AI238/AB238</f>
        <v>106.33176347462062</v>
      </c>
      <c r="AL238" s="666"/>
      <c r="AM238" s="677">
        <f>(AK238/AK231-1)*100</f>
        <v>-5.2982731554160107</v>
      </c>
      <c r="AN238" s="685"/>
      <c r="AO238" s="666"/>
    </row>
    <row r="239" spans="1:41" hidden="1" outlineLevel="1">
      <c r="A239" s="666" t="str">
        <f>$A$28</f>
        <v>3Q</v>
      </c>
      <c r="B239" s="684" t="str">
        <f>$B$28</f>
        <v>Oct</v>
      </c>
      <c r="C239" s="666"/>
      <c r="D239" s="700">
        <f>(S239/S232-1)*100</f>
        <v>19.780219780219777</v>
      </c>
      <c r="E239" s="700"/>
      <c r="F239" s="703">
        <v>6</v>
      </c>
      <c r="G239" s="700"/>
      <c r="H239" s="700">
        <f>D239-F239</f>
        <v>13.780219780219777</v>
      </c>
      <c r="I239" s="704"/>
      <c r="J239" s="705">
        <f>+'store&amp;sf'!L67</f>
        <v>1044</v>
      </c>
      <c r="K239" s="667"/>
      <c r="L239" s="706">
        <f>AVERAGE(J239,J238)</f>
        <v>1022</v>
      </c>
      <c r="M239" s="667"/>
      <c r="N239" s="700">
        <f>(L239/L232-1)*100</f>
        <v>16.799999999999994</v>
      </c>
      <c r="O239" s="704"/>
      <c r="P239" s="703">
        <f>H239/N239*100</f>
        <v>82.02511773940347</v>
      </c>
      <c r="Q239" s="702"/>
      <c r="R239" s="667"/>
      <c r="S239" s="712">
        <f>+'segSales&amp;OM'!W54</f>
        <v>218</v>
      </c>
      <c r="T239" s="667"/>
      <c r="U239" s="713">
        <f>S239/L239</f>
        <v>0.21330724070450097</v>
      </c>
      <c r="V239" s="666"/>
      <c r="W239" s="730">
        <f>(U239/U232-1)*100</f>
        <v>2.5515580310100816</v>
      </c>
      <c r="X239" s="685"/>
      <c r="Y239" s="666"/>
      <c r="Z239" s="678">
        <f>+'store&amp;sf'!L431</f>
        <v>2.5674999999999994</v>
      </c>
      <c r="AA239" s="666"/>
      <c r="AB239" s="710">
        <f>AVERAGE(Z239,Z238)</f>
        <v>2.5049999999999999</v>
      </c>
      <c r="AC239" s="666"/>
      <c r="AD239" s="700">
        <f>(AB239/AB232-1)*100</f>
        <v>21.749696233292816</v>
      </c>
      <c r="AE239" s="685"/>
      <c r="AF239" s="703">
        <f>+H239/AD239*100</f>
        <v>63.358217201792655</v>
      </c>
      <c r="AG239" s="668"/>
      <c r="AH239" s="666"/>
      <c r="AI239" s="675">
        <f>+S239</f>
        <v>218</v>
      </c>
      <c r="AJ239" s="666"/>
      <c r="AK239" s="714">
        <f>AI239/AB239</f>
        <v>87.025948103792416</v>
      </c>
      <c r="AL239" s="666"/>
      <c r="AM239" s="730">
        <f>(AK239/AK232-1)*100</f>
        <v>-1.6176438332126786</v>
      </c>
      <c r="AN239" s="685"/>
      <c r="AO239" s="666"/>
    </row>
    <row r="240" spans="1:41" hidden="1" outlineLevel="1">
      <c r="A240" s="666" t="str">
        <f>$A$29</f>
        <v>4Q</v>
      </c>
      <c r="B240" s="684" t="str">
        <f>$B$29</f>
        <v>Jan</v>
      </c>
      <c r="C240" s="666"/>
      <c r="D240" s="715">
        <f>(S240/S233-1)*100</f>
        <v>22.427983539094654</v>
      </c>
      <c r="E240" s="700"/>
      <c r="F240" s="717">
        <v>12</v>
      </c>
      <c r="G240" s="700"/>
      <c r="H240" s="715">
        <f>D240-F240</f>
        <v>10.427983539094654</v>
      </c>
      <c r="I240" s="704"/>
      <c r="J240" s="705">
        <f>+'store&amp;sf'!L68</f>
        <v>1061</v>
      </c>
      <c r="K240" s="667"/>
      <c r="L240" s="716">
        <f>AVERAGE(J240,J239)</f>
        <v>1052.5</v>
      </c>
      <c r="M240" s="667"/>
      <c r="N240" s="715">
        <f>(L240/L233-1)*100</f>
        <v>15.216201423097985</v>
      </c>
      <c r="O240" s="704"/>
      <c r="P240" s="717">
        <f>H240/N240*100</f>
        <v>68.53210764721554</v>
      </c>
      <c r="Q240" s="702"/>
      <c r="R240" s="667"/>
      <c r="S240" s="718">
        <f>+'segSales&amp;OM'!W55</f>
        <v>595</v>
      </c>
      <c r="T240" s="667"/>
      <c r="U240" s="719">
        <f>S240/L240</f>
        <v>0.56532066508313539</v>
      </c>
      <c r="V240" s="666"/>
      <c r="W240" s="720">
        <f>(U240/U233-1)*100</f>
        <v>6.2593472332189704</v>
      </c>
      <c r="X240" s="685"/>
      <c r="Y240" s="666"/>
      <c r="Z240" s="678">
        <f>+'store&amp;sf'!L432</f>
        <v>2.6149999999999998</v>
      </c>
      <c r="AA240" s="666"/>
      <c r="AB240" s="721">
        <f>AVERAGE(Z240,Z239)</f>
        <v>2.5912499999999996</v>
      </c>
      <c r="AC240" s="666"/>
      <c r="AD240" s="715">
        <f>(AB240/AB233-1)*100</f>
        <v>18.423307626392482</v>
      </c>
      <c r="AE240" s="685"/>
      <c r="AF240" s="717">
        <f>+H240/AD240*100</f>
        <v>56.602124605225335</v>
      </c>
      <c r="AG240" s="668"/>
      <c r="AH240" s="666"/>
      <c r="AI240" s="722">
        <f>+S240</f>
        <v>595</v>
      </c>
      <c r="AJ240" s="666"/>
      <c r="AK240" s="723">
        <f>AI240/AB240</f>
        <v>229.61890979257117</v>
      </c>
      <c r="AL240" s="666"/>
      <c r="AM240" s="720">
        <f>(AK240/AK233-1)*100</f>
        <v>3.3816619320719443</v>
      </c>
      <c r="AN240" s="685"/>
      <c r="AO240" s="666"/>
    </row>
    <row r="241" spans="1:41" hidden="1" outlineLevel="1">
      <c r="A241" s="666"/>
      <c r="B241" s="684" t="str">
        <f>$B$30</f>
        <v>Year</v>
      </c>
      <c r="C241" s="666"/>
      <c r="D241" s="700">
        <f>(S241/S234-1)*100</f>
        <v>20.340586565752126</v>
      </c>
      <c r="E241" s="700"/>
      <c r="F241" s="703">
        <v>7</v>
      </c>
      <c r="G241" s="700"/>
      <c r="H241" s="700">
        <f>D241-F241</f>
        <v>13.340586565752126</v>
      </c>
      <c r="I241" s="704"/>
      <c r="J241" s="667"/>
      <c r="K241" s="667"/>
      <c r="L241" s="725">
        <f>AVERAGE(L237:L240)</f>
        <v>998.75</v>
      </c>
      <c r="M241" s="667"/>
      <c r="N241" s="700">
        <f>(L241/L234-1)*100</f>
        <v>18.142836019517961</v>
      </c>
      <c r="O241" s="704"/>
      <c r="P241" s="703">
        <f>H241/N241*100</f>
        <v>73.530877705119508</v>
      </c>
      <c r="Q241" s="702"/>
      <c r="R241" s="667"/>
      <c r="S241" s="726">
        <f>SUM(S237:S240)</f>
        <v>1272</v>
      </c>
      <c r="T241" s="667"/>
      <c r="U241" s="707">
        <f>SUM(U237:U240)</f>
        <v>1.2557807445946105</v>
      </c>
      <c r="V241" s="666"/>
      <c r="W241" s="730">
        <f>(U241/U234-1)*100</f>
        <v>2.301071920304687</v>
      </c>
      <c r="X241" s="685"/>
      <c r="Y241" s="666"/>
      <c r="Z241" s="727"/>
      <c r="AA241" s="666"/>
      <c r="AB241" s="710">
        <f>AVERAGE(AB237:AB240)</f>
        <v>2.4401562499999998</v>
      </c>
      <c r="AC241" s="666"/>
      <c r="AD241" s="700">
        <f>(AB241/AB234-1)*100</f>
        <v>23.699009900990099</v>
      </c>
      <c r="AE241" s="685"/>
      <c r="AF241" s="703">
        <f>+H241/AD241*100</f>
        <v>56.291746454752868</v>
      </c>
      <c r="AG241" s="668"/>
      <c r="AH241" s="666"/>
      <c r="AI241" s="673">
        <f>SUM(AI237:AI240)</f>
        <v>1272</v>
      </c>
      <c r="AJ241" s="666"/>
      <c r="AK241" s="711">
        <f>SUM(AK237:AK240)</f>
        <v>513.06176281564228</v>
      </c>
      <c r="AL241" s="666"/>
      <c r="AM241" s="730">
        <f>(AK241/AK234-1)*100</f>
        <v>-2.011265685679231</v>
      </c>
      <c r="AN241" s="685"/>
      <c r="AO241" s="666"/>
    </row>
    <row r="242" spans="1:41" hidden="1" outlineLevel="1">
      <c r="A242" s="666"/>
      <c r="B242" s="684"/>
      <c r="C242" s="666"/>
      <c r="D242" s="700"/>
      <c r="E242" s="700"/>
      <c r="F242" s="700"/>
      <c r="G242" s="700"/>
      <c r="H242" s="700"/>
      <c r="I242" s="704"/>
      <c r="J242" s="667"/>
      <c r="K242" s="667"/>
      <c r="L242" s="667"/>
      <c r="M242" s="667"/>
      <c r="N242" s="667"/>
      <c r="O242" s="704"/>
      <c r="P242" s="702"/>
      <c r="Q242" s="702"/>
      <c r="R242" s="667"/>
      <c r="S242" s="667"/>
      <c r="T242" s="667"/>
      <c r="U242" s="667"/>
      <c r="V242" s="666"/>
      <c r="W242" s="666"/>
      <c r="X242" s="685"/>
      <c r="Y242" s="666"/>
      <c r="Z242" s="676"/>
      <c r="AA242" s="666"/>
      <c r="AB242" s="679"/>
      <c r="AC242" s="666"/>
      <c r="AD242" s="667"/>
      <c r="AE242" s="685"/>
      <c r="AF242" s="703"/>
      <c r="AG242" s="668"/>
      <c r="AH242" s="666"/>
      <c r="AI242" s="666"/>
      <c r="AJ242" s="666"/>
      <c r="AK242" s="666"/>
      <c r="AL242" s="666"/>
      <c r="AM242" s="666"/>
      <c r="AN242" s="685"/>
      <c r="AO242" s="666"/>
    </row>
    <row r="243" spans="1:41" hidden="1" outlineLevel="1" collapsed="1">
      <c r="A243" s="698"/>
      <c r="B243" s="728">
        <f>B236+1</f>
        <v>1999</v>
      </c>
      <c r="C243" s="666"/>
      <c r="D243" s="700"/>
      <c r="E243" s="700"/>
      <c r="F243" s="700"/>
      <c r="G243" s="700"/>
      <c r="H243" s="700"/>
      <c r="I243" s="704"/>
      <c r="J243" s="667"/>
      <c r="K243" s="667"/>
      <c r="L243" s="667"/>
      <c r="M243" s="667"/>
      <c r="N243" s="667"/>
      <c r="O243" s="704"/>
      <c r="P243" s="702"/>
      <c r="Q243" s="702"/>
      <c r="R243" s="667"/>
      <c r="S243" s="667"/>
      <c r="T243" s="667"/>
      <c r="U243" s="667"/>
      <c r="V243" s="666"/>
      <c r="W243" s="666"/>
      <c r="X243" s="685"/>
      <c r="Y243" s="666"/>
      <c r="Z243" s="676"/>
      <c r="AA243" s="666"/>
      <c r="AB243" s="679"/>
      <c r="AC243" s="666"/>
      <c r="AD243" s="667"/>
      <c r="AE243" s="685"/>
      <c r="AF243" s="703"/>
      <c r="AG243" s="668"/>
      <c r="AH243" s="666"/>
      <c r="AI243" s="666"/>
      <c r="AJ243" s="666"/>
      <c r="AK243" s="666"/>
      <c r="AL243" s="666"/>
      <c r="AM243" s="666"/>
      <c r="AN243" s="685"/>
      <c r="AO243" s="666"/>
    </row>
    <row r="244" spans="1:41" hidden="1" outlineLevel="1">
      <c r="A244" s="666" t="str">
        <f>$A$26</f>
        <v>1Q</v>
      </c>
      <c r="B244" s="684" t="str">
        <f>$B$26</f>
        <v>Apr</v>
      </c>
      <c r="C244" s="666"/>
      <c r="D244" s="700">
        <f>(S244/S237-1)*100</f>
        <v>24.26341463414634</v>
      </c>
      <c r="E244" s="701" t="s">
        <v>1084</v>
      </c>
      <c r="F244" s="703">
        <v>13.288406176393613</v>
      </c>
      <c r="G244" s="701" t="s">
        <v>1084</v>
      </c>
      <c r="H244" s="700">
        <f>D244-F244</f>
        <v>10.975008457752727</v>
      </c>
      <c r="I244" s="704" t="s">
        <v>1084</v>
      </c>
      <c r="J244" s="705">
        <f>+'store&amp;sf'!L71</f>
        <v>1101</v>
      </c>
      <c r="K244" s="667"/>
      <c r="L244" s="706">
        <f>AVERAGE(J244,J240)</f>
        <v>1081</v>
      </c>
      <c r="M244" s="667"/>
      <c r="N244" s="700">
        <f>(L244/L237-1)*100</f>
        <v>14.938862307283362</v>
      </c>
      <c r="O244" s="704" t="s">
        <v>1084</v>
      </c>
      <c r="P244" s="703">
        <f>H244/N244*100</f>
        <v>73.46615981862233</v>
      </c>
      <c r="Q244" s="702" t="s">
        <v>1084</v>
      </c>
      <c r="R244" s="667"/>
      <c r="S244" s="726">
        <f>+'segSales&amp;OM'!W59</f>
        <v>254.74</v>
      </c>
      <c r="T244" s="667"/>
      <c r="U244" s="707">
        <f>S244/L244</f>
        <v>0.23565217391304349</v>
      </c>
      <c r="V244" s="666"/>
      <c r="W244" s="730">
        <f>(U244/U237-1)*100</f>
        <v>8.1126193001060507</v>
      </c>
      <c r="X244" s="685" t="s">
        <v>1084</v>
      </c>
      <c r="Y244" s="666"/>
      <c r="Z244" s="678">
        <f>+'store&amp;sf'!L435</f>
        <v>2.7212499999999999</v>
      </c>
      <c r="AA244" s="666"/>
      <c r="AB244" s="710">
        <f>AVERAGE(Z244,Z240)</f>
        <v>2.6681249999999999</v>
      </c>
      <c r="AC244" s="666"/>
      <c r="AD244" s="700">
        <f>(AB244/AB237-1)*100</f>
        <v>17.248008788794287</v>
      </c>
      <c r="AE244" s="685" t="s">
        <v>1084</v>
      </c>
      <c r="AF244" s="703">
        <f>+H244/AD244*100</f>
        <v>63.630582475601408</v>
      </c>
      <c r="AG244" s="668" t="s">
        <v>1084</v>
      </c>
      <c r="AH244" s="666"/>
      <c r="AI244" s="673">
        <f>+S244</f>
        <v>254.74</v>
      </c>
      <c r="AJ244" s="666"/>
      <c r="AK244" s="711">
        <f>AI244/AB244</f>
        <v>95.475286952447888</v>
      </c>
      <c r="AL244" s="666"/>
      <c r="AM244" s="677">
        <f>(AK244/AK237-1)*100</f>
        <v>5.9833901810557144</v>
      </c>
      <c r="AN244" s="685" t="s">
        <v>1084</v>
      </c>
      <c r="AO244" s="666"/>
    </row>
    <row r="245" spans="1:41" hidden="1" outlineLevel="1">
      <c r="A245" s="666" t="str">
        <f>$A$27</f>
        <v>2Q</v>
      </c>
      <c r="B245" s="684" t="str">
        <f>$B$27</f>
        <v>Jul</v>
      </c>
      <c r="C245" s="666"/>
      <c r="D245" s="700">
        <f>(S245/S238-1)*100</f>
        <v>17.281496062992119</v>
      </c>
      <c r="E245" s="701"/>
      <c r="F245" s="703">
        <v>9.1245406288280932</v>
      </c>
      <c r="G245" s="701"/>
      <c r="H245" s="700">
        <f>D245-F245</f>
        <v>8.1569554341640256</v>
      </c>
      <c r="I245" s="704"/>
      <c r="J245" s="705">
        <f>+'store&amp;sf'!L72</f>
        <v>1126</v>
      </c>
      <c r="K245" s="667"/>
      <c r="L245" s="706">
        <f>AVERAGE(J245,J244)</f>
        <v>1113.5</v>
      </c>
      <c r="M245" s="667"/>
      <c r="N245" s="700">
        <f>(L245/L238-1)*100</f>
        <v>13.622448979591839</v>
      </c>
      <c r="O245" s="704"/>
      <c r="P245" s="703">
        <f>H245/N245*100</f>
        <v>59.87877397363853</v>
      </c>
      <c r="Q245" s="702"/>
      <c r="R245" s="667"/>
      <c r="S245" s="712">
        <f>+'segSales&amp;OM'!W60</f>
        <v>297.89499999999998</v>
      </c>
      <c r="T245" s="667"/>
      <c r="U245" s="713">
        <f>S245/L245</f>
        <v>0.26753030983385717</v>
      </c>
      <c r="V245" s="666"/>
      <c r="W245" s="730">
        <f>(U245/U238-1)*100</f>
        <v>3.2203557626693025</v>
      </c>
      <c r="X245" s="685"/>
      <c r="Y245" s="666"/>
      <c r="Z245" s="678">
        <f>+'store&amp;sf'!L436</f>
        <v>2.7974999999999999</v>
      </c>
      <c r="AA245" s="666"/>
      <c r="AB245" s="710">
        <f>AVERAGE(Z245,Z244)</f>
        <v>2.7593749999999999</v>
      </c>
      <c r="AC245" s="666"/>
      <c r="AD245" s="700">
        <f>(AB245/AB238-1)*100</f>
        <v>15.515436944008364</v>
      </c>
      <c r="AE245" s="685"/>
      <c r="AF245" s="703">
        <f>+H245/AD245*100</f>
        <v>52.573159644814368</v>
      </c>
      <c r="AG245" s="668"/>
      <c r="AH245" s="666"/>
      <c r="AI245" s="675">
        <f>+S245</f>
        <v>297.89499999999998</v>
      </c>
      <c r="AJ245" s="666"/>
      <c r="AK245" s="714">
        <f>AI245/AB245</f>
        <v>107.95741789354473</v>
      </c>
      <c r="AL245" s="666"/>
      <c r="AM245" s="677">
        <f>(AK245/AK238-1)*100</f>
        <v>1.5288511784271597</v>
      </c>
      <c r="AN245" s="685"/>
      <c r="AO245" s="666"/>
    </row>
    <row r="246" spans="1:41" hidden="1" outlineLevel="1">
      <c r="A246" s="666" t="str">
        <f>$A$28</f>
        <v>3Q</v>
      </c>
      <c r="B246" s="684" t="str">
        <f>$B$28</f>
        <v>Oct</v>
      </c>
      <c r="C246" s="666"/>
      <c r="D246" s="700">
        <f>(S246/S239-1)*100</f>
        <v>17.628440366972487</v>
      </c>
      <c r="E246" s="701"/>
      <c r="F246" s="703">
        <v>10.444051431575927</v>
      </c>
      <c r="G246" s="701"/>
      <c r="H246" s="700">
        <f>D246-F246</f>
        <v>7.1843889353965604</v>
      </c>
      <c r="I246" s="704"/>
      <c r="J246" s="705">
        <f>+'store&amp;sf'!L73</f>
        <v>1166</v>
      </c>
      <c r="K246" s="667"/>
      <c r="L246" s="706">
        <f>AVERAGE(J246,J245)</f>
        <v>1146</v>
      </c>
      <c r="M246" s="667"/>
      <c r="N246" s="700">
        <f>(L246/L239-1)*100</f>
        <v>12.13307240704502</v>
      </c>
      <c r="O246" s="704"/>
      <c r="P246" s="703">
        <f>H246/N246*100</f>
        <v>59.213270096574824</v>
      </c>
      <c r="Q246" s="702"/>
      <c r="R246" s="667"/>
      <c r="S246" s="712">
        <f>+'segSales&amp;OM'!W61</f>
        <v>256.43</v>
      </c>
      <c r="T246" s="667"/>
      <c r="U246" s="713">
        <f>S246/L246</f>
        <v>0.223760907504363</v>
      </c>
      <c r="V246" s="666"/>
      <c r="W246" s="730">
        <f>(U246/U239-1)*100</f>
        <v>4.9007557199353124</v>
      </c>
      <c r="X246" s="685"/>
      <c r="Y246" s="666"/>
      <c r="Z246" s="678">
        <f>+'store&amp;sf'!L437</f>
        <v>2.9249999999999998</v>
      </c>
      <c r="AA246" s="666"/>
      <c r="AB246" s="710">
        <f>AVERAGE(Z246,Z245)</f>
        <v>2.8612500000000001</v>
      </c>
      <c r="AC246" s="666"/>
      <c r="AD246" s="700">
        <f>(AB246/AB239-1)*100</f>
        <v>14.22155688622755</v>
      </c>
      <c r="AE246" s="685"/>
      <c r="AF246" s="703">
        <f>+H246/AD246*100</f>
        <v>50.517597987841057</v>
      </c>
      <c r="AG246" s="668"/>
      <c r="AH246" s="666"/>
      <c r="AI246" s="675">
        <f>+S246</f>
        <v>256.43</v>
      </c>
      <c r="AJ246" s="666"/>
      <c r="AK246" s="714">
        <f>AI246/AB246</f>
        <v>89.621668851026655</v>
      </c>
      <c r="AL246" s="666"/>
      <c r="AM246" s="730">
        <f>(AK246/AK239-1)*100</f>
        <v>2.9826974641384174</v>
      </c>
      <c r="AN246" s="685"/>
      <c r="AO246" s="666"/>
    </row>
    <row r="247" spans="1:41" hidden="1" outlineLevel="1">
      <c r="A247" s="666" t="str">
        <f>$A$29</f>
        <v>4Q</v>
      </c>
      <c r="B247" s="684" t="str">
        <f>$B$29</f>
        <v>Jan</v>
      </c>
      <c r="C247" s="666"/>
      <c r="D247" s="715">
        <f>(S247/S240-1)*100</f>
        <v>21.174117647058832</v>
      </c>
      <c r="E247" s="701"/>
      <c r="F247" s="717">
        <v>11.454004376367614</v>
      </c>
      <c r="G247" s="701"/>
      <c r="H247" s="715">
        <f>D247-F247</f>
        <v>9.7201132706912183</v>
      </c>
      <c r="I247" s="704"/>
      <c r="J247" s="705">
        <f>+'store&amp;sf'!L74</f>
        <v>1214</v>
      </c>
      <c r="K247" s="667"/>
      <c r="L247" s="716">
        <f>AVERAGE(J247,J246)</f>
        <v>1190</v>
      </c>
      <c r="M247" s="667"/>
      <c r="N247" s="715">
        <f>(L247/L240-1)*100</f>
        <v>13.064133016627078</v>
      </c>
      <c r="O247" s="704"/>
      <c r="P247" s="717">
        <f>H247/N247*100</f>
        <v>74.403048853836424</v>
      </c>
      <c r="Q247" s="702"/>
      <c r="R247" s="667"/>
      <c r="S247" s="712">
        <f>+'segSales&amp;OM'!W62</f>
        <v>720.98599999999999</v>
      </c>
      <c r="T247" s="667"/>
      <c r="U247" s="719">
        <f>S247/L247</f>
        <v>0.60587058823529416</v>
      </c>
      <c r="V247" s="666"/>
      <c r="W247" s="720">
        <f>(U247/U240-1)*100</f>
        <v>7.1729065743944664</v>
      </c>
      <c r="X247" s="685"/>
      <c r="Y247" s="666"/>
      <c r="Z247" s="678">
        <f>+'store&amp;sf'!L438</f>
        <v>3.1125000000000003</v>
      </c>
      <c r="AA247" s="666"/>
      <c r="AB247" s="721">
        <f>AVERAGE(Z247,Z246)</f>
        <v>3.0187499999999998</v>
      </c>
      <c r="AC247" s="666"/>
      <c r="AD247" s="715">
        <f>(AB247/AB240-1)*100</f>
        <v>16.497829232995677</v>
      </c>
      <c r="AE247" s="685"/>
      <c r="AF247" s="717">
        <f>+H247/AD247*100</f>
        <v>58.917528684628287</v>
      </c>
      <c r="AG247" s="668"/>
      <c r="AH247" s="666"/>
      <c r="AI247" s="722">
        <f>+S247</f>
        <v>720.98599999999999</v>
      </c>
      <c r="AJ247" s="666"/>
      <c r="AK247" s="723">
        <f>AI247/AB247</f>
        <v>238.83594202898553</v>
      </c>
      <c r="AL247" s="666"/>
      <c r="AM247" s="720">
        <f>(AK247/AK240-1)*100</f>
        <v>4.0140562659846557</v>
      </c>
      <c r="AN247" s="685"/>
      <c r="AO247" s="666"/>
    </row>
    <row r="248" spans="1:41" hidden="1" outlineLevel="1">
      <c r="A248" s="666"/>
      <c r="B248" s="684" t="str">
        <f>$B$30</f>
        <v>Year</v>
      </c>
      <c r="C248" s="666"/>
      <c r="D248" s="700">
        <f>(S248/S241-1)*100</f>
        <v>20.287028301886778</v>
      </c>
      <c r="E248" s="701"/>
      <c r="F248" s="703">
        <v>11</v>
      </c>
      <c r="G248" s="701"/>
      <c r="H248" s="700">
        <f>D248-F248</f>
        <v>9.2870283018867781</v>
      </c>
      <c r="I248" s="704"/>
      <c r="J248" s="705"/>
      <c r="K248" s="667"/>
      <c r="L248" s="706">
        <f>AVERAGE(L244:L247)</f>
        <v>1132.625</v>
      </c>
      <c r="M248" s="667"/>
      <c r="N248" s="700">
        <f>(L248/L241-1)*100</f>
        <v>13.404255319148927</v>
      </c>
      <c r="O248" s="704"/>
      <c r="P248" s="703">
        <f>H248/N248*100</f>
        <v>69.284179395028389</v>
      </c>
      <c r="Q248" s="702"/>
      <c r="R248" s="667"/>
      <c r="S248" s="726">
        <f>SUM(S244:S247)</f>
        <v>1530.0509999999999</v>
      </c>
      <c r="T248" s="667"/>
      <c r="U248" s="707">
        <f>SUM(U244:U247)</f>
        <v>1.3328139794865579</v>
      </c>
      <c r="V248" s="666"/>
      <c r="W248" s="730">
        <f>(U248/U241-1)*100</f>
        <v>6.1342901795181648</v>
      </c>
      <c r="X248" s="685"/>
      <c r="Y248" s="666"/>
      <c r="Z248" s="676"/>
      <c r="AA248" s="666"/>
      <c r="AB248" s="710">
        <f>AVERAGE(AB244:AB247)</f>
        <v>2.8268750000000002</v>
      </c>
      <c r="AC248" s="666"/>
      <c r="AD248" s="700">
        <f>(AB248/AB241-1)*100</f>
        <v>15.848114234488087</v>
      </c>
      <c r="AE248" s="685"/>
      <c r="AF248" s="703">
        <f>+H248/AD248*100</f>
        <v>58.600210501238607</v>
      </c>
      <c r="AG248" s="668"/>
      <c r="AH248" s="666"/>
      <c r="AI248" s="673">
        <f>SUM(AI244:AI247)</f>
        <v>1530.0509999999999</v>
      </c>
      <c r="AJ248" s="666"/>
      <c r="AK248" s="711">
        <f>SUM(AK244:AK247)</f>
        <v>531.89031572600481</v>
      </c>
      <c r="AL248" s="666"/>
      <c r="AM248" s="730">
        <f>(AK248/AK241-1)*100</f>
        <v>3.6698413865482671</v>
      </c>
      <c r="AN248" s="685"/>
      <c r="AO248" s="666"/>
    </row>
    <row r="249" spans="1:41" hidden="1" outlineLevel="1">
      <c r="A249" s="666"/>
      <c r="B249" s="684"/>
      <c r="C249" s="666"/>
      <c r="D249" s="700"/>
      <c r="E249" s="701"/>
      <c r="F249" s="700"/>
      <c r="G249" s="701"/>
      <c r="H249" s="700"/>
      <c r="I249" s="704"/>
      <c r="J249" s="667"/>
      <c r="K249" s="667"/>
      <c r="L249" s="667"/>
      <c r="M249" s="667"/>
      <c r="N249" s="667"/>
      <c r="O249" s="704"/>
      <c r="P249" s="702"/>
      <c r="Q249" s="702"/>
      <c r="R249" s="667"/>
      <c r="S249" s="667"/>
      <c r="T249" s="667"/>
      <c r="U249" s="667"/>
      <c r="V249" s="666"/>
      <c r="W249" s="666"/>
      <c r="X249" s="685"/>
      <c r="Y249" s="666"/>
      <c r="Z249" s="676"/>
      <c r="AA249" s="666"/>
      <c r="AB249" s="679"/>
      <c r="AC249" s="666"/>
      <c r="AD249" s="667"/>
      <c r="AE249" s="685"/>
      <c r="AF249" s="703"/>
      <c r="AG249" s="668"/>
      <c r="AH249" s="666"/>
      <c r="AI249" s="666"/>
      <c r="AJ249" s="666"/>
      <c r="AK249" s="666"/>
      <c r="AL249" s="666"/>
      <c r="AM249" s="666"/>
      <c r="AN249" s="685"/>
      <c r="AO249" s="666"/>
    </row>
    <row r="250" spans="1:41" hidden="1" outlineLevel="1">
      <c r="A250" s="698"/>
      <c r="B250" s="728">
        <f>B243+1</f>
        <v>2000</v>
      </c>
      <c r="C250" s="666"/>
      <c r="D250" s="700"/>
      <c r="E250" s="701"/>
      <c r="F250" s="700"/>
      <c r="G250" s="701"/>
      <c r="H250" s="700"/>
      <c r="I250" s="704"/>
      <c r="J250" s="667"/>
      <c r="K250" s="667"/>
      <c r="L250" s="667"/>
      <c r="M250" s="667"/>
      <c r="N250" s="667"/>
      <c r="O250" s="704"/>
      <c r="P250" s="702"/>
      <c r="Q250" s="702"/>
      <c r="R250" s="667"/>
      <c r="S250" s="667"/>
      <c r="T250" s="667"/>
      <c r="U250" s="667"/>
      <c r="V250" s="666"/>
      <c r="W250" s="666"/>
      <c r="X250" s="685"/>
      <c r="Y250" s="666"/>
      <c r="Z250" s="676"/>
      <c r="AA250" s="666"/>
      <c r="AB250" s="679"/>
      <c r="AC250" s="666"/>
      <c r="AD250" s="667"/>
      <c r="AE250" s="685"/>
      <c r="AF250" s="703"/>
      <c r="AG250" s="668"/>
      <c r="AH250" s="666"/>
      <c r="AI250" s="666"/>
      <c r="AJ250" s="666"/>
      <c r="AK250" s="666"/>
      <c r="AL250" s="666"/>
      <c r="AM250" s="666"/>
      <c r="AN250" s="685"/>
      <c r="AO250" s="666"/>
    </row>
    <row r="251" spans="1:41" hidden="1" outlineLevel="1">
      <c r="A251" s="666" t="str">
        <f>$A$26</f>
        <v>1Q</v>
      </c>
      <c r="B251" s="684" t="str">
        <f>$B$26</f>
        <v>Apr</v>
      </c>
      <c r="C251" s="666"/>
      <c r="D251" s="700">
        <f>(S251/S244-1)*100</f>
        <v>18.335950380780396</v>
      </c>
      <c r="E251" s="701" t="s">
        <v>1084</v>
      </c>
      <c r="F251" s="703">
        <v>5.8245280102816892</v>
      </c>
      <c r="G251" s="701" t="s">
        <v>1084</v>
      </c>
      <c r="H251" s="700">
        <f>D251-F251</f>
        <v>12.511422370498707</v>
      </c>
      <c r="I251" s="704" t="s">
        <v>1084</v>
      </c>
      <c r="J251" s="705">
        <f>+'store&amp;sf'!L77</f>
        <v>1250</v>
      </c>
      <c r="K251" s="667"/>
      <c r="L251" s="706">
        <f>AVERAGE(J251,J247)</f>
        <v>1232</v>
      </c>
      <c r="M251" s="667"/>
      <c r="N251" s="700">
        <f>(L251/L244-1)*100</f>
        <v>13.968547641073069</v>
      </c>
      <c r="O251" s="704" t="s">
        <v>1084</v>
      </c>
      <c r="P251" s="703">
        <f>H251/N251*100</f>
        <v>89.568527036484198</v>
      </c>
      <c r="Q251" s="702" t="s">
        <v>1084</v>
      </c>
      <c r="R251" s="667"/>
      <c r="S251" s="726">
        <f>+'segSales&amp;OM'!W66</f>
        <v>301.44900000000001</v>
      </c>
      <c r="T251" s="667"/>
      <c r="U251" s="707">
        <f>S251/L251</f>
        <v>0.24468262987012987</v>
      </c>
      <c r="V251" s="666"/>
      <c r="W251" s="730">
        <f>(U251/U244-1)*100</f>
        <v>3.8321123065126583</v>
      </c>
      <c r="X251" s="685" t="s">
        <v>1084</v>
      </c>
      <c r="Y251" s="666"/>
      <c r="Z251" s="678">
        <f>+'store&amp;sf'!L441</f>
        <v>3.2312499999999997</v>
      </c>
      <c r="AA251" s="666"/>
      <c r="AB251" s="710">
        <f>AVERAGE(Z251,Z247)</f>
        <v>3.171875</v>
      </c>
      <c r="AC251" s="666"/>
      <c r="AD251" s="700">
        <f>(AB251/AB244-1)*100</f>
        <v>18.88029983602717</v>
      </c>
      <c r="AE251" s="685" t="s">
        <v>1084</v>
      </c>
      <c r="AF251" s="703">
        <f>+H251/AD251*100</f>
        <v>66.267074565333729</v>
      </c>
      <c r="AG251" s="668" t="s">
        <v>1084</v>
      </c>
      <c r="AH251" s="666"/>
      <c r="AI251" s="673">
        <f>+S251</f>
        <v>301.44900000000001</v>
      </c>
      <c r="AJ251" s="666"/>
      <c r="AK251" s="711">
        <f>AI251/AB251</f>
        <v>95.038108374384237</v>
      </c>
      <c r="AL251" s="666"/>
      <c r="AM251" s="730">
        <f>(AK251/AK244-1)*100</f>
        <v>-0.45789710826571461</v>
      </c>
      <c r="AN251" s="685" t="s">
        <v>1084</v>
      </c>
      <c r="AO251" s="666"/>
    </row>
    <row r="252" spans="1:41" hidden="1" outlineLevel="1">
      <c r="A252" s="666" t="str">
        <f>$A$27</f>
        <v>2Q</v>
      </c>
      <c r="B252" s="684" t="str">
        <f>$B$27</f>
        <v>Jul</v>
      </c>
      <c r="C252" s="666"/>
      <c r="D252" s="700">
        <f>(S252/S245-1)*100</f>
        <v>17.468906829587617</v>
      </c>
      <c r="E252" s="700"/>
      <c r="F252" s="703">
        <v>3.3610854147394389</v>
      </c>
      <c r="G252" s="700"/>
      <c r="H252" s="700">
        <f>D252-F252</f>
        <v>14.107821414848178</v>
      </c>
      <c r="I252" s="667"/>
      <c r="J252" s="705">
        <f>+'store&amp;sf'!L78</f>
        <v>1303</v>
      </c>
      <c r="K252" s="724"/>
      <c r="L252" s="706">
        <f>AVERAGE(J252,J251)</f>
        <v>1276.5</v>
      </c>
      <c r="M252" s="667"/>
      <c r="N252" s="700">
        <f>(L252/L245-1)*100</f>
        <v>14.638527166591819</v>
      </c>
      <c r="O252" s="704"/>
      <c r="P252" s="703">
        <f>H252/N252*100</f>
        <v>96.374595984254327</v>
      </c>
      <c r="Q252" s="702"/>
      <c r="R252" s="667"/>
      <c r="S252" s="712">
        <f>+'segSales&amp;OM'!W67</f>
        <v>349.93400000000003</v>
      </c>
      <c r="T252" s="667"/>
      <c r="U252" s="713">
        <f>S252/L252</f>
        <v>0.27413552683117903</v>
      </c>
      <c r="V252" s="666"/>
      <c r="W252" s="730">
        <f>(U252/U245-1)*100</f>
        <v>2.4689602465693961</v>
      </c>
      <c r="X252" s="685"/>
      <c r="Y252" s="666"/>
      <c r="Z252" s="678">
        <f>+'store&amp;sf'!L442</f>
        <v>3.4</v>
      </c>
      <c r="AA252" s="724"/>
      <c r="AB252" s="710">
        <f>AVERAGE(Z252,Z251)</f>
        <v>3.3156249999999998</v>
      </c>
      <c r="AC252" s="666"/>
      <c r="AD252" s="700">
        <f>(AB252/AB245-1)*100</f>
        <v>20.158550396375997</v>
      </c>
      <c r="AE252" s="685"/>
      <c r="AF252" s="703">
        <f>+H252/AD252*100</f>
        <v>69.984305108488414</v>
      </c>
      <c r="AG252" s="668"/>
      <c r="AH252" s="666"/>
      <c r="AI252" s="675">
        <f>+S252</f>
        <v>349.93400000000003</v>
      </c>
      <c r="AJ252" s="666"/>
      <c r="AK252" s="714">
        <f>AI252/AB252</f>
        <v>105.54088595664469</v>
      </c>
      <c r="AL252" s="666"/>
      <c r="AM252" s="730">
        <f>(AK252/AK245-1)*100</f>
        <v>-2.238412129570333</v>
      </c>
      <c r="AN252" s="685"/>
      <c r="AO252" s="666"/>
    </row>
    <row r="253" spans="1:41" hidden="1" outlineLevel="1">
      <c r="A253" s="666" t="str">
        <f>$A$28</f>
        <v>3Q</v>
      </c>
      <c r="B253" s="684" t="str">
        <f>$B$28</f>
        <v>Oct</v>
      </c>
      <c r="C253" s="666"/>
      <c r="D253" s="700">
        <f>(S253/S246-1)*100</f>
        <v>22.09296884139922</v>
      </c>
      <c r="E253" s="700"/>
      <c r="F253" s="703">
        <v>4.5759956762245579</v>
      </c>
      <c r="G253" s="700"/>
      <c r="H253" s="700">
        <f>D253-F253</f>
        <v>17.516973165174662</v>
      </c>
      <c r="I253" s="667"/>
      <c r="J253" s="705">
        <f>+'store&amp;sf'!L79</f>
        <v>1410</v>
      </c>
      <c r="K253" s="724"/>
      <c r="L253" s="706">
        <f>AVERAGE(J253,J252)</f>
        <v>1356.5</v>
      </c>
      <c r="M253" s="667"/>
      <c r="N253" s="700">
        <f>(L253/L246-1)*100</f>
        <v>18.368237347294937</v>
      </c>
      <c r="O253" s="704"/>
      <c r="P253" s="703">
        <f>H253/N253*100</f>
        <v>95.365564120143304</v>
      </c>
      <c r="Q253" s="702"/>
      <c r="R253" s="667"/>
      <c r="S253" s="712">
        <f>+'segSales&amp;OM'!W68</f>
        <v>313.08300000000003</v>
      </c>
      <c r="T253" s="667"/>
      <c r="U253" s="713">
        <f>S253/L253</f>
        <v>0.23080206413564322</v>
      </c>
      <c r="V253" s="666"/>
      <c r="W253" s="730">
        <f>(U253/U246-1)*100</f>
        <v>3.1467322464014069</v>
      </c>
      <c r="X253" s="685"/>
      <c r="Y253" s="666"/>
      <c r="Z253" s="678">
        <f>+'store&amp;sf'!L443</f>
        <v>3.7225000000000001</v>
      </c>
      <c r="AA253" s="724"/>
      <c r="AB253" s="710">
        <f>AVERAGE(Z253,Z252)</f>
        <v>3.5612500000000002</v>
      </c>
      <c r="AC253" s="666"/>
      <c r="AD253" s="700">
        <f>(AB253/AB246-1)*100</f>
        <v>24.46483180428136</v>
      </c>
      <c r="AE253" s="685"/>
      <c r="AF253" s="703">
        <f>+H253/AD253*100</f>
        <v>71.600627812651382</v>
      </c>
      <c r="AG253" s="668"/>
      <c r="AH253" s="666"/>
      <c r="AI253" s="675">
        <f>+S253</f>
        <v>313.08300000000003</v>
      </c>
      <c r="AJ253" s="666"/>
      <c r="AK253" s="714">
        <f>AI253/AB253</f>
        <v>87.913794313794313</v>
      </c>
      <c r="AL253" s="666"/>
      <c r="AM253" s="730">
        <f>(AK253/AK246-1)*100</f>
        <v>-1.9056491126841824</v>
      </c>
      <c r="AN253" s="685"/>
      <c r="AO253" s="666"/>
    </row>
    <row r="254" spans="1:41" hidden="1" outlineLevel="1">
      <c r="A254" s="666" t="str">
        <f>$A$29</f>
        <v>4Q</v>
      </c>
      <c r="B254" s="684" t="str">
        <f>$B$29</f>
        <v>Jan</v>
      </c>
      <c r="C254" s="666"/>
      <c r="D254" s="715">
        <f>(S254/S247-1)*100</f>
        <v>13.749642850207922</v>
      </c>
      <c r="E254" s="700"/>
      <c r="F254" s="717">
        <v>-1.865813744654599</v>
      </c>
      <c r="G254" s="700"/>
      <c r="H254" s="715">
        <f>D254-F254</f>
        <v>15.61545659486252</v>
      </c>
      <c r="I254" s="667"/>
      <c r="J254" s="705">
        <f>+'store&amp;sf'!L80</f>
        <v>1432</v>
      </c>
      <c r="K254" s="724"/>
      <c r="L254" s="716">
        <f>AVERAGE(J254,J253)</f>
        <v>1421</v>
      </c>
      <c r="M254" s="667"/>
      <c r="N254" s="715">
        <f>(L254/L247-1)*100</f>
        <v>19.411764705882351</v>
      </c>
      <c r="O254" s="704"/>
      <c r="P254" s="717">
        <f>H254/N254*100</f>
        <v>80.443261246261471</v>
      </c>
      <c r="Q254" s="702"/>
      <c r="R254" s="667"/>
      <c r="S254" s="718">
        <f>+'segSales&amp;OM'!W69</f>
        <v>820.11900000000003</v>
      </c>
      <c r="T254" s="667"/>
      <c r="U254" s="719">
        <f>S254/L254</f>
        <v>0.57714215341308939</v>
      </c>
      <c r="V254" s="666"/>
      <c r="W254" s="720">
        <f>(U254/U247-1)*100</f>
        <v>-4.7416784013037283</v>
      </c>
      <c r="X254" s="685"/>
      <c r="Y254" s="666"/>
      <c r="Z254" s="678">
        <f>+'store&amp;sf'!L444</f>
        <v>3.7987500000000001</v>
      </c>
      <c r="AA254" s="671"/>
      <c r="AB254" s="721">
        <f>AVERAGE(Z254,Z253)</f>
        <v>3.7606250000000001</v>
      </c>
      <c r="AC254" s="666"/>
      <c r="AD254" s="715">
        <f>(AB254/AB247-1)*100</f>
        <v>24.575569358178061</v>
      </c>
      <c r="AE254" s="685"/>
      <c r="AF254" s="717">
        <f>+H254/AD254*100</f>
        <v>63.54056895803366</v>
      </c>
      <c r="AG254" s="668"/>
      <c r="AH254" s="666"/>
      <c r="AI254" s="722">
        <f>+S254</f>
        <v>820.11900000000003</v>
      </c>
      <c r="AJ254" s="666"/>
      <c r="AK254" s="723">
        <f>AI254/AB254</f>
        <v>218.08050523516704</v>
      </c>
      <c r="AL254" s="666"/>
      <c r="AM254" s="720">
        <f>(AK254/AK247-1)*100</f>
        <v>-8.6902484682559127</v>
      </c>
      <c r="AN254" s="685"/>
      <c r="AO254" s="666"/>
    </row>
    <row r="255" spans="1:41" hidden="1" outlineLevel="1">
      <c r="A255" s="666"/>
      <c r="B255" s="684" t="str">
        <f>$B$30</f>
        <v>Year</v>
      </c>
      <c r="C255" s="666"/>
      <c r="D255" s="700">
        <f>(S255/S248-1)*100</f>
        <v>16.635654628505847</v>
      </c>
      <c r="E255" s="700"/>
      <c r="F255" s="703">
        <v>1</v>
      </c>
      <c r="G255" s="700"/>
      <c r="H255" s="700">
        <f>D255-F255</f>
        <v>15.635654628505847</v>
      </c>
      <c r="I255" s="667"/>
      <c r="J255" s="667"/>
      <c r="K255" s="667"/>
      <c r="L255" s="706">
        <f>AVERAGE(L251:L254)</f>
        <v>1321.5</v>
      </c>
      <c r="M255" s="667"/>
      <c r="N255" s="700">
        <f>(L255/L248-1)*100</f>
        <v>16.675863591215091</v>
      </c>
      <c r="O255" s="704"/>
      <c r="P255" s="703">
        <f>H255/N255*100</f>
        <v>93.762188344732991</v>
      </c>
      <c r="Q255" s="702"/>
      <c r="R255" s="667"/>
      <c r="S255" s="726">
        <f>SUM(S251:S254)</f>
        <v>1784.585</v>
      </c>
      <c r="T255" s="667"/>
      <c r="U255" s="707">
        <f>SUM(U251:U254)</f>
        <v>1.3267623742500416</v>
      </c>
      <c r="V255" s="666"/>
      <c r="W255" s="730">
        <f>(U255/U248-1)*100</f>
        <v>-0.45404725112858646</v>
      </c>
      <c r="X255" s="685"/>
      <c r="Y255" s="666"/>
      <c r="Z255" s="676"/>
      <c r="AA255" s="666"/>
      <c r="AB255" s="710">
        <f>AVERAGE(AB251:AB254)</f>
        <v>3.4523437499999998</v>
      </c>
      <c r="AC255" s="666"/>
      <c r="AD255" s="700">
        <f>(AB255/AB248-1)*100</f>
        <v>22.125801459208482</v>
      </c>
      <c r="AE255" s="685"/>
      <c r="AF255" s="703">
        <f>+H255/AD255*100</f>
        <v>70.667065585542815</v>
      </c>
      <c r="AG255" s="668"/>
      <c r="AH255" s="666"/>
      <c r="AI255" s="673">
        <f>SUM(AI251:AI254)</f>
        <v>1784.585</v>
      </c>
      <c r="AJ255" s="666"/>
      <c r="AK255" s="711">
        <f>SUM(AK251:AK254)</f>
        <v>506.57329387999027</v>
      </c>
      <c r="AL255" s="666"/>
      <c r="AM255" s="730">
        <f>(AK255/AK248-1)*100</f>
        <v>-4.7598200413666136</v>
      </c>
      <c r="AN255" s="685"/>
      <c r="AO255" s="666"/>
    </row>
    <row r="256" spans="1:41" hidden="1" outlineLevel="1">
      <c r="A256" s="666"/>
      <c r="B256" s="684"/>
      <c r="C256" s="666"/>
      <c r="D256" s="700"/>
      <c r="E256" s="700"/>
      <c r="F256" s="700"/>
      <c r="G256" s="700"/>
      <c r="H256" s="700"/>
      <c r="I256" s="667"/>
      <c r="J256" s="667"/>
      <c r="K256" s="667"/>
      <c r="L256" s="667"/>
      <c r="M256" s="667"/>
      <c r="N256" s="667"/>
      <c r="O256" s="704"/>
      <c r="P256" s="702"/>
      <c r="Q256" s="702"/>
      <c r="R256" s="667"/>
      <c r="S256" s="667"/>
      <c r="T256" s="667"/>
      <c r="U256" s="667"/>
      <c r="V256" s="666"/>
      <c r="W256" s="666"/>
      <c r="X256" s="685"/>
      <c r="Y256" s="666"/>
      <c r="Z256" s="676"/>
      <c r="AA256" s="666"/>
      <c r="AB256" s="679"/>
      <c r="AC256" s="666"/>
      <c r="AD256" s="667"/>
      <c r="AE256" s="685"/>
      <c r="AF256" s="703"/>
      <c r="AG256" s="668"/>
      <c r="AH256" s="666"/>
      <c r="AI256" s="666"/>
      <c r="AJ256" s="666"/>
      <c r="AK256" s="666"/>
      <c r="AL256" s="666"/>
      <c r="AM256" s="666"/>
      <c r="AN256" s="666"/>
      <c r="AO256" s="666"/>
    </row>
    <row r="257" spans="1:41" hidden="1" outlineLevel="1">
      <c r="A257" s="698"/>
      <c r="B257" s="728">
        <f>B250+1</f>
        <v>2001</v>
      </c>
      <c r="C257" s="666"/>
      <c r="D257" s="700"/>
      <c r="E257" s="701"/>
      <c r="F257" s="700"/>
      <c r="G257" s="701"/>
      <c r="H257" s="700"/>
      <c r="I257" s="704"/>
      <c r="J257" s="667"/>
      <c r="K257" s="667"/>
      <c r="L257" s="667"/>
      <c r="M257" s="667"/>
      <c r="N257" s="667"/>
      <c r="O257" s="704"/>
      <c r="P257" s="702"/>
      <c r="Q257" s="702"/>
      <c r="R257" s="667"/>
      <c r="S257" s="667"/>
      <c r="T257" s="667"/>
      <c r="U257" s="667"/>
      <c r="V257" s="666"/>
      <c r="W257" s="666"/>
      <c r="X257" s="685"/>
      <c r="Y257" s="666"/>
      <c r="Z257" s="676"/>
      <c r="AA257" s="666"/>
      <c r="AB257" s="679"/>
      <c r="AC257" s="666"/>
      <c r="AD257" s="667"/>
      <c r="AE257" s="685"/>
      <c r="AF257" s="703"/>
      <c r="AG257" s="668"/>
      <c r="AH257" s="666"/>
      <c r="AI257" s="666"/>
      <c r="AJ257" s="666"/>
      <c r="AK257" s="666"/>
      <c r="AL257" s="666"/>
      <c r="AM257" s="666"/>
      <c r="AN257" s="685"/>
      <c r="AO257" s="666"/>
    </row>
    <row r="258" spans="1:41" hidden="1" outlineLevel="1">
      <c r="A258" s="666" t="str">
        <f>$A$26</f>
        <v>1Q</v>
      </c>
      <c r="B258" s="684" t="str">
        <f>$B$26</f>
        <v>Apr</v>
      </c>
      <c r="C258" s="666"/>
      <c r="D258" s="700">
        <f>(S258/S251-1)*100</f>
        <v>6.1011978809019096</v>
      </c>
      <c r="E258" s="701" t="s">
        <v>1084</v>
      </c>
      <c r="F258" s="703">
        <v>-7.7902378990695702</v>
      </c>
      <c r="G258" s="701" t="s">
        <v>1084</v>
      </c>
      <c r="H258" s="700">
        <f>D258-F258</f>
        <v>13.891435779971481</v>
      </c>
      <c r="I258" s="704" t="s">
        <v>1084</v>
      </c>
      <c r="J258" s="705">
        <f>+'store&amp;sf'!L83</f>
        <v>1473</v>
      </c>
      <c r="K258" s="667"/>
      <c r="L258" s="706">
        <f>AVERAGE(J258,J254)</f>
        <v>1452.5</v>
      </c>
      <c r="M258" s="667"/>
      <c r="N258" s="700">
        <f>(L258/L251-1)*100</f>
        <v>17.89772727272727</v>
      </c>
      <c r="O258" s="704" t="s">
        <v>1084</v>
      </c>
      <c r="P258" s="703">
        <f>H258/N258*100</f>
        <v>77.615641183332727</v>
      </c>
      <c r="Q258" s="702" t="s">
        <v>1084</v>
      </c>
      <c r="R258" s="667"/>
      <c r="S258" s="726">
        <f>+'segSales&amp;OM'!W73</f>
        <v>319.84100000000001</v>
      </c>
      <c r="T258" s="667"/>
      <c r="U258" s="707">
        <f>S258/L258</f>
        <v>0.22020034423407919</v>
      </c>
      <c r="V258" s="666"/>
      <c r="W258" s="730">
        <f>(U258/U251-1)*100</f>
        <v>-10.005730954030179</v>
      </c>
      <c r="X258" s="685" t="s">
        <v>1084</v>
      </c>
      <c r="Y258" s="666"/>
      <c r="Z258" s="678">
        <f>+'store&amp;sf'!L447</f>
        <v>3.9249999999999998</v>
      </c>
      <c r="AA258" s="666"/>
      <c r="AB258" s="710">
        <f>AVERAGE(Z258,Z254)</f>
        <v>3.8618749999999999</v>
      </c>
      <c r="AC258" s="666"/>
      <c r="AD258" s="700">
        <f>(AB258/AB251-1)*100</f>
        <v>21.753694581280779</v>
      </c>
      <c r="AE258" s="685" t="s">
        <v>1084</v>
      </c>
      <c r="AF258" s="703">
        <f>+H258/AD258*100</f>
        <v>63.857822992169652</v>
      </c>
      <c r="AG258" s="668" t="s">
        <v>1084</v>
      </c>
      <c r="AH258" s="666"/>
      <c r="AI258" s="673">
        <f>+S258</f>
        <v>319.84100000000001</v>
      </c>
      <c r="AJ258" s="666"/>
      <c r="AK258" s="711">
        <f>AI258/AB258</f>
        <v>82.82013270755786</v>
      </c>
      <c r="AL258" s="666"/>
      <c r="AM258" s="730">
        <f>(AK258/AK251-1)*100</f>
        <v>-12.855870003952552</v>
      </c>
      <c r="AN258" s="685" t="s">
        <v>1084</v>
      </c>
      <c r="AO258" s="666"/>
    </row>
    <row r="259" spans="1:41" hidden="1" outlineLevel="1">
      <c r="A259" s="666" t="str">
        <f>$A$27</f>
        <v>2Q</v>
      </c>
      <c r="B259" s="684" t="str">
        <f>$B$27</f>
        <v>Jul</v>
      </c>
      <c r="C259" s="666"/>
      <c r="D259" s="700">
        <f>(S259/S252-1)*100</f>
        <v>2.5513382523561612</v>
      </c>
      <c r="E259" s="700"/>
      <c r="F259" s="703">
        <v>-9.0990115537326073</v>
      </c>
      <c r="G259" s="700"/>
      <c r="H259" s="700">
        <f>D259-F259</f>
        <v>11.650349806088769</v>
      </c>
      <c r="I259" s="667"/>
      <c r="J259" s="705">
        <f>+'store&amp;sf'!L84</f>
        <v>1539</v>
      </c>
      <c r="K259" s="724"/>
      <c r="L259" s="706">
        <f>AVERAGE(J259,J258)</f>
        <v>1506</v>
      </c>
      <c r="M259" s="667"/>
      <c r="N259" s="700">
        <f>(L259/L252-1)*100</f>
        <v>17.97884841363102</v>
      </c>
      <c r="O259" s="704"/>
      <c r="P259" s="703">
        <f>H259/N259*100</f>
        <v>64.800311666546037</v>
      </c>
      <c r="Q259" s="702"/>
      <c r="R259" s="667"/>
      <c r="S259" s="712">
        <f>+'segSales&amp;OM'!W74</f>
        <v>358.86200000000002</v>
      </c>
      <c r="T259" s="667"/>
      <c r="U259" s="713">
        <f>S259/L259</f>
        <v>0.2382881806108898</v>
      </c>
      <c r="V259" s="666"/>
      <c r="W259" s="730">
        <f>(U259/U252-1)*100</f>
        <v>-13.076505126737958</v>
      </c>
      <c r="X259" s="685"/>
      <c r="Y259" s="666"/>
      <c r="Z259" s="678">
        <f>+'store&amp;sf'!L448</f>
        <v>4.1087499999999997</v>
      </c>
      <c r="AA259" s="724"/>
      <c r="AB259" s="710">
        <f>AVERAGE(Z259,Z258)</f>
        <v>4.0168749999999998</v>
      </c>
      <c r="AC259" s="666"/>
      <c r="AD259" s="700">
        <f>(AB259/AB252-1)*100</f>
        <v>21.149858623939679</v>
      </c>
      <c r="AE259" s="685"/>
      <c r="AF259" s="703">
        <f>+H259/AD259*100</f>
        <v>55.084764457487459</v>
      </c>
      <c r="AG259" s="668"/>
      <c r="AH259" s="666"/>
      <c r="AI259" s="675">
        <f>+S259</f>
        <v>358.86200000000002</v>
      </c>
      <c r="AJ259" s="666"/>
      <c r="AK259" s="714">
        <f>AI259/AB259</f>
        <v>89.33860276956591</v>
      </c>
      <c r="AL259" s="666"/>
      <c r="AM259" s="730">
        <f>(AK259/AK252-1)*100</f>
        <v>-15.351664940291043</v>
      </c>
      <c r="AN259" s="685"/>
      <c r="AO259" s="666"/>
    </row>
    <row r="260" spans="1:41" hidden="1" outlineLevel="1">
      <c r="A260" s="666" t="str">
        <f>$A$28</f>
        <v>3Q</v>
      </c>
      <c r="B260" s="684" t="str">
        <f>$B$28</f>
        <v>Oct</v>
      </c>
      <c r="C260" s="666"/>
      <c r="D260" s="700">
        <f>(S260/S253-1)*100</f>
        <v>-4.0005365989210677</v>
      </c>
      <c r="E260" s="700"/>
      <c r="F260" s="703">
        <v>-15.533356909031331</v>
      </c>
      <c r="G260" s="700"/>
      <c r="H260" s="700">
        <f>D260-F260</f>
        <v>11.532820310110264</v>
      </c>
      <c r="I260" s="667"/>
      <c r="J260" s="705">
        <f>+'store&amp;sf'!L85</f>
        <v>1601</v>
      </c>
      <c r="K260" s="724"/>
      <c r="L260" s="706">
        <f>AVERAGE(J260,J259)</f>
        <v>1570</v>
      </c>
      <c r="M260" s="667"/>
      <c r="N260" s="700">
        <f>(L260/L253-1)*100</f>
        <v>15.739034279395515</v>
      </c>
      <c r="O260" s="704"/>
      <c r="P260" s="703">
        <f>H260/N260*100</f>
        <v>73.275272836836351</v>
      </c>
      <c r="Q260" s="702"/>
      <c r="R260" s="667"/>
      <c r="S260" s="712">
        <f>+'segSales&amp;OM'!W75</f>
        <v>300.55799999999999</v>
      </c>
      <c r="T260" s="667"/>
      <c r="U260" s="713">
        <f>S260/L260</f>
        <v>0.19143821656050955</v>
      </c>
      <c r="V260" s="666"/>
      <c r="W260" s="730">
        <f>(U260/U253-1)*100</f>
        <v>-17.055240698367147</v>
      </c>
      <c r="X260" s="685"/>
      <c r="Y260" s="666"/>
      <c r="Z260" s="678">
        <f>+'store&amp;sf'!L449</f>
        <v>4.2937500000000002</v>
      </c>
      <c r="AA260" s="724"/>
      <c r="AB260" s="710">
        <f>AVERAGE(Z260,Z259)</f>
        <v>4.2012499999999999</v>
      </c>
      <c r="AC260" s="666"/>
      <c r="AD260" s="700">
        <f>(AB260/AB253-1)*100</f>
        <v>17.971217971217968</v>
      </c>
      <c r="AE260" s="685"/>
      <c r="AF260" s="703">
        <f>+H260/AD260*100</f>
        <v>64.173838014656539</v>
      </c>
      <c r="AG260" s="668"/>
      <c r="AH260" s="666"/>
      <c r="AI260" s="675">
        <f>+S260</f>
        <v>300.55799999999999</v>
      </c>
      <c r="AJ260" s="666"/>
      <c r="AK260" s="714">
        <f>AI260/AB260</f>
        <v>71.540136864028568</v>
      </c>
      <c r="AL260" s="666"/>
      <c r="AM260" s="730">
        <f>(AK260/AK253-1)*100</f>
        <v>-18.624673838240426</v>
      </c>
      <c r="AN260" s="685"/>
      <c r="AO260" s="666"/>
    </row>
    <row r="261" spans="1:41" hidden="1" outlineLevel="1">
      <c r="A261" s="666" t="str">
        <f>$A$29</f>
        <v>4Q</v>
      </c>
      <c r="B261" s="684" t="str">
        <f>$B$29</f>
        <v>Jan</v>
      </c>
      <c r="C261" s="666"/>
      <c r="D261" s="715">
        <f>(S261/S254-1)*100</f>
        <v>-6.4393094172918826</v>
      </c>
      <c r="E261" s="700"/>
      <c r="F261" s="717">
        <v>-10.206141507460922</v>
      </c>
      <c r="G261" s="700"/>
      <c r="H261" s="715">
        <f>D261-F261</f>
        <v>3.7668320901690393</v>
      </c>
      <c r="I261" s="667"/>
      <c r="J261" s="705">
        <f>+'store&amp;sf'!L86</f>
        <v>1615</v>
      </c>
      <c r="K261" s="724"/>
      <c r="L261" s="716">
        <f>AVERAGE(J261,J260)</f>
        <v>1608</v>
      </c>
      <c r="M261" s="667"/>
      <c r="N261" s="715">
        <f>(L261/L254-1)*100</f>
        <v>13.159746657283611</v>
      </c>
      <c r="O261" s="704"/>
      <c r="P261" s="717">
        <f>H261/N261*100</f>
        <v>28.623895187862043</v>
      </c>
      <c r="Q261" s="702"/>
      <c r="R261" s="667"/>
      <c r="S261" s="718">
        <f>+'segSales&amp;OM'!W76</f>
        <v>767.30899999999997</v>
      </c>
      <c r="T261" s="667"/>
      <c r="U261" s="719">
        <f>S261/L261</f>
        <v>0.47718221393034826</v>
      </c>
      <c r="V261" s="666"/>
      <c r="W261" s="720">
        <f>(U261/U254-1)*100</f>
        <v>-17.319812613166519</v>
      </c>
      <c r="X261" s="685"/>
      <c r="Y261" s="666"/>
      <c r="Z261" s="678">
        <f>+'store&amp;sf'!L450</f>
        <v>4.3287499999999994</v>
      </c>
      <c r="AA261" s="671"/>
      <c r="AB261" s="721">
        <f>AVERAGE(Z261,Z260)</f>
        <v>4.3112499999999994</v>
      </c>
      <c r="AC261" s="666"/>
      <c r="AD261" s="715">
        <f>(AB261/AB254-1)*100</f>
        <v>14.641848097058308</v>
      </c>
      <c r="AE261" s="685"/>
      <c r="AF261" s="717">
        <f>+H261/AD261*100</f>
        <v>25.726479780416746</v>
      </c>
      <c r="AG261" s="668"/>
      <c r="AH261" s="666"/>
      <c r="AI261" s="722">
        <f>+S261</f>
        <v>767.30899999999997</v>
      </c>
      <c r="AJ261" s="666"/>
      <c r="AK261" s="723">
        <f>AI261/AB261</f>
        <v>177.97831255436361</v>
      </c>
      <c r="AL261" s="666"/>
      <c r="AM261" s="720">
        <f>(AK261/AK254-1)*100</f>
        <v>-18.388710461560621</v>
      </c>
      <c r="AN261" s="685"/>
      <c r="AO261" s="666"/>
    </row>
    <row r="262" spans="1:41" hidden="1" outlineLevel="1">
      <c r="A262" s="666"/>
      <c r="B262" s="684" t="str">
        <f>$B$30</f>
        <v>Year</v>
      </c>
      <c r="C262" s="666"/>
      <c r="D262" s="700">
        <f>(S262/S255-1)*100</f>
        <v>-2.1301871303412323</v>
      </c>
      <c r="E262" s="700"/>
      <c r="F262" s="703">
        <v>-11</v>
      </c>
      <c r="G262" s="700"/>
      <c r="H262" s="700">
        <f>D262-F262</f>
        <v>8.8698128696587677</v>
      </c>
      <c r="I262" s="667"/>
      <c r="J262" s="667"/>
      <c r="K262" s="667"/>
      <c r="L262" s="706">
        <f>AVERAGE(L258:L261)</f>
        <v>1534.125</v>
      </c>
      <c r="M262" s="667"/>
      <c r="N262" s="700">
        <f>(L262/L255-1)*100</f>
        <v>16.089670828603865</v>
      </c>
      <c r="O262" s="704"/>
      <c r="P262" s="703">
        <f>H262/N262*100</f>
        <v>55.127373108778635</v>
      </c>
      <c r="Q262" s="702"/>
      <c r="R262" s="667"/>
      <c r="S262" s="726">
        <f>SUM(S258:S261)</f>
        <v>1746.57</v>
      </c>
      <c r="T262" s="667"/>
      <c r="U262" s="707">
        <f>SUM(U258:U261)</f>
        <v>1.1271089553358269</v>
      </c>
      <c r="V262" s="666"/>
      <c r="W262" s="730">
        <f>(U262/U255-1)*100</f>
        <v>-15.048167086217656</v>
      </c>
      <c r="X262" s="685"/>
      <c r="Y262" s="666"/>
      <c r="Z262" s="676"/>
      <c r="AA262" s="666"/>
      <c r="AB262" s="710">
        <f>AVERAGE(AB258:AB261)</f>
        <v>4.0978124999999999</v>
      </c>
      <c r="AC262" s="666"/>
      <c r="AD262" s="700">
        <f>(AB262/AB255-1)*100</f>
        <v>18.696537678207736</v>
      </c>
      <c r="AE262" s="685"/>
      <c r="AF262" s="703">
        <f>+H262/AD262*100</f>
        <v>47.440938115495157</v>
      </c>
      <c r="AG262" s="668"/>
      <c r="AH262" s="666"/>
      <c r="AI262" s="673">
        <f>SUM(AI258:AI261)</f>
        <v>1746.57</v>
      </c>
      <c r="AJ262" s="666"/>
      <c r="AK262" s="711">
        <f>SUM(AK258:AK261)</f>
        <v>421.67718489551595</v>
      </c>
      <c r="AL262" s="666"/>
      <c r="AM262" s="730">
        <f>(AK262/AK255-1)*100</f>
        <v>-16.758899454456166</v>
      </c>
      <c r="AN262" s="685"/>
      <c r="AO262" s="666"/>
    </row>
    <row r="263" spans="1:41" hidden="1" outlineLevel="1">
      <c r="A263" s="666"/>
      <c r="B263" s="684"/>
      <c r="C263" s="666"/>
      <c r="D263" s="700"/>
      <c r="E263" s="700"/>
      <c r="F263" s="700"/>
      <c r="G263" s="700"/>
      <c r="H263" s="700"/>
      <c r="I263" s="667"/>
      <c r="J263" s="667"/>
      <c r="K263" s="667"/>
      <c r="L263" s="667"/>
      <c r="M263" s="667"/>
      <c r="N263" s="667"/>
      <c r="O263" s="704"/>
      <c r="P263" s="667"/>
      <c r="Q263" s="667"/>
      <c r="R263" s="667"/>
      <c r="S263" s="667"/>
      <c r="T263" s="667"/>
      <c r="U263" s="667"/>
      <c r="V263" s="666"/>
      <c r="W263" s="666"/>
      <c r="X263" s="666"/>
      <c r="Y263" s="666"/>
      <c r="Z263" s="676"/>
      <c r="AA263" s="666"/>
      <c r="AB263" s="679"/>
      <c r="AC263" s="666"/>
      <c r="AD263" s="667"/>
      <c r="AE263" s="685"/>
      <c r="AF263" s="703"/>
      <c r="AG263" s="666"/>
      <c r="AH263" s="666"/>
      <c r="AI263" s="666"/>
      <c r="AJ263" s="666"/>
      <c r="AK263" s="666"/>
      <c r="AL263" s="666"/>
      <c r="AM263" s="666"/>
      <c r="AN263" s="666"/>
      <c r="AO263" s="666"/>
    </row>
    <row r="264" spans="1:41" hidden="1" outlineLevel="1">
      <c r="A264" s="698"/>
      <c r="B264" s="728">
        <f>B257+1</f>
        <v>2002</v>
      </c>
      <c r="C264" s="666"/>
      <c r="D264" s="700"/>
      <c r="E264" s="701"/>
      <c r="F264" s="700"/>
      <c r="G264" s="701"/>
      <c r="H264" s="700"/>
      <c r="I264" s="704"/>
      <c r="J264" s="667"/>
      <c r="K264" s="667"/>
      <c r="L264" s="667"/>
      <c r="M264" s="667"/>
      <c r="N264" s="667"/>
      <c r="O264" s="704"/>
      <c r="P264" s="702"/>
      <c r="Q264" s="702"/>
      <c r="R264" s="667"/>
      <c r="S264" s="667"/>
      <c r="T264" s="667"/>
      <c r="U264" s="667"/>
      <c r="V264" s="666"/>
      <c r="W264" s="666"/>
      <c r="X264" s="685"/>
      <c r="Y264" s="666"/>
      <c r="Z264" s="676"/>
      <c r="AA264" s="666"/>
      <c r="AB264" s="679"/>
      <c r="AC264" s="666"/>
      <c r="AD264" s="667"/>
      <c r="AE264" s="685"/>
      <c r="AF264" s="703"/>
      <c r="AG264" s="668"/>
      <c r="AH264" s="666"/>
      <c r="AI264" s="666"/>
      <c r="AJ264" s="666"/>
      <c r="AK264" s="666"/>
      <c r="AL264" s="666"/>
      <c r="AM264" s="666"/>
      <c r="AN264" s="685"/>
      <c r="AO264" s="666"/>
    </row>
    <row r="265" spans="1:41" hidden="1" outlineLevel="1">
      <c r="A265" s="666" t="str">
        <f>$A$26</f>
        <v>1Q</v>
      </c>
      <c r="B265" s="684" t="str">
        <f>$B$26</f>
        <v>Apr</v>
      </c>
      <c r="C265" s="666"/>
      <c r="D265" s="700">
        <f>(S265/S258-1)*100</f>
        <v>0.13631773287352544</v>
      </c>
      <c r="E265" s="701" t="s">
        <v>1084</v>
      </c>
      <c r="F265" s="703">
        <v>-7.713271094114055</v>
      </c>
      <c r="G265" s="701" t="s">
        <v>1084</v>
      </c>
      <c r="H265" s="700">
        <f>D265-F265</f>
        <v>7.8495888269875804</v>
      </c>
      <c r="I265" s="704" t="s">
        <v>1084</v>
      </c>
      <c r="J265" s="705">
        <f>+'store&amp;sf'!L89</f>
        <v>1625</v>
      </c>
      <c r="K265" s="667"/>
      <c r="L265" s="706">
        <f>AVERAGE(J265,J261)</f>
        <v>1620</v>
      </c>
      <c r="M265" s="667"/>
      <c r="N265" s="700">
        <f>(L265/L258-1)*100</f>
        <v>11.531841652323571</v>
      </c>
      <c r="O265" s="704" t="s">
        <v>1084</v>
      </c>
      <c r="P265" s="703">
        <f>H265/N265*100</f>
        <v>68.06882251462369</v>
      </c>
      <c r="Q265" s="702" t="s">
        <v>1084</v>
      </c>
      <c r="R265" s="667"/>
      <c r="S265" s="726">
        <f>+'segSales&amp;OM'!W80</f>
        <v>320.27699999999999</v>
      </c>
      <c r="T265" s="667"/>
      <c r="U265" s="707">
        <f>S265/L265</f>
        <v>0.19770185185185185</v>
      </c>
      <c r="V265" s="666"/>
      <c r="W265" s="730">
        <f>(U265/U258-1)*100</f>
        <v>-10.217283020371127</v>
      </c>
      <c r="X265" s="685" t="s">
        <v>1084</v>
      </c>
      <c r="Y265" s="666"/>
      <c r="Z265" s="678">
        <f>+'store&amp;sf'!L453</f>
        <v>4.3649999999999993</v>
      </c>
      <c r="AA265" s="666"/>
      <c r="AB265" s="710">
        <f>AVERAGE(Z265,Z261)</f>
        <v>4.3468749999999989</v>
      </c>
      <c r="AC265" s="666"/>
      <c r="AD265" s="700">
        <f>(AB265/AB258-1)*100</f>
        <v>12.558666450881994</v>
      </c>
      <c r="AE265" s="685" t="s">
        <v>1084</v>
      </c>
      <c r="AF265" s="703">
        <f>+H265/AD265*100</f>
        <v>62.503362579840669</v>
      </c>
      <c r="AG265" s="668" t="s">
        <v>1084</v>
      </c>
      <c r="AH265" s="666"/>
      <c r="AI265" s="673">
        <f>+S265</f>
        <v>320.27699999999999</v>
      </c>
      <c r="AJ265" s="666"/>
      <c r="AK265" s="711">
        <f>AI265/AB265</f>
        <v>73.679827462257379</v>
      </c>
      <c r="AL265" s="666"/>
      <c r="AM265" s="730">
        <f>(AK265/AK258-1)*100</f>
        <v>-11.036332527472958</v>
      </c>
      <c r="AN265" s="685" t="s">
        <v>1084</v>
      </c>
      <c r="AO265" s="666"/>
    </row>
    <row r="266" spans="1:41" hidden="1" outlineLevel="1">
      <c r="A266" s="666" t="str">
        <f>$A$27</f>
        <v>2Q</v>
      </c>
      <c r="B266" s="684" t="str">
        <f>$B$27</f>
        <v>Jul</v>
      </c>
      <c r="C266" s="666"/>
      <c r="D266" s="700">
        <f>(S266/S259-1)*100</f>
        <v>4.2983096566368006</v>
      </c>
      <c r="E266" s="700"/>
      <c r="F266" s="703">
        <v>-2.4462080623442111</v>
      </c>
      <c r="G266" s="700"/>
      <c r="H266" s="700">
        <f>D266-F266</f>
        <v>6.7445177189810117</v>
      </c>
      <c r="I266" s="667"/>
      <c r="J266" s="705">
        <f>+'store&amp;sf'!L90</f>
        <v>1629</v>
      </c>
      <c r="K266" s="724"/>
      <c r="L266" s="706">
        <f>AVERAGE(J266,J265)</f>
        <v>1627</v>
      </c>
      <c r="M266" s="667"/>
      <c r="N266" s="700">
        <f>(L266/L259-1)*100</f>
        <v>8.0345285524568322</v>
      </c>
      <c r="O266" s="704"/>
      <c r="P266" s="703">
        <f>H266/N266*100</f>
        <v>83.944162684176959</v>
      </c>
      <c r="Q266" s="702"/>
      <c r="R266" s="667"/>
      <c r="S266" s="712">
        <f>+'segSales&amp;OM'!W81</f>
        <v>374.28699999999998</v>
      </c>
      <c r="T266" s="667"/>
      <c r="U266" s="713">
        <f>S266/L266</f>
        <v>0.23004732636754763</v>
      </c>
      <c r="V266" s="666"/>
      <c r="W266" s="730">
        <f>(U266/U259-1)*100</f>
        <v>-3.4583562735740481</v>
      </c>
      <c r="X266" s="685"/>
      <c r="Y266" s="666"/>
      <c r="Z266" s="678">
        <f>+'store&amp;sf'!L454</f>
        <v>4.3812499999999996</v>
      </c>
      <c r="AA266" s="724"/>
      <c r="AB266" s="710">
        <f>AVERAGE(Z266,Z265)</f>
        <v>4.3731249999999999</v>
      </c>
      <c r="AC266" s="666"/>
      <c r="AD266" s="700">
        <f>(AB266/AB259-1)*100</f>
        <v>8.8688346040143315</v>
      </c>
      <c r="AE266" s="685"/>
      <c r="AF266" s="703">
        <f>+H266/AD266*100</f>
        <v>76.047395403317324</v>
      </c>
      <c r="AG266" s="668"/>
      <c r="AH266" s="666"/>
      <c r="AI266" s="675">
        <f>+S266</f>
        <v>374.28699999999998</v>
      </c>
      <c r="AJ266" s="666"/>
      <c r="AK266" s="714">
        <f>AI266/AB266</f>
        <v>85.587994854937833</v>
      </c>
      <c r="AL266" s="666"/>
      <c r="AM266" s="730">
        <f>(AK266/AK259-1)*100</f>
        <v>-4.198194059853555</v>
      </c>
      <c r="AN266" s="685"/>
      <c r="AO266" s="666"/>
    </row>
    <row r="267" spans="1:41" hidden="1" outlineLevel="1">
      <c r="A267" s="666" t="str">
        <f>$A$28</f>
        <v>3Q</v>
      </c>
      <c r="B267" s="684" t="str">
        <f>$B$28</f>
        <v>Oct</v>
      </c>
      <c r="C267" s="666"/>
      <c r="D267" s="700">
        <f>(S267/S260-1)*100</f>
        <v>2.912249881886364</v>
      </c>
      <c r="E267" s="700"/>
      <c r="F267" s="703">
        <v>-1</v>
      </c>
      <c r="G267" s="700"/>
      <c r="H267" s="700">
        <f>D267-F267</f>
        <v>3.912249881886364</v>
      </c>
      <c r="I267" s="667"/>
      <c r="J267" s="705">
        <f>+'store&amp;sf'!L91</f>
        <v>1643</v>
      </c>
      <c r="K267" s="724"/>
      <c r="L267" s="706">
        <f>AVERAGE(J267,J266)</f>
        <v>1636</v>
      </c>
      <c r="M267" s="667"/>
      <c r="N267" s="700">
        <f>(L267/L260-1)*100</f>
        <v>4.2038216560509545</v>
      </c>
      <c r="O267" s="704"/>
      <c r="P267" s="703">
        <f>H267/N267*100</f>
        <v>93.064125978205965</v>
      </c>
      <c r="Q267" s="702"/>
      <c r="R267" s="667"/>
      <c r="S267" s="712">
        <f>+'segSales&amp;OM'!W82</f>
        <v>309.31099999999998</v>
      </c>
      <c r="T267" s="667"/>
      <c r="U267" s="713">
        <f>S267/L267</f>
        <v>0.18906540342298286</v>
      </c>
      <c r="V267" s="666"/>
      <c r="W267" s="730">
        <f>(U267/U260-1)*100</f>
        <v>-1.2394668003902432</v>
      </c>
      <c r="X267" s="685"/>
      <c r="Y267" s="666"/>
      <c r="Z267" s="678">
        <f>+'store&amp;sf'!L455</f>
        <v>4.4624999999999995</v>
      </c>
      <c r="AA267" s="724"/>
      <c r="AB267" s="710">
        <f>AVERAGE(Z267,Z266)</f>
        <v>4.421875</v>
      </c>
      <c r="AC267" s="666"/>
      <c r="AD267" s="700">
        <f>(AB267/AB260-1)*100</f>
        <v>5.2514132698601612</v>
      </c>
      <c r="AE267" s="685"/>
      <c r="AF267" s="703">
        <f>+H267/AD267*100</f>
        <v>74.498990668668938</v>
      </c>
      <c r="AG267" s="668"/>
      <c r="AH267" s="666"/>
      <c r="AI267" s="675">
        <f>+S267</f>
        <v>309.31099999999998</v>
      </c>
      <c r="AJ267" s="666"/>
      <c r="AK267" s="714">
        <f>AI267/AB267</f>
        <v>69.950190812720848</v>
      </c>
      <c r="AL267" s="666"/>
      <c r="AM267" s="730">
        <f>(AK267/AK260-1)*100</f>
        <v>-2.2224531864254327</v>
      </c>
      <c r="AN267" s="685"/>
      <c r="AO267" s="666"/>
    </row>
    <row r="268" spans="1:41" hidden="1" outlineLevel="1">
      <c r="A268" s="666" t="str">
        <f>$A$29</f>
        <v>4Q</v>
      </c>
      <c r="B268" s="684" t="str">
        <f>$B$29</f>
        <v>Jan</v>
      </c>
      <c r="C268" s="666"/>
      <c r="D268" s="732">
        <f>(S268/S261-1)*100</f>
        <v>1.2792760152689597</v>
      </c>
      <c r="E268" s="667"/>
      <c r="F268" s="717">
        <v>-1</v>
      </c>
      <c r="G268" s="667"/>
      <c r="H268" s="732">
        <f>D268-F268</f>
        <v>2.2792760152689597</v>
      </c>
      <c r="I268" s="667"/>
      <c r="J268" s="705">
        <f>+'store&amp;sf'!L92</f>
        <v>1639</v>
      </c>
      <c r="K268" s="724"/>
      <c r="L268" s="716">
        <f>AVERAGE(J268,J267)</f>
        <v>1641</v>
      </c>
      <c r="M268" s="667"/>
      <c r="N268" s="715">
        <f>(L268/L261-1)*100</f>
        <v>2.0522388059701413</v>
      </c>
      <c r="O268" s="704"/>
      <c r="P268" s="717">
        <f>H268/N268*100</f>
        <v>111.06290401674246</v>
      </c>
      <c r="Q268" s="702"/>
      <c r="R268" s="667"/>
      <c r="S268" s="718">
        <f>+'segSales&amp;OM'!W83</f>
        <v>777.125</v>
      </c>
      <c r="T268" s="667"/>
      <c r="U268" s="719">
        <f>S268/L268</f>
        <v>0.47356794637416211</v>
      </c>
      <c r="V268" s="666"/>
      <c r="W268" s="720">
        <f>(U268/U261-1)*100</f>
        <v>-0.75741874920629559</v>
      </c>
      <c r="X268" s="685"/>
      <c r="Y268" s="666"/>
      <c r="Z268" s="678">
        <f>+'store&amp;sf'!L456</f>
        <v>4.46</v>
      </c>
      <c r="AA268" s="671"/>
      <c r="AB268" s="721">
        <f>AVERAGE(Z268,Z267)</f>
        <v>4.4612499999999997</v>
      </c>
      <c r="AC268" s="666"/>
      <c r="AD268" s="715">
        <f>(AB268/AB261-1)*100</f>
        <v>3.4792693534357877</v>
      </c>
      <c r="AE268" s="685"/>
      <c r="AF268" s="717">
        <f>+H268/AD268*100</f>
        <v>65.510191472188509</v>
      </c>
      <c r="AG268" s="668"/>
      <c r="AH268" s="666"/>
      <c r="AI268" s="722">
        <f>+S268</f>
        <v>777.125</v>
      </c>
      <c r="AJ268" s="666"/>
      <c r="AK268" s="723">
        <f>AI268/AB268</f>
        <v>174.19445222751472</v>
      </c>
      <c r="AL268" s="666"/>
      <c r="AM268" s="720">
        <f>(AK268/AK261-1)*100</f>
        <v>-2.126023262352883</v>
      </c>
      <c r="AN268" s="685"/>
      <c r="AO268" s="666"/>
    </row>
    <row r="269" spans="1:41" hidden="1" outlineLevel="1">
      <c r="A269" s="666"/>
      <c r="B269" s="684" t="str">
        <f>$B$30</f>
        <v>Year</v>
      </c>
      <c r="C269" s="666"/>
      <c r="D269" s="733">
        <f>(S269/S262-1)*100</f>
        <v>1.9712923043450958</v>
      </c>
      <c r="E269" s="667"/>
      <c r="F269" s="703">
        <v>-3</v>
      </c>
      <c r="G269" s="667"/>
      <c r="H269" s="733">
        <f>D269-F269</f>
        <v>4.9712923043450958</v>
      </c>
      <c r="I269" s="667"/>
      <c r="J269" s="667"/>
      <c r="K269" s="667"/>
      <c r="L269" s="706">
        <f>AVERAGE(L265:L268)</f>
        <v>1631</v>
      </c>
      <c r="M269" s="667"/>
      <c r="N269" s="700">
        <f>(L269/L262-1)*100</f>
        <v>6.3146744887150552</v>
      </c>
      <c r="O269" s="704"/>
      <c r="P269" s="703">
        <f>H269/N269*100</f>
        <v>78.726026388680594</v>
      </c>
      <c r="Q269" s="702"/>
      <c r="R269" s="667"/>
      <c r="S269" s="726">
        <f>SUM(S265:S268)</f>
        <v>1781</v>
      </c>
      <c r="T269" s="667"/>
      <c r="U269" s="707">
        <f>SUM(U265:U268)</f>
        <v>1.0903825280165445</v>
      </c>
      <c r="V269" s="666"/>
      <c r="W269" s="730">
        <f>(U269/U262-1)*100</f>
        <v>-3.2584629148243782</v>
      </c>
      <c r="X269" s="685"/>
      <c r="Y269" s="666"/>
      <c r="Z269" s="676"/>
      <c r="AA269" s="666"/>
      <c r="AB269" s="710">
        <f>AVERAGE(AB265:AB268)</f>
        <v>4.4007812499999996</v>
      </c>
      <c r="AC269" s="666"/>
      <c r="AD269" s="700">
        <f>(AB269/AB262-1)*100</f>
        <v>7.3934263707770898</v>
      </c>
      <c r="AE269" s="685"/>
      <c r="AF269" s="703">
        <f>+H269/AD269*100</f>
        <v>67.239356355726926</v>
      </c>
      <c r="AG269" s="668"/>
      <c r="AH269" s="666"/>
      <c r="AI269" s="673">
        <f>SUM(AI265:AI268)</f>
        <v>1781</v>
      </c>
      <c r="AJ269" s="666"/>
      <c r="AK269" s="711">
        <f>SUM(AK265:AK268)</f>
        <v>403.41246535743079</v>
      </c>
      <c r="AL269" s="666"/>
      <c r="AM269" s="730">
        <f>(AK269/AK262-1)*100</f>
        <v>-4.3314459952607631</v>
      </c>
      <c r="AN269" s="685"/>
      <c r="AO269" s="666"/>
    </row>
    <row r="270" spans="1:41" hidden="1" outlineLevel="1">
      <c r="A270" s="666"/>
      <c r="B270" s="684"/>
      <c r="C270" s="666"/>
      <c r="D270" s="667"/>
      <c r="E270" s="667"/>
      <c r="F270" s="667"/>
      <c r="G270" s="667"/>
      <c r="H270" s="666"/>
      <c r="I270" s="666"/>
      <c r="J270" s="666"/>
      <c r="K270" s="666"/>
      <c r="L270" s="666"/>
      <c r="M270" s="666"/>
      <c r="N270" s="666"/>
      <c r="O270" s="685"/>
      <c r="P270" s="666"/>
      <c r="Q270" s="666"/>
      <c r="R270" s="666"/>
      <c r="S270" s="666"/>
      <c r="T270" s="666"/>
      <c r="U270" s="666"/>
      <c r="V270" s="666"/>
      <c r="W270" s="666"/>
      <c r="X270" s="666"/>
      <c r="Y270" s="666"/>
      <c r="Z270" s="666"/>
      <c r="AA270" s="666"/>
      <c r="AB270" s="666"/>
      <c r="AC270" s="666"/>
      <c r="AD270" s="666"/>
      <c r="AE270" s="685"/>
      <c r="AF270" s="666"/>
      <c r="AG270" s="666"/>
      <c r="AH270" s="666"/>
      <c r="AI270" s="666"/>
      <c r="AJ270" s="666"/>
      <c r="AK270" s="666"/>
      <c r="AL270" s="666"/>
      <c r="AM270" s="666"/>
      <c r="AN270" s="666"/>
      <c r="AO270" s="666"/>
    </row>
    <row r="271" spans="1:41" hidden="1" outlineLevel="1">
      <c r="A271" s="698"/>
      <c r="B271" s="728">
        <f>B264+1</f>
        <v>2003</v>
      </c>
      <c r="C271" s="666"/>
      <c r="D271" s="700"/>
      <c r="E271" s="701"/>
      <c r="F271" s="700"/>
      <c r="G271" s="701"/>
      <c r="H271" s="700"/>
      <c r="I271" s="704"/>
      <c r="J271" s="667"/>
      <c r="K271" s="667"/>
      <c r="L271" s="667"/>
      <c r="M271" s="667"/>
      <c r="N271" s="667"/>
      <c r="O271" s="704"/>
      <c r="P271" s="702"/>
      <c r="Q271" s="702"/>
      <c r="R271" s="667"/>
      <c r="S271" s="667"/>
      <c r="T271" s="667"/>
      <c r="U271" s="667"/>
      <c r="V271" s="666"/>
      <c r="W271" s="666"/>
      <c r="X271" s="685"/>
      <c r="Y271" s="666"/>
      <c r="Z271" s="676"/>
      <c r="AA271" s="666"/>
      <c r="AB271" s="679"/>
      <c r="AC271" s="666"/>
      <c r="AD271" s="667"/>
      <c r="AE271" s="685"/>
      <c r="AF271" s="703"/>
      <c r="AG271" s="668"/>
      <c r="AH271" s="666"/>
      <c r="AI271" s="666"/>
      <c r="AJ271" s="666"/>
      <c r="AK271" s="666"/>
      <c r="AL271" s="666"/>
      <c r="AM271" s="666"/>
      <c r="AN271" s="685"/>
      <c r="AO271" s="666"/>
    </row>
    <row r="272" spans="1:41" hidden="1" outlineLevel="1">
      <c r="A272" s="666" t="str">
        <f>$A$26</f>
        <v>1Q</v>
      </c>
      <c r="B272" s="684" t="str">
        <f>$B$26</f>
        <v>Apr</v>
      </c>
      <c r="C272" s="666"/>
      <c r="D272" s="700">
        <f>(S272/S265-1)*100</f>
        <v>0.33627141505634395</v>
      </c>
      <c r="E272" s="701" t="s">
        <v>1084</v>
      </c>
      <c r="F272" s="703">
        <v>-2</v>
      </c>
      <c r="G272" s="701" t="s">
        <v>1084</v>
      </c>
      <c r="H272" s="700">
        <f>D272-F272</f>
        <v>2.3362714150563439</v>
      </c>
      <c r="I272" s="704" t="s">
        <v>1084</v>
      </c>
      <c r="J272" s="705">
        <f>+'store&amp;sf'!L95</f>
        <v>1630</v>
      </c>
      <c r="K272" s="667"/>
      <c r="L272" s="706">
        <f>AVERAGE(J272,J268)</f>
        <v>1634.5</v>
      </c>
      <c r="M272" s="667"/>
      <c r="N272" s="700">
        <f>(L272/L265-1)*100</f>
        <v>0.89506172839506348</v>
      </c>
      <c r="O272" s="704" t="s">
        <v>1084</v>
      </c>
      <c r="P272" s="703">
        <f>H272/N272*100</f>
        <v>261.0179098200876</v>
      </c>
      <c r="Q272" s="702" t="s">
        <v>1084</v>
      </c>
      <c r="R272" s="667"/>
      <c r="S272" s="726">
        <f>+'segSales&amp;OM'!W87</f>
        <v>321.35399999999998</v>
      </c>
      <c r="T272" s="667"/>
      <c r="U272" s="707">
        <f>S272/L272</f>
        <v>0.19660691342918324</v>
      </c>
      <c r="V272" s="666"/>
      <c r="W272" s="730">
        <f>(U272/U265-1)*100</f>
        <v>-0.55383316464283627</v>
      </c>
      <c r="X272" s="685" t="s">
        <v>1084</v>
      </c>
      <c r="Y272" s="666"/>
      <c r="Z272" s="678">
        <f>+'store&amp;sf'!L459</f>
        <v>4.44625</v>
      </c>
      <c r="AA272" s="666"/>
      <c r="AB272" s="710">
        <f>AVERAGE(Z272,Z268)</f>
        <v>4.453125</v>
      </c>
      <c r="AC272" s="666"/>
      <c r="AD272" s="700">
        <f>(AB272/AB265-1)*100</f>
        <v>2.4442846872753776</v>
      </c>
      <c r="AE272" s="685" t="s">
        <v>1084</v>
      </c>
      <c r="AF272" s="703">
        <f>+H272/AD272*100</f>
        <v>95.580986421862548</v>
      </c>
      <c r="AG272" s="668" t="s">
        <v>1084</v>
      </c>
      <c r="AH272" s="666"/>
      <c r="AI272" s="673">
        <f>+S272</f>
        <v>321.35399999999998</v>
      </c>
      <c r="AJ272" s="666"/>
      <c r="AK272" s="711">
        <f>AI272/AB272</f>
        <v>72.163705263157894</v>
      </c>
      <c r="AL272" s="666"/>
      <c r="AM272" s="730">
        <f>(AK272/AK265-1)*100</f>
        <v>-2.0577168151976521</v>
      </c>
      <c r="AN272" s="685" t="s">
        <v>1084</v>
      </c>
      <c r="AO272" s="666"/>
    </row>
    <row r="273" spans="1:41" hidden="1" outlineLevel="1">
      <c r="A273" s="666" t="str">
        <f>$A$27</f>
        <v>2Q</v>
      </c>
      <c r="B273" s="684" t="str">
        <f>$B$27</f>
        <v>Jul</v>
      </c>
      <c r="C273" s="666"/>
      <c r="D273" s="700">
        <f>(S273/S266-1)*100</f>
        <v>5.0805932346033922</v>
      </c>
      <c r="E273" s="700"/>
      <c r="F273" s="745">
        <v>4</v>
      </c>
      <c r="G273" s="700"/>
      <c r="H273" s="700">
        <f>D273-F273</f>
        <v>1.0805932346033922</v>
      </c>
      <c r="I273" s="667"/>
      <c r="J273" s="705">
        <f>+'store&amp;sf'!L96</f>
        <v>1621</v>
      </c>
      <c r="K273" s="724"/>
      <c r="L273" s="706">
        <f>AVERAGE(J273,J272)</f>
        <v>1625.5</v>
      </c>
      <c r="M273" s="667"/>
      <c r="N273" s="700">
        <f>(L273/L266-1)*100</f>
        <v>-9.2194222495389777E-2</v>
      </c>
      <c r="O273" s="704"/>
      <c r="P273" s="703">
        <f>H273/N273*100</f>
        <v>-1172.0834617998194</v>
      </c>
      <c r="Q273" s="702"/>
      <c r="R273" s="667"/>
      <c r="S273" s="712">
        <f>+'segSales&amp;OM'!W88</f>
        <v>393.303</v>
      </c>
      <c r="T273" s="667"/>
      <c r="U273" s="713">
        <f>S273/L273</f>
        <v>0.24195816671793294</v>
      </c>
      <c r="V273" s="666"/>
      <c r="W273" s="730">
        <f>(U273/U266-1)*100</f>
        <v>5.1775608690862729</v>
      </c>
      <c r="X273" s="685"/>
      <c r="Y273" s="666"/>
      <c r="Z273" s="678">
        <f>+'store&amp;sf'!L460</f>
        <v>4.4387499999999998</v>
      </c>
      <c r="AA273" s="724"/>
      <c r="AB273" s="710">
        <f>AVERAGE(Z273,Z272)</f>
        <v>4.4424999999999999</v>
      </c>
      <c r="AC273" s="666"/>
      <c r="AD273" s="700">
        <f>(AB273/AB266-1)*100</f>
        <v>1.5863941689295391</v>
      </c>
      <c r="AE273" s="685"/>
      <c r="AF273" s="703">
        <f>+H273/AD273*100</f>
        <v>68.116314076756268</v>
      </c>
      <c r="AG273" s="668"/>
      <c r="AH273" s="666"/>
      <c r="AI273" s="675">
        <f>+S273</f>
        <v>393.303</v>
      </c>
      <c r="AJ273" s="666"/>
      <c r="AK273" s="714">
        <f>AI273/AB273</f>
        <v>88.531907709622956</v>
      </c>
      <c r="AL273" s="666"/>
      <c r="AM273" s="730">
        <f>(AK273/AK266-1)*100</f>
        <v>3.4396329294484884</v>
      </c>
      <c r="AN273" s="685"/>
      <c r="AO273" s="666"/>
    </row>
    <row r="274" spans="1:41" hidden="1" outlineLevel="1">
      <c r="A274" s="666" t="str">
        <f>$A$28</f>
        <v>3Q</v>
      </c>
      <c r="B274" s="684" t="str">
        <f>$B$28</f>
        <v>Oct</v>
      </c>
      <c r="C274" s="666"/>
      <c r="D274" s="700">
        <f>(S274/S267-1)*100</f>
        <v>3.5530582488175311</v>
      </c>
      <c r="E274" s="700"/>
      <c r="F274" s="745">
        <v>3</v>
      </c>
      <c r="G274" s="700"/>
      <c r="H274" s="700">
        <f>D274-F274</f>
        <v>0.55305824881753107</v>
      </c>
      <c r="I274" s="667"/>
      <c r="J274" s="705">
        <f>+'store&amp;sf'!L97</f>
        <v>1622</v>
      </c>
      <c r="K274" s="724"/>
      <c r="L274" s="706">
        <f>AVERAGE(J274,J273)</f>
        <v>1621.5</v>
      </c>
      <c r="M274" s="667"/>
      <c r="N274" s="700">
        <f>(L274/L267-1)*100</f>
        <v>-0.88630806845966248</v>
      </c>
      <c r="O274" s="704"/>
      <c r="P274" s="703">
        <f>H274/N274*100</f>
        <v>-62.400227245894889</v>
      </c>
      <c r="Q274" s="702"/>
      <c r="R274" s="667"/>
      <c r="S274" s="712">
        <f>+'segSales&amp;OM'!W89</f>
        <v>320.30099999999999</v>
      </c>
      <c r="T274" s="667"/>
      <c r="U274" s="713">
        <f>S274/L274</f>
        <v>0.19753376503237743</v>
      </c>
      <c r="V274" s="666"/>
      <c r="W274" s="730">
        <f>(U274/U267-1)*100</f>
        <v>4.4790646284708746</v>
      </c>
      <c r="X274" s="685"/>
      <c r="Y274" s="666"/>
      <c r="Z274" s="678">
        <f>+'store&amp;sf'!L461</f>
        <v>4.4562499999999998</v>
      </c>
      <c r="AA274" s="724"/>
      <c r="AB274" s="710">
        <f>AVERAGE(Z274,Z273)</f>
        <v>4.4474999999999998</v>
      </c>
      <c r="AC274" s="666"/>
      <c r="AD274" s="700">
        <f>(AB274/AB267-1)*100</f>
        <v>0.57950530035335568</v>
      </c>
      <c r="AE274" s="685"/>
      <c r="AF274" s="703">
        <f>+H274/AD274*100</f>
        <v>95.436270984976602</v>
      </c>
      <c r="AG274" s="668"/>
      <c r="AH274" s="666"/>
      <c r="AI274" s="675">
        <f>+S274</f>
        <v>320.30099999999999</v>
      </c>
      <c r="AJ274" s="666"/>
      <c r="AK274" s="714">
        <f>AI274/AB274</f>
        <v>72.018212478920745</v>
      </c>
      <c r="AL274" s="666"/>
      <c r="AM274" s="730">
        <f>(AK274/AK267-1)*100</f>
        <v>2.9564203359168095</v>
      </c>
      <c r="AN274" s="685"/>
      <c r="AO274" s="666"/>
    </row>
    <row r="275" spans="1:41" hidden="1" outlineLevel="1">
      <c r="A275" s="666" t="str">
        <f>$A$29</f>
        <v>4Q</v>
      </c>
      <c r="B275" s="684" t="str">
        <f>$B$29</f>
        <v>Jan</v>
      </c>
      <c r="C275" s="666"/>
      <c r="D275" s="732">
        <f>(S275/S268-1)*100</f>
        <v>15.74881775776098</v>
      </c>
      <c r="E275" s="667"/>
      <c r="F275" s="717">
        <v>16</v>
      </c>
      <c r="G275" s="667"/>
      <c r="H275" s="746">
        <f>D275-F275</f>
        <v>-0.25118224223901997</v>
      </c>
      <c r="I275" s="667"/>
      <c r="J275" s="705">
        <f>+'store&amp;sf'!L98</f>
        <v>1604</v>
      </c>
      <c r="K275" s="724"/>
      <c r="L275" s="716">
        <f>AVERAGE(J275,J274)</f>
        <v>1613</v>
      </c>
      <c r="M275" s="667"/>
      <c r="N275" s="715">
        <f>(L275/L268-1)*100</f>
        <v>-1.7062766605728252</v>
      </c>
      <c r="O275" s="704"/>
      <c r="P275" s="717">
        <f>H275/N275*100</f>
        <v>14.721073554079672</v>
      </c>
      <c r="Q275" s="702"/>
      <c r="R275" s="667"/>
      <c r="S275" s="718">
        <f>+'segSales&amp;OM'!W90</f>
        <v>899.51300000000003</v>
      </c>
      <c r="T275" s="667"/>
      <c r="U275" s="719">
        <f>S275/L275</f>
        <v>0.55766460012399255</v>
      </c>
      <c r="V275" s="666"/>
      <c r="W275" s="720">
        <f>(U275/U268-1)*100</f>
        <v>17.758096677300529</v>
      </c>
      <c r="X275" s="685"/>
      <c r="Y275" s="666"/>
      <c r="Z275" s="678">
        <f>+'store&amp;sf'!L462</f>
        <v>4.4274999999999993</v>
      </c>
      <c r="AA275" s="671"/>
      <c r="AB275" s="721">
        <f>AVERAGE(Z275,Z274)</f>
        <v>4.4418749999999996</v>
      </c>
      <c r="AC275" s="666"/>
      <c r="AD275" s="715">
        <f>(AB275/AB268-1)*100</f>
        <v>-0.43429532081815658</v>
      </c>
      <c r="AE275" s="685"/>
      <c r="AF275" s="717">
        <f>+H275/AD275*100</f>
        <v>57.836736938778174</v>
      </c>
      <c r="AG275" s="668"/>
      <c r="AH275" s="666"/>
      <c r="AI275" s="722">
        <f>+S275</f>
        <v>899.51300000000003</v>
      </c>
      <c r="AJ275" s="666"/>
      <c r="AK275" s="723">
        <f>AI275/AB275</f>
        <v>202.50749964823416</v>
      </c>
      <c r="AL275" s="666"/>
      <c r="AM275" s="720">
        <f>(AK275/AK268-1)*100</f>
        <v>16.253702146460935</v>
      </c>
      <c r="AN275" s="685"/>
      <c r="AO275" s="666"/>
    </row>
    <row r="276" spans="1:41" hidden="1" outlineLevel="1">
      <c r="A276" s="666"/>
      <c r="B276" s="684" t="str">
        <f>$B$30</f>
        <v>Year</v>
      </c>
      <c r="C276" s="666"/>
      <c r="D276" s="733">
        <f>(S276/S269-1)*100</f>
        <v>8.6171252105558658</v>
      </c>
      <c r="E276" s="667"/>
      <c r="F276" s="703">
        <v>8</v>
      </c>
      <c r="G276" s="667"/>
      <c r="H276" s="733">
        <f>D276-F276</f>
        <v>0.61712521055586578</v>
      </c>
      <c r="I276" s="667"/>
      <c r="J276" s="667"/>
      <c r="K276" s="667"/>
      <c r="L276" s="706">
        <f>AVERAGE(L272:L275)</f>
        <v>1623.625</v>
      </c>
      <c r="M276" s="667"/>
      <c r="N276" s="700">
        <f>(L276/L269-1)*100</f>
        <v>-0.45217657878602324</v>
      </c>
      <c r="O276" s="704"/>
      <c r="P276" s="703">
        <f>H276/N276*100</f>
        <v>-136.47880927682871</v>
      </c>
      <c r="Q276" s="702"/>
      <c r="R276" s="667"/>
      <c r="S276" s="726">
        <f>SUM(S272:S275)</f>
        <v>1934.471</v>
      </c>
      <c r="T276" s="667"/>
      <c r="U276" s="707">
        <f>SUM(U272:U275)</f>
        <v>1.1937634453034862</v>
      </c>
      <c r="V276" s="666"/>
      <c r="W276" s="730">
        <f>(U276/U269-1)*100</f>
        <v>9.4811604763143329</v>
      </c>
      <c r="X276" s="685"/>
      <c r="Y276" s="666"/>
      <c r="Z276" s="676"/>
      <c r="AA276" s="666"/>
      <c r="AB276" s="710">
        <f>AVERAGE(AB272:AB275)</f>
        <v>4.4462499999999991</v>
      </c>
      <c r="AC276" s="666"/>
      <c r="AD276" s="700">
        <f>(AB276/AB269-1)*100</f>
        <v>1.0331972306053538</v>
      </c>
      <c r="AE276" s="685"/>
      <c r="AF276" s="703">
        <f>+H276/AD276*100</f>
        <v>59.729661702082758</v>
      </c>
      <c r="AG276" s="668"/>
      <c r="AH276" s="666"/>
      <c r="AI276" s="673">
        <f>SUM(AI272:AI275)</f>
        <v>1934.471</v>
      </c>
      <c r="AJ276" s="666"/>
      <c r="AK276" s="711">
        <f>SUM(AK272:AK275)</f>
        <v>435.22132509993577</v>
      </c>
      <c r="AL276" s="666"/>
      <c r="AM276" s="730">
        <f>(AK276/AK269-1)*100</f>
        <v>7.8849471630287216</v>
      </c>
      <c r="AN276" s="685"/>
      <c r="AO276" s="666"/>
    </row>
    <row r="277" spans="1:41" hidden="1" outlineLevel="1">
      <c r="A277" s="666"/>
      <c r="B277" s="684"/>
      <c r="C277" s="666"/>
      <c r="D277" s="667"/>
      <c r="E277" s="667"/>
      <c r="F277" s="667"/>
      <c r="G277" s="667"/>
      <c r="H277" s="666"/>
      <c r="I277" s="666"/>
      <c r="J277" s="666"/>
      <c r="K277" s="666"/>
      <c r="L277" s="666"/>
      <c r="M277" s="666"/>
      <c r="N277" s="666"/>
      <c r="O277" s="685"/>
      <c r="P277" s="666"/>
      <c r="Q277" s="666"/>
      <c r="R277" s="666"/>
      <c r="S277" s="666"/>
      <c r="T277" s="666"/>
      <c r="U277" s="666"/>
      <c r="V277" s="666"/>
      <c r="W277" s="666"/>
      <c r="X277" s="666"/>
      <c r="Y277" s="666"/>
      <c r="Z277" s="666"/>
      <c r="AA277" s="666"/>
      <c r="AB277" s="666"/>
      <c r="AC277" s="666"/>
      <c r="AD277" s="666"/>
      <c r="AE277" s="685"/>
      <c r="AF277" s="666"/>
      <c r="AG277" s="666"/>
      <c r="AH277" s="666"/>
      <c r="AI277" s="666"/>
      <c r="AJ277" s="666"/>
      <c r="AK277" s="666"/>
      <c r="AL277" s="666"/>
      <c r="AM277" s="666"/>
      <c r="AN277" s="666"/>
      <c r="AO277" s="666"/>
    </row>
    <row r="278" spans="1:41" hidden="1" outlineLevel="1">
      <c r="A278" s="698"/>
      <c r="B278" s="728">
        <f>B271+1</f>
        <v>2004</v>
      </c>
      <c r="C278" s="666"/>
      <c r="D278" s="700"/>
      <c r="E278" s="701"/>
      <c r="F278" s="700"/>
      <c r="G278" s="701"/>
      <c r="H278" s="700"/>
      <c r="I278" s="704"/>
      <c r="J278" s="667"/>
      <c r="K278" s="667"/>
      <c r="L278" s="667"/>
      <c r="M278" s="667"/>
      <c r="N278" s="667"/>
      <c r="O278" s="704"/>
      <c r="P278" s="702"/>
      <c r="Q278" s="702"/>
      <c r="R278" s="667"/>
      <c r="S278" s="667"/>
      <c r="T278" s="667"/>
      <c r="U278" s="667"/>
      <c r="V278" s="666"/>
      <c r="W278" s="666"/>
      <c r="X278" s="685"/>
      <c r="Y278" s="666"/>
      <c r="Z278" s="676"/>
      <c r="AA278" s="666"/>
      <c r="AB278" s="679"/>
      <c r="AC278" s="666"/>
      <c r="AD278" s="667"/>
      <c r="AE278" s="685"/>
      <c r="AF278" s="703"/>
      <c r="AG278" s="668"/>
      <c r="AH278" s="666"/>
      <c r="AI278" s="666"/>
      <c r="AJ278" s="666"/>
      <c r="AK278" s="666"/>
      <c r="AL278" s="666"/>
      <c r="AM278" s="666"/>
      <c r="AN278" s="685"/>
      <c r="AO278" s="666"/>
    </row>
    <row r="279" spans="1:41" hidden="1" outlineLevel="1">
      <c r="A279" s="666" t="str">
        <f>$A$26</f>
        <v>1Q</v>
      </c>
      <c r="B279" s="684" t="str">
        <f>$B$26</f>
        <v>Apr</v>
      </c>
      <c r="C279" s="666"/>
      <c r="D279" s="700">
        <f>(S279/S272-1)*100</f>
        <v>6.3969952140007669</v>
      </c>
      <c r="E279" s="701" t="s">
        <v>1084</v>
      </c>
      <c r="F279" s="703">
        <v>7</v>
      </c>
      <c r="G279" s="701" t="s">
        <v>1084</v>
      </c>
      <c r="H279" s="700">
        <f>D279-F279</f>
        <v>-0.60300478599923313</v>
      </c>
      <c r="I279" s="704" t="s">
        <v>1084</v>
      </c>
      <c r="J279" s="705">
        <f>+'store&amp;sf'!L101</f>
        <v>1590</v>
      </c>
      <c r="K279" s="667"/>
      <c r="L279" s="706">
        <f>AVERAGE(J279,J275)</f>
        <v>1597</v>
      </c>
      <c r="M279" s="667"/>
      <c r="N279" s="700">
        <f>(L279/L272-1)*100</f>
        <v>-2.2942795962067941</v>
      </c>
      <c r="O279" s="704" t="s">
        <v>1084</v>
      </c>
      <c r="P279" s="703">
        <f>H279/N279*100</f>
        <v>26.282968605753204</v>
      </c>
      <c r="Q279" s="702" t="s">
        <v>1084</v>
      </c>
      <c r="R279" s="667"/>
      <c r="S279" s="726">
        <f>'segSales&amp;OM'!W94</f>
        <v>341.911</v>
      </c>
      <c r="T279" s="667"/>
      <c r="U279" s="707">
        <f>S279/L279</f>
        <v>0.21409580463368816</v>
      </c>
      <c r="V279" s="666"/>
      <c r="W279" s="730">
        <f>(U279/U272-1)*100</f>
        <v>8.8953592218436128</v>
      </c>
      <c r="X279" s="685" t="s">
        <v>1084</v>
      </c>
      <c r="Y279" s="666"/>
      <c r="Z279" s="678">
        <f>+'store&amp;sf'!L465</f>
        <v>4.40625</v>
      </c>
      <c r="AA279" s="666"/>
      <c r="AB279" s="710">
        <f>AVERAGE(Z279,Z275)</f>
        <v>4.4168749999999992</v>
      </c>
      <c r="AC279" s="666"/>
      <c r="AD279" s="700">
        <f>(AB279/AB272-1)*100</f>
        <v>-0.81403508771931143</v>
      </c>
      <c r="AE279" s="685" t="s">
        <v>1084</v>
      </c>
      <c r="AF279" s="703">
        <f>+H279/AD279*100</f>
        <v>74.076018969732189</v>
      </c>
      <c r="AG279" s="668" t="s">
        <v>1084</v>
      </c>
      <c r="AH279" s="666"/>
      <c r="AI279" s="673">
        <f>+S279</f>
        <v>341.911</v>
      </c>
      <c r="AJ279" s="666"/>
      <c r="AK279" s="711">
        <f>AI279/AB279</f>
        <v>77.410159898118025</v>
      </c>
      <c r="AL279" s="666"/>
      <c r="AM279" s="730">
        <f>(AK279/AK272-1)*100</f>
        <v>7.270212381456842</v>
      </c>
      <c r="AN279" s="685" t="s">
        <v>1084</v>
      </c>
      <c r="AO279" s="666"/>
    </row>
    <row r="280" spans="1:41" hidden="1" outlineLevel="1">
      <c r="A280" s="666" t="str">
        <f>$A$27</f>
        <v>2Q</v>
      </c>
      <c r="B280" s="684" t="str">
        <f>$B$27</f>
        <v>Jul</v>
      </c>
      <c r="C280" s="666"/>
      <c r="D280" s="700">
        <f>(S280/S273-1)*100</f>
        <v>19.591002356961429</v>
      </c>
      <c r="E280" s="700"/>
      <c r="F280" s="745">
        <v>20</v>
      </c>
      <c r="G280" s="700"/>
      <c r="H280" s="700">
        <f>D280-F280</f>
        <v>-0.40899764303857111</v>
      </c>
      <c r="I280" s="667"/>
      <c r="J280" s="705">
        <f>+'store&amp;sf'!L102</f>
        <v>1586</v>
      </c>
      <c r="K280" s="724"/>
      <c r="L280" s="706">
        <f>AVERAGE(J280,J279)</f>
        <v>1588</v>
      </c>
      <c r="M280" s="667"/>
      <c r="N280" s="700">
        <f>(L280/L273-1)*100</f>
        <v>-2.3069824669332495</v>
      </c>
      <c r="O280" s="704"/>
      <c r="P280" s="703">
        <f>H280/N280*100</f>
        <v>17.728684500245276</v>
      </c>
      <c r="Q280" s="702"/>
      <c r="R280" s="667"/>
      <c r="S280" s="712">
        <f>'segSales&amp;OM'!W95</f>
        <v>470.35500000000002</v>
      </c>
      <c r="T280" s="667"/>
      <c r="U280" s="713">
        <f>S280/L280</f>
        <v>0.29619332493702771</v>
      </c>
      <c r="V280" s="666"/>
      <c r="W280" s="730">
        <f>(U280/U273-1)*100</f>
        <v>22.415097185919898</v>
      </c>
      <c r="X280" s="685"/>
      <c r="Y280" s="666"/>
      <c r="Z280" s="678">
        <f>+'store&amp;sf'!L466</f>
        <v>4.45</v>
      </c>
      <c r="AA280" s="724"/>
      <c r="AB280" s="710">
        <f>AVERAGE(Z280,Z279)</f>
        <v>4.4281249999999996</v>
      </c>
      <c r="AC280" s="666"/>
      <c r="AD280" s="700">
        <f>(AB280/AB273-1)*100</f>
        <v>-0.32357906584130625</v>
      </c>
      <c r="AE280" s="685"/>
      <c r="AF280" s="703">
        <f>+H280/AD280*100</f>
        <v>126.39805420513727</v>
      </c>
      <c r="AG280" s="668"/>
      <c r="AH280" s="666"/>
      <c r="AI280" s="675">
        <f>+S280</f>
        <v>470.35500000000002</v>
      </c>
      <c r="AJ280" s="666"/>
      <c r="AK280" s="714">
        <f>AI280/AB280</f>
        <v>106.21990119971773</v>
      </c>
      <c r="AL280" s="666"/>
      <c r="AM280" s="730">
        <f>(AK280/AK273-1)*100</f>
        <v>19.979230028691887</v>
      </c>
      <c r="AN280" s="685"/>
      <c r="AO280" s="666"/>
    </row>
    <row r="281" spans="1:41" hidden="1" outlineLevel="1">
      <c r="A281" s="666" t="str">
        <f>$A$28</f>
        <v>3Q</v>
      </c>
      <c r="B281" s="684" t="str">
        <f>$B$28</f>
        <v>Oct</v>
      </c>
      <c r="C281" s="666"/>
      <c r="D281" s="700">
        <f>(S281/S274-1)*100</f>
        <v>9.2672205206977267</v>
      </c>
      <c r="E281" s="700"/>
      <c r="F281" s="745">
        <v>9</v>
      </c>
      <c r="G281" s="700"/>
      <c r="H281" s="700">
        <f>D281-F281</f>
        <v>0.26722052069772673</v>
      </c>
      <c r="I281" s="667"/>
      <c r="J281" s="705">
        <f>+'store&amp;sf'!L103</f>
        <v>1582</v>
      </c>
      <c r="K281" s="724"/>
      <c r="L281" s="706">
        <f>AVERAGE(J281,J280)</f>
        <v>1584</v>
      </c>
      <c r="M281" s="667"/>
      <c r="N281" s="700">
        <f>(L281/L274-1)*100</f>
        <v>-2.3126734505087843</v>
      </c>
      <c r="O281" s="704"/>
      <c r="P281" s="703">
        <f>H281/N281*100</f>
        <v>-11.554615314969723</v>
      </c>
      <c r="Q281" s="702"/>
      <c r="R281" s="667"/>
      <c r="S281" s="712">
        <f>'segSales&amp;OM'!W96</f>
        <v>349.98399999999998</v>
      </c>
      <c r="T281" s="667"/>
      <c r="U281" s="713">
        <f>S281/L281</f>
        <v>0.22094949494949492</v>
      </c>
      <c r="V281" s="666"/>
      <c r="W281" s="730">
        <f>(U281/U274-1)*100</f>
        <v>11.854039188327858</v>
      </c>
      <c r="X281" s="685"/>
      <c r="Y281" s="666"/>
      <c r="Z281" s="678">
        <f>+'store&amp;sf'!L467</f>
        <v>4.4712499999999995</v>
      </c>
      <c r="AA281" s="724"/>
      <c r="AB281" s="710">
        <f>AVERAGE(Z281,Z280)</f>
        <v>4.4606250000000003</v>
      </c>
      <c r="AC281" s="666"/>
      <c r="AD281" s="700">
        <f>(AB281/AB274-1)*100</f>
        <v>0.29510961214165299</v>
      </c>
      <c r="AE281" s="685"/>
      <c r="AF281" s="703">
        <f>+H281/AD281*100</f>
        <v>90.54958215642958</v>
      </c>
      <c r="AG281" s="668"/>
      <c r="AH281" s="666"/>
      <c r="AI281" s="675">
        <f>+S281</f>
        <v>349.98399999999998</v>
      </c>
      <c r="AJ281" s="666"/>
      <c r="AK281" s="714">
        <f>AI281/AB281</f>
        <v>78.460753818130854</v>
      </c>
      <c r="AL281" s="666"/>
      <c r="AM281" s="730">
        <f>(AK281/AK274-1)*100</f>
        <v>8.9457112547687743</v>
      </c>
      <c r="AN281" s="685"/>
      <c r="AO281" s="666"/>
    </row>
    <row r="282" spans="1:41" hidden="1" outlineLevel="1">
      <c r="A282" s="666" t="str">
        <f>$A$29</f>
        <v>4Q</v>
      </c>
      <c r="B282" s="684" t="str">
        <f>$B$29</f>
        <v>Jan</v>
      </c>
      <c r="C282" s="666"/>
      <c r="D282" s="715">
        <f>(S282/S275-1)*100</f>
        <v>11.882096200944293</v>
      </c>
      <c r="E282" s="667"/>
      <c r="F282" s="717">
        <v>12</v>
      </c>
      <c r="G282" s="667"/>
      <c r="H282" s="715">
        <f>D282-F282</f>
        <v>-0.11790379905570703</v>
      </c>
      <c r="I282" s="667"/>
      <c r="J282" s="705">
        <f>+'store&amp;sf'!L104</f>
        <v>1569</v>
      </c>
      <c r="K282" s="724"/>
      <c r="L282" s="716">
        <f>AVERAGE(J282,J281)</f>
        <v>1575.5</v>
      </c>
      <c r="M282" s="667"/>
      <c r="N282" s="715">
        <f>(L282/L275-1)*100</f>
        <v>-2.3248605083694973</v>
      </c>
      <c r="O282" s="704"/>
      <c r="P282" s="717">
        <f>H282/N282*100</f>
        <v>5.0714354100494798</v>
      </c>
      <c r="Q282" s="702"/>
      <c r="R282" s="667"/>
      <c r="S282" s="718">
        <f>'segSales&amp;OM'!W97</f>
        <v>1006.394</v>
      </c>
      <c r="T282" s="667"/>
      <c r="U282" s="719">
        <f>S282/L282</f>
        <v>0.63877753094255796</v>
      </c>
      <c r="V282" s="666"/>
      <c r="W282" s="720">
        <f>(U282/U275-1)*100</f>
        <v>14.545110233020097</v>
      </c>
      <c r="X282" s="685"/>
      <c r="Y282" s="666"/>
      <c r="Z282" s="678">
        <f>+'store&amp;sf'!L468</f>
        <v>4.4449999999999994</v>
      </c>
      <c r="AA282" s="671"/>
      <c r="AB282" s="721">
        <f>AVERAGE(Z282,Z281)</f>
        <v>4.458124999999999</v>
      </c>
      <c r="AC282" s="666"/>
      <c r="AD282" s="715">
        <f>(AB282/AB275-1)*100</f>
        <v>0.36583649922610206</v>
      </c>
      <c r="AE282" s="685"/>
      <c r="AF282" s="717">
        <f>+H282/AD282*100</f>
        <v>-32.22854999572845</v>
      </c>
      <c r="AG282" s="668"/>
      <c r="AH282" s="666"/>
      <c r="AI282" s="722">
        <f>+S282</f>
        <v>1006.394</v>
      </c>
      <c r="AJ282" s="666"/>
      <c r="AK282" s="723">
        <f>AI282/AB282</f>
        <v>225.74378241973929</v>
      </c>
      <c r="AL282" s="666"/>
      <c r="AM282" s="720">
        <f>(AK282/AK275-1)*100</f>
        <v>11.474282587986973</v>
      </c>
      <c r="AN282" s="685"/>
      <c r="AO282" s="666"/>
    </row>
    <row r="283" spans="1:41" hidden="1" outlineLevel="1">
      <c r="A283" s="666"/>
      <c r="B283" s="684" t="str">
        <f>$B$30</f>
        <v>Year</v>
      </c>
      <c r="C283" s="666"/>
      <c r="D283" s="733">
        <f>(S283/S276-1)*100</f>
        <v>12.105273224566314</v>
      </c>
      <c r="E283" s="667"/>
      <c r="F283" s="703">
        <v>12</v>
      </c>
      <c r="G283" s="667"/>
      <c r="H283" s="733">
        <f>D283-F283</f>
        <v>0.10527322456631438</v>
      </c>
      <c r="I283" s="667"/>
      <c r="J283" s="667"/>
      <c r="K283" s="667"/>
      <c r="L283" s="706">
        <f>AVERAGE(L279:L282)</f>
        <v>1586.125</v>
      </c>
      <c r="M283" s="667"/>
      <c r="N283" s="700">
        <f>(L283/L276-1)*100</f>
        <v>-2.3096466240665192</v>
      </c>
      <c r="O283" s="704"/>
      <c r="P283" s="703">
        <f>H283/N283*100</f>
        <v>-4.5579797129728563</v>
      </c>
      <c r="Q283" s="702"/>
      <c r="R283" s="667"/>
      <c r="S283" s="726">
        <f>SUM(S279:S282)</f>
        <v>2168.6440000000002</v>
      </c>
      <c r="T283" s="667"/>
      <c r="U283" s="707">
        <f>SUM(U279:U282)</f>
        <v>1.3700161554627688</v>
      </c>
      <c r="V283" s="666"/>
      <c r="W283" s="730">
        <f>(U283/U276-1)*100</f>
        <v>14.764458641508703</v>
      </c>
      <c r="X283" s="685"/>
      <c r="Y283" s="666"/>
      <c r="Z283" s="676"/>
      <c r="AA283" s="666"/>
      <c r="AB283" s="710">
        <f>AVERAGE(AB279:AB282)</f>
        <v>4.4409374999999995</v>
      </c>
      <c r="AC283" s="666"/>
      <c r="AD283" s="700">
        <f>(AB283/AB276-1)*100</f>
        <v>-0.11948271014898815</v>
      </c>
      <c r="AE283" s="685"/>
      <c r="AF283" s="703">
        <f>+H283/AD283*100</f>
        <v>-88.107496419393783</v>
      </c>
      <c r="AG283" s="668"/>
      <c r="AH283" s="666"/>
      <c r="AI283" s="673">
        <f>SUM(AI279:AI282)</f>
        <v>2168.6440000000002</v>
      </c>
      <c r="AJ283" s="666"/>
      <c r="AK283" s="711">
        <f>SUM(AK279:AK282)</f>
        <v>487.83459733570589</v>
      </c>
      <c r="AL283" s="666"/>
      <c r="AM283" s="730">
        <f>(AK283/AK276-1)*100</f>
        <v>12.088854383155301</v>
      </c>
      <c r="AN283" s="685"/>
      <c r="AO283" s="666"/>
    </row>
    <row r="284" spans="1:41" ht="8.25" hidden="1" customHeight="1" outlineLevel="1">
      <c r="A284" s="666"/>
      <c r="B284" s="684"/>
      <c r="C284" s="666"/>
      <c r="D284" s="667"/>
      <c r="E284" s="667"/>
      <c r="F284" s="667"/>
      <c r="G284" s="667"/>
      <c r="H284" s="666"/>
      <c r="I284" s="666"/>
      <c r="J284" s="666"/>
      <c r="K284" s="666"/>
      <c r="L284" s="666"/>
      <c r="M284" s="666"/>
      <c r="N284" s="666"/>
      <c r="O284" s="685"/>
      <c r="P284" s="666"/>
      <c r="Q284" s="666"/>
      <c r="R284" s="666"/>
      <c r="S284" s="666"/>
      <c r="T284" s="666"/>
      <c r="U284" s="666"/>
      <c r="V284" s="666"/>
      <c r="W284" s="666"/>
      <c r="X284" s="666"/>
      <c r="Y284" s="666"/>
      <c r="Z284" s="666"/>
      <c r="AA284" s="666"/>
      <c r="AB284" s="666"/>
      <c r="AC284" s="666"/>
      <c r="AD284" s="666"/>
      <c r="AE284" s="685"/>
      <c r="AF284" s="666"/>
      <c r="AG284" s="666"/>
      <c r="AH284" s="666"/>
      <c r="AI284" s="666"/>
      <c r="AJ284" s="666"/>
      <c r="AK284" s="666"/>
      <c r="AL284" s="666"/>
      <c r="AM284" s="666"/>
      <c r="AN284" s="666"/>
      <c r="AO284" s="666"/>
    </row>
    <row r="285" spans="1:41" hidden="1" outlineLevel="1">
      <c r="A285" s="698"/>
      <c r="B285" s="738">
        <f>B278+1</f>
        <v>2005</v>
      </c>
      <c r="C285" s="666"/>
      <c r="D285" s="700"/>
      <c r="E285" s="701"/>
      <c r="F285" s="700"/>
      <c r="G285" s="701"/>
      <c r="H285" s="700"/>
      <c r="I285" s="704"/>
      <c r="J285" s="667"/>
      <c r="K285" s="667"/>
      <c r="L285" s="667"/>
      <c r="M285" s="667"/>
      <c r="N285" s="667"/>
      <c r="O285" s="704"/>
      <c r="P285" s="702"/>
      <c r="Q285" s="702"/>
      <c r="R285" s="667"/>
      <c r="S285" s="667"/>
      <c r="T285" s="667"/>
      <c r="U285" s="667"/>
      <c r="V285" s="666"/>
      <c r="W285" s="666"/>
      <c r="X285" s="685"/>
      <c r="Y285" s="666"/>
      <c r="Z285" s="676"/>
      <c r="AA285" s="666"/>
      <c r="AB285" s="679"/>
      <c r="AC285" s="666"/>
      <c r="AD285" s="667"/>
      <c r="AE285" s="685"/>
      <c r="AF285" s="703"/>
      <c r="AG285" s="668"/>
      <c r="AH285" s="666"/>
      <c r="AI285" s="666"/>
      <c r="AJ285" s="666"/>
      <c r="AK285" s="666"/>
      <c r="AL285" s="666"/>
      <c r="AM285" s="666"/>
      <c r="AN285" s="685"/>
      <c r="AO285" s="666"/>
    </row>
    <row r="286" spans="1:41" hidden="1" outlineLevel="1">
      <c r="A286" s="666" t="str">
        <f>$A$26</f>
        <v>1Q</v>
      </c>
      <c r="B286" s="684" t="str">
        <f>$B$26</f>
        <v>Apr</v>
      </c>
      <c r="C286" s="666"/>
      <c r="D286" s="700">
        <f>(S286/S279-1)*100</f>
        <v>6.2153601375796619</v>
      </c>
      <c r="E286" s="701" t="s">
        <v>1084</v>
      </c>
      <c r="F286" s="703">
        <v>5</v>
      </c>
      <c r="G286" s="701" t="s">
        <v>1084</v>
      </c>
      <c r="H286" s="700">
        <f>D286-F286</f>
        <v>1.2153601375796619</v>
      </c>
      <c r="I286" s="704" t="s">
        <v>1084</v>
      </c>
      <c r="J286" s="705">
        <f>+'store&amp;sf'!L107</f>
        <v>1571</v>
      </c>
      <c r="K286" s="667"/>
      <c r="L286" s="706">
        <f>AVERAGE(J286,J282)</f>
        <v>1570</v>
      </c>
      <c r="M286" s="667"/>
      <c r="N286" s="700">
        <f>(L286/L279-1)*100</f>
        <v>-1.6906700062617408</v>
      </c>
      <c r="O286" s="704" t="s">
        <v>1084</v>
      </c>
      <c r="P286" s="703">
        <f>H286/N286*100</f>
        <v>-71.886301470915555</v>
      </c>
      <c r="Q286" s="702" t="s">
        <v>1084</v>
      </c>
      <c r="R286" s="667"/>
      <c r="S286" s="726">
        <f>'segSales&amp;OM'!W101</f>
        <v>363.16199999999998</v>
      </c>
      <c r="T286" s="667"/>
      <c r="U286" s="707">
        <f>S286/L286</f>
        <v>0.23131337579617833</v>
      </c>
      <c r="V286" s="666"/>
      <c r="W286" s="730">
        <f>(U286/U279-1)*100</f>
        <v>8.0419937195635107</v>
      </c>
      <c r="X286" s="685" t="s">
        <v>1084</v>
      </c>
      <c r="Y286" s="666"/>
      <c r="Z286" s="678">
        <f>+'store&amp;sf'!L471</f>
        <v>4.4674999999999994</v>
      </c>
      <c r="AA286" s="666"/>
      <c r="AB286" s="710">
        <f>AVERAGE(Z286,Z282)</f>
        <v>4.4562499999999989</v>
      </c>
      <c r="AC286" s="666"/>
      <c r="AD286" s="700">
        <f>(AB286/AB279-1)*100</f>
        <v>0.89146738361396416</v>
      </c>
      <c r="AE286" s="685" t="s">
        <v>1084</v>
      </c>
      <c r="AF286" s="703">
        <f>+H286/AD286*100</f>
        <v>136.33254114723218</v>
      </c>
      <c r="AG286" s="668" t="s">
        <v>1084</v>
      </c>
      <c r="AH286" s="666"/>
      <c r="AI286" s="673">
        <f>+S286</f>
        <v>363.16199999999998</v>
      </c>
      <c r="AJ286" s="666"/>
      <c r="AK286" s="711">
        <f>AI286/AB286</f>
        <v>81.494978962131853</v>
      </c>
      <c r="AL286" s="666"/>
      <c r="AM286" s="730">
        <f>(AK286/AK279-1)*100</f>
        <v>5.2768513453401944</v>
      </c>
      <c r="AN286" s="685" t="s">
        <v>1084</v>
      </c>
      <c r="AO286" s="666"/>
    </row>
    <row r="287" spans="1:41" hidden="1" outlineLevel="1">
      <c r="A287" s="666" t="str">
        <f>$A$27</f>
        <v>2Q</v>
      </c>
      <c r="B287" s="684" t="str">
        <f>$B$27</f>
        <v>Jul</v>
      </c>
      <c r="C287" s="666"/>
      <c r="D287" s="700">
        <f>(S287/S280-1)*100</f>
        <v>9.8140766017157155</v>
      </c>
      <c r="E287" s="700"/>
      <c r="F287" s="745">
        <v>9</v>
      </c>
      <c r="G287" s="700"/>
      <c r="H287" s="700">
        <f>D287-F287</f>
        <v>0.8140766017157155</v>
      </c>
      <c r="I287" s="667"/>
      <c r="J287" s="705">
        <f>+'store&amp;sf'!L108</f>
        <v>1567</v>
      </c>
      <c r="K287" s="724"/>
      <c r="L287" s="706">
        <f>AVERAGE(J287,J286)</f>
        <v>1569</v>
      </c>
      <c r="M287" s="667"/>
      <c r="N287" s="700">
        <f>(L287/L280-1)*100</f>
        <v>-1.1964735516372782</v>
      </c>
      <c r="O287" s="704"/>
      <c r="P287" s="703">
        <f>H287/N287*100</f>
        <v>-68.039665448660941</v>
      </c>
      <c r="Q287" s="702"/>
      <c r="R287" s="667"/>
      <c r="S287" s="712">
        <f>'segSales&amp;OM'!W102</f>
        <v>516.51599999999996</v>
      </c>
      <c r="T287" s="667"/>
      <c r="U287" s="713">
        <f>S287/L287</f>
        <v>0.32920076481835564</v>
      </c>
      <c r="V287" s="666"/>
      <c r="W287" s="730">
        <f>(U287/U280-1)*100</f>
        <v>11.143883775350272</v>
      </c>
      <c r="X287" s="685"/>
      <c r="Y287" s="666"/>
      <c r="Z287" s="678">
        <f>+'store&amp;sf'!L472</f>
        <v>4.4637500000000001</v>
      </c>
      <c r="AA287" s="724"/>
      <c r="AB287" s="710">
        <f>AVERAGE(Z287,Z286)</f>
        <v>4.4656249999999993</v>
      </c>
      <c r="AC287" s="666"/>
      <c r="AD287" s="700">
        <f>(AB287/AB280-1)*100</f>
        <v>0.84685956245589278</v>
      </c>
      <c r="AE287" s="685"/>
      <c r="AF287" s="703">
        <f>+H287/AD287*100</f>
        <v>96.128878719264065</v>
      </c>
      <c r="AG287" s="668"/>
      <c r="AH287" s="666"/>
      <c r="AI287" s="675">
        <f>+S287</f>
        <v>516.51599999999996</v>
      </c>
      <c r="AJ287" s="666"/>
      <c r="AK287" s="714">
        <f>AI287/AB287</f>
        <v>115.66488453463961</v>
      </c>
      <c r="AL287" s="666"/>
      <c r="AM287" s="730">
        <f>(AK287/AK280-1)*100</f>
        <v>8.8919150067398043</v>
      </c>
      <c r="AN287" s="685"/>
      <c r="AO287" s="666"/>
    </row>
    <row r="288" spans="1:41" hidden="1" outlineLevel="1">
      <c r="A288" s="666" t="str">
        <f>$A$28</f>
        <v>3Q</v>
      </c>
      <c r="B288" s="684" t="str">
        <f>$B$28</f>
        <v>Oct</v>
      </c>
      <c r="C288" s="666"/>
      <c r="D288" s="700">
        <f>(S288/S281-1)*100</f>
        <v>1.7823671939288577</v>
      </c>
      <c r="E288" s="700"/>
      <c r="F288" s="745">
        <v>1</v>
      </c>
      <c r="G288" s="700"/>
      <c r="H288" s="700">
        <f>D288-F288</f>
        <v>0.78236719392885767</v>
      </c>
      <c r="I288" s="667"/>
      <c r="J288" s="705">
        <f>+'store&amp;sf'!L109</f>
        <v>1570</v>
      </c>
      <c r="K288" s="724"/>
      <c r="L288" s="706">
        <f>AVERAGE(J288,J287)</f>
        <v>1568.5</v>
      </c>
      <c r="M288" s="667"/>
      <c r="N288" s="700">
        <f>(L288/L281-1)*100</f>
        <v>-0.97853535353534804</v>
      </c>
      <c r="O288" s="704"/>
      <c r="P288" s="703">
        <f>H288/N288*100</f>
        <v>-79.952879689246288</v>
      </c>
      <c r="Q288" s="702"/>
      <c r="R288" s="667"/>
      <c r="S288" s="712">
        <f>'segSales&amp;OM'!W103</f>
        <v>356.22199999999998</v>
      </c>
      <c r="T288" s="667"/>
      <c r="U288" s="713">
        <f>S288/L288</f>
        <v>0.22710997768568694</v>
      </c>
      <c r="V288" s="666"/>
      <c r="W288" s="730">
        <f>(U288/U281-1)*100</f>
        <v>2.78818593253638</v>
      </c>
      <c r="X288" s="685"/>
      <c r="Y288" s="666"/>
      <c r="Z288" s="678">
        <f>+'store&amp;sf'!L473</f>
        <v>4.4950000000000001</v>
      </c>
      <c r="AA288" s="724"/>
      <c r="AB288" s="710">
        <f>AVERAGE(Z288,Z287)</f>
        <v>4.4793750000000001</v>
      </c>
      <c r="AC288" s="666"/>
      <c r="AD288" s="700">
        <f>(AB288/AB281-1)*100</f>
        <v>0.42034468263976166</v>
      </c>
      <c r="AE288" s="685"/>
      <c r="AF288" s="703">
        <f>+H288/AD288*100</f>
        <v>186.12515543567653</v>
      </c>
      <c r="AG288" s="668"/>
      <c r="AH288" s="666"/>
      <c r="AI288" s="675">
        <f>+S288</f>
        <v>356.22199999999998</v>
      </c>
      <c r="AJ288" s="666"/>
      <c r="AK288" s="714">
        <f>AI288/AB288</f>
        <v>79.524933724012826</v>
      </c>
      <c r="AL288" s="666"/>
      <c r="AM288" s="730">
        <f>(AK288/AK281-1)*100</f>
        <v>1.356321286880191</v>
      </c>
      <c r="AN288" s="685"/>
      <c r="AO288" s="666"/>
    </row>
    <row r="289" spans="1:41" hidden="1" outlineLevel="1">
      <c r="A289" s="666" t="str">
        <f>$A$29</f>
        <v>4Q</v>
      </c>
      <c r="B289" s="684" t="str">
        <f>$B$29</f>
        <v>Jan</v>
      </c>
      <c r="C289" s="666"/>
      <c r="D289" s="732">
        <f>(S289/S282-1)*100</f>
        <v>2.6457828643652537</v>
      </c>
      <c r="E289" s="667"/>
      <c r="F289" s="717">
        <v>1</v>
      </c>
      <c r="G289" s="667"/>
      <c r="H289" s="732">
        <f>D289-F289</f>
        <v>1.6457828643652537</v>
      </c>
      <c r="I289" s="667"/>
      <c r="J289" s="705">
        <f>+'store&amp;sf'!L110</f>
        <v>1555</v>
      </c>
      <c r="K289" s="724"/>
      <c r="L289" s="716">
        <f>AVERAGE(J289,J288)</f>
        <v>1562.5</v>
      </c>
      <c r="M289" s="667"/>
      <c r="N289" s="715">
        <f>(L289/L282-1)*100</f>
        <v>-0.82513487781656902</v>
      </c>
      <c r="O289" s="704"/>
      <c r="P289" s="717">
        <f>H289/N289*100</f>
        <v>-199.45622329288065</v>
      </c>
      <c r="Q289" s="702"/>
      <c r="R289" s="667"/>
      <c r="S289" s="718">
        <f>'segSales&amp;OM'!W104</f>
        <v>1033.021</v>
      </c>
      <c r="T289" s="667"/>
      <c r="U289" s="719">
        <f>S289/L289</f>
        <v>0.66113343999999996</v>
      </c>
      <c r="V289" s="666"/>
      <c r="W289" s="720">
        <f>(U289/U282-1)*100</f>
        <v>3.4997957777967548</v>
      </c>
      <c r="X289" s="685"/>
      <c r="Y289" s="666"/>
      <c r="Z289" s="678">
        <f>+'store&amp;sf'!L474</f>
        <v>4.4624999999999995</v>
      </c>
      <c r="AA289" s="671"/>
      <c r="AB289" s="721">
        <f>AVERAGE(Z289,Z288)</f>
        <v>4.4787499999999998</v>
      </c>
      <c r="AC289" s="666"/>
      <c r="AD289" s="715">
        <f>(AB289/AB282-1)*100</f>
        <v>0.46263844104865726</v>
      </c>
      <c r="AE289" s="685"/>
      <c r="AF289" s="717">
        <f>+H289/AD289*100</f>
        <v>355.73845974294238</v>
      </c>
      <c r="AG289" s="668"/>
      <c r="AH289" s="666"/>
      <c r="AI289" s="722">
        <f>+S289</f>
        <v>1033.021</v>
      </c>
      <c r="AJ289" s="666"/>
      <c r="AK289" s="723">
        <f>AI289/AB289</f>
        <v>230.64939994418086</v>
      </c>
      <c r="AL289" s="666"/>
      <c r="AM289" s="720">
        <f>(AK289/AK282-1)*100</f>
        <v>2.173090869594918</v>
      </c>
      <c r="AN289" s="685"/>
      <c r="AO289" s="666"/>
    </row>
    <row r="290" spans="1:41" hidden="1" outlineLevel="1">
      <c r="A290" s="666"/>
      <c r="B290" s="684" t="str">
        <f>$B$30</f>
        <v>Year</v>
      </c>
      <c r="C290" s="666"/>
      <c r="D290" s="733">
        <f>(S290/S283-1)*100</f>
        <v>4.6239493434606871</v>
      </c>
      <c r="E290" s="667"/>
      <c r="F290" s="703">
        <v>4</v>
      </c>
      <c r="G290" s="667"/>
      <c r="H290" s="733">
        <f>D290-F290</f>
        <v>0.62394934346068709</v>
      </c>
      <c r="I290" s="667"/>
      <c r="J290" s="667"/>
      <c r="K290" s="667"/>
      <c r="L290" s="706">
        <f>AVERAGE(L286:L289)</f>
        <v>1567.5</v>
      </c>
      <c r="M290" s="667"/>
      <c r="N290" s="700">
        <f>(L290/L283-1)*100</f>
        <v>-1.1742454094097243</v>
      </c>
      <c r="O290" s="704"/>
      <c r="P290" s="703">
        <f>H290/N290*100</f>
        <v>-53.136196101829945</v>
      </c>
      <c r="Q290" s="702"/>
      <c r="R290" s="667"/>
      <c r="S290" s="726">
        <f>SUM(S286:S289)</f>
        <v>2268.9209999999998</v>
      </c>
      <c r="T290" s="667"/>
      <c r="U290" s="707">
        <f>SUM(U286:U289)</f>
        <v>1.4487575583002208</v>
      </c>
      <c r="V290" s="666"/>
      <c r="W290" s="730">
        <f>(U290/U283-1)*100</f>
        <v>5.7474798763124335</v>
      </c>
      <c r="X290" s="685"/>
      <c r="Y290" s="666"/>
      <c r="Z290" s="676"/>
      <c r="AA290" s="666"/>
      <c r="AB290" s="710">
        <f>AVERAGE(AB286:AB289)</f>
        <v>4.4699999999999989</v>
      </c>
      <c r="AC290" s="666"/>
      <c r="AD290" s="700">
        <f>(AB290/AB283-1)*100</f>
        <v>0.65442263035675463</v>
      </c>
      <c r="AE290" s="685"/>
      <c r="AF290" s="703">
        <f>+H290/AD290*100</f>
        <v>95.34348516042985</v>
      </c>
      <c r="AG290" s="668"/>
      <c r="AH290" s="666"/>
      <c r="AI290" s="673">
        <f>SUM(AI286:AI289)</f>
        <v>2268.9209999999998</v>
      </c>
      <c r="AJ290" s="666"/>
      <c r="AK290" s="711">
        <f>SUM(AK286:AK289)</f>
        <v>507.33419716496513</v>
      </c>
      <c r="AL290" s="666"/>
      <c r="AM290" s="730">
        <f>(AK290/AK283-1)*100</f>
        <v>3.9971744389913466</v>
      </c>
      <c r="AN290" s="685"/>
      <c r="AO290" s="666"/>
    </row>
    <row r="291" spans="1:41" hidden="1" outlineLevel="1">
      <c r="A291" s="666"/>
      <c r="B291" s="684"/>
      <c r="C291" s="666"/>
      <c r="D291" s="733"/>
      <c r="E291" s="667"/>
      <c r="F291" s="703"/>
      <c r="G291" s="667"/>
      <c r="H291" s="733"/>
      <c r="I291" s="667"/>
      <c r="J291" s="667"/>
      <c r="K291" s="667"/>
      <c r="L291" s="706"/>
      <c r="M291" s="667"/>
      <c r="N291" s="700"/>
      <c r="O291" s="704"/>
      <c r="P291" s="703"/>
      <c r="Q291" s="702"/>
      <c r="R291" s="667"/>
      <c r="S291" s="726"/>
      <c r="T291" s="667"/>
      <c r="U291" s="707"/>
      <c r="V291" s="666"/>
      <c r="W291" s="730"/>
      <c r="X291" s="685"/>
      <c r="Y291" s="666"/>
      <c r="Z291" s="676"/>
      <c r="AA291" s="666"/>
      <c r="AB291" s="710"/>
      <c r="AC291" s="666"/>
      <c r="AD291" s="700"/>
      <c r="AE291" s="685"/>
      <c r="AF291" s="703"/>
      <c r="AG291" s="668"/>
      <c r="AH291" s="666"/>
      <c r="AI291" s="673"/>
      <c r="AJ291" s="666"/>
      <c r="AK291" s="711"/>
      <c r="AL291" s="666"/>
      <c r="AM291" s="730"/>
      <c r="AN291" s="685"/>
      <c r="AO291" s="666"/>
    </row>
    <row r="292" spans="1:41" hidden="1" outlineLevel="1" collapsed="1">
      <c r="A292" s="698"/>
      <c r="B292" s="738">
        <f>B285+1</f>
        <v>2006</v>
      </c>
      <c r="C292" s="666"/>
      <c r="D292" s="700"/>
      <c r="E292" s="701"/>
      <c r="F292" s="700"/>
      <c r="G292" s="701"/>
      <c r="H292" s="700"/>
      <c r="I292" s="704"/>
      <c r="J292" s="667"/>
      <c r="K292" s="667"/>
      <c r="L292" s="667"/>
      <c r="M292" s="667"/>
      <c r="N292" s="667"/>
      <c r="O292" s="704"/>
      <c r="P292" s="702"/>
      <c r="Q292" s="702"/>
      <c r="R292" s="667"/>
      <c r="S292" s="667"/>
      <c r="T292" s="667"/>
      <c r="U292" s="667"/>
      <c r="V292" s="666"/>
      <c r="W292" s="666"/>
      <c r="X292" s="685"/>
      <c r="Y292" s="666"/>
      <c r="Z292" s="676"/>
      <c r="AA292" s="666"/>
      <c r="AB292" s="679"/>
      <c r="AC292" s="666"/>
      <c r="AD292" s="667"/>
      <c r="AE292" s="685"/>
      <c r="AF292" s="703"/>
      <c r="AG292" s="668"/>
      <c r="AH292" s="666"/>
      <c r="AI292" s="666"/>
      <c r="AJ292" s="666"/>
      <c r="AK292" s="666"/>
      <c r="AL292" s="666"/>
      <c r="AM292" s="666"/>
      <c r="AN292" s="685"/>
      <c r="AO292" s="666"/>
    </row>
    <row r="293" spans="1:41" hidden="1" outlineLevel="1">
      <c r="A293" s="666" t="str">
        <f>$A$26</f>
        <v>1Q</v>
      </c>
      <c r="B293" s="684" t="str">
        <f>$B$26</f>
        <v>Apr</v>
      </c>
      <c r="C293" s="666"/>
      <c r="D293" s="700">
        <f>(S293/S286-1)*100</f>
        <v>6.3115083626591018</v>
      </c>
      <c r="E293" s="701" t="s">
        <v>1084</v>
      </c>
      <c r="F293" s="703">
        <v>4</v>
      </c>
      <c r="G293" s="701" t="s">
        <v>1084</v>
      </c>
      <c r="H293" s="700">
        <f>D293-F293</f>
        <v>2.3115083626591018</v>
      </c>
      <c r="I293" s="704" t="s">
        <v>1084</v>
      </c>
      <c r="J293" s="705">
        <f>'store&amp;sf'!L113</f>
        <v>1554</v>
      </c>
      <c r="K293" s="667"/>
      <c r="L293" s="706">
        <f>AVERAGE(J293,J289)</f>
        <v>1554.5</v>
      </c>
      <c r="M293" s="667"/>
      <c r="N293" s="700">
        <f>(L293/L286-1)*100</f>
        <v>-0.98726114649682062</v>
      </c>
      <c r="O293" s="704" t="s">
        <v>1084</v>
      </c>
      <c r="P293" s="703">
        <f>H293/N293*100</f>
        <v>-234.13342770159807</v>
      </c>
      <c r="Q293" s="702" t="s">
        <v>1084</v>
      </c>
      <c r="R293" s="667"/>
      <c r="S293" s="726">
        <f>'segSales&amp;OM'!W115</f>
        <v>386.08300000000003</v>
      </c>
      <c r="T293" s="667"/>
      <c r="U293" s="707">
        <f>S293/L293</f>
        <v>0.24836474750723708</v>
      </c>
      <c r="V293" s="666"/>
      <c r="W293" s="730">
        <f>(U293/U286-1)*100</f>
        <v>7.3715459178995246</v>
      </c>
      <c r="X293" s="685" t="s">
        <v>1084</v>
      </c>
      <c r="Y293" s="666"/>
      <c r="Z293" s="678">
        <f>+'store&amp;sf'!L477</f>
        <v>4.4649999999999999</v>
      </c>
      <c r="AA293" s="666"/>
      <c r="AB293" s="710">
        <f>AVERAGE(Z293,Z289)</f>
        <v>4.4637499999999992</v>
      </c>
      <c r="AC293" s="666"/>
      <c r="AD293" s="700">
        <f>(AB293/AB286-1)*100</f>
        <v>0.1683029453015461</v>
      </c>
      <c r="AE293" s="685" t="s">
        <v>1084</v>
      </c>
      <c r="AF293" s="703">
        <f>+H293/AD293*100</f>
        <v>1373.4212188132558</v>
      </c>
      <c r="AG293" s="668" t="s">
        <v>1084</v>
      </c>
      <c r="AH293" s="666"/>
      <c r="AI293" s="673">
        <f>+S293</f>
        <v>386.08300000000003</v>
      </c>
      <c r="AJ293" s="666"/>
      <c r="AK293" s="711">
        <f>AI293/AB293</f>
        <v>86.4929711565388</v>
      </c>
      <c r="AL293" s="666"/>
      <c r="AM293" s="730">
        <f>(AK293/AK286-1)*100</f>
        <v>6.1328835936375281</v>
      </c>
      <c r="AN293" s="685" t="s">
        <v>1084</v>
      </c>
      <c r="AO293" s="666"/>
    </row>
    <row r="294" spans="1:41" hidden="1" outlineLevel="1">
      <c r="A294" s="666" t="str">
        <f>$A$27</f>
        <v>2Q</v>
      </c>
      <c r="B294" s="684" t="str">
        <f>$B$27</f>
        <v>Jul</v>
      </c>
      <c r="C294" s="666"/>
      <c r="D294" s="700">
        <f>(S294/S287-1)*100</f>
        <v>12.389935645749595</v>
      </c>
      <c r="E294" s="700"/>
      <c r="F294" s="745">
        <v>11</v>
      </c>
      <c r="G294" s="700"/>
      <c r="H294" s="700">
        <f>D294-F294</f>
        <v>1.3899356457495955</v>
      </c>
      <c r="I294" s="667"/>
      <c r="J294" s="705">
        <f>'store&amp;sf'!L114</f>
        <v>1549</v>
      </c>
      <c r="K294" s="724"/>
      <c r="L294" s="706">
        <f>AVERAGE(J294,J293)</f>
        <v>1551.5</v>
      </c>
      <c r="M294" s="667"/>
      <c r="N294" s="700">
        <f>(L294/L287-1)*100</f>
        <v>-1.1153601019757819</v>
      </c>
      <c r="O294" s="704"/>
      <c r="P294" s="703">
        <f>H294/N294*100</f>
        <v>-124.61765875320646</v>
      </c>
      <c r="Q294" s="702"/>
      <c r="R294" s="667"/>
      <c r="S294" s="712">
        <f>'segSales&amp;OM'!W116</f>
        <v>580.51199999999994</v>
      </c>
      <c r="T294" s="667"/>
      <c r="U294" s="713">
        <f>S294/L294</f>
        <v>0.37416177892362229</v>
      </c>
      <c r="V294" s="666"/>
      <c r="W294" s="730">
        <f>(U294/U287-1)*100</f>
        <v>13.657627475463174</v>
      </c>
      <c r="X294" s="685"/>
      <c r="Y294" s="666"/>
      <c r="Z294" s="678">
        <f>+'store&amp;sf'!L478</f>
        <v>4.4887499999999996</v>
      </c>
      <c r="AA294" s="724"/>
      <c r="AB294" s="710">
        <f>AVERAGE(Z294,Z293)</f>
        <v>4.4768749999999997</v>
      </c>
      <c r="AC294" s="666"/>
      <c r="AD294" s="700">
        <f>(AB294/AB287-1)*100</f>
        <v>0.25192442267321091</v>
      </c>
      <c r="AE294" s="685"/>
      <c r="AF294" s="703">
        <f>+H294/AD294*100</f>
        <v>551.72723271557516</v>
      </c>
      <c r="AG294" s="668"/>
      <c r="AH294" s="666"/>
      <c r="AI294" s="675">
        <f>+S294</f>
        <v>580.51199999999994</v>
      </c>
      <c r="AJ294" s="666"/>
      <c r="AK294" s="714">
        <f>AI294/AB294</f>
        <v>129.66902135976545</v>
      </c>
      <c r="AL294" s="666"/>
      <c r="AM294" s="730">
        <f>(AK294/AK287-1)*100</f>
        <v>12.107509449794884</v>
      </c>
      <c r="AN294" s="685"/>
      <c r="AO294" s="666"/>
    </row>
    <row r="295" spans="1:41" hidden="1" outlineLevel="1">
      <c r="A295" s="666" t="str">
        <f>$A$28</f>
        <v>3Q</v>
      </c>
      <c r="B295" s="684" t="str">
        <f>$B$28</f>
        <v>Oct</v>
      </c>
      <c r="C295" s="666"/>
      <c r="D295" s="700">
        <f>(S295/S288-1)*100</f>
        <v>16.288718832638072</v>
      </c>
      <c r="E295" s="700"/>
      <c r="F295" s="745">
        <v>15</v>
      </c>
      <c r="G295" s="700"/>
      <c r="H295" s="700">
        <f>D295-F295</f>
        <v>1.2887188326380716</v>
      </c>
      <c r="I295" s="667"/>
      <c r="J295" s="705">
        <f>'store&amp;sf'!L115</f>
        <v>1553</v>
      </c>
      <c r="K295" s="724"/>
      <c r="L295" s="706">
        <f>AVERAGE(J295,J294)</f>
        <v>1551</v>
      </c>
      <c r="M295" s="667"/>
      <c r="N295" s="700">
        <f>(L295/L288-1)*100</f>
        <v>-1.1157156518967204</v>
      </c>
      <c r="O295" s="704"/>
      <c r="P295" s="703">
        <f>H295/N295*100</f>
        <v>-115.5060279424462</v>
      </c>
      <c r="Q295" s="702"/>
      <c r="R295" s="667"/>
      <c r="S295" s="712">
        <f>'segSales&amp;OM'!W117</f>
        <v>414.24599999999998</v>
      </c>
      <c r="T295" s="667"/>
      <c r="U295" s="713">
        <f>S295/L295</f>
        <v>0.26708317214700195</v>
      </c>
      <c r="V295" s="666"/>
      <c r="W295" s="730">
        <f>(U295/U288-1)*100</f>
        <v>17.600809470659474</v>
      </c>
      <c r="X295" s="685"/>
      <c r="Y295" s="666"/>
      <c r="Z295" s="678">
        <f>+'store&amp;sf'!L479</f>
        <v>4.5137499999999999</v>
      </c>
      <c r="AA295" s="724"/>
      <c r="AB295" s="710">
        <f>AVERAGE(Z295,Z294)</f>
        <v>4.5012499999999998</v>
      </c>
      <c r="AC295" s="666"/>
      <c r="AD295" s="700">
        <f>(AB295/AB288-1)*100</f>
        <v>0.4883493790986293</v>
      </c>
      <c r="AE295" s="685"/>
      <c r="AF295" s="703">
        <f>+H295/AD295*100</f>
        <v>263.89279638621105</v>
      </c>
      <c r="AG295" s="668"/>
      <c r="AH295" s="666"/>
      <c r="AI295" s="675">
        <f>+S295</f>
        <v>414.24599999999998</v>
      </c>
      <c r="AJ295" s="666"/>
      <c r="AK295" s="714">
        <f>AI295/AB295</f>
        <v>92.029103026936966</v>
      </c>
      <c r="AL295" s="666"/>
      <c r="AM295" s="730">
        <f>(AK295/AK288-1)*100</f>
        <v>15.723583431479749</v>
      </c>
      <c r="AN295" s="685"/>
      <c r="AO295" s="666"/>
    </row>
    <row r="296" spans="1:41" hidden="1" outlineLevel="1">
      <c r="A296" s="666" t="str">
        <f>$A$29</f>
        <v>4Q</v>
      </c>
      <c r="B296" s="684" t="str">
        <f>$B$29</f>
        <v>Jan</v>
      </c>
      <c r="C296" s="666"/>
      <c r="D296" s="732">
        <f>(S296/S289-1)*100</f>
        <v>13.701851172435031</v>
      </c>
      <c r="E296" s="667"/>
      <c r="F296" s="717">
        <v>9</v>
      </c>
      <c r="G296" s="667"/>
      <c r="H296" s="715">
        <f>D296-F296</f>
        <v>4.7018511724350311</v>
      </c>
      <c r="I296" s="667"/>
      <c r="J296" s="705">
        <f>'store&amp;sf'!L116</f>
        <v>1546</v>
      </c>
      <c r="K296" s="724"/>
      <c r="L296" s="716">
        <f>AVERAGE(J296,J295)</f>
        <v>1549.5</v>
      </c>
      <c r="M296" s="667"/>
      <c r="N296" s="715">
        <f>(L296/L289-1)*100</f>
        <v>-0.83199999999999941</v>
      </c>
      <c r="O296" s="704"/>
      <c r="P296" s="717">
        <f>H296/N296*100</f>
        <v>-565.12634284074932</v>
      </c>
      <c r="Q296" s="702"/>
      <c r="R296" s="667"/>
      <c r="S296" s="718">
        <f>'segSales&amp;OM'!W118</f>
        <v>1174.5640000000001</v>
      </c>
      <c r="T296" s="667"/>
      <c r="U296" s="719">
        <f>S296/L296</f>
        <v>0.75802775088738306</v>
      </c>
      <c r="V296" s="666"/>
      <c r="W296" s="720">
        <f>(U296/U289-1)*100</f>
        <v>14.655787322962087</v>
      </c>
      <c r="X296" s="685"/>
      <c r="Y296" s="666"/>
      <c r="Z296" s="678">
        <f>+'store&amp;sf'!L480</f>
        <v>4.5049999999999999</v>
      </c>
      <c r="AA296" s="671"/>
      <c r="AB296" s="721">
        <f>AVERAGE(Z296,Z295)</f>
        <v>4.5093750000000004</v>
      </c>
      <c r="AC296" s="666"/>
      <c r="AD296" s="715">
        <f>(AB296/AB289-1)*100</f>
        <v>0.6837845380965879</v>
      </c>
      <c r="AE296" s="685"/>
      <c r="AF296" s="717">
        <f>+H296/AD296*100</f>
        <v>687.62174493200837</v>
      </c>
      <c r="AG296" s="668"/>
      <c r="AH296" s="666"/>
      <c r="AI296" s="722">
        <f>+S296</f>
        <v>1174.5640000000001</v>
      </c>
      <c r="AJ296" s="666"/>
      <c r="AK296" s="723">
        <f>AI296/AB296</f>
        <v>260.47157311157309</v>
      </c>
      <c r="AL296" s="666"/>
      <c r="AM296" s="720">
        <f>(AK296/AK289-1)*100</f>
        <v>12.929655648187023</v>
      </c>
      <c r="AN296" s="685"/>
      <c r="AO296" s="666"/>
    </row>
    <row r="297" spans="1:41" hidden="1" outlineLevel="1">
      <c r="A297" s="666"/>
      <c r="B297" s="684" t="str">
        <f>$B$30</f>
        <v>Year</v>
      </c>
      <c r="C297" s="666"/>
      <c r="D297" s="733">
        <f>(S297/S290-1)*100</f>
        <v>12.626442260440097</v>
      </c>
      <c r="E297" s="667"/>
      <c r="F297" s="703">
        <v>10</v>
      </c>
      <c r="G297" s="667"/>
      <c r="H297" s="733">
        <f>D297-F297</f>
        <v>2.626442260440097</v>
      </c>
      <c r="I297" s="667"/>
      <c r="J297" s="667"/>
      <c r="K297" s="667"/>
      <c r="L297" s="706">
        <f>AVERAGE(L293:L296)</f>
        <v>1551.625</v>
      </c>
      <c r="M297" s="667"/>
      <c r="N297" s="700">
        <f>(L297/L290-1)*100</f>
        <v>-1.0127591706539096</v>
      </c>
      <c r="O297" s="704"/>
      <c r="P297" s="703">
        <f>H297/N297*100</f>
        <v>-259.33532240880902</v>
      </c>
      <c r="Q297" s="702"/>
      <c r="R297" s="667"/>
      <c r="S297" s="726">
        <f>SUM(S293:S296)</f>
        <v>2555.4049999999997</v>
      </c>
      <c r="T297" s="667"/>
      <c r="U297" s="707">
        <f>SUM(U293:U296)</f>
        <v>1.6476374494652444</v>
      </c>
      <c r="V297" s="666"/>
      <c r="W297" s="730">
        <f>(U297/U290-1)*100</f>
        <v>13.727617158965</v>
      </c>
      <c r="X297" s="685"/>
      <c r="Y297" s="666"/>
      <c r="Z297" s="676"/>
      <c r="AA297" s="666"/>
      <c r="AB297" s="710">
        <f>AVERAGE(AB293:AB296)</f>
        <v>4.4878125000000004</v>
      </c>
      <c r="AC297" s="666"/>
      <c r="AD297" s="700">
        <f>(AB297/AB290-1)*100</f>
        <v>0.39848993288593704</v>
      </c>
      <c r="AE297" s="685"/>
      <c r="AF297" s="703">
        <f>+H297/AD297*100</f>
        <v>659.098773567232</v>
      </c>
      <c r="AG297" s="668"/>
      <c r="AH297" s="666"/>
      <c r="AI297" s="673">
        <f>SUM(AI293:AI296)</f>
        <v>2555.4049999999997</v>
      </c>
      <c r="AJ297" s="666"/>
      <c r="AK297" s="711">
        <f>SUM(AK293:AK296)</f>
        <v>568.6626686548143</v>
      </c>
      <c r="AL297" s="666"/>
      <c r="AM297" s="730">
        <f>(AK297/AK290-1)*100</f>
        <v>12.088377214183254</v>
      </c>
      <c r="AN297" s="685"/>
      <c r="AO297" s="666"/>
    </row>
    <row r="298" spans="1:41" hidden="1" outlineLevel="1">
      <c r="A298" s="666"/>
      <c r="B298" s="684"/>
      <c r="C298" s="666"/>
      <c r="D298" s="733"/>
      <c r="E298" s="667"/>
      <c r="F298" s="703"/>
      <c r="G298" s="667"/>
      <c r="H298" s="733"/>
      <c r="I298" s="667"/>
      <c r="J298" s="667"/>
      <c r="K298" s="667"/>
      <c r="L298" s="706"/>
      <c r="M298" s="667"/>
      <c r="N298" s="700"/>
      <c r="O298" s="704"/>
      <c r="P298" s="703">
        <f>171*0.29</f>
        <v>49.589999999999996</v>
      </c>
      <c r="Q298" s="702"/>
      <c r="R298" s="667"/>
      <c r="S298" s="726"/>
      <c r="T298" s="667"/>
      <c r="U298" s="707"/>
      <c r="V298" s="666"/>
      <c r="W298" s="730"/>
      <c r="X298" s="685"/>
      <c r="Y298" s="666"/>
      <c r="Z298" s="676"/>
      <c r="AA298" s="666"/>
      <c r="AB298" s="710"/>
      <c r="AC298" s="666"/>
      <c r="AD298" s="700"/>
      <c r="AE298" s="685"/>
      <c r="AF298" s="703"/>
      <c r="AG298" s="668"/>
      <c r="AH298" s="666"/>
      <c r="AI298" s="673"/>
      <c r="AJ298" s="666"/>
      <c r="AK298" s="711"/>
      <c r="AL298" s="666"/>
      <c r="AM298" s="730"/>
      <c r="AN298" s="685"/>
      <c r="AO298" s="666"/>
    </row>
    <row r="299" spans="1:41" hidden="1" outlineLevel="1">
      <c r="A299" s="698"/>
      <c r="B299" s="738">
        <f>B292+1</f>
        <v>2007</v>
      </c>
      <c r="C299" s="666"/>
      <c r="D299" s="700"/>
      <c r="E299" s="701"/>
      <c r="F299" s="700"/>
      <c r="G299" s="701"/>
      <c r="H299" s="700"/>
      <c r="I299" s="704"/>
      <c r="J299" s="667"/>
      <c r="K299" s="667"/>
      <c r="L299" s="667"/>
      <c r="M299" s="667"/>
      <c r="N299" s="667"/>
      <c r="O299" s="704"/>
      <c r="P299" s="702"/>
      <c r="Q299" s="702"/>
      <c r="R299" s="667"/>
      <c r="S299" s="667"/>
      <c r="T299" s="667"/>
      <c r="U299" s="667"/>
      <c r="V299" s="666"/>
      <c r="W299" s="666"/>
      <c r="X299" s="685"/>
      <c r="Y299" s="666"/>
      <c r="Z299" s="676"/>
      <c r="AA299" s="666"/>
      <c r="AB299" s="679"/>
      <c r="AC299" s="666"/>
      <c r="AD299" s="667"/>
      <c r="AE299" s="685"/>
      <c r="AF299" s="703"/>
      <c r="AG299" s="668"/>
      <c r="AH299" s="666"/>
      <c r="AI299" s="666"/>
      <c r="AJ299" s="666"/>
      <c r="AK299" s="666"/>
      <c r="AL299" s="666"/>
      <c r="AM299" s="666"/>
      <c r="AN299" s="685"/>
      <c r="AO299" s="666"/>
    </row>
    <row r="300" spans="1:41" hidden="1" outlineLevel="1">
      <c r="A300" s="666" t="str">
        <f>$A$26</f>
        <v>1Q</v>
      </c>
      <c r="B300" s="684" t="str">
        <f>$B$26</f>
        <v>Apr</v>
      </c>
      <c r="C300" s="666"/>
      <c r="D300" s="700">
        <f>(S300/S293-1)*100</f>
        <v>9.1801503821717034</v>
      </c>
      <c r="E300" s="701" t="s">
        <v>1084</v>
      </c>
      <c r="F300" s="703">
        <v>5</v>
      </c>
      <c r="G300" s="701" t="s">
        <v>1084</v>
      </c>
      <c r="H300" s="700">
        <f>D300-F300</f>
        <v>4.1801503821717034</v>
      </c>
      <c r="I300" s="704" t="s">
        <v>1084</v>
      </c>
      <c r="J300" s="705">
        <f>'store&amp;sf'!L119</f>
        <v>1540</v>
      </c>
      <c r="K300" s="667"/>
      <c r="L300" s="706">
        <f>AVERAGE(J300,J296)</f>
        <v>1543</v>
      </c>
      <c r="M300" s="667"/>
      <c r="N300" s="700">
        <f>(L300/L293-1)*100</f>
        <v>-0.73978771309102243</v>
      </c>
      <c r="O300" s="704" t="s">
        <v>1084</v>
      </c>
      <c r="P300" s="703">
        <f>H300/N300*100</f>
        <v>-565.04728426834299</v>
      </c>
      <c r="Q300" s="702" t="s">
        <v>1084</v>
      </c>
      <c r="R300" s="667"/>
      <c r="S300" s="726">
        <f>'segSales&amp;OM'!W122</f>
        <v>421.52600000000001</v>
      </c>
      <c r="T300" s="667"/>
      <c r="U300" s="707">
        <f>S300/L300</f>
        <v>0.27318600129617626</v>
      </c>
      <c r="V300" s="666"/>
      <c r="W300" s="730">
        <f>(U300/U293-1)*100</f>
        <v>9.9938715288955926</v>
      </c>
      <c r="X300" s="685" t="s">
        <v>1084</v>
      </c>
      <c r="Y300" s="666"/>
      <c r="Z300" s="678">
        <f>+'store&amp;sf'!L483</f>
        <v>4.4962499999999999</v>
      </c>
      <c r="AA300" s="666"/>
      <c r="AB300" s="710">
        <f>AVERAGE(Z300,Z296)</f>
        <v>4.5006249999999994</v>
      </c>
      <c r="AC300" s="666"/>
      <c r="AD300" s="700">
        <f>(AB300/AB293-1)*100</f>
        <v>0.82609913189584105</v>
      </c>
      <c r="AE300" s="685" t="s">
        <v>1084</v>
      </c>
      <c r="AF300" s="703">
        <f>+H300/AD300*100</f>
        <v>506.01074626220026</v>
      </c>
      <c r="AG300" s="668" t="s">
        <v>1084</v>
      </c>
      <c r="AH300" s="666"/>
      <c r="AI300" s="673">
        <f>+S300</f>
        <v>421.52600000000001</v>
      </c>
      <c r="AJ300" s="666"/>
      <c r="AK300" s="711">
        <f>AI300/AB300</f>
        <v>93.659436189418145</v>
      </c>
      <c r="AL300" s="666"/>
      <c r="AM300" s="730">
        <f>(AK300/AK293-1)*100</f>
        <v>8.2856039479892054</v>
      </c>
      <c r="AN300" s="685" t="s">
        <v>1084</v>
      </c>
      <c r="AO300" s="666"/>
    </row>
    <row r="301" spans="1:41" hidden="1" outlineLevel="1">
      <c r="A301" s="666" t="str">
        <f>$A$27</f>
        <v>2Q</v>
      </c>
      <c r="B301" s="684" t="str">
        <f>$B$27</f>
        <v>Jul</v>
      </c>
      <c r="C301" s="666"/>
      <c r="D301" s="700">
        <f>(S301/S294-1)*100</f>
        <v>-3.1212102419932553</v>
      </c>
      <c r="E301" s="700"/>
      <c r="F301" s="745">
        <v>-4</v>
      </c>
      <c r="G301" s="700"/>
      <c r="H301" s="700">
        <f>D301-F301</f>
        <v>0.87878975800674475</v>
      </c>
      <c r="I301" s="667"/>
      <c r="J301" s="705">
        <f>'store&amp;sf'!L120</f>
        <v>1544</v>
      </c>
      <c r="K301" s="724"/>
      <c r="L301" s="706">
        <f>AVERAGE(J301,J300)</f>
        <v>1542</v>
      </c>
      <c r="M301" s="667"/>
      <c r="N301" s="700">
        <f>(L301/L294-1)*100</f>
        <v>-0.61231066709636073</v>
      </c>
      <c r="O301" s="704"/>
      <c r="P301" s="703">
        <f>H301/N301*100</f>
        <v>-143.52024311025886</v>
      </c>
      <c r="Q301" s="702"/>
      <c r="R301" s="667"/>
      <c r="S301" s="712">
        <f>'segSales&amp;OM'!W123</f>
        <v>562.39300000000003</v>
      </c>
      <c r="T301" s="667"/>
      <c r="U301" s="713">
        <f>S301/L301</f>
        <v>0.3647166018158236</v>
      </c>
      <c r="V301" s="666"/>
      <c r="W301" s="730">
        <f>(U301/U294-1)*100</f>
        <v>-2.5243564788927086</v>
      </c>
      <c r="X301" s="685"/>
      <c r="Y301" s="666"/>
      <c r="Z301" s="678">
        <f>+'store&amp;sf'!L484</f>
        <v>4.5337499999999995</v>
      </c>
      <c r="AA301" s="724"/>
      <c r="AB301" s="710">
        <f>AVERAGE(Z301,Z300)</f>
        <v>4.5149999999999997</v>
      </c>
      <c r="AC301" s="666"/>
      <c r="AD301" s="700">
        <f>(AB301/AB294-1)*100</f>
        <v>0.85159849225184825</v>
      </c>
      <c r="AE301" s="685"/>
      <c r="AF301" s="703">
        <f>+H301/AD301*100</f>
        <v>103.19296781315286</v>
      </c>
      <c r="AG301" s="668"/>
      <c r="AH301" s="666"/>
      <c r="AI301" s="675">
        <f>+S301</f>
        <v>562.39300000000003</v>
      </c>
      <c r="AJ301" s="666"/>
      <c r="AK301" s="714">
        <f>AI301/AB301</f>
        <v>124.56101882613513</v>
      </c>
      <c r="AL301" s="666"/>
      <c r="AM301" s="730">
        <f>(AK301/AK294-1)*100</f>
        <v>-3.939262038122604</v>
      </c>
      <c r="AN301" s="685"/>
      <c r="AO301" s="666"/>
    </row>
    <row r="302" spans="1:41" hidden="1" outlineLevel="1">
      <c r="A302" s="666" t="str">
        <f>$A$28</f>
        <v>3Q</v>
      </c>
      <c r="B302" s="684" t="str">
        <f>$B$28</f>
        <v>Oct</v>
      </c>
      <c r="C302" s="666"/>
      <c r="D302" s="700">
        <f>(S302/S295-1)*100</f>
        <v>3.7926739183963276</v>
      </c>
      <c r="E302" s="700"/>
      <c r="F302" s="745">
        <v>-3</v>
      </c>
      <c r="G302" s="700"/>
      <c r="H302" s="700">
        <f>D302-F302</f>
        <v>6.7926739183963276</v>
      </c>
      <c r="I302" s="667"/>
      <c r="J302" s="705">
        <f>'store&amp;sf'!L121</f>
        <v>1590</v>
      </c>
      <c r="K302" s="724"/>
      <c r="L302" s="706">
        <f>AVERAGE(J302,J301)</f>
        <v>1567</v>
      </c>
      <c r="M302" s="667"/>
      <c r="N302" s="700">
        <f>(L302/L295-1)*100</f>
        <v>1.0315925209542165</v>
      </c>
      <c r="O302" s="704"/>
      <c r="P302" s="745">
        <f>H302/N302*100</f>
        <v>658.46482796454825</v>
      </c>
      <c r="Q302" s="702"/>
      <c r="R302" s="667"/>
      <c r="S302" s="712">
        <f>'segSales&amp;OM'!W124</f>
        <v>429.95699999999999</v>
      </c>
      <c r="T302" s="667"/>
      <c r="U302" s="713">
        <f>S302/L302</f>
        <v>0.27438225909380981</v>
      </c>
      <c r="V302" s="666"/>
      <c r="W302" s="730">
        <f>(U302/U295-1)*100</f>
        <v>2.7328891176979342</v>
      </c>
      <c r="X302" s="685"/>
      <c r="Y302" s="666"/>
      <c r="Z302" s="678">
        <f>+'store&amp;sf'!L485</f>
        <v>4.6949999999999994</v>
      </c>
      <c r="AA302" s="724"/>
      <c r="AB302" s="710">
        <f>AVERAGE(Z302,Z301)</f>
        <v>4.614374999999999</v>
      </c>
      <c r="AC302" s="666"/>
      <c r="AD302" s="700">
        <f>(AB302/AB295-1)*100</f>
        <v>2.513190780338781</v>
      </c>
      <c r="AE302" s="685"/>
      <c r="AF302" s="703">
        <f>+H302/AD302*100</f>
        <v>270.28087049884323</v>
      </c>
      <c r="AG302" s="668"/>
      <c r="AH302" s="666"/>
      <c r="AI302" s="675">
        <f>+S302</f>
        <v>429.95699999999999</v>
      </c>
      <c r="AJ302" s="666"/>
      <c r="AK302" s="714">
        <f>AI302/AB302</f>
        <v>93.17773262901261</v>
      </c>
      <c r="AL302" s="666"/>
      <c r="AM302" s="730">
        <f>(AK302/AK295-1)*100</f>
        <v>1.248115611579359</v>
      </c>
      <c r="AN302" s="685"/>
      <c r="AO302" s="666"/>
    </row>
    <row r="303" spans="1:41" hidden="1" outlineLevel="1">
      <c r="A303" s="666" t="str">
        <f>$A$29</f>
        <v>4Q</v>
      </c>
      <c r="B303" s="684" t="str">
        <f>$B$29</f>
        <v>Jan</v>
      </c>
      <c r="C303" s="666"/>
      <c r="D303" s="732">
        <f>(S303/S296-1)*100</f>
        <v>-8.0348112150551145</v>
      </c>
      <c r="E303" s="667"/>
      <c r="F303" s="741">
        <v>-8</v>
      </c>
      <c r="G303" s="667"/>
      <c r="H303" s="715">
        <f>D303-F303</f>
        <v>-3.4811215055114531E-2</v>
      </c>
      <c r="I303" s="667"/>
      <c r="J303" s="705">
        <f>'store&amp;sf'!L122</f>
        <v>1592</v>
      </c>
      <c r="K303" s="724"/>
      <c r="L303" s="716">
        <f>AVERAGE(J303,J302)</f>
        <v>1591</v>
      </c>
      <c r="M303" s="667"/>
      <c r="N303" s="715">
        <f>(L303/L296-1)*100</f>
        <v>2.6782833171991038</v>
      </c>
      <c r="O303" s="704"/>
      <c r="P303" s="741">
        <f>H303/N303*100</f>
        <v>-1.2997584994674654</v>
      </c>
      <c r="Q303" s="702"/>
      <c r="R303" s="667"/>
      <c r="S303" s="718">
        <f>'segSales&amp;OM'!W125</f>
        <v>1080.19</v>
      </c>
      <c r="T303" s="667"/>
      <c r="U303" s="719">
        <f>S303/L303</f>
        <v>0.67893777498428665</v>
      </c>
      <c r="V303" s="666"/>
      <c r="W303" s="720">
        <f>(U303/U296-1)*100</f>
        <v>-10.433651777327402</v>
      </c>
      <c r="X303" s="685"/>
      <c r="Y303" s="666"/>
      <c r="Z303" s="678">
        <f>+'store&amp;sf'!L486</f>
        <v>4.7162499999999996</v>
      </c>
      <c r="AA303" s="671"/>
      <c r="AB303" s="721">
        <f>AVERAGE(Z303,Z302)</f>
        <v>4.7056249999999995</v>
      </c>
      <c r="AC303" s="666"/>
      <c r="AD303" s="715">
        <f>(AB303/AB296-1)*100</f>
        <v>4.3520443520443264</v>
      </c>
      <c r="AE303" s="685"/>
      <c r="AF303" s="717">
        <f>+H303/AD303*100</f>
        <v>-0.79988190007214266</v>
      </c>
      <c r="AG303" s="668"/>
      <c r="AH303" s="666"/>
      <c r="AI303" s="722">
        <f>+S303</f>
        <v>1080.19</v>
      </c>
      <c r="AJ303" s="666"/>
      <c r="AK303" s="723">
        <f>AI303/AB303</f>
        <v>229.552928675787</v>
      </c>
      <c r="AL303" s="666"/>
      <c r="AM303" s="720">
        <f>(AK303/AK296-1)*100</f>
        <v>-11.870256729528828</v>
      </c>
      <c r="AN303" s="685"/>
      <c r="AO303" s="666"/>
    </row>
    <row r="304" spans="1:41" hidden="1" outlineLevel="1">
      <c r="A304" s="666"/>
      <c r="B304" s="684" t="str">
        <f>$B$30</f>
        <v>Year</v>
      </c>
      <c r="C304" s="666"/>
      <c r="D304" s="733">
        <f>(S304/S297-1)*100</f>
        <v>-2.4003631518291435</v>
      </c>
      <c r="E304" s="667"/>
      <c r="F304" s="745">
        <v>-4</v>
      </c>
      <c r="G304" s="667"/>
      <c r="H304" s="733">
        <f>D304-F304</f>
        <v>1.5996368481708565</v>
      </c>
      <c r="I304" s="667"/>
      <c r="J304" s="667"/>
      <c r="K304" s="667"/>
      <c r="L304" s="706">
        <f>AVERAGE(L300:L303)</f>
        <v>1560.75</v>
      </c>
      <c r="M304" s="667"/>
      <c r="N304" s="700">
        <f>(L304/L297-1)*100</f>
        <v>0.5880931281720736</v>
      </c>
      <c r="O304" s="704"/>
      <c r="P304" s="703">
        <f>H304/N304*100</f>
        <v>272.00400268965723</v>
      </c>
      <c r="Q304" s="702"/>
      <c r="R304" s="667"/>
      <c r="S304" s="726">
        <f>SUM(S300:S303)</f>
        <v>2494.0660000000003</v>
      </c>
      <c r="T304" s="667"/>
      <c r="U304" s="707">
        <f>SUM(U300:U303)</f>
        <v>1.5912226371900964</v>
      </c>
      <c r="V304" s="666"/>
      <c r="W304" s="730">
        <f>(U304/U297-1)*100</f>
        <v>-3.4239821565999251</v>
      </c>
      <c r="X304" s="685"/>
      <c r="Y304" s="666"/>
      <c r="Z304" s="676"/>
      <c r="AA304" s="666"/>
      <c r="AB304" s="710">
        <f>AVERAGE(AB300:AB303)</f>
        <v>4.5839062500000001</v>
      </c>
      <c r="AC304" s="666"/>
      <c r="AD304" s="700">
        <f>(AB304/AB297-1)*100</f>
        <v>2.1412157927720887</v>
      </c>
      <c r="AE304" s="685"/>
      <c r="AF304" s="703">
        <f>+H304/AD304*100</f>
        <v>74.706942362867295</v>
      </c>
      <c r="AG304" s="668"/>
      <c r="AH304" s="666"/>
      <c r="AI304" s="673">
        <f>SUM(AI300:AI303)</f>
        <v>2494.0660000000003</v>
      </c>
      <c r="AJ304" s="666"/>
      <c r="AK304" s="711">
        <f>SUM(AK300:AK303)</f>
        <v>540.95111632035287</v>
      </c>
      <c r="AL304" s="666"/>
      <c r="AM304" s="730">
        <f>(AK304/AK297-1)*100</f>
        <v>-4.8731091140576837</v>
      </c>
      <c r="AN304" s="685"/>
      <c r="AO304" s="666"/>
    </row>
    <row r="305" spans="1:41" hidden="1" outlineLevel="1">
      <c r="A305" s="666"/>
      <c r="B305" s="684"/>
      <c r="C305" s="666"/>
      <c r="D305" s="733"/>
      <c r="E305" s="667"/>
      <c r="F305" s="703"/>
      <c r="G305" s="667"/>
      <c r="H305" s="733"/>
      <c r="I305" s="667"/>
      <c r="J305" s="667"/>
      <c r="K305" s="667"/>
      <c r="L305" s="706"/>
      <c r="M305" s="667"/>
      <c r="N305" s="700"/>
      <c r="O305" s="704"/>
      <c r="P305" s="703"/>
      <c r="Q305" s="702"/>
      <c r="R305" s="667"/>
      <c r="S305" s="726"/>
      <c r="T305" s="667"/>
      <c r="U305" s="707"/>
      <c r="V305" s="666"/>
      <c r="W305" s="730"/>
      <c r="X305" s="685"/>
      <c r="Y305" s="666"/>
      <c r="Z305" s="676"/>
      <c r="AA305" s="666"/>
      <c r="AB305" s="710"/>
      <c r="AC305" s="666"/>
      <c r="AD305" s="700"/>
      <c r="AE305" s="685"/>
      <c r="AF305" s="703"/>
      <c r="AG305" s="668"/>
      <c r="AH305" s="666"/>
      <c r="AI305" s="673"/>
      <c r="AJ305" s="666"/>
      <c r="AK305" s="711"/>
      <c r="AL305" s="666"/>
      <c r="AM305" s="730"/>
      <c r="AN305" s="685"/>
      <c r="AO305" s="666"/>
    </row>
    <row r="306" spans="1:41" hidden="1" outlineLevel="1">
      <c r="A306" s="698"/>
      <c r="B306" s="738">
        <f>B299+1</f>
        <v>2008</v>
      </c>
      <c r="C306" s="666"/>
      <c r="D306" s="700"/>
      <c r="E306" s="701"/>
      <c r="F306" s="700"/>
      <c r="G306" s="701"/>
      <c r="H306" s="700"/>
      <c r="I306" s="704"/>
      <c r="J306" s="667"/>
      <c r="K306" s="667"/>
      <c r="L306" s="667"/>
      <c r="M306" s="667"/>
      <c r="N306" s="667"/>
      <c r="O306" s="704"/>
      <c r="P306" s="702"/>
      <c r="Q306" s="702"/>
      <c r="R306" s="667"/>
      <c r="S306" s="667"/>
      <c r="T306" s="667"/>
      <c r="U306" s="667"/>
      <c r="V306" s="666"/>
      <c r="W306" s="666"/>
      <c r="X306" s="685"/>
      <c r="Y306" s="666"/>
      <c r="Z306" s="676"/>
      <c r="AA306" s="666"/>
      <c r="AB306" s="679"/>
      <c r="AC306" s="666"/>
      <c r="AD306" s="667"/>
      <c r="AE306" s="685"/>
      <c r="AF306" s="703"/>
      <c r="AG306" s="668"/>
      <c r="AH306" s="666"/>
      <c r="AI306" s="666"/>
      <c r="AJ306" s="666"/>
      <c r="AK306" s="666"/>
      <c r="AL306" s="666"/>
      <c r="AM306" s="666"/>
      <c r="AN306" s="685"/>
      <c r="AO306" s="666"/>
    </row>
    <row r="307" spans="1:41" hidden="1" outlineLevel="1">
      <c r="A307" s="666" t="str">
        <f>$A$26</f>
        <v>1Q</v>
      </c>
      <c r="B307" s="684" t="str">
        <f>$B$26</f>
        <v>Apr</v>
      </c>
      <c r="C307" s="666"/>
      <c r="D307" s="700">
        <f>(S307/S300-1)*100</f>
        <v>-5.339172435389516</v>
      </c>
      <c r="E307" s="701" t="s">
        <v>1084</v>
      </c>
      <c r="F307" s="826">
        <f>segmthSales!CB37</f>
        <v>-11</v>
      </c>
      <c r="G307" s="701" t="s">
        <v>1084</v>
      </c>
      <c r="H307" s="700">
        <f>D307-F307</f>
        <v>5.660827564610484</v>
      </c>
      <c r="I307" s="704" t="s">
        <v>1084</v>
      </c>
      <c r="J307" s="705">
        <f>'store&amp;sf'!L125</f>
        <v>1626</v>
      </c>
      <c r="K307" s="667"/>
      <c r="L307" s="706">
        <f>AVERAGE(J307,J303)</f>
        <v>1609</v>
      </c>
      <c r="M307" s="667"/>
      <c r="N307" s="700">
        <f>(L307/L300-1)*100</f>
        <v>4.2773817239144529</v>
      </c>
      <c r="O307" s="704" t="s">
        <v>1084</v>
      </c>
      <c r="P307" s="703">
        <f>H307/N307*100</f>
        <v>132.34328685142387</v>
      </c>
      <c r="Q307" s="702" t="s">
        <v>1084</v>
      </c>
      <c r="R307" s="667"/>
      <c r="S307" s="726">
        <f>'segSales&amp;OM'!W157</f>
        <v>399.02</v>
      </c>
      <c r="T307" s="667"/>
      <c r="U307" s="707">
        <f>S307/L307</f>
        <v>0.24799254195152268</v>
      </c>
      <c r="V307" s="666"/>
      <c r="W307" s="730">
        <f>(U307/U300-1)*100</f>
        <v>-9.2220901602274807</v>
      </c>
      <c r="X307" s="685" t="s">
        <v>1084</v>
      </c>
      <c r="Y307" s="666"/>
      <c r="Z307" s="678">
        <f>+'store&amp;sf'!L489</f>
        <v>4.8224999999999998</v>
      </c>
      <c r="AA307" s="666"/>
      <c r="AB307" s="710">
        <f>AVERAGE(Z307,Z303)</f>
        <v>4.7693750000000001</v>
      </c>
      <c r="AC307" s="666"/>
      <c r="AD307" s="700">
        <f>(AB307/AB300-1)*100</f>
        <v>5.9713928621025092</v>
      </c>
      <c r="AE307" s="685" t="s">
        <v>1084</v>
      </c>
      <c r="AF307" s="703">
        <f>+H307/AD307*100</f>
        <v>94.799114634325434</v>
      </c>
      <c r="AG307" s="668" t="s">
        <v>1084</v>
      </c>
      <c r="AH307" s="666"/>
      <c r="AI307" s="673">
        <f>+S307</f>
        <v>399.02</v>
      </c>
      <c r="AJ307" s="666"/>
      <c r="AK307" s="711">
        <f>AI307/AB307</f>
        <v>83.662953741318304</v>
      </c>
      <c r="AL307" s="666"/>
      <c r="AM307" s="730">
        <f>(AK307/AK300-1)*100</f>
        <v>-10.673225095955964</v>
      </c>
      <c r="AN307" s="685" t="s">
        <v>1084</v>
      </c>
      <c r="AO307" s="666"/>
    </row>
    <row r="308" spans="1:41" hidden="1" outlineLevel="1">
      <c r="A308" s="666" t="str">
        <f>$A$27</f>
        <v>2Q</v>
      </c>
      <c r="B308" s="684" t="str">
        <f>$B$27</f>
        <v>Jul</v>
      </c>
      <c r="C308" s="666"/>
      <c r="D308" s="700">
        <f>(S308/S301-1)*100</f>
        <v>-1.6365779801669089</v>
      </c>
      <c r="E308" s="700"/>
      <c r="F308" s="826">
        <f>+segmthSales!CB42</f>
        <v>-8</v>
      </c>
      <c r="G308" s="700"/>
      <c r="H308" s="700">
        <f>D308-F308</f>
        <v>6.3634220198330915</v>
      </c>
      <c r="I308" s="667"/>
      <c r="J308" s="705">
        <f>'store&amp;sf'!L126</f>
        <v>1635</v>
      </c>
      <c r="K308" s="724"/>
      <c r="L308" s="706">
        <f>AVERAGE(J308,J307)</f>
        <v>1630.5</v>
      </c>
      <c r="M308" s="667"/>
      <c r="N308" s="700">
        <f>(L308/L301-1)*100</f>
        <v>5.7392996108949434</v>
      </c>
      <c r="O308" s="704"/>
      <c r="P308" s="703">
        <f>H308/N308*100</f>
        <v>110.87453959980367</v>
      </c>
      <c r="Q308" s="702"/>
      <c r="R308" s="667"/>
      <c r="S308" s="712">
        <f>'segSales&amp;OM'!W158</f>
        <v>553.18899999999996</v>
      </c>
      <c r="T308" s="667"/>
      <c r="U308" s="713">
        <f>S308/L308</f>
        <v>0.33927568230604105</v>
      </c>
      <c r="V308" s="666"/>
      <c r="W308" s="730">
        <f>(U308/U301-1)*100</f>
        <v>-6.9755309692838825</v>
      </c>
      <c r="X308" s="685"/>
      <c r="Y308" s="666"/>
      <c r="Z308" s="678">
        <f>+'store&amp;sf'!L490</f>
        <v>4.8499999999999996</v>
      </c>
      <c r="AA308" s="724"/>
      <c r="AB308" s="710">
        <f>AVERAGE(Z308,Z307)</f>
        <v>4.8362499999999997</v>
      </c>
      <c r="AC308" s="666"/>
      <c r="AD308" s="700">
        <f>(AB308/AB301-1)*100</f>
        <v>7.1151716500553741</v>
      </c>
      <c r="AE308" s="685"/>
      <c r="AF308" s="703">
        <f>+H308/AD308*100</f>
        <v>89.434553835163882</v>
      </c>
      <c r="AG308" s="668"/>
      <c r="AH308" s="666"/>
      <c r="AI308" s="675">
        <f>+S308</f>
        <v>553.18899999999996</v>
      </c>
      <c r="AJ308" s="666"/>
      <c r="AK308" s="714">
        <f>AI308/AB308</f>
        <v>114.3838718014991</v>
      </c>
      <c r="AL308" s="666"/>
      <c r="AM308" s="730">
        <f>(AK308/AK301-1)*100</f>
        <v>-8.1704108721537558</v>
      </c>
      <c r="AN308" s="685"/>
      <c r="AO308" s="666"/>
    </row>
    <row r="309" spans="1:41" hidden="1" outlineLevel="1">
      <c r="A309" s="666" t="str">
        <f>$A$28</f>
        <v>3Q</v>
      </c>
      <c r="B309" s="684" t="str">
        <f>$B$28</f>
        <v>Oct</v>
      </c>
      <c r="C309" s="666"/>
      <c r="D309" s="700">
        <f>(S309/S302-1)*100</f>
        <v>-1.3503675948990157</v>
      </c>
      <c r="E309" s="700"/>
      <c r="F309" s="826">
        <f>+segmthSales!CB47</f>
        <v>-7</v>
      </c>
      <c r="G309" s="700"/>
      <c r="H309" s="700">
        <f>D309-F309</f>
        <v>5.6496324051009843</v>
      </c>
      <c r="I309" s="667"/>
      <c r="J309" s="705">
        <f>'store&amp;sf'!L127</f>
        <v>1655</v>
      </c>
      <c r="K309" s="724"/>
      <c r="L309" s="706">
        <f>AVERAGE(J309,J308)</f>
        <v>1645</v>
      </c>
      <c r="M309" s="667"/>
      <c r="N309" s="700">
        <f>(L309/L302-1)*100</f>
        <v>4.9776643267389842</v>
      </c>
      <c r="O309" s="704"/>
      <c r="P309" s="703">
        <f>H309/N309*100</f>
        <v>113.49966639478532</v>
      </c>
      <c r="Q309" s="702"/>
      <c r="R309" s="667"/>
      <c r="S309" s="712">
        <f>'segSales&amp;OM'!W159</f>
        <v>424.15100000000001</v>
      </c>
      <c r="T309" s="667"/>
      <c r="U309" s="713">
        <f>S309/L309</f>
        <v>0.25784255319148935</v>
      </c>
      <c r="V309" s="666"/>
      <c r="W309" s="730">
        <f>(U309/U302-1)*100</f>
        <v>-6.0279793441986413</v>
      </c>
      <c r="X309" s="685"/>
      <c r="Y309" s="666"/>
      <c r="Z309" s="678">
        <f>+'store&amp;sf'!L491</f>
        <v>4.9124999999999996</v>
      </c>
      <c r="AA309" s="724"/>
      <c r="AB309" s="710">
        <f>AVERAGE(Z309,Z308)</f>
        <v>4.8812499999999996</v>
      </c>
      <c r="AC309" s="666"/>
      <c r="AD309" s="700">
        <f>(AB309/AB302-1)*100</f>
        <v>5.783556819721003</v>
      </c>
      <c r="AE309" s="685"/>
      <c r="AF309" s="703">
        <f>+H309/AD309*100</f>
        <v>97.684393552366288</v>
      </c>
      <c r="AG309" s="668"/>
      <c r="AH309" s="666"/>
      <c r="AI309" s="675">
        <f>+S309</f>
        <v>424.15100000000001</v>
      </c>
      <c r="AJ309" s="666"/>
      <c r="AK309" s="714">
        <f>AI309/AB309</f>
        <v>86.893930857874523</v>
      </c>
      <c r="AL309" s="666"/>
      <c r="AM309" s="730">
        <f>(AK309/AK302-1)*100</f>
        <v>-6.7438878301074983</v>
      </c>
      <c r="AN309" s="685"/>
      <c r="AO309" s="666"/>
    </row>
    <row r="310" spans="1:41" hidden="1" outlineLevel="1">
      <c r="A310" s="666" t="str">
        <f>$A$29</f>
        <v>4Q</v>
      </c>
      <c r="B310" s="684" t="str">
        <f>$B$29</f>
        <v>Jan</v>
      </c>
      <c r="C310" s="666"/>
      <c r="D310" s="732">
        <f>(S310/S303-1)*100</f>
        <v>-7.6781862450124638</v>
      </c>
      <c r="E310" s="667"/>
      <c r="F310" s="827">
        <f>+segmthSales!CB52</f>
        <v>-11</v>
      </c>
      <c r="G310" s="667"/>
      <c r="H310" s="715">
        <f>D310-F310</f>
        <v>3.3218137549875362</v>
      </c>
      <c r="I310" s="667"/>
      <c r="J310" s="705">
        <f>'store&amp;sf'!L128</f>
        <v>1644</v>
      </c>
      <c r="K310" s="724"/>
      <c r="L310" s="716">
        <f>AVERAGE(J310,J309)</f>
        <v>1649.5</v>
      </c>
      <c r="M310" s="667"/>
      <c r="N310" s="715">
        <f>(L310/L303-1)*100</f>
        <v>3.6769327467001789</v>
      </c>
      <c r="O310" s="704"/>
      <c r="P310" s="741">
        <f>H310/N310*100</f>
        <v>90.34197750743904</v>
      </c>
      <c r="Q310" s="702"/>
      <c r="R310" s="667"/>
      <c r="S310" s="718">
        <f>'segSales&amp;OM'!W160</f>
        <v>997.25099999999998</v>
      </c>
      <c r="T310" s="667"/>
      <c r="U310" s="719">
        <f>S310/L310</f>
        <v>0.60457775083358589</v>
      </c>
      <c r="V310" s="666"/>
      <c r="W310" s="720">
        <f>(U310/U303-1)*100</f>
        <v>-10.952406375152968</v>
      </c>
      <c r="X310" s="685"/>
      <c r="Y310" s="666"/>
      <c r="Z310" s="678">
        <f>+'store&amp;sf'!L492</f>
        <v>4.8862499999999995</v>
      </c>
      <c r="AA310" s="671"/>
      <c r="AB310" s="721">
        <f>AVERAGE(Z310,Z309)</f>
        <v>4.8993749999999991</v>
      </c>
      <c r="AC310" s="666"/>
      <c r="AD310" s="715">
        <f>(AB310/AB303-1)*100</f>
        <v>4.1174126710054493</v>
      </c>
      <c r="AE310" s="685"/>
      <c r="AF310" s="717">
        <f>+H310/AD310*100</f>
        <v>80.677212133229474</v>
      </c>
      <c r="AG310" s="668"/>
      <c r="AH310" s="666"/>
      <c r="AI310" s="722">
        <f>+S310</f>
        <v>997.25099999999998</v>
      </c>
      <c r="AJ310" s="666"/>
      <c r="AK310" s="723">
        <f>AI310/AB310</f>
        <v>203.54657481821664</v>
      </c>
      <c r="AL310" s="666"/>
      <c r="AM310" s="720">
        <f>(AK310/AK303-1)*100</f>
        <v>-11.329131807462534</v>
      </c>
      <c r="AN310" s="685"/>
      <c r="AO310" s="666"/>
    </row>
    <row r="311" spans="1:41" hidden="1" outlineLevel="1">
      <c r="A311" s="666"/>
      <c r="B311" s="684" t="str">
        <f>$B$30</f>
        <v>Year</v>
      </c>
      <c r="C311" s="666"/>
      <c r="D311" s="733">
        <f>(S311/S304-1)*100</f>
        <v>-4.8296636897339651</v>
      </c>
      <c r="E311" s="667"/>
      <c r="F311" s="703">
        <f>+F307*S307/S311+F308*S308/S311+F309*S309/S311+F310*S310/S311</f>
        <v>-9.5860484300081197</v>
      </c>
      <c r="G311" s="667"/>
      <c r="H311" s="733">
        <f>D311-F311</f>
        <v>4.7563847402741546</v>
      </c>
      <c r="I311" s="667"/>
      <c r="J311" s="667"/>
      <c r="K311" s="667"/>
      <c r="L311" s="706">
        <f>AVERAGE(L307:L310)</f>
        <v>1633.5</v>
      </c>
      <c r="M311" s="667"/>
      <c r="N311" s="700">
        <f>(L311/L304-1)*100</f>
        <v>4.6612205670350848</v>
      </c>
      <c r="O311" s="704"/>
      <c r="P311" s="703">
        <f>H311/N311*100</f>
        <v>102.04161489186087</v>
      </c>
      <c r="Q311" s="702"/>
      <c r="R311" s="667"/>
      <c r="S311" s="726">
        <f>SUM(S307:S310)</f>
        <v>2373.6109999999999</v>
      </c>
      <c r="T311" s="667"/>
      <c r="U311" s="707">
        <f>SUM(U307:U310)</f>
        <v>1.4496885282826391</v>
      </c>
      <c r="V311" s="666"/>
      <c r="W311" s="730">
        <f>(U311/U304-1)*100</f>
        <v>-8.8946766844260843</v>
      </c>
      <c r="X311" s="685"/>
      <c r="Y311" s="666"/>
      <c r="Z311" s="676"/>
      <c r="AA311" s="666"/>
      <c r="AB311" s="710">
        <f>AVERAGE(AB307:AB310)</f>
        <v>4.8465624999999992</v>
      </c>
      <c r="AC311" s="666"/>
      <c r="AD311" s="700">
        <f>(AB311/AB304-1)*100</f>
        <v>5.7299655724852405</v>
      </c>
      <c r="AE311" s="685"/>
      <c r="AF311" s="703">
        <f>+H311/AD311*100</f>
        <v>83.00895843273247</v>
      </c>
      <c r="AG311" s="668"/>
      <c r="AH311" s="666"/>
      <c r="AI311" s="673">
        <f>SUM(AI307:AI310)</f>
        <v>2373.6109999999999</v>
      </c>
      <c r="AJ311" s="666"/>
      <c r="AK311" s="711">
        <f>SUM(AK307:AK310)</f>
        <v>488.48733121890859</v>
      </c>
      <c r="AL311" s="666"/>
      <c r="AM311" s="730">
        <f>(AK311/AK304-1)*100</f>
        <v>-9.6984336511425351</v>
      </c>
      <c r="AN311" s="685"/>
      <c r="AO311" s="666"/>
    </row>
    <row r="312" spans="1:41" hidden="1" outlineLevel="1">
      <c r="A312" s="666"/>
      <c r="B312" s="684"/>
      <c r="C312" s="666"/>
      <c r="D312" s="733"/>
      <c r="E312" s="667"/>
      <c r="F312" s="703"/>
      <c r="G312" s="667"/>
      <c r="H312" s="733"/>
      <c r="I312" s="667"/>
      <c r="J312" s="667"/>
      <c r="K312" s="667"/>
      <c r="L312" s="706"/>
      <c r="M312" s="667"/>
      <c r="N312" s="700"/>
      <c r="O312" s="704"/>
      <c r="P312" s="703"/>
      <c r="Q312" s="702"/>
      <c r="R312" s="667"/>
      <c r="S312" s="726"/>
      <c r="T312" s="667"/>
      <c r="U312" s="707"/>
      <c r="V312" s="666"/>
      <c r="W312" s="730"/>
      <c r="X312" s="685"/>
      <c r="Y312" s="666"/>
      <c r="Z312" s="676"/>
      <c r="AA312" s="666"/>
      <c r="AB312" s="710"/>
      <c r="AC312" s="666"/>
      <c r="AD312" s="700"/>
      <c r="AE312" s="685"/>
      <c r="AF312" s="703"/>
      <c r="AG312" s="668"/>
      <c r="AH312" s="666"/>
      <c r="AI312" s="673"/>
      <c r="AJ312" s="666"/>
      <c r="AK312" s="711"/>
      <c r="AL312" s="666"/>
      <c r="AM312" s="730"/>
      <c r="AN312" s="685"/>
      <c r="AO312" s="666"/>
    </row>
    <row r="313" spans="1:41" hidden="1" outlineLevel="1">
      <c r="A313" s="698"/>
      <c r="B313" s="738">
        <f>B306+1</f>
        <v>2009</v>
      </c>
      <c r="C313" s="666"/>
      <c r="D313" s="700"/>
      <c r="E313" s="701"/>
      <c r="F313" s="700"/>
      <c r="G313" s="701"/>
      <c r="H313" s="700"/>
      <c r="I313" s="704"/>
      <c r="J313" s="667"/>
      <c r="K313" s="667"/>
      <c r="L313" s="667"/>
      <c r="M313" s="667"/>
      <c r="N313" s="667"/>
      <c r="O313" s="704"/>
      <c r="P313" s="702"/>
      <c r="Q313" s="702"/>
      <c r="R313" s="667"/>
      <c r="S313" s="667"/>
      <c r="T313" s="667"/>
      <c r="U313" s="667"/>
      <c r="V313" s="666"/>
      <c r="W313" s="666"/>
      <c r="X313" s="685"/>
      <c r="Y313" s="666"/>
      <c r="Z313" s="676"/>
      <c r="AA313" s="666"/>
      <c r="AB313" s="679"/>
      <c r="AC313" s="666"/>
      <c r="AD313" s="667"/>
      <c r="AE313" s="685"/>
      <c r="AF313" s="703"/>
      <c r="AG313" s="668"/>
      <c r="AH313" s="666"/>
      <c r="AI313" s="666"/>
      <c r="AJ313" s="666"/>
      <c r="AK313" s="666"/>
      <c r="AL313" s="666"/>
      <c r="AM313" s="666"/>
      <c r="AN313" s="685"/>
      <c r="AO313" s="666"/>
    </row>
    <row r="314" spans="1:41" hidden="1" outlineLevel="1">
      <c r="A314" s="666" t="str">
        <f>$A$26</f>
        <v>1Q</v>
      </c>
      <c r="B314" s="684" t="str">
        <f>$B$26</f>
        <v>Apr</v>
      </c>
      <c r="C314" s="666"/>
      <c r="D314" s="700">
        <f>(S314/S307-1)*100</f>
        <v>0.86461831487145702</v>
      </c>
      <c r="E314" s="701" t="s">
        <v>1084</v>
      </c>
      <c r="F314" s="826">
        <f>segmthSales!CF37</f>
        <v>-3</v>
      </c>
      <c r="G314" s="701" t="s">
        <v>1084</v>
      </c>
      <c r="H314" s="700">
        <f>D314-F314</f>
        <v>3.864618314871457</v>
      </c>
      <c r="I314" s="704" t="s">
        <v>1084</v>
      </c>
      <c r="J314" s="705">
        <f>'store&amp;sf'!L131</f>
        <v>1645</v>
      </c>
      <c r="K314" s="667"/>
      <c r="L314" s="706">
        <f>AVERAGE(J314,J310)</f>
        <v>1644.5</v>
      </c>
      <c r="M314" s="667"/>
      <c r="N314" s="700">
        <f>(L314/L307-1)*100</f>
        <v>2.2063393412057097</v>
      </c>
      <c r="O314" s="704" t="s">
        <v>1084</v>
      </c>
      <c r="P314" s="703">
        <f>H314/N314*100</f>
        <v>175.15974277825907</v>
      </c>
      <c r="Q314" s="702" t="s">
        <v>1084</v>
      </c>
      <c r="R314" s="667"/>
      <c r="S314" s="726">
        <f>'segSales&amp;OM'!W164</f>
        <v>402.47</v>
      </c>
      <c r="T314" s="667"/>
      <c r="U314" s="707">
        <f>S314/L314</f>
        <v>0.24473700212830649</v>
      </c>
      <c r="V314" s="666"/>
      <c r="W314" s="730">
        <f>(U314/U307-1)*100</f>
        <v>-1.3127571489035317</v>
      </c>
      <c r="X314" s="685" t="s">
        <v>1084</v>
      </c>
      <c r="Y314" s="666"/>
      <c r="Z314" s="678">
        <f>+'store&amp;sf'!L495</f>
        <v>4.88375</v>
      </c>
      <c r="AA314" s="666"/>
      <c r="AB314" s="710">
        <f>AVERAGE(Z314,Z310)</f>
        <v>4.8849999999999998</v>
      </c>
      <c r="AC314" s="666"/>
      <c r="AD314" s="700">
        <f>(AB314/AB307-1)*100</f>
        <v>2.4243218451054815</v>
      </c>
      <c r="AE314" s="685" t="s">
        <v>1084</v>
      </c>
      <c r="AF314" s="703">
        <f>+H314/AD314*100</f>
        <v>159.41028303126595</v>
      </c>
      <c r="AG314" s="668" t="s">
        <v>1084</v>
      </c>
      <c r="AH314" s="666"/>
      <c r="AI314" s="673">
        <f>+S314</f>
        <v>402.47</v>
      </c>
      <c r="AJ314" s="666"/>
      <c r="AK314" s="711">
        <f>AI314/AB314</f>
        <v>82.388945752302973</v>
      </c>
      <c r="AL314" s="666"/>
      <c r="AM314" s="730">
        <f>(AK314/AK307-1)*100</f>
        <v>-1.5227862895619282</v>
      </c>
      <c r="AN314" s="685" t="s">
        <v>1084</v>
      </c>
      <c r="AO314" s="666"/>
    </row>
    <row r="315" spans="1:41" hidden="1" outlineLevel="1">
      <c r="A315" s="666" t="str">
        <f>$A$27</f>
        <v>2Q</v>
      </c>
      <c r="B315" s="684" t="str">
        <f>$B$27</f>
        <v>Jul</v>
      </c>
      <c r="C315" s="666"/>
      <c r="D315" s="700">
        <f>(S315/S308-1)*100</f>
        <v>-3.551227518985367</v>
      </c>
      <c r="E315" s="700"/>
      <c r="F315" s="826">
        <f>segmthSales!CF42</f>
        <v>-5</v>
      </c>
      <c r="G315" s="700"/>
      <c r="H315" s="700">
        <f>D315-F315</f>
        <v>1.448772481014633</v>
      </c>
      <c r="I315" s="667"/>
      <c r="J315" s="705">
        <f>'store&amp;sf'!L132</f>
        <v>1651</v>
      </c>
      <c r="K315" s="724"/>
      <c r="L315" s="706">
        <f>AVERAGE(J315,J314)</f>
        <v>1648</v>
      </c>
      <c r="M315" s="667"/>
      <c r="N315" s="700">
        <f>(L315/L308-1)*100</f>
        <v>1.073290401717264</v>
      </c>
      <c r="O315" s="704"/>
      <c r="P315" s="703">
        <f>H315/N315*100</f>
        <v>134.98420173110631</v>
      </c>
      <c r="Q315" s="702"/>
      <c r="R315" s="667"/>
      <c r="S315" s="712">
        <f>'segSales&amp;OM'!W165</f>
        <v>533.54399999999998</v>
      </c>
      <c r="T315" s="667"/>
      <c r="U315" s="713">
        <f>S315/L315</f>
        <v>0.32375242718446601</v>
      </c>
      <c r="V315" s="666"/>
      <c r="W315" s="730">
        <f>(U315/U308-1)*100</f>
        <v>-4.5754104791903121</v>
      </c>
      <c r="X315" s="685"/>
      <c r="Y315" s="666"/>
      <c r="Z315" s="678">
        <f>+'store&amp;sf'!L496</f>
        <v>4.8987499999999997</v>
      </c>
      <c r="AA315" s="724"/>
      <c r="AB315" s="710">
        <f>AVERAGE(Z315,Z314)</f>
        <v>4.8912499999999994</v>
      </c>
      <c r="AC315" s="666"/>
      <c r="AD315" s="700">
        <f>(AB315/AB308-1)*100</f>
        <v>1.1372447660894291</v>
      </c>
      <c r="AE315" s="685"/>
      <c r="AF315" s="703">
        <f>+H315/AD315*100</f>
        <v>127.3931983874003</v>
      </c>
      <c r="AG315" s="668"/>
      <c r="AH315" s="666"/>
      <c r="AI315" s="675">
        <f>+S315</f>
        <v>533.54399999999998</v>
      </c>
      <c r="AJ315" s="666"/>
      <c r="AK315" s="714">
        <f>AI315/AB315</f>
        <v>109.08131868131869</v>
      </c>
      <c r="AL315" s="666"/>
      <c r="AM315" s="730">
        <f>(AK315/AK308-1)*100</f>
        <v>-4.6357524331598228</v>
      </c>
      <c r="AN315" s="685"/>
      <c r="AO315" s="666"/>
    </row>
    <row r="316" spans="1:41" hidden="1" outlineLevel="1">
      <c r="A316" s="666" t="str">
        <f>$A$28</f>
        <v>3Q</v>
      </c>
      <c r="B316" s="684" t="str">
        <f>$B$28</f>
        <v>Oct</v>
      </c>
      <c r="C316" s="666"/>
      <c r="D316" s="700">
        <f>(S316/S309-1)*100</f>
        <v>3.4617388618675804</v>
      </c>
      <c r="E316" s="700"/>
      <c r="F316" s="703">
        <f>segmthSales!CF47</f>
        <v>2</v>
      </c>
      <c r="G316" s="700"/>
      <c r="H316" s="700">
        <f>D316-F316</f>
        <v>1.4617388618675804</v>
      </c>
      <c r="I316" s="667"/>
      <c r="J316" s="705">
        <f>'store&amp;sf'!L133</f>
        <v>1663</v>
      </c>
      <c r="K316" s="724"/>
      <c r="L316" s="706">
        <f>AVERAGE(J316,J315)</f>
        <v>1657</v>
      </c>
      <c r="M316" s="667"/>
      <c r="N316" s="700">
        <f>(L316/L309-1)*100</f>
        <v>0.72948328267476992</v>
      </c>
      <c r="O316" s="704"/>
      <c r="P316" s="740">
        <f>H316/N316*100</f>
        <v>200.38003564768138</v>
      </c>
      <c r="Q316" s="702"/>
      <c r="R316" s="667"/>
      <c r="S316" s="712">
        <f>'segSales&amp;OM'!W166</f>
        <v>438.834</v>
      </c>
      <c r="T316" s="667"/>
      <c r="U316" s="713">
        <f>S316/L316</f>
        <v>0.2648364514182257</v>
      </c>
      <c r="V316" s="666"/>
      <c r="W316" s="730">
        <f>(U316/U309-1)*100</f>
        <v>2.7124685743947996</v>
      </c>
      <c r="X316" s="685"/>
      <c r="Y316" s="666"/>
      <c r="Z316" s="678">
        <f>+'store&amp;sf'!L497</f>
        <v>4.93</v>
      </c>
      <c r="AA316" s="724"/>
      <c r="AB316" s="710">
        <f>AVERAGE(Z316,Z315)</f>
        <v>4.9143749999999997</v>
      </c>
      <c r="AC316" s="666"/>
      <c r="AD316" s="700">
        <f>(AB316/AB309-1)*100</f>
        <v>0.67861715749040208</v>
      </c>
      <c r="AE316" s="685"/>
      <c r="AF316" s="703">
        <f>+H316/AD316*100</f>
        <v>215.39963228652294</v>
      </c>
      <c r="AG316" s="668"/>
      <c r="AH316" s="666"/>
      <c r="AI316" s="675">
        <f>+S316</f>
        <v>438.834</v>
      </c>
      <c r="AJ316" s="666"/>
      <c r="AK316" s="714">
        <f>AI316/AB316</f>
        <v>89.295993895459759</v>
      </c>
      <c r="AL316" s="666"/>
      <c r="AM316" s="730">
        <f>(AK316/AK309-1)*100</f>
        <v>2.7643622677331781</v>
      </c>
      <c r="AN316" s="685"/>
      <c r="AO316" s="666"/>
    </row>
    <row r="317" spans="1:41" hidden="1" outlineLevel="1">
      <c r="A317" s="666" t="str">
        <f>$A$29</f>
        <v>4Q</v>
      </c>
      <c r="B317" s="684" t="str">
        <f>$B$29</f>
        <v>Jan</v>
      </c>
      <c r="C317" s="666"/>
      <c r="D317" s="732">
        <f>(S317/S310-1)*100</f>
        <v>1.051289996199567</v>
      </c>
      <c r="E317" s="667"/>
      <c r="F317" s="717">
        <f>segmthSales!$CF$52</f>
        <v>2</v>
      </c>
      <c r="G317" s="667"/>
      <c r="H317" s="715">
        <f>D317-F317</f>
        <v>-0.94871000380043302</v>
      </c>
      <c r="I317" s="667"/>
      <c r="J317" s="705">
        <f>'store&amp;sf'!L134</f>
        <v>1658</v>
      </c>
      <c r="K317" s="724"/>
      <c r="L317" s="716">
        <f>AVERAGE(J317,J316)</f>
        <v>1660.5</v>
      </c>
      <c r="M317" s="667"/>
      <c r="N317" s="715">
        <f>(L317/L310-1)*100</f>
        <v>0.66686874810548691</v>
      </c>
      <c r="O317" s="704"/>
      <c r="P317" s="741">
        <f>H317/N317*100</f>
        <v>-142.26337738807393</v>
      </c>
      <c r="Q317" s="702"/>
      <c r="R317" s="667"/>
      <c r="S317" s="718">
        <f>'segSales&amp;OM'!W167</f>
        <v>1007.735</v>
      </c>
      <c r="T317" s="667"/>
      <c r="U317" s="719">
        <f>S317/L317</f>
        <v>0.60688647997591083</v>
      </c>
      <c r="V317" s="666"/>
      <c r="W317" s="720">
        <f>(U317/U310-1)*100</f>
        <v>0.38187464542678295</v>
      </c>
      <c r="X317" s="685"/>
      <c r="Y317" s="666"/>
      <c r="Z317" s="678">
        <f>+'store&amp;sf'!L498</f>
        <v>4.9174999999999995</v>
      </c>
      <c r="AA317" s="671"/>
      <c r="AB317" s="721">
        <f>AVERAGE(Z317,Z316)</f>
        <v>4.9237500000000001</v>
      </c>
      <c r="AC317" s="666"/>
      <c r="AD317" s="715">
        <f>(AB317/AB310-1)*100</f>
        <v>0.49751243781095411</v>
      </c>
      <c r="AE317" s="685"/>
      <c r="AF317" s="717">
        <f>+H317/AD317*100</f>
        <v>-190.69071076388363</v>
      </c>
      <c r="AG317" s="668"/>
      <c r="AH317" s="666"/>
      <c r="AI317" s="722">
        <f>+S317</f>
        <v>1007.735</v>
      </c>
      <c r="AJ317" s="666"/>
      <c r="AK317" s="723">
        <f>AI317/AB317</f>
        <v>204.66818989591266</v>
      </c>
      <c r="AL317" s="666"/>
      <c r="AM317" s="720">
        <f>(AK317/AK310-1)*100</f>
        <v>0.55103608532725001</v>
      </c>
      <c r="AN317" s="685"/>
      <c r="AO317" s="666"/>
    </row>
    <row r="318" spans="1:41" hidden="1" outlineLevel="1">
      <c r="A318" s="666"/>
      <c r="B318" s="684" t="str">
        <f>$B$30</f>
        <v>Year</v>
      </c>
      <c r="C318" s="666"/>
      <c r="D318" s="733">
        <f>(S318/S311-1)*100</f>
        <v>0.3779894852189436</v>
      </c>
      <c r="E318" s="667"/>
      <c r="F318" s="703">
        <f>segmthSales!$CF$53</f>
        <v>-1</v>
      </c>
      <c r="G318" s="667"/>
      <c r="H318" s="733">
        <f>D318-F318</f>
        <v>1.3779894852189436</v>
      </c>
      <c r="I318" s="667"/>
      <c r="J318" s="667"/>
      <c r="K318" s="667"/>
      <c r="L318" s="706">
        <f>AVERAGE(L314:L317)</f>
        <v>1652.5</v>
      </c>
      <c r="M318" s="667"/>
      <c r="N318" s="700">
        <f>(L318/L311-1)*100</f>
        <v>1.1631466176920791</v>
      </c>
      <c r="O318" s="704"/>
      <c r="P318" s="703">
        <f>H318/N318*100</f>
        <v>118.47083284763849</v>
      </c>
      <c r="Q318" s="702"/>
      <c r="R318" s="667"/>
      <c r="S318" s="726">
        <f>SUM(S314:S317)</f>
        <v>2382.5830000000001</v>
      </c>
      <c r="T318" s="667"/>
      <c r="U318" s="707">
        <f>SUM(U314:U317)</f>
        <v>1.4402123607069091</v>
      </c>
      <c r="V318" s="666"/>
      <c r="W318" s="730">
        <f>(U318/U311-1)*100</f>
        <v>-0.65366921175514792</v>
      </c>
      <c r="X318" s="685"/>
      <c r="Y318" s="666"/>
      <c r="Z318" s="676"/>
      <c r="AA318" s="666"/>
      <c r="AB318" s="710">
        <f>AVERAGE(AB314:AB317)</f>
        <v>4.9035937499999998</v>
      </c>
      <c r="AC318" s="666"/>
      <c r="AD318" s="700">
        <f>(AB318/AB311-1)*100</f>
        <v>1.1767360887226852</v>
      </c>
      <c r="AE318" s="685"/>
      <c r="AF318" s="703">
        <f>+H318/AD318*100</f>
        <v>117.10267904800247</v>
      </c>
      <c r="AG318" s="668"/>
      <c r="AH318" s="666"/>
      <c r="AI318" s="673">
        <f>SUM(AI314:AI317)</f>
        <v>2382.5830000000001</v>
      </c>
      <c r="AJ318" s="666"/>
      <c r="AK318" s="711">
        <f>SUM(AK314:AK317)</f>
        <v>485.43444822499407</v>
      </c>
      <c r="AL318" s="666"/>
      <c r="AM318" s="730">
        <f>(AK318/AK311-1)*100</f>
        <v>-0.62496666726171712</v>
      </c>
      <c r="AN318" s="685"/>
      <c r="AO318" s="666"/>
    </row>
    <row r="319" spans="1:41" hidden="1" outlineLevel="1">
      <c r="A319" s="666"/>
      <c r="B319" s="684"/>
      <c r="C319" s="666"/>
      <c r="D319" s="733"/>
      <c r="E319" s="667"/>
      <c r="F319" s="703"/>
      <c r="G319" s="667"/>
      <c r="H319" s="733"/>
      <c r="I319" s="667"/>
      <c r="J319" s="667"/>
      <c r="K319" s="667"/>
      <c r="L319" s="706"/>
      <c r="M319" s="667"/>
      <c r="N319" s="700"/>
      <c r="O319" s="704"/>
      <c r="P319" s="703"/>
      <c r="Q319" s="702"/>
      <c r="R319" s="667"/>
      <c r="S319" s="707"/>
      <c r="T319" s="667"/>
      <c r="U319" s="707"/>
      <c r="V319" s="666"/>
      <c r="W319" s="730"/>
      <c r="X319" s="685"/>
      <c r="Y319" s="666"/>
      <c r="Z319" s="676"/>
      <c r="AA319" s="666"/>
      <c r="AB319" s="710"/>
      <c r="AC319" s="666"/>
      <c r="AD319" s="700"/>
      <c r="AE319" s="685"/>
      <c r="AF319" s="703"/>
      <c r="AG319" s="668"/>
      <c r="AH319" s="666"/>
      <c r="AI319" s="673"/>
      <c r="AJ319" s="666"/>
      <c r="AK319" s="711"/>
      <c r="AL319" s="666"/>
      <c r="AM319" s="730"/>
      <c r="AN319" s="685"/>
      <c r="AO319" s="666"/>
    </row>
    <row r="320" spans="1:41" hidden="1" outlineLevel="1">
      <c r="A320" s="698"/>
      <c r="B320" s="738">
        <f>B313+1</f>
        <v>2010</v>
      </c>
      <c r="C320" s="666"/>
      <c r="D320" s="700"/>
      <c r="E320" s="701"/>
      <c r="F320" s="700"/>
      <c r="G320" s="701"/>
      <c r="H320" s="700"/>
      <c r="I320" s="704"/>
      <c r="J320" s="667"/>
      <c r="K320" s="667"/>
      <c r="L320" s="667"/>
      <c r="M320" s="667"/>
      <c r="N320" s="667"/>
      <c r="O320" s="704"/>
      <c r="P320" s="702"/>
      <c r="Q320" s="702"/>
      <c r="R320" s="667"/>
      <c r="S320" s="674"/>
      <c r="T320" s="667"/>
      <c r="U320" s="667"/>
      <c r="V320" s="666"/>
      <c r="W320" s="666"/>
      <c r="X320" s="685"/>
      <c r="Y320" s="666"/>
      <c r="Z320" s="676"/>
      <c r="AA320" s="666"/>
      <c r="AB320" s="679"/>
      <c r="AC320" s="666"/>
      <c r="AD320" s="667"/>
      <c r="AE320" s="685"/>
      <c r="AF320" s="703"/>
      <c r="AG320" s="668"/>
      <c r="AH320" s="666"/>
      <c r="AI320" s="666"/>
      <c r="AJ320" s="666"/>
      <c r="AK320" s="666"/>
      <c r="AL320" s="666"/>
      <c r="AM320" s="666"/>
      <c r="AN320" s="685"/>
      <c r="AO320" s="666"/>
    </row>
    <row r="321" spans="1:41" hidden="1" outlineLevel="1">
      <c r="A321" s="666" t="str">
        <f>$A$26</f>
        <v>1Q</v>
      </c>
      <c r="B321" s="684" t="str">
        <f>$B$26</f>
        <v>Apr</v>
      </c>
      <c r="C321" s="666"/>
      <c r="D321" s="700">
        <f>(S321/S314-1)*100</f>
        <v>6.9148011031878065</v>
      </c>
      <c r="E321" s="701" t="s">
        <v>1084</v>
      </c>
      <c r="F321" s="703">
        <f>segmthSales!$CJ$37</f>
        <v>7</v>
      </c>
      <c r="G321" s="701" t="s">
        <v>1084</v>
      </c>
      <c r="H321" s="700">
        <f>D321-F321</f>
        <v>-8.5198896812193503E-2</v>
      </c>
      <c r="I321" s="704" t="s">
        <v>1084</v>
      </c>
      <c r="J321" s="705">
        <f>'store&amp;sf'!L137</f>
        <v>1657</v>
      </c>
      <c r="K321" s="667"/>
      <c r="L321" s="706">
        <f>AVERAGE(J321,J317)</f>
        <v>1657.5</v>
      </c>
      <c r="M321" s="667"/>
      <c r="N321" s="700">
        <f>(L321/L314-1)*100</f>
        <v>0.7905138339920903</v>
      </c>
      <c r="O321" s="704" t="s">
        <v>1084</v>
      </c>
      <c r="P321" s="734">
        <f>H321/N321*100</f>
        <v>-10.777660446742541</v>
      </c>
      <c r="Q321" s="702" t="s">
        <v>1084</v>
      </c>
      <c r="R321" s="667"/>
      <c r="S321" s="726">
        <f>'segSales&amp;OM'!W171</f>
        <v>430.3</v>
      </c>
      <c r="T321" s="667"/>
      <c r="U321" s="707">
        <f>S321/L321</f>
        <v>0.25960784313725493</v>
      </c>
      <c r="V321" s="666"/>
      <c r="W321" s="730">
        <f>(U321/U314-1)*100</f>
        <v>6.0762536435549741</v>
      </c>
      <c r="X321" s="685" t="s">
        <v>1084</v>
      </c>
      <c r="Y321" s="666"/>
      <c r="Z321" s="678">
        <f>+'store&amp;sf'!L501</f>
        <v>4.915</v>
      </c>
      <c r="AA321" s="666"/>
      <c r="AB321" s="710">
        <f>AVERAGE(Z321,Z317)</f>
        <v>4.9162499999999998</v>
      </c>
      <c r="AC321" s="666"/>
      <c r="AD321" s="700">
        <f>(AB321/AB314-1)*100</f>
        <v>0.63971340839303892</v>
      </c>
      <c r="AE321" s="685" t="s">
        <v>1084</v>
      </c>
      <c r="AF321" s="703">
        <f>+H321/AD321*100</f>
        <v>-13.31829154968211</v>
      </c>
      <c r="AG321" s="668" t="s">
        <v>1084</v>
      </c>
      <c r="AH321" s="666"/>
      <c r="AI321" s="673">
        <f>+S321</f>
        <v>430.3</v>
      </c>
      <c r="AJ321" s="666"/>
      <c r="AK321" s="711">
        <f>AI321/AB321</f>
        <v>87.526061530638202</v>
      </c>
      <c r="AL321" s="666"/>
      <c r="AM321" s="730">
        <f>(AK321/AK314-1)*100</f>
        <v>6.2352002825471597</v>
      </c>
      <c r="AN321" s="685" t="s">
        <v>1084</v>
      </c>
      <c r="AO321" s="666"/>
    </row>
    <row r="322" spans="1:41" hidden="1" outlineLevel="1">
      <c r="A322" s="666" t="str">
        <f>$A$27</f>
        <v>2Q</v>
      </c>
      <c r="B322" s="684" t="str">
        <f>$B$27</f>
        <v>Jul</v>
      </c>
      <c r="C322" s="666"/>
      <c r="D322" s="700">
        <f>(S322/S315-1)*100</f>
        <v>0.54709639692320788</v>
      </c>
      <c r="E322" s="700"/>
      <c r="F322" s="703">
        <f>segmthSales!CJ42</f>
        <v>0</v>
      </c>
      <c r="G322" s="700"/>
      <c r="H322" s="700">
        <f>D322-F322</f>
        <v>0.54709639692320788</v>
      </c>
      <c r="I322" s="667"/>
      <c r="J322" s="705">
        <f>'store&amp;sf'!L138</f>
        <v>1658</v>
      </c>
      <c r="K322" s="724"/>
      <c r="L322" s="706">
        <f>AVERAGE(J322,J321)</f>
        <v>1657.5</v>
      </c>
      <c r="M322" s="667"/>
      <c r="N322" s="700">
        <f>(L322/L315-1)*100</f>
        <v>0.57645631067961833</v>
      </c>
      <c r="O322" s="704"/>
      <c r="P322" s="740" t="s">
        <v>886</v>
      </c>
      <c r="Q322" s="702"/>
      <c r="R322" s="667"/>
      <c r="S322" s="712">
        <f>'segSales&amp;OM'!W172</f>
        <v>536.46299999999997</v>
      </c>
      <c r="T322" s="667"/>
      <c r="U322" s="713">
        <f>S322/L322</f>
        <v>0.32365791855203618</v>
      </c>
      <c r="V322" s="666"/>
      <c r="W322" s="730">
        <f>(U322/U315-1)*100</f>
        <v>-2.9191636724312797E-2</v>
      </c>
      <c r="X322" s="685"/>
      <c r="Y322" s="666"/>
      <c r="Z322" s="678">
        <f>+'store&amp;sf'!L502</f>
        <v>4.9137499999999994</v>
      </c>
      <c r="AA322" s="724"/>
      <c r="AB322" s="710">
        <f>AVERAGE(Z322,Z321)</f>
        <v>4.9143749999999997</v>
      </c>
      <c r="AC322" s="666"/>
      <c r="AD322" s="700">
        <f>(AB322/AB315-1)*100</f>
        <v>0.47278303092257445</v>
      </c>
      <c r="AE322" s="685"/>
      <c r="AF322" s="703">
        <f>+H322/AD322*100</f>
        <v>115.71828114380938</v>
      </c>
      <c r="AG322" s="668"/>
      <c r="AH322" s="666"/>
      <c r="AI322" s="675">
        <f>+S322</f>
        <v>536.46299999999997</v>
      </c>
      <c r="AJ322" s="666"/>
      <c r="AK322" s="714">
        <f>AI322/AB322</f>
        <v>109.16199923693247</v>
      </c>
      <c r="AL322" s="666"/>
      <c r="AM322" s="730">
        <f>(AK322/AK315-1)*100</f>
        <v>7.3963678280697387E-2</v>
      </c>
      <c r="AN322" s="685"/>
      <c r="AO322" s="666"/>
    </row>
    <row r="323" spans="1:41" hidden="1" outlineLevel="1">
      <c r="A323" s="666" t="str">
        <f>$A$28</f>
        <v>3Q</v>
      </c>
      <c r="B323" s="684" t="str">
        <f>$B$28</f>
        <v>Oct</v>
      </c>
      <c r="C323" s="666"/>
      <c r="D323" s="700">
        <f>(S323/S316-1)*100</f>
        <v>6.5430208233637321</v>
      </c>
      <c r="E323" s="700"/>
      <c r="F323" s="703">
        <f>+segmthSales!CJ47</f>
        <v>6</v>
      </c>
      <c r="G323" s="700"/>
      <c r="H323" s="700">
        <f>D323-F323</f>
        <v>0.54302082336373214</v>
      </c>
      <c r="I323" s="667"/>
      <c r="J323" s="705">
        <f>'store&amp;sf'!L139</f>
        <v>1671</v>
      </c>
      <c r="K323" s="724"/>
      <c r="L323" s="706">
        <f>AVERAGE(J323,J322)</f>
        <v>1664.5</v>
      </c>
      <c r="M323" s="667"/>
      <c r="N323" s="700">
        <f>(L323/L316-1)*100</f>
        <v>0.45262522631261959</v>
      </c>
      <c r="O323" s="704"/>
      <c r="P323" s="740" t="s">
        <v>886</v>
      </c>
      <c r="Q323" s="702"/>
      <c r="R323" s="667"/>
      <c r="S323" s="712">
        <f>'segSales&amp;OM'!W173</f>
        <v>467.54700000000003</v>
      </c>
      <c r="T323" s="667"/>
      <c r="U323" s="713">
        <f>S323/L323</f>
        <v>0.28089336136978071</v>
      </c>
      <c r="V323" s="666"/>
      <c r="W323" s="730">
        <f>(U323/U316-1)*100</f>
        <v>6.0629531416724003</v>
      </c>
      <c r="X323" s="685"/>
      <c r="Y323" s="666"/>
      <c r="Z323" s="678">
        <f>+'store&amp;sf'!L503</f>
        <v>4.9550000000000001</v>
      </c>
      <c r="AA323" s="724"/>
      <c r="AB323" s="710">
        <f>AVERAGE(Z323,Z322)</f>
        <v>4.9343749999999993</v>
      </c>
      <c r="AC323" s="666"/>
      <c r="AD323" s="700">
        <f>(AB323/AB316-1)*100</f>
        <v>0.40696935012081159</v>
      </c>
      <c r="AE323" s="685"/>
      <c r="AF323" s="703">
        <f>+H323/AD323*100</f>
        <v>133.4303979409095</v>
      </c>
      <c r="AG323" s="668"/>
      <c r="AH323" s="666"/>
      <c r="AI323" s="675">
        <f>+S323</f>
        <v>467.54700000000003</v>
      </c>
      <c r="AJ323" s="666"/>
      <c r="AK323" s="714">
        <f>AI323/AB323</f>
        <v>94.753033565547838</v>
      </c>
      <c r="AL323" s="666"/>
      <c r="AM323" s="730">
        <f>(AK323/AK316-1)*100</f>
        <v>6.1111808402924739</v>
      </c>
      <c r="AN323" s="685"/>
      <c r="AO323" s="666"/>
    </row>
    <row r="324" spans="1:41" hidden="1" outlineLevel="1">
      <c r="A324" s="666" t="str">
        <f>$A$29</f>
        <v>4Q</v>
      </c>
      <c r="B324" s="684" t="str">
        <f>$B$29</f>
        <v>Jan</v>
      </c>
      <c r="C324" s="666"/>
      <c r="D324" s="732">
        <f>(S324/S317-1)*100</f>
        <v>7.2619289793447672</v>
      </c>
      <c r="E324" s="667"/>
      <c r="F324" s="717">
        <f>+segmthSales!CJ52</f>
        <v>6</v>
      </c>
      <c r="G324" s="667"/>
      <c r="H324" s="715">
        <f>D324-F324</f>
        <v>1.2619289793447672</v>
      </c>
      <c r="I324" s="667"/>
      <c r="J324" s="705">
        <f>'store&amp;sf'!L140</f>
        <v>1665</v>
      </c>
      <c r="K324" s="724"/>
      <c r="L324" s="716">
        <f>AVERAGE(J324,J323)</f>
        <v>1668</v>
      </c>
      <c r="M324" s="667"/>
      <c r="N324" s="715">
        <f>(L324/L317-1)*100</f>
        <v>0.45167118337849921</v>
      </c>
      <c r="O324" s="704"/>
      <c r="P324" s="1150" t="s">
        <v>886</v>
      </c>
      <c r="Q324" s="702"/>
      <c r="R324" s="667"/>
      <c r="S324" s="718">
        <f>'segSales&amp;OM'!W174</f>
        <v>1080.9159999999999</v>
      </c>
      <c r="T324" s="667"/>
      <c r="U324" s="719">
        <f>S324/L324</f>
        <v>0.648031175059952</v>
      </c>
      <c r="V324" s="666"/>
      <c r="W324" s="720">
        <f>(U324/U317-1)*100</f>
        <v>6.7796361332146171</v>
      </c>
      <c r="X324" s="685"/>
      <c r="Y324" s="666"/>
      <c r="Z324" s="678">
        <f>+'store&amp;sf'!L504</f>
        <v>4.9399999999999995</v>
      </c>
      <c r="AA324" s="671"/>
      <c r="AB324" s="721">
        <f>AVERAGE(Z324,Z323)</f>
        <v>4.9474999999999998</v>
      </c>
      <c r="AC324" s="666"/>
      <c r="AD324" s="715">
        <f>(AB324/AB317-1)*100</f>
        <v>0.48235592790046855</v>
      </c>
      <c r="AE324" s="685"/>
      <c r="AF324" s="717">
        <f>+H324/AD324*100</f>
        <v>261.61780261258843</v>
      </c>
      <c r="AG324" s="668"/>
      <c r="AH324" s="666"/>
      <c r="AI324" s="722">
        <f>+S324</f>
        <v>1080.9159999999999</v>
      </c>
      <c r="AJ324" s="666"/>
      <c r="AK324" s="723">
        <f>AI324/AB324</f>
        <v>218.47721071248105</v>
      </c>
      <c r="AL324" s="666"/>
      <c r="AM324" s="720">
        <f>(AK324/AK317-1)*100</f>
        <v>6.7470283601917869</v>
      </c>
      <c r="AN324" s="685"/>
      <c r="AO324" s="666"/>
    </row>
    <row r="325" spans="1:41" hidden="1" outlineLevel="1">
      <c r="A325" s="666"/>
      <c r="B325" s="684" t="str">
        <f>$B$30</f>
        <v>Year</v>
      </c>
      <c r="C325" s="666"/>
      <c r="D325" s="733">
        <f>(S325/S318-1)*100</f>
        <v>5.5671932520293899</v>
      </c>
      <c r="E325" s="667"/>
      <c r="F325" s="703">
        <f>+segmthSales!CJ53</f>
        <v>5</v>
      </c>
      <c r="G325" s="667"/>
      <c r="H325" s="733">
        <f>D325-F325</f>
        <v>0.56719325202938986</v>
      </c>
      <c r="I325" s="667"/>
      <c r="J325" s="667"/>
      <c r="K325" s="667"/>
      <c r="L325" s="706">
        <f>AVERAGE(L321:L324)</f>
        <v>1661.875</v>
      </c>
      <c r="M325" s="667"/>
      <c r="N325" s="700">
        <f>(L325/L318-1)*100</f>
        <v>0.56732223903177559</v>
      </c>
      <c r="O325" s="704"/>
      <c r="P325" s="703">
        <f>H325/N325*100</f>
        <v>99.977263891046135</v>
      </c>
      <c r="Q325" s="702"/>
      <c r="R325" s="667"/>
      <c r="S325" s="726">
        <f>SUM(S321:S324)</f>
        <v>2515.2259999999997</v>
      </c>
      <c r="T325" s="667"/>
      <c r="U325" s="707">
        <f>SUM(U321:U324)</f>
        <v>1.5121902981190238</v>
      </c>
      <c r="V325" s="666"/>
      <c r="W325" s="730">
        <f>(U325/U318-1)*100</f>
        <v>4.9977308469138171</v>
      </c>
      <c r="X325" s="685"/>
      <c r="Y325" s="666"/>
      <c r="Z325" s="676"/>
      <c r="AA325" s="666"/>
      <c r="AB325" s="710">
        <f>AVERAGE(AB321:AB324)</f>
        <v>4.9281249999999996</v>
      </c>
      <c r="AC325" s="666"/>
      <c r="AD325" s="700">
        <f>(AB325/AB318-1)*100</f>
        <v>0.50027084727399806</v>
      </c>
      <c r="AE325" s="685"/>
      <c r="AF325" s="703">
        <f>+H325/AD325*100</f>
        <v>113.37723457604125</v>
      </c>
      <c r="AG325" s="668"/>
      <c r="AH325" s="666"/>
      <c r="AI325" s="673">
        <f>SUM(AI321:AI324)</f>
        <v>2515.2259999999997</v>
      </c>
      <c r="AJ325" s="666"/>
      <c r="AK325" s="711">
        <f>SUM(AK321:AK324)</f>
        <v>509.91830504559954</v>
      </c>
      <c r="AL325" s="666"/>
      <c r="AM325" s="730">
        <f>(AK325/AK318-1)*100</f>
        <v>5.0436999084287226</v>
      </c>
      <c r="AN325" s="685"/>
      <c r="AO325" s="666"/>
    </row>
    <row r="326" spans="1:41" hidden="1" outlineLevel="1">
      <c r="A326" s="666"/>
      <c r="B326" s="684"/>
      <c r="C326" s="666"/>
      <c r="D326" s="733"/>
      <c r="E326" s="667"/>
      <c r="F326" s="703"/>
      <c r="G326" s="667"/>
      <c r="H326" s="733"/>
      <c r="I326" s="667"/>
      <c r="J326" s="667"/>
      <c r="K326" s="667"/>
      <c r="L326" s="706"/>
      <c r="M326" s="667"/>
      <c r="N326" s="700"/>
      <c r="O326" s="704"/>
      <c r="P326" s="703"/>
      <c r="Q326" s="702"/>
      <c r="R326" s="667"/>
      <c r="S326" s="707"/>
      <c r="T326" s="667"/>
      <c r="U326" s="707"/>
      <c r="V326" s="666"/>
      <c r="W326" s="730"/>
      <c r="X326" s="685"/>
      <c r="Y326" s="666"/>
      <c r="Z326" s="676"/>
      <c r="AA326" s="666"/>
      <c r="AB326" s="710"/>
      <c r="AC326" s="666"/>
      <c r="AD326" s="700"/>
      <c r="AE326" s="685"/>
      <c r="AF326" s="703"/>
      <c r="AG326" s="668"/>
      <c r="AH326" s="666"/>
      <c r="AI326" s="673"/>
      <c r="AJ326" s="666"/>
      <c r="AK326" s="711"/>
      <c r="AL326" s="666"/>
      <c r="AM326" s="730"/>
      <c r="AN326" s="685"/>
      <c r="AO326" s="666"/>
    </row>
    <row r="327" spans="1:41" hidden="1" outlineLevel="1">
      <c r="A327" s="698"/>
      <c r="B327" s="738">
        <f>B320+1</f>
        <v>2011</v>
      </c>
      <c r="C327" s="666"/>
      <c r="D327" s="700"/>
      <c r="E327" s="701"/>
      <c r="F327" s="700"/>
      <c r="G327" s="701"/>
      <c r="H327" s="700"/>
      <c r="I327" s="704"/>
      <c r="J327" s="667"/>
      <c r="K327" s="667"/>
      <c r="L327" s="667"/>
      <c r="M327" s="667"/>
      <c r="N327" s="667"/>
      <c r="O327" s="704"/>
      <c r="P327" s="702"/>
      <c r="Q327" s="702"/>
      <c r="R327" s="667"/>
      <c r="S327" s="674"/>
      <c r="T327" s="667"/>
      <c r="U327" s="667"/>
      <c r="V327" s="666"/>
      <c r="W327" s="666"/>
      <c r="X327" s="685"/>
      <c r="Y327" s="666"/>
      <c r="Z327" s="676"/>
      <c r="AA327" s="666"/>
      <c r="AB327" s="679"/>
      <c r="AC327" s="666"/>
      <c r="AD327" s="667"/>
      <c r="AE327" s="685"/>
      <c r="AF327" s="703"/>
      <c r="AG327" s="668"/>
      <c r="AH327" s="666"/>
      <c r="AI327" s="666"/>
      <c r="AJ327" s="666"/>
      <c r="AK327" s="666"/>
      <c r="AL327" s="666"/>
      <c r="AM327" s="666"/>
      <c r="AN327" s="685"/>
      <c r="AO327" s="666"/>
    </row>
    <row r="328" spans="1:41" hidden="1" outlineLevel="1">
      <c r="A328" s="666" t="str">
        <f>$A$26</f>
        <v>1Q</v>
      </c>
      <c r="B328" s="684" t="str">
        <f>$B$26</f>
        <v>Apr</v>
      </c>
      <c r="C328" s="666"/>
      <c r="D328" s="700">
        <f>(S328/S321-1)*100</f>
        <v>11.48129212177551</v>
      </c>
      <c r="E328" s="701" t="s">
        <v>1084</v>
      </c>
      <c r="F328" s="703">
        <f>+segmthSales!CN37</f>
        <v>11</v>
      </c>
      <c r="G328" s="701" t="s">
        <v>1084</v>
      </c>
      <c r="H328" s="700">
        <f>D328-F328</f>
        <v>0.4812921217755104</v>
      </c>
      <c r="I328" s="704" t="s">
        <v>1084</v>
      </c>
      <c r="J328" s="705">
        <f>'store&amp;sf'!L143</f>
        <v>1662</v>
      </c>
      <c r="K328" s="667"/>
      <c r="L328" s="706">
        <f>AVERAGE(J328,J324)</f>
        <v>1663.5</v>
      </c>
      <c r="M328" s="667"/>
      <c r="N328" s="700">
        <f>(L328/L321-1)*100</f>
        <v>0.36199095022624306</v>
      </c>
      <c r="O328" s="704" t="s">
        <v>1084</v>
      </c>
      <c r="P328" s="740" t="s">
        <v>886</v>
      </c>
      <c r="Q328" s="702" t="s">
        <v>1084</v>
      </c>
      <c r="R328" s="667"/>
      <c r="S328" s="726">
        <f>'segSales&amp;OM'!W178</f>
        <v>479.70400000000001</v>
      </c>
      <c r="T328" s="667"/>
      <c r="U328" s="707">
        <f>S328/L328</f>
        <v>0.28837030357679594</v>
      </c>
      <c r="V328" s="666"/>
      <c r="W328" s="730">
        <f>(U328/U321-1)*100</f>
        <v>11.079195486530136</v>
      </c>
      <c r="X328" s="685" t="s">
        <v>1084</v>
      </c>
      <c r="Y328" s="666"/>
      <c r="Z328" s="678">
        <f>+'store&amp;sf'!L507</f>
        <v>4.9362499999999994</v>
      </c>
      <c r="AA328" s="666"/>
      <c r="AB328" s="710">
        <f>AVERAGE(Z328,Z324)</f>
        <v>4.9381249999999994</v>
      </c>
      <c r="AC328" s="666"/>
      <c r="AD328" s="700">
        <f>(AB328/AB321-1)*100</f>
        <v>0.44495296211541913</v>
      </c>
      <c r="AE328" s="685" t="s">
        <v>1084</v>
      </c>
      <c r="AF328" s="703">
        <f>+H328/AD328*100</f>
        <v>108.16696656817963</v>
      </c>
      <c r="AG328" s="668" t="s">
        <v>1084</v>
      </c>
      <c r="AH328" s="666"/>
      <c r="AI328" s="673">
        <f>+S328</f>
        <v>479.70400000000001</v>
      </c>
      <c r="AJ328" s="666"/>
      <c r="AK328" s="711">
        <f>AI328/AB328</f>
        <v>97.142943931147968</v>
      </c>
      <c r="AL328" s="666"/>
      <c r="AM328" s="730">
        <f>(AK328/AK321-1)*100</f>
        <v>10.987450174647018</v>
      </c>
      <c r="AN328" s="685" t="s">
        <v>1084</v>
      </c>
      <c r="AO328" s="666"/>
    </row>
    <row r="329" spans="1:41" hidden="1" outlineLevel="1">
      <c r="A329" s="666" t="str">
        <f>$A$27</f>
        <v>2Q</v>
      </c>
      <c r="B329" s="684" t="str">
        <f>$B$27</f>
        <v>Jul</v>
      </c>
      <c r="C329" s="666"/>
      <c r="D329" s="700">
        <f>(S329/S322-1)*100</f>
        <v>4.9511336289734809</v>
      </c>
      <c r="E329" s="700"/>
      <c r="F329" s="703">
        <f>segmthSales!CN42</f>
        <v>4</v>
      </c>
      <c r="G329" s="700"/>
      <c r="H329" s="700">
        <f>D329-F329</f>
        <v>0.95113362897348086</v>
      </c>
      <c r="I329" s="667"/>
      <c r="J329" s="705">
        <f>'store&amp;sf'!L144</f>
        <v>1658</v>
      </c>
      <c r="K329" s="724"/>
      <c r="L329" s="706">
        <f>AVERAGE(J329,J328)</f>
        <v>1660</v>
      </c>
      <c r="M329" s="667"/>
      <c r="N329" s="700">
        <f>(L329/L322-1)*100</f>
        <v>0.15082956259426794</v>
      </c>
      <c r="O329" s="704"/>
      <c r="P329" s="740" t="s">
        <v>886</v>
      </c>
      <c r="Q329" s="702"/>
      <c r="R329" s="667"/>
      <c r="S329" s="712">
        <f>'segSales&amp;OM'!W179</f>
        <v>563.024</v>
      </c>
      <c r="T329" s="667"/>
      <c r="U329" s="713">
        <f>S329/L329</f>
        <v>0.33917108433734938</v>
      </c>
      <c r="V329" s="666"/>
      <c r="W329" s="730">
        <f>(U329/U322-1)*100</f>
        <v>4.7930746927852708</v>
      </c>
      <c r="X329" s="685"/>
      <c r="Y329" s="666"/>
      <c r="Z329" s="678">
        <f>+'store&amp;sf'!L508</f>
        <v>4.93</v>
      </c>
      <c r="AA329" s="724"/>
      <c r="AB329" s="710">
        <f>AVERAGE(Z329,Z328)</f>
        <v>4.9331249999999995</v>
      </c>
      <c r="AC329" s="666"/>
      <c r="AD329" s="700">
        <f>(AB329/AB322-1)*100</f>
        <v>0.38153376573826225</v>
      </c>
      <c r="AE329" s="685"/>
      <c r="AF329" s="703">
        <f>+H329/AD329*100</f>
        <v>249.29212415395295</v>
      </c>
      <c r="AG329" s="668"/>
      <c r="AH329" s="666"/>
      <c r="AI329" s="675">
        <f>+S329</f>
        <v>563.024</v>
      </c>
      <c r="AJ329" s="666"/>
      <c r="AK329" s="714">
        <f>AI329/AB329</f>
        <v>114.1313062207019</v>
      </c>
      <c r="AL329" s="666"/>
      <c r="AM329" s="730">
        <f>(AK329/AK322-1)*100</f>
        <v>4.5522315627288146</v>
      </c>
      <c r="AN329" s="685"/>
      <c r="AO329" s="666"/>
    </row>
    <row r="330" spans="1:41" hidden="1" outlineLevel="1">
      <c r="A330" s="666" t="str">
        <f>$A$28</f>
        <v>3Q</v>
      </c>
      <c r="B330" s="684" t="str">
        <f>$B$28</f>
        <v>Oct</v>
      </c>
      <c r="C330" s="666"/>
      <c r="D330" s="700">
        <f>(S330/S323-1)*100</f>
        <v>7.7354789999721785</v>
      </c>
      <c r="E330" s="700"/>
      <c r="F330" s="703">
        <f>segmthSales!CN47</f>
        <v>9</v>
      </c>
      <c r="G330" s="700"/>
      <c r="H330" s="700">
        <f>D330-F330</f>
        <v>-1.2645210000278215</v>
      </c>
      <c r="I330" s="667"/>
      <c r="J330" s="705">
        <f>'store&amp;sf'!L145</f>
        <v>1660</v>
      </c>
      <c r="K330" s="724"/>
      <c r="L330" s="706">
        <f>AVERAGE(J330,J329)</f>
        <v>1659</v>
      </c>
      <c r="M330" s="667"/>
      <c r="N330" s="700">
        <f>(L330/L323-1)*100</f>
        <v>-0.33042955842594868</v>
      </c>
      <c r="O330" s="704"/>
      <c r="P330" s="740" t="s">
        <v>886</v>
      </c>
      <c r="Q330" s="702"/>
      <c r="R330" s="667"/>
      <c r="S330" s="712">
        <f>'segSales&amp;OM'!W180</f>
        <v>503.714</v>
      </c>
      <c r="T330" s="667"/>
      <c r="U330" s="713">
        <f>S330/L330</f>
        <v>0.30362507534659433</v>
      </c>
      <c r="V330" s="666"/>
      <c r="W330" s="730">
        <f>(U330/U323-1)*100</f>
        <v>8.0926490629618542</v>
      </c>
      <c r="X330" s="685"/>
      <c r="Y330" s="666"/>
      <c r="Z330" s="678">
        <f>+'store&amp;sf'!L509</f>
        <v>4.9312499999999995</v>
      </c>
      <c r="AA330" s="724"/>
      <c r="AB330" s="710">
        <f>AVERAGE(Z330,Z329)</f>
        <v>4.9306249999999991</v>
      </c>
      <c r="AC330" s="666"/>
      <c r="AD330" s="700">
        <f>(AB330/AB323-1)*100</f>
        <v>-7.5997466751109854E-2</v>
      </c>
      <c r="AE330" s="685"/>
      <c r="AF330" s="703">
        <f>+H330/AD330*100</f>
        <v>1663.8988825365743</v>
      </c>
      <c r="AG330" s="668"/>
      <c r="AH330" s="666"/>
      <c r="AI330" s="675">
        <f>+S330</f>
        <v>503.714</v>
      </c>
      <c r="AJ330" s="666"/>
      <c r="AK330" s="714">
        <f>AI330/AB330</f>
        <v>102.16027379896059</v>
      </c>
      <c r="AL330" s="666"/>
      <c r="AM330" s="730">
        <f>(AK330/AK323-1)*100</f>
        <v>7.8174175059932072</v>
      </c>
      <c r="AN330" s="685"/>
      <c r="AO330" s="666"/>
    </row>
    <row r="331" spans="1:41" hidden="1" outlineLevel="1">
      <c r="A331" s="666" t="str">
        <f>$A$29</f>
        <v>4Q</v>
      </c>
      <c r="B331" s="684" t="str">
        <f>$B$29</f>
        <v>Jan</v>
      </c>
      <c r="C331" s="666"/>
      <c r="D331" s="732">
        <f>(S331/S324-1)*100</f>
        <v>4.3466837386068935</v>
      </c>
      <c r="E331" s="667"/>
      <c r="F331" s="717">
        <f>segmthSales!CN52</f>
        <v>3</v>
      </c>
      <c r="G331" s="667"/>
      <c r="H331" s="715">
        <f>D331-F331</f>
        <v>1.3466837386068935</v>
      </c>
      <c r="I331" s="667"/>
      <c r="J331" s="705">
        <f>'store&amp;sf'!L146</f>
        <v>1656</v>
      </c>
      <c r="K331" s="724"/>
      <c r="L331" s="716">
        <f>AVERAGE(J331,J330)</f>
        <v>1658</v>
      </c>
      <c r="M331" s="667"/>
      <c r="N331" s="715">
        <f>(L331/L324-1)*100</f>
        <v>-0.59952038369304184</v>
      </c>
      <c r="O331" s="704"/>
      <c r="P331" s="1150" t="s">
        <v>886</v>
      </c>
      <c r="Q331" s="702"/>
      <c r="R331" s="667"/>
      <c r="S331" s="718">
        <f>'segSales&amp;OM'!W181</f>
        <v>1127.9000000000001</v>
      </c>
      <c r="T331" s="667"/>
      <c r="U331" s="719">
        <f>S331/L331</f>
        <v>0.68027744270205071</v>
      </c>
      <c r="V331" s="666"/>
      <c r="W331" s="720">
        <f>(U331/U324-1)*100</f>
        <v>4.9760364752691855</v>
      </c>
      <c r="X331" s="685"/>
      <c r="Y331" s="666"/>
      <c r="Z331" s="678">
        <f>+'store&amp;sf'!L510</f>
        <v>4.9274999999999993</v>
      </c>
      <c r="AA331" s="671"/>
      <c r="AB331" s="721">
        <f>AVERAGE(Z331,Z330)</f>
        <v>4.9293749999999994</v>
      </c>
      <c r="AC331" s="666"/>
      <c r="AD331" s="715">
        <f>(AB331/AB324-1)*100</f>
        <v>-0.36634663971704118</v>
      </c>
      <c r="AE331" s="685"/>
      <c r="AF331" s="717">
        <f>+H331/AD331*100</f>
        <v>-367.59822326937274</v>
      </c>
      <c r="AG331" s="668"/>
      <c r="AH331" s="666"/>
      <c r="AI331" s="722">
        <f>+S331</f>
        <v>1127.9000000000001</v>
      </c>
      <c r="AJ331" s="666"/>
      <c r="AK331" s="723">
        <f>AI331/AB331</f>
        <v>228.81196906301514</v>
      </c>
      <c r="AL331" s="666"/>
      <c r="AM331" s="720">
        <f>(AK331/AK324-1)*100</f>
        <v>4.7303598928378765</v>
      </c>
      <c r="AN331" s="685"/>
      <c r="AO331" s="666"/>
    </row>
    <row r="332" spans="1:41" hidden="1" outlineLevel="1">
      <c r="A332" s="666"/>
      <c r="B332" s="684" t="str">
        <f>$B$30</f>
        <v>Year</v>
      </c>
      <c r="C332" s="666"/>
      <c r="D332" s="733">
        <f>(S332/S325-1)*100</f>
        <v>6.3261114508199379</v>
      </c>
      <c r="E332" s="667"/>
      <c r="F332" s="703">
        <f>+F328*S328/S332+F329*S329/S332+F330*S330/S332+F331*S331/S332</f>
        <v>5.7756135901840526</v>
      </c>
      <c r="G332" s="667"/>
      <c r="H332" s="733">
        <f>D332-F332</f>
        <v>0.55049786063588524</v>
      </c>
      <c r="I332" s="667"/>
      <c r="J332" s="667"/>
      <c r="K332" s="667"/>
      <c r="L332" s="706">
        <f>AVERAGE(L328:L331)</f>
        <v>1660.125</v>
      </c>
      <c r="M332" s="667"/>
      <c r="N332" s="700">
        <f>(L332/L325-1)*100</f>
        <v>-0.10530274539300999</v>
      </c>
      <c r="O332" s="704"/>
      <c r="P332" s="703">
        <f>H332/N332*100</f>
        <v>-522.77636122526712</v>
      </c>
      <c r="Q332" s="702"/>
      <c r="R332" s="667"/>
      <c r="S332" s="726">
        <f>SUM(S328:S331)</f>
        <v>2674.3420000000001</v>
      </c>
      <c r="T332" s="667"/>
      <c r="U332" s="707">
        <f>SUM(U328:U331)</f>
        <v>1.6114439059627905</v>
      </c>
      <c r="V332" s="666"/>
      <c r="W332" s="730">
        <f>(U332/U325-1)*100</f>
        <v>6.5635659723003004</v>
      </c>
      <c r="X332" s="685"/>
      <c r="Y332" s="666"/>
      <c r="Z332" s="676"/>
      <c r="AA332" s="666"/>
      <c r="AB332" s="710">
        <f>AVERAGE(AB328:AB331)</f>
        <v>4.9328124999999998</v>
      </c>
      <c r="AC332" s="666"/>
      <c r="AD332" s="700">
        <f>(AB332/AB325-1)*100</f>
        <v>9.511731135067869E-2</v>
      </c>
      <c r="AE332" s="685"/>
      <c r="AF332" s="703">
        <f>+H332/AD332*100</f>
        <v>578.75675081511565</v>
      </c>
      <c r="AG332" s="668"/>
      <c r="AH332" s="666"/>
      <c r="AI332" s="673">
        <f>SUM(AI328:AI331)</f>
        <v>2674.3420000000001</v>
      </c>
      <c r="AJ332" s="666"/>
      <c r="AK332" s="711">
        <f>SUM(AK328:AK331)</f>
        <v>542.24649301382556</v>
      </c>
      <c r="AL332" s="666"/>
      <c r="AM332" s="730">
        <f>(AK332/AK325-1)*100</f>
        <v>6.3398759464685428</v>
      </c>
      <c r="AN332" s="685"/>
      <c r="AO332" s="666"/>
    </row>
    <row r="333" spans="1:41" hidden="1" outlineLevel="1">
      <c r="A333" s="666"/>
      <c r="B333" s="684"/>
      <c r="C333" s="666"/>
      <c r="D333" s="733"/>
      <c r="E333" s="667"/>
      <c r="F333" s="703"/>
      <c r="G333" s="667"/>
      <c r="H333" s="733"/>
      <c r="I333" s="667"/>
      <c r="J333" s="667"/>
      <c r="K333" s="667"/>
      <c r="L333" s="706"/>
      <c r="M333" s="667"/>
      <c r="N333" s="700"/>
      <c r="O333" s="704"/>
      <c r="P333" s="703"/>
      <c r="Q333" s="702"/>
      <c r="R333" s="667"/>
      <c r="S333" s="707"/>
      <c r="T333" s="667"/>
      <c r="U333" s="707"/>
      <c r="V333" s="666"/>
      <c r="W333" s="730"/>
      <c r="X333" s="685"/>
      <c r="Y333" s="666"/>
      <c r="Z333" s="676"/>
      <c r="AA333" s="666"/>
      <c r="AB333" s="710"/>
      <c r="AC333" s="666"/>
      <c r="AD333" s="700"/>
      <c r="AE333" s="685"/>
      <c r="AF333" s="703"/>
      <c r="AG333" s="668"/>
      <c r="AH333" s="666"/>
      <c r="AI333" s="673"/>
      <c r="AJ333" s="666"/>
      <c r="AK333" s="711"/>
      <c r="AL333" s="666"/>
      <c r="AM333" s="730"/>
      <c r="AN333" s="685"/>
      <c r="AO333" s="666"/>
    </row>
    <row r="334" spans="1:41" collapsed="1">
      <c r="A334" s="698"/>
      <c r="B334" s="728">
        <f>B327+1</f>
        <v>2012</v>
      </c>
      <c r="C334" s="666"/>
      <c r="D334" s="700"/>
      <c r="E334" s="701"/>
      <c r="F334" s="700"/>
      <c r="G334" s="701"/>
      <c r="H334" s="700"/>
      <c r="I334" s="704"/>
      <c r="J334" s="667"/>
      <c r="K334" s="667"/>
      <c r="L334" s="667"/>
      <c r="M334" s="667"/>
      <c r="N334" s="667"/>
      <c r="O334" s="704"/>
      <c r="P334" s="702"/>
      <c r="Q334" s="702"/>
      <c r="R334" s="667"/>
      <c r="S334" s="674"/>
      <c r="T334" s="667"/>
      <c r="U334" s="667"/>
      <c r="V334" s="666"/>
      <c r="W334" s="666"/>
      <c r="X334" s="685"/>
      <c r="Y334" s="666"/>
      <c r="Z334" s="676"/>
      <c r="AA334" s="666"/>
      <c r="AB334" s="679"/>
      <c r="AC334" s="666"/>
      <c r="AD334" s="667"/>
      <c r="AE334" s="685"/>
      <c r="AF334" s="703"/>
      <c r="AG334" s="668"/>
      <c r="AH334" s="666"/>
      <c r="AI334" s="666"/>
      <c r="AJ334" s="666"/>
      <c r="AK334" s="666"/>
      <c r="AL334" s="666"/>
      <c r="AM334" s="666"/>
      <c r="AN334" s="685"/>
      <c r="AO334" s="666"/>
    </row>
    <row r="335" spans="1:41">
      <c r="A335" s="666" t="str">
        <f>$A$26</f>
        <v>1Q</v>
      </c>
      <c r="B335" s="684" t="str">
        <f>$B$26</f>
        <v>Apr</v>
      </c>
      <c r="C335" s="666"/>
      <c r="D335" s="700">
        <f>(S335/S328-1)*100</f>
        <v>11.240681753748127</v>
      </c>
      <c r="E335" s="701" t="s">
        <v>1084</v>
      </c>
      <c r="F335" s="703">
        <f>+segmthSales!CR37</f>
        <v>6</v>
      </c>
      <c r="G335" s="701" t="s">
        <v>1084</v>
      </c>
      <c r="H335" s="700">
        <f>D335-F335</f>
        <v>5.2406817537481274</v>
      </c>
      <c r="I335" s="704" t="s">
        <v>1084</v>
      </c>
      <c r="J335" s="705">
        <f>'store&amp;sf'!L149</f>
        <v>1651</v>
      </c>
      <c r="K335" s="667"/>
      <c r="L335" s="706">
        <f>AVERAGE(J335,J331)</f>
        <v>1653.5</v>
      </c>
      <c r="M335" s="667"/>
      <c r="N335" s="700">
        <f>(L335/L328-1)*100</f>
        <v>-0.60114217012323667</v>
      </c>
      <c r="O335" s="704" t="s">
        <v>1084</v>
      </c>
      <c r="P335" s="740" t="s">
        <v>886</v>
      </c>
      <c r="Q335" s="702" t="s">
        <v>1084</v>
      </c>
      <c r="R335" s="667"/>
      <c r="S335" s="726">
        <f>'segSales&amp;OM'!W202</f>
        <v>533.62599999999998</v>
      </c>
      <c r="T335" s="667"/>
      <c r="U335" s="707">
        <f>S335/L335</f>
        <v>0.32272512851527063</v>
      </c>
      <c r="V335" s="666"/>
      <c r="W335" s="730">
        <f>(U335/U328-1)*100</f>
        <v>11.913440639467797</v>
      </c>
      <c r="X335" s="685" t="s">
        <v>1084</v>
      </c>
      <c r="Y335" s="666"/>
      <c r="Z335" s="678">
        <f>+'store&amp;sf'!L513</f>
        <v>4.9074999999999998</v>
      </c>
      <c r="AA335" s="666"/>
      <c r="AB335" s="710">
        <f>AVERAGE(Z335,Z331)</f>
        <v>4.9174999999999995</v>
      </c>
      <c r="AC335" s="666"/>
      <c r="AD335" s="700">
        <f>(AB335/AB328-1)*100</f>
        <v>-0.41766864953802774</v>
      </c>
      <c r="AE335" s="685" t="s">
        <v>1084</v>
      </c>
      <c r="AF335" s="703">
        <f>+H335/AD335*100</f>
        <v>-1254.7462586777119</v>
      </c>
      <c r="AG335" s="668" t="s">
        <v>1084</v>
      </c>
      <c r="AH335" s="666"/>
      <c r="AI335" s="673">
        <f>+S335</f>
        <v>533.62599999999998</v>
      </c>
      <c r="AJ335" s="666"/>
      <c r="AK335" s="711">
        <f>AI335/AB335</f>
        <v>108.51570920183021</v>
      </c>
      <c r="AL335" s="666"/>
      <c r="AM335" s="730">
        <f>(AK335/AK328-1)*100</f>
        <v>11.70724790751958</v>
      </c>
      <c r="AN335" s="685" t="s">
        <v>1084</v>
      </c>
      <c r="AO335" s="666"/>
    </row>
    <row r="336" spans="1:41">
      <c r="A336" s="666" t="str">
        <f>$A$27</f>
        <v>2Q</v>
      </c>
      <c r="B336" s="684" t="str">
        <f>$B$27</f>
        <v>Jul</v>
      </c>
      <c r="C336" s="666"/>
      <c r="D336" s="700">
        <f>(S336/S329-1)*100</f>
        <v>14.181633465003273</v>
      </c>
      <c r="E336" s="700"/>
      <c r="F336" s="703">
        <f>+segmthSales!CR42</f>
        <v>7.465575366721465</v>
      </c>
      <c r="G336" s="700"/>
      <c r="H336" s="700">
        <f>D336-F336</f>
        <v>6.7160580982818079</v>
      </c>
      <c r="I336" s="667"/>
      <c r="J336" s="705">
        <f>'store&amp;sf'!L150</f>
        <v>1647</v>
      </c>
      <c r="K336" s="724"/>
      <c r="L336" s="706">
        <f>AVERAGE(J336,J335)</f>
        <v>1649</v>
      </c>
      <c r="M336" s="667"/>
      <c r="N336" s="700">
        <f>(L336/L329-1)*100</f>
        <v>-0.66265060240964235</v>
      </c>
      <c r="O336" s="704"/>
      <c r="P336" s="740" t="s">
        <v>886</v>
      </c>
      <c r="Q336" s="702"/>
      <c r="R336" s="667"/>
      <c r="S336" s="726">
        <f>'segSales&amp;OM'!W203</f>
        <v>642.87</v>
      </c>
      <c r="T336" s="667"/>
      <c r="U336" s="713">
        <f>S336/L336</f>
        <v>0.38985445724681628</v>
      </c>
      <c r="V336" s="666"/>
      <c r="W336" s="730">
        <f>(U336/U329-1)*100</f>
        <v>14.943305974472686</v>
      </c>
      <c r="X336" s="685"/>
      <c r="Y336" s="666"/>
      <c r="Z336" s="678">
        <f>+'store&amp;sf'!L514</f>
        <v>4.8949999999999996</v>
      </c>
      <c r="AA336" s="724"/>
      <c r="AB336" s="710">
        <f>AVERAGE(Z336,Z335)</f>
        <v>4.9012499999999992</v>
      </c>
      <c r="AC336" s="666"/>
      <c r="AD336" s="700">
        <f>(AB336/AB329-1)*100</f>
        <v>-0.64614215127328789</v>
      </c>
      <c r="AE336" s="685"/>
      <c r="AF336" s="703">
        <f>+H336/AD336*100</f>
        <v>-1039.4087562693662</v>
      </c>
      <c r="AG336" s="668"/>
      <c r="AH336" s="666"/>
      <c r="AI336" s="675">
        <f>+S336</f>
        <v>642.87</v>
      </c>
      <c r="AJ336" s="666"/>
      <c r="AK336" s="714">
        <f>AI336/AB336</f>
        <v>131.16449885233362</v>
      </c>
      <c r="AL336" s="666"/>
      <c r="AM336" s="730">
        <f>(AK336/AK329-1)*100</f>
        <v>14.924207209802454</v>
      </c>
      <c r="AN336" s="685"/>
      <c r="AO336" s="666"/>
    </row>
    <row r="337" spans="1:41">
      <c r="A337" s="666" t="str">
        <f>$A$28</f>
        <v>3Q</v>
      </c>
      <c r="B337" s="684" t="str">
        <f>$B$28</f>
        <v>Oct</v>
      </c>
      <c r="C337" s="666"/>
      <c r="D337" s="700">
        <f>(S337/S330-1)*100</f>
        <v>13.962486649169946</v>
      </c>
      <c r="E337" s="700"/>
      <c r="F337" s="703">
        <f>+segmthSales!CR47</f>
        <v>5</v>
      </c>
      <c r="G337" s="700"/>
      <c r="H337" s="700">
        <f>D337-F337</f>
        <v>8.9624866491699464</v>
      </c>
      <c r="I337" s="667"/>
      <c r="J337" s="705">
        <f>'store&amp;sf'!L151</f>
        <v>1650</v>
      </c>
      <c r="K337" s="724"/>
      <c r="L337" s="706">
        <f>AVERAGE(J337,J336)</f>
        <v>1648.5</v>
      </c>
      <c r="M337" s="667"/>
      <c r="N337" s="700">
        <f>(L337/L330-1)*100</f>
        <v>-0.63291139240506666</v>
      </c>
      <c r="O337" s="704"/>
      <c r="P337" s="740" t="s">
        <v>886</v>
      </c>
      <c r="Q337" s="702"/>
      <c r="R337" s="667"/>
      <c r="S337" s="726">
        <f>'segSales&amp;OM'!W204</f>
        <v>574.04499999999996</v>
      </c>
      <c r="T337" s="667"/>
      <c r="U337" s="713">
        <f>S337/L337</f>
        <v>0.34822262663026993</v>
      </c>
      <c r="V337" s="666"/>
      <c r="W337" s="730">
        <f>(U337/U330-1)*100</f>
        <v>14.688362360311169</v>
      </c>
      <c r="X337" s="685"/>
      <c r="Y337" s="666"/>
      <c r="Z337" s="678">
        <f>+'store&amp;sf'!L515</f>
        <v>4.88375</v>
      </c>
      <c r="AA337" s="724"/>
      <c r="AB337" s="710">
        <f>AVERAGE(Z337,Z336)</f>
        <v>4.8893749999999994</v>
      </c>
      <c r="AC337" s="666"/>
      <c r="AD337" s="700">
        <f>(AB337/AB330-1)*100</f>
        <v>-0.83660793509949816</v>
      </c>
      <c r="AE337" s="685"/>
      <c r="AF337" s="703">
        <f>+H337/AD337*100</f>
        <v>-1071.2887450803385</v>
      </c>
      <c r="AG337" s="668"/>
      <c r="AH337" s="666"/>
      <c r="AI337" s="675">
        <f>+S337</f>
        <v>574.04499999999996</v>
      </c>
      <c r="AJ337" s="666"/>
      <c r="AK337" s="714">
        <f>AI337/AB337</f>
        <v>117.40662150070307</v>
      </c>
      <c r="AL337" s="666"/>
      <c r="AM337" s="730">
        <f>(AK337/AK330-1)*100</f>
        <v>14.923949530269965</v>
      </c>
      <c r="AN337" s="685"/>
      <c r="AO337" s="666"/>
    </row>
    <row r="338" spans="1:41">
      <c r="A338" s="666" t="str">
        <f>$A$29</f>
        <v>4Q</v>
      </c>
      <c r="B338" s="684" t="str">
        <f>$B$29</f>
        <v>Jan</v>
      </c>
      <c r="C338" s="666"/>
      <c r="D338" s="715">
        <f>(S338/S331-1)*100</f>
        <v>17.377249756184042</v>
      </c>
      <c r="E338" s="667"/>
      <c r="F338" s="717">
        <f>segmthSales!CR52</f>
        <v>7</v>
      </c>
      <c r="G338" s="667"/>
      <c r="H338" s="715">
        <f>D338-F338</f>
        <v>10.377249756184042</v>
      </c>
      <c r="I338" s="667"/>
      <c r="J338" s="705">
        <f>'store&amp;sf'!L152</f>
        <v>1642</v>
      </c>
      <c r="K338" s="724"/>
      <c r="L338" s="716">
        <f>AVERAGE(J338,J337)</f>
        <v>1646</v>
      </c>
      <c r="M338" s="667"/>
      <c r="N338" s="715">
        <f>(L338/L331-1)*100</f>
        <v>-0.72376357056694873</v>
      </c>
      <c r="O338" s="704"/>
      <c r="P338" s="1150" t="s">
        <v>886</v>
      </c>
      <c r="Q338" s="702"/>
      <c r="R338" s="667"/>
      <c r="S338" s="1125">
        <f>'segSales&amp;OM'!W205</f>
        <v>1323.8979999999999</v>
      </c>
      <c r="T338" s="667"/>
      <c r="U338" s="719">
        <f>S338/L338</f>
        <v>0.80431227217496959</v>
      </c>
      <c r="V338" s="666"/>
      <c r="W338" s="720">
        <f>(U338/U331-1)*100</f>
        <v>18.23297697190349</v>
      </c>
      <c r="X338" s="685"/>
      <c r="Y338" s="666"/>
      <c r="Z338" s="678">
        <f>+'store&amp;sf'!L516</f>
        <v>4.8650000000000002</v>
      </c>
      <c r="AA338" s="671"/>
      <c r="AB338" s="721">
        <f>AVERAGE(Z338,Z337)</f>
        <v>4.8743750000000006</v>
      </c>
      <c r="AC338" s="666"/>
      <c r="AD338" s="715">
        <f>(AB338/AB331-1)*100</f>
        <v>-1.1157601115759919</v>
      </c>
      <c r="AE338" s="685"/>
      <c r="AF338" s="717">
        <f>+H338/AD338*100</f>
        <v>-930.06100939801092</v>
      </c>
      <c r="AG338" s="668"/>
      <c r="AH338" s="666"/>
      <c r="AI338" s="722">
        <f>+S338</f>
        <v>1323.8979999999999</v>
      </c>
      <c r="AJ338" s="666"/>
      <c r="AK338" s="723">
        <f>AI338/AB338</f>
        <v>271.60364149249898</v>
      </c>
      <c r="AL338" s="666"/>
      <c r="AM338" s="720">
        <f>(AK338/AK331-1)*100</f>
        <v>18.701675705478049</v>
      </c>
      <c r="AN338" s="685"/>
      <c r="AO338" s="666"/>
    </row>
    <row r="339" spans="1:41">
      <c r="A339" s="666"/>
      <c r="B339" s="684" t="str">
        <f>$B$30</f>
        <v>Year</v>
      </c>
      <c r="C339" s="666"/>
      <c r="D339" s="733">
        <f>(S339/S332-1)*100</f>
        <v>14.960577218620518</v>
      </c>
      <c r="E339" s="667"/>
      <c r="F339" s="703">
        <f>+F335*S335/S339+F336*S336/S339+F337*S337/S339+F338*S338/S339</f>
        <v>6.5503532306232861</v>
      </c>
      <c r="G339" s="667"/>
      <c r="H339" s="733">
        <f>D339-F339</f>
        <v>8.4102239879972309</v>
      </c>
      <c r="I339" s="667"/>
      <c r="J339" s="667"/>
      <c r="K339" s="667"/>
      <c r="L339" s="706">
        <f>AVERAGE(L335:L338)</f>
        <v>1649.25</v>
      </c>
      <c r="M339" s="667"/>
      <c r="N339" s="700">
        <f>(L339/L332-1)*100</f>
        <v>-0.65507115428055096</v>
      </c>
      <c r="O339" s="704"/>
      <c r="P339" s="703">
        <f>H339/N339*100</f>
        <v>-1283.8641929263363</v>
      </c>
      <c r="Q339" s="702"/>
      <c r="R339" s="667"/>
      <c r="S339" s="726">
        <f>SUM(S335:S338)</f>
        <v>3074.4390000000003</v>
      </c>
      <c r="T339" s="667"/>
      <c r="U339" s="707">
        <f>SUM(U335:U338)</f>
        <v>1.8651144845673264</v>
      </c>
      <c r="V339" s="666"/>
      <c r="W339" s="730">
        <f>(U339/U332-1)*100</f>
        <v>15.741818729518563</v>
      </c>
      <c r="X339" s="685"/>
      <c r="Y339" s="666"/>
      <c r="Z339" s="676"/>
      <c r="AA339" s="666"/>
      <c r="AB339" s="710">
        <f>AVERAGE(AB335:AB338)</f>
        <v>4.895624999999999</v>
      </c>
      <c r="AC339" s="666"/>
      <c r="AD339" s="700">
        <f>(AB339/AB332-1)*100</f>
        <v>-0.75388026607540182</v>
      </c>
      <c r="AE339" s="685"/>
      <c r="AF339" s="703">
        <f>+H339/AD339*100</f>
        <v>-1115.5914760549065</v>
      </c>
      <c r="AG339" s="668"/>
      <c r="AH339" s="666"/>
      <c r="AI339" s="673">
        <f>SUM(AI335:AI338)</f>
        <v>3074.4390000000003</v>
      </c>
      <c r="AJ339" s="666"/>
      <c r="AK339" s="711">
        <f>SUM(AK335:AK338)</f>
        <v>628.69047104736592</v>
      </c>
      <c r="AL339" s="666"/>
      <c r="AM339" s="730">
        <f>(AK339/AK332-1)*100</f>
        <v>15.94182334920815</v>
      </c>
      <c r="AN339" s="685"/>
      <c r="AO339" s="666"/>
    </row>
    <row r="340" spans="1:41">
      <c r="A340" s="666"/>
      <c r="B340" s="684"/>
      <c r="C340" s="666"/>
      <c r="D340" s="733"/>
      <c r="E340" s="667"/>
      <c r="F340" s="703"/>
      <c r="G340" s="667"/>
      <c r="H340" s="733"/>
      <c r="I340" s="667"/>
      <c r="J340" s="667"/>
      <c r="K340" s="667"/>
      <c r="L340" s="706"/>
      <c r="M340" s="667"/>
      <c r="N340" s="700"/>
      <c r="O340" s="704"/>
      <c r="P340" s="703"/>
      <c r="Q340" s="702"/>
      <c r="R340" s="667"/>
      <c r="S340" s="726"/>
      <c r="T340" s="667"/>
      <c r="U340" s="707"/>
      <c r="V340" s="666"/>
      <c r="W340" s="730"/>
      <c r="X340" s="685"/>
      <c r="Y340" s="666"/>
      <c r="Z340" s="676"/>
      <c r="AA340" s="666"/>
      <c r="AB340" s="710"/>
      <c r="AC340" s="666"/>
      <c r="AD340" s="700"/>
      <c r="AE340" s="685"/>
      <c r="AF340" s="703"/>
      <c r="AG340" s="668"/>
      <c r="AH340" s="666"/>
      <c r="AI340" s="673"/>
      <c r="AJ340" s="666"/>
      <c r="AK340" s="711"/>
      <c r="AL340" s="666"/>
      <c r="AM340" s="730"/>
      <c r="AN340" s="685"/>
      <c r="AO340" s="666"/>
    </row>
    <row r="341" spans="1:41">
      <c r="A341" s="698"/>
      <c r="B341" s="728">
        <f>B334+1</f>
        <v>2013</v>
      </c>
      <c r="C341" s="666"/>
      <c r="D341" s="733"/>
      <c r="E341" s="667"/>
      <c r="F341" s="703"/>
      <c r="G341" s="667"/>
      <c r="H341" s="733"/>
      <c r="I341" s="667"/>
      <c r="J341" s="667"/>
      <c r="K341" s="667"/>
      <c r="L341" s="706"/>
      <c r="M341" s="667"/>
      <c r="N341" s="700"/>
      <c r="O341" s="704"/>
      <c r="P341" s="703"/>
      <c r="Q341" s="702"/>
      <c r="R341" s="667"/>
      <c r="S341" s="726"/>
      <c r="T341" s="667"/>
      <c r="U341" s="707"/>
      <c r="V341" s="666"/>
      <c r="W341" s="730"/>
      <c r="X341" s="685"/>
      <c r="Y341" s="666"/>
      <c r="Z341" s="676"/>
      <c r="AA341" s="666"/>
      <c r="AB341" s="710"/>
      <c r="AC341" s="666"/>
      <c r="AD341" s="700"/>
      <c r="AE341" s="685"/>
      <c r="AF341" s="703"/>
      <c r="AG341" s="668"/>
      <c r="AH341" s="666"/>
      <c r="AI341" s="673"/>
      <c r="AJ341" s="666"/>
      <c r="AK341" s="711"/>
      <c r="AL341" s="666"/>
      <c r="AM341" s="730"/>
      <c r="AN341" s="685"/>
      <c r="AO341" s="666"/>
    </row>
    <row r="342" spans="1:41">
      <c r="A342" s="666" t="str">
        <f>$A$26</f>
        <v>1Q</v>
      </c>
      <c r="B342" s="684" t="str">
        <f>$B$26</f>
        <v>Apr</v>
      </c>
      <c r="C342" s="666"/>
      <c r="D342" s="733">
        <f>(S342/S335-1)*100</f>
        <v>5.1022626333799392</v>
      </c>
      <c r="E342" s="667" t="s">
        <v>1084</v>
      </c>
      <c r="F342" s="703">
        <f>+segmthSales!CV37</f>
        <v>3</v>
      </c>
      <c r="G342" s="701" t="s">
        <v>1084</v>
      </c>
      <c r="H342" s="733">
        <f>D342-F342</f>
        <v>2.1022626333799392</v>
      </c>
      <c r="I342" s="667" t="s">
        <v>1084</v>
      </c>
      <c r="J342" s="705">
        <f>'store&amp;sf'!L155</f>
        <v>1642</v>
      </c>
      <c r="K342" s="667"/>
      <c r="L342" s="706">
        <f>AVERAGE(J342,J338)</f>
        <v>1642</v>
      </c>
      <c r="M342" s="667"/>
      <c r="N342" s="700">
        <f>(L342/L335-1)*100</f>
        <v>-0.69549440580586319</v>
      </c>
      <c r="O342" s="704" t="s">
        <v>1084</v>
      </c>
      <c r="P342" s="740" t="s">
        <v>886</v>
      </c>
      <c r="Q342" s="702" t="s">
        <v>1084</v>
      </c>
      <c r="R342" s="667"/>
      <c r="S342" s="712">
        <f>'segSales&amp;OM'!W209</f>
        <v>560.85299999999995</v>
      </c>
      <c r="T342" s="667"/>
      <c r="U342" s="707">
        <f>S342/L342</f>
        <v>0.34156699147381242</v>
      </c>
      <c r="V342" s="666"/>
      <c r="W342" s="730">
        <f>(U342/U335-1)*100</f>
        <v>5.838362523930396</v>
      </c>
      <c r="X342" s="685" t="s">
        <v>1084</v>
      </c>
      <c r="Y342" s="666"/>
      <c r="Z342" s="678">
        <f>+'store&amp;sf'!L519</f>
        <v>4.8562499999999993</v>
      </c>
      <c r="AA342" s="666"/>
      <c r="AB342" s="710">
        <f>AVERAGE(Z342,Z338)</f>
        <v>4.8606249999999998</v>
      </c>
      <c r="AC342" s="666"/>
      <c r="AD342" s="700">
        <f>(AB342/AB335-1)*100</f>
        <v>-1.1565836298932375</v>
      </c>
      <c r="AE342" s="685" t="s">
        <v>1084</v>
      </c>
      <c r="AF342" s="703">
        <f>+H342/AD342*100</f>
        <v>-181.7648615322349</v>
      </c>
      <c r="AG342" s="668" t="s">
        <v>1084</v>
      </c>
      <c r="AH342" s="666"/>
      <c r="AI342" s="673">
        <f>+S342</f>
        <v>560.85299999999995</v>
      </c>
      <c r="AJ342" s="666"/>
      <c r="AK342" s="711">
        <f>AI342/AB342</f>
        <v>115.38701298701298</v>
      </c>
      <c r="AL342" s="666"/>
      <c r="AM342" s="730">
        <f>(AK342/AK335-1)*100</f>
        <v>6.3320820881359374</v>
      </c>
      <c r="AN342" s="685" t="s">
        <v>1084</v>
      </c>
      <c r="AO342" s="666"/>
    </row>
    <row r="343" spans="1:41">
      <c r="A343" s="666" t="str">
        <f>$A$27</f>
        <v>2Q</v>
      </c>
      <c r="B343" s="684" t="str">
        <f>$B$27</f>
        <v>Jul</v>
      </c>
      <c r="C343" s="666"/>
      <c r="D343" s="733">
        <f>(S343/S336-1)*100</f>
        <v>3.892544371334794</v>
      </c>
      <c r="E343" s="667"/>
      <c r="F343" s="703">
        <f>+segmthSales!CV42</f>
        <v>3</v>
      </c>
      <c r="G343" s="700"/>
      <c r="H343" s="733">
        <f>D343-F343</f>
        <v>0.89254437133479403</v>
      </c>
      <c r="I343" s="667"/>
      <c r="J343" s="705">
        <f>'store&amp;sf'!L156</f>
        <v>1642</v>
      </c>
      <c r="K343" s="667"/>
      <c r="L343" s="706">
        <f>AVERAGE(J343,J342)</f>
        <v>1642</v>
      </c>
      <c r="M343" s="667"/>
      <c r="N343" s="700">
        <f>(L343/L336-1)*100</f>
        <v>-0.42449969678592936</v>
      </c>
      <c r="O343" s="704"/>
      <c r="P343" s="740" t="s">
        <v>886</v>
      </c>
      <c r="Q343" s="702"/>
      <c r="R343" s="667"/>
      <c r="S343" s="712">
        <f>'segSales&amp;OM'!W210</f>
        <v>667.89400000000001</v>
      </c>
      <c r="T343" s="667"/>
      <c r="U343" s="713">
        <f>S343/L343</f>
        <v>0.40675639464068208</v>
      </c>
      <c r="V343" s="666"/>
      <c r="W343" s="730">
        <f>(U343/U336-1)*100</f>
        <v>4.3354480318703148</v>
      </c>
      <c r="X343" s="685"/>
      <c r="Y343" s="666"/>
      <c r="Z343" s="678">
        <f>+'store&amp;sf'!L520</f>
        <v>4.8525</v>
      </c>
      <c r="AA343" s="666"/>
      <c r="AB343" s="710">
        <f>AVERAGE(Z343,Z342)</f>
        <v>4.8543749999999992</v>
      </c>
      <c r="AC343" s="666"/>
      <c r="AD343" s="700">
        <f>(AB343/AB336-1)*100</f>
        <v>-0.95638867635807756</v>
      </c>
      <c r="AE343" s="685"/>
      <c r="AF343" s="703">
        <f>+H343/AD343*100</f>
        <v>-93.324439466765511</v>
      </c>
      <c r="AG343" s="668"/>
      <c r="AH343" s="666"/>
      <c r="AI343" s="675">
        <f>+S343</f>
        <v>667.89400000000001</v>
      </c>
      <c r="AJ343" s="666"/>
      <c r="AK343" s="714">
        <f>AI343/AB343</f>
        <v>137.58599201750999</v>
      </c>
      <c r="AL343" s="666"/>
      <c r="AM343" s="730">
        <f>(AK343/AK336-1)*100</f>
        <v>4.8957554989065732</v>
      </c>
      <c r="AN343" s="685"/>
      <c r="AO343" s="666"/>
    </row>
    <row r="344" spans="1:41">
      <c r="A344" s="666" t="str">
        <f>$A$28</f>
        <v>3Q</v>
      </c>
      <c r="B344" s="684" t="str">
        <f>$B$28</f>
        <v>Oct</v>
      </c>
      <c r="C344" s="666"/>
      <c r="D344" s="733">
        <f>(S344/S337-1)*100</f>
        <v>5.6908430523739506</v>
      </c>
      <c r="E344" s="667"/>
      <c r="F344" s="703">
        <f>+segmthSales!CV47</f>
        <v>3</v>
      </c>
      <c r="G344" s="700"/>
      <c r="H344" s="733">
        <f>D344-F344</f>
        <v>2.6908430523739506</v>
      </c>
      <c r="I344" s="667"/>
      <c r="J344" s="705">
        <f>'store&amp;sf'!L157</f>
        <v>1645</v>
      </c>
      <c r="K344" s="667"/>
      <c r="L344" s="706">
        <f>AVERAGE(J344,J343)</f>
        <v>1643.5</v>
      </c>
      <c r="M344" s="667"/>
      <c r="N344" s="700">
        <f>(L344/L337-1)*100</f>
        <v>-0.3033060357901074</v>
      </c>
      <c r="O344" s="704"/>
      <c r="P344" s="740" t="s">
        <v>886</v>
      </c>
      <c r="Q344" s="702"/>
      <c r="R344" s="667"/>
      <c r="S344" s="712">
        <f>'segSales&amp;OM'!W211</f>
        <v>606.71299999999997</v>
      </c>
      <c r="T344" s="667"/>
      <c r="U344" s="713">
        <f>S344/L344</f>
        <v>0.36915911165196225</v>
      </c>
      <c r="V344" s="666"/>
      <c r="W344" s="730">
        <f>(U344/U337-1)*100</f>
        <v>6.0123850148088964</v>
      </c>
      <c r="X344" s="685"/>
      <c r="Y344" s="666"/>
      <c r="Z344" s="678">
        <f>+'store&amp;sf'!L521</f>
        <v>4.8649999999999993</v>
      </c>
      <c r="AA344" s="666"/>
      <c r="AB344" s="710">
        <f>AVERAGE(Z344,Z343)</f>
        <v>4.8587499999999997</v>
      </c>
      <c r="AC344" s="666"/>
      <c r="AD344" s="700">
        <f>(AB344/AB337-1)*100</f>
        <v>-0.62635817461331733</v>
      </c>
      <c r="AE344" s="685"/>
      <c r="AF344" s="703">
        <f>+H344/AD344*100</f>
        <v>-429.60133058615293</v>
      </c>
      <c r="AG344" s="668"/>
      <c r="AH344" s="666"/>
      <c r="AI344" s="675">
        <f>+S344</f>
        <v>606.71299999999997</v>
      </c>
      <c r="AJ344" s="666"/>
      <c r="AK344" s="714">
        <f>AI344/AB344</f>
        <v>124.87018266014921</v>
      </c>
      <c r="AL344" s="666"/>
      <c r="AM344" s="730">
        <f>(AK344/AK337-1)*100</f>
        <v>6.3570189347467609</v>
      </c>
      <c r="AN344" s="685"/>
      <c r="AO344" s="666"/>
    </row>
    <row r="345" spans="1:41">
      <c r="A345" s="666" t="str">
        <f>$A$29</f>
        <v>4Q</v>
      </c>
      <c r="B345" s="684" t="str">
        <f>$B$29</f>
        <v>Jan</v>
      </c>
      <c r="C345" s="666"/>
      <c r="D345" s="732">
        <f>(S345/S338-1)*100</f>
        <v>-3.1342293741662863</v>
      </c>
      <c r="E345" s="667"/>
      <c r="F345" s="717">
        <f>+segmthSales!CV52</f>
        <v>-1</v>
      </c>
      <c r="G345" s="667"/>
      <c r="H345" s="732">
        <f>D345-F345</f>
        <v>-2.1342293741662863</v>
      </c>
      <c r="I345" s="667"/>
      <c r="J345" s="705">
        <f>'store&amp;sf'!L158</f>
        <v>1638</v>
      </c>
      <c r="K345" s="667"/>
      <c r="L345" s="716">
        <f>AVERAGE(J345,J344)</f>
        <v>1641.5</v>
      </c>
      <c r="M345" s="667"/>
      <c r="N345" s="715">
        <f>(L345/L338-1)*100</f>
        <v>-0.27339003645200366</v>
      </c>
      <c r="O345" s="704"/>
      <c r="P345" s="1150" t="s">
        <v>886</v>
      </c>
      <c r="Q345" s="702"/>
      <c r="R345" s="667"/>
      <c r="S345" s="718">
        <f>'segSales&amp;OM'!W212</f>
        <v>1282.404</v>
      </c>
      <c r="T345" s="667"/>
      <c r="U345" s="719">
        <f>S345/L345</f>
        <v>0.78123911056960094</v>
      </c>
      <c r="V345" s="666"/>
      <c r="W345" s="720">
        <f>(U345/U338-1)*100</f>
        <v>-2.8686820285578452</v>
      </c>
      <c r="X345" s="685"/>
      <c r="Y345" s="666"/>
      <c r="Z345" s="678">
        <f>+'store&amp;sf'!L522</f>
        <v>4.8475000000000001</v>
      </c>
      <c r="AA345" s="666"/>
      <c r="AB345" s="721">
        <f>AVERAGE(Z345,Z344)</f>
        <v>4.8562499999999993</v>
      </c>
      <c r="AC345" s="666"/>
      <c r="AD345" s="715">
        <f>(AB345/AB338-1)*100</f>
        <v>-0.37184254391591232</v>
      </c>
      <c r="AE345" s="685"/>
      <c r="AF345" s="717">
        <f>+H345/AD345*100</f>
        <v>573.96051341799023</v>
      </c>
      <c r="AG345" s="668"/>
      <c r="AH345" s="666"/>
      <c r="AI345" s="722">
        <f>+S345</f>
        <v>1282.404</v>
      </c>
      <c r="AJ345" s="666"/>
      <c r="AK345" s="723">
        <f>AI345/AB345</f>
        <v>264.07289575289582</v>
      </c>
      <c r="AL345" s="666"/>
      <c r="AM345" s="720">
        <f>(AK345/AK338-1)*100</f>
        <v>-2.7726968969269628</v>
      </c>
      <c r="AN345" s="685"/>
      <c r="AO345" s="666"/>
    </row>
    <row r="346" spans="1:41">
      <c r="A346" s="666"/>
      <c r="B346" s="684" t="str">
        <f>$B$30</f>
        <v>Year</v>
      </c>
      <c r="C346" s="666"/>
      <c r="D346" s="733">
        <f>(S346/S339-1)*100</f>
        <v>1.4124528084635601</v>
      </c>
      <c r="E346" s="666"/>
      <c r="F346" s="703">
        <f>+F342*S342/S346+F343*S343/S346+F344*S344/S346+F345*S345/S346</f>
        <v>1.3547659551539131</v>
      </c>
      <c r="G346" s="667"/>
      <c r="H346" s="733">
        <f>D346-F346</f>
        <v>5.7686853309647068E-2</v>
      </c>
      <c r="I346" s="666"/>
      <c r="J346" s="666"/>
      <c r="K346" s="666"/>
      <c r="L346" s="706">
        <f>AVERAGE(L342:L345)</f>
        <v>1642.25</v>
      </c>
      <c r="M346" s="666"/>
      <c r="N346" s="700">
        <f>(L346/L339-1)*100</f>
        <v>-0.42443534940124206</v>
      </c>
      <c r="O346" s="704"/>
      <c r="P346" s="703">
        <f>H346/N346*100</f>
        <v>-13.591434688705089</v>
      </c>
      <c r="Q346" s="702"/>
      <c r="R346" s="666"/>
      <c r="S346" s="726">
        <f>SUM(S342:S345)</f>
        <v>3117.8639999999996</v>
      </c>
      <c r="T346" s="666"/>
      <c r="U346" s="707">
        <f>SUM(U342:U345)</f>
        <v>1.8987216083360576</v>
      </c>
      <c r="V346" s="666"/>
      <c r="W346" s="730">
        <f>(U346/U339-1)*100</f>
        <v>1.8018799407119257</v>
      </c>
      <c r="X346" s="685"/>
      <c r="Y346" s="666"/>
      <c r="Z346" s="666"/>
      <c r="AA346" s="666"/>
      <c r="AB346" s="710">
        <f>AVERAGE(AB342:AB345)</f>
        <v>4.8574999999999999</v>
      </c>
      <c r="AC346" s="666"/>
      <c r="AD346" s="700">
        <f>(AB346/AB339-1)*100</f>
        <v>-0.77875654283159346</v>
      </c>
      <c r="AE346" s="685"/>
      <c r="AF346" s="703">
        <f>+H346/AD346*100</f>
        <v>-7.4075593766307373</v>
      </c>
      <c r="AG346" s="668"/>
      <c r="AH346" s="666"/>
      <c r="AI346" s="673">
        <f>SUM(AI342:AI345)</f>
        <v>3117.8639999999996</v>
      </c>
      <c r="AJ346" s="666"/>
      <c r="AK346" s="711">
        <f>SUM(AK342:AK345)</f>
        <v>641.91608341756796</v>
      </c>
      <c r="AL346" s="666"/>
      <c r="AM346" s="730">
        <f>(AK346/AK339-1)*100</f>
        <v>2.1036762889325988</v>
      </c>
      <c r="AN346" s="685"/>
      <c r="AO346" s="666"/>
    </row>
    <row r="347" spans="1:41">
      <c r="A347" s="666"/>
      <c r="B347" s="684"/>
      <c r="C347" s="666"/>
      <c r="D347" s="666"/>
      <c r="E347" s="666"/>
      <c r="F347" s="666"/>
      <c r="G347" s="666"/>
      <c r="H347" s="666"/>
      <c r="I347" s="666"/>
      <c r="J347" s="666"/>
      <c r="K347" s="666"/>
      <c r="L347" s="666"/>
      <c r="M347" s="666"/>
      <c r="N347" s="666"/>
      <c r="O347" s="666"/>
      <c r="P347" s="666"/>
      <c r="Q347" s="666"/>
      <c r="R347" s="666"/>
      <c r="S347" s="666"/>
      <c r="T347" s="666"/>
      <c r="U347" s="666"/>
      <c r="V347" s="666"/>
      <c r="W347" s="666"/>
      <c r="X347" s="666"/>
      <c r="Y347" s="666"/>
      <c r="Z347" s="666"/>
      <c r="AA347" s="666"/>
      <c r="AB347" s="666"/>
      <c r="AC347" s="666"/>
      <c r="AD347" s="666"/>
      <c r="AE347" s="666"/>
      <c r="AF347" s="666"/>
      <c r="AG347" s="666"/>
      <c r="AH347" s="666"/>
      <c r="AI347" s="666"/>
      <c r="AJ347" s="666"/>
      <c r="AK347" s="666"/>
      <c r="AL347" s="666"/>
      <c r="AM347" s="666"/>
      <c r="AN347" s="666"/>
      <c r="AO347" s="666"/>
    </row>
    <row r="348" spans="1:41">
      <c r="A348" s="698"/>
      <c r="B348" s="728">
        <f>B341+1</f>
        <v>2014</v>
      </c>
      <c r="C348" s="666"/>
      <c r="D348" s="733"/>
      <c r="E348" s="667"/>
      <c r="F348" s="703"/>
      <c r="G348" s="667"/>
      <c r="H348" s="733"/>
      <c r="I348" s="667"/>
      <c r="J348" s="667"/>
      <c r="K348" s="667"/>
      <c r="L348" s="706"/>
      <c r="M348" s="667"/>
      <c r="N348" s="700"/>
      <c r="O348" s="704"/>
      <c r="P348" s="703"/>
      <c r="Q348" s="702"/>
      <c r="R348" s="667"/>
      <c r="S348" s="726"/>
      <c r="T348" s="667"/>
      <c r="U348" s="707"/>
      <c r="V348" s="666"/>
      <c r="W348" s="730"/>
      <c r="X348" s="685"/>
      <c r="Y348" s="666"/>
      <c r="Z348" s="676"/>
      <c r="AA348" s="666"/>
      <c r="AB348" s="710"/>
      <c r="AC348" s="666"/>
      <c r="AD348" s="700"/>
      <c r="AE348" s="685"/>
      <c r="AF348" s="703"/>
      <c r="AG348" s="668"/>
      <c r="AH348" s="666"/>
      <c r="AI348" s="673"/>
      <c r="AJ348" s="666"/>
      <c r="AK348" s="711"/>
      <c r="AL348" s="666"/>
      <c r="AM348" s="730"/>
      <c r="AN348" s="685"/>
      <c r="AO348" s="666"/>
    </row>
    <row r="349" spans="1:41">
      <c r="A349" s="666" t="str">
        <f>$A$26</f>
        <v>1Q</v>
      </c>
      <c r="B349" s="684" t="str">
        <f>$B$26</f>
        <v>Apr</v>
      </c>
      <c r="C349" s="666"/>
      <c r="D349" s="733">
        <f>(S349/S342-1)*100</f>
        <v>3.7016829721870259</v>
      </c>
      <c r="E349" s="667" t="s">
        <v>1084</v>
      </c>
      <c r="F349" s="703">
        <f>+segmthSales!CZ37</f>
        <v>2</v>
      </c>
      <c r="G349" s="701" t="s">
        <v>1084</v>
      </c>
      <c r="H349" s="733">
        <f>D349-F349</f>
        <v>1.7016829721870259</v>
      </c>
      <c r="I349" s="667" t="s">
        <v>1084</v>
      </c>
      <c r="J349" s="705">
        <f>'store&amp;sf'!L161</f>
        <v>1634</v>
      </c>
      <c r="K349" s="667"/>
      <c r="L349" s="706">
        <f>AVERAGE(J349,J345)</f>
        <v>1636</v>
      </c>
      <c r="M349" s="667"/>
      <c r="N349" s="700">
        <f>(L349/L342-1)*100</f>
        <v>-0.36540803897685548</v>
      </c>
      <c r="O349" s="704" t="s">
        <v>1084</v>
      </c>
      <c r="P349" s="740" t="s">
        <v>886</v>
      </c>
      <c r="Q349" s="702" t="s">
        <v>1084</v>
      </c>
      <c r="R349" s="667"/>
      <c r="S349" s="712">
        <f>'segSales&amp;OM'!W216</f>
        <v>581.61400000000003</v>
      </c>
      <c r="T349" s="667"/>
      <c r="U349" s="707">
        <f>S349/L349</f>
        <v>0.35550977995110028</v>
      </c>
      <c r="V349" s="666"/>
      <c r="W349" s="730">
        <f>(U349/U342-1)*100</f>
        <v>4.0820069928674041</v>
      </c>
      <c r="X349" s="685" t="s">
        <v>1084</v>
      </c>
      <c r="Y349" s="666"/>
      <c r="Z349" s="820">
        <f>+'store&amp;sf'!L525</f>
        <v>4.8337499999999993</v>
      </c>
      <c r="AA349" s="666"/>
      <c r="AB349" s="710">
        <f>AVERAGE(Z349,Z345)</f>
        <v>4.8406249999999993</v>
      </c>
      <c r="AC349" s="666"/>
      <c r="AD349" s="700">
        <f>(AB349/AB342-1)*100</f>
        <v>-0.41146971840042568</v>
      </c>
      <c r="AE349" s="685" t="s">
        <v>1084</v>
      </c>
      <c r="AF349" s="703">
        <f>+H349/AD349*100</f>
        <v>-413.56213983431383</v>
      </c>
      <c r="AG349" s="668" t="s">
        <v>1084</v>
      </c>
      <c r="AH349" s="666"/>
      <c r="AI349" s="673">
        <f>+S349</f>
        <v>581.61400000000003</v>
      </c>
      <c r="AJ349" s="666"/>
      <c r="AK349" s="711">
        <f>AI349/AB349</f>
        <v>120.15266623628149</v>
      </c>
      <c r="AL349" s="666"/>
      <c r="AM349" s="730">
        <f>(AK349/AK342-1)*100</f>
        <v>4.1301469947964575</v>
      </c>
      <c r="AN349" s="685" t="s">
        <v>1084</v>
      </c>
      <c r="AO349" s="666"/>
    </row>
    <row r="350" spans="1:41">
      <c r="A350" s="666" t="str">
        <f>$A$27</f>
        <v>2Q</v>
      </c>
      <c r="B350" s="684" t="str">
        <f>$B$27</f>
        <v>Jul</v>
      </c>
      <c r="C350" s="666"/>
      <c r="D350" s="733">
        <f>(S350/S343-1)*100</f>
        <v>5.5034182070807569</v>
      </c>
      <c r="E350" s="667"/>
      <c r="F350" s="703">
        <f>+segmthSales!CZ42</f>
        <v>3</v>
      </c>
      <c r="G350" s="700"/>
      <c r="H350" s="733">
        <f>D350-F350</f>
        <v>2.5034182070807569</v>
      </c>
      <c r="I350" s="667"/>
      <c r="J350" s="705">
        <f>'store&amp;sf'!L162</f>
        <v>1640</v>
      </c>
      <c r="K350" s="667"/>
      <c r="L350" s="706">
        <f>AVERAGE(J350,J349)</f>
        <v>1637</v>
      </c>
      <c r="M350" s="667"/>
      <c r="N350" s="700">
        <f>(L350/L343-1)*100</f>
        <v>-0.30450669914737771</v>
      </c>
      <c r="O350" s="704"/>
      <c r="P350" s="740" t="s">
        <v>886</v>
      </c>
      <c r="Q350" s="702"/>
      <c r="R350" s="667"/>
      <c r="S350" s="712">
        <f>'segSales&amp;OM'!W217</f>
        <v>704.65099999999995</v>
      </c>
      <c r="T350" s="667"/>
      <c r="U350" s="713">
        <f>S350/L350</f>
        <v>0.43045265729993887</v>
      </c>
      <c r="V350" s="666"/>
      <c r="W350" s="730">
        <f>(U350/U343-1)*100</f>
        <v>5.8256644447322037</v>
      </c>
      <c r="X350" s="685"/>
      <c r="Y350" s="666"/>
      <c r="Z350" s="820">
        <f>+'store&amp;sf'!L526</f>
        <v>4.84375</v>
      </c>
      <c r="AA350" s="666"/>
      <c r="AB350" s="710">
        <f>AVERAGE(Z350,Z349)</f>
        <v>4.8387499999999992</v>
      </c>
      <c r="AC350" s="666"/>
      <c r="AD350" s="700">
        <f>(AB350/AB343-1)*100</f>
        <v>-0.32187459765675719</v>
      </c>
      <c r="AE350" s="685"/>
      <c r="AF350" s="703">
        <f>+H350/AD350*100</f>
        <v>-777.76196857583932</v>
      </c>
      <c r="AG350" s="668"/>
      <c r="AH350" s="666"/>
      <c r="AI350" s="675">
        <f>+S350</f>
        <v>704.65099999999995</v>
      </c>
      <c r="AJ350" s="666"/>
      <c r="AK350" s="714">
        <f>AI350/AB350</f>
        <v>145.62665977783519</v>
      </c>
      <c r="AL350" s="666"/>
      <c r="AM350" s="730">
        <f>(AK350/AK343-1)*100</f>
        <v>5.8441034893304433</v>
      </c>
      <c r="AN350" s="685"/>
      <c r="AO350" s="666"/>
    </row>
    <row r="351" spans="1:41">
      <c r="A351" s="666" t="str">
        <f>$A$28</f>
        <v>3Q</v>
      </c>
      <c r="B351" s="684" t="str">
        <f>$B$28</f>
        <v>Oct</v>
      </c>
      <c r="C351" s="666"/>
      <c r="D351" s="733">
        <f>(S351/S344-1)*100</f>
        <v>8.6764252620266991</v>
      </c>
      <c r="E351" s="667"/>
      <c r="F351" s="703">
        <f>+segmthSales!CZ47</f>
        <v>7</v>
      </c>
      <c r="G351" s="700"/>
      <c r="H351" s="733">
        <f>D351-F351</f>
        <v>1.6764252620266991</v>
      </c>
      <c r="I351" s="667"/>
      <c r="J351" s="705">
        <f>'store&amp;sf'!L163</f>
        <v>1649</v>
      </c>
      <c r="K351" s="667"/>
      <c r="L351" s="706">
        <f>AVERAGE(J351,J350)</f>
        <v>1644.5</v>
      </c>
      <c r="M351" s="667"/>
      <c r="N351" s="700">
        <f>(L351/L344-1)*100</f>
        <v>6.0845756008509611E-2</v>
      </c>
      <c r="O351" s="704"/>
      <c r="P351" s="740" t="s">
        <v>886</v>
      </c>
      <c r="Q351" s="702"/>
      <c r="R351" s="667"/>
      <c r="S351" s="712">
        <f>'segSales&amp;OM'!W218</f>
        <v>659.35400000000004</v>
      </c>
      <c r="T351" s="667"/>
      <c r="U351" s="713">
        <f>S351/L351</f>
        <v>0.40094496807540286</v>
      </c>
      <c r="V351" s="666"/>
      <c r="W351" s="730">
        <f>(U351/U344-1)*100</f>
        <v>8.6103404792586602</v>
      </c>
      <c r="X351" s="685"/>
      <c r="Y351" s="666"/>
      <c r="Z351" s="820">
        <f>+'store&amp;sf'!L527</f>
        <v>4.8724999999999996</v>
      </c>
      <c r="AA351" s="666"/>
      <c r="AB351" s="710">
        <f>AVERAGE(Z351,Z350)</f>
        <v>4.8581249999999994</v>
      </c>
      <c r="AC351" s="666"/>
      <c r="AD351" s="700">
        <f>(AB351/AB344-1)*100</f>
        <v>-1.2863390789819018E-2</v>
      </c>
      <c r="AE351" s="685"/>
      <c r="AF351" s="703">
        <f>+H351/AD351*100</f>
        <v>-13032.529986988646</v>
      </c>
      <c r="AG351" s="668"/>
      <c r="AH351" s="666"/>
      <c r="AI351" s="675">
        <f>+S351</f>
        <v>659.35400000000004</v>
      </c>
      <c r="AJ351" s="666"/>
      <c r="AK351" s="714">
        <f>AI351/AB351</f>
        <v>135.7219091727776</v>
      </c>
      <c r="AL351" s="666"/>
      <c r="AM351" s="730">
        <f>(AK351/AK344-1)*100</f>
        <v>8.6904065337702008</v>
      </c>
      <c r="AN351" s="685"/>
      <c r="AO351" s="666"/>
    </row>
    <row r="352" spans="1:41">
      <c r="A352" s="666" t="str">
        <f>$A$29</f>
        <v>4Q</v>
      </c>
      <c r="B352" s="684" t="str">
        <f>$B$29</f>
        <v>Jan</v>
      </c>
      <c r="C352" s="666"/>
      <c r="D352" s="732">
        <f>(S352/S345-1)*100</f>
        <v>9.4810995598890955</v>
      </c>
      <c r="E352" s="667"/>
      <c r="F352" s="717">
        <f>+segmthSales!CZ52</f>
        <v>8</v>
      </c>
      <c r="G352" s="667"/>
      <c r="H352" s="732">
        <f>D352-F352</f>
        <v>1.4810995598890955</v>
      </c>
      <c r="I352" s="667"/>
      <c r="J352" s="705">
        <f>'store&amp;sf'!L164</f>
        <v>1646</v>
      </c>
      <c r="K352" s="667"/>
      <c r="L352" s="716">
        <f>AVERAGE(J352,J351)</f>
        <v>1647.5</v>
      </c>
      <c r="M352" s="667"/>
      <c r="N352" s="715">
        <f>(L352/L345-1)*100</f>
        <v>0.36551934206519032</v>
      </c>
      <c r="O352" s="704"/>
      <c r="P352" s="1150" t="s">
        <v>886</v>
      </c>
      <c r="Q352" s="702"/>
      <c r="R352" s="667"/>
      <c r="S352" s="718">
        <f>'segSales&amp;OM'!W219</f>
        <v>1403.99</v>
      </c>
      <c r="T352" s="667"/>
      <c r="U352" s="719">
        <f>S352/L352</f>
        <v>0.85219423368740521</v>
      </c>
      <c r="V352" s="666"/>
      <c r="W352" s="720">
        <f>(U352/U345-1)*100</f>
        <v>9.0823823536011936</v>
      </c>
      <c r="X352" s="685"/>
      <c r="Y352" s="666"/>
      <c r="Z352" s="820">
        <f>+'store&amp;sf'!L528</f>
        <v>4.8649999999999993</v>
      </c>
      <c r="AA352" s="666"/>
      <c r="AB352" s="721">
        <f>AVERAGE(Z352,Z351)</f>
        <v>4.8687499999999995</v>
      </c>
      <c r="AC352" s="666"/>
      <c r="AD352" s="715">
        <f>(AB352/AB345-1)*100</f>
        <v>0.25740025740026429</v>
      </c>
      <c r="AE352" s="685"/>
      <c r="AF352" s="717">
        <f>+H352/AD352*100</f>
        <v>575.40717901689811</v>
      </c>
      <c r="AG352" s="668"/>
      <c r="AH352" s="666"/>
      <c r="AI352" s="722">
        <f>+S352</f>
        <v>1403.99</v>
      </c>
      <c r="AJ352" s="666"/>
      <c r="AK352" s="723">
        <f>AI352/AB352</f>
        <v>288.36765083440309</v>
      </c>
      <c r="AL352" s="666"/>
      <c r="AM352" s="720">
        <f>(AK352/AK345-1)*100</f>
        <v>9.2000184313655975</v>
      </c>
      <c r="AN352" s="685"/>
      <c r="AO352" s="666"/>
    </row>
    <row r="353" spans="1:41">
      <c r="A353" s="666"/>
      <c r="B353" s="684" t="str">
        <f>$B$30</f>
        <v>Year</v>
      </c>
      <c r="C353" s="666"/>
      <c r="D353" s="733">
        <f>(S353/S346-1)*100</f>
        <v>7.4328129770894646</v>
      </c>
      <c r="E353" s="666"/>
      <c r="F353" s="703">
        <f>+F349*S349/S353+F350*S350/S353+F351*S351/S353+F352*S352/S353</f>
        <v>5.709495944153482</v>
      </c>
      <c r="G353" s="667"/>
      <c r="H353" s="733">
        <f>D353-F353</f>
        <v>1.7233170329359826</v>
      </c>
      <c r="I353" s="666"/>
      <c r="J353" s="666"/>
      <c r="K353" s="666"/>
      <c r="L353" s="706">
        <f>AVERAGE(L349:L352)</f>
        <v>1641.25</v>
      </c>
      <c r="M353" s="666"/>
      <c r="N353" s="700">
        <f>(L353/L346-1)*100</f>
        <v>-6.0892068808038324E-2</v>
      </c>
      <c r="O353" s="704"/>
      <c r="P353" s="703">
        <f>H353/N353*100</f>
        <v>-2830.117397339091</v>
      </c>
      <c r="Q353" s="702"/>
      <c r="R353" s="666"/>
      <c r="S353" s="726">
        <f>SUM(S349:S352)</f>
        <v>3349.6089999999999</v>
      </c>
      <c r="T353" s="666"/>
      <c r="U353" s="707">
        <f>SUM(U349:U352)</f>
        <v>2.0391016390138472</v>
      </c>
      <c r="V353" s="666"/>
      <c r="W353" s="730">
        <f>(U353/U346-1)*100</f>
        <v>7.3933972237673951</v>
      </c>
      <c r="X353" s="685"/>
      <c r="Y353" s="666"/>
      <c r="Z353" s="666"/>
      <c r="AA353" s="666"/>
      <c r="AB353" s="710">
        <f>AVERAGE(AB349:AB352)</f>
        <v>4.8515624999999991</v>
      </c>
      <c r="AC353" s="666"/>
      <c r="AD353" s="700">
        <f>(AB353/AB346-1)*100</f>
        <v>-0.12223365928977215</v>
      </c>
      <c r="AE353" s="685"/>
      <c r="AF353" s="703">
        <f>+H353/AD353*100</f>
        <v>-1409.8547347344124</v>
      </c>
      <c r="AG353" s="668"/>
      <c r="AH353" s="666"/>
      <c r="AI353" s="673">
        <f>SUM(AI349:AI352)</f>
        <v>3349.6089999999999</v>
      </c>
      <c r="AJ353" s="666"/>
      <c r="AK353" s="711">
        <f>SUM(AK349:AK352)</f>
        <v>689.86888602129739</v>
      </c>
      <c r="AL353" s="666"/>
      <c r="AM353" s="730">
        <f>(AK353/AK346-1)*100</f>
        <v>7.4702603412627022</v>
      </c>
      <c r="AN353" s="685"/>
      <c r="AO353" s="666"/>
    </row>
    <row r="354" spans="1:41">
      <c r="A354" s="666"/>
      <c r="B354" s="684"/>
      <c r="C354" s="666"/>
      <c r="D354" s="733"/>
      <c r="E354" s="666"/>
      <c r="F354" s="703"/>
      <c r="G354" s="667"/>
      <c r="H354" s="733"/>
      <c r="I354" s="666"/>
      <c r="J354" s="666"/>
      <c r="K354" s="666"/>
      <c r="L354" s="706"/>
      <c r="M354" s="666"/>
      <c r="N354" s="700"/>
      <c r="O354" s="704"/>
      <c r="P354" s="703"/>
      <c r="Q354" s="702"/>
      <c r="R354" s="666"/>
      <c r="S354" s="726"/>
      <c r="T354" s="666"/>
      <c r="U354" s="707"/>
      <c r="V354" s="666"/>
      <c r="W354" s="730"/>
      <c r="X354" s="685"/>
      <c r="Y354" s="666"/>
      <c r="Z354" s="666"/>
      <c r="AA354" s="666"/>
      <c r="AB354" s="710"/>
      <c r="AC354" s="666"/>
      <c r="AD354" s="700"/>
      <c r="AE354" s="685"/>
      <c r="AF354" s="703"/>
      <c r="AG354" s="668"/>
      <c r="AH354" s="666"/>
      <c r="AI354" s="673"/>
      <c r="AJ354" s="666"/>
      <c r="AK354" s="711"/>
      <c r="AL354" s="666"/>
      <c r="AM354" s="730"/>
      <c r="AN354" s="685"/>
      <c r="AO354" s="666"/>
    </row>
    <row r="355" spans="1:41">
      <c r="A355" s="698"/>
      <c r="B355" s="728">
        <f>B348+1</f>
        <v>2015</v>
      </c>
      <c r="C355" s="666"/>
      <c r="D355" s="733"/>
      <c r="E355" s="667"/>
      <c r="F355" s="703"/>
      <c r="G355" s="667"/>
      <c r="H355" s="733"/>
      <c r="I355" s="667"/>
      <c r="J355" s="667"/>
      <c r="K355" s="667"/>
      <c r="L355" s="706"/>
      <c r="M355" s="667"/>
      <c r="N355" s="700"/>
      <c r="O355" s="704"/>
      <c r="P355" s="703"/>
      <c r="Q355" s="702"/>
      <c r="R355" s="667"/>
      <c r="S355" s="726"/>
      <c r="T355" s="667"/>
      <c r="U355" s="707"/>
      <c r="V355" s="666"/>
      <c r="W355" s="730"/>
      <c r="X355" s="685"/>
      <c r="Y355" s="666"/>
      <c r="Z355" s="676"/>
      <c r="AA355" s="666"/>
      <c r="AB355" s="710"/>
      <c r="AC355" s="666"/>
      <c r="AD355" s="700"/>
      <c r="AE355" s="685"/>
      <c r="AF355" s="703"/>
      <c r="AG355" s="668"/>
      <c r="AH355" s="666"/>
      <c r="AI355" s="673"/>
      <c r="AJ355" s="666"/>
      <c r="AK355" s="711"/>
      <c r="AL355" s="666"/>
      <c r="AM355" s="730"/>
      <c r="AN355" s="685"/>
      <c r="AO355" s="666"/>
    </row>
    <row r="356" spans="1:41">
      <c r="A356" s="666" t="str">
        <f>$A$26</f>
        <v>1Q</v>
      </c>
      <c r="B356" s="684" t="str">
        <f>$B$26</f>
        <v>Apr</v>
      </c>
      <c r="C356" s="666"/>
      <c r="D356" s="733">
        <f>(S356/S349-1)*100</f>
        <v>5.4525853916858935</v>
      </c>
      <c r="E356" s="667" t="s">
        <v>1084</v>
      </c>
      <c r="F356" s="703">
        <f>segmthSales!DD37</f>
        <v>4</v>
      </c>
      <c r="G356" s="701" t="s">
        <v>1084</v>
      </c>
      <c r="H356" s="733">
        <f>D356-F356</f>
        <v>1.4525853916858935</v>
      </c>
      <c r="I356" s="667" t="s">
        <v>1084</v>
      </c>
      <c r="J356" s="705">
        <f>'store&amp;sf'!L167</f>
        <v>1648</v>
      </c>
      <c r="K356" s="667"/>
      <c r="L356" s="706">
        <f>AVERAGE(J356,J352)</f>
        <v>1647</v>
      </c>
      <c r="M356" s="667"/>
      <c r="N356" s="700">
        <f>(L356/L349-1)*100</f>
        <v>0.6723716381417999</v>
      </c>
      <c r="O356" s="704" t="s">
        <v>1084</v>
      </c>
      <c r="P356" s="740" t="s">
        <v>886</v>
      </c>
      <c r="Q356" s="702" t="s">
        <v>1084</v>
      </c>
      <c r="R356" s="667"/>
      <c r="S356" s="673">
        <f>'segSales&amp;OM'!W223</f>
        <v>613.327</v>
      </c>
      <c r="T356" s="667"/>
      <c r="U356" s="707">
        <f>S356/L356</f>
        <v>0.37239040680024288</v>
      </c>
      <c r="V356" s="666"/>
      <c r="W356" s="730">
        <f>(U356/U349-1)*100</f>
        <v>4.7482876143279285</v>
      </c>
      <c r="X356" s="685" t="s">
        <v>1084</v>
      </c>
      <c r="Y356" s="666"/>
      <c r="Z356" s="820">
        <f>+'store&amp;sf'!L531</f>
        <v>4.8762499999999998</v>
      </c>
      <c r="AA356" s="666"/>
      <c r="AB356" s="710">
        <f>AVERAGE(Z356,Z352)</f>
        <v>4.8706249999999995</v>
      </c>
      <c r="AC356" s="666"/>
      <c r="AD356" s="700">
        <f>(AB356/AB349-1)*100</f>
        <v>0.61975468043899973</v>
      </c>
      <c r="AE356" s="685" t="s">
        <v>1084</v>
      </c>
      <c r="AF356" s="703">
        <f>+H356/AD356*100</f>
        <v>234.38070538764836</v>
      </c>
      <c r="AG356" s="668" t="s">
        <v>1084</v>
      </c>
      <c r="AH356" s="666"/>
      <c r="AI356" s="673">
        <f>+S356</f>
        <v>613.327</v>
      </c>
      <c r="AJ356" s="666"/>
      <c r="AK356" s="711">
        <f>AI356/AB356</f>
        <v>125.92367509303222</v>
      </c>
      <c r="AL356" s="666"/>
      <c r="AM356" s="730">
        <f>(AK356/AK349-1)*100</f>
        <v>4.8030635003987188</v>
      </c>
      <c r="AN356" s="685" t="s">
        <v>1084</v>
      </c>
      <c r="AO356" s="666"/>
    </row>
    <row r="357" spans="1:41">
      <c r="A357" s="666" t="str">
        <f>$A$27</f>
        <v>2Q</v>
      </c>
      <c r="B357" s="684" t="str">
        <f>$B$27</f>
        <v>Jul</v>
      </c>
      <c r="C357" s="666"/>
      <c r="D357" s="733">
        <f>(S357/S350-1)*100</f>
        <v>6.1752555520392605</v>
      </c>
      <c r="E357" s="667"/>
      <c r="F357" s="703">
        <f>segmthSales!DD42</f>
        <v>5</v>
      </c>
      <c r="G357" s="700"/>
      <c r="H357" s="733">
        <f>D357-F357</f>
        <v>1.1752555520392605</v>
      </c>
      <c r="I357" s="667"/>
      <c r="J357" s="705">
        <f>'store&amp;sf'!L168</f>
        <v>1656</v>
      </c>
      <c r="K357" s="667"/>
      <c r="L357" s="706">
        <f>AVERAGE(J357,J356)</f>
        <v>1652</v>
      </c>
      <c r="M357" s="667"/>
      <c r="N357" s="700">
        <f>(L357/L350-1)*100</f>
        <v>0.91631032376298105</v>
      </c>
      <c r="O357" s="704"/>
      <c r="P357" s="740" t="s">
        <v>886</v>
      </c>
      <c r="Q357" s="702"/>
      <c r="R357" s="667"/>
      <c r="S357" s="712">
        <f>'segSales&amp;OM'!W224</f>
        <v>748.16500000000008</v>
      </c>
      <c r="T357" s="667"/>
      <c r="U357" s="713">
        <f>S357/L357</f>
        <v>0.45288438256658603</v>
      </c>
      <c r="V357" s="666"/>
      <c r="W357" s="730">
        <f>(U357/U350-1)*100</f>
        <v>5.2111945149444727</v>
      </c>
      <c r="X357" s="685"/>
      <c r="Y357" s="666"/>
      <c r="Z357" s="820">
        <f>+'store&amp;sf'!L532</f>
        <v>4.9012500000000001</v>
      </c>
      <c r="AA357" s="666"/>
      <c r="AB357" s="710">
        <f>AVERAGE(Z357,Z356)</f>
        <v>4.8887499999999999</v>
      </c>
      <c r="AC357" s="666"/>
      <c r="AD357" s="700">
        <f>(AB357/AB350-1)*100</f>
        <v>1.0333247222940045</v>
      </c>
      <c r="AE357" s="685"/>
      <c r="AF357" s="703">
        <f>+H357/AD357*100</f>
        <v>113.73535604859684</v>
      </c>
      <c r="AG357" s="668"/>
      <c r="AH357" s="666"/>
      <c r="AI357" s="675">
        <f>+S357</f>
        <v>748.16500000000008</v>
      </c>
      <c r="AJ357" s="666"/>
      <c r="AK357" s="714">
        <f>AI357/AB357</f>
        <v>153.03809767322937</v>
      </c>
      <c r="AL357" s="666"/>
      <c r="AM357" s="730">
        <f>(AK357/AK350-1)*100</f>
        <v>5.0893414067869847</v>
      </c>
      <c r="AN357" s="685"/>
      <c r="AO357" s="666"/>
    </row>
    <row r="358" spans="1:41">
      <c r="A358" s="666" t="str">
        <f>$A$28</f>
        <v>3Q</v>
      </c>
      <c r="B358" s="684" t="str">
        <f>$B$28</f>
        <v>Oct</v>
      </c>
      <c r="C358" s="666"/>
      <c r="D358" s="733">
        <f>(S358/S351-1)*100</f>
        <v>6.9980617392174649</v>
      </c>
      <c r="E358" s="667"/>
      <c r="F358" s="703">
        <f>segmthSales!DD47</f>
        <v>6</v>
      </c>
      <c r="G358" s="700"/>
      <c r="H358" s="733">
        <f>D358-F358</f>
        <v>0.99806173921746488</v>
      </c>
      <c r="I358" s="667"/>
      <c r="J358" s="705">
        <f>'store&amp;sf'!L169</f>
        <v>1671</v>
      </c>
      <c r="K358" s="667"/>
      <c r="L358" s="706">
        <f>AVERAGE(J358,J357)</f>
        <v>1663.5</v>
      </c>
      <c r="M358" s="667"/>
      <c r="N358" s="700">
        <f>(L358/L351-1)*100</f>
        <v>1.1553663727576824</v>
      </c>
      <c r="O358" s="704"/>
      <c r="P358" s="740" t="s">
        <v>886</v>
      </c>
      <c r="Q358" s="702"/>
      <c r="R358" s="667"/>
      <c r="S358" s="712">
        <f>'segSales&amp;OM'!W225</f>
        <v>705.49599999999998</v>
      </c>
      <c r="T358" s="667"/>
      <c r="U358" s="713">
        <f>S358/L358</f>
        <v>0.42410339645326117</v>
      </c>
      <c r="V358" s="666"/>
      <c r="W358" s="730">
        <f>(U358/U351-1)*100</f>
        <v>5.7759618455925033</v>
      </c>
      <c r="X358" s="685"/>
      <c r="Y358" s="666"/>
      <c r="Z358" s="820">
        <f>+'store&amp;sf'!L533</f>
        <v>4.9712499999999995</v>
      </c>
      <c r="AA358" s="666"/>
      <c r="AB358" s="710">
        <f>AVERAGE(Z358,Z357)</f>
        <v>4.9362499999999994</v>
      </c>
      <c r="AC358" s="666"/>
      <c r="AD358" s="700">
        <f>(AB358/AB351-1)*100</f>
        <v>1.6081307088640084</v>
      </c>
      <c r="AE358" s="685"/>
      <c r="AF358" s="703">
        <f>+H358/AD358*100</f>
        <v>62.06347119149914</v>
      </c>
      <c r="AG358" s="668"/>
      <c r="AH358" s="666"/>
      <c r="AI358" s="675">
        <f>+S358</f>
        <v>705.49599999999998</v>
      </c>
      <c r="AJ358" s="666"/>
      <c r="AK358" s="714">
        <f>AI358/AB358</f>
        <v>142.9214484679666</v>
      </c>
      <c r="AL358" s="666"/>
      <c r="AM358" s="730">
        <f>(AK358/AK351-1)*100</f>
        <v>5.304625715236444</v>
      </c>
      <c r="AN358" s="685"/>
      <c r="AO358" s="666"/>
    </row>
    <row r="359" spans="1:41">
      <c r="A359" s="666" t="str">
        <f>$A$29</f>
        <v>4Q</v>
      </c>
      <c r="B359" s="684" t="str">
        <f>$B$29</f>
        <v>Jan</v>
      </c>
      <c r="C359" s="666"/>
      <c r="D359" s="732">
        <f>(S359/S352-1)*100</f>
        <v>8.232466043205422</v>
      </c>
      <c r="E359" s="667"/>
      <c r="F359" s="717">
        <f>segmthSales!DD52</f>
        <v>6</v>
      </c>
      <c r="G359" s="667"/>
      <c r="H359" s="732">
        <f>D359-F359</f>
        <v>2.232466043205422</v>
      </c>
      <c r="I359" s="667"/>
      <c r="J359" s="705">
        <f>'store&amp;sf'!L170</f>
        <v>1672</v>
      </c>
      <c r="K359" s="667"/>
      <c r="L359" s="716">
        <f>AVERAGE(J359,J358)</f>
        <v>1671.5</v>
      </c>
      <c r="M359" s="667"/>
      <c r="N359" s="715">
        <f>(L359/L352-1)*100</f>
        <v>1.4567526555386845</v>
      </c>
      <c r="O359" s="704"/>
      <c r="P359" s="1150" t="s">
        <v>886</v>
      </c>
      <c r="Q359" s="702"/>
      <c r="R359" s="667"/>
      <c r="S359" s="718">
        <f>'segSales&amp;OM'!W226</f>
        <v>1519.5729999999999</v>
      </c>
      <c r="T359" s="667"/>
      <c r="U359" s="719">
        <f>S359/L359</f>
        <v>0.90910738857313778</v>
      </c>
      <c r="V359" s="666"/>
      <c r="W359" s="720">
        <f>(U359/U352-1)*100</f>
        <v>6.6784252504821451</v>
      </c>
      <c r="X359" s="685"/>
      <c r="Y359" s="666"/>
      <c r="Z359" s="820">
        <f>+'store&amp;sf'!L534</f>
        <v>4.9887499999999996</v>
      </c>
      <c r="AA359" s="666"/>
      <c r="AB359" s="721">
        <f>AVERAGE(Z359,Z358)</f>
        <v>4.9799999999999995</v>
      </c>
      <c r="AC359" s="666"/>
      <c r="AD359" s="715">
        <f>(AB359/AB352-1)*100</f>
        <v>2.2849807445442849</v>
      </c>
      <c r="AE359" s="685"/>
      <c r="AF359" s="717">
        <f>+H359/AD359*100</f>
        <v>97.701744250394711</v>
      </c>
      <c r="AG359" s="668"/>
      <c r="AH359" s="666"/>
      <c r="AI359" s="722">
        <f>+S359</f>
        <v>1519.5729999999999</v>
      </c>
      <c r="AJ359" s="666"/>
      <c r="AK359" s="723">
        <f>AI359/AB359</f>
        <v>305.13514056224898</v>
      </c>
      <c r="AL359" s="666"/>
      <c r="AM359" s="720">
        <f>(AK359/AK352-1)*100</f>
        <v>5.8146222987663476</v>
      </c>
      <c r="AN359" s="685"/>
      <c r="AO359" s="666"/>
    </row>
    <row r="360" spans="1:41">
      <c r="A360" s="666"/>
      <c r="B360" s="684" t="str">
        <f>$B$30</f>
        <v>Year</v>
      </c>
      <c r="C360" s="666"/>
      <c r="D360" s="733">
        <f>(S360/S353-1)*100</f>
        <v>7.0740196840885172</v>
      </c>
      <c r="E360" s="666"/>
      <c r="F360" s="703">
        <f>+F356*S356/S360+F357*S357/S360+F358*S358/S360+F359*S359/S360</f>
        <v>5.4493836853743733</v>
      </c>
      <c r="G360" s="667"/>
      <c r="H360" s="733">
        <f>D360-F360</f>
        <v>1.6246359987141439</v>
      </c>
      <c r="I360" s="666"/>
      <c r="J360" s="666"/>
      <c r="K360" s="666"/>
      <c r="L360" s="706">
        <f>AVERAGE(L356:L359)</f>
        <v>1658.5</v>
      </c>
      <c r="M360" s="666"/>
      <c r="N360" s="700">
        <f>(L360/L353-1)*100</f>
        <v>1.0510281797410537</v>
      </c>
      <c r="O360" s="704"/>
      <c r="P360" s="703">
        <f>H360/N360*100</f>
        <v>154.57587437041053</v>
      </c>
      <c r="Q360" s="702"/>
      <c r="R360" s="666"/>
      <c r="S360" s="726">
        <f>SUM(S356:S359)</f>
        <v>3586.5610000000001</v>
      </c>
      <c r="T360" s="666"/>
      <c r="U360" s="707">
        <f>SUM(U356:U359)</f>
        <v>2.1584855743932279</v>
      </c>
      <c r="V360" s="666"/>
      <c r="W360" s="730">
        <f>(U360/U353-1)*100</f>
        <v>5.854731961135462</v>
      </c>
      <c r="X360" s="685"/>
      <c r="Y360" s="666"/>
      <c r="Z360" s="666"/>
      <c r="AA360" s="666"/>
      <c r="AB360" s="710">
        <f>AVERAGE(AB356:AB359)</f>
        <v>4.9189062499999991</v>
      </c>
      <c r="AC360" s="666"/>
      <c r="AD360" s="700">
        <f>(AB360/AB353-1)*100</f>
        <v>1.3880837359098175</v>
      </c>
      <c r="AE360" s="685"/>
      <c r="AF360" s="703">
        <f>+H360/AD360*100</f>
        <v>117.04164213474331</v>
      </c>
      <c r="AG360" s="668"/>
      <c r="AH360" s="666"/>
      <c r="AI360" s="673">
        <f>SUM(AI356:AI359)</f>
        <v>3586.5610000000001</v>
      </c>
      <c r="AJ360" s="666"/>
      <c r="AK360" s="711">
        <f>SUM(AK356:AK359)</f>
        <v>727.01836179647717</v>
      </c>
      <c r="AL360" s="666"/>
      <c r="AM360" s="730">
        <f>(AK360/AK353-1)*100</f>
        <v>5.3850052564963669</v>
      </c>
      <c r="AN360" s="685"/>
      <c r="AO360" s="666"/>
    </row>
    <row r="361" spans="1:41">
      <c r="A361" s="666"/>
      <c r="B361" s="684"/>
      <c r="C361" s="666"/>
      <c r="D361" s="733"/>
      <c r="E361" s="666"/>
      <c r="F361" s="703"/>
      <c r="G361" s="667"/>
      <c r="H361" s="733"/>
      <c r="I361" s="666"/>
      <c r="J361" s="666"/>
      <c r="K361" s="666"/>
      <c r="L361" s="706"/>
      <c r="M361" s="666"/>
      <c r="N361" s="700"/>
      <c r="O361" s="704"/>
      <c r="P361" s="703"/>
      <c r="Q361" s="702"/>
      <c r="R361" s="666"/>
      <c r="S361" s="726"/>
      <c r="T361" s="666"/>
      <c r="U361" s="707"/>
      <c r="V361" s="666"/>
      <c r="W361" s="730"/>
      <c r="X361" s="685"/>
      <c r="Y361" s="666"/>
      <c r="Z361" s="666"/>
      <c r="AA361" s="666"/>
      <c r="AB361" s="710"/>
      <c r="AC361" s="666"/>
      <c r="AD361" s="700"/>
      <c r="AE361" s="685"/>
      <c r="AF361" s="703"/>
      <c r="AG361" s="668"/>
      <c r="AH361" s="666"/>
      <c r="AI361" s="673"/>
      <c r="AJ361" s="666"/>
      <c r="AK361" s="711"/>
      <c r="AL361" s="666"/>
      <c r="AM361" s="730"/>
      <c r="AN361" s="685"/>
      <c r="AO361" s="666"/>
    </row>
    <row r="362" spans="1:41">
      <c r="A362" s="698"/>
      <c r="B362" s="728">
        <f>B355+1</f>
        <v>2016</v>
      </c>
      <c r="C362" s="666"/>
      <c r="D362" s="733"/>
      <c r="E362" s="667"/>
      <c r="F362" s="703"/>
      <c r="G362" s="667"/>
      <c r="H362" s="733"/>
      <c r="I362" s="667"/>
      <c r="J362" s="667"/>
      <c r="K362" s="667"/>
      <c r="L362" s="706"/>
      <c r="M362" s="667"/>
      <c r="N362" s="700"/>
      <c r="O362" s="704"/>
      <c r="P362" s="703"/>
      <c r="Q362" s="702"/>
      <c r="R362" s="667"/>
      <c r="S362" s="726"/>
      <c r="T362" s="667"/>
      <c r="U362" s="707"/>
      <c r="V362" s="666"/>
      <c r="W362" s="730"/>
      <c r="X362" s="685"/>
      <c r="Y362" s="666"/>
      <c r="Z362" s="676"/>
      <c r="AA362" s="666"/>
      <c r="AB362" s="710"/>
      <c r="AC362" s="666"/>
      <c r="AD362" s="700"/>
      <c r="AE362" s="685"/>
      <c r="AF362" s="703"/>
      <c r="AG362" s="668"/>
      <c r="AH362" s="666"/>
      <c r="AI362" s="673"/>
      <c r="AJ362" s="666"/>
      <c r="AK362" s="711"/>
      <c r="AL362" s="666"/>
      <c r="AM362" s="730"/>
      <c r="AN362" s="685"/>
      <c r="AO362" s="666"/>
    </row>
    <row r="363" spans="1:41">
      <c r="A363" s="666" t="str">
        <f>$A$26</f>
        <v>1Q</v>
      </c>
      <c r="B363" s="684" t="str">
        <f>$B$26</f>
        <v>Apr</v>
      </c>
      <c r="C363" s="666"/>
      <c r="D363" s="733">
        <f>(S363/S356-1)*100</f>
        <v>7.6492637695715571</v>
      </c>
      <c r="E363" s="667" t="s">
        <v>1084</v>
      </c>
      <c r="F363" s="703">
        <f>segmthSales!DI37</f>
        <v>4</v>
      </c>
      <c r="G363" s="701" t="s">
        <v>1084</v>
      </c>
      <c r="H363" s="733">
        <f>D363-F363</f>
        <v>3.6492637695715571</v>
      </c>
      <c r="I363" s="667" t="s">
        <v>1084</v>
      </c>
      <c r="J363" s="705">
        <f>'store&amp;sf'!L173</f>
        <v>1675</v>
      </c>
      <c r="K363" s="667"/>
      <c r="L363" s="706">
        <f>AVERAGE(J363,J359)</f>
        <v>1673.5</v>
      </c>
      <c r="M363" s="667"/>
      <c r="N363" s="700">
        <f>(L363/L356-1)*100</f>
        <v>1.6089860352155538</v>
      </c>
      <c r="O363" s="704" t="s">
        <v>1084</v>
      </c>
      <c r="P363" s="740" t="s">
        <v>886</v>
      </c>
      <c r="Q363" s="702" t="s">
        <v>1084</v>
      </c>
      <c r="R363" s="667"/>
      <c r="S363" s="673">
        <f>'segSales&amp;OM'!W230</f>
        <v>660.24200000000008</v>
      </c>
      <c r="T363" s="667"/>
      <c r="U363" s="707">
        <f>S363/L363</f>
        <v>0.3945276366895728</v>
      </c>
      <c r="V363" s="666"/>
      <c r="W363" s="730">
        <f>(U363/U356-1)*100</f>
        <v>5.944629476238017</v>
      </c>
      <c r="X363" s="685" t="s">
        <v>1084</v>
      </c>
      <c r="Y363" s="666"/>
      <c r="Z363" s="820">
        <f>+'store&amp;sf'!L537</f>
        <v>5.004999999999999</v>
      </c>
      <c r="AA363" s="666"/>
      <c r="AB363" s="710">
        <f>AVERAGE(Z363,Z359)</f>
        <v>4.9968749999999993</v>
      </c>
      <c r="AC363" s="666"/>
      <c r="AD363" s="700">
        <f>(AB363/AB356-1)*100</f>
        <v>2.5920698062363634</v>
      </c>
      <c r="AE363" s="685" t="s">
        <v>1084</v>
      </c>
      <c r="AF363" s="703">
        <f>+H363/AD363*100</f>
        <v>140.78570572411471</v>
      </c>
      <c r="AG363" s="668" t="s">
        <v>1084</v>
      </c>
      <c r="AH363" s="666"/>
      <c r="AI363" s="673">
        <f>+S363</f>
        <v>660.24200000000008</v>
      </c>
      <c r="AJ363" s="666"/>
      <c r="AK363" s="711">
        <f>AI363/AB363</f>
        <v>132.13098186366483</v>
      </c>
      <c r="AL363" s="666"/>
      <c r="AM363" s="730">
        <f>(AK363/AK356-1)*100</f>
        <v>4.9294199570070196</v>
      </c>
      <c r="AN363" s="685" t="s">
        <v>1084</v>
      </c>
      <c r="AO363" s="666"/>
    </row>
    <row r="364" spans="1:41">
      <c r="A364" s="666" t="str">
        <f>$A$27</f>
        <v>2Q</v>
      </c>
      <c r="B364" s="684" t="str">
        <f>$B$27</f>
        <v>Jul</v>
      </c>
      <c r="C364" s="666"/>
      <c r="D364" s="733">
        <f>(S364/S357-1)*100</f>
        <v>7.1154090341034149</v>
      </c>
      <c r="E364" s="667"/>
      <c r="F364" s="703">
        <f>segmthSales!DI42</f>
        <v>3</v>
      </c>
      <c r="G364" s="700"/>
      <c r="H364" s="733">
        <f>D364-F364</f>
        <v>4.1154090341034149</v>
      </c>
      <c r="I364" s="667"/>
      <c r="J364" s="705">
        <f>'store&amp;sf'!L174</f>
        <v>1685</v>
      </c>
      <c r="K364" s="667"/>
      <c r="L364" s="706">
        <f>AVERAGE(J364,J363)</f>
        <v>1680</v>
      </c>
      <c r="M364" s="667"/>
      <c r="N364" s="700">
        <f>(L364/L357-1)*100</f>
        <v>1.6949152542372836</v>
      </c>
      <c r="O364" s="704"/>
      <c r="P364" s="740" t="s">
        <v>886</v>
      </c>
      <c r="Q364" s="702"/>
      <c r="R364" s="667"/>
      <c r="S364" s="712">
        <f>'segSales&amp;OM'!W231</f>
        <v>801.4</v>
      </c>
      <c r="T364" s="667"/>
      <c r="U364" s="713">
        <f>S364/L364</f>
        <v>0.47702380952380952</v>
      </c>
      <c r="V364" s="666"/>
      <c r="W364" s="730">
        <f>(U364/U357-1)*100</f>
        <v>5.3301522168683668</v>
      </c>
      <c r="X364" s="685"/>
      <c r="Y364" s="666"/>
      <c r="Z364" s="820">
        <f>+'store&amp;sf'!L538</f>
        <v>5.0812499999999998</v>
      </c>
      <c r="AA364" s="666"/>
      <c r="AB364" s="710">
        <f>AVERAGE(Z364,Z363)</f>
        <v>5.0431249999999999</v>
      </c>
      <c r="AC364" s="666"/>
      <c r="AD364" s="700">
        <f>(AB364/AB357-1)*100</f>
        <v>3.1577601636410213</v>
      </c>
      <c r="AE364" s="685"/>
      <c r="AF364" s="703">
        <f>+H364/AD364*100</f>
        <v>130.32683993828672</v>
      </c>
      <c r="AG364" s="668"/>
      <c r="AH364" s="666"/>
      <c r="AI364" s="675">
        <f>+S364</f>
        <v>801.4</v>
      </c>
      <c r="AJ364" s="666"/>
      <c r="AK364" s="714">
        <f>AI364/AB364</f>
        <v>158.90940637005824</v>
      </c>
      <c r="AL364" s="666"/>
      <c r="AM364" s="730">
        <f>(AK364/AK357-1)*100</f>
        <v>3.8365013588743224</v>
      </c>
      <c r="AN364" s="685"/>
      <c r="AO364" s="666"/>
    </row>
    <row r="365" spans="1:41">
      <c r="A365" s="666" t="str">
        <f>$A$28</f>
        <v>3Q</v>
      </c>
      <c r="B365" s="684" t="str">
        <f>$B$28</f>
        <v>Oct</v>
      </c>
      <c r="C365" s="666"/>
      <c r="D365" s="733">
        <f>(S365/S358-1)*100</f>
        <v>9.1677344733350772</v>
      </c>
      <c r="E365" s="667"/>
      <c r="F365" s="703">
        <f>segmthSales!DI47</f>
        <v>5</v>
      </c>
      <c r="G365" s="700"/>
      <c r="H365" s="733">
        <f>D365-F365</f>
        <v>4.1677344733350772</v>
      </c>
      <c r="I365" s="667"/>
      <c r="J365" s="705">
        <f>'store&amp;sf'!L175</f>
        <v>1694</v>
      </c>
      <c r="K365" s="667"/>
      <c r="L365" s="706">
        <f>AVERAGE(J365,J364)</f>
        <v>1689.5</v>
      </c>
      <c r="M365" s="667"/>
      <c r="N365" s="700">
        <f>(L365/L358-1)*100</f>
        <v>1.5629696423204109</v>
      </c>
      <c r="O365" s="704"/>
      <c r="P365" s="740" t="s">
        <v>886</v>
      </c>
      <c r="Q365" s="702"/>
      <c r="R365" s="667"/>
      <c r="S365" s="712">
        <f>'segSales&amp;OM'!W232</f>
        <v>770.17399999999998</v>
      </c>
      <c r="T365" s="667"/>
      <c r="U365" s="713">
        <f>S365/L365</f>
        <v>0.4558591299200947</v>
      </c>
      <c r="V365" s="666"/>
      <c r="W365" s="730">
        <f>(U365/U358-1)*100</f>
        <v>7.4877338244409009</v>
      </c>
      <c r="X365" s="685"/>
      <c r="Y365" s="666"/>
      <c r="Z365" s="820">
        <f>+'store&amp;sf'!L539</f>
        <v>5.18</v>
      </c>
      <c r="AA365" s="666"/>
      <c r="AB365" s="710">
        <f>AVERAGE(Z365,Z364)</f>
        <v>5.1306250000000002</v>
      </c>
      <c r="AC365" s="666"/>
      <c r="AD365" s="700">
        <f>(AB365/AB358-1)*100</f>
        <v>3.9377057482907318</v>
      </c>
      <c r="AE365" s="685"/>
      <c r="AF365" s="703">
        <f>+H365/AD365*100</f>
        <v>105.84169411704254</v>
      </c>
      <c r="AG365" s="668"/>
      <c r="AH365" s="666"/>
      <c r="AI365" s="675">
        <f>+S365</f>
        <v>770.17399999999998</v>
      </c>
      <c r="AJ365" s="666"/>
      <c r="AK365" s="714">
        <f>AI365/AB365</f>
        <v>150.11309538311608</v>
      </c>
      <c r="AL365" s="666"/>
      <c r="AM365" s="730">
        <f>(AK365/AK358-1)*100</f>
        <v>5.0318877902789882</v>
      </c>
      <c r="AN365" s="685"/>
      <c r="AO365" s="666"/>
    </row>
    <row r="366" spans="1:41">
      <c r="A366" s="666" t="str">
        <f>$A$29</f>
        <v>4Q</v>
      </c>
      <c r="B366" s="684" t="str">
        <f>$B$29</f>
        <v>Jan</v>
      </c>
      <c r="C366" s="666"/>
      <c r="D366" s="732">
        <f>(S366/S359-1)*100</f>
        <v>6.6023152556672127</v>
      </c>
      <c r="E366" s="667"/>
      <c r="F366" s="717">
        <f>segmthSales!DI52</f>
        <v>2</v>
      </c>
      <c r="G366" s="667"/>
      <c r="H366" s="732">
        <f>D366-F366</f>
        <v>4.6023152556672127</v>
      </c>
      <c r="I366" s="667"/>
      <c r="J366" s="705">
        <f>'store&amp;sf'!L176</f>
        <v>1693</v>
      </c>
      <c r="K366" s="667"/>
      <c r="L366" s="716">
        <f>AVERAGE(J366,J365)</f>
        <v>1693.5</v>
      </c>
      <c r="M366" s="667"/>
      <c r="N366" s="715">
        <f>(L366/L359-1)*100</f>
        <v>1.316183069099619</v>
      </c>
      <c r="O366" s="704"/>
      <c r="P366" s="1150" t="s">
        <v>886</v>
      </c>
      <c r="Q366" s="702"/>
      <c r="R366" s="667"/>
      <c r="S366" s="718">
        <f>'segSales&amp;OM'!W233</f>
        <v>1619.8999999999999</v>
      </c>
      <c r="T366" s="667"/>
      <c r="U366" s="719">
        <f>S366/L366</f>
        <v>0.95653971065839971</v>
      </c>
      <c r="V366" s="666"/>
      <c r="W366" s="720">
        <f>(U366/U359-1)*100</f>
        <v>5.2174608502201236</v>
      </c>
      <c r="X366" s="685"/>
      <c r="Y366" s="666"/>
      <c r="Z366" s="820">
        <f>+'store&amp;sf'!L540</f>
        <v>5.2062499999999998</v>
      </c>
      <c r="AA366" s="666"/>
      <c r="AB366" s="721">
        <f>AVERAGE(Z366,Z365)</f>
        <v>5.1931250000000002</v>
      </c>
      <c r="AC366" s="666"/>
      <c r="AD366" s="715">
        <f>(AB366/AB359-1)*100</f>
        <v>4.2796184738955967</v>
      </c>
      <c r="AE366" s="685"/>
      <c r="AF366" s="717">
        <f>+H366/AD366*100</f>
        <v>107.54031658990095</v>
      </c>
      <c r="AG366" s="668"/>
      <c r="AH366" s="666"/>
      <c r="AI366" s="722">
        <f>+S366</f>
        <v>1619.8999999999999</v>
      </c>
      <c r="AJ366" s="666"/>
      <c r="AK366" s="723">
        <f>AI366/AB366</f>
        <v>311.93164038993859</v>
      </c>
      <c r="AL366" s="666"/>
      <c r="AM366" s="720">
        <f>(AK366/AK359-1)*100</f>
        <v>2.2273736860219495</v>
      </c>
      <c r="AN366" s="685"/>
      <c r="AO366" s="666"/>
    </row>
    <row r="367" spans="1:41">
      <c r="A367" s="666"/>
      <c r="B367" s="684" t="str">
        <f>$B$30</f>
        <v>Year</v>
      </c>
      <c r="C367" s="666"/>
      <c r="D367" s="733">
        <f>(S367/S360-1)*100</f>
        <v>7.3930152031430385</v>
      </c>
      <c r="E367" s="666"/>
      <c r="F367" s="703">
        <f>+F363*S363/S367+F364*S364/S367+F365*S365/S367+F366*S366/S367</f>
        <v>3.1507613749300316</v>
      </c>
      <c r="G367" s="667"/>
      <c r="H367" s="733">
        <f>D367-F367</f>
        <v>4.2422538282130073</v>
      </c>
      <c r="I367" s="666"/>
      <c r="J367" s="666"/>
      <c r="K367" s="666"/>
      <c r="L367" s="706">
        <f>AVERAGE(L363:L366)</f>
        <v>1684.125</v>
      </c>
      <c r="M367" s="666"/>
      <c r="N367" s="700">
        <f>(L367/L360-1)*100</f>
        <v>1.545070847151031</v>
      </c>
      <c r="O367" s="704"/>
      <c r="P367" s="703">
        <f>H367/N367*100</f>
        <v>274.56694533039274</v>
      </c>
      <c r="Q367" s="702"/>
      <c r="R367" s="666"/>
      <c r="S367" s="726">
        <f>SUM(S363:S366)</f>
        <v>3851.7159999999994</v>
      </c>
      <c r="T367" s="666"/>
      <c r="U367" s="707">
        <f>SUM(U363:U366)</f>
        <v>2.2839502867918764</v>
      </c>
      <c r="V367" s="666"/>
      <c r="W367" s="730">
        <f>(U367/U360-1)*100</f>
        <v>5.8126268661266245</v>
      </c>
      <c r="X367" s="685"/>
      <c r="Y367" s="666"/>
      <c r="Z367" s="666"/>
      <c r="AA367" s="666"/>
      <c r="AB367" s="710">
        <f>AVERAGE(AB363:AB366)</f>
        <v>5.0909374999999999</v>
      </c>
      <c r="AC367" s="666"/>
      <c r="AD367" s="700">
        <f>(AB367/AB360-1)*100</f>
        <v>3.4973476064928288</v>
      </c>
      <c r="AE367" s="685"/>
      <c r="AF367" s="703">
        <f>+H367/AD367*100</f>
        <v>121.29917599089262</v>
      </c>
      <c r="AG367" s="668"/>
      <c r="AH367" s="666"/>
      <c r="AI367" s="673">
        <f>SUM(AI363:AI366)</f>
        <v>3851.7159999999994</v>
      </c>
      <c r="AJ367" s="666"/>
      <c r="AK367" s="711">
        <f>SUM(AK363:AK366)</f>
        <v>753.08512400677773</v>
      </c>
      <c r="AL367" s="666"/>
      <c r="AM367" s="730">
        <f>(AK367/AK360-1)*100</f>
        <v>3.5854338184649226</v>
      </c>
      <c r="AN367" s="685"/>
      <c r="AO367" s="666"/>
    </row>
    <row r="368" spans="1:41">
      <c r="A368" s="666"/>
      <c r="B368" s="684"/>
      <c r="C368" s="666"/>
      <c r="D368" s="733"/>
      <c r="E368" s="666"/>
      <c r="F368" s="703"/>
      <c r="G368" s="667"/>
      <c r="H368" s="733"/>
      <c r="I368" s="666"/>
      <c r="J368" s="666"/>
      <c r="K368" s="666"/>
      <c r="L368" s="706"/>
      <c r="M368" s="666"/>
      <c r="N368" s="700"/>
      <c r="O368" s="704"/>
      <c r="P368" s="703"/>
      <c r="Q368" s="702"/>
      <c r="R368" s="666"/>
      <c r="S368" s="726"/>
      <c r="T368" s="666"/>
      <c r="U368" s="707"/>
      <c r="V368" s="666"/>
      <c r="W368" s="730"/>
      <c r="X368" s="685"/>
      <c r="Y368" s="666"/>
      <c r="Z368" s="666"/>
      <c r="AA368" s="666"/>
      <c r="AB368" s="710"/>
      <c r="AC368" s="666"/>
      <c r="AD368" s="700"/>
      <c r="AE368" s="685"/>
      <c r="AF368" s="703"/>
      <c r="AG368" s="668"/>
      <c r="AH368" s="666"/>
      <c r="AI368" s="673"/>
      <c r="AJ368" s="666"/>
      <c r="AK368" s="711"/>
      <c r="AL368" s="666"/>
      <c r="AM368" s="730"/>
      <c r="AN368" s="685"/>
      <c r="AO368" s="666"/>
    </row>
    <row r="369" spans="1:41">
      <c r="A369" s="698"/>
      <c r="B369" s="728">
        <f>B362+1</f>
        <v>2017</v>
      </c>
      <c r="C369" s="666"/>
      <c r="D369" s="733"/>
      <c r="E369" s="667"/>
      <c r="F369" s="703"/>
      <c r="G369" s="667"/>
      <c r="I369" s="667"/>
      <c r="J369" s="667"/>
      <c r="K369" s="667"/>
      <c r="L369" s="706"/>
      <c r="M369" s="667"/>
      <c r="N369" s="700"/>
      <c r="O369" s="704"/>
      <c r="P369" s="703"/>
      <c r="Q369" s="702"/>
      <c r="R369" s="667"/>
      <c r="S369" s="726"/>
      <c r="T369" s="667"/>
      <c r="U369" s="707"/>
      <c r="V369" s="666"/>
      <c r="W369" s="730"/>
      <c r="X369" s="685"/>
      <c r="Y369" s="666"/>
      <c r="Z369" s="676"/>
      <c r="AA369" s="666"/>
      <c r="AB369" s="710"/>
      <c r="AC369" s="666"/>
      <c r="AD369" s="700"/>
      <c r="AE369" s="685"/>
      <c r="AF369" s="703"/>
      <c r="AG369" s="668"/>
      <c r="AH369" s="666"/>
      <c r="AI369" s="673"/>
      <c r="AJ369" s="666"/>
      <c r="AK369" s="711"/>
      <c r="AL369" s="666"/>
      <c r="AM369" s="730"/>
      <c r="AN369" s="685"/>
      <c r="AO369" s="666"/>
    </row>
    <row r="370" spans="1:41">
      <c r="A370" s="666" t="str">
        <f>$A$26</f>
        <v>1Q</v>
      </c>
      <c r="B370" s="684" t="str">
        <f>$B$26</f>
        <v>Apr</v>
      </c>
      <c r="C370" s="666"/>
      <c r="D370" s="733">
        <f>(S370/S363-1)*100</f>
        <v>2.6896198666549465</v>
      </c>
      <c r="E370" s="667"/>
      <c r="F370" s="703">
        <f>segmthSales!DO37</f>
        <v>-1</v>
      </c>
      <c r="G370" s="700"/>
      <c r="H370" s="733">
        <f>D370-F370</f>
        <v>3.6896198666549465</v>
      </c>
      <c r="I370" s="667"/>
      <c r="J370" s="705">
        <f>'store&amp;sf'!L179</f>
        <v>1697</v>
      </c>
      <c r="K370" s="667"/>
      <c r="L370" s="706">
        <f>AVERAGE(J370,J366)</f>
        <v>1695</v>
      </c>
      <c r="M370" s="667"/>
      <c r="N370" s="700">
        <f>(L370/L363-1)*100</f>
        <v>1.2847325963549538</v>
      </c>
      <c r="O370" s="704"/>
      <c r="P370" s="740" t="s">
        <v>886</v>
      </c>
      <c r="Q370" s="702"/>
      <c r="R370" s="667"/>
      <c r="S370" s="673">
        <f>'segSales&amp;OM'!W237</f>
        <v>678</v>
      </c>
      <c r="T370" s="667"/>
      <c r="U370" s="713">
        <f>S370/L370</f>
        <v>0.4</v>
      </c>
      <c r="V370" s="666"/>
      <c r="W370" s="730">
        <f>(U370/U363-1)*100</f>
        <v>1.3870671662814527</v>
      </c>
      <c r="X370" s="685"/>
      <c r="Y370" s="666"/>
      <c r="Z370" s="820">
        <f>+'store&amp;sf'!L543</f>
        <v>5.2374999999999998</v>
      </c>
      <c r="AA370" s="666"/>
      <c r="AB370" s="710">
        <f>AVERAGE(Z370,Z369)</f>
        <v>5.2374999999999998</v>
      </c>
      <c r="AC370" s="666"/>
      <c r="AD370" s="700">
        <f>(AB370/AB363-1)*100</f>
        <v>4.815509693558484</v>
      </c>
      <c r="AE370" s="685"/>
      <c r="AF370" s="703">
        <f>+H370/AD370*100</f>
        <v>76.619508659496717</v>
      </c>
      <c r="AG370" s="668"/>
      <c r="AH370" s="666"/>
      <c r="AI370" s="673">
        <f>+S370</f>
        <v>678</v>
      </c>
      <c r="AJ370" s="666"/>
      <c r="AK370" s="714">
        <f>AI370/AB370</f>
        <v>129.45107398568018</v>
      </c>
      <c r="AL370" s="666"/>
      <c r="AM370" s="730">
        <f>(AK370/AK363-1)*100</f>
        <v>-2.0282206642116885</v>
      </c>
      <c r="AN370" s="685" t="s">
        <v>1084</v>
      </c>
      <c r="AO370" s="666"/>
    </row>
    <row r="371" spans="1:41">
      <c r="A371" s="666" t="str">
        <f>$A$27</f>
        <v>2Q</v>
      </c>
      <c r="B371" s="684" t="str">
        <f>$B$27</f>
        <v>Jul</v>
      </c>
      <c r="C371" s="666"/>
      <c r="D371" s="733">
        <f>(S371/S364-1)*100</f>
        <v>7.3542550536561002</v>
      </c>
      <c r="E371" s="667"/>
      <c r="F371" s="703">
        <f>segmthSales!DO42</f>
        <v>4</v>
      </c>
      <c r="G371" s="700"/>
      <c r="H371" s="733">
        <f>D371-F371</f>
        <v>3.3542550536561002</v>
      </c>
      <c r="I371" s="667"/>
      <c r="J371" s="705">
        <f>'store&amp;sf'!L180</f>
        <v>1698</v>
      </c>
      <c r="K371" s="667"/>
      <c r="L371" s="706">
        <f>AVERAGE(J371,J370)</f>
        <v>1697.5</v>
      </c>
      <c r="M371" s="667"/>
      <c r="N371" s="700">
        <f>(L371/L364-1)*100</f>
        <v>1.0416666666666741</v>
      </c>
      <c r="O371" s="704"/>
      <c r="P371" s="740" t="s">
        <v>886</v>
      </c>
      <c r="Q371" s="702"/>
      <c r="R371" s="667"/>
      <c r="S371" s="712">
        <f>'segSales&amp;OM'!W238</f>
        <v>860.33699999999999</v>
      </c>
      <c r="T371" s="667"/>
      <c r="U371" s="713">
        <f>S371/L371</f>
        <v>0.50682592047128128</v>
      </c>
      <c r="V371" s="666"/>
      <c r="W371" s="730">
        <f>(U371/U364-1)*100</f>
        <v>6.2475101561957347</v>
      </c>
      <c r="X371" s="685"/>
      <c r="Y371" s="666"/>
      <c r="Z371" s="820">
        <f>+'store&amp;sf'!L544</f>
        <v>5.3137499999999998</v>
      </c>
      <c r="AA371" s="666"/>
      <c r="AB371" s="710">
        <f>AVERAGE(Z371,Z370)</f>
        <v>5.2756249999999998</v>
      </c>
      <c r="AC371" s="666"/>
      <c r="AD371" s="700">
        <f>(AB371/AB364-1)*100</f>
        <v>4.6102367083901363</v>
      </c>
      <c r="AE371" s="685"/>
      <c r="AF371" s="703">
        <f>+H371/AD371*100</f>
        <v>72.756677494492109</v>
      </c>
      <c r="AG371" s="668"/>
      <c r="AH371" s="666"/>
      <c r="AI371" s="675">
        <f>+S371</f>
        <v>860.33699999999999</v>
      </c>
      <c r="AJ371" s="666"/>
      <c r="AK371" s="714">
        <f>AI371/AB371</f>
        <v>163.07773960431228</v>
      </c>
      <c r="AL371" s="666"/>
      <c r="AM371" s="730">
        <f>(AK371/AK364-1)*100</f>
        <v>2.6230877891187276</v>
      </c>
      <c r="AN371" s="685"/>
      <c r="AO371" s="666"/>
    </row>
    <row r="372" spans="1:41">
      <c r="A372" s="666" t="str">
        <f>$A$28</f>
        <v>3Q</v>
      </c>
      <c r="B372" s="684" t="str">
        <f>$B$28</f>
        <v>Oct</v>
      </c>
      <c r="C372" s="666"/>
      <c r="D372" s="733">
        <f>(S372/S365-1)*100</f>
        <v>5.9229472820427675</v>
      </c>
      <c r="E372" s="667"/>
      <c r="F372" s="703">
        <f>segmthSales!DO47</f>
        <v>1</v>
      </c>
      <c r="G372" s="700"/>
      <c r="H372" s="733">
        <f>D372-F372</f>
        <v>4.9229472820427675</v>
      </c>
      <c r="I372" s="667"/>
      <c r="J372" s="705">
        <f>'store&amp;sf'!L181</f>
        <v>1704</v>
      </c>
      <c r="K372" s="667"/>
      <c r="L372" s="706">
        <f>AVERAGE(J372,J371)</f>
        <v>1701</v>
      </c>
      <c r="M372" s="667"/>
      <c r="N372" s="700">
        <f>(L372/L365-1)*100</f>
        <v>0.68067475584492332</v>
      </c>
      <c r="O372" s="704"/>
      <c r="P372" s="740" t="s">
        <v>886</v>
      </c>
      <c r="Q372" s="702"/>
      <c r="R372" s="667"/>
      <c r="S372" s="712">
        <f>'segSales&amp;OM'!W239</f>
        <v>815.79100000000005</v>
      </c>
      <c r="T372" s="667"/>
      <c r="U372" s="713">
        <f>S372/L372</f>
        <v>0.47959494415049975</v>
      </c>
      <c r="V372" s="666"/>
      <c r="W372" s="730">
        <f>(U372/U365-1)*100</f>
        <v>5.2068309423934478</v>
      </c>
      <c r="X372" s="685"/>
      <c r="Y372" s="666"/>
      <c r="Z372" s="820">
        <f>+'store&amp;sf'!L545</f>
        <v>5.5987499999999999</v>
      </c>
      <c r="AA372" s="666"/>
      <c r="AB372" s="710">
        <f>AVERAGE(Z372,Z371)</f>
        <v>5.4562499999999998</v>
      </c>
      <c r="AC372" s="666"/>
      <c r="AD372" s="700">
        <f>(AB372/AB365-1)*100</f>
        <v>6.346692654403685</v>
      </c>
      <c r="AE372" s="685"/>
      <c r="AF372" s="703">
        <f>+H372/AD372*100</f>
        <v>77.567129056217269</v>
      </c>
      <c r="AG372" s="668"/>
      <c r="AH372" s="666"/>
      <c r="AI372" s="675">
        <f>+S372</f>
        <v>815.79100000000005</v>
      </c>
      <c r="AJ372" s="666"/>
      <c r="AK372" s="714">
        <f>AI372/AB372</f>
        <v>149.51495990836199</v>
      </c>
      <c r="AL372" s="666"/>
      <c r="AM372" s="730">
        <f>(AK372/AK365-1)*100</f>
        <v>-0.39845655918795408</v>
      </c>
      <c r="AN372" s="685"/>
      <c r="AO372" s="666"/>
    </row>
    <row r="373" spans="1:41">
      <c r="A373" s="666" t="str">
        <f>$A$29</f>
        <v>4Q</v>
      </c>
      <c r="B373" s="684" t="str">
        <f>$B$29</f>
        <v>Jan</v>
      </c>
      <c r="C373" s="666"/>
      <c r="D373" s="732">
        <f>(S373/S366-1)*100</f>
        <v>10.729057349219095</v>
      </c>
      <c r="E373" s="667"/>
      <c r="F373" s="717">
        <f>segmthSales!DO52</f>
        <v>4</v>
      </c>
      <c r="G373" s="667"/>
      <c r="H373" s="732">
        <f>D373-F373</f>
        <v>6.7290573492190955</v>
      </c>
      <c r="I373" s="667"/>
      <c r="J373" s="705">
        <f>'store&amp;sf'!L182</f>
        <v>1694</v>
      </c>
      <c r="K373" s="667"/>
      <c r="L373" s="716">
        <f>AVERAGE(J373,J372)</f>
        <v>1699</v>
      </c>
      <c r="M373" s="667"/>
      <c r="N373" s="715">
        <f>(L373/L366-1)*100</f>
        <v>0.32477118393858806</v>
      </c>
      <c r="O373" s="704"/>
      <c r="P373" s="1150" t="s">
        <v>886</v>
      </c>
      <c r="Q373" s="702"/>
      <c r="R373" s="667"/>
      <c r="S373" s="718">
        <f>'segSales&amp;OM'!W240</f>
        <v>1793.6999999999998</v>
      </c>
      <c r="T373" s="667"/>
      <c r="U373" s="719">
        <f>S373/L373</f>
        <v>1.055738669805768</v>
      </c>
      <c r="V373" s="666"/>
      <c r="W373" s="720">
        <f>(U373/U366-1)*100</f>
        <v>10.37060542725281</v>
      </c>
      <c r="X373" s="685"/>
      <c r="Y373" s="666"/>
      <c r="Z373" s="820">
        <f>+'store&amp;sf'!L546</f>
        <v>5.357499999999999</v>
      </c>
      <c r="AA373" s="666"/>
      <c r="AB373" s="721">
        <f>AVERAGE(Z373,Z372)</f>
        <v>5.4781249999999995</v>
      </c>
      <c r="AC373" s="666"/>
      <c r="AD373" s="715">
        <f>(AB373/AB366-1)*100</f>
        <v>5.4880250330966218</v>
      </c>
      <c r="AE373" s="685"/>
      <c r="AF373" s="717">
        <f>+H373/AD373*100</f>
        <v>122.61345946197734</v>
      </c>
      <c r="AG373" s="668"/>
      <c r="AH373" s="666"/>
      <c r="AI373" s="722">
        <f>+S373</f>
        <v>1793.6999999999998</v>
      </c>
      <c r="AJ373" s="666"/>
      <c r="AK373" s="723">
        <f>AI373/AB373</f>
        <v>327.42954934398176</v>
      </c>
      <c r="AL373" s="666"/>
      <c r="AM373" s="720">
        <f>(AK373/AK366-1)*100</f>
        <v>4.9683670866698781</v>
      </c>
      <c r="AN373" s="685"/>
      <c r="AO373" s="666"/>
    </row>
    <row r="374" spans="1:41">
      <c r="A374" s="666"/>
      <c r="B374" s="684" t="str">
        <f>$B$30</f>
        <v>Year</v>
      </c>
      <c r="C374" s="666"/>
      <c r="D374" s="733">
        <f>(S374/S367-1)*100</f>
        <v>7.6877942195115123</v>
      </c>
      <c r="E374" s="666"/>
      <c r="F374" s="703">
        <f>+F370*S370/S374+F371*S371/S374+F372*S372/S374+F373*S373/S374</f>
        <v>2.5926675358766085</v>
      </c>
      <c r="G374" s="667"/>
      <c r="H374" s="733">
        <f>D374-F374</f>
        <v>5.0951266836349038</v>
      </c>
      <c r="I374" s="666"/>
      <c r="J374" s="667"/>
      <c r="K374" s="666"/>
      <c r="L374" s="706">
        <f>AVERAGE(L370:L373)</f>
        <v>1698.125</v>
      </c>
      <c r="M374" s="666"/>
      <c r="N374" s="700">
        <f>(L374/L367-1)*100</f>
        <v>0.831292214057755</v>
      </c>
      <c r="O374" s="704"/>
      <c r="P374" s="703">
        <f>H374/N374*100</f>
        <v>612.91644471975223</v>
      </c>
      <c r="Q374" s="702"/>
      <c r="R374" s="666"/>
      <c r="S374" s="726">
        <f>SUM(S370:S373)</f>
        <v>4147.8279999999995</v>
      </c>
      <c r="T374" s="666"/>
      <c r="U374" s="707">
        <f>SUM(U370:U373)</f>
        <v>2.4421595344275491</v>
      </c>
      <c r="V374" s="666"/>
      <c r="W374" s="730">
        <f>(U374/U367-1)*100</f>
        <v>6.9270004934257834</v>
      </c>
      <c r="X374" s="685"/>
      <c r="Y374" s="666"/>
      <c r="Z374" s="666"/>
      <c r="AA374" s="666"/>
      <c r="AB374" s="710">
        <f>AVERAGE(AB370:AB373)</f>
        <v>5.3618749999999995</v>
      </c>
      <c r="AC374" s="666"/>
      <c r="AD374" s="700">
        <f>(AB374/AB367-1)*100</f>
        <v>5.3219569087225915</v>
      </c>
      <c r="AE374" s="685"/>
      <c r="AF374" s="703">
        <f>+H374/AD374*100</f>
        <v>95.737841756743336</v>
      </c>
      <c r="AG374" s="668"/>
      <c r="AH374" s="666"/>
      <c r="AI374" s="673">
        <f>SUM(AI370:AI373)</f>
        <v>4147.8279999999995</v>
      </c>
      <c r="AJ374" s="666"/>
      <c r="AK374" s="711">
        <f>SUM(AK370:AK373)</f>
        <v>769.47332284233619</v>
      </c>
      <c r="AL374" s="666"/>
      <c r="AM374" s="730">
        <f>(AK374/AK367-1)*100</f>
        <v>2.1761416223926133</v>
      </c>
      <c r="AN374" s="685"/>
      <c r="AO374" s="666"/>
    </row>
    <row r="375" spans="1:41" s="2702" customFormat="1">
      <c r="A375" s="666"/>
      <c r="B375" s="684"/>
      <c r="C375" s="666"/>
      <c r="D375" s="733"/>
      <c r="E375" s="666"/>
      <c r="F375" s="703"/>
      <c r="G375" s="667"/>
      <c r="H375" s="733"/>
      <c r="I375" s="666"/>
      <c r="J375" s="666"/>
      <c r="K375" s="666"/>
      <c r="L375" s="706"/>
      <c r="M375" s="666"/>
      <c r="N375" s="700"/>
      <c r="O375" s="704"/>
      <c r="P375" s="703"/>
      <c r="Q375" s="702"/>
      <c r="R375" s="666"/>
      <c r="S375" s="726"/>
      <c r="T375" s="666"/>
      <c r="U375" s="707"/>
      <c r="V375" s="666"/>
      <c r="W375" s="730"/>
      <c r="X375" s="685"/>
      <c r="Y375" s="666"/>
      <c r="Z375" s="666"/>
      <c r="AA375" s="666"/>
      <c r="AB375" s="710"/>
      <c r="AC375" s="666"/>
      <c r="AD375" s="700"/>
      <c r="AE375" s="685"/>
      <c r="AF375" s="703"/>
      <c r="AG375" s="668"/>
      <c r="AH375" s="666"/>
      <c r="AI375" s="673"/>
      <c r="AJ375" s="666"/>
      <c r="AK375" s="711"/>
      <c r="AL375" s="666"/>
      <c r="AM375" s="730"/>
      <c r="AN375" s="685"/>
      <c r="AO375" s="666"/>
    </row>
    <row r="376" spans="1:41" s="2702" customFormat="1">
      <c r="A376" s="698"/>
      <c r="B376" s="742">
        <f>B369+1</f>
        <v>2018</v>
      </c>
      <c r="C376" s="666"/>
      <c r="D376" s="733"/>
      <c r="E376" s="667"/>
      <c r="F376" s="703"/>
      <c r="G376" s="667"/>
      <c r="I376" s="667"/>
      <c r="J376" s="667"/>
      <c r="K376" s="667"/>
      <c r="L376" s="706"/>
      <c r="M376" s="667"/>
      <c r="N376" s="700"/>
      <c r="O376" s="704"/>
      <c r="P376" s="703"/>
      <c r="Q376" s="702"/>
      <c r="R376" s="667"/>
      <c r="S376" s="726"/>
      <c r="T376" s="667"/>
      <c r="U376" s="707"/>
      <c r="V376" s="666"/>
      <c r="W376" s="730"/>
      <c r="X376" s="685"/>
      <c r="Y376" s="666"/>
      <c r="Z376" s="676"/>
      <c r="AA376" s="666"/>
      <c r="AB376" s="710"/>
      <c r="AC376" s="666"/>
      <c r="AD376" s="700"/>
      <c r="AE376" s="685"/>
      <c r="AF376" s="703"/>
      <c r="AG376" s="668"/>
      <c r="AH376" s="666"/>
      <c r="AI376" s="673"/>
      <c r="AJ376" s="666"/>
      <c r="AK376" s="711"/>
      <c r="AL376" s="666"/>
      <c r="AM376" s="730"/>
      <c r="AN376" s="685"/>
      <c r="AO376" s="666"/>
    </row>
    <row r="377" spans="1:41" s="2702" customFormat="1">
      <c r="A377" s="666" t="str">
        <f>$A$26</f>
        <v>1Q</v>
      </c>
      <c r="B377" s="684" t="str">
        <f>$B$26</f>
        <v>Apr</v>
      </c>
      <c r="C377" s="666"/>
      <c r="D377" s="733">
        <f t="shared" ref="D377:D378" si="2">F377+H377</f>
        <v>10.18547550694035</v>
      </c>
      <c r="E377" s="667"/>
      <c r="F377" s="703">
        <f>segmthSales!DU37</f>
        <v>4.6854755069403504</v>
      </c>
      <c r="G377" s="700"/>
      <c r="H377" s="2572">
        <v>5.5</v>
      </c>
      <c r="I377" s="667"/>
      <c r="J377" s="705">
        <f>'store&amp;sf'!L185</f>
        <v>1706</v>
      </c>
      <c r="K377" s="667"/>
      <c r="L377" s="706">
        <f>AVERAGE(J377,J373)</f>
        <v>1700</v>
      </c>
      <c r="M377" s="667"/>
      <c r="N377" s="700">
        <f>(L377/L370-1)*100</f>
        <v>0.29498525073745618</v>
      </c>
      <c r="O377" s="704"/>
      <c r="P377" s="740" t="s">
        <v>886</v>
      </c>
      <c r="Q377" s="702"/>
      <c r="R377" s="667"/>
      <c r="S377" s="673">
        <f t="shared" ref="S377:S378" si="3">S370*(1+D377/100)</f>
        <v>747.05752393705563</v>
      </c>
      <c r="T377" s="667"/>
      <c r="U377" s="713">
        <f>S377/L377</f>
        <v>0.43944560231591506</v>
      </c>
      <c r="V377" s="666"/>
      <c r="W377" s="730">
        <f>(U377/U370-1)*100</f>
        <v>9.8614005789787527</v>
      </c>
      <c r="X377" s="685"/>
      <c r="Y377" s="666"/>
      <c r="Z377" s="820">
        <f>+'store&amp;sf'!L549</f>
        <v>5.4411159003831404</v>
      </c>
      <c r="AA377" s="666"/>
      <c r="AB377" s="710">
        <f>AVERAGE(Z377,Z376)</f>
        <v>5.4411159003831404</v>
      </c>
      <c r="AC377" s="666"/>
      <c r="AD377" s="700">
        <f>(AB377/AB370-1)*100</f>
        <v>3.8876544225898035</v>
      </c>
      <c r="AE377" s="685"/>
      <c r="AF377" s="703">
        <f>+H377/AD377*100</f>
        <v>141.47347994825412</v>
      </c>
      <c r="AG377" s="668"/>
      <c r="AH377" s="666"/>
      <c r="AI377" s="673">
        <f>+S377</f>
        <v>747.05752393705563</v>
      </c>
      <c r="AJ377" s="666"/>
      <c r="AK377" s="714">
        <f>AI377/AB377</f>
        <v>137.29858683665441</v>
      </c>
      <c r="AL377" s="666"/>
      <c r="AM377" s="730">
        <f>(AK377/AK370-1)*100</f>
        <v>6.0621458048639498</v>
      </c>
      <c r="AN377" s="685" t="s">
        <v>1084</v>
      </c>
      <c r="AO377" s="666"/>
    </row>
    <row r="378" spans="1:41" s="2702" customFormat="1">
      <c r="A378" s="666" t="str">
        <f>$A$27</f>
        <v>2Q</v>
      </c>
      <c r="B378" s="684" t="str">
        <f>$B$27</f>
        <v>Jul</v>
      </c>
      <c r="C378" s="666"/>
      <c r="D378" s="733">
        <f t="shared" si="2"/>
        <v>4.0389228411352844</v>
      </c>
      <c r="E378" s="667"/>
      <c r="F378" s="703">
        <f>segmthSales!DU42</f>
        <v>0.5389228411352841</v>
      </c>
      <c r="G378" s="700"/>
      <c r="H378" s="2572">
        <v>3.5</v>
      </c>
      <c r="I378" s="667"/>
      <c r="J378" s="705">
        <f>'store&amp;sf'!L186</f>
        <v>1717</v>
      </c>
      <c r="K378" s="667"/>
      <c r="L378" s="706">
        <f>AVERAGE(J378,J377)</f>
        <v>1711.5</v>
      </c>
      <c r="M378" s="667"/>
      <c r="N378" s="700">
        <f>(L378/L371-1)*100</f>
        <v>0.82474226804123418</v>
      </c>
      <c r="O378" s="704"/>
      <c r="P378" s="740" t="s">
        <v>886</v>
      </c>
      <c r="Q378" s="702"/>
      <c r="R378" s="667"/>
      <c r="S378" s="712">
        <f t="shared" si="3"/>
        <v>895.08534760373811</v>
      </c>
      <c r="T378" s="667"/>
      <c r="U378" s="713">
        <f>S378/L378</f>
        <v>0.52298296675649325</v>
      </c>
      <c r="V378" s="666"/>
      <c r="W378" s="730">
        <f>(U378/U371-1)*100</f>
        <v>3.1878887074654916</v>
      </c>
      <c r="X378" s="685"/>
      <c r="Y378" s="666"/>
      <c r="Z378" s="820">
        <f>+'store&amp;sf'!L550</f>
        <v>5.5383716475095772</v>
      </c>
      <c r="AA378" s="666"/>
      <c r="AB378" s="710">
        <f>AVERAGE(Z378,Z377)</f>
        <v>5.4897437739463584</v>
      </c>
      <c r="AC378" s="666"/>
      <c r="AD378" s="700">
        <f>(AB378/AB371-1)*100</f>
        <v>4.0586427948604786</v>
      </c>
      <c r="AE378" s="685"/>
      <c r="AF378" s="703">
        <f>+H378/AD378*100</f>
        <v>86.235724031494073</v>
      </c>
      <c r="AG378" s="668"/>
      <c r="AH378" s="666"/>
      <c r="AI378" s="675">
        <f>+S378</f>
        <v>895.08534760373811</v>
      </c>
      <c r="AJ378" s="666"/>
      <c r="AK378" s="714">
        <f>AI378/AB378</f>
        <v>163.04683505479835</v>
      </c>
      <c r="AL378" s="666"/>
      <c r="AM378" s="730">
        <f>(AK378/AK371-1)*100</f>
        <v>-1.8950808116990903E-2</v>
      </c>
      <c r="AN378" s="685"/>
      <c r="AO378" s="666"/>
    </row>
    <row r="379" spans="1:41" s="2702" customFormat="1">
      <c r="A379" s="666" t="str">
        <f>$A$28</f>
        <v>3Q</v>
      </c>
      <c r="B379" s="684" t="str">
        <f>$B$28</f>
        <v>Oct</v>
      </c>
      <c r="C379" s="666"/>
      <c r="D379" s="733">
        <f>F379+H379</f>
        <v>4.8709860474355935</v>
      </c>
      <c r="E379" s="667"/>
      <c r="F379" s="703">
        <f>segmthSales!DU47</f>
        <v>1.370986047435593</v>
      </c>
      <c r="G379" s="700"/>
      <c r="H379" s="2572">
        <v>3.5</v>
      </c>
      <c r="I379" s="667"/>
      <c r="J379" s="705">
        <f>'store&amp;sf'!L187</f>
        <v>1728</v>
      </c>
      <c r="K379" s="667"/>
      <c r="L379" s="706">
        <f>AVERAGE(J379,J378)</f>
        <v>1722.5</v>
      </c>
      <c r="M379" s="667"/>
      <c r="N379" s="700">
        <f>(L379/L372-1)*100</f>
        <v>1.2639623750734907</v>
      </c>
      <c r="O379" s="704"/>
      <c r="P379" s="740" t="s">
        <v>886</v>
      </c>
      <c r="Q379" s="702"/>
      <c r="R379" s="667"/>
      <c r="S379" s="712">
        <f>S372*(1+D379/100)</f>
        <v>855.52806578623529</v>
      </c>
      <c r="T379" s="667"/>
      <c r="U379" s="713">
        <f>S379/L379</f>
        <v>0.4966781223722701</v>
      </c>
      <c r="V379" s="666"/>
      <c r="W379" s="730">
        <f>(U379/U372-1)*100</f>
        <v>3.5620013159291197</v>
      </c>
      <c r="X379" s="685"/>
      <c r="Y379" s="666"/>
      <c r="Z379" s="820">
        <f>+'store&amp;sf'!L551</f>
        <v>5.6345067049808426</v>
      </c>
      <c r="AA379" s="666"/>
      <c r="AB379" s="710">
        <f>AVERAGE(Z379,Z378)</f>
        <v>5.5864391762452099</v>
      </c>
      <c r="AC379" s="666"/>
      <c r="AD379" s="700">
        <f>(AB379/AB372-1)*100</f>
        <v>2.3860559220198807</v>
      </c>
      <c r="AE379" s="685"/>
      <c r="AF379" s="703">
        <f>+H379/AD379*100</f>
        <v>146.68558132690899</v>
      </c>
      <c r="AG379" s="668"/>
      <c r="AH379" s="666"/>
      <c r="AI379" s="675">
        <f>+S379</f>
        <v>855.52806578623529</v>
      </c>
      <c r="AJ379" s="666"/>
      <c r="AK379" s="714">
        <f>AI379/AB379</f>
        <v>153.14371799197818</v>
      </c>
      <c r="AL379" s="666"/>
      <c r="AM379" s="730">
        <f>(AK379/AK372-1)*100</f>
        <v>2.4270200693230048</v>
      </c>
      <c r="AN379" s="685"/>
      <c r="AO379" s="666"/>
    </row>
    <row r="380" spans="1:41" s="2702" customFormat="1">
      <c r="A380" s="666" t="str">
        <f>$A$29</f>
        <v>4Q</v>
      </c>
      <c r="B380" s="684" t="str">
        <f>$B$29</f>
        <v>Jan</v>
      </c>
      <c r="C380" s="666"/>
      <c r="D380" s="732">
        <f>F380+H380</f>
        <v>-1.1243794528473212</v>
      </c>
      <c r="E380" s="667"/>
      <c r="F380" s="717">
        <f>segmthSales!DU52</f>
        <v>-0.1243794528473211</v>
      </c>
      <c r="G380" s="667"/>
      <c r="H380" s="1198">
        <v>-1</v>
      </c>
      <c r="I380" s="667"/>
      <c r="J380" s="705">
        <f>'store&amp;sf'!L188</f>
        <v>1724</v>
      </c>
      <c r="K380" s="667"/>
      <c r="L380" s="716">
        <f>AVERAGE(J380,J379)</f>
        <v>1726</v>
      </c>
      <c r="M380" s="667"/>
      <c r="N380" s="715">
        <f>(L380/L373-1)*100</f>
        <v>1.5891701000588565</v>
      </c>
      <c r="O380" s="704"/>
      <c r="P380" s="1150" t="s">
        <v>886</v>
      </c>
      <c r="Q380" s="702"/>
      <c r="R380" s="667"/>
      <c r="S380" s="718">
        <f>S373*(1+D380/100)</f>
        <v>1773.5320057542774</v>
      </c>
      <c r="T380" s="667"/>
      <c r="U380" s="719">
        <f>S380/L380</f>
        <v>1.0275388214103578</v>
      </c>
      <c r="V380" s="666"/>
      <c r="W380" s="720">
        <f>(U380/U373-1)*100</f>
        <v>-2.6711012111167998</v>
      </c>
      <c r="X380" s="685"/>
      <c r="Y380" s="666"/>
      <c r="Z380" s="820">
        <f>+'store&amp;sf'!L552</f>
        <v>5.6390900383141762</v>
      </c>
      <c r="AA380" s="666"/>
      <c r="AB380" s="721">
        <f>AVERAGE(Z380,Z379)</f>
        <v>5.6367983716475099</v>
      </c>
      <c r="AC380" s="666"/>
      <c r="AD380" s="715">
        <f>(AB380/AB373-1)*100</f>
        <v>2.8964905263664242</v>
      </c>
      <c r="AE380" s="685"/>
      <c r="AF380" s="717">
        <f>+H380/AD380*100</f>
        <v>-34.524538951434977</v>
      </c>
      <c r="AG380" s="668"/>
      <c r="AH380" s="666"/>
      <c r="AI380" s="722">
        <f>+S380</f>
        <v>1773.5320057542774</v>
      </c>
      <c r="AJ380" s="666"/>
      <c r="AK380" s="723">
        <f>AI380/AB380</f>
        <v>314.6346363345109</v>
      </c>
      <c r="AL380" s="666"/>
      <c r="AM380" s="720">
        <f>(AK380/AK373-1)*100</f>
        <v>-3.9076842744052875</v>
      </c>
      <c r="AN380" s="685"/>
      <c r="AO380" s="666"/>
    </row>
    <row r="381" spans="1:41" s="2702" customFormat="1">
      <c r="A381" s="666"/>
      <c r="B381" s="684" t="str">
        <f>$B$30</f>
        <v>Year</v>
      </c>
      <c r="C381" s="666"/>
      <c r="D381" s="733">
        <f>(S381/S374-1)*100</f>
        <v>2.9744469414186625</v>
      </c>
      <c r="E381" s="666"/>
      <c r="F381" s="703">
        <f>+F377*S377/S381+F378*S378/S381+F379*S379/S381+F380*S380/S381</f>
        <v>1.1554187042704904</v>
      </c>
      <c r="G381" s="667"/>
      <c r="H381" s="733">
        <f>D381-F381</f>
        <v>1.8190282371481721</v>
      </c>
      <c r="I381" s="666"/>
      <c r="J381" s="667"/>
      <c r="K381" s="666"/>
      <c r="L381" s="706">
        <f>AVERAGE(L377:L380)</f>
        <v>1715</v>
      </c>
      <c r="M381" s="666"/>
      <c r="N381" s="700">
        <f>(L381/L374-1)*100</f>
        <v>0.99374309900626123</v>
      </c>
      <c r="O381" s="704"/>
      <c r="P381" s="703">
        <f>H381/N381*100</f>
        <v>183.04813779005784</v>
      </c>
      <c r="Q381" s="702"/>
      <c r="R381" s="666"/>
      <c r="S381" s="726">
        <f>SUM(S377:S380)</f>
        <v>4271.2029430813063</v>
      </c>
      <c r="T381" s="666"/>
      <c r="U381" s="707">
        <f>SUM(U377:U380)</f>
        <v>2.486645512855036</v>
      </c>
      <c r="V381" s="666"/>
      <c r="W381" s="730">
        <f>(U381/U374-1)*100</f>
        <v>1.8215836353178583</v>
      </c>
      <c r="X381" s="685"/>
      <c r="Y381" s="666"/>
      <c r="Z381" s="666"/>
      <c r="AA381" s="666"/>
      <c r="AB381" s="710">
        <f>AVERAGE(AB377:AB380)</f>
        <v>5.5385243055555549</v>
      </c>
      <c r="AC381" s="666"/>
      <c r="AD381" s="700">
        <f>(AB381/AB374-1)*100</f>
        <v>3.294543523591198</v>
      </c>
      <c r="AE381" s="685"/>
      <c r="AF381" s="703">
        <f>+H381/AD381*100</f>
        <v>55.213361854917942</v>
      </c>
      <c r="AG381" s="668"/>
      <c r="AH381" s="666"/>
      <c r="AI381" s="673">
        <f>SUM(AI377:AI380)</f>
        <v>4271.2029430813063</v>
      </c>
      <c r="AJ381" s="666"/>
      <c r="AK381" s="711">
        <f>SUM(AK377:AK380)</f>
        <v>768.1237762179419</v>
      </c>
      <c r="AL381" s="666"/>
      <c r="AM381" s="730">
        <f>(AK381/AK374-1)*100</f>
        <v>-0.17538575858734307</v>
      </c>
      <c r="AN381" s="685"/>
      <c r="AO381" s="666"/>
    </row>
    <row r="382" spans="1:41" s="2702" customFormat="1">
      <c r="A382" s="666"/>
      <c r="B382" s="684"/>
      <c r="C382" s="666"/>
      <c r="D382" s="733"/>
      <c r="E382" s="666"/>
      <c r="F382" s="703"/>
      <c r="G382" s="667"/>
      <c r="H382" s="733"/>
      <c r="I382" s="666"/>
      <c r="J382" s="667"/>
      <c r="K382" s="666"/>
      <c r="L382" s="706"/>
      <c r="M382" s="666"/>
      <c r="N382" s="700"/>
      <c r="O382" s="704"/>
      <c r="P382" s="703"/>
      <c r="Q382" s="702"/>
      <c r="R382" s="666"/>
      <c r="S382" s="726"/>
      <c r="T382" s="666"/>
      <c r="U382" s="707"/>
      <c r="V382" s="666"/>
      <c r="W382" s="730"/>
      <c r="X382" s="685"/>
      <c r="Y382" s="666"/>
      <c r="Z382" s="666"/>
      <c r="AA382" s="666"/>
      <c r="AB382" s="710"/>
      <c r="AC382" s="666"/>
      <c r="AD382" s="700"/>
      <c r="AE382" s="685"/>
      <c r="AF382" s="703"/>
      <c r="AG382" s="668"/>
      <c r="AH382" s="666"/>
      <c r="AI382" s="673"/>
      <c r="AJ382" s="666"/>
      <c r="AK382" s="711"/>
      <c r="AL382" s="666"/>
      <c r="AM382" s="730"/>
      <c r="AN382" s="685"/>
      <c r="AO382" s="666"/>
    </row>
    <row r="383" spans="1:41" hidden="1" outlineLevel="1">
      <c r="A383" s="666"/>
      <c r="B383" s="684"/>
      <c r="C383" s="666"/>
      <c r="D383" s="696" t="s">
        <v>972</v>
      </c>
      <c r="E383" s="666"/>
      <c r="F383" s="666"/>
      <c r="G383" s="666"/>
      <c r="H383" s="733"/>
      <c r="I383" s="666"/>
      <c r="J383" s="666"/>
      <c r="K383" s="666"/>
      <c r="L383" s="666"/>
      <c r="M383" s="666"/>
      <c r="N383" s="666"/>
      <c r="O383" s="666"/>
      <c r="P383" s="666"/>
      <c r="Q383" s="666"/>
      <c r="R383" s="666"/>
      <c r="S383" s="666"/>
      <c r="T383" s="666"/>
      <c r="U383" s="666"/>
      <c r="V383" s="666"/>
      <c r="W383" s="666"/>
      <c r="X383" s="666"/>
      <c r="Y383" s="666"/>
      <c r="Z383" s="666"/>
      <c r="AA383" s="666"/>
      <c r="AB383" s="666"/>
      <c r="AC383" s="666"/>
      <c r="AD383" s="666"/>
      <c r="AE383" s="666"/>
      <c r="AF383" s="666"/>
      <c r="AG383" s="666"/>
      <c r="AH383" s="666"/>
      <c r="AI383" s="666"/>
      <c r="AJ383" s="666"/>
      <c r="AK383" s="666"/>
      <c r="AL383" s="666"/>
      <c r="AM383" s="666"/>
      <c r="AN383" s="666"/>
      <c r="AO383" s="666"/>
    </row>
    <row r="384" spans="1:41" hidden="1" outlineLevel="1">
      <c r="A384" s="698"/>
      <c r="B384" s="738">
        <f>B299</f>
        <v>2007</v>
      </c>
      <c r="C384" s="666"/>
      <c r="D384" s="700"/>
      <c r="E384" s="701"/>
      <c r="F384" s="700"/>
      <c r="G384" s="701"/>
      <c r="H384" s="700"/>
      <c r="I384" s="704"/>
      <c r="J384" s="667"/>
      <c r="K384" s="667"/>
      <c r="L384" s="667"/>
      <c r="M384" s="667"/>
      <c r="N384" s="667"/>
      <c r="O384" s="704"/>
      <c r="P384" s="702"/>
      <c r="Q384" s="702"/>
      <c r="R384" s="667"/>
      <c r="S384" s="667"/>
      <c r="T384" s="667"/>
      <c r="U384" s="667"/>
      <c r="V384" s="666"/>
      <c r="W384" s="666"/>
      <c r="X384" s="685"/>
      <c r="Y384" s="666"/>
      <c r="Z384" s="676"/>
      <c r="AA384" s="666"/>
      <c r="AB384" s="679"/>
      <c r="AC384" s="666"/>
      <c r="AD384" s="667"/>
      <c r="AE384" s="685"/>
      <c r="AF384" s="703"/>
      <c r="AG384" s="668"/>
      <c r="AH384" s="666"/>
      <c r="AI384" s="666"/>
      <c r="AJ384" s="666"/>
      <c r="AK384" s="666"/>
      <c r="AL384" s="666"/>
      <c r="AM384" s="666"/>
      <c r="AN384" s="685"/>
      <c r="AO384" s="666"/>
    </row>
    <row r="385" spans="1:41" hidden="1" outlineLevel="1">
      <c r="A385" s="666" t="str">
        <f>$A$26</f>
        <v>1Q</v>
      </c>
      <c r="B385" s="684" t="str">
        <f>$B$26</f>
        <v>Apr</v>
      </c>
      <c r="C385" s="666"/>
      <c r="D385" s="940" t="s">
        <v>401</v>
      </c>
      <c r="E385" s="701" t="s">
        <v>1084</v>
      </c>
      <c r="F385" s="703">
        <f>segmthSales!BX60</f>
        <v>5</v>
      </c>
      <c r="G385" s="701" t="s">
        <v>1084</v>
      </c>
      <c r="H385" s="940" t="s">
        <v>401</v>
      </c>
      <c r="I385" s="704" t="s">
        <v>1084</v>
      </c>
      <c r="J385" s="705">
        <f>'store&amp;sf'!H119</f>
        <v>301</v>
      </c>
      <c r="K385" s="667"/>
      <c r="L385" s="940" t="s">
        <v>401</v>
      </c>
      <c r="M385" s="667"/>
      <c r="N385" s="940" t="s">
        <v>401</v>
      </c>
      <c r="O385" s="704" t="s">
        <v>1084</v>
      </c>
      <c r="P385" s="940" t="s">
        <v>401</v>
      </c>
      <c r="Q385" s="702" t="s">
        <v>1084</v>
      </c>
      <c r="R385" s="667"/>
      <c r="S385" s="726">
        <f>'segSales&amp;OM'!N122</f>
        <v>91.7</v>
      </c>
      <c r="T385" s="667"/>
      <c r="U385" s="940" t="s">
        <v>401</v>
      </c>
      <c r="V385" s="666"/>
      <c r="W385" s="940" t="s">
        <v>401</v>
      </c>
      <c r="X385" s="685" t="s">
        <v>1084</v>
      </c>
      <c r="Y385" s="666"/>
      <c r="Z385" s="678">
        <f>'store&amp;sf'!H483</f>
        <v>1.0387499999999998</v>
      </c>
      <c r="AA385" s="666"/>
      <c r="AB385" s="940" t="s">
        <v>401</v>
      </c>
      <c r="AC385" s="666"/>
      <c r="AD385" s="940" t="s">
        <v>401</v>
      </c>
      <c r="AE385" s="685" t="s">
        <v>1084</v>
      </c>
      <c r="AF385" s="940" t="s">
        <v>401</v>
      </c>
      <c r="AG385" s="668" t="s">
        <v>1084</v>
      </c>
      <c r="AH385" s="666"/>
      <c r="AI385" s="673">
        <f>+S385</f>
        <v>91.7</v>
      </c>
      <c r="AJ385" s="666"/>
      <c r="AK385" s="940" t="s">
        <v>401</v>
      </c>
      <c r="AL385" s="666"/>
      <c r="AM385" s="940" t="s">
        <v>401</v>
      </c>
      <c r="AN385" s="685" t="s">
        <v>1084</v>
      </c>
      <c r="AO385" s="666"/>
    </row>
    <row r="386" spans="1:41" hidden="1" outlineLevel="1">
      <c r="A386" s="666" t="str">
        <f>$A$27</f>
        <v>2Q</v>
      </c>
      <c r="B386" s="684" t="str">
        <f>$B$27</f>
        <v>Jul</v>
      </c>
      <c r="C386" s="666"/>
      <c r="D386" s="940" t="s">
        <v>401</v>
      </c>
      <c r="E386" s="700"/>
      <c r="F386" s="745">
        <f>segmthSales!BX65</f>
        <v>3</v>
      </c>
      <c r="G386" s="700"/>
      <c r="H386" s="940" t="s">
        <v>401</v>
      </c>
      <c r="I386" s="667"/>
      <c r="J386" s="705">
        <f>'store&amp;sf'!H120</f>
        <v>302</v>
      </c>
      <c r="K386" s="724"/>
      <c r="L386" s="940" t="s">
        <v>401</v>
      </c>
      <c r="M386" s="667"/>
      <c r="N386" s="940" t="s">
        <v>401</v>
      </c>
      <c r="O386" s="704"/>
      <c r="P386" s="940" t="s">
        <v>401</v>
      </c>
      <c r="Q386" s="702"/>
      <c r="R386" s="667"/>
      <c r="S386" s="712">
        <f>'segSales&amp;OM'!N123</f>
        <v>113.1</v>
      </c>
      <c r="T386" s="667"/>
      <c r="U386" s="940" t="s">
        <v>401</v>
      </c>
      <c r="V386" s="666"/>
      <c r="W386" s="940" t="s">
        <v>401</v>
      </c>
      <c r="X386" s="685"/>
      <c r="Y386" s="666"/>
      <c r="Z386" s="678">
        <f>'store&amp;sf'!H484</f>
        <v>1.0649999999999999</v>
      </c>
      <c r="AA386" s="724"/>
      <c r="AB386" s="940" t="s">
        <v>401</v>
      </c>
      <c r="AC386" s="666"/>
      <c r="AD386" s="940" t="s">
        <v>401</v>
      </c>
      <c r="AE386" s="685"/>
      <c r="AF386" s="940" t="s">
        <v>401</v>
      </c>
      <c r="AG386" s="668"/>
      <c r="AH386" s="666"/>
      <c r="AI386" s="675">
        <f>+S386</f>
        <v>113.1</v>
      </c>
      <c r="AJ386" s="666"/>
      <c r="AK386" s="940" t="s">
        <v>401</v>
      </c>
      <c r="AL386" s="666"/>
      <c r="AM386" s="940" t="s">
        <v>401</v>
      </c>
      <c r="AN386" s="685"/>
      <c r="AO386" s="666"/>
    </row>
    <row r="387" spans="1:41" hidden="1" outlineLevel="1">
      <c r="A387" s="666" t="str">
        <f>$A$28</f>
        <v>3Q</v>
      </c>
      <c r="B387" s="684" t="str">
        <f>$B$28</f>
        <v>Oct</v>
      </c>
      <c r="C387" s="666"/>
      <c r="D387" s="940" t="s">
        <v>401</v>
      </c>
      <c r="E387" s="700"/>
      <c r="F387" s="745">
        <f>segmthSales!BX70</f>
        <v>-2</v>
      </c>
      <c r="G387" s="700"/>
      <c r="H387" s="940" t="s">
        <v>401</v>
      </c>
      <c r="I387" s="667"/>
      <c r="J387" s="705">
        <f>'store&amp;sf'!H121</f>
        <v>307</v>
      </c>
      <c r="K387" s="724"/>
      <c r="L387" s="940" t="s">
        <v>401</v>
      </c>
      <c r="M387" s="667"/>
      <c r="N387" s="940" t="s">
        <v>401</v>
      </c>
      <c r="O387" s="704"/>
      <c r="P387" s="940" t="s">
        <v>401</v>
      </c>
      <c r="Q387" s="702"/>
      <c r="R387" s="667"/>
      <c r="S387" s="712">
        <f>'segSales&amp;OM'!N124</f>
        <v>117.3</v>
      </c>
      <c r="T387" s="667"/>
      <c r="U387" s="940" t="s">
        <v>401</v>
      </c>
      <c r="V387" s="666"/>
      <c r="W387" s="940" t="s">
        <v>401</v>
      </c>
      <c r="X387" s="685"/>
      <c r="Y387" s="666"/>
      <c r="Z387" s="678">
        <f>'store&amp;sf'!H485</f>
        <v>1.11375</v>
      </c>
      <c r="AA387" s="724"/>
      <c r="AB387" s="940" t="s">
        <v>401</v>
      </c>
      <c r="AC387" s="666"/>
      <c r="AD387" s="940" t="s">
        <v>401</v>
      </c>
      <c r="AE387" s="685"/>
      <c r="AF387" s="940" t="s">
        <v>401</v>
      </c>
      <c r="AG387" s="668"/>
      <c r="AH387" s="666"/>
      <c r="AI387" s="675">
        <f>+S387</f>
        <v>117.3</v>
      </c>
      <c r="AJ387" s="666"/>
      <c r="AK387" s="940" t="s">
        <v>401</v>
      </c>
      <c r="AL387" s="666"/>
      <c r="AM387" s="940" t="s">
        <v>401</v>
      </c>
      <c r="AN387" s="685"/>
      <c r="AO387" s="666"/>
    </row>
    <row r="388" spans="1:41" hidden="1" outlineLevel="1">
      <c r="A388" s="666" t="str">
        <f>$A$29</f>
        <v>4Q</v>
      </c>
      <c r="B388" s="684" t="str">
        <f>$B$29</f>
        <v>Jan</v>
      </c>
      <c r="C388" s="666"/>
      <c r="D388" s="941" t="s">
        <v>401</v>
      </c>
      <c r="E388" s="667"/>
      <c r="F388" s="741">
        <f>segmthSales!BX75</f>
        <v>-3</v>
      </c>
      <c r="G388" s="667"/>
      <c r="H388" s="941" t="s">
        <v>401</v>
      </c>
      <c r="I388" s="667"/>
      <c r="J388" s="705">
        <f>'store&amp;sf'!H122</f>
        <v>312</v>
      </c>
      <c r="K388" s="724"/>
      <c r="L388" s="941" t="s">
        <v>401</v>
      </c>
      <c r="M388" s="667"/>
      <c r="N388" s="941" t="s">
        <v>401</v>
      </c>
      <c r="O388" s="704"/>
      <c r="P388" s="941" t="s">
        <v>401</v>
      </c>
      <c r="Q388" s="702"/>
      <c r="R388" s="667"/>
      <c r="S388" s="718">
        <f>'segSales&amp;OM'!N125</f>
        <v>165.9</v>
      </c>
      <c r="T388" s="667"/>
      <c r="U388" s="941" t="s">
        <v>401</v>
      </c>
      <c r="V388" s="666"/>
      <c r="W388" s="941" t="s">
        <v>401</v>
      </c>
      <c r="X388" s="685"/>
      <c r="Y388" s="666"/>
      <c r="Z388" s="678">
        <f>'store&amp;sf'!H486</f>
        <v>1.12625</v>
      </c>
      <c r="AA388" s="671"/>
      <c r="AB388" s="941" t="s">
        <v>401</v>
      </c>
      <c r="AC388" s="666"/>
      <c r="AD388" s="941" t="s">
        <v>401</v>
      </c>
      <c r="AE388" s="685"/>
      <c r="AF388" s="941" t="s">
        <v>401</v>
      </c>
      <c r="AG388" s="668"/>
      <c r="AH388" s="666"/>
      <c r="AI388" s="722">
        <f>+S388</f>
        <v>165.9</v>
      </c>
      <c r="AJ388" s="666"/>
      <c r="AK388" s="941" t="s">
        <v>401</v>
      </c>
      <c r="AL388" s="666"/>
      <c r="AM388" s="941" t="s">
        <v>401</v>
      </c>
      <c r="AN388" s="685"/>
      <c r="AO388" s="666"/>
    </row>
    <row r="389" spans="1:41" hidden="1" outlineLevel="1">
      <c r="A389" s="666"/>
      <c r="B389" s="684" t="str">
        <f>$B$30</f>
        <v>Year</v>
      </c>
      <c r="C389" s="666"/>
      <c r="D389" s="942" t="s">
        <v>401</v>
      </c>
      <c r="E389" s="667"/>
      <c r="F389" s="745">
        <f>segmthSales!BX76</f>
        <v>6</v>
      </c>
      <c r="G389" s="667"/>
      <c r="H389" s="942" t="s">
        <v>401</v>
      </c>
      <c r="I389" s="667"/>
      <c r="J389" s="667"/>
      <c r="K389" s="667"/>
      <c r="L389" s="942" t="s">
        <v>401</v>
      </c>
      <c r="M389" s="667"/>
      <c r="N389" s="942" t="s">
        <v>401</v>
      </c>
      <c r="O389" s="704"/>
      <c r="P389" s="942" t="s">
        <v>401</v>
      </c>
      <c r="Q389" s="702"/>
      <c r="R389" s="667"/>
      <c r="S389" s="726">
        <f>SUM(S385:S388)</f>
        <v>488</v>
      </c>
      <c r="T389" s="667"/>
      <c r="U389" s="942" t="s">
        <v>401</v>
      </c>
      <c r="V389" s="666"/>
      <c r="W389" s="942" t="s">
        <v>401</v>
      </c>
      <c r="X389" s="685"/>
      <c r="Y389" s="666"/>
      <c r="Z389" s="676"/>
      <c r="AA389" s="666"/>
      <c r="AB389" s="942" t="s">
        <v>401</v>
      </c>
      <c r="AC389" s="666"/>
      <c r="AD389" s="942" t="s">
        <v>401</v>
      </c>
      <c r="AE389" s="685"/>
      <c r="AF389" s="942" t="s">
        <v>401</v>
      </c>
      <c r="AG389" s="668"/>
      <c r="AH389" s="666"/>
      <c r="AI389" s="673">
        <f>SUM(AI385:AI388)</f>
        <v>488</v>
      </c>
      <c r="AJ389" s="666"/>
      <c r="AK389" s="942" t="s">
        <v>401</v>
      </c>
      <c r="AL389" s="666"/>
      <c r="AM389" s="942" t="s">
        <v>401</v>
      </c>
      <c r="AN389" s="685"/>
      <c r="AO389" s="666"/>
    </row>
    <row r="390" spans="1:41" hidden="1" outlineLevel="1">
      <c r="A390" s="666"/>
      <c r="B390" s="684"/>
      <c r="C390" s="666"/>
      <c r="D390" s="733"/>
      <c r="E390" s="667"/>
      <c r="F390" s="703"/>
      <c r="G390" s="667"/>
      <c r="H390" s="733"/>
      <c r="I390" s="667"/>
      <c r="J390" s="667"/>
      <c r="K390" s="667"/>
      <c r="L390" s="706"/>
      <c r="M390" s="667"/>
      <c r="N390" s="700"/>
      <c r="O390" s="704"/>
      <c r="P390" s="703"/>
      <c r="Q390" s="702"/>
      <c r="R390" s="667"/>
      <c r="S390" s="726"/>
      <c r="T390" s="667"/>
      <c r="U390" s="707"/>
      <c r="V390" s="666"/>
      <c r="W390" s="730"/>
      <c r="X390" s="685"/>
      <c r="Y390" s="666"/>
      <c r="Z390" s="676"/>
      <c r="AA390" s="666"/>
      <c r="AB390" s="710"/>
      <c r="AC390" s="666"/>
      <c r="AD390" s="700"/>
      <c r="AE390" s="685"/>
      <c r="AF390" s="703"/>
      <c r="AG390" s="668"/>
      <c r="AH390" s="666"/>
      <c r="AI390" s="673"/>
      <c r="AJ390" s="666"/>
      <c r="AK390" s="711"/>
      <c r="AL390" s="666"/>
      <c r="AM390" s="730"/>
      <c r="AN390" s="685"/>
      <c r="AO390" s="666"/>
    </row>
    <row r="391" spans="1:41" hidden="1" outlineLevel="1">
      <c r="A391" s="698"/>
      <c r="B391" s="738">
        <f>B306</f>
        <v>2008</v>
      </c>
      <c r="C391" s="666"/>
      <c r="D391" s="700"/>
      <c r="E391" s="701"/>
      <c r="F391" s="700"/>
      <c r="G391" s="701"/>
      <c r="H391" s="700"/>
      <c r="I391" s="704"/>
      <c r="J391" s="667"/>
      <c r="K391" s="667"/>
      <c r="L391" s="667"/>
      <c r="M391" s="667"/>
      <c r="N391" s="667"/>
      <c r="O391" s="704"/>
      <c r="P391" s="702"/>
      <c r="Q391" s="702"/>
      <c r="R391" s="667"/>
      <c r="S391" s="667"/>
      <c r="T391" s="667"/>
      <c r="U391" s="667"/>
      <c r="V391" s="666"/>
      <c r="W391" s="666"/>
      <c r="X391" s="685"/>
      <c r="Y391" s="666"/>
      <c r="Z391" s="676"/>
      <c r="AA391" s="666"/>
      <c r="AB391" s="679"/>
      <c r="AC391" s="666"/>
      <c r="AD391" s="667"/>
      <c r="AE391" s="685"/>
      <c r="AF391" s="703"/>
      <c r="AG391" s="668"/>
      <c r="AH391" s="666"/>
      <c r="AI391" s="666"/>
      <c r="AJ391" s="666"/>
      <c r="AK391" s="666"/>
      <c r="AL391" s="666"/>
      <c r="AM391" s="666"/>
      <c r="AN391" s="685"/>
      <c r="AO391" s="666"/>
    </row>
    <row r="392" spans="1:41" hidden="1" outlineLevel="1">
      <c r="A392" s="666" t="str">
        <f>$A$26</f>
        <v>1Q</v>
      </c>
      <c r="B392" s="684" t="str">
        <f>$B$26</f>
        <v>Apr</v>
      </c>
      <c r="C392" s="666"/>
      <c r="D392" s="700">
        <f>(S392/S385-1)*100</f>
        <v>22.246455834242074</v>
      </c>
      <c r="E392" s="701" t="s">
        <v>1084</v>
      </c>
      <c r="F392" s="826">
        <f>segmthSales!CB60</f>
        <v>0</v>
      </c>
      <c r="G392" s="701" t="s">
        <v>1084</v>
      </c>
      <c r="H392" s="700">
        <f>D392-F392</f>
        <v>22.246455834242074</v>
      </c>
      <c r="I392" s="704" t="s">
        <v>1084</v>
      </c>
      <c r="J392" s="705">
        <f>'store&amp;sf'!H125</f>
        <v>318</v>
      </c>
      <c r="K392" s="667"/>
      <c r="L392" s="706">
        <f>AVERAGE(J392,J388)</f>
        <v>315</v>
      </c>
      <c r="M392" s="667"/>
      <c r="N392" s="700">
        <f>(J392/J385-1)*100</f>
        <v>5.6478405315614655</v>
      </c>
      <c r="O392" s="704" t="s">
        <v>1084</v>
      </c>
      <c r="P392" s="703">
        <f>H392/N392*100</f>
        <v>393.89312977099172</v>
      </c>
      <c r="Q392" s="702" t="s">
        <v>1084</v>
      </c>
      <c r="R392" s="667"/>
      <c r="S392" s="726">
        <f>'segSales&amp;OM'!AZ157</f>
        <v>112.1</v>
      </c>
      <c r="T392" s="667"/>
      <c r="U392" s="707">
        <f>S392/L392</f>
        <v>0.35587301587301584</v>
      </c>
      <c r="V392" s="666"/>
      <c r="W392" s="940" t="s">
        <v>401</v>
      </c>
      <c r="X392" s="685" t="s">
        <v>1084</v>
      </c>
      <c r="Y392" s="666"/>
      <c r="Z392" s="678">
        <f>'store&amp;sf'!H489</f>
        <v>1.165</v>
      </c>
      <c r="AA392" s="666"/>
      <c r="AB392" s="710">
        <f>AVERAGE(Z392,Z388)</f>
        <v>1.1456249999999999</v>
      </c>
      <c r="AC392" s="666"/>
      <c r="AD392" s="700">
        <f>(Z392/Z385-1)*100</f>
        <v>12.154031287605305</v>
      </c>
      <c r="AE392" s="685" t="s">
        <v>1084</v>
      </c>
      <c r="AF392" s="703">
        <f>+H392/AD392*100</f>
        <v>183.03767126985295</v>
      </c>
      <c r="AG392" s="668" t="s">
        <v>1084</v>
      </c>
      <c r="AH392" s="666"/>
      <c r="AI392" s="673">
        <f>+S392</f>
        <v>112.1</v>
      </c>
      <c r="AJ392" s="666"/>
      <c r="AK392" s="711">
        <f>AI392/AB392</f>
        <v>97.850518276050195</v>
      </c>
      <c r="AL392" s="666"/>
      <c r="AM392" s="940" t="s">
        <v>401</v>
      </c>
      <c r="AN392" s="685" t="s">
        <v>1084</v>
      </c>
      <c r="AO392" s="666"/>
    </row>
    <row r="393" spans="1:41" hidden="1" outlineLevel="1">
      <c r="A393" s="666" t="str">
        <f>$A$27</f>
        <v>2Q</v>
      </c>
      <c r="B393" s="684" t="str">
        <f>$B$27</f>
        <v>Jul</v>
      </c>
      <c r="C393" s="666"/>
      <c r="D393" s="700">
        <f>(S393/S386-1)*100</f>
        <v>18.921308576481</v>
      </c>
      <c r="E393" s="700"/>
      <c r="F393" s="826">
        <f>segmthSales!CB65</f>
        <v>4</v>
      </c>
      <c r="G393" s="700"/>
      <c r="H393" s="700">
        <f>D393-F393</f>
        <v>14.921308576481</v>
      </c>
      <c r="I393" s="667"/>
      <c r="J393" s="705">
        <f>'store&amp;sf'!H126</f>
        <v>319</v>
      </c>
      <c r="K393" s="724"/>
      <c r="L393" s="706">
        <f>AVERAGE(J393,J392)</f>
        <v>318.5</v>
      </c>
      <c r="M393" s="667"/>
      <c r="N393" s="700">
        <f>(J393/J386-1)*100</f>
        <v>5.6291390728476776</v>
      </c>
      <c r="O393" s="704"/>
      <c r="P393" s="703">
        <f>H393/N393*100</f>
        <v>265.07265824101563</v>
      </c>
      <c r="Q393" s="702"/>
      <c r="R393" s="667"/>
      <c r="S393" s="712">
        <f>'segSales&amp;OM'!AZ158</f>
        <v>134.5</v>
      </c>
      <c r="T393" s="667"/>
      <c r="U393" s="713">
        <f>S393/L393</f>
        <v>0.42229199372056514</v>
      </c>
      <c r="V393" s="666"/>
      <c r="W393" s="940" t="s">
        <v>401</v>
      </c>
      <c r="X393" s="685"/>
      <c r="Y393" s="666"/>
      <c r="Z393" s="678">
        <f>'store&amp;sf'!H490</f>
        <v>1.1862499999999998</v>
      </c>
      <c r="AA393" s="724"/>
      <c r="AB393" s="710">
        <f>AVERAGE(Z393,Z392)</f>
        <v>1.1756249999999999</v>
      </c>
      <c r="AC393" s="666"/>
      <c r="AD393" s="700">
        <f>(Z393/Z386-1)*100</f>
        <v>11.384976525821578</v>
      </c>
      <c r="AE393" s="685"/>
      <c r="AF393" s="703">
        <f>+H393/AD393*100</f>
        <v>131.06139079548279</v>
      </c>
      <c r="AG393" s="668"/>
      <c r="AH393" s="666"/>
      <c r="AI393" s="675">
        <f>+S393</f>
        <v>134.5</v>
      </c>
      <c r="AJ393" s="666"/>
      <c r="AK393" s="714">
        <f>AI393/AB393</f>
        <v>114.40723019670389</v>
      </c>
      <c r="AL393" s="666"/>
      <c r="AM393" s="940" t="s">
        <v>401</v>
      </c>
      <c r="AN393" s="685"/>
      <c r="AO393" s="666"/>
    </row>
    <row r="394" spans="1:41" hidden="1" outlineLevel="1">
      <c r="A394" s="666" t="str">
        <f>$A$28</f>
        <v>3Q</v>
      </c>
      <c r="B394" s="684" t="str">
        <f>$B$28</f>
        <v>Oct</v>
      </c>
      <c r="C394" s="666"/>
      <c r="D394" s="700">
        <f>(S394/S387-1)*100</f>
        <v>-5.1150895140664954</v>
      </c>
      <c r="E394" s="700"/>
      <c r="F394" s="826">
        <f>segmthSales!CB70</f>
        <v>-5</v>
      </c>
      <c r="G394" s="700"/>
      <c r="H394" s="700">
        <f>D394-F394</f>
        <v>-0.11508951406649537</v>
      </c>
      <c r="I394" s="667"/>
      <c r="J394" s="705">
        <f>'store&amp;sf'!H127</f>
        <v>318</v>
      </c>
      <c r="K394" s="724"/>
      <c r="L394" s="706">
        <f>AVERAGE(J394,J393)</f>
        <v>318.5</v>
      </c>
      <c r="M394" s="667"/>
      <c r="N394" s="700">
        <f>(J394/J387-1)*100</f>
        <v>3.5830618892508159</v>
      </c>
      <c r="O394" s="704"/>
      <c r="P394" s="703">
        <f>H394/N394*100</f>
        <v>-3.2120437107649149</v>
      </c>
      <c r="Q394" s="702"/>
      <c r="R394" s="667"/>
      <c r="S394" s="712">
        <f>'segSales&amp;OM'!AZ159</f>
        <v>111.3</v>
      </c>
      <c r="T394" s="667"/>
      <c r="U394" s="713">
        <f>S394/L394</f>
        <v>0.34945054945054943</v>
      </c>
      <c r="V394" s="666"/>
      <c r="W394" s="940" t="s">
        <v>401</v>
      </c>
      <c r="X394" s="685"/>
      <c r="Y394" s="666"/>
      <c r="Z394" s="678">
        <f>'store&amp;sf'!H491</f>
        <v>1.1912499999999999</v>
      </c>
      <c r="AA394" s="724"/>
      <c r="AB394" s="710">
        <f>AVERAGE(Z394,Z393)</f>
        <v>1.1887499999999998</v>
      </c>
      <c r="AC394" s="666"/>
      <c r="AD394" s="700">
        <f>(Z394/Z387-1)*100</f>
        <v>6.9584736251402823</v>
      </c>
      <c r="AE394" s="685"/>
      <c r="AF394" s="703">
        <f>+H394/AD394*100</f>
        <v>-1.6539476940846374</v>
      </c>
      <c r="AG394" s="668"/>
      <c r="AH394" s="666"/>
      <c r="AI394" s="675">
        <f>+S394</f>
        <v>111.3</v>
      </c>
      <c r="AJ394" s="666"/>
      <c r="AK394" s="714">
        <f>AI394/AB394</f>
        <v>93.627760252365945</v>
      </c>
      <c r="AL394" s="666"/>
      <c r="AM394" s="940" t="s">
        <v>401</v>
      </c>
      <c r="AN394" s="685"/>
      <c r="AO394" s="666"/>
    </row>
    <row r="395" spans="1:41" hidden="1" outlineLevel="1">
      <c r="A395" s="666" t="str">
        <f>$A$29</f>
        <v>4Q</v>
      </c>
      <c r="B395" s="684" t="str">
        <f>$B$29</f>
        <v>Jan</v>
      </c>
      <c r="C395" s="666"/>
      <c r="D395" s="732">
        <f>(S395/S388-1)*100</f>
        <v>-19.469559975889094</v>
      </c>
      <c r="E395" s="667"/>
      <c r="F395" s="827">
        <f>segmthSales!CB75</f>
        <v>-10</v>
      </c>
      <c r="G395" s="667"/>
      <c r="H395" s="715">
        <f>D395-F395</f>
        <v>-9.4695599758890943</v>
      </c>
      <c r="I395" s="667"/>
      <c r="J395" s="705">
        <f>'store&amp;sf'!H128</f>
        <v>322</v>
      </c>
      <c r="K395" s="724"/>
      <c r="L395" s="716">
        <f>AVERAGE(J395,J394)</f>
        <v>320</v>
      </c>
      <c r="M395" s="667"/>
      <c r="N395" s="715">
        <f>(J395/J388-1)*100</f>
        <v>3.2051282051282159</v>
      </c>
      <c r="O395" s="704"/>
      <c r="P395" s="741">
        <f>H395/N395*100</f>
        <v>-295.45027124773873</v>
      </c>
      <c r="Q395" s="702"/>
      <c r="R395" s="667"/>
      <c r="S395" s="718">
        <f>'segSales&amp;OM'!AZ160</f>
        <v>133.6</v>
      </c>
      <c r="T395" s="667"/>
      <c r="U395" s="719">
        <f>S395/L395</f>
        <v>0.41749999999999998</v>
      </c>
      <c r="V395" s="666"/>
      <c r="W395" s="941" t="s">
        <v>401</v>
      </c>
      <c r="X395" s="685"/>
      <c r="Y395" s="666"/>
      <c r="Z395" s="678">
        <f>'store&amp;sf'!H492</f>
        <v>1.2174999999999998</v>
      </c>
      <c r="AA395" s="671"/>
      <c r="AB395" s="721">
        <f>AVERAGE(Z395,Z394)</f>
        <v>1.2043749999999998</v>
      </c>
      <c r="AC395" s="666"/>
      <c r="AD395" s="715">
        <f>(Z395/Z388-1)*100</f>
        <v>8.1021087680354995</v>
      </c>
      <c r="AE395" s="685"/>
      <c r="AF395" s="717">
        <f>+H395/AD395*100</f>
        <v>-116.87771970241221</v>
      </c>
      <c r="AG395" s="668"/>
      <c r="AH395" s="666"/>
      <c r="AI395" s="722">
        <f>+S395</f>
        <v>133.6</v>
      </c>
      <c r="AJ395" s="666"/>
      <c r="AK395" s="723">
        <f>AI395/AB395</f>
        <v>110.92890503373121</v>
      </c>
      <c r="AL395" s="666"/>
      <c r="AM395" s="941" t="s">
        <v>401</v>
      </c>
      <c r="AN395" s="685"/>
      <c r="AO395" s="666"/>
    </row>
    <row r="396" spans="1:41" hidden="1" outlineLevel="1">
      <c r="A396" s="666"/>
      <c r="B396" s="684" t="str">
        <f>$B$30</f>
        <v>Year</v>
      </c>
      <c r="C396" s="666"/>
      <c r="D396" s="733">
        <f>(S396/S389-1)*100</f>
        <v>0.71721311475410054</v>
      </c>
      <c r="E396" s="667"/>
      <c r="F396" s="703">
        <f>segmthSales!CB76</f>
        <v>-3</v>
      </c>
      <c r="G396" s="667"/>
      <c r="H396" s="733">
        <f>D396-F396</f>
        <v>3.7172131147541005</v>
      </c>
      <c r="I396" s="667"/>
      <c r="J396" s="667"/>
      <c r="K396" s="667"/>
      <c r="L396" s="706">
        <f>AVERAGE(L392:L395)</f>
        <v>318</v>
      </c>
      <c r="M396" s="667"/>
      <c r="N396" s="942" t="s">
        <v>401</v>
      </c>
      <c r="O396" s="704"/>
      <c r="P396" s="942" t="s">
        <v>401</v>
      </c>
      <c r="Q396" s="702"/>
      <c r="R396" s="667"/>
      <c r="S396" s="726">
        <f>SUM(S392:S395)</f>
        <v>491.5</v>
      </c>
      <c r="T396" s="667"/>
      <c r="U396" s="707">
        <f>SUM(U392:U395)</f>
        <v>1.5451155590441306</v>
      </c>
      <c r="V396" s="666"/>
      <c r="W396" s="942" t="s">
        <v>401</v>
      </c>
      <c r="X396" s="685"/>
      <c r="Y396" s="666"/>
      <c r="Z396" s="676"/>
      <c r="AA396" s="666"/>
      <c r="AB396" s="710">
        <f>AVERAGE(AB392:AB395)</f>
        <v>1.1785937499999999</v>
      </c>
      <c r="AC396" s="666"/>
      <c r="AD396" s="942" t="s">
        <v>401</v>
      </c>
      <c r="AE396" s="685"/>
      <c r="AF396" s="942" t="s">
        <v>401</v>
      </c>
      <c r="AG396" s="668"/>
      <c r="AH396" s="666"/>
      <c r="AI396" s="673">
        <f>SUM(AI392:AI395)</f>
        <v>491.5</v>
      </c>
      <c r="AJ396" s="666"/>
      <c r="AK396" s="711">
        <f>SUM(AK392:AK395)</f>
        <v>416.81441375885123</v>
      </c>
      <c r="AL396" s="666"/>
      <c r="AM396" s="942" t="s">
        <v>401</v>
      </c>
      <c r="AN396" s="685"/>
      <c r="AO396" s="666"/>
    </row>
    <row r="397" spans="1:41" hidden="1" outlineLevel="1">
      <c r="A397" s="666"/>
      <c r="B397" s="684"/>
      <c r="C397" s="666"/>
      <c r="D397" s="733"/>
      <c r="E397" s="667"/>
      <c r="F397" s="703"/>
      <c r="G397" s="667"/>
      <c r="H397" s="733"/>
      <c r="I397" s="667"/>
      <c r="J397" s="667"/>
      <c r="K397" s="667"/>
      <c r="L397" s="706"/>
      <c r="M397" s="667"/>
      <c r="N397" s="700"/>
      <c r="O397" s="704"/>
      <c r="P397" s="703"/>
      <c r="Q397" s="702"/>
      <c r="R397" s="667"/>
      <c r="S397" s="726"/>
      <c r="T397" s="667"/>
      <c r="U397" s="707"/>
      <c r="V397" s="666"/>
      <c r="W397" s="730"/>
      <c r="X397" s="685"/>
      <c r="Y397" s="666"/>
      <c r="Z397" s="676"/>
      <c r="AA397" s="666"/>
      <c r="AB397" s="710"/>
      <c r="AC397" s="666"/>
      <c r="AD397" s="700"/>
      <c r="AE397" s="685"/>
      <c r="AF397" s="703"/>
      <c r="AG397" s="668"/>
      <c r="AH397" s="666"/>
      <c r="AI397" s="673"/>
      <c r="AJ397" s="666"/>
      <c r="AK397" s="711"/>
      <c r="AL397" s="666"/>
      <c r="AM397" s="730"/>
      <c r="AN397" s="685"/>
      <c r="AO397" s="666"/>
    </row>
    <row r="398" spans="1:41" hidden="1" outlineLevel="1">
      <c r="A398" s="698"/>
      <c r="B398" s="738">
        <f>B391+1</f>
        <v>2009</v>
      </c>
      <c r="C398" s="666"/>
      <c r="D398" s="700"/>
      <c r="E398" s="701"/>
      <c r="F398" s="700"/>
      <c r="G398" s="701"/>
      <c r="H398" s="700"/>
      <c r="I398" s="704"/>
      <c r="J398" s="667"/>
      <c r="K398" s="667"/>
      <c r="L398" s="667"/>
      <c r="M398" s="667"/>
      <c r="N398" s="667"/>
      <c r="O398" s="704"/>
      <c r="P398" s="702"/>
      <c r="Q398" s="702"/>
      <c r="R398" s="667"/>
      <c r="S398" s="667"/>
      <c r="T398" s="667"/>
      <c r="U398" s="667"/>
      <c r="V398" s="666"/>
      <c r="W398" s="666"/>
      <c r="X398" s="685"/>
      <c r="Y398" s="666"/>
      <c r="Z398" s="676"/>
      <c r="AA398" s="666"/>
      <c r="AB398" s="679"/>
      <c r="AC398" s="666"/>
      <c r="AD398" s="667"/>
      <c r="AE398" s="685"/>
      <c r="AF398" s="703"/>
      <c r="AG398" s="668"/>
      <c r="AH398" s="666"/>
      <c r="AI398" s="666"/>
      <c r="AJ398" s="666"/>
      <c r="AK398" s="666"/>
      <c r="AL398" s="666"/>
      <c r="AM398" s="666"/>
      <c r="AN398" s="685"/>
      <c r="AO398" s="666"/>
    </row>
    <row r="399" spans="1:41" hidden="1" outlineLevel="1">
      <c r="A399" s="666" t="str">
        <f>$A$26</f>
        <v>1Q</v>
      </c>
      <c r="B399" s="684" t="str">
        <f>$B$26</f>
        <v>Apr</v>
      </c>
      <c r="C399" s="666"/>
      <c r="D399" s="700">
        <f>(S399/S392-1)*100</f>
        <v>-27.743086529884032</v>
      </c>
      <c r="E399" s="701" t="s">
        <v>1084</v>
      </c>
      <c r="F399" s="826">
        <f>segmthSales!CF60</f>
        <v>-14</v>
      </c>
      <c r="G399" s="701" t="s">
        <v>1084</v>
      </c>
      <c r="H399" s="700">
        <f>D399-F399</f>
        <v>-13.743086529884032</v>
      </c>
      <c r="I399" s="704" t="s">
        <v>1084</v>
      </c>
      <c r="J399" s="705">
        <f>'store&amp;sf'!H131</f>
        <v>318</v>
      </c>
      <c r="K399" s="667"/>
      <c r="L399" s="706">
        <f>AVERAGE(J399,J395)</f>
        <v>320</v>
      </c>
      <c r="M399" s="667"/>
      <c r="N399" s="700">
        <f>(L399/L392-1)*100</f>
        <v>1.5873015873015817</v>
      </c>
      <c r="O399" s="704" t="s">
        <v>1084</v>
      </c>
      <c r="P399" s="703">
        <f>H399/N399*100</f>
        <v>-865.81445138269703</v>
      </c>
      <c r="Q399" s="702" t="s">
        <v>1084</v>
      </c>
      <c r="R399" s="667"/>
      <c r="S399" s="726">
        <f>'segSales&amp;OM'!AZ164</f>
        <v>81</v>
      </c>
      <c r="T399" s="667"/>
      <c r="U399" s="707">
        <f>S399/L399</f>
        <v>0.25312499999999999</v>
      </c>
      <c r="V399" s="666"/>
      <c r="W399" s="730">
        <f>(U399/U392-1)*100</f>
        <v>-28.872100802854593</v>
      </c>
      <c r="X399" s="685" t="s">
        <v>1084</v>
      </c>
      <c r="Y399" s="666"/>
      <c r="Z399" s="678">
        <f>'store&amp;sf'!H495</f>
        <v>1.2074999999999998</v>
      </c>
      <c r="AA399" s="666"/>
      <c r="AB399" s="710">
        <f>AVERAGE(Z399,Z395)</f>
        <v>1.2124999999999999</v>
      </c>
      <c r="AC399" s="666"/>
      <c r="AD399" s="700">
        <f>(AB399/AB392-1)*100</f>
        <v>5.8374249863611505</v>
      </c>
      <c r="AE399" s="685" t="s">
        <v>1084</v>
      </c>
      <c r="AF399" s="703">
        <f>+H399/AD399*100</f>
        <v>-235.4306318624061</v>
      </c>
      <c r="AG399" s="668" t="s">
        <v>1084</v>
      </c>
      <c r="AH399" s="666"/>
      <c r="AI399" s="673">
        <f>+S399</f>
        <v>81</v>
      </c>
      <c r="AJ399" s="666"/>
      <c r="AK399" s="711">
        <f>AI399/AB399</f>
        <v>66.80412371134021</v>
      </c>
      <c r="AL399" s="666"/>
      <c r="AM399" s="730">
        <f>(AK399/AK392-1)*100</f>
        <v>-31.728390520246098</v>
      </c>
      <c r="AN399" s="685" t="s">
        <v>1084</v>
      </c>
      <c r="AO399" s="666"/>
    </row>
    <row r="400" spans="1:41" hidden="1" outlineLevel="1">
      <c r="A400" s="666" t="str">
        <f>$A$27</f>
        <v>2Q</v>
      </c>
      <c r="B400" s="684" t="str">
        <f>$B$27</f>
        <v>Jul</v>
      </c>
      <c r="C400" s="666"/>
      <c r="D400" s="700">
        <f>(S400/S393-1)*100</f>
        <v>-18.884758364312269</v>
      </c>
      <c r="E400" s="700"/>
      <c r="F400" s="826">
        <f>segmthSales!CF65</f>
        <v>-11</v>
      </c>
      <c r="G400" s="700"/>
      <c r="H400" s="700">
        <f>D400-F400</f>
        <v>-7.884758364312269</v>
      </c>
      <c r="I400" s="667"/>
      <c r="J400" s="705">
        <f>'store&amp;sf'!H132</f>
        <v>306</v>
      </c>
      <c r="K400" s="724"/>
      <c r="L400" s="706">
        <f>AVERAGE(J400,J399)</f>
        <v>312</v>
      </c>
      <c r="M400" s="667"/>
      <c r="N400" s="700">
        <f>(L400/L393-1)*100</f>
        <v>-2.0408163265306145</v>
      </c>
      <c r="O400" s="704"/>
      <c r="P400" s="703">
        <f>H400/N400*100</f>
        <v>386.35315985130075</v>
      </c>
      <c r="Q400" s="702"/>
      <c r="R400" s="667"/>
      <c r="S400" s="712">
        <f>'segSales&amp;OM'!AZ165</f>
        <v>109.1</v>
      </c>
      <c r="T400" s="667"/>
      <c r="U400" s="713">
        <f>S400/L400</f>
        <v>0.34967948717948716</v>
      </c>
      <c r="V400" s="666"/>
      <c r="W400" s="730">
        <f>(U400/U393-1)*100</f>
        <v>-17.194857496902106</v>
      </c>
      <c r="X400" s="685"/>
      <c r="Y400" s="666"/>
      <c r="Z400" s="678">
        <f>'store&amp;sf'!H496</f>
        <v>1.1812499999999999</v>
      </c>
      <c r="AA400" s="724"/>
      <c r="AB400" s="710">
        <f>AVERAGE(Z400,Z399)</f>
        <v>1.194375</v>
      </c>
      <c r="AC400" s="666"/>
      <c r="AD400" s="700">
        <f>(AB400/AB393-1)*100</f>
        <v>1.5948963317384379</v>
      </c>
      <c r="AE400" s="685"/>
      <c r="AF400" s="703">
        <f>+H400/AD400*100</f>
        <v>-494.37434944237896</v>
      </c>
      <c r="AG400" s="668"/>
      <c r="AH400" s="666"/>
      <c r="AI400" s="675">
        <f>+S400</f>
        <v>109.1</v>
      </c>
      <c r="AJ400" s="666"/>
      <c r="AK400" s="714">
        <f>AI400/AB400</f>
        <v>91.344845630559917</v>
      </c>
      <c r="AL400" s="666"/>
      <c r="AM400" s="730">
        <f>(AK400/AK393-1)*100</f>
        <v>-20.158153052470638</v>
      </c>
      <c r="AN400" s="685"/>
      <c r="AO400" s="666"/>
    </row>
    <row r="401" spans="1:41" hidden="1" outlineLevel="1">
      <c r="A401" s="666" t="str">
        <f>$A$28</f>
        <v>3Q</v>
      </c>
      <c r="B401" s="684" t="str">
        <f>$B$28</f>
        <v>Oct</v>
      </c>
      <c r="C401" s="666"/>
      <c r="D401" s="700">
        <f>(S401/S394-1)*100</f>
        <v>-11.230907457322548</v>
      </c>
      <c r="E401" s="700"/>
      <c r="F401" s="703">
        <f>segmthSales!CF70</f>
        <v>-6</v>
      </c>
      <c r="G401" s="700"/>
      <c r="H401" s="700">
        <f>D401-F401</f>
        <v>-5.230907457322548</v>
      </c>
      <c r="I401" s="667"/>
      <c r="J401" s="705">
        <f>'store&amp;sf'!H133</f>
        <v>304</v>
      </c>
      <c r="K401" s="724"/>
      <c r="L401" s="706">
        <f>AVERAGE(J401,J400)</f>
        <v>305</v>
      </c>
      <c r="M401" s="667"/>
      <c r="N401" s="700">
        <f>(L401/L394-1)*100</f>
        <v>-4.2386185243328045</v>
      </c>
      <c r="O401" s="704"/>
      <c r="P401" s="740">
        <f>H401/N401*100</f>
        <v>123.41066853016547</v>
      </c>
      <c r="Q401" s="702"/>
      <c r="R401" s="667"/>
      <c r="S401" s="712">
        <f>'segSales&amp;OM'!AZ166</f>
        <v>98.8</v>
      </c>
      <c r="T401" s="667"/>
      <c r="U401" s="713">
        <f>S401/L401</f>
        <v>0.32393442622950819</v>
      </c>
      <c r="V401" s="666"/>
      <c r="W401" s="730">
        <f>(U401/U394-1)*100</f>
        <v>-7.3017836890401089</v>
      </c>
      <c r="X401" s="685"/>
      <c r="Y401" s="666"/>
      <c r="Z401" s="678">
        <f>'store&amp;sf'!H497</f>
        <v>1.1912499999999999</v>
      </c>
      <c r="AA401" s="724"/>
      <c r="AB401" s="710">
        <f>AVERAGE(Z401,Z400)</f>
        <v>1.1862499999999998</v>
      </c>
      <c r="AC401" s="666"/>
      <c r="AD401" s="700">
        <f>(AB401/AB394-1)*100</f>
        <v>-0.2103049421661396</v>
      </c>
      <c r="AE401" s="685"/>
      <c r="AF401" s="703">
        <f>+H401/AD401*100</f>
        <v>2487.2964959568872</v>
      </c>
      <c r="AG401" s="668"/>
      <c r="AH401" s="666"/>
      <c r="AI401" s="675">
        <f>+S401</f>
        <v>98.8</v>
      </c>
      <c r="AJ401" s="666"/>
      <c r="AK401" s="714">
        <f>AI401/AB401</f>
        <v>83.287671232876718</v>
      </c>
      <c r="AL401" s="666"/>
      <c r="AM401" s="730">
        <f>(AK401/AK394-1)*100</f>
        <v>-11.043828231732089</v>
      </c>
      <c r="AN401" s="685"/>
      <c r="AO401" s="666"/>
    </row>
    <row r="402" spans="1:41" hidden="1" outlineLevel="1">
      <c r="A402" s="666" t="str">
        <f>$A$29</f>
        <v>4Q</v>
      </c>
      <c r="B402" s="684" t="str">
        <f>$B$29</f>
        <v>Jan</v>
      </c>
      <c r="C402" s="666"/>
      <c r="D402" s="732">
        <f>(S402/S395-1)*100</f>
        <v>0.67365269461079347</v>
      </c>
      <c r="E402" s="667"/>
      <c r="F402" s="827">
        <f>segmthSales!CF75</f>
        <v>-4</v>
      </c>
      <c r="G402" s="667"/>
      <c r="H402" s="715">
        <f>D402-F402</f>
        <v>4.6736526946107935</v>
      </c>
      <c r="I402" s="667"/>
      <c r="J402" s="705">
        <f>'store&amp;sf'!H134</f>
        <v>258</v>
      </c>
      <c r="K402" s="724"/>
      <c r="L402" s="716">
        <f>AVERAGE(J402,J401)</f>
        <v>281</v>
      </c>
      <c r="M402" s="667"/>
      <c r="N402" s="715">
        <f>(L402/L395-1)*100</f>
        <v>-12.187499999999996</v>
      </c>
      <c r="O402" s="704"/>
      <c r="P402" s="741">
        <f>H402/N402*100</f>
        <v>-38.347919545524469</v>
      </c>
      <c r="Q402" s="702"/>
      <c r="R402" s="667"/>
      <c r="S402" s="718">
        <f>'segSales&amp;OM'!AZ167</f>
        <v>134.5</v>
      </c>
      <c r="T402" s="667"/>
      <c r="U402" s="719">
        <f>S402/L402</f>
        <v>0.47864768683274023</v>
      </c>
      <c r="V402" s="666"/>
      <c r="W402" s="720">
        <f>(U402/U395-1)*100</f>
        <v>14.646152534788094</v>
      </c>
      <c r="X402" s="685"/>
      <c r="Y402" s="666"/>
      <c r="Z402" s="678">
        <f>'store&amp;sf'!H498</f>
        <v>1.0862499999999999</v>
      </c>
      <c r="AA402" s="671"/>
      <c r="AB402" s="721">
        <f>AVERAGE(Z402,Z401)</f>
        <v>1.1387499999999999</v>
      </c>
      <c r="AC402" s="666"/>
      <c r="AD402" s="715">
        <f>(AB402/AB395-1)*100</f>
        <v>-5.448884276076793</v>
      </c>
      <c r="AE402" s="685"/>
      <c r="AF402" s="717">
        <f>+H402/AD402*100</f>
        <v>-85.772654690619206</v>
      </c>
      <c r="AG402" s="668"/>
      <c r="AH402" s="666"/>
      <c r="AI402" s="722">
        <f>+S402</f>
        <v>134.5</v>
      </c>
      <c r="AJ402" s="666"/>
      <c r="AK402" s="723">
        <f>AI402/AB402</f>
        <v>118.1119648737651</v>
      </c>
      <c r="AL402" s="666"/>
      <c r="AM402" s="720">
        <f>(AK402/AK395-1)*100</f>
        <v>6.47537252607846</v>
      </c>
      <c r="AN402" s="685"/>
      <c r="AO402" s="666"/>
    </row>
    <row r="403" spans="1:41" hidden="1" outlineLevel="1">
      <c r="A403" s="666"/>
      <c r="B403" s="684" t="str">
        <f>$B$30</f>
        <v>Year</v>
      </c>
      <c r="C403" s="666"/>
      <c r="D403" s="733">
        <f>(S403/S396-1)*100</f>
        <v>-13.855544252288921</v>
      </c>
      <c r="E403" s="667"/>
      <c r="F403" s="703">
        <f>segmthSales!CF76</f>
        <v>-8</v>
      </c>
      <c r="G403" s="667"/>
      <c r="H403" s="733">
        <f>D403-F403</f>
        <v>-5.8555442522889205</v>
      </c>
      <c r="I403" s="667"/>
      <c r="J403" s="667"/>
      <c r="K403" s="667"/>
      <c r="L403" s="706">
        <f>AVERAGE(L399:L402)</f>
        <v>304.5</v>
      </c>
      <c r="M403" s="667"/>
      <c r="N403" s="700">
        <f>(L403/L396-1)*100</f>
        <v>-4.2452830188679291</v>
      </c>
      <c r="O403" s="704"/>
      <c r="P403" s="703">
        <f>H403/N403*100</f>
        <v>137.93059794280552</v>
      </c>
      <c r="Q403" s="702"/>
      <c r="R403" s="667"/>
      <c r="S403" s="726">
        <f>SUM(S399:S402)</f>
        <v>423.4</v>
      </c>
      <c r="T403" s="667"/>
      <c r="U403" s="707">
        <f>SUM(U399:U402)</f>
        <v>1.4053866002417355</v>
      </c>
      <c r="V403" s="666"/>
      <c r="W403" s="730">
        <f>(U403/U396-1)*100</f>
        <v>-9.0432691577345121</v>
      </c>
      <c r="X403" s="685"/>
      <c r="Y403" s="666"/>
      <c r="Z403" s="676"/>
      <c r="AA403" s="666"/>
      <c r="AB403" s="710">
        <f>AVERAGE(AB399:AB402)</f>
        <v>1.1829687499999999</v>
      </c>
      <c r="AC403" s="666"/>
      <c r="AD403" s="700">
        <f>(AB403/AB396-1)*100</f>
        <v>0.37120509081267627</v>
      </c>
      <c r="AE403" s="685"/>
      <c r="AF403" s="703">
        <f>+H403/AD403*100</f>
        <v>-1577.4417962505379</v>
      </c>
      <c r="AG403" s="668"/>
      <c r="AH403" s="666"/>
      <c r="AI403" s="673">
        <f>SUM(AI399:AI402)</f>
        <v>423.4</v>
      </c>
      <c r="AJ403" s="666"/>
      <c r="AK403" s="711">
        <f>SUM(AK399:AK402)</f>
        <v>359.54860544854193</v>
      </c>
      <c r="AL403" s="666"/>
      <c r="AM403" s="730">
        <f>(AK403/AK396-1)*100</f>
        <v>-13.738922268518417</v>
      </c>
      <c r="AN403" s="685"/>
      <c r="AO403" s="666"/>
    </row>
    <row r="404" spans="1:41" hidden="1" outlineLevel="1">
      <c r="A404" s="666"/>
      <c r="B404" s="684"/>
      <c r="C404" s="666"/>
      <c r="D404" s="733"/>
      <c r="E404" s="667"/>
      <c r="F404" s="703"/>
      <c r="G404" s="667"/>
      <c r="H404" s="733"/>
      <c r="I404" s="667"/>
      <c r="J404" s="667"/>
      <c r="K404" s="667"/>
      <c r="L404" s="706"/>
      <c r="M404" s="667"/>
      <c r="N404" s="700"/>
      <c r="O404" s="704"/>
      <c r="P404" s="703"/>
      <c r="Q404" s="702"/>
      <c r="R404" s="667"/>
      <c r="S404" s="726"/>
      <c r="T404" s="667"/>
      <c r="U404" s="707"/>
      <c r="V404" s="666"/>
      <c r="W404" s="730"/>
      <c r="X404" s="685"/>
      <c r="Y404" s="666"/>
      <c r="Z404" s="676"/>
      <c r="AA404" s="666"/>
      <c r="AB404" s="710"/>
      <c r="AC404" s="666"/>
      <c r="AD404" s="700"/>
      <c r="AE404" s="685"/>
      <c r="AF404" s="703"/>
      <c r="AG404" s="668"/>
      <c r="AH404" s="666"/>
      <c r="AI404" s="673"/>
      <c r="AJ404" s="666"/>
      <c r="AK404" s="711"/>
      <c r="AL404" s="666"/>
      <c r="AM404" s="730"/>
      <c r="AN404" s="685"/>
      <c r="AO404" s="666"/>
    </row>
    <row r="405" spans="1:41" hidden="1" outlineLevel="1">
      <c r="A405" s="698"/>
      <c r="B405" s="738">
        <f>B398+1</f>
        <v>2010</v>
      </c>
      <c r="C405" s="666"/>
      <c r="D405" s="700"/>
      <c r="E405" s="701"/>
      <c r="F405" s="700"/>
      <c r="G405" s="701"/>
      <c r="H405" s="700"/>
      <c r="I405" s="704"/>
      <c r="J405" s="667"/>
      <c r="K405" s="667"/>
      <c r="L405" s="667"/>
      <c r="M405" s="667"/>
      <c r="N405" s="667"/>
      <c r="O405" s="704"/>
      <c r="P405" s="702"/>
      <c r="Q405" s="702"/>
      <c r="R405" s="667"/>
      <c r="S405" s="667"/>
      <c r="T405" s="667"/>
      <c r="U405" s="667"/>
      <c r="V405" s="666"/>
      <c r="W405" s="666"/>
      <c r="X405" s="685"/>
      <c r="Y405" s="666"/>
      <c r="Z405" s="676"/>
      <c r="AA405" s="666"/>
      <c r="AB405" s="679"/>
      <c r="AC405" s="666"/>
      <c r="AD405" s="667"/>
      <c r="AE405" s="685"/>
      <c r="AF405" s="703"/>
      <c r="AG405" s="668"/>
      <c r="AH405" s="666"/>
      <c r="AI405" s="666"/>
      <c r="AJ405" s="666"/>
      <c r="AK405" s="666"/>
      <c r="AL405" s="666"/>
      <c r="AM405" s="666"/>
      <c r="AN405" s="685"/>
      <c r="AO405" s="666"/>
    </row>
    <row r="406" spans="1:41" hidden="1" outlineLevel="1">
      <c r="A406" s="666" t="str">
        <f>$A$26</f>
        <v>1Q</v>
      </c>
      <c r="B406" s="684" t="str">
        <f>$B$26</f>
        <v>Apr</v>
      </c>
      <c r="C406" s="666"/>
      <c r="D406" s="700">
        <f>(S406/S399-1)*100</f>
        <v>5.432098765432114</v>
      </c>
      <c r="E406" s="701" t="s">
        <v>1084</v>
      </c>
      <c r="F406" s="949">
        <f>segmthSales!$CJ$60</f>
        <v>3</v>
      </c>
      <c r="G406" s="701" t="s">
        <v>1084</v>
      </c>
      <c r="H406" s="700">
        <f>D406-F406</f>
        <v>2.432098765432114</v>
      </c>
      <c r="I406" s="704" t="s">
        <v>1084</v>
      </c>
      <c r="J406" s="705">
        <f>'store&amp;sf'!H137</f>
        <v>257</v>
      </c>
      <c r="K406" s="667"/>
      <c r="L406" s="706">
        <f>AVERAGE(J406,J402)</f>
        <v>257.5</v>
      </c>
      <c r="M406" s="667"/>
      <c r="N406" s="700">
        <f>(L406/L399-1)*100</f>
        <v>-19.53125</v>
      </c>
      <c r="O406" s="704" t="s">
        <v>1084</v>
      </c>
      <c r="P406" s="703">
        <f>H406/N406*100</f>
        <v>-12.452345679012424</v>
      </c>
      <c r="Q406" s="702" t="s">
        <v>1084</v>
      </c>
      <c r="R406" s="667"/>
      <c r="S406" s="726">
        <f>'segSales&amp;OM'!AZ171</f>
        <v>85.4</v>
      </c>
      <c r="T406" s="667"/>
      <c r="U406" s="707">
        <f>S406/L406</f>
        <v>0.33165048543689324</v>
      </c>
      <c r="V406" s="666"/>
      <c r="W406" s="730">
        <f>(U406/U399-1)*100</f>
        <v>31.022413999760289</v>
      </c>
      <c r="X406" s="685" t="s">
        <v>1084</v>
      </c>
      <c r="Y406" s="666"/>
      <c r="Z406" s="678">
        <f>'store&amp;sf'!H501</f>
        <v>1.08375</v>
      </c>
      <c r="AA406" s="666"/>
      <c r="AB406" s="710">
        <f>AVERAGE(Z406,Z402)</f>
        <v>1.085</v>
      </c>
      <c r="AC406" s="666"/>
      <c r="AD406" s="700">
        <f>(AB406/AB399-1)*100</f>
        <v>-10.51546391752577</v>
      </c>
      <c r="AE406" s="685" t="s">
        <v>1084</v>
      </c>
      <c r="AF406" s="703">
        <f>+H406/AD406*100</f>
        <v>-23.128782377148543</v>
      </c>
      <c r="AG406" s="668" t="s">
        <v>1084</v>
      </c>
      <c r="AH406" s="666"/>
      <c r="AI406" s="673">
        <f>+S406</f>
        <v>85.4</v>
      </c>
      <c r="AJ406" s="666"/>
      <c r="AK406" s="711">
        <f>AI406/AB406</f>
        <v>78.709677419354847</v>
      </c>
      <c r="AL406" s="666"/>
      <c r="AM406" s="730">
        <f>(AK406/AK399-1)*100</f>
        <v>17.821585025886112</v>
      </c>
      <c r="AN406" s="685" t="s">
        <v>1084</v>
      </c>
      <c r="AO406" s="666"/>
    </row>
    <row r="407" spans="1:41" hidden="1" outlineLevel="1">
      <c r="A407" s="666" t="str">
        <f>$A$27</f>
        <v>2Q</v>
      </c>
      <c r="B407" s="684" t="str">
        <f>$B$27</f>
        <v>Jul</v>
      </c>
      <c r="C407" s="666"/>
      <c r="D407" s="700">
        <f>(S407/S400-1)*100</f>
        <v>-6.6911090742438066</v>
      </c>
      <c r="E407" s="700"/>
      <c r="F407" s="949">
        <f>segmthSales!CJ65</f>
        <v>0</v>
      </c>
      <c r="G407" s="700"/>
      <c r="H407" s="700">
        <f>D407-F407</f>
        <v>-6.6911090742438066</v>
      </c>
      <c r="I407" s="667"/>
      <c r="J407" s="705">
        <f>'store&amp;sf'!H138</f>
        <v>255</v>
      </c>
      <c r="K407" s="724"/>
      <c r="L407" s="706">
        <f>AVERAGE(J407,J406)</f>
        <v>256</v>
      </c>
      <c r="M407" s="667"/>
      <c r="N407" s="700">
        <f>(L407/L400-1)*100</f>
        <v>-17.948717948717952</v>
      </c>
      <c r="O407" s="704"/>
      <c r="P407" s="703">
        <f>H407/N407*100</f>
        <v>37.279036270786911</v>
      </c>
      <c r="Q407" s="702"/>
      <c r="R407" s="667"/>
      <c r="S407" s="712">
        <f>'segSales&amp;OM'!AZ172</f>
        <v>101.8</v>
      </c>
      <c r="T407" s="667"/>
      <c r="U407" s="713">
        <f>S407/L407</f>
        <v>0.39765624999999999</v>
      </c>
      <c r="V407" s="666"/>
      <c r="W407" s="730">
        <f>(U407/U400-1)*100</f>
        <v>13.720210815765356</v>
      </c>
      <c r="X407" s="685"/>
      <c r="Y407" s="666"/>
      <c r="Z407" s="678">
        <f>'store&amp;sf'!H502</f>
        <v>1.0712499999999998</v>
      </c>
      <c r="AA407" s="724"/>
      <c r="AB407" s="710">
        <f>AVERAGE(Z407,Z406)</f>
        <v>1.0774999999999999</v>
      </c>
      <c r="AC407" s="666"/>
      <c r="AD407" s="700">
        <f>(AB407/AB400-1)*100</f>
        <v>-9.7854526425955051</v>
      </c>
      <c r="AE407" s="685"/>
      <c r="AF407" s="703">
        <f>+H407/AD407*100</f>
        <v>68.378125352298966</v>
      </c>
      <c r="AG407" s="668"/>
      <c r="AH407" s="666"/>
      <c r="AI407" s="675">
        <f>+S407</f>
        <v>101.8</v>
      </c>
      <c r="AJ407" s="666"/>
      <c r="AK407" s="714">
        <f>AI407/AB407</f>
        <v>94.477958236658935</v>
      </c>
      <c r="AL407" s="666"/>
      <c r="AM407" s="730">
        <f>(AK407/AK400-1)*100</f>
        <v>3.4299829229234691</v>
      </c>
      <c r="AN407" s="685"/>
      <c r="AO407" s="666"/>
    </row>
    <row r="408" spans="1:41" hidden="1" outlineLevel="1">
      <c r="A408" s="666" t="str">
        <f>$A$28</f>
        <v>3Q</v>
      </c>
      <c r="B408" s="684" t="str">
        <f>$B$28</f>
        <v>Oct</v>
      </c>
      <c r="C408" s="666"/>
      <c r="D408" s="700">
        <f>(S408/S401-1)*100</f>
        <v>-9.109311740890691</v>
      </c>
      <c r="E408" s="700"/>
      <c r="F408" s="949">
        <f>+segmthSales!CJ70</f>
        <v>1</v>
      </c>
      <c r="G408" s="700"/>
      <c r="H408" s="700">
        <f>D408-F408</f>
        <v>-10.109311740890691</v>
      </c>
      <c r="I408" s="667"/>
      <c r="J408" s="705">
        <f>'store&amp;sf'!H139</f>
        <v>255</v>
      </c>
      <c r="K408" s="724"/>
      <c r="L408" s="706">
        <f>AVERAGE(J408,J407)</f>
        <v>255</v>
      </c>
      <c r="M408" s="667"/>
      <c r="N408" s="700">
        <f>(L408/L401-1)*100</f>
        <v>-16.393442622950815</v>
      </c>
      <c r="O408" s="704"/>
      <c r="P408" s="703">
        <f>H408/N408*100</f>
        <v>61.66680161943323</v>
      </c>
      <c r="Q408" s="702"/>
      <c r="R408" s="667"/>
      <c r="S408" s="712">
        <f>'segSales&amp;OM'!AZ173</f>
        <v>89.8</v>
      </c>
      <c r="T408" s="667"/>
      <c r="U408" s="713">
        <f>S408/L408</f>
        <v>0.35215686274509805</v>
      </c>
      <c r="V408" s="666"/>
      <c r="W408" s="730">
        <f>(U408/U401-1)*100</f>
        <v>8.7123918393268376</v>
      </c>
      <c r="X408" s="685"/>
      <c r="Y408" s="666"/>
      <c r="Z408" s="678">
        <f>'store&amp;sf'!H503</f>
        <v>1.0699999999999998</v>
      </c>
      <c r="AA408" s="724"/>
      <c r="AB408" s="710">
        <f>AVERAGE(Z408,Z407)</f>
        <v>1.0706249999999997</v>
      </c>
      <c r="AC408" s="666"/>
      <c r="AD408" s="700">
        <f>(AB408/AB401-1)*100</f>
        <v>-9.7471022128556513</v>
      </c>
      <c r="AE408" s="685"/>
      <c r="AF408" s="703">
        <f>+H408/AD408*100</f>
        <v>103.71607396870543</v>
      </c>
      <c r="AG408" s="668"/>
      <c r="AH408" s="666"/>
      <c r="AI408" s="675">
        <f>+S408</f>
        <v>89.8</v>
      </c>
      <c r="AJ408" s="666"/>
      <c r="AK408" s="714">
        <f>AI408/AB408</f>
        <v>83.876240513718642</v>
      </c>
      <c r="AL408" s="666"/>
      <c r="AM408" s="730">
        <f>(AK408/AK401-1)*100</f>
        <v>0.70667035364244679</v>
      </c>
      <c r="AN408" s="685"/>
      <c r="AO408" s="666"/>
    </row>
    <row r="409" spans="1:41" hidden="1" outlineLevel="1">
      <c r="A409" s="666" t="str">
        <f>$A$29</f>
        <v>4Q</v>
      </c>
      <c r="B409" s="684" t="str">
        <f>$B$29</f>
        <v>Jan</v>
      </c>
      <c r="C409" s="666"/>
      <c r="D409" s="732">
        <f>(S409/S402-1)*100</f>
        <v>-9.8884758364312209</v>
      </c>
      <c r="E409" s="667"/>
      <c r="F409" s="947">
        <f>+segmthSales!CJ75</f>
        <v>-5</v>
      </c>
      <c r="G409" s="667"/>
      <c r="H409" s="715">
        <f>D409-F409</f>
        <v>-4.8884758364312209</v>
      </c>
      <c r="I409" s="667"/>
      <c r="J409" s="705">
        <f>'store&amp;sf'!H140</f>
        <v>252</v>
      </c>
      <c r="K409" s="724"/>
      <c r="L409" s="716">
        <f>AVERAGE(J409,J408)</f>
        <v>253.5</v>
      </c>
      <c r="M409" s="667"/>
      <c r="N409" s="715">
        <f>(L409/L402-1)*100</f>
        <v>-9.7864768683273979</v>
      </c>
      <c r="O409" s="704"/>
      <c r="P409" s="741">
        <f>H409/N409*100</f>
        <v>49.951334910442682</v>
      </c>
      <c r="Q409" s="702"/>
      <c r="R409" s="667"/>
      <c r="S409" s="718">
        <f>'segSales&amp;OM'!AZ174</f>
        <v>121.2</v>
      </c>
      <c r="T409" s="667"/>
      <c r="U409" s="719">
        <f>S409/L409</f>
        <v>0.47810650887573963</v>
      </c>
      <c r="V409" s="666"/>
      <c r="W409" s="720">
        <f>(U409/U402-1)*100</f>
        <v>-0.1130639449198223</v>
      </c>
      <c r="X409" s="685"/>
      <c r="Y409" s="666"/>
      <c r="Z409" s="678">
        <f>'store&amp;sf'!H504</f>
        <v>1.05375</v>
      </c>
      <c r="AA409" s="671"/>
      <c r="AB409" s="721">
        <f>AVERAGE(Z409,Z408)</f>
        <v>1.0618749999999999</v>
      </c>
      <c r="AC409" s="666"/>
      <c r="AD409" s="715">
        <f>(AB409/AB402-1)*100</f>
        <v>-6.7508232711306242</v>
      </c>
      <c r="AE409" s="685"/>
      <c r="AF409" s="717">
        <f>+H409/AD409*100</f>
        <v>72.413032308761686</v>
      </c>
      <c r="AG409" s="668"/>
      <c r="AH409" s="666"/>
      <c r="AI409" s="722">
        <f>+S409</f>
        <v>121.2</v>
      </c>
      <c r="AJ409" s="666"/>
      <c r="AK409" s="723">
        <f>AI409/AB409</f>
        <v>114.13772807533844</v>
      </c>
      <c r="AL409" s="666"/>
      <c r="AM409" s="720">
        <f>(AK409/AK402-1)*100</f>
        <v>-3.3648045756195955</v>
      </c>
      <c r="AN409" s="685"/>
      <c r="AO409" s="666"/>
    </row>
    <row r="410" spans="1:41" hidden="1" outlineLevel="1">
      <c r="A410" s="666"/>
      <c r="B410" s="684" t="str">
        <f>$B$30</f>
        <v>Year</v>
      </c>
      <c r="C410" s="666"/>
      <c r="D410" s="733">
        <f>(S410/S403-1)*100</f>
        <v>-5.951818611242321</v>
      </c>
      <c r="E410" s="667"/>
      <c r="F410" s="703">
        <f>+F406*S406/S410+F407*S407/S410+F408*S408/S410+F409*S409/S410</f>
        <v>-0.65293822199899543</v>
      </c>
      <c r="G410" s="667"/>
      <c r="H410" s="733">
        <f>D410-F410</f>
        <v>-5.2988803892433261</v>
      </c>
      <c r="I410" s="667"/>
      <c r="J410" s="667"/>
      <c r="K410" s="667"/>
      <c r="L410" s="706">
        <f>AVERAGE(L406:L409)</f>
        <v>255.5</v>
      </c>
      <c r="M410" s="667"/>
      <c r="N410" s="700">
        <f>(L410/L403-1)*100</f>
        <v>-16.09195402298851</v>
      </c>
      <c r="O410" s="704"/>
      <c r="P410" s="703">
        <f>H410/N410*100</f>
        <v>32.92875670458352</v>
      </c>
      <c r="Q410" s="702"/>
      <c r="R410" s="667"/>
      <c r="S410" s="726">
        <f>SUM(S406:S409)</f>
        <v>398.2</v>
      </c>
      <c r="T410" s="667"/>
      <c r="U410" s="707">
        <f>SUM(U406:U409)</f>
        <v>1.559570107057731</v>
      </c>
      <c r="V410" s="666"/>
      <c r="W410" s="730">
        <f>(U410/U403-1)*100</f>
        <v>10.970896320590718</v>
      </c>
      <c r="X410" s="685"/>
      <c r="Y410" s="666"/>
      <c r="Z410" s="676"/>
      <c r="AA410" s="666"/>
      <c r="AB410" s="710">
        <f>AVERAGE(AB406:AB409)</f>
        <v>1.0737499999999998</v>
      </c>
      <c r="AC410" s="666"/>
      <c r="AD410" s="700">
        <f>(AB410/AB403-1)*100</f>
        <v>-9.2325980715889706</v>
      </c>
      <c r="AE410" s="685"/>
      <c r="AF410" s="703">
        <f>+H410/AD410*100</f>
        <v>57.393166562176198</v>
      </c>
      <c r="AG410" s="668"/>
      <c r="AH410" s="666"/>
      <c r="AI410" s="673">
        <f>SUM(AI406:AI409)</f>
        <v>398.2</v>
      </c>
      <c r="AJ410" s="666"/>
      <c r="AK410" s="711">
        <f>SUM(AK406:AK409)</f>
        <v>371.20160424507088</v>
      </c>
      <c r="AL410" s="666"/>
      <c r="AM410" s="730">
        <f>(AK410/AK403-1)*100</f>
        <v>3.241007924920658</v>
      </c>
      <c r="AN410" s="685"/>
      <c r="AO410" s="666"/>
    </row>
    <row r="411" spans="1:41" hidden="1" outlineLevel="1">
      <c r="A411" s="666"/>
      <c r="B411" s="684"/>
      <c r="C411" s="666"/>
      <c r="D411" s="733"/>
      <c r="E411" s="667"/>
      <c r="F411" s="703"/>
      <c r="G411" s="667"/>
      <c r="H411" s="733"/>
      <c r="I411" s="667"/>
      <c r="J411" s="667"/>
      <c r="K411" s="667"/>
      <c r="L411" s="706"/>
      <c r="M411" s="667"/>
      <c r="N411" s="700"/>
      <c r="O411" s="704"/>
      <c r="P411" s="703"/>
      <c r="Q411" s="702"/>
      <c r="R411" s="667"/>
      <c r="S411" s="726"/>
      <c r="T411" s="667"/>
      <c r="U411" s="707"/>
      <c r="V411" s="666"/>
      <c r="W411" s="730"/>
      <c r="X411" s="685"/>
      <c r="Y411" s="666"/>
      <c r="Z411" s="676"/>
      <c r="AA411" s="666"/>
      <c r="AB411" s="710"/>
      <c r="AC411" s="666"/>
      <c r="AD411" s="700"/>
      <c r="AE411" s="685"/>
      <c r="AF411" s="703"/>
      <c r="AG411" s="668"/>
      <c r="AH411" s="666"/>
      <c r="AI411" s="673"/>
      <c r="AJ411" s="666"/>
      <c r="AK411" s="711"/>
      <c r="AL411" s="666"/>
      <c r="AM411" s="730"/>
      <c r="AN411" s="685"/>
      <c r="AO411" s="666"/>
    </row>
    <row r="412" spans="1:41" hidden="1" outlineLevel="1">
      <c r="A412" s="698"/>
      <c r="B412" s="738">
        <f>B405+1</f>
        <v>2011</v>
      </c>
      <c r="C412" s="666"/>
      <c r="D412" s="700"/>
      <c r="E412" s="701"/>
      <c r="F412" s="700"/>
      <c r="G412" s="701"/>
      <c r="H412" s="700"/>
      <c r="I412" s="704"/>
      <c r="J412" s="667"/>
      <c r="K412" s="667"/>
      <c r="L412" s="667"/>
      <c r="M412" s="667"/>
      <c r="N412" s="667"/>
      <c r="O412" s="704"/>
      <c r="P412" s="702"/>
      <c r="Q412" s="702"/>
      <c r="R412" s="667"/>
      <c r="S412" s="667"/>
      <c r="T412" s="667"/>
      <c r="U412" s="667"/>
      <c r="V412" s="666"/>
      <c r="W412" s="666"/>
      <c r="X412" s="685"/>
      <c r="Y412" s="666"/>
      <c r="Z412" s="676"/>
      <c r="AA412" s="666"/>
      <c r="AB412" s="679"/>
      <c r="AC412" s="666"/>
      <c r="AD412" s="667"/>
      <c r="AE412" s="685"/>
      <c r="AF412" s="703"/>
      <c r="AG412" s="668"/>
      <c r="AH412" s="666"/>
      <c r="AI412" s="666"/>
      <c r="AJ412" s="666"/>
      <c r="AK412" s="666"/>
      <c r="AL412" s="666"/>
      <c r="AM412" s="666"/>
      <c r="AN412" s="685"/>
      <c r="AO412" s="666"/>
    </row>
    <row r="413" spans="1:41" hidden="1" outlineLevel="1">
      <c r="A413" s="666" t="str">
        <f>$A$26</f>
        <v>1Q</v>
      </c>
      <c r="B413" s="684" t="str">
        <f>$B$26</f>
        <v>Apr</v>
      </c>
      <c r="C413" s="666"/>
      <c r="D413" s="700">
        <f>(S413/S406-1)*100</f>
        <v>3.3957845433255196</v>
      </c>
      <c r="E413" s="701" t="s">
        <v>1084</v>
      </c>
      <c r="F413" s="949">
        <f>+segmthSales!CN60</f>
        <v>-4</v>
      </c>
      <c r="G413" s="701" t="s">
        <v>1084</v>
      </c>
      <c r="H413" s="700">
        <f>D413-F413</f>
        <v>7.3957845433255196</v>
      </c>
      <c r="I413" s="704" t="s">
        <v>1084</v>
      </c>
      <c r="J413" s="705">
        <f>'store&amp;sf'!H143</f>
        <v>250</v>
      </c>
      <c r="K413" s="667"/>
      <c r="L413" s="706">
        <f>AVERAGE(J413,J409)</f>
        <v>251</v>
      </c>
      <c r="M413" s="667"/>
      <c r="N413" s="700">
        <f>(L413/L406-1)*100</f>
        <v>-2.5242718446601975</v>
      </c>
      <c r="O413" s="704" t="s">
        <v>1084</v>
      </c>
      <c r="P413" s="703">
        <f>H413/N413*100</f>
        <v>-292.98684921635675</v>
      </c>
      <c r="Q413" s="702" t="s">
        <v>1084</v>
      </c>
      <c r="R413" s="667"/>
      <c r="S413" s="726">
        <f>'segSales&amp;OM'!AZ178</f>
        <v>88.3</v>
      </c>
      <c r="T413" s="667"/>
      <c r="U413" s="707">
        <f>S413/L413</f>
        <v>0.35179282868525896</v>
      </c>
      <c r="V413" s="666"/>
      <c r="W413" s="730">
        <f>(U413/U406-1)*100</f>
        <v>6.07336462114072</v>
      </c>
      <c r="X413" s="685" t="s">
        <v>1084</v>
      </c>
      <c r="Y413" s="666"/>
      <c r="Z413" s="678">
        <f>'store&amp;sf'!H507</f>
        <v>1.0374999999999999</v>
      </c>
      <c r="AA413" s="666"/>
      <c r="AB413" s="710">
        <f>AVERAGE(Z413,Z409)</f>
        <v>1.0456249999999998</v>
      </c>
      <c r="AC413" s="666"/>
      <c r="AD413" s="700">
        <f>(AB413/AB406-1)*100</f>
        <v>-3.6290322580645351</v>
      </c>
      <c r="AE413" s="685" t="s">
        <v>1084</v>
      </c>
      <c r="AF413" s="703">
        <f>+H413/AD413*100</f>
        <v>-203.79495186052435</v>
      </c>
      <c r="AG413" s="668" t="s">
        <v>1084</v>
      </c>
      <c r="AH413" s="666"/>
      <c r="AI413" s="673">
        <f>+S413</f>
        <v>88.3</v>
      </c>
      <c r="AJ413" s="666"/>
      <c r="AK413" s="711">
        <f>AI413/AB413</f>
        <v>84.447101016138689</v>
      </c>
      <c r="AL413" s="666"/>
      <c r="AM413" s="730">
        <f>(AK413/AK406-1)*100</f>
        <v>7.2893496516515999</v>
      </c>
      <c r="AN413" s="685" t="s">
        <v>1084</v>
      </c>
      <c r="AO413" s="666"/>
    </row>
    <row r="414" spans="1:41" hidden="1" outlineLevel="1">
      <c r="A414" s="666" t="str">
        <f>$A$27</f>
        <v>2Q</v>
      </c>
      <c r="B414" s="684" t="str">
        <f>$B$27</f>
        <v>Jul</v>
      </c>
      <c r="C414" s="666"/>
      <c r="D414" s="700">
        <f>(S414/S407-1)*100</f>
        <v>12.180746561886057</v>
      </c>
      <c r="E414" s="700"/>
      <c r="F414" s="949">
        <f>segmthSales!CN65</f>
        <v>1</v>
      </c>
      <c r="G414" s="700"/>
      <c r="H414" s="700">
        <f>D414-F414</f>
        <v>11.180746561886057</v>
      </c>
      <c r="I414" s="667"/>
      <c r="J414" s="705">
        <f>'store&amp;sf'!H144</f>
        <v>249</v>
      </c>
      <c r="K414" s="724"/>
      <c r="L414" s="706">
        <f>AVERAGE(J414,J413)</f>
        <v>249.5</v>
      </c>
      <c r="M414" s="667"/>
      <c r="N414" s="700">
        <f>(L414/L407-1)*100</f>
        <v>-2.5390625</v>
      </c>
      <c r="O414" s="704"/>
      <c r="P414" s="703">
        <f>H414/N414*100</f>
        <v>-440.34940305274313</v>
      </c>
      <c r="Q414" s="702"/>
      <c r="R414" s="667"/>
      <c r="S414" s="712">
        <f>'segSales&amp;OM'!AZ179</f>
        <v>114.2</v>
      </c>
      <c r="T414" s="667"/>
      <c r="U414" s="713">
        <f>S414/L414</f>
        <v>0.45771543086172345</v>
      </c>
      <c r="V414" s="666"/>
      <c r="W414" s="730">
        <f>(U414/U407-1)*100</f>
        <v>15.103291061494307</v>
      </c>
      <c r="X414" s="685"/>
      <c r="Y414" s="666"/>
      <c r="Z414" s="678">
        <f>'store&amp;sf'!H508</f>
        <v>1.0325</v>
      </c>
      <c r="AA414" s="724"/>
      <c r="AB414" s="710">
        <f>AVERAGE(Z414,Z413)</f>
        <v>1.0349999999999999</v>
      </c>
      <c r="AC414" s="666"/>
      <c r="AD414" s="700">
        <f>(AB414/AB407-1)*100</f>
        <v>-3.9443155452436152</v>
      </c>
      <c r="AE414" s="685"/>
      <c r="AF414" s="703">
        <f>+H414/AD414*100</f>
        <v>-283.46480989252331</v>
      </c>
      <c r="AG414" s="668"/>
      <c r="AH414" s="666"/>
      <c r="AI414" s="675">
        <f>+S414</f>
        <v>114.2</v>
      </c>
      <c r="AJ414" s="666"/>
      <c r="AK414" s="714">
        <f>AI414/AB414</f>
        <v>110.33816425120774</v>
      </c>
      <c r="AL414" s="666"/>
      <c r="AM414" s="730">
        <f>(AK414/AK407-1)*100</f>
        <v>16.787202338581864</v>
      </c>
      <c r="AN414" s="685"/>
      <c r="AO414" s="666"/>
    </row>
    <row r="415" spans="1:41" hidden="1" outlineLevel="1">
      <c r="A415" s="666" t="str">
        <f>$A$28</f>
        <v>3Q</v>
      </c>
      <c r="B415" s="684" t="str">
        <f>$B$28</f>
        <v>Oct</v>
      </c>
      <c r="C415" s="666"/>
      <c r="D415" s="700">
        <f>(S415/S408-1)*100</f>
        <v>3.4521158129175999</v>
      </c>
      <c r="E415" s="700"/>
      <c r="F415" s="949">
        <f>segmthSales!CN70</f>
        <v>-4</v>
      </c>
      <c r="G415" s="700"/>
      <c r="H415" s="700">
        <f>D415-F415</f>
        <v>7.4521158129175999</v>
      </c>
      <c r="I415" s="667"/>
      <c r="J415" s="705">
        <f>'store&amp;sf'!H145</f>
        <v>249</v>
      </c>
      <c r="K415" s="724"/>
      <c r="L415" s="706">
        <f>AVERAGE(J415,J414)</f>
        <v>249</v>
      </c>
      <c r="M415" s="667"/>
      <c r="N415" s="700">
        <f>(L415/L408-1)*100</f>
        <v>-2.352941176470591</v>
      </c>
      <c r="O415" s="704"/>
      <c r="P415" s="703">
        <f>H415/N415*100</f>
        <v>-316.71492204899761</v>
      </c>
      <c r="Q415" s="702"/>
      <c r="R415" s="667"/>
      <c r="S415" s="712">
        <f>'segSales&amp;OM'!AZ180</f>
        <v>92.9</v>
      </c>
      <c r="T415" s="667"/>
      <c r="U415" s="713">
        <f>S415/L415</f>
        <v>0.37309236947791169</v>
      </c>
      <c r="V415" s="666"/>
      <c r="W415" s="730">
        <f>(U415/U408-1)*100</f>
        <v>5.9449378806987418</v>
      </c>
      <c r="X415" s="685"/>
      <c r="Y415" s="666"/>
      <c r="Z415" s="678">
        <f>'store&amp;sf'!H509</f>
        <v>1.0325</v>
      </c>
      <c r="AA415" s="724"/>
      <c r="AB415" s="710">
        <f>AVERAGE(Z415,Z414)</f>
        <v>1.0325</v>
      </c>
      <c r="AC415" s="666"/>
      <c r="AD415" s="700">
        <f>(AB415/AB408-1)*100</f>
        <v>-3.5610040863981118</v>
      </c>
      <c r="AE415" s="685"/>
      <c r="AF415" s="703">
        <f>+H415/AD415*100</f>
        <v>-209.27007192668719</v>
      </c>
      <c r="AG415" s="668"/>
      <c r="AH415" s="666"/>
      <c r="AI415" s="675">
        <f>+S415</f>
        <v>92.9</v>
      </c>
      <c r="AJ415" s="666"/>
      <c r="AK415" s="714">
        <f>AI415/AB415</f>
        <v>89.97578692493947</v>
      </c>
      <c r="AL415" s="666"/>
      <c r="AM415" s="730">
        <f>(AK415/AK408-1)*100</f>
        <v>7.272078927074932</v>
      </c>
      <c r="AN415" s="685"/>
      <c r="AO415" s="666"/>
    </row>
    <row r="416" spans="1:41" hidden="1" outlineLevel="1">
      <c r="A416" s="666" t="str">
        <f>$A$29</f>
        <v>4Q</v>
      </c>
      <c r="B416" s="684" t="str">
        <f>$B$29</f>
        <v>Jan</v>
      </c>
      <c r="C416" s="666"/>
      <c r="D416" s="732">
        <f>(S416/S409-1)*100</f>
        <v>-1.4851485148514865</v>
      </c>
      <c r="E416" s="667"/>
      <c r="F416" s="947">
        <f>segmthSales!CN75</f>
        <v>-3.5983475502878584</v>
      </c>
      <c r="G416" s="667"/>
      <c r="H416" s="715">
        <f>D416-F416</f>
        <v>2.1131990354363719</v>
      </c>
      <c r="I416" s="667"/>
      <c r="J416" s="705">
        <f>'store&amp;sf'!H146</f>
        <v>230</v>
      </c>
      <c r="K416" s="724"/>
      <c r="L416" s="716">
        <f>AVERAGE(J416,J415)</f>
        <v>239.5</v>
      </c>
      <c r="M416" s="667"/>
      <c r="N416" s="715">
        <f>(L416/L409-1)*100</f>
        <v>-5.5226824457593633</v>
      </c>
      <c r="O416" s="704"/>
      <c r="P416" s="717">
        <f>H416/N416*100</f>
        <v>-38.263996820222914</v>
      </c>
      <c r="Q416" s="702"/>
      <c r="R416" s="667"/>
      <c r="S416" s="718">
        <f>'segSales&amp;OM'!AZ181</f>
        <v>119.4</v>
      </c>
      <c r="T416" s="667"/>
      <c r="U416" s="719">
        <f>S416/L416</f>
        <v>0.49853862212943634</v>
      </c>
      <c r="V416" s="666"/>
      <c r="W416" s="720">
        <f>(U416/U409-1)*100</f>
        <v>4.2735484404390345</v>
      </c>
      <c r="X416" s="685"/>
      <c r="Y416" s="666"/>
      <c r="Z416" s="678">
        <f>'store&amp;sf'!H510</f>
        <v>0.95250000000000001</v>
      </c>
      <c r="AA416" s="671"/>
      <c r="AB416" s="721">
        <f>AVERAGE(Z416,Z415)</f>
        <v>0.99249999999999994</v>
      </c>
      <c r="AC416" s="666"/>
      <c r="AD416" s="715">
        <f>(AB416/AB409-1)*100</f>
        <v>-6.5332548557975212</v>
      </c>
      <c r="AE416" s="685"/>
      <c r="AF416" s="717">
        <f>+H416/AD416*100</f>
        <v>-32.345271722580179</v>
      </c>
      <c r="AG416" s="668"/>
      <c r="AH416" s="666"/>
      <c r="AI416" s="722">
        <f>+S416</f>
        <v>119.4</v>
      </c>
      <c r="AJ416" s="666"/>
      <c r="AK416" s="723">
        <f>AI416/AB416</f>
        <v>120.3022670025189</v>
      </c>
      <c r="AL416" s="666"/>
      <c r="AM416" s="720">
        <f>(AK416/AK409-1)*100</f>
        <v>5.4009651594882468</v>
      </c>
      <c r="AN416" s="685"/>
      <c r="AO416" s="666"/>
    </row>
    <row r="417" spans="1:41" hidden="1" outlineLevel="1">
      <c r="A417" s="666"/>
      <c r="B417" s="684" t="str">
        <f>$B$30</f>
        <v>Year</v>
      </c>
      <c r="C417" s="666"/>
      <c r="D417" s="733">
        <f>(S417/S410-1)*100</f>
        <v>4.1687594173781983</v>
      </c>
      <c r="E417" s="667"/>
      <c r="F417" s="703">
        <f>+F413*S413/S417+F414*S414/S417+F415*S415/S417+F416*S416/S417</f>
        <v>-2.5078174963943356</v>
      </c>
      <c r="G417" s="667"/>
      <c r="H417" s="733">
        <f>D417-F417</f>
        <v>6.6765769137725339</v>
      </c>
      <c r="I417" s="667"/>
      <c r="J417" s="667"/>
      <c r="K417" s="667"/>
      <c r="L417" s="706">
        <f>AVERAGE(L413:L416)</f>
        <v>247.25</v>
      </c>
      <c r="M417" s="667"/>
      <c r="N417" s="700">
        <f>(L417/L410-1)*100</f>
        <v>-3.2289628180039109</v>
      </c>
      <c r="O417" s="704"/>
      <c r="P417" s="703">
        <f>H417/N417*100</f>
        <v>-206.77156381441017</v>
      </c>
      <c r="Q417" s="702"/>
      <c r="R417" s="667"/>
      <c r="S417" s="726">
        <f>SUM(S413:S416)</f>
        <v>414.79999999999995</v>
      </c>
      <c r="T417" s="667"/>
      <c r="U417" s="707">
        <f>SUM(U413:U416)</f>
        <v>1.6811392511543306</v>
      </c>
      <c r="V417" s="666"/>
      <c r="W417" s="730">
        <f>(U417/U410-1)*100</f>
        <v>7.7950419507559543</v>
      </c>
      <c r="X417" s="685"/>
      <c r="Y417" s="666"/>
      <c r="Z417" s="676"/>
      <c r="AA417" s="666"/>
      <c r="AB417" s="710">
        <f>AVERAGE(AB413:AB416)</f>
        <v>1.0264062499999997</v>
      </c>
      <c r="AC417" s="666"/>
      <c r="AD417" s="700">
        <f>(AB417/AB410-1)*100</f>
        <v>-4.4091967403958154</v>
      </c>
      <c r="AE417" s="685"/>
      <c r="AF417" s="703">
        <f>+H417/AD417*100</f>
        <v>-151.4238830080686</v>
      </c>
      <c r="AG417" s="668"/>
      <c r="AH417" s="666"/>
      <c r="AI417" s="673">
        <f>SUM(AI413:AI416)</f>
        <v>414.79999999999995</v>
      </c>
      <c r="AJ417" s="666"/>
      <c r="AK417" s="711">
        <f>SUM(AK413:AK416)</f>
        <v>405.06331919480476</v>
      </c>
      <c r="AL417" s="666"/>
      <c r="AM417" s="730">
        <f>(AK417/AK410-1)*100</f>
        <v>9.1221898188182493</v>
      </c>
      <c r="AN417" s="685"/>
      <c r="AO417" s="666"/>
    </row>
    <row r="418" spans="1:41" hidden="1" outlineLevel="1">
      <c r="A418" s="666"/>
      <c r="B418" s="684"/>
      <c r="C418" s="666"/>
      <c r="D418" s="733"/>
      <c r="E418" s="667"/>
      <c r="F418" s="703"/>
      <c r="G418" s="667"/>
      <c r="H418" s="733"/>
      <c r="I418" s="667"/>
      <c r="J418" s="667"/>
      <c r="K418" s="667"/>
      <c r="L418" s="706"/>
      <c r="M418" s="667"/>
      <c r="N418" s="700"/>
      <c r="O418" s="704"/>
      <c r="P418" s="703"/>
      <c r="Q418" s="702"/>
      <c r="R418" s="667"/>
      <c r="S418" s="726"/>
      <c r="T418" s="667"/>
      <c r="U418" s="707"/>
      <c r="V418" s="666"/>
      <c r="W418" s="730"/>
      <c r="X418" s="685"/>
      <c r="Y418" s="666"/>
      <c r="Z418" s="676"/>
      <c r="AA418" s="666"/>
      <c r="AB418" s="710"/>
      <c r="AC418" s="666"/>
      <c r="AD418" s="700"/>
      <c r="AE418" s="685"/>
      <c r="AF418" s="703"/>
      <c r="AG418" s="668"/>
      <c r="AH418" s="666"/>
      <c r="AI418" s="673"/>
      <c r="AJ418" s="666"/>
      <c r="AK418" s="711"/>
      <c r="AL418" s="666"/>
      <c r="AM418" s="730"/>
      <c r="AN418" s="685"/>
      <c r="AO418" s="666"/>
    </row>
    <row r="419" spans="1:41" hidden="1" outlineLevel="1">
      <c r="A419" s="698"/>
      <c r="B419" s="728">
        <f>B412+1</f>
        <v>2012</v>
      </c>
      <c r="C419" s="666"/>
      <c r="D419" s="700"/>
      <c r="E419" s="701"/>
      <c r="F419" s="700"/>
      <c r="G419" s="701"/>
      <c r="H419" s="700"/>
      <c r="I419" s="704"/>
      <c r="J419" s="667"/>
      <c r="K419" s="667"/>
      <c r="L419" s="667"/>
      <c r="M419" s="667"/>
      <c r="N419" s="667"/>
      <c r="O419" s="704"/>
      <c r="P419" s="702"/>
      <c r="Q419" s="702"/>
      <c r="R419" s="667"/>
      <c r="S419" s="667"/>
      <c r="T419" s="667"/>
      <c r="U419" s="667"/>
      <c r="V419" s="666"/>
      <c r="W419" s="666"/>
      <c r="X419" s="685"/>
      <c r="Y419" s="666"/>
      <c r="Z419" s="676"/>
      <c r="AA419" s="666"/>
      <c r="AB419" s="679"/>
      <c r="AC419" s="666"/>
      <c r="AD419" s="667"/>
      <c r="AE419" s="685"/>
      <c r="AF419" s="703"/>
      <c r="AG419" s="668"/>
      <c r="AH419" s="666"/>
      <c r="AI419" s="666"/>
      <c r="AJ419" s="666"/>
      <c r="AK419" s="666"/>
      <c r="AL419" s="666"/>
      <c r="AM419" s="666"/>
      <c r="AN419" s="685"/>
      <c r="AO419" s="666"/>
    </row>
    <row r="420" spans="1:41" hidden="1" outlineLevel="1">
      <c r="A420" s="666" t="str">
        <f>$A$26</f>
        <v>1Q</v>
      </c>
      <c r="B420" s="684" t="str">
        <f>$B$26</f>
        <v>Apr</v>
      </c>
      <c r="C420" s="666"/>
      <c r="D420" s="700">
        <f>(S420/S413-1)*100</f>
        <v>-14.722536806342013</v>
      </c>
      <c r="E420" s="701" t="s">
        <v>1084</v>
      </c>
      <c r="F420" s="703">
        <f>segmthSales!CR60</f>
        <v>-1</v>
      </c>
      <c r="G420" s="701" t="s">
        <v>1084</v>
      </c>
      <c r="H420" s="700">
        <f>D420-F420</f>
        <v>-13.722536806342013</v>
      </c>
      <c r="I420" s="704" t="s">
        <v>1084</v>
      </c>
      <c r="J420" s="705">
        <f>'store&amp;sf'!H149</f>
        <v>199</v>
      </c>
      <c r="K420" s="667"/>
      <c r="L420" s="706">
        <f>AVERAGE(J420,J416)</f>
        <v>214.5</v>
      </c>
      <c r="M420" s="667"/>
      <c r="N420" s="700">
        <f>(L420/L413-1)*100</f>
        <v>-14.541832669322707</v>
      </c>
      <c r="O420" s="704" t="s">
        <v>1084</v>
      </c>
      <c r="P420" s="703">
        <f>H420/N420*100</f>
        <v>94.365938038132768</v>
      </c>
      <c r="Q420" s="702" t="s">
        <v>1084</v>
      </c>
      <c r="R420" s="667"/>
      <c r="S420" s="726">
        <f>'segSales&amp;OM'!AZ202</f>
        <v>75.3</v>
      </c>
      <c r="T420" s="667"/>
      <c r="U420" s="707">
        <f>S420/L420</f>
        <v>0.35104895104895106</v>
      </c>
      <c r="V420" s="666"/>
      <c r="W420" s="730">
        <f>(U420/U413-1)*100</f>
        <v>-0.21145332583610843</v>
      </c>
      <c r="X420" s="685" t="s">
        <v>1084</v>
      </c>
      <c r="Y420" s="666"/>
      <c r="Z420" s="678">
        <f>'store&amp;sf'!H513</f>
        <v>0.82499999999999996</v>
      </c>
      <c r="AA420" s="666"/>
      <c r="AB420" s="710">
        <f>AVERAGE(Z420,Z416)</f>
        <v>0.88874999999999993</v>
      </c>
      <c r="AC420" s="666"/>
      <c r="AD420" s="700">
        <f>(AB420/AB413-1)*100</f>
        <v>-15.002988643156002</v>
      </c>
      <c r="AE420" s="685" t="s">
        <v>1084</v>
      </c>
      <c r="AF420" s="703">
        <f>+H420/AD420*100</f>
        <v>91.465354888486843</v>
      </c>
      <c r="AG420" s="668" t="s">
        <v>1084</v>
      </c>
      <c r="AH420" s="666"/>
      <c r="AI420" s="673">
        <f>+S420</f>
        <v>75.3</v>
      </c>
      <c r="AJ420" s="666"/>
      <c r="AK420" s="711">
        <f>AI420/AB420</f>
        <v>84.725738396624479</v>
      </c>
      <c r="AL420" s="666"/>
      <c r="AM420" s="730">
        <f>(AK420/AK413-1)*100</f>
        <v>0.32995493881138316</v>
      </c>
      <c r="AN420" s="685" t="s">
        <v>1084</v>
      </c>
      <c r="AO420" s="666"/>
    </row>
    <row r="421" spans="1:41" hidden="1" outlineLevel="1">
      <c r="A421" s="666" t="str">
        <f>$A$27</f>
        <v>2Q</v>
      </c>
      <c r="B421" s="684" t="str">
        <f>$B$27</f>
        <v>Jul</v>
      </c>
      <c r="C421" s="666"/>
      <c r="D421" s="700">
        <f>(S421/S414-1)*100</f>
        <v>-16.900175131348504</v>
      </c>
      <c r="E421" s="700"/>
      <c r="F421" s="703">
        <f>segmthSales!CR65</f>
        <v>-2.6977578221129956</v>
      </c>
      <c r="G421" s="700"/>
      <c r="H421" s="700">
        <f>D421-F421</f>
        <v>-14.202417309235509</v>
      </c>
      <c r="I421" s="667"/>
      <c r="J421" s="705">
        <f>'store&amp;sf'!H150</f>
        <v>189</v>
      </c>
      <c r="K421" s="724"/>
      <c r="L421" s="706">
        <f>AVERAGE(J421,J420)</f>
        <v>194</v>
      </c>
      <c r="M421" s="667"/>
      <c r="N421" s="700">
        <f>(L421/L414-1)*100</f>
        <v>-22.244488977955911</v>
      </c>
      <c r="O421" s="704"/>
      <c r="P421" s="1094">
        <f>H421/N421*100</f>
        <v>63.846903038815498</v>
      </c>
      <c r="Q421" s="702"/>
      <c r="R421" s="667"/>
      <c r="S421" s="712">
        <f>'segSales&amp;OM'!AZ203</f>
        <v>94.9</v>
      </c>
      <c r="T421" s="667"/>
      <c r="U421" s="713">
        <f>S421/L421</f>
        <v>0.4891752577319588</v>
      </c>
      <c r="V421" s="666"/>
      <c r="W421" s="730">
        <f>(U421/U414-1)*100</f>
        <v>6.8732283748894174</v>
      </c>
      <c r="X421" s="685"/>
      <c r="Y421" s="666"/>
      <c r="Z421" s="678">
        <f>'store&amp;sf'!H514</f>
        <v>0.80999999999999994</v>
      </c>
      <c r="AA421" s="724"/>
      <c r="AB421" s="710">
        <f>AVERAGE(Z421,Z420)</f>
        <v>0.81749999999999989</v>
      </c>
      <c r="AC421" s="666"/>
      <c r="AD421" s="700">
        <f>(AB421/AB414-1)*100</f>
        <v>-21.014492753623195</v>
      </c>
      <c r="AE421" s="685"/>
      <c r="AF421" s="703">
        <f>+H421/AD421*100</f>
        <v>67.583916850844815</v>
      </c>
      <c r="AG421" s="668"/>
      <c r="AH421" s="666"/>
      <c r="AI421" s="675">
        <f>+S421</f>
        <v>94.9</v>
      </c>
      <c r="AJ421" s="666"/>
      <c r="AK421" s="714">
        <f>AI421/AB421</f>
        <v>116.085626911315</v>
      </c>
      <c r="AL421" s="666"/>
      <c r="AM421" s="730">
        <f>(AK421/AK414-1)*100</f>
        <v>5.2089525859991381</v>
      </c>
      <c r="AN421" s="685"/>
      <c r="AO421" s="666"/>
    </row>
    <row r="422" spans="1:41" hidden="1" outlineLevel="1">
      <c r="A422" s="666" t="str">
        <f>$A$28</f>
        <v>3Q</v>
      </c>
      <c r="B422" s="684" t="str">
        <f>$B$28</f>
        <v>Oct</v>
      </c>
      <c r="C422" s="666"/>
      <c r="D422" s="700">
        <f>(S422/S415-1)*100</f>
        <v>-10.764262648008616</v>
      </c>
      <c r="E422" s="700"/>
      <c r="F422" s="703">
        <f>segmthSales!CR70</f>
        <v>-2</v>
      </c>
      <c r="G422" s="700"/>
      <c r="H422" s="700">
        <f>D422-F422</f>
        <v>-8.7642626480086161</v>
      </c>
      <c r="I422" s="667"/>
      <c r="J422" s="705">
        <f>'store&amp;sf'!H151</f>
        <v>165</v>
      </c>
      <c r="K422" s="724"/>
      <c r="L422" s="706">
        <f>AVERAGE(J422,J421)</f>
        <v>177</v>
      </c>
      <c r="M422" s="667"/>
      <c r="N422" s="700">
        <f>(L422/L415-1)*100</f>
        <v>-28.915662650602414</v>
      </c>
      <c r="O422" s="704"/>
      <c r="P422" s="1094">
        <f>H422/N422*100</f>
        <v>30.30974165769646</v>
      </c>
      <c r="Q422" s="702"/>
      <c r="R422" s="667"/>
      <c r="S422" s="712">
        <f>'segSales&amp;OM'!AZ204</f>
        <v>82.9</v>
      </c>
      <c r="T422" s="667"/>
      <c r="U422" s="713">
        <f>S422/L422</f>
        <v>0.46836158192090399</v>
      </c>
      <c r="V422" s="666"/>
      <c r="W422" s="730">
        <f>(U422/U415-1)*100</f>
        <v>25.535020342631952</v>
      </c>
      <c r="X422" s="685"/>
      <c r="Y422" s="666"/>
      <c r="Z422" s="678">
        <f>'store&amp;sf'!H515</f>
        <v>0.68625000000000003</v>
      </c>
      <c r="AA422" s="724"/>
      <c r="AB422" s="710">
        <f>AVERAGE(Z422,Z421)</f>
        <v>0.74812499999999993</v>
      </c>
      <c r="AC422" s="666"/>
      <c r="AD422" s="700">
        <f>(AB422/AB415-1)*100</f>
        <v>-27.542372881355938</v>
      </c>
      <c r="AE422" s="685"/>
      <c r="AF422" s="703">
        <f>+H422/AD422*100</f>
        <v>31.821015152769739</v>
      </c>
      <c r="AG422" s="668"/>
      <c r="AH422" s="666"/>
      <c r="AI422" s="675">
        <f>+S422</f>
        <v>82.9</v>
      </c>
      <c r="AJ422" s="666"/>
      <c r="AK422" s="714">
        <f>AI422/AB422</f>
        <v>110.81035923141188</v>
      </c>
      <c r="AL422" s="666"/>
      <c r="AM422" s="730">
        <f>(AK422/AK415-1)*100</f>
        <v>23.155754474093392</v>
      </c>
      <c r="AN422" s="685"/>
      <c r="AO422" s="666"/>
    </row>
    <row r="423" spans="1:41" hidden="1" outlineLevel="1">
      <c r="A423" s="666" t="str">
        <f>$A$29</f>
        <v>4Q</v>
      </c>
      <c r="B423" s="684" t="str">
        <f>$B$29</f>
        <v>Jan</v>
      </c>
      <c r="C423" s="666"/>
      <c r="D423" s="715">
        <f>(S423/S416-1)*100</f>
        <v>-14.237855946398659</v>
      </c>
      <c r="E423" s="667"/>
      <c r="F423" s="717">
        <f>segmthSales!CR75</f>
        <v>0</v>
      </c>
      <c r="G423" s="667"/>
      <c r="H423" s="715">
        <f>D423-F423</f>
        <v>-14.237855946398659</v>
      </c>
      <c r="I423" s="667"/>
      <c r="J423" s="705">
        <f>'store&amp;sf'!H152</f>
        <v>158</v>
      </c>
      <c r="K423" s="724"/>
      <c r="L423" s="716">
        <f>AVERAGE(J423,J422)</f>
        <v>161.5</v>
      </c>
      <c r="M423" s="667"/>
      <c r="N423" s="715">
        <f>(L423/L416-1)*100</f>
        <v>-32.567849686847595</v>
      </c>
      <c r="O423" s="704"/>
      <c r="P423" s="741">
        <f>H423/N423*100</f>
        <v>43.717519220031789</v>
      </c>
      <c r="Q423" s="702"/>
      <c r="R423" s="667"/>
      <c r="S423" s="718">
        <f>'segSales&amp;OM'!AZ205</f>
        <v>102.4</v>
      </c>
      <c r="T423" s="667"/>
      <c r="U423" s="719">
        <f>S423/L423</f>
        <v>0.6340557275541796</v>
      </c>
      <c r="V423" s="666"/>
      <c r="W423" s="720">
        <f>(U423/U416-1)*100</f>
        <v>27.182869974226143</v>
      </c>
      <c r="X423" s="685"/>
      <c r="Y423" s="666"/>
      <c r="Z423" s="678">
        <f>'store&amp;sf'!H516</f>
        <v>0.63624999999999998</v>
      </c>
      <c r="AA423" s="671"/>
      <c r="AB423" s="721">
        <f>AVERAGE(Z423,Z422)</f>
        <v>0.66125</v>
      </c>
      <c r="AC423" s="666"/>
      <c r="AD423" s="715">
        <f>(AB423/AB416-1)*100</f>
        <v>-33.37531486146095</v>
      </c>
      <c r="AE423" s="685"/>
      <c r="AF423" s="717">
        <f>+H423/AD423*100</f>
        <v>42.659840080907692</v>
      </c>
      <c r="AG423" s="668"/>
      <c r="AH423" s="666"/>
      <c r="AI423" s="722">
        <f>+S423</f>
        <v>102.4</v>
      </c>
      <c r="AJ423" s="666"/>
      <c r="AK423" s="723">
        <f>AI423/AB423</f>
        <v>154.85822306238185</v>
      </c>
      <c r="AL423" s="666"/>
      <c r="AM423" s="720">
        <f>(AK423/AK416-1)*100</f>
        <v>28.72427670805191</v>
      </c>
      <c r="AN423" s="685"/>
      <c r="AO423" s="666"/>
    </row>
    <row r="424" spans="1:41" hidden="1" outlineLevel="1">
      <c r="A424" s="666"/>
      <c r="B424" s="684" t="str">
        <f>$B$30</f>
        <v>Year</v>
      </c>
      <c r="C424" s="666"/>
      <c r="D424" s="733">
        <f>(S424/S417-1)*100</f>
        <v>-14.296046287367393</v>
      </c>
      <c r="E424" s="667"/>
      <c r="F424" s="703">
        <f>+F420*S420/S424+F421*S421/S424+F422*S422/S424+F423*S423/S424</f>
        <v>-1.3983606675626534</v>
      </c>
      <c r="G424" s="667"/>
      <c r="H424" s="733">
        <f>D424-F424</f>
        <v>-12.89768561980474</v>
      </c>
      <c r="I424" s="667"/>
      <c r="J424" s="667"/>
      <c r="K424" s="667"/>
      <c r="L424" s="706">
        <f>AVERAGE(L420:L423)</f>
        <v>186.75</v>
      </c>
      <c r="M424" s="667"/>
      <c r="N424" s="700">
        <f>(L424/L417-1)*100</f>
        <v>-24.46916076845298</v>
      </c>
      <c r="O424" s="704"/>
      <c r="P424" s="703">
        <f>H424/N424*100</f>
        <v>52.709963132177229</v>
      </c>
      <c r="Q424" s="702"/>
      <c r="R424" s="667"/>
      <c r="S424" s="726">
        <f>SUM(S420:S423)</f>
        <v>355.5</v>
      </c>
      <c r="T424" s="667"/>
      <c r="U424" s="707">
        <f>SUM(U420:U423)</f>
        <v>1.9426415182559935</v>
      </c>
      <c r="V424" s="666"/>
      <c r="W424" s="730">
        <f>(U424/U417-1)*100</f>
        <v>15.555062849321132</v>
      </c>
      <c r="X424" s="685"/>
      <c r="Y424" s="666"/>
      <c r="Z424" s="676"/>
      <c r="AA424" s="666"/>
      <c r="AB424" s="710">
        <f>AVERAGE(AB420:AB423)</f>
        <v>0.77890624999999991</v>
      </c>
      <c r="AC424" s="666"/>
      <c r="AD424" s="700">
        <f>(AB424/AB417-1)*100</f>
        <v>-24.113259247982942</v>
      </c>
      <c r="AE424" s="685"/>
      <c r="AF424" s="703">
        <f>+H424/AD424*100</f>
        <v>53.487939922031167</v>
      </c>
      <c r="AG424" s="668"/>
      <c r="AH424" s="666"/>
      <c r="AI424" s="673">
        <f>SUM(AI420:AI423)</f>
        <v>355.5</v>
      </c>
      <c r="AJ424" s="666"/>
      <c r="AK424" s="711">
        <f>SUM(AK420:AK423)</f>
        <v>466.47994760173322</v>
      </c>
      <c r="AL424" s="666"/>
      <c r="AM424" s="730">
        <f>(AK424/AK417-1)*100</f>
        <v>15.162229087791502</v>
      </c>
      <c r="AN424" s="685"/>
      <c r="AO424" s="666"/>
    </row>
    <row r="425" spans="1:41" hidden="1" outlineLevel="1">
      <c r="A425" s="666"/>
      <c r="B425" s="684"/>
      <c r="C425" s="666"/>
      <c r="D425" s="733"/>
      <c r="E425" s="667"/>
      <c r="F425" s="703"/>
      <c r="G425" s="667"/>
      <c r="H425" s="733"/>
      <c r="I425" s="667"/>
      <c r="J425" s="667"/>
      <c r="K425" s="667"/>
      <c r="L425" s="706"/>
      <c r="M425" s="667"/>
      <c r="N425" s="700"/>
      <c r="O425" s="704"/>
      <c r="P425" s="703"/>
      <c r="Q425" s="702"/>
      <c r="R425" s="667"/>
      <c r="S425" s="726"/>
      <c r="T425" s="667"/>
      <c r="U425" s="707"/>
      <c r="V425" s="666"/>
      <c r="W425" s="730"/>
      <c r="X425" s="685"/>
      <c r="Y425" s="666"/>
      <c r="Z425" s="676"/>
      <c r="AA425" s="666"/>
      <c r="AB425" s="710"/>
      <c r="AC425" s="666"/>
      <c r="AD425" s="700"/>
      <c r="AE425" s="685"/>
      <c r="AF425" s="703"/>
      <c r="AG425" s="668"/>
      <c r="AH425" s="666"/>
      <c r="AI425" s="673"/>
      <c r="AJ425" s="666"/>
      <c r="AK425" s="711"/>
      <c r="AL425" s="666"/>
      <c r="AM425" s="730"/>
      <c r="AN425" s="685"/>
      <c r="AO425" s="666"/>
    </row>
    <row r="426" spans="1:41" hidden="1" outlineLevel="1">
      <c r="A426" s="698"/>
      <c r="B426" s="728">
        <f>B419+1</f>
        <v>2013</v>
      </c>
      <c r="C426" s="666"/>
      <c r="D426" s="733"/>
      <c r="E426" s="667"/>
      <c r="F426" s="703"/>
      <c r="G426" s="667"/>
      <c r="H426" s="733"/>
      <c r="I426" s="667"/>
      <c r="J426" s="667"/>
      <c r="K426" s="667"/>
      <c r="L426" s="706"/>
      <c r="M426" s="667"/>
      <c r="N426" s="700"/>
      <c r="O426" s="704"/>
      <c r="P426" s="703"/>
      <c r="Q426" s="702"/>
      <c r="R426" s="667"/>
      <c r="S426" s="726"/>
      <c r="T426" s="667"/>
      <c r="U426" s="707"/>
      <c r="V426" s="666"/>
      <c r="W426" s="730"/>
      <c r="X426" s="685"/>
      <c r="Y426" s="666"/>
      <c r="Z426" s="676"/>
      <c r="AA426" s="666"/>
      <c r="AB426" s="710"/>
      <c r="AC426" s="666"/>
      <c r="AD426" s="700"/>
      <c r="AE426" s="685"/>
      <c r="AF426" s="703"/>
      <c r="AG426" s="668"/>
      <c r="AH426" s="666"/>
      <c r="AI426" s="673"/>
      <c r="AJ426" s="666"/>
      <c r="AK426" s="711"/>
      <c r="AL426" s="666"/>
      <c r="AM426" s="730"/>
      <c r="AN426" s="685"/>
      <c r="AO426" s="666"/>
    </row>
    <row r="427" spans="1:41" hidden="1" outlineLevel="1">
      <c r="A427" s="666" t="str">
        <f>$A$26</f>
        <v>1Q</v>
      </c>
      <c r="B427" s="684" t="str">
        <f>$B$26</f>
        <v>Apr</v>
      </c>
      <c r="C427" s="666"/>
      <c r="D427" s="733">
        <f>(S427/S420-1)*100</f>
        <v>-3.3200531208499307</v>
      </c>
      <c r="E427" s="701" t="s">
        <v>1084</v>
      </c>
      <c r="F427" s="703">
        <f>segmthSales!CV60</f>
        <v>5</v>
      </c>
      <c r="G427" s="701" t="s">
        <v>1084</v>
      </c>
      <c r="H427" s="733">
        <f>D427-F427</f>
        <v>-8.3200531208499307</v>
      </c>
      <c r="I427" s="667" t="s">
        <v>1084</v>
      </c>
      <c r="J427" s="705">
        <f>'store&amp;sf'!H155</f>
        <v>158</v>
      </c>
      <c r="K427" s="667"/>
      <c r="L427" s="706">
        <f>AVERAGE(J427,J423)</f>
        <v>158</v>
      </c>
      <c r="M427" s="667"/>
      <c r="N427" s="700">
        <f>(L427/L420-1)*100</f>
        <v>-26.340326340326335</v>
      </c>
      <c r="O427" s="704" t="s">
        <v>1084</v>
      </c>
      <c r="P427" s="703">
        <f>H427/N427*100</f>
        <v>31.586750343757707</v>
      </c>
      <c r="Q427" s="702"/>
      <c r="R427" s="667"/>
      <c r="S427" s="712">
        <f>'segSales&amp;OM'!AZ209</f>
        <v>72.8</v>
      </c>
      <c r="T427" s="667"/>
      <c r="U427" s="707">
        <f>S427/L427</f>
        <v>0.46075949367088603</v>
      </c>
      <c r="V427" s="666"/>
      <c r="W427" s="730">
        <f>(U427/U420-1)*100</f>
        <v>31.252206364415748</v>
      </c>
      <c r="X427" s="685" t="s">
        <v>1084</v>
      </c>
      <c r="Y427" s="666"/>
      <c r="Z427" s="678">
        <f>'store&amp;sf'!H519</f>
        <v>0.63</v>
      </c>
      <c r="AA427" s="666"/>
      <c r="AB427" s="710">
        <f>AVERAGE(Z427,Z423)</f>
        <v>0.63312499999999994</v>
      </c>
      <c r="AC427" s="666"/>
      <c r="AD427" s="700">
        <f>(AB427/AB420-1)*100</f>
        <v>-28.762306610407872</v>
      </c>
      <c r="AE427" s="685" t="s">
        <v>1084</v>
      </c>
      <c r="AF427" s="703">
        <f>+H427/AD427*100</f>
        <v>28.926932855375558</v>
      </c>
      <c r="AG427" s="668" t="s">
        <v>1084</v>
      </c>
      <c r="AH427" s="666"/>
      <c r="AI427" s="673">
        <f>+S427</f>
        <v>72.8</v>
      </c>
      <c r="AJ427" s="666"/>
      <c r="AK427" s="711">
        <f>AI427/AB427</f>
        <v>114.98519249753208</v>
      </c>
      <c r="AL427" s="666"/>
      <c r="AM427" s="730">
        <f>(AK427/AK420-1)*100</f>
        <v>35.714594730652905</v>
      </c>
      <c r="AN427" s="685" t="s">
        <v>1084</v>
      </c>
      <c r="AO427" s="666"/>
    </row>
    <row r="428" spans="1:41" hidden="1" outlineLevel="1">
      <c r="A428" s="666" t="str">
        <f>$A$27</f>
        <v>2Q</v>
      </c>
      <c r="B428" s="684" t="str">
        <f>$B$27</f>
        <v>Jul</v>
      </c>
      <c r="C428" s="666"/>
      <c r="D428" s="733">
        <f>(S428/S421-1)*100</f>
        <v>-9.2729188619599672</v>
      </c>
      <c r="E428" s="667"/>
      <c r="F428" s="703">
        <f>segmthSales!CV65</f>
        <v>4</v>
      </c>
      <c r="G428" s="700"/>
      <c r="H428" s="733">
        <f>D428-F428</f>
        <v>-13.272918861959967</v>
      </c>
      <c r="I428" s="667"/>
      <c r="J428" s="705">
        <f>'store&amp;sf'!H156</f>
        <v>157</v>
      </c>
      <c r="K428" s="667"/>
      <c r="L428" s="706">
        <f>AVERAGE(J428,J427)</f>
        <v>157.5</v>
      </c>
      <c r="M428" s="667"/>
      <c r="N428" s="700">
        <f>(L428/L421-1)*100</f>
        <v>-18.814432989690722</v>
      </c>
      <c r="O428" s="704"/>
      <c r="P428" s="703">
        <f>H428/N428*100</f>
        <v>70.546472855348867</v>
      </c>
      <c r="Q428" s="702"/>
      <c r="R428" s="667"/>
      <c r="S428" s="712">
        <f>'segSales&amp;OM'!AZ210</f>
        <v>86.1</v>
      </c>
      <c r="T428" s="667"/>
      <c r="U428" s="713">
        <f>S428/L428</f>
        <v>0.54666666666666663</v>
      </c>
      <c r="V428" s="666"/>
      <c r="W428" s="730">
        <f>(U428/U421-1)*100</f>
        <v>11.752722163681062</v>
      </c>
      <c r="X428" s="685"/>
      <c r="Y428" s="666"/>
      <c r="Z428" s="678">
        <f>'store&amp;sf'!H520</f>
        <v>0.62624999999999997</v>
      </c>
      <c r="AA428" s="666"/>
      <c r="AB428" s="710">
        <f>AVERAGE(Z428,Z427)</f>
        <v>0.62812500000000004</v>
      </c>
      <c r="AC428" s="666"/>
      <c r="AD428" s="700">
        <f>(AB428/AB421-1)*100</f>
        <v>-23.165137614678887</v>
      </c>
      <c r="AE428" s="685"/>
      <c r="AF428" s="703">
        <f>+H428/AD428*100</f>
        <v>57.296956671431175</v>
      </c>
      <c r="AG428" s="668"/>
      <c r="AH428" s="666"/>
      <c r="AI428" s="675">
        <f>+S428</f>
        <v>86.1</v>
      </c>
      <c r="AJ428" s="666"/>
      <c r="AK428" s="714">
        <f>AI428/AB428</f>
        <v>137.07462686567163</v>
      </c>
      <c r="AL428" s="666"/>
      <c r="AM428" s="730">
        <f>(AK428/AK421-1)*100</f>
        <v>18.0806190333894</v>
      </c>
      <c r="AN428" s="685"/>
      <c r="AO428" s="666"/>
    </row>
    <row r="429" spans="1:41" hidden="1" outlineLevel="1">
      <c r="A429" s="666" t="str">
        <f>$A$28</f>
        <v>3Q</v>
      </c>
      <c r="B429" s="684" t="str">
        <f>$B$28</f>
        <v>Oct</v>
      </c>
      <c r="C429" s="666"/>
      <c r="D429" s="733">
        <f>(S429/S422-1)*100</f>
        <v>-9.4089264173703331</v>
      </c>
      <c r="E429" s="667"/>
      <c r="F429" s="703">
        <f>segmthSales!CV70</f>
        <v>3</v>
      </c>
      <c r="G429" s="700"/>
      <c r="H429" s="733">
        <f>D429-F429</f>
        <v>-12.408926417370333</v>
      </c>
      <c r="I429" s="667"/>
      <c r="J429" s="705">
        <f>'store&amp;sf'!H157</f>
        <v>157</v>
      </c>
      <c r="K429" s="667"/>
      <c r="L429" s="706">
        <f>AVERAGE(J429,J428)</f>
        <v>157</v>
      </c>
      <c r="M429" s="667"/>
      <c r="N429" s="700">
        <f>(L429/L422-1)*100</f>
        <v>-11.299435028248583</v>
      </c>
      <c r="O429" s="704"/>
      <c r="P429" s="703">
        <f>H429/N429*100</f>
        <v>109.8189987937275</v>
      </c>
      <c r="Q429" s="702"/>
      <c r="R429" s="667"/>
      <c r="S429" s="712">
        <f>'segSales&amp;OM'!AZ211</f>
        <v>75.099999999999994</v>
      </c>
      <c r="T429" s="667"/>
      <c r="U429" s="713">
        <f>S429/L429</f>
        <v>0.47834394904458594</v>
      </c>
      <c r="V429" s="666"/>
      <c r="W429" s="730">
        <f>(U429/U422-1)*100</f>
        <v>2.1313377332831118</v>
      </c>
      <c r="X429" s="685"/>
      <c r="Y429" s="666"/>
      <c r="Z429" s="678">
        <f>'store&amp;sf'!H521</f>
        <v>0.625</v>
      </c>
      <c r="AA429" s="666"/>
      <c r="AB429" s="710">
        <f>AVERAGE(Z429,Z428)</f>
        <v>0.62562499999999999</v>
      </c>
      <c r="AC429" s="666"/>
      <c r="AD429" s="700">
        <f>(AB429/AB422-1)*100</f>
        <v>-16.374269005847953</v>
      </c>
      <c r="AE429" s="685"/>
      <c r="AF429" s="703">
        <f>+H429/AD429*100</f>
        <v>75.783086334654541</v>
      </c>
      <c r="AG429" s="668"/>
      <c r="AH429" s="666"/>
      <c r="AI429" s="675">
        <f>+S429</f>
        <v>75.099999999999994</v>
      </c>
      <c r="AJ429" s="666"/>
      <c r="AK429" s="714">
        <f>AI429/AB429</f>
        <v>120.03996003996004</v>
      </c>
      <c r="AL429" s="666"/>
      <c r="AM429" s="730">
        <f>(AK429/AK422-1)*100</f>
        <v>8.3291858925151896</v>
      </c>
      <c r="AN429" s="685"/>
      <c r="AO429" s="666"/>
    </row>
    <row r="430" spans="1:41" hidden="1" outlineLevel="1">
      <c r="A430" s="666" t="str">
        <f>$A$29</f>
        <v>4Q</v>
      </c>
      <c r="B430" s="684" t="str">
        <f>$B$29</f>
        <v>Jan</v>
      </c>
      <c r="C430" s="666"/>
      <c r="D430" s="732">
        <f>(S430/S423-1)*100</f>
        <v>-9.3750000000000107</v>
      </c>
      <c r="E430" s="667"/>
      <c r="F430" s="717">
        <f>segmthSales!CV75</f>
        <v>-3</v>
      </c>
      <c r="G430" s="667"/>
      <c r="H430" s="732">
        <f>D430-F430</f>
        <v>-6.3750000000000107</v>
      </c>
      <c r="I430" s="667"/>
      <c r="J430" s="705">
        <f>'store&amp;sf'!H158</f>
        <v>157</v>
      </c>
      <c r="K430" s="667"/>
      <c r="L430" s="716">
        <f>AVERAGE(J430,J429)</f>
        <v>157</v>
      </c>
      <c r="M430" s="667"/>
      <c r="N430" s="715">
        <f>(L430/L423-1)*100</f>
        <v>-2.786377708978327</v>
      </c>
      <c r="O430" s="704"/>
      <c r="P430" s="717">
        <f>H430/N430*100</f>
        <v>228.79166666666714</v>
      </c>
      <c r="Q430" s="702"/>
      <c r="R430" s="667"/>
      <c r="S430" s="718">
        <f>'segSales&amp;OM'!AZ212</f>
        <v>92.8</v>
      </c>
      <c r="T430" s="667"/>
      <c r="U430" s="719">
        <f>S430/L430</f>
        <v>0.59108280254777068</v>
      </c>
      <c r="V430" s="666"/>
      <c r="W430" s="720">
        <f>(U430/U423-1)*100</f>
        <v>-6.7774681528662502</v>
      </c>
      <c r="X430" s="685"/>
      <c r="Y430" s="666"/>
      <c r="Z430" s="678">
        <f>'store&amp;sf'!H522</f>
        <v>0.625</v>
      </c>
      <c r="AA430" s="666"/>
      <c r="AB430" s="721">
        <f>AVERAGE(Z430,Z429)</f>
        <v>0.625</v>
      </c>
      <c r="AC430" s="666"/>
      <c r="AD430" s="715">
        <f>(AB430/AB423-1)*100</f>
        <v>-5.4820415879016977</v>
      </c>
      <c r="AE430" s="685"/>
      <c r="AF430" s="717">
        <f>+H430/AD430*100</f>
        <v>116.28879310344855</v>
      </c>
      <c r="AG430" s="668"/>
      <c r="AH430" s="666"/>
      <c r="AI430" s="722">
        <f>+S430</f>
        <v>92.8</v>
      </c>
      <c r="AJ430" s="666"/>
      <c r="AK430" s="723">
        <f>AI430/AB430</f>
        <v>148.47999999999999</v>
      </c>
      <c r="AL430" s="666"/>
      <c r="AM430" s="720">
        <f>(AK430/AK423-1)*100</f>
        <v>-4.1187500000000039</v>
      </c>
      <c r="AN430" s="685"/>
      <c r="AO430" s="666"/>
    </row>
    <row r="431" spans="1:41" hidden="1" outlineLevel="1">
      <c r="A431" s="666"/>
      <c r="B431" s="684" t="str">
        <f>$B$30</f>
        <v>Year</v>
      </c>
      <c r="C431" s="666"/>
      <c r="D431" s="733">
        <f>(S431/S424-1)*100</f>
        <v>-8.0731364275668192</v>
      </c>
      <c r="E431" s="667"/>
      <c r="F431" s="703">
        <f>+F427*S427/S431+F428*S428/S431+F429*S429/S431+F430*S430/S431</f>
        <v>2.0052019583843328</v>
      </c>
      <c r="G431" s="667"/>
      <c r="H431" s="733">
        <f>D431-F431</f>
        <v>-10.078338385951152</v>
      </c>
      <c r="I431" s="667"/>
      <c r="J431" s="667"/>
      <c r="K431" s="667"/>
      <c r="L431" s="706">
        <f>AVERAGE(L427:L430)</f>
        <v>157.375</v>
      </c>
      <c r="M431" s="667"/>
      <c r="N431" s="700">
        <f>(L431/L424-1)*100</f>
        <v>-15.729585006693437</v>
      </c>
      <c r="O431" s="704"/>
      <c r="P431" s="703">
        <f>H431/N431*100</f>
        <v>64.072500206855423</v>
      </c>
      <c r="Q431" s="702"/>
      <c r="R431" s="667"/>
      <c r="S431" s="726">
        <f>SUM(S427:S430)</f>
        <v>326.79999999999995</v>
      </c>
      <c r="T431" s="667"/>
      <c r="U431" s="707">
        <f>SUM(U427:U430)</f>
        <v>2.0768529119299095</v>
      </c>
      <c r="V431" s="666"/>
      <c r="W431" s="730">
        <f>(U431/U424-1)*100</f>
        <v>6.9087061309388798</v>
      </c>
      <c r="X431" s="685"/>
      <c r="Y431" s="666"/>
      <c r="Z431" s="676"/>
      <c r="AA431" s="666"/>
      <c r="AB431" s="710">
        <f>AVERAGE(AB427:AB430)</f>
        <v>0.62796874999999996</v>
      </c>
      <c r="AC431" s="666"/>
      <c r="AD431" s="700">
        <f>(AB431/AB424-1)*100</f>
        <v>-19.378134403209625</v>
      </c>
      <c r="AE431" s="685"/>
      <c r="AF431" s="703">
        <f>+H431/AD431*100</f>
        <v>52.00881661901294</v>
      </c>
      <c r="AG431" s="668"/>
      <c r="AH431" s="666"/>
      <c r="AI431" s="673">
        <f>SUM(AI427:AI430)</f>
        <v>326.79999999999995</v>
      </c>
      <c r="AJ431" s="666"/>
      <c r="AK431" s="711">
        <f>SUM(AK427:AK430)</f>
        <v>520.57977940316368</v>
      </c>
      <c r="AL431" s="666"/>
      <c r="AM431" s="730">
        <f>(AK431/AK424-1)*100</f>
        <v>11.597461387047513</v>
      </c>
      <c r="AN431" s="685"/>
      <c r="AO431" s="666"/>
    </row>
    <row r="432" spans="1:41" hidden="1" outlineLevel="1">
      <c r="A432" s="666"/>
      <c r="B432" s="684"/>
      <c r="C432" s="666"/>
      <c r="D432" s="733"/>
      <c r="E432" s="667"/>
      <c r="F432" s="703"/>
      <c r="G432" s="667"/>
      <c r="H432" s="733"/>
      <c r="I432" s="667"/>
      <c r="J432" s="667"/>
      <c r="K432" s="667"/>
      <c r="L432" s="706"/>
      <c r="M432" s="667"/>
      <c r="N432" s="700"/>
      <c r="O432" s="704"/>
      <c r="P432" s="703"/>
      <c r="Q432" s="702"/>
      <c r="R432" s="667"/>
      <c r="S432" s="726"/>
      <c r="T432" s="667"/>
      <c r="U432" s="707"/>
      <c r="V432" s="666"/>
      <c r="W432" s="730"/>
      <c r="X432" s="685"/>
      <c r="Y432" s="666"/>
      <c r="Z432" s="676"/>
      <c r="AA432" s="666"/>
      <c r="AB432" s="710"/>
      <c r="AC432" s="666"/>
      <c r="AD432" s="700"/>
      <c r="AE432" s="685"/>
      <c r="AF432" s="703"/>
      <c r="AG432" s="668"/>
      <c r="AH432" s="666"/>
      <c r="AI432" s="673"/>
      <c r="AJ432" s="666"/>
      <c r="AK432" s="711"/>
      <c r="AL432" s="666"/>
      <c r="AM432" s="730"/>
      <c r="AN432" s="685"/>
      <c r="AO432" s="666"/>
    </row>
    <row r="433" spans="1:41" s="1218" customFormat="1" hidden="1" outlineLevel="1">
      <c r="A433" s="1203"/>
      <c r="B433" s="1204">
        <f>B426+1</f>
        <v>2014</v>
      </c>
      <c r="C433" s="1205"/>
      <c r="D433" t="s">
        <v>1265</v>
      </c>
      <c r="E433" s="1205"/>
      <c r="F433" s="1207"/>
      <c r="G433" s="1205"/>
      <c r="H433" s="1206"/>
      <c r="I433" s="1205"/>
      <c r="J433" s="1205"/>
      <c r="K433" s="1205"/>
      <c r="L433" s="1208"/>
      <c r="M433" s="1205"/>
      <c r="N433" s="1209"/>
      <c r="O433" s="1210"/>
      <c r="P433" s="1207"/>
      <c r="Q433" s="1211"/>
      <c r="R433" s="1205"/>
      <c r="S433" s="1212"/>
      <c r="T433" s="1205"/>
      <c r="U433" s="1213"/>
      <c r="V433" s="1205"/>
      <c r="W433" s="1214"/>
      <c r="X433" s="1210"/>
      <c r="Y433" s="1205"/>
      <c r="Z433" s="1215"/>
      <c r="AA433" s="1205"/>
      <c r="AB433" s="1216"/>
      <c r="AC433" s="1205"/>
      <c r="AD433" s="1209"/>
      <c r="AE433" s="1210"/>
      <c r="AF433" s="1207"/>
      <c r="AG433" s="1211"/>
      <c r="AH433" s="1205"/>
      <c r="AI433" s="1212"/>
      <c r="AJ433" s="1205"/>
      <c r="AK433" s="1217"/>
      <c r="AL433" s="1205"/>
      <c r="AM433" s="1214"/>
      <c r="AN433" s="1210"/>
      <c r="AO433" s="1205"/>
    </row>
    <row r="434" spans="1:41" s="1218" customFormat="1" hidden="1" outlineLevel="1">
      <c r="A434" s="1205" t="str">
        <f>$A$26</f>
        <v>1Q</v>
      </c>
      <c r="B434" s="1219" t="str">
        <f>$B$26</f>
        <v>Apr</v>
      </c>
      <c r="C434" s="1205"/>
      <c r="D434" s="1206">
        <f>(S434/S427-1)*100</f>
        <v>-24.450549450549453</v>
      </c>
      <c r="E434" s="1342" t="s">
        <v>1084</v>
      </c>
      <c r="F434" s="1207">
        <v>-10</v>
      </c>
      <c r="G434" s="1342" t="s">
        <v>1084</v>
      </c>
      <c r="H434" s="1206">
        <f>D434-F434</f>
        <v>-14.450549450549453</v>
      </c>
      <c r="I434" s="1205" t="s">
        <v>1084</v>
      </c>
      <c r="J434" s="1220">
        <f>'store&amp;sf'!H161</f>
        <v>153</v>
      </c>
      <c r="K434" s="1205"/>
      <c r="L434" s="1208">
        <f>AVERAGE(J434,J430)</f>
        <v>155</v>
      </c>
      <c r="M434" s="1205"/>
      <c r="N434" s="1209">
        <f>(L434/L427-1)*100</f>
        <v>-1.8987341772151889</v>
      </c>
      <c r="O434" s="1210" t="s">
        <v>1084</v>
      </c>
      <c r="P434" s="1207">
        <f>H434/N434*100</f>
        <v>761.06227106227152</v>
      </c>
      <c r="Q434" s="1211"/>
      <c r="R434" s="1205"/>
      <c r="S434" s="1222">
        <f>'segSales&amp;OM'!AZ216</f>
        <v>55</v>
      </c>
      <c r="T434" s="1205"/>
      <c r="U434" s="1213">
        <f>S434/L434</f>
        <v>0.35483870967741937</v>
      </c>
      <c r="V434" s="1205"/>
      <c r="W434" s="1214">
        <f>(U434/U427-1)*100</f>
        <v>-22.98830202056007</v>
      </c>
      <c r="X434" s="1210" t="s">
        <v>1084</v>
      </c>
      <c r="Y434" s="1205"/>
      <c r="Z434" s="1223">
        <f>'store&amp;sf'!H525</f>
        <v>0.60124999999999995</v>
      </c>
      <c r="AA434" s="1205"/>
      <c r="AB434" s="1216">
        <f>AVERAGE(Z434,Z430)</f>
        <v>0.61312499999999992</v>
      </c>
      <c r="AC434" s="1205"/>
      <c r="AD434" s="1209">
        <f>(AB434/AB427-1)*100</f>
        <v>-3.1589338598223105</v>
      </c>
      <c r="AE434" s="1210" t="s">
        <v>1084</v>
      </c>
      <c r="AF434" s="1207">
        <f>+H434/AD434*100</f>
        <v>457.45020604395609</v>
      </c>
      <c r="AG434" s="1211" t="s">
        <v>1084</v>
      </c>
      <c r="AH434" s="1205"/>
      <c r="AI434" s="1212">
        <f>+S434</f>
        <v>55</v>
      </c>
      <c r="AJ434" s="1205"/>
      <c r="AK434" s="1217">
        <f>AI434/AB434</f>
        <v>89.704383282364944</v>
      </c>
      <c r="AL434" s="1205"/>
      <c r="AM434" s="1214">
        <f>(AK434/AK427-1)*100</f>
        <v>-21.986143316418538</v>
      </c>
      <c r="AN434" s="1210" t="s">
        <v>1084</v>
      </c>
      <c r="AO434" s="1205"/>
    </row>
    <row r="435" spans="1:41" s="1218" customFormat="1" hidden="1" outlineLevel="1">
      <c r="A435" s="1205" t="str">
        <f>$A$27</f>
        <v>2Q</v>
      </c>
      <c r="B435" s="1219" t="str">
        <f>$B$27</f>
        <v>Jul</v>
      </c>
      <c r="C435" s="1205"/>
      <c r="D435" s="1206">
        <f>(S435/S428-1)*100</f>
        <v>-16.724738675958186</v>
      </c>
      <c r="E435" s="1205"/>
      <c r="F435" s="1207">
        <v>-10</v>
      </c>
      <c r="G435" s="1209"/>
      <c r="H435" s="1206">
        <f>D435-F435</f>
        <v>-6.7247386759581858</v>
      </c>
      <c r="I435" s="1205"/>
      <c r="J435" s="1220">
        <f>'store&amp;sf'!H162</f>
        <v>153</v>
      </c>
      <c r="K435" s="1205"/>
      <c r="L435" s="1208">
        <f>AVERAGE(J435,J434)</f>
        <v>153</v>
      </c>
      <c r="M435" s="1205"/>
      <c r="N435" s="1209">
        <f>(L435/L428-1)*100</f>
        <v>-2.8571428571428581</v>
      </c>
      <c r="O435" s="1210"/>
      <c r="P435" s="1207">
        <f>H435/N435*100</f>
        <v>235.36585365853645</v>
      </c>
      <c r="Q435" s="1211"/>
      <c r="R435" s="1205"/>
      <c r="S435" s="1222">
        <f>'segSales&amp;OM'!AZ217</f>
        <v>71.7</v>
      </c>
      <c r="T435" s="1205"/>
      <c r="U435" s="1224">
        <f>S435/L435</f>
        <v>0.46862745098039216</v>
      </c>
      <c r="V435" s="1205"/>
      <c r="W435" s="1214">
        <f>(U435/U428-1)*100</f>
        <v>-14.2754662840746</v>
      </c>
      <c r="X435" s="1210"/>
      <c r="Y435" s="1205"/>
      <c r="Z435" s="1223">
        <f>'store&amp;sf'!H526</f>
        <v>0.6</v>
      </c>
      <c r="AA435" s="1205"/>
      <c r="AB435" s="1216">
        <f>AVERAGE(Z435,Z434)</f>
        <v>0.60062499999999996</v>
      </c>
      <c r="AC435" s="1205"/>
      <c r="AD435" s="1209">
        <f>(AB435/AB428-1)*100</f>
        <v>-4.378109452736334</v>
      </c>
      <c r="AE435" s="1210"/>
      <c r="AF435" s="1207">
        <f>+H435/AD435*100</f>
        <v>153.59914475768076</v>
      </c>
      <c r="AG435" s="1211"/>
      <c r="AH435" s="1205"/>
      <c r="AI435" s="1222">
        <f>+S435</f>
        <v>71.7</v>
      </c>
      <c r="AJ435" s="1205"/>
      <c r="AK435" s="1208">
        <f>AI435/AB435</f>
        <v>119.37565036420396</v>
      </c>
      <c r="AL435" s="1205"/>
      <c r="AM435" s="1214">
        <f>(AK435/AK428-1)*100</f>
        <v>-12.911927543535862</v>
      </c>
      <c r="AN435" s="1210"/>
      <c r="AO435" s="1205"/>
    </row>
    <row r="436" spans="1:41" s="1218" customFormat="1" hidden="1" outlineLevel="1">
      <c r="A436" s="1205" t="str">
        <f>$A$28</f>
        <v>3Q</v>
      </c>
      <c r="B436" s="1219" t="str">
        <f>$B$28</f>
        <v>Oct</v>
      </c>
      <c r="C436" s="1205"/>
      <c r="D436" s="1206">
        <f>(S436/S429-1)*100</f>
        <v>-18.77496671105192</v>
      </c>
      <c r="E436" s="1205"/>
      <c r="F436" s="1207">
        <v>-8</v>
      </c>
      <c r="G436" s="1209"/>
      <c r="H436" s="1206">
        <f>D436-F436</f>
        <v>-10.77496671105192</v>
      </c>
      <c r="I436" s="1205"/>
      <c r="J436" s="1220">
        <f>'store&amp;sf'!H163</f>
        <v>148</v>
      </c>
      <c r="K436" s="1205"/>
      <c r="L436" s="1208">
        <f>AVERAGE(J436,J435)</f>
        <v>150.5</v>
      </c>
      <c r="M436" s="1205"/>
      <c r="N436" s="1209">
        <f>(L436/L429-1)*100</f>
        <v>-4.1401273885350314</v>
      </c>
      <c r="O436" s="1210"/>
      <c r="P436" s="1207">
        <f>H436/N436*100</f>
        <v>260.2568882515618</v>
      </c>
      <c r="Q436" s="1211"/>
      <c r="R436" s="1205"/>
      <c r="S436" s="1222">
        <f>'segSales&amp;OM'!AZ218</f>
        <v>61</v>
      </c>
      <c r="T436" s="1205"/>
      <c r="U436" s="1224">
        <f>S436/L436</f>
        <v>0.40531561461794019</v>
      </c>
      <c r="V436" s="1205"/>
      <c r="W436" s="1214">
        <f>(U436/U429-1)*100</f>
        <v>-15.266908794917954</v>
      </c>
      <c r="X436" s="1210"/>
      <c r="Y436" s="1205"/>
      <c r="Z436" s="1223">
        <f>'store&amp;sf'!H527</f>
        <v>0.58374999999999999</v>
      </c>
      <c r="AA436" s="1205"/>
      <c r="AB436" s="1216">
        <f>AVERAGE(Z436,Z435)</f>
        <v>0.59187499999999993</v>
      </c>
      <c r="AC436" s="1205"/>
      <c r="AD436" s="1209">
        <f>(AB436/AB429-1)*100</f>
        <v>-5.3946053946054011</v>
      </c>
      <c r="AE436" s="1210"/>
      <c r="AF436" s="1207">
        <f>+H436/AD436*100</f>
        <v>199.73595699561037</v>
      </c>
      <c r="AG436" s="1211"/>
      <c r="AH436" s="1205"/>
      <c r="AI436" s="1222">
        <f>+S436</f>
        <v>61</v>
      </c>
      <c r="AJ436" s="1205"/>
      <c r="AK436" s="1208">
        <f>AI436/AB436</f>
        <v>103.06230200633581</v>
      </c>
      <c r="AL436" s="1205"/>
      <c r="AM436" s="1214">
        <f>(AK436/AK429-1)*100</f>
        <v>-14.143338624881697</v>
      </c>
      <c r="AN436" s="1210"/>
      <c r="AO436" s="1205"/>
    </row>
    <row r="437" spans="1:41" s="1218" customFormat="1" hidden="1" outlineLevel="1">
      <c r="A437" s="1205" t="str">
        <f>$A$29</f>
        <v>4Q</v>
      </c>
      <c r="B437" s="1219" t="str">
        <f>$B$29</f>
        <v>Jan</v>
      </c>
      <c r="C437" s="1205"/>
      <c r="D437" s="1226">
        <f>F437+H437</f>
        <v>-15.375796178343947</v>
      </c>
      <c r="E437" s="1205"/>
      <c r="F437" s="1227">
        <v>-2</v>
      </c>
      <c r="G437" s="1205"/>
      <c r="H437" s="1228">
        <f>N437*(P437/100)</f>
        <v>-13.375796178343947</v>
      </c>
      <c r="I437" s="1205"/>
      <c r="J437" s="1220">
        <f>'store&amp;sf'!H164</f>
        <v>145</v>
      </c>
      <c r="K437" s="1205"/>
      <c r="L437" s="1229">
        <f>AVERAGE(J437,J436)</f>
        <v>146.5</v>
      </c>
      <c r="M437" s="1205"/>
      <c r="N437" s="1228">
        <f>(L437/L430-1)*100</f>
        <v>-6.6878980891719735</v>
      </c>
      <c r="O437" s="1210"/>
      <c r="P437" s="1230">
        <v>200</v>
      </c>
      <c r="Q437" s="1211"/>
      <c r="R437" s="1205"/>
      <c r="S437" s="1231">
        <f>S430*(1+D437/100)</f>
        <v>78.531261146496817</v>
      </c>
      <c r="T437" s="1205"/>
      <c r="U437" s="1232">
        <f>S437/L437</f>
        <v>0.53604956413991001</v>
      </c>
      <c r="V437" s="1205"/>
      <c r="W437" s="1226">
        <f>(U437/U430-1)*100</f>
        <v>-9.3105802047781516</v>
      </c>
      <c r="X437" s="1210"/>
      <c r="Y437" s="1205"/>
      <c r="Z437" s="1223">
        <f>'store&amp;sf'!H528</f>
        <v>0.56499999999999995</v>
      </c>
      <c r="AA437" s="1205"/>
      <c r="AB437" s="1233">
        <f>AVERAGE(Z437,Z436)</f>
        <v>0.57437499999999997</v>
      </c>
      <c r="AC437" s="1205"/>
      <c r="AD437" s="1228">
        <f>(AB437/AB430-1)*100</f>
        <v>-8.1000000000000068</v>
      </c>
      <c r="AE437" s="1210"/>
      <c r="AF437" s="1227">
        <f>+H437/AD437*100</f>
        <v>165.13328615239428</v>
      </c>
      <c r="AG437" s="1211"/>
      <c r="AH437" s="1205"/>
      <c r="AI437" s="1231">
        <f>+S437</f>
        <v>78.531261146496817</v>
      </c>
      <c r="AJ437" s="1205"/>
      <c r="AK437" s="1229">
        <f>AI437/AB437</f>
        <v>136.72472016800316</v>
      </c>
      <c r="AL437" s="1205"/>
      <c r="AM437" s="1226">
        <f>(AK437/AK430-1)*100</f>
        <v>-7.9170796282306277</v>
      </c>
      <c r="AN437" s="1210"/>
      <c r="AO437" s="1205"/>
    </row>
    <row r="438" spans="1:41" s="1218" customFormat="1" hidden="1" outlineLevel="1">
      <c r="A438" s="1205"/>
      <c r="B438" s="1219" t="str">
        <f>$B$30</f>
        <v>Year</v>
      </c>
      <c r="C438" s="1205"/>
      <c r="D438" s="1206">
        <f>(S438/S431-1)*100</f>
        <v>-18.533885818085416</v>
      </c>
      <c r="E438" s="1205"/>
      <c r="F438" s="1207">
        <f>+F434*S434/S438+F435*S435/S438+F436*S436/S438+F437*S437/S438</f>
        <v>-7.1819609540175646</v>
      </c>
      <c r="G438" s="1205"/>
      <c r="H438" s="1206">
        <f>D438-F438</f>
        <v>-11.351924864067851</v>
      </c>
      <c r="I438" s="1205"/>
      <c r="J438" s="1205"/>
      <c r="K438" s="1205"/>
      <c r="L438" s="1208">
        <f>AVERAGE(L434:L437)</f>
        <v>151.25</v>
      </c>
      <c r="M438" s="1205"/>
      <c r="N438" s="1209">
        <f>(L438/L431-1)*100</f>
        <v>-3.8919777601270855</v>
      </c>
      <c r="O438" s="1210"/>
      <c r="P438" s="1207">
        <f>H438/N438*100</f>
        <v>291.67496742574326</v>
      </c>
      <c r="Q438" s="1211"/>
      <c r="R438" s="1205"/>
      <c r="S438" s="1212">
        <f>SUM(S434:S437)</f>
        <v>266.23126114649682</v>
      </c>
      <c r="T438" s="1205"/>
      <c r="U438" s="1213">
        <f>SUM(U434:U437)</f>
        <v>1.7648313394156618</v>
      </c>
      <c r="V438" s="1205"/>
      <c r="W438" s="1214">
        <f>(U438/U431-1)*100</f>
        <v>-15.023768448979979</v>
      </c>
      <c r="X438" s="1210"/>
      <c r="Y438" s="1205"/>
      <c r="Z438" s="1215"/>
      <c r="AA438" s="1205"/>
      <c r="AB438" s="1216">
        <f>AVERAGE(AB434:AB437)</f>
        <v>0.59499999999999997</v>
      </c>
      <c r="AC438" s="1205"/>
      <c r="AD438" s="1209">
        <f>(AB438/AB431-1)*100</f>
        <v>-5.2500622045284935</v>
      </c>
      <c r="AE438" s="1210"/>
      <c r="AF438" s="1207">
        <f>+H438/AD438*100</f>
        <v>216.22457833501736</v>
      </c>
      <c r="AG438" s="1211"/>
      <c r="AH438" s="1205"/>
      <c r="AI438" s="1212">
        <f>SUM(AI434:AI437)</f>
        <v>266.23126114649682</v>
      </c>
      <c r="AJ438" s="1205"/>
      <c r="AK438" s="1217">
        <f>SUM(AK434:AK437)</f>
        <v>448.86705582090786</v>
      </c>
      <c r="AL438" s="1205"/>
      <c r="AM438" s="1214">
        <f>(AK438/AK431-1)*100</f>
        <v>-13.775549189496628</v>
      </c>
      <c r="AN438" s="1210"/>
      <c r="AO438" s="1205"/>
    </row>
    <row r="439" spans="1:41" hidden="1" outlineLevel="1">
      <c r="A439" s="666"/>
      <c r="B439" s="684"/>
      <c r="C439" s="666"/>
      <c r="D439" s="733"/>
      <c r="E439" s="667"/>
      <c r="F439" s="703"/>
      <c r="G439" s="667"/>
      <c r="H439" s="733"/>
      <c r="I439" s="667"/>
      <c r="J439" s="667"/>
      <c r="K439" s="667"/>
      <c r="L439" s="706"/>
      <c r="M439" s="667"/>
      <c r="N439" s="700"/>
      <c r="O439" s="704"/>
      <c r="P439" s="703"/>
      <c r="Q439" s="702"/>
      <c r="R439" s="667"/>
      <c r="S439" s="726"/>
      <c r="T439" s="667"/>
      <c r="U439" s="707"/>
      <c r="V439" s="666"/>
      <c r="W439" s="730"/>
      <c r="X439" s="685"/>
      <c r="Y439" s="666"/>
      <c r="Z439" s="676"/>
      <c r="AA439" s="666"/>
      <c r="AB439" s="710"/>
      <c r="AC439" s="666"/>
      <c r="AD439" s="700"/>
      <c r="AE439" s="685"/>
      <c r="AF439" s="703"/>
      <c r="AG439" s="668"/>
      <c r="AH439" s="666"/>
      <c r="AI439" s="673"/>
      <c r="AJ439" s="666"/>
      <c r="AK439" s="711"/>
      <c r="AL439" s="666"/>
      <c r="AM439" s="730"/>
      <c r="AN439" s="685"/>
      <c r="AO439" s="666"/>
    </row>
    <row r="440" spans="1:41" s="1218" customFormat="1" hidden="1" outlineLevel="1">
      <c r="A440" s="1203"/>
      <c r="B440" s="1204">
        <f>B433+1</f>
        <v>2015</v>
      </c>
      <c r="C440" s="1205"/>
      <c r="D440" t="s">
        <v>1265</v>
      </c>
      <c r="E440" s="1205"/>
      <c r="F440" s="1207"/>
      <c r="G440" s="1205"/>
      <c r="H440" s="1206"/>
      <c r="I440" s="1205"/>
      <c r="J440" s="1205"/>
      <c r="K440" s="1205"/>
      <c r="L440" s="1208"/>
      <c r="M440" s="1205"/>
      <c r="N440" s="1209"/>
      <c r="O440" s="1210"/>
      <c r="P440" s="1207"/>
      <c r="Q440" s="1211"/>
      <c r="R440" s="1205"/>
      <c r="S440" s="1212"/>
      <c r="T440" s="1205"/>
      <c r="U440" s="1213"/>
      <c r="V440" s="1205"/>
      <c r="W440" s="1214"/>
      <c r="X440" s="1210"/>
      <c r="Y440" s="1205"/>
      <c r="Z440" s="1215"/>
      <c r="AA440" s="1205"/>
      <c r="AB440" s="1216"/>
      <c r="AC440" s="1205"/>
      <c r="AD440" s="1209"/>
      <c r="AE440" s="1210"/>
      <c r="AF440" s="1207"/>
      <c r="AG440" s="1211"/>
      <c r="AH440" s="1205"/>
      <c r="AI440" s="1212"/>
      <c r="AJ440" s="1205"/>
      <c r="AK440" s="1217"/>
      <c r="AL440" s="1205"/>
      <c r="AM440" s="1214"/>
      <c r="AN440" s="1210"/>
      <c r="AO440" s="1205"/>
    </row>
    <row r="441" spans="1:41" s="1218" customFormat="1" hidden="1" outlineLevel="1">
      <c r="A441" s="1205" t="str">
        <f>$A$26</f>
        <v>1Q</v>
      </c>
      <c r="B441" s="1219" t="str">
        <f>$B$26</f>
        <v>Apr</v>
      </c>
      <c r="C441" s="1205"/>
      <c r="D441" s="1209">
        <f>F441+H441</f>
        <v>-15.645161290322591</v>
      </c>
      <c r="E441" s="1342" t="s">
        <v>1084</v>
      </c>
      <c r="F441" s="1207">
        <v>5</v>
      </c>
      <c r="G441" s="1342" t="s">
        <v>1084</v>
      </c>
      <c r="H441" s="1209">
        <f>N441*(P441/100)</f>
        <v>-20.645161290322591</v>
      </c>
      <c r="I441" s="1205" t="s">
        <v>1084</v>
      </c>
      <c r="J441" s="1220">
        <f>'store&amp;sf'!H167</f>
        <v>133</v>
      </c>
      <c r="K441" s="1205"/>
      <c r="L441" s="1208">
        <f>AVERAGE(J441,J437)</f>
        <v>139</v>
      </c>
      <c r="M441" s="1205"/>
      <c r="N441" s="1209">
        <f>(L441/L434-1)*100</f>
        <v>-10.322580645161295</v>
      </c>
      <c r="O441" s="1210" t="s">
        <v>1084</v>
      </c>
      <c r="P441" s="1221">
        <v>200</v>
      </c>
      <c r="Q441" s="1211"/>
      <c r="R441" s="1205"/>
      <c r="S441" s="1222">
        <f>S434*(1+D441/100)</f>
        <v>46.395161290322577</v>
      </c>
      <c r="T441" s="1205"/>
      <c r="U441" s="1213">
        <f>S441/L441</f>
        <v>0.33377813877929913</v>
      </c>
      <c r="V441" s="1205"/>
      <c r="W441" s="1214">
        <f>(U441/U434-1)*100</f>
        <v>-5.9352517985611586</v>
      </c>
      <c r="X441" s="1210" t="s">
        <v>1084</v>
      </c>
      <c r="Y441" s="1205"/>
      <c r="Z441" s="1223">
        <f>'store&amp;sf'!H532</f>
        <v>0.52874999999999994</v>
      </c>
      <c r="AA441" s="1205"/>
      <c r="AB441" s="1216">
        <f>AVERAGE(Z441,Z437)</f>
        <v>0.546875</v>
      </c>
      <c r="AC441" s="1205"/>
      <c r="AD441" s="1209">
        <f>(AB441/AB434-1)*100</f>
        <v>-10.805300713557585</v>
      </c>
      <c r="AE441" s="1210" t="s">
        <v>1084</v>
      </c>
      <c r="AF441" s="1207">
        <f>+H441/AD441*100</f>
        <v>191.06512477175923</v>
      </c>
      <c r="AG441" s="1211" t="s">
        <v>1084</v>
      </c>
      <c r="AH441" s="1205"/>
      <c r="AI441" s="1212">
        <f>+S441</f>
        <v>46.395161290322577</v>
      </c>
      <c r="AJ441" s="1205"/>
      <c r="AK441" s="1217">
        <f>AI441/AB441</f>
        <v>84.836866359447001</v>
      </c>
      <c r="AL441" s="1205"/>
      <c r="AM441" s="1214">
        <f>(AK441/AK434-1)*100</f>
        <v>-5.4261751152073874</v>
      </c>
      <c r="AN441" s="1210" t="s">
        <v>1084</v>
      </c>
      <c r="AO441" s="1205"/>
    </row>
    <row r="442" spans="1:41" s="1218" customFormat="1" hidden="1" outlineLevel="1">
      <c r="A442" s="1205" t="str">
        <f>$A$27</f>
        <v>2Q</v>
      </c>
      <c r="B442" s="1219" t="str">
        <f>$B$27</f>
        <v>Jul</v>
      </c>
      <c r="C442" s="1205"/>
      <c r="D442" s="1209">
        <f>F442+H442</f>
        <v>-21.143790849673199</v>
      </c>
      <c r="E442" s="1205"/>
      <c r="F442" s="1207">
        <v>5</v>
      </c>
      <c r="G442" s="1209"/>
      <c r="H442" s="1209">
        <f>N442*(P442/100)</f>
        <v>-26.143790849673199</v>
      </c>
      <c r="I442" s="1205"/>
      <c r="J442" s="1220">
        <f>'store&amp;sf'!H168</f>
        <v>133</v>
      </c>
      <c r="K442" s="1205"/>
      <c r="L442" s="1208">
        <f>AVERAGE(J442,J441)</f>
        <v>133</v>
      </c>
      <c r="M442" s="1205"/>
      <c r="N442" s="1209">
        <f>(L442/L435-1)*100</f>
        <v>-13.071895424836599</v>
      </c>
      <c r="O442" s="1210"/>
      <c r="P442" s="1221">
        <v>200</v>
      </c>
      <c r="Q442" s="1211"/>
      <c r="R442" s="1205"/>
      <c r="S442" s="1222">
        <f>S435*(1+D442/100)</f>
        <v>56.53990196078432</v>
      </c>
      <c r="T442" s="1205"/>
      <c r="U442" s="1224">
        <f>S442/L442</f>
        <v>0.42511204481792719</v>
      </c>
      <c r="V442" s="1205"/>
      <c r="W442" s="1214">
        <f>(U442/U435-1)*100</f>
        <v>-9.2857142857142865</v>
      </c>
      <c r="X442" s="1210"/>
      <c r="Y442" s="1205"/>
      <c r="Z442" s="1223">
        <f>'store&amp;sf'!H533</f>
        <v>0.50375000000000003</v>
      </c>
      <c r="AA442" s="1205"/>
      <c r="AB442" s="1216">
        <f>AVERAGE(Z442,Z441)</f>
        <v>0.51624999999999999</v>
      </c>
      <c r="AC442" s="1205"/>
      <c r="AD442" s="1209">
        <f>(AB442/AB435-1)*100</f>
        <v>-14.047866805411024</v>
      </c>
      <c r="AE442" s="1210"/>
      <c r="AF442" s="1207">
        <f>+H442/AD442*100</f>
        <v>186.10505930767374</v>
      </c>
      <c r="AG442" s="1211"/>
      <c r="AH442" s="1205"/>
      <c r="AI442" s="1222">
        <f>+S442</f>
        <v>56.53990196078432</v>
      </c>
      <c r="AJ442" s="1205"/>
      <c r="AK442" s="1208">
        <f>AI442/AB442</f>
        <v>109.52039120733041</v>
      </c>
      <c r="AL442" s="1205"/>
      <c r="AM442" s="1214">
        <f>(AK442/AK435-1)*100</f>
        <v>-8.2556694994381896</v>
      </c>
      <c r="AN442" s="1210"/>
      <c r="AO442" s="1205"/>
    </row>
    <row r="443" spans="1:41" s="1218" customFormat="1" hidden="1" outlineLevel="1">
      <c r="A443" s="1205" t="str">
        <f>$A$28</f>
        <v>3Q</v>
      </c>
      <c r="B443" s="1219" t="str">
        <f>$B$28</f>
        <v>Oct</v>
      </c>
      <c r="C443" s="1205"/>
      <c r="D443" s="1209">
        <f>F443+H443</f>
        <v>-18.920265780730897</v>
      </c>
      <c r="E443" s="1205"/>
      <c r="F443" s="1207">
        <v>5</v>
      </c>
      <c r="G443" s="1209"/>
      <c r="H443" s="1209">
        <f>N443*(P443/100)</f>
        <v>-23.920265780730897</v>
      </c>
      <c r="I443" s="1205"/>
      <c r="J443" s="1220">
        <f>'store&amp;sf'!H169</f>
        <v>132</v>
      </c>
      <c r="K443" s="1205"/>
      <c r="L443" s="1208">
        <f>AVERAGE(J443,J442)</f>
        <v>132.5</v>
      </c>
      <c r="M443" s="1205"/>
      <c r="N443" s="1209">
        <f>(L443/L436-1)*100</f>
        <v>-11.960132890365449</v>
      </c>
      <c r="O443" s="1210"/>
      <c r="P443" s="1225">
        <v>200</v>
      </c>
      <c r="Q443" s="1211"/>
      <c r="R443" s="1205"/>
      <c r="S443" s="1222">
        <f>S436*(1+D443/100)</f>
        <v>49.458637873754157</v>
      </c>
      <c r="T443" s="1205"/>
      <c r="U443" s="1224">
        <f>S443/L443</f>
        <v>0.37327273866984267</v>
      </c>
      <c r="V443" s="1205"/>
      <c r="W443" s="1214">
        <f>(U443/U436-1)*100</f>
        <v>-7.9056603773584815</v>
      </c>
      <c r="X443" s="1210"/>
      <c r="Y443" s="1205"/>
      <c r="Z443" s="1223">
        <f>'store&amp;sf'!H534</f>
        <v>0.48</v>
      </c>
      <c r="AA443" s="1205"/>
      <c r="AB443" s="1216">
        <f>AVERAGE(Z443,Z442)</f>
        <v>0.49187500000000001</v>
      </c>
      <c r="AC443" s="1205"/>
      <c r="AD443" s="1209">
        <f>(AB443/AB436-1)*100</f>
        <v>-16.895459345300935</v>
      </c>
      <c r="AE443" s="1210"/>
      <c r="AF443" s="1207">
        <f>+H443/AD443*100</f>
        <v>141.57807308970112</v>
      </c>
      <c r="AG443" s="1211"/>
      <c r="AH443" s="1205"/>
      <c r="AI443" s="1222">
        <f>+S443</f>
        <v>49.458637873754157</v>
      </c>
      <c r="AJ443" s="1205"/>
      <c r="AK443" s="1208">
        <f>AI443/AB443</f>
        <v>100.55123328844556</v>
      </c>
      <c r="AL443" s="1205"/>
      <c r="AM443" s="1214">
        <f>(AK443/AK436-1)*100</f>
        <v>-2.4364570449201484</v>
      </c>
      <c r="AN443" s="1210"/>
      <c r="AO443" s="1205"/>
    </row>
    <row r="444" spans="1:41" s="1218" customFormat="1" hidden="1" outlineLevel="1">
      <c r="A444" s="1205" t="str">
        <f>$A$29</f>
        <v>4Q</v>
      </c>
      <c r="B444" s="1219" t="str">
        <f>$B$29</f>
        <v>Jan</v>
      </c>
      <c r="C444" s="1205"/>
      <c r="D444" s="1226">
        <f>F444+H444</f>
        <v>-18.890784982935152</v>
      </c>
      <c r="E444" s="1205"/>
      <c r="F444" s="1227">
        <v>5</v>
      </c>
      <c r="G444" s="1205"/>
      <c r="H444" s="1228">
        <f>N444*(P444/100)</f>
        <v>-23.890784982935152</v>
      </c>
      <c r="I444" s="1205"/>
      <c r="J444" s="1220">
        <f>'store&amp;sf'!H170</f>
        <v>126</v>
      </c>
      <c r="K444" s="1205"/>
      <c r="L444" s="1229">
        <f>AVERAGE(J444,J443)</f>
        <v>129</v>
      </c>
      <c r="M444" s="1205"/>
      <c r="N444" s="1228">
        <f>(L444/L437-1)*100</f>
        <v>-11.945392491467576</v>
      </c>
      <c r="O444" s="1210"/>
      <c r="P444" s="1230">
        <v>200</v>
      </c>
      <c r="Q444" s="1211"/>
      <c r="R444" s="1205"/>
      <c r="S444" s="1231">
        <f>S437*(1+D444/100)</f>
        <v>63.69608945892481</v>
      </c>
      <c r="T444" s="1205"/>
      <c r="U444" s="1232">
        <f>S444/L444</f>
        <v>0.4937681353405024</v>
      </c>
      <c r="V444" s="1205"/>
      <c r="W444" s="1226">
        <f>(U444/U437-1)*100</f>
        <v>-7.8875968992248024</v>
      </c>
      <c r="X444" s="1210"/>
      <c r="Y444" s="1205"/>
      <c r="Z444" s="1223">
        <f>'store&amp;sf'!H553</f>
        <v>0</v>
      </c>
      <c r="AA444" s="1205"/>
      <c r="AB444" s="1233">
        <f>AVERAGE(Z444,Z443)</f>
        <v>0.24</v>
      </c>
      <c r="AC444" s="1205"/>
      <c r="AD444" s="1228">
        <f>(AB444/AB437-1)*100</f>
        <v>-58.215451577801957</v>
      </c>
      <c r="AE444" s="1210"/>
      <c r="AF444" s="1227">
        <f>+H444/AD444*100</f>
        <v>41.038563363210102</v>
      </c>
      <c r="AG444" s="1211"/>
      <c r="AH444" s="1205"/>
      <c r="AI444" s="1231">
        <f>+S444</f>
        <v>63.69608945892481</v>
      </c>
      <c r="AJ444" s="1205"/>
      <c r="AK444" s="1229">
        <f>AI444/AB444</f>
        <v>265.40037274552003</v>
      </c>
      <c r="AL444" s="1205"/>
      <c r="AM444" s="1226">
        <f>(AK444/AK437-1)*100</f>
        <v>94.112939064277597</v>
      </c>
      <c r="AN444" s="1210"/>
      <c r="AO444" s="1205"/>
    </row>
    <row r="445" spans="1:41" s="1218" customFormat="1" hidden="1" outlineLevel="1">
      <c r="A445" s="1205"/>
      <c r="B445" s="1219" t="str">
        <f>$B$30</f>
        <v>Year</v>
      </c>
      <c r="C445" s="1205"/>
      <c r="D445" s="1206">
        <f>(S445/S438-1)*100</f>
        <v>-18.833802742315843</v>
      </c>
      <c r="E445" s="1205"/>
      <c r="F445" s="1207">
        <f>+F441*S441/S445+F442*S442/S445+F443*S443/S445+F444*S444/S445</f>
        <v>5</v>
      </c>
      <c r="G445" s="1205"/>
      <c r="H445" s="1206">
        <f>D445-F445</f>
        <v>-23.833802742315843</v>
      </c>
      <c r="I445" s="1205"/>
      <c r="J445" s="1205"/>
      <c r="K445" s="1205"/>
      <c r="L445" s="1208">
        <f>AVERAGE(L441:L444)</f>
        <v>133.375</v>
      </c>
      <c r="M445" s="1205"/>
      <c r="N445" s="1209">
        <f>(L445/L438-1)*100</f>
        <v>-11.818181818181817</v>
      </c>
      <c r="O445" s="1210"/>
      <c r="P445" s="1207">
        <f>H445/N445*100</f>
        <v>201.67063858882642</v>
      </c>
      <c r="Q445" s="1211"/>
      <c r="R445" s="1205"/>
      <c r="S445" s="1212">
        <f>SUM(S441:S444)</f>
        <v>216.08979058378586</v>
      </c>
      <c r="T445" s="1205"/>
      <c r="U445" s="1213">
        <f>SUM(U441:U444)</f>
        <v>1.6259310576075714</v>
      </c>
      <c r="V445" s="1205"/>
      <c r="W445" s="1214">
        <f>(U445/U438-1)*100</f>
        <v>-7.8704564399950216</v>
      </c>
      <c r="X445" s="1210"/>
      <c r="Y445" s="1205"/>
      <c r="Z445" s="1215"/>
      <c r="AA445" s="1205"/>
      <c r="AB445" s="1216">
        <f>AVERAGE(AB441:AB444)</f>
        <v>0.44874999999999998</v>
      </c>
      <c r="AC445" s="1205"/>
      <c r="AD445" s="1209">
        <f>(AB445/AB438-1)*100</f>
        <v>-24.579831932773111</v>
      </c>
      <c r="AE445" s="1210"/>
      <c r="AF445" s="1207">
        <f>+H445/AD445*100</f>
        <v>96.96487269523368</v>
      </c>
      <c r="AG445" s="1211"/>
      <c r="AH445" s="1205"/>
      <c r="AI445" s="1212">
        <f>SUM(AI441:AI444)</f>
        <v>216.08979058378586</v>
      </c>
      <c r="AJ445" s="1205"/>
      <c r="AK445" s="1217">
        <f>SUM(AK441:AK444)</f>
        <v>560.30886360074305</v>
      </c>
      <c r="AL445" s="1205"/>
      <c r="AM445" s="1214">
        <f>(AK445/AK438-1)*100</f>
        <v>24.827352850840324</v>
      </c>
      <c r="AN445" s="1210"/>
      <c r="AO445" s="1205"/>
    </row>
    <row r="446" spans="1:41" collapsed="1"/>
    <row r="447" spans="1:41">
      <c r="A447" s="666"/>
      <c r="B447" s="1189" t="s">
        <v>170</v>
      </c>
      <c r="C447" s="666"/>
      <c r="D447" s="733"/>
      <c r="E447" s="667"/>
      <c r="F447" s="703"/>
      <c r="G447" s="667"/>
      <c r="H447" s="733"/>
      <c r="I447" s="667"/>
      <c r="J447" s="667"/>
      <c r="K447" s="667"/>
      <c r="L447" s="706"/>
      <c r="M447" s="667"/>
      <c r="N447" s="700"/>
      <c r="O447" s="704"/>
      <c r="P447" s="703"/>
      <c r="Q447" s="702"/>
      <c r="R447" s="667"/>
      <c r="S447" s="726"/>
      <c r="T447" s="667"/>
      <c r="U447" s="707"/>
      <c r="V447" s="666"/>
      <c r="W447" s="730"/>
      <c r="X447" s="685"/>
      <c r="Y447" s="666"/>
      <c r="Z447" s="676"/>
      <c r="AA447" s="666"/>
      <c r="AB447" s="710"/>
      <c r="AC447" s="666"/>
      <c r="AD447" s="700"/>
      <c r="AE447" s="685"/>
      <c r="AF447" s="703"/>
      <c r="AG447" s="668"/>
      <c r="AH447" s="666"/>
      <c r="AI447" s="673"/>
      <c r="AJ447" s="666"/>
      <c r="AK447" s="711"/>
      <c r="AL447" s="666"/>
      <c r="AM447" s="730"/>
      <c r="AN447" s="685"/>
      <c r="AO447" s="666"/>
    </row>
    <row r="448" spans="1:41" hidden="1" outlineLevel="1">
      <c r="A448" s="666"/>
      <c r="B448" s="684"/>
      <c r="C448" s="666"/>
      <c r="D448" s="733"/>
      <c r="E448" s="667"/>
      <c r="F448" s="703"/>
      <c r="G448" s="667"/>
      <c r="H448" s="733"/>
      <c r="I448" s="667"/>
      <c r="J448" s="667"/>
      <c r="K448" s="667"/>
      <c r="L448" s="706"/>
      <c r="M448" s="667"/>
      <c r="N448" s="700"/>
      <c r="O448" s="704"/>
      <c r="P448" s="703"/>
      <c r="Q448" s="702"/>
      <c r="R448" s="667"/>
      <c r="S448" s="726"/>
      <c r="T448" s="667"/>
      <c r="U448" s="707"/>
      <c r="V448" s="666"/>
      <c r="W448" s="730"/>
      <c r="X448" s="685"/>
      <c r="Y448" s="666"/>
      <c r="Z448" s="676"/>
      <c r="AA448" s="666"/>
      <c r="AB448" s="710"/>
      <c r="AC448" s="666"/>
      <c r="AD448" s="700"/>
      <c r="AE448" s="685"/>
      <c r="AF448" s="703"/>
      <c r="AG448" s="668"/>
      <c r="AH448" s="666"/>
      <c r="AI448" s="673"/>
      <c r="AJ448" s="666"/>
      <c r="AK448" s="711"/>
      <c r="AL448" s="666"/>
      <c r="AM448" s="730"/>
      <c r="AN448" s="685"/>
      <c r="AO448" s="666"/>
    </row>
    <row r="449" spans="1:41" hidden="1" outlineLevel="1">
      <c r="A449" s="698"/>
      <c r="B449" s="728">
        <f>B419</f>
        <v>2012</v>
      </c>
      <c r="C449" s="666"/>
      <c r="D449" s="700"/>
      <c r="E449" s="701"/>
      <c r="F449" s="700"/>
      <c r="G449" s="701"/>
      <c r="H449" s="700"/>
      <c r="I449" s="704"/>
      <c r="J449" s="667"/>
      <c r="K449" s="667"/>
      <c r="L449" s="667"/>
      <c r="M449" s="667"/>
      <c r="N449" s="667"/>
      <c r="O449" s="704"/>
      <c r="P449" s="702"/>
      <c r="Q449" s="702"/>
      <c r="R449" s="667"/>
      <c r="S449" s="674"/>
      <c r="T449" s="667"/>
      <c r="U449" s="667"/>
      <c r="V449" s="666"/>
      <c r="W449" s="666"/>
      <c r="X449" s="685"/>
      <c r="Y449" s="666"/>
      <c r="Z449" s="676"/>
      <c r="AA449" s="666"/>
      <c r="AB449" s="679"/>
      <c r="AC449" s="666"/>
      <c r="AD449" s="667"/>
      <c r="AE449" s="685"/>
      <c r="AF449" s="703"/>
      <c r="AG449" s="668"/>
      <c r="AH449" s="666"/>
      <c r="AI449" s="666"/>
      <c r="AJ449" s="666"/>
      <c r="AK449" s="666"/>
      <c r="AL449" s="666"/>
      <c r="AM449" s="666"/>
      <c r="AN449" s="685"/>
      <c r="AO449" s="666"/>
    </row>
    <row r="450" spans="1:41" hidden="1" outlineLevel="1">
      <c r="A450" s="666" t="str">
        <f>$A$26</f>
        <v>1Q</v>
      </c>
      <c r="B450" s="684" t="str">
        <f>$B$26</f>
        <v>Apr</v>
      </c>
      <c r="C450" s="666"/>
      <c r="D450" s="701" t="s">
        <v>520</v>
      </c>
      <c r="E450" s="701" t="s">
        <v>1084</v>
      </c>
      <c r="F450" s="701" t="s">
        <v>520</v>
      </c>
      <c r="G450" s="701" t="s">
        <v>1084</v>
      </c>
      <c r="H450" s="701" t="s">
        <v>520</v>
      </c>
      <c r="I450" s="704" t="s">
        <v>1084</v>
      </c>
      <c r="J450" s="1188">
        <f>'store&amp;sf'!X149</f>
        <v>0</v>
      </c>
      <c r="K450" s="667"/>
      <c r="L450" s="1193">
        <f>J450</f>
        <v>0</v>
      </c>
      <c r="M450" s="667"/>
      <c r="N450" s="701" t="s">
        <v>520</v>
      </c>
      <c r="O450" s="704" t="s">
        <v>1084</v>
      </c>
      <c r="P450" s="740" t="s">
        <v>886</v>
      </c>
      <c r="Q450" s="702" t="s">
        <v>1084</v>
      </c>
      <c r="R450" s="667"/>
      <c r="S450" s="712">
        <f>'segSales&amp;OM'!AG202</f>
        <v>18.71</v>
      </c>
      <c r="T450" s="667"/>
      <c r="U450" s="740" t="s">
        <v>886</v>
      </c>
      <c r="V450" s="666"/>
      <c r="W450" s="740" t="s">
        <v>886</v>
      </c>
      <c r="X450" s="685" t="s">
        <v>1084</v>
      </c>
      <c r="Y450" s="666"/>
      <c r="Z450" s="1197">
        <f>+'store&amp;sf'!L608</f>
        <v>0</v>
      </c>
      <c r="AA450" s="666"/>
      <c r="AB450" s="1194">
        <f>Z450</f>
        <v>0</v>
      </c>
      <c r="AC450" s="666"/>
      <c r="AD450" s="740" t="s">
        <v>886</v>
      </c>
      <c r="AE450" s="685" t="s">
        <v>1084</v>
      </c>
      <c r="AF450" s="740" t="s">
        <v>886</v>
      </c>
      <c r="AG450" s="668" t="s">
        <v>1084</v>
      </c>
      <c r="AH450" s="666"/>
      <c r="AI450" s="673">
        <f>+S450</f>
        <v>18.71</v>
      </c>
      <c r="AJ450" s="666"/>
      <c r="AK450" s="740" t="s">
        <v>886</v>
      </c>
      <c r="AL450" s="666"/>
      <c r="AM450" s="740" t="s">
        <v>886</v>
      </c>
      <c r="AN450" s="685" t="s">
        <v>1084</v>
      </c>
      <c r="AO450" s="666"/>
    </row>
    <row r="451" spans="1:41" hidden="1" outlineLevel="1">
      <c r="A451" s="666" t="str">
        <f>$A$27</f>
        <v>2Q</v>
      </c>
      <c r="B451" s="684" t="str">
        <f>$B$27</f>
        <v>Jul</v>
      </c>
      <c r="C451" s="666"/>
      <c r="D451" s="701" t="s">
        <v>520</v>
      </c>
      <c r="E451" s="700"/>
      <c r="F451" s="701" t="s">
        <v>520</v>
      </c>
      <c r="G451" s="700"/>
      <c r="H451" s="701" t="s">
        <v>520</v>
      </c>
      <c r="I451" s="667"/>
      <c r="J451" s="1188">
        <f>'store&amp;sf'!X150</f>
        <v>0</v>
      </c>
      <c r="K451" s="724"/>
      <c r="L451" s="706">
        <f>AVERAGE(J451,J450)</f>
        <v>0</v>
      </c>
      <c r="M451" s="667"/>
      <c r="N451" s="701" t="s">
        <v>520</v>
      </c>
      <c r="O451" s="704"/>
      <c r="P451" s="740" t="s">
        <v>886</v>
      </c>
      <c r="Q451" s="702"/>
      <c r="R451" s="667"/>
      <c r="S451" s="712">
        <f>'segSales&amp;OM'!AG203</f>
        <v>21.565000000000001</v>
      </c>
      <c r="T451" s="667"/>
      <c r="U451" s="740" t="s">
        <v>886</v>
      </c>
      <c r="V451" s="666"/>
      <c r="W451" s="740" t="s">
        <v>886</v>
      </c>
      <c r="X451" s="685"/>
      <c r="Y451" s="666"/>
      <c r="Z451" s="1197">
        <f>+'store&amp;sf'!L609</f>
        <v>0</v>
      </c>
      <c r="AA451" s="724"/>
      <c r="AB451" s="710">
        <f>AVERAGE(Z451,Z450)</f>
        <v>0</v>
      </c>
      <c r="AC451" s="666"/>
      <c r="AD451" s="740" t="s">
        <v>886</v>
      </c>
      <c r="AE451" s="685"/>
      <c r="AF451" s="740" t="s">
        <v>886</v>
      </c>
      <c r="AG451" s="668"/>
      <c r="AH451" s="666"/>
      <c r="AI451" s="675">
        <f>+S451</f>
        <v>21.565000000000001</v>
      </c>
      <c r="AJ451" s="666"/>
      <c r="AK451" s="740" t="s">
        <v>886</v>
      </c>
      <c r="AL451" s="666"/>
      <c r="AM451" s="740" t="s">
        <v>886</v>
      </c>
      <c r="AN451" s="685"/>
      <c r="AO451" s="666"/>
    </row>
    <row r="452" spans="1:41" hidden="1" outlineLevel="1">
      <c r="A452" s="666" t="str">
        <f>$A$28</f>
        <v>3Q</v>
      </c>
      <c r="B452" s="684" t="str">
        <f>$B$28</f>
        <v>Oct</v>
      </c>
      <c r="C452" s="666"/>
      <c r="D452" s="701" t="s">
        <v>520</v>
      </c>
      <c r="E452" s="700"/>
      <c r="F452" s="701" t="s">
        <v>520</v>
      </c>
      <c r="G452" s="700"/>
      <c r="H452" s="701" t="s">
        <v>520</v>
      </c>
      <c r="I452" s="667"/>
      <c r="J452" s="1188">
        <f>'store&amp;sf'!X151</f>
        <v>2</v>
      </c>
      <c r="K452" s="724"/>
      <c r="L452" s="706">
        <f>AVERAGE(J452,J451)</f>
        <v>1</v>
      </c>
      <c r="M452" s="667"/>
      <c r="N452" s="701" t="s">
        <v>520</v>
      </c>
      <c r="O452" s="704"/>
      <c r="P452" s="740" t="s">
        <v>886</v>
      </c>
      <c r="Q452" s="702"/>
      <c r="R452" s="667"/>
      <c r="S452" s="712">
        <f>'segSales&amp;OM'!AG204</f>
        <v>38.463999999999999</v>
      </c>
      <c r="T452" s="667"/>
      <c r="U452" s="713">
        <f>S452/L452</f>
        <v>38.463999999999999</v>
      </c>
      <c r="V452" s="666"/>
      <c r="W452" s="740" t="s">
        <v>886</v>
      </c>
      <c r="X452" s="685"/>
      <c r="Y452" s="666"/>
      <c r="Z452" s="1197">
        <f>'store&amp;sf'!X333</f>
        <v>3.2000000000000001E-2</v>
      </c>
      <c r="AA452" s="724"/>
      <c r="AB452" s="710">
        <f>AVERAGE(Z452,Z451)</f>
        <v>1.6E-2</v>
      </c>
      <c r="AC452" s="666"/>
      <c r="AD452" s="740" t="s">
        <v>886</v>
      </c>
      <c r="AE452" s="685"/>
      <c r="AF452" s="740" t="s">
        <v>886</v>
      </c>
      <c r="AG452" s="668"/>
      <c r="AH452" s="666"/>
      <c r="AI452" s="675">
        <f>+S452</f>
        <v>38.463999999999999</v>
      </c>
      <c r="AJ452" s="666"/>
      <c r="AK452" s="714">
        <f>AI452/AB452</f>
        <v>2404</v>
      </c>
      <c r="AL452" s="666"/>
      <c r="AM452" s="740" t="s">
        <v>886</v>
      </c>
      <c r="AN452" s="685"/>
      <c r="AO452" s="666"/>
    </row>
    <row r="453" spans="1:41" hidden="1" outlineLevel="1">
      <c r="A453" s="666" t="str">
        <f>$A$29</f>
        <v>4Q</v>
      </c>
      <c r="B453" s="684" t="str">
        <f>$B$29</f>
        <v>Jan</v>
      </c>
      <c r="C453" s="666"/>
      <c r="D453" s="1190" t="s">
        <v>520</v>
      </c>
      <c r="E453" s="667"/>
      <c r="F453" s="1190" t="s">
        <v>520</v>
      </c>
      <c r="G453" s="667"/>
      <c r="H453" s="1190" t="s">
        <v>520</v>
      </c>
      <c r="I453" s="667"/>
      <c r="J453" s="1188">
        <f>'store&amp;sf'!X152</f>
        <v>2</v>
      </c>
      <c r="K453" s="724"/>
      <c r="L453" s="716">
        <f>AVERAGE(J453,J452)</f>
        <v>2</v>
      </c>
      <c r="M453" s="667"/>
      <c r="N453" s="1190" t="s">
        <v>520</v>
      </c>
      <c r="O453" s="704"/>
      <c r="P453" s="1150" t="s">
        <v>886</v>
      </c>
      <c r="Q453" s="702"/>
      <c r="R453" s="667"/>
      <c r="S453" s="718">
        <f>'segSales&amp;OM'!AG205</f>
        <v>53.264000000000003</v>
      </c>
      <c r="T453" s="667"/>
      <c r="U453" s="719">
        <f>S453/L453</f>
        <v>26.632000000000001</v>
      </c>
      <c r="V453" s="666"/>
      <c r="W453" s="1150" t="s">
        <v>886</v>
      </c>
      <c r="X453" s="685"/>
      <c r="Y453" s="666"/>
      <c r="Z453" s="1197">
        <f>'store&amp;sf'!X334</f>
        <v>3.2000000000000001E-2</v>
      </c>
      <c r="AA453" s="671"/>
      <c r="AB453" s="721">
        <f>AVERAGE(Z453,Z452)</f>
        <v>3.2000000000000001E-2</v>
      </c>
      <c r="AC453" s="666"/>
      <c r="AD453" s="1150" t="s">
        <v>886</v>
      </c>
      <c r="AE453" s="685"/>
      <c r="AF453" s="1150" t="s">
        <v>886</v>
      </c>
      <c r="AG453" s="668"/>
      <c r="AH453" s="666"/>
      <c r="AI453" s="722">
        <f>+S453</f>
        <v>53.264000000000003</v>
      </c>
      <c r="AJ453" s="666"/>
      <c r="AK453" s="723">
        <f>AI453/AB453</f>
        <v>1664.5</v>
      </c>
      <c r="AL453" s="666"/>
      <c r="AM453" s="1150" t="s">
        <v>886</v>
      </c>
      <c r="AN453" s="685"/>
      <c r="AO453" s="666"/>
    </row>
    <row r="454" spans="1:41" hidden="1" outlineLevel="1">
      <c r="A454" s="666"/>
      <c r="B454" s="684" t="str">
        <f>$B$30</f>
        <v>Year</v>
      </c>
      <c r="C454" s="666"/>
      <c r="D454" s="1191" t="s">
        <v>520</v>
      </c>
      <c r="E454" s="667"/>
      <c r="F454" s="1192" t="s">
        <v>520</v>
      </c>
      <c r="G454" s="667"/>
      <c r="H454" s="1192" t="s">
        <v>520</v>
      </c>
      <c r="I454" s="667"/>
      <c r="J454" s="667"/>
      <c r="K454" s="667"/>
      <c r="L454" s="706">
        <f>AVERAGE(L450:L453)</f>
        <v>0.75</v>
      </c>
      <c r="M454" s="667"/>
      <c r="N454" s="1192" t="s">
        <v>520</v>
      </c>
      <c r="O454" s="704"/>
      <c r="P454" s="740" t="s">
        <v>886</v>
      </c>
      <c r="Q454" s="702"/>
      <c r="R454" s="667"/>
      <c r="S454" s="726">
        <f>SUM(S450:S453)</f>
        <v>132.00300000000001</v>
      </c>
      <c r="T454" s="667"/>
      <c r="U454" s="707">
        <f>SUM(U450:U453)</f>
        <v>65.096000000000004</v>
      </c>
      <c r="V454" s="666"/>
      <c r="W454" s="740" t="s">
        <v>886</v>
      </c>
      <c r="X454" s="685"/>
      <c r="Y454" s="666"/>
      <c r="Z454" s="676"/>
      <c r="AA454" s="666"/>
      <c r="AB454" s="710">
        <f>AVERAGE(AB450:AB453)</f>
        <v>1.2E-2</v>
      </c>
      <c r="AC454" s="666"/>
      <c r="AD454" s="740" t="s">
        <v>886</v>
      </c>
      <c r="AE454" s="685"/>
      <c r="AF454" s="740" t="s">
        <v>886</v>
      </c>
      <c r="AG454" s="668"/>
      <c r="AH454" s="666"/>
      <c r="AI454" s="673">
        <f>SUM(AI450:AI453)</f>
        <v>132.00300000000001</v>
      </c>
      <c r="AJ454" s="666"/>
      <c r="AK454" s="711">
        <f>SUM(AK450:AK453)</f>
        <v>4068.5</v>
      </c>
      <c r="AL454" s="666"/>
      <c r="AM454" s="740" t="s">
        <v>886</v>
      </c>
      <c r="AN454" s="685"/>
      <c r="AO454" s="666"/>
    </row>
    <row r="455" spans="1:41" hidden="1" outlineLevel="1">
      <c r="A455" s="666"/>
      <c r="B455" s="684"/>
      <c r="C455" s="666"/>
      <c r="D455" s="733"/>
      <c r="E455" s="667"/>
      <c r="F455" s="703"/>
      <c r="G455" s="667"/>
      <c r="H455" s="733"/>
      <c r="I455" s="667"/>
      <c r="J455" s="667"/>
      <c r="K455" s="667"/>
      <c r="L455" s="706"/>
      <c r="M455" s="667"/>
      <c r="N455" s="700"/>
      <c r="O455" s="704"/>
      <c r="P455" s="703"/>
      <c r="Q455" s="702"/>
      <c r="R455" s="667"/>
      <c r="S455" s="726"/>
      <c r="T455" s="667"/>
      <c r="U455" s="707"/>
      <c r="V455" s="666"/>
      <c r="W455" s="730"/>
      <c r="X455" s="685"/>
      <c r="Y455" s="666"/>
      <c r="Z455" s="676"/>
      <c r="AA455" s="666"/>
      <c r="AB455" s="710"/>
      <c r="AC455" s="666"/>
      <c r="AD455" s="700"/>
      <c r="AE455" s="685"/>
      <c r="AF455" s="703"/>
      <c r="AG455" s="668"/>
      <c r="AH455" s="666"/>
      <c r="AI455" s="673"/>
      <c r="AJ455" s="666"/>
      <c r="AK455" s="711"/>
      <c r="AL455" s="666"/>
      <c r="AM455" s="730"/>
      <c r="AN455" s="685"/>
      <c r="AO455" s="666"/>
    </row>
    <row r="456" spans="1:41" collapsed="1">
      <c r="A456" s="698"/>
      <c r="B456" s="728">
        <f>B449+1</f>
        <v>2013</v>
      </c>
      <c r="C456" s="666"/>
      <c r="D456" s="733"/>
      <c r="E456" s="667"/>
      <c r="F456" s="703"/>
      <c r="G456" s="667"/>
      <c r="H456" s="733"/>
      <c r="I456" s="667"/>
      <c r="J456" s="667"/>
      <c r="K456" s="667"/>
      <c r="L456" s="706"/>
      <c r="M456" s="667"/>
      <c r="N456" s="700"/>
      <c r="O456" s="704"/>
      <c r="P456" s="703"/>
      <c r="Q456" s="702"/>
      <c r="R456" s="667"/>
      <c r="S456" s="726"/>
      <c r="T456" s="667"/>
      <c r="U456" s="707"/>
      <c r="V456" s="666"/>
      <c r="W456" s="730"/>
      <c r="X456" s="685"/>
      <c r="Y456" s="666"/>
      <c r="Z456" s="676"/>
      <c r="AA456" s="666"/>
      <c r="AB456" s="710"/>
      <c r="AC456" s="666"/>
      <c r="AD456" s="700"/>
      <c r="AE456" s="685"/>
      <c r="AF456" s="703"/>
      <c r="AG456" s="668"/>
      <c r="AH456" s="666"/>
      <c r="AI456" s="673"/>
      <c r="AJ456" s="666"/>
      <c r="AK456" s="711"/>
      <c r="AL456" s="666"/>
      <c r="AM456" s="730"/>
      <c r="AN456" s="685"/>
      <c r="AO456" s="666"/>
    </row>
    <row r="457" spans="1:41">
      <c r="A457" s="666" t="str">
        <f>$A$26</f>
        <v>1Q</v>
      </c>
      <c r="B457" s="684" t="str">
        <f>$B$26</f>
        <v>Apr</v>
      </c>
      <c r="C457" s="666"/>
      <c r="D457" s="733">
        <f>(S457/S450-1)*100</f>
        <v>115.9273115980759</v>
      </c>
      <c r="E457" s="667" t="s">
        <v>1084</v>
      </c>
      <c r="F457" s="703">
        <f>+segmthSales!CV114</f>
        <v>0</v>
      </c>
      <c r="G457" s="701" t="s">
        <v>1084</v>
      </c>
      <c r="H457" s="733">
        <f>D457-F457</f>
        <v>115.9273115980759</v>
      </c>
      <c r="I457" s="667" t="s">
        <v>1084</v>
      </c>
      <c r="J457" s="1188">
        <f>'store&amp;sf'!X155</f>
        <v>2</v>
      </c>
      <c r="K457" s="667"/>
      <c r="L457" s="706">
        <f>AVERAGE(J457,J453)</f>
        <v>2</v>
      </c>
      <c r="M457" s="667"/>
      <c r="N457" s="940" t="s">
        <v>886</v>
      </c>
      <c r="O457" s="704" t="s">
        <v>1084</v>
      </c>
      <c r="P457" s="940" t="s">
        <v>886</v>
      </c>
      <c r="Q457" s="702" t="s">
        <v>1084</v>
      </c>
      <c r="R457" s="667"/>
      <c r="S457" s="712">
        <f>'segSales&amp;OM'!AG209</f>
        <v>40.4</v>
      </c>
      <c r="T457" s="667"/>
      <c r="U457" s="707">
        <f>S457/L457</f>
        <v>20.2</v>
      </c>
      <c r="V457" s="666"/>
      <c r="W457" s="940" t="s">
        <v>886</v>
      </c>
      <c r="X457" s="685" t="s">
        <v>1084</v>
      </c>
      <c r="Y457" s="666"/>
      <c r="Z457" s="1197">
        <f>'store&amp;sf'!X337</f>
        <v>3.2000000000000001E-2</v>
      </c>
      <c r="AA457" s="666"/>
      <c r="AB457" s="710">
        <f>AVERAGE(Z457,Z453)</f>
        <v>3.2000000000000001E-2</v>
      </c>
      <c r="AC457" s="666"/>
      <c r="AD457" s="740" t="s">
        <v>886</v>
      </c>
      <c r="AE457" s="685" t="s">
        <v>1084</v>
      </c>
      <c r="AF457" s="740" t="s">
        <v>886</v>
      </c>
      <c r="AG457" s="668" t="s">
        <v>1084</v>
      </c>
      <c r="AH457" s="666"/>
      <c r="AI457" s="673">
        <f>+S457</f>
        <v>40.4</v>
      </c>
      <c r="AJ457" s="666"/>
      <c r="AK457" s="711">
        <f>AI457/AB457</f>
        <v>1262.5</v>
      </c>
      <c r="AL457" s="666"/>
      <c r="AM457" s="740" t="s">
        <v>886</v>
      </c>
      <c r="AN457" s="685" t="s">
        <v>1084</v>
      </c>
      <c r="AO457" s="666"/>
    </row>
    <row r="458" spans="1:41">
      <c r="A458" s="666" t="str">
        <f>$A$27</f>
        <v>2Q</v>
      </c>
      <c r="B458" s="684" t="str">
        <f>$B$27</f>
        <v>Jul</v>
      </c>
      <c r="C458" s="666"/>
      <c r="D458" s="733">
        <f>(S458/S451-1)*100</f>
        <v>114.6394620913517</v>
      </c>
      <c r="E458" s="667"/>
      <c r="F458" s="703">
        <f>+segmthSales!CV119</f>
        <v>0</v>
      </c>
      <c r="G458" s="700"/>
      <c r="H458" s="733">
        <f>D458-F458</f>
        <v>114.6394620913517</v>
      </c>
      <c r="I458" s="667"/>
      <c r="J458" s="1188">
        <f>'store&amp;sf'!X156</f>
        <v>2</v>
      </c>
      <c r="K458" s="667"/>
      <c r="L458" s="706">
        <f>AVERAGE(J458,J457)</f>
        <v>2</v>
      </c>
      <c r="M458" s="667"/>
      <c r="N458" s="940" t="s">
        <v>886</v>
      </c>
      <c r="O458" s="704"/>
      <c r="P458" s="940" t="s">
        <v>886</v>
      </c>
      <c r="Q458" s="702"/>
      <c r="R458" s="667"/>
      <c r="S458" s="712">
        <f>'segSales&amp;OM'!AG210</f>
        <v>46.286999999999999</v>
      </c>
      <c r="T458" s="667"/>
      <c r="U458" s="713">
        <f>S458/L458</f>
        <v>23.1435</v>
      </c>
      <c r="V458" s="666"/>
      <c r="W458" s="940" t="s">
        <v>886</v>
      </c>
      <c r="X458" s="685"/>
      <c r="Y458" s="666"/>
      <c r="Z458" s="1197">
        <f>'store&amp;sf'!X338</f>
        <v>3.2000000000000001E-2</v>
      </c>
      <c r="AA458" s="666"/>
      <c r="AB458" s="710">
        <f>AVERAGE(Z458,Z457)</f>
        <v>3.2000000000000001E-2</v>
      </c>
      <c r="AC458" s="666"/>
      <c r="AD458" s="740" t="s">
        <v>886</v>
      </c>
      <c r="AE458" s="685"/>
      <c r="AF458" s="740" t="s">
        <v>886</v>
      </c>
      <c r="AG458" s="668"/>
      <c r="AH458" s="666"/>
      <c r="AI458" s="675">
        <f>+S458</f>
        <v>46.286999999999999</v>
      </c>
      <c r="AJ458" s="666"/>
      <c r="AK458" s="714">
        <f>AI458/AB458</f>
        <v>1446.46875</v>
      </c>
      <c r="AL458" s="666"/>
      <c r="AM458" s="740" t="s">
        <v>886</v>
      </c>
      <c r="AN458" s="685"/>
      <c r="AO458" s="666"/>
    </row>
    <row r="459" spans="1:41">
      <c r="A459" s="666" t="str">
        <f>$A$28</f>
        <v>3Q</v>
      </c>
      <c r="B459" s="684" t="str">
        <f>$B$28</f>
        <v>Oct</v>
      </c>
      <c r="C459" s="666"/>
      <c r="D459" s="700">
        <f>F459+H459</f>
        <v>55.5</v>
      </c>
      <c r="E459" s="667"/>
      <c r="F459" s="703">
        <v>55.5</v>
      </c>
      <c r="G459" s="700"/>
      <c r="H459" s="700">
        <v>0</v>
      </c>
      <c r="I459" s="667"/>
      <c r="J459" s="1188">
        <f>'store&amp;sf'!X156</f>
        <v>2</v>
      </c>
      <c r="K459" s="667"/>
      <c r="L459" s="706">
        <f>AVERAGE(J459,J458)</f>
        <v>2</v>
      </c>
      <c r="M459" s="667"/>
      <c r="N459" s="700">
        <f>(L459/L452-1)*100</f>
        <v>100</v>
      </c>
      <c r="O459" s="704"/>
      <c r="P459" s="740" t="s">
        <v>886</v>
      </c>
      <c r="Q459" s="702"/>
      <c r="R459" s="667"/>
      <c r="S459" s="712">
        <f>'segSales&amp;OM'!AG211</f>
        <v>59.816000000000003</v>
      </c>
      <c r="T459" s="667"/>
      <c r="U459" s="713">
        <f>S459/L459</f>
        <v>29.908000000000001</v>
      </c>
      <c r="V459" s="666"/>
      <c r="W459" s="730">
        <f>(U459/U452-1)*100</f>
        <v>-22.244176372712143</v>
      </c>
      <c r="X459" s="685"/>
      <c r="Y459" s="666"/>
      <c r="Z459" s="1197">
        <f>'store&amp;sf'!X339</f>
        <v>6.5000000000000002E-2</v>
      </c>
      <c r="AA459" s="666"/>
      <c r="AB459" s="710">
        <f>AVERAGE(Z459,Z458)</f>
        <v>4.8500000000000001E-2</v>
      </c>
      <c r="AC459" s="666"/>
      <c r="AD459" s="700">
        <f>(AB459/AB452-1)*100</f>
        <v>203.125</v>
      </c>
      <c r="AE459" s="685"/>
      <c r="AF459" s="703">
        <f>+H459/AD459*100</f>
        <v>0</v>
      </c>
      <c r="AG459" s="668"/>
      <c r="AH459" s="666"/>
      <c r="AI459" s="675">
        <f>+S459</f>
        <v>59.816000000000003</v>
      </c>
      <c r="AJ459" s="666"/>
      <c r="AK459" s="714">
        <f>AI459/AB459</f>
        <v>1233.319587628866</v>
      </c>
      <c r="AL459" s="666"/>
      <c r="AM459" s="730">
        <f>(AK459/AK452-1)*100</f>
        <v>-48.697188534572966</v>
      </c>
      <c r="AN459" s="685"/>
      <c r="AO459" s="666"/>
    </row>
    <row r="460" spans="1:41">
      <c r="A460" s="666" t="str">
        <f>$A$29</f>
        <v>4Q</v>
      </c>
      <c r="B460" s="684" t="str">
        <f>$B$29</f>
        <v>Jan</v>
      </c>
      <c r="C460" s="666"/>
      <c r="D460" s="732">
        <f>F460+H460</f>
        <v>41.3</v>
      </c>
      <c r="E460" s="667"/>
      <c r="F460" s="717">
        <v>39.299999999999997</v>
      </c>
      <c r="G460" s="667"/>
      <c r="H460" s="715">
        <v>2</v>
      </c>
      <c r="I460" s="667"/>
      <c r="J460" s="1188">
        <f>'store&amp;sf'!X157</f>
        <v>5</v>
      </c>
      <c r="K460" s="667"/>
      <c r="L460" s="716">
        <f>AVERAGE(J460,J459)</f>
        <v>3.5</v>
      </c>
      <c r="M460" s="667"/>
      <c r="N460" s="715">
        <f>(L460/L453-1)*100</f>
        <v>75</v>
      </c>
      <c r="O460" s="704"/>
      <c r="P460" s="1150" t="s">
        <v>886</v>
      </c>
      <c r="Q460" s="702"/>
      <c r="R460" s="667"/>
      <c r="S460" s="718">
        <f>'segSales&amp;OM'!AG212</f>
        <v>75.293000000000006</v>
      </c>
      <c r="T460" s="667"/>
      <c r="U460" s="719">
        <f>S460/L460</f>
        <v>21.512285714285717</v>
      </c>
      <c r="V460" s="666"/>
      <c r="W460" s="720">
        <f>(U460/U453-1)*100</f>
        <v>-19.223919666995659</v>
      </c>
      <c r="X460" s="685"/>
      <c r="Y460" s="666"/>
      <c r="Z460" s="1197">
        <f>'store&amp;sf'!X340</f>
        <v>6.5000000000000002E-2</v>
      </c>
      <c r="AA460" s="666"/>
      <c r="AB460" s="721">
        <f>AVERAGE(Z460,Z459)</f>
        <v>6.5000000000000002E-2</v>
      </c>
      <c r="AC460" s="666"/>
      <c r="AD460" s="715">
        <f>(AB460/AB453-1)*100</f>
        <v>103.125</v>
      </c>
      <c r="AE460" s="685"/>
      <c r="AF460" s="717">
        <f>+H460/AD460*100</f>
        <v>1.9393939393939394</v>
      </c>
      <c r="AG460" s="668"/>
      <c r="AH460" s="666"/>
      <c r="AI460" s="722">
        <f>+S460</f>
        <v>75.293000000000006</v>
      </c>
      <c r="AJ460" s="666"/>
      <c r="AK460" s="723">
        <f>AI460/AB460</f>
        <v>1158.3538461538462</v>
      </c>
      <c r="AL460" s="666"/>
      <c r="AM460" s="720">
        <f>(AK460/AK453-1)*100</f>
        <v>-30.408300020796265</v>
      </c>
      <c r="AN460" s="685"/>
      <c r="AO460" s="666"/>
    </row>
    <row r="461" spans="1:41">
      <c r="A461" s="666"/>
      <c r="B461" s="684" t="str">
        <f>$B$30</f>
        <v>Year</v>
      </c>
      <c r="C461" s="666"/>
      <c r="D461" s="733">
        <f>(S461/S454-1)*100</f>
        <v>68.023454012408791</v>
      </c>
      <c r="E461" s="666"/>
      <c r="F461" s="703">
        <f>+F457*S457/S461+F458*S458/S461+F459*S459/S461+F460*S460/S461</f>
        <v>28.308909538494838</v>
      </c>
      <c r="G461" s="667"/>
      <c r="H461" s="733">
        <f>D461-F461</f>
        <v>39.714544473913953</v>
      </c>
      <c r="I461" s="666"/>
      <c r="J461" s="666"/>
      <c r="K461" s="666"/>
      <c r="L461" s="706">
        <f>AVERAGE(L457:L460)</f>
        <v>2.375</v>
      </c>
      <c r="M461" s="666"/>
      <c r="N461" s="700">
        <f>(L461/L454-1)*100</f>
        <v>216.66666666666666</v>
      </c>
      <c r="O461" s="704"/>
      <c r="P461" s="703">
        <f>H461/N461*100</f>
        <v>18.329789757191055</v>
      </c>
      <c r="Q461" s="702"/>
      <c r="R461" s="666"/>
      <c r="S461" s="726">
        <f>SUM(S457:S460)</f>
        <v>221.79599999999999</v>
      </c>
      <c r="T461" s="666"/>
      <c r="U461" s="707">
        <f>SUM(U457:U460)</f>
        <v>94.763785714285717</v>
      </c>
      <c r="V461" s="666"/>
      <c r="W461" s="730">
        <f>(U461/U454-1)*100</f>
        <v>45.575435839814602</v>
      </c>
      <c r="X461" s="685"/>
      <c r="Y461" s="666"/>
      <c r="Z461" s="666"/>
      <c r="AA461" s="666"/>
      <c r="AB461" s="710">
        <f>AVERAGE(AB457:AB460)</f>
        <v>4.4374999999999998E-2</v>
      </c>
      <c r="AC461" s="666"/>
      <c r="AD461" s="700">
        <f>(AB461/AB454-1)*100</f>
        <v>269.79166666666663</v>
      </c>
      <c r="AE461" s="685"/>
      <c r="AF461" s="703">
        <f>+H461/AD461*100</f>
        <v>14.72044891697197</v>
      </c>
      <c r="AG461" s="668"/>
      <c r="AH461" s="666"/>
      <c r="AI461" s="673">
        <f>SUM(AI457:AI460)</f>
        <v>221.79599999999999</v>
      </c>
      <c r="AJ461" s="666"/>
      <c r="AK461" s="711">
        <f>SUM(AK457:AK460)</f>
        <v>5100.642183782712</v>
      </c>
      <c r="AL461" s="666"/>
      <c r="AM461" s="730">
        <f>(AK461/AK454-1)*100</f>
        <v>25.369108609627911</v>
      </c>
      <c r="AN461" s="685"/>
      <c r="AO461" s="666"/>
    </row>
    <row r="462" spans="1:41">
      <c r="A462" s="666"/>
      <c r="B462" s="684"/>
      <c r="C462" s="666"/>
      <c r="D462" s="666"/>
      <c r="E462" s="666"/>
      <c r="F462" s="666"/>
      <c r="G462" s="666"/>
      <c r="H462" s="666"/>
      <c r="I462" s="666"/>
      <c r="J462" s="666"/>
      <c r="K462" s="666"/>
      <c r="L462" s="666"/>
      <c r="M462" s="666"/>
      <c r="N462" s="666"/>
      <c r="O462" s="666"/>
      <c r="P462" s="666"/>
      <c r="Q462" s="666"/>
      <c r="R462" s="666"/>
      <c r="S462" s="666"/>
      <c r="T462" s="666"/>
      <c r="U462" s="666"/>
      <c r="V462" s="666"/>
      <c r="W462" s="666"/>
      <c r="X462" s="666"/>
      <c r="Y462" s="666"/>
      <c r="Z462" s="666"/>
      <c r="AA462" s="666"/>
      <c r="AB462" s="666"/>
      <c r="AC462" s="666"/>
      <c r="AD462" s="666"/>
      <c r="AE462" s="666"/>
      <c r="AF462" s="666"/>
      <c r="AG462" s="666"/>
      <c r="AH462" s="666"/>
      <c r="AI462" s="666"/>
      <c r="AJ462" s="666"/>
      <c r="AK462" s="666"/>
      <c r="AL462" s="666"/>
      <c r="AM462" s="666"/>
      <c r="AN462" s="666"/>
      <c r="AO462" s="666"/>
    </row>
    <row r="463" spans="1:41">
      <c r="A463" s="698"/>
      <c r="B463" s="728">
        <f>B456+1</f>
        <v>2014</v>
      </c>
      <c r="C463" s="666"/>
      <c r="D463" s="733"/>
      <c r="E463" s="667"/>
      <c r="F463" s="703"/>
      <c r="G463" s="667"/>
      <c r="H463" s="733"/>
      <c r="I463" s="667"/>
      <c r="J463" s="667"/>
      <c r="K463" s="667"/>
      <c r="L463" s="706"/>
      <c r="M463" s="667"/>
      <c r="N463" s="700"/>
      <c r="O463" s="704"/>
      <c r="P463" s="703"/>
      <c r="Q463" s="702"/>
      <c r="R463" s="667"/>
      <c r="S463" s="726"/>
      <c r="T463" s="667"/>
      <c r="U463" s="707"/>
      <c r="V463" s="666"/>
      <c r="W463" s="730"/>
      <c r="X463" s="685"/>
      <c r="Y463" s="666"/>
      <c r="Z463" s="676"/>
      <c r="AA463" s="666"/>
      <c r="AB463" s="710"/>
      <c r="AC463" s="666"/>
      <c r="AD463" s="700"/>
      <c r="AE463" s="685"/>
      <c r="AF463" s="703"/>
      <c r="AG463" s="668"/>
      <c r="AH463" s="666"/>
      <c r="AI463" s="673"/>
      <c r="AJ463" s="666"/>
      <c r="AK463" s="711"/>
      <c r="AL463" s="666"/>
      <c r="AM463" s="730"/>
      <c r="AN463" s="685"/>
      <c r="AO463" s="666"/>
    </row>
    <row r="464" spans="1:41">
      <c r="A464" s="666" t="str">
        <f>$A$26</f>
        <v>1Q</v>
      </c>
      <c r="B464" s="684" t="str">
        <f>$B$26</f>
        <v>Apr</v>
      </c>
      <c r="C464" s="666"/>
      <c r="D464" s="733">
        <f>(S464/S457-1)*100</f>
        <v>75.740099009900973</v>
      </c>
      <c r="E464" s="667" t="s">
        <v>1084</v>
      </c>
      <c r="F464" s="703">
        <v>25</v>
      </c>
      <c r="G464" s="701" t="s">
        <v>1084</v>
      </c>
      <c r="H464" s="733">
        <f>D464-F464</f>
        <v>50.740099009900973</v>
      </c>
      <c r="I464" s="667" t="s">
        <v>1084</v>
      </c>
      <c r="J464" s="1188">
        <f>'store&amp;sf'!X161</f>
        <v>7</v>
      </c>
      <c r="K464" s="667"/>
      <c r="L464" s="706">
        <f>AVERAGE(J464,J460)</f>
        <v>6</v>
      </c>
      <c r="M464" s="667"/>
      <c r="N464" s="700">
        <f>(L464/L457-1)*100</f>
        <v>200</v>
      </c>
      <c r="O464" s="704" t="s">
        <v>1084</v>
      </c>
      <c r="P464" s="740" t="s">
        <v>886</v>
      </c>
      <c r="Q464" s="702" t="s">
        <v>1084</v>
      </c>
      <c r="R464" s="667"/>
      <c r="S464" s="712">
        <f>'segSales&amp;OM'!AG216</f>
        <v>70.998999999999995</v>
      </c>
      <c r="T464" s="667"/>
      <c r="U464" s="707">
        <f>S464/L464</f>
        <v>11.833166666666665</v>
      </c>
      <c r="V464" s="666"/>
      <c r="W464" s="730">
        <f>(U464/U457-1)*100</f>
        <v>-41.419966996699678</v>
      </c>
      <c r="X464" s="685" t="s">
        <v>1084</v>
      </c>
      <c r="Y464" s="666"/>
      <c r="Z464" s="1197">
        <f>'store&amp;sf'!X343</f>
        <v>7.8E-2</v>
      </c>
      <c r="AA464" s="666"/>
      <c r="AB464" s="710">
        <f>AVERAGE(Z464,Z460)</f>
        <v>7.1500000000000008E-2</v>
      </c>
      <c r="AC464" s="666"/>
      <c r="AD464" s="700">
        <f>(AB464/AB457-1)*100</f>
        <v>123.4375</v>
      </c>
      <c r="AE464" s="685" t="s">
        <v>1084</v>
      </c>
      <c r="AF464" s="703">
        <f>+H464/AD464*100</f>
        <v>41.105902995362811</v>
      </c>
      <c r="AG464" s="668" t="s">
        <v>1084</v>
      </c>
      <c r="AH464" s="666"/>
      <c r="AI464" s="673">
        <f>+S464</f>
        <v>70.998999999999995</v>
      </c>
      <c r="AJ464" s="666"/>
      <c r="AK464" s="711">
        <f>AI464/AB464</f>
        <v>992.99300699300682</v>
      </c>
      <c r="AL464" s="666"/>
      <c r="AM464" s="730">
        <f>(AK464/AK457-1)*100</f>
        <v>-21.347088555009364</v>
      </c>
      <c r="AN464" s="685" t="s">
        <v>1084</v>
      </c>
      <c r="AO464" s="666"/>
    </row>
    <row r="465" spans="1:41">
      <c r="A465" s="666" t="str">
        <f>$A$27</f>
        <v>2Q</v>
      </c>
      <c r="B465" s="684" t="str">
        <f>$B$27</f>
        <v>Jul</v>
      </c>
      <c r="C465" s="666"/>
      <c r="D465" s="733">
        <f>(S465/S458-1)*100</f>
        <v>71.408818890833288</v>
      </c>
      <c r="E465" s="667"/>
      <c r="F465" s="703">
        <v>25</v>
      </c>
      <c r="G465" s="700"/>
      <c r="H465" s="733">
        <f>D465-F465</f>
        <v>46.408818890833288</v>
      </c>
      <c r="I465" s="667"/>
      <c r="J465" s="1188">
        <f>'store&amp;sf'!X162</f>
        <v>7</v>
      </c>
      <c r="K465" s="667"/>
      <c r="L465" s="706">
        <f>AVERAGE(J465,J464)</f>
        <v>7</v>
      </c>
      <c r="M465" s="667"/>
      <c r="N465" s="700">
        <f>(L465/L458-1)*100</f>
        <v>250</v>
      </c>
      <c r="O465" s="704"/>
      <c r="P465" s="740" t="s">
        <v>886</v>
      </c>
      <c r="Q465" s="702"/>
      <c r="R465" s="667"/>
      <c r="S465" s="712">
        <f>'segSales&amp;OM'!AG217</f>
        <v>79.34</v>
      </c>
      <c r="T465" s="667"/>
      <c r="U465" s="713">
        <f>S465/L465</f>
        <v>11.334285714285715</v>
      </c>
      <c r="V465" s="666"/>
      <c r="W465" s="730">
        <f>(U465/U458-1)*100</f>
        <v>-51.026051745476209</v>
      </c>
      <c r="X465" s="685"/>
      <c r="Y465" s="666"/>
      <c r="Z465" s="1197">
        <f>'store&amp;sf'!X344</f>
        <v>7.8E-2</v>
      </c>
      <c r="AA465" s="666"/>
      <c r="AB465" s="710">
        <f>AVERAGE(Z465,Z464)</f>
        <v>7.8E-2</v>
      </c>
      <c r="AC465" s="666"/>
      <c r="AD465" s="700">
        <f>(AB465/AB458-1)*100</f>
        <v>143.75</v>
      </c>
      <c r="AE465" s="685"/>
      <c r="AF465" s="703">
        <f>+H465/AD465*100</f>
        <v>32.284395750144895</v>
      </c>
      <c r="AG465" s="668"/>
      <c r="AH465" s="666"/>
      <c r="AI465" s="675">
        <f>+S465</f>
        <v>79.34</v>
      </c>
      <c r="AJ465" s="666"/>
      <c r="AK465" s="714">
        <f>AI465/AB465</f>
        <v>1017.1794871794872</v>
      </c>
      <c r="AL465" s="666"/>
      <c r="AM465" s="730">
        <f>(AK465/AK458-1)*100</f>
        <v>-29.678433275555584</v>
      </c>
      <c r="AN465" s="685"/>
      <c r="AO465" s="666"/>
    </row>
    <row r="466" spans="1:41">
      <c r="A466" s="666" t="str">
        <f>$A$28</f>
        <v>3Q</v>
      </c>
      <c r="B466" s="684" t="str">
        <f>$B$28</f>
        <v>Oct</v>
      </c>
      <c r="C466" s="666"/>
      <c r="D466" s="733">
        <f>(S466/S459-1)*100</f>
        <v>33.760197940350409</v>
      </c>
      <c r="E466" s="667"/>
      <c r="F466" s="747">
        <v>15</v>
      </c>
      <c r="G466" s="700"/>
      <c r="H466" s="733">
        <f>D466-F466</f>
        <v>18.760197940350409</v>
      </c>
      <c r="I466" s="667"/>
      <c r="J466" s="1188">
        <f>'store&amp;sf'!X163</f>
        <v>9</v>
      </c>
      <c r="K466" s="667"/>
      <c r="L466" s="706">
        <f>AVERAGE(J466,J465)</f>
        <v>8</v>
      </c>
      <c r="M466" s="667"/>
      <c r="N466" s="700">
        <f>(L466/L459-1)*100</f>
        <v>300</v>
      </c>
      <c r="O466" s="704"/>
      <c r="P466" s="740" t="s">
        <v>886</v>
      </c>
      <c r="Q466" s="702"/>
      <c r="R466" s="667"/>
      <c r="S466" s="712">
        <f>'segSales&amp;OM'!AG218</f>
        <v>80.010000000000005</v>
      </c>
      <c r="T466" s="667"/>
      <c r="U466" s="713">
        <f>S466/L466</f>
        <v>10.001250000000001</v>
      </c>
      <c r="V466" s="666"/>
      <c r="W466" s="730">
        <f>(U466/U459-1)*100</f>
        <v>-66.559950514912387</v>
      </c>
      <c r="X466" s="685"/>
      <c r="Y466" s="666"/>
      <c r="Z466" s="1197">
        <f>'store&amp;sf'!X345</f>
        <v>9.4E-2</v>
      </c>
      <c r="AA466" s="666"/>
      <c r="AB466" s="710">
        <f>AVERAGE(Z466,Z465)</f>
        <v>8.5999999999999993E-2</v>
      </c>
      <c r="AC466" s="666"/>
      <c r="AD466" s="700">
        <f>(AB466/AB459-1)*100</f>
        <v>77.319587628865946</v>
      </c>
      <c r="AE466" s="685"/>
      <c r="AF466" s="703">
        <f>+H466/AD466*100</f>
        <v>24.263189336186539</v>
      </c>
      <c r="AG466" s="668"/>
      <c r="AH466" s="666"/>
      <c r="AI466" s="675">
        <f>+S466</f>
        <v>80.010000000000005</v>
      </c>
      <c r="AJ466" s="666"/>
      <c r="AK466" s="714">
        <f>AI466/AB466</f>
        <v>930.34883720930247</v>
      </c>
      <c r="AL466" s="666"/>
      <c r="AM466" s="730">
        <f>(AK466/AK459-1)*100</f>
        <v>-24.565469766197722</v>
      </c>
      <c r="AN466" s="685"/>
      <c r="AO466" s="666"/>
    </row>
    <row r="467" spans="1:41">
      <c r="A467" s="666" t="str">
        <f>$A$29</f>
        <v>4Q</v>
      </c>
      <c r="B467" s="684" t="str">
        <f>$B$29</f>
        <v>Jan</v>
      </c>
      <c r="C467" s="666"/>
      <c r="D467" s="732">
        <f>(S467/S460-1)*100</f>
        <v>40.168408749817374</v>
      </c>
      <c r="E467" s="667"/>
      <c r="F467" s="717">
        <v>15</v>
      </c>
      <c r="G467" s="667"/>
      <c r="H467" s="732">
        <f>D467-F467</f>
        <v>25.168408749817374</v>
      </c>
      <c r="I467" s="667"/>
      <c r="J467" s="1188">
        <f>'store&amp;sf'!X164</f>
        <v>10</v>
      </c>
      <c r="K467" s="667"/>
      <c r="L467" s="716">
        <f>AVERAGE(J467,J466)</f>
        <v>9.5</v>
      </c>
      <c r="M467" s="667"/>
      <c r="N467" s="715">
        <f>(L467/L460-1)*100</f>
        <v>171.42857142857144</v>
      </c>
      <c r="O467" s="704"/>
      <c r="P467" s="1150" t="s">
        <v>886</v>
      </c>
      <c r="Q467" s="702"/>
      <c r="R467" s="667"/>
      <c r="S467" s="718">
        <f>'segSales&amp;OM'!AG219</f>
        <v>105.53700000000001</v>
      </c>
      <c r="T467" s="667"/>
      <c r="U467" s="719">
        <f>S467/L467</f>
        <v>11.109157894736843</v>
      </c>
      <c r="V467" s="666"/>
      <c r="W467" s="720">
        <f>(U467/U460-1)*100</f>
        <v>-48.359007302698863</v>
      </c>
      <c r="X467" s="685"/>
      <c r="Y467" s="666"/>
      <c r="Z467" s="1197">
        <f>'store&amp;sf'!X346</f>
        <v>0.105</v>
      </c>
      <c r="AA467" s="666"/>
      <c r="AB467" s="721">
        <f>AVERAGE(Z467,Z466)</f>
        <v>9.9500000000000005E-2</v>
      </c>
      <c r="AC467" s="666"/>
      <c r="AD467" s="715">
        <f>(AB467/AB460-1)*100</f>
        <v>53.076923076923087</v>
      </c>
      <c r="AE467" s="685"/>
      <c r="AF467" s="717">
        <f>+H467/AD467*100</f>
        <v>47.418741122844317</v>
      </c>
      <c r="AG467" s="668"/>
      <c r="AH467" s="666"/>
      <c r="AI467" s="722">
        <f>+S467</f>
        <v>105.53700000000001</v>
      </c>
      <c r="AJ467" s="666"/>
      <c r="AK467" s="723">
        <f>AI467/AB467</f>
        <v>1060.6733668341708</v>
      </c>
      <c r="AL467" s="666"/>
      <c r="AM467" s="720">
        <f>(AK467/AK460-1)*100</f>
        <v>-8.4326978016268548</v>
      </c>
      <c r="AN467" s="685"/>
      <c r="AO467" s="666"/>
    </row>
    <row r="468" spans="1:41">
      <c r="A468" s="666"/>
      <c r="B468" s="684" t="str">
        <f>$B$30</f>
        <v>Year</v>
      </c>
      <c r="C468" s="666"/>
      <c r="D468" s="733">
        <f>(S468/S461-1)*100</f>
        <v>51.43916030947355</v>
      </c>
      <c r="E468" s="666"/>
      <c r="F468" s="703">
        <f>+F464*S464/S468+F465*S465/S468+F466*S466/S468+F467*S467/S468</f>
        <v>19.475893606759435</v>
      </c>
      <c r="G468" s="667"/>
      <c r="H468" s="733">
        <f>D468-F468</f>
        <v>31.963266702714115</v>
      </c>
      <c r="I468" s="666"/>
      <c r="J468" s="666"/>
      <c r="K468" s="666"/>
      <c r="L468" s="706">
        <f>AVERAGE(L464:L467)</f>
        <v>7.625</v>
      </c>
      <c r="M468" s="666"/>
      <c r="N468" s="700">
        <f>(L468/L461-1)*100</f>
        <v>221.0526315789474</v>
      </c>
      <c r="O468" s="704"/>
      <c r="P468" s="740" t="s">
        <v>886</v>
      </c>
      <c r="Q468" s="702"/>
      <c r="R468" s="666"/>
      <c r="S468" s="726">
        <f>SUM(S464:S467)</f>
        <v>335.88599999999997</v>
      </c>
      <c r="T468" s="666"/>
      <c r="U468" s="707">
        <f>SUM(U464:U467)</f>
        <v>44.277860275689221</v>
      </c>
      <c r="V468" s="666"/>
      <c r="W468" s="730">
        <f>(U468/U461-1)*100</f>
        <v>-53.275547254741753</v>
      </c>
      <c r="X468" s="685"/>
      <c r="Y468" s="666"/>
      <c r="Z468" s="666"/>
      <c r="AA468" s="666"/>
      <c r="AB468" s="710">
        <f>AVERAGE(AB464:AB467)</f>
        <v>8.3750000000000005E-2</v>
      </c>
      <c r="AC468" s="666"/>
      <c r="AD468" s="700">
        <f>(AB468/AB461-1)*100</f>
        <v>88.732394366197198</v>
      </c>
      <c r="AE468" s="685"/>
      <c r="AF468" s="703">
        <f>+H468/AD468*100</f>
        <v>36.022094220519072</v>
      </c>
      <c r="AG468" s="668"/>
      <c r="AH468" s="666"/>
      <c r="AI468" s="673">
        <f>SUM(AI464:AI467)</f>
        <v>335.88599999999997</v>
      </c>
      <c r="AJ468" s="666"/>
      <c r="AK468" s="711">
        <f>SUM(AK464:AK467)</f>
        <v>4001.1946982159675</v>
      </c>
      <c r="AL468" s="666"/>
      <c r="AM468" s="730">
        <f>(AK468/AK461-1)*100</f>
        <v>-21.555079653742304</v>
      </c>
      <c r="AN468" s="685"/>
      <c r="AO468" s="666"/>
    </row>
    <row r="469" spans="1:41">
      <c r="A469" s="666"/>
      <c r="B469" s="684"/>
      <c r="C469" s="666"/>
      <c r="D469" s="733"/>
      <c r="E469" s="667"/>
      <c r="F469" s="703"/>
      <c r="G469" s="667"/>
      <c r="H469" s="733"/>
      <c r="I469" s="667"/>
      <c r="J469" s="667"/>
      <c r="K469" s="667"/>
      <c r="L469" s="706"/>
      <c r="M469" s="667"/>
      <c r="N469" s="700"/>
      <c r="O469" s="704"/>
      <c r="P469" s="703"/>
      <c r="Q469" s="702"/>
      <c r="R469" s="667"/>
      <c r="S469" s="726"/>
      <c r="T469" s="667"/>
      <c r="U469" s="707"/>
      <c r="V469" s="666"/>
      <c r="W469" s="730"/>
      <c r="X469" s="685"/>
      <c r="Y469" s="666"/>
      <c r="Z469" s="676"/>
      <c r="AA469" s="666"/>
      <c r="AB469" s="710"/>
      <c r="AC469" s="666"/>
      <c r="AD469" s="700"/>
      <c r="AE469" s="685"/>
      <c r="AF469" s="703"/>
      <c r="AG469" s="668"/>
      <c r="AH469" s="666"/>
      <c r="AI469" s="673"/>
      <c r="AJ469" s="666"/>
      <c r="AK469" s="711"/>
      <c r="AL469" s="666"/>
      <c r="AM469" s="730"/>
      <c r="AN469" s="685"/>
      <c r="AO469" s="666"/>
    </row>
    <row r="470" spans="1:41">
      <c r="A470" s="698"/>
      <c r="B470" s="728">
        <f>B463+1</f>
        <v>2015</v>
      </c>
      <c r="C470" s="666"/>
      <c r="D470" s="733"/>
      <c r="E470" s="667"/>
      <c r="F470" s="703"/>
      <c r="G470" s="667"/>
      <c r="H470" s="733"/>
      <c r="I470" s="667"/>
      <c r="J470" s="667"/>
      <c r="K470" s="667"/>
      <c r="L470" s="706"/>
      <c r="M470" s="667"/>
      <c r="N470" s="700"/>
      <c r="O470" s="704"/>
      <c r="P470" s="703"/>
      <c r="Q470" s="702"/>
      <c r="R470" s="667"/>
      <c r="S470" s="726"/>
      <c r="T470" s="667"/>
      <c r="U470" s="707"/>
      <c r="V470" s="666"/>
      <c r="W470" s="730"/>
      <c r="X470" s="685"/>
      <c r="Y470" s="666"/>
      <c r="Z470" s="676"/>
      <c r="AA470" s="666"/>
      <c r="AB470" s="710"/>
      <c r="AC470" s="666"/>
      <c r="AD470" s="700"/>
      <c r="AE470" s="685"/>
      <c r="AF470" s="703"/>
      <c r="AG470" s="668"/>
      <c r="AH470" s="666"/>
      <c r="AI470" s="673"/>
      <c r="AJ470" s="666"/>
      <c r="AK470" s="711"/>
      <c r="AL470" s="666"/>
      <c r="AM470" s="730"/>
      <c r="AN470" s="685"/>
      <c r="AO470" s="666"/>
    </row>
    <row r="471" spans="1:41">
      <c r="A471" s="666" t="str">
        <f>$A$26</f>
        <v>1Q</v>
      </c>
      <c r="B471" s="684" t="str">
        <f>$B$26</f>
        <v>Apr</v>
      </c>
      <c r="C471" s="666"/>
      <c r="D471" s="733">
        <f>(S471/S464-1)*100</f>
        <v>28.821532697643647</v>
      </c>
      <c r="E471" s="667" t="s">
        <v>1084</v>
      </c>
      <c r="F471" s="703">
        <v>15</v>
      </c>
      <c r="G471" s="701" t="s">
        <v>1084</v>
      </c>
      <c r="H471" s="733">
        <f>D471-F471</f>
        <v>13.821532697643647</v>
      </c>
      <c r="I471" s="667" t="s">
        <v>1084</v>
      </c>
      <c r="J471" s="705">
        <f>'store&amp;sf'!X167</f>
        <v>10</v>
      </c>
      <c r="K471" s="667"/>
      <c r="L471" s="706">
        <f>AVERAGE(J471,J467)</f>
        <v>10</v>
      </c>
      <c r="M471" s="667"/>
      <c r="N471" s="700">
        <f>(L471/L464-1)*100</f>
        <v>66.666666666666671</v>
      </c>
      <c r="O471" s="704" t="s">
        <v>1084</v>
      </c>
      <c r="P471" s="740" t="s">
        <v>886</v>
      </c>
      <c r="Q471" s="702" t="s">
        <v>1084</v>
      </c>
      <c r="R471" s="667"/>
      <c r="S471" s="712">
        <f>'segSales&amp;OM'!AG223</f>
        <v>91.462000000000003</v>
      </c>
      <c r="T471" s="667"/>
      <c r="U471" s="707">
        <f>S471/L471</f>
        <v>9.1462000000000003</v>
      </c>
      <c r="V471" s="666"/>
      <c r="W471" s="730">
        <f>(U471/U464-1)*100</f>
        <v>-22.707080381413814</v>
      </c>
      <c r="X471" s="685" t="s">
        <v>1084</v>
      </c>
      <c r="Y471" s="666"/>
      <c r="Z471" s="820">
        <f>'store&amp;sf'!X349</f>
        <v>0.105</v>
      </c>
      <c r="AA471" s="666"/>
      <c r="AB471" s="710">
        <f>AVERAGE(Z471,Z467)</f>
        <v>0.105</v>
      </c>
      <c r="AC471" s="666"/>
      <c r="AD471" s="700">
        <f>(AB471/AB464-1)*100</f>
        <v>46.853146853146832</v>
      </c>
      <c r="AE471" s="685" t="s">
        <v>1084</v>
      </c>
      <c r="AF471" s="703">
        <f>+H471/AD471*100</f>
        <v>29.499689190493172</v>
      </c>
      <c r="AG471" s="668" t="s">
        <v>1084</v>
      </c>
      <c r="AH471" s="666"/>
      <c r="AI471" s="673">
        <f>+S471</f>
        <v>91.462000000000003</v>
      </c>
      <c r="AJ471" s="666"/>
      <c r="AK471" s="711">
        <f>AI471/AB471</f>
        <v>871.06666666666672</v>
      </c>
      <c r="AL471" s="666"/>
      <c r="AM471" s="730">
        <f>(AK471/AK464-1)*100</f>
        <v>-12.278670591604557</v>
      </c>
      <c r="AN471" s="685" t="s">
        <v>1084</v>
      </c>
      <c r="AO471" s="666"/>
    </row>
    <row r="472" spans="1:41">
      <c r="A472" s="666" t="str">
        <f>$A$27</f>
        <v>2Q</v>
      </c>
      <c r="B472" s="684" t="str">
        <f>$B$27</f>
        <v>Jul</v>
      </c>
      <c r="C472" s="666"/>
      <c r="D472" s="733">
        <f>(S472/S465-1)*100</f>
        <v>11.791025964204671</v>
      </c>
      <c r="E472" s="667"/>
      <c r="F472" s="703">
        <v>5</v>
      </c>
      <c r="G472" s="700"/>
      <c r="H472" s="733">
        <f>D472-F472</f>
        <v>6.7910259642046711</v>
      </c>
      <c r="I472" s="667"/>
      <c r="J472" s="705">
        <f>'store&amp;sf'!X168</f>
        <v>10</v>
      </c>
      <c r="K472" s="667"/>
      <c r="L472" s="706">
        <f>AVERAGE(J472,J471)</f>
        <v>10</v>
      </c>
      <c r="M472" s="667"/>
      <c r="N472" s="700">
        <f>(L472/L465-1)*100</f>
        <v>42.857142857142861</v>
      </c>
      <c r="O472" s="704"/>
      <c r="P472" s="740" t="s">
        <v>886</v>
      </c>
      <c r="Q472" s="702"/>
      <c r="R472" s="667"/>
      <c r="S472" s="712">
        <f>'segSales&amp;OM'!AG224</f>
        <v>88.694999999999993</v>
      </c>
      <c r="T472" s="667"/>
      <c r="U472" s="713">
        <f>S472/L472</f>
        <v>8.8694999999999986</v>
      </c>
      <c r="V472" s="666"/>
      <c r="W472" s="730">
        <f>(U472/U465-1)*100</f>
        <v>-21.746281825056734</v>
      </c>
      <c r="X472" s="685"/>
      <c r="Y472" s="666"/>
      <c r="Z472" s="820">
        <f>'store&amp;sf'!X350</f>
        <v>0.104</v>
      </c>
      <c r="AA472" s="666"/>
      <c r="AB472" s="710">
        <f>AVERAGE(Z472,Z471)</f>
        <v>0.1045</v>
      </c>
      <c r="AC472" s="666"/>
      <c r="AD472" s="700">
        <f>(AB472/AB465-1)*100</f>
        <v>33.974358974358964</v>
      </c>
      <c r="AE472" s="685"/>
      <c r="AF472" s="703">
        <f>+H472/AD472*100</f>
        <v>19.98868019652696</v>
      </c>
      <c r="AG472" s="668"/>
      <c r="AH472" s="666"/>
      <c r="AI472" s="675">
        <f>+S472</f>
        <v>88.694999999999993</v>
      </c>
      <c r="AJ472" s="666"/>
      <c r="AK472" s="714">
        <f>AI472/AB472</f>
        <v>848.75598086124398</v>
      </c>
      <c r="AL472" s="666"/>
      <c r="AM472" s="730">
        <f>(AK472/AK465-1)*100</f>
        <v>-16.557894495617553</v>
      </c>
      <c r="AN472" s="685"/>
      <c r="AO472" s="666"/>
    </row>
    <row r="473" spans="1:41">
      <c r="A473" s="666" t="str">
        <f>$A$28</f>
        <v>3Q</v>
      </c>
      <c r="B473" s="684" t="str">
        <f>$B$28</f>
        <v>Oct</v>
      </c>
      <c r="C473" s="666"/>
      <c r="D473" s="733">
        <f>(S473/S466-1)*100</f>
        <v>15.998000249968758</v>
      </c>
      <c r="E473" s="667"/>
      <c r="F473" s="703">
        <v>10</v>
      </c>
      <c r="G473" s="700"/>
      <c r="H473" s="733">
        <f>D473-F473</f>
        <v>5.9980002499687579</v>
      </c>
      <c r="I473" s="667"/>
      <c r="J473" s="705">
        <f>'store&amp;sf'!X169</f>
        <v>10</v>
      </c>
      <c r="K473" s="667"/>
      <c r="L473" s="706">
        <f>AVERAGE(J473,J472)</f>
        <v>10</v>
      </c>
      <c r="M473" s="667"/>
      <c r="N473" s="700">
        <f>(L473/L466-1)*100</f>
        <v>25</v>
      </c>
      <c r="O473" s="704"/>
      <c r="P473" s="740" t="s">
        <v>886</v>
      </c>
      <c r="Q473" s="702"/>
      <c r="R473" s="667"/>
      <c r="S473" s="712">
        <f>'segSales&amp;OM'!AG225</f>
        <v>92.81</v>
      </c>
      <c r="T473" s="667"/>
      <c r="U473" s="713">
        <f>S473/L473</f>
        <v>9.2810000000000006</v>
      </c>
      <c r="V473" s="666"/>
      <c r="W473" s="730">
        <f>(U473/U466-1)*100</f>
        <v>-7.2015998000249937</v>
      </c>
      <c r="X473" s="685"/>
      <c r="Y473" s="666"/>
      <c r="Z473" s="820">
        <f>'store&amp;sf'!X351</f>
        <v>0.104</v>
      </c>
      <c r="AA473" s="666"/>
      <c r="AB473" s="710">
        <f>AVERAGE(Z473,Z472)</f>
        <v>0.104</v>
      </c>
      <c r="AC473" s="666"/>
      <c r="AD473" s="700">
        <f>(AB473/AB466-1)*100</f>
        <v>20.930232558139551</v>
      </c>
      <c r="AE473" s="685"/>
      <c r="AF473" s="703">
        <f>+H473/AD473*100</f>
        <v>28.657112305406269</v>
      </c>
      <c r="AG473" s="668"/>
      <c r="AH473" s="666"/>
      <c r="AI473" s="675">
        <f>+S473</f>
        <v>92.81</v>
      </c>
      <c r="AJ473" s="666"/>
      <c r="AK473" s="714">
        <f>AI473/AB473</f>
        <v>892.40384615384619</v>
      </c>
      <c r="AL473" s="666"/>
      <c r="AM473" s="730">
        <f>(AK473/AK466-1)*100</f>
        <v>-4.078576716372007</v>
      </c>
      <c r="AN473" s="685"/>
      <c r="AO473" s="666"/>
    </row>
    <row r="474" spans="1:41">
      <c r="A474" s="666" t="str">
        <f>$A$29</f>
        <v>4Q</v>
      </c>
      <c r="B474" s="684" t="str">
        <f>$B$29</f>
        <v>Jan</v>
      </c>
      <c r="C474" s="666"/>
      <c r="D474" s="732">
        <f>(S474/S467-1)*100</f>
        <v>6.3816481423576654</v>
      </c>
      <c r="E474" s="667"/>
      <c r="F474" s="717">
        <v>10</v>
      </c>
      <c r="G474" s="667"/>
      <c r="H474" s="732">
        <f>D474-F474</f>
        <v>-3.6183518576423346</v>
      </c>
      <c r="I474" s="667"/>
      <c r="J474" s="705">
        <f>'store&amp;sf'!X170</f>
        <v>14</v>
      </c>
      <c r="K474" s="667"/>
      <c r="L474" s="716">
        <f>AVERAGE(J474,J473)</f>
        <v>12</v>
      </c>
      <c r="M474" s="667"/>
      <c r="N474" s="715">
        <f>(L474/L467-1)*100</f>
        <v>26.315789473684205</v>
      </c>
      <c r="O474" s="704"/>
      <c r="P474" s="1150" t="s">
        <v>886</v>
      </c>
      <c r="Q474" s="702"/>
      <c r="R474" s="667"/>
      <c r="S474" s="718">
        <f>'segSales&amp;OM'!AG226</f>
        <v>112.27200000000001</v>
      </c>
      <c r="T474" s="667"/>
      <c r="U474" s="719">
        <f>S474/L474</f>
        <v>9.3559999999999999</v>
      </c>
      <c r="V474" s="666"/>
      <c r="W474" s="720">
        <f>(U474/U467-1)*100</f>
        <v>-15.781195220633526</v>
      </c>
      <c r="X474" s="685"/>
      <c r="Y474" s="666"/>
      <c r="Z474" s="820">
        <f>'store&amp;sf'!X352</f>
        <v>0.13700000000000001</v>
      </c>
      <c r="AA474" s="666"/>
      <c r="AB474" s="721">
        <f>AVERAGE(Z474,Z473)</f>
        <v>0.1205</v>
      </c>
      <c r="AC474" s="666"/>
      <c r="AD474" s="715">
        <f>(AB474/AB467-1)*100</f>
        <v>21.105527638190935</v>
      </c>
      <c r="AE474" s="685"/>
      <c r="AF474" s="717">
        <f>+H474/AD474*100</f>
        <v>-17.144095706448219</v>
      </c>
      <c r="AG474" s="668"/>
      <c r="AH474" s="666"/>
      <c r="AI474" s="722">
        <f>+S474</f>
        <v>112.27200000000001</v>
      </c>
      <c r="AJ474" s="666"/>
      <c r="AK474" s="723">
        <f>AI474/AB474</f>
        <v>931.71784232365155</v>
      </c>
      <c r="AL474" s="666"/>
      <c r="AM474" s="720">
        <f>(AK474/AK467-1)*100</f>
        <v>-12.157892197804243</v>
      </c>
      <c r="AN474" s="685"/>
      <c r="AO474" s="666"/>
    </row>
    <row r="475" spans="1:41">
      <c r="A475" s="666"/>
      <c r="B475" s="684" t="str">
        <f>$B$30</f>
        <v>Year</v>
      </c>
      <c r="C475" s="666"/>
      <c r="D475" s="733">
        <f>(S475/S468-1)*100</f>
        <v>14.693378110430322</v>
      </c>
      <c r="E475" s="666"/>
      <c r="F475" s="703">
        <f>+F471*S471/S475+F472*S472/S475+F473*S473/S475+F474*S474/S475</f>
        <v>10.035912771033047</v>
      </c>
      <c r="G475" s="667"/>
      <c r="H475" s="733">
        <f>D475-F475</f>
        <v>4.6574653393972749</v>
      </c>
      <c r="I475" s="666"/>
      <c r="J475" s="666"/>
      <c r="K475" s="666"/>
      <c r="L475" s="706">
        <f>AVERAGE(L471:L474)</f>
        <v>10.5</v>
      </c>
      <c r="M475" s="666"/>
      <c r="N475" s="700">
        <f>(L475/L468-1)*100</f>
        <v>37.704918032786885</v>
      </c>
      <c r="O475" s="704"/>
      <c r="P475" s="740" t="s">
        <v>886</v>
      </c>
      <c r="Q475" s="702"/>
      <c r="R475" s="666"/>
      <c r="S475" s="726">
        <f>SUM(S471:S474)</f>
        <v>385.23899999999998</v>
      </c>
      <c r="T475" s="666"/>
      <c r="U475" s="707">
        <f>SUM(U471:U474)</f>
        <v>36.652700000000003</v>
      </c>
      <c r="V475" s="666"/>
      <c r="W475" s="730">
        <f>(U475/U468-1)*100</f>
        <v>-17.221157996823568</v>
      </c>
      <c r="X475" s="685"/>
      <c r="Y475" s="666"/>
      <c r="Z475" s="666"/>
      <c r="AA475" s="666"/>
      <c r="AB475" s="710">
        <f>AVERAGE(AB471:AB474)</f>
        <v>0.1085</v>
      </c>
      <c r="AC475" s="666"/>
      <c r="AD475" s="700">
        <f>(AB475/AB468-1)*100</f>
        <v>29.552238805970134</v>
      </c>
      <c r="AE475" s="685"/>
      <c r="AF475" s="703">
        <f>+H475/AD475*100</f>
        <v>15.760109986849372</v>
      </c>
      <c r="AG475" s="668"/>
      <c r="AH475" s="666"/>
      <c r="AI475" s="673">
        <f>SUM(AI471:AI474)</f>
        <v>385.23899999999998</v>
      </c>
      <c r="AJ475" s="666"/>
      <c r="AK475" s="711">
        <f>SUM(AK471:AK474)</f>
        <v>3543.9443360054083</v>
      </c>
      <c r="AL475" s="666"/>
      <c r="AM475" s="730">
        <f>(AK475/AK468-1)*100</f>
        <v>-11.427845848502095</v>
      </c>
      <c r="AN475" s="685"/>
      <c r="AO475" s="666"/>
    </row>
    <row r="476" spans="1:41">
      <c r="A476" s="666"/>
      <c r="B476" s="684"/>
      <c r="C476" s="666"/>
      <c r="D476" s="733"/>
      <c r="E476" s="667"/>
      <c r="F476" s="703"/>
      <c r="G476" s="667"/>
      <c r="H476" s="733"/>
      <c r="I476" s="667"/>
      <c r="J476" s="667"/>
      <c r="K476" s="667"/>
      <c r="L476" s="706"/>
      <c r="M476" s="667"/>
      <c r="N476" s="700"/>
      <c r="O476" s="704"/>
      <c r="P476" s="703"/>
      <c r="Q476" s="702"/>
      <c r="R476" s="667"/>
      <c r="S476" s="726"/>
      <c r="T476" s="667"/>
      <c r="U476" s="707"/>
      <c r="V476" s="666"/>
      <c r="W476" s="730"/>
      <c r="X476" s="685"/>
      <c r="Y476" s="666"/>
      <c r="Z476" s="676"/>
      <c r="AA476" s="666"/>
      <c r="AB476" s="710"/>
      <c r="AC476" s="666"/>
      <c r="AD476" s="700"/>
      <c r="AE476" s="685"/>
      <c r="AF476" s="703"/>
      <c r="AG476" s="668"/>
      <c r="AH476" s="666"/>
      <c r="AI476" s="673"/>
      <c r="AJ476" s="666"/>
      <c r="AK476" s="711"/>
      <c r="AL476" s="666"/>
      <c r="AM476" s="730"/>
      <c r="AN476" s="685"/>
      <c r="AO476" s="666"/>
    </row>
    <row r="477" spans="1:41">
      <c r="A477" s="698"/>
      <c r="B477" s="728">
        <f>B470+1</f>
        <v>2016</v>
      </c>
      <c r="C477" s="666"/>
      <c r="D477" s="733"/>
      <c r="E477" s="667"/>
      <c r="F477" s="703"/>
      <c r="G477" s="667"/>
      <c r="H477" s="733"/>
      <c r="I477" s="667"/>
      <c r="J477" s="667"/>
      <c r="K477" s="667"/>
      <c r="L477" s="706"/>
      <c r="M477" s="667"/>
      <c r="N477" s="700"/>
      <c r="O477" s="704"/>
      <c r="P477" s="703"/>
      <c r="Q477" s="702"/>
      <c r="R477" s="667"/>
      <c r="S477" s="726"/>
      <c r="T477" s="667"/>
      <c r="U477" s="707"/>
      <c r="V477" s="666"/>
      <c r="W477" s="730"/>
      <c r="X477" s="685"/>
      <c r="Y477" s="666"/>
      <c r="Z477" s="676"/>
      <c r="AA477" s="666"/>
      <c r="AB477" s="710"/>
      <c r="AC477" s="666"/>
      <c r="AD477" s="700"/>
      <c r="AE477" s="685"/>
      <c r="AF477" s="703"/>
      <c r="AG477" s="668"/>
      <c r="AH477" s="666"/>
      <c r="AI477" s="673"/>
      <c r="AJ477" s="666"/>
      <c r="AK477" s="711"/>
      <c r="AL477" s="666"/>
      <c r="AM477" s="730"/>
      <c r="AN477" s="685"/>
      <c r="AO477" s="666"/>
    </row>
    <row r="478" spans="1:41">
      <c r="A478" s="666" t="str">
        <f>$A$26</f>
        <v>1Q</v>
      </c>
      <c r="B478" s="684" t="str">
        <f>$B$26</f>
        <v>Apr</v>
      </c>
      <c r="C478" s="666"/>
      <c r="D478" s="733">
        <f>(S478/S471-1)*100</f>
        <v>4.0956900133388707</v>
      </c>
      <c r="E478" s="667" t="s">
        <v>1084</v>
      </c>
      <c r="F478" s="37">
        <v>2</v>
      </c>
      <c r="G478" t="s">
        <v>1084</v>
      </c>
      <c r="H478" s="733">
        <f>D478-F478</f>
        <v>2.0956900133388707</v>
      </c>
      <c r="I478" s="667" t="s">
        <v>1084</v>
      </c>
      <c r="J478" s="705">
        <f>'store&amp;sf'!X173</f>
        <v>42</v>
      </c>
      <c r="K478" s="667"/>
      <c r="L478" s="706">
        <f>AVERAGE(J478,J474)</f>
        <v>28</v>
      </c>
      <c r="M478" s="667"/>
      <c r="N478" s="700">
        <f>(L478/L471-1)*100</f>
        <v>179.99999999999997</v>
      </c>
      <c r="O478" s="704" t="s">
        <v>1084</v>
      </c>
      <c r="P478" s="740" t="s">
        <v>886</v>
      </c>
      <c r="Q478" s="702" t="s">
        <v>1084</v>
      </c>
      <c r="R478" s="667"/>
      <c r="S478" s="712">
        <f>'segSales&amp;OM'!AG230</f>
        <v>95.207999999999998</v>
      </c>
      <c r="T478" s="667"/>
      <c r="U478" s="707">
        <f>S478/L478</f>
        <v>3.4002857142857144</v>
      </c>
      <c r="V478" s="666"/>
      <c r="W478" s="730">
        <f>(U478/U471-1)*100</f>
        <v>-62.822967852378973</v>
      </c>
      <c r="X478" s="685" t="s">
        <v>1084</v>
      </c>
      <c r="Y478" s="666"/>
      <c r="Z478" s="820">
        <f>'store&amp;sf'!X355</f>
        <v>0.16800000000000001</v>
      </c>
      <c r="AA478" s="666"/>
      <c r="AB478" s="710">
        <f>AVERAGE(Z478,Z474)</f>
        <v>0.15250000000000002</v>
      </c>
      <c r="AC478" s="666"/>
      <c r="AD478" s="700">
        <f>(AB478/AB471-1)*100</f>
        <v>45.238095238095276</v>
      </c>
      <c r="AE478" s="685" t="s">
        <v>1084</v>
      </c>
      <c r="AF478" s="703">
        <f>+H478/AD478*100</f>
        <v>4.6325779242227627</v>
      </c>
      <c r="AG478" s="668" t="s">
        <v>1084</v>
      </c>
      <c r="AH478" s="666"/>
      <c r="AI478" s="673">
        <f>+S478</f>
        <v>95.207999999999998</v>
      </c>
      <c r="AJ478" s="666"/>
      <c r="AK478" s="711">
        <f>AI478/AB478</f>
        <v>624.31475409836059</v>
      </c>
      <c r="AL478" s="666"/>
      <c r="AM478" s="730">
        <f>(AK478/AK471-1)*100</f>
        <v>-28.327557695733908</v>
      </c>
      <c r="AN478" s="685" t="s">
        <v>1084</v>
      </c>
      <c r="AO478" s="666"/>
    </row>
    <row r="479" spans="1:41">
      <c r="A479" s="666" t="str">
        <f>$A$27</f>
        <v>2Q</v>
      </c>
      <c r="B479" s="684" t="str">
        <f>$B$27</f>
        <v>Jul</v>
      </c>
      <c r="C479" s="666"/>
      <c r="D479" s="733">
        <f>(S479/S472-1)*100</f>
        <v>12.417836405659855</v>
      </c>
      <c r="E479" s="667"/>
      <c r="F479" s="37">
        <v>5</v>
      </c>
      <c r="H479" s="733">
        <f>D479-F479</f>
        <v>7.4178364056598554</v>
      </c>
      <c r="I479" s="667"/>
      <c r="J479" s="705">
        <f>'store&amp;sf'!X174</f>
        <v>44</v>
      </c>
      <c r="K479" s="667"/>
      <c r="L479" s="706">
        <f>AVERAGE(J479,J478)</f>
        <v>43</v>
      </c>
      <c r="M479" s="667"/>
      <c r="N479" s="700">
        <f>(L479/L472-1)*100</f>
        <v>330</v>
      </c>
      <c r="O479" s="704"/>
      <c r="P479" s="740" t="s">
        <v>886</v>
      </c>
      <c r="Q479" s="702"/>
      <c r="R479" s="667"/>
      <c r="S479" s="712">
        <f>'segSales&amp;OM'!AG231</f>
        <v>99.709000000000003</v>
      </c>
      <c r="T479" s="667"/>
      <c r="U479" s="713">
        <f>S479/L479</f>
        <v>2.3188139534883723</v>
      </c>
      <c r="V479" s="666"/>
      <c r="W479" s="730">
        <f>(U479/U472-1)*100</f>
        <v>-73.85631711496282</v>
      </c>
      <c r="X479" s="685"/>
      <c r="Y479" s="666"/>
      <c r="Z479" s="820">
        <f>'store&amp;sf'!X356</f>
        <v>0.17600000000000002</v>
      </c>
      <c r="AA479" s="666"/>
      <c r="AB479" s="710">
        <f>AVERAGE(Z479,Z478)</f>
        <v>0.17200000000000001</v>
      </c>
      <c r="AC479" s="666"/>
      <c r="AD479" s="700">
        <f>(AB479/AB472-1)*100</f>
        <v>64.593301435406715</v>
      </c>
      <c r="AE479" s="685"/>
      <c r="AF479" s="703">
        <f>+H479/AD479*100</f>
        <v>11.483909694688217</v>
      </c>
      <c r="AG479" s="668"/>
      <c r="AH479" s="666"/>
      <c r="AI479" s="675">
        <f>+S479</f>
        <v>99.709000000000003</v>
      </c>
      <c r="AJ479" s="666"/>
      <c r="AK479" s="714">
        <f>AI479/AB479</f>
        <v>579.70348837209303</v>
      </c>
      <c r="AL479" s="666"/>
      <c r="AM479" s="730">
        <f>(AK479/AK472-1)*100</f>
        <v>-31.69962846284038</v>
      </c>
      <c r="AN479" s="685"/>
      <c r="AO479" s="666"/>
    </row>
    <row r="480" spans="1:41">
      <c r="A480" s="666" t="str">
        <f>$A$28</f>
        <v>3Q</v>
      </c>
      <c r="B480" s="684" t="str">
        <f>$B$28</f>
        <v>Oct</v>
      </c>
      <c r="C480" s="666"/>
      <c r="D480" s="733">
        <f>(S480/S473-1)*100</f>
        <v>11.799375067341877</v>
      </c>
      <c r="E480" s="667"/>
      <c r="F480" s="37">
        <v>5</v>
      </c>
      <c r="H480" s="733">
        <f>D480-F480</f>
        <v>6.7993750673418774</v>
      </c>
      <c r="I480" s="667"/>
      <c r="J480" s="705">
        <f>'store&amp;sf'!X175</f>
        <v>46</v>
      </c>
      <c r="K480" s="667"/>
      <c r="L480" s="706">
        <f>AVERAGE(J480,J479)</f>
        <v>45</v>
      </c>
      <c r="M480" s="667"/>
      <c r="N480" s="700">
        <f>(L480/L473-1)*100</f>
        <v>350</v>
      </c>
      <c r="O480" s="704"/>
      <c r="P480" s="740" t="s">
        <v>886</v>
      </c>
      <c r="Q480" s="702"/>
      <c r="R480" s="667"/>
      <c r="S480" s="712">
        <f>'segSales&amp;OM'!AG232</f>
        <v>103.761</v>
      </c>
      <c r="T480" s="667"/>
      <c r="U480" s="713">
        <f>S480/L480</f>
        <v>2.3058000000000001</v>
      </c>
      <c r="V480" s="666"/>
      <c r="W480" s="730">
        <f>(U480/U473-1)*100</f>
        <v>-75.155694429479581</v>
      </c>
      <c r="X480" s="685"/>
      <c r="Y480" s="666"/>
      <c r="Z480" s="820">
        <f>'store&amp;sf'!X357</f>
        <v>0.185</v>
      </c>
      <c r="AA480" s="666"/>
      <c r="AB480" s="710">
        <f>AVERAGE(Z480,Z479)</f>
        <v>0.18049999999999999</v>
      </c>
      <c r="AC480" s="666"/>
      <c r="AD480" s="700">
        <f>(AB480/AB473-1)*100</f>
        <v>73.557692307692307</v>
      </c>
      <c r="AE480" s="685"/>
      <c r="AF480" s="703">
        <f>+H480/AD480*100</f>
        <v>9.2435948627915732</v>
      </c>
      <c r="AG480" s="668"/>
      <c r="AH480" s="666"/>
      <c r="AI480" s="675">
        <f>+S480</f>
        <v>103.761</v>
      </c>
      <c r="AJ480" s="666"/>
      <c r="AK480" s="714">
        <f>AI480/AB480</f>
        <v>574.85318559556788</v>
      </c>
      <c r="AL480" s="666"/>
      <c r="AM480" s="730">
        <f>(AK480/AK473-1)*100</f>
        <v>-35.583739573387504</v>
      </c>
      <c r="AN480" s="685"/>
      <c r="AO480" s="666"/>
    </row>
    <row r="481" spans="1:41">
      <c r="A481" s="666" t="str">
        <f>$A$29</f>
        <v>4Q</v>
      </c>
      <c r="B481" s="684" t="str">
        <f>$B$29</f>
        <v>Jan</v>
      </c>
      <c r="C481" s="666"/>
      <c r="D481" s="732">
        <f>(S481/S474-1)*100</f>
        <v>10.495047741199937</v>
      </c>
      <c r="E481" s="667"/>
      <c r="F481" s="80">
        <v>5</v>
      </c>
      <c r="G481" s="1198"/>
      <c r="H481" s="732">
        <f>D481-F481</f>
        <v>5.4950477411999366</v>
      </c>
      <c r="I481" s="667"/>
      <c r="J481" s="705">
        <f>'store&amp;sf'!X176</f>
        <v>49</v>
      </c>
      <c r="K481" s="667"/>
      <c r="L481" s="716">
        <f>AVERAGE(J481,J480)</f>
        <v>47.5</v>
      </c>
      <c r="M481" s="667"/>
      <c r="N481" s="715">
        <f>(L481/L474-1)*100</f>
        <v>295.83333333333337</v>
      </c>
      <c r="O481" s="704"/>
      <c r="P481" s="1150" t="s">
        <v>886</v>
      </c>
      <c r="Q481" s="702"/>
      <c r="R481" s="667"/>
      <c r="S481" s="718">
        <f>'segSales&amp;OM'!AG233</f>
        <v>124.05500000000001</v>
      </c>
      <c r="T481" s="667"/>
      <c r="U481" s="719">
        <f>S481/L481</f>
        <v>2.6116842105263158</v>
      </c>
      <c r="V481" s="666"/>
      <c r="W481" s="720">
        <f>(U481/U474-1)*100</f>
        <v>-72.085461623275805</v>
      </c>
      <c r="X481" s="685"/>
      <c r="Y481" s="666"/>
      <c r="Z481" s="820">
        <f>'store&amp;sf'!X358</f>
        <v>0.20100000000000001</v>
      </c>
      <c r="AA481" s="666"/>
      <c r="AB481" s="721">
        <f>AVERAGE(Z481,Z480)</f>
        <v>0.193</v>
      </c>
      <c r="AC481" s="666"/>
      <c r="AD481" s="715">
        <f>(AB481/AB474-1)*100</f>
        <v>60.165975103734446</v>
      </c>
      <c r="AE481" s="685"/>
      <c r="AF481" s="717">
        <f>+H481/AD481*100</f>
        <v>9.1331483146840302</v>
      </c>
      <c r="AG481" s="668"/>
      <c r="AH481" s="666"/>
      <c r="AI481" s="722">
        <f>+S481</f>
        <v>124.05500000000001</v>
      </c>
      <c r="AJ481" s="666"/>
      <c r="AK481" s="723">
        <f>AI481/AB481</f>
        <v>642.77202072538864</v>
      </c>
      <c r="AL481" s="666"/>
      <c r="AM481" s="720">
        <f>(AK481/AK474-1)*100</f>
        <v>-31.012159311841494</v>
      </c>
      <c r="AN481" s="685"/>
      <c r="AO481" s="666"/>
    </row>
    <row r="482" spans="1:41">
      <c r="A482" s="666"/>
      <c r="B482" s="684" t="str">
        <f>$B$30</f>
        <v>Year</v>
      </c>
      <c r="C482" s="666"/>
      <c r="D482" s="733">
        <f>(S482/S475-1)*100</f>
        <v>9.7326594659419285</v>
      </c>
      <c r="E482" s="666"/>
      <c r="F482" s="700">
        <f>+F478*S478/S482+F479*S479/S482+F480*S480/S482+F481*S481/S482</f>
        <v>4.3243394766909606</v>
      </c>
      <c r="G482" s="667"/>
      <c r="H482" s="733">
        <f>D482-F482</f>
        <v>5.4083199892509679</v>
      </c>
      <c r="I482" s="666"/>
      <c r="J482" s="666"/>
      <c r="K482" s="666"/>
      <c r="L482" s="706">
        <f>AVERAGE(L478:L481)</f>
        <v>40.875</v>
      </c>
      <c r="M482" s="666"/>
      <c r="N482" s="700">
        <f>(L482/L475-1)*100</f>
        <v>289.28571428571428</v>
      </c>
      <c r="O482" s="704"/>
      <c r="P482" s="740" t="s">
        <v>886</v>
      </c>
      <c r="Q482" s="702"/>
      <c r="R482" s="666"/>
      <c r="S482" s="726">
        <f>SUM(S478:S481)</f>
        <v>422.733</v>
      </c>
      <c r="T482" s="666"/>
      <c r="U482" s="707">
        <f>SUM(U478:U481)</f>
        <v>10.636583878300403</v>
      </c>
      <c r="V482" s="666"/>
      <c r="W482" s="730">
        <f>(U482/U475-1)*100</f>
        <v>-70.980080926369951</v>
      </c>
      <c r="X482" s="685"/>
      <c r="Y482" s="666"/>
      <c r="Z482" s="666"/>
      <c r="AA482" s="666"/>
      <c r="AB482" s="710">
        <f>AVERAGE(AB478:AB481)</f>
        <v>0.17449999999999999</v>
      </c>
      <c r="AC482" s="666"/>
      <c r="AD482" s="700">
        <f>(AB482/AB475-1)*100</f>
        <v>60.829493087557587</v>
      </c>
      <c r="AE482" s="685"/>
      <c r="AF482" s="703">
        <f>+H482/AD482*100</f>
        <v>8.8909502853595495</v>
      </c>
      <c r="AG482" s="668"/>
      <c r="AH482" s="666"/>
      <c r="AI482" s="673">
        <f>SUM(AI478:AI481)</f>
        <v>422.733</v>
      </c>
      <c r="AJ482" s="666"/>
      <c r="AK482" s="711">
        <f>SUM(AK478:AK481)</f>
        <v>2421.6434487914103</v>
      </c>
      <c r="AL482" s="666"/>
      <c r="AM482" s="730">
        <f>(AK482/AK475-1)*100</f>
        <v>-31.668129654626874</v>
      </c>
      <c r="AN482" s="685"/>
      <c r="AO482" s="666"/>
    </row>
    <row r="483" spans="1:41">
      <c r="A483" s="666"/>
      <c r="B483" s="684"/>
      <c r="C483" s="666"/>
      <c r="D483" s="733"/>
      <c r="E483" s="667"/>
      <c r="F483" s="703"/>
      <c r="G483" s="667"/>
      <c r="H483" s="733"/>
      <c r="I483" s="667"/>
      <c r="J483" s="667"/>
      <c r="K483" s="667"/>
      <c r="L483" s="706"/>
      <c r="M483" s="667"/>
      <c r="N483" s="700"/>
      <c r="O483" s="704"/>
      <c r="P483" s="703"/>
      <c r="Q483" s="702"/>
      <c r="R483" s="667"/>
      <c r="S483" s="726"/>
      <c r="T483" s="667"/>
      <c r="U483" s="707"/>
      <c r="V483" s="666"/>
      <c r="W483" s="730"/>
      <c r="X483" s="685"/>
      <c r="Y483" s="666"/>
      <c r="Z483" s="676"/>
      <c r="AA483" s="666"/>
      <c r="AB483" s="710"/>
      <c r="AC483" s="666"/>
      <c r="AD483" s="700"/>
      <c r="AE483" s="685"/>
      <c r="AF483" s="703"/>
      <c r="AG483" s="668"/>
      <c r="AH483" s="666"/>
      <c r="AI483" s="673"/>
      <c r="AJ483" s="666"/>
      <c r="AK483" s="711"/>
      <c r="AL483" s="666"/>
      <c r="AM483" s="730"/>
      <c r="AN483" s="685"/>
      <c r="AO483" s="666"/>
    </row>
    <row r="484" spans="1:41">
      <c r="A484" s="698"/>
      <c r="B484" s="728">
        <f>B477+1</f>
        <v>2017</v>
      </c>
      <c r="C484" s="666"/>
      <c r="D484" s="733"/>
      <c r="E484" s="667"/>
      <c r="F484" s="703"/>
      <c r="G484" s="667"/>
      <c r="I484" s="667"/>
      <c r="J484" s="667"/>
      <c r="K484" s="667"/>
      <c r="L484" s="706"/>
      <c r="M484" s="667"/>
      <c r="N484" s="700"/>
      <c r="O484" s="704"/>
      <c r="P484" s="703"/>
      <c r="Q484" s="702"/>
      <c r="R484" s="667"/>
      <c r="S484" s="726"/>
      <c r="T484" s="667"/>
      <c r="U484" s="707"/>
      <c r="V484" s="666"/>
      <c r="W484" s="730"/>
      <c r="X484" s="685"/>
      <c r="Y484" s="666"/>
      <c r="Z484" s="676"/>
      <c r="AA484" s="666"/>
      <c r="AB484" s="710"/>
      <c r="AC484" s="666"/>
      <c r="AD484" s="700"/>
      <c r="AE484" s="685"/>
      <c r="AF484" s="703"/>
      <c r="AG484" s="668"/>
      <c r="AH484" s="666"/>
      <c r="AI484" s="673"/>
      <c r="AJ484" s="666"/>
      <c r="AK484" s="711"/>
      <c r="AL484" s="666"/>
      <c r="AM484" s="730"/>
      <c r="AN484" s="685"/>
      <c r="AO484" s="666"/>
    </row>
    <row r="485" spans="1:41">
      <c r="A485" s="666" t="str">
        <f>$A$26</f>
        <v>1Q</v>
      </c>
      <c r="B485" s="684" t="str">
        <f>$B$26</f>
        <v>Apr</v>
      </c>
      <c r="C485" s="666"/>
      <c r="D485" s="733">
        <f>(S485/S478-1)*100</f>
        <v>8.5066380976388523</v>
      </c>
      <c r="E485" s="667"/>
      <c r="F485" s="2603">
        <v>-2</v>
      </c>
      <c r="G485" s="702"/>
      <c r="H485" s="733">
        <f>D485-F485</f>
        <v>10.506638097638852</v>
      </c>
      <c r="I485" s="667"/>
      <c r="J485" s="705">
        <f>'store&amp;sf'!X179</f>
        <v>51</v>
      </c>
      <c r="K485" s="667"/>
      <c r="L485" s="706">
        <f>AVERAGE(J485,J484)</f>
        <v>51</v>
      </c>
      <c r="M485" s="667"/>
      <c r="N485" s="700">
        <f>(L485/L478-1)*100</f>
        <v>82.142857142857139</v>
      </c>
      <c r="O485" s="704"/>
      <c r="P485" s="740" t="s">
        <v>886</v>
      </c>
      <c r="Q485" s="702"/>
      <c r="R485" s="667"/>
      <c r="S485" s="712">
        <f>'segSales&amp;OM'!AG237</f>
        <v>103.307</v>
      </c>
      <c r="T485" s="667"/>
      <c r="U485" s="713">
        <f>S485/L485</f>
        <v>2.0256274509803922</v>
      </c>
      <c r="V485" s="666"/>
      <c r="W485" s="730">
        <f>(U485/U478-1)*100</f>
        <v>-40.427728103257095</v>
      </c>
      <c r="X485" s="685"/>
      <c r="Y485" s="666"/>
      <c r="Z485" s="820">
        <f>'store&amp;sf'!X361</f>
        <v>0.23900000000000002</v>
      </c>
      <c r="AA485" s="666"/>
      <c r="AB485" s="710">
        <f>AVERAGE(Z485,Z484)</f>
        <v>0.23900000000000002</v>
      </c>
      <c r="AC485" s="666"/>
      <c r="AD485" s="700">
        <f>(AB485/AB478-1)*100</f>
        <v>56.72131147540982</v>
      </c>
      <c r="AE485" s="685"/>
      <c r="AF485" s="703">
        <f>+H485/AD485*100</f>
        <v>18.523263698149428</v>
      </c>
      <c r="AG485" s="668"/>
      <c r="AH485" s="666"/>
      <c r="AI485" s="675">
        <f>+S485</f>
        <v>103.307</v>
      </c>
      <c r="AJ485" s="666"/>
      <c r="AK485" s="714">
        <f>AI485/AB485</f>
        <v>432.24686192468619</v>
      </c>
      <c r="AL485" s="666"/>
      <c r="AM485" s="730">
        <f>(AK485/AK478-1)*100</f>
        <v>-30.764592845648842</v>
      </c>
      <c r="AN485" s="685" t="s">
        <v>1084</v>
      </c>
      <c r="AO485" s="666"/>
    </row>
    <row r="486" spans="1:41">
      <c r="A486" s="666" t="str">
        <f>$A$27</f>
        <v>2Q</v>
      </c>
      <c r="B486" s="684" t="str">
        <f>$B$27</f>
        <v>Jul</v>
      </c>
      <c r="C486" s="666"/>
      <c r="D486" s="733">
        <f>(S486/S479-1)*100</f>
        <v>14.272533071237303</v>
      </c>
      <c r="E486" s="667"/>
      <c r="F486" s="2603">
        <v>-2</v>
      </c>
      <c r="G486" s="702"/>
      <c r="H486" s="733">
        <f>D486-F486</f>
        <v>16.272533071237305</v>
      </c>
      <c r="I486" s="667"/>
      <c r="J486" s="705">
        <f>'store&amp;sf'!X180</f>
        <v>51</v>
      </c>
      <c r="K486" s="667"/>
      <c r="L486" s="706">
        <f>AVERAGE(J486,J485)</f>
        <v>51</v>
      </c>
      <c r="M486" s="667"/>
      <c r="N486" s="700">
        <f>(L486/L479-1)*100</f>
        <v>18.604651162790709</v>
      </c>
      <c r="O486" s="704"/>
      <c r="P486" s="740" t="s">
        <v>886</v>
      </c>
      <c r="Q486" s="702"/>
      <c r="R486" s="667"/>
      <c r="S486" s="712">
        <f>'segSales&amp;OM'!AG238</f>
        <v>113.94</v>
      </c>
      <c r="T486" s="667"/>
      <c r="U486" s="713">
        <f>S486/L486</f>
        <v>2.2341176470588233</v>
      </c>
      <c r="V486" s="666"/>
      <c r="W486" s="730">
        <f>(U486/U479-1)*100</f>
        <v>-3.6525701556234691</v>
      </c>
      <c r="X486" s="685"/>
      <c r="Y486" s="666"/>
      <c r="Z486" s="820">
        <f>'store&amp;sf'!X362</f>
        <v>0.24600000000000002</v>
      </c>
      <c r="AA486" s="666"/>
      <c r="AB486" s="710">
        <f>AVERAGE(Z486,Z485)</f>
        <v>0.24250000000000002</v>
      </c>
      <c r="AC486" s="666"/>
      <c r="AD486" s="700">
        <f>(AB486/AB479-1)*100</f>
        <v>40.988372093023258</v>
      </c>
      <c r="AE486" s="685"/>
      <c r="AF486" s="703">
        <f>+H486/AD486*100</f>
        <v>39.700364372380378</v>
      </c>
      <c r="AG486" s="668"/>
      <c r="AH486" s="666"/>
      <c r="AI486" s="675">
        <f>+S486</f>
        <v>113.94</v>
      </c>
      <c r="AJ486" s="666"/>
      <c r="AK486" s="714">
        <f>AI486/AB486</f>
        <v>469.85567010309273</v>
      </c>
      <c r="AL486" s="666"/>
      <c r="AM486" s="730">
        <f>(AK486/AK479-1)*100</f>
        <v>-18.948966234009013</v>
      </c>
      <c r="AN486" s="685"/>
      <c r="AO486" s="666"/>
    </row>
    <row r="487" spans="1:41">
      <c r="A487" s="666" t="str">
        <f>$A$28</f>
        <v>3Q</v>
      </c>
      <c r="B487" s="684" t="str">
        <f>$B$28</f>
        <v>Oct</v>
      </c>
      <c r="C487" s="666"/>
      <c r="D487" s="733">
        <f>(S487/S480-1)*100</f>
        <v>10.735247347269205</v>
      </c>
      <c r="E487" s="667"/>
      <c r="F487" s="2603">
        <v>-2</v>
      </c>
      <c r="G487" s="702"/>
      <c r="H487" s="733">
        <f>D487-F487</f>
        <v>12.735247347269205</v>
      </c>
      <c r="I487" s="667"/>
      <c r="J487" s="705">
        <f>'store&amp;sf'!X181</f>
        <v>51</v>
      </c>
      <c r="K487" s="667"/>
      <c r="L487" s="706">
        <f>AVERAGE(J487,J486)</f>
        <v>51</v>
      </c>
      <c r="M487" s="667"/>
      <c r="N487" s="700">
        <f>(L487/L480-1)*100</f>
        <v>13.33333333333333</v>
      </c>
      <c r="O487" s="704"/>
      <c r="P487" s="740" t="s">
        <v>886</v>
      </c>
      <c r="Q487" s="702"/>
      <c r="R487" s="667"/>
      <c r="S487" s="712">
        <f>'segSales&amp;OM'!AG239</f>
        <v>114.9</v>
      </c>
      <c r="T487" s="667"/>
      <c r="U487" s="713">
        <f>S487/L487</f>
        <v>2.2529411764705882</v>
      </c>
      <c r="V487" s="666"/>
      <c r="W487" s="730">
        <f>(U487/U480-1)*100</f>
        <v>-2.2924288112330604</v>
      </c>
      <c r="X487" s="685"/>
      <c r="Y487" s="666"/>
      <c r="Z487" s="820">
        <f>'store&amp;sf'!X363</f>
        <v>0.26800000000000002</v>
      </c>
      <c r="AA487" s="666"/>
      <c r="AB487" s="710">
        <f>AVERAGE(Z487,Z486)</f>
        <v>0.25700000000000001</v>
      </c>
      <c r="AC487" s="666"/>
      <c r="AD487" s="700">
        <f>(AB487/AB480-1)*100</f>
        <v>42.382271468144062</v>
      </c>
      <c r="AE487" s="685"/>
      <c r="AF487" s="703">
        <f>+H487/AD487*100</f>
        <v>30.048524786693992</v>
      </c>
      <c r="AG487" s="668"/>
      <c r="AH487" s="666"/>
      <c r="AI487" s="675">
        <f>+S487</f>
        <v>114.9</v>
      </c>
      <c r="AJ487" s="666"/>
      <c r="AK487" s="714">
        <f>AI487/AB487</f>
        <v>447.08171206225683</v>
      </c>
      <c r="AL487" s="666"/>
      <c r="AM487" s="730">
        <f>(AK487/AK480-1)*100</f>
        <v>-22.226800987618322</v>
      </c>
      <c r="AN487" s="685"/>
      <c r="AO487" s="666"/>
    </row>
    <row r="488" spans="1:41">
      <c r="A488" s="666" t="str">
        <f>$A$29</f>
        <v>4Q</v>
      </c>
      <c r="B488" s="684" t="str">
        <f>$B$29</f>
        <v>Jan</v>
      </c>
      <c r="C488" s="666"/>
      <c r="D488" s="732">
        <f>(S488/S481-1)*100</f>
        <v>37.277820321631538</v>
      </c>
      <c r="E488" s="667"/>
      <c r="F488" s="715">
        <v>8</v>
      </c>
      <c r="G488" s="667"/>
      <c r="H488" s="732">
        <f>D488-F488</f>
        <v>29.277820321631538</v>
      </c>
      <c r="I488" s="667"/>
      <c r="J488" s="705">
        <f>'store&amp;sf'!X182</f>
        <v>60</v>
      </c>
      <c r="K488" s="667"/>
      <c r="L488" s="716">
        <f>AVERAGE(J488,J487)</f>
        <v>55.5</v>
      </c>
      <c r="M488" s="667"/>
      <c r="N488" s="715">
        <f>(L488/L481-1)*100</f>
        <v>16.842105263157904</v>
      </c>
      <c r="O488" s="704"/>
      <c r="P488" s="1150" t="s">
        <v>886</v>
      </c>
      <c r="Q488" s="702"/>
      <c r="R488" s="667"/>
      <c r="S488" s="718">
        <f>'segSales&amp;OM'!AG240</f>
        <v>170.3</v>
      </c>
      <c r="T488" s="667"/>
      <c r="U488" s="719">
        <f>S488/L488</f>
        <v>3.0684684684684687</v>
      </c>
      <c r="V488" s="666"/>
      <c r="W488" s="720">
        <f>(U488/U481-1)*100</f>
        <v>17.490026401396364</v>
      </c>
      <c r="X488" s="685"/>
      <c r="Y488" s="666"/>
      <c r="Z488" s="820">
        <f>'store&amp;sf'!X364</f>
        <v>0.32800000000000001</v>
      </c>
      <c r="AA488" s="666"/>
      <c r="AB488" s="721">
        <f>AVERAGE(Z488,Z487)</f>
        <v>0.29800000000000004</v>
      </c>
      <c r="AC488" s="666"/>
      <c r="AD488" s="715">
        <f>(AB488/AB481-1)*100</f>
        <v>54.404145077720223</v>
      </c>
      <c r="AE488" s="685"/>
      <c r="AF488" s="717">
        <f>+H488/AD488*100</f>
        <v>53.815422114998903</v>
      </c>
      <c r="AG488" s="668"/>
      <c r="AH488" s="666"/>
      <c r="AI488" s="722">
        <f>+S488</f>
        <v>170.3</v>
      </c>
      <c r="AJ488" s="666"/>
      <c r="AK488" s="723">
        <f>AI488/AB488</f>
        <v>571.47651006711408</v>
      </c>
      <c r="AL488" s="666"/>
      <c r="AM488" s="720">
        <f>(AK488/AK481-1)*100</f>
        <v>-11.091881469547371</v>
      </c>
      <c r="AN488" s="685"/>
      <c r="AO488" s="666"/>
    </row>
    <row r="489" spans="1:41">
      <c r="A489" s="666"/>
      <c r="B489" s="684" t="str">
        <f>$B$30</f>
        <v>Year</v>
      </c>
      <c r="C489" s="666"/>
      <c r="D489" s="733">
        <f>(S489/S482-1)*100</f>
        <v>18.856819789323296</v>
      </c>
      <c r="E489" s="666"/>
      <c r="F489" s="733">
        <f>+F485*S485/S489+F486*S486/S489+F487*S487/S489+F488*S488/S489</f>
        <v>1.3894122166119014</v>
      </c>
      <c r="G489" s="667"/>
      <c r="H489" s="733">
        <f>D489-F489</f>
        <v>17.467407572711394</v>
      </c>
      <c r="I489" s="666"/>
      <c r="J489" s="666"/>
      <c r="K489" s="666"/>
      <c r="L489" s="706">
        <f>AVERAGE(L485:L488)</f>
        <v>52.125</v>
      </c>
      <c r="M489" s="666"/>
      <c r="N489" s="700">
        <f>(L489/L482-1)*100</f>
        <v>27.522935779816503</v>
      </c>
      <c r="O489" s="704"/>
      <c r="P489" s="740" t="s">
        <v>886</v>
      </c>
      <c r="Q489" s="702"/>
      <c r="R489" s="666"/>
      <c r="S489" s="726">
        <f>SUM(S485:S488)</f>
        <v>502.44700000000006</v>
      </c>
      <c r="T489" s="666"/>
      <c r="U489" s="707">
        <f>SUM(U485:U488)</f>
        <v>9.5811547429782724</v>
      </c>
      <c r="V489" s="666"/>
      <c r="W489" s="730">
        <f>(U489/U482-1)*100</f>
        <v>-9.9226325613367408</v>
      </c>
      <c r="X489" s="685"/>
      <c r="Y489" s="666"/>
      <c r="Z489" s="666"/>
      <c r="AA489" s="666"/>
      <c r="AB489" s="710">
        <f>AVERAGE(AB485:AB488)</f>
        <v>0.25912500000000005</v>
      </c>
      <c r="AC489" s="666"/>
      <c r="AD489" s="700">
        <f>(AB489/AB482-1)*100</f>
        <v>48.495702005730699</v>
      </c>
      <c r="AE489" s="685"/>
      <c r="AF489" s="703">
        <f>+H489/AD489*100</f>
        <v>36.018465245945478</v>
      </c>
      <c r="AG489" s="668"/>
      <c r="AH489" s="666"/>
      <c r="AI489" s="673">
        <f>SUM(AI485:AI488)</f>
        <v>502.44700000000006</v>
      </c>
      <c r="AJ489" s="666"/>
      <c r="AK489" s="711">
        <f>SUM(AK485:AK488)</f>
        <v>1920.6607541571498</v>
      </c>
      <c r="AL489" s="666"/>
      <c r="AM489" s="730">
        <f>(AK489/AK482-1)*100</f>
        <v>-20.687714984808771</v>
      </c>
      <c r="AN489" s="685"/>
      <c r="AO489" s="666"/>
    </row>
    <row r="490" spans="1:41" s="2702" customFormat="1">
      <c r="A490" s="666"/>
      <c r="B490" s="684"/>
      <c r="C490" s="666"/>
      <c r="D490" s="733"/>
      <c r="E490" s="667"/>
      <c r="F490" s="703"/>
      <c r="G490" s="667"/>
      <c r="H490" s="733"/>
      <c r="I490" s="667"/>
      <c r="J490" s="667"/>
      <c r="K490" s="667"/>
      <c r="L490" s="706"/>
      <c r="M490" s="667"/>
      <c r="N490" s="700"/>
      <c r="O490" s="704"/>
      <c r="P490" s="703"/>
      <c r="Q490" s="702"/>
      <c r="R490" s="667"/>
      <c r="S490" s="726"/>
      <c r="T490" s="667"/>
      <c r="U490" s="707"/>
      <c r="V490" s="666"/>
      <c r="W490" s="730"/>
      <c r="X490" s="685"/>
      <c r="Y490" s="666"/>
      <c r="Z490" s="676"/>
      <c r="AA490" s="666"/>
      <c r="AB490" s="710"/>
      <c r="AC490" s="666"/>
      <c r="AD490" s="700"/>
      <c r="AE490" s="685"/>
      <c r="AF490" s="703"/>
      <c r="AG490" s="668"/>
      <c r="AH490" s="666"/>
      <c r="AI490" s="673"/>
      <c r="AJ490" s="666"/>
      <c r="AK490" s="711"/>
      <c r="AL490" s="666"/>
      <c r="AM490" s="730"/>
      <c r="AN490" s="685"/>
      <c r="AO490" s="666"/>
    </row>
    <row r="491" spans="1:41" s="2702" customFormat="1">
      <c r="A491" s="698"/>
      <c r="B491" s="742">
        <f>B484+1</f>
        <v>2018</v>
      </c>
      <c r="C491" s="666"/>
      <c r="D491" s="733"/>
      <c r="E491" s="667"/>
      <c r="F491" s="703"/>
      <c r="G491" s="667"/>
      <c r="I491" s="667"/>
      <c r="J491" s="667"/>
      <c r="K491" s="667"/>
      <c r="L491" s="706"/>
      <c r="M491" s="667"/>
      <c r="N491" s="700"/>
      <c r="O491" s="704"/>
      <c r="P491" s="703"/>
      <c r="Q491" s="702"/>
      <c r="R491" s="667"/>
      <c r="S491" s="726"/>
      <c r="T491" s="667"/>
      <c r="U491" s="707"/>
      <c r="V491" s="666"/>
      <c r="W491" s="730"/>
      <c r="X491" s="685"/>
      <c r="Y491" s="666"/>
      <c r="Z491" s="676"/>
      <c r="AA491" s="666"/>
      <c r="AB491" s="710"/>
      <c r="AC491" s="666"/>
      <c r="AD491" s="700"/>
      <c r="AE491" s="685"/>
      <c r="AF491" s="703"/>
      <c r="AG491" s="668"/>
      <c r="AH491" s="666"/>
      <c r="AI491" s="673"/>
      <c r="AJ491" s="666"/>
      <c r="AK491" s="711"/>
      <c r="AL491" s="666"/>
      <c r="AM491" s="730"/>
      <c r="AN491" s="685"/>
      <c r="AO491" s="666"/>
    </row>
    <row r="492" spans="1:41" s="2702" customFormat="1">
      <c r="A492" s="666" t="str">
        <f>$A$26</f>
        <v>1Q</v>
      </c>
      <c r="B492" s="684" t="str">
        <f>$B$26</f>
        <v>Apr</v>
      </c>
      <c r="C492" s="666"/>
      <c r="D492" s="733">
        <f t="shared" ref="D492:D493" si="4">F492+H492</f>
        <v>40</v>
      </c>
      <c r="E492" s="667"/>
      <c r="F492" s="2766">
        <v>10</v>
      </c>
      <c r="G492" s="702"/>
      <c r="H492" s="2572">
        <v>30</v>
      </c>
      <c r="I492" s="667"/>
      <c r="J492" s="705">
        <f>'store&amp;sf'!X185</f>
        <v>65</v>
      </c>
      <c r="K492" s="667"/>
      <c r="L492" s="706">
        <f>AVERAGE(J492,J491)</f>
        <v>65</v>
      </c>
      <c r="M492" s="667"/>
      <c r="N492" s="700">
        <f>(L492/L485-1)*100</f>
        <v>27.450980392156854</v>
      </c>
      <c r="O492" s="704"/>
      <c r="P492" s="740" t="s">
        <v>886</v>
      </c>
      <c r="Q492" s="702"/>
      <c r="R492" s="667"/>
      <c r="S492" s="712">
        <f t="shared" ref="S492:S493" si="5">S485*(1+D492/100)</f>
        <v>144.62979999999999</v>
      </c>
      <c r="T492" s="667"/>
      <c r="U492" s="713">
        <f>S492/L492</f>
        <v>2.2250738461538462</v>
      </c>
      <c r="V492" s="666"/>
      <c r="W492" s="730">
        <f>(U492/U485-1)*100</f>
        <v>9.8461538461538378</v>
      </c>
      <c r="X492" s="685"/>
      <c r="Y492" s="666"/>
      <c r="Z492" s="820">
        <f>'store&amp;sf'!X549</f>
        <v>0.44115384615384617</v>
      </c>
      <c r="AA492" s="666"/>
      <c r="AB492" s="710">
        <f>AVERAGE(Z492,Z491)</f>
        <v>0.44115384615384617</v>
      </c>
      <c r="AC492" s="666"/>
      <c r="AD492" s="700">
        <f>(AB492/AB485-1)*100</f>
        <v>84.583199227550693</v>
      </c>
      <c r="AE492" s="685"/>
      <c r="AF492" s="703">
        <f>+H492/AD492*100</f>
        <v>35.468036529680361</v>
      </c>
      <c r="AG492" s="668"/>
      <c r="AH492" s="666"/>
      <c r="AI492" s="675">
        <f>+S492</f>
        <v>144.62979999999999</v>
      </c>
      <c r="AJ492" s="666"/>
      <c r="AK492" s="714">
        <f>AI492/AB492</f>
        <v>327.84435919790752</v>
      </c>
      <c r="AL492" s="666"/>
      <c r="AM492" s="730">
        <f>(AK492/AK485-1)*100</f>
        <v>-24.153443766347003</v>
      </c>
      <c r="AN492" s="685" t="s">
        <v>1084</v>
      </c>
      <c r="AO492" s="666"/>
    </row>
    <row r="493" spans="1:41" s="2702" customFormat="1">
      <c r="A493" s="666" t="str">
        <f>$A$27</f>
        <v>2Q</v>
      </c>
      <c r="B493" s="684" t="str">
        <f>$B$27</f>
        <v>Jul</v>
      </c>
      <c r="C493" s="666"/>
      <c r="D493" s="733">
        <f t="shared" si="4"/>
        <v>40</v>
      </c>
      <c r="E493" s="667"/>
      <c r="F493" s="2766">
        <v>15</v>
      </c>
      <c r="G493" s="702"/>
      <c r="H493" s="2572">
        <v>25</v>
      </c>
      <c r="I493" s="667"/>
      <c r="J493" s="705">
        <f>'store&amp;sf'!X186</f>
        <v>69</v>
      </c>
      <c r="K493" s="667"/>
      <c r="L493" s="706">
        <f>AVERAGE(J493,J492)</f>
        <v>67</v>
      </c>
      <c r="M493" s="667"/>
      <c r="N493" s="700">
        <f>(L493/L486-1)*100</f>
        <v>31.372549019607842</v>
      </c>
      <c r="O493" s="704"/>
      <c r="P493" s="740" t="s">
        <v>886</v>
      </c>
      <c r="Q493" s="702"/>
      <c r="R493" s="667"/>
      <c r="S493" s="712">
        <f t="shared" si="5"/>
        <v>159.51599999999999</v>
      </c>
      <c r="T493" s="667"/>
      <c r="U493" s="713">
        <f>S493/L493</f>
        <v>2.380835820895522</v>
      </c>
      <c r="V493" s="666"/>
      <c r="W493" s="730">
        <f>(U493/U486-1)*100</f>
        <v>6.5671641791044788</v>
      </c>
      <c r="X493" s="685"/>
      <c r="Y493" s="666"/>
      <c r="Z493" s="820">
        <f>'store&amp;sf'!X550</f>
        <v>0.47230769230769232</v>
      </c>
      <c r="AA493" s="666"/>
      <c r="AB493" s="710">
        <f>AVERAGE(Z493,Z492)</f>
        <v>0.45673076923076927</v>
      </c>
      <c r="AC493" s="666"/>
      <c r="AD493" s="700">
        <f>(AB493/AB486-1)*100</f>
        <v>88.342585249801743</v>
      </c>
      <c r="AE493" s="685"/>
      <c r="AF493" s="703">
        <f>+H493/AD493*100</f>
        <v>28.298922800718135</v>
      </c>
      <c r="AG493" s="668"/>
      <c r="AH493" s="666"/>
      <c r="AI493" s="675">
        <f>+S493</f>
        <v>159.51599999999999</v>
      </c>
      <c r="AJ493" s="666"/>
      <c r="AK493" s="714">
        <f>AI493/AB493</f>
        <v>349.25608421052624</v>
      </c>
      <c r="AL493" s="666"/>
      <c r="AM493" s="730">
        <f>(AK493/AK486-1)*100</f>
        <v>-25.66736842105264</v>
      </c>
      <c r="AN493" s="685"/>
      <c r="AO493" s="666"/>
    </row>
    <row r="494" spans="1:41" s="2702" customFormat="1">
      <c r="A494" s="666" t="str">
        <f>$A$28</f>
        <v>3Q</v>
      </c>
      <c r="B494" s="684" t="str">
        <f>$B$28</f>
        <v>Oct</v>
      </c>
      <c r="C494" s="666"/>
      <c r="D494" s="733">
        <f>F494+H494</f>
        <v>38</v>
      </c>
      <c r="E494" s="667"/>
      <c r="F494" s="2572">
        <v>13</v>
      </c>
      <c r="G494" s="702"/>
      <c r="H494" s="2572">
        <v>25</v>
      </c>
      <c r="I494" s="667"/>
      <c r="J494" s="705">
        <f>'store&amp;sf'!X187</f>
        <v>75</v>
      </c>
      <c r="K494" s="667"/>
      <c r="L494" s="706">
        <f>AVERAGE(J494,J493)</f>
        <v>72</v>
      </c>
      <c r="M494" s="667"/>
      <c r="N494" s="700">
        <f>(L494/L487-1)*100</f>
        <v>41.176470588235304</v>
      </c>
      <c r="O494" s="704"/>
      <c r="P494" s="740" t="s">
        <v>886</v>
      </c>
      <c r="Q494" s="702"/>
      <c r="R494" s="667"/>
      <c r="S494" s="712">
        <f>S487*(1+D494/100)</f>
        <v>158.56199999999998</v>
      </c>
      <c r="T494" s="667"/>
      <c r="U494" s="713">
        <f>S494/L494</f>
        <v>2.2022499999999998</v>
      </c>
      <c r="V494" s="666"/>
      <c r="W494" s="730">
        <f>(U494/U487-1)*100</f>
        <v>-2.2500000000000075</v>
      </c>
      <c r="X494" s="685"/>
      <c r="Y494" s="666"/>
      <c r="Z494" s="820">
        <f>'store&amp;sf'!X551</f>
        <v>0.5346153846153846</v>
      </c>
      <c r="AA494" s="666"/>
      <c r="AB494" s="710">
        <f>AVERAGE(Z494,Z493)</f>
        <v>0.5034615384615384</v>
      </c>
      <c r="AC494" s="666"/>
      <c r="AD494" s="700">
        <f>(AB494/AB487-1)*100</f>
        <v>95.899431307991591</v>
      </c>
      <c r="AE494" s="685"/>
      <c r="AF494" s="703">
        <f>+H494/AD494*100</f>
        <v>26.068976279650446</v>
      </c>
      <c r="AG494" s="668"/>
      <c r="AH494" s="666"/>
      <c r="AI494" s="675">
        <f>+S494</f>
        <v>158.56199999999998</v>
      </c>
      <c r="AJ494" s="666"/>
      <c r="AK494" s="714">
        <f>AI494/AB494</f>
        <v>314.94362108479754</v>
      </c>
      <c r="AL494" s="666"/>
      <c r="AM494" s="730">
        <f>(AK494/AK487-1)*100</f>
        <v>-29.555691367456085</v>
      </c>
      <c r="AN494" s="685"/>
      <c r="AO494" s="666"/>
    </row>
    <row r="495" spans="1:41" s="2702" customFormat="1">
      <c r="A495" s="666" t="str">
        <f>$A$29</f>
        <v>4Q</v>
      </c>
      <c r="B495" s="684" t="str">
        <f>$B$29</f>
        <v>Jan</v>
      </c>
      <c r="C495" s="666"/>
      <c r="D495" s="732">
        <f>F495+H495</f>
        <v>17</v>
      </c>
      <c r="E495" s="667"/>
      <c r="F495" s="1198">
        <v>12</v>
      </c>
      <c r="G495" s="667"/>
      <c r="H495" s="1198">
        <v>5</v>
      </c>
      <c r="I495" s="667"/>
      <c r="J495" s="705">
        <f>'store&amp;sf'!X188</f>
        <v>78</v>
      </c>
      <c r="K495" s="667"/>
      <c r="L495" s="716">
        <f>AVERAGE(J495,J494)</f>
        <v>76.5</v>
      </c>
      <c r="M495" s="667"/>
      <c r="N495" s="715">
        <f>(L495/L488-1)*100</f>
        <v>37.837837837837832</v>
      </c>
      <c r="O495" s="704"/>
      <c r="P495" s="1150" t="s">
        <v>886</v>
      </c>
      <c r="Q495" s="702"/>
      <c r="R495" s="667"/>
      <c r="S495" s="718">
        <f>S488*(1+D495/100)</f>
        <v>199.251</v>
      </c>
      <c r="T495" s="667"/>
      <c r="U495" s="719">
        <f>S495/L495</f>
        <v>2.6045882352941176</v>
      </c>
      <c r="V495" s="666"/>
      <c r="W495" s="720">
        <f>(U495/U488-1)*100</f>
        <v>-15.117647058823536</v>
      </c>
      <c r="X495" s="685"/>
      <c r="Y495" s="666"/>
      <c r="Z495" s="820">
        <f>'store&amp;sf'!X552</f>
        <v>0.5657692307692308</v>
      </c>
      <c r="AA495" s="666"/>
      <c r="AB495" s="721">
        <f>AVERAGE(Z495,Z494)</f>
        <v>0.55019230769230765</v>
      </c>
      <c r="AC495" s="666"/>
      <c r="AD495" s="715">
        <f>(AB495/AB488-1)*100</f>
        <v>84.628291171915279</v>
      </c>
      <c r="AE495" s="685"/>
      <c r="AF495" s="717">
        <f>+H495/AD495*100</f>
        <v>5.9081897209089558</v>
      </c>
      <c r="AG495" s="668"/>
      <c r="AH495" s="666"/>
      <c r="AI495" s="722">
        <f>+S495</f>
        <v>199.251</v>
      </c>
      <c r="AJ495" s="666"/>
      <c r="AK495" s="723">
        <f>AI495/AB495</f>
        <v>362.1479203075848</v>
      </c>
      <c r="AL495" s="666"/>
      <c r="AM495" s="720">
        <f>(AK495/AK488-1)*100</f>
        <v>-36.629430269136655</v>
      </c>
      <c r="AN495" s="685"/>
      <c r="AO495" s="666"/>
    </row>
    <row r="496" spans="1:41" s="2702" customFormat="1">
      <c r="A496" s="666"/>
      <c r="B496" s="684" t="str">
        <f>$B$30</f>
        <v>Year</v>
      </c>
      <c r="C496" s="666"/>
      <c r="D496" s="733">
        <f>(S496/S489-1)*100</f>
        <v>31.746990229815264</v>
      </c>
      <c r="E496" s="666"/>
      <c r="F496" s="733">
        <f>+F492*S492/S496+F493*S493/S496+F494*S494/S496+F495*S495/S496</f>
        <v>12.525486480427482</v>
      </c>
      <c r="G496" s="667"/>
      <c r="H496" s="733">
        <f>D496-F496</f>
        <v>19.221503749387782</v>
      </c>
      <c r="I496" s="666"/>
      <c r="J496" s="666"/>
      <c r="K496" s="666"/>
      <c r="L496" s="706">
        <f>AVERAGE(L492:L495)</f>
        <v>70.125</v>
      </c>
      <c r="M496" s="666"/>
      <c r="N496" s="700">
        <f>(L496/L489-1)*100</f>
        <v>34.53237410071943</v>
      </c>
      <c r="O496" s="704"/>
      <c r="P496" s="740" t="s">
        <v>886</v>
      </c>
      <c r="Q496" s="702"/>
      <c r="R496" s="666"/>
      <c r="S496" s="726">
        <f>SUM(S492:S495)</f>
        <v>661.9588</v>
      </c>
      <c r="T496" s="666"/>
      <c r="U496" s="707">
        <f>SUM(U492:U495)</f>
        <v>9.4127479023434866</v>
      </c>
      <c r="V496" s="666"/>
      <c r="W496" s="730">
        <f>(U496/U489-1)*100</f>
        <v>-1.7576883491857376</v>
      </c>
      <c r="X496" s="685"/>
      <c r="Y496" s="666"/>
      <c r="Z496" s="666"/>
      <c r="AA496" s="666"/>
      <c r="AB496" s="710">
        <f>AVERAGE(AB492:AB495)</f>
        <v>0.48788461538461536</v>
      </c>
      <c r="AC496" s="666"/>
      <c r="AD496" s="700">
        <f>(AB496/AB489-1)*100</f>
        <v>88.281568889383607</v>
      </c>
      <c r="AE496" s="685"/>
      <c r="AF496" s="703">
        <f>+H496/AD496*100</f>
        <v>21.772952147545357</v>
      </c>
      <c r="AG496" s="668"/>
      <c r="AH496" s="666"/>
      <c r="AI496" s="673">
        <f>SUM(AI492:AI495)</f>
        <v>661.9588</v>
      </c>
      <c r="AJ496" s="666"/>
      <c r="AK496" s="711">
        <f>SUM(AK492:AK495)</f>
        <v>1354.191984800816</v>
      </c>
      <c r="AL496" s="666"/>
      <c r="AM496" s="730">
        <f>(AK496/AK489-1)*100</f>
        <v>-29.493431785402368</v>
      </c>
      <c r="AN496" s="685"/>
      <c r="AO496" s="666"/>
    </row>
    <row r="497" spans="1:41" s="2702" customFormat="1">
      <c r="A497" s="666"/>
      <c r="B497" s="684"/>
      <c r="C497" s="666"/>
      <c r="D497" s="733"/>
      <c r="E497" s="666"/>
      <c r="F497" s="733"/>
      <c r="G497" s="667"/>
      <c r="H497" s="733"/>
      <c r="I497" s="666"/>
      <c r="J497" s="666"/>
      <c r="K497" s="666"/>
      <c r="L497" s="706"/>
      <c r="M497" s="666"/>
      <c r="N497" s="700"/>
      <c r="O497" s="704"/>
      <c r="P497" s="740"/>
      <c r="Q497" s="702"/>
      <c r="R497" s="666"/>
      <c r="S497" s="726"/>
      <c r="T497" s="666"/>
      <c r="U497" s="707"/>
      <c r="V497" s="666"/>
      <c r="W497" s="730"/>
      <c r="X497" s="685"/>
      <c r="Y497" s="666"/>
      <c r="Z497" s="666"/>
      <c r="AA497" s="666"/>
      <c r="AB497" s="710"/>
      <c r="AC497" s="666"/>
      <c r="AD497" s="700"/>
      <c r="AE497" s="685"/>
      <c r="AF497" s="703"/>
      <c r="AG497" s="668"/>
      <c r="AH497" s="666"/>
      <c r="AI497" s="673"/>
      <c r="AJ497" s="666"/>
      <c r="AK497" s="711"/>
      <c r="AL497" s="666"/>
      <c r="AM497" s="730"/>
      <c r="AN497" s="685"/>
      <c r="AO497" s="666"/>
    </row>
    <row r="498" spans="1:41" hidden="1" outlineLevel="1">
      <c r="A498" s="666"/>
      <c r="B498" s="684"/>
      <c r="C498" s="666"/>
      <c r="D498" s="696" t="s">
        <v>987</v>
      </c>
      <c r="E498" s="691"/>
      <c r="F498" s="733"/>
      <c r="G498" s="691"/>
      <c r="H498" s="733"/>
      <c r="I498" s="666"/>
      <c r="J498" s="694"/>
      <c r="K498" s="691"/>
      <c r="L498" s="694"/>
      <c r="M498" s="691"/>
      <c r="N498" s="694"/>
      <c r="O498" s="666"/>
      <c r="P498" s="695"/>
      <c r="Q498" s="695"/>
      <c r="R498" s="666"/>
      <c r="S498" s="694"/>
      <c r="T498" s="666"/>
      <c r="U498" s="694"/>
      <c r="V498" s="666"/>
      <c r="W498" s="694"/>
      <c r="X498" s="685"/>
      <c r="Y498" s="666"/>
      <c r="Z498" s="694"/>
      <c r="AA498" s="691"/>
      <c r="AB498" s="694"/>
      <c r="AC498" s="691"/>
      <c r="AD498" s="694"/>
      <c r="AE498" s="666"/>
      <c r="AF498" s="695"/>
      <c r="AG498" s="695"/>
      <c r="AH498" s="666"/>
      <c r="AI498" s="694"/>
      <c r="AJ498" s="666"/>
      <c r="AK498" s="694"/>
      <c r="AL498" s="666"/>
      <c r="AM498" s="694"/>
      <c r="AN498" s="685"/>
      <c r="AO498" s="666"/>
    </row>
    <row r="499" spans="1:41" hidden="1" outlineLevel="1" collapsed="1">
      <c r="A499" s="698"/>
      <c r="B499" s="699">
        <v>1993</v>
      </c>
      <c r="C499" s="666"/>
      <c r="D499" s="700"/>
      <c r="E499" s="700"/>
      <c r="F499" s="700"/>
      <c r="G499" s="700"/>
      <c r="H499" s="700"/>
      <c r="I499" s="667"/>
      <c r="J499" s="667"/>
      <c r="K499" s="667"/>
      <c r="L499" s="667"/>
      <c r="M499" s="667"/>
      <c r="N499" s="667"/>
      <c r="O499" s="667"/>
      <c r="P499" s="702"/>
      <c r="Q499" s="702"/>
      <c r="R499" s="667"/>
      <c r="S499" s="667"/>
      <c r="T499" s="667"/>
      <c r="U499" s="667"/>
      <c r="V499" s="666"/>
      <c r="W499" s="666"/>
      <c r="X499" s="685"/>
      <c r="Y499" s="666"/>
      <c r="Z499" s="676"/>
      <c r="AA499" s="666"/>
      <c r="AB499" s="679"/>
      <c r="AC499" s="666"/>
      <c r="AD499" s="667"/>
      <c r="AE499" s="666"/>
      <c r="AF499" s="703"/>
      <c r="AG499" s="668"/>
      <c r="AH499" s="666"/>
      <c r="AI499" s="666"/>
      <c r="AJ499" s="666"/>
      <c r="AK499" s="666"/>
      <c r="AL499" s="666"/>
      <c r="AM499" s="666"/>
      <c r="AN499" s="685"/>
      <c r="AO499" s="666"/>
    </row>
    <row r="500" spans="1:41" hidden="1" outlineLevel="1">
      <c r="A500" s="666" t="str">
        <f>$A$26</f>
        <v>1Q</v>
      </c>
      <c r="B500" s="684" t="str">
        <f>$B$26</f>
        <v>Apr</v>
      </c>
      <c r="C500" s="666"/>
      <c r="D500" s="700"/>
      <c r="E500" s="700"/>
      <c r="F500" s="700"/>
      <c r="G500" s="700"/>
      <c r="H500" s="700"/>
      <c r="I500" s="704"/>
      <c r="J500" s="705">
        <f>+'store&amp;sf'!N35</f>
        <v>644</v>
      </c>
      <c r="K500" s="667"/>
      <c r="L500" s="743">
        <f>AVERAGE(J500,640)</f>
        <v>642</v>
      </c>
      <c r="M500" s="667"/>
      <c r="N500" s="700"/>
      <c r="O500" s="704"/>
      <c r="P500" s="703"/>
      <c r="Q500" s="702"/>
      <c r="R500" s="667"/>
      <c r="S500" s="726"/>
      <c r="T500" s="667"/>
      <c r="U500" s="707"/>
      <c r="V500" s="666"/>
      <c r="W500" s="708"/>
      <c r="X500" s="685"/>
      <c r="Y500" s="666"/>
      <c r="Z500" s="678">
        <f>+'store&amp;sf'!N399</f>
        <v>4.3937499999999998</v>
      </c>
      <c r="AA500" s="666"/>
      <c r="AB500" s="744">
        <f>AVERAGE(Z500,4.63)</f>
        <v>4.5118749999999999</v>
      </c>
      <c r="AC500" s="666"/>
      <c r="AD500" s="700"/>
      <c r="AE500" s="685"/>
      <c r="AF500" s="703"/>
      <c r="AG500" s="668"/>
      <c r="AH500" s="666"/>
      <c r="AI500" s="673"/>
      <c r="AJ500" s="666"/>
      <c r="AK500" s="711"/>
      <c r="AL500" s="666"/>
      <c r="AM500" s="677"/>
      <c r="AN500" s="685"/>
      <c r="AO500" s="666"/>
    </row>
    <row r="501" spans="1:41" hidden="1" outlineLevel="1">
      <c r="A501" s="666" t="str">
        <f>$A$27</f>
        <v>2Q</v>
      </c>
      <c r="B501" s="684" t="str">
        <f>$B$27</f>
        <v>Jul</v>
      </c>
      <c r="C501" s="666"/>
      <c r="D501" s="700"/>
      <c r="E501" s="700"/>
      <c r="F501" s="700"/>
      <c r="G501" s="700"/>
      <c r="H501" s="700"/>
      <c r="I501" s="704"/>
      <c r="J501" s="705">
        <f>+'store&amp;sf'!N36</f>
        <v>650</v>
      </c>
      <c r="K501" s="667"/>
      <c r="L501" s="706">
        <f>AVERAGE(J501,J500)</f>
        <v>647</v>
      </c>
      <c r="M501" s="667"/>
      <c r="N501" s="700"/>
      <c r="O501" s="704"/>
      <c r="P501" s="703"/>
      <c r="Q501" s="702"/>
      <c r="R501" s="667"/>
      <c r="S501" s="712"/>
      <c r="T501" s="667"/>
      <c r="U501" s="713"/>
      <c r="V501" s="666"/>
      <c r="W501" s="708"/>
      <c r="X501" s="685"/>
      <c r="Y501" s="666"/>
      <c r="Z501" s="678">
        <f>+'store&amp;sf'!N400</f>
        <v>4.5112499999999995</v>
      </c>
      <c r="AA501" s="666"/>
      <c r="AB501" s="710">
        <f>AVERAGE(Z501,Z500)</f>
        <v>4.4524999999999997</v>
      </c>
      <c r="AC501" s="666"/>
      <c r="AD501" s="700"/>
      <c r="AE501" s="685"/>
      <c r="AF501" s="703"/>
      <c r="AG501" s="668"/>
      <c r="AH501" s="666"/>
      <c r="AI501" s="675"/>
      <c r="AJ501" s="666"/>
      <c r="AK501" s="714"/>
      <c r="AL501" s="666"/>
      <c r="AM501" s="708"/>
      <c r="AN501" s="685"/>
      <c r="AO501" s="666"/>
    </row>
    <row r="502" spans="1:41" hidden="1" outlineLevel="1">
      <c r="A502" s="666" t="str">
        <f>$A$28</f>
        <v>3Q</v>
      </c>
      <c r="B502" s="684" t="str">
        <f>$B$28</f>
        <v>Oct</v>
      </c>
      <c r="C502" s="666"/>
      <c r="D502" s="700"/>
      <c r="E502" s="700"/>
      <c r="F502" s="700"/>
      <c r="G502" s="700"/>
      <c r="H502" s="700"/>
      <c r="I502" s="704"/>
      <c r="J502" s="705">
        <f>+'store&amp;sf'!N37</f>
        <v>664</v>
      </c>
      <c r="K502" s="667"/>
      <c r="L502" s="706">
        <f>AVERAGE(J502,J501)</f>
        <v>657</v>
      </c>
      <c r="M502" s="667"/>
      <c r="N502" s="700"/>
      <c r="O502" s="704"/>
      <c r="P502" s="703"/>
      <c r="Q502" s="702"/>
      <c r="R502" s="667"/>
      <c r="S502" s="712"/>
      <c r="T502" s="667"/>
      <c r="U502" s="713"/>
      <c r="V502" s="666"/>
      <c r="W502" s="708"/>
      <c r="X502" s="685"/>
      <c r="Y502" s="666"/>
      <c r="Z502" s="678">
        <f>+'store&amp;sf'!N401</f>
        <v>4.74125</v>
      </c>
      <c r="AA502" s="666"/>
      <c r="AB502" s="710">
        <f>AVERAGE(Z502,Z501)</f>
        <v>4.6262499999999998</v>
      </c>
      <c r="AC502" s="666"/>
      <c r="AD502" s="700"/>
      <c r="AE502" s="685"/>
      <c r="AF502" s="703"/>
      <c r="AG502" s="668"/>
      <c r="AH502" s="666"/>
      <c r="AI502" s="675"/>
      <c r="AJ502" s="666"/>
      <c r="AK502" s="714"/>
      <c r="AL502" s="666"/>
      <c r="AM502" s="708"/>
      <c r="AN502" s="685"/>
      <c r="AO502" s="666"/>
    </row>
    <row r="503" spans="1:41" hidden="1" outlineLevel="1">
      <c r="A503" s="666" t="str">
        <f>$A$29</f>
        <v>4Q</v>
      </c>
      <c r="B503" s="684" t="str">
        <f>$B$29</f>
        <v>Jan</v>
      </c>
      <c r="C503" s="666"/>
      <c r="D503" s="715"/>
      <c r="E503" s="700"/>
      <c r="F503" s="715"/>
      <c r="G503" s="700"/>
      <c r="H503" s="715"/>
      <c r="I503" s="704"/>
      <c r="J503" s="705">
        <f>+'store&amp;sf'!N38</f>
        <v>673</v>
      </c>
      <c r="K503" s="667"/>
      <c r="L503" s="716">
        <f>AVERAGE(J503,J502)</f>
        <v>668.5</v>
      </c>
      <c r="M503" s="667"/>
      <c r="N503" s="715"/>
      <c r="O503" s="704"/>
      <c r="P503" s="717"/>
      <c r="Q503" s="702"/>
      <c r="R503" s="667"/>
      <c r="S503" s="718"/>
      <c r="T503" s="667"/>
      <c r="U503" s="719"/>
      <c r="V503" s="666"/>
      <c r="W503" s="720"/>
      <c r="X503" s="685"/>
      <c r="Y503" s="666"/>
      <c r="Z503" s="678">
        <f>+'store&amp;sf'!N402</f>
        <v>4.8774999999999995</v>
      </c>
      <c r="AA503" s="666"/>
      <c r="AB503" s="721">
        <f>AVERAGE(Z503,Z502)</f>
        <v>4.8093749999999993</v>
      </c>
      <c r="AC503" s="666"/>
      <c r="AD503" s="715"/>
      <c r="AE503" s="685"/>
      <c r="AF503" s="717"/>
      <c r="AG503" s="668"/>
      <c r="AH503" s="666"/>
      <c r="AI503" s="722"/>
      <c r="AJ503" s="666"/>
      <c r="AK503" s="723"/>
      <c r="AL503" s="666"/>
      <c r="AM503" s="720"/>
      <c r="AN503" s="685"/>
      <c r="AO503" s="666"/>
    </row>
    <row r="504" spans="1:41" hidden="1" outlineLevel="1">
      <c r="A504" s="666"/>
      <c r="B504" s="684" t="str">
        <f>$B$30</f>
        <v>Year</v>
      </c>
      <c r="C504" s="666"/>
      <c r="D504" s="700"/>
      <c r="E504" s="700"/>
      <c r="F504" s="700"/>
      <c r="G504" s="700"/>
      <c r="H504" s="700"/>
      <c r="I504" s="704"/>
      <c r="J504" s="724"/>
      <c r="K504" s="667"/>
      <c r="L504" s="725">
        <f>AVERAGE(L500:L503)</f>
        <v>653.625</v>
      </c>
      <c r="M504" s="667"/>
      <c r="N504" s="700"/>
      <c r="O504" s="704"/>
      <c r="P504" s="703"/>
      <c r="Q504" s="702"/>
      <c r="R504" s="667"/>
      <c r="S504" s="726"/>
      <c r="T504" s="667"/>
      <c r="U504" s="707"/>
      <c r="V504" s="666"/>
      <c r="W504" s="708"/>
      <c r="X504" s="685"/>
      <c r="Y504" s="666"/>
      <c r="Z504" s="727"/>
      <c r="AA504" s="666"/>
      <c r="AB504" s="710">
        <f>AVERAGE(AB500:AB503)</f>
        <v>4.5999999999999996</v>
      </c>
      <c r="AC504" s="666"/>
      <c r="AD504" s="700"/>
      <c r="AE504" s="685"/>
      <c r="AF504" s="703"/>
      <c r="AG504" s="668"/>
      <c r="AH504" s="666"/>
      <c r="AI504" s="673"/>
      <c r="AJ504" s="666"/>
      <c r="AK504" s="711"/>
      <c r="AL504" s="666"/>
      <c r="AM504" s="708"/>
      <c r="AN504" s="685"/>
      <c r="AO504" s="666"/>
    </row>
    <row r="505" spans="1:41" hidden="1" outlineLevel="1">
      <c r="A505" s="666"/>
      <c r="B505" s="684"/>
      <c r="C505" s="666"/>
      <c r="D505" s="700"/>
      <c r="E505" s="700"/>
      <c r="F505" s="700"/>
      <c r="G505" s="700"/>
      <c r="H505" s="700"/>
      <c r="I505" s="704"/>
      <c r="J505" s="724"/>
      <c r="K505" s="667"/>
      <c r="L505" s="667"/>
      <c r="M505" s="667"/>
      <c r="N505" s="667"/>
      <c r="O505" s="704"/>
      <c r="P505" s="702"/>
      <c r="Q505" s="702"/>
      <c r="R505" s="667"/>
      <c r="S505" s="667"/>
      <c r="T505" s="667"/>
      <c r="U505" s="667"/>
      <c r="V505" s="666"/>
      <c r="W505" s="666"/>
      <c r="X505" s="685"/>
      <c r="Y505" s="666"/>
      <c r="Z505" s="727"/>
      <c r="AA505" s="666"/>
      <c r="AB505" s="679"/>
      <c r="AC505" s="666"/>
      <c r="AD505" s="667"/>
      <c r="AE505" s="685"/>
      <c r="AF505" s="703"/>
      <c r="AG505" s="668"/>
      <c r="AH505" s="666"/>
      <c r="AI505" s="666"/>
      <c r="AJ505" s="666"/>
      <c r="AK505" s="666"/>
      <c r="AL505" s="666"/>
      <c r="AM505" s="666"/>
      <c r="AN505" s="685"/>
      <c r="AO505" s="666"/>
    </row>
    <row r="506" spans="1:41" hidden="1" outlineLevel="1">
      <c r="A506" s="729"/>
      <c r="B506" s="728">
        <f>+B499+1</f>
        <v>1994</v>
      </c>
      <c r="C506" s="666"/>
      <c r="D506" s="700"/>
      <c r="E506" s="700"/>
      <c r="F506" s="700"/>
      <c r="G506" s="700"/>
      <c r="H506" s="700"/>
      <c r="I506" s="667"/>
      <c r="J506" s="667"/>
      <c r="K506" s="667"/>
      <c r="L506" s="667"/>
      <c r="M506" s="667"/>
      <c r="N506" s="667"/>
      <c r="O506" s="667"/>
      <c r="P506" s="702"/>
      <c r="Q506" s="702"/>
      <c r="R506" s="667"/>
      <c r="S506" s="667"/>
      <c r="T506" s="667"/>
      <c r="U506" s="667"/>
      <c r="V506" s="666"/>
      <c r="W506" s="666"/>
      <c r="X506" s="685"/>
      <c r="Y506" s="666"/>
      <c r="Z506" s="676"/>
      <c r="AA506" s="666"/>
      <c r="AB506" s="679"/>
      <c r="AC506" s="666"/>
      <c r="AD506" s="667"/>
      <c r="AE506" s="666"/>
      <c r="AF506" s="703"/>
      <c r="AG506" s="668"/>
      <c r="AH506" s="666"/>
      <c r="AI506" s="666"/>
      <c r="AJ506" s="666"/>
      <c r="AK506" s="666"/>
      <c r="AL506" s="666"/>
      <c r="AM506" s="666"/>
      <c r="AN506" s="685"/>
      <c r="AO506" s="666"/>
    </row>
    <row r="507" spans="1:41" hidden="1" outlineLevel="1">
      <c r="A507" s="666" t="s">
        <v>119</v>
      </c>
      <c r="B507" s="684" t="s">
        <v>830</v>
      </c>
      <c r="C507" s="666"/>
      <c r="D507" s="700"/>
      <c r="E507" s="700"/>
      <c r="F507" s="703">
        <v>-9.6002953937044211</v>
      </c>
      <c r="G507" s="701" t="s">
        <v>1084</v>
      </c>
      <c r="H507" s="700"/>
      <c r="I507" s="704"/>
      <c r="J507" s="705">
        <f>+'store&amp;sf'!N41</f>
        <v>682</v>
      </c>
      <c r="K507" s="667"/>
      <c r="L507" s="706">
        <f>AVERAGE(J507,J503)</f>
        <v>677.5</v>
      </c>
      <c r="M507" s="667"/>
      <c r="N507" s="700">
        <f>(L507/L500-1)*100</f>
        <v>5.5295950155763274</v>
      </c>
      <c r="O507" s="704" t="s">
        <v>1084</v>
      </c>
      <c r="P507" s="703"/>
      <c r="Q507" s="702"/>
      <c r="R507" s="667"/>
      <c r="S507" s="726">
        <f>+'segSales&amp;OM'!AJ24</f>
        <v>265</v>
      </c>
      <c r="T507" s="667"/>
      <c r="U507" s="707">
        <f>S507/L507</f>
        <v>0.39114391143911437</v>
      </c>
      <c r="V507" s="666"/>
      <c r="W507" s="708"/>
      <c r="X507" s="685"/>
      <c r="Y507" s="666"/>
      <c r="Z507" s="678">
        <f>+'store&amp;sf'!N405</f>
        <v>4.9812499999999993</v>
      </c>
      <c r="AA507" s="666"/>
      <c r="AB507" s="710">
        <f>AVERAGE(Z507,Z503)</f>
        <v>4.9293749999999994</v>
      </c>
      <c r="AC507" s="666"/>
      <c r="AD507" s="700">
        <f>(AB507/AB500-1)*100</f>
        <v>9.2533591910236801</v>
      </c>
      <c r="AE507" s="685" t="s">
        <v>1084</v>
      </c>
      <c r="AF507" s="703"/>
      <c r="AG507" s="668"/>
      <c r="AH507" s="666"/>
      <c r="AI507" s="673">
        <f>+S507</f>
        <v>265</v>
      </c>
      <c r="AJ507" s="666"/>
      <c r="AK507" s="711">
        <f>AI507/AB507</f>
        <v>53.759350830480543</v>
      </c>
      <c r="AL507" s="666"/>
      <c r="AM507" s="677"/>
      <c r="AN507" s="685"/>
      <c r="AO507" s="666"/>
    </row>
    <row r="508" spans="1:41" hidden="1" outlineLevel="1">
      <c r="A508" s="666" t="s">
        <v>120</v>
      </c>
      <c r="B508" s="684" t="s">
        <v>653</v>
      </c>
      <c r="C508" s="666"/>
      <c r="D508" s="700"/>
      <c r="E508" s="700"/>
      <c r="F508" s="703">
        <v>-19.43843626947956</v>
      </c>
      <c r="G508" s="700"/>
      <c r="H508" s="700"/>
      <c r="I508" s="704"/>
      <c r="J508" s="705">
        <f>+'store&amp;sf'!N42</f>
        <v>690</v>
      </c>
      <c r="K508" s="667"/>
      <c r="L508" s="706">
        <f>AVERAGE(J508,J507)</f>
        <v>686</v>
      </c>
      <c r="M508" s="667"/>
      <c r="N508" s="700">
        <f>(L508/L501-1)*100</f>
        <v>6.0278207109737192</v>
      </c>
      <c r="O508" s="704"/>
      <c r="P508" s="703"/>
      <c r="Q508" s="702"/>
      <c r="R508" s="667"/>
      <c r="S508" s="712">
        <f>+'segSales&amp;OM'!AJ25</f>
        <v>286</v>
      </c>
      <c r="T508" s="667"/>
      <c r="U508" s="713">
        <f>S508/L508</f>
        <v>0.41690962099125367</v>
      </c>
      <c r="V508" s="666"/>
      <c r="W508" s="708"/>
      <c r="X508" s="685"/>
      <c r="Y508" s="666"/>
      <c r="Z508" s="678">
        <f>+'store&amp;sf'!N406</f>
        <v>5.1124999999999998</v>
      </c>
      <c r="AA508" s="666"/>
      <c r="AB508" s="710">
        <f>AVERAGE(Z508,Z507)</f>
        <v>5.046875</v>
      </c>
      <c r="AC508" s="666"/>
      <c r="AD508" s="700">
        <f>(AB508/AB501-1)*100</f>
        <v>13.349241998877037</v>
      </c>
      <c r="AE508" s="685"/>
      <c r="AF508" s="703"/>
      <c r="AG508" s="668"/>
      <c r="AH508" s="666"/>
      <c r="AI508" s="675">
        <f>+S508</f>
        <v>286</v>
      </c>
      <c r="AJ508" s="666"/>
      <c r="AK508" s="714">
        <f>AI508/AB508</f>
        <v>56.668730650154799</v>
      </c>
      <c r="AL508" s="666"/>
      <c r="AM508" s="708"/>
      <c r="AN508" s="685"/>
      <c r="AO508" s="666"/>
    </row>
    <row r="509" spans="1:41" hidden="1" outlineLevel="1">
      <c r="A509" s="666" t="s">
        <v>1018</v>
      </c>
      <c r="B509" s="684" t="s">
        <v>598</v>
      </c>
      <c r="C509" s="666"/>
      <c r="D509" s="700"/>
      <c r="E509" s="700"/>
      <c r="F509" s="703">
        <v>-5.7133893293866489</v>
      </c>
      <c r="G509" s="700"/>
      <c r="H509" s="700"/>
      <c r="I509" s="704"/>
      <c r="J509" s="705">
        <f>+'store&amp;sf'!N43</f>
        <v>703</v>
      </c>
      <c r="K509" s="667"/>
      <c r="L509" s="706">
        <f>AVERAGE(J509,J508)</f>
        <v>696.5</v>
      </c>
      <c r="M509" s="667"/>
      <c r="N509" s="700">
        <f>(L509/L502-1)*100</f>
        <v>6.0121765601217625</v>
      </c>
      <c r="O509" s="704"/>
      <c r="P509" s="703"/>
      <c r="Q509" s="702"/>
      <c r="R509" s="667"/>
      <c r="S509" s="712">
        <f>+'segSales&amp;OM'!AJ26</f>
        <v>352</v>
      </c>
      <c r="T509" s="667"/>
      <c r="U509" s="713">
        <f>S509/L509</f>
        <v>0.50538406317300788</v>
      </c>
      <c r="V509" s="666"/>
      <c r="W509" s="708"/>
      <c r="X509" s="685"/>
      <c r="Y509" s="666"/>
      <c r="Z509" s="678">
        <f>+'store&amp;sf'!N407</f>
        <v>5.2737499999999997</v>
      </c>
      <c r="AA509" s="666"/>
      <c r="AB509" s="710">
        <f>AVERAGE(Z509,Z508)</f>
        <v>5.1931250000000002</v>
      </c>
      <c r="AC509" s="666"/>
      <c r="AD509" s="700">
        <f>(AB509/AB502-1)*100</f>
        <v>12.253445014860853</v>
      </c>
      <c r="AE509" s="685"/>
      <c r="AF509" s="703"/>
      <c r="AG509" s="668"/>
      <c r="AH509" s="666"/>
      <c r="AI509" s="675">
        <f>+S509</f>
        <v>352</v>
      </c>
      <c r="AJ509" s="666"/>
      <c r="AK509" s="714">
        <f>AI509/AB509</f>
        <v>67.781923215790101</v>
      </c>
      <c r="AL509" s="666"/>
      <c r="AM509" s="708"/>
      <c r="AN509" s="685"/>
      <c r="AO509" s="666"/>
    </row>
    <row r="510" spans="1:41" hidden="1" outlineLevel="1">
      <c r="A510" s="666" t="s">
        <v>1019</v>
      </c>
      <c r="B510" s="684" t="s">
        <v>601</v>
      </c>
      <c r="C510" s="666"/>
      <c r="D510" s="715"/>
      <c r="E510" s="700"/>
      <c r="F510" s="717">
        <v>-2.6219692007500055</v>
      </c>
      <c r="G510" s="700"/>
      <c r="H510" s="715"/>
      <c r="I510" s="704"/>
      <c r="J510" s="705">
        <f>+'store&amp;sf'!N44</f>
        <v>716</v>
      </c>
      <c r="K510" s="667"/>
      <c r="L510" s="716">
        <f>AVERAGE(J510,J509)</f>
        <v>709.5</v>
      </c>
      <c r="M510" s="667"/>
      <c r="N510" s="715">
        <f>(L510/L503-1)*100</f>
        <v>6.1331338818249703</v>
      </c>
      <c r="O510" s="704"/>
      <c r="P510" s="717"/>
      <c r="Q510" s="702"/>
      <c r="R510" s="667"/>
      <c r="S510" s="718">
        <f>+'segSales&amp;OM'!AJ27</f>
        <v>484</v>
      </c>
      <c r="T510" s="667"/>
      <c r="U510" s="719">
        <f>S510/L510</f>
        <v>0.68217054263565891</v>
      </c>
      <c r="V510" s="666"/>
      <c r="W510" s="720"/>
      <c r="X510" s="685"/>
      <c r="Y510" s="666"/>
      <c r="Z510" s="678">
        <f>+'store&amp;sf'!N408</f>
        <v>5.44625</v>
      </c>
      <c r="AA510" s="666"/>
      <c r="AB510" s="721">
        <f>AVERAGE(Z510,Z509)</f>
        <v>5.3599999999999994</v>
      </c>
      <c r="AC510" s="666"/>
      <c r="AD510" s="715">
        <f>(AB510/AB503-1)*100</f>
        <v>11.448992852501627</v>
      </c>
      <c r="AE510" s="685"/>
      <c r="AF510" s="717"/>
      <c r="AG510" s="668"/>
      <c r="AH510" s="666"/>
      <c r="AI510" s="722">
        <f>+S510</f>
        <v>484</v>
      </c>
      <c r="AJ510" s="666"/>
      <c r="AK510" s="723">
        <f>AI510/AB510</f>
        <v>90.298507462686572</v>
      </c>
      <c r="AL510" s="666"/>
      <c r="AM510" s="720"/>
      <c r="AN510" s="685"/>
      <c r="AO510" s="666"/>
    </row>
    <row r="511" spans="1:41" hidden="1" outlineLevel="1">
      <c r="A511" s="666"/>
      <c r="B511" s="684" t="s">
        <v>1020</v>
      </c>
      <c r="C511" s="666"/>
      <c r="D511" s="700"/>
      <c r="E511" s="700"/>
      <c r="F511" s="703">
        <v>-8.6746848194893893</v>
      </c>
      <c r="G511" s="700"/>
      <c r="H511" s="700"/>
      <c r="I511" s="704"/>
      <c r="J511" s="724"/>
      <c r="K511" s="667"/>
      <c r="L511" s="725">
        <f>AVERAGE(L507:L510)</f>
        <v>692.375</v>
      </c>
      <c r="M511" s="667"/>
      <c r="N511" s="700">
        <f>(L511/L504-1)*100</f>
        <v>5.9284758079938715</v>
      </c>
      <c r="O511" s="704"/>
      <c r="P511" s="703"/>
      <c r="Q511" s="702"/>
      <c r="R511" s="667"/>
      <c r="S511" s="726">
        <f>SUM(S507:S510)</f>
        <v>1387</v>
      </c>
      <c r="T511" s="667"/>
      <c r="U511" s="707">
        <f>SUM(U507:U510)</f>
        <v>1.9956081382390347</v>
      </c>
      <c r="V511" s="666"/>
      <c r="W511" s="708"/>
      <c r="X511" s="685"/>
      <c r="Y511" s="666"/>
      <c r="Z511" s="727"/>
      <c r="AA511" s="666"/>
      <c r="AB511" s="710">
        <f>AVERAGE(AB507:AB510)</f>
        <v>5.1323437500000004</v>
      </c>
      <c r="AC511" s="666"/>
      <c r="AD511" s="700">
        <f>(AB511/AB504-1)*100</f>
        <v>11.572690217391312</v>
      </c>
      <c r="AE511" s="685"/>
      <c r="AF511" s="703"/>
      <c r="AG511" s="668"/>
      <c r="AH511" s="666"/>
      <c r="AI511" s="673">
        <f>SUM(AI507:AI510)</f>
        <v>1387</v>
      </c>
      <c r="AJ511" s="666"/>
      <c r="AK511" s="711">
        <f>SUM(AK507:AK510)</f>
        <v>268.508512159112</v>
      </c>
      <c r="AL511" s="666"/>
      <c r="AM511" s="708"/>
      <c r="AN511" s="685"/>
      <c r="AO511" s="666"/>
    </row>
    <row r="512" spans="1:41" hidden="1" outlineLevel="1">
      <c r="A512" s="666"/>
      <c r="B512" s="684"/>
      <c r="C512" s="666"/>
      <c r="D512" s="700"/>
      <c r="E512" s="700"/>
      <c r="F512" s="700"/>
      <c r="G512" s="700"/>
      <c r="H512" s="700"/>
      <c r="I512" s="667"/>
      <c r="J512" s="667"/>
      <c r="K512" s="667"/>
      <c r="L512" s="667"/>
      <c r="M512" s="667"/>
      <c r="N512" s="667"/>
      <c r="O512" s="667"/>
      <c r="P512" s="702"/>
      <c r="Q512" s="702"/>
      <c r="R512" s="667"/>
      <c r="S512" s="667"/>
      <c r="T512" s="667"/>
      <c r="U512" s="667"/>
      <c r="V512" s="666"/>
      <c r="W512" s="666"/>
      <c r="X512" s="685"/>
      <c r="Y512" s="666"/>
      <c r="Z512" s="676"/>
      <c r="AA512" s="666"/>
      <c r="AB512" s="679"/>
      <c r="AC512" s="666"/>
      <c r="AD512" s="667"/>
      <c r="AE512" s="666"/>
      <c r="AF512" s="703"/>
      <c r="AG512" s="668"/>
      <c r="AH512" s="666"/>
      <c r="AI512" s="666"/>
      <c r="AJ512" s="666"/>
      <c r="AK512" s="666"/>
      <c r="AL512" s="666"/>
      <c r="AM512" s="666"/>
      <c r="AN512" s="685"/>
      <c r="AO512" s="666"/>
    </row>
    <row r="513" spans="1:41" hidden="1" outlineLevel="1">
      <c r="A513" s="698"/>
      <c r="B513" s="728">
        <f>B506+1</f>
        <v>1995</v>
      </c>
      <c r="C513" s="666"/>
      <c r="D513" s="700"/>
      <c r="E513" s="700"/>
      <c r="F513" s="700"/>
      <c r="G513" s="700"/>
      <c r="H513" s="700"/>
      <c r="I513" s="667"/>
      <c r="J513" s="667"/>
      <c r="K513" s="667"/>
      <c r="L513" s="667"/>
      <c r="M513" s="667"/>
      <c r="N513" s="667"/>
      <c r="O513" s="667"/>
      <c r="P513" s="702"/>
      <c r="Q513" s="702"/>
      <c r="R513" s="667"/>
      <c r="S513" s="667"/>
      <c r="T513" s="667"/>
      <c r="U513" s="667"/>
      <c r="V513" s="666"/>
      <c r="W513" s="666"/>
      <c r="X513" s="685"/>
      <c r="Y513" s="666"/>
      <c r="Z513" s="676"/>
      <c r="AA513" s="666"/>
      <c r="AB513" s="679"/>
      <c r="AC513" s="666"/>
      <c r="AD513" s="667"/>
      <c r="AE513" s="666"/>
      <c r="AF513" s="703"/>
      <c r="AG513" s="668"/>
      <c r="AH513" s="666"/>
      <c r="AI513" s="666"/>
      <c r="AJ513" s="666"/>
      <c r="AK513" s="666"/>
      <c r="AL513" s="666"/>
      <c r="AM513" s="666"/>
      <c r="AN513" s="685"/>
      <c r="AO513" s="666"/>
    </row>
    <row r="514" spans="1:41" hidden="1" outlineLevel="1">
      <c r="A514" s="666" t="str">
        <f>$A$26</f>
        <v>1Q</v>
      </c>
      <c r="B514" s="684" t="str">
        <f>$B$26</f>
        <v>Apr</v>
      </c>
      <c r="C514" s="666"/>
      <c r="D514" s="700">
        <f>(S514/S507-1)*100</f>
        <v>14.716981132075468</v>
      </c>
      <c r="E514" s="700" t="s">
        <v>1084</v>
      </c>
      <c r="F514" s="703">
        <v>7.5034706802533293</v>
      </c>
      <c r="G514" s="700" t="s">
        <v>1084</v>
      </c>
      <c r="H514" s="700">
        <f>D514-F514</f>
        <v>7.2135104518221382</v>
      </c>
      <c r="I514" s="704" t="s">
        <v>1084</v>
      </c>
      <c r="J514" s="705">
        <f>+'store&amp;sf'!N47</f>
        <v>720</v>
      </c>
      <c r="K514" s="667"/>
      <c r="L514" s="706">
        <f>AVERAGE(J514,J510)</f>
        <v>718</v>
      </c>
      <c r="M514" s="667"/>
      <c r="N514" s="700">
        <f>(L514/L507-1)*100</f>
        <v>5.9778597785977938</v>
      </c>
      <c r="O514" s="704" t="s">
        <v>1084</v>
      </c>
      <c r="P514" s="703">
        <f>H514/N514*100</f>
        <v>120.67045261998746</v>
      </c>
      <c r="Q514" s="702" t="s">
        <v>1084</v>
      </c>
      <c r="R514" s="667"/>
      <c r="S514" s="726">
        <f>+'segSales&amp;OM'!AJ31</f>
        <v>304</v>
      </c>
      <c r="T514" s="667"/>
      <c r="U514" s="707">
        <f>S514/L514</f>
        <v>0.42339832869080779</v>
      </c>
      <c r="V514" s="666"/>
      <c r="W514" s="708">
        <f>(U514/U507-1)*100</f>
        <v>8.2461764860461528</v>
      </c>
      <c r="X514" s="685" t="s">
        <v>1084</v>
      </c>
      <c r="Y514" s="666"/>
      <c r="Z514" s="678">
        <f>+'store&amp;sf'!N411</f>
        <v>5.5012499999999998</v>
      </c>
      <c r="AA514" s="666"/>
      <c r="AB514" s="710">
        <f>AVERAGE(Z514,Z510)</f>
        <v>5.4737499999999999</v>
      </c>
      <c r="AC514" s="666"/>
      <c r="AD514" s="700">
        <f>(AB514/AB507-1)*100</f>
        <v>11.043489286167119</v>
      </c>
      <c r="AE514" s="685" t="s">
        <v>1084</v>
      </c>
      <c r="AF514" s="703">
        <f>+H514/AD514*100</f>
        <v>65.319123919082841</v>
      </c>
      <c r="AG514" s="668" t="s">
        <v>1084</v>
      </c>
      <c r="AH514" s="666"/>
      <c r="AI514" s="673">
        <f>+S514</f>
        <v>304</v>
      </c>
      <c r="AJ514" s="666"/>
      <c r="AK514" s="711">
        <f>AI514/AB514</f>
        <v>55.537794016898836</v>
      </c>
      <c r="AL514" s="666"/>
      <c r="AM514" s="708">
        <f>(AK514/AK507-1)*100</f>
        <v>3.3081559932266691</v>
      </c>
      <c r="AN514" s="685" t="s">
        <v>1084</v>
      </c>
      <c r="AO514" s="666"/>
    </row>
    <row r="515" spans="1:41" hidden="1" outlineLevel="1">
      <c r="A515" s="666" t="str">
        <f>$A$27</f>
        <v>2Q</v>
      </c>
      <c r="B515" s="684" t="str">
        <f>$B$27</f>
        <v>Jul</v>
      </c>
      <c r="C515" s="666"/>
      <c r="D515" s="700">
        <f>(S515/S508-1)*100</f>
        <v>9.4405594405594364</v>
      </c>
      <c r="E515" s="700"/>
      <c r="F515" s="703">
        <v>3.1199176233964994</v>
      </c>
      <c r="G515" s="700"/>
      <c r="H515" s="700">
        <f>D515-F515</f>
        <v>6.3206418171629366</v>
      </c>
      <c r="I515" s="704"/>
      <c r="J515" s="705">
        <f>+'store&amp;sf'!N48</f>
        <v>722</v>
      </c>
      <c r="K515" s="667"/>
      <c r="L515" s="706">
        <f>AVERAGE(J515,J514)</f>
        <v>721</v>
      </c>
      <c r="M515" s="667"/>
      <c r="N515" s="700">
        <f>(L515/L508-1)*100</f>
        <v>5.1020408163265252</v>
      </c>
      <c r="O515" s="704"/>
      <c r="P515" s="703">
        <f>H515/N515*100</f>
        <v>123.88457961639369</v>
      </c>
      <c r="Q515" s="702"/>
      <c r="R515" s="667"/>
      <c r="S515" s="712">
        <f>+'segSales&amp;OM'!AJ32</f>
        <v>313</v>
      </c>
      <c r="T515" s="667"/>
      <c r="U515" s="713">
        <f>S515/L515</f>
        <v>0.43411927877947293</v>
      </c>
      <c r="V515" s="666"/>
      <c r="W515" s="708">
        <f>(U515/U508-1)*100</f>
        <v>4.1279109240274225</v>
      </c>
      <c r="X515" s="685"/>
      <c r="Y515" s="666"/>
      <c r="Z515" s="678">
        <f>+'store&amp;sf'!N412</f>
        <v>5.5762499999999999</v>
      </c>
      <c r="AA515" s="666"/>
      <c r="AB515" s="710">
        <f>AVERAGE(Z515,Z514)</f>
        <v>5.5387500000000003</v>
      </c>
      <c r="AC515" s="666"/>
      <c r="AD515" s="700">
        <f>(AB515/AB508-1)*100</f>
        <v>9.7461300309597654</v>
      </c>
      <c r="AE515" s="685"/>
      <c r="AF515" s="703">
        <f>+H515/AD515*100</f>
        <v>64.852836942300698</v>
      </c>
      <c r="AG515" s="668"/>
      <c r="AH515" s="666"/>
      <c r="AI515" s="675">
        <f>+S515</f>
        <v>313</v>
      </c>
      <c r="AJ515" s="666"/>
      <c r="AK515" s="714">
        <f>AI515/AB515</f>
        <v>56.510945610471673</v>
      </c>
      <c r="AL515" s="666"/>
      <c r="AM515" s="708">
        <f>(AK515/AK508-1)*100</f>
        <v>-0.27843404620656598</v>
      </c>
      <c r="AN515" s="685"/>
      <c r="AO515" s="666"/>
    </row>
    <row r="516" spans="1:41" hidden="1" outlineLevel="1">
      <c r="A516" s="666" t="str">
        <f>$A$28</f>
        <v>3Q</v>
      </c>
      <c r="B516" s="684" t="str">
        <f>$B$28</f>
        <v>Oct</v>
      </c>
      <c r="C516" s="666"/>
      <c r="D516" s="700">
        <f>(S516/S509-1)*100</f>
        <v>2.2727272727272707</v>
      </c>
      <c r="E516" s="700"/>
      <c r="F516" s="703">
        <v>-3.2931766083012244</v>
      </c>
      <c r="G516" s="700"/>
      <c r="H516" s="700">
        <f>D516-F516</f>
        <v>5.5659038810284951</v>
      </c>
      <c r="I516" s="704"/>
      <c r="J516" s="705">
        <f>+'store&amp;sf'!N49</f>
        <v>734</v>
      </c>
      <c r="K516" s="667"/>
      <c r="L516" s="706">
        <f>AVERAGE(J516,J515)</f>
        <v>728</v>
      </c>
      <c r="M516" s="667"/>
      <c r="N516" s="700">
        <f>(L516/L509-1)*100</f>
        <v>4.5226130653266416</v>
      </c>
      <c r="O516" s="704"/>
      <c r="P516" s="703">
        <f>H516/N516*100</f>
        <v>123.06831914718539</v>
      </c>
      <c r="Q516" s="702"/>
      <c r="R516" s="667"/>
      <c r="S516" s="712">
        <f>+'segSales&amp;OM'!AJ33</f>
        <v>360</v>
      </c>
      <c r="T516" s="667"/>
      <c r="U516" s="713">
        <f>S516/L516</f>
        <v>0.49450549450549453</v>
      </c>
      <c r="V516" s="666"/>
      <c r="W516" s="708">
        <f>(U516/U509-1)*100</f>
        <v>-2.1525349650349579</v>
      </c>
      <c r="X516" s="685"/>
      <c r="Y516" s="666"/>
      <c r="Z516" s="678">
        <f>+'store&amp;sf'!N413</f>
        <v>5.6899999999999995</v>
      </c>
      <c r="AA516" s="666"/>
      <c r="AB516" s="710">
        <f>AVERAGE(Z516,Z515)</f>
        <v>5.6331249999999997</v>
      </c>
      <c r="AC516" s="666"/>
      <c r="AD516" s="700">
        <f>(AB516/AB509-1)*100</f>
        <v>8.4727404019737449</v>
      </c>
      <c r="AE516" s="685"/>
      <c r="AF516" s="703">
        <f>+H516/AD516*100</f>
        <v>65.691896800377648</v>
      </c>
      <c r="AG516" s="668"/>
      <c r="AH516" s="666"/>
      <c r="AI516" s="675">
        <f>+S516</f>
        <v>360</v>
      </c>
      <c r="AJ516" s="666"/>
      <c r="AK516" s="714">
        <f>AI516/AB516</f>
        <v>63.907688893820044</v>
      </c>
      <c r="AL516" s="666"/>
      <c r="AM516" s="708">
        <f>(AK516/AK509-1)*100</f>
        <v>-5.7157338390002144</v>
      </c>
      <c r="AN516" s="685"/>
      <c r="AO516" s="666"/>
    </row>
    <row r="517" spans="1:41" hidden="1" outlineLevel="1">
      <c r="A517" s="666" t="str">
        <f>$A$29</f>
        <v>4Q</v>
      </c>
      <c r="B517" s="684" t="str">
        <f>$B$29</f>
        <v>Jan</v>
      </c>
      <c r="C517" s="666"/>
      <c r="D517" s="715">
        <f>(S517/S510-1)*100</f>
        <v>-3.3057851239669422</v>
      </c>
      <c r="E517" s="700"/>
      <c r="F517" s="717">
        <v>-9.9451060301128713</v>
      </c>
      <c r="G517" s="700"/>
      <c r="H517" s="715">
        <f>D517-F517</f>
        <v>6.6393209061459295</v>
      </c>
      <c r="I517" s="704"/>
      <c r="J517" s="705">
        <f>+'store&amp;sf'!N50</f>
        <v>737</v>
      </c>
      <c r="K517" s="667"/>
      <c r="L517" s="716">
        <f>AVERAGE(J517,J516)</f>
        <v>735.5</v>
      </c>
      <c r="M517" s="667"/>
      <c r="N517" s="715">
        <f>(L517/L510-1)*100</f>
        <v>3.6645525017618086</v>
      </c>
      <c r="O517" s="704"/>
      <c r="P517" s="717">
        <f>H517/N517*100</f>
        <v>181.17685318886657</v>
      </c>
      <c r="Q517" s="702"/>
      <c r="R517" s="667"/>
      <c r="S517" s="718">
        <f>+'segSales&amp;OM'!AJ34</f>
        <v>468</v>
      </c>
      <c r="T517" s="667"/>
      <c r="U517" s="719">
        <f>S517/L517</f>
        <v>0.63630183548606389</v>
      </c>
      <c r="V517" s="666"/>
      <c r="W517" s="720">
        <f>(U517/U510-1)*100</f>
        <v>-6.7239354798838136</v>
      </c>
      <c r="X517" s="685"/>
      <c r="Y517" s="666"/>
      <c r="Z517" s="678">
        <f>+'store&amp;sf'!N414</f>
        <v>5.7349999999999994</v>
      </c>
      <c r="AA517" s="666"/>
      <c r="AB517" s="721">
        <f>AVERAGE(Z517,Z516)</f>
        <v>5.7124999999999995</v>
      </c>
      <c r="AC517" s="666"/>
      <c r="AD517" s="715">
        <f>(AB517/AB510-1)*100</f>
        <v>6.5764925373134275</v>
      </c>
      <c r="AE517" s="685"/>
      <c r="AF517" s="717">
        <f>+H517/AD517*100</f>
        <v>100.95534767926868</v>
      </c>
      <c r="AG517" s="668"/>
      <c r="AH517" s="666"/>
      <c r="AI517" s="722">
        <f>+S517</f>
        <v>468</v>
      </c>
      <c r="AJ517" s="666"/>
      <c r="AK517" s="723">
        <f>AI517/AB517</f>
        <v>81.92560175054706</v>
      </c>
      <c r="AL517" s="666"/>
      <c r="AM517" s="720">
        <f>(AK517/AK510-1)*100</f>
        <v>-9.2724740944354895</v>
      </c>
      <c r="AN517" s="685"/>
      <c r="AO517" s="666"/>
    </row>
    <row r="518" spans="1:41" hidden="1" outlineLevel="1">
      <c r="A518" s="666"/>
      <c r="B518" s="684" t="str">
        <f>$B$30</f>
        <v>Year</v>
      </c>
      <c r="C518" s="666"/>
      <c r="D518" s="700">
        <f>(S518/S511-1)*100</f>
        <v>4.1816870944484608</v>
      </c>
      <c r="E518" s="700"/>
      <c r="F518" s="703">
        <v>-2.0924864005927541</v>
      </c>
      <c r="G518" s="700"/>
      <c r="H518" s="700">
        <f>D518-F518</f>
        <v>6.2741734950412145</v>
      </c>
      <c r="I518" s="704"/>
      <c r="J518" s="724"/>
      <c r="K518" s="667"/>
      <c r="L518" s="725">
        <f>AVERAGE(L514:L517)</f>
        <v>725.625</v>
      </c>
      <c r="M518" s="667"/>
      <c r="N518" s="700">
        <f>(L518/L511-1)*100</f>
        <v>4.8023108864415853</v>
      </c>
      <c r="O518" s="704"/>
      <c r="P518" s="703">
        <f>H518/N518*100</f>
        <v>130.64904883095249</v>
      </c>
      <c r="Q518" s="702"/>
      <c r="R518" s="667"/>
      <c r="S518" s="726">
        <f>SUM(S514:S517)</f>
        <v>1445</v>
      </c>
      <c r="T518" s="667"/>
      <c r="U518" s="707">
        <f>SUM(U514:U517)</f>
        <v>1.9883249374618392</v>
      </c>
      <c r="V518" s="666"/>
      <c r="W518" s="708">
        <f>(U518/U511-1)*100</f>
        <v>-0.36496146901977555</v>
      </c>
      <c r="X518" s="685"/>
      <c r="Y518" s="666"/>
      <c r="Z518" s="676"/>
      <c r="AA518" s="666"/>
      <c r="AB518" s="710">
        <f>AVERAGE(AB514:AB517)</f>
        <v>5.5895312499999994</v>
      </c>
      <c r="AC518" s="666"/>
      <c r="AD518" s="700">
        <f>(AB518/AB511-1)*100</f>
        <v>8.907967242061666</v>
      </c>
      <c r="AE518" s="685"/>
      <c r="AF518" s="703">
        <f>+H518/AD518*100</f>
        <v>70.43327983308923</v>
      </c>
      <c r="AG518" s="668"/>
      <c r="AH518" s="666"/>
      <c r="AI518" s="673">
        <f>SUM(AI514:AI517)</f>
        <v>1445</v>
      </c>
      <c r="AJ518" s="666"/>
      <c r="AK518" s="711">
        <f>SUM(AK514:AK517)</f>
        <v>257.88203027173762</v>
      </c>
      <c r="AL518" s="666"/>
      <c r="AM518" s="708">
        <f>(AK518/AK511-1)*100</f>
        <v>-3.9575959070814792</v>
      </c>
      <c r="AN518" s="685"/>
      <c r="AO518" s="666"/>
    </row>
    <row r="519" spans="1:41" hidden="1" outlineLevel="1">
      <c r="A519" s="666"/>
      <c r="B519" s="684"/>
      <c r="C519" s="666"/>
      <c r="D519" s="700"/>
      <c r="E519" s="700"/>
      <c r="F519" s="700"/>
      <c r="G519" s="700"/>
      <c r="H519" s="700"/>
      <c r="I519" s="704"/>
      <c r="J519" s="724"/>
      <c r="K519" s="667"/>
      <c r="L519" s="667"/>
      <c r="M519" s="667"/>
      <c r="N519" s="667"/>
      <c r="O519" s="704"/>
      <c r="P519" s="702"/>
      <c r="Q519" s="702"/>
      <c r="R519" s="667"/>
      <c r="S519" s="667"/>
      <c r="T519" s="667"/>
      <c r="U519" s="667"/>
      <c r="V519" s="666"/>
      <c r="W519" s="666"/>
      <c r="X519" s="685"/>
      <c r="Y519" s="666"/>
      <c r="Z519" s="676"/>
      <c r="AA519" s="666"/>
      <c r="AB519" s="679"/>
      <c r="AC519" s="666"/>
      <c r="AD519" s="667"/>
      <c r="AE519" s="685"/>
      <c r="AF519" s="703"/>
      <c r="AG519" s="668"/>
      <c r="AH519" s="666"/>
      <c r="AI519" s="666"/>
      <c r="AJ519" s="666"/>
      <c r="AK519" s="666"/>
      <c r="AL519" s="666"/>
      <c r="AM519" s="666"/>
      <c r="AN519" s="685"/>
      <c r="AO519" s="666"/>
    </row>
    <row r="520" spans="1:41" hidden="1" outlineLevel="1">
      <c r="A520" s="698"/>
      <c r="B520" s="728">
        <f>B513+1</f>
        <v>1996</v>
      </c>
      <c r="C520" s="666"/>
      <c r="D520" s="700"/>
      <c r="E520" s="700"/>
      <c r="F520" s="700"/>
      <c r="G520" s="700"/>
      <c r="H520" s="700"/>
      <c r="I520" s="704"/>
      <c r="J520" s="724"/>
      <c r="K520" s="667"/>
      <c r="L520" s="667"/>
      <c r="M520" s="667"/>
      <c r="N520" s="667"/>
      <c r="O520" s="704"/>
      <c r="P520" s="702"/>
      <c r="Q520" s="702"/>
      <c r="R520" s="667"/>
      <c r="S520" s="667"/>
      <c r="T520" s="667"/>
      <c r="U520" s="667"/>
      <c r="V520" s="666"/>
      <c r="W520" s="666"/>
      <c r="X520" s="685"/>
      <c r="Y520" s="666"/>
      <c r="Z520" s="676"/>
      <c r="AA520" s="666"/>
      <c r="AB520" s="679"/>
      <c r="AC520" s="666"/>
      <c r="AD520" s="667"/>
      <c r="AE520" s="685"/>
      <c r="AF520" s="703"/>
      <c r="AG520" s="668"/>
      <c r="AH520" s="666"/>
      <c r="AI520" s="666"/>
      <c r="AJ520" s="666"/>
      <c r="AK520" s="666"/>
      <c r="AL520" s="666"/>
      <c r="AM520" s="666"/>
      <c r="AN520" s="685"/>
      <c r="AO520" s="666"/>
    </row>
    <row r="521" spans="1:41" hidden="1" outlineLevel="1">
      <c r="A521" s="666" t="str">
        <f>$A$26</f>
        <v>1Q</v>
      </c>
      <c r="B521" s="684" t="str">
        <f>$B$26</f>
        <v>Apr</v>
      </c>
      <c r="C521" s="666"/>
      <c r="D521" s="700">
        <f>(S521/S514-1)*100</f>
        <v>3.6184210526315708</v>
      </c>
      <c r="E521" s="700" t="s">
        <v>1084</v>
      </c>
      <c r="F521" s="703">
        <v>-1</v>
      </c>
      <c r="G521" s="700" t="s">
        <v>1084</v>
      </c>
      <c r="H521" s="700">
        <f>D521-F521</f>
        <v>4.6184210526315708</v>
      </c>
      <c r="I521" s="704" t="s">
        <v>1084</v>
      </c>
      <c r="J521" s="705">
        <f>+'store&amp;sf'!N53</f>
        <v>744</v>
      </c>
      <c r="K521" s="667"/>
      <c r="L521" s="706">
        <f>AVERAGE(J521,J517)</f>
        <v>740.5</v>
      </c>
      <c r="M521" s="667"/>
      <c r="N521" s="700">
        <f>(L521/L514-1)*100</f>
        <v>3.1337047353760417</v>
      </c>
      <c r="O521" s="704" t="s">
        <v>1084</v>
      </c>
      <c r="P521" s="703">
        <f>H521/N521*100</f>
        <v>147.37894736842091</v>
      </c>
      <c r="Q521" s="702" t="s">
        <v>1084</v>
      </c>
      <c r="R521" s="667"/>
      <c r="S521" s="726">
        <f>+'segSales&amp;OM'!AJ38</f>
        <v>315</v>
      </c>
      <c r="T521" s="667"/>
      <c r="U521" s="707">
        <f>S521/L521</f>
        <v>0.42538825118163404</v>
      </c>
      <c r="V521" s="666"/>
      <c r="W521" s="730">
        <f>(U521/U514-1)*100</f>
        <v>0.46998827250435138</v>
      </c>
      <c r="X521" s="685" t="s">
        <v>1084</v>
      </c>
      <c r="Y521" s="666"/>
      <c r="Z521" s="678">
        <f>+'store&amp;sf'!N417</f>
        <v>5.7912499999999998</v>
      </c>
      <c r="AA521" s="666"/>
      <c r="AB521" s="710">
        <f>AVERAGE(Z521,Z517)</f>
        <v>5.7631249999999996</v>
      </c>
      <c r="AC521" s="666"/>
      <c r="AD521" s="700">
        <f>(AB521/AB514-1)*100</f>
        <v>5.286595113039505</v>
      </c>
      <c r="AE521" s="685" t="s">
        <v>1084</v>
      </c>
      <c r="AF521" s="703">
        <f>+H521/AD521*100</f>
        <v>87.360975332499592</v>
      </c>
      <c r="AG521" s="668" t="s">
        <v>1084</v>
      </c>
      <c r="AH521" s="666"/>
      <c r="AI521" s="673">
        <f>+S521</f>
        <v>315</v>
      </c>
      <c r="AJ521" s="666"/>
      <c r="AK521" s="711">
        <f>AI521/AB521</f>
        <v>54.657846220583451</v>
      </c>
      <c r="AL521" s="666"/>
      <c r="AM521" s="677">
        <f>(AK521/AK514-1)*100</f>
        <v>-1.5844125822635946</v>
      </c>
      <c r="AN521" s="685" t="s">
        <v>1084</v>
      </c>
      <c r="AO521" s="666"/>
    </row>
    <row r="522" spans="1:41" hidden="1" outlineLevel="1">
      <c r="A522" s="666" t="str">
        <f>$A$27</f>
        <v>2Q</v>
      </c>
      <c r="B522" s="684" t="str">
        <f>$B$27</f>
        <v>Jul</v>
      </c>
      <c r="C522" s="666"/>
      <c r="D522" s="700">
        <f>(S522/S515-1)*100</f>
        <v>1.2779552715654896</v>
      </c>
      <c r="E522" s="700"/>
      <c r="F522" s="703">
        <v>-2</v>
      </c>
      <c r="G522" s="700"/>
      <c r="H522" s="700">
        <f>D522-F522</f>
        <v>3.2779552715654896</v>
      </c>
      <c r="I522" s="704"/>
      <c r="J522" s="705">
        <f>+'store&amp;sf'!N54</f>
        <v>750</v>
      </c>
      <c r="K522" s="667"/>
      <c r="L522" s="706">
        <f>AVERAGE(J522,J521)</f>
        <v>747</v>
      </c>
      <c r="M522" s="667"/>
      <c r="N522" s="700">
        <f>(L522/L515-1)*100</f>
        <v>3.6061026352288472</v>
      </c>
      <c r="O522" s="704"/>
      <c r="P522" s="703">
        <f>H522/N522*100</f>
        <v>90.900221184566121</v>
      </c>
      <c r="Q522" s="702"/>
      <c r="R522" s="667"/>
      <c r="S522" s="712">
        <f>+'segSales&amp;OM'!AJ39</f>
        <v>317</v>
      </c>
      <c r="T522" s="667"/>
      <c r="U522" s="713">
        <f>S522/L522</f>
        <v>0.42436412315930389</v>
      </c>
      <c r="V522" s="666"/>
      <c r="W522" s="730">
        <f>(U522/U515-1)*100</f>
        <v>-2.2471141220900548</v>
      </c>
      <c r="X522" s="685"/>
      <c r="Y522" s="666"/>
      <c r="Z522" s="678">
        <f>+'store&amp;sf'!N418</f>
        <v>5.8599999999999994</v>
      </c>
      <c r="AA522" s="666"/>
      <c r="AB522" s="710">
        <f>AVERAGE(Z522,Z521)</f>
        <v>5.8256249999999996</v>
      </c>
      <c r="AC522" s="666"/>
      <c r="AD522" s="700">
        <f>(AB522/AB515-1)*100</f>
        <v>5.179417738659442</v>
      </c>
      <c r="AE522" s="685"/>
      <c r="AF522" s="703">
        <f>+H522/AD522*100</f>
        <v>63.288103739898439</v>
      </c>
      <c r="AG522" s="668"/>
      <c r="AH522" s="666"/>
      <c r="AI522" s="675">
        <f>+S522</f>
        <v>317</v>
      </c>
      <c r="AJ522" s="666"/>
      <c r="AK522" s="714">
        <f>AI522/AB522</f>
        <v>54.414762364553162</v>
      </c>
      <c r="AL522" s="666"/>
      <c r="AM522" s="677">
        <f>(AK522/AK515-1)*100</f>
        <v>-3.7093402406808806</v>
      </c>
      <c r="AN522" s="685"/>
      <c r="AO522" s="666"/>
    </row>
    <row r="523" spans="1:41" hidden="1" outlineLevel="1">
      <c r="A523" s="666" t="str">
        <f>$A$28</f>
        <v>3Q</v>
      </c>
      <c r="B523" s="684" t="str">
        <f>$B$28</f>
        <v>Oct</v>
      </c>
      <c r="C523" s="666"/>
      <c r="D523" s="700">
        <f>(S523/S516-1)*100</f>
        <v>-2.777777777777779</v>
      </c>
      <c r="E523" s="700"/>
      <c r="F523" s="703">
        <v>-7</v>
      </c>
      <c r="G523" s="700"/>
      <c r="H523" s="700">
        <f>D523-F523</f>
        <v>4.2222222222222214</v>
      </c>
      <c r="I523" s="704"/>
      <c r="J523" s="705">
        <f>+'store&amp;sf'!N55</f>
        <v>758</v>
      </c>
      <c r="K523" s="667"/>
      <c r="L523" s="706">
        <f>AVERAGE(J523,J522)</f>
        <v>754</v>
      </c>
      <c r="M523" s="667"/>
      <c r="N523" s="700">
        <f>(L523/L516-1)*100</f>
        <v>3.5714285714285809</v>
      </c>
      <c r="O523" s="704"/>
      <c r="P523" s="703">
        <f>H523/N523*100</f>
        <v>118.2222222222219</v>
      </c>
      <c r="Q523" s="702"/>
      <c r="R523" s="667"/>
      <c r="S523" s="712">
        <f>+'segSales&amp;OM'!AJ40</f>
        <v>350</v>
      </c>
      <c r="T523" s="667"/>
      <c r="U523" s="713">
        <f>S523/L523</f>
        <v>0.46419098143236076</v>
      </c>
      <c r="V523" s="666"/>
      <c r="W523" s="730">
        <f>(U523/U516-1)*100</f>
        <v>-6.1302681992337131</v>
      </c>
      <c r="X523" s="685"/>
      <c r="Y523" s="666"/>
      <c r="Z523" s="678">
        <f>+'store&amp;sf'!N419</f>
        <v>5.9399999999999995</v>
      </c>
      <c r="AA523" s="666"/>
      <c r="AB523" s="710">
        <f>AVERAGE(Z523,Z522)</f>
        <v>5.8999999999999995</v>
      </c>
      <c r="AC523" s="666"/>
      <c r="AD523" s="700">
        <f>(AB523/AB516-1)*100</f>
        <v>4.7376012426495029</v>
      </c>
      <c r="AE523" s="685"/>
      <c r="AF523" s="703">
        <f>+H523/AD523*100</f>
        <v>89.12151964610986</v>
      </c>
      <c r="AG523" s="668"/>
      <c r="AH523" s="666"/>
      <c r="AI523" s="675">
        <f>+S523</f>
        <v>350</v>
      </c>
      <c r="AJ523" s="666"/>
      <c r="AK523" s="714">
        <f>AI523/AB523</f>
        <v>59.322033898305094</v>
      </c>
      <c r="AL523" s="666"/>
      <c r="AM523" s="677">
        <f>(AK523/AK516-1)*100</f>
        <v>-7.1754354990583806</v>
      </c>
      <c r="AN523" s="685"/>
      <c r="AO523" s="666"/>
    </row>
    <row r="524" spans="1:41" hidden="1" outlineLevel="1">
      <c r="A524" s="666" t="str">
        <f>$A$29</f>
        <v>4Q</v>
      </c>
      <c r="B524" s="684" t="str">
        <f>$B$29</f>
        <v>Jan</v>
      </c>
      <c r="C524" s="666"/>
      <c r="D524" s="715">
        <f>(S524/S517-1)*100</f>
        <v>-13.675213675213671</v>
      </c>
      <c r="E524" s="700"/>
      <c r="F524" s="717">
        <v>-13</v>
      </c>
      <c r="G524" s="700"/>
      <c r="H524" s="715">
        <f>D524-F524</f>
        <v>-0.67521367521367104</v>
      </c>
      <c r="I524" s="704"/>
      <c r="J524" s="705">
        <f>+'store&amp;sf'!N56</f>
        <v>753</v>
      </c>
      <c r="K524" s="667"/>
      <c r="L524" s="716">
        <f>AVERAGE(J524,J523)</f>
        <v>755.5</v>
      </c>
      <c r="M524" s="667"/>
      <c r="N524" s="715">
        <f>(L524/L517-1)*100</f>
        <v>2.7192386131883017</v>
      </c>
      <c r="O524" s="704"/>
      <c r="P524" s="717">
        <f>H524/N524*100</f>
        <v>-24.830982905982804</v>
      </c>
      <c r="Q524" s="702"/>
      <c r="R524" s="667"/>
      <c r="S524" s="718">
        <f>+'segSales&amp;OM'!AJ41</f>
        <v>404</v>
      </c>
      <c r="T524" s="667"/>
      <c r="U524" s="719">
        <f>S524/L524</f>
        <v>0.53474520185307739</v>
      </c>
      <c r="V524" s="666"/>
      <c r="W524" s="720">
        <f>(U524/U517-1)*100</f>
        <v>-15.960449580568714</v>
      </c>
      <c r="X524" s="685"/>
      <c r="Y524" s="666"/>
      <c r="Z524" s="678">
        <f>+'store&amp;sf'!N420</f>
        <v>5.9074999999999998</v>
      </c>
      <c r="AA524" s="666"/>
      <c r="AB524" s="721">
        <f>AVERAGE(Z524,Z523)</f>
        <v>5.9237500000000001</v>
      </c>
      <c r="AC524" s="666"/>
      <c r="AD524" s="715">
        <f>(AB524/AB517-1)*100</f>
        <v>3.6980306345733238</v>
      </c>
      <c r="AE524" s="685"/>
      <c r="AF524" s="717">
        <f>+H524/AD524*100</f>
        <v>-18.258736661103313</v>
      </c>
      <c r="AG524" s="668"/>
      <c r="AH524" s="666"/>
      <c r="AI524" s="722">
        <f>+S524</f>
        <v>404</v>
      </c>
      <c r="AJ524" s="666"/>
      <c r="AK524" s="723">
        <f>AI524/AB524</f>
        <v>68.200042202996414</v>
      </c>
      <c r="AL524" s="666"/>
      <c r="AM524" s="731">
        <f>(AK524/AK517-1)*100</f>
        <v>-16.753687802432271</v>
      </c>
      <c r="AN524" s="685"/>
      <c r="AO524" s="666"/>
    </row>
    <row r="525" spans="1:41" hidden="1" outlineLevel="1">
      <c r="A525" s="666"/>
      <c r="B525" s="684" t="str">
        <f>$B$30</f>
        <v>Year</v>
      </c>
      <c r="C525" s="666"/>
      <c r="D525" s="700">
        <f>(S525/S518-1)*100</f>
        <v>-4.0830449826989579</v>
      </c>
      <c r="E525" s="700"/>
      <c r="F525" s="703">
        <v>-6</v>
      </c>
      <c r="G525" s="700"/>
      <c r="H525" s="700">
        <f>D525-F525</f>
        <v>1.9169550173010421</v>
      </c>
      <c r="I525" s="704"/>
      <c r="J525" s="724"/>
      <c r="K525" s="667"/>
      <c r="L525" s="725">
        <f>AVERAGE(L521:L524)</f>
        <v>749.25</v>
      </c>
      <c r="M525" s="667"/>
      <c r="N525" s="700">
        <f>(L525/L518-1)*100</f>
        <v>3.2558139534883734</v>
      </c>
      <c r="O525" s="704"/>
      <c r="P525" s="703">
        <f>H525/N525*100</f>
        <v>58.877904102817702</v>
      </c>
      <c r="Q525" s="702"/>
      <c r="R525" s="667"/>
      <c r="S525" s="726">
        <f>SUM(S521:S524)</f>
        <v>1386</v>
      </c>
      <c r="T525" s="667"/>
      <c r="U525" s="707">
        <f>SUM(U521:U524)</f>
        <v>1.8486885576263761</v>
      </c>
      <c r="V525" s="666"/>
      <c r="W525" s="730">
        <f>(U525/U518-1)*100</f>
        <v>-7.022814893309814</v>
      </c>
      <c r="X525" s="685"/>
      <c r="Y525" s="666"/>
      <c r="Z525" s="676"/>
      <c r="AA525" s="666"/>
      <c r="AB525" s="710">
        <f>AVERAGE(AB521:AB524)</f>
        <v>5.8531250000000004</v>
      </c>
      <c r="AC525" s="666"/>
      <c r="AD525" s="700">
        <f>(AB525/AB518-1)*100</f>
        <v>4.7158471472898755</v>
      </c>
      <c r="AE525" s="685"/>
      <c r="AF525" s="703">
        <f>+H525/AD525*100</f>
        <v>40.649218633023054</v>
      </c>
      <c r="AG525" s="668"/>
      <c r="AH525" s="666"/>
      <c r="AI525" s="673">
        <f>SUM(AI521:AI524)</f>
        <v>1386</v>
      </c>
      <c r="AJ525" s="666"/>
      <c r="AK525" s="711">
        <f>SUM(AK521:AK524)</f>
        <v>236.59468468643814</v>
      </c>
      <c r="AL525" s="666"/>
      <c r="AM525" s="677">
        <f>(AK525/AK518-1)*100</f>
        <v>-8.254683570960097</v>
      </c>
      <c r="AN525" s="685"/>
      <c r="AO525" s="666"/>
    </row>
    <row r="526" spans="1:41" hidden="1" outlineLevel="1">
      <c r="A526" s="666"/>
      <c r="B526" s="684"/>
      <c r="C526" s="666"/>
      <c r="D526" s="700"/>
      <c r="E526" s="700"/>
      <c r="F526" s="700"/>
      <c r="G526" s="700"/>
      <c r="H526" s="700"/>
      <c r="I526" s="704"/>
      <c r="J526" s="724"/>
      <c r="K526" s="667"/>
      <c r="L526" s="667"/>
      <c r="M526" s="667"/>
      <c r="N526" s="667"/>
      <c r="O526" s="704"/>
      <c r="P526" s="702"/>
      <c r="Q526" s="702"/>
      <c r="R526" s="667"/>
      <c r="S526" s="667"/>
      <c r="T526" s="667"/>
      <c r="U526" s="667"/>
      <c r="V526" s="666"/>
      <c r="W526" s="666"/>
      <c r="X526" s="685"/>
      <c r="Y526" s="666"/>
      <c r="Z526" s="676"/>
      <c r="AA526" s="666"/>
      <c r="AB526" s="679"/>
      <c r="AC526" s="666"/>
      <c r="AD526" s="667"/>
      <c r="AE526" s="685"/>
      <c r="AF526" s="703"/>
      <c r="AG526" s="668"/>
      <c r="AH526" s="666"/>
      <c r="AI526" s="666"/>
      <c r="AJ526" s="666"/>
      <c r="AK526" s="666"/>
      <c r="AL526" s="666"/>
      <c r="AM526" s="666"/>
      <c r="AN526" s="685"/>
      <c r="AO526" s="666"/>
    </row>
    <row r="527" spans="1:41" hidden="1" outlineLevel="1">
      <c r="A527" s="698"/>
      <c r="B527" s="728">
        <f>B520+1</f>
        <v>1997</v>
      </c>
      <c r="C527" s="666"/>
      <c r="D527" s="700"/>
      <c r="E527" s="700"/>
      <c r="F527" s="700"/>
      <c r="G527" s="700"/>
      <c r="H527" s="700"/>
      <c r="I527" s="704"/>
      <c r="J527" s="724"/>
      <c r="K527" s="667"/>
      <c r="L527" s="667"/>
      <c r="M527" s="667"/>
      <c r="N527" s="667"/>
      <c r="O527" s="704"/>
      <c r="P527" s="702"/>
      <c r="Q527" s="702"/>
      <c r="R527" s="667"/>
      <c r="S527" s="667"/>
      <c r="T527" s="667"/>
      <c r="U527" s="667"/>
      <c r="V527" s="666"/>
      <c r="W527" s="666"/>
      <c r="X527" s="685"/>
      <c r="Y527" s="666"/>
      <c r="Z527" s="676"/>
      <c r="AA527" s="666"/>
      <c r="AB527" s="679"/>
      <c r="AC527" s="666"/>
      <c r="AD527" s="667"/>
      <c r="AE527" s="685"/>
      <c r="AF527" s="703"/>
      <c r="AG527" s="668"/>
      <c r="AH527" s="666"/>
      <c r="AI527" s="666"/>
      <c r="AJ527" s="666"/>
      <c r="AK527" s="666"/>
      <c r="AL527" s="666"/>
      <c r="AM527" s="666"/>
      <c r="AN527" s="685"/>
      <c r="AO527" s="666"/>
    </row>
    <row r="528" spans="1:41" hidden="1" outlineLevel="1">
      <c r="A528" s="666" t="str">
        <f>$A$26</f>
        <v>1Q</v>
      </c>
      <c r="B528" s="684" t="str">
        <f>$B$26</f>
        <v>Apr</v>
      </c>
      <c r="C528" s="666"/>
      <c r="D528" s="700">
        <f>(S528/S521-1)*100</f>
        <v>-28.888888888888886</v>
      </c>
      <c r="E528" s="700" t="s">
        <v>1084</v>
      </c>
      <c r="F528" s="703">
        <v>-30.363794713591673</v>
      </c>
      <c r="G528" s="700" t="s">
        <v>1084</v>
      </c>
      <c r="H528" s="700">
        <f>D528-F528</f>
        <v>1.4749058247027875</v>
      </c>
      <c r="I528" s="704" t="s">
        <v>1084</v>
      </c>
      <c r="J528" s="705">
        <f>+'store&amp;sf'!N59</f>
        <v>751</v>
      </c>
      <c r="K528" s="667"/>
      <c r="L528" s="706">
        <f>AVERAGE(J528,J524)</f>
        <v>752</v>
      </c>
      <c r="M528" s="667"/>
      <c r="N528" s="700">
        <f>(L528/L521-1)*100</f>
        <v>1.5530047265361224</v>
      </c>
      <c r="O528" s="704" t="s">
        <v>1084</v>
      </c>
      <c r="P528" s="703">
        <f>H528/N528*100</f>
        <v>94.971109842818734</v>
      </c>
      <c r="Q528" s="702" t="s">
        <v>1084</v>
      </c>
      <c r="R528" s="667"/>
      <c r="S528" s="726">
        <f>+'segSales&amp;OM'!AJ45</f>
        <v>224</v>
      </c>
      <c r="T528" s="667"/>
      <c r="U528" s="707">
        <f>S528/L528</f>
        <v>0.2978723404255319</v>
      </c>
      <c r="V528" s="666"/>
      <c r="W528" s="730">
        <f>(U528/U521-1)*100</f>
        <v>-29.976359338061464</v>
      </c>
      <c r="X528" s="685" t="s">
        <v>1084</v>
      </c>
      <c r="Y528" s="666"/>
      <c r="Z528" s="678">
        <f>+'store&amp;sf'!N423</f>
        <v>5.9212499999999997</v>
      </c>
      <c r="AA528" s="666"/>
      <c r="AB528" s="710">
        <f>AVERAGE(Z528,Z524)</f>
        <v>5.9143749999999997</v>
      </c>
      <c r="AC528" s="666"/>
      <c r="AD528" s="700">
        <f>(AB528/AB521-1)*100</f>
        <v>2.6244442034486504</v>
      </c>
      <c r="AE528" s="685" t="s">
        <v>1084</v>
      </c>
      <c r="AF528" s="703">
        <f>+H528/AD528*100</f>
        <v>56.198787642910752</v>
      </c>
      <c r="AG528" s="668" t="s">
        <v>1084</v>
      </c>
      <c r="AH528" s="666"/>
      <c r="AI528" s="673">
        <f>+S528</f>
        <v>224</v>
      </c>
      <c r="AJ528" s="666"/>
      <c r="AK528" s="711">
        <f>AI528/AB528</f>
        <v>37.873824368593468</v>
      </c>
      <c r="AL528" s="666"/>
      <c r="AM528" s="677">
        <f>(AK528/AK521-1)*100</f>
        <v>-30.707433630396753</v>
      </c>
      <c r="AN528" s="685" t="s">
        <v>1084</v>
      </c>
      <c r="AO528" s="666"/>
    </row>
    <row r="529" spans="1:41" hidden="1" outlineLevel="1">
      <c r="A529" s="666" t="str">
        <f>$A$27</f>
        <v>2Q</v>
      </c>
      <c r="B529" s="684" t="str">
        <f>$B$27</f>
        <v>Jul</v>
      </c>
      <c r="C529" s="666"/>
      <c r="D529" s="700">
        <f>(S529/S522-1)*100</f>
        <v>-22.397476340694013</v>
      </c>
      <c r="E529" s="700"/>
      <c r="F529" s="703">
        <v>-23.995730839601546</v>
      </c>
      <c r="G529" s="700"/>
      <c r="H529" s="700">
        <f>D529-F529</f>
        <v>1.5982544989075329</v>
      </c>
      <c r="I529" s="704"/>
      <c r="J529" s="705">
        <f>+'store&amp;sf'!N60</f>
        <v>751</v>
      </c>
      <c r="K529" s="667"/>
      <c r="L529" s="706">
        <f>AVERAGE(J529,J528)</f>
        <v>751</v>
      </c>
      <c r="M529" s="667"/>
      <c r="N529" s="700">
        <f>(L529/L522-1)*100</f>
        <v>0.53547523427042165</v>
      </c>
      <c r="O529" s="704"/>
      <c r="P529" s="703">
        <f>H529/N529*100</f>
        <v>298.47402767097805</v>
      </c>
      <c r="Q529" s="702"/>
      <c r="R529" s="667"/>
      <c r="S529" s="712">
        <f>+'segSales&amp;OM'!AJ46</f>
        <v>246</v>
      </c>
      <c r="T529" s="667"/>
      <c r="U529" s="713">
        <f>S529/L529</f>
        <v>0.32756324900133155</v>
      </c>
      <c r="V529" s="666"/>
      <c r="W529" s="730">
        <f>(U529/U522-1)*100</f>
        <v>-22.810805361515875</v>
      </c>
      <c r="X529" s="685"/>
      <c r="Y529" s="666"/>
      <c r="Z529" s="678">
        <f>+'store&amp;sf'!N424</f>
        <v>5.9225000000000003</v>
      </c>
      <c r="AA529" s="666"/>
      <c r="AB529" s="710">
        <f>AVERAGE(Z529,Z528)</f>
        <v>5.921875</v>
      </c>
      <c r="AC529" s="666"/>
      <c r="AD529" s="700">
        <f>(AB529/AB522-1)*100</f>
        <v>1.6521832421414029</v>
      </c>
      <c r="AE529" s="685"/>
      <c r="AF529" s="703">
        <f>+H529/AD529*100</f>
        <v>96.735910287773365</v>
      </c>
      <c r="AG529" s="668"/>
      <c r="AH529" s="666"/>
      <c r="AI529" s="675">
        <f>+S529</f>
        <v>246</v>
      </c>
      <c r="AJ529" s="666"/>
      <c r="AK529" s="714">
        <f>AI529/AB529</f>
        <v>41.540897097625333</v>
      </c>
      <c r="AL529" s="666"/>
      <c r="AM529" s="677">
        <f>(AK529/AK522-1)*100</f>
        <v>-23.6587732951566</v>
      </c>
      <c r="AN529" s="685"/>
      <c r="AO529" s="666"/>
    </row>
    <row r="530" spans="1:41" hidden="1" outlineLevel="1">
      <c r="A530" s="666" t="str">
        <f>$A$28</f>
        <v>3Q</v>
      </c>
      <c r="B530" s="684" t="str">
        <f>$B$28</f>
        <v>Oct</v>
      </c>
      <c r="C530" s="666"/>
      <c r="D530" s="700">
        <f>(S530/S523-1)*100</f>
        <v>-9.9999999999999982</v>
      </c>
      <c r="E530" s="700"/>
      <c r="F530" s="703">
        <v>-10.687294729779044</v>
      </c>
      <c r="G530" s="700"/>
      <c r="H530" s="700">
        <f>D530-F530</f>
        <v>0.68729472977904571</v>
      </c>
      <c r="I530" s="704"/>
      <c r="J530" s="705">
        <f>+'store&amp;sf'!N61</f>
        <v>755</v>
      </c>
      <c r="K530" s="667"/>
      <c r="L530" s="706">
        <f>AVERAGE(J530,J529)</f>
        <v>753</v>
      </c>
      <c r="M530" s="667"/>
      <c r="N530" s="700">
        <f>(L530/L523-1)*100</f>
        <v>-0.13262599469495706</v>
      </c>
      <c r="O530" s="704"/>
      <c r="P530" s="703">
        <f>H530/N530*100</f>
        <v>-518.22022625341276</v>
      </c>
      <c r="Q530" s="702"/>
      <c r="R530" s="667"/>
      <c r="S530" s="712">
        <f>+'segSales&amp;OM'!AJ47</f>
        <v>315</v>
      </c>
      <c r="T530" s="667"/>
      <c r="U530" s="713">
        <f>S530/L530</f>
        <v>0.41832669322709165</v>
      </c>
      <c r="V530" s="666"/>
      <c r="W530" s="730">
        <f>(U530/U523-1)*100</f>
        <v>-9.8804780876494025</v>
      </c>
      <c r="X530" s="685"/>
      <c r="Y530" s="666"/>
      <c r="Z530" s="678">
        <f>+'store&amp;sf'!N425</f>
        <v>5.9550000000000001</v>
      </c>
      <c r="AA530" s="666"/>
      <c r="AB530" s="710">
        <f>AVERAGE(Z530,Z529)</f>
        <v>5.9387500000000006</v>
      </c>
      <c r="AC530" s="666"/>
      <c r="AD530" s="700">
        <f>(AB530/AB523-1)*100</f>
        <v>0.65677966101695961</v>
      </c>
      <c r="AE530" s="685"/>
      <c r="AF530" s="703">
        <f>+H530/AD530*100</f>
        <v>104.64616530829174</v>
      </c>
      <c r="AG530" s="668"/>
      <c r="AH530" s="666"/>
      <c r="AI530" s="675">
        <f>+S530</f>
        <v>315</v>
      </c>
      <c r="AJ530" s="666"/>
      <c r="AK530" s="714">
        <f>AI530/AB530</f>
        <v>53.041464954746367</v>
      </c>
      <c r="AL530" s="666"/>
      <c r="AM530" s="677">
        <f>(AK530/AK523-1)*100</f>
        <v>-10.587244790570427</v>
      </c>
      <c r="AN530" s="685"/>
      <c r="AO530" s="666"/>
    </row>
    <row r="531" spans="1:41" hidden="1" outlineLevel="1">
      <c r="A531" s="666" t="str">
        <f>$A$29</f>
        <v>4Q</v>
      </c>
      <c r="B531" s="684" t="str">
        <f>$B$29</f>
        <v>Jan</v>
      </c>
      <c r="C531" s="666"/>
      <c r="D531" s="715">
        <f>(S531/S524-1)*100</f>
        <v>0</v>
      </c>
      <c r="E531" s="700"/>
      <c r="F531" s="717">
        <v>-0.93641318191332934</v>
      </c>
      <c r="G531" s="700"/>
      <c r="H531" s="715">
        <f>D531-F531</f>
        <v>0.93641318191332934</v>
      </c>
      <c r="I531" s="704"/>
      <c r="J531" s="705">
        <f>+'store&amp;sf'!N62</f>
        <v>753</v>
      </c>
      <c r="K531" s="667"/>
      <c r="L531" s="716">
        <f>AVERAGE(J531,J530)</f>
        <v>754</v>
      </c>
      <c r="M531" s="667"/>
      <c r="N531" s="715">
        <f>(L531/L524-1)*100</f>
        <v>-0.19854401058901905</v>
      </c>
      <c r="O531" s="704"/>
      <c r="P531" s="717">
        <f>H531/N531*100</f>
        <v>-471.64010595700131</v>
      </c>
      <c r="Q531" s="702"/>
      <c r="R531" s="667"/>
      <c r="S531" s="718">
        <f>+'segSales&amp;OM'!AJ48</f>
        <v>404</v>
      </c>
      <c r="T531" s="667"/>
      <c r="U531" s="719">
        <f>S531/L531</f>
        <v>0.53580901856763929</v>
      </c>
      <c r="V531" s="666"/>
      <c r="W531" s="720">
        <f>(U531/U524-1)*100</f>
        <v>0.19893899204246335</v>
      </c>
      <c r="X531" s="685"/>
      <c r="Y531" s="666"/>
      <c r="Z531" s="678">
        <f>+'store&amp;sf'!N426</f>
        <v>5.9237499999999992</v>
      </c>
      <c r="AA531" s="666"/>
      <c r="AB531" s="721">
        <f>AVERAGE(Z531,Z530)</f>
        <v>5.9393750000000001</v>
      </c>
      <c r="AC531" s="666"/>
      <c r="AD531" s="715">
        <f>(AB531/AB524-1)*100</f>
        <v>0.26376872757964964</v>
      </c>
      <c r="AE531" s="685"/>
      <c r="AF531" s="717">
        <f>+H531/AD531*100</f>
        <v>355.01296552699284</v>
      </c>
      <c r="AG531" s="668"/>
      <c r="AH531" s="666"/>
      <c r="AI531" s="722">
        <f>+S531</f>
        <v>404</v>
      </c>
      <c r="AJ531" s="666"/>
      <c r="AK531" s="723">
        <f>AI531/AB531</f>
        <v>68.020625065768698</v>
      </c>
      <c r="AL531" s="666"/>
      <c r="AM531" s="731">
        <f>(AK531/AK524-1)*100</f>
        <v>-0.26307481847839265</v>
      </c>
      <c r="AN531" s="685"/>
      <c r="AO531" s="666"/>
    </row>
    <row r="532" spans="1:41" hidden="1" outlineLevel="1">
      <c r="A532" s="666"/>
      <c r="B532" s="684" t="str">
        <f>$B$30</f>
        <v>Year</v>
      </c>
      <c r="C532" s="666"/>
      <c r="D532" s="700">
        <f>(S532/S525-1)*100</f>
        <v>-14.213564213564212</v>
      </c>
      <c r="E532" s="700"/>
      <c r="F532" s="703">
        <v>-15.004342043736221</v>
      </c>
      <c r="G532" s="700"/>
      <c r="H532" s="700">
        <f>D532-F532</f>
        <v>0.79077783017200964</v>
      </c>
      <c r="I532" s="704"/>
      <c r="J532" s="724"/>
      <c r="K532" s="667"/>
      <c r="L532" s="725">
        <f>AVERAGE(L528:L531)</f>
        <v>752.5</v>
      </c>
      <c r="M532" s="667"/>
      <c r="N532" s="700">
        <f>(L532/L525-1)*100</f>
        <v>0.43376710043376843</v>
      </c>
      <c r="O532" s="704"/>
      <c r="P532" s="703">
        <f>H532/N532*100</f>
        <v>182.30470438657736</v>
      </c>
      <c r="Q532" s="702"/>
      <c r="R532" s="667"/>
      <c r="S532" s="726">
        <f>SUM(S528:S531)</f>
        <v>1189</v>
      </c>
      <c r="T532" s="667"/>
      <c r="U532" s="707">
        <f>SUM(U528:U531)</f>
        <v>1.5795713012215944</v>
      </c>
      <c r="V532" s="666"/>
      <c r="W532" s="730">
        <f>(U532/U525-1)*100</f>
        <v>-14.557198144305861</v>
      </c>
      <c r="X532" s="685"/>
      <c r="Y532" s="666"/>
      <c r="Z532" s="727"/>
      <c r="AA532" s="666"/>
      <c r="AB532" s="710">
        <f>AVERAGE(AB528:AB531)</f>
        <v>5.9285937499999992</v>
      </c>
      <c r="AC532" s="666"/>
      <c r="AD532" s="700">
        <f>(AB532/AB525-1)*100</f>
        <v>1.2893753336892466</v>
      </c>
      <c r="AE532" s="685"/>
      <c r="AF532" s="703">
        <f>+H532/AD532*100</f>
        <v>61.330305420795007</v>
      </c>
      <c r="AG532" s="668"/>
      <c r="AH532" s="666"/>
      <c r="AI532" s="673">
        <f>SUM(AI528:AI531)</f>
        <v>1189</v>
      </c>
      <c r="AJ532" s="666"/>
      <c r="AK532" s="711">
        <f>SUM(AK528:AK531)</f>
        <v>200.47681148673388</v>
      </c>
      <c r="AL532" s="666"/>
      <c r="AM532" s="677">
        <f>(AK532/AK525-1)*100</f>
        <v>-15.26571623854176</v>
      </c>
      <c r="AN532" s="685"/>
      <c r="AO532" s="666"/>
    </row>
    <row r="533" spans="1:41" hidden="1" outlineLevel="1">
      <c r="A533" s="666"/>
      <c r="B533" s="684"/>
      <c r="C533" s="666"/>
      <c r="D533" s="700"/>
      <c r="E533" s="700"/>
      <c r="F533" s="700"/>
      <c r="G533" s="700"/>
      <c r="H533" s="700"/>
      <c r="I533" s="704"/>
      <c r="J533" s="724"/>
      <c r="K533" s="667"/>
      <c r="L533" s="667"/>
      <c r="M533" s="667"/>
      <c r="N533" s="667"/>
      <c r="O533" s="704"/>
      <c r="P533" s="702"/>
      <c r="Q533" s="702"/>
      <c r="R533" s="667"/>
      <c r="S533" s="667"/>
      <c r="T533" s="667"/>
      <c r="U533" s="667"/>
      <c r="V533" s="666"/>
      <c r="W533" s="666"/>
      <c r="X533" s="685"/>
      <c r="Y533" s="666"/>
      <c r="Z533" s="727"/>
      <c r="AA533" s="666"/>
      <c r="AB533" s="679"/>
      <c r="AC533" s="666"/>
      <c r="AD533" s="667"/>
      <c r="AE533" s="685"/>
      <c r="AF533" s="703"/>
      <c r="AG533" s="668"/>
      <c r="AH533" s="666"/>
      <c r="AI533" s="666"/>
      <c r="AJ533" s="666"/>
      <c r="AK533" s="666"/>
      <c r="AL533" s="666"/>
      <c r="AM533" s="666"/>
      <c r="AN533" s="685"/>
      <c r="AO533" s="666"/>
    </row>
    <row r="534" spans="1:41" hidden="1" outlineLevel="1">
      <c r="A534" s="698"/>
      <c r="B534" s="728">
        <f>B527+1</f>
        <v>1998</v>
      </c>
      <c r="C534" s="666"/>
      <c r="D534" s="700"/>
      <c r="E534" s="700"/>
      <c r="F534" s="700"/>
      <c r="G534" s="700"/>
      <c r="H534" s="700"/>
      <c r="I534" s="704"/>
      <c r="J534" s="724"/>
      <c r="K534" s="667"/>
      <c r="L534" s="667"/>
      <c r="M534" s="667"/>
      <c r="N534" s="667"/>
      <c r="O534" s="704"/>
      <c r="P534" s="702"/>
      <c r="Q534" s="702"/>
      <c r="R534" s="667"/>
      <c r="S534" s="667"/>
      <c r="T534" s="667"/>
      <c r="U534" s="667"/>
      <c r="V534" s="666"/>
      <c r="W534" s="666"/>
      <c r="X534" s="685"/>
      <c r="Y534" s="666"/>
      <c r="Z534" s="727"/>
      <c r="AA534" s="666"/>
      <c r="AB534" s="679"/>
      <c r="AC534" s="666"/>
      <c r="AD534" s="667"/>
      <c r="AE534" s="685"/>
      <c r="AF534" s="703"/>
      <c r="AG534" s="668"/>
      <c r="AH534" s="666"/>
      <c r="AI534" s="666"/>
      <c r="AJ534" s="666"/>
      <c r="AK534" s="666"/>
      <c r="AL534" s="666"/>
      <c r="AM534" s="666"/>
      <c r="AN534" s="685"/>
      <c r="AO534" s="666"/>
    </row>
    <row r="535" spans="1:41" hidden="1" outlineLevel="1">
      <c r="A535" s="666" t="str">
        <f>$A$26</f>
        <v>1Q</v>
      </c>
      <c r="B535" s="684" t="str">
        <f>$B$26</f>
        <v>Apr</v>
      </c>
      <c r="C535" s="666"/>
      <c r="D535" s="700">
        <f>(S535/S528-1)*100</f>
        <v>20.089285714285722</v>
      </c>
      <c r="E535" s="701" t="s">
        <v>1084</v>
      </c>
      <c r="F535" s="703">
        <v>19.667113849791946</v>
      </c>
      <c r="G535" s="701" t="s">
        <v>1084</v>
      </c>
      <c r="H535" s="700">
        <f>D535-F535</f>
        <v>0.42217186449377664</v>
      </c>
      <c r="I535" s="704" t="s">
        <v>1084</v>
      </c>
      <c r="J535" s="705">
        <f>+'store&amp;sf'!N65</f>
        <v>735</v>
      </c>
      <c r="K535" s="667"/>
      <c r="L535" s="706">
        <f>AVERAGE(J535,J531)</f>
        <v>744</v>
      </c>
      <c r="M535" s="667"/>
      <c r="N535" s="700">
        <f>(L535/L528-1)*100</f>
        <v>-1.0638297872340385</v>
      </c>
      <c r="O535" s="704" t="s">
        <v>1084</v>
      </c>
      <c r="P535" s="703">
        <f>H535/N535*100</f>
        <v>-39.684155262415153</v>
      </c>
      <c r="Q535" s="702" t="s">
        <v>1084</v>
      </c>
      <c r="R535" s="667"/>
      <c r="S535" s="726">
        <f>+'segSales&amp;OM'!AJ52</f>
        <v>269</v>
      </c>
      <c r="T535" s="667"/>
      <c r="U535" s="707">
        <f>S535/L535</f>
        <v>0.36155913978494625</v>
      </c>
      <c r="V535" s="666"/>
      <c r="W535" s="730">
        <f>(U535/U528-1)*100</f>
        <v>21.380568356374809</v>
      </c>
      <c r="X535" s="685" t="s">
        <v>1084</v>
      </c>
      <c r="Y535" s="666"/>
      <c r="Z535" s="678">
        <f>+'store&amp;sf'!N429</f>
        <v>5.8425000000000002</v>
      </c>
      <c r="AA535" s="666"/>
      <c r="AB535" s="710">
        <f>AVERAGE(Z535,Z531)</f>
        <v>5.8831249999999997</v>
      </c>
      <c r="AC535" s="666"/>
      <c r="AD535" s="700">
        <f>(AB535/AB528-1)*100</f>
        <v>-0.52837366585649637</v>
      </c>
      <c r="AE535" s="685" t="s">
        <v>1084</v>
      </c>
      <c r="AF535" s="703">
        <f>+H535/AD535*100</f>
        <v>-79.900247074091766</v>
      </c>
      <c r="AG535" s="668" t="s">
        <v>1084</v>
      </c>
      <c r="AH535" s="666"/>
      <c r="AI535" s="673">
        <f>+S535</f>
        <v>269</v>
      </c>
      <c r="AJ535" s="666"/>
      <c r="AK535" s="711">
        <f>AI535/AB535</f>
        <v>45.723998725167327</v>
      </c>
      <c r="AL535" s="666"/>
      <c r="AM535" s="677">
        <f>(AK535/AK528-1)*100</f>
        <v>20.727176321500671</v>
      </c>
      <c r="AN535" s="685" t="s">
        <v>1084</v>
      </c>
      <c r="AO535" s="666"/>
    </row>
    <row r="536" spans="1:41" hidden="1" outlineLevel="1">
      <c r="A536" s="666" t="str">
        <f>$A$27</f>
        <v>2Q</v>
      </c>
      <c r="B536" s="684" t="str">
        <f>$B$27</f>
        <v>Jul</v>
      </c>
      <c r="C536" s="666"/>
      <c r="D536" s="700">
        <f>(S536/S529-1)*100</f>
        <v>15.447154471544721</v>
      </c>
      <c r="E536" s="700"/>
      <c r="F536" s="703">
        <v>16.571745438777892</v>
      </c>
      <c r="G536" s="700"/>
      <c r="H536" s="700">
        <f>D536-F536</f>
        <v>-1.1245909672331713</v>
      </c>
      <c r="I536" s="704"/>
      <c r="J536" s="705">
        <f>+'store&amp;sf'!N66</f>
        <v>724</v>
      </c>
      <c r="K536" s="667"/>
      <c r="L536" s="706">
        <f>AVERAGE(J536,J535)</f>
        <v>729.5</v>
      </c>
      <c r="M536" s="667"/>
      <c r="N536" s="700">
        <f>(L536/L529-1)*100</f>
        <v>-2.8628495339547255</v>
      </c>
      <c r="O536" s="704"/>
      <c r="P536" s="703">
        <f>H536/N536*100</f>
        <v>39.28222401823777</v>
      </c>
      <c r="Q536" s="702"/>
      <c r="R536" s="667"/>
      <c r="S536" s="712">
        <f>+'segSales&amp;OM'!AJ53</f>
        <v>284</v>
      </c>
      <c r="T536" s="667"/>
      <c r="U536" s="713">
        <f>S536/L536</f>
        <v>0.38930774503084303</v>
      </c>
      <c r="V536" s="666"/>
      <c r="W536" s="730">
        <f>(U536/U529-1)*100</f>
        <v>18.849640861041927</v>
      </c>
      <c r="X536" s="685"/>
      <c r="Y536" s="666"/>
      <c r="Z536" s="678">
        <f>+'store&amp;sf'!N430</f>
        <v>5.7599999999999989</v>
      </c>
      <c r="AA536" s="666"/>
      <c r="AB536" s="710">
        <f>AVERAGE(Z536,Z535)</f>
        <v>5.8012499999999996</v>
      </c>
      <c r="AC536" s="666"/>
      <c r="AD536" s="700">
        <f>(AB536/AB529-1)*100</f>
        <v>-2.0369393139841763</v>
      </c>
      <c r="AE536" s="685"/>
      <c r="AF536" s="703">
        <f>+H536/AD536*100</f>
        <v>55.209841526084247</v>
      </c>
      <c r="AG536" s="668"/>
      <c r="AH536" s="666"/>
      <c r="AI536" s="675">
        <f>+S536</f>
        <v>284</v>
      </c>
      <c r="AJ536" s="666"/>
      <c r="AK536" s="714">
        <f>AI536/AB536</f>
        <v>48.954966602025429</v>
      </c>
      <c r="AL536" s="666"/>
      <c r="AM536" s="677">
        <f>(AK536/AK529-1)*100</f>
        <v>17.847639368442803</v>
      </c>
      <c r="AN536" s="685"/>
      <c r="AO536" s="666"/>
    </row>
    <row r="537" spans="1:41" hidden="1" outlineLevel="1">
      <c r="A537" s="666" t="str">
        <f>$A$28</f>
        <v>3Q</v>
      </c>
      <c r="B537" s="684" t="str">
        <f>$B$28</f>
        <v>Oct</v>
      </c>
      <c r="C537" s="666"/>
      <c r="D537" s="700">
        <f>(S537/S530-1)*100</f>
        <v>13.33333333333333</v>
      </c>
      <c r="E537" s="700"/>
      <c r="F537" s="703">
        <v>15</v>
      </c>
      <c r="G537" s="700"/>
      <c r="H537" s="700">
        <f>D537-F537</f>
        <v>-1.6666666666666696</v>
      </c>
      <c r="I537" s="704"/>
      <c r="J537" s="705">
        <f>+'store&amp;sf'!N67</f>
        <v>706</v>
      </c>
      <c r="K537" s="667"/>
      <c r="L537" s="706">
        <f>AVERAGE(J537,J536)</f>
        <v>715</v>
      </c>
      <c r="M537" s="667"/>
      <c r="N537" s="700">
        <f>(L537/L530-1)*100</f>
        <v>-5.0464807436918946</v>
      </c>
      <c r="O537" s="704"/>
      <c r="P537" s="703">
        <f>H537/N537*100</f>
        <v>33.02631578947377</v>
      </c>
      <c r="Q537" s="702"/>
      <c r="R537" s="667"/>
      <c r="S537" s="712">
        <f>+'segSales&amp;OM'!AJ54</f>
        <v>357</v>
      </c>
      <c r="T537" s="667"/>
      <c r="U537" s="713">
        <f>S537/L537</f>
        <v>0.49930069930069931</v>
      </c>
      <c r="V537" s="666"/>
      <c r="W537" s="730">
        <f>(U537/U530-1)*100</f>
        <v>19.356643356643353</v>
      </c>
      <c r="X537" s="685"/>
      <c r="Y537" s="666"/>
      <c r="Z537" s="678">
        <f>+'store&amp;sf'!N431</f>
        <v>5.6687500000000002</v>
      </c>
      <c r="AA537" s="666"/>
      <c r="AB537" s="710">
        <f>AVERAGE(Z537,Z536)</f>
        <v>5.7143749999999995</v>
      </c>
      <c r="AC537" s="666"/>
      <c r="AD537" s="700">
        <f>(AB537/AB530-1)*100</f>
        <v>-3.7781519680067488</v>
      </c>
      <c r="AE537" s="685"/>
      <c r="AF537" s="703">
        <f>+H537/AD537*100</f>
        <v>44.113277623026846</v>
      </c>
      <c r="AG537" s="668"/>
      <c r="AH537" s="666"/>
      <c r="AI537" s="675">
        <f>+S537</f>
        <v>357</v>
      </c>
      <c r="AJ537" s="666"/>
      <c r="AK537" s="714">
        <f>AI537/AB537</f>
        <v>62.474023843377452</v>
      </c>
      <c r="AL537" s="666"/>
      <c r="AM537" s="730">
        <f>(AK537/AK530-1)*100</f>
        <v>17.78336796820885</v>
      </c>
      <c r="AN537" s="685"/>
      <c r="AO537" s="666"/>
    </row>
    <row r="538" spans="1:41" hidden="1" outlineLevel="1">
      <c r="A538" s="666" t="str">
        <f>$A$29</f>
        <v>4Q</v>
      </c>
      <c r="B538" s="684" t="str">
        <f>$B$29</f>
        <v>Jan</v>
      </c>
      <c r="C538" s="666"/>
      <c r="D538" s="715">
        <f>(S538/S531-1)*100</f>
        <v>10.396039603960405</v>
      </c>
      <c r="E538" s="700"/>
      <c r="F538" s="717">
        <v>14</v>
      </c>
      <c r="G538" s="700"/>
      <c r="H538" s="715">
        <f>D538-F538</f>
        <v>-3.6039603960395947</v>
      </c>
      <c r="I538" s="704"/>
      <c r="J538" s="705">
        <f>+'store&amp;sf'!N68</f>
        <v>702</v>
      </c>
      <c r="K538" s="667"/>
      <c r="L538" s="716">
        <f>AVERAGE(J538,J537)</f>
        <v>704</v>
      </c>
      <c r="M538" s="667"/>
      <c r="N538" s="715">
        <f>(L538/L531-1)*100</f>
        <v>-6.6312997347480085</v>
      </c>
      <c r="O538" s="704"/>
      <c r="P538" s="717">
        <f>H538/N538*100</f>
        <v>54.347722772277109</v>
      </c>
      <c r="Q538" s="702"/>
      <c r="R538" s="667"/>
      <c r="S538" s="718">
        <f>+'segSales&amp;OM'!AJ55</f>
        <v>446</v>
      </c>
      <c r="T538" s="667"/>
      <c r="U538" s="719">
        <f>S538/L538</f>
        <v>0.63352272727272729</v>
      </c>
      <c r="V538" s="666"/>
      <c r="W538" s="720">
        <f>(U538/U531-1)*100</f>
        <v>18.23666741674166</v>
      </c>
      <c r="X538" s="685"/>
      <c r="Y538" s="666"/>
      <c r="Z538" s="678">
        <f>+'store&amp;sf'!N432</f>
        <v>5.6387499999999999</v>
      </c>
      <c r="AA538" s="666"/>
      <c r="AB538" s="721">
        <f>AVERAGE(Z538,Z537)</f>
        <v>5.6537500000000005</v>
      </c>
      <c r="AC538" s="666"/>
      <c r="AD538" s="715">
        <f>(AB538/AB531-1)*100</f>
        <v>-4.8090076817846938</v>
      </c>
      <c r="AE538" s="685"/>
      <c r="AF538" s="717">
        <f>+H538/AD538*100</f>
        <v>74.941872305392366</v>
      </c>
      <c r="AG538" s="668"/>
      <c r="AH538" s="666"/>
      <c r="AI538" s="722">
        <f>+S538</f>
        <v>446</v>
      </c>
      <c r="AJ538" s="666"/>
      <c r="AK538" s="723">
        <f>AI538/AB538</f>
        <v>78.885695334954676</v>
      </c>
      <c r="AL538" s="666"/>
      <c r="AM538" s="720">
        <f>(AK538/AK531-1)*100</f>
        <v>15.973199685655072</v>
      </c>
      <c r="AN538" s="685"/>
      <c r="AO538" s="666"/>
    </row>
    <row r="539" spans="1:41" hidden="1" outlineLevel="1">
      <c r="A539" s="666"/>
      <c r="B539" s="684" t="str">
        <f>$B$30</f>
        <v>Year</v>
      </c>
      <c r="C539" s="666"/>
      <c r="D539" s="700">
        <f>(S539/S532-1)*100</f>
        <v>14.045416316232128</v>
      </c>
      <c r="E539" s="700"/>
      <c r="F539" s="703">
        <v>16</v>
      </c>
      <c r="G539" s="700"/>
      <c r="H539" s="700">
        <f>D539-F539</f>
        <v>-1.9545836837678721</v>
      </c>
      <c r="I539" s="704"/>
      <c r="J539" s="667"/>
      <c r="K539" s="667"/>
      <c r="L539" s="725">
        <f>AVERAGE(L535:L538)</f>
        <v>723.125</v>
      </c>
      <c r="M539" s="667"/>
      <c r="N539" s="700">
        <f>(L539/L532-1)*100</f>
        <v>-3.9036544850498345</v>
      </c>
      <c r="O539" s="704"/>
      <c r="P539" s="703">
        <f>H539/N539*100</f>
        <v>50.070611813968455</v>
      </c>
      <c r="Q539" s="702"/>
      <c r="R539" s="667"/>
      <c r="S539" s="726">
        <f>SUM(S535:S538)</f>
        <v>1356</v>
      </c>
      <c r="T539" s="667"/>
      <c r="U539" s="707">
        <f>SUM(U535:U538)</f>
        <v>1.8836903113892161</v>
      </c>
      <c r="V539" s="666"/>
      <c r="W539" s="730">
        <f>(U539/U532-1)*100</f>
        <v>19.25326257399238</v>
      </c>
      <c r="X539" s="685"/>
      <c r="Y539" s="666"/>
      <c r="Z539" s="727"/>
      <c r="AA539" s="666"/>
      <c r="AB539" s="710">
        <f>AVERAGE(AB535:AB538)</f>
        <v>5.7631250000000005</v>
      </c>
      <c r="AC539" s="666"/>
      <c r="AD539" s="700">
        <f>(AB539/AB532-1)*100</f>
        <v>-2.791028648235494</v>
      </c>
      <c r="AE539" s="685"/>
      <c r="AF539" s="703">
        <f>+H539/AD539*100</f>
        <v>70.030943071959229</v>
      </c>
      <c r="AG539" s="668"/>
      <c r="AH539" s="666"/>
      <c r="AI539" s="673">
        <f>SUM(AI535:AI538)</f>
        <v>1356</v>
      </c>
      <c r="AJ539" s="666"/>
      <c r="AK539" s="711">
        <f>SUM(AK535:AK538)</f>
        <v>236.03868450552488</v>
      </c>
      <c r="AL539" s="666"/>
      <c r="AM539" s="730">
        <f>(AK539/AK532-1)*100</f>
        <v>17.738646557207559</v>
      </c>
      <c r="AN539" s="685"/>
      <c r="AO539" s="666"/>
    </row>
    <row r="540" spans="1:41" hidden="1" outlineLevel="1">
      <c r="A540" s="666"/>
      <c r="B540" s="684"/>
      <c r="C540" s="666"/>
      <c r="D540" s="700"/>
      <c r="E540" s="700"/>
      <c r="F540" s="700"/>
      <c r="G540" s="700"/>
      <c r="H540" s="700"/>
      <c r="I540" s="704"/>
      <c r="J540" s="667"/>
      <c r="K540" s="667"/>
      <c r="L540" s="667"/>
      <c r="M540" s="667"/>
      <c r="N540" s="667"/>
      <c r="O540" s="704"/>
      <c r="P540" s="702"/>
      <c r="Q540" s="702"/>
      <c r="R540" s="667"/>
      <c r="S540" s="667"/>
      <c r="T540" s="667"/>
      <c r="U540" s="667"/>
      <c r="V540" s="666"/>
      <c r="W540" s="666"/>
      <c r="X540" s="685"/>
      <c r="Y540" s="666"/>
      <c r="Z540" s="676"/>
      <c r="AA540" s="666"/>
      <c r="AB540" s="679"/>
      <c r="AC540" s="666"/>
      <c r="AD540" s="667"/>
      <c r="AE540" s="685"/>
      <c r="AF540" s="703"/>
      <c r="AG540" s="668"/>
      <c r="AH540" s="666"/>
      <c r="AI540" s="666"/>
      <c r="AJ540" s="666"/>
      <c r="AK540" s="666"/>
      <c r="AL540" s="666"/>
      <c r="AM540" s="666"/>
      <c r="AN540" s="685"/>
      <c r="AO540" s="666"/>
    </row>
    <row r="541" spans="1:41" hidden="1" outlineLevel="1">
      <c r="A541" s="698"/>
      <c r="B541" s="728">
        <f>B534+1</f>
        <v>1999</v>
      </c>
      <c r="C541" s="666"/>
      <c r="D541" s="700"/>
      <c r="E541" s="700"/>
      <c r="F541" s="700"/>
      <c r="G541" s="700"/>
      <c r="H541" s="700"/>
      <c r="I541" s="704"/>
      <c r="J541" s="667"/>
      <c r="K541" s="667"/>
      <c r="L541" s="667"/>
      <c r="M541" s="667"/>
      <c r="N541" s="667"/>
      <c r="O541" s="704"/>
      <c r="P541" s="702"/>
      <c r="Q541" s="702"/>
      <c r="R541" s="667"/>
      <c r="S541" s="667"/>
      <c r="T541" s="667"/>
      <c r="U541" s="667"/>
      <c r="V541" s="666"/>
      <c r="W541" s="666"/>
      <c r="X541" s="685"/>
      <c r="Y541" s="666"/>
      <c r="Z541" s="676"/>
      <c r="AA541" s="666"/>
      <c r="AB541" s="679"/>
      <c r="AC541" s="666"/>
      <c r="AD541" s="667"/>
      <c r="AE541" s="685"/>
      <c r="AF541" s="703"/>
      <c r="AG541" s="668"/>
      <c r="AH541" s="666"/>
      <c r="AI541" s="666"/>
      <c r="AJ541" s="666"/>
      <c r="AK541" s="666"/>
      <c r="AL541" s="666"/>
      <c r="AM541" s="666"/>
      <c r="AN541" s="685"/>
      <c r="AO541" s="666"/>
    </row>
    <row r="542" spans="1:41" hidden="1" outlineLevel="1">
      <c r="A542" s="666" t="str">
        <f>$A$26</f>
        <v>1Q</v>
      </c>
      <c r="B542" s="684" t="str">
        <f>$B$26</f>
        <v>Apr</v>
      </c>
      <c r="C542" s="666"/>
      <c r="D542" s="700">
        <f>(S542/S535-1)*100</f>
        <v>9.3193308550185918</v>
      </c>
      <c r="E542" s="701" t="s">
        <v>1084</v>
      </c>
      <c r="F542" s="747">
        <v>15.598048932159584</v>
      </c>
      <c r="G542" s="701" t="s">
        <v>1084</v>
      </c>
      <c r="H542" s="700">
        <f>D542-F542</f>
        <v>-6.2787180771409918</v>
      </c>
      <c r="I542" s="704" t="s">
        <v>1084</v>
      </c>
      <c r="J542" s="705">
        <f>+'store&amp;sf'!N71</f>
        <v>694</v>
      </c>
      <c r="K542" s="667"/>
      <c r="L542" s="706">
        <f>AVERAGE(J542,J538)</f>
        <v>698</v>
      </c>
      <c r="M542" s="667"/>
      <c r="N542" s="700">
        <f>(L542/L535-1)*100</f>
        <v>-6.1827956989247257</v>
      </c>
      <c r="O542" s="704" t="s">
        <v>1084</v>
      </c>
      <c r="P542" s="703">
        <f>H542/N542*100</f>
        <v>101.55144020419354</v>
      </c>
      <c r="Q542" s="702" t="s">
        <v>1084</v>
      </c>
      <c r="R542" s="667"/>
      <c r="S542" s="726">
        <f>+'segSales&amp;OM'!AJ59</f>
        <v>294.06900000000002</v>
      </c>
      <c r="T542" s="667"/>
      <c r="U542" s="707">
        <f>S542/L542</f>
        <v>0.42130229226361032</v>
      </c>
      <c r="V542" s="666"/>
      <c r="W542" s="730">
        <f>(U542/U535-1)*100</f>
        <v>16.523756670678846</v>
      </c>
      <c r="X542" s="685" t="s">
        <v>1084</v>
      </c>
      <c r="Y542" s="666"/>
      <c r="Z542" s="678">
        <f>+'store&amp;sf'!N435</f>
        <v>5.5774999999999997</v>
      </c>
      <c r="AA542" s="666"/>
      <c r="AB542" s="710">
        <f>AVERAGE(Z542,Z538)</f>
        <v>5.6081249999999994</v>
      </c>
      <c r="AC542" s="666"/>
      <c r="AD542" s="700">
        <f>(AB542/AB535-1)*100</f>
        <v>-4.6743864867736189</v>
      </c>
      <c r="AE542" s="685" t="s">
        <v>1084</v>
      </c>
      <c r="AF542" s="703">
        <f>+H542/AD542*100</f>
        <v>134.32175740938195</v>
      </c>
      <c r="AG542" s="668" t="s">
        <v>1084</v>
      </c>
      <c r="AH542" s="666"/>
      <c r="AI542" s="673">
        <f>+S542</f>
        <v>294.06900000000002</v>
      </c>
      <c r="AJ542" s="666"/>
      <c r="AK542" s="711">
        <f>AI542/AB542</f>
        <v>52.436242059511876</v>
      </c>
      <c r="AL542" s="666"/>
      <c r="AM542" s="677">
        <f>(AK542/AK535-1)*100</f>
        <v>14.679913221697305</v>
      </c>
      <c r="AN542" s="685" t="s">
        <v>1084</v>
      </c>
      <c r="AO542" s="666"/>
    </row>
    <row r="543" spans="1:41" hidden="1" outlineLevel="1">
      <c r="A543" s="666" t="str">
        <f>$A$27</f>
        <v>2Q</v>
      </c>
      <c r="B543" s="684" t="str">
        <f>$B$27</f>
        <v>Jul</v>
      </c>
      <c r="C543" s="666"/>
      <c r="D543" s="700">
        <f>(S543/S536-1)*100</f>
        <v>4.3954225352112797</v>
      </c>
      <c r="E543" s="701"/>
      <c r="F543" s="747">
        <v>9.4792623837095586</v>
      </c>
      <c r="G543" s="701"/>
      <c r="H543" s="700">
        <f>D543-F543</f>
        <v>-5.083839848498279</v>
      </c>
      <c r="I543" s="704"/>
      <c r="J543" s="705">
        <f>+'store&amp;sf'!N72</f>
        <v>690</v>
      </c>
      <c r="K543" s="667"/>
      <c r="L543" s="706">
        <f>AVERAGE(J543,J542)</f>
        <v>692</v>
      </c>
      <c r="M543" s="667"/>
      <c r="N543" s="700">
        <f>(L543/L536-1)*100</f>
        <v>-5.1405071967100753</v>
      </c>
      <c r="O543" s="704"/>
      <c r="P543" s="703">
        <f>H543/N543*100</f>
        <v>98.897631186119867</v>
      </c>
      <c r="Q543" s="702"/>
      <c r="R543" s="667"/>
      <c r="S543" s="712">
        <f>+'segSales&amp;OM'!AJ60</f>
        <v>296.483</v>
      </c>
      <c r="T543" s="667"/>
      <c r="U543" s="713">
        <f>S543/L543</f>
        <v>0.42844364161849713</v>
      </c>
      <c r="V543" s="666"/>
      <c r="W543" s="730">
        <f>(U543/U536-1)*100</f>
        <v>10.052688929821718</v>
      </c>
      <c r="X543" s="685"/>
      <c r="Y543" s="666"/>
      <c r="Z543" s="678">
        <f>+'store&amp;sf'!N436</f>
        <v>5.5374999999999996</v>
      </c>
      <c r="AA543" s="666"/>
      <c r="AB543" s="710">
        <f>AVERAGE(Z543,Z542)</f>
        <v>5.5574999999999992</v>
      </c>
      <c r="AC543" s="666"/>
      <c r="AD543" s="700">
        <f>(AB543/AB536-1)*100</f>
        <v>-4.2016806722689148</v>
      </c>
      <c r="AE543" s="685"/>
      <c r="AF543" s="703">
        <f>+H543/AD543*100</f>
        <v>120.99538839425882</v>
      </c>
      <c r="AG543" s="668"/>
      <c r="AH543" s="666"/>
      <c r="AI543" s="675">
        <f>+S543</f>
        <v>296.483</v>
      </c>
      <c r="AJ543" s="666"/>
      <c r="AK543" s="714">
        <f>AI543/AB543</f>
        <v>53.348268106162848</v>
      </c>
      <c r="AL543" s="666"/>
      <c r="AM543" s="677">
        <f>(AK543/AK536-1)*100</f>
        <v>8.9741691376328259</v>
      </c>
      <c r="AN543" s="685"/>
      <c r="AO543" s="666"/>
    </row>
    <row r="544" spans="1:41" hidden="1" outlineLevel="1">
      <c r="A544" s="666" t="str">
        <f>$A$28</f>
        <v>3Q</v>
      </c>
      <c r="B544" s="684" t="str">
        <f>$B$28</f>
        <v>Oct</v>
      </c>
      <c r="C544" s="666"/>
      <c r="D544" s="700">
        <f>(S544/S537-1)*100</f>
        <v>-1.1750700280112047</v>
      </c>
      <c r="E544" s="701"/>
      <c r="F544" s="747">
        <v>2.8810550490965761</v>
      </c>
      <c r="G544" s="701"/>
      <c r="H544" s="700">
        <f>D544-F544</f>
        <v>-4.0561250771077813</v>
      </c>
      <c r="I544" s="704"/>
      <c r="J544" s="705">
        <f>+'store&amp;sf'!N73</f>
        <v>690</v>
      </c>
      <c r="K544" s="667"/>
      <c r="L544" s="706">
        <f>AVERAGE(J544,J543)</f>
        <v>690</v>
      </c>
      <c r="M544" s="667"/>
      <c r="N544" s="700">
        <f>(L544/L537-1)*100</f>
        <v>-3.4965034965035002</v>
      </c>
      <c r="O544" s="704"/>
      <c r="P544" s="703">
        <f>H544/N544*100</f>
        <v>116.00517720528242</v>
      </c>
      <c r="Q544" s="702"/>
      <c r="R544" s="667"/>
      <c r="S544" s="712">
        <f>+'segSales&amp;OM'!AJ61</f>
        <v>352.80500000000001</v>
      </c>
      <c r="T544" s="667"/>
      <c r="U544" s="713">
        <f>S544/L544</f>
        <v>0.51131159420289851</v>
      </c>
      <c r="V544" s="666"/>
      <c r="W544" s="730">
        <f>(U544/U537-1)*100</f>
        <v>2.4055433767709911</v>
      </c>
      <c r="X544" s="685"/>
      <c r="Y544" s="666"/>
      <c r="Z544" s="678">
        <f>+'store&amp;sf'!N437</f>
        <v>5.55</v>
      </c>
      <c r="AA544" s="666"/>
      <c r="AB544" s="710">
        <f>AVERAGE(Z544,Z543)</f>
        <v>5.5437499999999993</v>
      </c>
      <c r="AC544" s="666"/>
      <c r="AD544" s="700">
        <f>(AB544/AB537-1)*100</f>
        <v>-2.9858908454555411</v>
      </c>
      <c r="AE544" s="685"/>
      <c r="AF544" s="703">
        <f>+H544/AD544*100</f>
        <v>135.843046080573</v>
      </c>
      <c r="AG544" s="668"/>
      <c r="AH544" s="666"/>
      <c r="AI544" s="675">
        <f>+S544</f>
        <v>352.80500000000001</v>
      </c>
      <c r="AJ544" s="666"/>
      <c r="AK544" s="714">
        <f>AI544/AB544</f>
        <v>63.640135287485919</v>
      </c>
      <c r="AL544" s="666"/>
      <c r="AM544" s="730">
        <f>(AK544/AK537-1)*100</f>
        <v>1.8665540849936546</v>
      </c>
      <c r="AN544" s="685"/>
      <c r="AO544" s="666"/>
    </row>
    <row r="545" spans="1:41" hidden="1" outlineLevel="1">
      <c r="A545" s="666" t="str">
        <f>$A$29</f>
        <v>4Q</v>
      </c>
      <c r="B545" s="684" t="str">
        <f>$B$29</f>
        <v>Jan</v>
      </c>
      <c r="C545" s="666"/>
      <c r="D545" s="715">
        <f>(S545/S538-1)*100</f>
        <v>-5.0421524663677104</v>
      </c>
      <c r="E545" s="701"/>
      <c r="F545" s="717">
        <v>-2.2792872114493568</v>
      </c>
      <c r="G545" s="701"/>
      <c r="H545" s="715">
        <f>D545-F545</f>
        <v>-2.7628652549183537</v>
      </c>
      <c r="I545" s="704"/>
      <c r="J545" s="705">
        <f>+'store&amp;sf'!N74</f>
        <v>688</v>
      </c>
      <c r="K545" s="667"/>
      <c r="L545" s="716">
        <f>AVERAGE(J545,J544)</f>
        <v>689</v>
      </c>
      <c r="M545" s="667"/>
      <c r="N545" s="715">
        <f>(L545/L538-1)*100</f>
        <v>-2.1306818181818232</v>
      </c>
      <c r="O545" s="704"/>
      <c r="P545" s="717">
        <f>H545/N545*100</f>
        <v>129.67047596416776</v>
      </c>
      <c r="Q545" s="702"/>
      <c r="R545" s="667"/>
      <c r="S545" s="712">
        <f>+'segSales&amp;OM'!AJ62</f>
        <v>423.512</v>
      </c>
      <c r="T545" s="667"/>
      <c r="U545" s="719">
        <f>S545/L545</f>
        <v>0.61467634252539916</v>
      </c>
      <c r="V545" s="666"/>
      <c r="W545" s="720">
        <f>(U545/U538-1)*100</f>
        <v>-2.9748553502508934</v>
      </c>
      <c r="X545" s="685"/>
      <c r="Y545" s="666"/>
      <c r="Z545" s="678">
        <f>+'store&amp;sf'!N438</f>
        <v>5.5362499999999999</v>
      </c>
      <c r="AA545" s="666"/>
      <c r="AB545" s="721">
        <f>AVERAGE(Z545,Z544)</f>
        <v>5.5431249999999999</v>
      </c>
      <c r="AC545" s="666"/>
      <c r="AD545" s="715">
        <f>(AB545/AB538-1)*100</f>
        <v>-1.9566659296926914</v>
      </c>
      <c r="AE545" s="685"/>
      <c r="AF545" s="717">
        <f>+H545/AD545*100</f>
        <v>141.20270675701303</v>
      </c>
      <c r="AG545" s="668"/>
      <c r="AH545" s="666"/>
      <c r="AI545" s="722">
        <f>+S545</f>
        <v>423.512</v>
      </c>
      <c r="AJ545" s="666"/>
      <c r="AK545" s="723">
        <f>AI545/AB545</f>
        <v>76.403111963017253</v>
      </c>
      <c r="AL545" s="666"/>
      <c r="AM545" s="720">
        <f>(AK545/AK538-1)*100</f>
        <v>-3.1470640670608119</v>
      </c>
      <c r="AN545" s="685"/>
      <c r="AO545" s="666"/>
    </row>
    <row r="546" spans="1:41" hidden="1" outlineLevel="1">
      <c r="A546" s="666"/>
      <c r="B546" s="684" t="str">
        <f>$B$30</f>
        <v>Year</v>
      </c>
      <c r="C546" s="666"/>
      <c r="D546" s="700">
        <f>(S546/S539-1)*100</f>
        <v>0.80154867256636564</v>
      </c>
      <c r="E546" s="701"/>
      <c r="F546" s="747">
        <v>5.051725051387205</v>
      </c>
      <c r="G546" s="701"/>
      <c r="H546" s="700">
        <f>D546-F546</f>
        <v>-4.2501763788208393</v>
      </c>
      <c r="I546" s="704"/>
      <c r="J546" s="705"/>
      <c r="K546" s="667"/>
      <c r="L546" s="725">
        <f>AVERAGE(L542:L545)</f>
        <v>692.25</v>
      </c>
      <c r="M546" s="667"/>
      <c r="N546" s="700">
        <f>(L546/L539-1)*100</f>
        <v>-4.2696629213483162</v>
      </c>
      <c r="O546" s="704"/>
      <c r="P546" s="703">
        <f>H546/N546*100</f>
        <v>99.543604661856463</v>
      </c>
      <c r="Q546" s="702"/>
      <c r="R546" s="667"/>
      <c r="S546" s="726">
        <f>SUM(S542:S545)</f>
        <v>1366.8689999999999</v>
      </c>
      <c r="T546" s="667"/>
      <c r="U546" s="707">
        <f>SUM(U542:U545)</f>
        <v>1.9757338706104051</v>
      </c>
      <c r="V546" s="666"/>
      <c r="W546" s="730">
        <f>(U546/U539-1)*100</f>
        <v>4.8863424451818238</v>
      </c>
      <c r="X546" s="685"/>
      <c r="Y546" s="666"/>
      <c r="Z546" s="676"/>
      <c r="AA546" s="666"/>
      <c r="AB546" s="710">
        <f>AVERAGE(AB542:AB545)</f>
        <v>5.5631249999999994</v>
      </c>
      <c r="AC546" s="666"/>
      <c r="AD546" s="700">
        <f>(AB546/AB539-1)*100</f>
        <v>-3.470339442576742</v>
      </c>
      <c r="AE546" s="685"/>
      <c r="AF546" s="703">
        <f>+H546/AD546*100</f>
        <v>122.47148871595871</v>
      </c>
      <c r="AG546" s="668"/>
      <c r="AH546" s="666"/>
      <c r="AI546" s="673">
        <f>SUM(AI542:AI545)</f>
        <v>1366.8689999999999</v>
      </c>
      <c r="AJ546" s="666"/>
      <c r="AK546" s="711">
        <f>SUM(AK542:AK545)</f>
        <v>245.82775741617792</v>
      </c>
      <c r="AL546" s="666"/>
      <c r="AM546" s="730">
        <f>(AK546/AK539-1)*100</f>
        <v>4.1472324467322297</v>
      </c>
      <c r="AN546" s="685"/>
      <c r="AO546" s="666"/>
    </row>
    <row r="547" spans="1:41" hidden="1" outlineLevel="1">
      <c r="A547" s="666"/>
      <c r="B547" s="684"/>
      <c r="C547" s="666"/>
      <c r="D547" s="700"/>
      <c r="E547" s="701"/>
      <c r="F547" s="700"/>
      <c r="G547" s="701"/>
      <c r="H547" s="700"/>
      <c r="I547" s="704"/>
      <c r="J547" s="667"/>
      <c r="K547" s="667"/>
      <c r="L547" s="667"/>
      <c r="M547" s="667"/>
      <c r="N547" s="667"/>
      <c r="O547" s="704"/>
      <c r="P547" s="702"/>
      <c r="Q547" s="702"/>
      <c r="R547" s="667"/>
      <c r="S547" s="667"/>
      <c r="T547" s="667"/>
      <c r="U547" s="667"/>
      <c r="V547" s="666"/>
      <c r="W547" s="666"/>
      <c r="X547" s="685"/>
      <c r="Y547" s="666"/>
      <c r="Z547" s="676"/>
      <c r="AA547" s="666"/>
      <c r="AB547" s="679"/>
      <c r="AC547" s="666"/>
      <c r="AD547" s="667"/>
      <c r="AE547" s="685"/>
      <c r="AF547" s="703"/>
      <c r="AG547" s="668"/>
      <c r="AH547" s="666"/>
      <c r="AI547" s="666"/>
      <c r="AJ547" s="666"/>
      <c r="AK547" s="666"/>
      <c r="AL547" s="666"/>
      <c r="AM547" s="666"/>
      <c r="AN547" s="685"/>
      <c r="AO547" s="666"/>
    </row>
    <row r="548" spans="1:41" hidden="1" outlineLevel="1">
      <c r="A548" s="698"/>
      <c r="B548" s="728">
        <f>B541+1</f>
        <v>2000</v>
      </c>
      <c r="C548" s="666"/>
      <c r="D548" s="700"/>
      <c r="E548" s="701"/>
      <c r="F548" s="700"/>
      <c r="G548" s="701"/>
      <c r="H548" s="700"/>
      <c r="I548" s="704"/>
      <c r="J548" s="667"/>
      <c r="K548" s="667"/>
      <c r="L548" s="667"/>
      <c r="M548" s="667"/>
      <c r="N548" s="667"/>
      <c r="O548" s="704"/>
      <c r="P548" s="702"/>
      <c r="Q548" s="702"/>
      <c r="R548" s="667"/>
      <c r="S548" s="667"/>
      <c r="T548" s="667"/>
      <c r="U548" s="667"/>
      <c r="V548" s="666"/>
      <c r="W548" s="666"/>
      <c r="X548" s="685"/>
      <c r="Y548" s="666"/>
      <c r="Z548" s="676"/>
      <c r="AA548" s="666"/>
      <c r="AB548" s="679"/>
      <c r="AC548" s="666"/>
      <c r="AD548" s="667"/>
      <c r="AE548" s="685"/>
      <c r="AF548" s="703"/>
      <c r="AG548" s="668"/>
      <c r="AH548" s="666"/>
      <c r="AI548" s="666"/>
      <c r="AJ548" s="666"/>
      <c r="AK548" s="666"/>
      <c r="AL548" s="666"/>
      <c r="AM548" s="666"/>
      <c r="AN548" s="685"/>
      <c r="AO548" s="666"/>
    </row>
    <row r="549" spans="1:41" hidden="1" outlineLevel="1">
      <c r="A549" s="666" t="str">
        <f>$A$26</f>
        <v>1Q</v>
      </c>
      <c r="B549" s="684" t="str">
        <f>$B$26</f>
        <v>Apr</v>
      </c>
      <c r="C549" s="666"/>
      <c r="D549" s="700">
        <f>(S549/S542-1)*100</f>
        <v>15.493642648494044</v>
      </c>
      <c r="E549" s="701" t="s">
        <v>1084</v>
      </c>
      <c r="F549" s="747">
        <v>16.095967913209687</v>
      </c>
      <c r="G549" s="701" t="s">
        <v>1084</v>
      </c>
      <c r="H549" s="700">
        <f>D549-F549</f>
        <v>-0.60232526471564363</v>
      </c>
      <c r="I549" s="704" t="s">
        <v>1084</v>
      </c>
      <c r="J549" s="705">
        <f>+'store&amp;sf'!N77</f>
        <v>677</v>
      </c>
      <c r="K549" s="667"/>
      <c r="L549" s="706">
        <f>AVERAGE(J549,J545)</f>
        <v>682.5</v>
      </c>
      <c r="M549" s="667"/>
      <c r="N549" s="700">
        <f>(L549/L542-1)*100</f>
        <v>-2.2206303724928378</v>
      </c>
      <c r="O549" s="704" t="s">
        <v>1084</v>
      </c>
      <c r="P549" s="703">
        <f>H549/N549*100</f>
        <v>27.124066759452841</v>
      </c>
      <c r="Q549" s="702" t="s">
        <v>1084</v>
      </c>
      <c r="R549" s="667"/>
      <c r="S549" s="726">
        <f>+'segSales&amp;OM'!AJ66</f>
        <v>339.63099999999997</v>
      </c>
      <c r="T549" s="667"/>
      <c r="U549" s="707">
        <f>S549/L549</f>
        <v>0.49762783882783879</v>
      </c>
      <c r="V549" s="666"/>
      <c r="W549" s="730">
        <f>(U549/U542-1)*100</f>
        <v>18.11657519215948</v>
      </c>
      <c r="X549" s="685" t="s">
        <v>1084</v>
      </c>
      <c r="Y549" s="666"/>
      <c r="Z549" s="678">
        <f>+'store&amp;sf'!N441</f>
        <v>5.4312499999999995</v>
      </c>
      <c r="AA549" s="666"/>
      <c r="AB549" s="710">
        <f>AVERAGE(Z549,Z545)</f>
        <v>5.4837499999999997</v>
      </c>
      <c r="AC549" s="666"/>
      <c r="AD549" s="700">
        <f>(AB549/AB542-1)*100</f>
        <v>-2.2177644043240741</v>
      </c>
      <c r="AE549" s="685" t="s">
        <v>1084</v>
      </c>
      <c r="AF549" s="703">
        <f>+H549/AD549*100</f>
        <v>27.159118594439661</v>
      </c>
      <c r="AG549" s="668" t="s">
        <v>1084</v>
      </c>
      <c r="AH549" s="666"/>
      <c r="AI549" s="673">
        <f>+S549</f>
        <v>339.63099999999997</v>
      </c>
      <c r="AJ549" s="666"/>
      <c r="AK549" s="711">
        <f>AI549/AB549</f>
        <v>61.934077957602007</v>
      </c>
      <c r="AL549" s="666"/>
      <c r="AM549" s="730">
        <f>(AK549/AK542-1)*100</f>
        <v>18.113113230560419</v>
      </c>
      <c r="AN549" s="685" t="s">
        <v>1084</v>
      </c>
      <c r="AO549" s="666"/>
    </row>
    <row r="550" spans="1:41" hidden="1" outlineLevel="1">
      <c r="A550" s="666" t="str">
        <f>$A$27</f>
        <v>2Q</v>
      </c>
      <c r="B550" s="684" t="str">
        <f>$B$27</f>
        <v>Jul</v>
      </c>
      <c r="C550" s="666"/>
      <c r="D550" s="700">
        <f>(S550/S543-1)*100</f>
        <v>11.697803921304084</v>
      </c>
      <c r="E550" s="700"/>
      <c r="F550" s="747">
        <v>12.402828452872452</v>
      </c>
      <c r="G550" s="700"/>
      <c r="H550" s="700">
        <f>D550-F550</f>
        <v>-0.70502453156836786</v>
      </c>
      <c r="I550" s="667"/>
      <c r="J550" s="705">
        <f>+'store&amp;sf'!N78</f>
        <v>677</v>
      </c>
      <c r="K550" s="724"/>
      <c r="L550" s="706">
        <f>AVERAGE(J550,J549)</f>
        <v>677</v>
      </c>
      <c r="M550" s="667"/>
      <c r="N550" s="700">
        <f>(L550/L543-1)*100</f>
        <v>-2.1676300578034713</v>
      </c>
      <c r="O550" s="704"/>
      <c r="P550" s="703">
        <f>H550/N550*100</f>
        <v>32.525131723020657</v>
      </c>
      <c r="Q550" s="702"/>
      <c r="R550" s="667"/>
      <c r="S550" s="712">
        <f>+'segSales&amp;OM'!AJ67</f>
        <v>331.16500000000002</v>
      </c>
      <c r="T550" s="667"/>
      <c r="U550" s="713">
        <f>S550/L550</f>
        <v>0.48916543574593802</v>
      </c>
      <c r="V550" s="666"/>
      <c r="W550" s="730">
        <f>(U550/U543-1)*100</f>
        <v>14.172644480860308</v>
      </c>
      <c r="X550" s="685"/>
      <c r="Y550" s="666"/>
      <c r="Z550" s="678">
        <f>+'store&amp;sf'!N442</f>
        <v>5.4349999999999996</v>
      </c>
      <c r="AA550" s="724"/>
      <c r="AB550" s="710">
        <f>AVERAGE(Z550,Z549)</f>
        <v>5.4331249999999995</v>
      </c>
      <c r="AC550" s="666"/>
      <c r="AD550" s="700">
        <f>(AB550/AB543-1)*100</f>
        <v>-2.2379667116509183</v>
      </c>
      <c r="AE550" s="685"/>
      <c r="AF550" s="703">
        <f>+H550/AD550*100</f>
        <v>31.502905199527326</v>
      </c>
      <c r="AG550" s="668"/>
      <c r="AH550" s="666"/>
      <c r="AI550" s="675">
        <f>+S550</f>
        <v>331.16500000000002</v>
      </c>
      <c r="AJ550" s="666"/>
      <c r="AK550" s="714">
        <f>AI550/AB550</f>
        <v>60.952950649948242</v>
      </c>
      <c r="AL550" s="666"/>
      <c r="AM550" s="730">
        <f>(AK550/AK543-1)*100</f>
        <v>14.254788044200616</v>
      </c>
      <c r="AN550" s="685"/>
      <c r="AO550" s="666"/>
    </row>
    <row r="551" spans="1:41" hidden="1" outlineLevel="1">
      <c r="A551" s="666" t="str">
        <f>$A$28</f>
        <v>3Q</v>
      </c>
      <c r="B551" s="684" t="str">
        <f>$B$28</f>
        <v>Oct</v>
      </c>
      <c r="C551" s="666"/>
      <c r="D551" s="700">
        <f>(S551/S544-1)*100</f>
        <v>18.705233769362685</v>
      </c>
      <c r="E551" s="700"/>
      <c r="F551" s="747">
        <v>18.474334587124115</v>
      </c>
      <c r="G551" s="700"/>
      <c r="H551" s="700">
        <f>D551-F551</f>
        <v>0.23089918223856998</v>
      </c>
      <c r="I551" s="667"/>
      <c r="J551" s="705">
        <f>+'store&amp;sf'!N79</f>
        <v>677</v>
      </c>
      <c r="K551" s="724"/>
      <c r="L551" s="706">
        <f>AVERAGE(J551,J550)</f>
        <v>677</v>
      </c>
      <c r="M551" s="667"/>
      <c r="N551" s="700">
        <f>(L551/L544-1)*100</f>
        <v>-1.8840579710144967</v>
      </c>
      <c r="O551" s="704"/>
      <c r="P551" s="703">
        <f>H551/N551*100</f>
        <v>-12.255418134200996</v>
      </c>
      <c r="Q551" s="702"/>
      <c r="R551" s="667"/>
      <c r="S551" s="712">
        <f>+'segSales&amp;OM'!AJ68</f>
        <v>418.798</v>
      </c>
      <c r="T551" s="667"/>
      <c r="U551" s="713">
        <f>S551/L551</f>
        <v>0.61860856720827184</v>
      </c>
      <c r="V551" s="666"/>
      <c r="W551" s="730">
        <f>(U551/U544-1)*100</f>
        <v>20.984654801861534</v>
      </c>
      <c r="X551" s="685"/>
      <c r="Y551" s="666"/>
      <c r="Z551" s="678">
        <f>+'store&amp;sf'!N443</f>
        <v>5.4274999999999993</v>
      </c>
      <c r="AA551" s="724"/>
      <c r="AB551" s="710">
        <f>AVERAGE(Z551,Z550)</f>
        <v>5.4312499999999995</v>
      </c>
      <c r="AC551" s="666"/>
      <c r="AD551" s="700">
        <f>(AB551/AB544-1)*100</f>
        <v>-2.0293122886133053</v>
      </c>
      <c r="AE551" s="685"/>
      <c r="AF551" s="703">
        <f>+H551/AD551*100</f>
        <v>-11.378198591422855</v>
      </c>
      <c r="AG551" s="668"/>
      <c r="AH551" s="666"/>
      <c r="AI551" s="675">
        <f>+S551</f>
        <v>418.798</v>
      </c>
      <c r="AJ551" s="666"/>
      <c r="AK551" s="714">
        <f>AI551/AB551</f>
        <v>77.108952819332572</v>
      </c>
      <c r="AL551" s="666"/>
      <c r="AM551" s="730">
        <f>(AK551/AK544-1)*100</f>
        <v>21.164030326150396</v>
      </c>
      <c r="AN551" s="685"/>
      <c r="AO551" s="666"/>
    </row>
    <row r="552" spans="1:41" hidden="1" outlineLevel="1">
      <c r="A552" s="666" t="str">
        <f>$A$29</f>
        <v>4Q</v>
      </c>
      <c r="B552" s="684" t="str">
        <f>$B$29</f>
        <v>Jan</v>
      </c>
      <c r="C552" s="666"/>
      <c r="D552" s="715">
        <f>(S552/S545-1)*100</f>
        <v>19.169232512892197</v>
      </c>
      <c r="E552" s="700"/>
      <c r="F552" s="717">
        <v>14.572997734324201</v>
      </c>
      <c r="G552" s="700"/>
      <c r="H552" s="715">
        <f>D552-F552</f>
        <v>4.5962347785679967</v>
      </c>
      <c r="I552" s="667"/>
      <c r="J552" s="705">
        <f>+'store&amp;sf'!N80</f>
        <v>667</v>
      </c>
      <c r="K552" s="724"/>
      <c r="L552" s="716">
        <f>AVERAGE(J552,J551)</f>
        <v>672</v>
      </c>
      <c r="M552" s="667"/>
      <c r="N552" s="715">
        <f>(L552/L545-1)*100</f>
        <v>-2.4673439767779359</v>
      </c>
      <c r="O552" s="704"/>
      <c r="P552" s="717">
        <f>H552/N552*100</f>
        <v>-186.28269190784434</v>
      </c>
      <c r="Q552" s="702"/>
      <c r="R552" s="667"/>
      <c r="S552" s="718">
        <f>+'segSales&amp;OM'!AJ69</f>
        <v>504.69600000000003</v>
      </c>
      <c r="T552" s="667"/>
      <c r="U552" s="719">
        <f>S552/L552</f>
        <v>0.75103571428571436</v>
      </c>
      <c r="V552" s="666"/>
      <c r="W552" s="720">
        <f>(U552/U545-1)*100</f>
        <v>22.183930359200499</v>
      </c>
      <c r="X552" s="685"/>
      <c r="Y552" s="666"/>
      <c r="Z552" s="678">
        <f>+'store&amp;sf'!N444</f>
        <v>5.36</v>
      </c>
      <c r="AA552" s="671"/>
      <c r="AB552" s="721">
        <f>AVERAGE(Z552,Z551)</f>
        <v>5.3937499999999998</v>
      </c>
      <c r="AC552" s="666"/>
      <c r="AD552" s="715">
        <f>(AB552/AB545-1)*100</f>
        <v>-2.6947795692862764</v>
      </c>
      <c r="AE552" s="685"/>
      <c r="AF552" s="717">
        <f>+H552/AD552*100</f>
        <v>-170.56069561137903</v>
      </c>
      <c r="AG552" s="668"/>
      <c r="AH552" s="666"/>
      <c r="AI552" s="722">
        <f>+S552</f>
        <v>504.69600000000003</v>
      </c>
      <c r="AJ552" s="666"/>
      <c r="AK552" s="723">
        <f>AI552/AB552</f>
        <v>93.57052143684821</v>
      </c>
      <c r="AL552" s="666"/>
      <c r="AM552" s="720">
        <f>(AK552/AK545-1)*100</f>
        <v>22.469516008903923</v>
      </c>
      <c r="AN552" s="685"/>
      <c r="AO552" s="666"/>
    </row>
    <row r="553" spans="1:41" hidden="1" outlineLevel="1">
      <c r="A553" s="666"/>
      <c r="B553" s="684" t="str">
        <f>$B$30</f>
        <v>Year</v>
      </c>
      <c r="C553" s="666"/>
      <c r="D553" s="700">
        <f>(S553/S546-1)*100</f>
        <v>16.638097725531864</v>
      </c>
      <c r="E553" s="700"/>
      <c r="F553" s="747">
        <v>15.430823335014951</v>
      </c>
      <c r="G553" s="700"/>
      <c r="H553" s="700">
        <f>D553-F553</f>
        <v>1.207274390516913</v>
      </c>
      <c r="I553" s="667"/>
      <c r="J553" s="667"/>
      <c r="K553" s="667"/>
      <c r="L553" s="725">
        <f>AVERAGE(L549:L552)</f>
        <v>677.125</v>
      </c>
      <c r="M553" s="667"/>
      <c r="N553" s="700">
        <f>(L553/L546-1)*100</f>
        <v>-2.184904297580359</v>
      </c>
      <c r="O553" s="704"/>
      <c r="P553" s="703">
        <f>H553/N553*100</f>
        <v>-55.255252683327669</v>
      </c>
      <c r="Q553" s="702"/>
      <c r="R553" s="667"/>
      <c r="S553" s="726">
        <f>SUM(S549:S552)</f>
        <v>1594.29</v>
      </c>
      <c r="T553" s="667"/>
      <c r="U553" s="707">
        <f>SUM(U549:U552)</f>
        <v>2.3564375560677631</v>
      </c>
      <c r="V553" s="666"/>
      <c r="W553" s="730">
        <f>(U553/U546-1)*100</f>
        <v>19.26897600534323</v>
      </c>
      <c r="X553" s="685"/>
      <c r="Y553" s="666"/>
      <c r="Z553" s="676"/>
      <c r="AA553" s="666"/>
      <c r="AB553" s="710">
        <f>AVERAGE(AB549:AB552)</f>
        <v>5.4354687500000001</v>
      </c>
      <c r="AC553" s="666"/>
      <c r="AD553" s="700">
        <f>(AB553/AB546-1)*100</f>
        <v>-2.2946859903381522</v>
      </c>
      <c r="AE553" s="685"/>
      <c r="AF553" s="703">
        <f>+H553/AD553*100</f>
        <v>-52.611747123579434</v>
      </c>
      <c r="AG553" s="668"/>
      <c r="AH553" s="666"/>
      <c r="AI553" s="673">
        <f>SUM(AI549:AI552)</f>
        <v>1594.29</v>
      </c>
      <c r="AJ553" s="666"/>
      <c r="AK553" s="711">
        <f>SUM(AK549:AK552)</f>
        <v>293.56650286373105</v>
      </c>
      <c r="AL553" s="666"/>
      <c r="AM553" s="730">
        <f>(AK553/AK546-1)*100</f>
        <v>19.419591159810757</v>
      </c>
      <c r="AN553" s="685"/>
      <c r="AO553" s="666"/>
    </row>
    <row r="554" spans="1:41" hidden="1" outlineLevel="1">
      <c r="A554" s="666"/>
      <c r="B554" s="684"/>
      <c r="C554" s="666"/>
      <c r="D554" s="700"/>
      <c r="E554" s="700"/>
      <c r="F554" s="700"/>
      <c r="G554" s="700"/>
      <c r="H554" s="700"/>
      <c r="I554" s="667"/>
      <c r="J554" s="667"/>
      <c r="K554" s="667"/>
      <c r="L554" s="667"/>
      <c r="M554" s="667"/>
      <c r="N554" s="667"/>
      <c r="O554" s="704"/>
      <c r="P554" s="702"/>
      <c r="Q554" s="702"/>
      <c r="R554" s="667"/>
      <c r="S554" s="667"/>
      <c r="T554" s="667"/>
      <c r="U554" s="667"/>
      <c r="V554" s="666"/>
      <c r="W554" s="666"/>
      <c r="X554" s="685"/>
      <c r="Y554" s="666"/>
      <c r="Z554" s="676"/>
      <c r="AA554" s="666"/>
      <c r="AB554" s="679"/>
      <c r="AC554" s="666"/>
      <c r="AD554" s="667"/>
      <c r="AE554" s="685"/>
      <c r="AF554" s="703"/>
      <c r="AG554" s="668"/>
      <c r="AH554" s="666"/>
      <c r="AI554" s="666"/>
      <c r="AJ554" s="666"/>
      <c r="AK554" s="666"/>
      <c r="AL554" s="666"/>
      <c r="AM554" s="666"/>
      <c r="AN554" s="666"/>
      <c r="AO554" s="666"/>
    </row>
    <row r="555" spans="1:41" hidden="1" outlineLevel="1">
      <c r="A555" s="698"/>
      <c r="B555" s="728">
        <f>B548+1</f>
        <v>2001</v>
      </c>
      <c r="C555" s="666"/>
      <c r="D555" s="700"/>
      <c r="E555" s="701"/>
      <c r="F555" s="700"/>
      <c r="G555" s="701"/>
      <c r="H555" s="700"/>
      <c r="I555" s="704"/>
      <c r="J555" s="667"/>
      <c r="K555" s="667"/>
      <c r="L555" s="667"/>
      <c r="M555" s="667"/>
      <c r="N555" s="667"/>
      <c r="O555" s="704"/>
      <c r="P555" s="702"/>
      <c r="Q555" s="702"/>
      <c r="R555" s="667"/>
      <c r="S555" s="667"/>
      <c r="T555" s="667"/>
      <c r="U555" s="667"/>
      <c r="V555" s="666"/>
      <c r="W555" s="666"/>
      <c r="X555" s="685"/>
      <c r="Y555" s="666"/>
      <c r="Z555" s="676"/>
      <c r="AA555" s="666"/>
      <c r="AB555" s="679"/>
      <c r="AC555" s="666"/>
      <c r="AD555" s="667"/>
      <c r="AE555" s="685"/>
      <c r="AF555" s="703"/>
      <c r="AG555" s="668"/>
      <c r="AH555" s="666"/>
      <c r="AI555" s="666"/>
      <c r="AJ555" s="666"/>
      <c r="AK555" s="666"/>
      <c r="AL555" s="666"/>
      <c r="AM555" s="666"/>
      <c r="AN555" s="685"/>
      <c r="AO555" s="666"/>
    </row>
    <row r="556" spans="1:41" hidden="1" outlineLevel="1">
      <c r="A556" s="666" t="str">
        <f>$A$26</f>
        <v>1Q</v>
      </c>
      <c r="B556" s="684" t="str">
        <f>$B$26</f>
        <v>Apr</v>
      </c>
      <c r="C556" s="666"/>
      <c r="D556" s="700">
        <f>(S556/S549-1)*100</f>
        <v>2.7394436903580788</v>
      </c>
      <c r="E556" s="701" t="s">
        <v>1084</v>
      </c>
      <c r="F556" s="747">
        <v>1.4537342818179355</v>
      </c>
      <c r="G556" s="701" t="s">
        <v>1084</v>
      </c>
      <c r="H556" s="700">
        <f>D556-F556</f>
        <v>1.2857094085401433</v>
      </c>
      <c r="I556" s="704" t="s">
        <v>1084</v>
      </c>
      <c r="J556" s="705">
        <f>+'store&amp;sf'!N83</f>
        <v>661</v>
      </c>
      <c r="K556" s="667"/>
      <c r="L556" s="706">
        <f>AVERAGE(J556,J552)</f>
        <v>664</v>
      </c>
      <c r="M556" s="667"/>
      <c r="N556" s="700">
        <f>(L556/L549-1)*100</f>
        <v>-2.7106227106227121</v>
      </c>
      <c r="O556" s="704" t="s">
        <v>1084</v>
      </c>
      <c r="P556" s="703">
        <f>H556/N556*100</f>
        <v>-47.432252504251203</v>
      </c>
      <c r="Q556" s="702" t="s">
        <v>1084</v>
      </c>
      <c r="R556" s="667"/>
      <c r="S556" s="726">
        <f>+'segSales&amp;OM'!AJ73</f>
        <v>348.935</v>
      </c>
      <c r="T556" s="667"/>
      <c r="U556" s="707">
        <f>S556/L556</f>
        <v>0.52550451807228915</v>
      </c>
      <c r="V556" s="666"/>
      <c r="W556" s="730">
        <f>(U556/U549-1)*100</f>
        <v>5.6019131305261816</v>
      </c>
      <c r="X556" s="685" t="s">
        <v>1084</v>
      </c>
      <c r="Y556" s="666"/>
      <c r="Z556" s="678">
        <f>+'store&amp;sf'!N453</f>
        <v>5.2762500000000001</v>
      </c>
      <c r="AA556" s="666"/>
      <c r="AB556" s="710">
        <f>AVERAGE(Z556,Z552)</f>
        <v>5.3181250000000002</v>
      </c>
      <c r="AC556" s="666"/>
      <c r="AD556" s="700">
        <f>(AB556/AB549-1)*100</f>
        <v>-3.0202872122179092</v>
      </c>
      <c r="AE556" s="685" t="s">
        <v>1084</v>
      </c>
      <c r="AF556" s="703">
        <f>+H556/AD556*100</f>
        <v>-42.569110756721678</v>
      </c>
      <c r="AG556" s="668" t="s">
        <v>1084</v>
      </c>
      <c r="AH556" s="666"/>
      <c r="AI556" s="673">
        <f>+S556</f>
        <v>348.935</v>
      </c>
      <c r="AJ556" s="666"/>
      <c r="AK556" s="711">
        <f>AI556/AB556</f>
        <v>65.612410388999876</v>
      </c>
      <c r="AL556" s="666"/>
      <c r="AM556" s="730">
        <f>(AK556/AK549-1)*100</f>
        <v>5.9391090538490454</v>
      </c>
      <c r="AN556" s="685" t="s">
        <v>1084</v>
      </c>
      <c r="AO556" s="666"/>
    </row>
    <row r="557" spans="1:41" hidden="1" outlineLevel="1">
      <c r="A557" s="666" t="str">
        <f>$A$27</f>
        <v>2Q</v>
      </c>
      <c r="B557" s="684" t="str">
        <f>$B$27</f>
        <v>Jul</v>
      </c>
      <c r="C557" s="666"/>
      <c r="D557" s="700">
        <f>(S557/S550-1)*100</f>
        <v>-3.0797336675071341</v>
      </c>
      <c r="E557" s="700"/>
      <c r="F557" s="747">
        <v>-4.3808100470185209</v>
      </c>
      <c r="G557" s="700"/>
      <c r="H557" s="700">
        <f>D557-F557</f>
        <v>1.3010763795113869</v>
      </c>
      <c r="I557" s="667"/>
      <c r="J557" s="705">
        <f>+'store&amp;sf'!N84</f>
        <v>661</v>
      </c>
      <c r="K557" s="724"/>
      <c r="L557" s="706">
        <f>AVERAGE(J557,J556)</f>
        <v>661</v>
      </c>
      <c r="M557" s="667"/>
      <c r="N557" s="700">
        <f>(L557/L550-1)*100</f>
        <v>-2.3633677991137358</v>
      </c>
      <c r="O557" s="704"/>
      <c r="P557" s="703">
        <f>H557/N557*100</f>
        <v>-55.051794308075586</v>
      </c>
      <c r="Q557" s="702"/>
      <c r="R557" s="667"/>
      <c r="S557" s="712">
        <f>+'segSales&amp;OM'!AJ74</f>
        <v>320.96600000000001</v>
      </c>
      <c r="T557" s="667"/>
      <c r="U557" s="713">
        <f>S557/L557</f>
        <v>0.48557639939485631</v>
      </c>
      <c r="V557" s="666"/>
      <c r="W557" s="730">
        <f>(U557/U550-1)*100</f>
        <v>-0.73370604069944445</v>
      </c>
      <c r="X557" s="685"/>
      <c r="Y557" s="666"/>
      <c r="Z557" s="678">
        <f>+'store&amp;sf'!N454</f>
        <v>5.04</v>
      </c>
      <c r="AA557" s="724"/>
      <c r="AB557" s="710">
        <f>AVERAGE(Z557,Z556)</f>
        <v>5.1581250000000001</v>
      </c>
      <c r="AC557" s="666"/>
      <c r="AD557" s="700">
        <f>(AB557/AB550-1)*100</f>
        <v>-5.061543770850097</v>
      </c>
      <c r="AE557" s="685"/>
      <c r="AF557" s="703">
        <f>+H557/AD557*100</f>
        <v>-25.705129470664804</v>
      </c>
      <c r="AG557" s="668"/>
      <c r="AH557" s="666"/>
      <c r="AI557" s="675">
        <f>+S557</f>
        <v>320.96600000000001</v>
      </c>
      <c r="AJ557" s="666"/>
      <c r="AK557" s="714">
        <f>AI557/AB557</f>
        <v>62.225324124560764</v>
      </c>
      <c r="AL557" s="666"/>
      <c r="AM557" s="730">
        <f>(AK557/AK550-1)*100</f>
        <v>2.0874682210542117</v>
      </c>
      <c r="AN557" s="685"/>
      <c r="AO557" s="666"/>
    </row>
    <row r="558" spans="1:41" hidden="1" outlineLevel="1">
      <c r="A558" s="666" t="str">
        <f>$A$28</f>
        <v>3Q</v>
      </c>
      <c r="B558" s="684" t="str">
        <f>$B$28</f>
        <v>Oct</v>
      </c>
      <c r="C558" s="666"/>
      <c r="D558" s="700">
        <f>(S558/S551-1)*100</f>
        <v>-7.1745805853896227</v>
      </c>
      <c r="E558" s="700"/>
      <c r="F558" s="747">
        <v>-3.8322852216249115</v>
      </c>
      <c r="G558" s="700"/>
      <c r="H558" s="700">
        <f>D558-F558</f>
        <v>-3.3422953637647113</v>
      </c>
      <c r="I558" s="667"/>
      <c r="J558" s="705">
        <f>+'store&amp;sf'!N85</f>
        <v>669</v>
      </c>
      <c r="K558" s="724"/>
      <c r="L558" s="706">
        <f>AVERAGE(J558,J557)</f>
        <v>665</v>
      </c>
      <c r="M558" s="667"/>
      <c r="N558" s="700">
        <f>(L558/L551-1)*100</f>
        <v>-1.7725258493353047</v>
      </c>
      <c r="O558" s="704"/>
      <c r="P558" s="703">
        <f>H558/N558*100</f>
        <v>188.56116343905893</v>
      </c>
      <c r="Q558" s="702"/>
      <c r="R558" s="667"/>
      <c r="S558" s="712">
        <f>+'segSales&amp;OM'!AJ75</f>
        <v>388.75099999999998</v>
      </c>
      <c r="T558" s="667"/>
      <c r="U558" s="713">
        <f>S558/L558</f>
        <v>0.58458796992481199</v>
      </c>
      <c r="V558" s="666"/>
      <c r="W558" s="730">
        <f>(U558/U551-1)*100</f>
        <v>-5.4995354230207187</v>
      </c>
      <c r="X558" s="685"/>
      <c r="Y558" s="666"/>
      <c r="Z558" s="678">
        <f>+'store&amp;sf'!N455</f>
        <v>5.0137499999999999</v>
      </c>
      <c r="AA558" s="724"/>
      <c r="AB558" s="710">
        <f>AVERAGE(Z558,Z557)</f>
        <v>5.0268750000000004</v>
      </c>
      <c r="AC558" s="666"/>
      <c r="AD558" s="700">
        <f>(AB558/AB551-1)*100</f>
        <v>-7.4453394706559095</v>
      </c>
      <c r="AE558" s="685"/>
      <c r="AF558" s="703">
        <f>+H558/AD558*100</f>
        <v>44.891107745155189</v>
      </c>
      <c r="AG558" s="668"/>
      <c r="AH558" s="666"/>
      <c r="AI558" s="675">
        <f>+S558</f>
        <v>388.75099999999998</v>
      </c>
      <c r="AJ558" s="666"/>
      <c r="AK558" s="714">
        <f>AI558/AB558</f>
        <v>77.334526917816717</v>
      </c>
      <c r="AL558" s="666"/>
      <c r="AM558" s="730">
        <f>(AK558/AK551-1)*100</f>
        <v>0.29253943963247764</v>
      </c>
      <c r="AN558" s="685"/>
      <c r="AO558" s="666"/>
    </row>
    <row r="559" spans="1:41" hidden="1" outlineLevel="1">
      <c r="A559" s="666" t="str">
        <f>$A$29</f>
        <v>4Q</v>
      </c>
      <c r="B559" s="684" t="str">
        <f>$B$29</f>
        <v>Jan</v>
      </c>
      <c r="C559" s="666"/>
      <c r="D559" s="715">
        <f>(S559/S552-1)*100</f>
        <v>0</v>
      </c>
      <c r="E559" s="700"/>
      <c r="F559" s="717">
        <v>-4.6449886325622226E-2</v>
      </c>
      <c r="G559" s="700"/>
      <c r="H559" s="715">
        <f>D559-F559</f>
        <v>4.6449886325622226E-2</v>
      </c>
      <c r="I559" s="667"/>
      <c r="J559" s="705">
        <f>+'store&amp;sf'!N86</f>
        <v>667</v>
      </c>
      <c r="K559" s="724"/>
      <c r="L559" s="716">
        <f>AVERAGE(J559,J558)</f>
        <v>668</v>
      </c>
      <c r="M559" s="667"/>
      <c r="N559" s="715">
        <f>(L559/L552-1)*100</f>
        <v>-0.59523809523809312</v>
      </c>
      <c r="O559" s="704"/>
      <c r="P559" s="717">
        <f>H559/N559*100</f>
        <v>-7.8035809027045611</v>
      </c>
      <c r="Q559" s="702"/>
      <c r="R559" s="667"/>
      <c r="S559" s="718">
        <f>+'segSales&amp;OM'!AJ76</f>
        <v>504.69600000000003</v>
      </c>
      <c r="T559" s="667"/>
      <c r="U559" s="719">
        <f>S559/L559</f>
        <v>0.75553293413173661</v>
      </c>
      <c r="V559" s="666"/>
      <c r="W559" s="720">
        <f>(U559/U552-1)*100</f>
        <v>0.59880239520957446</v>
      </c>
      <c r="X559" s="685"/>
      <c r="Y559" s="666"/>
      <c r="Z559" s="678">
        <f>+'store&amp;sf'!N456</f>
        <v>4.9087499999999995</v>
      </c>
      <c r="AA559" s="671"/>
      <c r="AB559" s="721">
        <f>AVERAGE(Z559,Z558)</f>
        <v>4.9612499999999997</v>
      </c>
      <c r="AC559" s="666"/>
      <c r="AD559" s="715">
        <f>(AB559/AB552-1)*100</f>
        <v>-8.0185399768250338</v>
      </c>
      <c r="AE559" s="685"/>
      <c r="AF559" s="717">
        <f>+H559/AD559*100</f>
        <v>-0.57928109680653117</v>
      </c>
      <c r="AG559" s="668"/>
      <c r="AH559" s="666"/>
      <c r="AI559" s="722">
        <f>+S559</f>
        <v>504.69600000000003</v>
      </c>
      <c r="AJ559" s="666"/>
      <c r="AK559" s="723">
        <f>AI559/AB559</f>
        <v>101.72758881330311</v>
      </c>
      <c r="AL559" s="666"/>
      <c r="AM559" s="720">
        <f>(AK559/AK552-1)*100</f>
        <v>8.7175610985134924</v>
      </c>
      <c r="AN559" s="685"/>
      <c r="AO559" s="666"/>
    </row>
    <row r="560" spans="1:41" hidden="1" outlineLevel="1">
      <c r="A560" s="666"/>
      <c r="B560" s="684" t="str">
        <f>$B$30</f>
        <v>Year</v>
      </c>
      <c r="C560" s="666"/>
      <c r="D560" s="700">
        <f>(S560/S553-1)*100</f>
        <v>-1.9408012344052872</v>
      </c>
      <c r="E560" s="700"/>
      <c r="F560" s="747">
        <v>-1.6270307477780195</v>
      </c>
      <c r="G560" s="700"/>
      <c r="H560" s="700">
        <f>D560-F560</f>
        <v>-0.3137704866272677</v>
      </c>
      <c r="I560" s="667"/>
      <c r="J560" s="667"/>
      <c r="K560" s="667"/>
      <c r="L560" s="725">
        <f>AVERAGE(L556:L559)</f>
        <v>664.5</v>
      </c>
      <c r="M560" s="667"/>
      <c r="N560" s="700">
        <f>(L560/L553-1)*100</f>
        <v>-1.8645006461140867</v>
      </c>
      <c r="O560" s="704"/>
      <c r="P560" s="703">
        <f>H560/N560*100</f>
        <v>16.828660654058496</v>
      </c>
      <c r="Q560" s="702"/>
      <c r="R560" s="667"/>
      <c r="S560" s="726">
        <f>SUM(S556:S559)</f>
        <v>1563.348</v>
      </c>
      <c r="T560" s="667"/>
      <c r="U560" s="707">
        <f>SUM(U556:U559)</f>
        <v>2.3512018215236941</v>
      </c>
      <c r="V560" s="666"/>
      <c r="W560" s="730">
        <f>(U560/U553-1)*100</f>
        <v>-0.22218855452320607</v>
      </c>
      <c r="X560" s="685"/>
      <c r="Y560" s="666"/>
      <c r="Z560" s="676"/>
      <c r="AA560" s="666"/>
      <c r="AB560" s="710">
        <f>AVERAGE(AB556:AB559)</f>
        <v>5.1160937500000001</v>
      </c>
      <c r="AC560" s="666"/>
      <c r="AD560" s="700">
        <f>(AB560/AB553-1)*100</f>
        <v>-5.8757581855290786</v>
      </c>
      <c r="AE560" s="685"/>
      <c r="AF560" s="703">
        <f>+H560/AD560*100</f>
        <v>5.3400850872322696</v>
      </c>
      <c r="AG560" s="668"/>
      <c r="AH560" s="666"/>
      <c r="AI560" s="673">
        <f>SUM(AI556:AI559)</f>
        <v>1563.348</v>
      </c>
      <c r="AJ560" s="666"/>
      <c r="AK560" s="711">
        <f>SUM(AK556:AK559)</f>
        <v>306.89985024468047</v>
      </c>
      <c r="AL560" s="666"/>
      <c r="AM560" s="730">
        <f>(AK560/AK553-1)*100</f>
        <v>4.5418490362092001</v>
      </c>
      <c r="AN560" s="685"/>
      <c r="AO560" s="666"/>
    </row>
    <row r="561" spans="1:41" hidden="1" outlineLevel="1">
      <c r="A561" s="666"/>
      <c r="B561" s="684"/>
      <c r="C561" s="666"/>
      <c r="D561" s="667"/>
      <c r="E561" s="667"/>
      <c r="F561" s="667"/>
      <c r="G561" s="667"/>
      <c r="H561" s="666"/>
      <c r="I561" s="666"/>
      <c r="J561" s="666"/>
      <c r="K561" s="666"/>
      <c r="L561" s="666"/>
      <c r="M561" s="666"/>
      <c r="N561" s="666"/>
      <c r="O561" s="685"/>
      <c r="P561" s="666"/>
      <c r="Q561" s="666"/>
      <c r="R561" s="666"/>
      <c r="S561" s="666"/>
      <c r="T561" s="666"/>
      <c r="U561" s="666"/>
      <c r="V561" s="666"/>
      <c r="W561" s="666"/>
      <c r="X561" s="666"/>
      <c r="Y561" s="666"/>
      <c r="Z561" s="666"/>
      <c r="AA561" s="666"/>
      <c r="AB561" s="666"/>
      <c r="AC561" s="666"/>
      <c r="AD561" s="666"/>
      <c r="AE561" s="685"/>
      <c r="AF561" s="666"/>
      <c r="AG561" s="666"/>
      <c r="AH561" s="666"/>
      <c r="AI561" s="666"/>
      <c r="AJ561" s="666"/>
      <c r="AK561" s="666"/>
      <c r="AL561" s="666"/>
      <c r="AM561" s="666"/>
      <c r="AN561" s="666"/>
      <c r="AO561" s="666"/>
    </row>
    <row r="562" spans="1:41" hidden="1" outlineLevel="1">
      <c r="A562" s="666"/>
      <c r="B562" s="684"/>
      <c r="C562" s="666"/>
      <c r="D562" s="666"/>
      <c r="E562" s="666"/>
      <c r="F562" s="666"/>
      <c r="G562" s="666"/>
      <c r="H562" s="666"/>
      <c r="I562" s="666"/>
      <c r="J562" s="666"/>
      <c r="K562" s="666"/>
      <c r="L562" s="666"/>
      <c r="M562" s="666"/>
      <c r="N562" s="666"/>
      <c r="O562" s="666"/>
      <c r="P562" s="666"/>
      <c r="Q562" s="666"/>
      <c r="R562" s="666"/>
      <c r="S562" s="666"/>
      <c r="T562" s="666"/>
      <c r="U562" s="666"/>
      <c r="V562" s="666"/>
      <c r="W562" s="666"/>
      <c r="X562" s="666"/>
      <c r="Y562" s="666"/>
      <c r="Z562" s="666"/>
      <c r="AA562" s="666"/>
      <c r="AB562" s="666"/>
      <c r="AC562" s="666"/>
      <c r="AD562" s="666"/>
      <c r="AE562" s="666"/>
      <c r="AF562" s="666"/>
      <c r="AG562" s="666"/>
      <c r="AH562" s="666"/>
      <c r="AI562" s="666"/>
      <c r="AJ562" s="666"/>
      <c r="AK562" s="666"/>
      <c r="AL562" s="666"/>
      <c r="AM562" s="666"/>
      <c r="AN562" s="666"/>
      <c r="AO562" s="666"/>
    </row>
    <row r="563" spans="1:41" hidden="1" outlineLevel="1">
      <c r="A563" s="666"/>
      <c r="B563" s="684"/>
      <c r="C563" s="666"/>
      <c r="D563" s="696" t="s">
        <v>989</v>
      </c>
      <c r="E563" s="691"/>
      <c r="F563" s="694"/>
      <c r="G563" s="691"/>
      <c r="H563" s="694"/>
      <c r="I563" s="666"/>
      <c r="J563" s="694"/>
      <c r="K563" s="691"/>
      <c r="L563" s="694"/>
      <c r="M563" s="691"/>
      <c r="N563" s="694"/>
      <c r="O563" s="666"/>
      <c r="P563" s="695"/>
      <c r="Q563" s="695"/>
      <c r="R563" s="666"/>
      <c r="S563" s="694"/>
      <c r="T563" s="666"/>
      <c r="U563" s="694"/>
      <c r="V563" s="666"/>
      <c r="W563" s="694"/>
      <c r="X563" s="685"/>
      <c r="Y563" s="666"/>
      <c r="Z563" s="694"/>
      <c r="AA563" s="691"/>
      <c r="AB563" s="694"/>
      <c r="AC563" s="691"/>
      <c r="AD563" s="694"/>
      <c r="AE563" s="666"/>
      <c r="AF563" s="695"/>
      <c r="AG563" s="695"/>
      <c r="AH563" s="666"/>
      <c r="AI563" s="694"/>
      <c r="AJ563" s="666"/>
      <c r="AK563" s="694"/>
      <c r="AL563" s="666"/>
      <c r="AM563" s="694"/>
      <c r="AN563" s="685"/>
      <c r="AO563" s="666"/>
    </row>
    <row r="564" spans="1:41" hidden="1" outlineLevel="1" collapsed="1">
      <c r="A564" s="698"/>
      <c r="B564" s="699">
        <v>1993</v>
      </c>
      <c r="C564" s="666"/>
      <c r="D564" s="700"/>
      <c r="E564" s="700"/>
      <c r="F564" s="700"/>
      <c r="G564" s="700"/>
      <c r="H564" s="700"/>
      <c r="I564" s="667"/>
      <c r="J564" s="667"/>
      <c r="K564" s="667"/>
      <c r="L564" s="667"/>
      <c r="M564" s="667"/>
      <c r="N564" s="667"/>
      <c r="O564" s="667"/>
      <c r="P564" s="702"/>
      <c r="Q564" s="702"/>
      <c r="R564" s="667"/>
      <c r="S564" s="667"/>
      <c r="T564" s="667"/>
      <c r="U564" s="667"/>
      <c r="V564" s="666"/>
      <c r="W564" s="666"/>
      <c r="X564" s="685"/>
      <c r="Y564" s="666"/>
      <c r="Z564" s="676"/>
      <c r="AA564" s="666"/>
      <c r="AB564" s="679"/>
      <c r="AC564" s="666"/>
      <c r="AD564" s="667"/>
      <c r="AE564" s="666"/>
      <c r="AF564" s="703"/>
      <c r="AG564" s="668"/>
      <c r="AH564" s="666"/>
      <c r="AI564" s="666"/>
      <c r="AJ564" s="666"/>
      <c r="AK564" s="666"/>
      <c r="AL564" s="666"/>
      <c r="AM564" s="666"/>
      <c r="AN564" s="685"/>
      <c r="AO564" s="666"/>
    </row>
    <row r="565" spans="1:41" hidden="1" outlineLevel="1">
      <c r="A565" s="666" t="str">
        <f>$A$26</f>
        <v>1Q</v>
      </c>
      <c r="B565" s="684" t="str">
        <f>$B$26</f>
        <v>Apr</v>
      </c>
      <c r="C565" s="666"/>
      <c r="D565" s="700"/>
      <c r="E565" s="700"/>
      <c r="F565" s="700"/>
      <c r="G565" s="700"/>
      <c r="H565" s="700"/>
      <c r="I565" s="704"/>
      <c r="J565" s="705">
        <f>+'store&amp;sf'!P35</f>
        <v>344</v>
      </c>
      <c r="K565" s="667"/>
      <c r="L565" s="743">
        <f>AVERAGE(J565,330)</f>
        <v>337</v>
      </c>
      <c r="M565" s="667"/>
      <c r="N565" s="700"/>
      <c r="O565" s="704"/>
      <c r="P565" s="703"/>
      <c r="Q565" s="702"/>
      <c r="R565" s="667"/>
      <c r="S565" s="726"/>
      <c r="T565" s="667"/>
      <c r="U565" s="707"/>
      <c r="V565" s="666"/>
      <c r="W565" s="708"/>
      <c r="X565" s="685"/>
      <c r="Y565" s="666"/>
      <c r="Z565" s="678">
        <f>+'store&amp;sf'!P399</f>
        <v>1.4349999999999998</v>
      </c>
      <c r="AA565" s="666"/>
      <c r="AB565" s="744">
        <f>AVERAGE(Z565,1.43)</f>
        <v>1.4324999999999999</v>
      </c>
      <c r="AC565" s="666"/>
      <c r="AD565" s="700"/>
      <c r="AE565" s="685"/>
      <c r="AF565" s="703"/>
      <c r="AG565" s="668"/>
      <c r="AH565" s="666"/>
      <c r="AI565" s="673"/>
      <c r="AJ565" s="666"/>
      <c r="AK565" s="711"/>
      <c r="AL565" s="666"/>
      <c r="AM565" s="677"/>
      <c r="AN565" s="685"/>
      <c r="AO565" s="666"/>
    </row>
    <row r="566" spans="1:41" hidden="1" outlineLevel="1">
      <c r="A566" s="666" t="str">
        <f>$A$27</f>
        <v>2Q</v>
      </c>
      <c r="B566" s="684" t="str">
        <f>$B$27</f>
        <v>Jul</v>
      </c>
      <c r="C566" s="666"/>
      <c r="D566" s="700"/>
      <c r="E566" s="700"/>
      <c r="F566" s="700"/>
      <c r="G566" s="700"/>
      <c r="H566" s="700"/>
      <c r="I566" s="704"/>
      <c r="J566" s="705">
        <f>+'store&amp;sf'!P36</f>
        <v>355</v>
      </c>
      <c r="K566" s="667"/>
      <c r="L566" s="706">
        <f>AVERAGE(J566,J565)</f>
        <v>349.5</v>
      </c>
      <c r="M566" s="667"/>
      <c r="N566" s="700"/>
      <c r="O566" s="704"/>
      <c r="P566" s="703"/>
      <c r="Q566" s="702"/>
      <c r="R566" s="667"/>
      <c r="S566" s="712"/>
      <c r="T566" s="667"/>
      <c r="U566" s="713"/>
      <c r="V566" s="666"/>
      <c r="W566" s="708"/>
      <c r="X566" s="685"/>
      <c r="Y566" s="666"/>
      <c r="Z566" s="678">
        <f>+'store&amp;sf'!P400</f>
        <v>1.53125</v>
      </c>
      <c r="AA566" s="666"/>
      <c r="AB566" s="710">
        <f>AVERAGE(Z566,Z565)</f>
        <v>1.4831249999999998</v>
      </c>
      <c r="AC566" s="666"/>
      <c r="AD566" s="700"/>
      <c r="AE566" s="685"/>
      <c r="AF566" s="703"/>
      <c r="AG566" s="668"/>
      <c r="AH566" s="666"/>
      <c r="AI566" s="675"/>
      <c r="AJ566" s="666"/>
      <c r="AK566" s="714"/>
      <c r="AL566" s="666"/>
      <c r="AM566" s="708"/>
      <c r="AN566" s="685"/>
      <c r="AO566" s="666"/>
    </row>
    <row r="567" spans="1:41" hidden="1" outlineLevel="1">
      <c r="A567" s="666" t="str">
        <f>$A$28</f>
        <v>3Q</v>
      </c>
      <c r="B567" s="684" t="str">
        <f>$B$28</f>
        <v>Oct</v>
      </c>
      <c r="C567" s="666"/>
      <c r="D567" s="700"/>
      <c r="E567" s="700"/>
      <c r="F567" s="700"/>
      <c r="G567" s="700"/>
      <c r="H567" s="700"/>
      <c r="I567" s="704"/>
      <c r="J567" s="705">
        <f>+'store&amp;sf'!P37</f>
        <v>377</v>
      </c>
      <c r="K567" s="667"/>
      <c r="L567" s="706">
        <f>AVERAGE(J567,J566)</f>
        <v>366</v>
      </c>
      <c r="M567" s="667"/>
      <c r="N567" s="700"/>
      <c r="O567" s="704"/>
      <c r="P567" s="703"/>
      <c r="Q567" s="702"/>
      <c r="R567" s="667"/>
      <c r="S567" s="712"/>
      <c r="T567" s="667"/>
      <c r="U567" s="713"/>
      <c r="V567" s="666"/>
      <c r="W567" s="708"/>
      <c r="X567" s="685"/>
      <c r="Y567" s="666"/>
      <c r="Z567" s="678">
        <f>+'store&amp;sf'!P401</f>
        <v>1.6625000000000001</v>
      </c>
      <c r="AA567" s="666"/>
      <c r="AB567" s="710">
        <f>AVERAGE(Z567,Z566)</f>
        <v>1.596875</v>
      </c>
      <c r="AC567" s="666"/>
      <c r="AD567" s="700"/>
      <c r="AE567" s="685"/>
      <c r="AF567" s="703"/>
      <c r="AG567" s="668"/>
      <c r="AH567" s="666"/>
      <c r="AI567" s="675"/>
      <c r="AJ567" s="666"/>
      <c r="AK567" s="714"/>
      <c r="AL567" s="666"/>
      <c r="AM567" s="708"/>
      <c r="AN567" s="685"/>
      <c r="AO567" s="666"/>
    </row>
    <row r="568" spans="1:41" hidden="1" outlineLevel="1">
      <c r="A568" s="666" t="str">
        <f>$A$29</f>
        <v>4Q</v>
      </c>
      <c r="B568" s="684" t="str">
        <f>$B$29</f>
        <v>Jan</v>
      </c>
      <c r="C568" s="666"/>
      <c r="D568" s="715"/>
      <c r="E568" s="700"/>
      <c r="F568" s="715"/>
      <c r="G568" s="700"/>
      <c r="H568" s="715"/>
      <c r="I568" s="704"/>
      <c r="J568" s="705">
        <f>+'store&amp;sf'!P38</f>
        <v>394</v>
      </c>
      <c r="K568" s="667"/>
      <c r="L568" s="716">
        <f>AVERAGE(J568,J567)</f>
        <v>385.5</v>
      </c>
      <c r="M568" s="667"/>
      <c r="N568" s="715"/>
      <c r="O568" s="704"/>
      <c r="P568" s="717"/>
      <c r="Q568" s="702"/>
      <c r="R568" s="667"/>
      <c r="S568" s="718"/>
      <c r="T568" s="667"/>
      <c r="U568" s="719"/>
      <c r="V568" s="666"/>
      <c r="W568" s="720"/>
      <c r="X568" s="685"/>
      <c r="Y568" s="666"/>
      <c r="Z568" s="678">
        <f>+'store&amp;sf'!P402</f>
        <v>1.76125</v>
      </c>
      <c r="AA568" s="666"/>
      <c r="AB568" s="721">
        <f>AVERAGE(Z568,Z567)</f>
        <v>1.711875</v>
      </c>
      <c r="AC568" s="666"/>
      <c r="AD568" s="715"/>
      <c r="AE568" s="685"/>
      <c r="AF568" s="717"/>
      <c r="AG568" s="668"/>
      <c r="AH568" s="666"/>
      <c r="AI568" s="722"/>
      <c r="AJ568" s="666"/>
      <c r="AK568" s="723"/>
      <c r="AL568" s="666"/>
      <c r="AM568" s="720"/>
      <c r="AN568" s="685"/>
      <c r="AO568" s="666"/>
    </row>
    <row r="569" spans="1:41" hidden="1" outlineLevel="1">
      <c r="A569" s="666"/>
      <c r="B569" s="684" t="str">
        <f>$B$30</f>
        <v>Year</v>
      </c>
      <c r="C569" s="666"/>
      <c r="D569" s="700"/>
      <c r="E569" s="700"/>
      <c r="F569" s="700"/>
      <c r="G569" s="700"/>
      <c r="H569" s="700"/>
      <c r="I569" s="704"/>
      <c r="J569" s="724"/>
      <c r="K569" s="667"/>
      <c r="L569" s="725">
        <f>AVERAGE(L565:L568)</f>
        <v>359.5</v>
      </c>
      <c r="M569" s="667"/>
      <c r="N569" s="700"/>
      <c r="O569" s="704"/>
      <c r="P569" s="703"/>
      <c r="Q569" s="702"/>
      <c r="R569" s="667"/>
      <c r="S569" s="726"/>
      <c r="T569" s="667"/>
      <c r="U569" s="707"/>
      <c r="V569" s="666"/>
      <c r="W569" s="708"/>
      <c r="X569" s="685"/>
      <c r="Y569" s="666"/>
      <c r="Z569" s="727"/>
      <c r="AA569" s="666"/>
      <c r="AB569" s="710">
        <f>AVERAGE(AB565:AB568)</f>
        <v>1.5560937499999998</v>
      </c>
      <c r="AC569" s="666"/>
      <c r="AD569" s="700"/>
      <c r="AE569" s="685"/>
      <c r="AF569" s="703"/>
      <c r="AG569" s="668"/>
      <c r="AH569" s="666"/>
      <c r="AI569" s="673"/>
      <c r="AJ569" s="666"/>
      <c r="AK569" s="711"/>
      <c r="AL569" s="666"/>
      <c r="AM569" s="708"/>
      <c r="AN569" s="685"/>
      <c r="AO569" s="666"/>
    </row>
    <row r="570" spans="1:41" hidden="1" outlineLevel="1">
      <c r="A570" s="666"/>
      <c r="B570" s="684"/>
      <c r="C570" s="666"/>
      <c r="D570" s="700"/>
      <c r="E570" s="700"/>
      <c r="F570" s="700"/>
      <c r="G570" s="700"/>
      <c r="H570" s="700"/>
      <c r="I570" s="704"/>
      <c r="J570" s="724"/>
      <c r="K570" s="667"/>
      <c r="L570" s="667"/>
      <c r="M570" s="667"/>
      <c r="N570" s="667"/>
      <c r="O570" s="704"/>
      <c r="P570" s="702"/>
      <c r="Q570" s="702"/>
      <c r="R570" s="667"/>
      <c r="S570" s="667"/>
      <c r="T570" s="667"/>
      <c r="U570" s="667"/>
      <c r="V570" s="666"/>
      <c r="W570" s="666"/>
      <c r="X570" s="685"/>
      <c r="Y570" s="666"/>
      <c r="Z570" s="727"/>
      <c r="AA570" s="666"/>
      <c r="AB570" s="679"/>
      <c r="AC570" s="666"/>
      <c r="AD570" s="667"/>
      <c r="AE570" s="685"/>
      <c r="AF570" s="703"/>
      <c r="AG570" s="668"/>
      <c r="AH570" s="666"/>
      <c r="AI570" s="666"/>
      <c r="AJ570" s="666"/>
      <c r="AK570" s="666"/>
      <c r="AL570" s="666"/>
      <c r="AM570" s="666"/>
      <c r="AN570" s="685"/>
      <c r="AO570" s="666"/>
    </row>
    <row r="571" spans="1:41" hidden="1" outlineLevel="1">
      <c r="A571" s="729"/>
      <c r="B571" s="728">
        <f>+B564+1</f>
        <v>1994</v>
      </c>
      <c r="C571" s="666"/>
      <c r="D571" s="700"/>
      <c r="E571" s="700"/>
      <c r="F571" s="700"/>
      <c r="G571" s="700"/>
      <c r="H571" s="700"/>
      <c r="I571" s="667"/>
      <c r="J571" s="667"/>
      <c r="K571" s="667"/>
      <c r="L571" s="667"/>
      <c r="M571" s="667"/>
      <c r="N571" s="667"/>
      <c r="O571" s="667"/>
      <c r="P571" s="702"/>
      <c r="Q571" s="702"/>
      <c r="R571" s="667"/>
      <c r="S571" s="667"/>
      <c r="T571" s="667"/>
      <c r="U571" s="667"/>
      <c r="V571" s="666"/>
      <c r="W571" s="666"/>
      <c r="X571" s="685"/>
      <c r="Y571" s="666"/>
      <c r="Z571" s="676"/>
      <c r="AA571" s="666"/>
      <c r="AB571" s="679"/>
      <c r="AC571" s="666"/>
      <c r="AD571" s="667"/>
      <c r="AE571" s="666"/>
      <c r="AF571" s="703"/>
      <c r="AG571" s="668"/>
      <c r="AH571" s="666"/>
      <c r="AI571" s="666"/>
      <c r="AJ571" s="666"/>
      <c r="AK571" s="666"/>
      <c r="AL571" s="666"/>
      <c r="AM571" s="666"/>
      <c r="AN571" s="685"/>
      <c r="AO571" s="666"/>
    </row>
    <row r="572" spans="1:41" hidden="1" outlineLevel="1">
      <c r="A572" s="666" t="s">
        <v>119</v>
      </c>
      <c r="B572" s="684" t="s">
        <v>830</v>
      </c>
      <c r="C572" s="666"/>
      <c r="D572" s="700"/>
      <c r="E572" s="700"/>
      <c r="F572" s="703">
        <v>21.257716668646339</v>
      </c>
      <c r="G572" s="701" t="s">
        <v>1084</v>
      </c>
      <c r="H572" s="700"/>
      <c r="I572" s="704"/>
      <c r="J572" s="705">
        <f>+'store&amp;sf'!P41</f>
        <v>402</v>
      </c>
      <c r="K572" s="667"/>
      <c r="L572" s="706">
        <f>AVERAGE(J572,J568)</f>
        <v>398</v>
      </c>
      <c r="M572" s="667"/>
      <c r="N572" s="700">
        <f>(L572/L565-1)*100</f>
        <v>18.100890207715125</v>
      </c>
      <c r="O572" s="704" t="s">
        <v>1084</v>
      </c>
      <c r="P572" s="703"/>
      <c r="Q572" s="702"/>
      <c r="R572" s="667"/>
      <c r="S572" s="726">
        <f>+'segSales&amp;OM'!AK24</f>
        <v>93</v>
      </c>
      <c r="T572" s="667"/>
      <c r="U572" s="707">
        <f>S572/L572</f>
        <v>0.23366834170854273</v>
      </c>
      <c r="V572" s="666"/>
      <c r="W572" s="708"/>
      <c r="X572" s="685"/>
      <c r="Y572" s="666"/>
      <c r="Z572" s="678">
        <f>+'store&amp;sf'!P405</f>
        <v>1.8187500000000001</v>
      </c>
      <c r="AA572" s="666"/>
      <c r="AB572" s="710">
        <f>AVERAGE(Z572,Z568)</f>
        <v>1.79</v>
      </c>
      <c r="AC572" s="666"/>
      <c r="AD572" s="700">
        <f>(AB572/AB565-1)*100</f>
        <v>24.956369982547997</v>
      </c>
      <c r="AE572" s="685" t="s">
        <v>1084</v>
      </c>
      <c r="AF572" s="703"/>
      <c r="AG572" s="668"/>
      <c r="AH572" s="666"/>
      <c r="AI572" s="673">
        <f>+S572</f>
        <v>93</v>
      </c>
      <c r="AJ572" s="666"/>
      <c r="AK572" s="711">
        <f>AI572/AB572</f>
        <v>51.955307262569832</v>
      </c>
      <c r="AL572" s="666"/>
      <c r="AM572" s="677"/>
      <c r="AN572" s="685"/>
      <c r="AO572" s="666"/>
    </row>
    <row r="573" spans="1:41" hidden="1" outlineLevel="1">
      <c r="A573" s="666" t="s">
        <v>120</v>
      </c>
      <c r="B573" s="684" t="s">
        <v>653</v>
      </c>
      <c r="C573" s="666"/>
      <c r="D573" s="700"/>
      <c r="E573" s="700"/>
      <c r="F573" s="703">
        <v>9.2699048596267453</v>
      </c>
      <c r="G573" s="700"/>
      <c r="H573" s="700"/>
      <c r="I573" s="704"/>
      <c r="J573" s="705">
        <f>+'store&amp;sf'!P42</f>
        <v>417</v>
      </c>
      <c r="K573" s="667"/>
      <c r="L573" s="706">
        <f>AVERAGE(J573,J572)</f>
        <v>409.5</v>
      </c>
      <c r="M573" s="667"/>
      <c r="N573" s="700">
        <f>(L573/L566-1)*100</f>
        <v>17.167381974248919</v>
      </c>
      <c r="O573" s="704"/>
      <c r="P573" s="703"/>
      <c r="Q573" s="702"/>
      <c r="R573" s="667"/>
      <c r="S573" s="712">
        <f>+'segSales&amp;OM'!AK25</f>
        <v>113</v>
      </c>
      <c r="T573" s="667"/>
      <c r="U573" s="713">
        <f>S573/L573</f>
        <v>0.27594627594627597</v>
      </c>
      <c r="V573" s="666"/>
      <c r="W573" s="708"/>
      <c r="X573" s="685"/>
      <c r="Y573" s="666"/>
      <c r="Z573" s="678">
        <f>+'store&amp;sf'!P406</f>
        <v>1.9037499999999998</v>
      </c>
      <c r="AA573" s="666"/>
      <c r="AB573" s="710">
        <f>AVERAGE(Z573,Z572)</f>
        <v>1.8612500000000001</v>
      </c>
      <c r="AC573" s="666"/>
      <c r="AD573" s="700">
        <f>(AB573/AB566-1)*100</f>
        <v>25.495153813737904</v>
      </c>
      <c r="AE573" s="685"/>
      <c r="AF573" s="703"/>
      <c r="AG573" s="668"/>
      <c r="AH573" s="666"/>
      <c r="AI573" s="675">
        <f>+S573</f>
        <v>113</v>
      </c>
      <c r="AJ573" s="666"/>
      <c r="AK573" s="714">
        <f>AI573/AB573</f>
        <v>60.711887172599056</v>
      </c>
      <c r="AL573" s="666"/>
      <c r="AM573" s="708"/>
      <c r="AN573" s="685"/>
      <c r="AO573" s="666"/>
    </row>
    <row r="574" spans="1:41" hidden="1" outlineLevel="1">
      <c r="A574" s="666" t="s">
        <v>1018</v>
      </c>
      <c r="B574" s="684" t="s">
        <v>598</v>
      </c>
      <c r="C574" s="666"/>
      <c r="D574" s="700"/>
      <c r="E574" s="700"/>
      <c r="F574" s="703">
        <v>3.9129766062750697</v>
      </c>
      <c r="G574" s="700"/>
      <c r="H574" s="700"/>
      <c r="I574" s="704"/>
      <c r="J574" s="705">
        <f>+'store&amp;sf'!P43</f>
        <v>441</v>
      </c>
      <c r="K574" s="667"/>
      <c r="L574" s="706">
        <f>AVERAGE(J574,J573)</f>
        <v>429</v>
      </c>
      <c r="M574" s="667"/>
      <c r="N574" s="700">
        <f>(L574/L567-1)*100</f>
        <v>17.21311475409837</v>
      </c>
      <c r="O574" s="704"/>
      <c r="P574" s="703"/>
      <c r="Q574" s="702"/>
      <c r="R574" s="667"/>
      <c r="S574" s="712">
        <f>+'segSales&amp;OM'!AK26</f>
        <v>123</v>
      </c>
      <c r="T574" s="667"/>
      <c r="U574" s="713">
        <f>S574/L574</f>
        <v>0.28671328671328672</v>
      </c>
      <c r="V574" s="666"/>
      <c r="W574" s="708"/>
      <c r="X574" s="685"/>
      <c r="Y574" s="666"/>
      <c r="Z574" s="678">
        <f>+'store&amp;sf'!P407</f>
        <v>2.0449999999999999</v>
      </c>
      <c r="AA574" s="666"/>
      <c r="AB574" s="710">
        <f>AVERAGE(Z574,Z573)</f>
        <v>1.9743749999999998</v>
      </c>
      <c r="AC574" s="666"/>
      <c r="AD574" s="700">
        <f>(AB574/AB567-1)*100</f>
        <v>23.639921722113488</v>
      </c>
      <c r="AE574" s="685"/>
      <c r="AF574" s="703"/>
      <c r="AG574" s="668"/>
      <c r="AH574" s="666"/>
      <c r="AI574" s="675">
        <f>+S574</f>
        <v>123</v>
      </c>
      <c r="AJ574" s="666"/>
      <c r="AK574" s="714">
        <f>AI574/AB574</f>
        <v>62.298195631528969</v>
      </c>
      <c r="AL574" s="666"/>
      <c r="AM574" s="708"/>
      <c r="AN574" s="685"/>
      <c r="AO574" s="666"/>
    </row>
    <row r="575" spans="1:41" hidden="1" outlineLevel="1">
      <c r="A575" s="666" t="s">
        <v>1019</v>
      </c>
      <c r="B575" s="684" t="s">
        <v>601</v>
      </c>
      <c r="C575" s="666"/>
      <c r="D575" s="715"/>
      <c r="E575" s="700"/>
      <c r="F575" s="717">
        <v>-0.82607571833244531</v>
      </c>
      <c r="G575" s="700"/>
      <c r="H575" s="715"/>
      <c r="I575" s="704"/>
      <c r="J575" s="705">
        <f>+'store&amp;sf'!P44</f>
        <v>466</v>
      </c>
      <c r="K575" s="667"/>
      <c r="L575" s="716">
        <f>AVERAGE(J575,J574)</f>
        <v>453.5</v>
      </c>
      <c r="M575" s="667"/>
      <c r="N575" s="715">
        <f>(L575/L568-1)*100</f>
        <v>17.639429312581068</v>
      </c>
      <c r="O575" s="704"/>
      <c r="P575" s="717"/>
      <c r="Q575" s="702"/>
      <c r="R575" s="667"/>
      <c r="S575" s="718">
        <f>+'segSales&amp;OM'!AK27</f>
        <v>226</v>
      </c>
      <c r="T575" s="667"/>
      <c r="U575" s="719">
        <f>S575/L575</f>
        <v>0.49834619625137816</v>
      </c>
      <c r="V575" s="666"/>
      <c r="W575" s="720"/>
      <c r="X575" s="685"/>
      <c r="Y575" s="666"/>
      <c r="Z575" s="678">
        <f>+'store&amp;sf'!P408</f>
        <v>2.1937499999999996</v>
      </c>
      <c r="AA575" s="666"/>
      <c r="AB575" s="721">
        <f>AVERAGE(Z575,Z574)</f>
        <v>2.1193749999999998</v>
      </c>
      <c r="AC575" s="666"/>
      <c r="AD575" s="715">
        <f>(AB575/AB568-1)*100</f>
        <v>23.804308141657526</v>
      </c>
      <c r="AE575" s="685"/>
      <c r="AF575" s="717"/>
      <c r="AG575" s="668"/>
      <c r="AH575" s="666"/>
      <c r="AI575" s="722">
        <f>+S575</f>
        <v>226</v>
      </c>
      <c r="AJ575" s="666"/>
      <c r="AK575" s="723">
        <f>AI575/AB575</f>
        <v>106.63521085225598</v>
      </c>
      <c r="AL575" s="666"/>
      <c r="AM575" s="720"/>
      <c r="AN575" s="685"/>
      <c r="AO575" s="666"/>
    </row>
    <row r="576" spans="1:41" hidden="1" outlineLevel="1">
      <c r="A576" s="666"/>
      <c r="B576" s="684" t="s">
        <v>1020</v>
      </c>
      <c r="C576" s="666"/>
      <c r="D576" s="700"/>
      <c r="E576" s="700"/>
      <c r="F576" s="703">
        <v>5.3834873606396805</v>
      </c>
      <c r="G576" s="700"/>
      <c r="H576" s="700"/>
      <c r="I576" s="704"/>
      <c r="J576" s="724"/>
      <c r="K576" s="667"/>
      <c r="L576" s="725">
        <f>AVERAGE(L572:L575)</f>
        <v>422.5</v>
      </c>
      <c r="M576" s="667"/>
      <c r="N576" s="700">
        <f>(L576/L569-1)*100</f>
        <v>17.52433936022253</v>
      </c>
      <c r="O576" s="704"/>
      <c r="P576" s="703"/>
      <c r="Q576" s="702"/>
      <c r="R576" s="667"/>
      <c r="S576" s="726">
        <f>SUM(S572:S575)</f>
        <v>555</v>
      </c>
      <c r="T576" s="667"/>
      <c r="U576" s="707">
        <f>SUM(U572:U575)</f>
        <v>1.2946741006194835</v>
      </c>
      <c r="V576" s="666"/>
      <c r="W576" s="708"/>
      <c r="X576" s="685"/>
      <c r="Y576" s="666"/>
      <c r="Z576" s="727"/>
      <c r="AA576" s="666"/>
      <c r="AB576" s="710">
        <f>AVERAGE(AB572:AB575)</f>
        <v>1.9362499999999998</v>
      </c>
      <c r="AC576" s="666"/>
      <c r="AD576" s="700">
        <f>(AB576/AB569-1)*100</f>
        <v>24.430163671051307</v>
      </c>
      <c r="AE576" s="685"/>
      <c r="AF576" s="703"/>
      <c r="AG576" s="668"/>
      <c r="AH576" s="666"/>
      <c r="AI576" s="673">
        <f>SUM(AI572:AI575)</f>
        <v>555</v>
      </c>
      <c r="AJ576" s="666"/>
      <c r="AK576" s="711">
        <f>SUM(AK572:AK575)</f>
        <v>281.60060091895383</v>
      </c>
      <c r="AL576" s="666"/>
      <c r="AM576" s="708"/>
      <c r="AN576" s="685"/>
      <c r="AO576" s="666"/>
    </row>
    <row r="577" spans="1:41" hidden="1" outlineLevel="1">
      <c r="A577" s="666"/>
      <c r="B577" s="684"/>
      <c r="C577" s="666"/>
      <c r="D577" s="700"/>
      <c r="E577" s="700"/>
      <c r="F577" s="700"/>
      <c r="G577" s="700"/>
      <c r="H577" s="700"/>
      <c r="I577" s="667"/>
      <c r="J577" s="667"/>
      <c r="K577" s="667"/>
      <c r="L577" s="667"/>
      <c r="M577" s="667"/>
      <c r="N577" s="667"/>
      <c r="O577" s="667"/>
      <c r="P577" s="702"/>
      <c r="Q577" s="702"/>
      <c r="R577" s="667"/>
      <c r="S577" s="667"/>
      <c r="T577" s="667"/>
      <c r="U577" s="667"/>
      <c r="V577" s="666"/>
      <c r="W577" s="666"/>
      <c r="X577" s="685"/>
      <c r="Y577" s="666"/>
      <c r="Z577" s="676"/>
      <c r="AA577" s="666"/>
      <c r="AB577" s="679"/>
      <c r="AC577" s="666"/>
      <c r="AD577" s="667"/>
      <c r="AE577" s="666"/>
      <c r="AF577" s="703"/>
      <c r="AG577" s="668"/>
      <c r="AH577" s="666"/>
      <c r="AI577" s="666"/>
      <c r="AJ577" s="666"/>
      <c r="AK577" s="666"/>
      <c r="AL577" s="666"/>
      <c r="AM577" s="666"/>
      <c r="AN577" s="685"/>
      <c r="AO577" s="666"/>
    </row>
    <row r="578" spans="1:41" hidden="1" outlineLevel="1">
      <c r="A578" s="698"/>
      <c r="B578" s="728">
        <f>B571+1</f>
        <v>1995</v>
      </c>
      <c r="C578" s="666"/>
      <c r="D578" s="700"/>
      <c r="E578" s="700"/>
      <c r="F578" s="700"/>
      <c r="G578" s="700"/>
      <c r="H578" s="700"/>
      <c r="I578" s="667"/>
      <c r="J578" s="667"/>
      <c r="K578" s="667"/>
      <c r="L578" s="667"/>
      <c r="M578" s="667"/>
      <c r="N578" s="667"/>
      <c r="O578" s="667"/>
      <c r="P578" s="702"/>
      <c r="Q578" s="702"/>
      <c r="R578" s="667"/>
      <c r="S578" s="667"/>
      <c r="T578" s="667"/>
      <c r="U578" s="667"/>
      <c r="V578" s="666"/>
      <c r="W578" s="666"/>
      <c r="X578" s="685"/>
      <c r="Y578" s="666"/>
      <c r="Z578" s="676"/>
      <c r="AA578" s="666"/>
      <c r="AB578" s="679"/>
      <c r="AC578" s="666"/>
      <c r="AD578" s="667"/>
      <c r="AE578" s="666"/>
      <c r="AF578" s="703"/>
      <c r="AG578" s="668"/>
      <c r="AH578" s="666"/>
      <c r="AI578" s="666"/>
      <c r="AJ578" s="666"/>
      <c r="AK578" s="666"/>
      <c r="AL578" s="666"/>
      <c r="AM578" s="666"/>
      <c r="AN578" s="685"/>
      <c r="AO578" s="666"/>
    </row>
    <row r="579" spans="1:41" hidden="1" outlineLevel="1">
      <c r="A579" s="666" t="str">
        <f>$A$26</f>
        <v>1Q</v>
      </c>
      <c r="B579" s="684" t="str">
        <f>$B$26</f>
        <v>Apr</v>
      </c>
      <c r="C579" s="666"/>
      <c r="D579" s="700">
        <f>(S579/S572-1)*100</f>
        <v>11.827956989247301</v>
      </c>
      <c r="E579" s="700" t="s">
        <v>1084</v>
      </c>
      <c r="F579" s="703">
        <v>-3.6089186769310126</v>
      </c>
      <c r="G579" s="700" t="s">
        <v>1084</v>
      </c>
      <c r="H579" s="700">
        <f>D579-F579</f>
        <v>15.436875666178313</v>
      </c>
      <c r="I579" s="704" t="s">
        <v>1084</v>
      </c>
      <c r="J579" s="705">
        <f>+'store&amp;sf'!P47</f>
        <v>473</v>
      </c>
      <c r="K579" s="667"/>
      <c r="L579" s="706">
        <f>AVERAGE(J579,J575)</f>
        <v>469.5</v>
      </c>
      <c r="M579" s="667"/>
      <c r="N579" s="700">
        <f>(L579/L572-1)*100</f>
        <v>17.964824120603005</v>
      </c>
      <c r="O579" s="704" t="s">
        <v>1084</v>
      </c>
      <c r="P579" s="703">
        <f>H579/N579*100</f>
        <v>85.928342869076531</v>
      </c>
      <c r="Q579" s="702" t="s">
        <v>1084</v>
      </c>
      <c r="R579" s="667"/>
      <c r="S579" s="726">
        <f>+'segSales&amp;OM'!AK31</f>
        <v>104</v>
      </c>
      <c r="T579" s="667"/>
      <c r="U579" s="707">
        <f>S579/L579</f>
        <v>0.2215122470713525</v>
      </c>
      <c r="V579" s="666"/>
      <c r="W579" s="708">
        <f>(U579/U572-1)*100</f>
        <v>-5.2022856619373226</v>
      </c>
      <c r="X579" s="685" t="s">
        <v>1084</v>
      </c>
      <c r="Y579" s="666"/>
      <c r="Z579" s="678">
        <f>+'store&amp;sf'!P411</f>
        <v>2.23</v>
      </c>
      <c r="AA579" s="666"/>
      <c r="AB579" s="710">
        <f>AVERAGE(Z579,Z575)</f>
        <v>2.211875</v>
      </c>
      <c r="AC579" s="666"/>
      <c r="AD579" s="700">
        <f>(AB579/AB572-1)*100</f>
        <v>23.568435754189942</v>
      </c>
      <c r="AE579" s="685" t="s">
        <v>1084</v>
      </c>
      <c r="AF579" s="703">
        <f>+H579/AD579*100</f>
        <v>65.498091715458813</v>
      </c>
      <c r="AG579" s="668" t="s">
        <v>1084</v>
      </c>
      <c r="AH579" s="666"/>
      <c r="AI579" s="673">
        <f>+S579</f>
        <v>104</v>
      </c>
      <c r="AJ579" s="666"/>
      <c r="AK579" s="711">
        <f>AI579/AB579</f>
        <v>47.018931901667138</v>
      </c>
      <c r="AL579" s="666"/>
      <c r="AM579" s="708">
        <f>(AK579/AK572-1)*100</f>
        <v>-9.5011955871137861</v>
      </c>
      <c r="AN579" s="685" t="s">
        <v>1084</v>
      </c>
      <c r="AO579" s="666"/>
    </row>
    <row r="580" spans="1:41" hidden="1" outlineLevel="1">
      <c r="A580" s="666" t="str">
        <f>$A$27</f>
        <v>2Q</v>
      </c>
      <c r="B580" s="684" t="str">
        <f>$B$27</f>
        <v>Jul</v>
      </c>
      <c r="C580" s="666"/>
      <c r="D580" s="700">
        <f>(S580/S573-1)*100</f>
        <v>9.7345132743362761</v>
      </c>
      <c r="E580" s="700"/>
      <c r="F580" s="703">
        <v>-4.2924255100070789</v>
      </c>
      <c r="G580" s="700"/>
      <c r="H580" s="700">
        <f>D580-F580</f>
        <v>14.026938784343354</v>
      </c>
      <c r="I580" s="704"/>
      <c r="J580" s="705">
        <f>+'store&amp;sf'!P48</f>
        <v>481</v>
      </c>
      <c r="K580" s="667"/>
      <c r="L580" s="706">
        <f>AVERAGE(J580,J579)</f>
        <v>477</v>
      </c>
      <c r="M580" s="667"/>
      <c r="N580" s="700">
        <f>(L580/L573-1)*100</f>
        <v>16.483516483516492</v>
      </c>
      <c r="O580" s="704"/>
      <c r="P580" s="703">
        <f>H580/N580*100</f>
        <v>85.096761958349632</v>
      </c>
      <c r="Q580" s="702"/>
      <c r="R580" s="667"/>
      <c r="S580" s="712">
        <f>+'segSales&amp;OM'!AK32</f>
        <v>124</v>
      </c>
      <c r="T580" s="667"/>
      <c r="U580" s="713">
        <f>S580/L580</f>
        <v>0.25995807127882598</v>
      </c>
      <c r="V580" s="666"/>
      <c r="W580" s="708">
        <f>(U580/U573-1)*100</f>
        <v>-5.793955585239619</v>
      </c>
      <c r="X580" s="685"/>
      <c r="Y580" s="666"/>
      <c r="Z580" s="678">
        <f>+'store&amp;sf'!P412</f>
        <v>2.2962499999999997</v>
      </c>
      <c r="AA580" s="666"/>
      <c r="AB580" s="710">
        <f>AVERAGE(Z580,Z579)</f>
        <v>2.2631249999999996</v>
      </c>
      <c r="AC580" s="666"/>
      <c r="AD580" s="700">
        <f>(AB580/AB573-1)*100</f>
        <v>21.591672263263906</v>
      </c>
      <c r="AE580" s="685"/>
      <c r="AF580" s="703">
        <f>+H580/AD580*100</f>
        <v>64.964578071189067</v>
      </c>
      <c r="AG580" s="668"/>
      <c r="AH580" s="666"/>
      <c r="AI580" s="675">
        <f>+S580</f>
        <v>124</v>
      </c>
      <c r="AJ580" s="666"/>
      <c r="AK580" s="714">
        <f>AI580/AB580</f>
        <v>54.791494062413705</v>
      </c>
      <c r="AL580" s="666"/>
      <c r="AM580" s="708">
        <f>(AK580/AK573-1)*100</f>
        <v>-9.7516209525066238</v>
      </c>
      <c r="AN580" s="685"/>
      <c r="AO580" s="666"/>
    </row>
    <row r="581" spans="1:41" hidden="1" outlineLevel="1">
      <c r="A581" s="666" t="str">
        <f>$A$28</f>
        <v>3Q</v>
      </c>
      <c r="B581" s="684" t="str">
        <f>$B$28</f>
        <v>Oct</v>
      </c>
      <c r="C581" s="666"/>
      <c r="D581" s="700">
        <f>(S581/S574-1)*100</f>
        <v>4.0650406504065151</v>
      </c>
      <c r="E581" s="700"/>
      <c r="F581" s="703">
        <v>-7.3467652809657409</v>
      </c>
      <c r="G581" s="700"/>
      <c r="H581" s="700">
        <f>D581-F581</f>
        <v>11.411805931372257</v>
      </c>
      <c r="I581" s="704"/>
      <c r="J581" s="705">
        <f>+'store&amp;sf'!P49</f>
        <v>499</v>
      </c>
      <c r="K581" s="667"/>
      <c r="L581" s="706">
        <f>AVERAGE(J581,J580)</f>
        <v>490</v>
      </c>
      <c r="M581" s="667"/>
      <c r="N581" s="700">
        <f>(L581/L574-1)*100</f>
        <v>14.219114219114214</v>
      </c>
      <c r="O581" s="704"/>
      <c r="P581" s="703">
        <f>H581/N581*100</f>
        <v>80.256799091126226</v>
      </c>
      <c r="Q581" s="702"/>
      <c r="R581" s="667"/>
      <c r="S581" s="712">
        <f>+'segSales&amp;OM'!AK33</f>
        <v>128</v>
      </c>
      <c r="T581" s="667"/>
      <c r="U581" s="713">
        <f>S581/L581</f>
        <v>0.26122448979591839</v>
      </c>
      <c r="V581" s="666"/>
      <c r="W581" s="708">
        <f>(U581/U574-1)*100</f>
        <v>-8.8899950223991997</v>
      </c>
      <c r="X581" s="685"/>
      <c r="Y581" s="666"/>
      <c r="Z581" s="678">
        <f>+'store&amp;sf'!P413</f>
        <v>2.3949999999999996</v>
      </c>
      <c r="AA581" s="666"/>
      <c r="AB581" s="710">
        <f>AVERAGE(Z581,Z580)</f>
        <v>2.3456249999999996</v>
      </c>
      <c r="AC581" s="666"/>
      <c r="AD581" s="700">
        <f>(AB581/AB574-1)*100</f>
        <v>18.803418803418804</v>
      </c>
      <c r="AE581" s="685"/>
      <c r="AF581" s="703">
        <f>+H581/AD581*100</f>
        <v>60.690058816843361</v>
      </c>
      <c r="AG581" s="668"/>
      <c r="AH581" s="666"/>
      <c r="AI581" s="675">
        <f>+S581</f>
        <v>128</v>
      </c>
      <c r="AJ581" s="666"/>
      <c r="AK581" s="714">
        <f>AI581/AB581</f>
        <v>54.569677591260337</v>
      </c>
      <c r="AL581" s="666"/>
      <c r="AM581" s="708">
        <f>(AK581/AK574-1)*100</f>
        <v>-12.405685207931205</v>
      </c>
      <c r="AN581" s="685"/>
      <c r="AO581" s="666"/>
    </row>
    <row r="582" spans="1:41" hidden="1" outlineLevel="1">
      <c r="A582" s="666" t="str">
        <f>$A$29</f>
        <v>4Q</v>
      </c>
      <c r="B582" s="684" t="str">
        <f>$B$29</f>
        <v>Jan</v>
      </c>
      <c r="C582" s="666"/>
      <c r="D582" s="715">
        <f>(S582/S575-1)*100</f>
        <v>-2.6548672566371723</v>
      </c>
      <c r="E582" s="700"/>
      <c r="F582" s="717">
        <v>-14.268613178859887</v>
      </c>
      <c r="G582" s="700"/>
      <c r="H582" s="715">
        <f>D582-F582</f>
        <v>11.613745922222716</v>
      </c>
      <c r="I582" s="704"/>
      <c r="J582" s="705">
        <f>+'store&amp;sf'!P50</f>
        <v>518</v>
      </c>
      <c r="K582" s="667"/>
      <c r="L582" s="716">
        <f>AVERAGE(J582,J581)</f>
        <v>508.5</v>
      </c>
      <c r="M582" s="667"/>
      <c r="N582" s="715">
        <f>(L582/L575-1)*100</f>
        <v>12.127894156560082</v>
      </c>
      <c r="O582" s="704"/>
      <c r="P582" s="717">
        <f>H582/N582*100</f>
        <v>95.760614104145532</v>
      </c>
      <c r="Q582" s="702"/>
      <c r="R582" s="667"/>
      <c r="S582" s="718">
        <f>+'segSales&amp;OM'!AK34</f>
        <v>220</v>
      </c>
      <c r="T582" s="667"/>
      <c r="U582" s="719">
        <f>S582/L582</f>
        <v>0.43264503441494589</v>
      </c>
      <c r="V582" s="666"/>
      <c r="W582" s="720">
        <f>(U582/U575-1)*100</f>
        <v>-13.183839333107095</v>
      </c>
      <c r="X582" s="685"/>
      <c r="Y582" s="666"/>
      <c r="Z582" s="678">
        <f>+'store&amp;sf'!P414</f>
        <v>2.49125</v>
      </c>
      <c r="AA582" s="666"/>
      <c r="AB582" s="721">
        <f>AVERAGE(Z582,Z581)</f>
        <v>2.4431249999999998</v>
      </c>
      <c r="AC582" s="666"/>
      <c r="AD582" s="715">
        <f>(AB582/AB575-1)*100</f>
        <v>15.275729873193743</v>
      </c>
      <c r="AE582" s="685"/>
      <c r="AF582" s="717">
        <f>+H582/AD582*100</f>
        <v>76.027437108604715</v>
      </c>
      <c r="AG582" s="668"/>
      <c r="AH582" s="666"/>
      <c r="AI582" s="722">
        <f>+S582</f>
        <v>220</v>
      </c>
      <c r="AJ582" s="666"/>
      <c r="AK582" s="723">
        <f>AI582/AB582</f>
        <v>90.048605781529815</v>
      </c>
      <c r="AL582" s="666"/>
      <c r="AM582" s="720">
        <f>(AK582/AK575-1)*100</f>
        <v>-15.554529257420469</v>
      </c>
      <c r="AN582" s="685"/>
      <c r="AO582" s="666"/>
    </row>
    <row r="583" spans="1:41" hidden="1" outlineLevel="1">
      <c r="A583" s="666"/>
      <c r="B583" s="684" t="str">
        <f>$B$30</f>
        <v>Year</v>
      </c>
      <c r="C583" s="666"/>
      <c r="D583" s="700">
        <f>(S583/S576-1)*100</f>
        <v>3.7837837837837895</v>
      </c>
      <c r="E583" s="700"/>
      <c r="F583" s="703">
        <v>-8.9248892620787128</v>
      </c>
      <c r="G583" s="700"/>
      <c r="H583" s="700">
        <f>D583-F583</f>
        <v>12.708673045862502</v>
      </c>
      <c r="I583" s="704"/>
      <c r="J583" s="724"/>
      <c r="K583" s="667"/>
      <c r="L583" s="725">
        <f>AVERAGE(L579:L582)</f>
        <v>486.25</v>
      </c>
      <c r="M583" s="667"/>
      <c r="N583" s="700">
        <f>(L583/L576-1)*100</f>
        <v>15.088757396449704</v>
      </c>
      <c r="O583" s="704"/>
      <c r="P583" s="703">
        <f>H583/N583*100</f>
        <v>84.226107637284827</v>
      </c>
      <c r="Q583" s="702"/>
      <c r="R583" s="667"/>
      <c r="S583" s="726">
        <f>SUM(S579:S582)</f>
        <v>576</v>
      </c>
      <c r="T583" s="667"/>
      <c r="U583" s="707">
        <f>SUM(U579:U582)</f>
        <v>1.1753398425610428</v>
      </c>
      <c r="V583" s="666"/>
      <c r="W583" s="708">
        <f>(U583/U576-1)*100</f>
        <v>-9.2173202508137653</v>
      </c>
      <c r="X583" s="685"/>
      <c r="Y583" s="666"/>
      <c r="Z583" s="676"/>
      <c r="AA583" s="666"/>
      <c r="AB583" s="710">
        <f>AVERAGE(AB579:AB582)</f>
        <v>2.3159375</v>
      </c>
      <c r="AC583" s="666"/>
      <c r="AD583" s="700">
        <f>(AB583/AB576-1)*100</f>
        <v>19.609425435765026</v>
      </c>
      <c r="AE583" s="685"/>
      <c r="AF583" s="703">
        <f>+H583/AD583*100</f>
        <v>64.80900262729547</v>
      </c>
      <c r="AG583" s="668"/>
      <c r="AH583" s="666"/>
      <c r="AI583" s="673">
        <f>SUM(AI579:AI582)</f>
        <v>576</v>
      </c>
      <c r="AJ583" s="666"/>
      <c r="AK583" s="711">
        <f>SUM(AK579:AK582)</f>
        <v>246.42870933687101</v>
      </c>
      <c r="AL583" s="666"/>
      <c r="AM583" s="708">
        <f>(AK583/AK576-1)*100</f>
        <v>-12.489991664543886</v>
      </c>
      <c r="AN583" s="685"/>
      <c r="AO583" s="666"/>
    </row>
    <row r="584" spans="1:41" hidden="1" outlineLevel="1">
      <c r="A584" s="666"/>
      <c r="B584" s="684"/>
      <c r="C584" s="666"/>
      <c r="D584" s="700"/>
      <c r="E584" s="700"/>
      <c r="F584" s="700"/>
      <c r="G584" s="700"/>
      <c r="H584" s="700"/>
      <c r="I584" s="704"/>
      <c r="J584" s="724"/>
      <c r="K584" s="667"/>
      <c r="L584" s="667"/>
      <c r="M584" s="667"/>
      <c r="N584" s="667"/>
      <c r="O584" s="704"/>
      <c r="P584" s="702"/>
      <c r="Q584" s="702"/>
      <c r="R584" s="667"/>
      <c r="S584" s="667"/>
      <c r="T584" s="667"/>
      <c r="U584" s="667"/>
      <c r="V584" s="666"/>
      <c r="W584" s="666"/>
      <c r="X584" s="685"/>
      <c r="Y584" s="666"/>
      <c r="Z584" s="676"/>
      <c r="AA584" s="666"/>
      <c r="AB584" s="679"/>
      <c r="AC584" s="666"/>
      <c r="AD584" s="667"/>
      <c r="AE584" s="685"/>
      <c r="AF584" s="703"/>
      <c r="AG584" s="668"/>
      <c r="AH584" s="666"/>
      <c r="AI584" s="666"/>
      <c r="AJ584" s="666"/>
      <c r="AK584" s="666"/>
      <c r="AL584" s="666"/>
      <c r="AM584" s="666"/>
      <c r="AN584" s="685"/>
      <c r="AO584" s="666"/>
    </row>
    <row r="585" spans="1:41" hidden="1" outlineLevel="1">
      <c r="A585" s="698"/>
      <c r="B585" s="728">
        <f>B578+1</f>
        <v>1996</v>
      </c>
      <c r="C585" s="666"/>
      <c r="D585" s="700"/>
      <c r="E585" s="700"/>
      <c r="F585" s="700"/>
      <c r="G585" s="700"/>
      <c r="H585" s="700"/>
      <c r="I585" s="704"/>
      <c r="J585" s="724"/>
      <c r="K585" s="667"/>
      <c r="L585" s="667"/>
      <c r="M585" s="667"/>
      <c r="N585" s="667"/>
      <c r="O585" s="704"/>
      <c r="P585" s="702"/>
      <c r="Q585" s="702"/>
      <c r="R585" s="667"/>
      <c r="S585" s="667"/>
      <c r="T585" s="667"/>
      <c r="U585" s="667"/>
      <c r="V585" s="666"/>
      <c r="W585" s="666"/>
      <c r="X585" s="685"/>
      <c r="Y585" s="666"/>
      <c r="Z585" s="676"/>
      <c r="AA585" s="666"/>
      <c r="AB585" s="679"/>
      <c r="AC585" s="666"/>
      <c r="AD585" s="667"/>
      <c r="AE585" s="685"/>
      <c r="AF585" s="703"/>
      <c r="AG585" s="668"/>
      <c r="AH585" s="666"/>
      <c r="AI585" s="666"/>
      <c r="AJ585" s="666"/>
      <c r="AK585" s="666"/>
      <c r="AL585" s="666"/>
      <c r="AM585" s="666"/>
      <c r="AN585" s="685"/>
      <c r="AO585" s="666"/>
    </row>
    <row r="586" spans="1:41" hidden="1" outlineLevel="1">
      <c r="A586" s="666" t="str">
        <f>$A$26</f>
        <v>1Q</v>
      </c>
      <c r="B586" s="684" t="str">
        <f>$B$26</f>
        <v>Apr</v>
      </c>
      <c r="C586" s="666"/>
      <c r="D586" s="700">
        <f>(S586/S579-1)*100</f>
        <v>18.26923076923077</v>
      </c>
      <c r="E586" s="700" t="s">
        <v>1084</v>
      </c>
      <c r="F586" s="703">
        <v>8</v>
      </c>
      <c r="G586" s="700" t="s">
        <v>1084</v>
      </c>
      <c r="H586" s="700">
        <f>D586-F586</f>
        <v>10.26923076923077</v>
      </c>
      <c r="I586" s="704" t="s">
        <v>1084</v>
      </c>
      <c r="J586" s="705">
        <f>+'store&amp;sf'!P53</f>
        <v>524</v>
      </c>
      <c r="K586" s="667"/>
      <c r="L586" s="706">
        <f>AVERAGE(J586,J582)</f>
        <v>521</v>
      </c>
      <c r="M586" s="667"/>
      <c r="N586" s="700">
        <f>(L586/L579-1)*100</f>
        <v>10.969116080937159</v>
      </c>
      <c r="O586" s="704" t="s">
        <v>1084</v>
      </c>
      <c r="P586" s="703">
        <f>H586/N586*100</f>
        <v>93.619492158327191</v>
      </c>
      <c r="Q586" s="702" t="s">
        <v>1084</v>
      </c>
      <c r="R586" s="667"/>
      <c r="S586" s="726">
        <f>+'segSales&amp;OM'!AK38</f>
        <v>123</v>
      </c>
      <c r="T586" s="667"/>
      <c r="U586" s="707">
        <f>S586/L586</f>
        <v>0.23608445297504799</v>
      </c>
      <c r="V586" s="666"/>
      <c r="W586" s="730">
        <f>(U586/U579-1)*100</f>
        <v>6.5785102613317603</v>
      </c>
      <c r="X586" s="685" t="s">
        <v>1084</v>
      </c>
      <c r="Y586" s="666"/>
      <c r="Z586" s="678">
        <f>+'store&amp;sf'!P417</f>
        <v>2.52</v>
      </c>
      <c r="AA586" s="666"/>
      <c r="AB586" s="710">
        <f>AVERAGE(Z586,Z582)</f>
        <v>2.5056250000000002</v>
      </c>
      <c r="AC586" s="666"/>
      <c r="AD586" s="700">
        <f>(AB586/AB579-1)*100</f>
        <v>13.280587736648775</v>
      </c>
      <c r="AE586" s="685" t="s">
        <v>1084</v>
      </c>
      <c r="AF586" s="703">
        <f>+H586/AD586*100</f>
        <v>77.325122749590818</v>
      </c>
      <c r="AG586" s="668" t="s">
        <v>1084</v>
      </c>
      <c r="AH586" s="666"/>
      <c r="AI586" s="673">
        <f>+S586</f>
        <v>123</v>
      </c>
      <c r="AJ586" s="666"/>
      <c r="AK586" s="711">
        <f>AI586/AB586</f>
        <v>49.089548515839354</v>
      </c>
      <c r="AL586" s="666"/>
      <c r="AM586" s="677">
        <f>(AK586/AK579-1)*100</f>
        <v>4.4037933879540025</v>
      </c>
      <c r="AN586" s="685" t="s">
        <v>1084</v>
      </c>
      <c r="AO586" s="666"/>
    </row>
    <row r="587" spans="1:41" hidden="1" outlineLevel="1">
      <c r="A587" s="666" t="str">
        <f>$A$27</f>
        <v>2Q</v>
      </c>
      <c r="B587" s="684" t="str">
        <f>$B$27</f>
        <v>Jul</v>
      </c>
      <c r="C587" s="666"/>
      <c r="D587" s="700">
        <f>(S587/S580-1)*100</f>
        <v>17.741935483870975</v>
      </c>
      <c r="E587" s="700"/>
      <c r="F587" s="703">
        <v>7</v>
      </c>
      <c r="G587" s="700"/>
      <c r="H587" s="700">
        <f>D587-F587</f>
        <v>10.741935483870975</v>
      </c>
      <c r="I587" s="704"/>
      <c r="J587" s="705">
        <f>+'store&amp;sf'!P54</f>
        <v>534</v>
      </c>
      <c r="K587" s="667"/>
      <c r="L587" s="706">
        <f>AVERAGE(J587,J586)</f>
        <v>529</v>
      </c>
      <c r="M587" s="667"/>
      <c r="N587" s="700">
        <f>(L587/L580-1)*100</f>
        <v>10.901467505241079</v>
      </c>
      <c r="O587" s="704"/>
      <c r="P587" s="703">
        <f>H587/N587*100</f>
        <v>98.536600496278083</v>
      </c>
      <c r="Q587" s="702"/>
      <c r="R587" s="667"/>
      <c r="S587" s="712">
        <f>+'segSales&amp;OM'!AK39</f>
        <v>146</v>
      </c>
      <c r="T587" s="667"/>
      <c r="U587" s="713">
        <f>S587/L587</f>
        <v>0.27599243856332706</v>
      </c>
      <c r="V587" s="666"/>
      <c r="W587" s="730">
        <f>(U587/U580-1)*100</f>
        <v>6.1680590279895364</v>
      </c>
      <c r="X587" s="685"/>
      <c r="Y587" s="666"/>
      <c r="Z587" s="678">
        <f>+'store&amp;sf'!P418</f>
        <v>2.5837500000000002</v>
      </c>
      <c r="AA587" s="666"/>
      <c r="AB587" s="710">
        <f>AVERAGE(Z587,Z586)</f>
        <v>2.5518749999999999</v>
      </c>
      <c r="AC587" s="666"/>
      <c r="AD587" s="700">
        <f>(AB587/AB580-1)*100</f>
        <v>12.758906379453204</v>
      </c>
      <c r="AE587" s="685"/>
      <c r="AF587" s="703">
        <f>+H587/AD587*100</f>
        <v>84.191663175534103</v>
      </c>
      <c r="AG587" s="668"/>
      <c r="AH587" s="666"/>
      <c r="AI587" s="675">
        <f>+S587</f>
        <v>146</v>
      </c>
      <c r="AJ587" s="666"/>
      <c r="AK587" s="714">
        <f>AI587/AB587</f>
        <v>57.212833700710263</v>
      </c>
      <c r="AL587" s="666"/>
      <c r="AM587" s="677">
        <f>(AK587/AK580-1)*100</f>
        <v>4.419188926548312</v>
      </c>
      <c r="AN587" s="685"/>
      <c r="AO587" s="666"/>
    </row>
    <row r="588" spans="1:41" hidden="1" outlineLevel="1">
      <c r="A588" s="666" t="str">
        <f>$A$28</f>
        <v>3Q</v>
      </c>
      <c r="B588" s="684" t="str">
        <f>$B$28</f>
        <v>Oct</v>
      </c>
      <c r="C588" s="666"/>
      <c r="D588" s="700">
        <f>(S588/S581-1)*100</f>
        <v>16.40625</v>
      </c>
      <c r="E588" s="700"/>
      <c r="F588" s="703">
        <v>6</v>
      </c>
      <c r="G588" s="700"/>
      <c r="H588" s="700">
        <f>D588-F588</f>
        <v>10.40625</v>
      </c>
      <c r="I588" s="704"/>
      <c r="J588" s="705">
        <f>+'store&amp;sf'!P55</f>
        <v>543</v>
      </c>
      <c r="K588" s="667"/>
      <c r="L588" s="706">
        <f>AVERAGE(J588,J587)</f>
        <v>538.5</v>
      </c>
      <c r="M588" s="667"/>
      <c r="N588" s="700">
        <f>(L588/L581-1)*100</f>
        <v>9.8979591836734659</v>
      </c>
      <c r="O588" s="704"/>
      <c r="P588" s="703">
        <f>H588/N588*100</f>
        <v>105.13530927835055</v>
      </c>
      <c r="Q588" s="702"/>
      <c r="R588" s="667"/>
      <c r="S588" s="712">
        <f>+'segSales&amp;OM'!AK40</f>
        <v>149</v>
      </c>
      <c r="T588" s="667"/>
      <c r="U588" s="713">
        <f>S588/L588</f>
        <v>0.27669452181987003</v>
      </c>
      <c r="V588" s="666"/>
      <c r="W588" s="730">
        <f>(U588/U581-1)*100</f>
        <v>5.9221216341689864</v>
      </c>
      <c r="X588" s="685"/>
      <c r="Y588" s="666"/>
      <c r="Z588" s="678">
        <f>+'store&amp;sf'!P419</f>
        <v>2.645</v>
      </c>
      <c r="AA588" s="666"/>
      <c r="AB588" s="710">
        <f>AVERAGE(Z588,Z587)</f>
        <v>2.6143749999999999</v>
      </c>
      <c r="AC588" s="666"/>
      <c r="AD588" s="700">
        <f>(AB588/AB581-1)*100</f>
        <v>11.457500666133779</v>
      </c>
      <c r="AE588" s="685"/>
      <c r="AF588" s="703">
        <f>+H588/AD588*100</f>
        <v>90.824781976744035</v>
      </c>
      <c r="AG588" s="668"/>
      <c r="AH588" s="666"/>
      <c r="AI588" s="675">
        <f>+S588</f>
        <v>149</v>
      </c>
      <c r="AJ588" s="666"/>
      <c r="AK588" s="714">
        <f>AI588/AB588</f>
        <v>56.992589050920394</v>
      </c>
      <c r="AL588" s="666"/>
      <c r="AM588" s="677">
        <f>(AK588/AK581-1)*100</f>
        <v>4.4400325723165102</v>
      </c>
      <c r="AN588" s="685"/>
      <c r="AO588" s="666"/>
    </row>
    <row r="589" spans="1:41" hidden="1" outlineLevel="1">
      <c r="A589" s="666" t="str">
        <f>$A$29</f>
        <v>4Q</v>
      </c>
      <c r="B589" s="684" t="str">
        <f>$B$29</f>
        <v>Jan</v>
      </c>
      <c r="C589" s="666"/>
      <c r="D589" s="715">
        <f>(S589/S582-1)*100</f>
        <v>10.000000000000009</v>
      </c>
      <c r="E589" s="700"/>
      <c r="F589" s="717">
        <v>7</v>
      </c>
      <c r="G589" s="700"/>
      <c r="H589" s="715">
        <f>D589-F589</f>
        <v>3.0000000000000089</v>
      </c>
      <c r="I589" s="704"/>
      <c r="J589" s="705">
        <f>+'store&amp;sf'!P56</f>
        <v>542</v>
      </c>
      <c r="K589" s="667"/>
      <c r="L589" s="716">
        <f>AVERAGE(J589,J588)</f>
        <v>542.5</v>
      </c>
      <c r="M589" s="667"/>
      <c r="N589" s="715">
        <f>(L589/L582-1)*100</f>
        <v>6.6863323500491623</v>
      </c>
      <c r="O589" s="704"/>
      <c r="P589" s="717">
        <f>H589/N589*100</f>
        <v>44.867647058823671</v>
      </c>
      <c r="Q589" s="702"/>
      <c r="R589" s="667"/>
      <c r="S589" s="718">
        <f>+'segSales&amp;OM'!AK41</f>
        <v>242</v>
      </c>
      <c r="T589" s="667"/>
      <c r="U589" s="719">
        <f>S589/L589</f>
        <v>0.44608294930875575</v>
      </c>
      <c r="V589" s="666"/>
      <c r="W589" s="720">
        <f>(U589/U582-1)*100</f>
        <v>3.1059907834101397</v>
      </c>
      <c r="X589" s="685"/>
      <c r="Y589" s="666"/>
      <c r="Z589" s="678">
        <f>+'store&amp;sf'!P420</f>
        <v>2.6462499999999998</v>
      </c>
      <c r="AA589" s="666"/>
      <c r="AB589" s="721">
        <f>AVERAGE(Z589,Z588)</f>
        <v>2.6456249999999999</v>
      </c>
      <c r="AC589" s="666"/>
      <c r="AD589" s="715">
        <f>(AB589/AB582-1)*100</f>
        <v>8.2885648503453702</v>
      </c>
      <c r="AE589" s="685"/>
      <c r="AF589" s="717">
        <f>+H589/AD589*100</f>
        <v>36.194444444444493</v>
      </c>
      <c r="AG589" s="668"/>
      <c r="AH589" s="666"/>
      <c r="AI589" s="722">
        <f>+S589</f>
        <v>242</v>
      </c>
      <c r="AJ589" s="666"/>
      <c r="AK589" s="723">
        <f>AI589/AB589</f>
        <v>91.471769430663841</v>
      </c>
      <c r="AL589" s="666"/>
      <c r="AM589" s="731">
        <f>(AK589/AK582-1)*100</f>
        <v>1.5804394046775361</v>
      </c>
      <c r="AN589" s="685"/>
      <c r="AO589" s="666"/>
    </row>
    <row r="590" spans="1:41" hidden="1" outlineLevel="1">
      <c r="A590" s="666"/>
      <c r="B590" s="684" t="str">
        <f>$B$30</f>
        <v>Year</v>
      </c>
      <c r="C590" s="666"/>
      <c r="D590" s="700">
        <f>(S590/S583-1)*100</f>
        <v>14.583333333333325</v>
      </c>
      <c r="E590" s="700"/>
      <c r="F590" s="703">
        <v>7</v>
      </c>
      <c r="G590" s="700"/>
      <c r="H590" s="700">
        <f>D590-F590</f>
        <v>7.583333333333325</v>
      </c>
      <c r="I590" s="704"/>
      <c r="J590" s="724"/>
      <c r="K590" s="667"/>
      <c r="L590" s="725">
        <f>AVERAGE(L586:L589)</f>
        <v>532.75</v>
      </c>
      <c r="M590" s="667"/>
      <c r="N590" s="700">
        <f>(L590/L583-1)*100</f>
        <v>9.5629820051413859</v>
      </c>
      <c r="O590" s="704"/>
      <c r="P590" s="703">
        <f>H590/N590*100</f>
        <v>79.298835125447965</v>
      </c>
      <c r="Q590" s="702"/>
      <c r="R590" s="667"/>
      <c r="S590" s="726">
        <f>SUM(S586:S589)</f>
        <v>660</v>
      </c>
      <c r="T590" s="667"/>
      <c r="U590" s="707">
        <f>SUM(U586:U589)</f>
        <v>1.2348543626670008</v>
      </c>
      <c r="V590" s="666"/>
      <c r="W590" s="730">
        <f>(U590/U583-1)*100</f>
        <v>5.0636010072012017</v>
      </c>
      <c r="X590" s="685"/>
      <c r="Y590" s="666"/>
      <c r="Z590" s="676"/>
      <c r="AA590" s="666"/>
      <c r="AB590" s="710">
        <f>AVERAGE(AB586:AB589)</f>
        <v>2.5793749999999998</v>
      </c>
      <c r="AC590" s="666"/>
      <c r="AD590" s="700">
        <f>(AB590/AB583-1)*100</f>
        <v>11.374983133180393</v>
      </c>
      <c r="AE590" s="685"/>
      <c r="AF590" s="703">
        <f>+H590/AD590*100</f>
        <v>66.666765519968379</v>
      </c>
      <c r="AG590" s="668"/>
      <c r="AH590" s="666"/>
      <c r="AI590" s="673">
        <f>SUM(AI586:AI589)</f>
        <v>660</v>
      </c>
      <c r="AJ590" s="666"/>
      <c r="AK590" s="711">
        <f>SUM(AK586:AK589)</f>
        <v>254.76674069813384</v>
      </c>
      <c r="AL590" s="666"/>
      <c r="AM590" s="677">
        <f>(AK590/AK583-1)*100</f>
        <v>3.3835470646663257</v>
      </c>
      <c r="AN590" s="685"/>
      <c r="AO590" s="666"/>
    </row>
    <row r="591" spans="1:41" hidden="1" outlineLevel="1">
      <c r="A591" s="666"/>
      <c r="B591" s="684"/>
      <c r="C591" s="666"/>
      <c r="D591" s="700"/>
      <c r="E591" s="700"/>
      <c r="F591" s="700"/>
      <c r="G591" s="700"/>
      <c r="H591" s="700"/>
      <c r="I591" s="704"/>
      <c r="J591" s="724"/>
      <c r="K591" s="667"/>
      <c r="L591" s="667"/>
      <c r="M591" s="667"/>
      <c r="N591" s="667"/>
      <c r="O591" s="704"/>
      <c r="P591" s="702"/>
      <c r="Q591" s="702"/>
      <c r="R591" s="667"/>
      <c r="S591" s="667"/>
      <c r="T591" s="667"/>
      <c r="U591" s="667"/>
      <c r="V591" s="666"/>
      <c r="W591" s="666"/>
      <c r="X591" s="685"/>
      <c r="Y591" s="666"/>
      <c r="Z591" s="676"/>
      <c r="AA591" s="666"/>
      <c r="AB591" s="679"/>
      <c r="AC591" s="666"/>
      <c r="AD591" s="667"/>
      <c r="AE591" s="685"/>
      <c r="AF591" s="703"/>
      <c r="AG591" s="668"/>
      <c r="AH591" s="666"/>
      <c r="AI591" s="666"/>
      <c r="AJ591" s="666"/>
      <c r="AK591" s="666"/>
      <c r="AL591" s="666"/>
      <c r="AM591" s="666"/>
      <c r="AN591" s="685"/>
      <c r="AO591" s="666"/>
    </row>
    <row r="592" spans="1:41" hidden="1" outlineLevel="1">
      <c r="A592" s="698"/>
      <c r="B592" s="728">
        <f>B585+1</f>
        <v>1997</v>
      </c>
      <c r="C592" s="666"/>
      <c r="D592" s="700"/>
      <c r="E592" s="700"/>
      <c r="F592" s="700"/>
      <c r="G592" s="700"/>
      <c r="H592" s="700"/>
      <c r="I592" s="704"/>
      <c r="J592" s="724"/>
      <c r="K592" s="667"/>
      <c r="L592" s="667"/>
      <c r="M592" s="667"/>
      <c r="N592" s="667"/>
      <c r="O592" s="704"/>
      <c r="P592" s="702"/>
      <c r="Q592" s="702"/>
      <c r="R592" s="667"/>
      <c r="S592" s="667"/>
      <c r="T592" s="667"/>
      <c r="U592" s="667"/>
      <c r="V592" s="666"/>
      <c r="W592" s="666"/>
      <c r="X592" s="685"/>
      <c r="Y592" s="666"/>
      <c r="Z592" s="676"/>
      <c r="AA592" s="666"/>
      <c r="AB592" s="679"/>
      <c r="AC592" s="666"/>
      <c r="AD592" s="667"/>
      <c r="AE592" s="685"/>
      <c r="AF592" s="703"/>
      <c r="AG592" s="668"/>
      <c r="AH592" s="666"/>
      <c r="AI592" s="666"/>
      <c r="AJ592" s="666"/>
      <c r="AK592" s="666"/>
      <c r="AL592" s="666"/>
      <c r="AM592" s="666"/>
      <c r="AN592" s="685"/>
      <c r="AO592" s="666"/>
    </row>
    <row r="593" spans="1:41" hidden="1" outlineLevel="1">
      <c r="A593" s="666" t="str">
        <f>$A$26</f>
        <v>1Q</v>
      </c>
      <c r="B593" s="684" t="str">
        <f>$B$26</f>
        <v>Apr</v>
      </c>
      <c r="C593" s="666"/>
      <c r="D593" s="700">
        <f>(S593/S586-1)*100</f>
        <v>3.2520325203251987</v>
      </c>
      <c r="E593" s="700" t="s">
        <v>1084</v>
      </c>
      <c r="F593" s="703">
        <v>-1.8327368150073493</v>
      </c>
      <c r="G593" s="700" t="s">
        <v>1084</v>
      </c>
      <c r="H593" s="700">
        <f>D593-F593</f>
        <v>5.084769335332548</v>
      </c>
      <c r="I593" s="704" t="s">
        <v>1084</v>
      </c>
      <c r="J593" s="705">
        <f>+'store&amp;sf'!P59</f>
        <v>541</v>
      </c>
      <c r="K593" s="667"/>
      <c r="L593" s="706">
        <f>AVERAGE(J593,J589)</f>
        <v>541.5</v>
      </c>
      <c r="M593" s="667"/>
      <c r="N593" s="700">
        <f>(L593/L586-1)*100</f>
        <v>3.9347408829174757</v>
      </c>
      <c r="O593" s="704" t="s">
        <v>1084</v>
      </c>
      <c r="P593" s="703">
        <f>H593/N593*100</f>
        <v>129.22755237601226</v>
      </c>
      <c r="Q593" s="702" t="s">
        <v>1084</v>
      </c>
      <c r="R593" s="667"/>
      <c r="S593" s="726">
        <f>+'segSales&amp;OM'!AK45</f>
        <v>127</v>
      </c>
      <c r="T593" s="667"/>
      <c r="U593" s="707">
        <f>S593/L593</f>
        <v>0.23453370267774701</v>
      </c>
      <c r="V593" s="666"/>
      <c r="W593" s="730">
        <f>(U593/U586-1)*100</f>
        <v>-0.6568625243039139</v>
      </c>
      <c r="X593" s="685" t="s">
        <v>1084</v>
      </c>
      <c r="Y593" s="666"/>
      <c r="Z593" s="678">
        <f>+'store&amp;sf'!P423</f>
        <v>2.65</v>
      </c>
      <c r="AA593" s="666"/>
      <c r="AB593" s="710">
        <f>AVERAGE(Z593,Z589)</f>
        <v>2.6481249999999998</v>
      </c>
      <c r="AC593" s="666"/>
      <c r="AD593" s="700">
        <f>(AB593/AB586-1)*100</f>
        <v>5.6872037914691864</v>
      </c>
      <c r="AE593" s="685" t="s">
        <v>1084</v>
      </c>
      <c r="AF593" s="703">
        <f>+H593/AD593*100</f>
        <v>89.407194146264089</v>
      </c>
      <c r="AG593" s="668" t="s">
        <v>1084</v>
      </c>
      <c r="AH593" s="666"/>
      <c r="AI593" s="673">
        <f>+S593</f>
        <v>127</v>
      </c>
      <c r="AJ593" s="666"/>
      <c r="AK593" s="711">
        <f>AI593/AB593</f>
        <v>47.958461175359929</v>
      </c>
      <c r="AL593" s="666"/>
      <c r="AM593" s="677">
        <f>(AK593/AK586-1)*100</f>
        <v>-2.3041306646250037</v>
      </c>
      <c r="AN593" s="685" t="s">
        <v>1084</v>
      </c>
      <c r="AO593" s="666"/>
    </row>
    <row r="594" spans="1:41" hidden="1" outlineLevel="1">
      <c r="A594" s="666" t="str">
        <f>$A$27</f>
        <v>2Q</v>
      </c>
      <c r="B594" s="684" t="str">
        <f>$B$27</f>
        <v>Jul</v>
      </c>
      <c r="C594" s="666"/>
      <c r="D594" s="700">
        <f>(S594/S587-1)*100</f>
        <v>4.1095890410958846</v>
      </c>
      <c r="E594" s="700"/>
      <c r="F594" s="703">
        <v>0.76890756302521002</v>
      </c>
      <c r="G594" s="700"/>
      <c r="H594" s="700">
        <f>D594-F594</f>
        <v>3.3406814780706746</v>
      </c>
      <c r="I594" s="704"/>
      <c r="J594" s="705">
        <f>+'store&amp;sf'!P60</f>
        <v>543</v>
      </c>
      <c r="K594" s="667"/>
      <c r="L594" s="706">
        <f>AVERAGE(J594,J593)</f>
        <v>542</v>
      </c>
      <c r="M594" s="667"/>
      <c r="N594" s="700">
        <f>(L594/L587-1)*100</f>
        <v>2.457466918714557</v>
      </c>
      <c r="O594" s="704"/>
      <c r="P594" s="703">
        <f>H594/N594*100</f>
        <v>135.94003860764508</v>
      </c>
      <c r="Q594" s="702"/>
      <c r="R594" s="667"/>
      <c r="S594" s="712">
        <f>+'segSales&amp;OM'!AK46</f>
        <v>152</v>
      </c>
      <c r="T594" s="667"/>
      <c r="U594" s="713">
        <f>S594/L594</f>
        <v>0.28044280442804426</v>
      </c>
      <c r="V594" s="666"/>
      <c r="W594" s="730">
        <f>(U594/U587-1)*100</f>
        <v>1.6124955770105531</v>
      </c>
      <c r="X594" s="685"/>
      <c r="Y594" s="666"/>
      <c r="Z594" s="678">
        <f>+'store&amp;sf'!P424</f>
        <v>2.6662499999999998</v>
      </c>
      <c r="AA594" s="666"/>
      <c r="AB594" s="710">
        <f>AVERAGE(Z594,Z593)</f>
        <v>2.6581250000000001</v>
      </c>
      <c r="AC594" s="666"/>
      <c r="AD594" s="700">
        <f>(AB594/AB587-1)*100</f>
        <v>4.1636051922605999</v>
      </c>
      <c r="AE594" s="685"/>
      <c r="AF594" s="703">
        <f>+H594/AD594*100</f>
        <v>80.235308676250241</v>
      </c>
      <c r="AG594" s="668"/>
      <c r="AH594" s="666"/>
      <c r="AI594" s="675">
        <f>+S594</f>
        <v>152</v>
      </c>
      <c r="AJ594" s="666"/>
      <c r="AK594" s="714">
        <f>AI594/AB594</f>
        <v>57.183164824829532</v>
      </c>
      <c r="AL594" s="666"/>
      <c r="AM594" s="677">
        <f>(AK594/AK587-1)*100</f>
        <v>-5.1857029204205318E-2</v>
      </c>
      <c r="AN594" s="685"/>
      <c r="AO594" s="666"/>
    </row>
    <row r="595" spans="1:41" hidden="1" outlineLevel="1">
      <c r="A595" s="666" t="str">
        <f>$A$28</f>
        <v>3Q</v>
      </c>
      <c r="B595" s="684" t="str">
        <f>$B$28</f>
        <v>Oct</v>
      </c>
      <c r="C595" s="666"/>
      <c r="D595" s="700">
        <f>(S595/S588-1)*100</f>
        <v>-4.0268456375838984</v>
      </c>
      <c r="E595" s="700"/>
      <c r="F595" s="703">
        <v>-5.9709231325514915</v>
      </c>
      <c r="G595" s="700"/>
      <c r="H595" s="700">
        <f>D595-F595</f>
        <v>1.9440774949675932</v>
      </c>
      <c r="I595" s="704"/>
      <c r="J595" s="705">
        <f>+'store&amp;sf'!P61</f>
        <v>546</v>
      </c>
      <c r="K595" s="667"/>
      <c r="L595" s="706">
        <f>AVERAGE(J595,J594)</f>
        <v>544.5</v>
      </c>
      <c r="M595" s="667"/>
      <c r="N595" s="700">
        <f>(L595/L588-1)*100</f>
        <v>1.1142061281337101</v>
      </c>
      <c r="O595" s="704"/>
      <c r="P595" s="703">
        <f>H595/N595*100</f>
        <v>174.48095517334065</v>
      </c>
      <c r="Q595" s="702"/>
      <c r="R595" s="667"/>
      <c r="S595" s="712">
        <f>+'segSales&amp;OM'!AK47</f>
        <v>143</v>
      </c>
      <c r="T595" s="667"/>
      <c r="U595" s="713">
        <f>S595/L595</f>
        <v>0.26262626262626265</v>
      </c>
      <c r="V595" s="666"/>
      <c r="W595" s="730">
        <f>(U595/U588-1)*100</f>
        <v>-5.0844010575554215</v>
      </c>
      <c r="X595" s="685"/>
      <c r="Y595" s="666"/>
      <c r="Z595" s="678">
        <f>+'store&amp;sf'!P425</f>
        <v>2.6862499999999998</v>
      </c>
      <c r="AA595" s="666"/>
      <c r="AB595" s="710">
        <f>AVERAGE(Z595,Z594)</f>
        <v>2.6762499999999996</v>
      </c>
      <c r="AC595" s="666"/>
      <c r="AD595" s="700">
        <f>(AB595/AB588-1)*100</f>
        <v>2.3667224480038218</v>
      </c>
      <c r="AE595" s="685"/>
      <c r="AF595" s="703">
        <f>+H595/AD595*100</f>
        <v>82.142183448984369</v>
      </c>
      <c r="AG595" s="668"/>
      <c r="AH595" s="666"/>
      <c r="AI595" s="675">
        <f>+S595</f>
        <v>143</v>
      </c>
      <c r="AJ595" s="666"/>
      <c r="AK595" s="714">
        <f>AI595/AB595</f>
        <v>53.432975245212525</v>
      </c>
      <c r="AL595" s="666"/>
      <c r="AM595" s="677">
        <f>(AK595/AK588-1)*100</f>
        <v>-6.2457485525486689</v>
      </c>
      <c r="AN595" s="685"/>
      <c r="AO595" s="666"/>
    </row>
    <row r="596" spans="1:41" hidden="1" outlineLevel="1">
      <c r="A596" s="666" t="str">
        <f>$A$29</f>
        <v>4Q</v>
      </c>
      <c r="B596" s="684" t="str">
        <f>$B$29</f>
        <v>Jan</v>
      </c>
      <c r="C596" s="666"/>
      <c r="D596" s="715">
        <f>(S596/S589-1)*100</f>
        <v>-1.6528925619834656</v>
      </c>
      <c r="E596" s="700"/>
      <c r="F596" s="717">
        <v>-3.5078087632832156</v>
      </c>
      <c r="G596" s="700"/>
      <c r="H596" s="715">
        <f>D596-F596</f>
        <v>1.85491620129975</v>
      </c>
      <c r="I596" s="704"/>
      <c r="J596" s="705">
        <f>+'store&amp;sf'!P62</f>
        <v>544</v>
      </c>
      <c r="K596" s="667"/>
      <c r="L596" s="716">
        <f>AVERAGE(J596,J595)</f>
        <v>545</v>
      </c>
      <c r="M596" s="667"/>
      <c r="N596" s="715">
        <f>(L596/L589-1)*100</f>
        <v>0.46082949308756671</v>
      </c>
      <c r="O596" s="704"/>
      <c r="P596" s="717">
        <f>H596/N596*100</f>
        <v>402.51681568203776</v>
      </c>
      <c r="Q596" s="702"/>
      <c r="R596" s="667"/>
      <c r="S596" s="718">
        <f>+'segSales&amp;OM'!AK48</f>
        <v>238</v>
      </c>
      <c r="T596" s="667"/>
      <c r="U596" s="719">
        <f>S596/L596</f>
        <v>0.43669724770642204</v>
      </c>
      <c r="V596" s="666"/>
      <c r="W596" s="720">
        <f>(U596/U589-1)*100</f>
        <v>-2.104026082341337</v>
      </c>
      <c r="X596" s="685"/>
      <c r="Y596" s="666"/>
      <c r="Z596" s="678">
        <f>+'store&amp;sf'!P426</f>
        <v>2.6787499999999995</v>
      </c>
      <c r="AA596" s="666"/>
      <c r="AB596" s="721">
        <f>AVERAGE(Z596,Z595)</f>
        <v>2.6824999999999997</v>
      </c>
      <c r="AC596" s="666"/>
      <c r="AD596" s="715">
        <f>(AB596/AB589-1)*100</f>
        <v>1.3938105362626851</v>
      </c>
      <c r="AE596" s="685"/>
      <c r="AF596" s="717">
        <f>+H596/AD596*100</f>
        <v>133.08237762884599</v>
      </c>
      <c r="AG596" s="668"/>
      <c r="AH596" s="666"/>
      <c r="AI596" s="722">
        <f>+S596</f>
        <v>238</v>
      </c>
      <c r="AJ596" s="666"/>
      <c r="AK596" s="723">
        <f>AI596/AB596</f>
        <v>88.72320596458529</v>
      </c>
      <c r="AL596" s="666"/>
      <c r="AM596" s="731">
        <f>(AK596/AK589-1)*100</f>
        <v>-3.0048215784892807</v>
      </c>
      <c r="AN596" s="685"/>
      <c r="AO596" s="666"/>
    </row>
    <row r="597" spans="1:41" hidden="1" outlineLevel="1">
      <c r="A597" s="666"/>
      <c r="B597" s="684" t="str">
        <f>$B$30</f>
        <v>Year</v>
      </c>
      <c r="C597" s="666"/>
      <c r="D597" s="700">
        <f>(S597/S590-1)*100</f>
        <v>0</v>
      </c>
      <c r="E597" s="700"/>
      <c r="F597" s="703">
        <v>-2.8136068147879301</v>
      </c>
      <c r="G597" s="700"/>
      <c r="H597" s="700">
        <f>D597-F597</f>
        <v>2.8136068147879301</v>
      </c>
      <c r="I597" s="704"/>
      <c r="J597" s="724"/>
      <c r="K597" s="667"/>
      <c r="L597" s="725">
        <f>AVERAGE(L593:L596)</f>
        <v>543.25</v>
      </c>
      <c r="M597" s="667"/>
      <c r="N597" s="700">
        <f>(L597/L590-1)*100</f>
        <v>1.9709056780853995</v>
      </c>
      <c r="O597" s="704"/>
      <c r="P597" s="703">
        <f>H597/N597*100</f>
        <v>142.75705053126424</v>
      </c>
      <c r="Q597" s="702"/>
      <c r="R597" s="667"/>
      <c r="S597" s="726">
        <f>SUM(S593:S596)</f>
        <v>660</v>
      </c>
      <c r="T597" s="667"/>
      <c r="U597" s="707">
        <f>SUM(U593:U596)</f>
        <v>1.2143000174384759</v>
      </c>
      <c r="V597" s="666"/>
      <c r="W597" s="730">
        <f>(U597/U590-1)*100</f>
        <v>-1.6645157396644072</v>
      </c>
      <c r="X597" s="685"/>
      <c r="Y597" s="666"/>
      <c r="Z597" s="727"/>
      <c r="AA597" s="666"/>
      <c r="AB597" s="710">
        <f>AVERAGE(AB593:AB596)</f>
        <v>2.6662499999999998</v>
      </c>
      <c r="AC597" s="666"/>
      <c r="AD597" s="700">
        <f>(AB597/AB590-1)*100</f>
        <v>3.3680639689847469</v>
      </c>
      <c r="AE597" s="685"/>
      <c r="AF597" s="703">
        <f>+H597/AD597*100</f>
        <v>83.537808090861475</v>
      </c>
      <c r="AG597" s="668"/>
      <c r="AH597" s="666"/>
      <c r="AI597" s="673">
        <f>SUM(AI593:AI596)</f>
        <v>660</v>
      </c>
      <c r="AJ597" s="666"/>
      <c r="AK597" s="711">
        <f>SUM(AK593:AK596)</f>
        <v>247.2978072099873</v>
      </c>
      <c r="AL597" s="666"/>
      <c r="AM597" s="677">
        <f>(AK597/AK590-1)*100</f>
        <v>-2.9316752523031564</v>
      </c>
      <c r="AN597" s="685"/>
      <c r="AO597" s="666"/>
    </row>
    <row r="598" spans="1:41" hidden="1" outlineLevel="1">
      <c r="A598" s="666"/>
      <c r="B598" s="684"/>
      <c r="C598" s="666"/>
      <c r="D598" s="700"/>
      <c r="E598" s="700"/>
      <c r="F598" s="700"/>
      <c r="G598" s="700"/>
      <c r="H598" s="700"/>
      <c r="I598" s="704"/>
      <c r="J598" s="724"/>
      <c r="K598" s="667"/>
      <c r="L598" s="667"/>
      <c r="M598" s="667"/>
      <c r="N598" s="667"/>
      <c r="O598" s="704"/>
      <c r="P598" s="702"/>
      <c r="Q598" s="702"/>
      <c r="R598" s="667"/>
      <c r="S598" s="667"/>
      <c r="T598" s="667"/>
      <c r="U598" s="667"/>
      <c r="V598" s="666"/>
      <c r="W598" s="666"/>
      <c r="X598" s="685"/>
      <c r="Y598" s="666"/>
      <c r="Z598" s="727"/>
      <c r="AA598" s="666"/>
      <c r="AB598" s="679"/>
      <c r="AC598" s="666"/>
      <c r="AD598" s="667"/>
      <c r="AE598" s="685"/>
      <c r="AF598" s="703"/>
      <c r="AG598" s="668"/>
      <c r="AH598" s="666"/>
      <c r="AI598" s="666"/>
      <c r="AJ598" s="666"/>
      <c r="AK598" s="666"/>
      <c r="AL598" s="666"/>
      <c r="AM598" s="666"/>
      <c r="AN598" s="685"/>
      <c r="AO598" s="666"/>
    </row>
    <row r="599" spans="1:41" hidden="1" outlineLevel="1">
      <c r="A599" s="698"/>
      <c r="B599" s="728">
        <f>B592+1</f>
        <v>1998</v>
      </c>
      <c r="C599" s="666"/>
      <c r="D599" s="700"/>
      <c r="E599" s="700"/>
      <c r="F599" s="700"/>
      <c r="G599" s="700"/>
      <c r="H599" s="700"/>
      <c r="I599" s="704"/>
      <c r="J599" s="724"/>
      <c r="K599" s="667"/>
      <c r="L599" s="667"/>
      <c r="M599" s="667"/>
      <c r="N599" s="667"/>
      <c r="O599" s="704"/>
      <c r="P599" s="702"/>
      <c r="Q599" s="702"/>
      <c r="R599" s="667"/>
      <c r="S599" s="667"/>
      <c r="T599" s="667"/>
      <c r="U599" s="667"/>
      <c r="V599" s="666"/>
      <c r="W599" s="666"/>
      <c r="X599" s="685"/>
      <c r="Y599" s="666"/>
      <c r="Z599" s="727"/>
      <c r="AA599" s="666"/>
      <c r="AB599" s="679"/>
      <c r="AC599" s="666"/>
      <c r="AD599" s="667"/>
      <c r="AE599" s="685"/>
      <c r="AF599" s="703"/>
      <c r="AG599" s="668"/>
      <c r="AH599" s="666"/>
      <c r="AI599" s="666"/>
      <c r="AJ599" s="666"/>
      <c r="AK599" s="666"/>
      <c r="AL599" s="666"/>
      <c r="AM599" s="666"/>
      <c r="AN599" s="685"/>
      <c r="AO599" s="666"/>
    </row>
    <row r="600" spans="1:41" hidden="1" outlineLevel="1">
      <c r="A600" s="666" t="str">
        <f>$A$26</f>
        <v>1Q</v>
      </c>
      <c r="B600" s="684" t="str">
        <f>$B$26</f>
        <v>Apr</v>
      </c>
      <c r="C600" s="666"/>
      <c r="D600" s="700">
        <f>(S600/S593-1)*100</f>
        <v>-4.7244094488188999</v>
      </c>
      <c r="E600" s="701" t="s">
        <v>1084</v>
      </c>
      <c r="F600" s="703">
        <v>-5.1363116420945607</v>
      </c>
      <c r="G600" s="701" t="s">
        <v>1084</v>
      </c>
      <c r="H600" s="700">
        <f>D600-F600</f>
        <v>0.4119021932756608</v>
      </c>
      <c r="I600" s="704" t="s">
        <v>1084</v>
      </c>
      <c r="J600" s="705">
        <f>+'store&amp;sf'!P65</f>
        <v>540</v>
      </c>
      <c r="K600" s="667"/>
      <c r="L600" s="706">
        <f>AVERAGE(J600,J596)</f>
        <v>542</v>
      </c>
      <c r="M600" s="667"/>
      <c r="N600" s="700">
        <f>(L600/L593-1)*100</f>
        <v>9.2336103416434945E-2</v>
      </c>
      <c r="O600" s="704" t="s">
        <v>1084</v>
      </c>
      <c r="P600" s="703">
        <f>H600/N600*100</f>
        <v>446.09007531754486</v>
      </c>
      <c r="Q600" s="702" t="s">
        <v>1084</v>
      </c>
      <c r="R600" s="667"/>
      <c r="S600" s="726">
        <f>+'segSales&amp;OM'!AK52</f>
        <v>121</v>
      </c>
      <c r="T600" s="667"/>
      <c r="U600" s="707">
        <f>S600/L600</f>
        <v>0.22324723247232472</v>
      </c>
      <c r="V600" s="666"/>
      <c r="W600" s="730">
        <f>(U600/U593-1)*100</f>
        <v>-4.8123020600284727</v>
      </c>
      <c r="X600" s="685" t="s">
        <v>1084</v>
      </c>
      <c r="Y600" s="666"/>
      <c r="Z600" s="678">
        <f>+'store&amp;sf'!P429</f>
        <v>2.6687499999999997</v>
      </c>
      <c r="AA600" s="666"/>
      <c r="AB600" s="710">
        <f>AVERAGE(Z600,Z596)</f>
        <v>2.6737499999999996</v>
      </c>
      <c r="AC600" s="666"/>
      <c r="AD600" s="700">
        <f>(AB600/AB593-1)*100</f>
        <v>0.96766580127447543</v>
      </c>
      <c r="AE600" s="685" t="s">
        <v>1084</v>
      </c>
      <c r="AF600" s="703">
        <f>+H600/AD600*100</f>
        <v>42.566575436804762</v>
      </c>
      <c r="AG600" s="668" t="s">
        <v>1084</v>
      </c>
      <c r="AH600" s="666"/>
      <c r="AI600" s="673">
        <f>+S600</f>
        <v>121</v>
      </c>
      <c r="AJ600" s="666"/>
      <c r="AK600" s="711">
        <f>AI600/AB600</f>
        <v>45.254791958859286</v>
      </c>
      <c r="AL600" s="666"/>
      <c r="AM600" s="677">
        <f>(AK600/AK593-1)*100</f>
        <v>-5.6375228692486345</v>
      </c>
      <c r="AN600" s="685" t="s">
        <v>1084</v>
      </c>
      <c r="AO600" s="666"/>
    </row>
    <row r="601" spans="1:41" hidden="1" outlineLevel="1">
      <c r="A601" s="666" t="str">
        <f>$A$27</f>
        <v>2Q</v>
      </c>
      <c r="B601" s="684" t="str">
        <f>$B$27</f>
        <v>Jul</v>
      </c>
      <c r="C601" s="666"/>
      <c r="D601" s="700">
        <f>(S601/S594-1)*100</f>
        <v>-13.815789473684214</v>
      </c>
      <c r="E601" s="700"/>
      <c r="F601" s="703">
        <v>-14.430415151636232</v>
      </c>
      <c r="G601" s="700"/>
      <c r="H601" s="700">
        <f>D601-F601</f>
        <v>0.61462567795201828</v>
      </c>
      <c r="I601" s="704"/>
      <c r="J601" s="705">
        <f>+'store&amp;sf'!P66</f>
        <v>537</v>
      </c>
      <c r="K601" s="667"/>
      <c r="L601" s="706">
        <f>AVERAGE(J601,J600)</f>
        <v>538.5</v>
      </c>
      <c r="M601" s="667"/>
      <c r="N601" s="700">
        <f>(L601/L594-1)*100</f>
        <v>-0.64575645756457245</v>
      </c>
      <c r="O601" s="704"/>
      <c r="P601" s="703">
        <f>H601/N601*100</f>
        <v>-95.179176414284456</v>
      </c>
      <c r="Q601" s="702"/>
      <c r="R601" s="667"/>
      <c r="S601" s="712">
        <f>+'segSales&amp;OM'!AK53</f>
        <v>131</v>
      </c>
      <c r="T601" s="667"/>
      <c r="U601" s="713">
        <f>S601/L601</f>
        <v>0.24326833797585887</v>
      </c>
      <c r="V601" s="666"/>
      <c r="W601" s="730">
        <f>(U601/U594-1)*100</f>
        <v>-13.255632116502946</v>
      </c>
      <c r="X601" s="685"/>
      <c r="Y601" s="666"/>
      <c r="Z601" s="678">
        <f>+'store&amp;sf'!P430</f>
        <v>2.6612499999999999</v>
      </c>
      <c r="AA601" s="666"/>
      <c r="AB601" s="710">
        <f>AVERAGE(Z601,Z600)</f>
        <v>2.665</v>
      </c>
      <c r="AC601" s="666"/>
      <c r="AD601" s="700">
        <f>(AB601/AB594-1)*100</f>
        <v>0.25864095932282005</v>
      </c>
      <c r="AE601" s="685"/>
      <c r="AF601" s="703">
        <f>+H601/AD601*100</f>
        <v>237.63663712091306</v>
      </c>
      <c r="AG601" s="668"/>
      <c r="AH601" s="666"/>
      <c r="AI601" s="675">
        <f>+S601</f>
        <v>131</v>
      </c>
      <c r="AJ601" s="666"/>
      <c r="AK601" s="714">
        <f>AI601/AB601</f>
        <v>49.155722326454033</v>
      </c>
      <c r="AL601" s="666"/>
      <c r="AM601" s="677">
        <f>(AK601/AK594-1)*100</f>
        <v>-14.038122099338402</v>
      </c>
      <c r="AN601" s="685"/>
      <c r="AO601" s="666"/>
    </row>
    <row r="602" spans="1:41" hidden="1" outlineLevel="1">
      <c r="A602" s="666" t="str">
        <f>$A$28</f>
        <v>3Q</v>
      </c>
      <c r="B602" s="684" t="str">
        <f>$B$28</f>
        <v>Oct</v>
      </c>
      <c r="C602" s="666"/>
      <c r="D602" s="700">
        <f>(S602/S595-1)*100</f>
        <v>-2.0979020979020935</v>
      </c>
      <c r="E602" s="700"/>
      <c r="F602" s="703">
        <v>-2</v>
      </c>
      <c r="G602" s="700"/>
      <c r="H602" s="700">
        <f>D602-F602</f>
        <v>-9.7902097902093477E-2</v>
      </c>
      <c r="I602" s="704"/>
      <c r="J602" s="705">
        <f>+'store&amp;sf'!P67</f>
        <v>534</v>
      </c>
      <c r="K602" s="667"/>
      <c r="L602" s="706">
        <f>AVERAGE(J602,J601)</f>
        <v>535.5</v>
      </c>
      <c r="M602" s="667"/>
      <c r="N602" s="700">
        <f>(L602/L595-1)*100</f>
        <v>-1.6528925619834656</v>
      </c>
      <c r="O602" s="704"/>
      <c r="P602" s="703">
        <f>H602/N602*100</f>
        <v>5.9230769230766747</v>
      </c>
      <c r="Q602" s="702"/>
      <c r="R602" s="667"/>
      <c r="S602" s="712">
        <f>+'segSales&amp;OM'!AK54</f>
        <v>140</v>
      </c>
      <c r="T602" s="667"/>
      <c r="U602" s="713">
        <f>S602/L602</f>
        <v>0.26143790849673204</v>
      </c>
      <c r="V602" s="666"/>
      <c r="W602" s="730">
        <f>(U602/U595-1)*100</f>
        <v>-0.45248868778281492</v>
      </c>
      <c r="X602" s="685"/>
      <c r="Y602" s="666"/>
      <c r="Z602" s="678">
        <f>+'store&amp;sf'!P431</f>
        <v>2.6574999999999998</v>
      </c>
      <c r="AA602" s="666"/>
      <c r="AB602" s="710">
        <f>AVERAGE(Z602,Z601)</f>
        <v>2.6593749999999998</v>
      </c>
      <c r="AC602" s="666"/>
      <c r="AD602" s="700">
        <f>(AB602/AB595-1)*100</f>
        <v>-0.63054647361044935</v>
      </c>
      <c r="AE602" s="685"/>
      <c r="AF602" s="703">
        <f>+H602/AD602*100</f>
        <v>15.526547526547146</v>
      </c>
      <c r="AG602" s="668"/>
      <c r="AH602" s="666"/>
      <c r="AI602" s="675">
        <f>+S602</f>
        <v>140</v>
      </c>
      <c r="AJ602" s="666"/>
      <c r="AK602" s="714">
        <f>AI602/AB602</f>
        <v>52.643948296122211</v>
      </c>
      <c r="AL602" s="666"/>
      <c r="AM602" s="730">
        <f>(AK602/AK595-1)*100</f>
        <v>-1.4766666940580042</v>
      </c>
      <c r="AN602" s="685"/>
      <c r="AO602" s="666"/>
    </row>
    <row r="603" spans="1:41" hidden="1" outlineLevel="1">
      <c r="A603" s="666" t="str">
        <f>$A$29</f>
        <v>4Q</v>
      </c>
      <c r="B603" s="684" t="str">
        <f>$B$29</f>
        <v>Jan</v>
      </c>
      <c r="C603" s="666"/>
      <c r="D603" s="715">
        <f>(S603/S596-1)*100</f>
        <v>-8.403361344537819</v>
      </c>
      <c r="E603" s="700"/>
      <c r="F603" s="717">
        <v>-8</v>
      </c>
      <c r="G603" s="700"/>
      <c r="H603" s="715">
        <f>D603-F603</f>
        <v>-0.40336134453781902</v>
      </c>
      <c r="I603" s="704"/>
      <c r="J603" s="705">
        <f>+'store&amp;sf'!P68</f>
        <v>532</v>
      </c>
      <c r="K603" s="667"/>
      <c r="L603" s="716">
        <f>AVERAGE(J603,J602)</f>
        <v>533</v>
      </c>
      <c r="M603" s="667"/>
      <c r="N603" s="715">
        <f>(L603/L596-1)*100</f>
        <v>-2.2018348623853212</v>
      </c>
      <c r="O603" s="704"/>
      <c r="P603" s="717">
        <f>H603/N603*100</f>
        <v>18.319327731092613</v>
      </c>
      <c r="Q603" s="702"/>
      <c r="R603" s="667"/>
      <c r="S603" s="718">
        <f>+'segSales&amp;OM'!AK55</f>
        <v>218</v>
      </c>
      <c r="T603" s="667"/>
      <c r="U603" s="719">
        <f>S603/L603</f>
        <v>0.40900562851782363</v>
      </c>
      <c r="V603" s="666"/>
      <c r="W603" s="720">
        <f>(U603/U596-1)*100</f>
        <v>-6.3411480915067759</v>
      </c>
      <c r="X603" s="685"/>
      <c r="Y603" s="666"/>
      <c r="Z603" s="678">
        <f>+'store&amp;sf'!P432</f>
        <v>2.6474999999999995</v>
      </c>
      <c r="AA603" s="666"/>
      <c r="AB603" s="721">
        <f>AVERAGE(Z603,Z602)</f>
        <v>2.6524999999999999</v>
      </c>
      <c r="AC603" s="666"/>
      <c r="AD603" s="715">
        <f>(AB603/AB596-1)*100</f>
        <v>-1.1183597390493905</v>
      </c>
      <c r="AE603" s="685"/>
      <c r="AF603" s="717">
        <f>+H603/AD603*100</f>
        <v>36.067226890756771</v>
      </c>
      <c r="AG603" s="668"/>
      <c r="AH603" s="666"/>
      <c r="AI603" s="722">
        <f>+S603</f>
        <v>218</v>
      </c>
      <c r="AJ603" s="666"/>
      <c r="AK603" s="723">
        <f>AI603/AB603</f>
        <v>82.186616399623006</v>
      </c>
      <c r="AL603" s="666"/>
      <c r="AM603" s="720">
        <f>(AK603/AK596-1)*100</f>
        <v>-7.3673955916014</v>
      </c>
      <c r="AN603" s="685"/>
      <c r="AO603" s="666"/>
    </row>
    <row r="604" spans="1:41" hidden="1" outlineLevel="1">
      <c r="A604" s="666"/>
      <c r="B604" s="684" t="str">
        <f>$B$30</f>
        <v>Year</v>
      </c>
      <c r="C604" s="666"/>
      <c r="D604" s="700">
        <f>(S604/S597-1)*100</f>
        <v>-7.5757575757575797</v>
      </c>
      <c r="E604" s="700"/>
      <c r="F604" s="703">
        <v>-8</v>
      </c>
      <c r="G604" s="700"/>
      <c r="H604" s="700">
        <f>D604-F604</f>
        <v>0.42424242424242031</v>
      </c>
      <c r="I604" s="704"/>
      <c r="J604" s="667"/>
      <c r="K604" s="667"/>
      <c r="L604" s="725">
        <f>AVERAGE(L600:L603)</f>
        <v>537.25</v>
      </c>
      <c r="M604" s="667"/>
      <c r="N604" s="700">
        <f>(L604/L597-1)*100</f>
        <v>-1.1044638748274327</v>
      </c>
      <c r="O604" s="704"/>
      <c r="P604" s="703">
        <f>H604/N604*100</f>
        <v>-38.411616161615626</v>
      </c>
      <c r="Q604" s="702"/>
      <c r="R604" s="667"/>
      <c r="S604" s="726">
        <f>SUM(S600:S603)</f>
        <v>610</v>
      </c>
      <c r="T604" s="667"/>
      <c r="U604" s="707">
        <f>SUM(U600:U603)</f>
        <v>1.1369591074627392</v>
      </c>
      <c r="V604" s="666"/>
      <c r="W604" s="730">
        <f>(U604/U597-1)*100</f>
        <v>-6.3691763868112812</v>
      </c>
      <c r="X604" s="685"/>
      <c r="Y604" s="666"/>
      <c r="Z604" s="727"/>
      <c r="AA604" s="666"/>
      <c r="AB604" s="710">
        <f>AVERAGE(AB600:AB603)</f>
        <v>2.6626562499999995</v>
      </c>
      <c r="AC604" s="666"/>
      <c r="AD604" s="700">
        <f>(AB604/AB597-1)*100</f>
        <v>-0.13478668541960781</v>
      </c>
      <c r="AE604" s="685"/>
      <c r="AF604" s="703">
        <f>+H604/AD604*100</f>
        <v>-314.75098814226385</v>
      </c>
      <c r="AG604" s="668"/>
      <c r="AH604" s="666"/>
      <c r="AI604" s="673">
        <f>SUM(AI600:AI603)</f>
        <v>610</v>
      </c>
      <c r="AJ604" s="666"/>
      <c r="AK604" s="711">
        <f>SUM(AK600:AK603)</f>
        <v>229.24107898105854</v>
      </c>
      <c r="AL604" s="666"/>
      <c r="AM604" s="730">
        <f>(AK604/AK597-1)*100</f>
        <v>-7.3016127529170971</v>
      </c>
      <c r="AN604" s="685"/>
      <c r="AO604" s="666"/>
    </row>
    <row r="605" spans="1:41" hidden="1" outlineLevel="1">
      <c r="A605" s="666"/>
      <c r="B605" s="684"/>
      <c r="C605" s="666"/>
      <c r="D605" s="700"/>
      <c r="E605" s="700"/>
      <c r="F605" s="700"/>
      <c r="G605" s="700"/>
      <c r="H605" s="700"/>
      <c r="I605" s="704"/>
      <c r="J605" s="667"/>
      <c r="K605" s="667"/>
      <c r="L605" s="667"/>
      <c r="M605" s="667"/>
      <c r="N605" s="667"/>
      <c r="O605" s="704"/>
      <c r="P605" s="702"/>
      <c r="Q605" s="702"/>
      <c r="R605" s="667"/>
      <c r="S605" s="667"/>
      <c r="T605" s="667"/>
      <c r="U605" s="667"/>
      <c r="V605" s="666"/>
      <c r="W605" s="666"/>
      <c r="X605" s="685"/>
      <c r="Y605" s="666"/>
      <c r="Z605" s="676"/>
      <c r="AA605" s="666"/>
      <c r="AB605" s="679"/>
      <c r="AC605" s="666"/>
      <c r="AD605" s="667"/>
      <c r="AE605" s="685"/>
      <c r="AF605" s="703"/>
      <c r="AG605" s="668"/>
      <c r="AH605" s="666"/>
      <c r="AI605" s="666"/>
      <c r="AJ605" s="666"/>
      <c r="AK605" s="666"/>
      <c r="AL605" s="666"/>
      <c r="AM605" s="666"/>
      <c r="AN605" s="685"/>
      <c r="AO605" s="666"/>
    </row>
    <row r="606" spans="1:41" hidden="1" outlineLevel="1">
      <c r="A606" s="698"/>
      <c r="B606" s="728">
        <f>B599+1</f>
        <v>1999</v>
      </c>
      <c r="C606" s="666"/>
      <c r="D606" s="700"/>
      <c r="E606" s="700"/>
      <c r="F606" s="700"/>
      <c r="G606" s="700"/>
      <c r="H606" s="700"/>
      <c r="I606" s="704"/>
      <c r="J606" s="667"/>
      <c r="K606" s="667"/>
      <c r="L606" s="667"/>
      <c r="M606" s="667"/>
      <c r="N606" s="667"/>
      <c r="O606" s="704"/>
      <c r="P606" s="702"/>
      <c r="Q606" s="702"/>
      <c r="R606" s="667"/>
      <c r="S606" s="667"/>
      <c r="T606" s="667"/>
      <c r="U606" s="667"/>
      <c r="V606" s="666"/>
      <c r="W606" s="666"/>
      <c r="X606" s="685"/>
      <c r="Y606" s="666"/>
      <c r="Z606" s="676"/>
      <c r="AA606" s="666"/>
      <c r="AB606" s="679"/>
      <c r="AC606" s="666"/>
      <c r="AD606" s="667"/>
      <c r="AE606" s="685"/>
      <c r="AF606" s="703"/>
      <c r="AG606" s="668"/>
      <c r="AH606" s="666"/>
      <c r="AI606" s="666"/>
      <c r="AJ606" s="666"/>
      <c r="AK606" s="666"/>
      <c r="AL606" s="666"/>
      <c r="AM606" s="666"/>
      <c r="AN606" s="685"/>
      <c r="AO606" s="666"/>
    </row>
    <row r="607" spans="1:41" hidden="1" outlineLevel="1">
      <c r="A607" s="666" t="str">
        <f>$A$26</f>
        <v>1Q</v>
      </c>
      <c r="B607" s="684" t="str">
        <f>$B$26</f>
        <v>Apr</v>
      </c>
      <c r="C607" s="666"/>
      <c r="D607" s="700">
        <f>(S607/S600-1)*100</f>
        <v>0.62148760330578146</v>
      </c>
      <c r="E607" s="701" t="s">
        <v>1084</v>
      </c>
      <c r="F607" s="703">
        <v>2.786297064977187</v>
      </c>
      <c r="G607" s="701" t="s">
        <v>1084</v>
      </c>
      <c r="H607" s="700">
        <f>D607-F607</f>
        <v>-2.1648094616714055</v>
      </c>
      <c r="I607" s="704" t="s">
        <v>1084</v>
      </c>
      <c r="J607" s="705">
        <f>+'store&amp;sf'!P71</f>
        <v>524</v>
      </c>
      <c r="K607" s="667"/>
      <c r="L607" s="706">
        <f>AVERAGE(J607,J603)</f>
        <v>528</v>
      </c>
      <c r="M607" s="667"/>
      <c r="N607" s="700">
        <f>(L607/L600-1)*100</f>
        <v>-2.5830258302583009</v>
      </c>
      <c r="O607" s="704" t="s">
        <v>1084</v>
      </c>
      <c r="P607" s="703">
        <f>H607/N607*100</f>
        <v>83.809052016135894</v>
      </c>
      <c r="Q607" s="702" t="s">
        <v>1084</v>
      </c>
      <c r="R607" s="667"/>
      <c r="S607" s="726">
        <f>+'segSales&amp;OM'!AK59</f>
        <v>121.752</v>
      </c>
      <c r="T607" s="667"/>
      <c r="U607" s="707">
        <f>S607/L607</f>
        <v>0.23059090909090907</v>
      </c>
      <c r="V607" s="666"/>
      <c r="W607" s="730">
        <f>(U607/U600-1)*100</f>
        <v>3.2894815927873688</v>
      </c>
      <c r="X607" s="685" t="s">
        <v>1084</v>
      </c>
      <c r="Y607" s="666"/>
      <c r="Z607" s="678">
        <f>+'store&amp;sf'!P435</f>
        <v>2.6</v>
      </c>
      <c r="AA607" s="666"/>
      <c r="AB607" s="710">
        <f>AVERAGE(Z607,Z603)</f>
        <v>2.6237499999999998</v>
      </c>
      <c r="AC607" s="666"/>
      <c r="AD607" s="700">
        <f>(AB607/AB600-1)*100</f>
        <v>-1.8700327255726901</v>
      </c>
      <c r="AE607" s="685" t="s">
        <v>1084</v>
      </c>
      <c r="AF607" s="703">
        <f>+H607/AD607*100</f>
        <v>115.76318596287886</v>
      </c>
      <c r="AG607" s="668" t="s">
        <v>1084</v>
      </c>
      <c r="AH607" s="666"/>
      <c r="AI607" s="673">
        <f>+S607</f>
        <v>121.752</v>
      </c>
      <c r="AJ607" s="666"/>
      <c r="AK607" s="711">
        <f>AI607/AB607</f>
        <v>46.40381133873273</v>
      </c>
      <c r="AL607" s="666"/>
      <c r="AM607" s="677">
        <f>(AK607/AK600-1)*100</f>
        <v>2.5390004685426515</v>
      </c>
      <c r="AN607" s="685" t="s">
        <v>1084</v>
      </c>
      <c r="AO607" s="666"/>
    </row>
    <row r="608" spans="1:41" hidden="1" outlineLevel="1">
      <c r="A608" s="666" t="str">
        <f>$A$27</f>
        <v>2Q</v>
      </c>
      <c r="B608" s="684" t="str">
        <f>$B$27</f>
        <v>Jul</v>
      </c>
      <c r="C608" s="666"/>
      <c r="D608" s="700">
        <f>(S608/S601-1)*100</f>
        <v>4.6641221374045916</v>
      </c>
      <c r="E608" s="701"/>
      <c r="F608" s="703">
        <v>8.2442018885948301</v>
      </c>
      <c r="G608" s="701"/>
      <c r="H608" s="700">
        <f>D608-F608</f>
        <v>-3.5800797511902385</v>
      </c>
      <c r="I608" s="704"/>
      <c r="J608" s="705">
        <f>+'store&amp;sf'!P72</f>
        <v>518</v>
      </c>
      <c r="K608" s="667"/>
      <c r="L608" s="706">
        <f>AVERAGE(J608,J607)</f>
        <v>521</v>
      </c>
      <c r="M608" s="667"/>
      <c r="N608" s="700">
        <f>(L608/L601-1)*100</f>
        <v>-3.2497678737233082</v>
      </c>
      <c r="O608" s="704"/>
      <c r="P608" s="703">
        <f>H608/N608*100</f>
        <v>110.1641683437681</v>
      </c>
      <c r="Q608" s="702"/>
      <c r="R608" s="667"/>
      <c r="S608" s="712">
        <f>+'segSales&amp;OM'!AK60</f>
        <v>137.11000000000001</v>
      </c>
      <c r="T608" s="667"/>
      <c r="U608" s="713">
        <f>S608/L608</f>
        <v>0.26316698656429943</v>
      </c>
      <c r="V608" s="666"/>
      <c r="W608" s="730">
        <f>(U608/U601-1)*100</f>
        <v>8.1797116525765148</v>
      </c>
      <c r="X608" s="685"/>
      <c r="Y608" s="666"/>
      <c r="Z608" s="678">
        <f>+'store&amp;sf'!P436</f>
        <v>2.5674999999999994</v>
      </c>
      <c r="AA608" s="666"/>
      <c r="AB608" s="710">
        <f>AVERAGE(Z608,Z607)</f>
        <v>2.5837499999999998</v>
      </c>
      <c r="AC608" s="666"/>
      <c r="AD608" s="700">
        <f>(AB608/AB601-1)*100</f>
        <v>-3.0487804878048919</v>
      </c>
      <c r="AE608" s="685"/>
      <c r="AF608" s="703">
        <f>+H608/AD608*100</f>
        <v>117.42661583903929</v>
      </c>
      <c r="AG608" s="668"/>
      <c r="AH608" s="666"/>
      <c r="AI608" s="675">
        <f>+S608</f>
        <v>137.11000000000001</v>
      </c>
      <c r="AJ608" s="666"/>
      <c r="AK608" s="714">
        <f>AI608/AB608</f>
        <v>53.066279632317375</v>
      </c>
      <c r="AL608" s="666"/>
      <c r="AM608" s="677">
        <f>(AK608/AK601-1)*100</f>
        <v>7.955446732920457</v>
      </c>
      <c r="AN608" s="685"/>
      <c r="AO608" s="666"/>
    </row>
    <row r="609" spans="1:41" hidden="1" outlineLevel="1">
      <c r="A609" s="666" t="str">
        <f>$A$28</f>
        <v>3Q</v>
      </c>
      <c r="B609" s="684" t="str">
        <f>$B$28</f>
        <v>Oct</v>
      </c>
      <c r="C609" s="666"/>
      <c r="D609" s="700">
        <f>(S609/S602-1)*100</f>
        <v>3.4192857142857136</v>
      </c>
      <c r="E609" s="701"/>
      <c r="F609" s="703">
        <v>8.3401350448912961</v>
      </c>
      <c r="G609" s="701"/>
      <c r="H609" s="700">
        <f>D609-F609</f>
        <v>-4.9208493306055825</v>
      </c>
      <c r="I609" s="704"/>
      <c r="J609" s="705">
        <f>+'store&amp;sf'!P73</f>
        <v>511</v>
      </c>
      <c r="K609" s="667"/>
      <c r="L609" s="706">
        <f>AVERAGE(J609,J608)</f>
        <v>514.5</v>
      </c>
      <c r="M609" s="667"/>
      <c r="N609" s="700">
        <f>(L609/L602-1)*100</f>
        <v>-3.9215686274509776</v>
      </c>
      <c r="O609" s="704"/>
      <c r="P609" s="703">
        <f>H609/N609*100</f>
        <v>125.48165793044244</v>
      </c>
      <c r="Q609" s="702"/>
      <c r="R609" s="667"/>
      <c r="S609" s="712">
        <f>+'segSales&amp;OM'!AK61</f>
        <v>144.78700000000001</v>
      </c>
      <c r="T609" s="667"/>
      <c r="U609" s="713">
        <f>S609/L609</f>
        <v>0.28141302235179788</v>
      </c>
      <c r="V609" s="666"/>
      <c r="W609" s="730">
        <f>(U609/U602-1)*100</f>
        <v>7.6404810495626752</v>
      </c>
      <c r="X609" s="685"/>
      <c r="Y609" s="666"/>
      <c r="Z609" s="678">
        <f>+'store&amp;sf'!P437</f>
        <v>2.5274999999999994</v>
      </c>
      <c r="AA609" s="666"/>
      <c r="AB609" s="710">
        <f>AVERAGE(Z609,Z608)</f>
        <v>2.5474999999999994</v>
      </c>
      <c r="AC609" s="666"/>
      <c r="AD609" s="700">
        <f>(AB609/AB602-1)*100</f>
        <v>-4.2068155111633532</v>
      </c>
      <c r="AE609" s="685"/>
      <c r="AF609" s="703">
        <f>+H609/AD609*100</f>
        <v>116.97326202081942</v>
      </c>
      <c r="AG609" s="668"/>
      <c r="AH609" s="666"/>
      <c r="AI609" s="675">
        <f>+S609</f>
        <v>144.78700000000001</v>
      </c>
      <c r="AJ609" s="666"/>
      <c r="AK609" s="714">
        <f>AI609/AB609</f>
        <v>56.83493621197254</v>
      </c>
      <c r="AL609" s="666"/>
      <c r="AM609" s="730">
        <f>(AK609/AK602-1)*100</f>
        <v>7.9610060633674706</v>
      </c>
      <c r="AN609" s="685"/>
      <c r="AO609" s="666"/>
    </row>
    <row r="610" spans="1:41" hidden="1" outlineLevel="1">
      <c r="A610" s="666" t="str">
        <f>$A$29</f>
        <v>4Q</v>
      </c>
      <c r="B610" s="684" t="str">
        <f>$B$29</f>
        <v>Jan</v>
      </c>
      <c r="C610" s="666"/>
      <c r="D610" s="715">
        <f>(S610/S603-1)*100</f>
        <v>-6.8761467889908339</v>
      </c>
      <c r="E610" s="701"/>
      <c r="F610" s="717">
        <v>-0.70591855969532014</v>
      </c>
      <c r="G610" s="701"/>
      <c r="H610" s="715">
        <f>D610-F610</f>
        <v>-6.170228229295514</v>
      </c>
      <c r="I610" s="704"/>
      <c r="J610" s="705">
        <f>+'store&amp;sf'!P74</f>
        <v>499</v>
      </c>
      <c r="K610" s="667"/>
      <c r="L610" s="716">
        <f>AVERAGE(J610,J609)</f>
        <v>505</v>
      </c>
      <c r="M610" s="667"/>
      <c r="N610" s="715">
        <f>(L610/L603-1)*100</f>
        <v>-5.2532833020637941</v>
      </c>
      <c r="O610" s="704"/>
      <c r="P610" s="717">
        <f>H610/N610*100</f>
        <v>117.45470165051807</v>
      </c>
      <c r="Q610" s="702"/>
      <c r="R610" s="667"/>
      <c r="S610" s="718">
        <f>+'segSales&amp;OM'!AK62</f>
        <v>203.01</v>
      </c>
      <c r="T610" s="667"/>
      <c r="U610" s="719">
        <f>S610/L610</f>
        <v>0.40199999999999997</v>
      </c>
      <c r="V610" s="666"/>
      <c r="W610" s="720">
        <f>(U610/U603-1)*100</f>
        <v>-1.7128440366972475</v>
      </c>
      <c r="X610" s="685"/>
      <c r="Y610" s="666"/>
      <c r="Z610" s="678">
        <f>+'store&amp;sf'!P438</f>
        <v>2.4724999999999997</v>
      </c>
      <c r="AA610" s="666"/>
      <c r="AB610" s="721">
        <f>AVERAGE(Z610,Z609)</f>
        <v>2.4999999999999996</v>
      </c>
      <c r="AC610" s="666"/>
      <c r="AD610" s="715">
        <f>(AB610/AB603-1)*100</f>
        <v>-5.7492931196984065</v>
      </c>
      <c r="AE610" s="685"/>
      <c r="AF610" s="717">
        <f>+H610/AD610*100</f>
        <v>107.32151067676278</v>
      </c>
      <c r="AG610" s="668"/>
      <c r="AH610" s="666"/>
      <c r="AI610" s="722">
        <f>+S610</f>
        <v>203.01</v>
      </c>
      <c r="AJ610" s="666"/>
      <c r="AK610" s="723">
        <f>AI610/AB610</f>
        <v>81.204000000000008</v>
      </c>
      <c r="AL610" s="666"/>
      <c r="AM610" s="720">
        <f>(AK610/AK603-1)*100</f>
        <v>-1.195591743119262</v>
      </c>
      <c r="AN610" s="685"/>
      <c r="AO610" s="666"/>
    </row>
    <row r="611" spans="1:41" hidden="1" outlineLevel="1">
      <c r="A611" s="666"/>
      <c r="B611" s="684" t="str">
        <f>$B$30</f>
        <v>Year</v>
      </c>
      <c r="C611" s="666"/>
      <c r="D611" s="700">
        <f>(S611/S604-1)*100</f>
        <v>-0.54770491803278754</v>
      </c>
      <c r="E611" s="701"/>
      <c r="F611" s="703">
        <v>4.0066095400635504</v>
      </c>
      <c r="G611" s="701"/>
      <c r="H611" s="700">
        <f>D611-F611</f>
        <v>-4.5543144580963375</v>
      </c>
      <c r="I611" s="704"/>
      <c r="J611" s="705"/>
      <c r="K611" s="667"/>
      <c r="L611" s="725">
        <f>AVERAGE(L607:L610)</f>
        <v>517.125</v>
      </c>
      <c r="M611" s="667"/>
      <c r="N611" s="700">
        <f>(L611/L604-1)*100</f>
        <v>-3.7459283387622166</v>
      </c>
      <c r="O611" s="704"/>
      <c r="P611" s="703">
        <f>H611/N611*100</f>
        <v>121.58039466396305</v>
      </c>
      <c r="Q611" s="702"/>
      <c r="R611" s="667"/>
      <c r="S611" s="726">
        <f>SUM(S607:S610)</f>
        <v>606.65899999999999</v>
      </c>
      <c r="T611" s="667"/>
      <c r="U611" s="707">
        <f>SUM(U607:U610)</f>
        <v>1.1771709180070062</v>
      </c>
      <c r="V611" s="666"/>
      <c r="W611" s="730">
        <f>(U611/U604-1)*100</f>
        <v>3.5367860005101281</v>
      </c>
      <c r="X611" s="685"/>
      <c r="Y611" s="666"/>
      <c r="Z611" s="676"/>
      <c r="AA611" s="666"/>
      <c r="AB611" s="710">
        <f>AVERAGE(AB607:AB610)</f>
        <v>2.5637499999999998</v>
      </c>
      <c r="AC611" s="666"/>
      <c r="AD611" s="700">
        <f>(AB611/AB604-1)*100</f>
        <v>-3.7145707411536777</v>
      </c>
      <c r="AE611" s="685"/>
      <c r="AF611" s="703">
        <f>+H611/AD611*100</f>
        <v>122.60674989007885</v>
      </c>
      <c r="AG611" s="668"/>
      <c r="AH611" s="666"/>
      <c r="AI611" s="673">
        <f>SUM(AI607:AI610)</f>
        <v>606.65899999999999</v>
      </c>
      <c r="AJ611" s="666"/>
      <c r="AK611" s="711">
        <f>SUM(AK607:AK610)</f>
        <v>237.50902718302265</v>
      </c>
      <c r="AL611" s="666"/>
      <c r="AM611" s="730">
        <f>(AK611/AK604-1)*100</f>
        <v>3.6066608300370451</v>
      </c>
      <c r="AN611" s="685"/>
      <c r="AO611" s="666"/>
    </row>
    <row r="612" spans="1:41" hidden="1" outlineLevel="1">
      <c r="A612" s="666"/>
      <c r="B612" s="684"/>
      <c r="C612" s="666"/>
      <c r="D612" s="700"/>
      <c r="E612" s="701"/>
      <c r="F612" s="700"/>
      <c r="G612" s="701"/>
      <c r="H612" s="700"/>
      <c r="I612" s="704"/>
      <c r="J612" s="667"/>
      <c r="K612" s="667"/>
      <c r="L612" s="667"/>
      <c r="M612" s="667"/>
      <c r="N612" s="667"/>
      <c r="O612" s="704"/>
      <c r="P612" s="702"/>
      <c r="Q612" s="702"/>
      <c r="R612" s="667"/>
      <c r="S612" s="667"/>
      <c r="T612" s="667"/>
      <c r="U612" s="667"/>
      <c r="V612" s="666"/>
      <c r="W612" s="666"/>
      <c r="X612" s="685"/>
      <c r="Y612" s="666"/>
      <c r="Z612" s="676"/>
      <c r="AA612" s="666"/>
      <c r="AB612" s="679"/>
      <c r="AC612" s="666"/>
      <c r="AD612" s="667"/>
      <c r="AE612" s="685"/>
      <c r="AF612" s="703"/>
      <c r="AG612" s="668"/>
      <c r="AH612" s="666"/>
      <c r="AI612" s="666"/>
      <c r="AJ612" s="666"/>
      <c r="AK612" s="666"/>
      <c r="AL612" s="666"/>
      <c r="AM612" s="666"/>
      <c r="AN612" s="685"/>
      <c r="AO612" s="666"/>
    </row>
    <row r="613" spans="1:41" hidden="1" outlineLevel="1">
      <c r="A613" s="698"/>
      <c r="B613" s="728">
        <f>B606+1</f>
        <v>2000</v>
      </c>
      <c r="C613" s="666"/>
      <c r="D613" s="700"/>
      <c r="E613" s="701"/>
      <c r="F613" s="700"/>
      <c r="G613" s="701"/>
      <c r="H613" s="700"/>
      <c r="I613" s="704"/>
      <c r="J613" s="667"/>
      <c r="K613" s="667"/>
      <c r="L613" s="667"/>
      <c r="M613" s="667"/>
      <c r="N613" s="667"/>
      <c r="O613" s="704"/>
      <c r="P613" s="702"/>
      <c r="Q613" s="702"/>
      <c r="R613" s="667"/>
      <c r="S613" s="667"/>
      <c r="T613" s="667"/>
      <c r="U613" s="667"/>
      <c r="V613" s="666"/>
      <c r="W613" s="666"/>
      <c r="X613" s="685"/>
      <c r="Y613" s="666"/>
      <c r="Z613" s="676"/>
      <c r="AA613" s="666"/>
      <c r="AB613" s="679"/>
      <c r="AC613" s="666"/>
      <c r="AD613" s="667"/>
      <c r="AE613" s="685"/>
      <c r="AF613" s="703"/>
      <c r="AG613" s="668"/>
      <c r="AH613" s="666"/>
      <c r="AI613" s="666"/>
      <c r="AJ613" s="666"/>
      <c r="AK613" s="666"/>
      <c r="AL613" s="666"/>
      <c r="AM613" s="666"/>
      <c r="AN613" s="685"/>
      <c r="AO613" s="666"/>
    </row>
    <row r="614" spans="1:41" hidden="1" outlineLevel="1">
      <c r="A614" s="666" t="str">
        <f>$A$26</f>
        <v>1Q</v>
      </c>
      <c r="B614" s="684" t="str">
        <f>$B$26</f>
        <v>Apr</v>
      </c>
      <c r="C614" s="666"/>
      <c r="D614" s="700">
        <f>(S614/S607-1)*100</f>
        <v>-8.6856889414547496</v>
      </c>
      <c r="E614" s="701" t="s">
        <v>1084</v>
      </c>
      <c r="F614" s="703">
        <v>-4.0402916609612491</v>
      </c>
      <c r="G614" s="701" t="s">
        <v>1084</v>
      </c>
      <c r="H614" s="700">
        <f>D614-F614</f>
        <v>-4.6453972804935004</v>
      </c>
      <c r="I614" s="704" t="s">
        <v>1084</v>
      </c>
      <c r="J614" s="705">
        <f>+'store&amp;sf'!P77</f>
        <v>492</v>
      </c>
      <c r="K614" s="667"/>
      <c r="L614" s="706">
        <f>AVERAGE(J614,J610)</f>
        <v>495.5</v>
      </c>
      <c r="M614" s="667"/>
      <c r="N614" s="700">
        <f>(L614/L607-1)*100</f>
        <v>-6.1553030303030276</v>
      </c>
      <c r="O614" s="704" t="s">
        <v>1084</v>
      </c>
      <c r="P614" s="703">
        <f>H614/N614*100</f>
        <v>75.469838895402134</v>
      </c>
      <c r="Q614" s="702" t="s">
        <v>1084</v>
      </c>
      <c r="R614" s="667"/>
      <c r="S614" s="726">
        <f>+'segSales&amp;OM'!AK66</f>
        <v>111.17700000000001</v>
      </c>
      <c r="T614" s="667"/>
      <c r="U614" s="707">
        <f>S614/L614</f>
        <v>0.22437336024217963</v>
      </c>
      <c r="V614" s="666"/>
      <c r="W614" s="730">
        <f>(U614/U607-1)*100</f>
        <v>-2.6963547146076849</v>
      </c>
      <c r="X614" s="685" t="s">
        <v>1084</v>
      </c>
      <c r="Y614" s="666"/>
      <c r="Z614" s="678">
        <f>+'store&amp;sf'!P441</f>
        <v>2.4449999999999998</v>
      </c>
      <c r="AA614" s="666"/>
      <c r="AB614" s="710">
        <f>AVERAGE(Z614,Z610)</f>
        <v>2.4587499999999998</v>
      </c>
      <c r="AC614" s="666"/>
      <c r="AD614" s="700">
        <f>(AB614/AB607-1)*100</f>
        <v>-6.288708909004292</v>
      </c>
      <c r="AE614" s="685" t="s">
        <v>1084</v>
      </c>
      <c r="AF614" s="703">
        <f>+H614/AD614*100</f>
        <v>73.868855240574632</v>
      </c>
      <c r="AG614" s="668" t="s">
        <v>1084</v>
      </c>
      <c r="AH614" s="666"/>
      <c r="AI614" s="673">
        <f>+S614</f>
        <v>111.17700000000001</v>
      </c>
      <c r="AJ614" s="666"/>
      <c r="AK614" s="711">
        <f>AI614/AB614</f>
        <v>45.21687849517032</v>
      </c>
      <c r="AL614" s="666"/>
      <c r="AM614" s="730">
        <f>(AK614/AK607-1)*100</f>
        <v>-2.5578348185630428</v>
      </c>
      <c r="AN614" s="685" t="s">
        <v>1084</v>
      </c>
      <c r="AO614" s="666"/>
    </row>
    <row r="615" spans="1:41" hidden="1" outlineLevel="1">
      <c r="A615" s="666" t="str">
        <f>$A$27</f>
        <v>2Q</v>
      </c>
      <c r="B615" s="684" t="str">
        <f>$B$27</f>
        <v>Jul</v>
      </c>
      <c r="C615" s="666"/>
      <c r="D615" s="700">
        <f>(S615/S608-1)*100</f>
        <v>-9.0175771278535599</v>
      </c>
      <c r="E615" s="700"/>
      <c r="F615" s="703">
        <v>-4.4918550936056407</v>
      </c>
      <c r="G615" s="700"/>
      <c r="H615" s="700">
        <f>D615-F615</f>
        <v>-4.5257220342479192</v>
      </c>
      <c r="I615" s="667"/>
      <c r="J615" s="705">
        <f>+'store&amp;sf'!P78</f>
        <v>488</v>
      </c>
      <c r="K615" s="724"/>
      <c r="L615" s="706">
        <f>AVERAGE(J615,J614)</f>
        <v>490</v>
      </c>
      <c r="M615" s="667"/>
      <c r="N615" s="700">
        <f>(L615/L608-1)*100</f>
        <v>-5.9500959692898263</v>
      </c>
      <c r="O615" s="704"/>
      <c r="P615" s="703">
        <f>H615/N615*100</f>
        <v>76.061328382037615</v>
      </c>
      <c r="Q615" s="702"/>
      <c r="R615" s="667"/>
      <c r="S615" s="712">
        <f>+'segSales&amp;OM'!AK67</f>
        <v>124.746</v>
      </c>
      <c r="T615" s="667"/>
      <c r="U615" s="713">
        <f>S615/L615</f>
        <v>0.25458367346938776</v>
      </c>
      <c r="V615" s="666"/>
      <c r="W615" s="730">
        <f>(U615/U608-1)*100</f>
        <v>-3.2615462930851047</v>
      </c>
      <c r="X615" s="685"/>
      <c r="Y615" s="666"/>
      <c r="Z615" s="678">
        <f>+'store&amp;sf'!P442</f>
        <v>2.42625</v>
      </c>
      <c r="AA615" s="724"/>
      <c r="AB615" s="710">
        <f>AVERAGE(Z615,Z614)</f>
        <v>2.4356249999999999</v>
      </c>
      <c r="AC615" s="666"/>
      <c r="AD615" s="700">
        <f>(AB615/AB608-1)*100</f>
        <v>-5.7329462989840323</v>
      </c>
      <c r="AE615" s="685"/>
      <c r="AF615" s="703">
        <f>+H615/AD615*100</f>
        <v>78.942341306248551</v>
      </c>
      <c r="AG615" s="668"/>
      <c r="AH615" s="666"/>
      <c r="AI615" s="675">
        <f>+S615</f>
        <v>124.746</v>
      </c>
      <c r="AJ615" s="666"/>
      <c r="AK615" s="714">
        <f>AI615/AB615</f>
        <v>51.217244033872205</v>
      </c>
      <c r="AL615" s="666"/>
      <c r="AM615" s="730">
        <f>(AK615/AK608-1)*100</f>
        <v>-3.4843889778154113</v>
      </c>
      <c r="AN615" s="685"/>
      <c r="AO615" s="666"/>
    </row>
    <row r="616" spans="1:41" hidden="1" outlineLevel="1">
      <c r="A616" s="666" t="str">
        <f>$A$28</f>
        <v>3Q</v>
      </c>
      <c r="B616" s="684" t="str">
        <f>$B$28</f>
        <v>Oct</v>
      </c>
      <c r="C616" s="666"/>
      <c r="D616" s="700">
        <f>(S616/S609-1)*100</f>
        <v>-1.7018102453949635</v>
      </c>
      <c r="E616" s="700"/>
      <c r="F616" s="703">
        <v>1.9256265730795137</v>
      </c>
      <c r="G616" s="700"/>
      <c r="H616" s="700">
        <f>D616-F616</f>
        <v>-3.627436818474477</v>
      </c>
      <c r="I616" s="667"/>
      <c r="J616" s="705">
        <f>+'store&amp;sf'!P79</f>
        <v>481</v>
      </c>
      <c r="K616" s="724"/>
      <c r="L616" s="706">
        <f>AVERAGE(J616,J615)</f>
        <v>484.5</v>
      </c>
      <c r="M616" s="667"/>
      <c r="N616" s="700">
        <f>(L616/L609-1)*100</f>
        <v>-5.8309037900874605</v>
      </c>
      <c r="O616" s="704"/>
      <c r="P616" s="703">
        <f>H616/N616*100</f>
        <v>62.21054143683731</v>
      </c>
      <c r="Q616" s="702"/>
      <c r="R616" s="667"/>
      <c r="S616" s="712">
        <f>+'segSales&amp;OM'!AK68</f>
        <v>142.32300000000001</v>
      </c>
      <c r="T616" s="667"/>
      <c r="U616" s="713">
        <f>S616/L616</f>
        <v>0.29375232198142415</v>
      </c>
      <c r="V616" s="666"/>
      <c r="W616" s="730">
        <f>(U616/U609-1)*100</f>
        <v>4.3847649716084458</v>
      </c>
      <c r="X616" s="685"/>
      <c r="Y616" s="666"/>
      <c r="Z616" s="678">
        <f>+'store&amp;sf'!P443</f>
        <v>2.3962499999999998</v>
      </c>
      <c r="AA616" s="724"/>
      <c r="AB616" s="710">
        <f>AVERAGE(Z616,Z615)</f>
        <v>2.4112499999999999</v>
      </c>
      <c r="AC616" s="666"/>
      <c r="AD616" s="700">
        <f>(AB616/AB609-1)*100</f>
        <v>-5.3483807654563176</v>
      </c>
      <c r="AE616" s="685"/>
      <c r="AF616" s="703">
        <f>+H616/AD616*100</f>
        <v>67.823084734412859</v>
      </c>
      <c r="AG616" s="668"/>
      <c r="AH616" s="666"/>
      <c r="AI616" s="675">
        <f>+S616</f>
        <v>142.32300000000001</v>
      </c>
      <c r="AJ616" s="666"/>
      <c r="AK616" s="714">
        <f>AI616/AB616</f>
        <v>59.024572317262837</v>
      </c>
      <c r="AL616" s="666"/>
      <c r="AM616" s="730">
        <f>(AK616/AK609-1)*100</f>
        <v>3.8526234939787685</v>
      </c>
      <c r="AN616" s="685"/>
      <c r="AO616" s="666"/>
    </row>
    <row r="617" spans="1:41" hidden="1" outlineLevel="1">
      <c r="A617" s="666" t="str">
        <f>$A$29</f>
        <v>4Q</v>
      </c>
      <c r="B617" s="684" t="str">
        <f>$B$29</f>
        <v>Jan</v>
      </c>
      <c r="C617" s="666"/>
      <c r="D617" s="715">
        <f>(S617/S610-1)*100</f>
        <v>-5.8272991478252267</v>
      </c>
      <c r="E617" s="700"/>
      <c r="F617" s="717">
        <v>-6.3046745539327143</v>
      </c>
      <c r="G617" s="700"/>
      <c r="H617" s="715">
        <f>D617-F617</f>
        <v>0.47737540610748752</v>
      </c>
      <c r="I617" s="667"/>
      <c r="J617" s="705">
        <f>+'store&amp;sf'!P80</f>
        <v>469</v>
      </c>
      <c r="K617" s="724"/>
      <c r="L617" s="716">
        <f>AVERAGE(J617,J616)</f>
        <v>475</v>
      </c>
      <c r="M617" s="667"/>
      <c r="N617" s="715">
        <f>(L617/L610-1)*100</f>
        <v>-5.9405940594059459</v>
      </c>
      <c r="O617" s="704"/>
      <c r="P617" s="717">
        <f>H617/N617*100</f>
        <v>-8.0358193361426995</v>
      </c>
      <c r="Q617" s="702"/>
      <c r="R617" s="667"/>
      <c r="S617" s="718">
        <f>+'segSales&amp;OM'!AK69</f>
        <v>191.18</v>
      </c>
      <c r="T617" s="667"/>
      <c r="U617" s="719">
        <f>S617/L617</f>
        <v>0.40248421052631578</v>
      </c>
      <c r="V617" s="666"/>
      <c r="W617" s="720">
        <f>(U617/U610-1)*100</f>
        <v>0.12045037968055894</v>
      </c>
      <c r="X617" s="685"/>
      <c r="Y617" s="666"/>
      <c r="Z617" s="678">
        <f>+'store&amp;sf'!P444</f>
        <v>2.3562499999999997</v>
      </c>
      <c r="AA617" s="671"/>
      <c r="AB617" s="721">
        <f>AVERAGE(Z617,Z616)</f>
        <v>2.3762499999999998</v>
      </c>
      <c r="AC617" s="666"/>
      <c r="AD617" s="715">
        <f>(AB617/AB610-1)*100</f>
        <v>-4.9499999999999877</v>
      </c>
      <c r="AE617" s="685"/>
      <c r="AF617" s="717">
        <f>+H617/AD617*100</f>
        <v>-9.6439475981310849</v>
      </c>
      <c r="AG617" s="668"/>
      <c r="AH617" s="666"/>
      <c r="AI617" s="722">
        <f>+S617</f>
        <v>191.18</v>
      </c>
      <c r="AJ617" s="666"/>
      <c r="AK617" s="723">
        <f>AI617/AB617</f>
        <v>80.45449763282484</v>
      </c>
      <c r="AL617" s="666"/>
      <c r="AM617" s="720">
        <f>(AK617/AK610-1)*100</f>
        <v>-0.92298700455047955</v>
      </c>
      <c r="AN617" s="685"/>
      <c r="AO617" s="666"/>
    </row>
    <row r="618" spans="1:41" hidden="1" outlineLevel="1">
      <c r="A618" s="666"/>
      <c r="B618" s="684" t="str">
        <f>$B$30</f>
        <v>Year</v>
      </c>
      <c r="C618" s="666"/>
      <c r="D618" s="700">
        <f>(S618/S611-1)*100</f>
        <v>-6.137385252670791</v>
      </c>
      <c r="E618" s="700"/>
      <c r="F618" s="703">
        <v>-3.5178303168140732</v>
      </c>
      <c r="G618" s="700"/>
      <c r="H618" s="700">
        <f>D618-F618</f>
        <v>-2.6195549358567178</v>
      </c>
      <c r="I618" s="667"/>
      <c r="J618" s="667"/>
      <c r="K618" s="667"/>
      <c r="L618" s="725">
        <f>AVERAGE(L614:L617)</f>
        <v>486.25</v>
      </c>
      <c r="M618" s="667"/>
      <c r="N618" s="700">
        <f>(L618/L611-1)*100</f>
        <v>-5.9705100314237374</v>
      </c>
      <c r="O618" s="704"/>
      <c r="P618" s="703">
        <f>H618/N618*100</f>
        <v>43.874893804207453</v>
      </c>
      <c r="Q618" s="702"/>
      <c r="R618" s="667"/>
      <c r="S618" s="726">
        <f>SUM(S614:S617)</f>
        <v>569.42599999999993</v>
      </c>
      <c r="T618" s="667"/>
      <c r="U618" s="707">
        <f>SUM(U614:U617)</f>
        <v>1.1751935662193074</v>
      </c>
      <c r="V618" s="666"/>
      <c r="W618" s="730">
        <f>(U618/U611-1)*100</f>
        <v>-0.16797490979870711</v>
      </c>
      <c r="X618" s="685"/>
      <c r="Y618" s="666"/>
      <c r="Z618" s="676"/>
      <c r="AA618" s="666"/>
      <c r="AB618" s="710">
        <f>AVERAGE(AB614:AB617)</f>
        <v>2.4204687499999999</v>
      </c>
      <c r="AC618" s="666"/>
      <c r="AD618" s="700">
        <f>(AB618/AB611-1)*100</f>
        <v>-5.5887372013651788</v>
      </c>
      <c r="AE618" s="685"/>
      <c r="AF618" s="703">
        <f>+H618/AD618*100</f>
        <v>46.872036409527915</v>
      </c>
      <c r="AG618" s="668"/>
      <c r="AH618" s="666"/>
      <c r="AI618" s="673">
        <f>SUM(AI614:AI617)</f>
        <v>569.42599999999993</v>
      </c>
      <c r="AJ618" s="666"/>
      <c r="AK618" s="711">
        <f>SUM(AK614:AK617)</f>
        <v>235.9131924791302</v>
      </c>
      <c r="AL618" s="666"/>
      <c r="AM618" s="730">
        <f>(AK618/AK611-1)*100</f>
        <v>-0.67190486307819874</v>
      </c>
      <c r="AN618" s="685"/>
      <c r="AO618" s="666"/>
    </row>
    <row r="619" spans="1:41" hidden="1" outlineLevel="1">
      <c r="A619" s="666"/>
      <c r="B619" s="684"/>
      <c r="C619" s="666"/>
      <c r="D619" s="700"/>
      <c r="E619" s="700"/>
      <c r="F619" s="700"/>
      <c r="G619" s="700"/>
      <c r="H619" s="700"/>
      <c r="I619" s="667"/>
      <c r="J619" s="667"/>
      <c r="K619" s="667"/>
      <c r="L619" s="667"/>
      <c r="M619" s="667"/>
      <c r="N619" s="667"/>
      <c r="O619" s="704"/>
      <c r="P619" s="702"/>
      <c r="Q619" s="702"/>
      <c r="R619" s="667"/>
      <c r="S619" s="667"/>
      <c r="T619" s="667"/>
      <c r="U619" s="667"/>
      <c r="V619" s="666"/>
      <c r="W619" s="666"/>
      <c r="X619" s="685"/>
      <c r="Y619" s="666"/>
      <c r="Z619" s="676"/>
      <c r="AA619" s="666"/>
      <c r="AB619" s="679"/>
      <c r="AC619" s="666"/>
      <c r="AD619" s="667"/>
      <c r="AE619" s="685"/>
      <c r="AF619" s="703"/>
      <c r="AG619" s="668"/>
      <c r="AH619" s="666"/>
      <c r="AI619" s="666"/>
      <c r="AJ619" s="666"/>
      <c r="AK619" s="666"/>
      <c r="AL619" s="666"/>
      <c r="AM619" s="666"/>
      <c r="AN619" s="666"/>
      <c r="AO619" s="666"/>
    </row>
    <row r="620" spans="1:41" hidden="1" outlineLevel="1">
      <c r="A620" s="698"/>
      <c r="B620" s="728">
        <f>B613+1</f>
        <v>2001</v>
      </c>
      <c r="C620" s="666"/>
      <c r="D620" s="700"/>
      <c r="E620" s="701"/>
      <c r="F620" s="700"/>
      <c r="G620" s="701"/>
      <c r="H620" s="700"/>
      <c r="I620" s="704"/>
      <c r="J620" s="667"/>
      <c r="K620" s="667"/>
      <c r="L620" s="667"/>
      <c r="M620" s="667"/>
      <c r="N620" s="667"/>
      <c r="O620" s="704"/>
      <c r="P620" s="702"/>
      <c r="Q620" s="702"/>
      <c r="R620" s="667"/>
      <c r="S620" s="667"/>
      <c r="T620" s="667"/>
      <c r="U620" s="667"/>
      <c r="V620" s="666"/>
      <c r="W620" s="666"/>
      <c r="X620" s="685"/>
      <c r="Y620" s="666"/>
      <c r="Z620" s="676"/>
      <c r="AA620" s="666"/>
      <c r="AB620" s="679"/>
      <c r="AC620" s="666"/>
      <c r="AD620" s="667"/>
      <c r="AE620" s="685"/>
      <c r="AF620" s="703"/>
      <c r="AG620" s="668"/>
      <c r="AH620" s="666"/>
      <c r="AI620" s="666"/>
      <c r="AJ620" s="666"/>
      <c r="AK620" s="666"/>
      <c r="AL620" s="666"/>
      <c r="AM620" s="666"/>
      <c r="AN620" s="685"/>
      <c r="AO620" s="666"/>
    </row>
    <row r="621" spans="1:41" hidden="1" outlineLevel="1">
      <c r="A621" s="666" t="str">
        <f>$A$26</f>
        <v>1Q</v>
      </c>
      <c r="B621" s="684" t="str">
        <f>$B$26</f>
        <v>Apr</v>
      </c>
      <c r="C621" s="666"/>
      <c r="D621" s="700">
        <f>(S621/S614-1)*100</f>
        <v>-7.9665758205384352</v>
      </c>
      <c r="E621" s="701" t="s">
        <v>1084</v>
      </c>
      <c r="F621" s="703">
        <v>-5.1752596439169141</v>
      </c>
      <c r="G621" s="701" t="s">
        <v>1084</v>
      </c>
      <c r="H621" s="700">
        <f>D621-F621</f>
        <v>-2.7913161766215211</v>
      </c>
      <c r="I621" s="704" t="s">
        <v>1084</v>
      </c>
      <c r="J621" s="705">
        <f>+'store&amp;sf'!P83</f>
        <v>463</v>
      </c>
      <c r="K621" s="667"/>
      <c r="L621" s="706">
        <f>AVERAGE(J621,J617)</f>
        <v>466</v>
      </c>
      <c r="M621" s="667"/>
      <c r="N621" s="700">
        <f>(L621/L614-1)*100</f>
        <v>-5.953582240161448</v>
      </c>
      <c r="O621" s="704" t="s">
        <v>1084</v>
      </c>
      <c r="P621" s="703">
        <f>H621/N621*100</f>
        <v>46.884649678507287</v>
      </c>
      <c r="Q621" s="702" t="s">
        <v>1084</v>
      </c>
      <c r="R621" s="667"/>
      <c r="S621" s="726">
        <f>+'segSales&amp;OM'!AK73</f>
        <v>102.32</v>
      </c>
      <c r="T621" s="667"/>
      <c r="U621" s="707">
        <f>S621/L621</f>
        <v>0.21957081545064377</v>
      </c>
      <c r="V621" s="666"/>
      <c r="W621" s="730">
        <f>(U621/U614-1)*100</f>
        <v>-2.1404255774180037</v>
      </c>
      <c r="X621" s="685" t="s">
        <v>1084</v>
      </c>
      <c r="Y621" s="666"/>
      <c r="Z621" s="678">
        <f>+'store&amp;sf'!P447</f>
        <v>2.3337499999999998</v>
      </c>
      <c r="AA621" s="666"/>
      <c r="AB621" s="710">
        <f>AVERAGE(Z621,Z617)</f>
        <v>2.3449999999999998</v>
      </c>
      <c r="AC621" s="666"/>
      <c r="AD621" s="700">
        <f>(AB621/AB614-1)*100</f>
        <v>-4.6263345195729499</v>
      </c>
      <c r="AE621" s="685" t="s">
        <v>1084</v>
      </c>
      <c r="AF621" s="703">
        <f>+H621/AD621*100</f>
        <v>60.335372740819082</v>
      </c>
      <c r="AG621" s="668" t="s">
        <v>1084</v>
      </c>
      <c r="AH621" s="666"/>
      <c r="AI621" s="673">
        <f>+S621</f>
        <v>102.32</v>
      </c>
      <c r="AJ621" s="666"/>
      <c r="AK621" s="711">
        <f>AI621/AB621</f>
        <v>43.633262260127935</v>
      </c>
      <c r="AL621" s="666"/>
      <c r="AM621" s="730">
        <f>(AK621/AK614-1)*100</f>
        <v>-3.5022679312361915</v>
      </c>
      <c r="AN621" s="685" t="s">
        <v>1084</v>
      </c>
      <c r="AO621" s="666"/>
    </row>
    <row r="622" spans="1:41" hidden="1" outlineLevel="1">
      <c r="A622" s="666" t="str">
        <f>$A$27</f>
        <v>2Q</v>
      </c>
      <c r="B622" s="684" t="str">
        <f>$B$27</f>
        <v>Jul</v>
      </c>
      <c r="C622" s="666"/>
      <c r="D622" s="700">
        <f>(S622/S615-1)*100</f>
        <v>-9.0343578150802415</v>
      </c>
      <c r="E622" s="700"/>
      <c r="F622" s="703">
        <v>-10.092683043053537</v>
      </c>
      <c r="G622" s="700"/>
      <c r="H622" s="700">
        <f>D622-F622</f>
        <v>1.0583252279732953</v>
      </c>
      <c r="I622" s="667"/>
      <c r="J622" s="705">
        <f>+'store&amp;sf'!P84</f>
        <v>456</v>
      </c>
      <c r="K622" s="724"/>
      <c r="L622" s="706">
        <f>AVERAGE(J622,J621)</f>
        <v>459.5</v>
      </c>
      <c r="M622" s="667"/>
      <c r="N622" s="700">
        <f>(L622/L615-1)*100</f>
        <v>-6.2244897959183643</v>
      </c>
      <c r="O622" s="704"/>
      <c r="P622" s="703">
        <f>H622/N622*100</f>
        <v>-17.002602023177541</v>
      </c>
      <c r="Q622" s="702"/>
      <c r="R622" s="667"/>
      <c r="S622" s="712">
        <f>+'segSales&amp;OM'!AK74</f>
        <v>113.476</v>
      </c>
      <c r="T622" s="667"/>
      <c r="U622" s="713">
        <f>S622/L622</f>
        <v>0.24695538628944505</v>
      </c>
      <c r="V622" s="666"/>
      <c r="W622" s="730">
        <f>(U622/U615-1)*100</f>
        <v>-2.9963772130344291</v>
      </c>
      <c r="X622" s="685"/>
      <c r="Y622" s="666"/>
      <c r="Z622" s="678">
        <f>+'store&amp;sf'!P448</f>
        <v>2.2962499999999997</v>
      </c>
      <c r="AA622" s="724"/>
      <c r="AB622" s="710">
        <f>AVERAGE(Z622,Z621)</f>
        <v>2.3149999999999995</v>
      </c>
      <c r="AC622" s="666"/>
      <c r="AD622" s="700">
        <f>(AB622/AB615-1)*100</f>
        <v>-4.9525275853220645</v>
      </c>
      <c r="AE622" s="685"/>
      <c r="AF622" s="703">
        <f>+H622/AD622*100</f>
        <v>-21.369395924414061</v>
      </c>
      <c r="AG622" s="668"/>
      <c r="AH622" s="666"/>
      <c r="AI622" s="675">
        <f>+S622</f>
        <v>113.476</v>
      </c>
      <c r="AJ622" s="666"/>
      <c r="AK622" s="714">
        <f>AI622/AB622</f>
        <v>49.017710583153359</v>
      </c>
      <c r="AL622" s="666"/>
      <c r="AM622" s="730">
        <f>(AK622/AK615-1)*100</f>
        <v>-4.294517388058205</v>
      </c>
      <c r="AN622" s="685"/>
      <c r="AO622" s="666"/>
    </row>
    <row r="623" spans="1:41" hidden="1" outlineLevel="1">
      <c r="A623" s="666" t="str">
        <f>$A$28</f>
        <v>3Q</v>
      </c>
      <c r="B623" s="684" t="str">
        <f>$B$28</f>
        <v>Oct</v>
      </c>
      <c r="C623" s="666"/>
      <c r="D623" s="700">
        <f>(S623/S616-1)*100</f>
        <v>-15.738847550993162</v>
      </c>
      <c r="E623" s="700"/>
      <c r="F623" s="703">
        <v>-10.170106325899839</v>
      </c>
      <c r="G623" s="700"/>
      <c r="H623" s="700">
        <f>D623-F623</f>
        <v>-5.5687412250933228</v>
      </c>
      <c r="I623" s="667"/>
      <c r="J623" s="705">
        <f>+'store&amp;sf'!P85</f>
        <v>454</v>
      </c>
      <c r="K623" s="724"/>
      <c r="L623" s="706">
        <f>AVERAGE(J623,J622)</f>
        <v>455</v>
      </c>
      <c r="M623" s="667"/>
      <c r="N623" s="700">
        <f>(L623/L616-1)*100</f>
        <v>-6.0887512899896805</v>
      </c>
      <c r="O623" s="704"/>
      <c r="P623" s="703">
        <f>H623/N623*100</f>
        <v>91.459495713820843</v>
      </c>
      <c r="Q623" s="702"/>
      <c r="R623" s="667"/>
      <c r="S623" s="712">
        <f>+'segSales&amp;OM'!AK75</f>
        <v>119.923</v>
      </c>
      <c r="T623" s="667"/>
      <c r="U623" s="713">
        <f>S623/L623</f>
        <v>0.26356703296703299</v>
      </c>
      <c r="V623" s="666"/>
      <c r="W623" s="730">
        <f>(U623/U616-1)*100</f>
        <v>-10.275761842760843</v>
      </c>
      <c r="X623" s="685"/>
      <c r="Y623" s="666"/>
      <c r="Z623" s="678">
        <f>+'store&amp;sf'!P449</f>
        <v>2.2824999999999998</v>
      </c>
      <c r="AA623" s="724"/>
      <c r="AB623" s="710">
        <f>AVERAGE(Z623,Z622)</f>
        <v>2.2893749999999997</v>
      </c>
      <c r="AC623" s="666"/>
      <c r="AD623" s="700">
        <f>(AB623/AB616-1)*100</f>
        <v>-5.0544323483670333</v>
      </c>
      <c r="AE623" s="685"/>
      <c r="AF623" s="703">
        <f>+H623/AD623*100</f>
        <v>110.17540331492319</v>
      </c>
      <c r="AG623" s="668"/>
      <c r="AH623" s="666"/>
      <c r="AI623" s="675">
        <f>+S623</f>
        <v>119.923</v>
      </c>
      <c r="AJ623" s="666"/>
      <c r="AK623" s="714">
        <f>AI623/AB623</f>
        <v>52.382418782418789</v>
      </c>
      <c r="AL623" s="666"/>
      <c r="AM623" s="730">
        <f>(AK623/AK616-1)*100</f>
        <v>-11.253200614723347</v>
      </c>
      <c r="AN623" s="685"/>
      <c r="AO623" s="666"/>
    </row>
    <row r="624" spans="1:41" hidden="1" outlineLevel="1">
      <c r="A624" s="666" t="str">
        <f>$A$29</f>
        <v>4Q</v>
      </c>
      <c r="B624" s="684" t="str">
        <f>$B$29</f>
        <v>Jan</v>
      </c>
      <c r="C624" s="666"/>
      <c r="D624" s="715">
        <f>(S624/S617-1)*100</f>
        <v>-13.173972172821424</v>
      </c>
      <c r="E624" s="700"/>
      <c r="F624" s="717">
        <v>-6.4854556839528659</v>
      </c>
      <c r="G624" s="700"/>
      <c r="H624" s="715">
        <f>D624-F624</f>
        <v>-6.688516488868558</v>
      </c>
      <c r="I624" s="667"/>
      <c r="J624" s="705">
        <f>+'store&amp;sf'!P86</f>
        <v>439</v>
      </c>
      <c r="K624" s="724"/>
      <c r="L624" s="716">
        <f>AVERAGE(J624,J623)</f>
        <v>446.5</v>
      </c>
      <c r="M624" s="667"/>
      <c r="N624" s="715">
        <f>(L624/L617-1)*100</f>
        <v>-6.0000000000000053</v>
      </c>
      <c r="O624" s="704"/>
      <c r="P624" s="717">
        <f>H624/N624*100</f>
        <v>111.47527481447588</v>
      </c>
      <c r="Q624" s="702"/>
      <c r="R624" s="667"/>
      <c r="S624" s="718">
        <f>+'segSales&amp;OM'!AK76</f>
        <v>165.994</v>
      </c>
      <c r="T624" s="667"/>
      <c r="U624" s="719">
        <f>S624/L624</f>
        <v>0.37176707726763719</v>
      </c>
      <c r="V624" s="666"/>
      <c r="W624" s="720">
        <f>(U624/U617-1)*100</f>
        <v>-7.6318852902355516</v>
      </c>
      <c r="X624" s="685"/>
      <c r="Y624" s="666"/>
      <c r="Z624" s="678">
        <f>+'store&amp;sf'!P450</f>
        <v>2.2174999999999998</v>
      </c>
      <c r="AA624" s="671"/>
      <c r="AB624" s="721">
        <f>AVERAGE(Z624,Z623)</f>
        <v>2.25</v>
      </c>
      <c r="AC624" s="666"/>
      <c r="AD624" s="715">
        <f>(AB624/AB617-1)*100</f>
        <v>-5.3129931614939396</v>
      </c>
      <c r="AE624" s="685"/>
      <c r="AF624" s="717">
        <f>+H624/AD624*100</f>
        <v>125.88980044890252</v>
      </c>
      <c r="AG624" s="668"/>
      <c r="AH624" s="666"/>
      <c r="AI624" s="722">
        <f>+S624</f>
        <v>165.994</v>
      </c>
      <c r="AJ624" s="666"/>
      <c r="AK624" s="723">
        <f>AI624/AB624</f>
        <v>73.775111111111116</v>
      </c>
      <c r="AL624" s="666"/>
      <c r="AM624" s="720">
        <f>(AK624/AK617-1)*100</f>
        <v>-8.3020672780741869</v>
      </c>
      <c r="AN624" s="685"/>
      <c r="AO624" s="666"/>
    </row>
    <row r="625" spans="1:41" hidden="1" outlineLevel="1">
      <c r="A625" s="666"/>
      <c r="B625" s="684" t="str">
        <f>$B$30</f>
        <v>Year</v>
      </c>
      <c r="C625" s="666"/>
      <c r="D625" s="700">
        <f>(S625/S618-1)*100</f>
        <v>-11.891448581554053</v>
      </c>
      <c r="E625" s="700"/>
      <c r="F625" s="703">
        <v>-7.9630532051566032</v>
      </c>
      <c r="G625" s="700"/>
      <c r="H625" s="700">
        <f>D625-F625</f>
        <v>-3.9283953763974502</v>
      </c>
      <c r="I625" s="667"/>
      <c r="J625" s="667"/>
      <c r="K625" s="667"/>
      <c r="L625" s="725">
        <f>AVERAGE(L621:L624)</f>
        <v>456.75</v>
      </c>
      <c r="M625" s="667"/>
      <c r="N625" s="700">
        <f>(L625/L618-1)*100</f>
        <v>-6.066838046272494</v>
      </c>
      <c r="O625" s="704"/>
      <c r="P625" s="703">
        <f>H625/N625*100</f>
        <v>64.751940738076613</v>
      </c>
      <c r="Q625" s="702"/>
      <c r="R625" s="667"/>
      <c r="S625" s="726">
        <f>SUM(S621:S624)</f>
        <v>501.71299999999997</v>
      </c>
      <c r="T625" s="667"/>
      <c r="U625" s="707">
        <f>SUM(U621:U624)</f>
        <v>1.101860311974759</v>
      </c>
      <c r="V625" s="666"/>
      <c r="W625" s="730">
        <f>(U625/U618-1)*100</f>
        <v>-6.2401000441542065</v>
      </c>
      <c r="X625" s="685"/>
      <c r="Y625" s="666"/>
      <c r="Z625" s="676"/>
      <c r="AA625" s="666"/>
      <c r="AB625" s="710">
        <f>AVERAGE(AB621:AB624)</f>
        <v>2.29984375</v>
      </c>
      <c r="AC625" s="666"/>
      <c r="AD625" s="700">
        <f>(AB625/AB618-1)*100</f>
        <v>-4.9835388289974798</v>
      </c>
      <c r="AE625" s="685"/>
      <c r="AF625" s="703">
        <f>+H625/AD625*100</f>
        <v>78.827425875353541</v>
      </c>
      <c r="AG625" s="668"/>
      <c r="AH625" s="666"/>
      <c r="AI625" s="673">
        <f>SUM(AI621:AI624)</f>
        <v>501.71299999999997</v>
      </c>
      <c r="AJ625" s="666"/>
      <c r="AK625" s="711">
        <f>SUM(AK621:AK624)</f>
        <v>218.80850273681119</v>
      </c>
      <c r="AL625" s="666"/>
      <c r="AM625" s="730">
        <f>(AK625/AK618-1)*100</f>
        <v>-7.2504168005916636</v>
      </c>
      <c r="AN625" s="685"/>
      <c r="AO625" s="666"/>
    </row>
    <row r="626" spans="1:41" collapsed="1">
      <c r="A626" s="753"/>
      <c r="B626" s="760"/>
      <c r="C626" s="753"/>
      <c r="D626" s="753"/>
      <c r="E626" s="753"/>
      <c r="F626" s="753"/>
      <c r="G626" s="753"/>
      <c r="H626" s="753"/>
      <c r="I626" s="753"/>
      <c r="J626" s="753"/>
      <c r="K626" s="753"/>
      <c r="L626" s="753"/>
      <c r="M626" s="753"/>
      <c r="N626" s="753"/>
      <c r="O626" s="761"/>
      <c r="P626" s="753"/>
      <c r="Q626" s="753"/>
      <c r="R626" s="753"/>
      <c r="S626" s="753"/>
      <c r="T626" s="753"/>
      <c r="U626" s="753"/>
      <c r="V626" s="753"/>
      <c r="W626" s="753"/>
      <c r="X626" s="753"/>
      <c r="Y626" s="753"/>
      <c r="Z626" s="753"/>
      <c r="AA626" s="753"/>
      <c r="AB626" s="753"/>
      <c r="AC626" s="753"/>
      <c r="AD626" s="753"/>
      <c r="AE626" s="761"/>
      <c r="AF626" s="753"/>
      <c r="AG626" s="753"/>
      <c r="AH626" s="753"/>
      <c r="AI626" s="753"/>
      <c r="AJ626" s="753"/>
      <c r="AK626" s="753"/>
      <c r="AL626" s="753"/>
      <c r="AM626" s="753"/>
      <c r="AN626" s="753"/>
      <c r="AO626" s="753"/>
    </row>
    <row r="627" spans="1:41" hidden="1" outlineLevel="1">
      <c r="A627" s="753"/>
      <c r="B627" s="760"/>
      <c r="C627" s="753"/>
      <c r="D627" s="762" t="s">
        <v>255</v>
      </c>
      <c r="E627" s="763"/>
      <c r="F627" s="764"/>
      <c r="G627" s="763"/>
      <c r="H627" s="764"/>
      <c r="I627" s="753"/>
      <c r="J627" s="764"/>
      <c r="K627" s="763"/>
      <c r="L627" s="764"/>
      <c r="M627" s="763"/>
      <c r="N627" s="764"/>
      <c r="O627" s="753"/>
      <c r="P627" s="765"/>
      <c r="Q627" s="765"/>
      <c r="R627" s="753"/>
      <c r="S627" s="764"/>
      <c r="T627" s="753"/>
      <c r="U627" s="764"/>
      <c r="V627" s="753"/>
      <c r="W627" s="764"/>
      <c r="X627" s="761"/>
      <c r="Y627" s="753"/>
      <c r="Z627" s="764"/>
      <c r="AA627" s="763"/>
      <c r="AB627" s="764"/>
      <c r="AC627" s="763"/>
      <c r="AD627" s="764"/>
      <c r="AE627" s="753"/>
      <c r="AF627" s="765"/>
      <c r="AG627" s="765"/>
      <c r="AH627" s="753"/>
      <c r="AI627" s="764"/>
      <c r="AJ627" s="753"/>
      <c r="AK627" s="764"/>
      <c r="AL627" s="753"/>
      <c r="AM627" s="764"/>
      <c r="AN627" s="761"/>
      <c r="AO627" s="753"/>
    </row>
    <row r="628" spans="1:41" hidden="1" outlineLevel="2">
      <c r="A628" s="766"/>
      <c r="B628" s="767">
        <v>1994</v>
      </c>
      <c r="C628" s="753"/>
      <c r="D628" s="768"/>
      <c r="E628" s="768"/>
      <c r="F628" s="768"/>
      <c r="G628" s="768"/>
      <c r="H628" s="768"/>
      <c r="I628" s="761"/>
      <c r="J628" s="753"/>
      <c r="K628" s="753"/>
      <c r="L628" s="753"/>
      <c r="M628" s="753"/>
      <c r="N628" s="753"/>
      <c r="O628" s="761"/>
      <c r="P628" s="769"/>
      <c r="Q628" s="769"/>
      <c r="R628" s="753"/>
      <c r="S628" s="753"/>
      <c r="T628" s="753"/>
      <c r="U628" s="753"/>
      <c r="V628" s="753"/>
      <c r="W628" s="753"/>
      <c r="X628" s="761"/>
      <c r="Y628" s="753"/>
      <c r="Z628" s="770"/>
      <c r="AA628" s="753"/>
      <c r="AB628" s="771"/>
      <c r="AC628" s="753"/>
      <c r="AD628" s="753"/>
      <c r="AE628" s="761"/>
      <c r="AF628" s="772"/>
      <c r="AG628" s="769"/>
      <c r="AH628" s="753"/>
      <c r="AI628" s="753"/>
      <c r="AJ628" s="753"/>
      <c r="AK628" s="753"/>
      <c r="AL628" s="753"/>
      <c r="AM628" s="753"/>
      <c r="AN628" s="761"/>
      <c r="AO628" s="753"/>
    </row>
    <row r="629" spans="1:41" hidden="1" outlineLevel="2">
      <c r="A629" s="753" t="str">
        <f>$A$26</f>
        <v>1Q</v>
      </c>
      <c r="B629" s="760" t="str">
        <f>$B$26</f>
        <v>Apr</v>
      </c>
      <c r="C629" s="753"/>
      <c r="D629" s="768"/>
      <c r="E629" s="773" t="s">
        <v>1084</v>
      </c>
      <c r="F629" s="774">
        <v>2.7429094312358835</v>
      </c>
      <c r="G629" s="773" t="s">
        <v>1084</v>
      </c>
      <c r="H629" s="768"/>
      <c r="I629" s="761" t="s">
        <v>1084</v>
      </c>
      <c r="J629" s="775">
        <f>+'store&amp;sf'!N41+'store&amp;sf'!P41</f>
        <v>1084</v>
      </c>
      <c r="K629" s="753"/>
      <c r="L629" s="776">
        <f>AVERAGE(J629,('store&amp;sf'!N38+'store&amp;sf'!P38))</f>
        <v>1075.5</v>
      </c>
      <c r="M629" s="753"/>
      <c r="N629" s="768"/>
      <c r="O629" s="761" t="s">
        <v>1084</v>
      </c>
      <c r="P629" s="772"/>
      <c r="Q629" s="769" t="s">
        <v>1084</v>
      </c>
      <c r="R629" s="753"/>
      <c r="S629" s="777">
        <f>+'segSales&amp;OM'!AJ24+'segSales&amp;OM'!AK24</f>
        <v>358</v>
      </c>
      <c r="T629" s="753"/>
      <c r="U629" s="778">
        <f>S629/L629</f>
        <v>0.33286843328684335</v>
      </c>
      <c r="V629" s="753"/>
      <c r="W629" s="779"/>
      <c r="X629" s="761" t="s">
        <v>1084</v>
      </c>
      <c r="Y629" s="753"/>
      <c r="Z629" s="780">
        <f>+'store&amp;sf'!N405+'store&amp;sf'!P405</f>
        <v>6.7999999999999989</v>
      </c>
      <c r="AA629" s="753"/>
      <c r="AB629" s="781">
        <f>AVERAGE(Z629,('store&amp;sf'!N402+'store&amp;sf'!P402))</f>
        <v>6.7193749999999994</v>
      </c>
      <c r="AC629" s="753"/>
      <c r="AD629" s="768"/>
      <c r="AE629" s="761" t="s">
        <v>1084</v>
      </c>
      <c r="AF629" s="772"/>
      <c r="AG629" s="769" t="s">
        <v>1084</v>
      </c>
      <c r="AH629" s="753"/>
      <c r="AI629" s="777">
        <f>+S629</f>
        <v>358</v>
      </c>
      <c r="AJ629" s="753"/>
      <c r="AK629" s="782">
        <f>AI629/AB629</f>
        <v>53.278764766068278</v>
      </c>
      <c r="AL629" s="753"/>
      <c r="AM629" s="783"/>
      <c r="AN629" s="761" t="s">
        <v>1084</v>
      </c>
      <c r="AO629" s="753"/>
    </row>
    <row r="630" spans="1:41" hidden="1" outlineLevel="2">
      <c r="A630" s="753" t="str">
        <f>$A$27</f>
        <v>2Q</v>
      </c>
      <c r="B630" s="760" t="str">
        <f>$B$27</f>
        <v>Jul</v>
      </c>
      <c r="C630" s="753"/>
      <c r="D630" s="768"/>
      <c r="E630" s="773"/>
      <c r="F630" s="774">
        <v>-7.9550998178370378</v>
      </c>
      <c r="G630" s="773"/>
      <c r="H630" s="768"/>
      <c r="I630" s="761"/>
      <c r="J630" s="775">
        <f>+'store&amp;sf'!N42+'store&amp;sf'!P42</f>
        <v>1107</v>
      </c>
      <c r="K630" s="753"/>
      <c r="L630" s="776">
        <f>AVERAGE(J630,J629)</f>
        <v>1095.5</v>
      </c>
      <c r="M630" s="753"/>
      <c r="N630" s="768"/>
      <c r="O630" s="761"/>
      <c r="P630" s="772"/>
      <c r="Q630" s="769"/>
      <c r="R630" s="753"/>
      <c r="S630" s="784">
        <f>+'segSales&amp;OM'!AJ25+'segSales&amp;OM'!AK25</f>
        <v>399</v>
      </c>
      <c r="T630" s="753"/>
      <c r="U630" s="785">
        <f>S630/L630</f>
        <v>0.36421725239616615</v>
      </c>
      <c r="V630" s="753"/>
      <c r="W630" s="779"/>
      <c r="X630" s="761"/>
      <c r="Y630" s="753"/>
      <c r="Z630" s="780">
        <f>+'store&amp;sf'!N406+'store&amp;sf'!P406</f>
        <v>7.0162499999999994</v>
      </c>
      <c r="AA630" s="753"/>
      <c r="AB630" s="781">
        <f>AVERAGE(Z630,Z629)</f>
        <v>6.9081249999999992</v>
      </c>
      <c r="AC630" s="753"/>
      <c r="AD630" s="768"/>
      <c r="AE630" s="761"/>
      <c r="AF630" s="772"/>
      <c r="AG630" s="769"/>
      <c r="AH630" s="753"/>
      <c r="AI630" s="784">
        <f>+S630</f>
        <v>399</v>
      </c>
      <c r="AJ630" s="753"/>
      <c r="AK630" s="776">
        <f>AI630/AB630</f>
        <v>57.75807473084231</v>
      </c>
      <c r="AL630" s="753"/>
      <c r="AM630" s="783"/>
      <c r="AN630" s="761"/>
      <c r="AO630" s="753"/>
    </row>
    <row r="631" spans="1:41" hidden="1" outlineLevel="2">
      <c r="A631" s="753" t="str">
        <f>$A$28</f>
        <v>3Q</v>
      </c>
      <c r="B631" s="760" t="str">
        <f>$B$28</f>
        <v>Oct</v>
      </c>
      <c r="C631" s="753"/>
      <c r="D631" s="768"/>
      <c r="E631" s="773"/>
      <c r="F631" s="774">
        <v>-1.8628429551219614</v>
      </c>
      <c r="G631" s="773"/>
      <c r="H631" s="768"/>
      <c r="I631" s="761"/>
      <c r="J631" s="775">
        <f>+'store&amp;sf'!N43+'store&amp;sf'!P43</f>
        <v>1144</v>
      </c>
      <c r="K631" s="753"/>
      <c r="L631" s="776">
        <f>AVERAGE(J631,J630)</f>
        <v>1125.5</v>
      </c>
      <c r="M631" s="753"/>
      <c r="N631" s="768"/>
      <c r="O631" s="761"/>
      <c r="P631" s="772"/>
      <c r="Q631" s="769"/>
      <c r="R631" s="753"/>
      <c r="S631" s="784">
        <f>+'segSales&amp;OM'!AJ26+'segSales&amp;OM'!AK26</f>
        <v>475</v>
      </c>
      <c r="T631" s="753"/>
      <c r="U631" s="785">
        <f>S631/L631</f>
        <v>0.42203465126610396</v>
      </c>
      <c r="V631" s="753"/>
      <c r="W631" s="779"/>
      <c r="X631" s="761"/>
      <c r="Y631" s="753"/>
      <c r="Z631" s="780">
        <f>+'store&amp;sf'!N407+'store&amp;sf'!P407</f>
        <v>7.3187499999999996</v>
      </c>
      <c r="AA631" s="753"/>
      <c r="AB631" s="781">
        <f>AVERAGE(Z631,Z630)</f>
        <v>7.1674999999999995</v>
      </c>
      <c r="AC631" s="753"/>
      <c r="AD631" s="768"/>
      <c r="AE631" s="761"/>
      <c r="AF631" s="772"/>
      <c r="AG631" s="769"/>
      <c r="AH631" s="753"/>
      <c r="AI631" s="784">
        <f>+S631</f>
        <v>475</v>
      </c>
      <c r="AJ631" s="753"/>
      <c r="AK631" s="776">
        <f>AI631/AB631</f>
        <v>66.271363794907572</v>
      </c>
      <c r="AL631" s="753"/>
      <c r="AM631" s="779"/>
      <c r="AN631" s="761"/>
      <c r="AO631" s="753"/>
    </row>
    <row r="632" spans="1:41" hidden="1" outlineLevel="2">
      <c r="A632" s="753" t="str">
        <f>$A$29</f>
        <v>4Q</v>
      </c>
      <c r="B632" s="760" t="str">
        <f>$B$29</f>
        <v>Jan</v>
      </c>
      <c r="C632" s="753"/>
      <c r="D632" s="786"/>
      <c r="E632" s="773"/>
      <c r="F632" s="787">
        <v>-1.9036118077829813</v>
      </c>
      <c r="G632" s="773"/>
      <c r="H632" s="786"/>
      <c r="I632" s="761"/>
      <c r="J632" s="775">
        <f>+'store&amp;sf'!N44+'store&amp;sf'!P44</f>
        <v>1182</v>
      </c>
      <c r="K632" s="753"/>
      <c r="L632" s="788">
        <f>AVERAGE(J632,J631)</f>
        <v>1163</v>
      </c>
      <c r="M632" s="753"/>
      <c r="N632" s="786"/>
      <c r="O632" s="761"/>
      <c r="P632" s="787"/>
      <c r="Q632" s="769"/>
      <c r="R632" s="753"/>
      <c r="S632" s="789">
        <f>+'segSales&amp;OM'!AJ27+'segSales&amp;OM'!AK27</f>
        <v>710</v>
      </c>
      <c r="T632" s="753"/>
      <c r="U632" s="790">
        <f>S632/L632</f>
        <v>0.61049011177987966</v>
      </c>
      <c r="V632" s="753"/>
      <c r="W632" s="791"/>
      <c r="X632" s="761"/>
      <c r="Y632" s="753"/>
      <c r="Z632" s="780">
        <f>+'store&amp;sf'!N408+'store&amp;sf'!P408</f>
        <v>7.64</v>
      </c>
      <c r="AA632" s="753"/>
      <c r="AB632" s="792">
        <f>AVERAGE(Z632,Z631)</f>
        <v>7.4793749999999992</v>
      </c>
      <c r="AC632" s="753"/>
      <c r="AD632" s="786"/>
      <c r="AE632" s="761"/>
      <c r="AF632" s="787"/>
      <c r="AG632" s="769"/>
      <c r="AH632" s="753"/>
      <c r="AI632" s="789">
        <f>+S632</f>
        <v>710</v>
      </c>
      <c r="AJ632" s="753"/>
      <c r="AK632" s="788">
        <f>AI632/AB632</f>
        <v>94.92771789086656</v>
      </c>
      <c r="AL632" s="753"/>
      <c r="AM632" s="791"/>
      <c r="AN632" s="761"/>
      <c r="AO632" s="753"/>
    </row>
    <row r="633" spans="1:41" hidden="1" outlineLevel="2">
      <c r="A633" s="753"/>
      <c r="B633" s="760" t="str">
        <f>$B$30</f>
        <v>Year</v>
      </c>
      <c r="C633" s="753"/>
      <c r="D633" s="768"/>
      <c r="E633" s="773"/>
      <c r="F633" s="774">
        <v>-3.0514159474377616</v>
      </c>
      <c r="G633" s="773"/>
      <c r="H633" s="768"/>
      <c r="I633" s="761"/>
      <c r="J633" s="775"/>
      <c r="K633" s="753"/>
      <c r="L633" s="793">
        <f>AVERAGE(L629:L632)</f>
        <v>1114.875</v>
      </c>
      <c r="M633" s="753"/>
      <c r="N633" s="768"/>
      <c r="O633" s="761"/>
      <c r="P633" s="772"/>
      <c r="Q633" s="769"/>
      <c r="R633" s="753"/>
      <c r="S633" s="777">
        <f>SUM(S629:S632)</f>
        <v>1942</v>
      </c>
      <c r="T633" s="753"/>
      <c r="U633" s="794">
        <f>SUM(U629:U632)</f>
        <v>1.7296104487289932</v>
      </c>
      <c r="V633" s="753"/>
      <c r="W633" s="779"/>
      <c r="X633" s="761"/>
      <c r="Y633" s="753"/>
      <c r="Z633" s="770"/>
      <c r="AA633" s="753"/>
      <c r="AB633" s="781">
        <f>AVERAGE(AB629:AB632)</f>
        <v>7.0685937499999998</v>
      </c>
      <c r="AC633" s="753"/>
      <c r="AD633" s="768"/>
      <c r="AE633" s="761"/>
      <c r="AF633" s="772"/>
      <c r="AG633" s="769"/>
      <c r="AH633" s="753"/>
      <c r="AI633" s="777">
        <f>SUM(AI629:AI632)</f>
        <v>1942</v>
      </c>
      <c r="AJ633" s="753"/>
      <c r="AK633" s="795">
        <f>SUM(AK629:AK632)</f>
        <v>272.23592118268471</v>
      </c>
      <c r="AL633" s="753"/>
      <c r="AM633" s="779"/>
      <c r="AN633" s="761"/>
      <c r="AO633" s="753"/>
    </row>
    <row r="634" spans="1:41" hidden="1" outlineLevel="2">
      <c r="A634" s="753"/>
      <c r="B634" s="760"/>
      <c r="C634" s="753"/>
      <c r="D634" s="768"/>
      <c r="E634" s="773"/>
      <c r="F634" s="768"/>
      <c r="G634" s="773"/>
      <c r="H634" s="768"/>
      <c r="I634" s="761"/>
      <c r="J634" s="753"/>
      <c r="K634" s="753"/>
      <c r="L634" s="753"/>
      <c r="M634" s="753"/>
      <c r="N634" s="753"/>
      <c r="O634" s="761"/>
      <c r="P634" s="769"/>
      <c r="Q634" s="769"/>
      <c r="R634" s="753"/>
      <c r="S634" s="753"/>
      <c r="T634" s="753"/>
      <c r="U634" s="753"/>
      <c r="V634" s="753"/>
      <c r="W634" s="753"/>
      <c r="X634" s="761"/>
      <c r="Y634" s="753"/>
      <c r="Z634" s="770"/>
      <c r="AA634" s="753"/>
      <c r="AB634" s="771"/>
      <c r="AC634" s="753"/>
      <c r="AD634" s="753"/>
      <c r="AE634" s="761"/>
      <c r="AF634" s="772"/>
      <c r="AG634" s="769"/>
      <c r="AH634" s="753"/>
      <c r="AI634" s="753"/>
      <c r="AJ634" s="753"/>
      <c r="AK634" s="753"/>
      <c r="AL634" s="753"/>
      <c r="AM634" s="753"/>
      <c r="AN634" s="761"/>
      <c r="AO634" s="753"/>
    </row>
    <row r="635" spans="1:41" hidden="1" outlineLevel="2">
      <c r="A635" s="766"/>
      <c r="B635" s="796">
        <f>+B628+1</f>
        <v>1995</v>
      </c>
      <c r="C635" s="753"/>
      <c r="D635" s="768"/>
      <c r="E635" s="768"/>
      <c r="F635" s="768"/>
      <c r="G635" s="768"/>
      <c r="H635" s="768"/>
      <c r="I635" s="761"/>
      <c r="J635" s="753"/>
      <c r="K635" s="753"/>
      <c r="L635" s="753"/>
      <c r="M635" s="753"/>
      <c r="N635" s="753"/>
      <c r="O635" s="761"/>
      <c r="P635" s="769"/>
      <c r="Q635" s="769"/>
      <c r="R635" s="753"/>
      <c r="S635" s="753"/>
      <c r="T635" s="753"/>
      <c r="U635" s="753"/>
      <c r="V635" s="753"/>
      <c r="W635" s="753"/>
      <c r="X635" s="761"/>
      <c r="Y635" s="753"/>
      <c r="Z635" s="770"/>
      <c r="AA635" s="753"/>
      <c r="AB635" s="771"/>
      <c r="AC635" s="753"/>
      <c r="AD635" s="753"/>
      <c r="AE635" s="761"/>
      <c r="AF635" s="772"/>
      <c r="AG635" s="769"/>
      <c r="AH635" s="753"/>
      <c r="AI635" s="753"/>
      <c r="AJ635" s="753"/>
      <c r="AK635" s="753"/>
      <c r="AL635" s="753"/>
      <c r="AM635" s="753"/>
      <c r="AN635" s="761"/>
      <c r="AO635" s="753"/>
    </row>
    <row r="636" spans="1:41" hidden="1" outlineLevel="2">
      <c r="A636" s="753" t="str">
        <f>$A$26</f>
        <v>1Q</v>
      </c>
      <c r="B636" s="760" t="str">
        <f>$B$26</f>
        <v>Apr</v>
      </c>
      <c r="C636" s="753"/>
      <c r="D636" s="768">
        <f>(S636/S629-1)*100</f>
        <v>13.966480446927365</v>
      </c>
      <c r="E636" s="773" t="s">
        <v>1084</v>
      </c>
      <c r="F636" s="774">
        <v>3.0585149373795923</v>
      </c>
      <c r="G636" s="773" t="s">
        <v>1084</v>
      </c>
      <c r="H636" s="768">
        <f>D636-F636</f>
        <v>10.907965509547772</v>
      </c>
      <c r="I636" s="761" t="s">
        <v>1084</v>
      </c>
      <c r="J636" s="775">
        <f>+'store&amp;sf'!N47+'store&amp;sf'!P47</f>
        <v>1193</v>
      </c>
      <c r="K636" s="753"/>
      <c r="L636" s="776">
        <f>AVERAGE(J636,J632)</f>
        <v>1187.5</v>
      </c>
      <c r="M636" s="753"/>
      <c r="N636" s="768">
        <f>(L636/L629-1)*100</f>
        <v>10.413761041376102</v>
      </c>
      <c r="O636" s="761" t="s">
        <v>1084</v>
      </c>
      <c r="P636" s="772">
        <f>H636/N636*100</f>
        <v>104.74568665641635</v>
      </c>
      <c r="Q636" s="769" t="s">
        <v>1084</v>
      </c>
      <c r="R636" s="753"/>
      <c r="S636" s="777">
        <f>+'segSales&amp;OM'!AJ31+'segSales&amp;OM'!AK31</f>
        <v>408</v>
      </c>
      <c r="T636" s="753"/>
      <c r="U636" s="778">
        <f>S636/L636</f>
        <v>0.34357894736842104</v>
      </c>
      <c r="V636" s="753"/>
      <c r="W636" s="779">
        <f>(U636/U629-1)*100</f>
        <v>3.2176418700382126</v>
      </c>
      <c r="X636" s="761" t="s">
        <v>1084</v>
      </c>
      <c r="Y636" s="753"/>
      <c r="Z636" s="780">
        <f>+'store&amp;sf'!N411+'store&amp;sf'!P411</f>
        <v>7.7312499999999993</v>
      </c>
      <c r="AA636" s="753"/>
      <c r="AB636" s="781">
        <f>AVERAGE(Z636,Z632)</f>
        <v>7.6856249999999999</v>
      </c>
      <c r="AC636" s="753"/>
      <c r="AD636" s="768">
        <f>(AB636/AB629-1)*100</f>
        <v>14.380057669054057</v>
      </c>
      <c r="AE636" s="761" t="s">
        <v>1084</v>
      </c>
      <c r="AF636" s="772">
        <f>+H636/AD636*100</f>
        <v>75.854810603588589</v>
      </c>
      <c r="AG636" s="769" t="s">
        <v>1084</v>
      </c>
      <c r="AH636" s="753"/>
      <c r="AI636" s="777">
        <f>+S636</f>
        <v>408</v>
      </c>
      <c r="AJ636" s="753"/>
      <c r="AK636" s="782">
        <f>AI636/AB636</f>
        <v>53.086118565503781</v>
      </c>
      <c r="AL636" s="753"/>
      <c r="AM636" s="779">
        <f>(AK636/AK629-1)*100</f>
        <v>-0.36158158210001234</v>
      </c>
      <c r="AN636" s="761" t="s">
        <v>1084</v>
      </c>
      <c r="AO636" s="753"/>
    </row>
    <row r="637" spans="1:41" hidden="1" outlineLevel="2">
      <c r="A637" s="753" t="str">
        <f>$A$27</f>
        <v>2Q</v>
      </c>
      <c r="B637" s="760" t="str">
        <f>$B$27</f>
        <v>Jul</v>
      </c>
      <c r="C637" s="753"/>
      <c r="D637" s="768">
        <f>(S637/S630-1)*100</f>
        <v>9.5238095238095344</v>
      </c>
      <c r="E637" s="773"/>
      <c r="F637" s="774">
        <v>0.15498037003506782</v>
      </c>
      <c r="G637" s="773"/>
      <c r="H637" s="768">
        <f>D637-F637</f>
        <v>9.3688291537744668</v>
      </c>
      <c r="I637" s="761"/>
      <c r="J637" s="775">
        <f>+'store&amp;sf'!N48+'store&amp;sf'!P48</f>
        <v>1203</v>
      </c>
      <c r="K637" s="753"/>
      <c r="L637" s="776">
        <f>AVERAGE(J637,J636)</f>
        <v>1198</v>
      </c>
      <c r="M637" s="753"/>
      <c r="N637" s="768">
        <f>(L637/L630-1)*100</f>
        <v>9.3564582382473773</v>
      </c>
      <c r="O637" s="761"/>
      <c r="P637" s="772">
        <f>H637/N637*100</f>
        <v>100.13221793131635</v>
      </c>
      <c r="Q637" s="769"/>
      <c r="R637" s="753"/>
      <c r="S637" s="784">
        <f>+'segSales&amp;OM'!AJ32+'segSales&amp;OM'!AK32</f>
        <v>437</v>
      </c>
      <c r="T637" s="753"/>
      <c r="U637" s="785">
        <f>S637/L637</f>
        <v>0.36477462437395658</v>
      </c>
      <c r="V637" s="753"/>
      <c r="W637" s="779">
        <f>(U637/U630-1)*100</f>
        <v>0.15303283249861188</v>
      </c>
      <c r="X637" s="761"/>
      <c r="Y637" s="753"/>
      <c r="Z637" s="780">
        <f>+'store&amp;sf'!N412+'store&amp;sf'!P412</f>
        <v>7.8724999999999996</v>
      </c>
      <c r="AA637" s="753"/>
      <c r="AB637" s="781">
        <f>AVERAGE(Z637,Z636)</f>
        <v>7.801874999999999</v>
      </c>
      <c r="AC637" s="753"/>
      <c r="AD637" s="768">
        <f>(AB637/AB630-1)*100</f>
        <v>12.937663982629143</v>
      </c>
      <c r="AE637" s="761"/>
      <c r="AF637" s="772">
        <f>+H637/AD637*100</f>
        <v>72.415152892775694</v>
      </c>
      <c r="AG637" s="769"/>
      <c r="AH637" s="753"/>
      <c r="AI637" s="784">
        <f>+S637</f>
        <v>437</v>
      </c>
      <c r="AJ637" s="753"/>
      <c r="AK637" s="776">
        <f>AI637/AB637</f>
        <v>56.012176560121773</v>
      </c>
      <c r="AL637" s="753"/>
      <c r="AM637" s="779">
        <f>(AK637/AK630-1)*100</f>
        <v>-3.022777644262864</v>
      </c>
      <c r="AN637" s="761"/>
      <c r="AO637" s="753"/>
    </row>
    <row r="638" spans="1:41" hidden="1" outlineLevel="2">
      <c r="A638" s="753" t="str">
        <f>$A$28</f>
        <v>3Q</v>
      </c>
      <c r="B638" s="760" t="str">
        <f>$B$28</f>
        <v>Oct</v>
      </c>
      <c r="C638" s="753"/>
      <c r="D638" s="768">
        <f>(S638/S631-1)*100</f>
        <v>2.7368421052631486</v>
      </c>
      <c r="E638" s="773"/>
      <c r="F638" s="774">
        <v>-4.914612077367031</v>
      </c>
      <c r="G638" s="773"/>
      <c r="H638" s="768">
        <f>D638-F638</f>
        <v>7.6514541826301796</v>
      </c>
      <c r="I638" s="761"/>
      <c r="J638" s="775">
        <f>+'store&amp;sf'!N49+'store&amp;sf'!P49</f>
        <v>1233</v>
      </c>
      <c r="K638" s="753"/>
      <c r="L638" s="776">
        <f>AVERAGE(J638,J637)</f>
        <v>1218</v>
      </c>
      <c r="M638" s="753"/>
      <c r="N638" s="768">
        <f>(L638/L631-1)*100</f>
        <v>8.2185695246557167</v>
      </c>
      <c r="O638" s="761"/>
      <c r="P638" s="772">
        <f>H638/N638*100</f>
        <v>93.09958575730009</v>
      </c>
      <c r="Q638" s="769"/>
      <c r="R638" s="753"/>
      <c r="S638" s="784">
        <f>+'segSales&amp;OM'!AJ33+'segSales&amp;OM'!AK33</f>
        <v>488</v>
      </c>
      <c r="T638" s="753"/>
      <c r="U638" s="785">
        <f>S638/L638</f>
        <v>0.40065681444991791</v>
      </c>
      <c r="V638" s="753"/>
      <c r="W638" s="779">
        <f>(U638/U631-1)*100</f>
        <v>-5.0654221761299745</v>
      </c>
      <c r="X638" s="761"/>
      <c r="Y638" s="753"/>
      <c r="Z638" s="780">
        <f>+'store&amp;sf'!N413+'store&amp;sf'!P413</f>
        <v>8.0849999999999991</v>
      </c>
      <c r="AA638" s="753"/>
      <c r="AB638" s="781">
        <f>AVERAGE(Z638,Z637)</f>
        <v>7.9787499999999998</v>
      </c>
      <c r="AC638" s="753"/>
      <c r="AD638" s="768">
        <f>(AB638/AB631-1)*100</f>
        <v>11.318451342867109</v>
      </c>
      <c r="AE638" s="761"/>
      <c r="AF638" s="772">
        <f>+H638/AD638*100</f>
        <v>67.601599820033059</v>
      </c>
      <c r="AG638" s="769"/>
      <c r="AH638" s="753"/>
      <c r="AI638" s="784">
        <f>+S638</f>
        <v>488</v>
      </c>
      <c r="AJ638" s="753"/>
      <c r="AK638" s="776">
        <f>AI638/AB638</f>
        <v>61.162462791790695</v>
      </c>
      <c r="AL638" s="753"/>
      <c r="AM638" s="779">
        <f>(AK638/AK631-1)*100</f>
        <v>-7.709062724176885</v>
      </c>
      <c r="AN638" s="761"/>
      <c r="AO638" s="753"/>
    </row>
    <row r="639" spans="1:41" hidden="1" outlineLevel="2">
      <c r="A639" s="753" t="str">
        <f>$A$29</f>
        <v>4Q</v>
      </c>
      <c r="B639" s="760" t="str">
        <f>$B$29</f>
        <v>Jan</v>
      </c>
      <c r="C639" s="753"/>
      <c r="D639" s="786">
        <f>(S639/S632-1)*100</f>
        <v>-3.0985915492957705</v>
      </c>
      <c r="E639" s="773"/>
      <c r="F639" s="787">
        <v>-11.674508889611678</v>
      </c>
      <c r="G639" s="773"/>
      <c r="H639" s="786">
        <f>D639-F639</f>
        <v>8.5759173403159075</v>
      </c>
      <c r="I639" s="761"/>
      <c r="J639" s="775">
        <f>+'store&amp;sf'!N50+'store&amp;sf'!P50</f>
        <v>1255</v>
      </c>
      <c r="K639" s="753"/>
      <c r="L639" s="788">
        <f>AVERAGE(J639,J638)</f>
        <v>1244</v>
      </c>
      <c r="M639" s="753"/>
      <c r="N639" s="786">
        <f>(L639/L632-1)*100</f>
        <v>6.9647463456577796</v>
      </c>
      <c r="O639" s="761"/>
      <c r="P639" s="787">
        <f>H639/N639*100</f>
        <v>123.13323292330128</v>
      </c>
      <c r="Q639" s="769"/>
      <c r="R639" s="753"/>
      <c r="S639" s="789">
        <f>+'segSales&amp;OM'!AJ34+'segSales&amp;OM'!AK34</f>
        <v>688</v>
      </c>
      <c r="T639" s="753"/>
      <c r="U639" s="790">
        <f>S639/L639</f>
        <v>0.55305466237942125</v>
      </c>
      <c r="V639" s="753"/>
      <c r="W639" s="791">
        <f>(U639/U632-1)*100</f>
        <v>-9.4080884017934014</v>
      </c>
      <c r="X639" s="761"/>
      <c r="Y639" s="753"/>
      <c r="Z639" s="780">
        <f>+'store&amp;sf'!N414+'store&amp;sf'!P414</f>
        <v>8.2262500000000003</v>
      </c>
      <c r="AA639" s="753"/>
      <c r="AB639" s="792">
        <f>AVERAGE(Z639,Z638)</f>
        <v>8.1556250000000006</v>
      </c>
      <c r="AC639" s="753"/>
      <c r="AD639" s="786">
        <f>(AB639/AB632-1)*100</f>
        <v>9.041530876577264</v>
      </c>
      <c r="AE639" s="761"/>
      <c r="AF639" s="787">
        <f>+H639/AD639*100</f>
        <v>94.850279862809941</v>
      </c>
      <c r="AG639" s="769"/>
      <c r="AH639" s="753"/>
      <c r="AI639" s="789">
        <f>+S639</f>
        <v>688</v>
      </c>
      <c r="AJ639" s="753"/>
      <c r="AK639" s="788">
        <f>AI639/AB639</f>
        <v>84.358954709173105</v>
      </c>
      <c r="AL639" s="753"/>
      <c r="AM639" s="791">
        <f>(AK639/AK632-1)*100</f>
        <v>-11.13348494677162</v>
      </c>
      <c r="AN639" s="761"/>
      <c r="AO639" s="753"/>
    </row>
    <row r="640" spans="1:41" hidden="1" outlineLevel="2">
      <c r="A640" s="753"/>
      <c r="B640" s="760" t="str">
        <f>$B$30</f>
        <v>Year</v>
      </c>
      <c r="C640" s="753"/>
      <c r="D640" s="768">
        <f>(S640/S633-1)*100</f>
        <v>4.067971163748707</v>
      </c>
      <c r="E640" s="773"/>
      <c r="F640" s="774">
        <v>-4.8254475451871377</v>
      </c>
      <c r="G640" s="773"/>
      <c r="H640" s="768">
        <f>D640-F640</f>
        <v>8.8934187089358439</v>
      </c>
      <c r="I640" s="761"/>
      <c r="J640" s="775"/>
      <c r="K640" s="753"/>
      <c r="L640" s="793">
        <f>AVERAGE(L636:L639)</f>
        <v>1211.875</v>
      </c>
      <c r="M640" s="753"/>
      <c r="N640" s="768">
        <f>(L640/L633-1)*100</f>
        <v>8.7005269649063735</v>
      </c>
      <c r="O640" s="761"/>
      <c r="P640" s="772">
        <f>H640/N640*100</f>
        <v>102.21701219716346</v>
      </c>
      <c r="Q640" s="769"/>
      <c r="R640" s="753"/>
      <c r="S640" s="777">
        <f>SUM(S636:S639)</f>
        <v>2021</v>
      </c>
      <c r="T640" s="753"/>
      <c r="U640" s="794">
        <f>SUM(U636:U639)</f>
        <v>1.6620650485717168</v>
      </c>
      <c r="V640" s="753"/>
      <c r="W640" s="779">
        <f>(U640/U633-1)*100</f>
        <v>-3.9052377491655577</v>
      </c>
      <c r="X640" s="761"/>
      <c r="Y640" s="753"/>
      <c r="Z640" s="770"/>
      <c r="AA640" s="753"/>
      <c r="AB640" s="781">
        <f>AVERAGE(AB636:AB639)</f>
        <v>7.9054687499999998</v>
      </c>
      <c r="AC640" s="753"/>
      <c r="AD640" s="768">
        <f>(AB640/AB633-1)*100</f>
        <v>11.839342160525202</v>
      </c>
      <c r="AE640" s="761"/>
      <c r="AF640" s="772">
        <f>+H640/AD640*100</f>
        <v>75.117507276614816</v>
      </c>
      <c r="AG640" s="769"/>
      <c r="AH640" s="753"/>
      <c r="AI640" s="777">
        <f>SUM(AI636:AI639)</f>
        <v>2021</v>
      </c>
      <c r="AJ640" s="753"/>
      <c r="AK640" s="795">
        <f>SUM(AK636:AK639)</f>
        <v>254.61971262658935</v>
      </c>
      <c r="AL640" s="753"/>
      <c r="AM640" s="779">
        <f>(AK640/AK633-1)*100</f>
        <v>-6.4709346509324028</v>
      </c>
      <c r="AN640" s="761"/>
      <c r="AO640" s="753"/>
    </row>
    <row r="641" spans="1:41" hidden="1" outlineLevel="2">
      <c r="A641" s="753"/>
      <c r="B641" s="760"/>
      <c r="C641" s="753"/>
      <c r="D641" s="768"/>
      <c r="E641" s="773"/>
      <c r="F641" s="768"/>
      <c r="G641" s="773"/>
      <c r="H641" s="768"/>
      <c r="I641" s="761"/>
      <c r="J641" s="753"/>
      <c r="K641" s="753"/>
      <c r="L641" s="753"/>
      <c r="M641" s="753"/>
      <c r="N641" s="753"/>
      <c r="O641" s="761"/>
      <c r="P641" s="769"/>
      <c r="Q641" s="769"/>
      <c r="R641" s="753"/>
      <c r="S641" s="753"/>
      <c r="T641" s="753"/>
      <c r="U641" s="753"/>
      <c r="V641" s="753"/>
      <c r="W641" s="753"/>
      <c r="X641" s="761"/>
      <c r="Y641" s="753"/>
      <c r="Z641" s="770"/>
      <c r="AA641" s="753"/>
      <c r="AB641" s="771"/>
      <c r="AC641" s="753"/>
      <c r="AD641" s="753"/>
      <c r="AE641" s="761"/>
      <c r="AF641" s="772"/>
      <c r="AG641" s="769"/>
      <c r="AH641" s="753"/>
      <c r="AI641" s="753"/>
      <c r="AJ641" s="753"/>
      <c r="AK641" s="753"/>
      <c r="AL641" s="753"/>
      <c r="AM641" s="753"/>
      <c r="AN641" s="761"/>
      <c r="AO641" s="753"/>
    </row>
    <row r="642" spans="1:41" hidden="1" outlineLevel="2" collapsed="1">
      <c r="A642" s="766"/>
      <c r="B642" s="796">
        <f>+B635+1</f>
        <v>1996</v>
      </c>
      <c r="C642" s="753"/>
      <c r="D642" s="768"/>
      <c r="E642" s="768"/>
      <c r="F642" s="768"/>
      <c r="G642" s="768"/>
      <c r="H642" s="768"/>
      <c r="I642" s="761"/>
      <c r="J642" s="753"/>
      <c r="K642" s="753"/>
      <c r="L642" s="753"/>
      <c r="M642" s="753"/>
      <c r="N642" s="753"/>
      <c r="O642" s="761"/>
      <c r="P642" s="769"/>
      <c r="Q642" s="769"/>
      <c r="R642" s="753"/>
      <c r="S642" s="753"/>
      <c r="T642" s="753"/>
      <c r="U642" s="753"/>
      <c r="V642" s="753"/>
      <c r="W642" s="753"/>
      <c r="X642" s="761"/>
      <c r="Y642" s="753"/>
      <c r="Z642" s="770"/>
      <c r="AA642" s="753"/>
      <c r="AB642" s="771"/>
      <c r="AC642" s="753"/>
      <c r="AD642" s="753"/>
      <c r="AE642" s="761"/>
      <c r="AF642" s="772"/>
      <c r="AG642" s="769"/>
      <c r="AH642" s="753"/>
      <c r="AI642" s="753"/>
      <c r="AJ642" s="753"/>
      <c r="AK642" s="753"/>
      <c r="AL642" s="753"/>
      <c r="AM642" s="753"/>
      <c r="AN642" s="761"/>
      <c r="AO642" s="753"/>
    </row>
    <row r="643" spans="1:41" hidden="1" outlineLevel="2">
      <c r="A643" s="753" t="str">
        <f>$A$26</f>
        <v>1Q</v>
      </c>
      <c r="B643" s="760" t="str">
        <f>$B$26</f>
        <v>Apr</v>
      </c>
      <c r="C643" s="753"/>
      <c r="D643" s="768">
        <f>(S643/S636-1)*100</f>
        <v>7.3529411764705843</v>
      </c>
      <c r="E643" s="773" t="s">
        <v>1084</v>
      </c>
      <c r="F643" s="774">
        <v>2.15</v>
      </c>
      <c r="G643" s="773" t="s">
        <v>1084</v>
      </c>
      <c r="H643" s="768">
        <f>D643-F643</f>
        <v>5.2029411764705848</v>
      </c>
      <c r="I643" s="761" t="s">
        <v>1084</v>
      </c>
      <c r="J643" s="775">
        <f>+'store&amp;sf'!N53+'store&amp;sf'!P53</f>
        <v>1268</v>
      </c>
      <c r="K643" s="753"/>
      <c r="L643" s="776">
        <f>AVERAGE(J643,J639)</f>
        <v>1261.5</v>
      </c>
      <c r="M643" s="753"/>
      <c r="N643" s="768">
        <f>(L643/L636-1)*100</f>
        <v>6.2315789473684102</v>
      </c>
      <c r="O643" s="761" t="s">
        <v>1084</v>
      </c>
      <c r="P643" s="772">
        <f>H643/N643*100</f>
        <v>83.493143879173388</v>
      </c>
      <c r="Q643" s="769" t="s">
        <v>1084</v>
      </c>
      <c r="R643" s="753"/>
      <c r="S643" s="777">
        <f>+'segSales&amp;OM'!AJ38+'segSales&amp;OM'!AK38</f>
        <v>438</v>
      </c>
      <c r="T643" s="753"/>
      <c r="U643" s="778">
        <f>S643/L643</f>
        <v>0.34720570749108204</v>
      </c>
      <c r="V643" s="753"/>
      <c r="W643" s="779">
        <f>(U643/U636-1)*100</f>
        <v>1.0555827562892084</v>
      </c>
      <c r="X643" s="761" t="s">
        <v>1084</v>
      </c>
      <c r="Y643" s="753"/>
      <c r="Z643" s="780">
        <f>+'store&amp;sf'!N417+'store&amp;sf'!P417</f>
        <v>8.3112499999999994</v>
      </c>
      <c r="AA643" s="753"/>
      <c r="AB643" s="781">
        <f>AVERAGE(Z643,Z639)</f>
        <v>8.2687500000000007</v>
      </c>
      <c r="AC643" s="753"/>
      <c r="AD643" s="768">
        <f>(AB643/AB636-1)*100</f>
        <v>7.587216394242513</v>
      </c>
      <c r="AE643" s="761" t="s">
        <v>1084</v>
      </c>
      <c r="AF643" s="772">
        <f>+H643/AD643*100</f>
        <v>68.575099300170052</v>
      </c>
      <c r="AG643" s="769" t="s">
        <v>1084</v>
      </c>
      <c r="AH643" s="753"/>
      <c r="AI643" s="777">
        <f>+S643</f>
        <v>438</v>
      </c>
      <c r="AJ643" s="753"/>
      <c r="AK643" s="782">
        <f>AI643/AB643</f>
        <v>52.970521541950106</v>
      </c>
      <c r="AL643" s="753"/>
      <c r="AM643" s="779">
        <f>(AK643/AK636-1)*100</f>
        <v>-0.21775376817395609</v>
      </c>
      <c r="AN643" s="761" t="s">
        <v>1084</v>
      </c>
      <c r="AO643" s="753"/>
    </row>
    <row r="644" spans="1:41" hidden="1" outlineLevel="2">
      <c r="A644" s="753" t="str">
        <f>$A$27</f>
        <v>2Q</v>
      </c>
      <c r="B644" s="760" t="str">
        <f>$B$27</f>
        <v>Jul</v>
      </c>
      <c r="C644" s="753"/>
      <c r="D644" s="768">
        <f>(S644/S637-1)*100</f>
        <v>5.9496567505720854</v>
      </c>
      <c r="E644" s="773"/>
      <c r="F644" s="774">
        <v>1.1499999999999997</v>
      </c>
      <c r="G644" s="773"/>
      <c r="H644" s="768">
        <f>D644-F644</f>
        <v>4.799656750572086</v>
      </c>
      <c r="I644" s="761"/>
      <c r="J644" s="775">
        <f>+'store&amp;sf'!N54+'store&amp;sf'!P54</f>
        <v>1284</v>
      </c>
      <c r="K644" s="753"/>
      <c r="L644" s="776">
        <f>AVERAGE(J644,J643)</f>
        <v>1276</v>
      </c>
      <c r="M644" s="753"/>
      <c r="N644" s="768">
        <f>(L644/L637-1)*100</f>
        <v>6.5108514190317157</v>
      </c>
      <c r="O644" s="761"/>
      <c r="P644" s="772">
        <f>H644/N644*100</f>
        <v>73.717804963914901</v>
      </c>
      <c r="Q644" s="769"/>
      <c r="R644" s="753"/>
      <c r="S644" s="784">
        <f>+'segSales&amp;OM'!AJ39+'segSales&amp;OM'!AK39</f>
        <v>463</v>
      </c>
      <c r="T644" s="753"/>
      <c r="U644" s="785">
        <f>S644/L644</f>
        <v>0.36285266457680249</v>
      </c>
      <c r="V644" s="753"/>
      <c r="W644" s="779">
        <f>(U644/U637-1)*100</f>
        <v>-0.52688966521524661</v>
      </c>
      <c r="X644" s="761"/>
      <c r="Y644" s="753"/>
      <c r="Z644" s="780">
        <f>+'store&amp;sf'!N418+'store&amp;sf'!P418</f>
        <v>8.4437499999999996</v>
      </c>
      <c r="AA644" s="753"/>
      <c r="AB644" s="781">
        <f>AVERAGE(Z644,Z643)</f>
        <v>8.3774999999999995</v>
      </c>
      <c r="AC644" s="753"/>
      <c r="AD644" s="768">
        <f>(AB644/AB637-1)*100</f>
        <v>7.3780341264119365</v>
      </c>
      <c r="AE644" s="761"/>
      <c r="AF644" s="772">
        <f>+H644/AD644*100</f>
        <v>65.053328140489924</v>
      </c>
      <c r="AG644" s="769"/>
      <c r="AH644" s="753"/>
      <c r="AI644" s="784">
        <f>+S644</f>
        <v>463</v>
      </c>
      <c r="AJ644" s="753"/>
      <c r="AK644" s="776">
        <f>AI644/AB644</f>
        <v>55.267084452402273</v>
      </c>
      <c r="AL644" s="753"/>
      <c r="AM644" s="779">
        <f>(AK644/AK637-1)*100</f>
        <v>-1.3302323770970403</v>
      </c>
      <c r="AN644" s="761"/>
      <c r="AO644" s="753"/>
    </row>
    <row r="645" spans="1:41" hidden="1" outlineLevel="2">
      <c r="A645" s="753" t="str">
        <f>$A$28</f>
        <v>3Q</v>
      </c>
      <c r="B645" s="760" t="str">
        <f>$B$28</f>
        <v>Oct</v>
      </c>
      <c r="C645" s="753"/>
      <c r="D645" s="768">
        <f>(S645/S638-1)*100</f>
        <v>2.2540983606557319</v>
      </c>
      <c r="E645" s="773"/>
      <c r="F645" s="774">
        <v>-2.4500000000000002</v>
      </c>
      <c r="G645" s="773"/>
      <c r="H645" s="768">
        <f>D645-F645</f>
        <v>4.7040983606557321</v>
      </c>
      <c r="I645" s="761"/>
      <c r="J645" s="775">
        <f>+'store&amp;sf'!N55+'store&amp;sf'!P55</f>
        <v>1301</v>
      </c>
      <c r="K645" s="753"/>
      <c r="L645" s="776">
        <f>AVERAGE(J645,J644)</f>
        <v>1292.5</v>
      </c>
      <c r="M645" s="753"/>
      <c r="N645" s="768">
        <f>(L645/L638-1)*100</f>
        <v>6.1165845648604167</v>
      </c>
      <c r="O645" s="761"/>
      <c r="P645" s="772">
        <f>H645/N645*100</f>
        <v>76.907272527230759</v>
      </c>
      <c r="Q645" s="769"/>
      <c r="R645" s="753"/>
      <c r="S645" s="784">
        <f>+'segSales&amp;OM'!AJ40+'segSales&amp;OM'!AK40</f>
        <v>499</v>
      </c>
      <c r="T645" s="753"/>
      <c r="U645" s="785">
        <f>S645/L645</f>
        <v>0.38607350096711801</v>
      </c>
      <c r="V645" s="753"/>
      <c r="W645" s="779">
        <f>(U645/U638-1)*100</f>
        <v>-3.6398516028791517</v>
      </c>
      <c r="X645" s="761"/>
      <c r="Y645" s="753"/>
      <c r="Z645" s="780">
        <f>+'store&amp;sf'!N419+'store&amp;sf'!P419</f>
        <v>8.5849999999999991</v>
      </c>
      <c r="AA645" s="753"/>
      <c r="AB645" s="781">
        <f>AVERAGE(Z645,Z644)</f>
        <v>8.5143749999999994</v>
      </c>
      <c r="AC645" s="753"/>
      <c r="AD645" s="768">
        <f>(AB645/AB638-1)*100</f>
        <v>6.7131442895190352</v>
      </c>
      <c r="AE645" s="761"/>
      <c r="AF645" s="772">
        <f>+H645/AD645*100</f>
        <v>70.072951776115602</v>
      </c>
      <c r="AG645" s="769"/>
      <c r="AH645" s="753"/>
      <c r="AI645" s="784">
        <f>+S645</f>
        <v>499</v>
      </c>
      <c r="AJ645" s="753"/>
      <c r="AK645" s="776">
        <f>AI645/AB645</f>
        <v>58.606767965939959</v>
      </c>
      <c r="AL645" s="753"/>
      <c r="AM645" s="779">
        <f>(AK645/AK638-1)*100</f>
        <v>-4.1785348548681434</v>
      </c>
      <c r="AN645" s="761"/>
      <c r="AO645" s="753"/>
    </row>
    <row r="646" spans="1:41" hidden="1" outlineLevel="2">
      <c r="A646" s="753" t="str">
        <f>$A$29</f>
        <v>4Q</v>
      </c>
      <c r="B646" s="760" t="str">
        <f>$B$29</f>
        <v>Jan</v>
      </c>
      <c r="C646" s="753"/>
      <c r="D646" s="786">
        <f>(S646/S639-1)*100</f>
        <v>-6.104651162790697</v>
      </c>
      <c r="E646" s="773"/>
      <c r="F646" s="787">
        <v>-6.0000000000000018</v>
      </c>
      <c r="G646" s="773"/>
      <c r="H646" s="786">
        <f>D646-F646</f>
        <v>-0.1046511627906952</v>
      </c>
      <c r="I646" s="761"/>
      <c r="J646" s="775">
        <f>+'store&amp;sf'!N56+'store&amp;sf'!P56</f>
        <v>1295</v>
      </c>
      <c r="K646" s="753"/>
      <c r="L646" s="788">
        <f>AVERAGE(J646,J645)</f>
        <v>1298</v>
      </c>
      <c r="M646" s="753"/>
      <c r="N646" s="786">
        <f>(L646/L639-1)*100</f>
        <v>4.3408360128617263</v>
      </c>
      <c r="O646" s="761"/>
      <c r="P646" s="787">
        <f>H646/N646*100</f>
        <v>-2.4108527131782429</v>
      </c>
      <c r="Q646" s="769"/>
      <c r="R646" s="753"/>
      <c r="S646" s="789">
        <f>+'segSales&amp;OM'!AJ41+'segSales&amp;OM'!AK41</f>
        <v>646</v>
      </c>
      <c r="T646" s="753"/>
      <c r="U646" s="790">
        <f>S646/L646</f>
        <v>0.49768875192604006</v>
      </c>
      <c r="V646" s="753"/>
      <c r="W646" s="791">
        <f>(U646/U639-1)*100</f>
        <v>-10.010929157559033</v>
      </c>
      <c r="X646" s="761"/>
      <c r="Y646" s="753"/>
      <c r="Z646" s="780">
        <f>+'store&amp;sf'!N420+'store&amp;sf'!P420</f>
        <v>8.5537499999999991</v>
      </c>
      <c r="AA646" s="753"/>
      <c r="AB646" s="792">
        <f>AVERAGE(Z646,Z645)</f>
        <v>8.5693749999999991</v>
      </c>
      <c r="AC646" s="753"/>
      <c r="AD646" s="786">
        <f>(AB646/AB639-1)*100</f>
        <v>5.0731856847267887</v>
      </c>
      <c r="AE646" s="761"/>
      <c r="AF646" s="787">
        <f>+H646/AD646*100</f>
        <v>-2.0628293402655351</v>
      </c>
      <c r="AG646" s="769"/>
      <c r="AH646" s="753"/>
      <c r="AI646" s="789">
        <f>+S646</f>
        <v>646</v>
      </c>
      <c r="AJ646" s="753"/>
      <c r="AK646" s="788">
        <f>AI646/AB646</f>
        <v>75.384727590985349</v>
      </c>
      <c r="AL646" s="753"/>
      <c r="AM646" s="791">
        <f>(AK646/AK639-1)*100</f>
        <v>-10.638144046623555</v>
      </c>
      <c r="AN646" s="761"/>
      <c r="AO646" s="753"/>
    </row>
    <row r="647" spans="1:41" hidden="1" outlineLevel="2">
      <c r="A647" s="753"/>
      <c r="B647" s="760" t="str">
        <f>$B$30</f>
        <v>Year</v>
      </c>
      <c r="C647" s="753"/>
      <c r="D647" s="768">
        <f>(S647/S640-1)*100</f>
        <v>1.2370113805046934</v>
      </c>
      <c r="E647" s="773"/>
      <c r="F647" s="774">
        <v>-1.4500000000000006</v>
      </c>
      <c r="G647" s="773"/>
      <c r="H647" s="768">
        <f>D647-F647</f>
        <v>2.687011380504694</v>
      </c>
      <c r="I647" s="761"/>
      <c r="J647" s="775"/>
      <c r="K647" s="753"/>
      <c r="L647" s="793">
        <f>AVERAGE(L643:L646)</f>
        <v>1282</v>
      </c>
      <c r="M647" s="753"/>
      <c r="N647" s="768">
        <f>(L647/L640-1)*100</f>
        <v>5.7864878803506992</v>
      </c>
      <c r="O647" s="761"/>
      <c r="P647" s="772">
        <f>H647/N647*100</f>
        <v>46.435963162197851</v>
      </c>
      <c r="Q647" s="769"/>
      <c r="R647" s="753"/>
      <c r="S647" s="777">
        <f>SUM(S643:S646)</f>
        <v>2046</v>
      </c>
      <c r="T647" s="753"/>
      <c r="U647" s="794">
        <f>SUM(U643:U646)</f>
        <v>1.5938206249610427</v>
      </c>
      <c r="V647" s="753"/>
      <c r="W647" s="779">
        <f>(U647/U640-1)*100</f>
        <v>-4.1060019684138975</v>
      </c>
      <c r="X647" s="761"/>
      <c r="Y647" s="753"/>
      <c r="Z647" s="770"/>
      <c r="AA647" s="753"/>
      <c r="AB647" s="781">
        <f>AVERAGE(AB643:AB646)</f>
        <v>8.432500000000001</v>
      </c>
      <c r="AC647" s="753"/>
      <c r="AD647" s="768">
        <f>(AB647/AB640-1)*100</f>
        <v>6.6666666666666874</v>
      </c>
      <c r="AE647" s="761"/>
      <c r="AF647" s="772">
        <f>+H647/AD647*100</f>
        <v>40.305170707570284</v>
      </c>
      <c r="AG647" s="769"/>
      <c r="AH647" s="753"/>
      <c r="AI647" s="777">
        <f>SUM(AI643:AI646)</f>
        <v>2046</v>
      </c>
      <c r="AJ647" s="753"/>
      <c r="AK647" s="795">
        <f>SUM(AK643:AK646)</f>
        <v>242.22910155127767</v>
      </c>
      <c r="AL647" s="753"/>
      <c r="AM647" s="779">
        <f>(AK647/AK640-1)*100</f>
        <v>-4.8663204225208752</v>
      </c>
      <c r="AN647" s="761"/>
      <c r="AO647" s="753"/>
    </row>
    <row r="648" spans="1:41" hidden="1" outlineLevel="2">
      <c r="A648" s="753"/>
      <c r="B648" s="760"/>
      <c r="C648" s="753"/>
      <c r="D648" s="768"/>
      <c r="E648" s="773"/>
      <c r="F648" s="768"/>
      <c r="G648" s="773"/>
      <c r="H648" s="768"/>
      <c r="I648" s="761"/>
      <c r="J648" s="753"/>
      <c r="K648" s="753"/>
      <c r="L648" s="753"/>
      <c r="M648" s="753"/>
      <c r="N648" s="753"/>
      <c r="O648" s="761"/>
      <c r="P648" s="769"/>
      <c r="Q648" s="769"/>
      <c r="R648" s="753"/>
      <c r="S648" s="753"/>
      <c r="T648" s="753"/>
      <c r="U648" s="753"/>
      <c r="V648" s="753"/>
      <c r="W648" s="753"/>
      <c r="X648" s="761"/>
      <c r="Y648" s="753"/>
      <c r="Z648" s="770"/>
      <c r="AA648" s="753"/>
      <c r="AB648" s="771"/>
      <c r="AC648" s="753"/>
      <c r="AD648" s="753"/>
      <c r="AE648" s="761"/>
      <c r="AF648" s="772"/>
      <c r="AG648" s="769"/>
      <c r="AH648" s="753"/>
      <c r="AI648" s="753"/>
      <c r="AJ648" s="753"/>
      <c r="AK648" s="753"/>
      <c r="AL648" s="753"/>
      <c r="AM648" s="753"/>
      <c r="AN648" s="761"/>
      <c r="AO648" s="753"/>
    </row>
    <row r="649" spans="1:41" hidden="1" outlineLevel="2">
      <c r="A649" s="766"/>
      <c r="B649" s="796">
        <f>+B642+1</f>
        <v>1997</v>
      </c>
      <c r="C649" s="753"/>
      <c r="D649" s="768"/>
      <c r="E649" s="768"/>
      <c r="F649" s="768"/>
      <c r="G649" s="768"/>
      <c r="H649" s="768"/>
      <c r="I649" s="761"/>
      <c r="J649" s="753"/>
      <c r="K649" s="753"/>
      <c r="L649" s="753"/>
      <c r="M649" s="753"/>
      <c r="N649" s="753"/>
      <c r="O649" s="761"/>
      <c r="P649" s="769"/>
      <c r="Q649" s="769"/>
      <c r="R649" s="753"/>
      <c r="S649" s="753"/>
      <c r="T649" s="753"/>
      <c r="U649" s="753"/>
      <c r="V649" s="753"/>
      <c r="W649" s="753"/>
      <c r="X649" s="761"/>
      <c r="Y649" s="753"/>
      <c r="Z649" s="770"/>
      <c r="AA649" s="753"/>
      <c r="AB649" s="771"/>
      <c r="AC649" s="753"/>
      <c r="AD649" s="753"/>
      <c r="AE649" s="761"/>
      <c r="AF649" s="772"/>
      <c r="AG649" s="769"/>
      <c r="AH649" s="753"/>
      <c r="AI649" s="753"/>
      <c r="AJ649" s="753"/>
      <c r="AK649" s="753"/>
      <c r="AL649" s="753"/>
      <c r="AM649" s="753"/>
      <c r="AN649" s="761"/>
      <c r="AO649" s="753"/>
    </row>
    <row r="650" spans="1:41" hidden="1" outlineLevel="2">
      <c r="A650" s="753" t="str">
        <f>$A$26</f>
        <v>1Q</v>
      </c>
      <c r="B650" s="760" t="str">
        <f>$B$26</f>
        <v>Apr</v>
      </c>
      <c r="C650" s="753"/>
      <c r="D650" s="768">
        <f>(S650/S643-1)*100</f>
        <v>-19.863013698630137</v>
      </c>
      <c r="E650" s="773" t="s">
        <v>1084</v>
      </c>
      <c r="F650" s="774">
        <v>-20.37792444908716</v>
      </c>
      <c r="G650" s="773" t="s">
        <v>1084</v>
      </c>
      <c r="H650" s="768">
        <f>D650-F650</f>
        <v>0.51491075045702317</v>
      </c>
      <c r="I650" s="761" t="s">
        <v>1084</v>
      </c>
      <c r="J650" s="775">
        <f>+'store&amp;sf'!N59+'store&amp;sf'!P59</f>
        <v>1292</v>
      </c>
      <c r="K650" s="753"/>
      <c r="L650" s="776">
        <f>AVERAGE(J650,J646)</f>
        <v>1293.5</v>
      </c>
      <c r="M650" s="753"/>
      <c r="N650" s="768">
        <f>(L650/L643-1)*100</f>
        <v>2.5366627031311983</v>
      </c>
      <c r="O650" s="761" t="s">
        <v>1084</v>
      </c>
      <c r="P650" s="772">
        <f>H650/N650*100</f>
        <v>20.298747240672917</v>
      </c>
      <c r="Q650" s="769" t="s">
        <v>1084</v>
      </c>
      <c r="R650" s="753"/>
      <c r="S650" s="777">
        <f>+'segSales&amp;OM'!AJ45+'segSales&amp;OM'!AK45</f>
        <v>351</v>
      </c>
      <c r="T650" s="753"/>
      <c r="U650" s="778">
        <f>S650/L650</f>
        <v>0.271356783919598</v>
      </c>
      <c r="V650" s="753"/>
      <c r="W650" s="779">
        <f>(U650/U643-1)*100</f>
        <v>-21.845529014937703</v>
      </c>
      <c r="X650" s="761" t="s">
        <v>1084</v>
      </c>
      <c r="Y650" s="753"/>
      <c r="Z650" s="780">
        <f>+'store&amp;sf'!N423+'store&amp;sf'!P423</f>
        <v>8.5712499999999991</v>
      </c>
      <c r="AA650" s="753"/>
      <c r="AB650" s="781">
        <f>AVERAGE(Z650,Z646)</f>
        <v>8.5625</v>
      </c>
      <c r="AC650" s="753"/>
      <c r="AD650" s="768">
        <f>(AB650/AB643-1)*100</f>
        <v>3.5525321239606944</v>
      </c>
      <c r="AE650" s="761" t="s">
        <v>1084</v>
      </c>
      <c r="AF650" s="772">
        <f>+H650/AD650*100</f>
        <v>14.494189847971104</v>
      </c>
      <c r="AG650" s="769" t="s">
        <v>1084</v>
      </c>
      <c r="AH650" s="753"/>
      <c r="AI650" s="777">
        <f>+S650</f>
        <v>351</v>
      </c>
      <c r="AJ650" s="753"/>
      <c r="AK650" s="782">
        <f>AI650/AB650</f>
        <v>40.992700729927009</v>
      </c>
      <c r="AL650" s="753"/>
      <c r="AM650" s="779">
        <f>(AK650/AK643-1)*100</f>
        <v>-22.612238776122375</v>
      </c>
      <c r="AN650" s="761" t="s">
        <v>1084</v>
      </c>
      <c r="AO650" s="753"/>
    </row>
    <row r="651" spans="1:41" hidden="1" outlineLevel="2">
      <c r="A651" s="753" t="str">
        <f>$A$27</f>
        <v>2Q</v>
      </c>
      <c r="B651" s="760" t="str">
        <f>$B$27</f>
        <v>Jul</v>
      </c>
      <c r="C651" s="753"/>
      <c r="D651" s="768">
        <f>(S651/S644-1)*100</f>
        <v>-14.038876889848817</v>
      </c>
      <c r="E651" s="773"/>
      <c r="F651" s="774">
        <v>-15.328107398682182</v>
      </c>
      <c r="G651" s="773"/>
      <c r="H651" s="768">
        <f>D651-F651</f>
        <v>1.2892305088333647</v>
      </c>
      <c r="I651" s="761"/>
      <c r="J651" s="775">
        <f>+'store&amp;sf'!N60+'store&amp;sf'!P60</f>
        <v>1294</v>
      </c>
      <c r="K651" s="753"/>
      <c r="L651" s="776">
        <f>AVERAGE(J651,J650)</f>
        <v>1293</v>
      </c>
      <c r="M651" s="753"/>
      <c r="N651" s="768">
        <f>(L651/L644-1)*100</f>
        <v>1.3322884012539227</v>
      </c>
      <c r="O651" s="761"/>
      <c r="P651" s="772">
        <f>H651/N651*100</f>
        <v>96.768125251256947</v>
      </c>
      <c r="Q651" s="769"/>
      <c r="R651" s="753"/>
      <c r="S651" s="784">
        <f>+'segSales&amp;OM'!AJ46+'segSales&amp;OM'!AK46</f>
        <v>398</v>
      </c>
      <c r="T651" s="753"/>
      <c r="U651" s="785">
        <f>S651/L651</f>
        <v>0.30781129156999226</v>
      </c>
      <c r="V651" s="753"/>
      <c r="W651" s="779">
        <f>(U651/U644-1)*100</f>
        <v>-15.169069537082036</v>
      </c>
      <c r="X651" s="761"/>
      <c r="Y651" s="753"/>
      <c r="Z651" s="780">
        <f>+'store&amp;sf'!N424+'store&amp;sf'!P424</f>
        <v>8.588750000000001</v>
      </c>
      <c r="AA651" s="753"/>
      <c r="AB651" s="781">
        <f>AVERAGE(Z651,Z650)</f>
        <v>8.58</v>
      </c>
      <c r="AC651" s="753"/>
      <c r="AD651" s="768">
        <f>(AB651/AB644-1)*100</f>
        <v>2.4171888988361756</v>
      </c>
      <c r="AE651" s="761"/>
      <c r="AF651" s="772">
        <f>+H651/AD651*100</f>
        <v>53.335943643217185</v>
      </c>
      <c r="AG651" s="769"/>
      <c r="AH651" s="753"/>
      <c r="AI651" s="784">
        <f>+S651</f>
        <v>398</v>
      </c>
      <c r="AJ651" s="753"/>
      <c r="AK651" s="776">
        <f>AI651/AB651</f>
        <v>46.386946386946384</v>
      </c>
      <c r="AL651" s="753"/>
      <c r="AM651" s="779">
        <f>(AK651/AK644-1)*100</f>
        <v>-16.067679620595399</v>
      </c>
      <c r="AN651" s="761"/>
      <c r="AO651" s="753"/>
    </row>
    <row r="652" spans="1:41" hidden="1" outlineLevel="2">
      <c r="A652" s="753" t="str">
        <f>$A$28</f>
        <v>3Q</v>
      </c>
      <c r="B652" s="760" t="str">
        <f>$B$28</f>
        <v>Oct</v>
      </c>
      <c r="C652" s="753"/>
      <c r="D652" s="768">
        <f>(S652/S645-1)*100</f>
        <v>-8.2164328657314591</v>
      </c>
      <c r="E652" s="773"/>
      <c r="F652" s="774">
        <v>-9.0365646707494012</v>
      </c>
      <c r="G652" s="773"/>
      <c r="H652" s="768">
        <f>D652-F652</f>
        <v>0.82013180501794203</v>
      </c>
      <c r="I652" s="761"/>
      <c r="J652" s="775">
        <f>+'store&amp;sf'!N61+'store&amp;sf'!P61</f>
        <v>1301</v>
      </c>
      <c r="K652" s="753"/>
      <c r="L652" s="776">
        <f>AVERAGE(J652,J651)</f>
        <v>1297.5</v>
      </c>
      <c r="M652" s="753"/>
      <c r="N652" s="768">
        <f>(L652/L645-1)*100</f>
        <v>0.38684719535784229</v>
      </c>
      <c r="O652" s="761"/>
      <c r="P652" s="772">
        <f>H652/N652*100</f>
        <v>212.00407159713328</v>
      </c>
      <c r="Q652" s="769"/>
      <c r="R652" s="753"/>
      <c r="S652" s="784">
        <f>+'segSales&amp;OM'!AJ47+'segSales&amp;OM'!AK47</f>
        <v>458</v>
      </c>
      <c r="T652" s="753"/>
      <c r="U652" s="785">
        <f>S652/L652</f>
        <v>0.35298651252408481</v>
      </c>
      <c r="V652" s="753"/>
      <c r="W652" s="779">
        <f>(U652/U645-1)*100</f>
        <v>-8.5701267660561964</v>
      </c>
      <c r="X652" s="761"/>
      <c r="Y652" s="753"/>
      <c r="Z652" s="780">
        <f>+'store&amp;sf'!N425+'store&amp;sf'!P425</f>
        <v>8.6412499999999994</v>
      </c>
      <c r="AA652" s="753"/>
      <c r="AB652" s="781">
        <f>AVERAGE(Z652,Z651)</f>
        <v>8.6150000000000002</v>
      </c>
      <c r="AC652" s="753"/>
      <c r="AD652" s="768">
        <f>(AB652/AB645-1)*100</f>
        <v>1.1818248550246047</v>
      </c>
      <c r="AE652" s="761"/>
      <c r="AF652" s="772">
        <f>+H652/AD652*100</f>
        <v>69.395376271796849</v>
      </c>
      <c r="AG652" s="769"/>
      <c r="AH652" s="753"/>
      <c r="AI652" s="784">
        <f>+S652</f>
        <v>458</v>
      </c>
      <c r="AJ652" s="753"/>
      <c r="AK652" s="776">
        <f>AI652/AB652</f>
        <v>53.163087637840974</v>
      </c>
      <c r="AL652" s="753"/>
      <c r="AM652" s="779">
        <f>(AK652/AK645-1)*100</f>
        <v>-9.2884841069254094</v>
      </c>
      <c r="AN652" s="761"/>
      <c r="AO652" s="753"/>
    </row>
    <row r="653" spans="1:41" hidden="1" outlineLevel="2">
      <c r="A653" s="753" t="str">
        <f>$A$29</f>
        <v>4Q</v>
      </c>
      <c r="B653" s="760" t="str">
        <f>$B$29</f>
        <v>Jan</v>
      </c>
      <c r="C653" s="753"/>
      <c r="D653" s="786">
        <f>(S653/S646-1)*100</f>
        <v>-0.61919504643962453</v>
      </c>
      <c r="E653" s="773"/>
      <c r="F653" s="787">
        <v>-1.8364016353927894</v>
      </c>
      <c r="G653" s="773"/>
      <c r="H653" s="786">
        <f>D653-F653</f>
        <v>1.2172065889531649</v>
      </c>
      <c r="I653" s="761"/>
      <c r="J653" s="775">
        <f>+'store&amp;sf'!N62+'store&amp;sf'!P62</f>
        <v>1297</v>
      </c>
      <c r="K653" s="753"/>
      <c r="L653" s="788">
        <f>AVERAGE(J653,J652)</f>
        <v>1299</v>
      </c>
      <c r="M653" s="753"/>
      <c r="N653" s="786">
        <f>(L653/L646-1)*100</f>
        <v>7.7041602465333092E-2</v>
      </c>
      <c r="O653" s="761"/>
      <c r="P653" s="797">
        <f>H653/N653*100</f>
        <v>1579.9341524611709</v>
      </c>
      <c r="Q653" s="769"/>
      <c r="R653" s="753"/>
      <c r="S653" s="789">
        <f>+'segSales&amp;OM'!AJ48+'segSales&amp;OM'!AK48</f>
        <v>642</v>
      </c>
      <c r="T653" s="753"/>
      <c r="U653" s="790">
        <f>S653/L653</f>
        <v>0.49422632794457277</v>
      </c>
      <c r="V653" s="753"/>
      <c r="W653" s="791">
        <f>(U653/U646-1)*100</f>
        <v>-0.69570066996045288</v>
      </c>
      <c r="X653" s="761"/>
      <c r="Y653" s="753"/>
      <c r="Z653" s="780">
        <f>+'store&amp;sf'!N426+'store&amp;sf'!P426</f>
        <v>8.6024999999999991</v>
      </c>
      <c r="AA653" s="753"/>
      <c r="AB653" s="792">
        <f>AVERAGE(Z653,Z652)</f>
        <v>8.6218749999999993</v>
      </c>
      <c r="AC653" s="753"/>
      <c r="AD653" s="786">
        <f>(AB653/AB646-1)*100</f>
        <v>0.6126467799576929</v>
      </c>
      <c r="AE653" s="761"/>
      <c r="AF653" s="787">
        <f>+H653/AD653*100</f>
        <v>198.6799945373451</v>
      </c>
      <c r="AG653" s="769"/>
      <c r="AH653" s="753"/>
      <c r="AI653" s="789">
        <f>+S653</f>
        <v>642</v>
      </c>
      <c r="AJ653" s="753"/>
      <c r="AK653" s="788">
        <f>AI653/AB653</f>
        <v>74.461761507792687</v>
      </c>
      <c r="AL653" s="753"/>
      <c r="AM653" s="791">
        <f>(AK653/AK646-1)*100</f>
        <v>-1.224340941046298</v>
      </c>
      <c r="AN653" s="761"/>
      <c r="AO653" s="753"/>
    </row>
    <row r="654" spans="1:41" hidden="1" outlineLevel="2">
      <c r="A654" s="753"/>
      <c r="B654" s="760" t="str">
        <f>$B$30</f>
        <v>Year</v>
      </c>
      <c r="C654" s="753"/>
      <c r="D654" s="768">
        <f>(S654/S647-1)*100</f>
        <v>-9.6285434995112436</v>
      </c>
      <c r="E654" s="773"/>
      <c r="F654" s="774">
        <v>-10.737584713604321</v>
      </c>
      <c r="G654" s="773"/>
      <c r="H654" s="768">
        <f>D654-F654</f>
        <v>1.109041214093077</v>
      </c>
      <c r="I654" s="761"/>
      <c r="J654" s="775"/>
      <c r="K654" s="753"/>
      <c r="L654" s="793">
        <f>AVERAGE(L650:L653)</f>
        <v>1295.75</v>
      </c>
      <c r="M654" s="753"/>
      <c r="N654" s="768">
        <f>(L654/L647-1)*100</f>
        <v>1.0725429017160781</v>
      </c>
      <c r="O654" s="761"/>
      <c r="P654" s="772">
        <f>H654/N654*100</f>
        <v>103.40296992489542</v>
      </c>
      <c r="Q654" s="769"/>
      <c r="R654" s="753"/>
      <c r="S654" s="777">
        <f>SUM(S650:S653)</f>
        <v>1849</v>
      </c>
      <c r="T654" s="753"/>
      <c r="U654" s="794">
        <f>SUM(U650:U653)</f>
        <v>1.4263809159582479</v>
      </c>
      <c r="V654" s="753"/>
      <c r="W654" s="779">
        <f>(U654/U647-1)*100</f>
        <v>-10.505555416996026</v>
      </c>
      <c r="X654" s="761"/>
      <c r="Y654" s="753"/>
      <c r="Z654" s="770"/>
      <c r="AA654" s="753"/>
      <c r="AB654" s="781">
        <f>AVERAGE(AB650:AB653)</f>
        <v>8.594843749999999</v>
      </c>
      <c r="AC654" s="753"/>
      <c r="AD654" s="768">
        <f>(AB654/AB647-1)*100</f>
        <v>1.9252149421879361</v>
      </c>
      <c r="AE654" s="761"/>
      <c r="AF654" s="772">
        <f>+H654/AD654*100</f>
        <v>57.606098404404257</v>
      </c>
      <c r="AG654" s="769"/>
      <c r="AH654" s="753"/>
      <c r="AI654" s="777">
        <f>SUM(AI650:AI653)</f>
        <v>1849</v>
      </c>
      <c r="AJ654" s="753"/>
      <c r="AK654" s="795">
        <f>SUM(AK650:AK653)</f>
        <v>215.00449626250708</v>
      </c>
      <c r="AL654" s="753"/>
      <c r="AM654" s="779">
        <f>(AK654/AK647-1)*100</f>
        <v>-11.239196741605129</v>
      </c>
      <c r="AN654" s="761"/>
      <c r="AO654" s="753"/>
    </row>
    <row r="655" spans="1:41" hidden="1" outlineLevel="2">
      <c r="A655" s="753"/>
      <c r="B655" s="760"/>
      <c r="C655" s="753"/>
      <c r="D655" s="768"/>
      <c r="E655" s="773"/>
      <c r="F655" s="768"/>
      <c r="G655" s="773"/>
      <c r="H655" s="768"/>
      <c r="I655" s="761"/>
      <c r="J655" s="753"/>
      <c r="K655" s="753"/>
      <c r="L655" s="753"/>
      <c r="M655" s="753"/>
      <c r="N655" s="753"/>
      <c r="O655" s="761"/>
      <c r="P655" s="769"/>
      <c r="Q655" s="769"/>
      <c r="R655" s="753"/>
      <c r="S655" s="753"/>
      <c r="T655" s="753"/>
      <c r="U655" s="753"/>
      <c r="V655" s="753"/>
      <c r="W655" s="753"/>
      <c r="X655" s="761"/>
      <c r="Y655" s="753"/>
      <c r="Z655" s="770"/>
      <c r="AA655" s="753"/>
      <c r="AB655" s="771"/>
      <c r="AC655" s="753"/>
      <c r="AD655" s="753"/>
      <c r="AE655" s="761"/>
      <c r="AF655" s="772"/>
      <c r="AG655" s="769"/>
      <c r="AH655" s="753"/>
      <c r="AI655" s="753"/>
      <c r="AJ655" s="753"/>
      <c r="AK655" s="753"/>
      <c r="AL655" s="753"/>
      <c r="AM655" s="753"/>
      <c r="AN655" s="761"/>
      <c r="AO655" s="753"/>
    </row>
    <row r="656" spans="1:41" hidden="1" outlineLevel="2">
      <c r="A656" s="766"/>
      <c r="B656" s="796">
        <f>+B649+1</f>
        <v>1998</v>
      </c>
      <c r="C656" s="753"/>
      <c r="D656" s="768"/>
      <c r="E656" s="768"/>
      <c r="F656" s="768"/>
      <c r="G656" s="768"/>
      <c r="H656" s="768"/>
      <c r="I656" s="761"/>
      <c r="J656" s="753"/>
      <c r="K656" s="753"/>
      <c r="L656" s="753"/>
      <c r="M656" s="753"/>
      <c r="N656" s="753"/>
      <c r="O656" s="761"/>
      <c r="P656" s="769"/>
      <c r="Q656" s="769"/>
      <c r="R656" s="753"/>
      <c r="S656" s="753"/>
      <c r="T656" s="753"/>
      <c r="U656" s="753"/>
      <c r="V656" s="753"/>
      <c r="W656" s="753"/>
      <c r="X656" s="761"/>
      <c r="Y656" s="753"/>
      <c r="Z656" s="770"/>
      <c r="AA656" s="753"/>
      <c r="AB656" s="771"/>
      <c r="AC656" s="753"/>
      <c r="AD656" s="753"/>
      <c r="AE656" s="761"/>
      <c r="AF656" s="772"/>
      <c r="AG656" s="769"/>
      <c r="AH656" s="753"/>
      <c r="AI656" s="753"/>
      <c r="AJ656" s="753"/>
      <c r="AK656" s="753"/>
      <c r="AL656" s="753"/>
      <c r="AM656" s="753"/>
      <c r="AN656" s="761"/>
      <c r="AO656" s="753"/>
    </row>
    <row r="657" spans="1:41" hidden="1" outlineLevel="2">
      <c r="A657" s="753" t="str">
        <f>$A$26</f>
        <v>1Q</v>
      </c>
      <c r="B657" s="760" t="str">
        <f>$B$26</f>
        <v>Apr</v>
      </c>
      <c r="C657" s="753"/>
      <c r="D657" s="768">
        <f>(S657/S650-1)*100</f>
        <v>11.111111111111116</v>
      </c>
      <c r="E657" s="773" t="s">
        <v>1084</v>
      </c>
      <c r="F657" s="774">
        <v>12.226086202225993</v>
      </c>
      <c r="G657" s="773" t="s">
        <v>1084</v>
      </c>
      <c r="H657" s="768">
        <f>D657-F657</f>
        <v>-1.1149750911148768</v>
      </c>
      <c r="I657" s="761" t="s">
        <v>1084</v>
      </c>
      <c r="J657" s="775">
        <f>+'store&amp;sf'!N65+'store&amp;sf'!P65</f>
        <v>1275</v>
      </c>
      <c r="K657" s="753"/>
      <c r="L657" s="776">
        <f>AVERAGE(J657,J653)</f>
        <v>1286</v>
      </c>
      <c r="M657" s="753"/>
      <c r="N657" s="768">
        <f>(L657/L650-1)*100</f>
        <v>-0.57982218786238882</v>
      </c>
      <c r="O657" s="761" t="s">
        <v>1084</v>
      </c>
      <c r="P657" s="772">
        <f>H657/N657*100</f>
        <v>192.29603738094576</v>
      </c>
      <c r="Q657" s="769" t="s">
        <v>1084</v>
      </c>
      <c r="R657" s="753"/>
      <c r="S657" s="777">
        <f>+'segSales&amp;OM'!AJ52+'segSales&amp;OM'!AK52</f>
        <v>390</v>
      </c>
      <c r="T657" s="753"/>
      <c r="U657" s="778">
        <f>S657/L657</f>
        <v>0.30326594090202175</v>
      </c>
      <c r="V657" s="753"/>
      <c r="W657" s="779">
        <f>(U657/U650-1)*100</f>
        <v>11.759115258337637</v>
      </c>
      <c r="X657" s="761" t="s">
        <v>1084</v>
      </c>
      <c r="Y657" s="753"/>
      <c r="Z657" s="780">
        <f>+'store&amp;sf'!N429+'store&amp;sf'!P429</f>
        <v>8.5112500000000004</v>
      </c>
      <c r="AA657" s="753"/>
      <c r="AB657" s="781">
        <f>AVERAGE(Z657,Z653)</f>
        <v>8.5568749999999998</v>
      </c>
      <c r="AC657" s="753"/>
      <c r="AD657" s="768">
        <f>(AB657/AB650-1)*100</f>
        <v>-6.5693430656932339E-2</v>
      </c>
      <c r="AE657" s="761" t="s">
        <v>1084</v>
      </c>
      <c r="AF657" s="798">
        <f>+H657/AD657*100</f>
        <v>1697.2398609193633</v>
      </c>
      <c r="AG657" s="769" t="s">
        <v>1084</v>
      </c>
      <c r="AH657" s="753"/>
      <c r="AI657" s="777">
        <f>+S657</f>
        <v>390</v>
      </c>
      <c r="AJ657" s="753"/>
      <c r="AK657" s="782">
        <f>AI657/AB657</f>
        <v>45.577386604338621</v>
      </c>
      <c r="AL657" s="753"/>
      <c r="AM657" s="779">
        <f>(AK657/AK650-1)*100</f>
        <v>11.184151794771925</v>
      </c>
      <c r="AN657" s="761" t="s">
        <v>1084</v>
      </c>
      <c r="AO657" s="753"/>
    </row>
    <row r="658" spans="1:41" hidden="1" outlineLevel="2">
      <c r="A658" s="753" t="str">
        <f>$A$27</f>
        <v>2Q</v>
      </c>
      <c r="B658" s="760" t="str">
        <f>$B$27</f>
        <v>Jul</v>
      </c>
      <c r="C658" s="753"/>
      <c r="D658" s="768">
        <f>(S658/S651-1)*100</f>
        <v>4.2713567839195887</v>
      </c>
      <c r="E658" s="773"/>
      <c r="F658" s="774">
        <v>7.2710972616536536</v>
      </c>
      <c r="G658" s="773"/>
      <c r="H658" s="768">
        <f>D658-F658</f>
        <v>-2.9997404777340648</v>
      </c>
      <c r="I658" s="761"/>
      <c r="J658" s="775">
        <f>+'store&amp;sf'!N66+'store&amp;sf'!P66</f>
        <v>1261</v>
      </c>
      <c r="K658" s="753"/>
      <c r="L658" s="776">
        <f>AVERAGE(J658,J657)</f>
        <v>1268</v>
      </c>
      <c r="M658" s="753"/>
      <c r="N658" s="768">
        <f>(L658/L651-1)*100</f>
        <v>-1.9334880123743181</v>
      </c>
      <c r="O658" s="761"/>
      <c r="P658" s="772">
        <f>H658/N658*100</f>
        <v>155.14657750840627</v>
      </c>
      <c r="Q658" s="769"/>
      <c r="R658" s="753"/>
      <c r="S658" s="784">
        <f>+'segSales&amp;OM'!AJ53+'segSales&amp;OM'!AK53</f>
        <v>415</v>
      </c>
      <c r="T658" s="753"/>
      <c r="U658" s="785">
        <f>S658/L658</f>
        <v>0.3272870662460568</v>
      </c>
      <c r="V658" s="753"/>
      <c r="W658" s="779">
        <f>(U658/U651-1)*100</f>
        <v>6.327180064359661</v>
      </c>
      <c r="X658" s="761"/>
      <c r="Y658" s="753"/>
      <c r="Z658" s="780">
        <f>+'store&amp;sf'!N430+'store&amp;sf'!P430</f>
        <v>8.4212499999999988</v>
      </c>
      <c r="AA658" s="753"/>
      <c r="AB658" s="781">
        <f>AVERAGE(Z658,Z657)</f>
        <v>8.4662499999999987</v>
      </c>
      <c r="AC658" s="753"/>
      <c r="AD658" s="768">
        <f>(AB658/AB651-1)*100</f>
        <v>-1.3257575757575912</v>
      </c>
      <c r="AE658" s="761"/>
      <c r="AF658" s="772">
        <f>+H658/AD658*100</f>
        <v>226.26613889193825</v>
      </c>
      <c r="AG658" s="769"/>
      <c r="AH658" s="753"/>
      <c r="AI658" s="784">
        <f>+S658</f>
        <v>415</v>
      </c>
      <c r="AJ658" s="753"/>
      <c r="AK658" s="776">
        <f>AI658/AB658</f>
        <v>49.018160342536547</v>
      </c>
      <c r="AL658" s="753"/>
      <c r="AM658" s="779">
        <f>(AK658/AK651-1)*100</f>
        <v>5.672315512302406</v>
      </c>
      <c r="AN658" s="761"/>
      <c r="AO658" s="753"/>
    </row>
    <row r="659" spans="1:41" hidden="1" outlineLevel="2">
      <c r="A659" s="753" t="str">
        <f>$A$28</f>
        <v>3Q</v>
      </c>
      <c r="B659" s="760" t="str">
        <f>$B$28</f>
        <v>Oct</v>
      </c>
      <c r="C659" s="753"/>
      <c r="D659" s="768">
        <f>(S659/S652-1)*100</f>
        <v>8.5152838427947621</v>
      </c>
      <c r="E659" s="773"/>
      <c r="F659" s="774">
        <v>9.9</v>
      </c>
      <c r="G659" s="773"/>
      <c r="H659" s="768">
        <f>D659-F659</f>
        <v>-1.3847161572052382</v>
      </c>
      <c r="I659" s="761"/>
      <c r="J659" s="775">
        <f>+'store&amp;sf'!N67+'store&amp;sf'!P67</f>
        <v>1240</v>
      </c>
      <c r="K659" s="753"/>
      <c r="L659" s="776">
        <f>AVERAGE(J659,J658)</f>
        <v>1250.5</v>
      </c>
      <c r="M659" s="753"/>
      <c r="N659" s="768">
        <f>(L659/L652-1)*100</f>
        <v>-3.6223506743737977</v>
      </c>
      <c r="O659" s="761"/>
      <c r="P659" s="772">
        <f>H659/N659*100</f>
        <v>38.22700455263395</v>
      </c>
      <c r="Q659" s="769"/>
      <c r="R659" s="753"/>
      <c r="S659" s="784">
        <f>+'segSales&amp;OM'!AJ54+'segSales&amp;OM'!AK54</f>
        <v>497</v>
      </c>
      <c r="T659" s="753"/>
      <c r="U659" s="785">
        <f>S659/L659</f>
        <v>0.39744102359056377</v>
      </c>
      <c r="V659" s="753"/>
      <c r="W659" s="779">
        <f>(U659/U652-1)*100</f>
        <v>12.593827097981759</v>
      </c>
      <c r="X659" s="761"/>
      <c r="Y659" s="753"/>
      <c r="Z659" s="780">
        <f>+'store&amp;sf'!N431+'store&amp;sf'!P431</f>
        <v>8.3262499999999999</v>
      </c>
      <c r="AA659" s="753"/>
      <c r="AB659" s="781">
        <f>AVERAGE(Z659,Z658)</f>
        <v>8.3737499999999994</v>
      </c>
      <c r="AC659" s="753"/>
      <c r="AD659" s="768">
        <f>(AB659/AB652-1)*100</f>
        <v>-2.8003482298316951</v>
      </c>
      <c r="AE659" s="761"/>
      <c r="AF659" s="772">
        <f>+H659/AD659*100</f>
        <v>49.4479987329455</v>
      </c>
      <c r="AG659" s="769"/>
      <c r="AH659" s="753"/>
      <c r="AI659" s="784">
        <f>+S659</f>
        <v>497</v>
      </c>
      <c r="AJ659" s="753"/>
      <c r="AK659" s="776">
        <f>AI659/AB659</f>
        <v>59.352142110762806</v>
      </c>
      <c r="AL659" s="753"/>
      <c r="AM659" s="779">
        <f>(AK659/AK652-1)*100</f>
        <v>11.641638490004702</v>
      </c>
      <c r="AN659" s="761"/>
      <c r="AO659" s="753"/>
    </row>
    <row r="660" spans="1:41" hidden="1" outlineLevel="2">
      <c r="A660" s="753" t="str">
        <f>$A$29</f>
        <v>4Q</v>
      </c>
      <c r="B660" s="760" t="str">
        <f>$B$29</f>
        <v>Jan</v>
      </c>
      <c r="C660" s="753"/>
      <c r="D660" s="786">
        <f>(S660/S653-1)*100</f>
        <v>3.4267912772585563</v>
      </c>
      <c r="E660" s="773"/>
      <c r="F660" s="787">
        <v>7.3999999999999986</v>
      </c>
      <c r="G660" s="773"/>
      <c r="H660" s="786">
        <f>D660-F660</f>
        <v>-3.9732087227414423</v>
      </c>
      <c r="I660" s="761"/>
      <c r="J660" s="775">
        <f>+'store&amp;sf'!N68+'store&amp;sf'!P68</f>
        <v>1234</v>
      </c>
      <c r="K660" s="753"/>
      <c r="L660" s="788">
        <f>AVERAGE(J660,J659)</f>
        <v>1237</v>
      </c>
      <c r="M660" s="753"/>
      <c r="N660" s="786">
        <f>(L660/L653-1)*100</f>
        <v>-4.7729022324865316</v>
      </c>
      <c r="O660" s="761"/>
      <c r="P660" s="787">
        <f>H660/N660*100</f>
        <v>83.245131142598865</v>
      </c>
      <c r="Q660" s="769"/>
      <c r="R660" s="753"/>
      <c r="S660" s="789">
        <f>+'segSales&amp;OM'!AJ55+'segSales&amp;OM'!AK55</f>
        <v>664</v>
      </c>
      <c r="T660" s="753"/>
      <c r="U660" s="790">
        <f>S660/L660</f>
        <v>0.5367825383993533</v>
      </c>
      <c r="V660" s="753"/>
      <c r="W660" s="791">
        <f>(U660/U653-1)*100</f>
        <v>8.6106724892149433</v>
      </c>
      <c r="X660" s="761"/>
      <c r="Y660" s="753"/>
      <c r="Z660" s="780">
        <f>+'store&amp;sf'!N432+'store&amp;sf'!P432</f>
        <v>8.286249999999999</v>
      </c>
      <c r="AA660" s="753"/>
      <c r="AB660" s="792">
        <f>AVERAGE(Z660,Z659)</f>
        <v>8.3062499999999986</v>
      </c>
      <c r="AC660" s="753"/>
      <c r="AD660" s="786">
        <f>(AB660/AB653-1)*100</f>
        <v>-3.6607466473359995</v>
      </c>
      <c r="AE660" s="761"/>
      <c r="AF660" s="787">
        <f>+H660/AD660*100</f>
        <v>108.53547392122391</v>
      </c>
      <c r="AG660" s="769"/>
      <c r="AH660" s="753"/>
      <c r="AI660" s="789">
        <f>+S660</f>
        <v>664</v>
      </c>
      <c r="AJ660" s="753"/>
      <c r="AK660" s="788">
        <f>AI660/AB660</f>
        <v>79.939804364183615</v>
      </c>
      <c r="AL660" s="753"/>
      <c r="AM660" s="791">
        <f>(AK660/AK653-1)*100</f>
        <v>7.3568536997578704</v>
      </c>
      <c r="AN660" s="761"/>
      <c r="AO660" s="753"/>
    </row>
    <row r="661" spans="1:41" hidden="1" outlineLevel="2">
      <c r="A661" s="753"/>
      <c r="B661" s="760" t="str">
        <f>$B$30</f>
        <v>Year</v>
      </c>
      <c r="C661" s="753"/>
      <c r="D661" s="768">
        <f>(S661/S654-1)*100</f>
        <v>6.3277447268794029</v>
      </c>
      <c r="E661" s="773"/>
      <c r="F661" s="774">
        <v>8.7999999999999989</v>
      </c>
      <c r="G661" s="773"/>
      <c r="H661" s="768">
        <f>D661-F661</f>
        <v>-2.472255273120596</v>
      </c>
      <c r="I661" s="761"/>
      <c r="J661" s="775"/>
      <c r="K661" s="753"/>
      <c r="L661" s="793">
        <f>AVERAGE(L657:L660)</f>
        <v>1260.375</v>
      </c>
      <c r="M661" s="753"/>
      <c r="N661" s="768">
        <f>(L661/L654-1)*100</f>
        <v>-2.7300791047655815</v>
      </c>
      <c r="O661" s="761"/>
      <c r="P661" s="772">
        <f>H661/N661*100</f>
        <v>90.556177247943765</v>
      </c>
      <c r="Q661" s="769"/>
      <c r="R661" s="753"/>
      <c r="S661" s="777">
        <f>SUM(S657:S660)</f>
        <v>1966</v>
      </c>
      <c r="T661" s="753"/>
      <c r="U661" s="794">
        <f>SUM(U657:U660)</f>
        <v>1.5647765691379956</v>
      </c>
      <c r="V661" s="753"/>
      <c r="W661" s="779">
        <f>(U661/U654-1)*100</f>
        <v>9.7025732489398173</v>
      </c>
      <c r="X661" s="761"/>
      <c r="Y661" s="753"/>
      <c r="Z661" s="770"/>
      <c r="AA661" s="753"/>
      <c r="AB661" s="781">
        <f>AVERAGE(AB657:AB660)</f>
        <v>8.42578125</v>
      </c>
      <c r="AC661" s="753"/>
      <c r="AD661" s="768">
        <f>(AB661/AB654-1)*100</f>
        <v>-1.9670223789699404</v>
      </c>
      <c r="AE661" s="761"/>
      <c r="AF661" s="772">
        <f>+H661/AD661*100</f>
        <v>125.68516248479227</v>
      </c>
      <c r="AG661" s="769"/>
      <c r="AH661" s="753"/>
      <c r="AI661" s="777">
        <f>SUM(AI657:AI660)</f>
        <v>1966</v>
      </c>
      <c r="AJ661" s="753"/>
      <c r="AK661" s="795">
        <f>SUM(AK657:AK660)</f>
        <v>233.8874934218216</v>
      </c>
      <c r="AL661" s="753"/>
      <c r="AM661" s="779">
        <f>(AK661/AK654-1)*100</f>
        <v>8.7826057071195294</v>
      </c>
      <c r="AN661" s="761"/>
      <c r="AO661" s="753"/>
    </row>
    <row r="662" spans="1:41" hidden="1" outlineLevel="2">
      <c r="A662" s="753"/>
      <c r="B662" s="760"/>
      <c r="C662" s="753"/>
      <c r="D662" s="768"/>
      <c r="E662" s="773"/>
      <c r="F662" s="768"/>
      <c r="G662" s="773"/>
      <c r="H662" s="768"/>
      <c r="I662" s="761"/>
      <c r="J662" s="753"/>
      <c r="K662" s="753"/>
      <c r="L662" s="753"/>
      <c r="M662" s="753"/>
      <c r="N662" s="753"/>
      <c r="O662" s="761"/>
      <c r="P662" s="769"/>
      <c r="Q662" s="769"/>
      <c r="R662" s="753"/>
      <c r="S662" s="753"/>
      <c r="T662" s="753"/>
      <c r="U662" s="753"/>
      <c r="V662" s="753"/>
      <c r="W662" s="753"/>
      <c r="X662" s="761"/>
      <c r="Y662" s="753"/>
      <c r="Z662" s="770"/>
      <c r="AA662" s="753"/>
      <c r="AB662" s="771"/>
      <c r="AC662" s="753"/>
      <c r="AD662" s="753"/>
      <c r="AE662" s="761"/>
      <c r="AF662" s="772"/>
      <c r="AG662" s="769"/>
      <c r="AH662" s="753"/>
      <c r="AI662" s="753"/>
      <c r="AJ662" s="753"/>
      <c r="AK662" s="753"/>
      <c r="AL662" s="753"/>
      <c r="AM662" s="753"/>
      <c r="AN662" s="761"/>
      <c r="AO662" s="753"/>
    </row>
    <row r="663" spans="1:41" hidden="1" outlineLevel="1" collapsed="1">
      <c r="A663" s="766"/>
      <c r="B663" s="796">
        <f>+B656+1</f>
        <v>1999</v>
      </c>
      <c r="C663" s="753"/>
      <c r="D663" s="768"/>
      <c r="E663" s="768"/>
      <c r="F663" s="768"/>
      <c r="G663" s="768"/>
      <c r="H663" s="768"/>
      <c r="I663" s="761"/>
      <c r="J663" s="753"/>
      <c r="K663" s="753"/>
      <c r="L663" s="753"/>
      <c r="M663" s="753"/>
      <c r="N663" s="753"/>
      <c r="O663" s="761"/>
      <c r="P663" s="769"/>
      <c r="Q663" s="769"/>
      <c r="R663" s="753"/>
      <c r="S663" s="753"/>
      <c r="T663" s="753"/>
      <c r="U663" s="753"/>
      <c r="V663" s="753"/>
      <c r="W663" s="753"/>
      <c r="X663" s="761"/>
      <c r="Y663" s="753"/>
      <c r="Z663" s="770"/>
      <c r="AA663" s="753"/>
      <c r="AB663" s="771"/>
      <c r="AC663" s="753"/>
      <c r="AD663" s="753"/>
      <c r="AE663" s="761"/>
      <c r="AF663" s="772"/>
      <c r="AG663" s="769"/>
      <c r="AH663" s="753"/>
      <c r="AI663" s="753"/>
      <c r="AJ663" s="753"/>
      <c r="AK663" s="753"/>
      <c r="AL663" s="753"/>
      <c r="AM663" s="753"/>
      <c r="AN663" s="761"/>
      <c r="AO663" s="753"/>
    </row>
    <row r="664" spans="1:41" hidden="1" outlineLevel="1">
      <c r="A664" s="753" t="str">
        <f>$A$26</f>
        <v>1Q</v>
      </c>
      <c r="B664" s="760" t="str">
        <f>$B$26</f>
        <v>Apr</v>
      </c>
      <c r="C664" s="753"/>
      <c r="D664" s="768">
        <f>(S664/S657-1)*100</f>
        <v>6.6207692307692412</v>
      </c>
      <c r="E664" s="773" t="s">
        <v>1084</v>
      </c>
      <c r="F664" s="774">
        <v>12</v>
      </c>
      <c r="G664" s="773" t="s">
        <v>1084</v>
      </c>
      <c r="H664" s="768">
        <f>D664-F664</f>
        <v>-5.3792307692307588</v>
      </c>
      <c r="I664" s="761" t="s">
        <v>1084</v>
      </c>
      <c r="J664" s="775">
        <f>+'store&amp;sf'!N71+'store&amp;sf'!P71</f>
        <v>1218</v>
      </c>
      <c r="K664" s="753"/>
      <c r="L664" s="776">
        <f>AVERAGE(J664,J660)</f>
        <v>1226</v>
      </c>
      <c r="M664" s="753"/>
      <c r="N664" s="768">
        <f>(L664/L657-1)*100</f>
        <v>-4.6656298600311068</v>
      </c>
      <c r="O664" s="761" t="s">
        <v>1084</v>
      </c>
      <c r="P664" s="772">
        <f>H664/N664*100</f>
        <v>115.29484615384587</v>
      </c>
      <c r="Q664" s="769" t="s">
        <v>1084</v>
      </c>
      <c r="R664" s="753"/>
      <c r="S664" s="777">
        <f>+'segSales&amp;OM'!AJ59+'segSales&amp;OM'!AK59</f>
        <v>415.82100000000003</v>
      </c>
      <c r="T664" s="753"/>
      <c r="U664" s="778">
        <f>S664/L664</f>
        <v>0.3391688417618271</v>
      </c>
      <c r="V664" s="753"/>
      <c r="W664" s="779">
        <f>(U664/U657-1)*100</f>
        <v>11.838751411720438</v>
      </c>
      <c r="X664" s="761" t="s">
        <v>1084</v>
      </c>
      <c r="Y664" s="753"/>
      <c r="Z664" s="780">
        <f>+'store&amp;sf'!N435+'store&amp;sf'!P435</f>
        <v>8.1775000000000002</v>
      </c>
      <c r="AA664" s="753"/>
      <c r="AB664" s="781">
        <f>AVERAGE(Z664,Z660)</f>
        <v>8.2318749999999987</v>
      </c>
      <c r="AC664" s="753"/>
      <c r="AD664" s="768">
        <f>(AB664/AB657-1)*100</f>
        <v>-3.7981155503615693</v>
      </c>
      <c r="AE664" s="761" t="s">
        <v>1084</v>
      </c>
      <c r="AF664" s="772">
        <f>+H664/AD664*100</f>
        <v>141.6289393491115</v>
      </c>
      <c r="AG664" s="769" t="s">
        <v>1084</v>
      </c>
      <c r="AH664" s="753"/>
      <c r="AI664" s="777">
        <f>+S664</f>
        <v>415.82100000000003</v>
      </c>
      <c r="AJ664" s="753"/>
      <c r="AK664" s="782">
        <f>AI664/AB664</f>
        <v>50.513522131956584</v>
      </c>
      <c r="AL664" s="753"/>
      <c r="AM664" s="779">
        <f>(AK664/AK657-1)*100</f>
        <v>10.830229408432302</v>
      </c>
      <c r="AN664" s="761" t="s">
        <v>1084</v>
      </c>
      <c r="AO664" s="753"/>
    </row>
    <row r="665" spans="1:41" hidden="1" outlineLevel="1">
      <c r="A665" s="753" t="str">
        <f>$A$27</f>
        <v>2Q</v>
      </c>
      <c r="B665" s="760" t="str">
        <f>$B$27</f>
        <v>Jul</v>
      </c>
      <c r="C665" s="753"/>
      <c r="D665" s="768">
        <f>(S665/S658-1)*100</f>
        <v>4.4802409638554197</v>
      </c>
      <c r="E665" s="773"/>
      <c r="F665" s="774">
        <v>9</v>
      </c>
      <c r="G665" s="773"/>
      <c r="H665" s="768">
        <f>D665-F665</f>
        <v>-4.5197590361445803</v>
      </c>
      <c r="I665" s="761"/>
      <c r="J665" s="775">
        <f>+'store&amp;sf'!N72+'store&amp;sf'!P72</f>
        <v>1208</v>
      </c>
      <c r="K665" s="753"/>
      <c r="L665" s="776">
        <f>AVERAGE(J665,J664)</f>
        <v>1213</v>
      </c>
      <c r="M665" s="753"/>
      <c r="N665" s="768">
        <f>(L665/L658-1)*100</f>
        <v>-4.3375394321766514</v>
      </c>
      <c r="O665" s="761"/>
      <c r="P665" s="772">
        <f>H665/N665*100</f>
        <v>104.20099014238788</v>
      </c>
      <c r="Q665" s="769"/>
      <c r="R665" s="753"/>
      <c r="S665" s="784">
        <f>+'segSales&amp;OM'!AJ60+'segSales&amp;OM'!AK60</f>
        <v>433.59300000000002</v>
      </c>
      <c r="T665" s="753"/>
      <c r="U665" s="785">
        <f>S665/L665</f>
        <v>0.35745507007419625</v>
      </c>
      <c r="V665" s="753"/>
      <c r="W665" s="779">
        <f>(U665/U658-1)*100</f>
        <v>9.2175973142363468</v>
      </c>
      <c r="X665" s="761"/>
      <c r="Y665" s="753"/>
      <c r="Z665" s="780">
        <f>+'store&amp;sf'!N436+'store&amp;sf'!P436</f>
        <v>8.1049999999999986</v>
      </c>
      <c r="AA665" s="753"/>
      <c r="AB665" s="781">
        <f>AVERAGE(Z665,Z664)</f>
        <v>8.1412499999999994</v>
      </c>
      <c r="AC665" s="753"/>
      <c r="AD665" s="768">
        <f>(AB665/AB658-1)*100</f>
        <v>-3.8387715930902067</v>
      </c>
      <c r="AE665" s="761"/>
      <c r="AF665" s="772">
        <f>+H665/AD665*100</f>
        <v>117.73972289156644</v>
      </c>
      <c r="AG665" s="769"/>
      <c r="AH665" s="753"/>
      <c r="AI665" s="784">
        <f>+S665</f>
        <v>433.59300000000002</v>
      </c>
      <c r="AJ665" s="753"/>
      <c r="AK665" s="776">
        <f>AI665/AB665</f>
        <v>53.25877475817596</v>
      </c>
      <c r="AL665" s="753"/>
      <c r="AM665" s="779">
        <f>(AK665/AK658-1)*100</f>
        <v>8.6511088666041402</v>
      </c>
      <c r="AN665" s="761"/>
      <c r="AO665" s="753"/>
    </row>
    <row r="666" spans="1:41" hidden="1" outlineLevel="1">
      <c r="A666" s="753" t="str">
        <f>$A$28</f>
        <v>3Q</v>
      </c>
      <c r="B666" s="760" t="str">
        <f>$B$28</f>
        <v>Oct</v>
      </c>
      <c r="C666" s="753"/>
      <c r="D666" s="768">
        <f>(S666/S659-1)*100</f>
        <v>0.11911468812877413</v>
      </c>
      <c r="E666" s="773"/>
      <c r="F666" s="774">
        <v>4</v>
      </c>
      <c r="G666" s="773"/>
      <c r="H666" s="768">
        <f>D666-F666</f>
        <v>-3.8808853118712259</v>
      </c>
      <c r="I666" s="761"/>
      <c r="J666" s="775">
        <f>+'store&amp;sf'!N73+'store&amp;sf'!P73</f>
        <v>1201</v>
      </c>
      <c r="K666" s="753"/>
      <c r="L666" s="776">
        <f>AVERAGE(J666,J665)</f>
        <v>1204.5</v>
      </c>
      <c r="M666" s="753"/>
      <c r="N666" s="768">
        <f>(L666/L659-1)*100</f>
        <v>-3.678528588564578</v>
      </c>
      <c r="O666" s="761"/>
      <c r="P666" s="772">
        <f>H666/N666*100</f>
        <v>105.50102353249919</v>
      </c>
      <c r="Q666" s="769"/>
      <c r="R666" s="753"/>
      <c r="S666" s="784">
        <f>+'segSales&amp;OM'!AJ61+'segSales&amp;OM'!AK61</f>
        <v>497.59199999999998</v>
      </c>
      <c r="T666" s="753"/>
      <c r="U666" s="785">
        <f>S666/L666</f>
        <v>0.41311083437110835</v>
      </c>
      <c r="V666" s="753"/>
      <c r="W666" s="779">
        <f>(U666/U659-1)*100</f>
        <v>3.9426757305977889</v>
      </c>
      <c r="X666" s="761"/>
      <c r="Y666" s="753"/>
      <c r="Z666" s="780">
        <f>+'store&amp;sf'!N437+'store&amp;sf'!P437</f>
        <v>8.0774999999999988</v>
      </c>
      <c r="AA666" s="753"/>
      <c r="AB666" s="781">
        <f>AVERAGE(Z666,Z665)</f>
        <v>8.0912499999999987</v>
      </c>
      <c r="AC666" s="753"/>
      <c r="AD666" s="768">
        <f>(AB666/AB659-1)*100</f>
        <v>-3.3736378563964831</v>
      </c>
      <c r="AE666" s="761"/>
      <c r="AF666" s="772">
        <f>+H666/AD666*100</f>
        <v>115.03562258506767</v>
      </c>
      <c r="AG666" s="769"/>
      <c r="AH666" s="753"/>
      <c r="AI666" s="784">
        <f>+S666</f>
        <v>497.59199999999998</v>
      </c>
      <c r="AJ666" s="753"/>
      <c r="AK666" s="776">
        <f>AI666/AB666</f>
        <v>61.497543642824049</v>
      </c>
      <c r="AL666" s="753"/>
      <c r="AM666" s="779">
        <f>(AK666/AK659-1)*100</f>
        <v>3.6146994122933318</v>
      </c>
      <c r="AN666" s="761"/>
      <c r="AO666" s="753"/>
    </row>
    <row r="667" spans="1:41" hidden="1" outlineLevel="1">
      <c r="A667" s="753" t="str">
        <f>$A$29</f>
        <v>4Q</v>
      </c>
      <c r="B667" s="760" t="str">
        <f>$B$29</f>
        <v>Jan</v>
      </c>
      <c r="C667" s="753"/>
      <c r="D667" s="786">
        <f>(S667/S660-1)*100</f>
        <v>-5.644277108433748</v>
      </c>
      <c r="E667" s="773"/>
      <c r="F667" s="787">
        <v>-2</v>
      </c>
      <c r="G667" s="773"/>
      <c r="H667" s="786">
        <f>D667-F667</f>
        <v>-3.644277108433748</v>
      </c>
      <c r="I667" s="761"/>
      <c r="J667" s="775">
        <f>+'store&amp;sf'!N74+'store&amp;sf'!P74</f>
        <v>1187</v>
      </c>
      <c r="K667" s="753"/>
      <c r="L667" s="788">
        <f>AVERAGE(J667,J666)</f>
        <v>1194</v>
      </c>
      <c r="M667" s="753"/>
      <c r="N667" s="786">
        <f>(L667/L660-1)*100</f>
        <v>-3.4761519805982188</v>
      </c>
      <c r="O667" s="761"/>
      <c r="P667" s="787">
        <f>H667/N667*100</f>
        <v>104.83652984029186</v>
      </c>
      <c r="Q667" s="769"/>
      <c r="R667" s="753"/>
      <c r="S667" s="789">
        <f>+'segSales&amp;OM'!AJ62+'segSales&amp;OM'!AK62</f>
        <v>626.52199999999993</v>
      </c>
      <c r="T667" s="753"/>
      <c r="U667" s="790">
        <f>S667/L667</f>
        <v>0.5247252931323283</v>
      </c>
      <c r="V667" s="753"/>
      <c r="W667" s="791">
        <f>(U667/U660-1)*100</f>
        <v>-2.2462066860406527</v>
      </c>
      <c r="X667" s="761"/>
      <c r="Y667" s="753"/>
      <c r="Z667" s="780">
        <f>+'store&amp;sf'!N438+'store&amp;sf'!P438</f>
        <v>8.0087499999999991</v>
      </c>
      <c r="AA667" s="753"/>
      <c r="AB667" s="792">
        <f>AVERAGE(Z667,Z666)</f>
        <v>8.0431249999999999</v>
      </c>
      <c r="AC667" s="753"/>
      <c r="AD667" s="786">
        <f>(AB667/AB660-1)*100</f>
        <v>-3.1677953348382082</v>
      </c>
      <c r="AE667" s="761"/>
      <c r="AF667" s="787">
        <f>+H667/AD667*100</f>
        <v>115.04143176029633</v>
      </c>
      <c r="AG667" s="769"/>
      <c r="AH667" s="753"/>
      <c r="AI667" s="789">
        <f>+S667</f>
        <v>626.52199999999993</v>
      </c>
      <c r="AJ667" s="753"/>
      <c r="AK667" s="788">
        <f>AI667/AB667</f>
        <v>77.895345403683265</v>
      </c>
      <c r="AL667" s="753"/>
      <c r="AM667" s="791">
        <f>(AK667/AK660-1)*100</f>
        <v>-2.5574980784120571</v>
      </c>
      <c r="AN667" s="761"/>
      <c r="AO667" s="753"/>
    </row>
    <row r="668" spans="1:41" hidden="1" outlineLevel="1">
      <c r="A668" s="753"/>
      <c r="B668" s="760" t="str">
        <f>$B$30</f>
        <v>Year</v>
      </c>
      <c r="C668" s="753"/>
      <c r="D668" s="768">
        <f>(S668/S661-1)*100</f>
        <v>0.38290946083416877</v>
      </c>
      <c r="E668" s="773"/>
      <c r="F668" s="774">
        <v>5</v>
      </c>
      <c r="G668" s="773"/>
      <c r="H668" s="768">
        <f>D668-F668</f>
        <v>-4.6170905391658312</v>
      </c>
      <c r="I668" s="761"/>
      <c r="J668" s="775"/>
      <c r="K668" s="753"/>
      <c r="L668" s="793">
        <f>AVERAGE(L664:L667)</f>
        <v>1209.375</v>
      </c>
      <c r="M668" s="753"/>
      <c r="N668" s="768">
        <f>(L668/L661-1)*100</f>
        <v>-4.0464147575126397</v>
      </c>
      <c r="O668" s="761"/>
      <c r="P668" s="772">
        <f>H668/N668*100</f>
        <v>114.10324486864984</v>
      </c>
      <c r="Q668" s="769"/>
      <c r="R668" s="753"/>
      <c r="S668" s="777">
        <f>SUM(S664:S667)</f>
        <v>1973.5279999999998</v>
      </c>
      <c r="T668" s="753"/>
      <c r="U668" s="794">
        <f>SUM(U664:U667)</f>
        <v>1.6344600393394599</v>
      </c>
      <c r="V668" s="753"/>
      <c r="W668" s="779">
        <f>(U668/U661-1)*100</f>
        <v>4.453253683358227</v>
      </c>
      <c r="X668" s="761"/>
      <c r="Y668" s="753"/>
      <c r="Z668" s="770"/>
      <c r="AA668" s="753"/>
      <c r="AB668" s="781">
        <f>AVERAGE(AB664:AB667)</f>
        <v>8.1268749999999983</v>
      </c>
      <c r="AC668" s="753"/>
      <c r="AD668" s="768">
        <f>(AB668/AB661-1)*100</f>
        <v>-3.5475197032916239</v>
      </c>
      <c r="AE668" s="761"/>
      <c r="AF668" s="772">
        <f>+H668/AD668*100</f>
        <v>130.1498208701079</v>
      </c>
      <c r="AG668" s="769"/>
      <c r="AH668" s="753"/>
      <c r="AI668" s="777">
        <f>SUM(AI664:AI667)</f>
        <v>1973.5279999999998</v>
      </c>
      <c r="AJ668" s="753"/>
      <c r="AK668" s="795">
        <f>SUM(AK664:AK667)</f>
        <v>243.16518593663983</v>
      </c>
      <c r="AL668" s="753"/>
      <c r="AM668" s="779">
        <f>(AK668/AK661-1)*100</f>
        <v>3.9667330557455971</v>
      </c>
      <c r="AN668" s="761"/>
      <c r="AO668" s="753"/>
    </row>
    <row r="669" spans="1:41" hidden="1" outlineLevel="1">
      <c r="A669" s="753"/>
      <c r="B669" s="760"/>
      <c r="C669" s="753"/>
      <c r="D669" s="768"/>
      <c r="E669" s="773"/>
      <c r="F669" s="768"/>
      <c r="G669" s="773"/>
      <c r="H669" s="768"/>
      <c r="I669" s="761"/>
      <c r="J669" s="753"/>
      <c r="K669" s="753"/>
      <c r="L669" s="753"/>
      <c r="M669" s="753"/>
      <c r="N669" s="753"/>
      <c r="O669" s="761"/>
      <c r="P669" s="769"/>
      <c r="Q669" s="769"/>
      <c r="R669" s="753"/>
      <c r="S669" s="753"/>
      <c r="T669" s="753"/>
      <c r="U669" s="753"/>
      <c r="V669" s="753"/>
      <c r="W669" s="753"/>
      <c r="X669" s="761"/>
      <c r="Y669" s="753"/>
      <c r="Z669" s="770"/>
      <c r="AA669" s="753"/>
      <c r="AB669" s="771"/>
      <c r="AC669" s="753"/>
      <c r="AD669" s="753"/>
      <c r="AE669" s="761"/>
      <c r="AF669" s="772"/>
      <c r="AG669" s="769"/>
      <c r="AH669" s="753"/>
      <c r="AI669" s="753"/>
      <c r="AJ669" s="753"/>
      <c r="AK669" s="753"/>
      <c r="AL669" s="753"/>
      <c r="AM669" s="753"/>
      <c r="AN669" s="761"/>
      <c r="AO669" s="753"/>
    </row>
    <row r="670" spans="1:41" hidden="1" outlineLevel="1">
      <c r="A670" s="766"/>
      <c r="B670" s="796">
        <f>B663+1</f>
        <v>2000</v>
      </c>
      <c r="C670" s="753"/>
      <c r="D670" s="768"/>
      <c r="E670" s="773"/>
      <c r="F670" s="768"/>
      <c r="G670" s="773"/>
      <c r="H670" s="768"/>
      <c r="I670" s="761"/>
      <c r="J670" s="753"/>
      <c r="K670" s="753"/>
      <c r="L670" s="753"/>
      <c r="M670" s="753"/>
      <c r="N670" s="753"/>
      <c r="O670" s="761"/>
      <c r="P670" s="769"/>
      <c r="Q670" s="769"/>
      <c r="R670" s="753"/>
      <c r="S670" s="753"/>
      <c r="T670" s="753"/>
      <c r="U670" s="753"/>
      <c r="V670" s="753"/>
      <c r="W670" s="753"/>
      <c r="X670" s="761"/>
      <c r="Y670" s="753"/>
      <c r="Z670" s="770"/>
      <c r="AA670" s="753"/>
      <c r="AB670" s="771"/>
      <c r="AC670" s="753"/>
      <c r="AD670" s="753"/>
      <c r="AE670" s="761"/>
      <c r="AF670" s="772"/>
      <c r="AG670" s="769"/>
      <c r="AH670" s="753"/>
      <c r="AI670" s="753"/>
      <c r="AJ670" s="753"/>
      <c r="AK670" s="753"/>
      <c r="AL670" s="753"/>
      <c r="AM670" s="753"/>
      <c r="AN670" s="761"/>
      <c r="AO670" s="753"/>
    </row>
    <row r="671" spans="1:41" hidden="1" outlineLevel="1">
      <c r="A671" s="753" t="str">
        <f>$A$26</f>
        <v>1Q</v>
      </c>
      <c r="B671" s="760" t="str">
        <f>$B$26</f>
        <v>Apr</v>
      </c>
      <c r="C671" s="753"/>
      <c r="D671" s="768">
        <f>(S671/S664-1)*100</f>
        <v>8.4139569670603329</v>
      </c>
      <c r="E671" s="773" t="s">
        <v>1084</v>
      </c>
      <c r="F671" s="774">
        <v>10</v>
      </c>
      <c r="G671" s="773" t="s">
        <v>1084</v>
      </c>
      <c r="H671" s="768">
        <f>D671-F671</f>
        <v>-1.5860430329396671</v>
      </c>
      <c r="I671" s="761" t="s">
        <v>1084</v>
      </c>
      <c r="J671" s="775">
        <f>+'store&amp;sf'!N77+'store&amp;sf'!P77</f>
        <v>1169</v>
      </c>
      <c r="K671" s="753"/>
      <c r="L671" s="776">
        <f>AVERAGE(J671,J667)</f>
        <v>1178</v>
      </c>
      <c r="M671" s="753"/>
      <c r="N671" s="768">
        <f>(L671/L664-1)*100</f>
        <v>-3.9151712887438794</v>
      </c>
      <c r="O671" s="761" t="s">
        <v>1084</v>
      </c>
      <c r="P671" s="772">
        <f>H671/N671*100</f>
        <v>40.51018246633403</v>
      </c>
      <c r="Q671" s="769" t="s">
        <v>1084</v>
      </c>
      <c r="R671" s="753"/>
      <c r="S671" s="777">
        <f>+'segSales&amp;OM'!AJ66+'segSales&amp;OM'!AK66</f>
        <v>450.80799999999999</v>
      </c>
      <c r="T671" s="753"/>
      <c r="U671" s="794">
        <f>S671/L671</f>
        <v>0.38268930390492362</v>
      </c>
      <c r="V671" s="753"/>
      <c r="W671" s="779">
        <f>(U671/U664-1)*100</f>
        <v>12.831503600692695</v>
      </c>
      <c r="X671" s="761" t="s">
        <v>1084</v>
      </c>
      <c r="Y671" s="753"/>
      <c r="Z671" s="780">
        <f>+'store&amp;sf'!N441+'store&amp;sf'!P441</f>
        <v>7.8762499999999989</v>
      </c>
      <c r="AA671" s="753"/>
      <c r="AB671" s="781">
        <f>AVERAGE(Z671,Z667)</f>
        <v>7.942499999999999</v>
      </c>
      <c r="AC671" s="753"/>
      <c r="AD671" s="768">
        <f>(AB671/AB664-1)*100</f>
        <v>-3.5152987624326171</v>
      </c>
      <c r="AE671" s="761" t="s">
        <v>1084</v>
      </c>
      <c r="AF671" s="772">
        <f>+H671/AD671*100</f>
        <v>45.118299755612</v>
      </c>
      <c r="AG671" s="769" t="s">
        <v>1084</v>
      </c>
      <c r="AH671" s="753"/>
      <c r="AI671" s="777">
        <f>+S671</f>
        <v>450.80799999999999</v>
      </c>
      <c r="AJ671" s="753"/>
      <c r="AK671" s="795">
        <f>AI671/AB671</f>
        <v>56.758954988983326</v>
      </c>
      <c r="AL671" s="753"/>
      <c r="AM671" s="779">
        <f>(AK671/AK664-1)*100</f>
        <v>12.363883161248946</v>
      </c>
      <c r="AN671" s="761" t="s">
        <v>1084</v>
      </c>
      <c r="AO671" s="753"/>
    </row>
    <row r="672" spans="1:41" hidden="1" outlineLevel="1">
      <c r="A672" s="753" t="str">
        <f>$A$27</f>
        <v>2Q</v>
      </c>
      <c r="B672" s="760" t="str">
        <f>$B$27</f>
        <v>Jul</v>
      </c>
      <c r="C672" s="753"/>
      <c r="D672" s="768">
        <f>(S672/S665-1)*100</f>
        <v>5.1472233177196181</v>
      </c>
      <c r="E672" s="768"/>
      <c r="F672" s="774">
        <v>7</v>
      </c>
      <c r="G672" s="768"/>
      <c r="H672" s="768">
        <f>D672-F672</f>
        <v>-1.8527766822803819</v>
      </c>
      <c r="I672" s="753"/>
      <c r="J672" s="775">
        <f>+'store&amp;sf'!N78+'store&amp;sf'!P78</f>
        <v>1165</v>
      </c>
      <c r="K672" s="799"/>
      <c r="L672" s="776">
        <f>AVERAGE(J672,J671)</f>
        <v>1167</v>
      </c>
      <c r="M672" s="753"/>
      <c r="N672" s="768">
        <f>(L672/L665-1)*100</f>
        <v>-3.792250618301729</v>
      </c>
      <c r="O672" s="761"/>
      <c r="P672" s="772">
        <f>H672/N672*100</f>
        <v>48.856915556654442</v>
      </c>
      <c r="Q672" s="769"/>
      <c r="R672" s="753"/>
      <c r="S672" s="784">
        <f>+'segSales&amp;OM'!AJ67+'segSales&amp;OM'!AK67</f>
        <v>455.911</v>
      </c>
      <c r="T672" s="753"/>
      <c r="U672" s="785">
        <f>S672/L672</f>
        <v>0.3906692373607541</v>
      </c>
      <c r="V672" s="753"/>
      <c r="W672" s="779">
        <f>(U672/U665-1)*100</f>
        <v>9.2918439454960478</v>
      </c>
      <c r="X672" s="761"/>
      <c r="Y672" s="753"/>
      <c r="Z672" s="780">
        <f>+'store&amp;sf'!N442+'store&amp;sf'!P442</f>
        <v>7.8612500000000001</v>
      </c>
      <c r="AA672" s="799"/>
      <c r="AB672" s="781">
        <f>AVERAGE(Z672,Z671)</f>
        <v>7.8687499999999995</v>
      </c>
      <c r="AC672" s="753"/>
      <c r="AD672" s="768">
        <f>(AB672/AB665-1)*100</f>
        <v>-3.3471518501458575</v>
      </c>
      <c r="AE672" s="761"/>
      <c r="AF672" s="772">
        <f>+H672/AD672*100</f>
        <v>55.35382812702818</v>
      </c>
      <c r="AG672" s="769"/>
      <c r="AH672" s="753"/>
      <c r="AI672" s="784">
        <f>+S672</f>
        <v>455.911</v>
      </c>
      <c r="AJ672" s="753"/>
      <c r="AK672" s="776">
        <f>AI672/AB672</f>
        <v>57.93944400317713</v>
      </c>
      <c r="AL672" s="753"/>
      <c r="AM672" s="779">
        <f>(AK672/AK665-1)*100</f>
        <v>8.7885409798741598</v>
      </c>
      <c r="AN672" s="761"/>
      <c r="AO672" s="753"/>
    </row>
    <row r="673" spans="1:41" hidden="1" outlineLevel="1">
      <c r="A673" s="753" t="str">
        <f>$A$28</f>
        <v>3Q</v>
      </c>
      <c r="B673" s="760" t="str">
        <f>$B$28</f>
        <v>Oct</v>
      </c>
      <c r="C673" s="753"/>
      <c r="D673" s="768">
        <f>(S673/S666-1)*100</f>
        <v>12.767287255422112</v>
      </c>
      <c r="E673" s="768"/>
      <c r="F673" s="774">
        <v>14</v>
      </c>
      <c r="G673" s="768"/>
      <c r="H673" s="768">
        <f>D673-F673</f>
        <v>-1.2327127445778885</v>
      </c>
      <c r="I673" s="753"/>
      <c r="J673" s="775">
        <f>+'store&amp;sf'!N79+'store&amp;sf'!P79</f>
        <v>1158</v>
      </c>
      <c r="K673" s="799"/>
      <c r="L673" s="776">
        <f>AVERAGE(J673,J672)</f>
        <v>1161.5</v>
      </c>
      <c r="M673" s="753"/>
      <c r="N673" s="768">
        <f>(L673/L666-1)*100</f>
        <v>-3.5699460356994561</v>
      </c>
      <c r="O673" s="761"/>
      <c r="P673" s="772">
        <f>H673/N673*100</f>
        <v>34.53029071730392</v>
      </c>
      <c r="Q673" s="769"/>
      <c r="R673" s="753"/>
      <c r="S673" s="784">
        <f>+'segSales&amp;OM'!AJ68+'segSales&amp;OM'!AK68</f>
        <v>561.12099999999998</v>
      </c>
      <c r="T673" s="753"/>
      <c r="U673" s="785">
        <f>S673/L673</f>
        <v>0.48310030133448123</v>
      </c>
      <c r="V673" s="753"/>
      <c r="W673" s="779">
        <f>(U673/U666-1)*100</f>
        <v>16.942055530913414</v>
      </c>
      <c r="X673" s="761"/>
      <c r="Y673" s="753"/>
      <c r="Z673" s="780">
        <f>+'store&amp;sf'!N443+'store&amp;sf'!P443</f>
        <v>7.8237499999999986</v>
      </c>
      <c r="AA673" s="799"/>
      <c r="AB673" s="781">
        <f>AVERAGE(Z673,Z672)</f>
        <v>7.8424999999999994</v>
      </c>
      <c r="AC673" s="753"/>
      <c r="AD673" s="768">
        <f>(AB673/AB666-1)*100</f>
        <v>-3.074308666769654</v>
      </c>
      <c r="AE673" s="761"/>
      <c r="AF673" s="772">
        <f>+H673/AD673*100</f>
        <v>40.097234149008464</v>
      </c>
      <c r="AG673" s="769"/>
      <c r="AH673" s="753"/>
      <c r="AI673" s="784">
        <f>+S673</f>
        <v>561.12099999999998</v>
      </c>
      <c r="AJ673" s="753"/>
      <c r="AK673" s="776">
        <f>AI673/AB673</f>
        <v>71.548740835192859</v>
      </c>
      <c r="AL673" s="753"/>
      <c r="AM673" s="779">
        <f>(AK673/AK666-1)*100</f>
        <v>16.344062863300479</v>
      </c>
      <c r="AN673" s="761"/>
      <c r="AO673" s="753"/>
    </row>
    <row r="674" spans="1:41" hidden="1" outlineLevel="1">
      <c r="A674" s="753" t="str">
        <f>$A$29</f>
        <v>4Q</v>
      </c>
      <c r="B674" s="760" t="str">
        <f>$B$29</f>
        <v>Jan</v>
      </c>
      <c r="C674" s="753"/>
      <c r="D674" s="786">
        <f>(S674/S667-1)*100</f>
        <v>11.069683107696138</v>
      </c>
      <c r="E674" s="768"/>
      <c r="F674" s="787">
        <v>8</v>
      </c>
      <c r="G674" s="768"/>
      <c r="H674" s="786">
        <f>D674-F674</f>
        <v>3.0696831076961377</v>
      </c>
      <c r="I674" s="753"/>
      <c r="J674" s="775">
        <f>+'store&amp;sf'!N80+'store&amp;sf'!P80</f>
        <v>1136</v>
      </c>
      <c r="K674" s="799"/>
      <c r="L674" s="788">
        <f>AVERAGE(J674,J673)</f>
        <v>1147</v>
      </c>
      <c r="M674" s="753"/>
      <c r="N674" s="786">
        <f>(L674/L667-1)*100</f>
        <v>-3.9363484087102218</v>
      </c>
      <c r="O674" s="761"/>
      <c r="P674" s="787">
        <f>H674/N674*100</f>
        <v>-77.983013416791152</v>
      </c>
      <c r="Q674" s="769"/>
      <c r="R674" s="753"/>
      <c r="S674" s="789">
        <f>+'segSales&amp;OM'!AJ69+'segSales&amp;OM'!AK69</f>
        <v>695.87599999999998</v>
      </c>
      <c r="T674" s="753"/>
      <c r="U674" s="790">
        <f>S674/L674</f>
        <v>0.60669224062772453</v>
      </c>
      <c r="V674" s="753"/>
      <c r="W674" s="791">
        <f>(U674/U667-1)*100</f>
        <v>15.620925571568623</v>
      </c>
      <c r="X674" s="761"/>
      <c r="Y674" s="753"/>
      <c r="Z674" s="780">
        <f>+'store&amp;sf'!N444+'store&amp;sf'!P444</f>
        <v>7.7162500000000005</v>
      </c>
      <c r="AA674" s="799"/>
      <c r="AB674" s="792">
        <f>AVERAGE(Z674,Z673)</f>
        <v>7.77</v>
      </c>
      <c r="AC674" s="753"/>
      <c r="AD674" s="786">
        <f>(AB674/AB667-1)*100</f>
        <v>-3.3957572460952767</v>
      </c>
      <c r="AE674" s="761"/>
      <c r="AF674" s="787">
        <f>+H674/AD674*100</f>
        <v>-90.397601631445056</v>
      </c>
      <c r="AG674" s="769"/>
      <c r="AH674" s="753"/>
      <c r="AI674" s="789">
        <f>+S674</f>
        <v>695.87599999999998</v>
      </c>
      <c r="AJ674" s="753"/>
      <c r="AK674" s="788">
        <f>AI674/AB674</f>
        <v>89.559330759330763</v>
      </c>
      <c r="AL674" s="753"/>
      <c r="AM674" s="791">
        <f>(AK674/AK667-1)*100</f>
        <v>14.97391826841552</v>
      </c>
      <c r="AN674" s="761"/>
      <c r="AO674" s="753"/>
    </row>
    <row r="675" spans="1:41" hidden="1" outlineLevel="1">
      <c r="A675" s="753"/>
      <c r="B675" s="760" t="str">
        <f>$B$30</f>
        <v>Year</v>
      </c>
      <c r="C675" s="753"/>
      <c r="D675" s="768">
        <f>(S675/S668-1)*100</f>
        <v>9.6369547328439609</v>
      </c>
      <c r="E675" s="768"/>
      <c r="F675" s="774">
        <v>10</v>
      </c>
      <c r="G675" s="768"/>
      <c r="H675" s="768">
        <f>D675-F675</f>
        <v>-0.36304526715603913</v>
      </c>
      <c r="I675" s="753"/>
      <c r="J675" s="753"/>
      <c r="K675" s="753"/>
      <c r="L675" s="793">
        <f>AVERAGE(L671:L674)</f>
        <v>1163.375</v>
      </c>
      <c r="M675" s="753"/>
      <c r="N675" s="768">
        <f>(L675/L668-1)*100</f>
        <v>-3.8036175710594367</v>
      </c>
      <c r="O675" s="761"/>
      <c r="P675" s="772">
        <f>H675/N675*100</f>
        <v>9.5447363036268307</v>
      </c>
      <c r="Q675" s="769"/>
      <c r="R675" s="753"/>
      <c r="S675" s="777">
        <f>SUM(S671:S674)</f>
        <v>2163.7160000000003</v>
      </c>
      <c r="T675" s="753"/>
      <c r="U675" s="794">
        <f>SUM(U671:U674)</f>
        <v>1.8631510832278835</v>
      </c>
      <c r="V675" s="753"/>
      <c r="W675" s="779">
        <f>(U675/U668-1)*100</f>
        <v>13.991840631407859</v>
      </c>
      <c r="X675" s="761"/>
      <c r="Y675" s="753"/>
      <c r="Z675" s="770"/>
      <c r="AA675" s="753"/>
      <c r="AB675" s="781">
        <f>AVERAGE(AB671:AB674)</f>
        <v>7.8559374999999987</v>
      </c>
      <c r="AC675" s="753"/>
      <c r="AD675" s="768">
        <f>(AB675/AB668-1)*100</f>
        <v>-3.3338460355302635</v>
      </c>
      <c r="AE675" s="761"/>
      <c r="AF675" s="772">
        <f>+H675/AD675*100</f>
        <v>10.889683065351729</v>
      </c>
      <c r="AG675" s="769"/>
      <c r="AH675" s="753"/>
      <c r="AI675" s="777">
        <f>SUM(AI671:AI674)</f>
        <v>2163.7160000000003</v>
      </c>
      <c r="AJ675" s="753"/>
      <c r="AK675" s="795">
        <f>SUM(AK671:AK674)</f>
        <v>275.8064705866841</v>
      </c>
      <c r="AL675" s="753"/>
      <c r="AM675" s="779">
        <f>(AK675/AK668-1)*100</f>
        <v>13.423502432848021</v>
      </c>
      <c r="AN675" s="761"/>
      <c r="AO675" s="753"/>
    </row>
    <row r="676" spans="1:41" hidden="1" outlineLevel="1">
      <c r="A676" s="753"/>
      <c r="B676" s="760"/>
      <c r="C676" s="753"/>
      <c r="D676" s="768"/>
      <c r="E676" s="768"/>
      <c r="F676" s="768"/>
      <c r="G676" s="768"/>
      <c r="H676" s="768"/>
      <c r="I676" s="753"/>
      <c r="J676" s="753"/>
      <c r="K676" s="753"/>
      <c r="L676" s="753"/>
      <c r="M676" s="753"/>
      <c r="N676" s="753"/>
      <c r="O676" s="761"/>
      <c r="P676" s="769"/>
      <c r="Q676" s="769"/>
      <c r="R676" s="753"/>
      <c r="S676" s="753"/>
      <c r="T676" s="753"/>
      <c r="U676" s="753"/>
      <c r="V676" s="753"/>
      <c r="W676" s="753"/>
      <c r="X676" s="761"/>
      <c r="Y676" s="753"/>
      <c r="Z676" s="770"/>
      <c r="AA676" s="753"/>
      <c r="AB676" s="771"/>
      <c r="AC676" s="753"/>
      <c r="AD676" s="753"/>
      <c r="AE676" s="761"/>
      <c r="AF676" s="772"/>
      <c r="AG676" s="769"/>
      <c r="AH676" s="753"/>
      <c r="AI676" s="753"/>
      <c r="AJ676" s="753"/>
      <c r="AK676" s="753"/>
      <c r="AL676" s="753"/>
      <c r="AM676" s="753"/>
      <c r="AN676" s="753"/>
      <c r="AO676" s="753"/>
    </row>
    <row r="677" spans="1:41" hidden="1" outlineLevel="1">
      <c r="A677" s="766"/>
      <c r="B677" s="796">
        <f>B670+1</f>
        <v>2001</v>
      </c>
      <c r="C677" s="753"/>
      <c r="D677" s="768"/>
      <c r="E677" s="773"/>
      <c r="F677" s="768"/>
      <c r="G677" s="773"/>
      <c r="H677" s="768"/>
      <c r="I677" s="761"/>
      <c r="J677" s="753"/>
      <c r="K677" s="753"/>
      <c r="L677" s="753"/>
      <c r="M677" s="753"/>
      <c r="N677" s="753"/>
      <c r="O677" s="761"/>
      <c r="P677" s="769"/>
      <c r="Q677" s="769"/>
      <c r="R677" s="753"/>
      <c r="S677" s="753"/>
      <c r="T677" s="753"/>
      <c r="U677" s="753"/>
      <c r="V677" s="753"/>
      <c r="W677" s="753"/>
      <c r="X677" s="761"/>
      <c r="Y677" s="753"/>
      <c r="Z677" s="770"/>
      <c r="AA677" s="753"/>
      <c r="AB677" s="771"/>
      <c r="AC677" s="753"/>
      <c r="AD677" s="753"/>
      <c r="AE677" s="761"/>
      <c r="AF677" s="772"/>
      <c r="AG677" s="769"/>
      <c r="AH677" s="753"/>
      <c r="AI677" s="753"/>
      <c r="AJ677" s="753"/>
      <c r="AK677" s="753"/>
      <c r="AL677" s="753"/>
      <c r="AM677" s="753"/>
      <c r="AN677" s="761"/>
      <c r="AO677" s="753"/>
    </row>
    <row r="678" spans="1:41" hidden="1" outlineLevel="1">
      <c r="A678" s="753" t="str">
        <f>$A$26</f>
        <v>1Q</v>
      </c>
      <c r="B678" s="760" t="str">
        <f>$B$26</f>
        <v>Apr</v>
      </c>
      <c r="C678" s="753"/>
      <c r="D678" s="768">
        <f>(S678/S671-1)*100</f>
        <v>9.9155294493447066E-2</v>
      </c>
      <c r="E678" s="773" t="s">
        <v>1084</v>
      </c>
      <c r="F678" s="774">
        <v>0</v>
      </c>
      <c r="G678" s="773" t="s">
        <v>1084</v>
      </c>
      <c r="H678" s="768">
        <f>D678-F678</f>
        <v>9.9155294493447066E-2</v>
      </c>
      <c r="I678" s="761" t="s">
        <v>1084</v>
      </c>
      <c r="J678" s="775">
        <f>+'store&amp;sf'!N83+'store&amp;sf'!P83</f>
        <v>1124</v>
      </c>
      <c r="K678" s="753"/>
      <c r="L678" s="776">
        <f>AVERAGE(J678,J674)</f>
        <v>1130</v>
      </c>
      <c r="M678" s="753"/>
      <c r="N678" s="768">
        <f>(L678/L671-1)*100</f>
        <v>-4.0747028862478825</v>
      </c>
      <c r="O678" s="761" t="s">
        <v>1084</v>
      </c>
      <c r="P678" s="772">
        <f>H678/N678*100</f>
        <v>-2.4334361856933437</v>
      </c>
      <c r="Q678" s="769" t="s">
        <v>1084</v>
      </c>
      <c r="R678" s="753"/>
      <c r="S678" s="777">
        <f>+'segSales&amp;OM'!AJ73+'segSales&amp;OM'!AK73</f>
        <v>451.255</v>
      </c>
      <c r="T678" s="753"/>
      <c r="U678" s="794">
        <f>S678/L678</f>
        <v>0.39934070796460175</v>
      </c>
      <c r="V678" s="753"/>
      <c r="W678" s="779">
        <f>(U678/U671-1)*100</f>
        <v>4.351154811427671</v>
      </c>
      <c r="X678" s="761" t="s">
        <v>1084</v>
      </c>
      <c r="Y678" s="753"/>
      <c r="Z678" s="780">
        <f>+'store&amp;sf'!N447+'store&amp;sf'!P447</f>
        <v>7.6462500000000002</v>
      </c>
      <c r="AA678" s="753"/>
      <c r="AB678" s="781">
        <f>AVERAGE(Z678,Z674)</f>
        <v>7.6812500000000004</v>
      </c>
      <c r="AC678" s="753"/>
      <c r="AD678" s="768">
        <f>(AB678/AB671-1)*100</f>
        <v>-3.2892666037141804</v>
      </c>
      <c r="AE678" s="761" t="s">
        <v>1084</v>
      </c>
      <c r="AF678" s="772">
        <f>+H678/AD678*100</f>
        <v>-3.0145107234993569</v>
      </c>
      <c r="AG678" s="769" t="s">
        <v>1084</v>
      </c>
      <c r="AH678" s="753"/>
      <c r="AI678" s="777">
        <f>+S678</f>
        <v>451.255</v>
      </c>
      <c r="AJ678" s="753"/>
      <c r="AK678" s="795">
        <f>AI678/AB678</f>
        <v>58.74759967453214</v>
      </c>
      <c r="AL678" s="753"/>
      <c r="AM678" s="779">
        <f>(AK678/AK671-1)*100</f>
        <v>3.5036668415315164</v>
      </c>
      <c r="AN678" s="761" t="s">
        <v>1084</v>
      </c>
      <c r="AO678" s="753"/>
    </row>
    <row r="679" spans="1:41" hidden="1" outlineLevel="1">
      <c r="A679" s="753" t="str">
        <f>$A$27</f>
        <v>2Q</v>
      </c>
      <c r="B679" s="760" t="str">
        <f>$B$27</f>
        <v>Jul</v>
      </c>
      <c r="C679" s="753"/>
      <c r="D679" s="768">
        <f>(S679/S672-1)*100</f>
        <v>-4.7090331226928068</v>
      </c>
      <c r="E679" s="768"/>
      <c r="F679" s="774">
        <v>-6</v>
      </c>
      <c r="G679" s="768"/>
      <c r="H679" s="768">
        <f>D679-F679</f>
        <v>1.2909668773071932</v>
      </c>
      <c r="I679" s="753"/>
      <c r="J679" s="775">
        <f>+'store&amp;sf'!N84+'store&amp;sf'!P84</f>
        <v>1117</v>
      </c>
      <c r="K679" s="799"/>
      <c r="L679" s="776">
        <f>AVERAGE(J679,J678)</f>
        <v>1120.5</v>
      </c>
      <c r="M679" s="753"/>
      <c r="N679" s="768">
        <f>(L679/L672-1)*100</f>
        <v>-3.9845758354755789</v>
      </c>
      <c r="O679" s="761"/>
      <c r="P679" s="772">
        <f>H679/N679*100</f>
        <v>-32.399104211128908</v>
      </c>
      <c r="Q679" s="769"/>
      <c r="R679" s="753"/>
      <c r="S679" s="784">
        <f>+'segSales&amp;OM'!AJ74+'segSales&amp;OM'!AK74</f>
        <v>434.44200000000001</v>
      </c>
      <c r="T679" s="753"/>
      <c r="U679" s="785">
        <f>S679/L679</f>
        <v>0.38772155287817939</v>
      </c>
      <c r="V679" s="753"/>
      <c r="W679" s="779">
        <f>(U679/U672-1)*100</f>
        <v>-0.75452177972558099</v>
      </c>
      <c r="X679" s="761"/>
      <c r="Y679" s="753"/>
      <c r="Z679" s="780">
        <f>+'store&amp;sf'!N448+'store&amp;sf'!P448</f>
        <v>7.6124999999999998</v>
      </c>
      <c r="AA679" s="799"/>
      <c r="AB679" s="781">
        <f>AVERAGE(Z679,Z678)</f>
        <v>7.6293749999999996</v>
      </c>
      <c r="AC679" s="753"/>
      <c r="AD679" s="768">
        <f>(AB679/AB672-1)*100</f>
        <v>-3.042096902303415</v>
      </c>
      <c r="AE679" s="761"/>
      <c r="AF679" s="772">
        <f>+H679/AD679*100</f>
        <v>-42.436744086938809</v>
      </c>
      <c r="AG679" s="769"/>
      <c r="AH679" s="753"/>
      <c r="AI679" s="784">
        <f>+S679</f>
        <v>434.44200000000001</v>
      </c>
      <c r="AJ679" s="753"/>
      <c r="AK679" s="776">
        <f>AI679/AB679</f>
        <v>56.943327598918657</v>
      </c>
      <c r="AL679" s="753"/>
      <c r="AM679" s="779">
        <f>(AK679/AK672-1)*100</f>
        <v>-1.7192370782913469</v>
      </c>
      <c r="AN679" s="761"/>
      <c r="AO679" s="753"/>
    </row>
    <row r="680" spans="1:41" hidden="1" outlineLevel="1">
      <c r="A680" s="753" t="str">
        <f>$A$28</f>
        <v>3Q</v>
      </c>
      <c r="B680" s="760" t="str">
        <f>$B$28</f>
        <v>Oct</v>
      </c>
      <c r="C680" s="753"/>
      <c r="D680" s="768">
        <f>(S680/S673-1)*100</f>
        <v>-9.3468253727805646</v>
      </c>
      <c r="E680" s="768"/>
      <c r="F680" s="774">
        <v>-5</v>
      </c>
      <c r="G680" s="768"/>
      <c r="H680" s="768">
        <f>D680-F680</f>
        <v>-4.3468253727805646</v>
      </c>
      <c r="I680" s="753"/>
      <c r="J680" s="775">
        <f>+'store&amp;sf'!N85+'store&amp;sf'!P85</f>
        <v>1123</v>
      </c>
      <c r="K680" s="799"/>
      <c r="L680" s="776">
        <f>AVERAGE(J680,J679)</f>
        <v>1120</v>
      </c>
      <c r="M680" s="753"/>
      <c r="N680" s="768">
        <f>(L680/L673-1)*100</f>
        <v>-3.5729659922513979</v>
      </c>
      <c r="O680" s="761"/>
      <c r="P680" s="772">
        <f>H680/N680*100</f>
        <v>121.65873904782234</v>
      </c>
      <c r="Q680" s="769"/>
      <c r="R680" s="753"/>
      <c r="S680" s="784">
        <f>+'segSales&amp;OM'!AJ75+'segSales&amp;OM'!AK75</f>
        <v>508.67399999999998</v>
      </c>
      <c r="T680" s="753"/>
      <c r="U680" s="785">
        <f>S680/L680</f>
        <v>0.45417321428571428</v>
      </c>
      <c r="V680" s="753"/>
      <c r="W680" s="779">
        <f>(U680/U673-1)*100</f>
        <v>-5.9878014915041184</v>
      </c>
      <c r="X680" s="761"/>
      <c r="Y680" s="753"/>
      <c r="Z680" s="780">
        <f>+'store&amp;sf'!N449+'store&amp;sf'!P449</f>
        <v>7.6462500000000002</v>
      </c>
      <c r="AA680" s="799"/>
      <c r="AB680" s="781">
        <f>AVERAGE(Z680,Z679)</f>
        <v>7.6293749999999996</v>
      </c>
      <c r="AC680" s="753"/>
      <c r="AD680" s="768">
        <f>(AB680/AB673-1)*100</f>
        <v>-2.7175645521198555</v>
      </c>
      <c r="AE680" s="761"/>
      <c r="AF680" s="772">
        <f>+H680/AD680*100</f>
        <v>159.95297588753846</v>
      </c>
      <c r="AG680" s="769"/>
      <c r="AH680" s="753"/>
      <c r="AI680" s="784">
        <f>+S680</f>
        <v>508.67399999999998</v>
      </c>
      <c r="AJ680" s="753"/>
      <c r="AK680" s="776">
        <f>AI680/AB680</f>
        <v>66.673089211108376</v>
      </c>
      <c r="AL680" s="753"/>
      <c r="AM680" s="779">
        <f>(AK680/AK673-1)*100</f>
        <v>-6.8144478395716028</v>
      </c>
      <c r="AN680" s="761"/>
      <c r="AO680" s="753"/>
    </row>
    <row r="681" spans="1:41" hidden="1" outlineLevel="1">
      <c r="A681" s="753" t="str">
        <f>$A$29</f>
        <v>4Q</v>
      </c>
      <c r="B681" s="760" t="str">
        <f>$B$29</f>
        <v>Jan</v>
      </c>
      <c r="C681" s="753"/>
      <c r="D681" s="786">
        <f>(S681/S674-1)*100</f>
        <v>-3.6193229828302642</v>
      </c>
      <c r="E681" s="768"/>
      <c r="F681" s="787">
        <v>-2</v>
      </c>
      <c r="G681" s="768"/>
      <c r="H681" s="786">
        <f>D681-F681</f>
        <v>-1.6193229828302642</v>
      </c>
      <c r="I681" s="753"/>
      <c r="J681" s="775">
        <f>+'store&amp;sf'!N86+'store&amp;sf'!P86</f>
        <v>1106</v>
      </c>
      <c r="K681" s="799"/>
      <c r="L681" s="788">
        <f>AVERAGE(J681,J680)</f>
        <v>1114.5</v>
      </c>
      <c r="M681" s="753"/>
      <c r="N681" s="786">
        <f>(L681/L674-1)*100</f>
        <v>-2.8334786399302536</v>
      </c>
      <c r="O681" s="761"/>
      <c r="P681" s="787">
        <f>H681/N681*100</f>
        <v>57.14964496327115</v>
      </c>
      <c r="Q681" s="769"/>
      <c r="R681" s="753"/>
      <c r="S681" s="789">
        <f>+'segSales&amp;OM'!AJ76+'segSales&amp;OM'!AK76</f>
        <v>670.69</v>
      </c>
      <c r="T681" s="753"/>
      <c r="U681" s="790">
        <f>S681/L681</f>
        <v>0.60178555406011669</v>
      </c>
      <c r="V681" s="753"/>
      <c r="W681" s="791">
        <f>(U681/U674-1)*100</f>
        <v>-0.80876039596798899</v>
      </c>
      <c r="X681" s="761"/>
      <c r="Y681" s="753"/>
      <c r="Z681" s="780">
        <f>+'store&amp;sf'!N450+'store&amp;sf'!P450</f>
        <v>7.567499999999999</v>
      </c>
      <c r="AA681" s="799"/>
      <c r="AB681" s="792">
        <f>AVERAGE(Z681,Z680)</f>
        <v>7.6068749999999996</v>
      </c>
      <c r="AC681" s="753"/>
      <c r="AD681" s="786">
        <f>(AB681/AB674-1)*100</f>
        <v>-2.0994208494208522</v>
      </c>
      <c r="AE681" s="761"/>
      <c r="AF681" s="787">
        <f>+H681/AD681*100</f>
        <v>77.131890124696625</v>
      </c>
      <c r="AG681" s="769"/>
      <c r="AH681" s="753"/>
      <c r="AI681" s="789">
        <f>+S681</f>
        <v>670.69</v>
      </c>
      <c r="AJ681" s="753"/>
      <c r="AK681" s="788">
        <f>AI681/AB681</f>
        <v>88.168926135896811</v>
      </c>
      <c r="AL681" s="753"/>
      <c r="AM681" s="791">
        <f>(AK681/AK674-1)*100</f>
        <v>-1.552495548643984</v>
      </c>
      <c r="AN681" s="761"/>
      <c r="AO681" s="753"/>
    </row>
    <row r="682" spans="1:41" hidden="1" outlineLevel="1">
      <c r="A682" s="753"/>
      <c r="B682" s="760" t="str">
        <f>$B$30</f>
        <v>Year</v>
      </c>
      <c r="C682" s="753"/>
      <c r="D682" s="768">
        <f>(S682/S675-1)*100</f>
        <v>-4.5595170530698166</v>
      </c>
      <c r="E682" s="768"/>
      <c r="F682" s="774">
        <v>-3</v>
      </c>
      <c r="G682" s="768"/>
      <c r="H682" s="768">
        <f>D682-F682</f>
        <v>-1.5595170530698166</v>
      </c>
      <c r="I682" s="753"/>
      <c r="J682" s="753"/>
      <c r="K682" s="753"/>
      <c r="L682" s="793">
        <f>AVERAGE(L678:L681)</f>
        <v>1121.25</v>
      </c>
      <c r="M682" s="753"/>
      <c r="N682" s="768">
        <f>(L682/L675-1)*100</f>
        <v>-3.6209304824325828</v>
      </c>
      <c r="O682" s="761"/>
      <c r="P682" s="772">
        <f>H682/N682*100</f>
        <v>43.069511017569027</v>
      </c>
      <c r="Q682" s="769"/>
      <c r="R682" s="753"/>
      <c r="S682" s="777">
        <f>SUM(S678:S681)</f>
        <v>2065.0610000000001</v>
      </c>
      <c r="T682" s="753"/>
      <c r="U682" s="794">
        <f>SUM(U678:U681)</f>
        <v>1.843021029188612</v>
      </c>
      <c r="V682" s="753"/>
      <c r="W682" s="779">
        <f>(U682/U675-1)*100</f>
        <v>-1.0804305791668023</v>
      </c>
      <c r="X682" s="761"/>
      <c r="Y682" s="753"/>
      <c r="Z682" s="770"/>
      <c r="AA682" s="753"/>
      <c r="AB682" s="781">
        <f>AVERAGE(AB678:AB681)</f>
        <v>7.6367187499999991</v>
      </c>
      <c r="AC682" s="753"/>
      <c r="AD682" s="768">
        <f>(AB682/AB675-1)*100</f>
        <v>-2.7904849039341206</v>
      </c>
      <c r="AE682" s="761"/>
      <c r="AF682" s="772">
        <f>+H682/AD682*100</f>
        <v>55.88695537722338</v>
      </c>
      <c r="AG682" s="769"/>
      <c r="AH682" s="753"/>
      <c r="AI682" s="777">
        <f>SUM(AI678:AI681)</f>
        <v>2065.0610000000001</v>
      </c>
      <c r="AJ682" s="753"/>
      <c r="AK682" s="795">
        <f>SUM(AK678:AK681)</f>
        <v>270.53294262045597</v>
      </c>
      <c r="AL682" s="753"/>
      <c r="AM682" s="779">
        <f>(AK682/AK675-1)*100</f>
        <v>-1.9120392480316051</v>
      </c>
      <c r="AN682" s="761"/>
      <c r="AO682" s="753"/>
    </row>
    <row r="683" spans="1:41" hidden="1" outlineLevel="1">
      <c r="A683" s="753"/>
      <c r="B683" s="760"/>
      <c r="C683" s="753"/>
      <c r="D683" s="753"/>
      <c r="E683" s="753"/>
      <c r="F683" s="753"/>
      <c r="G683" s="753"/>
      <c r="H683" s="753"/>
      <c r="I683" s="753"/>
      <c r="J683" s="753"/>
      <c r="K683" s="753"/>
      <c r="L683" s="753"/>
      <c r="M683" s="753"/>
      <c r="N683" s="753"/>
      <c r="O683" s="761"/>
      <c r="P683" s="753"/>
      <c r="Q683" s="753"/>
      <c r="R683" s="753"/>
      <c r="S683" s="753"/>
      <c r="T683" s="753"/>
      <c r="U683" s="753"/>
      <c r="V683" s="753"/>
      <c r="W683" s="753"/>
      <c r="X683" s="753"/>
      <c r="Y683" s="753"/>
      <c r="Z683" s="753"/>
      <c r="AA683" s="753"/>
      <c r="AB683" s="753"/>
      <c r="AC683" s="753"/>
      <c r="AD683" s="753"/>
      <c r="AE683" s="761"/>
      <c r="AF683" s="753"/>
      <c r="AG683" s="753"/>
      <c r="AH683" s="753"/>
      <c r="AI683" s="753"/>
      <c r="AJ683" s="753"/>
      <c r="AK683" s="753"/>
      <c r="AL683" s="753"/>
      <c r="AM683" s="753"/>
      <c r="AN683" s="753"/>
      <c r="AO683" s="753"/>
    </row>
    <row r="684" spans="1:41" hidden="1" outlineLevel="1">
      <c r="A684" s="766"/>
      <c r="B684" s="796">
        <f>B677+1</f>
        <v>2002</v>
      </c>
      <c r="C684" s="753"/>
      <c r="D684" s="768"/>
      <c r="E684" s="773"/>
      <c r="F684" s="768"/>
      <c r="G684" s="773"/>
      <c r="H684" s="768"/>
      <c r="I684" s="761"/>
      <c r="J684" s="753"/>
      <c r="K684" s="753"/>
      <c r="L684" s="753"/>
      <c r="M684" s="753"/>
      <c r="N684" s="753"/>
      <c r="O684" s="761"/>
      <c r="P684" s="769"/>
      <c r="Q684" s="769"/>
      <c r="R684" s="753"/>
      <c r="S684" s="753"/>
      <c r="T684" s="753"/>
      <c r="U684" s="753"/>
      <c r="V684" s="753"/>
      <c r="W684" s="753"/>
      <c r="X684" s="761"/>
      <c r="Y684" s="753"/>
      <c r="Z684" s="770"/>
      <c r="AA684" s="753"/>
      <c r="AB684" s="771"/>
      <c r="AC684" s="753"/>
      <c r="AD684" s="753"/>
      <c r="AE684" s="761"/>
      <c r="AF684" s="772"/>
      <c r="AG684" s="769"/>
      <c r="AH684" s="753"/>
      <c r="AI684" s="753"/>
      <c r="AJ684" s="753"/>
      <c r="AK684" s="753"/>
      <c r="AL684" s="753"/>
      <c r="AM684" s="753"/>
      <c r="AN684" s="761"/>
      <c r="AO684" s="753"/>
    </row>
    <row r="685" spans="1:41" hidden="1" outlineLevel="1">
      <c r="A685" s="753" t="str">
        <f>$A$26</f>
        <v>1Q</v>
      </c>
      <c r="B685" s="760" t="str">
        <f>$B$26</f>
        <v>Apr</v>
      </c>
      <c r="C685" s="753"/>
      <c r="D685" s="768">
        <f>(S685/S678-1)*100</f>
        <v>6.8132209061395388</v>
      </c>
      <c r="E685" s="773" t="s">
        <v>1084</v>
      </c>
      <c r="F685" s="774">
        <v>7.0839727018446066</v>
      </c>
      <c r="G685" s="773" t="s">
        <v>1084</v>
      </c>
      <c r="H685" s="768">
        <f>D685-F685</f>
        <v>-0.2707517957050678</v>
      </c>
      <c r="I685" s="761" t="s">
        <v>1084</v>
      </c>
      <c r="J685" s="775">
        <f>+'store&amp;sf'!N89+'store&amp;sf'!P89+'store&amp;sf'!R89</f>
        <v>1091</v>
      </c>
      <c r="K685" s="753"/>
      <c r="L685" s="776">
        <f>AVERAGE(J685,J681)</f>
        <v>1098.5</v>
      </c>
      <c r="M685" s="753"/>
      <c r="N685" s="768">
        <f>(L685/L678-1)*100</f>
        <v>-2.7876106194690276</v>
      </c>
      <c r="O685" s="761" t="s">
        <v>1084</v>
      </c>
      <c r="P685" s="772">
        <f>H685/N685*100</f>
        <v>9.7126834649754432</v>
      </c>
      <c r="Q685" s="769" t="s">
        <v>1084</v>
      </c>
      <c r="R685" s="753"/>
      <c r="S685" s="777">
        <f>+'segSales&amp;OM'!AL80</f>
        <v>482</v>
      </c>
      <c r="T685" s="753"/>
      <c r="U685" s="794">
        <f>S685/L685</f>
        <v>0.43878015475648613</v>
      </c>
      <c r="V685" s="753"/>
      <c r="W685" s="779">
        <f>(U685/U678-1)*100</f>
        <v>9.8761398488281138</v>
      </c>
      <c r="X685" s="761" t="s">
        <v>1084</v>
      </c>
      <c r="Y685" s="753"/>
      <c r="Z685" s="780">
        <f>+'store&amp;sf'!N453+'store&amp;sf'!P453+'store&amp;sf'!R453</f>
        <v>7.4237500000000001</v>
      </c>
      <c r="AA685" s="753"/>
      <c r="AB685" s="781">
        <f>AVERAGE(Z685,Z681)</f>
        <v>7.4956249999999995</v>
      </c>
      <c r="AC685" s="753"/>
      <c r="AD685" s="768">
        <f>(AB685/AB678-1)*100</f>
        <v>-2.4165988608624955</v>
      </c>
      <c r="AE685" s="761" t="s">
        <v>1084</v>
      </c>
      <c r="AF685" s="772">
        <f>+H685/AD685*100</f>
        <v>11.203836933384766</v>
      </c>
      <c r="AG685" s="769" t="s">
        <v>1084</v>
      </c>
      <c r="AH685" s="753"/>
      <c r="AI685" s="777">
        <f>+S685</f>
        <v>482</v>
      </c>
      <c r="AJ685" s="753"/>
      <c r="AK685" s="795">
        <f>AI685/AB685</f>
        <v>64.30417743683816</v>
      </c>
      <c r="AL685" s="753"/>
      <c r="AM685" s="779">
        <f>(AK685/AK678-1)*100</f>
        <v>9.4583911395359941</v>
      </c>
      <c r="AN685" s="761" t="s">
        <v>1084</v>
      </c>
      <c r="AO685" s="753"/>
    </row>
    <row r="686" spans="1:41" hidden="1" outlineLevel="1">
      <c r="A686" s="753" t="str">
        <f>$A$27</f>
        <v>2Q</v>
      </c>
      <c r="B686" s="760" t="str">
        <f>$B$27</f>
        <v>Jul</v>
      </c>
      <c r="C686" s="753"/>
      <c r="D686" s="768">
        <f>(S686/S679-1)*100</f>
        <v>3.5811454693607025</v>
      </c>
      <c r="E686" s="768"/>
      <c r="F686" s="774">
        <v>4.8922613276413252</v>
      </c>
      <c r="G686" s="768"/>
      <c r="H686" s="768">
        <f>D686-F686</f>
        <v>-1.3111158582806226</v>
      </c>
      <c r="I686" s="753"/>
      <c r="J686" s="775">
        <f>+'store&amp;sf'!N90+'store&amp;sf'!P90+'store&amp;sf'!R90</f>
        <v>1053</v>
      </c>
      <c r="K686" s="799"/>
      <c r="L686" s="776">
        <f>AVERAGE(J686,J685)</f>
        <v>1072</v>
      </c>
      <c r="M686" s="753"/>
      <c r="N686" s="768">
        <f>(L686/L679-1)*100</f>
        <v>-4.3284248103525158</v>
      </c>
      <c r="O686" s="761"/>
      <c r="P686" s="772">
        <f>H686/N686*100</f>
        <v>30.290831323782257</v>
      </c>
      <c r="Q686" s="769"/>
      <c r="R686" s="753"/>
      <c r="S686" s="784">
        <f>+'segSales&amp;OM'!AL81</f>
        <v>450</v>
      </c>
      <c r="T686" s="753"/>
      <c r="U686" s="785">
        <f>S686/L686</f>
        <v>0.41977611940298509</v>
      </c>
      <c r="V686" s="753"/>
      <c r="W686" s="779">
        <f>(U686/U679-1)*100</f>
        <v>8.2674193082263656</v>
      </c>
      <c r="X686" s="761"/>
      <c r="Y686" s="753"/>
      <c r="Z686" s="780">
        <f>+'store&amp;sf'!N454+'store&amp;sf'!P454+'store&amp;sf'!R454</f>
        <v>7.3337500000000002</v>
      </c>
      <c r="AA686" s="799"/>
      <c r="AB686" s="781">
        <f>AVERAGE(Z686,Z685)</f>
        <v>7.3787500000000001</v>
      </c>
      <c r="AC686" s="753"/>
      <c r="AD686" s="768">
        <f>(AB686/AB679-1)*100</f>
        <v>-3.2850004096010466</v>
      </c>
      <c r="AE686" s="761"/>
      <c r="AF686" s="772">
        <f>+H686/AD686*100</f>
        <v>39.912197710801919</v>
      </c>
      <c r="AG686" s="769"/>
      <c r="AH686" s="753"/>
      <c r="AI686" s="784">
        <f>+S686</f>
        <v>450</v>
      </c>
      <c r="AJ686" s="753"/>
      <c r="AK686" s="776">
        <f>AI686/AB686</f>
        <v>60.985939352871419</v>
      </c>
      <c r="AL686" s="753"/>
      <c r="AM686" s="779">
        <f>(AK686/AK679-1)*100</f>
        <v>7.0993598801021518</v>
      </c>
      <c r="AN686" s="761"/>
      <c r="AO686" s="753"/>
    </row>
    <row r="687" spans="1:41" hidden="1" outlineLevel="1">
      <c r="A687" s="753" t="str">
        <f>$A$28</f>
        <v>3Q</v>
      </c>
      <c r="B687" s="760" t="str">
        <f>$B$28</f>
        <v>Oct</v>
      </c>
      <c r="C687" s="753"/>
      <c r="D687" s="768">
        <f>(S687/S680-1)*100</f>
        <v>1.8333942760982547</v>
      </c>
      <c r="E687" s="768"/>
      <c r="F687" s="774">
        <v>1</v>
      </c>
      <c r="G687" s="768"/>
      <c r="H687" s="768">
        <f>D687-F687</f>
        <v>0.83339427609825467</v>
      </c>
      <c r="I687" s="753"/>
      <c r="J687" s="775">
        <f>+'store&amp;sf'!N91+'store&amp;sf'!P91+'store&amp;sf'!R91</f>
        <v>1061</v>
      </c>
      <c r="K687" s="799"/>
      <c r="L687" s="776">
        <f>AVERAGE(J687,J686)</f>
        <v>1057</v>
      </c>
      <c r="M687" s="753"/>
      <c r="N687" s="768">
        <f>(L687/L680-1)*100</f>
        <v>-5.6250000000000018</v>
      </c>
      <c r="O687" s="761"/>
      <c r="P687" s="772">
        <f>H687/N687*100</f>
        <v>-14.815898241746744</v>
      </c>
      <c r="Q687" s="769"/>
      <c r="R687" s="753"/>
      <c r="S687" s="784">
        <f>+'segSales&amp;OM'!AL82</f>
        <v>518</v>
      </c>
      <c r="T687" s="753"/>
      <c r="U687" s="785">
        <f>S687/L687</f>
        <v>0.49006622516556292</v>
      </c>
      <c r="V687" s="753"/>
      <c r="W687" s="779">
        <f>(U687/U680-1)*100</f>
        <v>7.9029343322895462</v>
      </c>
      <c r="X687" s="761"/>
      <c r="Y687" s="753"/>
      <c r="Z687" s="780">
        <f>+'store&amp;sf'!N455+'store&amp;sf'!P455+'store&amp;sf'!R455</f>
        <v>7.4625000000000004</v>
      </c>
      <c r="AA687" s="799"/>
      <c r="AB687" s="781">
        <f>AVERAGE(Z687,Z686)</f>
        <v>7.3981250000000003</v>
      </c>
      <c r="AC687" s="753"/>
      <c r="AD687" s="768">
        <f>(AB687/AB680-1)*100</f>
        <v>-3.0310477594822527</v>
      </c>
      <c r="AE687" s="761"/>
      <c r="AF687" s="772">
        <f>+H687/AD687*100</f>
        <v>-27.495253860355227</v>
      </c>
      <c r="AG687" s="769"/>
      <c r="AH687" s="753"/>
      <c r="AI687" s="784">
        <f>+S687</f>
        <v>518</v>
      </c>
      <c r="AJ687" s="753"/>
      <c r="AK687" s="776">
        <f>AI687/AB687</f>
        <v>70.017740981667643</v>
      </c>
      <c r="AL687" s="753"/>
      <c r="AM687" s="779">
        <f>(AK687/AK680-1)*100</f>
        <v>5.0164943759678282</v>
      </c>
      <c r="AN687" s="761"/>
      <c r="AO687" s="753"/>
    </row>
    <row r="688" spans="1:41" hidden="1" outlineLevel="1">
      <c r="A688" s="753" t="str">
        <f>$A$29</f>
        <v>4Q</v>
      </c>
      <c r="B688" s="760" t="str">
        <f>$B$29</f>
        <v>Jan</v>
      </c>
      <c r="C688" s="753"/>
      <c r="D688" s="786">
        <f>(S688/S681-1)*100</f>
        <v>-7.1105876038110027</v>
      </c>
      <c r="E688" s="768"/>
      <c r="F688" s="787">
        <v>-4</v>
      </c>
      <c r="G688" s="768"/>
      <c r="H688" s="786">
        <f>D688-F688</f>
        <v>-3.1105876038110027</v>
      </c>
      <c r="I688" s="753"/>
      <c r="J688" s="775">
        <f>+'store&amp;sf'!N92+'store&amp;sf'!P92+'store&amp;sf'!R92</f>
        <v>1031</v>
      </c>
      <c r="K688" s="799"/>
      <c r="L688" s="788">
        <f>AVERAGE(J688,J687)</f>
        <v>1046</v>
      </c>
      <c r="M688" s="753"/>
      <c r="N688" s="786">
        <f>(L688/L681-1)*100</f>
        <v>-6.1462539255271453</v>
      </c>
      <c r="O688" s="761"/>
      <c r="P688" s="787">
        <f>H688/N688*100</f>
        <v>50.609487364195047</v>
      </c>
      <c r="Q688" s="769"/>
      <c r="R688" s="753"/>
      <c r="S688" s="789">
        <f>+'segSales&amp;OM'!AL83</f>
        <v>623</v>
      </c>
      <c r="T688" s="753"/>
      <c r="U688" s="790">
        <f>S688/L688</f>
        <v>0.59560229445506696</v>
      </c>
      <c r="V688" s="753"/>
      <c r="W688" s="791">
        <f>(U688/U681-1)*100</f>
        <v>-1.0274855491848589</v>
      </c>
      <c r="X688" s="761"/>
      <c r="Y688" s="753"/>
      <c r="Z688" s="780">
        <f>+'store&amp;sf'!N456+'store&amp;sf'!P456+'store&amp;sf'!R456</f>
        <v>7.3149999999999995</v>
      </c>
      <c r="AA688" s="799"/>
      <c r="AB688" s="792">
        <f>AVERAGE(Z688,Z687)</f>
        <v>7.3887499999999999</v>
      </c>
      <c r="AC688" s="753"/>
      <c r="AD688" s="786">
        <f>(AB688/AB681-1)*100</f>
        <v>-2.8674718593377668</v>
      </c>
      <c r="AE688" s="761"/>
      <c r="AF688" s="787">
        <f>+H688/AD688*100</f>
        <v>108.47840036098498</v>
      </c>
      <c r="AG688" s="769"/>
      <c r="AH688" s="753"/>
      <c r="AI688" s="789">
        <f>+S688</f>
        <v>623</v>
      </c>
      <c r="AJ688" s="753"/>
      <c r="AK688" s="788">
        <f>AI688/AB688</f>
        <v>84.317374386736589</v>
      </c>
      <c r="AL688" s="753"/>
      <c r="AM688" s="791">
        <f>(AK688/AK681-1)*100</f>
        <v>-4.3683777470803431</v>
      </c>
      <c r="AN688" s="761"/>
      <c r="AO688" s="753"/>
    </row>
    <row r="689" spans="1:41" hidden="1" outlineLevel="1">
      <c r="A689" s="753"/>
      <c r="B689" s="760" t="str">
        <f>$B$30</f>
        <v>Year</v>
      </c>
      <c r="C689" s="753"/>
      <c r="D689" s="768">
        <f>(S689/S682-1)*100</f>
        <v>0.38444384935842901</v>
      </c>
      <c r="E689" s="768"/>
      <c r="F689" s="774">
        <v>2</v>
      </c>
      <c r="G689" s="768"/>
      <c r="H689" s="768">
        <f>D689-F689</f>
        <v>-1.615556150641571</v>
      </c>
      <c r="I689" s="753"/>
      <c r="J689" s="753"/>
      <c r="K689" s="753"/>
      <c r="L689" s="793">
        <f>AVERAGE(L685:L688)</f>
        <v>1068.375</v>
      </c>
      <c r="M689" s="753"/>
      <c r="N689" s="768">
        <f>(L689/L682-1)*100</f>
        <v>-4.715719063545154</v>
      </c>
      <c r="O689" s="761"/>
      <c r="P689" s="772">
        <f>H689/N689*100</f>
        <v>34.258956669633292</v>
      </c>
      <c r="Q689" s="769"/>
      <c r="R689" s="753"/>
      <c r="S689" s="777">
        <f>SUM(S685:S688)</f>
        <v>2073</v>
      </c>
      <c r="T689" s="753"/>
      <c r="U689" s="794">
        <f>SUM(U685:U688)</f>
        <v>1.9442247937801012</v>
      </c>
      <c r="V689" s="753"/>
      <c r="W689" s="779">
        <f>(U689/U682-1)*100</f>
        <v>5.4911888138381215</v>
      </c>
      <c r="X689" s="761"/>
      <c r="Y689" s="753"/>
      <c r="Z689" s="770"/>
      <c r="AA689" s="753"/>
      <c r="AB689" s="781">
        <f>AVERAGE(AB685:AB688)</f>
        <v>7.4153125000000006</v>
      </c>
      <c r="AC689" s="753"/>
      <c r="AD689" s="768">
        <f>(AB689/AB682-1)*100</f>
        <v>-2.8992327365728654</v>
      </c>
      <c r="AE689" s="761"/>
      <c r="AF689" s="772">
        <f>+H689/AD689*100</f>
        <v>55.723575767542307</v>
      </c>
      <c r="AG689" s="769"/>
      <c r="AH689" s="753"/>
      <c r="AI689" s="777">
        <f>SUM(AI685:AI688)</f>
        <v>2073</v>
      </c>
      <c r="AJ689" s="753"/>
      <c r="AK689" s="795">
        <f>SUM(AK685:AK688)</f>
        <v>279.62523215811382</v>
      </c>
      <c r="AL689" s="753"/>
      <c r="AM689" s="779">
        <f>(AK689/AK682-1)*100</f>
        <v>3.3608807303049382</v>
      </c>
      <c r="AN689" s="761"/>
      <c r="AO689" s="753"/>
    </row>
    <row r="690" spans="1:41" hidden="1" outlineLevel="1">
      <c r="A690" s="753"/>
      <c r="B690" s="760"/>
      <c r="C690" s="753"/>
      <c r="D690" s="753"/>
      <c r="E690" s="753"/>
      <c r="F690" s="753"/>
      <c r="G690" s="753"/>
      <c r="H690" s="753"/>
      <c r="I690" s="753"/>
      <c r="J690" s="753"/>
      <c r="K690" s="753"/>
      <c r="L690" s="753"/>
      <c r="M690" s="753"/>
      <c r="N690" s="753"/>
      <c r="O690" s="761"/>
      <c r="P690" s="753"/>
      <c r="Q690" s="753"/>
      <c r="R690" s="753"/>
      <c r="S690" s="753"/>
      <c r="T690" s="753"/>
      <c r="U690" s="753"/>
      <c r="V690" s="753"/>
      <c r="W690" s="753"/>
      <c r="X690" s="753"/>
      <c r="Y690" s="753"/>
      <c r="Z690" s="753"/>
      <c r="AA690" s="753"/>
      <c r="AB690" s="753"/>
      <c r="AC690" s="753"/>
      <c r="AD690" s="753"/>
      <c r="AE690" s="761"/>
      <c r="AF690" s="753"/>
      <c r="AG690" s="753"/>
      <c r="AH690" s="753"/>
      <c r="AI690" s="753"/>
      <c r="AJ690" s="753"/>
      <c r="AK690" s="753"/>
      <c r="AL690" s="753"/>
      <c r="AM690" s="753"/>
      <c r="AN690" s="753"/>
      <c r="AO690" s="753"/>
    </row>
    <row r="691" spans="1:41" hidden="1" outlineLevel="1">
      <c r="A691" s="766"/>
      <c r="B691" s="796">
        <f>B684+1</f>
        <v>2003</v>
      </c>
      <c r="C691" s="753"/>
      <c r="D691" s="768"/>
      <c r="E691" s="773"/>
      <c r="F691" s="768"/>
      <c r="G691" s="773"/>
      <c r="H691" s="768"/>
      <c r="I691" s="761"/>
      <c r="J691" s="753"/>
      <c r="K691" s="753"/>
      <c r="L691" s="753"/>
      <c r="M691" s="753"/>
      <c r="N691" s="753"/>
      <c r="O691" s="761"/>
      <c r="P691" s="769"/>
      <c r="Q691" s="769"/>
      <c r="R691" s="753"/>
      <c r="S691" s="753"/>
      <c r="T691" s="753"/>
      <c r="U691" s="753"/>
      <c r="V691" s="753"/>
      <c r="W691" s="753"/>
      <c r="X691" s="761"/>
      <c r="Y691" s="753"/>
      <c r="Z691" s="770"/>
      <c r="AA691" s="753"/>
      <c r="AB691" s="771"/>
      <c r="AC691" s="753"/>
      <c r="AD691" s="753"/>
      <c r="AE691" s="761"/>
      <c r="AF691" s="772"/>
      <c r="AG691" s="769"/>
      <c r="AH691" s="753"/>
      <c r="AI691" s="753"/>
      <c r="AJ691" s="753"/>
      <c r="AK691" s="753"/>
      <c r="AL691" s="753"/>
      <c r="AM691" s="753"/>
      <c r="AN691" s="761"/>
      <c r="AO691" s="753"/>
    </row>
    <row r="692" spans="1:41" hidden="1" outlineLevel="1">
      <c r="A692" s="753" t="str">
        <f>$A$26</f>
        <v>1Q</v>
      </c>
      <c r="B692" s="760" t="str">
        <f>$B$26</f>
        <v>Apr</v>
      </c>
      <c r="C692" s="753"/>
      <c r="D692" s="768">
        <f>(S692/S685-1)*100</f>
        <v>-1.9502074688796611</v>
      </c>
      <c r="E692" s="773" t="s">
        <v>1084</v>
      </c>
      <c r="F692" s="774">
        <v>-2</v>
      </c>
      <c r="G692" s="773" t="s">
        <v>1084</v>
      </c>
      <c r="H692" s="768">
        <f>D692-F692</f>
        <v>4.9792531120338879E-2</v>
      </c>
      <c r="I692" s="761" t="s">
        <v>1084</v>
      </c>
      <c r="J692" s="775">
        <f>+'store&amp;sf'!N95+'store&amp;sf'!P95+'store&amp;sf'!R95</f>
        <v>990</v>
      </c>
      <c r="K692" s="753"/>
      <c r="L692" s="776">
        <f>AVERAGE(J692,J688)</f>
        <v>1010.5</v>
      </c>
      <c r="M692" s="753"/>
      <c r="N692" s="768">
        <f>(L692/L685-1)*100</f>
        <v>-8.0109239872553477</v>
      </c>
      <c r="O692" s="761" t="s">
        <v>1084</v>
      </c>
      <c r="P692" s="772">
        <f>H692/N692*100</f>
        <v>-0.62155790267832112</v>
      </c>
      <c r="Q692" s="769" t="s">
        <v>1084</v>
      </c>
      <c r="R692" s="753"/>
      <c r="S692" s="777">
        <f>+'segSales&amp;OM'!AL87</f>
        <v>472.6</v>
      </c>
      <c r="T692" s="753"/>
      <c r="U692" s="794">
        <f>S692/L692</f>
        <v>0.46768926274121725</v>
      </c>
      <c r="V692" s="753"/>
      <c r="W692" s="779">
        <f>(U692/U685-1)*100</f>
        <v>6.5885176600056328</v>
      </c>
      <c r="X692" s="761" t="s">
        <v>1084</v>
      </c>
      <c r="Y692" s="753"/>
      <c r="Z692" s="780">
        <f>+'store&amp;sf'!N459+'store&amp;sf'!P459+'store&amp;sf'!R459</f>
        <v>7.192499999999999</v>
      </c>
      <c r="AA692" s="753"/>
      <c r="AB692" s="781">
        <f>AVERAGE(Z692,Z688)</f>
        <v>7.2537499999999993</v>
      </c>
      <c r="AC692" s="753"/>
      <c r="AD692" s="768">
        <f>(AB692/AB685-1)*100</f>
        <v>-3.226882348036364</v>
      </c>
      <c r="AE692" s="761" t="s">
        <v>1084</v>
      </c>
      <c r="AF692" s="772">
        <f>+H692/AD692*100</f>
        <v>-1.5430538132460527</v>
      </c>
      <c r="AG692" s="769" t="s">
        <v>1084</v>
      </c>
      <c r="AH692" s="753"/>
      <c r="AI692" s="777">
        <f>+S692</f>
        <v>472.6</v>
      </c>
      <c r="AJ692" s="753"/>
      <c r="AK692" s="795">
        <f>AI692/AB692</f>
        <v>65.152507323798048</v>
      </c>
      <c r="AL692" s="753"/>
      <c r="AM692" s="779">
        <f>(AK692/AK685-1)*100</f>
        <v>1.319245375299527</v>
      </c>
      <c r="AN692" s="761" t="s">
        <v>1084</v>
      </c>
      <c r="AO692" s="753"/>
    </row>
    <row r="693" spans="1:41" hidden="1" outlineLevel="1">
      <c r="A693" s="753" t="str">
        <f>$A$27</f>
        <v>2Q</v>
      </c>
      <c r="B693" s="760" t="str">
        <f>$B$27</f>
        <v>Jul</v>
      </c>
      <c r="C693" s="753"/>
      <c r="D693" s="768">
        <f>(S693/S686-1)*100</f>
        <v>1.0444444444444478</v>
      </c>
      <c r="E693" s="768"/>
      <c r="F693" s="800">
        <v>1</v>
      </c>
      <c r="G693" s="768"/>
      <c r="H693" s="768">
        <f>D693-F693</f>
        <v>4.4444444444447839E-2</v>
      </c>
      <c r="I693" s="753"/>
      <c r="J693" s="775">
        <f>+'store&amp;sf'!N96+'store&amp;sf'!P96+'store&amp;sf'!R96</f>
        <v>992</v>
      </c>
      <c r="K693" s="799"/>
      <c r="L693" s="776">
        <f>AVERAGE(J693,J692)</f>
        <v>991</v>
      </c>
      <c r="M693" s="753"/>
      <c r="N693" s="768">
        <f>(L693/L686-1)*100</f>
        <v>-7.5559701492537323</v>
      </c>
      <c r="O693" s="761"/>
      <c r="P693" s="772">
        <f>H693/N693*100</f>
        <v>-0.58820301783269235</v>
      </c>
      <c r="Q693" s="769"/>
      <c r="R693" s="753"/>
      <c r="S693" s="784">
        <f>+'segSales&amp;OM'!AL88</f>
        <v>454.7</v>
      </c>
      <c r="T693" s="753"/>
      <c r="U693" s="785">
        <f>S693/L693</f>
        <v>0.45882946518668011</v>
      </c>
      <c r="V693" s="753"/>
      <c r="W693" s="779">
        <f>(U693/U686-1)*100</f>
        <v>9.3033748178046771</v>
      </c>
      <c r="X693" s="761"/>
      <c r="Y693" s="753"/>
      <c r="Z693" s="780">
        <f>+'store&amp;sf'!N460+'store&amp;sf'!P460+'store&amp;sf'!R460</f>
        <v>7.0587499999999999</v>
      </c>
      <c r="AA693" s="799"/>
      <c r="AB693" s="781">
        <f>AVERAGE(Z693,Z692)</f>
        <v>7.1256249999999994</v>
      </c>
      <c r="AC693" s="753"/>
      <c r="AD693" s="768">
        <f>(AB693/AB686-1)*100</f>
        <v>-3.4304590885990249</v>
      </c>
      <c r="AE693" s="761"/>
      <c r="AF693" s="772">
        <f>+H693/AD693*100</f>
        <v>-1.2955829903979013</v>
      </c>
      <c r="AG693" s="769"/>
      <c r="AH693" s="753"/>
      <c r="AI693" s="784">
        <f>+S693</f>
        <v>454.7</v>
      </c>
      <c r="AJ693" s="753"/>
      <c r="AK693" s="776">
        <f>AI693/AB693</f>
        <v>63.811946320498208</v>
      </c>
      <c r="AL693" s="753"/>
      <c r="AM693" s="779">
        <f>(AK693/AK686-1)*100</f>
        <v>4.633866424972477</v>
      </c>
      <c r="AN693" s="761"/>
      <c r="AO693" s="753"/>
    </row>
    <row r="694" spans="1:41" hidden="1" outlineLevel="1">
      <c r="A694" s="753" t="str">
        <f>$A$28</f>
        <v>3Q</v>
      </c>
      <c r="B694" s="760" t="str">
        <f>$B$28</f>
        <v>Oct</v>
      </c>
      <c r="C694" s="753"/>
      <c r="D694" s="768">
        <f>(S694/S687-1)*100</f>
        <v>-2.7606177606177673</v>
      </c>
      <c r="E694" s="768"/>
      <c r="F694" s="801">
        <v>-2</v>
      </c>
      <c r="G694" s="768"/>
      <c r="H694" s="768">
        <f>D694-F694</f>
        <v>-0.76061776061776731</v>
      </c>
      <c r="I694" s="753"/>
      <c r="J694" s="775">
        <f>+'store&amp;sf'!N97+'store&amp;sf'!P97+'store&amp;sf'!R97</f>
        <v>991</v>
      </c>
      <c r="K694" s="799"/>
      <c r="L694" s="776">
        <f>AVERAGE(J694,J693)</f>
        <v>991.5</v>
      </c>
      <c r="M694" s="753"/>
      <c r="N694" s="768">
        <f>(L694/L687-1)*100</f>
        <v>-6.1967833491012314</v>
      </c>
      <c r="O694" s="761"/>
      <c r="P694" s="772">
        <f>H694/N694*100</f>
        <v>12.274396533938624</v>
      </c>
      <c r="Q694" s="769"/>
      <c r="R694" s="753"/>
      <c r="S694" s="784">
        <f>+'segSales&amp;OM'!AL89</f>
        <v>503.7</v>
      </c>
      <c r="T694" s="753"/>
      <c r="U694" s="785">
        <f>S694/L694</f>
        <v>0.50801815431164898</v>
      </c>
      <c r="V694" s="753"/>
      <c r="W694" s="779">
        <f>(U694/U687-1)*100</f>
        <v>3.6631639203499988</v>
      </c>
      <c r="X694" s="761"/>
      <c r="Y694" s="753"/>
      <c r="Z694" s="780">
        <f>+'store&amp;sf'!N461+'store&amp;sf'!P461+'store&amp;sf'!R461</f>
        <v>7.1924999999999999</v>
      </c>
      <c r="AA694" s="799"/>
      <c r="AB694" s="781">
        <f>AVERAGE(Z694,Z693)</f>
        <v>7.1256249999999994</v>
      </c>
      <c r="AC694" s="753"/>
      <c r="AD694" s="768">
        <f>(AB694/AB687-1)*100</f>
        <v>-3.6833657176649548</v>
      </c>
      <c r="AE694" s="761"/>
      <c r="AF694" s="772">
        <f>+H694/AD694*100</f>
        <v>20.650074386313065</v>
      </c>
      <c r="AG694" s="769"/>
      <c r="AH694" s="753"/>
      <c r="AI694" s="784">
        <f>+S694</f>
        <v>503.7</v>
      </c>
      <c r="AJ694" s="753"/>
      <c r="AK694" s="776">
        <f>AI694/AB694</f>
        <v>70.688536093325155</v>
      </c>
      <c r="AL694" s="753"/>
      <c r="AM694" s="779">
        <f>(AK694/AK687-1)*100</f>
        <v>0.95803592382841529</v>
      </c>
      <c r="AN694" s="761"/>
      <c r="AO694" s="753"/>
    </row>
    <row r="695" spans="1:41" hidden="1" outlineLevel="1">
      <c r="A695" s="753" t="str">
        <f>$A$29</f>
        <v>4Q</v>
      </c>
      <c r="B695" s="760" t="str">
        <f>$B$29</f>
        <v>Jan</v>
      </c>
      <c r="C695" s="753"/>
      <c r="D695" s="786">
        <f>(S695/S688-1)*100</f>
        <v>2.7608346709470322</v>
      </c>
      <c r="E695" s="753"/>
      <c r="F695" s="787">
        <v>4</v>
      </c>
      <c r="G695" s="753"/>
      <c r="H695" s="786">
        <f>D695-F695</f>
        <v>-1.2391653290529678</v>
      </c>
      <c r="I695" s="753"/>
      <c r="J695" s="775">
        <f>+'store&amp;sf'!N98+'store&amp;sf'!P98+'store&amp;sf'!R98</f>
        <v>956</v>
      </c>
      <c r="K695" s="799"/>
      <c r="L695" s="788">
        <f>AVERAGE(J695,J694)</f>
        <v>973.5</v>
      </c>
      <c r="M695" s="753"/>
      <c r="N695" s="786">
        <f>(L695/L688-1)*100</f>
        <v>-6.9311663479923569</v>
      </c>
      <c r="O695" s="761"/>
      <c r="P695" s="787">
        <f>H695/N695*100</f>
        <v>17.87816460950901</v>
      </c>
      <c r="Q695" s="769"/>
      <c r="R695" s="753"/>
      <c r="S695" s="789">
        <f>+'segSales&amp;OM'!AL90</f>
        <v>640.20000000000005</v>
      </c>
      <c r="T695" s="753"/>
      <c r="U695" s="790">
        <f>S695/L695</f>
        <v>0.65762711864406787</v>
      </c>
      <c r="V695" s="753"/>
      <c r="W695" s="791">
        <f>(U695/U688-1)*100</f>
        <v>10.413798732214286</v>
      </c>
      <c r="X695" s="761"/>
      <c r="Y695" s="753"/>
      <c r="Z695" s="780">
        <f>+'store&amp;sf'!N462+'store&amp;sf'!P462+'store&amp;sf'!R462</f>
        <v>7.0324999999999998</v>
      </c>
      <c r="AA695" s="799"/>
      <c r="AB695" s="792">
        <f>AVERAGE(Z695,Z694)</f>
        <v>7.1124999999999998</v>
      </c>
      <c r="AC695" s="753"/>
      <c r="AD695" s="786">
        <f>(AB695/AB688-1)*100</f>
        <v>-3.7387920825579402</v>
      </c>
      <c r="AE695" s="761"/>
      <c r="AF695" s="787">
        <f>+H695/AD695*100</f>
        <v>33.143467239964245</v>
      </c>
      <c r="AG695" s="769"/>
      <c r="AH695" s="753"/>
      <c r="AI695" s="789">
        <f>+S695</f>
        <v>640.20000000000005</v>
      </c>
      <c r="AJ695" s="753"/>
      <c r="AK695" s="788">
        <f>AI695/AB695</f>
        <v>90.010544815465735</v>
      </c>
      <c r="AL695" s="753"/>
      <c r="AM695" s="791">
        <f>(AK695/AK688-1)*100</f>
        <v>6.752072713526891</v>
      </c>
      <c r="AN695" s="761"/>
      <c r="AO695" s="753"/>
    </row>
    <row r="696" spans="1:41" hidden="1" outlineLevel="1">
      <c r="A696" s="753"/>
      <c r="B696" s="760" t="str">
        <f>$B$30</f>
        <v>Year</v>
      </c>
      <c r="C696" s="753"/>
      <c r="D696" s="802">
        <f>(S696/S689-1)*100</f>
        <v>-8.6830680173666241E-2</v>
      </c>
      <c r="E696" s="753"/>
      <c r="F696" s="772">
        <f>+F692*S692/S696+F693*S693/S696+F694*S694/S696+F695*S695/S696</f>
        <v>0.51318076477404428</v>
      </c>
      <c r="G696" s="753"/>
      <c r="H696" s="802">
        <f>D696-F696</f>
        <v>-0.60001144494771053</v>
      </c>
      <c r="I696" s="753"/>
      <c r="J696" s="753"/>
      <c r="K696" s="753"/>
      <c r="L696" s="793">
        <f>AVERAGE(L692:L695)</f>
        <v>991.625</v>
      </c>
      <c r="M696" s="753"/>
      <c r="N696" s="768">
        <f>(L696/L689-1)*100</f>
        <v>-7.1838071838071897</v>
      </c>
      <c r="O696" s="761"/>
      <c r="P696" s="772">
        <f>H696/N696*100</f>
        <v>8.3522765797525693</v>
      </c>
      <c r="Q696" s="769"/>
      <c r="R696" s="753"/>
      <c r="S696" s="777">
        <f>SUM(S692:S695)</f>
        <v>2071.1999999999998</v>
      </c>
      <c r="T696" s="753"/>
      <c r="U696" s="794">
        <f>SUM(U692:U695)</f>
        <v>2.0921640008836144</v>
      </c>
      <c r="V696" s="753"/>
      <c r="W696" s="779">
        <f>(U696/U689-1)*100</f>
        <v>7.6091616348477498</v>
      </c>
      <c r="X696" s="761"/>
      <c r="Y696" s="753"/>
      <c r="Z696" s="770"/>
      <c r="AA696" s="753"/>
      <c r="AB696" s="781">
        <f>AVERAGE(AB692:AB695)</f>
        <v>7.1543749999999999</v>
      </c>
      <c r="AC696" s="753"/>
      <c r="AD696" s="768">
        <f>(AB696/AB689-1)*100</f>
        <v>-3.5189009229213308</v>
      </c>
      <c r="AE696" s="761"/>
      <c r="AF696" s="772">
        <f>+H696/AD696*100</f>
        <v>17.051103685226561</v>
      </c>
      <c r="AG696" s="769"/>
      <c r="AH696" s="753"/>
      <c r="AI696" s="777">
        <f>SUM(AI692:AI695)</f>
        <v>2071.1999999999998</v>
      </c>
      <c r="AJ696" s="753"/>
      <c r="AK696" s="795">
        <f>SUM(AK692:AK695)</f>
        <v>289.66353455308717</v>
      </c>
      <c r="AL696" s="753"/>
      <c r="AM696" s="779">
        <f>(AK696/AK689-1)*100</f>
        <v>3.5899129407954256</v>
      </c>
      <c r="AN696" s="761"/>
      <c r="AO696" s="753"/>
    </row>
    <row r="697" spans="1:41" hidden="1" outlineLevel="1">
      <c r="A697" s="753"/>
      <c r="B697" s="760"/>
      <c r="C697" s="753"/>
      <c r="D697" s="753"/>
      <c r="E697" s="753"/>
      <c r="F697" s="753"/>
      <c r="G697" s="753"/>
      <c r="H697" s="753"/>
      <c r="I697" s="753"/>
      <c r="J697" s="753"/>
      <c r="K697" s="753"/>
      <c r="L697" s="753"/>
      <c r="M697" s="753"/>
      <c r="N697" s="753"/>
      <c r="O697" s="761"/>
      <c r="P697" s="753"/>
      <c r="Q697" s="753"/>
      <c r="R697" s="753"/>
      <c r="S697" s="753"/>
      <c r="T697" s="753"/>
      <c r="U697" s="753"/>
      <c r="V697" s="753"/>
      <c r="W697" s="753"/>
      <c r="X697" s="753"/>
      <c r="Y697" s="753"/>
      <c r="Z697" s="753"/>
      <c r="AA697" s="753"/>
      <c r="AB697" s="753"/>
      <c r="AC697" s="753"/>
      <c r="AD697" s="753"/>
      <c r="AE697" s="761"/>
      <c r="AF697" s="753"/>
      <c r="AG697" s="753"/>
      <c r="AH697" s="753"/>
      <c r="AI697" s="753"/>
      <c r="AJ697" s="753"/>
      <c r="AK697" s="753"/>
      <c r="AL697" s="753"/>
      <c r="AM697" s="753"/>
      <c r="AN697" s="753"/>
      <c r="AO697" s="753"/>
    </row>
    <row r="698" spans="1:41" hidden="1" outlineLevel="1">
      <c r="A698" s="766"/>
      <c r="B698" s="796">
        <f>B691+1</f>
        <v>2004</v>
      </c>
      <c r="C698" s="753"/>
      <c r="D698" s="768"/>
      <c r="E698" s="773"/>
      <c r="F698" s="768"/>
      <c r="G698" s="773"/>
      <c r="H698" s="768"/>
      <c r="I698" s="761"/>
      <c r="J698" s="753"/>
      <c r="K698" s="753"/>
      <c r="L698" s="753"/>
      <c r="M698" s="753"/>
      <c r="N698" s="753"/>
      <c r="O698" s="761"/>
      <c r="P698" s="769"/>
      <c r="Q698" s="769"/>
      <c r="R698" s="753"/>
      <c r="S698" s="753"/>
      <c r="T698" s="753"/>
      <c r="U698" s="753"/>
      <c r="V698" s="753"/>
      <c r="W698" s="753"/>
      <c r="X698" s="761"/>
      <c r="Y698" s="753"/>
      <c r="Z698" s="770"/>
      <c r="AA698" s="753"/>
      <c r="AB698" s="771"/>
      <c r="AC698" s="753"/>
      <c r="AD698" s="753"/>
      <c r="AE698" s="761"/>
      <c r="AF698" s="772"/>
      <c r="AG698" s="769"/>
      <c r="AH698" s="753"/>
      <c r="AI698" s="753"/>
      <c r="AJ698" s="753"/>
      <c r="AK698" s="753"/>
      <c r="AL698" s="753"/>
      <c r="AM698" s="753"/>
      <c r="AN698" s="761"/>
      <c r="AO698" s="753"/>
    </row>
    <row r="699" spans="1:41" hidden="1" outlineLevel="1">
      <c r="A699" s="753" t="str">
        <f>$A$26</f>
        <v>1Q</v>
      </c>
      <c r="B699" s="760" t="str">
        <f>$B$26</f>
        <v>Apr</v>
      </c>
      <c r="C699" s="753"/>
      <c r="D699" s="768">
        <f>(S699/S692-1)*100</f>
        <v>-2.6661024121878985</v>
      </c>
      <c r="E699" s="773" t="s">
        <v>1084</v>
      </c>
      <c r="F699" s="774">
        <v>0</v>
      </c>
      <c r="G699" s="773" t="s">
        <v>1084</v>
      </c>
      <c r="H699" s="768">
        <f>D699-F699</f>
        <v>-2.6661024121878985</v>
      </c>
      <c r="I699" s="761" t="s">
        <v>1084</v>
      </c>
      <c r="J699" s="775">
        <f>+'store&amp;sf'!N101+'store&amp;sf'!P101+'store&amp;sf'!R101</f>
        <v>934</v>
      </c>
      <c r="K699" s="753"/>
      <c r="L699" s="776">
        <f>AVERAGE(J699,J695)</f>
        <v>945</v>
      </c>
      <c r="M699" s="753"/>
      <c r="N699" s="768">
        <f>(L699/L692-1)*100</f>
        <v>-6.481939633844636</v>
      </c>
      <c r="O699" s="761" t="s">
        <v>1084</v>
      </c>
      <c r="P699" s="772">
        <f>H699/N699*100</f>
        <v>41.131244084211751</v>
      </c>
      <c r="Q699" s="769" t="s">
        <v>1084</v>
      </c>
      <c r="R699" s="753"/>
      <c r="S699" s="777">
        <f>+'segSales&amp;OM'!AL94</f>
        <v>460</v>
      </c>
      <c r="T699" s="753"/>
      <c r="U699" s="794">
        <f>S699/L699</f>
        <v>0.48677248677248675</v>
      </c>
      <c r="V699" s="753"/>
      <c r="W699" s="779">
        <f>(U699/U692-1)*100</f>
        <v>4.0803211772318715</v>
      </c>
      <c r="X699" s="761" t="s">
        <v>1084</v>
      </c>
      <c r="Y699" s="753"/>
      <c r="Z699" s="780">
        <f>+'store&amp;sf'!N465+'store&amp;sf'!P465+'store&amp;sf'!R465</f>
        <v>6.942499999999999</v>
      </c>
      <c r="AA699" s="753"/>
      <c r="AB699" s="781">
        <f>AVERAGE(Z699,Z695)</f>
        <v>6.9874999999999989</v>
      </c>
      <c r="AC699" s="753"/>
      <c r="AD699" s="768">
        <f>(AB699/AB692-1)*100</f>
        <v>-3.6705152507323868</v>
      </c>
      <c r="AE699" s="761" t="s">
        <v>1084</v>
      </c>
      <c r="AF699" s="772">
        <f>+H699/AD699*100</f>
        <v>72.635644591203501</v>
      </c>
      <c r="AG699" s="769" t="s">
        <v>1084</v>
      </c>
      <c r="AH699" s="753"/>
      <c r="AI699" s="777">
        <f>+S699</f>
        <v>460</v>
      </c>
      <c r="AJ699" s="753"/>
      <c r="AK699" s="795">
        <f>AI699/AB699</f>
        <v>65.831842576028635</v>
      </c>
      <c r="AL699" s="753"/>
      <c r="AM699" s="779">
        <f>(AK699/AK692-1)*100</f>
        <v>1.0426847409791717</v>
      </c>
      <c r="AN699" s="761" t="s">
        <v>1084</v>
      </c>
      <c r="AO699" s="753"/>
    </row>
    <row r="700" spans="1:41" hidden="1" outlineLevel="1">
      <c r="A700" s="753" t="str">
        <f>$A$27</f>
        <v>2Q</v>
      </c>
      <c r="B700" s="760" t="str">
        <f>$B$27</f>
        <v>Jul</v>
      </c>
      <c r="C700" s="753"/>
      <c r="D700" s="768">
        <f>(S700/S693-1)*100</f>
        <v>2.1992522542335635</v>
      </c>
      <c r="E700" s="768"/>
      <c r="F700" s="800">
        <v>3</v>
      </c>
      <c r="G700" s="768"/>
      <c r="H700" s="768">
        <f>D700-F700</f>
        <v>-0.80074774576643648</v>
      </c>
      <c r="I700" s="753"/>
      <c r="J700" s="775">
        <f>+'store&amp;sf'!N102+'store&amp;sf'!P102+'store&amp;sf'!R102</f>
        <v>914</v>
      </c>
      <c r="K700" s="799"/>
      <c r="L700" s="776">
        <f>AVERAGE(J700,J699)</f>
        <v>924</v>
      </c>
      <c r="M700" s="753"/>
      <c r="N700" s="768">
        <f>(L700/L693-1)*100</f>
        <v>-6.7608476286579178</v>
      </c>
      <c r="O700" s="761"/>
      <c r="P700" s="772">
        <f>H700/N700*100</f>
        <v>11.843895762008044</v>
      </c>
      <c r="Q700" s="769"/>
      <c r="R700" s="753"/>
      <c r="S700" s="784">
        <f>'segSales&amp;OM'!AL95</f>
        <v>464.7</v>
      </c>
      <c r="T700" s="753"/>
      <c r="U700" s="785">
        <f>S700/L700</f>
        <v>0.50292207792207788</v>
      </c>
      <c r="V700" s="753"/>
      <c r="W700" s="779">
        <f>(U700/U693-1)*100</f>
        <v>9.6098040951790651</v>
      </c>
      <c r="X700" s="761"/>
      <c r="Y700" s="753"/>
      <c r="Z700" s="780">
        <f>+'store&amp;sf'!N466+'store&amp;sf'!P466+'store&amp;sf'!R466</f>
        <v>6.8762499999999998</v>
      </c>
      <c r="AA700" s="799"/>
      <c r="AB700" s="781">
        <f>AVERAGE(Z700,Z699)</f>
        <v>6.9093749999999989</v>
      </c>
      <c r="AC700" s="753"/>
      <c r="AD700" s="768">
        <f>(AB700/AB693-1)*100</f>
        <v>-3.0348215068853657</v>
      </c>
      <c r="AE700" s="761"/>
      <c r="AF700" s="772">
        <f>+H700/AD700*100</f>
        <v>26.385332512957017</v>
      </c>
      <c r="AG700" s="769"/>
      <c r="AH700" s="753"/>
      <c r="AI700" s="784">
        <f>+S700</f>
        <v>464.7</v>
      </c>
      <c r="AJ700" s="753"/>
      <c r="AK700" s="776">
        <f>AI700/AB700</f>
        <v>67.256445047489834</v>
      </c>
      <c r="AL700" s="753"/>
      <c r="AM700" s="779">
        <f>(AK700/AK693-1)*100</f>
        <v>5.3978900905035543</v>
      </c>
      <c r="AN700" s="761"/>
      <c r="AO700" s="753"/>
    </row>
    <row r="701" spans="1:41" hidden="1" outlineLevel="1">
      <c r="A701" s="753" t="str">
        <f>$A$28</f>
        <v>3Q</v>
      </c>
      <c r="B701" s="760" t="str">
        <f>$B$28</f>
        <v>Oct</v>
      </c>
      <c r="C701" s="753"/>
      <c r="D701" s="768">
        <f>(S701/S694-1)*100</f>
        <v>-10.750645225332544</v>
      </c>
      <c r="E701" s="768"/>
      <c r="F701" s="800">
        <v>-12</v>
      </c>
      <c r="G701" s="768"/>
      <c r="H701" s="768">
        <f>D701-F701</f>
        <v>1.2493547746674558</v>
      </c>
      <c r="I701" s="753"/>
      <c r="J701" s="775">
        <f>+'store&amp;sf'!N103+'store&amp;sf'!P103+'store&amp;sf'!R103</f>
        <v>918</v>
      </c>
      <c r="K701" s="799"/>
      <c r="L701" s="776">
        <f>AVERAGE(J701,J700)</f>
        <v>916</v>
      </c>
      <c r="M701" s="753"/>
      <c r="N701" s="768">
        <f>(L701/L694-1)*100</f>
        <v>-7.6147251638930875</v>
      </c>
      <c r="O701" s="761"/>
      <c r="P701" s="772">
        <f>H701/N701*100</f>
        <v>-16.407089524275271</v>
      </c>
      <c r="Q701" s="769"/>
      <c r="R701" s="753"/>
      <c r="S701" s="784">
        <f>'segSales&amp;OM'!AL96</f>
        <v>449.54899999999998</v>
      </c>
      <c r="T701" s="753"/>
      <c r="U701" s="785">
        <f>S701/L701</f>
        <v>0.49077401746724886</v>
      </c>
      <c r="V701" s="753"/>
      <c r="W701" s="779">
        <f>(U701/U694-1)*100</f>
        <v>-3.3943938219620273</v>
      </c>
      <c r="X701" s="761"/>
      <c r="Y701" s="753"/>
      <c r="Z701" s="780">
        <f>+'store&amp;sf'!N467+'store&amp;sf'!P467+'store&amp;sf'!R467</f>
        <v>6.92875</v>
      </c>
      <c r="AA701" s="799"/>
      <c r="AB701" s="781">
        <f>AVERAGE(Z701,Z700)</f>
        <v>6.9024999999999999</v>
      </c>
      <c r="AC701" s="753"/>
      <c r="AD701" s="768">
        <f>(AB701/AB694-1)*100</f>
        <v>-3.1313042715551243</v>
      </c>
      <c r="AE701" s="761"/>
      <c r="AF701" s="772">
        <f>+H701/AD701*100</f>
        <v>-39.898862145612533</v>
      </c>
      <c r="AG701" s="769"/>
      <c r="AH701" s="753"/>
      <c r="AI701" s="784">
        <f>+S701</f>
        <v>449.54899999999998</v>
      </c>
      <c r="AJ701" s="753"/>
      <c r="AK701" s="776">
        <f>AI701/AB701</f>
        <v>65.128431727634919</v>
      </c>
      <c r="AL701" s="753"/>
      <c r="AM701" s="779">
        <f>(AK701/AK694-1)*100</f>
        <v>-7.8656380128591437</v>
      </c>
      <c r="AN701" s="761"/>
      <c r="AO701" s="753"/>
    </row>
    <row r="702" spans="1:41" hidden="1" outlineLevel="1">
      <c r="A702" s="753" t="str">
        <f>$A$29</f>
        <v>4Q</v>
      </c>
      <c r="B702" s="760" t="str">
        <f>$B$29</f>
        <v>Jan</v>
      </c>
      <c r="C702" s="753"/>
      <c r="D702" s="786">
        <f>(S702/S695-1)*100</f>
        <v>-15.870040612308657</v>
      </c>
      <c r="E702" s="753"/>
      <c r="F702" s="803">
        <v>-17</v>
      </c>
      <c r="G702" s="753"/>
      <c r="H702" s="786">
        <f>D702-F702</f>
        <v>1.1299593876913434</v>
      </c>
      <c r="I702" s="753"/>
      <c r="J702" s="775">
        <f>+'store&amp;sf'!N104+'store&amp;sf'!P104+'store&amp;sf'!R104</f>
        <v>884</v>
      </c>
      <c r="K702" s="799"/>
      <c r="L702" s="788">
        <f>AVERAGE(J702,J701)</f>
        <v>901</v>
      </c>
      <c r="M702" s="753"/>
      <c r="N702" s="786">
        <f>(L702/L695-1)*100</f>
        <v>-7.4473549049820287</v>
      </c>
      <c r="O702" s="761"/>
      <c r="P702" s="787">
        <f>H702/N702*100</f>
        <v>-15.172627088517546</v>
      </c>
      <c r="Q702" s="769"/>
      <c r="R702" s="753"/>
      <c r="S702" s="789">
        <f>'segSales&amp;OM'!AL97</f>
        <v>538.6</v>
      </c>
      <c r="T702" s="753"/>
      <c r="U702" s="790">
        <f>S702/L702</f>
        <v>0.59778024417314102</v>
      </c>
      <c r="V702" s="753"/>
      <c r="W702" s="791">
        <f>(U702/U695-1)*100</f>
        <v>-9.1004267881048548</v>
      </c>
      <c r="X702" s="761"/>
      <c r="Y702" s="753"/>
      <c r="Z702" s="780">
        <f>+'store&amp;sf'!N468+'store&amp;sf'!P468+'store&amp;sf'!R468</f>
        <v>6.74</v>
      </c>
      <c r="AA702" s="799"/>
      <c r="AB702" s="792">
        <f>AVERAGE(Z702,Z701)</f>
        <v>6.8343749999999996</v>
      </c>
      <c r="AC702" s="753"/>
      <c r="AD702" s="786">
        <f>(AB702/AB695-1)*100</f>
        <v>-3.9103690685413084</v>
      </c>
      <c r="AE702" s="761"/>
      <c r="AF702" s="787">
        <f>+H702/AD702*100</f>
        <v>-28.896489509949351</v>
      </c>
      <c r="AG702" s="769"/>
      <c r="AH702" s="753"/>
      <c r="AI702" s="789">
        <f>+S702</f>
        <v>538.6</v>
      </c>
      <c r="AJ702" s="753"/>
      <c r="AK702" s="788">
        <f>AI702/AB702</f>
        <v>78.80749885688158</v>
      </c>
      <c r="AL702" s="753"/>
      <c r="AM702" s="791">
        <f>(AK702/AK695-1)*100</f>
        <v>-12.446370568639454</v>
      </c>
      <c r="AN702" s="761"/>
      <c r="AO702" s="753"/>
    </row>
    <row r="703" spans="1:41" hidden="1" outlineLevel="1">
      <c r="A703" s="753"/>
      <c r="B703" s="760" t="str">
        <f>$B$30</f>
        <v>Year</v>
      </c>
      <c r="C703" s="753"/>
      <c r="D703" s="802">
        <f>(S703/S696-1)*100</f>
        <v>-7.6453746620316565</v>
      </c>
      <c r="E703" s="753"/>
      <c r="F703" s="772">
        <f>+F699*S699/S703+F700*S700/S703+F701*S701/S703+F702*S702/S703</f>
        <v>-6.8780588535739096</v>
      </c>
      <c r="G703" s="753"/>
      <c r="H703" s="802">
        <f>D703-F703</f>
        <v>-0.76731580845774694</v>
      </c>
      <c r="I703" s="753"/>
      <c r="J703" s="753"/>
      <c r="K703" s="753"/>
      <c r="L703" s="793">
        <f>AVERAGE(L699:L702)</f>
        <v>921.5</v>
      </c>
      <c r="M703" s="753"/>
      <c r="N703" s="768">
        <f>(L703/L696-1)*100</f>
        <v>-7.0717257027606228</v>
      </c>
      <c r="O703" s="761"/>
      <c r="P703" s="772">
        <f>H703/N703*100</f>
        <v>10.850474703200186</v>
      </c>
      <c r="Q703" s="769"/>
      <c r="R703" s="753"/>
      <c r="S703" s="777">
        <f>SUM(S699:S702)</f>
        <v>1912.8490000000002</v>
      </c>
      <c r="T703" s="753"/>
      <c r="U703" s="794">
        <f>SUM(U699:U702)</f>
        <v>2.0782488263349546</v>
      </c>
      <c r="V703" s="753"/>
      <c r="W703" s="779">
        <f>(U703/U696-1)*100</f>
        <v>-0.66510916652723351</v>
      </c>
      <c r="X703" s="761"/>
      <c r="Y703" s="753"/>
      <c r="Z703" s="770"/>
      <c r="AA703" s="753"/>
      <c r="AB703" s="781">
        <f>AVERAGE(AB699:AB702)</f>
        <v>6.9084374999999998</v>
      </c>
      <c r="AC703" s="753"/>
      <c r="AD703" s="768">
        <f>(AB703/AB696-1)*100</f>
        <v>-3.4375818991875584</v>
      </c>
      <c r="AE703" s="761"/>
      <c r="AF703" s="772">
        <f>+H703/AD703*100</f>
        <v>22.321382616050403</v>
      </c>
      <c r="AG703" s="769"/>
      <c r="AH703" s="753"/>
      <c r="AI703" s="777">
        <f>SUM(AI699:AI702)</f>
        <v>1912.8490000000002</v>
      </c>
      <c r="AJ703" s="753"/>
      <c r="AK703" s="795">
        <f>SUM(AK699:AK702)</f>
        <v>277.02421820803494</v>
      </c>
      <c r="AL703" s="753"/>
      <c r="AM703" s="779">
        <f>(AK703/AK696-1)*100</f>
        <v>-4.3634475304435654</v>
      </c>
      <c r="AN703" s="761"/>
      <c r="AO703" s="753"/>
    </row>
    <row r="704" spans="1:41" hidden="1" outlineLevel="1">
      <c r="A704" s="753"/>
      <c r="B704" s="760"/>
      <c r="C704" s="753"/>
      <c r="D704" s="753"/>
      <c r="E704" s="753"/>
      <c r="F704" s="753"/>
      <c r="G704" s="753"/>
      <c r="H704" s="753"/>
      <c r="I704" s="753"/>
      <c r="J704" s="753"/>
      <c r="K704" s="753"/>
      <c r="L704" s="753"/>
      <c r="M704" s="753"/>
      <c r="N704" s="753"/>
      <c r="O704" s="761"/>
      <c r="P704" s="753"/>
      <c r="Q704" s="753"/>
      <c r="R704" s="753"/>
      <c r="S704" s="753"/>
      <c r="T704" s="753"/>
      <c r="U704" s="753"/>
      <c r="V704" s="753"/>
      <c r="W704" s="753"/>
      <c r="X704" s="753"/>
      <c r="Y704" s="753"/>
      <c r="Z704" s="753"/>
      <c r="AA704" s="753"/>
      <c r="AB704" s="753"/>
      <c r="AC704" s="753"/>
      <c r="AD704" s="753"/>
      <c r="AE704" s="761"/>
      <c r="AF704" s="753"/>
      <c r="AG704" s="753"/>
      <c r="AH704" s="753"/>
      <c r="AI704" s="753"/>
      <c r="AJ704" s="753"/>
      <c r="AK704" s="753"/>
      <c r="AL704" s="753"/>
      <c r="AM704" s="753"/>
      <c r="AN704" s="753"/>
      <c r="AO704" s="753"/>
    </row>
    <row r="705" spans="1:41" hidden="1" outlineLevel="1">
      <c r="A705" s="766"/>
      <c r="B705" s="804">
        <f>B698+1</f>
        <v>2005</v>
      </c>
      <c r="C705" s="753"/>
      <c r="D705" s="768"/>
      <c r="E705" s="773"/>
      <c r="F705" s="768"/>
      <c r="G705" s="773"/>
      <c r="H705" s="768"/>
      <c r="I705" s="761"/>
      <c r="J705" s="753"/>
      <c r="K705" s="753"/>
      <c r="L705" s="753"/>
      <c r="M705" s="753"/>
      <c r="N705" s="753"/>
      <c r="O705" s="761"/>
      <c r="P705" s="769"/>
      <c r="Q705" s="769"/>
      <c r="R705" s="753"/>
      <c r="S705" s="753"/>
      <c r="T705" s="753"/>
      <c r="U705" s="753"/>
      <c r="V705" s="753"/>
      <c r="W705" s="753"/>
      <c r="X705" s="761"/>
      <c r="Y705" s="753"/>
      <c r="Z705" s="770"/>
      <c r="AA705" s="753"/>
      <c r="AB705" s="771"/>
      <c r="AC705" s="753"/>
      <c r="AD705" s="753"/>
      <c r="AE705" s="761"/>
      <c r="AF705" s="772"/>
      <c r="AG705" s="769"/>
      <c r="AH705" s="753"/>
      <c r="AI705" s="753"/>
      <c r="AJ705" s="753"/>
      <c r="AK705" s="753"/>
      <c r="AL705" s="753"/>
      <c r="AM705" s="753"/>
      <c r="AN705" s="761"/>
      <c r="AO705" s="753"/>
    </row>
    <row r="706" spans="1:41" hidden="1" outlineLevel="1">
      <c r="A706" s="753" t="str">
        <f>$A$26</f>
        <v>1Q</v>
      </c>
      <c r="B706" s="760" t="str">
        <f>$B$26</f>
        <v>Apr</v>
      </c>
      <c r="C706" s="753"/>
      <c r="D706" s="768">
        <f>(S706/S699-1)*100</f>
        <v>-19.304347826086953</v>
      </c>
      <c r="E706" s="773" t="s">
        <v>1084</v>
      </c>
      <c r="F706" s="774">
        <v>-21</v>
      </c>
      <c r="G706" s="773" t="s">
        <v>1084</v>
      </c>
      <c r="H706" s="768">
        <f>D706-F706</f>
        <v>1.6956521739130466</v>
      </c>
      <c r="I706" s="761" t="s">
        <v>1084</v>
      </c>
      <c r="J706" s="775">
        <f>+'store&amp;sf'!N107+'store&amp;sf'!P107+'store&amp;sf'!R107</f>
        <v>811</v>
      </c>
      <c r="K706" s="753"/>
      <c r="L706" s="776">
        <f>AVERAGE(J706,J702)</f>
        <v>847.5</v>
      </c>
      <c r="M706" s="753"/>
      <c r="N706" s="768">
        <f>(L706/L699-1)*100</f>
        <v>-10.317460317460315</v>
      </c>
      <c r="O706" s="761" t="s">
        <v>1084</v>
      </c>
      <c r="P706" s="772">
        <f>H706/N706*100</f>
        <v>-16.434782608695684</v>
      </c>
      <c r="Q706" s="769" t="s">
        <v>1084</v>
      </c>
      <c r="R706" s="753"/>
      <c r="S706" s="777">
        <f>'segSales&amp;OM'!AL101</f>
        <v>371.2</v>
      </c>
      <c r="T706" s="753"/>
      <c r="U706" s="794">
        <f>S706/L706</f>
        <v>0.43799410029498526</v>
      </c>
      <c r="V706" s="753"/>
      <c r="W706" s="779">
        <f>(U706/U699-1)*100</f>
        <v>-10.020777222008459</v>
      </c>
      <c r="X706" s="761" t="s">
        <v>1084</v>
      </c>
      <c r="Y706" s="753"/>
      <c r="Z706" s="780">
        <f>+'store&amp;sf'!N471+'store&amp;sf'!P471+'store&amp;sf'!R471</f>
        <v>6.6324999999999994</v>
      </c>
      <c r="AA706" s="753"/>
      <c r="AB706" s="781">
        <f>AVERAGE(Z706,Z702)</f>
        <v>6.6862499999999994</v>
      </c>
      <c r="AC706" s="753"/>
      <c r="AD706" s="768">
        <f>(AB706/AB699-1)*100</f>
        <v>-4.3112701252236096</v>
      </c>
      <c r="AE706" s="761" t="s">
        <v>1084</v>
      </c>
      <c r="AF706" s="772">
        <f>+H706/AD706*100</f>
        <v>-39.330687353418838</v>
      </c>
      <c r="AG706" s="769" t="s">
        <v>1084</v>
      </c>
      <c r="AH706" s="753"/>
      <c r="AI706" s="777">
        <f>+S706</f>
        <v>371.2</v>
      </c>
      <c r="AJ706" s="753"/>
      <c r="AK706" s="795">
        <f>AI706/AB706</f>
        <v>55.516919050289779</v>
      </c>
      <c r="AL706" s="753"/>
      <c r="AM706" s="779">
        <f>(AK706/AK699-1)*100</f>
        <v>-15.668593073065274</v>
      </c>
      <c r="AN706" s="761" t="s">
        <v>1084</v>
      </c>
      <c r="AO706" s="753"/>
    </row>
    <row r="707" spans="1:41" hidden="1" outlineLevel="1">
      <c r="A707" s="753" t="str">
        <f>$A$27</f>
        <v>2Q</v>
      </c>
      <c r="B707" s="760" t="str">
        <f>$B$27</f>
        <v>Jul</v>
      </c>
      <c r="C707" s="753"/>
      <c r="D707" s="768">
        <f>(S707/S700-1)*100</f>
        <v>-9.6836668818592653</v>
      </c>
      <c r="E707" s="768"/>
      <c r="F707" s="800">
        <v>-12</v>
      </c>
      <c r="G707" s="768"/>
      <c r="H707" s="768">
        <f>D707-F707</f>
        <v>2.3163331181407347</v>
      </c>
      <c r="I707" s="753"/>
      <c r="J707" s="775">
        <f>+'store&amp;sf'!N108+'store&amp;sf'!P108+'store&amp;sf'!R108</f>
        <v>792</v>
      </c>
      <c r="K707" s="799"/>
      <c r="L707" s="776">
        <f>AVERAGE(J707,J706)</f>
        <v>801.5</v>
      </c>
      <c r="M707" s="753"/>
      <c r="N707" s="768">
        <f>(L707/L700-1)*100</f>
        <v>-13.257575757575758</v>
      </c>
      <c r="O707" s="761"/>
      <c r="P707" s="772">
        <f>H707/N707*100</f>
        <v>-17.471769805404399</v>
      </c>
      <c r="Q707" s="769"/>
      <c r="R707" s="753"/>
      <c r="S707" s="784">
        <f>'segSales&amp;OM'!AL102</f>
        <v>419.7</v>
      </c>
      <c r="T707" s="753"/>
      <c r="U707" s="785">
        <f>S707/L707</f>
        <v>0.52364316905801622</v>
      </c>
      <c r="V707" s="753"/>
      <c r="W707" s="779">
        <f>(U707/U700-1)*100</f>
        <v>4.1201394899089694</v>
      </c>
      <c r="X707" s="761"/>
      <c r="Y707" s="753"/>
      <c r="Z707" s="780">
        <f>+'store&amp;sf'!N472+'store&amp;sf'!P472+'store&amp;sf'!R472</f>
        <v>6.5562499999999986</v>
      </c>
      <c r="AA707" s="799"/>
      <c r="AB707" s="781">
        <f>AVERAGE(Z707,Z706)</f>
        <v>6.5943749999999994</v>
      </c>
      <c r="AC707" s="753"/>
      <c r="AD707" s="768">
        <f>(AB707/AB700-1)*100</f>
        <v>-4.5590230664857456</v>
      </c>
      <c r="AE707" s="761"/>
      <c r="AF707" s="772">
        <f>+H707/AD707*100</f>
        <v>-50.807663930646555</v>
      </c>
      <c r="AG707" s="769"/>
      <c r="AH707" s="753"/>
      <c r="AI707" s="784">
        <f>+S707</f>
        <v>419.7</v>
      </c>
      <c r="AJ707" s="753"/>
      <c r="AK707" s="776">
        <f>AI707/AB707</f>
        <v>63.645152118282631</v>
      </c>
      <c r="AL707" s="753"/>
      <c r="AM707" s="779">
        <f>(AK707/AK700-1)*100</f>
        <v>-5.3694377195483085</v>
      </c>
      <c r="AN707" s="761"/>
      <c r="AO707" s="753"/>
    </row>
    <row r="708" spans="1:41" hidden="1" outlineLevel="1">
      <c r="A708" s="753" t="str">
        <f>$A$28</f>
        <v>3Q</v>
      </c>
      <c r="B708" s="760" t="str">
        <f>$B$28</f>
        <v>Oct</v>
      </c>
      <c r="C708" s="753"/>
      <c r="D708" s="768">
        <f>(S708/S701-1)*100</f>
        <v>-6.2420336826463974</v>
      </c>
      <c r="E708" s="768"/>
      <c r="F708" s="772">
        <v>-6</v>
      </c>
      <c r="G708" s="768"/>
      <c r="H708" s="768">
        <f>D708-F708</f>
        <v>-0.24203368264639735</v>
      </c>
      <c r="I708" s="753"/>
      <c r="J708" s="775">
        <f>+'store&amp;sf'!N109+'store&amp;sf'!P109+'store&amp;sf'!R109</f>
        <v>791</v>
      </c>
      <c r="K708" s="799"/>
      <c r="L708" s="776">
        <f>AVERAGE(J708,J707)</f>
        <v>791.5</v>
      </c>
      <c r="M708" s="753"/>
      <c r="N708" s="768">
        <f>(L708/L701-1)*100</f>
        <v>-13.591703056768555</v>
      </c>
      <c r="O708" s="761"/>
      <c r="P708" s="772">
        <f>H708/N708*100</f>
        <v>1.7807458096714863</v>
      </c>
      <c r="Q708" s="769"/>
      <c r="R708" s="753"/>
      <c r="S708" s="784">
        <f>'segSales&amp;OM'!AL103</f>
        <v>421.48799999999994</v>
      </c>
      <c r="T708" s="753"/>
      <c r="U708" s="785">
        <f>S708/L708</f>
        <v>0.53251800379027159</v>
      </c>
      <c r="V708" s="753"/>
      <c r="W708" s="779">
        <f>(U708/U701-1)*100</f>
        <v>8.5057449737156112</v>
      </c>
      <c r="X708" s="761"/>
      <c r="Y708" s="753"/>
      <c r="Z708" s="780">
        <f>+'store&amp;sf'!N473+'store&amp;sf'!P473+'store&amp;sf'!R473</f>
        <v>6.5887500000000001</v>
      </c>
      <c r="AA708" s="799"/>
      <c r="AB708" s="781">
        <f>AVERAGE(Z708,Z707)</f>
        <v>6.5724999999999998</v>
      </c>
      <c r="AC708" s="753"/>
      <c r="AD708" s="768">
        <f>(AB708/AB701-1)*100</f>
        <v>-4.7808764940239001</v>
      </c>
      <c r="AE708" s="761"/>
      <c r="AF708" s="772">
        <f>+H708/AD708*100</f>
        <v>5.0625378620204824</v>
      </c>
      <c r="AG708" s="769"/>
      <c r="AH708" s="753"/>
      <c r="AI708" s="784">
        <f>+S708</f>
        <v>421.48799999999994</v>
      </c>
      <c r="AJ708" s="753"/>
      <c r="AK708" s="776">
        <f>AI708/AB708</f>
        <v>64.129022441993143</v>
      </c>
      <c r="AL708" s="753"/>
      <c r="AM708" s="779">
        <f>(AK708/AK701-1)*100</f>
        <v>-1.5345207294738428</v>
      </c>
      <c r="AN708" s="761"/>
      <c r="AO708" s="753"/>
    </row>
    <row r="709" spans="1:41" hidden="1" outlineLevel="1">
      <c r="A709" s="753" t="str">
        <f>$A$29</f>
        <v>4Q</v>
      </c>
      <c r="B709" s="760" t="str">
        <f>$B$29</f>
        <v>Jan</v>
      </c>
      <c r="C709" s="753"/>
      <c r="D709" s="791">
        <f>(S709/S702-1)*100</f>
        <v>5.2729298180467898</v>
      </c>
      <c r="E709" s="753"/>
      <c r="F709" s="787">
        <v>6</v>
      </c>
      <c r="G709" s="753"/>
      <c r="H709" s="791">
        <f>D709-F709</f>
        <v>-0.72707018195321016</v>
      </c>
      <c r="I709" s="753"/>
      <c r="J709" s="775">
        <f>+'store&amp;sf'!N110+'store&amp;sf'!P110+'store&amp;sf'!R110</f>
        <v>743</v>
      </c>
      <c r="K709" s="799"/>
      <c r="L709" s="788">
        <f>AVERAGE(J709,J708)</f>
        <v>767</v>
      </c>
      <c r="M709" s="753"/>
      <c r="N709" s="786">
        <f>(L709/L702-1)*100</f>
        <v>-14.87236403995561</v>
      </c>
      <c r="O709" s="761"/>
      <c r="P709" s="805">
        <f>H709/N709*100</f>
        <v>4.8887330891033001</v>
      </c>
      <c r="Q709" s="769"/>
      <c r="R709" s="753"/>
      <c r="S709" s="789">
        <f>'segSales&amp;OM'!AL104</f>
        <v>567</v>
      </c>
      <c r="T709" s="753"/>
      <c r="U709" s="790">
        <f>S709/L709</f>
        <v>0.73924380704041726</v>
      </c>
      <c r="V709" s="753"/>
      <c r="W709" s="791">
        <f>(U709/U702-1)*100</f>
        <v>23.664810646753786</v>
      </c>
      <c r="X709" s="761"/>
      <c r="Y709" s="753"/>
      <c r="Z709" s="806">
        <f>+'store&amp;sf'!N474+'store&amp;sf'!P474+'store&amp;sf'!R474</f>
        <v>6.2587499999999991</v>
      </c>
      <c r="AA709" s="799"/>
      <c r="AB709" s="792">
        <f>AVERAGE(Z709,Z708)</f>
        <v>6.4237500000000001</v>
      </c>
      <c r="AC709" s="753"/>
      <c r="AD709" s="786">
        <f>(AB709/AB702-1)*100</f>
        <v>-6.0082304526748898</v>
      </c>
      <c r="AE709" s="761"/>
      <c r="AF709" s="787">
        <f>+H709/AD709*100</f>
        <v>12.10123659004317</v>
      </c>
      <c r="AG709" s="769"/>
      <c r="AH709" s="753"/>
      <c r="AI709" s="789">
        <f>+S709</f>
        <v>567</v>
      </c>
      <c r="AJ709" s="753"/>
      <c r="AK709" s="788">
        <f>AI709/AB709</f>
        <v>88.266199649737302</v>
      </c>
      <c r="AL709" s="753"/>
      <c r="AM709" s="791">
        <f>(AK709/AK702-1)*100</f>
        <v>12.002285226731036</v>
      </c>
      <c r="AN709" s="761"/>
      <c r="AO709" s="753"/>
    </row>
    <row r="710" spans="1:41" hidden="1" outlineLevel="1">
      <c r="A710" s="753"/>
      <c r="B710" s="760" t="str">
        <f>$B$30</f>
        <v>Year</v>
      </c>
      <c r="C710" s="753"/>
      <c r="D710" s="802">
        <f>(S710/S703-1)*100</f>
        <v>-6.9770797381288441</v>
      </c>
      <c r="E710" s="753"/>
      <c r="F710" s="772">
        <f>+F706*S706/S710+F707*S707/S710+F708*S708/S710+F709*S709/S710</f>
        <v>-6.7205848302899653</v>
      </c>
      <c r="G710" s="753"/>
      <c r="H710" s="802">
        <f>D710-F710</f>
        <v>-0.25649490783887874</v>
      </c>
      <c r="I710" s="753"/>
      <c r="J710" s="753"/>
      <c r="K710" s="753"/>
      <c r="L710" s="793">
        <f>AVERAGE(L706:L709)</f>
        <v>801.875</v>
      </c>
      <c r="M710" s="753"/>
      <c r="N710" s="768">
        <f>(L710/L703-1)*100</f>
        <v>-12.981551817688553</v>
      </c>
      <c r="O710" s="761"/>
      <c r="P710" s="772">
        <f>H710/N710*100</f>
        <v>1.9758416516073289</v>
      </c>
      <c r="Q710" s="769"/>
      <c r="R710" s="753"/>
      <c r="S710" s="777">
        <f>SUM(S706:S709)</f>
        <v>1779.3879999999999</v>
      </c>
      <c r="T710" s="753"/>
      <c r="U710" s="794">
        <f>SUM(U706:U709)</f>
        <v>2.2333990801836903</v>
      </c>
      <c r="V710" s="753"/>
      <c r="W710" s="779">
        <f>(U710/U703-1)*100</f>
        <v>7.4654320446482458</v>
      </c>
      <c r="X710" s="761"/>
      <c r="Y710" s="753"/>
      <c r="Z710" s="770"/>
      <c r="AA710" s="753"/>
      <c r="AB710" s="781">
        <f>AVERAGE(AB706:AB709)</f>
        <v>6.5692187499999992</v>
      </c>
      <c r="AC710" s="753"/>
      <c r="AD710" s="768">
        <f>(AB710/AB703-1)*100</f>
        <v>-4.9102094359252835</v>
      </c>
      <c r="AE710" s="761"/>
      <c r="AF710" s="772">
        <f>+H710/AD710*100</f>
        <v>5.2237060595062914</v>
      </c>
      <c r="AG710" s="769"/>
      <c r="AH710" s="753"/>
      <c r="AI710" s="777">
        <f>SUM(AI706:AI709)</f>
        <v>1779.3879999999999</v>
      </c>
      <c r="AJ710" s="753"/>
      <c r="AK710" s="795">
        <f>SUM(AK706:AK709)</f>
        <v>271.55729326030286</v>
      </c>
      <c r="AL710" s="753"/>
      <c r="AM710" s="779">
        <f>(AK710/AK703-1)*100</f>
        <v>-1.9734465755721797</v>
      </c>
      <c r="AN710" s="761"/>
      <c r="AO710" s="753"/>
    </row>
    <row r="711" spans="1:41" hidden="1" outlineLevel="1">
      <c r="A711" s="753"/>
      <c r="B711" s="760"/>
      <c r="C711" s="753"/>
      <c r="D711" s="753"/>
      <c r="E711" s="753"/>
      <c r="F711" s="753"/>
      <c r="G711" s="753"/>
      <c r="H711" s="753"/>
      <c r="I711" s="753"/>
      <c r="J711" s="753"/>
      <c r="K711" s="753"/>
      <c r="L711" s="753"/>
      <c r="M711" s="753"/>
      <c r="N711" s="753"/>
      <c r="O711" s="761"/>
      <c r="P711" s="753"/>
      <c r="Q711" s="753"/>
      <c r="R711" s="753"/>
      <c r="S711" s="753"/>
      <c r="T711" s="753"/>
      <c r="U711" s="753"/>
      <c r="V711" s="753"/>
      <c r="W711" s="753"/>
      <c r="X711" s="753"/>
      <c r="Y711" s="753"/>
      <c r="Z711" s="753"/>
      <c r="AA711" s="753"/>
      <c r="AB711" s="753"/>
      <c r="AC711" s="753"/>
      <c r="AD711" s="753"/>
      <c r="AE711" s="761"/>
      <c r="AF711" s="753"/>
      <c r="AG711" s="753"/>
      <c r="AH711" s="753"/>
      <c r="AI711" s="753"/>
      <c r="AJ711" s="753"/>
      <c r="AK711" s="753"/>
      <c r="AL711" s="753"/>
      <c r="AM711" s="753"/>
      <c r="AN711" s="753"/>
      <c r="AO711" s="753"/>
    </row>
    <row r="712" spans="1:41" hidden="1" outlineLevel="1">
      <c r="A712" s="766"/>
      <c r="B712" s="804">
        <f>B705+1</f>
        <v>2006</v>
      </c>
      <c r="C712" s="753"/>
      <c r="D712" s="768"/>
      <c r="E712" s="773"/>
      <c r="F712" s="768"/>
      <c r="G712" s="773"/>
      <c r="H712" s="768"/>
      <c r="I712" s="761"/>
      <c r="J712" s="753"/>
      <c r="K712" s="753"/>
      <c r="L712" s="753"/>
      <c r="M712" s="753"/>
      <c r="N712" s="753"/>
      <c r="O712" s="761"/>
      <c r="P712" s="769"/>
      <c r="Q712" s="769"/>
      <c r="R712" s="753"/>
      <c r="S712" s="753"/>
      <c r="T712" s="753"/>
      <c r="U712" s="753"/>
      <c r="V712" s="753"/>
      <c r="W712" s="753"/>
      <c r="X712" s="761"/>
      <c r="Y712" s="753"/>
      <c r="Z712" s="770"/>
      <c r="AA712" s="753"/>
      <c r="AB712" s="771"/>
      <c r="AC712" s="753"/>
      <c r="AD712" s="753"/>
      <c r="AE712" s="761"/>
      <c r="AF712" s="772"/>
      <c r="AG712" s="769"/>
      <c r="AH712" s="753"/>
      <c r="AI712" s="753"/>
      <c r="AJ712" s="753"/>
      <c r="AK712" s="753"/>
      <c r="AL712" s="753"/>
      <c r="AM712" s="753"/>
      <c r="AN712" s="761"/>
      <c r="AO712" s="753"/>
    </row>
    <row r="713" spans="1:41" hidden="1" outlineLevel="1">
      <c r="A713" s="753" t="str">
        <f>$A$26</f>
        <v>1Q</v>
      </c>
      <c r="B713" s="760" t="str">
        <f>$B$26</f>
        <v>Apr</v>
      </c>
      <c r="C713" s="753"/>
      <c r="D713" s="768">
        <f>(S713/S706-1)*100</f>
        <v>2.2629310344827624</v>
      </c>
      <c r="E713" s="773" t="s">
        <v>1084</v>
      </c>
      <c r="F713" s="774">
        <v>4</v>
      </c>
      <c r="G713" s="773" t="s">
        <v>1084</v>
      </c>
      <c r="H713" s="768">
        <f>D713-F713</f>
        <v>-1.7370689655172376</v>
      </c>
      <c r="I713" s="761" t="s">
        <v>1084</v>
      </c>
      <c r="J713" s="775">
        <f>'store&amp;sf'!N113+'store&amp;sf'!P113+'store&amp;sf'!R113</f>
        <v>721</v>
      </c>
      <c r="K713" s="753"/>
      <c r="L713" s="776">
        <f>AVERAGE(J713,J709)</f>
        <v>732</v>
      </c>
      <c r="M713" s="753"/>
      <c r="N713" s="768">
        <f>(L713/L706-1)*100</f>
        <v>-13.628318584070797</v>
      </c>
      <c r="O713" s="761" t="s">
        <v>1084</v>
      </c>
      <c r="P713" s="772">
        <f>H713/N713*100</f>
        <v>12.74602552619791</v>
      </c>
      <c r="Q713" s="769" t="s">
        <v>1084</v>
      </c>
      <c r="R713" s="753"/>
      <c r="S713" s="777">
        <f>'segSales&amp;OM'!AL115</f>
        <v>379.6</v>
      </c>
      <c r="T713" s="753"/>
      <c r="U713" s="794">
        <f>S713/L713</f>
        <v>0.51857923497267766</v>
      </c>
      <c r="V713" s="753"/>
      <c r="W713" s="779">
        <f>(U713/U706-1)*100</f>
        <v>18.398680398530253</v>
      </c>
      <c r="X713" s="761" t="s">
        <v>1084</v>
      </c>
      <c r="Y713" s="753"/>
      <c r="Z713" s="780">
        <f>+'store&amp;sf'!N477+'store&amp;sf'!P477+'store&amp;sf'!R477</f>
        <v>6.1224999999999987</v>
      </c>
      <c r="AA713" s="753"/>
      <c r="AB713" s="781">
        <f>AVERAGE(Z713,Z709)</f>
        <v>6.1906249999999989</v>
      </c>
      <c r="AC713" s="753"/>
      <c r="AD713" s="768">
        <f>(AB713/AB706-1)*100</f>
        <v>-7.4126004860721739</v>
      </c>
      <c r="AE713" s="761" t="s">
        <v>1084</v>
      </c>
      <c r="AF713" s="772">
        <f>+H713/AD713*100</f>
        <v>23.434002261164412</v>
      </c>
      <c r="AG713" s="769" t="s">
        <v>1084</v>
      </c>
      <c r="AH713" s="753"/>
      <c r="AI713" s="777">
        <f>+S713</f>
        <v>379.6</v>
      </c>
      <c r="AJ713" s="753"/>
      <c r="AK713" s="795">
        <f>AI713/AB713</f>
        <v>61.318525996971239</v>
      </c>
      <c r="AL713" s="753"/>
      <c r="AM713" s="779">
        <f>(AK713/AK706-1)*100</f>
        <v>10.450160142039033</v>
      </c>
      <c r="AN713" s="761" t="s">
        <v>1084</v>
      </c>
      <c r="AO713" s="753"/>
    </row>
    <row r="714" spans="1:41" hidden="1" outlineLevel="1">
      <c r="A714" s="753" t="str">
        <f>$A$27</f>
        <v>2Q</v>
      </c>
      <c r="B714" s="760" t="str">
        <f>$B$27</f>
        <v>Jul</v>
      </c>
      <c r="C714" s="753"/>
      <c r="D714" s="768">
        <f>(S714/S707-1)*100</f>
        <v>-11.841791756016196</v>
      </c>
      <c r="E714" s="768"/>
      <c r="F714" s="800">
        <v>-11</v>
      </c>
      <c r="G714" s="768"/>
      <c r="H714" s="768">
        <f>D714-F714</f>
        <v>-0.84179175601619605</v>
      </c>
      <c r="I714" s="753"/>
      <c r="J714" s="775">
        <f>'store&amp;sf'!N114+'store&amp;sf'!P114+'store&amp;sf'!R114</f>
        <v>700</v>
      </c>
      <c r="K714" s="799"/>
      <c r="L714" s="776">
        <f>AVERAGE(J714,J713)</f>
        <v>710.5</v>
      </c>
      <c r="M714" s="753"/>
      <c r="N714" s="768">
        <f>(L714/L707-1)*100</f>
        <v>-11.353711790393017</v>
      </c>
      <c r="O714" s="761"/>
      <c r="P714" s="772">
        <f>H714/N714*100</f>
        <v>7.4142427741426475</v>
      </c>
      <c r="Q714" s="769"/>
      <c r="R714" s="753"/>
      <c r="S714" s="784">
        <f>'segSales&amp;OM'!$AL$116</f>
        <v>370</v>
      </c>
      <c r="T714" s="753"/>
      <c r="U714" s="785">
        <f>S714/L714</f>
        <v>0.52076002814919076</v>
      </c>
      <c r="V714" s="753"/>
      <c r="W714" s="779">
        <f>(U714/U707-1)*100</f>
        <v>-0.5505926705798414</v>
      </c>
      <c r="X714" s="761"/>
      <c r="Y714" s="753"/>
      <c r="Z714" s="780">
        <f>+'store&amp;sf'!N478+'store&amp;sf'!P478+'store&amp;sf'!R478</f>
        <v>5.9399999999999995</v>
      </c>
      <c r="AA714" s="799"/>
      <c r="AB714" s="781">
        <f>AVERAGE(Z714,Z713)</f>
        <v>6.0312499999999991</v>
      </c>
      <c r="AC714" s="753"/>
      <c r="AD714" s="768">
        <f>(AB714/AB707-1)*100</f>
        <v>-8.53947493128614</v>
      </c>
      <c r="AE714" s="761"/>
      <c r="AF714" s="772">
        <f>+H714/AD714*100</f>
        <v>9.8576524059121837</v>
      </c>
      <c r="AG714" s="769"/>
      <c r="AH714" s="753"/>
      <c r="AI714" s="784">
        <f>+S714</f>
        <v>370</v>
      </c>
      <c r="AJ714" s="753"/>
      <c r="AK714" s="776">
        <f>AI714/AB714</f>
        <v>61.347150259067369</v>
      </c>
      <c r="AL714" s="753"/>
      <c r="AM714" s="779">
        <f>(AK714/AK707-1)*100</f>
        <v>-3.610647131370659</v>
      </c>
      <c r="AN714" s="761"/>
      <c r="AO714" s="753"/>
    </row>
    <row r="715" spans="1:41" hidden="1" outlineLevel="1">
      <c r="A715" s="753" t="str">
        <f>$A$28</f>
        <v>3Q</v>
      </c>
      <c r="B715" s="760" t="str">
        <f>$B$28</f>
        <v>Oct</v>
      </c>
      <c r="C715" s="753"/>
      <c r="D715" s="768">
        <f>(S715/S708-1)*100</f>
        <v>-2.7730326842045128</v>
      </c>
      <c r="E715" s="768"/>
      <c r="F715" s="772">
        <v>0</v>
      </c>
      <c r="G715" s="768"/>
      <c r="H715" s="768">
        <f>D715-F715</f>
        <v>-2.7730326842045128</v>
      </c>
      <c r="I715" s="753"/>
      <c r="J715" s="775">
        <f>'store&amp;sf'!N115+'store&amp;sf'!P115+'store&amp;sf'!R115</f>
        <v>697</v>
      </c>
      <c r="K715" s="799"/>
      <c r="L715" s="776">
        <f>AVERAGE(J715,J714)</f>
        <v>698.5</v>
      </c>
      <c r="M715" s="753"/>
      <c r="N715" s="768">
        <f>(L715/L708-1)*100</f>
        <v>-11.749842072015159</v>
      </c>
      <c r="O715" s="761"/>
      <c r="P715" s="772">
        <f>H715/N715*100</f>
        <v>23.600595371482498</v>
      </c>
      <c r="Q715" s="769"/>
      <c r="R715" s="753"/>
      <c r="S715" s="784">
        <f>'segSales&amp;OM'!$AL$117</f>
        <v>409.8</v>
      </c>
      <c r="T715" s="753"/>
      <c r="U715" s="785">
        <f>S715/L715</f>
        <v>0.58668575518969224</v>
      </c>
      <c r="V715" s="753"/>
      <c r="W715" s="779">
        <f>(U715/U708-1)*100</f>
        <v>10.172003765858451</v>
      </c>
      <c r="X715" s="761"/>
      <c r="Y715" s="753"/>
      <c r="Z715" s="780">
        <f>+'store&amp;sf'!N479+'store&amp;sf'!P479+'store&amp;sf'!R479</f>
        <v>5.9124999999999996</v>
      </c>
      <c r="AA715" s="799"/>
      <c r="AB715" s="781">
        <f>AVERAGE(Z715,Z714)</f>
        <v>5.9262499999999996</v>
      </c>
      <c r="AC715" s="753"/>
      <c r="AD715" s="768">
        <f>(AB715/AB708-1)*100</f>
        <v>-9.8326359832636037</v>
      </c>
      <c r="AE715" s="761"/>
      <c r="AF715" s="772">
        <f>+H715/AD715*100</f>
        <v>28.202332405313967</v>
      </c>
      <c r="AG715" s="769"/>
      <c r="AH715" s="753"/>
      <c r="AI715" s="784">
        <f>+S715</f>
        <v>409.8</v>
      </c>
      <c r="AJ715" s="753"/>
      <c r="AK715" s="776">
        <f>AI715/AB715</f>
        <v>69.149968361105266</v>
      </c>
      <c r="AL715" s="753"/>
      <c r="AM715" s="779">
        <f>(AK715/AK708-1)*100</f>
        <v>7.8294440300469947</v>
      </c>
      <c r="AN715" s="761"/>
      <c r="AO715" s="753"/>
    </row>
    <row r="716" spans="1:41" hidden="1" outlineLevel="1">
      <c r="A716" s="753" t="str">
        <f>$A$29</f>
        <v>4Q</v>
      </c>
      <c r="B716" s="760" t="str">
        <f>$B$29</f>
        <v>Jan</v>
      </c>
      <c r="C716" s="753"/>
      <c r="D716" s="791">
        <f>(S716/S709-1)*100</f>
        <v>3.9506172839506082</v>
      </c>
      <c r="E716" s="753"/>
      <c r="F716" s="787">
        <v>3</v>
      </c>
      <c r="G716" s="753"/>
      <c r="H716" s="791">
        <f>D716-F716</f>
        <v>0.95061728395060818</v>
      </c>
      <c r="I716" s="753"/>
      <c r="J716" s="775">
        <f>'store&amp;sf'!N116+'store&amp;sf'!P116+'store&amp;sf'!R116</f>
        <v>658</v>
      </c>
      <c r="K716" s="799"/>
      <c r="L716" s="788">
        <f>AVERAGE(J716,J715)</f>
        <v>677.5</v>
      </c>
      <c r="M716" s="753"/>
      <c r="N716" s="786">
        <f>(L716/L709-1)*100</f>
        <v>-11.66883963494133</v>
      </c>
      <c r="O716" s="761"/>
      <c r="P716" s="805">
        <f>H716/N716*100</f>
        <v>-8.1466308021242071</v>
      </c>
      <c r="Q716" s="769"/>
      <c r="R716" s="753"/>
      <c r="S716" s="789">
        <f>'segSales&amp;OM'!$AL$118</f>
        <v>589.4</v>
      </c>
      <c r="T716" s="753"/>
      <c r="U716" s="790">
        <f>S716/L716</f>
        <v>0.86996309963099627</v>
      </c>
      <c r="V716" s="753"/>
      <c r="W716" s="791">
        <f>(U716/U709-1)*100</f>
        <v>17.682839050612721</v>
      </c>
      <c r="X716" s="761"/>
      <c r="Y716" s="753"/>
      <c r="Z716" s="806">
        <f>+'store&amp;sf'!N480+'store&amp;sf'!P480+'store&amp;sf'!R480</f>
        <v>5.6349999999999998</v>
      </c>
      <c r="AA716" s="799"/>
      <c r="AB716" s="792">
        <f>AVERAGE(Z716,Z715)</f>
        <v>5.7737499999999997</v>
      </c>
      <c r="AC716" s="753"/>
      <c r="AD716" s="786">
        <f>(AB716/AB709-1)*100</f>
        <v>-10.118700136213278</v>
      </c>
      <c r="AE716" s="761"/>
      <c r="AF716" s="787">
        <f>+H716/AD716*100</f>
        <v>-9.3946581196580237</v>
      </c>
      <c r="AG716" s="769"/>
      <c r="AH716" s="753"/>
      <c r="AI716" s="789">
        <f>+S716</f>
        <v>589.4</v>
      </c>
      <c r="AJ716" s="753"/>
      <c r="AK716" s="788">
        <f>AI716/AB716</f>
        <v>102.08270188352458</v>
      </c>
      <c r="AL716" s="753"/>
      <c r="AM716" s="791">
        <f>(AK716/AK709-1)*100</f>
        <v>15.653219792643913</v>
      </c>
      <c r="AN716" s="761"/>
      <c r="AO716" s="753"/>
    </row>
    <row r="717" spans="1:41" hidden="1" outlineLevel="1">
      <c r="A717" s="753"/>
      <c r="B717" s="760" t="str">
        <f>$B$30</f>
        <v>Year</v>
      </c>
      <c r="C717" s="753"/>
      <c r="D717" s="802">
        <f>(S717/S710-1)*100</f>
        <v>-1.7190179994469812</v>
      </c>
      <c r="E717" s="753"/>
      <c r="F717" s="772">
        <f>+F713*S713/S717+F714*S714/S717+F715*S715/S717+F716*S716/S717</f>
        <v>-0.44796431838975326</v>
      </c>
      <c r="G717" s="753"/>
      <c r="H717" s="802">
        <f>D717-F717</f>
        <v>-1.2710536810572279</v>
      </c>
      <c r="I717" s="753"/>
      <c r="J717" s="753"/>
      <c r="K717" s="753"/>
      <c r="L717" s="793">
        <f>AVERAGE(L713:L716)</f>
        <v>704.625</v>
      </c>
      <c r="M717" s="753"/>
      <c r="N717" s="768">
        <f>(L717/L710-1)*100</f>
        <v>-12.12782540919719</v>
      </c>
      <c r="O717" s="761"/>
      <c r="P717" s="772">
        <f>H717/N717*100</f>
        <v>10.480474760902467</v>
      </c>
      <c r="Q717" s="769"/>
      <c r="R717" s="753"/>
      <c r="S717" s="777">
        <f>SUM(S713:S716)</f>
        <v>1748.8000000000002</v>
      </c>
      <c r="T717" s="753"/>
      <c r="U717" s="794">
        <f>SUM(U713:U716)</f>
        <v>2.4959881179425567</v>
      </c>
      <c r="V717" s="753"/>
      <c r="W717" s="779">
        <f>(U717/U710-1)*100</f>
        <v>11.757371984646348</v>
      </c>
      <c r="X717" s="761"/>
      <c r="Y717" s="753"/>
      <c r="Z717" s="770"/>
      <c r="AA717" s="753"/>
      <c r="AB717" s="781">
        <f>AVERAGE(AB713:AB716)</f>
        <v>5.9804687499999991</v>
      </c>
      <c r="AC717" s="753"/>
      <c r="AD717" s="768">
        <f>(AB717/AB710-1)*100</f>
        <v>-8.9622529315224959</v>
      </c>
      <c r="AE717" s="761"/>
      <c r="AF717" s="772">
        <f>+H717/AD717*100</f>
        <v>14.182300932242301</v>
      </c>
      <c r="AG717" s="769"/>
      <c r="AH717" s="753"/>
      <c r="AI717" s="777">
        <f>SUM(AI713:AI716)</f>
        <v>1748.8000000000002</v>
      </c>
      <c r="AJ717" s="753"/>
      <c r="AK717" s="795">
        <f>SUM(AK713:AK716)</f>
        <v>293.89834650066848</v>
      </c>
      <c r="AL717" s="753"/>
      <c r="AM717" s="779">
        <f>(AK717/AK710-1)*100</f>
        <v>8.2270127869298104</v>
      </c>
      <c r="AN717" s="761"/>
      <c r="AO717" s="753"/>
    </row>
    <row r="718" spans="1:41" hidden="1" outlineLevel="1">
      <c r="A718" s="753"/>
      <c r="B718" s="760"/>
      <c r="C718" s="753"/>
      <c r="D718" s="802"/>
      <c r="E718" s="753"/>
      <c r="F718" s="772"/>
      <c r="G718" s="753"/>
      <c r="H718" s="802"/>
      <c r="I718" s="753"/>
      <c r="J718" s="753"/>
      <c r="K718" s="753"/>
      <c r="L718" s="793"/>
      <c r="M718" s="753"/>
      <c r="N718" s="768"/>
      <c r="O718" s="761"/>
      <c r="P718" s="772"/>
      <c r="Q718" s="769"/>
      <c r="R718" s="753"/>
      <c r="S718" s="777"/>
      <c r="T718" s="753"/>
      <c r="U718" s="794"/>
      <c r="V718" s="753"/>
      <c r="W718" s="779"/>
      <c r="X718" s="761"/>
      <c r="Y718" s="753"/>
      <c r="Z718" s="770"/>
      <c r="AA718" s="753"/>
      <c r="AB718" s="781"/>
      <c r="AC718" s="753"/>
      <c r="AD718" s="768"/>
      <c r="AE718" s="761"/>
      <c r="AF718" s="772"/>
      <c r="AG718" s="769"/>
      <c r="AH718" s="753"/>
      <c r="AI718" s="777"/>
      <c r="AJ718" s="753"/>
      <c r="AK718" s="795"/>
      <c r="AL718" s="753"/>
      <c r="AM718" s="779"/>
      <c r="AN718" s="761"/>
      <c r="AO718" s="753"/>
    </row>
    <row r="719" spans="1:41" hidden="1" outlineLevel="2">
      <c r="A719" s="766"/>
      <c r="B719" s="807">
        <f>B712+1</f>
        <v>2007</v>
      </c>
      <c r="C719" s="753"/>
      <c r="D719" s="768"/>
      <c r="E719" s="773"/>
      <c r="F719" s="768"/>
      <c r="G719" s="773"/>
      <c r="H719" s="768"/>
      <c r="I719" s="761"/>
      <c r="J719" s="753"/>
      <c r="K719" s="753"/>
      <c r="L719" s="753"/>
      <c r="M719" s="753"/>
      <c r="N719" s="753"/>
      <c r="O719" s="761"/>
      <c r="P719" s="769"/>
      <c r="Q719" s="769"/>
      <c r="R719" s="753"/>
      <c r="S719" s="753"/>
      <c r="T719" s="753"/>
      <c r="U719" s="753"/>
      <c r="V719" s="753"/>
      <c r="W719" s="753"/>
      <c r="X719" s="761"/>
      <c r="Y719" s="753"/>
      <c r="Z719" s="770"/>
      <c r="AA719" s="753"/>
      <c r="AB719" s="771"/>
      <c r="AC719" s="753"/>
      <c r="AD719" s="753"/>
      <c r="AE719" s="761"/>
      <c r="AF719" s="772"/>
      <c r="AG719" s="769"/>
      <c r="AH719" s="753"/>
      <c r="AI719" s="753"/>
      <c r="AJ719" s="753"/>
      <c r="AK719" s="753"/>
      <c r="AL719" s="753"/>
      <c r="AM719" s="753"/>
      <c r="AN719" s="761"/>
      <c r="AO719" s="753"/>
    </row>
    <row r="720" spans="1:41" hidden="1" outlineLevel="2">
      <c r="A720" s="753" t="str">
        <f>$A$26</f>
        <v>1Q</v>
      </c>
      <c r="B720" s="760" t="str">
        <f>$B$26</f>
        <v>Apr</v>
      </c>
      <c r="C720" s="753"/>
      <c r="D720" s="768">
        <f>(S720/S713-1)*100</f>
        <v>2.265542676501564</v>
      </c>
      <c r="E720" s="773" t="s">
        <v>1084</v>
      </c>
      <c r="F720" s="774">
        <v>5</v>
      </c>
      <c r="G720" s="773" t="s">
        <v>1084</v>
      </c>
      <c r="H720" s="768">
        <f>D720-F720</f>
        <v>-2.734457323498436</v>
      </c>
      <c r="I720" s="761" t="s">
        <v>1084</v>
      </c>
      <c r="J720" s="775">
        <f>'store&amp;sf'!N119+'store&amp;sf'!P119+'store&amp;sf'!R119</f>
        <v>631</v>
      </c>
      <c r="K720" s="753"/>
      <c r="L720" s="776">
        <f>AVERAGE(J720,J716)</f>
        <v>644.5</v>
      </c>
      <c r="M720" s="753"/>
      <c r="N720" s="768">
        <f>(L720/L713-1)*100</f>
        <v>-11.953551912568305</v>
      </c>
      <c r="O720" s="761" t="s">
        <v>1084</v>
      </c>
      <c r="P720" s="772">
        <f>H720/N720*100</f>
        <v>22.87568869486692</v>
      </c>
      <c r="Q720" s="769" t="s">
        <v>1084</v>
      </c>
      <c r="R720" s="753"/>
      <c r="S720" s="777">
        <f>'segSales&amp;OM'!AL122</f>
        <v>388.2</v>
      </c>
      <c r="T720" s="753"/>
      <c r="U720" s="794">
        <f>S720/L720</f>
        <v>0.60232738557020948</v>
      </c>
      <c r="V720" s="753"/>
      <c r="W720" s="779">
        <f>(U720/U713-1)*100</f>
        <v>16.149537997205819</v>
      </c>
      <c r="X720" s="761" t="s">
        <v>1084</v>
      </c>
      <c r="Y720" s="753"/>
      <c r="Z720" s="780">
        <f>+'store&amp;sf'!N483+'store&amp;sf'!P483+'store&amp;sf'!R483</f>
        <v>5.4349999999999987</v>
      </c>
      <c r="AA720" s="753"/>
      <c r="AB720" s="781">
        <f>AVERAGE(Z720,Z716)</f>
        <v>5.5349999999999993</v>
      </c>
      <c r="AC720" s="753"/>
      <c r="AD720" s="768">
        <f>(AB720/AB713-1)*100</f>
        <v>-10.590610802624933</v>
      </c>
      <c r="AE720" s="761" t="s">
        <v>1084</v>
      </c>
      <c r="AF720" s="772">
        <f>+H720/AD720*100</f>
        <v>25.819637549334622</v>
      </c>
      <c r="AG720" s="769" t="s">
        <v>1084</v>
      </c>
      <c r="AH720" s="753"/>
      <c r="AI720" s="777">
        <f>+S720</f>
        <v>388.2</v>
      </c>
      <c r="AJ720" s="753"/>
      <c r="AK720" s="795">
        <f>AI720/AB720</f>
        <v>70.13550135501356</v>
      </c>
      <c r="AL720" s="753"/>
      <c r="AM720" s="779">
        <f>(AK720/AK713-1)*100</f>
        <v>14.378974730210947</v>
      </c>
      <c r="AN720" s="761" t="s">
        <v>1084</v>
      </c>
      <c r="AO720" s="753"/>
    </row>
    <row r="721" spans="1:41" hidden="1" outlineLevel="2">
      <c r="A721" s="753" t="str">
        <f>$A$27</f>
        <v>2Q</v>
      </c>
      <c r="B721" s="760" t="str">
        <f>$B$27</f>
        <v>Jul</v>
      </c>
      <c r="C721" s="753"/>
      <c r="D721" s="768">
        <f>(S721/S714-1)*100</f>
        <v>-26.810810810810803</v>
      </c>
      <c r="E721" s="768"/>
      <c r="F721" s="800">
        <v>6</v>
      </c>
      <c r="G721" s="768"/>
      <c r="H721" s="768">
        <f>D721-F721</f>
        <v>-32.810810810810807</v>
      </c>
      <c r="I721" s="753"/>
      <c r="J721" s="775">
        <f>'store&amp;sf'!N120+'store&amp;sf'!P120+'store&amp;sf'!R120</f>
        <v>611</v>
      </c>
      <c r="K721" s="799"/>
      <c r="L721" s="776">
        <f>AVERAGE(J721,J720)</f>
        <v>621</v>
      </c>
      <c r="M721" s="753"/>
      <c r="N721" s="768">
        <f>(L721/L714-1)*100</f>
        <v>-12.596762843068266</v>
      </c>
      <c r="O721" s="761"/>
      <c r="P721" s="800">
        <f>H721/N721*100</f>
        <v>260.4701796768835</v>
      </c>
      <c r="Q721" s="769"/>
      <c r="R721" s="753"/>
      <c r="S721" s="784">
        <f>'segSales&amp;OM'!AL123</f>
        <v>270.8</v>
      </c>
      <c r="T721" s="753"/>
      <c r="U721" s="785">
        <f>S721/L721</f>
        <v>0.43607085346215785</v>
      </c>
      <c r="V721" s="753"/>
      <c r="W721" s="779">
        <f>(U721/U714-1)*100</f>
        <v>-16.262610436523484</v>
      </c>
      <c r="X721" s="761"/>
      <c r="Y721" s="753"/>
      <c r="Z721" s="780">
        <f>+'store&amp;sf'!N484+'store&amp;sf'!P484+'store&amp;sf'!R484</f>
        <v>5.4844312500000001</v>
      </c>
      <c r="AA721" s="799"/>
      <c r="AB721" s="781">
        <f>AVERAGE(Z721,Z720)</f>
        <v>5.4597156249999994</v>
      </c>
      <c r="AC721" s="753"/>
      <c r="AD721" s="768">
        <f>(AB721/AB714-1)*100</f>
        <v>-9.4762176165803069</v>
      </c>
      <c r="AE721" s="761"/>
      <c r="AF721" s="772">
        <f>+H721/AD721*100</f>
        <v>346.24374553622039</v>
      </c>
      <c r="AG721" s="769"/>
      <c r="AH721" s="753"/>
      <c r="AI721" s="784">
        <f>+S721</f>
        <v>270.8</v>
      </c>
      <c r="AJ721" s="753"/>
      <c r="AK721" s="776">
        <f>AI721/AB721</f>
        <v>49.599652912325453</v>
      </c>
      <c r="AL721" s="753"/>
      <c r="AM721" s="779">
        <f>(AK721/AK714-1)*100</f>
        <v>-19.14921442501004</v>
      </c>
      <c r="AN721" s="761"/>
      <c r="AO721" s="753"/>
    </row>
    <row r="722" spans="1:41" hidden="1" outlineLevel="2">
      <c r="A722" s="753" t="str">
        <f>$A$28</f>
        <v>3Q</v>
      </c>
      <c r="B722" s="760" t="str">
        <f>$B$28</f>
        <v>Oct</v>
      </c>
      <c r="C722" s="753"/>
      <c r="D722" s="768">
        <f>F722+H722</f>
        <v>2.6972083035075167</v>
      </c>
      <c r="E722" s="768"/>
      <c r="F722" s="801">
        <v>4</v>
      </c>
      <c r="G722" s="768"/>
      <c r="H722" s="768">
        <f>N722*P722/100</f>
        <v>-1.3027916964924833</v>
      </c>
      <c r="I722" s="753"/>
      <c r="J722" s="775">
        <f>'store&amp;sf'!N121+'store&amp;sf'!P121+'store&amp;sf'!R121</f>
        <v>604</v>
      </c>
      <c r="K722" s="799"/>
      <c r="L722" s="776">
        <f>AVERAGE(J722,J721)</f>
        <v>607.5</v>
      </c>
      <c r="M722" s="753"/>
      <c r="N722" s="768">
        <f>(L722/L715-1)*100</f>
        <v>-13.027916964924835</v>
      </c>
      <c r="O722" s="761"/>
      <c r="P722" s="808">
        <v>10</v>
      </c>
      <c r="Q722" s="769"/>
      <c r="R722" s="753"/>
      <c r="S722" s="784">
        <f>S715*(1+D722/100)</f>
        <v>420.85315962777383</v>
      </c>
      <c r="T722" s="753"/>
      <c r="U722" s="785">
        <f>S722/L722</f>
        <v>0.6927624026794631</v>
      </c>
      <c r="V722" s="753"/>
      <c r="W722" s="779">
        <f>(U722/U715-1)*100</f>
        <v>18.080658436214001</v>
      </c>
      <c r="X722" s="761"/>
      <c r="Y722" s="753"/>
      <c r="Z722" s="780">
        <f>+'store&amp;sf'!N485+'store&amp;sf'!P485+'store&amp;sf'!R485</f>
        <v>5.2366000000000001</v>
      </c>
      <c r="AA722" s="799"/>
      <c r="AB722" s="781">
        <f>AVERAGE(Z722,Z721)</f>
        <v>5.3605156249999997</v>
      </c>
      <c r="AC722" s="753"/>
      <c r="AD722" s="768">
        <f>(AB722/AB715-1)*100</f>
        <v>-9.5462455178232482</v>
      </c>
      <c r="AE722" s="761"/>
      <c r="AF722" s="772">
        <f>+H722/AD722*100</f>
        <v>13.647163107842927</v>
      </c>
      <c r="AG722" s="769"/>
      <c r="AH722" s="753"/>
      <c r="AI722" s="784">
        <f>+S722</f>
        <v>420.85315962777383</v>
      </c>
      <c r="AJ722" s="753"/>
      <c r="AK722" s="776">
        <f>AI722/AB722</f>
        <v>78.509827984649121</v>
      </c>
      <c r="AL722" s="753"/>
      <c r="AM722" s="779">
        <f>(AK722/AK715-1)*100</f>
        <v>13.535594947297902</v>
      </c>
      <c r="AN722" s="761"/>
      <c r="AO722" s="753"/>
    </row>
    <row r="723" spans="1:41" hidden="1" outlineLevel="2">
      <c r="A723" s="753" t="str">
        <f>$A$29</f>
        <v>4Q</v>
      </c>
      <c r="B723" s="760" t="str">
        <f>$B$29</f>
        <v>Jan</v>
      </c>
      <c r="C723" s="753"/>
      <c r="D723" s="791">
        <f>F723+H723</f>
        <v>1.5202952029520298</v>
      </c>
      <c r="E723" s="753"/>
      <c r="F723" s="803">
        <v>4</v>
      </c>
      <c r="G723" s="753"/>
      <c r="H723" s="791">
        <f>N723*P723/100</f>
        <v>-2.4797047970479702</v>
      </c>
      <c r="I723" s="753"/>
      <c r="J723" s="775">
        <f>'store&amp;sf'!N122+'store&amp;sf'!P122+'store&amp;sf'!R122</f>
        <v>583</v>
      </c>
      <c r="K723" s="799"/>
      <c r="L723" s="788">
        <f>AVERAGE(J723,J722)</f>
        <v>593.5</v>
      </c>
      <c r="M723" s="753"/>
      <c r="N723" s="786">
        <f>(L723/L716-1)*100</f>
        <v>-12.398523985239851</v>
      </c>
      <c r="O723" s="761"/>
      <c r="P723" s="809">
        <v>20</v>
      </c>
      <c r="Q723" s="769"/>
      <c r="R723" s="753"/>
      <c r="S723" s="789">
        <f>S716*(1+D723/100)</f>
        <v>598.36061992619921</v>
      </c>
      <c r="T723" s="753"/>
      <c r="U723" s="790">
        <f>S723/L723</f>
        <v>1.0081897555622565</v>
      </c>
      <c r="V723" s="753"/>
      <c r="W723" s="791">
        <f>(U723/U716-1)*100</f>
        <v>15.888795282224088</v>
      </c>
      <c r="X723" s="761"/>
      <c r="Y723" s="753"/>
      <c r="Z723" s="780">
        <f>+'store&amp;sf'!N486+'store&amp;sf'!P486+'store&amp;sf'!R486</f>
        <v>4.9461874999999997</v>
      </c>
      <c r="AA723" s="799"/>
      <c r="AB723" s="792">
        <f>AVERAGE(Z723,Z722)</f>
        <v>5.0913937499999999</v>
      </c>
      <c r="AC723" s="753"/>
      <c r="AD723" s="786">
        <f>(AB723/AB716-1)*100</f>
        <v>-11.818250703615496</v>
      </c>
      <c r="AE723" s="761"/>
      <c r="AF723" s="787">
        <f>+H723/AD723*100</f>
        <v>20.98199521431177</v>
      </c>
      <c r="AG723" s="769"/>
      <c r="AH723" s="753"/>
      <c r="AI723" s="789">
        <f>+S723</f>
        <v>598.36061992619921</v>
      </c>
      <c r="AJ723" s="753"/>
      <c r="AK723" s="788">
        <f>AI723/AB723</f>
        <v>117.5239333878271</v>
      </c>
      <c r="AL723" s="753"/>
      <c r="AM723" s="791">
        <f>(AK723/AK716-1)*100</f>
        <v>15.126197895820614</v>
      </c>
      <c r="AN723" s="761"/>
      <c r="AO723" s="753"/>
    </row>
    <row r="724" spans="1:41" hidden="1" outlineLevel="2">
      <c r="A724" s="753"/>
      <c r="B724" s="760" t="str">
        <f>$B$30</f>
        <v>Year</v>
      </c>
      <c r="C724" s="753"/>
      <c r="D724" s="802">
        <f>(S724/S717-1)*100</f>
        <v>-4.0362660364837044</v>
      </c>
      <c r="E724" s="753"/>
      <c r="F724" s="772">
        <f>+F720*S720/S724+F721*S721/S724+F722*S722/S724+F723*S723/S724</f>
        <v>4.5540414524823625</v>
      </c>
      <c r="G724" s="753"/>
      <c r="H724" s="802">
        <f>D724-F724</f>
        <v>-8.5903074889660669</v>
      </c>
      <c r="I724" s="753"/>
      <c r="J724" s="753"/>
      <c r="K724" s="753"/>
      <c r="L724" s="793">
        <f>AVERAGE(L720:L723)</f>
        <v>616.625</v>
      </c>
      <c r="M724" s="753"/>
      <c r="N724" s="768">
        <f>(L724/L717-1)*100</f>
        <v>-12.488912542132336</v>
      </c>
      <c r="O724" s="761"/>
      <c r="P724" s="772">
        <f>H724/N724*100</f>
        <v>68.783470618326319</v>
      </c>
      <c r="Q724" s="769"/>
      <c r="R724" s="753"/>
      <c r="S724" s="777">
        <f>SUM(S720:S723)</f>
        <v>1678.2137795539732</v>
      </c>
      <c r="T724" s="753"/>
      <c r="U724" s="794">
        <f>SUM(U720:U723)</f>
        <v>2.7393503972740869</v>
      </c>
      <c r="V724" s="753"/>
      <c r="W724" s="779">
        <f>(U724/U717-1)*100</f>
        <v>9.7501377343147677</v>
      </c>
      <c r="X724" s="761"/>
      <c r="Y724" s="753"/>
      <c r="Z724" s="770"/>
      <c r="AA724" s="753"/>
      <c r="AB724" s="781">
        <f>AVERAGE(AB720:AB723)</f>
        <v>5.3616562499999993</v>
      </c>
      <c r="AC724" s="753"/>
      <c r="AD724" s="768">
        <f>(AB724/AB717-1)*100</f>
        <v>-10.347224036577396</v>
      </c>
      <c r="AE724" s="761"/>
      <c r="AF724" s="772">
        <f>+H724/AD724*100</f>
        <v>83.020406812487707</v>
      </c>
      <c r="AG724" s="769"/>
      <c r="AH724" s="753"/>
      <c r="AI724" s="777">
        <f>SUM(AI720:AI723)</f>
        <v>1678.2137795539732</v>
      </c>
      <c r="AJ724" s="753"/>
      <c r="AK724" s="795">
        <f>SUM(AK720:AK723)</f>
        <v>315.76891563981519</v>
      </c>
      <c r="AL724" s="753"/>
      <c r="AM724" s="779">
        <f>(AK724/AK717-1)*100</f>
        <v>7.4415420840405977</v>
      </c>
      <c r="AN724" s="761"/>
      <c r="AO724" s="753"/>
    </row>
    <row r="725" spans="1:41" hidden="1" outlineLevel="1">
      <c r="A725" s="753"/>
      <c r="B725" s="760"/>
      <c r="C725" s="753"/>
      <c r="D725" s="753"/>
      <c r="E725" s="753"/>
      <c r="F725" s="753"/>
      <c r="G725" s="753"/>
      <c r="H725" s="753"/>
      <c r="I725" s="753"/>
      <c r="J725" s="753"/>
      <c r="K725" s="753"/>
      <c r="L725" s="753"/>
      <c r="M725" s="753"/>
      <c r="N725" s="753"/>
      <c r="O725" s="761"/>
      <c r="P725" s="753"/>
      <c r="Q725" s="753"/>
      <c r="R725" s="753"/>
      <c r="S725" s="753"/>
      <c r="T725" s="753"/>
      <c r="U725" s="753"/>
      <c r="V725" s="753"/>
      <c r="W725" s="753"/>
      <c r="X725" s="753"/>
      <c r="Y725" s="753"/>
      <c r="Z725" s="753"/>
      <c r="AA725" s="753"/>
      <c r="AB725" s="753"/>
      <c r="AC725" s="753"/>
      <c r="AD725" s="753"/>
      <c r="AE725" s="761"/>
      <c r="AF725" s="753"/>
      <c r="AG725" s="753"/>
      <c r="AH725" s="753"/>
      <c r="AI725" s="753"/>
      <c r="AJ725" s="753"/>
      <c r="AK725" s="753"/>
      <c r="AL725" s="753"/>
      <c r="AM725" s="753"/>
      <c r="AN725" s="753"/>
      <c r="AO725" s="753"/>
    </row>
    <row r="726" spans="1:41" hidden="1" outlineLevel="1">
      <c r="A726" s="753"/>
      <c r="B726" s="760"/>
      <c r="C726" s="753"/>
      <c r="D726" s="762" t="s">
        <v>564</v>
      </c>
      <c r="E726" s="763"/>
      <c r="F726" s="764"/>
      <c r="G726" s="763"/>
      <c r="H726" s="764"/>
      <c r="I726" s="753"/>
      <c r="J726" s="764"/>
      <c r="K726" s="763"/>
      <c r="L726" s="764"/>
      <c r="M726" s="763"/>
      <c r="N726" s="764"/>
      <c r="O726" s="753"/>
      <c r="P726" s="765"/>
      <c r="Q726" s="765"/>
      <c r="R726" s="753"/>
      <c r="S726" s="764"/>
      <c r="T726" s="753"/>
      <c r="U726" s="764"/>
      <c r="V726" s="753"/>
      <c r="W726" s="764"/>
      <c r="X726" s="761"/>
      <c r="Y726" s="753"/>
      <c r="Z726" s="764"/>
      <c r="AA726" s="763"/>
      <c r="AB726" s="764"/>
      <c r="AC726" s="763"/>
      <c r="AD726" s="764"/>
      <c r="AE726" s="753"/>
      <c r="AF726" s="765"/>
      <c r="AG726" s="765"/>
      <c r="AH726" s="753"/>
      <c r="AI726" s="764"/>
      <c r="AJ726" s="753"/>
      <c r="AK726" s="764"/>
      <c r="AL726" s="753"/>
      <c r="AM726" s="764"/>
      <c r="AN726" s="761"/>
      <c r="AO726" s="753"/>
    </row>
    <row r="727" spans="1:41" hidden="1" outlineLevel="2">
      <c r="A727" s="766"/>
      <c r="B727" s="767">
        <v>1994</v>
      </c>
      <c r="C727" s="753"/>
      <c r="D727" s="768"/>
      <c r="E727" s="768"/>
      <c r="F727" s="768"/>
      <c r="G727" s="768"/>
      <c r="H727" s="768"/>
      <c r="I727" s="761"/>
      <c r="J727" s="753"/>
      <c r="K727" s="753"/>
      <c r="L727" s="753"/>
      <c r="M727" s="753"/>
      <c r="N727" s="753"/>
      <c r="O727" s="761"/>
      <c r="P727" s="769"/>
      <c r="Q727" s="769"/>
      <c r="R727" s="753"/>
      <c r="S727" s="753"/>
      <c r="T727" s="753"/>
      <c r="U727" s="753"/>
      <c r="V727" s="753"/>
      <c r="W727" s="753"/>
      <c r="X727" s="761"/>
      <c r="Y727" s="753"/>
      <c r="Z727" s="770"/>
      <c r="AA727" s="753"/>
      <c r="AB727" s="771"/>
      <c r="AC727" s="753"/>
      <c r="AD727" s="753"/>
      <c r="AE727" s="761"/>
      <c r="AF727" s="772"/>
      <c r="AG727" s="769"/>
      <c r="AH727" s="753"/>
      <c r="AI727" s="753"/>
      <c r="AJ727" s="753"/>
      <c r="AK727" s="753"/>
      <c r="AL727" s="753"/>
      <c r="AM727" s="753"/>
      <c r="AN727" s="761"/>
      <c r="AO727" s="753"/>
    </row>
    <row r="728" spans="1:41" hidden="1" outlineLevel="2">
      <c r="A728" s="753" t="str">
        <f>$A$26</f>
        <v>1Q</v>
      </c>
      <c r="B728" s="760" t="str">
        <f>$B$26</f>
        <v>Apr</v>
      </c>
      <c r="C728" s="753"/>
      <c r="D728" s="768"/>
      <c r="E728" s="773" t="s">
        <v>1084</v>
      </c>
      <c r="F728" s="774">
        <v>-17.868021723132525</v>
      </c>
      <c r="G728" s="773" t="s">
        <v>1084</v>
      </c>
      <c r="H728" s="768"/>
      <c r="I728" s="761" t="s">
        <v>1084</v>
      </c>
      <c r="J728" s="775">
        <f>+'store&amp;sf'!T41</f>
        <v>725</v>
      </c>
      <c r="K728" s="753"/>
      <c r="L728" s="776">
        <f>AVERAGE(J728,('store&amp;sf'!N199+'store&amp;sf'!P199))</f>
        <v>362.5</v>
      </c>
      <c r="M728" s="753"/>
      <c r="N728" s="768"/>
      <c r="O728" s="761" t="s">
        <v>1084</v>
      </c>
      <c r="P728" s="772"/>
      <c r="Q728" s="769" t="s">
        <v>1084</v>
      </c>
      <c r="R728" s="753"/>
      <c r="S728" s="777">
        <f>+'segSales&amp;OM'!AO24</f>
        <v>204</v>
      </c>
      <c r="T728" s="753"/>
      <c r="U728" s="778">
        <f>S728/L728</f>
        <v>0.56275862068965521</v>
      </c>
      <c r="V728" s="753"/>
      <c r="W728" s="779"/>
      <c r="X728" s="761" t="s">
        <v>1084</v>
      </c>
      <c r="Y728" s="753"/>
      <c r="Z728" s="780">
        <f>+'store&amp;sf'!T405</f>
        <v>5.527499999999999</v>
      </c>
      <c r="AA728" s="753"/>
      <c r="AB728" s="781">
        <f>AVERAGE(Z728,('store&amp;sf'!N485+'store&amp;sf'!P485))</f>
        <v>3.2281437499999996</v>
      </c>
      <c r="AC728" s="753"/>
      <c r="AD728" s="768"/>
      <c r="AE728" s="761" t="s">
        <v>1084</v>
      </c>
      <c r="AF728" s="772"/>
      <c r="AG728" s="769" t="s">
        <v>1084</v>
      </c>
      <c r="AH728" s="753"/>
      <c r="AI728" s="777">
        <f>+S728</f>
        <v>204</v>
      </c>
      <c r="AJ728" s="753"/>
      <c r="AK728" s="782">
        <f>AI728/AB728</f>
        <v>63.194211843880872</v>
      </c>
      <c r="AL728" s="753"/>
      <c r="AM728" s="783"/>
      <c r="AN728" s="761" t="s">
        <v>1084</v>
      </c>
      <c r="AO728" s="753"/>
    </row>
    <row r="729" spans="1:41" hidden="1" outlineLevel="2">
      <c r="A729" s="753" t="str">
        <f>$A$27</f>
        <v>2Q</v>
      </c>
      <c r="B729" s="760" t="str">
        <f>$B$27</f>
        <v>Jul</v>
      </c>
      <c r="C729" s="753"/>
      <c r="D729" s="768"/>
      <c r="E729" s="773"/>
      <c r="F729" s="774">
        <v>-20.878887453506621</v>
      </c>
      <c r="G729" s="773"/>
      <c r="H729" s="768"/>
      <c r="I729" s="761"/>
      <c r="J729" s="775">
        <f>+'store&amp;sf'!T42</f>
        <v>726</v>
      </c>
      <c r="K729" s="753"/>
      <c r="L729" s="776">
        <f>AVERAGE(J729,J728)</f>
        <v>725.5</v>
      </c>
      <c r="M729" s="753"/>
      <c r="N729" s="768"/>
      <c r="O729" s="761"/>
      <c r="P729" s="772"/>
      <c r="Q729" s="769"/>
      <c r="R729" s="753"/>
      <c r="S729" s="784">
        <f>+'segSales&amp;OM'!AO25</f>
        <v>207</v>
      </c>
      <c r="T729" s="753"/>
      <c r="U729" s="785">
        <f>S729/L729</f>
        <v>0.28532046864231564</v>
      </c>
      <c r="V729" s="753"/>
      <c r="W729" s="779"/>
      <c r="X729" s="761"/>
      <c r="Y729" s="753"/>
      <c r="Z729" s="780">
        <f>+'store&amp;sf'!T406</f>
        <v>5.5549999999999997</v>
      </c>
      <c r="AA729" s="753"/>
      <c r="AB729" s="781">
        <f>AVERAGE(Z729,Z728)</f>
        <v>5.5412499999999998</v>
      </c>
      <c r="AC729" s="753"/>
      <c r="AD729" s="768"/>
      <c r="AE729" s="761"/>
      <c r="AF729" s="772"/>
      <c r="AG729" s="769"/>
      <c r="AH729" s="753"/>
      <c r="AI729" s="784">
        <f>+S729</f>
        <v>207</v>
      </c>
      <c r="AJ729" s="753"/>
      <c r="AK729" s="776">
        <f>AI729/AB729</f>
        <v>37.356192194901872</v>
      </c>
      <c r="AL729" s="753"/>
      <c r="AM729" s="783"/>
      <c r="AN729" s="761"/>
      <c r="AO729" s="753"/>
    </row>
    <row r="730" spans="1:41" hidden="1" outlineLevel="2">
      <c r="A730" s="753" t="str">
        <f>$A$28</f>
        <v>3Q</v>
      </c>
      <c r="B730" s="760" t="str">
        <f>$B$28</f>
        <v>Oct</v>
      </c>
      <c r="C730" s="753"/>
      <c r="D730" s="768"/>
      <c r="E730" s="773"/>
      <c r="F730" s="774">
        <v>-18.224592387220206</v>
      </c>
      <c r="G730" s="773"/>
      <c r="H730" s="768"/>
      <c r="I730" s="761"/>
      <c r="J730" s="775">
        <f>+'store&amp;sf'!T43</f>
        <v>730</v>
      </c>
      <c r="K730" s="753"/>
      <c r="L730" s="776">
        <f>AVERAGE(J730,J729)</f>
        <v>728</v>
      </c>
      <c r="M730" s="753"/>
      <c r="N730" s="768"/>
      <c r="O730" s="761"/>
      <c r="P730" s="772"/>
      <c r="Q730" s="769"/>
      <c r="R730" s="753"/>
      <c r="S730" s="784">
        <f>+'segSales&amp;OM'!AO26</f>
        <v>204</v>
      </c>
      <c r="T730" s="753"/>
      <c r="U730" s="785">
        <f>S730/L730</f>
        <v>0.28021978021978022</v>
      </c>
      <c r="V730" s="753"/>
      <c r="W730" s="779"/>
      <c r="X730" s="761"/>
      <c r="Y730" s="753"/>
      <c r="Z730" s="780">
        <f>+'store&amp;sf'!T407</f>
        <v>5.5587499999999999</v>
      </c>
      <c r="AA730" s="753"/>
      <c r="AB730" s="781">
        <f>AVERAGE(Z730,Z729)</f>
        <v>5.5568749999999998</v>
      </c>
      <c r="AC730" s="753"/>
      <c r="AD730" s="768"/>
      <c r="AE730" s="761"/>
      <c r="AF730" s="772"/>
      <c r="AG730" s="769"/>
      <c r="AH730" s="753"/>
      <c r="AI730" s="784">
        <f>+S730</f>
        <v>204</v>
      </c>
      <c r="AJ730" s="753"/>
      <c r="AK730" s="776">
        <f>AI730/AB730</f>
        <v>36.711281070745699</v>
      </c>
      <c r="AL730" s="753"/>
      <c r="AM730" s="779"/>
      <c r="AN730" s="761"/>
      <c r="AO730" s="753"/>
    </row>
    <row r="731" spans="1:41" hidden="1" outlineLevel="2">
      <c r="A731" s="753" t="str">
        <f>$A$29</f>
        <v>4Q</v>
      </c>
      <c r="B731" s="760" t="str">
        <f>$B$29</f>
        <v>Jan</v>
      </c>
      <c r="C731" s="753"/>
      <c r="D731" s="786"/>
      <c r="E731" s="773"/>
      <c r="F731" s="787">
        <v>-26.593773543907041</v>
      </c>
      <c r="G731" s="773"/>
      <c r="H731" s="786"/>
      <c r="I731" s="761"/>
      <c r="J731" s="775">
        <f>+'store&amp;sf'!T44</f>
        <v>709</v>
      </c>
      <c r="K731" s="753"/>
      <c r="L731" s="788">
        <f>AVERAGE(J731,J730)</f>
        <v>719.5</v>
      </c>
      <c r="M731" s="753"/>
      <c r="N731" s="786"/>
      <c r="O731" s="761"/>
      <c r="P731" s="787"/>
      <c r="Q731" s="769"/>
      <c r="R731" s="753"/>
      <c r="S731" s="789">
        <f>+'segSales&amp;OM'!AO27</f>
        <v>254</v>
      </c>
      <c r="T731" s="753"/>
      <c r="U731" s="790">
        <f>S731/L731</f>
        <v>0.35302293259207784</v>
      </c>
      <c r="V731" s="753"/>
      <c r="W731" s="791"/>
      <c r="X731" s="761"/>
      <c r="Y731" s="753"/>
      <c r="Z731" s="780">
        <f>+'store&amp;sf'!T408</f>
        <v>5.4474999999999989</v>
      </c>
      <c r="AA731" s="753"/>
      <c r="AB731" s="792">
        <f>AVERAGE(Z731,Z730)</f>
        <v>5.5031249999999989</v>
      </c>
      <c r="AC731" s="753"/>
      <c r="AD731" s="786"/>
      <c r="AE731" s="761"/>
      <c r="AF731" s="787"/>
      <c r="AG731" s="769"/>
      <c r="AH731" s="753"/>
      <c r="AI731" s="789">
        <f>+S731</f>
        <v>254</v>
      </c>
      <c r="AJ731" s="753"/>
      <c r="AK731" s="788">
        <f>AI731/AB731</f>
        <v>46.155593412833625</v>
      </c>
      <c r="AL731" s="753"/>
      <c r="AM731" s="791"/>
      <c r="AN731" s="761"/>
      <c r="AO731" s="753"/>
    </row>
    <row r="732" spans="1:41" hidden="1" outlineLevel="2">
      <c r="A732" s="753"/>
      <c r="B732" s="760" t="str">
        <f>$B$30</f>
        <v>Year</v>
      </c>
      <c r="C732" s="753"/>
      <c r="D732" s="768"/>
      <c r="E732" s="773"/>
      <c r="F732" s="774">
        <v>-21</v>
      </c>
      <c r="G732" s="773"/>
      <c r="H732" s="768"/>
      <c r="I732" s="761"/>
      <c r="J732" s="775"/>
      <c r="K732" s="753"/>
      <c r="L732" s="793">
        <f>AVERAGE(L728:L731)</f>
        <v>633.875</v>
      </c>
      <c r="M732" s="753"/>
      <c r="N732" s="768"/>
      <c r="O732" s="761"/>
      <c r="P732" s="772"/>
      <c r="Q732" s="769"/>
      <c r="R732" s="753"/>
      <c r="S732" s="777">
        <f>SUM(S728:S731)</f>
        <v>869</v>
      </c>
      <c r="T732" s="753"/>
      <c r="U732" s="794">
        <f>SUM(U728:U731)</f>
        <v>1.481321802143829</v>
      </c>
      <c r="V732" s="753"/>
      <c r="W732" s="779"/>
      <c r="X732" s="761"/>
      <c r="Y732" s="753"/>
      <c r="Z732" s="770"/>
      <c r="AA732" s="753"/>
      <c r="AB732" s="781">
        <f>AVERAGE(AB728:AB731)</f>
        <v>4.9573484374999994</v>
      </c>
      <c r="AC732" s="753"/>
      <c r="AD732" s="768"/>
      <c r="AE732" s="761"/>
      <c r="AF732" s="772"/>
      <c r="AG732" s="769"/>
      <c r="AH732" s="753"/>
      <c r="AI732" s="777">
        <f>SUM(AI728:AI731)</f>
        <v>869</v>
      </c>
      <c r="AJ732" s="753"/>
      <c r="AK732" s="795">
        <f>SUM(AK728:AK731)</f>
        <v>183.4172785223621</v>
      </c>
      <c r="AL732" s="753"/>
      <c r="AM732" s="779"/>
      <c r="AN732" s="761"/>
      <c r="AO732" s="753"/>
    </row>
    <row r="733" spans="1:41" hidden="1" outlineLevel="2">
      <c r="A733" s="753"/>
      <c r="B733" s="760"/>
      <c r="C733" s="753"/>
      <c r="D733" s="768"/>
      <c r="E733" s="773"/>
      <c r="F733" s="768"/>
      <c r="G733" s="773"/>
      <c r="H733" s="768"/>
      <c r="I733" s="761"/>
      <c r="J733" s="753"/>
      <c r="K733" s="753"/>
      <c r="L733" s="753"/>
      <c r="M733" s="753"/>
      <c r="N733" s="753"/>
      <c r="O733" s="761"/>
      <c r="P733" s="769"/>
      <c r="Q733" s="769"/>
      <c r="R733" s="753"/>
      <c r="S733" s="753"/>
      <c r="T733" s="753"/>
      <c r="U733" s="753"/>
      <c r="V733" s="753"/>
      <c r="W733" s="753"/>
      <c r="X733" s="761"/>
      <c r="Y733" s="753"/>
      <c r="Z733" s="770"/>
      <c r="AA733" s="753"/>
      <c r="AB733" s="771"/>
      <c r="AC733" s="753"/>
      <c r="AD733" s="753"/>
      <c r="AE733" s="761"/>
      <c r="AF733" s="772"/>
      <c r="AG733" s="769"/>
      <c r="AH733" s="753"/>
      <c r="AI733" s="753"/>
      <c r="AJ733" s="753"/>
      <c r="AK733" s="753"/>
      <c r="AL733" s="753"/>
      <c r="AM733" s="753"/>
      <c r="AN733" s="761"/>
      <c r="AO733" s="753"/>
    </row>
    <row r="734" spans="1:41" hidden="1" outlineLevel="2">
      <c r="A734" s="766"/>
      <c r="B734" s="796">
        <f>+B727+1</f>
        <v>1995</v>
      </c>
      <c r="C734" s="753"/>
      <c r="D734" s="768"/>
      <c r="E734" s="768"/>
      <c r="F734" s="768"/>
      <c r="G734" s="768"/>
      <c r="H734" s="768"/>
      <c r="I734" s="761"/>
      <c r="J734" s="753"/>
      <c r="K734" s="753"/>
      <c r="L734" s="753"/>
      <c r="M734" s="753"/>
      <c r="N734" s="753"/>
      <c r="O734" s="761"/>
      <c r="P734" s="769"/>
      <c r="Q734" s="769"/>
      <c r="R734" s="753"/>
      <c r="S734" s="753"/>
      <c r="T734" s="753"/>
      <c r="U734" s="753"/>
      <c r="V734" s="753"/>
      <c r="W734" s="753"/>
      <c r="X734" s="761"/>
      <c r="Y734" s="753"/>
      <c r="Z734" s="770"/>
      <c r="AA734" s="753"/>
      <c r="AB734" s="771"/>
      <c r="AC734" s="753"/>
      <c r="AD734" s="753"/>
      <c r="AE734" s="761"/>
      <c r="AF734" s="772"/>
      <c r="AG734" s="769"/>
      <c r="AH734" s="753"/>
      <c r="AI734" s="753"/>
      <c r="AJ734" s="753"/>
      <c r="AK734" s="753"/>
      <c r="AL734" s="753"/>
      <c r="AM734" s="753"/>
      <c r="AN734" s="761"/>
      <c r="AO734" s="753"/>
    </row>
    <row r="735" spans="1:41" hidden="1" outlineLevel="2">
      <c r="A735" s="753" t="str">
        <f>$A$26</f>
        <v>1Q</v>
      </c>
      <c r="B735" s="760" t="str">
        <f>$B$26</f>
        <v>Apr</v>
      </c>
      <c r="C735" s="753"/>
      <c r="D735" s="768">
        <f>(S735/S728-1)*100</f>
        <v>-12.254901960784315</v>
      </c>
      <c r="E735" s="773" t="s">
        <v>1084</v>
      </c>
      <c r="F735" s="774">
        <v>-13.197948526862188</v>
      </c>
      <c r="G735" s="773" t="s">
        <v>1084</v>
      </c>
      <c r="H735" s="768">
        <f>D735-F735</f>
        <v>0.94304656607787329</v>
      </c>
      <c r="I735" s="761" t="s">
        <v>1084</v>
      </c>
      <c r="J735" s="775">
        <f>+'store&amp;sf'!T47</f>
        <v>711</v>
      </c>
      <c r="K735" s="753"/>
      <c r="L735" s="776">
        <f>AVERAGE(J735,J731)</f>
        <v>710</v>
      </c>
      <c r="M735" s="753"/>
      <c r="N735" s="768">
        <f>(L735/L728-1)*100</f>
        <v>95.862068965517238</v>
      </c>
      <c r="O735" s="761" t="s">
        <v>1084</v>
      </c>
      <c r="P735" s="772">
        <f>H735/N735*100</f>
        <v>0.98375361209562318</v>
      </c>
      <c r="Q735" s="769" t="s">
        <v>1084</v>
      </c>
      <c r="R735" s="753"/>
      <c r="S735" s="777">
        <f>+'segSales&amp;OM'!AO31</f>
        <v>179</v>
      </c>
      <c r="T735" s="753"/>
      <c r="U735" s="778">
        <f>S735/L735</f>
        <v>0.25211267605633803</v>
      </c>
      <c r="V735" s="753"/>
      <c r="W735" s="779">
        <f>(U735/U728-1)*100</f>
        <v>-55.20056614194975</v>
      </c>
      <c r="X735" s="761" t="s">
        <v>1084</v>
      </c>
      <c r="Y735" s="753"/>
      <c r="Z735" s="780">
        <f>+'store&amp;sf'!T411</f>
        <v>5.41</v>
      </c>
      <c r="AA735" s="753"/>
      <c r="AB735" s="781">
        <f>AVERAGE(Z735,Z731)</f>
        <v>5.4287499999999991</v>
      </c>
      <c r="AC735" s="753"/>
      <c r="AD735" s="768">
        <f>(AB735/AB728-1)*100</f>
        <v>68.169400758562858</v>
      </c>
      <c r="AE735" s="761" t="s">
        <v>1084</v>
      </c>
      <c r="AF735" s="772">
        <f>+H735/AD735*100</f>
        <v>1.3833869090589237</v>
      </c>
      <c r="AG735" s="769" t="s">
        <v>1084</v>
      </c>
      <c r="AH735" s="753"/>
      <c r="AI735" s="777">
        <f>+S735</f>
        <v>179</v>
      </c>
      <c r="AJ735" s="753"/>
      <c r="AK735" s="782">
        <f>AI735/AB735</f>
        <v>32.972599585539953</v>
      </c>
      <c r="AL735" s="753"/>
      <c r="AM735" s="779">
        <f>(AK735/AK728-1)*100</f>
        <v>-47.823386630728734</v>
      </c>
      <c r="AN735" s="761" t="s">
        <v>1084</v>
      </c>
      <c r="AO735" s="753"/>
    </row>
    <row r="736" spans="1:41" hidden="1" outlineLevel="2">
      <c r="A736" s="753" t="str">
        <f>$A$27</f>
        <v>2Q</v>
      </c>
      <c r="B736" s="760" t="str">
        <f>$B$27</f>
        <v>Jul</v>
      </c>
      <c r="C736" s="753"/>
      <c r="D736" s="768">
        <f>(S736/S729-1)*100</f>
        <v>-7.729468599033817</v>
      </c>
      <c r="E736" s="773"/>
      <c r="F736" s="774">
        <v>-8.9699861339537641</v>
      </c>
      <c r="G736" s="773"/>
      <c r="H736" s="768">
        <f>D736-F736</f>
        <v>1.2405175349199471</v>
      </c>
      <c r="I736" s="761"/>
      <c r="J736" s="775">
        <f>+'store&amp;sf'!T48</f>
        <v>712</v>
      </c>
      <c r="K736" s="753"/>
      <c r="L736" s="776">
        <f>AVERAGE(J736,J735)</f>
        <v>711.5</v>
      </c>
      <c r="M736" s="753"/>
      <c r="N736" s="768">
        <f>(L736/L729-1)*100</f>
        <v>-1.9297036526533473</v>
      </c>
      <c r="O736" s="761"/>
      <c r="P736" s="772">
        <f>H736/N736*100</f>
        <v>-64.285390827458528</v>
      </c>
      <c r="Q736" s="769"/>
      <c r="R736" s="753"/>
      <c r="S736" s="784">
        <f>+'segSales&amp;OM'!AO32</f>
        <v>191</v>
      </c>
      <c r="T736" s="753"/>
      <c r="U736" s="785">
        <f>S736/L736</f>
        <v>0.26844694307800421</v>
      </c>
      <c r="V736" s="753"/>
      <c r="W736" s="779">
        <f>(U736/U729-1)*100</f>
        <v>-5.9138854091342674</v>
      </c>
      <c r="X736" s="761"/>
      <c r="Y736" s="753"/>
      <c r="Z736" s="780">
        <f>+'store&amp;sf'!T412</f>
        <v>5.3937499999999998</v>
      </c>
      <c r="AA736" s="753"/>
      <c r="AB736" s="781">
        <f>AVERAGE(Z736,Z735)</f>
        <v>5.4018750000000004</v>
      </c>
      <c r="AC736" s="753"/>
      <c r="AD736" s="768">
        <f>(AB736/AB729-1)*100</f>
        <v>-2.5152267087750868</v>
      </c>
      <c r="AE736" s="761"/>
      <c r="AF736" s="772">
        <f>+H736/AD736*100</f>
        <v>-49.320307016144795</v>
      </c>
      <c r="AG736" s="769"/>
      <c r="AH736" s="753"/>
      <c r="AI736" s="784">
        <f>+S736</f>
        <v>191</v>
      </c>
      <c r="AJ736" s="753"/>
      <c r="AK736" s="776">
        <f>AI736/AB736</f>
        <v>35.358093254656943</v>
      </c>
      <c r="AL736" s="753"/>
      <c r="AM736" s="779">
        <f>(AK736/AK729-1)*100</f>
        <v>-5.3487757259092827</v>
      </c>
      <c r="AN736" s="761"/>
      <c r="AO736" s="753"/>
    </row>
    <row r="737" spans="1:41" hidden="1" outlineLevel="2">
      <c r="A737" s="753" t="str">
        <f>$A$28</f>
        <v>3Q</v>
      </c>
      <c r="B737" s="760" t="str">
        <f>$B$28</f>
        <v>Oct</v>
      </c>
      <c r="C737" s="753"/>
      <c r="D737" s="768">
        <f>(S737/S730-1)*100</f>
        <v>4.9019607843137303</v>
      </c>
      <c r="E737" s="773"/>
      <c r="F737" s="774">
        <v>4.411202568741877</v>
      </c>
      <c r="G737" s="773"/>
      <c r="H737" s="768">
        <f>D737-F737</f>
        <v>0.49075821557185328</v>
      </c>
      <c r="I737" s="761"/>
      <c r="J737" s="775">
        <f>+'store&amp;sf'!T49</f>
        <v>702</v>
      </c>
      <c r="K737" s="753"/>
      <c r="L737" s="776">
        <f>AVERAGE(J737,J736)</f>
        <v>707</v>
      </c>
      <c r="M737" s="753"/>
      <c r="N737" s="768">
        <f>(L737/L730-1)*100</f>
        <v>-2.8846153846153855</v>
      </c>
      <c r="O737" s="761"/>
      <c r="P737" s="772">
        <f>H737/N737*100</f>
        <v>-17.012951473157575</v>
      </c>
      <c r="Q737" s="769"/>
      <c r="R737" s="753"/>
      <c r="S737" s="784">
        <f>+'segSales&amp;OM'!AO33</f>
        <v>214</v>
      </c>
      <c r="T737" s="753"/>
      <c r="U737" s="785">
        <f>S737/L737</f>
        <v>0.3026874115983027</v>
      </c>
      <c r="V737" s="753"/>
      <c r="W737" s="779">
        <f>(U737/U730-1)*100</f>
        <v>8.0178606095903771</v>
      </c>
      <c r="X737" s="761"/>
      <c r="Y737" s="753"/>
      <c r="Z737" s="780">
        <f>+'store&amp;sf'!T413</f>
        <v>5.3362499999999997</v>
      </c>
      <c r="AA737" s="753"/>
      <c r="AB737" s="781">
        <f>AVERAGE(Z737,Z736)</f>
        <v>5.3650000000000002</v>
      </c>
      <c r="AC737" s="753"/>
      <c r="AD737" s="768">
        <f>(AB737/AB730-1)*100</f>
        <v>-3.4529299291418236</v>
      </c>
      <c r="AE737" s="761"/>
      <c r="AF737" s="772">
        <f>+H737/AD737*100</f>
        <v>-14.21280552003047</v>
      </c>
      <c r="AG737" s="769"/>
      <c r="AH737" s="753"/>
      <c r="AI737" s="784">
        <f>+S737</f>
        <v>214</v>
      </c>
      <c r="AJ737" s="753"/>
      <c r="AK737" s="776">
        <f>AI737/AB737</f>
        <v>39.888164026095062</v>
      </c>
      <c r="AL737" s="753"/>
      <c r="AM737" s="779">
        <f>(AK737/AK730-1)*100</f>
        <v>8.6536968002485217</v>
      </c>
      <c r="AN737" s="761"/>
      <c r="AO737" s="753"/>
    </row>
    <row r="738" spans="1:41" hidden="1" outlineLevel="2">
      <c r="A738" s="753" t="str">
        <f>$A$29</f>
        <v>4Q</v>
      </c>
      <c r="B738" s="760" t="str">
        <f>$B$29</f>
        <v>Jan</v>
      </c>
      <c r="C738" s="753"/>
      <c r="D738" s="786">
        <f>(S738/S731-1)*100</f>
        <v>4.7244094488188892</v>
      </c>
      <c r="E738" s="773"/>
      <c r="F738" s="787">
        <v>1.8338704818655631</v>
      </c>
      <c r="G738" s="773"/>
      <c r="H738" s="786">
        <f>D738-F738</f>
        <v>2.8905389669533261</v>
      </c>
      <c r="I738" s="761"/>
      <c r="J738" s="775">
        <f>+'store&amp;sf'!T50</f>
        <v>689</v>
      </c>
      <c r="K738" s="753"/>
      <c r="L738" s="788">
        <f>AVERAGE(J738,J737)</f>
        <v>695.5</v>
      </c>
      <c r="M738" s="753"/>
      <c r="N738" s="786">
        <f>(L738/L731-1)*100</f>
        <v>-3.3356497567755383</v>
      </c>
      <c r="O738" s="761"/>
      <c r="P738" s="787">
        <f>H738/N738*100</f>
        <v>-86.655949446788256</v>
      </c>
      <c r="Q738" s="769"/>
      <c r="R738" s="753"/>
      <c r="S738" s="789">
        <f>+'segSales&amp;OM'!AO34</f>
        <v>266</v>
      </c>
      <c r="T738" s="753"/>
      <c r="U738" s="790">
        <f>S738/L738</f>
        <v>0.38245866283249463</v>
      </c>
      <c r="V738" s="753"/>
      <c r="W738" s="791">
        <f>(U738/U731-1)*100</f>
        <v>8.3381920897558572</v>
      </c>
      <c r="X738" s="761"/>
      <c r="Y738" s="753"/>
      <c r="Z738" s="780">
        <f>+'store&amp;sf'!T414</f>
        <v>5.2637499999999999</v>
      </c>
      <c r="AA738" s="753"/>
      <c r="AB738" s="792">
        <f>AVERAGE(Z738,Z737)</f>
        <v>5.3</v>
      </c>
      <c r="AC738" s="753"/>
      <c r="AD738" s="786">
        <f>(AB738/AB731-1)*100</f>
        <v>-3.6910846110164486</v>
      </c>
      <c r="AE738" s="761"/>
      <c r="AF738" s="787">
        <f>+H738/AD738*100</f>
        <v>-78.31137108930514</v>
      </c>
      <c r="AG738" s="769"/>
      <c r="AH738" s="753"/>
      <c r="AI738" s="789">
        <f>+S738</f>
        <v>266</v>
      </c>
      <c r="AJ738" s="753"/>
      <c r="AK738" s="788">
        <f>AI738/AB738</f>
        <v>50.188679245283019</v>
      </c>
      <c r="AL738" s="753"/>
      <c r="AM738" s="791">
        <f>(AK738/AK731-1)*100</f>
        <v>8.7380218392512088</v>
      </c>
      <c r="AN738" s="761"/>
      <c r="AO738" s="753"/>
    </row>
    <row r="739" spans="1:41" hidden="1" outlineLevel="2">
      <c r="A739" s="753"/>
      <c r="B739" s="760" t="str">
        <f>$B$30</f>
        <v>Year</v>
      </c>
      <c r="C739" s="753"/>
      <c r="D739" s="768">
        <f>(S739/S732-1)*100</f>
        <v>-2.1864211737629424</v>
      </c>
      <c r="E739" s="773"/>
      <c r="F739" s="774">
        <v>-4</v>
      </c>
      <c r="G739" s="773"/>
      <c r="H739" s="768">
        <f>D739-F739</f>
        <v>1.8135788262370576</v>
      </c>
      <c r="I739" s="761"/>
      <c r="J739" s="775"/>
      <c r="K739" s="753"/>
      <c r="L739" s="793">
        <f>AVERAGE(L735:L738)</f>
        <v>706</v>
      </c>
      <c r="M739" s="753"/>
      <c r="N739" s="768">
        <f>(L739/L732-1)*100</f>
        <v>11.378426345888393</v>
      </c>
      <c r="O739" s="761"/>
      <c r="P739" s="772">
        <f>H739/N739*100</f>
        <v>15.938749095057386</v>
      </c>
      <c r="Q739" s="769"/>
      <c r="R739" s="753"/>
      <c r="S739" s="777">
        <f>SUM(S735:S738)</f>
        <v>850</v>
      </c>
      <c r="T739" s="753"/>
      <c r="U739" s="794">
        <f>SUM(U735:U738)</f>
        <v>1.2057056935651396</v>
      </c>
      <c r="V739" s="753"/>
      <c r="W739" s="779">
        <f>(U739/U732-1)*100</f>
        <v>-18.606092759845072</v>
      </c>
      <c r="X739" s="761"/>
      <c r="Y739" s="753"/>
      <c r="Z739" s="770"/>
      <c r="AA739" s="753"/>
      <c r="AB739" s="781">
        <f>AVERAGE(AB735:AB738)</f>
        <v>5.3739062500000001</v>
      </c>
      <c r="AC739" s="753"/>
      <c r="AD739" s="768">
        <f>(AB739/AB732-1)*100</f>
        <v>8.402835058938706</v>
      </c>
      <c r="AE739" s="761"/>
      <c r="AF739" s="772">
        <f>+H739/AD739*100</f>
        <v>21.582939728274471</v>
      </c>
      <c r="AG739" s="769"/>
      <c r="AH739" s="753"/>
      <c r="AI739" s="777">
        <f>SUM(AI735:AI738)</f>
        <v>850</v>
      </c>
      <c r="AJ739" s="753"/>
      <c r="AK739" s="795">
        <f>SUM(AK735:AK738)</f>
        <v>158.40753611157498</v>
      </c>
      <c r="AL739" s="753"/>
      <c r="AM739" s="779">
        <f>(AK739/AK732-1)*100</f>
        <v>-13.635434247127343</v>
      </c>
      <c r="AN739" s="761"/>
      <c r="AO739" s="753"/>
    </row>
    <row r="740" spans="1:41" hidden="1" outlineLevel="2">
      <c r="A740" s="753"/>
      <c r="B740" s="760"/>
      <c r="C740" s="753"/>
      <c r="D740" s="768"/>
      <c r="E740" s="773"/>
      <c r="F740" s="768"/>
      <c r="G740" s="773"/>
      <c r="H740" s="768"/>
      <c r="I740" s="761"/>
      <c r="J740" s="753"/>
      <c r="K740" s="753"/>
      <c r="L740" s="753"/>
      <c r="M740" s="753"/>
      <c r="N740" s="753"/>
      <c r="O740" s="761"/>
      <c r="P740" s="769"/>
      <c r="Q740" s="769"/>
      <c r="R740" s="753"/>
      <c r="S740" s="753"/>
      <c r="T740" s="753"/>
      <c r="U740" s="753"/>
      <c r="V740" s="753"/>
      <c r="W740" s="753"/>
      <c r="X740" s="761"/>
      <c r="Y740" s="753"/>
      <c r="Z740" s="770"/>
      <c r="AA740" s="753"/>
      <c r="AB740" s="771"/>
      <c r="AC740" s="753"/>
      <c r="AD740" s="753"/>
      <c r="AE740" s="761"/>
      <c r="AF740" s="772"/>
      <c r="AG740" s="769"/>
      <c r="AH740" s="753"/>
      <c r="AI740" s="753"/>
      <c r="AJ740" s="753"/>
      <c r="AK740" s="753"/>
      <c r="AL740" s="753"/>
      <c r="AM740" s="753"/>
      <c r="AN740" s="761"/>
      <c r="AO740" s="753"/>
    </row>
    <row r="741" spans="1:41" hidden="1" outlineLevel="2" collapsed="1">
      <c r="A741" s="766"/>
      <c r="B741" s="796">
        <f>+B734+1</f>
        <v>1996</v>
      </c>
      <c r="C741" s="753"/>
      <c r="D741" s="768"/>
      <c r="E741" s="768"/>
      <c r="F741" s="768"/>
      <c r="G741" s="768"/>
      <c r="H741" s="768"/>
      <c r="I741" s="761"/>
      <c r="J741" s="753"/>
      <c r="K741" s="753"/>
      <c r="L741" s="753"/>
      <c r="M741" s="753"/>
      <c r="N741" s="753"/>
      <c r="O741" s="761"/>
      <c r="P741" s="769"/>
      <c r="Q741" s="769"/>
      <c r="R741" s="753"/>
      <c r="S741" s="753"/>
      <c r="T741" s="753"/>
      <c r="U741" s="753"/>
      <c r="V741" s="753"/>
      <c r="W741" s="753"/>
      <c r="X741" s="761"/>
      <c r="Y741" s="753"/>
      <c r="Z741" s="770"/>
      <c r="AA741" s="753"/>
      <c r="AB741" s="771"/>
      <c r="AC741" s="753"/>
      <c r="AD741" s="753"/>
      <c r="AE741" s="761"/>
      <c r="AF741" s="772"/>
      <c r="AG741" s="769"/>
      <c r="AH741" s="753"/>
      <c r="AI741" s="753"/>
      <c r="AJ741" s="753"/>
      <c r="AK741" s="753"/>
      <c r="AL741" s="753"/>
      <c r="AM741" s="753"/>
      <c r="AN741" s="761"/>
      <c r="AO741" s="753"/>
    </row>
    <row r="742" spans="1:41" hidden="1" outlineLevel="2">
      <c r="A742" s="753" t="str">
        <f>$A$26</f>
        <v>1Q</v>
      </c>
      <c r="B742" s="760" t="str">
        <f>$B$26</f>
        <v>Apr</v>
      </c>
      <c r="C742" s="753"/>
      <c r="D742" s="768">
        <f>(S742/S735-1)*100</f>
        <v>4.4692737430167551</v>
      </c>
      <c r="E742" s="773" t="s">
        <v>1084</v>
      </c>
      <c r="F742" s="774">
        <v>6</v>
      </c>
      <c r="G742" s="773" t="s">
        <v>1084</v>
      </c>
      <c r="H742" s="768">
        <f>D742-F742</f>
        <v>-1.5307262569832449</v>
      </c>
      <c r="I742" s="761" t="s">
        <v>1084</v>
      </c>
      <c r="J742" s="775">
        <f>+'store&amp;sf'!T53</f>
        <v>684</v>
      </c>
      <c r="K742" s="753"/>
      <c r="L742" s="776">
        <f>AVERAGE(J742,J738)</f>
        <v>686.5</v>
      </c>
      <c r="M742" s="753"/>
      <c r="N742" s="768">
        <f>(L742/L735-1)*100</f>
        <v>-3.3098591549295731</v>
      </c>
      <c r="O742" s="761" t="s">
        <v>1084</v>
      </c>
      <c r="P742" s="772">
        <f>H742/N742*100</f>
        <v>46.247474147153419</v>
      </c>
      <c r="Q742" s="769" t="s">
        <v>1084</v>
      </c>
      <c r="R742" s="753"/>
      <c r="S742" s="777">
        <f>+'segSales&amp;OM'!AO38</f>
        <v>187</v>
      </c>
      <c r="T742" s="753"/>
      <c r="U742" s="778">
        <f>S742/L742</f>
        <v>0.27239621267297887</v>
      </c>
      <c r="V742" s="753"/>
      <c r="W742" s="779">
        <f>(U742/U735-1)*100</f>
        <v>8.0454251384441289</v>
      </c>
      <c r="X742" s="761" t="s">
        <v>1084</v>
      </c>
      <c r="Y742" s="753"/>
      <c r="Z742" s="780">
        <f>+'store&amp;sf'!T417</f>
        <v>5.2287499999999998</v>
      </c>
      <c r="AA742" s="753"/>
      <c r="AB742" s="781">
        <f>AVERAGE(Z742,Z738)</f>
        <v>5.2462499999999999</v>
      </c>
      <c r="AC742" s="753"/>
      <c r="AD742" s="768">
        <f>(AB742/AB735-1)*100</f>
        <v>-3.3617315219893973</v>
      </c>
      <c r="AE742" s="761" t="s">
        <v>1084</v>
      </c>
      <c r="AF742" s="772">
        <f>+H742/AD742*100</f>
        <v>45.533863932042841</v>
      </c>
      <c r="AG742" s="769" t="s">
        <v>1084</v>
      </c>
      <c r="AH742" s="753"/>
      <c r="AI742" s="777">
        <f>+S742</f>
        <v>187</v>
      </c>
      <c r="AJ742" s="753"/>
      <c r="AK742" s="782">
        <f>AI742/AB742</f>
        <v>35.644507981891827</v>
      </c>
      <c r="AL742" s="753"/>
      <c r="AM742" s="779">
        <f>(AK742/AK735-1)*100</f>
        <v>8.103420506533654</v>
      </c>
      <c r="AN742" s="761" t="s">
        <v>1084</v>
      </c>
      <c r="AO742" s="753"/>
    </row>
    <row r="743" spans="1:41" hidden="1" outlineLevel="2">
      <c r="A743" s="753" t="str">
        <f>$A$27</f>
        <v>2Q</v>
      </c>
      <c r="B743" s="760" t="str">
        <f>$B$27</f>
        <v>Jul</v>
      </c>
      <c r="C743" s="753"/>
      <c r="D743" s="768">
        <f>(S743/S736-1)*100</f>
        <v>7.3298429319371694</v>
      </c>
      <c r="E743" s="773"/>
      <c r="F743" s="774">
        <v>9</v>
      </c>
      <c r="G743" s="773"/>
      <c r="H743" s="768">
        <f>D743-F743</f>
        <v>-1.6701570680628306</v>
      </c>
      <c r="I743" s="761"/>
      <c r="J743" s="775">
        <f>+'store&amp;sf'!T54</f>
        <v>681</v>
      </c>
      <c r="K743" s="753"/>
      <c r="L743" s="776">
        <f>AVERAGE(J743,J742)</f>
        <v>682.5</v>
      </c>
      <c r="M743" s="753"/>
      <c r="N743" s="768">
        <f>(L743/L736-1)*100</f>
        <v>-4.0758959943780759</v>
      </c>
      <c r="O743" s="761"/>
      <c r="P743" s="772">
        <f>H743/N743*100</f>
        <v>40.976439790575988</v>
      </c>
      <c r="Q743" s="769"/>
      <c r="R743" s="753"/>
      <c r="S743" s="784">
        <f>+'segSales&amp;OM'!AO39</f>
        <v>205</v>
      </c>
      <c r="T743" s="753"/>
      <c r="U743" s="785">
        <f>S743/L743</f>
        <v>0.30036630036630035</v>
      </c>
      <c r="V743" s="753"/>
      <c r="W743" s="779">
        <f>(U743/U736-1)*100</f>
        <v>11.890378382524979</v>
      </c>
      <c r="X743" s="761"/>
      <c r="Y743" s="753"/>
      <c r="Z743" s="780">
        <f>+'store&amp;sf'!T418</f>
        <v>5.1775000000000002</v>
      </c>
      <c r="AA743" s="753"/>
      <c r="AB743" s="781">
        <f>AVERAGE(Z743,Z742)</f>
        <v>5.203125</v>
      </c>
      <c r="AC743" s="753"/>
      <c r="AD743" s="768">
        <f>(AB743/AB736-1)*100</f>
        <v>-3.6792780284623516</v>
      </c>
      <c r="AE743" s="761"/>
      <c r="AF743" s="772">
        <f>+H743/AD743*100</f>
        <v>45.39360861404716</v>
      </c>
      <c r="AG743" s="769"/>
      <c r="AH743" s="753"/>
      <c r="AI743" s="784">
        <f>+S743</f>
        <v>205</v>
      </c>
      <c r="AJ743" s="753"/>
      <c r="AK743" s="776">
        <f>AI743/AB743</f>
        <v>39.3993993993994</v>
      </c>
      <c r="AL743" s="753"/>
      <c r="AM743" s="779">
        <f>(AK743/AK736-1)*100</f>
        <v>11.429649544832809</v>
      </c>
      <c r="AN743" s="761"/>
      <c r="AO743" s="753"/>
    </row>
    <row r="744" spans="1:41" hidden="1" outlineLevel="2">
      <c r="A744" s="753" t="str">
        <f>$A$28</f>
        <v>3Q</v>
      </c>
      <c r="B744" s="760" t="str">
        <f>$B$28</f>
        <v>Oct</v>
      </c>
      <c r="C744" s="753"/>
      <c r="D744" s="768">
        <f>(S744/S737-1)*100</f>
        <v>-1.4018691588784993</v>
      </c>
      <c r="E744" s="773"/>
      <c r="F744" s="774">
        <v>0</v>
      </c>
      <c r="G744" s="773"/>
      <c r="H744" s="768">
        <f>D744-F744</f>
        <v>-1.4018691588784993</v>
      </c>
      <c r="I744" s="761"/>
      <c r="J744" s="775">
        <f>+'store&amp;sf'!T55</f>
        <v>683</v>
      </c>
      <c r="K744" s="753"/>
      <c r="L744" s="776">
        <f>AVERAGE(J744,J743)</f>
        <v>682</v>
      </c>
      <c r="M744" s="753"/>
      <c r="N744" s="768">
        <f>(L744/L737-1)*100</f>
        <v>-3.536067892503536</v>
      </c>
      <c r="O744" s="761"/>
      <c r="P744" s="772">
        <f>H744/N744*100</f>
        <v>39.644859813083961</v>
      </c>
      <c r="Q744" s="769"/>
      <c r="R744" s="753"/>
      <c r="S744" s="784">
        <f>+'segSales&amp;OM'!AO40</f>
        <v>211</v>
      </c>
      <c r="T744" s="753"/>
      <c r="U744" s="785">
        <f>S744/L744</f>
        <v>0.3093841642228739</v>
      </c>
      <c r="V744" s="753"/>
      <c r="W744" s="779">
        <f>(U744/U737-1)*100</f>
        <v>2.2124318250335673</v>
      </c>
      <c r="X744" s="761"/>
      <c r="Y744" s="753"/>
      <c r="Z744" s="780">
        <f>+'store&amp;sf'!T419</f>
        <v>5.1237500000000002</v>
      </c>
      <c r="AA744" s="753"/>
      <c r="AB744" s="781">
        <f>AVERAGE(Z744,Z743)</f>
        <v>5.1506249999999998</v>
      </c>
      <c r="AC744" s="753"/>
      <c r="AD744" s="768">
        <f>(AB744/AB737-1)*100</f>
        <v>-3.9958061509785758</v>
      </c>
      <c r="AE744" s="761"/>
      <c r="AF744" s="772">
        <f>+H744/AD744*100</f>
        <v>35.08351271082509</v>
      </c>
      <c r="AG744" s="769"/>
      <c r="AH744" s="753"/>
      <c r="AI744" s="784">
        <f>+S744</f>
        <v>211</v>
      </c>
      <c r="AJ744" s="753"/>
      <c r="AK744" s="776">
        <f>AI744/AB744</f>
        <v>40.965902196335399</v>
      </c>
      <c r="AL744" s="753"/>
      <c r="AM744" s="779">
        <f>(AK744/AK737-1)*100</f>
        <v>2.7018996651118732</v>
      </c>
      <c r="AN744" s="761"/>
      <c r="AO744" s="753"/>
    </row>
    <row r="745" spans="1:41" hidden="1" outlineLevel="2">
      <c r="A745" s="753" t="str">
        <f>$A$29</f>
        <v>4Q</v>
      </c>
      <c r="B745" s="760" t="str">
        <f>$B$29</f>
        <v>Jan</v>
      </c>
      <c r="C745" s="753"/>
      <c r="D745" s="786">
        <f>(S745/S738-1)*100</f>
        <v>-5.2631578947368478</v>
      </c>
      <c r="E745" s="773"/>
      <c r="F745" s="787">
        <v>-1</v>
      </c>
      <c r="G745" s="773"/>
      <c r="H745" s="786">
        <f>D745-F745</f>
        <v>-4.2631578947368478</v>
      </c>
      <c r="I745" s="761"/>
      <c r="J745" s="775">
        <f>+'store&amp;sf'!T56</f>
        <v>663</v>
      </c>
      <c r="K745" s="753"/>
      <c r="L745" s="788">
        <f>AVERAGE(J745,J744)</f>
        <v>673</v>
      </c>
      <c r="M745" s="753"/>
      <c r="N745" s="786">
        <f>(L745/L738-1)*100</f>
        <v>-3.2350826743350103</v>
      </c>
      <c r="O745" s="761"/>
      <c r="P745" s="787">
        <f>H745/N745*100</f>
        <v>131.77894736842123</v>
      </c>
      <c r="Q745" s="769"/>
      <c r="R745" s="753"/>
      <c r="S745" s="789">
        <f>+'segSales&amp;OM'!AO41</f>
        <v>252</v>
      </c>
      <c r="T745" s="753"/>
      <c r="U745" s="790">
        <f>S745/L745</f>
        <v>0.37444279346210996</v>
      </c>
      <c r="V745" s="753"/>
      <c r="W745" s="791">
        <f>(U745/U738-1)*100</f>
        <v>-2.0958786267302743</v>
      </c>
      <c r="X745" s="761"/>
      <c r="Y745" s="753"/>
      <c r="Z745" s="780">
        <f>+'store&amp;sf'!T420</f>
        <v>4.9712499999999995</v>
      </c>
      <c r="AA745" s="753"/>
      <c r="AB745" s="792">
        <f>AVERAGE(Z745,Z744)</f>
        <v>5.0474999999999994</v>
      </c>
      <c r="AC745" s="753"/>
      <c r="AD745" s="786">
        <f>(AB745/AB738-1)*100</f>
        <v>-4.7641509433962392</v>
      </c>
      <c r="AE745" s="761"/>
      <c r="AF745" s="787">
        <f>+H745/AD745*100</f>
        <v>89.484106305367263</v>
      </c>
      <c r="AG745" s="769"/>
      <c r="AH745" s="753"/>
      <c r="AI745" s="789">
        <f>+S745</f>
        <v>252</v>
      </c>
      <c r="AJ745" s="753"/>
      <c r="AK745" s="788">
        <f>AI745/AB745</f>
        <v>49.925705794948001</v>
      </c>
      <c r="AL745" s="753"/>
      <c r="AM745" s="791">
        <f>(AK745/AK738-1)*100</f>
        <v>-0.52396965668255469</v>
      </c>
      <c r="AN745" s="761"/>
      <c r="AO745" s="753"/>
    </row>
    <row r="746" spans="1:41" hidden="1" outlineLevel="2">
      <c r="A746" s="753"/>
      <c r="B746" s="760" t="str">
        <f>$B$30</f>
        <v>Year</v>
      </c>
      <c r="C746" s="753"/>
      <c r="D746" s="768">
        <f>(S746/S739-1)*100</f>
        <v>0.58823529411764497</v>
      </c>
      <c r="E746" s="773"/>
      <c r="F746" s="774">
        <v>3</v>
      </c>
      <c r="G746" s="773"/>
      <c r="H746" s="768">
        <f>D746-F746</f>
        <v>-2.411764705882355</v>
      </c>
      <c r="I746" s="761"/>
      <c r="J746" s="775"/>
      <c r="K746" s="753"/>
      <c r="L746" s="793">
        <f>AVERAGE(L742:L745)</f>
        <v>681</v>
      </c>
      <c r="M746" s="753"/>
      <c r="N746" s="768">
        <f>(L746/L739-1)*100</f>
        <v>-3.5410764872521261</v>
      </c>
      <c r="O746" s="761"/>
      <c r="P746" s="772">
        <f>H746/N746*100</f>
        <v>68.108235294117677</v>
      </c>
      <c r="Q746" s="769"/>
      <c r="R746" s="753"/>
      <c r="S746" s="777">
        <f>SUM(S742:S745)</f>
        <v>855</v>
      </c>
      <c r="T746" s="753"/>
      <c r="U746" s="794">
        <f>SUM(U742:U745)</f>
        <v>1.2565894707242631</v>
      </c>
      <c r="V746" s="753"/>
      <c r="W746" s="779">
        <f>(U746/U739-1)*100</f>
        <v>4.2202485590547179</v>
      </c>
      <c r="X746" s="761"/>
      <c r="Y746" s="753"/>
      <c r="Z746" s="770"/>
      <c r="AA746" s="753"/>
      <c r="AB746" s="781">
        <f>AVERAGE(AB742:AB745)</f>
        <v>5.1618750000000002</v>
      </c>
      <c r="AC746" s="753"/>
      <c r="AD746" s="768">
        <f>(AB746/AB739-1)*100</f>
        <v>-3.9455703195417691</v>
      </c>
      <c r="AE746" s="761"/>
      <c r="AF746" s="772">
        <f>+H746/AD746*100</f>
        <v>61.125883219905532</v>
      </c>
      <c r="AG746" s="769"/>
      <c r="AH746" s="753"/>
      <c r="AI746" s="777">
        <f>SUM(AI742:AI745)</f>
        <v>855</v>
      </c>
      <c r="AJ746" s="753"/>
      <c r="AK746" s="795">
        <f>SUM(AK742:AK745)</f>
        <v>165.93551537257463</v>
      </c>
      <c r="AL746" s="753"/>
      <c r="AM746" s="779">
        <f>(AK746/AK739-1)*100</f>
        <v>4.7522860627648988</v>
      </c>
      <c r="AN746" s="761"/>
      <c r="AO746" s="753"/>
    </row>
    <row r="747" spans="1:41" hidden="1" outlineLevel="2">
      <c r="A747" s="753"/>
      <c r="B747" s="760"/>
      <c r="C747" s="753"/>
      <c r="D747" s="768"/>
      <c r="E747" s="773"/>
      <c r="F747" s="768"/>
      <c r="G747" s="773"/>
      <c r="H747" s="768"/>
      <c r="I747" s="761"/>
      <c r="J747" s="753"/>
      <c r="K747" s="753"/>
      <c r="L747" s="753"/>
      <c r="M747" s="753"/>
      <c r="N747" s="753"/>
      <c r="O747" s="761"/>
      <c r="P747" s="769"/>
      <c r="Q747" s="769"/>
      <c r="R747" s="753"/>
      <c r="S747" s="753"/>
      <c r="T747" s="753"/>
      <c r="U747" s="753"/>
      <c r="V747" s="753"/>
      <c r="W747" s="753"/>
      <c r="X747" s="761"/>
      <c r="Y747" s="753"/>
      <c r="Z747" s="770"/>
      <c r="AA747" s="753"/>
      <c r="AB747" s="771"/>
      <c r="AC747" s="753"/>
      <c r="AD747" s="753"/>
      <c r="AE747" s="761"/>
      <c r="AF747" s="772"/>
      <c r="AG747" s="769"/>
      <c r="AH747" s="753"/>
      <c r="AI747" s="753"/>
      <c r="AJ747" s="753"/>
      <c r="AK747" s="753"/>
      <c r="AL747" s="753"/>
      <c r="AM747" s="753"/>
      <c r="AN747" s="761"/>
      <c r="AO747" s="753"/>
    </row>
    <row r="748" spans="1:41" hidden="1" outlineLevel="2">
      <c r="A748" s="766"/>
      <c r="B748" s="796">
        <f>+B741+1</f>
        <v>1997</v>
      </c>
      <c r="C748" s="753"/>
      <c r="D748" s="768"/>
      <c r="E748" s="768"/>
      <c r="F748" s="768"/>
      <c r="G748" s="768"/>
      <c r="H748" s="768"/>
      <c r="I748" s="761"/>
      <c r="J748" s="753"/>
      <c r="K748" s="753"/>
      <c r="L748" s="753"/>
      <c r="M748" s="753"/>
      <c r="N748" s="753"/>
      <c r="O748" s="761"/>
      <c r="P748" s="769"/>
      <c r="Q748" s="769"/>
      <c r="R748" s="753"/>
      <c r="S748" s="753"/>
      <c r="T748" s="753"/>
      <c r="U748" s="753"/>
      <c r="V748" s="753"/>
      <c r="W748" s="753"/>
      <c r="X748" s="761"/>
      <c r="Y748" s="753"/>
      <c r="Z748" s="770"/>
      <c r="AA748" s="753"/>
      <c r="AB748" s="771"/>
      <c r="AC748" s="753"/>
      <c r="AD748" s="753"/>
      <c r="AE748" s="761"/>
      <c r="AF748" s="772"/>
      <c r="AG748" s="769"/>
      <c r="AH748" s="753"/>
      <c r="AI748" s="753"/>
      <c r="AJ748" s="753"/>
      <c r="AK748" s="753"/>
      <c r="AL748" s="753"/>
      <c r="AM748" s="753"/>
      <c r="AN748" s="761"/>
      <c r="AO748" s="753"/>
    </row>
    <row r="749" spans="1:41" hidden="1" outlineLevel="2">
      <c r="A749" s="753" t="str">
        <f>$A$26</f>
        <v>1Q</v>
      </c>
      <c r="B749" s="760" t="str">
        <f>$B$26</f>
        <v>Apr</v>
      </c>
      <c r="C749" s="753"/>
      <c r="D749" s="768">
        <f>(S749/S742-1)*100</f>
        <v>-3.7433155080213942</v>
      </c>
      <c r="E749" s="773" t="s">
        <v>1084</v>
      </c>
      <c r="F749" s="774">
        <v>-1.9500158741652138</v>
      </c>
      <c r="G749" s="773" t="s">
        <v>1084</v>
      </c>
      <c r="H749" s="768">
        <f>D749-F749</f>
        <v>-1.7932996338561804</v>
      </c>
      <c r="I749" s="761" t="s">
        <v>1084</v>
      </c>
      <c r="J749" s="775">
        <f>+'store&amp;sf'!T59</f>
        <v>651</v>
      </c>
      <c r="K749" s="753"/>
      <c r="L749" s="776">
        <f>AVERAGE(J749,J745)</f>
        <v>657</v>
      </c>
      <c r="M749" s="753"/>
      <c r="N749" s="768">
        <f>(L749/L742-1)*100</f>
        <v>-4.2971595047341609</v>
      </c>
      <c r="O749" s="761" t="s">
        <v>1084</v>
      </c>
      <c r="P749" s="772">
        <f>H749/N749*100</f>
        <v>41.732210123466686</v>
      </c>
      <c r="Q749" s="769" t="s">
        <v>1084</v>
      </c>
      <c r="R749" s="753"/>
      <c r="S749" s="777">
        <f>+'segSales&amp;OM'!AO45</f>
        <v>180</v>
      </c>
      <c r="T749" s="753"/>
      <c r="U749" s="778">
        <f>S749/L749</f>
        <v>0.27397260273972601</v>
      </c>
      <c r="V749" s="753"/>
      <c r="W749" s="779">
        <f>(U749/U742-1)*100</f>
        <v>0.57871218225771237</v>
      </c>
      <c r="X749" s="761" t="s">
        <v>1084</v>
      </c>
      <c r="Y749" s="753"/>
      <c r="Z749" s="780">
        <f>+'store&amp;sf'!T423</f>
        <v>4.8862499999999995</v>
      </c>
      <c r="AA749" s="753"/>
      <c r="AB749" s="781">
        <f>AVERAGE(Z749,Z745)</f>
        <v>4.9287499999999991</v>
      </c>
      <c r="AC749" s="753"/>
      <c r="AD749" s="768">
        <f>(AB749/AB742-1)*100</f>
        <v>-6.0519418632356548</v>
      </c>
      <c r="AE749" s="761" t="s">
        <v>1084</v>
      </c>
      <c r="AF749" s="772">
        <f>+H749/AD749*100</f>
        <v>29.631805367300696</v>
      </c>
      <c r="AG749" s="769" t="s">
        <v>1084</v>
      </c>
      <c r="AH749" s="753"/>
      <c r="AI749" s="777">
        <f>+S749</f>
        <v>180</v>
      </c>
      <c r="AJ749" s="753"/>
      <c r="AK749" s="782">
        <f>AI749/AB749</f>
        <v>36.520415926959174</v>
      </c>
      <c r="AL749" s="753"/>
      <c r="AM749" s="779">
        <f>(AK749/AK742-1)*100</f>
        <v>2.4573433458874749</v>
      </c>
      <c r="AN749" s="761" t="s">
        <v>1084</v>
      </c>
      <c r="AO749" s="753"/>
    </row>
    <row r="750" spans="1:41" hidden="1" outlineLevel="2">
      <c r="A750" s="753" t="str">
        <f>$A$27</f>
        <v>2Q</v>
      </c>
      <c r="B750" s="760" t="str">
        <f>$B$27</f>
        <v>Jul</v>
      </c>
      <c r="C750" s="753"/>
      <c r="D750" s="768">
        <f>(S750/S743-1)*100</f>
        <v>-14.634146341463417</v>
      </c>
      <c r="E750" s="773"/>
      <c r="F750" s="774">
        <v>-12.09411285394174</v>
      </c>
      <c r="G750" s="773"/>
      <c r="H750" s="768">
        <f>D750-F750</f>
        <v>-2.5400334875216775</v>
      </c>
      <c r="I750" s="761"/>
      <c r="J750" s="775">
        <f>+'store&amp;sf'!T60</f>
        <v>648</v>
      </c>
      <c r="K750" s="753"/>
      <c r="L750" s="776">
        <f>AVERAGE(J750,J749)</f>
        <v>649.5</v>
      </c>
      <c r="M750" s="753"/>
      <c r="N750" s="768">
        <f>(L750/L743-1)*100</f>
        <v>-4.8351648351648402</v>
      </c>
      <c r="O750" s="761"/>
      <c r="P750" s="772">
        <f>H750/N750*100</f>
        <v>52.53251076465282</v>
      </c>
      <c r="Q750" s="769"/>
      <c r="R750" s="753"/>
      <c r="S750" s="784">
        <f>+'segSales&amp;OM'!AO46</f>
        <v>175</v>
      </c>
      <c r="T750" s="753"/>
      <c r="U750" s="785">
        <f>S750/L750</f>
        <v>0.26943802925327176</v>
      </c>
      <c r="V750" s="753"/>
      <c r="W750" s="779">
        <f>(U750/U743-1)*100</f>
        <v>-10.296851236410742</v>
      </c>
      <c r="X750" s="761"/>
      <c r="Y750" s="753"/>
      <c r="Z750" s="780">
        <f>+'store&amp;sf'!T424</f>
        <v>4.8637499999999996</v>
      </c>
      <c r="AA750" s="753"/>
      <c r="AB750" s="781">
        <f>AVERAGE(Z750,Z749)</f>
        <v>4.875</v>
      </c>
      <c r="AC750" s="753"/>
      <c r="AD750" s="768">
        <f>(AB750/AB743-1)*100</f>
        <v>-6.3063063063063085</v>
      </c>
      <c r="AE750" s="761"/>
      <c r="AF750" s="772">
        <f>+H750/AD750*100</f>
        <v>40.277673873558015</v>
      </c>
      <c r="AG750" s="769"/>
      <c r="AH750" s="753"/>
      <c r="AI750" s="784">
        <f>+S750</f>
        <v>175</v>
      </c>
      <c r="AJ750" s="753"/>
      <c r="AK750" s="776">
        <f>AI750/AB750</f>
        <v>35.897435897435898</v>
      </c>
      <c r="AL750" s="753"/>
      <c r="AM750" s="779">
        <f>(AK750/AK743-1)*100</f>
        <v>-8.888367729831149</v>
      </c>
      <c r="AN750" s="761"/>
      <c r="AO750" s="753"/>
    </row>
    <row r="751" spans="1:41" hidden="1" outlineLevel="2">
      <c r="A751" s="753" t="str">
        <f>$A$28</f>
        <v>3Q</v>
      </c>
      <c r="B751" s="760" t="str">
        <f>$B$28</f>
        <v>Oct</v>
      </c>
      <c r="C751" s="753"/>
      <c r="D751" s="768">
        <f>(S751/S744-1)*100</f>
        <v>-16.113744075829384</v>
      </c>
      <c r="E751" s="773"/>
      <c r="F751" s="774">
        <v>-13.410221056351698</v>
      </c>
      <c r="G751" s="773"/>
      <c r="H751" s="768">
        <f>D751-F751</f>
        <v>-2.7035230194776858</v>
      </c>
      <c r="I751" s="761"/>
      <c r="J751" s="775">
        <f>+'store&amp;sf'!T61</f>
        <v>648</v>
      </c>
      <c r="K751" s="753"/>
      <c r="L751" s="776">
        <f>AVERAGE(J751,J750)</f>
        <v>648</v>
      </c>
      <c r="M751" s="753"/>
      <c r="N751" s="768">
        <f>(L751/L744-1)*100</f>
        <v>-4.9853372434017551</v>
      </c>
      <c r="O751" s="761"/>
      <c r="P751" s="772">
        <f>H751/N751*100</f>
        <v>54.229491155405398</v>
      </c>
      <c r="Q751" s="769"/>
      <c r="R751" s="753"/>
      <c r="S751" s="784">
        <f>+'segSales&amp;OM'!AO47</f>
        <v>177</v>
      </c>
      <c r="T751" s="753"/>
      <c r="U751" s="785">
        <f>S751/L751</f>
        <v>0.27314814814814814</v>
      </c>
      <c r="V751" s="753"/>
      <c r="W751" s="779">
        <f>(U751/U744-1)*100</f>
        <v>-11.712304721783395</v>
      </c>
      <c r="X751" s="761"/>
      <c r="Y751" s="753"/>
      <c r="Z751" s="780">
        <f>+'store&amp;sf'!T425</f>
        <v>4.8425000000000002</v>
      </c>
      <c r="AA751" s="753"/>
      <c r="AB751" s="781">
        <f>AVERAGE(Z751,Z750)</f>
        <v>4.8531250000000004</v>
      </c>
      <c r="AC751" s="753"/>
      <c r="AD751" s="768">
        <f>(AB751/AB744-1)*100</f>
        <v>-5.7759980584880406</v>
      </c>
      <c r="AE751" s="761"/>
      <c r="AF751" s="772">
        <f>+H751/AD751*100</f>
        <v>46.806162192259734</v>
      </c>
      <c r="AG751" s="769"/>
      <c r="AH751" s="753"/>
      <c r="AI751" s="784">
        <f>+S751</f>
        <v>177</v>
      </c>
      <c r="AJ751" s="753"/>
      <c r="AK751" s="776">
        <f>AI751/AB751</f>
        <v>36.471345782356728</v>
      </c>
      <c r="AL751" s="753"/>
      <c r="AM751" s="779">
        <f>(AK751/AK744-1)*100</f>
        <v>-10.9714571704971</v>
      </c>
      <c r="AN751" s="761"/>
      <c r="AO751" s="753"/>
    </row>
    <row r="752" spans="1:41" hidden="1" outlineLevel="2">
      <c r="A752" s="753" t="str">
        <f>$A$29</f>
        <v>4Q</v>
      </c>
      <c r="B752" s="760" t="str">
        <f>$B$29</f>
        <v>Jan</v>
      </c>
      <c r="C752" s="753"/>
      <c r="D752" s="786">
        <f>(S752/S745-1)*100</f>
        <v>-3.1746031746031744</v>
      </c>
      <c r="E752" s="773"/>
      <c r="F752" s="787">
        <v>-0.69914700747664327</v>
      </c>
      <c r="G752" s="773"/>
      <c r="H752" s="786">
        <f>D752-F752</f>
        <v>-2.4754561671265312</v>
      </c>
      <c r="I752" s="761"/>
      <c r="J752" s="775">
        <f>+'store&amp;sf'!T62</f>
        <v>629</v>
      </c>
      <c r="K752" s="753"/>
      <c r="L752" s="788">
        <f>AVERAGE(J752,J751)</f>
        <v>638.5</v>
      </c>
      <c r="M752" s="753"/>
      <c r="N752" s="786">
        <f>(L752/L745-1)*100</f>
        <v>-5.1263001485884141</v>
      </c>
      <c r="O752" s="761"/>
      <c r="P752" s="797">
        <f>H752/N752*100</f>
        <v>48.289333347134907</v>
      </c>
      <c r="Q752" s="769"/>
      <c r="R752" s="753"/>
      <c r="S752" s="789">
        <f>+'segSales&amp;OM'!AO48</f>
        <v>244</v>
      </c>
      <c r="T752" s="753"/>
      <c r="U752" s="790">
        <f>S752/L752</f>
        <v>0.38214565387627253</v>
      </c>
      <c r="V752" s="753"/>
      <c r="W752" s="791">
        <f>(U752/U745-1)*100</f>
        <v>2.0571528010838946</v>
      </c>
      <c r="X752" s="761"/>
      <c r="Y752" s="753"/>
      <c r="Z752" s="780">
        <f>+'store&amp;sf'!T426</f>
        <v>4.7374999999999998</v>
      </c>
      <c r="AA752" s="753"/>
      <c r="AB752" s="792">
        <f>AVERAGE(Z752,Z751)</f>
        <v>4.79</v>
      </c>
      <c r="AC752" s="753"/>
      <c r="AD752" s="786">
        <f>(AB752/AB745-1)*100</f>
        <v>-5.1015354135710673</v>
      </c>
      <c r="AE752" s="761"/>
      <c r="AF752" s="787">
        <f>+H752/AD752*100</f>
        <v>48.523747586684216</v>
      </c>
      <c r="AG752" s="769"/>
      <c r="AH752" s="753"/>
      <c r="AI752" s="789">
        <f>+S752</f>
        <v>244</v>
      </c>
      <c r="AJ752" s="753"/>
      <c r="AK752" s="788">
        <f>AI752/AB752</f>
        <v>50.939457202505217</v>
      </c>
      <c r="AL752" s="753"/>
      <c r="AM752" s="791">
        <f>(AK752/AK745-1)*100</f>
        <v>2.0305199323988221</v>
      </c>
      <c r="AN752" s="761"/>
      <c r="AO752" s="753"/>
    </row>
    <row r="753" spans="1:41" hidden="1" outlineLevel="2">
      <c r="A753" s="753"/>
      <c r="B753" s="760" t="str">
        <f>$B$30</f>
        <v>Year</v>
      </c>
      <c r="C753" s="753"/>
      <c r="D753" s="768">
        <f>(S753/S746-1)*100</f>
        <v>-9.2397660818713483</v>
      </c>
      <c r="E753" s="773"/>
      <c r="F753" s="774">
        <v>-7</v>
      </c>
      <c r="G753" s="773"/>
      <c r="H753" s="768">
        <f>D753-F753</f>
        <v>-2.2397660818713483</v>
      </c>
      <c r="I753" s="761"/>
      <c r="J753" s="775"/>
      <c r="K753" s="753"/>
      <c r="L753" s="793">
        <f>AVERAGE(L749:L752)</f>
        <v>648.25</v>
      </c>
      <c r="M753" s="753"/>
      <c r="N753" s="768">
        <f>(L753/L746-1)*100</f>
        <v>-4.8091042584434636</v>
      </c>
      <c r="O753" s="761"/>
      <c r="P753" s="772">
        <f>H753/N753*100</f>
        <v>46.573456542118741</v>
      </c>
      <c r="Q753" s="769"/>
      <c r="R753" s="753"/>
      <c r="S753" s="777">
        <f>SUM(S749:S752)</f>
        <v>776</v>
      </c>
      <c r="T753" s="753"/>
      <c r="U753" s="794">
        <f>SUM(U749:U752)</f>
        <v>1.1987044340174184</v>
      </c>
      <c r="V753" s="753"/>
      <c r="W753" s="779">
        <f>(U753/U746-1)*100</f>
        <v>-4.606519317202407</v>
      </c>
      <c r="X753" s="761"/>
      <c r="Y753" s="753"/>
      <c r="Z753" s="770"/>
      <c r="AA753" s="753"/>
      <c r="AB753" s="781">
        <f>AVERAGE(AB749:AB752)</f>
        <v>4.8617187499999996</v>
      </c>
      <c r="AC753" s="753"/>
      <c r="AD753" s="768">
        <f>(AB753/AB746-1)*100</f>
        <v>-5.8148686281632278</v>
      </c>
      <c r="AE753" s="761"/>
      <c r="AF753" s="772">
        <f>+H753/AD753*100</f>
        <v>38.517913732796309</v>
      </c>
      <c r="AG753" s="769"/>
      <c r="AH753" s="753"/>
      <c r="AI753" s="777">
        <f>SUM(AI749:AI752)</f>
        <v>776</v>
      </c>
      <c r="AJ753" s="753"/>
      <c r="AK753" s="795">
        <f>SUM(AK749:AK752)</f>
        <v>159.82865480925702</v>
      </c>
      <c r="AL753" s="753"/>
      <c r="AM753" s="779">
        <f>(AK753/AK746-1)*100</f>
        <v>-3.6802613048845467</v>
      </c>
      <c r="AN753" s="761"/>
      <c r="AO753" s="753"/>
    </row>
    <row r="754" spans="1:41" hidden="1" outlineLevel="2">
      <c r="A754" s="753"/>
      <c r="B754" s="760"/>
      <c r="C754" s="753"/>
      <c r="D754" s="768"/>
      <c r="E754" s="773"/>
      <c r="F754" s="768"/>
      <c r="G754" s="773"/>
      <c r="H754" s="768"/>
      <c r="I754" s="761"/>
      <c r="J754" s="753"/>
      <c r="K754" s="753"/>
      <c r="L754" s="753"/>
      <c r="M754" s="753"/>
      <c r="N754" s="753"/>
      <c r="O754" s="761"/>
      <c r="P754" s="769"/>
      <c r="Q754" s="769"/>
      <c r="R754" s="753"/>
      <c r="S754" s="753"/>
      <c r="T754" s="753"/>
      <c r="U754" s="753"/>
      <c r="V754" s="753"/>
      <c r="W754" s="753"/>
      <c r="X754" s="761"/>
      <c r="Y754" s="753"/>
      <c r="Z754" s="770"/>
      <c r="AA754" s="753"/>
      <c r="AB754" s="771"/>
      <c r="AC754" s="753"/>
      <c r="AD754" s="753"/>
      <c r="AE754" s="761"/>
      <c r="AF754" s="772"/>
      <c r="AG754" s="769"/>
      <c r="AH754" s="753"/>
      <c r="AI754" s="753"/>
      <c r="AJ754" s="753"/>
      <c r="AK754" s="753"/>
      <c r="AL754" s="753"/>
      <c r="AM754" s="753"/>
      <c r="AN754" s="761"/>
      <c r="AO754" s="753"/>
    </row>
    <row r="755" spans="1:41" hidden="1" outlineLevel="2">
      <c r="A755" s="766"/>
      <c r="B755" s="796">
        <f>+B748+1</f>
        <v>1998</v>
      </c>
      <c r="C755" s="753"/>
      <c r="D755" s="768"/>
      <c r="E755" s="768"/>
      <c r="F755" s="768"/>
      <c r="G755" s="768"/>
      <c r="H755" s="768"/>
      <c r="I755" s="761"/>
      <c r="J755" s="753"/>
      <c r="K755" s="753"/>
      <c r="L755" s="753"/>
      <c r="M755" s="753"/>
      <c r="N755" s="753"/>
      <c r="O755" s="761"/>
      <c r="P755" s="769"/>
      <c r="Q755" s="769"/>
      <c r="R755" s="753"/>
      <c r="S755" s="753"/>
      <c r="T755" s="753"/>
      <c r="U755" s="753"/>
      <c r="V755" s="753"/>
      <c r="W755" s="753"/>
      <c r="X755" s="761"/>
      <c r="Y755" s="753"/>
      <c r="Z755" s="770"/>
      <c r="AA755" s="753"/>
      <c r="AB755" s="771"/>
      <c r="AC755" s="753"/>
      <c r="AD755" s="753"/>
      <c r="AE755" s="761"/>
      <c r="AF755" s="772"/>
      <c r="AG755" s="769"/>
      <c r="AH755" s="753"/>
      <c r="AI755" s="753"/>
      <c r="AJ755" s="753"/>
      <c r="AK755" s="753"/>
      <c r="AL755" s="753"/>
      <c r="AM755" s="753"/>
      <c r="AN755" s="761"/>
      <c r="AO755" s="753"/>
    </row>
    <row r="756" spans="1:41" hidden="1" outlineLevel="2">
      <c r="A756" s="753" t="str">
        <f>$A$26</f>
        <v>1Q</v>
      </c>
      <c r="B756" s="760" t="str">
        <f>$B$26</f>
        <v>Apr</v>
      </c>
      <c r="C756" s="753"/>
      <c r="D756" s="768">
        <f>(S756/S749-1)*100</f>
        <v>-5.0000000000000044</v>
      </c>
      <c r="E756" s="773" t="s">
        <v>1084</v>
      </c>
      <c r="F756" s="774">
        <v>-1.9594720424600773</v>
      </c>
      <c r="G756" s="773" t="s">
        <v>1084</v>
      </c>
      <c r="H756" s="768">
        <f>D756-F756</f>
        <v>-3.0405279575399273</v>
      </c>
      <c r="I756" s="761" t="s">
        <v>1084</v>
      </c>
      <c r="J756" s="775">
        <f>+'store&amp;sf'!T65</f>
        <v>614</v>
      </c>
      <c r="K756" s="753"/>
      <c r="L756" s="776">
        <f>AVERAGE(J756,J752)</f>
        <v>621.5</v>
      </c>
      <c r="M756" s="753"/>
      <c r="N756" s="768">
        <f>(L756/L749-1)*100</f>
        <v>-5.4033485540334825</v>
      </c>
      <c r="O756" s="761" t="s">
        <v>1084</v>
      </c>
      <c r="P756" s="772">
        <f>H756/N756*100</f>
        <v>56.271179383203759</v>
      </c>
      <c r="Q756" s="769" t="s">
        <v>1084</v>
      </c>
      <c r="R756" s="753"/>
      <c r="S756" s="777">
        <f>+'segSales&amp;OM'!AO52</f>
        <v>171</v>
      </c>
      <c r="T756" s="753"/>
      <c r="U756" s="778">
        <f>S756/L756</f>
        <v>0.27514078841512468</v>
      </c>
      <c r="V756" s="753"/>
      <c r="W756" s="779">
        <f>(U756/U749-1)*100</f>
        <v>0.42638777152050888</v>
      </c>
      <c r="X756" s="761" t="s">
        <v>1084</v>
      </c>
      <c r="Y756" s="753"/>
      <c r="Z756" s="780">
        <f>+'store&amp;sf'!T429</f>
        <v>4.6362499999999995</v>
      </c>
      <c r="AA756" s="753"/>
      <c r="AB756" s="781">
        <f>AVERAGE(Z756,Z752)</f>
        <v>4.6868749999999997</v>
      </c>
      <c r="AC756" s="753"/>
      <c r="AD756" s="768">
        <f>(AB756/AB749-1)*100</f>
        <v>-4.9074308901851271</v>
      </c>
      <c r="AE756" s="761" t="s">
        <v>1084</v>
      </c>
      <c r="AF756" s="798">
        <f>+H756/AD756*100</f>
        <v>61.957631713591532</v>
      </c>
      <c r="AG756" s="769" t="s">
        <v>1084</v>
      </c>
      <c r="AH756" s="753"/>
      <c r="AI756" s="777">
        <f>+S756</f>
        <v>171</v>
      </c>
      <c r="AJ756" s="753"/>
      <c r="AK756" s="782">
        <f>AI756/AB756</f>
        <v>36.484864648619819</v>
      </c>
      <c r="AL756" s="753"/>
      <c r="AM756" s="779">
        <f>(AK756/AK749-1)*100</f>
        <v>-9.7346312841717353E-2</v>
      </c>
      <c r="AN756" s="761" t="s">
        <v>1084</v>
      </c>
      <c r="AO756" s="753"/>
    </row>
    <row r="757" spans="1:41" hidden="1" outlineLevel="2">
      <c r="A757" s="753" t="str">
        <f>$A$27</f>
        <v>2Q</v>
      </c>
      <c r="B757" s="760" t="str">
        <f>$B$27</f>
        <v>Jul</v>
      </c>
      <c r="C757" s="753"/>
      <c r="D757" s="768">
        <f>(S757/S750-1)*100</f>
        <v>-3.4285714285714253</v>
      </c>
      <c r="E757" s="773"/>
      <c r="F757" s="774">
        <v>-0.22223154010650342</v>
      </c>
      <c r="G757" s="773"/>
      <c r="H757" s="768">
        <f>D757-F757</f>
        <v>-3.2063398884649219</v>
      </c>
      <c r="I757" s="761"/>
      <c r="J757" s="775">
        <f>+'store&amp;sf'!T66</f>
        <v>599</v>
      </c>
      <c r="K757" s="753"/>
      <c r="L757" s="776">
        <f>AVERAGE(J757,J756)</f>
        <v>606.5</v>
      </c>
      <c r="M757" s="753"/>
      <c r="N757" s="768">
        <f>(L757/L750-1)*100</f>
        <v>-6.6204772902232474</v>
      </c>
      <c r="O757" s="761"/>
      <c r="P757" s="772">
        <f>H757/N757*100</f>
        <v>48.430645524603889</v>
      </c>
      <c r="Q757" s="769"/>
      <c r="R757" s="753"/>
      <c r="S757" s="784">
        <f>+'segSales&amp;OM'!AO53</f>
        <v>169</v>
      </c>
      <c r="T757" s="753"/>
      <c r="U757" s="785">
        <f>S757/L757</f>
        <v>0.27864798021434461</v>
      </c>
      <c r="V757" s="753"/>
      <c r="W757" s="779">
        <f>(U757/U750-1)*100</f>
        <v>3.4182075138381895</v>
      </c>
      <c r="X757" s="761"/>
      <c r="Y757" s="753"/>
      <c r="Z757" s="780">
        <f>+'store&amp;sf'!T430</f>
        <v>4.5187499999999998</v>
      </c>
      <c r="AA757" s="753"/>
      <c r="AB757" s="781">
        <f>AVERAGE(Z757,Z756)</f>
        <v>4.5774999999999997</v>
      </c>
      <c r="AC757" s="753"/>
      <c r="AD757" s="768">
        <f>(AB757/AB750-1)*100</f>
        <v>-6.102564102564112</v>
      </c>
      <c r="AE757" s="761"/>
      <c r="AF757" s="772">
        <f>+H757/AD757*100</f>
        <v>52.540863718542752</v>
      </c>
      <c r="AG757" s="769"/>
      <c r="AH757" s="753"/>
      <c r="AI757" s="784">
        <f>+S757</f>
        <v>169</v>
      </c>
      <c r="AJ757" s="753"/>
      <c r="AK757" s="776">
        <f>AI757/AB757</f>
        <v>36.9197160021846</v>
      </c>
      <c r="AL757" s="753"/>
      <c r="AM757" s="779">
        <f>(AK757/AK750-1)*100</f>
        <v>2.8477802917999506</v>
      </c>
      <c r="AN757" s="761"/>
      <c r="AO757" s="753"/>
    </row>
    <row r="758" spans="1:41" hidden="1" outlineLevel="2">
      <c r="A758" s="753" t="str">
        <f>$A$28</f>
        <v>3Q</v>
      </c>
      <c r="B758" s="760" t="str">
        <f>$B$28</f>
        <v>Oct</v>
      </c>
      <c r="C758" s="753"/>
      <c r="D758" s="768">
        <f>(S758/S751-1)*100</f>
        <v>2.2598870056497189</v>
      </c>
      <c r="E758" s="773"/>
      <c r="F758" s="774">
        <v>7</v>
      </c>
      <c r="G758" s="773"/>
      <c r="H758" s="768">
        <f>D758-F758</f>
        <v>-4.7401129943502811</v>
      </c>
      <c r="I758" s="761"/>
      <c r="J758" s="775">
        <f>+'store&amp;sf'!T67</f>
        <v>593</v>
      </c>
      <c r="K758" s="753"/>
      <c r="L758" s="776">
        <f>AVERAGE(J758,J757)</f>
        <v>596</v>
      </c>
      <c r="M758" s="753"/>
      <c r="N758" s="768">
        <f>(L758/L751-1)*100</f>
        <v>-8.0246913580246932</v>
      </c>
      <c r="O758" s="761"/>
      <c r="P758" s="772">
        <f>H758/N758*100</f>
        <v>59.069100391134256</v>
      </c>
      <c r="Q758" s="769"/>
      <c r="R758" s="753"/>
      <c r="S758" s="784">
        <f>+'segSales&amp;OM'!AO54</f>
        <v>181</v>
      </c>
      <c r="T758" s="753"/>
      <c r="U758" s="785">
        <f>S758/L758</f>
        <v>0.30369127516778521</v>
      </c>
      <c r="V758" s="753"/>
      <c r="W758" s="779">
        <f>(U758/U751-1)*100</f>
        <v>11.181890569901022</v>
      </c>
      <c r="X758" s="761"/>
      <c r="Y758" s="753"/>
      <c r="Z758" s="780">
        <f>+'store&amp;sf'!T431</f>
        <v>4.4712499999999995</v>
      </c>
      <c r="AA758" s="753"/>
      <c r="AB758" s="781">
        <f>AVERAGE(Z758,Z757)</f>
        <v>4.4949999999999992</v>
      </c>
      <c r="AC758" s="753"/>
      <c r="AD758" s="768">
        <f>(AB758/AB751-1)*100</f>
        <v>-7.3792659368963509</v>
      </c>
      <c r="AE758" s="761"/>
      <c r="AF758" s="772">
        <f>+H758/AD758*100</f>
        <v>64.235562654676841</v>
      </c>
      <c r="AG758" s="769"/>
      <c r="AH758" s="753"/>
      <c r="AI758" s="784">
        <f>+S758</f>
        <v>181</v>
      </c>
      <c r="AJ758" s="753"/>
      <c r="AK758" s="776">
        <f>AI758/AB758</f>
        <v>40.266963292547281</v>
      </c>
      <c r="AL758" s="753"/>
      <c r="AM758" s="779">
        <f>(AK758/AK751-1)*100</f>
        <v>10.407122163357929</v>
      </c>
      <c r="AN758" s="761"/>
      <c r="AO758" s="753"/>
    </row>
    <row r="759" spans="1:41" hidden="1" outlineLevel="2">
      <c r="A759" s="753" t="str">
        <f>$A$29</f>
        <v>4Q</v>
      </c>
      <c r="B759" s="760" t="str">
        <f>$B$29</f>
        <v>Jan</v>
      </c>
      <c r="C759" s="753"/>
      <c r="D759" s="786">
        <f>(S759/S752-1)*100</f>
        <v>-3.2786885245901676</v>
      </c>
      <c r="E759" s="773"/>
      <c r="F759" s="787">
        <v>1</v>
      </c>
      <c r="G759" s="773"/>
      <c r="H759" s="786">
        <f>D759-F759</f>
        <v>-4.2786885245901676</v>
      </c>
      <c r="I759" s="761"/>
      <c r="J759" s="775">
        <f>+'store&amp;sf'!T68</f>
        <v>551</v>
      </c>
      <c r="K759" s="753"/>
      <c r="L759" s="788">
        <f>AVERAGE(J759,J758)</f>
        <v>572</v>
      </c>
      <c r="M759" s="753"/>
      <c r="N759" s="786">
        <f>(L759/L752-1)*100</f>
        <v>-10.41503523884103</v>
      </c>
      <c r="O759" s="761"/>
      <c r="P759" s="787">
        <f>H759/N759*100</f>
        <v>41.081843954147715</v>
      </c>
      <c r="Q759" s="769"/>
      <c r="R759" s="753"/>
      <c r="S759" s="789">
        <f>+'segSales&amp;OM'!AO55</f>
        <v>236</v>
      </c>
      <c r="T759" s="753"/>
      <c r="U759" s="790">
        <f>S759/L759</f>
        <v>0.41258741258741261</v>
      </c>
      <c r="V759" s="753"/>
      <c r="W759" s="791">
        <f>(U759/U752-1)*100</f>
        <v>7.9660094004356363</v>
      </c>
      <c r="X759" s="761"/>
      <c r="Y759" s="753"/>
      <c r="Z759" s="780">
        <f>+'store&amp;sf'!T432</f>
        <v>4.2137500000000001</v>
      </c>
      <c r="AA759" s="753"/>
      <c r="AB759" s="792">
        <f>AVERAGE(Z759,Z758)</f>
        <v>4.3424999999999994</v>
      </c>
      <c r="AC759" s="753"/>
      <c r="AD759" s="786">
        <f>(AB759/AB752-1)*100</f>
        <v>-9.3423799582463616</v>
      </c>
      <c r="AE759" s="761"/>
      <c r="AF759" s="787">
        <f>+H759/AD759*100</f>
        <v>45.798699514607534</v>
      </c>
      <c r="AG759" s="769"/>
      <c r="AH759" s="753"/>
      <c r="AI759" s="789">
        <f>+S759</f>
        <v>236</v>
      </c>
      <c r="AJ759" s="753"/>
      <c r="AK759" s="788">
        <f>AI759/AB759</f>
        <v>54.346574553828447</v>
      </c>
      <c r="AL759" s="753"/>
      <c r="AM759" s="791">
        <f>(AK759/AK752-1)*100</f>
        <v>6.6885623413271533</v>
      </c>
      <c r="AN759" s="761"/>
      <c r="AO759" s="753"/>
    </row>
    <row r="760" spans="1:41" hidden="1" outlineLevel="2">
      <c r="A760" s="753"/>
      <c r="B760" s="760" t="str">
        <f>$B$30</f>
        <v>Year</v>
      </c>
      <c r="C760" s="753"/>
      <c r="D760" s="768">
        <f>(S760/S753-1)*100</f>
        <v>-2.4484536082474251</v>
      </c>
      <c r="E760" s="773"/>
      <c r="F760" s="774">
        <v>1</v>
      </c>
      <c r="G760" s="773"/>
      <c r="H760" s="768">
        <f>D760-F760</f>
        <v>-3.4484536082474251</v>
      </c>
      <c r="I760" s="761"/>
      <c r="J760" s="775"/>
      <c r="K760" s="753"/>
      <c r="L760" s="793">
        <f>AVERAGE(L756:L759)</f>
        <v>599</v>
      </c>
      <c r="M760" s="753"/>
      <c r="N760" s="768">
        <f>(L760/L753-1)*100</f>
        <v>-7.5973775549556528</v>
      </c>
      <c r="O760" s="761"/>
      <c r="P760" s="772">
        <f>H760/N760*100</f>
        <v>45.390051808048575</v>
      </c>
      <c r="Q760" s="769"/>
      <c r="R760" s="753"/>
      <c r="S760" s="777">
        <f>SUM(S756:S759)</f>
        <v>757</v>
      </c>
      <c r="T760" s="753"/>
      <c r="U760" s="794">
        <f>SUM(U756:U759)</f>
        <v>1.270067456384667</v>
      </c>
      <c r="V760" s="753"/>
      <c r="W760" s="779">
        <f>(U760/U753-1)*100</f>
        <v>5.9533459910611874</v>
      </c>
      <c r="X760" s="761"/>
      <c r="Y760" s="753"/>
      <c r="Z760" s="770"/>
      <c r="AA760" s="753"/>
      <c r="AB760" s="781">
        <f>AVERAGE(AB756:AB759)</f>
        <v>4.5254687499999999</v>
      </c>
      <c r="AC760" s="753"/>
      <c r="AD760" s="768">
        <f>(AB760/AB753-1)*100</f>
        <v>-6.9162783223525537</v>
      </c>
      <c r="AE760" s="761"/>
      <c r="AF760" s="772">
        <f>+H760/AD760*100</f>
        <v>49.859960046755937</v>
      </c>
      <c r="AG760" s="769"/>
      <c r="AH760" s="753"/>
      <c r="AI760" s="777">
        <f>SUM(AI756:AI759)</f>
        <v>757</v>
      </c>
      <c r="AJ760" s="753"/>
      <c r="AK760" s="795">
        <f>SUM(AK756:AK759)</f>
        <v>168.01811849718015</v>
      </c>
      <c r="AL760" s="753"/>
      <c r="AM760" s="779">
        <f>(AK760/AK753-1)*100</f>
        <v>5.1239020297684457</v>
      </c>
      <c r="AN760" s="761"/>
      <c r="AO760" s="753"/>
    </row>
    <row r="761" spans="1:41" hidden="1" outlineLevel="2">
      <c r="A761" s="753"/>
      <c r="B761" s="760"/>
      <c r="C761" s="753"/>
      <c r="D761" s="768"/>
      <c r="E761" s="773"/>
      <c r="F761" s="768"/>
      <c r="G761" s="773"/>
      <c r="H761" s="768"/>
      <c r="I761" s="761"/>
      <c r="J761" s="753"/>
      <c r="K761" s="753"/>
      <c r="L761" s="753"/>
      <c r="M761" s="753"/>
      <c r="N761" s="753"/>
      <c r="O761" s="761"/>
      <c r="P761" s="769"/>
      <c r="Q761" s="769"/>
      <c r="R761" s="753"/>
      <c r="S761" s="753"/>
      <c r="T761" s="753"/>
      <c r="U761" s="753"/>
      <c r="V761" s="753"/>
      <c r="W761" s="753"/>
      <c r="X761" s="761"/>
      <c r="Y761" s="753"/>
      <c r="Z761" s="770"/>
      <c r="AA761" s="753"/>
      <c r="AB761" s="771"/>
      <c r="AC761" s="753"/>
      <c r="AD761" s="753"/>
      <c r="AE761" s="761"/>
      <c r="AF761" s="772"/>
      <c r="AG761" s="769"/>
      <c r="AH761" s="753"/>
      <c r="AI761" s="753"/>
      <c r="AJ761" s="753"/>
      <c r="AK761" s="753"/>
      <c r="AL761" s="753"/>
      <c r="AM761" s="753"/>
      <c r="AN761" s="761"/>
      <c r="AO761" s="753"/>
    </row>
    <row r="762" spans="1:41" hidden="1" outlineLevel="1" collapsed="1">
      <c r="A762" s="766"/>
      <c r="B762" s="796">
        <f>+B755+1</f>
        <v>1999</v>
      </c>
      <c r="C762" s="753"/>
      <c r="D762" s="768"/>
      <c r="E762" s="768"/>
      <c r="F762" s="768"/>
      <c r="G762" s="768"/>
      <c r="H762" s="768"/>
      <c r="I762" s="761"/>
      <c r="J762" s="753"/>
      <c r="K762" s="753"/>
      <c r="L762" s="753"/>
      <c r="M762" s="753"/>
      <c r="N762" s="753"/>
      <c r="O762" s="761"/>
      <c r="P762" s="769"/>
      <c r="Q762" s="769"/>
      <c r="R762" s="753"/>
      <c r="S762" s="753"/>
      <c r="T762" s="753"/>
      <c r="U762" s="753"/>
      <c r="V762" s="753"/>
      <c r="W762" s="753"/>
      <c r="X762" s="761"/>
      <c r="Y762" s="753"/>
      <c r="Z762" s="770"/>
      <c r="AA762" s="753"/>
      <c r="AB762" s="771"/>
      <c r="AC762" s="753"/>
      <c r="AD762" s="753"/>
      <c r="AE762" s="761"/>
      <c r="AF762" s="772"/>
      <c r="AG762" s="769"/>
      <c r="AH762" s="753"/>
      <c r="AI762" s="753"/>
      <c r="AJ762" s="753"/>
      <c r="AK762" s="753"/>
      <c r="AL762" s="753"/>
      <c r="AM762" s="753"/>
      <c r="AN762" s="761"/>
      <c r="AO762" s="753"/>
    </row>
    <row r="763" spans="1:41" hidden="1" outlineLevel="1">
      <c r="A763" s="753" t="str">
        <f>$A$26</f>
        <v>1Q</v>
      </c>
      <c r="B763" s="760" t="str">
        <f>$B$26</f>
        <v>Apr</v>
      </c>
      <c r="C763" s="753"/>
      <c r="D763" s="768">
        <f>(S763/S756-1)*100</f>
        <v>-5.0976608187134564</v>
      </c>
      <c r="E763" s="773" t="s">
        <v>1084</v>
      </c>
      <c r="F763" s="774">
        <v>5</v>
      </c>
      <c r="G763" s="773" t="s">
        <v>1084</v>
      </c>
      <c r="H763" s="768">
        <f>D763-F763</f>
        <v>-10.097660818713457</v>
      </c>
      <c r="I763" s="761" t="s">
        <v>1084</v>
      </c>
      <c r="J763" s="775">
        <f>+'store&amp;sf'!T71</f>
        <v>514</v>
      </c>
      <c r="K763" s="753"/>
      <c r="L763" s="776">
        <f>AVERAGE(J763,J759)</f>
        <v>532.5</v>
      </c>
      <c r="M763" s="753"/>
      <c r="N763" s="768">
        <f>(L763/L756-1)*100</f>
        <v>-14.320193081255027</v>
      </c>
      <c r="O763" s="761" t="s">
        <v>1084</v>
      </c>
      <c r="P763" s="772">
        <f>H763/N763*100</f>
        <v>70.51344043629679</v>
      </c>
      <c r="Q763" s="769" t="s">
        <v>1084</v>
      </c>
      <c r="R763" s="753"/>
      <c r="S763" s="777">
        <f>+'segSales&amp;OM'!AO59</f>
        <v>162.28299999999999</v>
      </c>
      <c r="T763" s="753"/>
      <c r="U763" s="778">
        <f>S763/L763</f>
        <v>0.30475680751173706</v>
      </c>
      <c r="V763" s="753"/>
      <c r="W763" s="779">
        <f>(U763/U756-1)*100</f>
        <v>10.763950800318467</v>
      </c>
      <c r="X763" s="761" t="s">
        <v>1084</v>
      </c>
      <c r="Y763" s="753"/>
      <c r="Z763" s="780">
        <f>+'store&amp;sf'!T435</f>
        <v>3.9574999999999996</v>
      </c>
      <c r="AA763" s="753"/>
      <c r="AB763" s="781">
        <f>AVERAGE(Z763,Z759)</f>
        <v>4.0856250000000003</v>
      </c>
      <c r="AC763" s="753"/>
      <c r="AD763" s="768">
        <f>(AB763/AB756-1)*100</f>
        <v>-12.82837711694892</v>
      </c>
      <c r="AE763" s="761" t="s">
        <v>1084</v>
      </c>
      <c r="AF763" s="772">
        <f>+H763/AD763*100</f>
        <v>78.713470352944142</v>
      </c>
      <c r="AG763" s="769" t="s">
        <v>1084</v>
      </c>
      <c r="AH763" s="753"/>
      <c r="AI763" s="777">
        <f>+S763</f>
        <v>162.28299999999999</v>
      </c>
      <c r="AJ763" s="753"/>
      <c r="AK763" s="782">
        <f>AI763/AB763</f>
        <v>39.720483402172242</v>
      </c>
      <c r="AL763" s="753"/>
      <c r="AM763" s="779">
        <f>(AK763/AK756-1)*100</f>
        <v>8.8683863424304121</v>
      </c>
      <c r="AN763" s="761" t="s">
        <v>1084</v>
      </c>
      <c r="AO763" s="753"/>
    </row>
    <row r="764" spans="1:41" hidden="1" outlineLevel="1">
      <c r="A764" s="753" t="str">
        <f>$A$27</f>
        <v>2Q</v>
      </c>
      <c r="B764" s="760" t="str">
        <f>$B$27</f>
        <v>Jul</v>
      </c>
      <c r="C764" s="753"/>
      <c r="D764" s="768">
        <f>(S764/S757-1)*100</f>
        <v>-2.9230769230769171</v>
      </c>
      <c r="E764" s="773"/>
      <c r="F764" s="774">
        <v>10</v>
      </c>
      <c r="G764" s="773"/>
      <c r="H764" s="768">
        <f>D764-F764</f>
        <v>-12.923076923076916</v>
      </c>
      <c r="I764" s="761"/>
      <c r="J764" s="775">
        <f>+'store&amp;sf'!T72</f>
        <v>491</v>
      </c>
      <c r="K764" s="753"/>
      <c r="L764" s="776">
        <f>AVERAGE(J764,J763)</f>
        <v>502.5</v>
      </c>
      <c r="M764" s="753"/>
      <c r="N764" s="768">
        <f>(L764/L757-1)*100</f>
        <v>-17.14756801319044</v>
      </c>
      <c r="O764" s="761"/>
      <c r="P764" s="772">
        <f>H764/N764*100</f>
        <v>75.363905325443739</v>
      </c>
      <c r="Q764" s="769"/>
      <c r="R764" s="753"/>
      <c r="S764" s="784">
        <f>+'segSales&amp;OM'!AO60</f>
        <v>164.06</v>
      </c>
      <c r="T764" s="753"/>
      <c r="U764" s="785">
        <f>S764/L764</f>
        <v>0.32648756218905473</v>
      </c>
      <c r="V764" s="753"/>
      <c r="W764" s="779">
        <f>(U764/U757-1)*100</f>
        <v>17.168465365480291</v>
      </c>
      <c r="X764" s="761"/>
      <c r="Y764" s="753"/>
      <c r="Z764" s="780">
        <f>+'store&amp;sf'!T436</f>
        <v>3.7774999999999994</v>
      </c>
      <c r="AA764" s="753"/>
      <c r="AB764" s="781">
        <f>AVERAGE(Z764,Z763)</f>
        <v>3.8674999999999997</v>
      </c>
      <c r="AC764" s="753"/>
      <c r="AD764" s="768">
        <f>(AB764/AB757-1)*100</f>
        <v>-15.510649918077558</v>
      </c>
      <c r="AE764" s="761"/>
      <c r="AF764" s="772">
        <f>+H764/AD764*100</f>
        <v>83.317443120259952</v>
      </c>
      <c r="AG764" s="769"/>
      <c r="AH764" s="753"/>
      <c r="AI764" s="784">
        <f>+S764</f>
        <v>164.06</v>
      </c>
      <c r="AJ764" s="753"/>
      <c r="AK764" s="776">
        <f>AI764/AB764</f>
        <v>42.420168067226896</v>
      </c>
      <c r="AL764" s="753"/>
      <c r="AM764" s="779">
        <f>(AK764/AK757-1)*100</f>
        <v>14.898413803391186</v>
      </c>
      <c r="AN764" s="761"/>
      <c r="AO764" s="753"/>
    </row>
    <row r="765" spans="1:41" hidden="1" outlineLevel="1">
      <c r="A765" s="753" t="str">
        <f>$A$28</f>
        <v>3Q</v>
      </c>
      <c r="B765" s="760" t="str">
        <f>$B$28</f>
        <v>Oct</v>
      </c>
      <c r="C765" s="753"/>
      <c r="D765" s="768">
        <f>(S765/S758-1)*100</f>
        <v>-3.7834254143646495</v>
      </c>
      <c r="E765" s="773"/>
      <c r="F765" s="774">
        <v>9</v>
      </c>
      <c r="G765" s="773"/>
      <c r="H765" s="768">
        <f>D765-F765</f>
        <v>-12.78342541436465</v>
      </c>
      <c r="I765" s="761"/>
      <c r="J765" s="775">
        <f>+'store&amp;sf'!T73</f>
        <v>487</v>
      </c>
      <c r="K765" s="753"/>
      <c r="L765" s="776">
        <f>AVERAGE(J765,J764)</f>
        <v>489</v>
      </c>
      <c r="M765" s="753"/>
      <c r="N765" s="768">
        <f>(L765/L758-1)*100</f>
        <v>-17.953020134228193</v>
      </c>
      <c r="O765" s="761"/>
      <c r="P765" s="772">
        <f>H765/N765*100</f>
        <v>71.204874270666636</v>
      </c>
      <c r="Q765" s="769"/>
      <c r="R765" s="753"/>
      <c r="S765" s="784">
        <f>+'segSales&amp;OM'!AO61</f>
        <v>174.15199999999999</v>
      </c>
      <c r="T765" s="753"/>
      <c r="U765" s="785">
        <f>S765/L765</f>
        <v>0.35613905930470346</v>
      </c>
      <c r="V765" s="753"/>
      <c r="W765" s="779">
        <f>(U765/U758-1)*100</f>
        <v>17.27009908596866</v>
      </c>
      <c r="X765" s="761"/>
      <c r="Y765" s="753"/>
      <c r="Z765" s="780">
        <f>+'store&amp;sf'!T437</f>
        <v>3.7362499999999996</v>
      </c>
      <c r="AA765" s="753"/>
      <c r="AB765" s="781">
        <f>AVERAGE(Z765,Z764)</f>
        <v>3.7568749999999995</v>
      </c>
      <c r="AC765" s="753"/>
      <c r="AD765" s="768">
        <f>(AB765/AB758-1)*100</f>
        <v>-16.421023359288089</v>
      </c>
      <c r="AE765" s="761"/>
      <c r="AF765" s="772">
        <f>+H765/AD765*100</f>
        <v>77.847921744378169</v>
      </c>
      <c r="AG765" s="769"/>
      <c r="AH765" s="753"/>
      <c r="AI765" s="784">
        <f>+S765</f>
        <v>174.15199999999999</v>
      </c>
      <c r="AJ765" s="753"/>
      <c r="AK765" s="776">
        <f>AI765/AB765</f>
        <v>46.355548161703545</v>
      </c>
      <c r="AL765" s="753"/>
      <c r="AM765" s="779">
        <f>(AK765/AK758-1)*100</f>
        <v>15.120546401578672</v>
      </c>
      <c r="AN765" s="761"/>
      <c r="AO765" s="753"/>
    </row>
    <row r="766" spans="1:41" hidden="1" outlineLevel="1">
      <c r="A766" s="753" t="str">
        <f>$A$29</f>
        <v>4Q</v>
      </c>
      <c r="B766" s="760" t="str">
        <f>$B$29</f>
        <v>Jan</v>
      </c>
      <c r="C766" s="753"/>
      <c r="D766" s="786">
        <f>(S766/S759-1)*100</f>
        <v>-13.673728813559327</v>
      </c>
      <c r="E766" s="773"/>
      <c r="F766" s="787">
        <v>0</v>
      </c>
      <c r="G766" s="773"/>
      <c r="H766" s="786">
        <f>D766-F766</f>
        <v>-13.673728813559327</v>
      </c>
      <c r="I766" s="761"/>
      <c r="J766" s="775">
        <f>+'store&amp;sf'!T74</f>
        <v>443</v>
      </c>
      <c r="K766" s="753"/>
      <c r="L766" s="788">
        <f>AVERAGE(J766,J765)</f>
        <v>465</v>
      </c>
      <c r="M766" s="753"/>
      <c r="N766" s="786">
        <f>(L766/L759-1)*100</f>
        <v>-18.706293706293707</v>
      </c>
      <c r="O766" s="761"/>
      <c r="P766" s="787">
        <f>H766/N766*100</f>
        <v>73.096942816410603</v>
      </c>
      <c r="Q766" s="769"/>
      <c r="R766" s="753"/>
      <c r="S766" s="789">
        <f>+'segSales&amp;OM'!AO62</f>
        <v>203.73</v>
      </c>
      <c r="T766" s="753"/>
      <c r="U766" s="790">
        <f>S766/L766</f>
        <v>0.43812903225806449</v>
      </c>
      <c r="V766" s="753"/>
      <c r="W766" s="791">
        <f>(U766/U759-1)*100</f>
        <v>6.1905959540732525</v>
      </c>
      <c r="X766" s="761"/>
      <c r="Y766" s="753"/>
      <c r="Z766" s="780">
        <f>+'store&amp;sf'!T438</f>
        <v>3.4362499999999998</v>
      </c>
      <c r="AA766" s="753"/>
      <c r="AB766" s="792">
        <f>AVERAGE(Z766,Z765)</f>
        <v>3.5862499999999997</v>
      </c>
      <c r="AC766" s="753"/>
      <c r="AD766" s="786">
        <f>(AB766/AB759-1)*100</f>
        <v>-17.415083477259643</v>
      </c>
      <c r="AE766" s="761"/>
      <c r="AF766" s="787">
        <f>+H766/AD766*100</f>
        <v>78.516584955876198</v>
      </c>
      <c r="AG766" s="769"/>
      <c r="AH766" s="753"/>
      <c r="AI766" s="789">
        <f>+S766</f>
        <v>203.73</v>
      </c>
      <c r="AJ766" s="753"/>
      <c r="AK766" s="788">
        <f>AI766/AB766</f>
        <v>56.808644126873475</v>
      </c>
      <c r="AL766" s="753"/>
      <c r="AM766" s="791">
        <f>(AK766/AK759-1)*100</f>
        <v>4.5303123393847677</v>
      </c>
      <c r="AN766" s="761"/>
      <c r="AO766" s="753"/>
    </row>
    <row r="767" spans="1:41" hidden="1" outlineLevel="1">
      <c r="A767" s="753"/>
      <c r="B767" s="760" t="str">
        <f>$B$30</f>
        <v>Year</v>
      </c>
      <c r="C767" s="753"/>
      <c r="D767" s="768">
        <f>(S767/S760-1)*100</f>
        <v>-6.9715984147952543</v>
      </c>
      <c r="E767" s="773"/>
      <c r="F767" s="774">
        <v>5</v>
      </c>
      <c r="G767" s="773"/>
      <c r="H767" s="768">
        <f>D767-F767</f>
        <v>-11.971598414795254</v>
      </c>
      <c r="I767" s="761"/>
      <c r="J767" s="775"/>
      <c r="K767" s="753"/>
      <c r="L767" s="793">
        <f>AVERAGE(L763:L766)</f>
        <v>497.25</v>
      </c>
      <c r="M767" s="753"/>
      <c r="N767" s="768">
        <f>(L767/L760-1)*100</f>
        <v>-16.986644407345576</v>
      </c>
      <c r="O767" s="761"/>
      <c r="P767" s="772">
        <f>H767/N767*100</f>
        <v>70.476535139679186</v>
      </c>
      <c r="Q767" s="769"/>
      <c r="R767" s="753"/>
      <c r="S767" s="777">
        <f>SUM(S763:S766)</f>
        <v>704.22499999999991</v>
      </c>
      <c r="T767" s="753"/>
      <c r="U767" s="794">
        <f>SUM(U763:U766)</f>
        <v>1.4255124612635597</v>
      </c>
      <c r="V767" s="753"/>
      <c r="W767" s="779">
        <f>(U767/U760-1)*100</f>
        <v>12.239114079922754</v>
      </c>
      <c r="X767" s="761"/>
      <c r="Y767" s="753"/>
      <c r="Z767" s="770"/>
      <c r="AA767" s="753"/>
      <c r="AB767" s="781">
        <f>AVERAGE(AB763:AB766)</f>
        <v>3.8240624999999997</v>
      </c>
      <c r="AC767" s="753"/>
      <c r="AD767" s="768">
        <f>(AB767/AB760-1)*100</f>
        <v>-15.499085039533201</v>
      </c>
      <c r="AE767" s="761"/>
      <c r="AF767" s="772">
        <f>+H767/AD767*100</f>
        <v>77.240678299780555</v>
      </c>
      <c r="AG767" s="769"/>
      <c r="AH767" s="753"/>
      <c r="AI767" s="777">
        <f>SUM(AI763:AI766)</f>
        <v>704.22499999999991</v>
      </c>
      <c r="AJ767" s="753"/>
      <c r="AK767" s="795">
        <f>SUM(AK763:AK766)</f>
        <v>185.30484375797616</v>
      </c>
      <c r="AL767" s="753"/>
      <c r="AM767" s="779">
        <f>(AK767/AK760-1)*100</f>
        <v>10.288607809333449</v>
      </c>
      <c r="AN767" s="761"/>
      <c r="AO767" s="753"/>
    </row>
    <row r="768" spans="1:41" hidden="1" outlineLevel="1">
      <c r="A768" s="753"/>
      <c r="B768" s="760"/>
      <c r="C768" s="753"/>
      <c r="D768" s="768"/>
      <c r="E768" s="773"/>
      <c r="F768" s="768"/>
      <c r="G768" s="773"/>
      <c r="H768" s="768"/>
      <c r="I768" s="761"/>
      <c r="J768" s="753"/>
      <c r="K768" s="753"/>
      <c r="L768" s="753"/>
      <c r="M768" s="753"/>
      <c r="N768" s="753"/>
      <c r="O768" s="761"/>
      <c r="P768" s="769"/>
      <c r="Q768" s="769"/>
      <c r="R768" s="753"/>
      <c r="S768" s="753"/>
      <c r="T768" s="753"/>
      <c r="U768" s="753"/>
      <c r="V768" s="753"/>
      <c r="W768" s="753"/>
      <c r="X768" s="761"/>
      <c r="Y768" s="753"/>
      <c r="Z768" s="770"/>
      <c r="AA768" s="753"/>
      <c r="AB768" s="771"/>
      <c r="AC768" s="753"/>
      <c r="AD768" s="753"/>
      <c r="AE768" s="761"/>
      <c r="AF768" s="772"/>
      <c r="AG768" s="769"/>
      <c r="AH768" s="753"/>
      <c r="AI768" s="753"/>
      <c r="AJ768" s="753"/>
      <c r="AK768" s="753"/>
      <c r="AL768" s="753"/>
      <c r="AM768" s="753"/>
      <c r="AN768" s="761"/>
      <c r="AO768" s="753"/>
    </row>
    <row r="769" spans="1:41" hidden="1" outlineLevel="1">
      <c r="A769" s="766"/>
      <c r="B769" s="796">
        <f>B762+1</f>
        <v>2000</v>
      </c>
      <c r="C769" s="753"/>
      <c r="D769" s="768"/>
      <c r="E769" s="773"/>
      <c r="F769" s="768"/>
      <c r="G769" s="773"/>
      <c r="H769" s="768"/>
      <c r="I769" s="761"/>
      <c r="J769" s="753"/>
      <c r="K769" s="753"/>
      <c r="L769" s="753"/>
      <c r="M769" s="753"/>
      <c r="N769" s="753"/>
      <c r="O769" s="761"/>
      <c r="P769" s="769"/>
      <c r="Q769" s="769"/>
      <c r="R769" s="753"/>
      <c r="S769" s="753"/>
      <c r="T769" s="753"/>
      <c r="U769" s="753"/>
      <c r="V769" s="753"/>
      <c r="W769" s="753"/>
      <c r="X769" s="761"/>
      <c r="Y769" s="753"/>
      <c r="Z769" s="770"/>
      <c r="AA769" s="753"/>
      <c r="AB769" s="771"/>
      <c r="AC769" s="753"/>
      <c r="AD769" s="753"/>
      <c r="AE769" s="761"/>
      <c r="AF769" s="772"/>
      <c r="AG769" s="769"/>
      <c r="AH769" s="753"/>
      <c r="AI769" s="753"/>
      <c r="AJ769" s="753"/>
      <c r="AK769" s="753"/>
      <c r="AL769" s="753"/>
      <c r="AM769" s="753"/>
      <c r="AN769" s="761"/>
      <c r="AO769" s="753"/>
    </row>
    <row r="770" spans="1:41" hidden="1" outlineLevel="1">
      <c r="A770" s="753" t="str">
        <f>$A$26</f>
        <v>1Q</v>
      </c>
      <c r="B770" s="760" t="str">
        <f>$B$26</f>
        <v>Apr</v>
      </c>
      <c r="C770" s="753"/>
      <c r="D770" s="768">
        <f>(S770/S763-1)*100</f>
        <v>-4.0737477123296895</v>
      </c>
      <c r="E770" s="773" t="s">
        <v>1084</v>
      </c>
      <c r="F770" s="774">
        <v>8</v>
      </c>
      <c r="G770" s="773" t="s">
        <v>1084</v>
      </c>
      <c r="H770" s="768">
        <f>D770-F770</f>
        <v>-12.073747712329689</v>
      </c>
      <c r="I770" s="761" t="s">
        <v>1084</v>
      </c>
      <c r="J770" s="775">
        <f>+'store&amp;sf'!T77</f>
        <v>431</v>
      </c>
      <c r="K770" s="753"/>
      <c r="L770" s="776">
        <f>AVERAGE(J770,J766)</f>
        <v>437</v>
      </c>
      <c r="M770" s="753"/>
      <c r="N770" s="768">
        <f>(L770/L763-1)*100</f>
        <v>-17.934272300469477</v>
      </c>
      <c r="O770" s="761" t="s">
        <v>1084</v>
      </c>
      <c r="P770" s="772">
        <f>H770/N770*100</f>
        <v>67.322205830529441</v>
      </c>
      <c r="Q770" s="769" t="s">
        <v>1084</v>
      </c>
      <c r="R770" s="753"/>
      <c r="S770" s="777">
        <f>+'segSales&amp;OM'!AO66</f>
        <v>155.672</v>
      </c>
      <c r="T770" s="753"/>
      <c r="U770" s="794">
        <f>S770/L770</f>
        <v>0.35622883295194507</v>
      </c>
      <c r="V770" s="753"/>
      <c r="W770" s="779">
        <f>(U770/U763-1)*100</f>
        <v>16.889540831085668</v>
      </c>
      <c r="X770" s="761" t="s">
        <v>1084</v>
      </c>
      <c r="Y770" s="753"/>
      <c r="Z770" s="780">
        <f>+'store&amp;sf'!T441</f>
        <v>3.3512499999999998</v>
      </c>
      <c r="AA770" s="753"/>
      <c r="AB770" s="781">
        <f>AVERAGE(Z770,Z766)</f>
        <v>3.3937499999999998</v>
      </c>
      <c r="AC770" s="753"/>
      <c r="AD770" s="768">
        <f>(AB770/AB763-1)*100</f>
        <v>-16.93437356585591</v>
      </c>
      <c r="AE770" s="761" t="s">
        <v>1084</v>
      </c>
      <c r="AF770" s="772">
        <f>+H770/AD770*100</f>
        <v>71.297279851399381</v>
      </c>
      <c r="AG770" s="769" t="s">
        <v>1084</v>
      </c>
      <c r="AH770" s="753"/>
      <c r="AI770" s="777">
        <f>+S770</f>
        <v>155.672</v>
      </c>
      <c r="AJ770" s="753"/>
      <c r="AK770" s="795">
        <f>AI770/AB770</f>
        <v>45.870202578268881</v>
      </c>
      <c r="AL770" s="753"/>
      <c r="AM770" s="779">
        <f>(AK770/AK763-1)*100</f>
        <v>15.482488251289306</v>
      </c>
      <c r="AN770" s="761" t="s">
        <v>1084</v>
      </c>
      <c r="AO770" s="753"/>
    </row>
    <row r="771" spans="1:41" hidden="1" outlineLevel="1">
      <c r="A771" s="753" t="str">
        <f>$A$27</f>
        <v>2Q</v>
      </c>
      <c r="B771" s="760" t="str">
        <f>$B$27</f>
        <v>Jul</v>
      </c>
      <c r="C771" s="753"/>
      <c r="D771" s="768">
        <f>(S771/S764-1)*100</f>
        <v>-10.559551383640143</v>
      </c>
      <c r="E771" s="768"/>
      <c r="F771" s="774">
        <v>0</v>
      </c>
      <c r="G771" s="768"/>
      <c r="H771" s="768">
        <f>D771-F771</f>
        <v>-10.559551383640143</v>
      </c>
      <c r="I771" s="753"/>
      <c r="J771" s="775">
        <f>+'store&amp;sf'!T78</f>
        <v>422</v>
      </c>
      <c r="K771" s="799"/>
      <c r="L771" s="776">
        <f>AVERAGE(J771,J770)</f>
        <v>426.5</v>
      </c>
      <c r="M771" s="753"/>
      <c r="N771" s="768">
        <f>(L771/L764-1)*100</f>
        <v>-15.12437810945274</v>
      </c>
      <c r="O771" s="761"/>
      <c r="P771" s="772">
        <f>H771/N771*100</f>
        <v>69.818086451041722</v>
      </c>
      <c r="Q771" s="769"/>
      <c r="R771" s="753"/>
      <c r="S771" s="784">
        <f>+'segSales&amp;OM'!AO67</f>
        <v>146.73599999999999</v>
      </c>
      <c r="T771" s="753"/>
      <c r="U771" s="785">
        <f>S771/L771</f>
        <v>0.34404689331770222</v>
      </c>
      <c r="V771" s="753"/>
      <c r="W771" s="779">
        <f>(U771/U764-1)*100</f>
        <v>5.3782542314673609</v>
      </c>
      <c r="X771" s="761"/>
      <c r="Y771" s="753"/>
      <c r="Z771" s="780">
        <f>+'store&amp;sf'!T442</f>
        <v>3.2112499999999997</v>
      </c>
      <c r="AA771" s="799"/>
      <c r="AB771" s="781">
        <f>AVERAGE(Z771,Z770)</f>
        <v>3.28125</v>
      </c>
      <c r="AC771" s="753"/>
      <c r="AD771" s="768">
        <f>(AB771/AB764-1)*100</f>
        <v>-15.158371040723972</v>
      </c>
      <c r="AE771" s="761"/>
      <c r="AF771" s="772">
        <f>+H771/AD771*100</f>
        <v>69.661518083118608</v>
      </c>
      <c r="AG771" s="769"/>
      <c r="AH771" s="753"/>
      <c r="AI771" s="784">
        <f>+S771</f>
        <v>146.73599999999999</v>
      </c>
      <c r="AJ771" s="753"/>
      <c r="AK771" s="776">
        <f>AI771/AB771</f>
        <v>44.719542857142855</v>
      </c>
      <c r="AL771" s="753"/>
      <c r="AM771" s="779">
        <f>(AK771/AK764-1)*100</f>
        <v>5.4204754358161411</v>
      </c>
      <c r="AN771" s="761"/>
      <c r="AO771" s="753"/>
    </row>
    <row r="772" spans="1:41" hidden="1" outlineLevel="1">
      <c r="A772" s="753" t="str">
        <f>$A$28</f>
        <v>3Q</v>
      </c>
      <c r="B772" s="760" t="str">
        <f>$B$28</f>
        <v>Oct</v>
      </c>
      <c r="C772" s="753"/>
      <c r="D772" s="768">
        <f>(S772/S765-1)*100</f>
        <v>-6.449538334328631</v>
      </c>
      <c r="E772" s="768"/>
      <c r="F772" s="774">
        <v>4</v>
      </c>
      <c r="G772" s="768"/>
      <c r="H772" s="768">
        <f>D772-F772</f>
        <v>-10.449538334328631</v>
      </c>
      <c r="I772" s="753"/>
      <c r="J772" s="775">
        <f>+'store&amp;sf'!T79</f>
        <v>418</v>
      </c>
      <c r="K772" s="799"/>
      <c r="L772" s="776">
        <f>AVERAGE(J772,J771)</f>
        <v>420</v>
      </c>
      <c r="M772" s="753"/>
      <c r="N772" s="768">
        <f>(L772/L765-1)*100</f>
        <v>-14.110429447852757</v>
      </c>
      <c r="O772" s="761"/>
      <c r="P772" s="772">
        <f>H772/N772*100</f>
        <v>74.055423847633364</v>
      </c>
      <c r="Q772" s="769"/>
      <c r="R772" s="753"/>
      <c r="S772" s="784">
        <f>+'segSales&amp;OM'!AO68</f>
        <v>162.91999999999999</v>
      </c>
      <c r="T772" s="753"/>
      <c r="U772" s="785">
        <f>S772/L772</f>
        <v>0.38790476190476186</v>
      </c>
      <c r="V772" s="753"/>
      <c r="W772" s="779">
        <f>(U772/U765-1)*100</f>
        <v>8.9194660821745089</v>
      </c>
      <c r="X772" s="761"/>
      <c r="Y772" s="753"/>
      <c r="Z772" s="780">
        <f>+'store&amp;sf'!T443</f>
        <v>3.1837499999999999</v>
      </c>
      <c r="AA772" s="799"/>
      <c r="AB772" s="781">
        <f>AVERAGE(Z772,Z771)</f>
        <v>3.1974999999999998</v>
      </c>
      <c r="AC772" s="753"/>
      <c r="AD772" s="768">
        <f>(AB772/AB765-1)*100</f>
        <v>-14.889369489269665</v>
      </c>
      <c r="AE772" s="761"/>
      <c r="AF772" s="772">
        <f>+H772/AD772*100</f>
        <v>70.181201036479806</v>
      </c>
      <c r="AG772" s="769"/>
      <c r="AH772" s="753"/>
      <c r="AI772" s="784">
        <f>+S772</f>
        <v>162.91999999999999</v>
      </c>
      <c r="AJ772" s="753"/>
      <c r="AK772" s="776">
        <f>AI772/AB772</f>
        <v>50.952306489444879</v>
      </c>
      <c r="AL772" s="753"/>
      <c r="AM772" s="779">
        <f>(AK772/AK765-1)*100</f>
        <v>9.916306699052102</v>
      </c>
      <c r="AN772" s="761"/>
      <c r="AO772" s="753"/>
    </row>
    <row r="773" spans="1:41" hidden="1" outlineLevel="1">
      <c r="A773" s="753" t="str">
        <f>$A$29</f>
        <v>4Q</v>
      </c>
      <c r="B773" s="760" t="str">
        <f>$B$29</f>
        <v>Jan</v>
      </c>
      <c r="C773" s="753"/>
      <c r="D773" s="786">
        <f>(S773/S766-1)*100</f>
        <v>1.7542826289697278</v>
      </c>
      <c r="E773" s="768"/>
      <c r="F773" s="787">
        <v>7</v>
      </c>
      <c r="G773" s="768"/>
      <c r="H773" s="786">
        <f>D773-F773</f>
        <v>-5.2457173710302722</v>
      </c>
      <c r="I773" s="753"/>
      <c r="J773" s="775">
        <f>+'store&amp;sf'!T80</f>
        <v>389</v>
      </c>
      <c r="K773" s="799"/>
      <c r="L773" s="788">
        <f>AVERAGE(J773,J772)</f>
        <v>403.5</v>
      </c>
      <c r="M773" s="753"/>
      <c r="N773" s="786">
        <f>(L773/L766-1)*100</f>
        <v>-13.225806451612899</v>
      </c>
      <c r="O773" s="761"/>
      <c r="P773" s="787">
        <f>H773/N773*100</f>
        <v>39.662741098033784</v>
      </c>
      <c r="Q773" s="769"/>
      <c r="R773" s="753"/>
      <c r="S773" s="789">
        <f>+'segSales&amp;OM'!AO69</f>
        <v>207.304</v>
      </c>
      <c r="T773" s="753"/>
      <c r="U773" s="790">
        <f>S773/L773</f>
        <v>0.51376456009913263</v>
      </c>
      <c r="V773" s="753"/>
      <c r="W773" s="791">
        <f>(U773/U766-1)*100</f>
        <v>17.263299683942801</v>
      </c>
      <c r="X773" s="761"/>
      <c r="Y773" s="753"/>
      <c r="Z773" s="780">
        <f>+'store&amp;sf'!T444</f>
        <v>3.0562499999999995</v>
      </c>
      <c r="AA773" s="799"/>
      <c r="AB773" s="792">
        <f>AVERAGE(Z773,Z772)</f>
        <v>3.1199999999999997</v>
      </c>
      <c r="AC773" s="753"/>
      <c r="AD773" s="786">
        <f>(AB773/AB766-1)*100</f>
        <v>-13.001045660508892</v>
      </c>
      <c r="AE773" s="761"/>
      <c r="AF773" s="787">
        <f>+H773/AD773*100</f>
        <v>40.348426642053212</v>
      </c>
      <c r="AG773" s="769"/>
      <c r="AH773" s="753"/>
      <c r="AI773" s="789">
        <f>+S773</f>
        <v>207.304</v>
      </c>
      <c r="AJ773" s="753"/>
      <c r="AK773" s="788">
        <f>AI773/AB773</f>
        <v>66.443589743589754</v>
      </c>
      <c r="AL773" s="753"/>
      <c r="AM773" s="791">
        <f>(AK773/AK766-1)*100</f>
        <v>16.96035130709701</v>
      </c>
      <c r="AN773" s="761"/>
      <c r="AO773" s="753"/>
    </row>
    <row r="774" spans="1:41" hidden="1" outlineLevel="1">
      <c r="A774" s="753"/>
      <c r="B774" s="760" t="str">
        <f>$B$30</f>
        <v>Year</v>
      </c>
      <c r="C774" s="753"/>
      <c r="D774" s="768">
        <f>(S774/S767-1)*100</f>
        <v>-4.4862082431041177</v>
      </c>
      <c r="E774" s="768"/>
      <c r="F774" s="774">
        <v>5</v>
      </c>
      <c r="G774" s="768"/>
      <c r="H774" s="768">
        <f>D774-F774</f>
        <v>-9.4862082431041177</v>
      </c>
      <c r="I774" s="753"/>
      <c r="J774" s="753"/>
      <c r="K774" s="753"/>
      <c r="L774" s="793">
        <f>AVERAGE(L770:L773)</f>
        <v>421.75</v>
      </c>
      <c r="M774" s="753"/>
      <c r="N774" s="768">
        <f>(L774/L767-1)*100</f>
        <v>-15.183509301156361</v>
      </c>
      <c r="O774" s="761"/>
      <c r="P774" s="772">
        <f>H774/N774*100</f>
        <v>62.477047005079768</v>
      </c>
      <c r="Q774" s="769"/>
      <c r="R774" s="753"/>
      <c r="S774" s="777">
        <f>SUM(S770:S773)</f>
        <v>672.63199999999995</v>
      </c>
      <c r="T774" s="753"/>
      <c r="U774" s="794">
        <f>SUM(U770:U773)</f>
        <v>1.6019450482735418</v>
      </c>
      <c r="V774" s="753"/>
      <c r="W774" s="779">
        <f>(U774/U767-1)*100</f>
        <v>12.376783213357111</v>
      </c>
      <c r="X774" s="761"/>
      <c r="Y774" s="753"/>
      <c r="Z774" s="770"/>
      <c r="AA774" s="753"/>
      <c r="AB774" s="781">
        <f>AVERAGE(AB770:AB773)</f>
        <v>3.2481249999999995</v>
      </c>
      <c r="AC774" s="753"/>
      <c r="AD774" s="768">
        <f>(AB774/AB767-1)*100</f>
        <v>-15.060880934869669</v>
      </c>
      <c r="AE774" s="761"/>
      <c r="AF774" s="772">
        <f>+H774/AD774*100</f>
        <v>62.985746213166038</v>
      </c>
      <c r="AG774" s="769"/>
      <c r="AH774" s="753"/>
      <c r="AI774" s="777">
        <f>SUM(AI770:AI773)</f>
        <v>672.63199999999995</v>
      </c>
      <c r="AJ774" s="753"/>
      <c r="AK774" s="795">
        <f>SUM(AK770:AK773)</f>
        <v>207.98564166844636</v>
      </c>
      <c r="AL774" s="753"/>
      <c r="AM774" s="779">
        <f>(AK774/AK767-1)*100</f>
        <v>12.239722098194727</v>
      </c>
      <c r="AN774" s="761"/>
      <c r="AO774" s="753"/>
    </row>
    <row r="775" spans="1:41" hidden="1" outlineLevel="1">
      <c r="A775" s="753"/>
      <c r="B775" s="760"/>
      <c r="C775" s="753"/>
      <c r="D775" s="768"/>
      <c r="E775" s="768"/>
      <c r="F775" s="768"/>
      <c r="G775" s="768"/>
      <c r="H775" s="768"/>
      <c r="I775" s="753"/>
      <c r="J775" s="753"/>
      <c r="K775" s="753"/>
      <c r="L775" s="753"/>
      <c r="M775" s="753"/>
      <c r="N775" s="753"/>
      <c r="O775" s="761"/>
      <c r="P775" s="769"/>
      <c r="Q775" s="769"/>
      <c r="R775" s="753"/>
      <c r="S775" s="753"/>
      <c r="T775" s="753"/>
      <c r="U775" s="753"/>
      <c r="V775" s="753"/>
      <c r="W775" s="753"/>
      <c r="X775" s="761"/>
      <c r="Y775" s="753"/>
      <c r="Z775" s="770"/>
      <c r="AA775" s="753"/>
      <c r="AB775" s="771"/>
      <c r="AC775" s="753"/>
      <c r="AD775" s="753"/>
      <c r="AE775" s="761"/>
      <c r="AF775" s="772"/>
      <c r="AG775" s="769"/>
      <c r="AH775" s="753"/>
      <c r="AI775" s="753"/>
      <c r="AJ775" s="753"/>
      <c r="AK775" s="753"/>
      <c r="AL775" s="753"/>
      <c r="AM775" s="753"/>
      <c r="AN775" s="753"/>
      <c r="AO775" s="753"/>
    </row>
    <row r="776" spans="1:41" hidden="1" outlineLevel="1">
      <c r="A776" s="766"/>
      <c r="B776" s="796">
        <f>B769+1</f>
        <v>2001</v>
      </c>
      <c r="C776" s="753"/>
      <c r="D776" s="768"/>
      <c r="E776" s="773"/>
      <c r="F776" s="768"/>
      <c r="G776" s="773"/>
      <c r="H776" s="768"/>
      <c r="I776" s="761"/>
      <c r="J776" s="753"/>
      <c r="K776" s="753"/>
      <c r="L776" s="753"/>
      <c r="M776" s="753"/>
      <c r="N776" s="753"/>
      <c r="O776" s="761"/>
      <c r="P776" s="769"/>
      <c r="Q776" s="769"/>
      <c r="R776" s="753"/>
      <c r="S776" s="753"/>
      <c r="T776" s="753"/>
      <c r="U776" s="753"/>
      <c r="V776" s="753"/>
      <c r="W776" s="753"/>
      <c r="X776" s="761"/>
      <c r="Y776" s="753"/>
      <c r="Z776" s="770"/>
      <c r="AA776" s="753"/>
      <c r="AB776" s="771"/>
      <c r="AC776" s="753"/>
      <c r="AD776" s="753"/>
      <c r="AE776" s="761"/>
      <c r="AF776" s="772"/>
      <c r="AG776" s="769"/>
      <c r="AH776" s="753"/>
      <c r="AI776" s="753"/>
      <c r="AJ776" s="753"/>
      <c r="AK776" s="753"/>
      <c r="AL776" s="753"/>
      <c r="AM776" s="753"/>
      <c r="AN776" s="761"/>
      <c r="AO776" s="753"/>
    </row>
    <row r="777" spans="1:41" hidden="1" outlineLevel="1">
      <c r="A777" s="753" t="str">
        <f>$A$26</f>
        <v>1Q</v>
      </c>
      <c r="B777" s="760" t="str">
        <f>$B$26</f>
        <v>Apr</v>
      </c>
      <c r="C777" s="753"/>
      <c r="D777" s="768">
        <f>(S777/S770-1)*100</f>
        <v>-6.6389588365280865</v>
      </c>
      <c r="E777" s="773" t="s">
        <v>1084</v>
      </c>
      <c r="F777" s="774">
        <v>-1</v>
      </c>
      <c r="G777" s="773" t="s">
        <v>1084</v>
      </c>
      <c r="H777" s="768">
        <f>D777-F777</f>
        <v>-5.6389588365280865</v>
      </c>
      <c r="I777" s="761" t="s">
        <v>1084</v>
      </c>
      <c r="J777" s="775">
        <f>+'store&amp;sf'!T83</f>
        <v>386</v>
      </c>
      <c r="K777" s="753"/>
      <c r="L777" s="776">
        <f>AVERAGE(J777,J773)</f>
        <v>387.5</v>
      </c>
      <c r="M777" s="753"/>
      <c r="N777" s="768">
        <f>(L777/L770-1)*100</f>
        <v>-11.327231121281468</v>
      </c>
      <c r="O777" s="761" t="s">
        <v>1084</v>
      </c>
      <c r="P777" s="772">
        <f>H777/N777*100</f>
        <v>49.782323465914608</v>
      </c>
      <c r="Q777" s="769" t="s">
        <v>1084</v>
      </c>
      <c r="R777" s="753"/>
      <c r="S777" s="777">
        <f>+'segSales&amp;OM'!AO73</f>
        <v>145.33699999999999</v>
      </c>
      <c r="T777" s="753"/>
      <c r="U777" s="794">
        <f>S777/L777</f>
        <v>0.37506322580645157</v>
      </c>
      <c r="V777" s="753"/>
      <c r="W777" s="779">
        <f>(U777/U770-1)*100</f>
        <v>5.2871612604831641</v>
      </c>
      <c r="X777" s="761" t="s">
        <v>1084</v>
      </c>
      <c r="Y777" s="753"/>
      <c r="Z777" s="780">
        <f>+'store&amp;sf'!T447</f>
        <v>3.0112499999999995</v>
      </c>
      <c r="AA777" s="753"/>
      <c r="AB777" s="781">
        <f>AVERAGE(Z777,Z773)</f>
        <v>3.0337499999999995</v>
      </c>
      <c r="AC777" s="753"/>
      <c r="AD777" s="768">
        <f>(AB777/AB770-1)*100</f>
        <v>-10.607734806629843</v>
      </c>
      <c r="AE777" s="761" t="s">
        <v>1084</v>
      </c>
      <c r="AF777" s="772">
        <f>+H777/AD777*100</f>
        <v>53.158934865186602</v>
      </c>
      <c r="AG777" s="769" t="s">
        <v>1084</v>
      </c>
      <c r="AH777" s="753"/>
      <c r="AI777" s="777">
        <f>+S777</f>
        <v>145.33699999999999</v>
      </c>
      <c r="AJ777" s="753"/>
      <c r="AK777" s="795">
        <f>AI777/AB777</f>
        <v>47.906716110424398</v>
      </c>
      <c r="AL777" s="753"/>
      <c r="AM777" s="779">
        <f>(AK777/AK770-1)*100</f>
        <v>4.4397308441805672</v>
      </c>
      <c r="AN777" s="761" t="s">
        <v>1084</v>
      </c>
      <c r="AO777" s="753"/>
    </row>
    <row r="778" spans="1:41" hidden="1" outlineLevel="1">
      <c r="A778" s="753" t="str">
        <f>$A$27</f>
        <v>2Q</v>
      </c>
      <c r="B778" s="760" t="str">
        <f>$B$27</f>
        <v>Jul</v>
      </c>
      <c r="C778" s="753"/>
      <c r="D778" s="768">
        <f>(S778/S771-1)*100</f>
        <v>-10.442563515429059</v>
      </c>
      <c r="E778" s="768"/>
      <c r="F778" s="774">
        <v>-5</v>
      </c>
      <c r="G778" s="768"/>
      <c r="H778" s="768">
        <f>D778-F778</f>
        <v>-5.4425635154290593</v>
      </c>
      <c r="I778" s="753"/>
      <c r="J778" s="775">
        <f>+'store&amp;sf'!T84</f>
        <v>382</v>
      </c>
      <c r="K778" s="799"/>
      <c r="L778" s="776">
        <f>AVERAGE(J778,J777)</f>
        <v>384</v>
      </c>
      <c r="M778" s="753"/>
      <c r="N778" s="768">
        <f>(L778/L771-1)*100</f>
        <v>-9.9648300117233255</v>
      </c>
      <c r="O778" s="761"/>
      <c r="P778" s="772">
        <f>H778/N778*100</f>
        <v>54.61772563130576</v>
      </c>
      <c r="Q778" s="769"/>
      <c r="R778" s="753"/>
      <c r="S778" s="784">
        <f>+'segSales&amp;OM'!AO74</f>
        <v>131.41300000000001</v>
      </c>
      <c r="T778" s="753"/>
      <c r="U778" s="785">
        <f>S778/L778</f>
        <v>0.34222135416666671</v>
      </c>
      <c r="V778" s="753"/>
      <c r="W778" s="779">
        <f>(U778/U771-1)*100</f>
        <v>-0.5306076545064875</v>
      </c>
      <c r="X778" s="761"/>
      <c r="Y778" s="753"/>
      <c r="Z778" s="780">
        <f>+'store&amp;sf'!T448</f>
        <v>2.9474999999999998</v>
      </c>
      <c r="AA778" s="799"/>
      <c r="AB778" s="781">
        <f>AVERAGE(Z778,Z777)</f>
        <v>2.9793749999999997</v>
      </c>
      <c r="AC778" s="753"/>
      <c r="AD778" s="768">
        <f>(AB778/AB771-1)*100</f>
        <v>-9.2000000000000082</v>
      </c>
      <c r="AE778" s="761"/>
      <c r="AF778" s="772">
        <f>+H778/AD778*100</f>
        <v>59.158299080750588</v>
      </c>
      <c r="AG778" s="769"/>
      <c r="AH778" s="753"/>
      <c r="AI778" s="784">
        <f>+S778</f>
        <v>131.41300000000001</v>
      </c>
      <c r="AJ778" s="753"/>
      <c r="AK778" s="776">
        <f>AI778/AB778</f>
        <v>44.107572897000217</v>
      </c>
      <c r="AL778" s="753"/>
      <c r="AM778" s="779">
        <f>(AK778/AK771-1)*100</f>
        <v>-1.3684620213976317</v>
      </c>
      <c r="AN778" s="761"/>
      <c r="AO778" s="753"/>
    </row>
    <row r="779" spans="1:41" hidden="1" outlineLevel="1">
      <c r="A779" s="753" t="str">
        <f>$A$28</f>
        <v>3Q</v>
      </c>
      <c r="B779" s="760" t="str">
        <f>$B$28</f>
        <v>Oct</v>
      </c>
      <c r="C779" s="753"/>
      <c r="D779" s="768">
        <f>(S779/S772-1)*100</f>
        <v>-6.9862509206972572</v>
      </c>
      <c r="E779" s="768"/>
      <c r="F779" s="774">
        <v>-3</v>
      </c>
      <c r="G779" s="768"/>
      <c r="H779" s="768">
        <f>D779-F779</f>
        <v>-3.9862509206972572</v>
      </c>
      <c r="I779" s="753"/>
      <c r="J779" s="775">
        <f>+'store&amp;sf'!T85</f>
        <v>382</v>
      </c>
      <c r="K779" s="799"/>
      <c r="L779" s="776">
        <f>AVERAGE(J779,J778)</f>
        <v>382</v>
      </c>
      <c r="M779" s="753"/>
      <c r="N779" s="768">
        <f>(L779/L772-1)*100</f>
        <v>-9.0476190476190492</v>
      </c>
      <c r="O779" s="761"/>
      <c r="P779" s="772">
        <f>H779/N779*100</f>
        <v>44.058562807706522</v>
      </c>
      <c r="Q779" s="769"/>
      <c r="R779" s="753"/>
      <c r="S779" s="784">
        <f>+'segSales&amp;OM'!AO75</f>
        <v>151.53800000000001</v>
      </c>
      <c r="T779" s="753"/>
      <c r="U779" s="785">
        <f>S779/L779</f>
        <v>0.39669633507853408</v>
      </c>
      <c r="V779" s="753"/>
      <c r="W779" s="779">
        <f>(U779/U772-1)*100</f>
        <v>2.2664256892857448</v>
      </c>
      <c r="X779" s="761"/>
      <c r="Y779" s="753"/>
      <c r="Z779" s="780">
        <f>+'store&amp;sf'!T449</f>
        <v>2.94875</v>
      </c>
      <c r="AA779" s="799"/>
      <c r="AB779" s="781">
        <f>AVERAGE(Z779,Z778)</f>
        <v>2.9481250000000001</v>
      </c>
      <c r="AC779" s="753"/>
      <c r="AD779" s="768">
        <f>(AB779/AB772-1)*100</f>
        <v>-7.7990617670054663</v>
      </c>
      <c r="AE779" s="761"/>
      <c r="AF779" s="772">
        <f>+H779/AD779*100</f>
        <v>51.111929098464124</v>
      </c>
      <c r="AG779" s="769"/>
      <c r="AH779" s="753"/>
      <c r="AI779" s="784">
        <f>+S779</f>
        <v>151.53800000000001</v>
      </c>
      <c r="AJ779" s="753"/>
      <c r="AK779" s="776">
        <f>AI779/AB779</f>
        <v>51.401483994064023</v>
      </c>
      <c r="AL779" s="753"/>
      <c r="AM779" s="779">
        <f>(AK779/AK772-1)*100</f>
        <v>0.88156461516064599</v>
      </c>
      <c r="AN779" s="761"/>
      <c r="AO779" s="753"/>
    </row>
    <row r="780" spans="1:41" hidden="1" outlineLevel="1">
      <c r="A780" s="753" t="str">
        <f>$A$29</f>
        <v>4Q</v>
      </c>
      <c r="B780" s="760" t="str">
        <f>$B$29</f>
        <v>Jan</v>
      </c>
      <c r="C780" s="753"/>
      <c r="D780" s="786">
        <f>(S780/S773-1)*100</f>
        <v>-8.5767761355304284</v>
      </c>
      <c r="E780" s="768"/>
      <c r="F780" s="787">
        <v>1</v>
      </c>
      <c r="G780" s="768"/>
      <c r="H780" s="786">
        <f>D780-F780</f>
        <v>-9.5767761355304284</v>
      </c>
      <c r="I780" s="753"/>
      <c r="J780" s="775">
        <f>+'store&amp;sf'!T86</f>
        <v>368</v>
      </c>
      <c r="K780" s="799"/>
      <c r="L780" s="788">
        <f>AVERAGE(J780,J779)</f>
        <v>375</v>
      </c>
      <c r="M780" s="753"/>
      <c r="N780" s="786">
        <f>(L780/L773-1)*100</f>
        <v>-7.0631970260223049</v>
      </c>
      <c r="O780" s="761"/>
      <c r="P780" s="787">
        <f>H780/N780*100</f>
        <v>135.58698844514132</v>
      </c>
      <c r="Q780" s="769"/>
      <c r="R780" s="753"/>
      <c r="S780" s="789">
        <f>+'segSales&amp;OM'!AO76</f>
        <v>189.524</v>
      </c>
      <c r="T780" s="753"/>
      <c r="U780" s="790">
        <f>S780/L780</f>
        <v>0.50539733333333337</v>
      </c>
      <c r="V780" s="753"/>
      <c r="W780" s="791">
        <f>(U780/U773-1)*100</f>
        <v>-1.6286111218307475</v>
      </c>
      <c r="X780" s="761"/>
      <c r="Y780" s="753"/>
      <c r="Z780" s="780">
        <f>+'store&amp;sf'!T450</f>
        <v>2.8912499999999999</v>
      </c>
      <c r="AA780" s="799"/>
      <c r="AB780" s="792">
        <f>AVERAGE(Z780,Z779)</f>
        <v>2.92</v>
      </c>
      <c r="AC780" s="753"/>
      <c r="AD780" s="786">
        <f>(AB780/AB773-1)*100</f>
        <v>-6.4102564102563981</v>
      </c>
      <c r="AE780" s="761"/>
      <c r="AF780" s="787">
        <f>+H780/AD780*100</f>
        <v>149.39770771427496</v>
      </c>
      <c r="AG780" s="769"/>
      <c r="AH780" s="753"/>
      <c r="AI780" s="789">
        <f>+S780</f>
        <v>189.524</v>
      </c>
      <c r="AJ780" s="753"/>
      <c r="AK780" s="788">
        <f>AI780/AB780</f>
        <v>64.905479452054792</v>
      </c>
      <c r="AL780" s="753"/>
      <c r="AM780" s="791">
        <f>(AK780/AK773-1)*100</f>
        <v>-2.3149114872791032</v>
      </c>
      <c r="AN780" s="761"/>
      <c r="AO780" s="753"/>
    </row>
    <row r="781" spans="1:41" hidden="1" outlineLevel="1">
      <c r="A781" s="753"/>
      <c r="B781" s="760" t="str">
        <f>$B$30</f>
        <v>Year</v>
      </c>
      <c r="C781" s="753"/>
      <c r="D781" s="768">
        <f>(S781/S774-1)*100</f>
        <v>-8.1500731454941082</v>
      </c>
      <c r="E781" s="768"/>
      <c r="F781" s="774">
        <v>-2</v>
      </c>
      <c r="G781" s="768"/>
      <c r="H781" s="768">
        <f>D781-F781</f>
        <v>-6.1500731454941082</v>
      </c>
      <c r="I781" s="753"/>
      <c r="J781" s="753"/>
      <c r="K781" s="753"/>
      <c r="L781" s="793">
        <f>AVERAGE(L777:L780)</f>
        <v>382.125</v>
      </c>
      <c r="M781" s="753"/>
      <c r="N781" s="768">
        <f>(L781/L774-1)*100</f>
        <v>-9.395376407824541</v>
      </c>
      <c r="O781" s="761"/>
      <c r="P781" s="772">
        <f>H781/N781*100</f>
        <v>65.458507233113949</v>
      </c>
      <c r="Q781" s="769"/>
      <c r="R781" s="753"/>
      <c r="S781" s="777">
        <f>SUM(S777:S780)</f>
        <v>617.81200000000001</v>
      </c>
      <c r="T781" s="753"/>
      <c r="U781" s="794">
        <f>SUM(U777:U780)</f>
        <v>1.6193782483849857</v>
      </c>
      <c r="V781" s="753"/>
      <c r="W781" s="779">
        <f>(U781/U774-1)*100</f>
        <v>1.0882520677118146</v>
      </c>
      <c r="X781" s="761"/>
      <c r="Y781" s="753"/>
      <c r="Z781" s="770"/>
      <c r="AA781" s="753"/>
      <c r="AB781" s="781">
        <f>AVERAGE(AB777:AB780)</f>
        <v>2.9703124999999999</v>
      </c>
      <c r="AC781" s="753"/>
      <c r="AD781" s="768">
        <f>(AB781/AB774-1)*100</f>
        <v>-8.5530113527034661</v>
      </c>
      <c r="AE781" s="761"/>
      <c r="AF781" s="772">
        <f>+H781/AD781*100</f>
        <v>71.905354639219226</v>
      </c>
      <c r="AG781" s="769"/>
      <c r="AH781" s="753"/>
      <c r="AI781" s="777">
        <f>SUM(AI777:AI780)</f>
        <v>617.81200000000001</v>
      </c>
      <c r="AJ781" s="753"/>
      <c r="AK781" s="795">
        <f>SUM(AK777:AK780)</f>
        <v>208.32125245354342</v>
      </c>
      <c r="AL781" s="753"/>
      <c r="AM781" s="779">
        <f>(AK781/AK774-1)*100</f>
        <v>0.16136247791185276</v>
      </c>
      <c r="AN781" s="761"/>
      <c r="AO781" s="753"/>
    </row>
    <row r="782" spans="1:41" hidden="1" outlineLevel="1">
      <c r="A782" s="753"/>
      <c r="B782" s="760"/>
      <c r="C782" s="753"/>
      <c r="D782" s="753"/>
      <c r="E782" s="753"/>
      <c r="F782" s="753"/>
      <c r="G782" s="753"/>
      <c r="H782" s="753"/>
      <c r="I782" s="753"/>
      <c r="J782" s="753"/>
      <c r="K782" s="753"/>
      <c r="L782" s="753"/>
      <c r="M782" s="753"/>
      <c r="N782" s="753"/>
      <c r="O782" s="761"/>
      <c r="P782" s="753"/>
      <c r="Q782" s="753"/>
      <c r="R782" s="753"/>
      <c r="S782" s="753"/>
      <c r="T782" s="753"/>
      <c r="U782" s="753"/>
      <c r="V782" s="753"/>
      <c r="W782" s="753"/>
      <c r="X782" s="753"/>
      <c r="Y782" s="753"/>
      <c r="Z782" s="753"/>
      <c r="AA782" s="753"/>
      <c r="AB782" s="753"/>
      <c r="AC782" s="753"/>
      <c r="AD782" s="753"/>
      <c r="AE782" s="761"/>
      <c r="AF782" s="753"/>
      <c r="AG782" s="753"/>
      <c r="AH782" s="753"/>
      <c r="AI782" s="753"/>
      <c r="AJ782" s="753"/>
      <c r="AK782" s="753"/>
      <c r="AL782" s="753"/>
      <c r="AM782" s="753"/>
      <c r="AN782" s="753"/>
      <c r="AO782" s="753"/>
    </row>
    <row r="783" spans="1:41" hidden="1" outlineLevel="1">
      <c r="A783" s="766"/>
      <c r="B783" s="796">
        <f>B776+1</f>
        <v>2002</v>
      </c>
      <c r="C783" s="753"/>
      <c r="D783" s="768"/>
      <c r="E783" s="773"/>
      <c r="F783" s="768"/>
      <c r="G783" s="773"/>
      <c r="H783" s="768"/>
      <c r="I783" s="761"/>
      <c r="J783" s="753"/>
      <c r="K783" s="753"/>
      <c r="L783" s="753"/>
      <c r="M783" s="753"/>
      <c r="N783" s="753"/>
      <c r="O783" s="761"/>
      <c r="P783" s="769"/>
      <c r="Q783" s="769"/>
      <c r="R783" s="753"/>
      <c r="S783" s="753"/>
      <c r="T783" s="753"/>
      <c r="U783" s="753"/>
      <c r="V783" s="753"/>
      <c r="W783" s="753"/>
      <c r="X783" s="761"/>
      <c r="Y783" s="753"/>
      <c r="Z783" s="770"/>
      <c r="AA783" s="753"/>
      <c r="AB783" s="771"/>
      <c r="AC783" s="753"/>
      <c r="AD783" s="753"/>
      <c r="AE783" s="761"/>
      <c r="AF783" s="772"/>
      <c r="AG783" s="769"/>
      <c r="AH783" s="753"/>
      <c r="AI783" s="753"/>
      <c r="AJ783" s="753"/>
      <c r="AK783" s="753"/>
      <c r="AL783" s="753"/>
      <c r="AM783" s="753"/>
      <c r="AN783" s="761"/>
      <c r="AO783" s="753"/>
    </row>
    <row r="784" spans="1:41" hidden="1" outlineLevel="1">
      <c r="A784" s="753" t="str">
        <f>$A$26</f>
        <v>1Q</v>
      </c>
      <c r="B784" s="760" t="str">
        <f>$B$26</f>
        <v>Apr</v>
      </c>
      <c r="C784" s="753"/>
      <c r="D784" s="768">
        <f>(S784/S777-1)*100</f>
        <v>7.2527986679235212</v>
      </c>
      <c r="E784" s="773" t="s">
        <v>1084</v>
      </c>
      <c r="F784" s="774">
        <v>10</v>
      </c>
      <c r="G784" s="773" t="s">
        <v>1084</v>
      </c>
      <c r="H784" s="768">
        <f>D784-F784</f>
        <v>-2.7472013320764788</v>
      </c>
      <c r="I784" s="761" t="s">
        <v>1084</v>
      </c>
      <c r="J784" s="775">
        <f>+'store&amp;sf'!T89</f>
        <v>363</v>
      </c>
      <c r="K784" s="753"/>
      <c r="L784" s="776">
        <f>AVERAGE(J784,J780)</f>
        <v>365.5</v>
      </c>
      <c r="M784" s="753"/>
      <c r="N784" s="768">
        <f>(L784/L777-1)*100</f>
        <v>-5.6774193548387082</v>
      </c>
      <c r="O784" s="761" t="s">
        <v>1084</v>
      </c>
      <c r="P784" s="772">
        <f>H784/N784*100</f>
        <v>48.388205280892535</v>
      </c>
      <c r="Q784" s="769" t="s">
        <v>1084</v>
      </c>
      <c r="R784" s="753"/>
      <c r="S784" s="777">
        <f>+'segSales&amp;OM'!AO80</f>
        <v>155.87799999999999</v>
      </c>
      <c r="T784" s="753"/>
      <c r="U784" s="794">
        <f>S784/L784</f>
        <v>0.42647879616963058</v>
      </c>
      <c r="V784" s="753"/>
      <c r="W784" s="779">
        <f>(U784/U777-1)*100</f>
        <v>13.708507479672672</v>
      </c>
      <c r="X784" s="761" t="s">
        <v>1084</v>
      </c>
      <c r="Y784" s="753"/>
      <c r="Z784" s="780">
        <f>+'store&amp;sf'!T453</f>
        <v>2.7762500000000001</v>
      </c>
      <c r="AA784" s="753"/>
      <c r="AB784" s="781">
        <f>AVERAGE(Z784,Z780)</f>
        <v>2.8337500000000002</v>
      </c>
      <c r="AC784" s="753"/>
      <c r="AD784" s="768">
        <f>(AB784/AB777-1)*100</f>
        <v>-6.5925010300782683</v>
      </c>
      <c r="AE784" s="761" t="s">
        <v>1084</v>
      </c>
      <c r="AF784" s="772">
        <f>+H784/AD784*100</f>
        <v>41.671610205935202</v>
      </c>
      <c r="AG784" s="769" t="s">
        <v>1084</v>
      </c>
      <c r="AH784" s="753"/>
      <c r="AI784" s="777">
        <f>+S784</f>
        <v>155.87799999999999</v>
      </c>
      <c r="AJ784" s="753"/>
      <c r="AK784" s="795">
        <f>AI784/AB784</f>
        <v>55.007675341861479</v>
      </c>
      <c r="AL784" s="753"/>
      <c r="AM784" s="779">
        <f>(AK784/AK777-1)*100</f>
        <v>14.822471269100257</v>
      </c>
      <c r="AN784" s="761" t="s">
        <v>1084</v>
      </c>
      <c r="AO784" s="753"/>
    </row>
    <row r="785" spans="1:41" hidden="1" outlineLevel="1">
      <c r="A785" s="753" t="str">
        <f>$A$27</f>
        <v>2Q</v>
      </c>
      <c r="B785" s="760" t="str">
        <f>$B$27</f>
        <v>Jul</v>
      </c>
      <c r="C785" s="753"/>
      <c r="D785" s="768">
        <f>(S785/S778-1)*100</f>
        <v>7.7830960407265559</v>
      </c>
      <c r="E785" s="768"/>
      <c r="F785" s="774">
        <v>13</v>
      </c>
      <c r="G785" s="768"/>
      <c r="H785" s="768">
        <f>D785-F785</f>
        <v>-5.2169039592734441</v>
      </c>
      <c r="I785" s="753"/>
      <c r="J785" s="775">
        <f>+'store&amp;sf'!T90</f>
        <v>360</v>
      </c>
      <c r="K785" s="799"/>
      <c r="L785" s="776">
        <f>AVERAGE(J785,J784)</f>
        <v>361.5</v>
      </c>
      <c r="M785" s="753"/>
      <c r="N785" s="768">
        <f>(L785/L778-1)*100</f>
        <v>-5.859375</v>
      </c>
      <c r="O785" s="761"/>
      <c r="P785" s="772">
        <f>H785/N785*100</f>
        <v>89.035160904933434</v>
      </c>
      <c r="Q785" s="769"/>
      <c r="R785" s="753"/>
      <c r="S785" s="784">
        <f>+'segSales&amp;OM'!AO81</f>
        <v>141.64099999999999</v>
      </c>
      <c r="T785" s="753"/>
      <c r="U785" s="785">
        <f>S785/L785</f>
        <v>0.39181466113416319</v>
      </c>
      <c r="V785" s="753"/>
      <c r="W785" s="779">
        <f>(U785/U778-1)*100</f>
        <v>14.491587495543556</v>
      </c>
      <c r="X785" s="761"/>
      <c r="Y785" s="753"/>
      <c r="Z785" s="780">
        <f>+'store&amp;sf'!T454</f>
        <v>2.7637499999999995</v>
      </c>
      <c r="AA785" s="799"/>
      <c r="AB785" s="781">
        <f>AVERAGE(Z785,Z784)</f>
        <v>2.7699999999999996</v>
      </c>
      <c r="AC785" s="753"/>
      <c r="AD785" s="768">
        <f>(AB785/AB778-1)*100</f>
        <v>-7.0274805957625368</v>
      </c>
      <c r="AE785" s="761"/>
      <c r="AF785" s="772">
        <f>+H785/AD785*100</f>
        <v>74.235764698079095</v>
      </c>
      <c r="AG785" s="769"/>
      <c r="AH785" s="753"/>
      <c r="AI785" s="784">
        <f>+S785</f>
        <v>141.64099999999999</v>
      </c>
      <c r="AJ785" s="753"/>
      <c r="AK785" s="776">
        <f>AI785/AB785</f>
        <v>51.133935018050543</v>
      </c>
      <c r="AL785" s="753"/>
      <c r="AM785" s="779">
        <f>(AK785/AK778-1)*100</f>
        <v>15.930058399400604</v>
      </c>
      <c r="AN785" s="761"/>
      <c r="AO785" s="753"/>
    </row>
    <row r="786" spans="1:41" hidden="1" outlineLevel="1">
      <c r="A786" s="753" t="str">
        <f>$A$28</f>
        <v>3Q</v>
      </c>
      <c r="B786" s="760" t="str">
        <f>$B$28</f>
        <v>Oct</v>
      </c>
      <c r="C786" s="753"/>
      <c r="D786" s="768">
        <f>(S786/S779-1)*100</f>
        <v>4.1012815267457592</v>
      </c>
      <c r="E786" s="768"/>
      <c r="F786" s="774">
        <v>10</v>
      </c>
      <c r="G786" s="768"/>
      <c r="H786" s="768">
        <f>D786-F786</f>
        <v>-5.8987184732542408</v>
      </c>
      <c r="I786" s="753"/>
      <c r="J786" s="775">
        <f>+'store&amp;sf'!T91</f>
        <v>359</v>
      </c>
      <c r="K786" s="799"/>
      <c r="L786" s="776">
        <f>AVERAGE(J786,J785)</f>
        <v>359.5</v>
      </c>
      <c r="M786" s="753"/>
      <c r="N786" s="768">
        <f>(L786/L779-1)*100</f>
        <v>-5.8900523560209468</v>
      </c>
      <c r="O786" s="761"/>
      <c r="P786" s="772">
        <f>H786/N786*100</f>
        <v>100.14713141258305</v>
      </c>
      <c r="Q786" s="769"/>
      <c r="R786" s="753"/>
      <c r="S786" s="784">
        <f>+'segSales&amp;OM'!AO82</f>
        <v>157.75299999999999</v>
      </c>
      <c r="T786" s="753"/>
      <c r="U786" s="785">
        <f>S786/L786</f>
        <v>0.43881223922114043</v>
      </c>
      <c r="V786" s="753"/>
      <c r="W786" s="779">
        <f>(U786/U779-1)*100</f>
        <v>10.616660759991303</v>
      </c>
      <c r="X786" s="761"/>
      <c r="Y786" s="753"/>
      <c r="Z786" s="780">
        <f>+'store&amp;sf'!T455</f>
        <v>2.7462499999999999</v>
      </c>
      <c r="AA786" s="799"/>
      <c r="AB786" s="781">
        <f>AVERAGE(Z786,Z785)</f>
        <v>2.7549999999999999</v>
      </c>
      <c r="AC786" s="753"/>
      <c r="AD786" s="768">
        <f>(AB786/AB779-1)*100</f>
        <v>-6.550773796904819</v>
      </c>
      <c r="AE786" s="761"/>
      <c r="AF786" s="772">
        <f>+H786/AD786*100</f>
        <v>90.046132810162533</v>
      </c>
      <c r="AG786" s="769"/>
      <c r="AH786" s="753"/>
      <c r="AI786" s="784">
        <f>+S786</f>
        <v>157.75299999999999</v>
      </c>
      <c r="AJ786" s="753"/>
      <c r="AK786" s="776">
        <f>AI786/AB786</f>
        <v>57.260617059891104</v>
      </c>
      <c r="AL786" s="753"/>
      <c r="AM786" s="779">
        <f>(AK786/AK779-1)*100</f>
        <v>11.398762468616109</v>
      </c>
      <c r="AN786" s="761"/>
      <c r="AO786" s="753"/>
    </row>
    <row r="787" spans="1:41" hidden="1" outlineLevel="1">
      <c r="A787" s="753" t="str">
        <f>$A$29</f>
        <v>4Q</v>
      </c>
      <c r="B787" s="760" t="str">
        <f>$B$29</f>
        <v>Jan</v>
      </c>
      <c r="C787" s="753"/>
      <c r="D787" s="786">
        <f>(S787/S780-1)*100</f>
        <v>-3.5858255418838691</v>
      </c>
      <c r="E787" s="768"/>
      <c r="F787" s="787">
        <v>-1</v>
      </c>
      <c r="G787" s="768"/>
      <c r="H787" s="786">
        <f>D787-F787</f>
        <v>-2.5858255418838691</v>
      </c>
      <c r="I787" s="753"/>
      <c r="J787" s="775">
        <f>+'store&amp;sf'!T92</f>
        <v>351</v>
      </c>
      <c r="K787" s="799"/>
      <c r="L787" s="788">
        <f>AVERAGE(J787,J786)</f>
        <v>355</v>
      </c>
      <c r="M787" s="753"/>
      <c r="N787" s="786">
        <f>(L787/L780-1)*100</f>
        <v>-5.3333333333333339</v>
      </c>
      <c r="O787" s="761"/>
      <c r="P787" s="787">
        <f>H787/N787*100</f>
        <v>48.484228910322543</v>
      </c>
      <c r="Q787" s="769"/>
      <c r="R787" s="753"/>
      <c r="S787" s="789">
        <f>+'segSales&amp;OM'!AO83</f>
        <v>182.72800000000001</v>
      </c>
      <c r="T787" s="753"/>
      <c r="U787" s="790">
        <f>S787/L787</f>
        <v>0.51472676056338029</v>
      </c>
      <c r="V787" s="753"/>
      <c r="W787" s="791">
        <f>(U787/U780-1)*100</f>
        <v>1.8459589346297101</v>
      </c>
      <c r="X787" s="761"/>
      <c r="Y787" s="753"/>
      <c r="Z787" s="780">
        <f>+'store&amp;sf'!T456</f>
        <v>2.7237499999999994</v>
      </c>
      <c r="AA787" s="799"/>
      <c r="AB787" s="792">
        <f>AVERAGE(Z787,Z786)</f>
        <v>2.7349999999999994</v>
      </c>
      <c r="AC787" s="753"/>
      <c r="AD787" s="786">
        <f>(AB787/AB780-1)*100</f>
        <v>-6.3356164383561842</v>
      </c>
      <c r="AE787" s="761"/>
      <c r="AF787" s="787">
        <f>+H787/AD787*100</f>
        <v>40.814111255680402</v>
      </c>
      <c r="AG787" s="769"/>
      <c r="AH787" s="753"/>
      <c r="AI787" s="789">
        <f>+S787</f>
        <v>182.72800000000001</v>
      </c>
      <c r="AJ787" s="753"/>
      <c r="AK787" s="788">
        <f>AI787/AB787</f>
        <v>66.810968921389417</v>
      </c>
      <c r="AL787" s="753"/>
      <c r="AM787" s="791">
        <f>(AK787/AK780-1)*100</f>
        <v>2.9357913775865274</v>
      </c>
      <c r="AN787" s="761"/>
      <c r="AO787" s="753"/>
    </row>
    <row r="788" spans="1:41" hidden="1" outlineLevel="1">
      <c r="A788" s="753"/>
      <c r="B788" s="760" t="str">
        <f>$B$30</f>
        <v>Year</v>
      </c>
      <c r="C788" s="753"/>
      <c r="D788" s="768">
        <f>(S788/S781-1)*100</f>
        <v>3.2676607123202528</v>
      </c>
      <c r="E788" s="768"/>
      <c r="F788" s="774">
        <v>7</v>
      </c>
      <c r="G788" s="768"/>
      <c r="H788" s="768">
        <f>D788-F788</f>
        <v>-3.7323392876797472</v>
      </c>
      <c r="I788" s="753"/>
      <c r="J788" s="753"/>
      <c r="K788" s="753"/>
      <c r="L788" s="793">
        <f>AVERAGE(L784:L787)</f>
        <v>360.375</v>
      </c>
      <c r="M788" s="753"/>
      <c r="N788" s="768">
        <f>(L788/L781-1)*100</f>
        <v>-5.691854759568205</v>
      </c>
      <c r="O788" s="761"/>
      <c r="P788" s="772">
        <f>H788/N788*100</f>
        <v>65.573340243890726</v>
      </c>
      <c r="Q788" s="769"/>
      <c r="R788" s="753"/>
      <c r="S788" s="777">
        <f>SUM(S784:S787)</f>
        <v>638</v>
      </c>
      <c r="T788" s="753"/>
      <c r="U788" s="794">
        <f>SUM(U784:U787)</f>
        <v>1.7718324570883146</v>
      </c>
      <c r="V788" s="753"/>
      <c r="W788" s="779">
        <f>(U788/U781-1)*100</f>
        <v>9.4143668321698293</v>
      </c>
      <c r="X788" s="761"/>
      <c r="Y788" s="753"/>
      <c r="Z788" s="770"/>
      <c r="AA788" s="753"/>
      <c r="AB788" s="781">
        <f>AVERAGE(AB784:AB787)</f>
        <v>2.7734375</v>
      </c>
      <c r="AC788" s="753"/>
      <c r="AD788" s="768">
        <f>(AB788/AB781-1)*100</f>
        <v>-6.6280904786954249</v>
      </c>
      <c r="AE788" s="761"/>
      <c r="AF788" s="772">
        <f>+H788/AD788*100</f>
        <v>56.310928459358713</v>
      </c>
      <c r="AG788" s="769"/>
      <c r="AH788" s="753"/>
      <c r="AI788" s="777">
        <f>SUM(AI784:AI787)</f>
        <v>638</v>
      </c>
      <c r="AJ788" s="753"/>
      <c r="AK788" s="795">
        <f>SUM(AK784:AK787)</f>
        <v>230.21319634119254</v>
      </c>
      <c r="AL788" s="753"/>
      <c r="AM788" s="779">
        <f>(AK788/AK781-1)*100</f>
        <v>10.5087424493721</v>
      </c>
      <c r="AN788" s="761"/>
      <c r="AO788" s="753"/>
    </row>
    <row r="789" spans="1:41" hidden="1" outlineLevel="1">
      <c r="A789" s="753"/>
      <c r="B789" s="760"/>
      <c r="C789" s="753"/>
      <c r="D789" s="753"/>
      <c r="E789" s="753"/>
      <c r="F789" s="753"/>
      <c r="G789" s="753"/>
      <c r="H789" s="753"/>
      <c r="I789" s="753"/>
      <c r="J789" s="753"/>
      <c r="K789" s="753"/>
      <c r="L789" s="753"/>
      <c r="M789" s="753"/>
      <c r="N789" s="753"/>
      <c r="O789" s="761"/>
      <c r="P789" s="753"/>
      <c r="Q789" s="753"/>
      <c r="R789" s="753"/>
      <c r="S789" s="753"/>
      <c r="T789" s="753"/>
      <c r="U789" s="753"/>
      <c r="V789" s="753"/>
      <c r="W789" s="753"/>
      <c r="X789" s="753"/>
      <c r="Y789" s="753"/>
      <c r="Z789" s="753"/>
      <c r="AA789" s="753"/>
      <c r="AB789" s="753"/>
      <c r="AC789" s="753"/>
      <c r="AD789" s="753"/>
      <c r="AE789" s="761"/>
      <c r="AF789" s="753"/>
      <c r="AG789" s="753"/>
      <c r="AH789" s="753"/>
      <c r="AI789" s="753"/>
      <c r="AJ789" s="753"/>
      <c r="AK789" s="753"/>
      <c r="AL789" s="753"/>
      <c r="AM789" s="753"/>
      <c r="AN789" s="753"/>
      <c r="AO789" s="753"/>
    </row>
    <row r="790" spans="1:41" hidden="1" outlineLevel="1">
      <c r="A790" s="766"/>
      <c r="B790" s="796">
        <f>B783+1</f>
        <v>2003</v>
      </c>
      <c r="C790" s="753"/>
      <c r="D790" s="768"/>
      <c r="E790" s="773"/>
      <c r="F790" s="768"/>
      <c r="G790" s="773"/>
      <c r="H790" s="768"/>
      <c r="I790" s="761"/>
      <c r="J790" s="753"/>
      <c r="K790" s="753"/>
      <c r="L790" s="753"/>
      <c r="M790" s="753"/>
      <c r="N790" s="753"/>
      <c r="O790" s="761"/>
      <c r="P790" s="769"/>
      <c r="Q790" s="769"/>
      <c r="R790" s="753"/>
      <c r="S790" s="753"/>
      <c r="T790" s="753"/>
      <c r="U790" s="753"/>
      <c r="V790" s="753"/>
      <c r="W790" s="753"/>
      <c r="X790" s="761"/>
      <c r="Y790" s="753"/>
      <c r="Z790" s="770"/>
      <c r="AA790" s="753"/>
      <c r="AB790" s="771"/>
      <c r="AC790" s="753"/>
      <c r="AD790" s="753"/>
      <c r="AE790" s="761"/>
      <c r="AF790" s="772"/>
      <c r="AG790" s="769"/>
      <c r="AH790" s="753"/>
      <c r="AI790" s="753"/>
      <c r="AJ790" s="753"/>
      <c r="AK790" s="753"/>
      <c r="AL790" s="753"/>
      <c r="AM790" s="753"/>
      <c r="AN790" s="761"/>
      <c r="AO790" s="753"/>
    </row>
    <row r="791" spans="1:41" hidden="1" outlineLevel="1">
      <c r="A791" s="753" t="str">
        <f>$A$26</f>
        <v>1Q</v>
      </c>
      <c r="B791" s="760" t="str">
        <f>$B$26</f>
        <v>Apr</v>
      </c>
      <c r="C791" s="753"/>
      <c r="D791" s="768">
        <f>(S791/S784-1)*100</f>
        <v>-8.261589191547225</v>
      </c>
      <c r="E791" s="773" t="s">
        <v>1084</v>
      </c>
      <c r="F791" s="774">
        <v>-5</v>
      </c>
      <c r="G791" s="773" t="s">
        <v>1084</v>
      </c>
      <c r="H791" s="768">
        <f>D791-F791</f>
        <v>-3.261589191547225</v>
      </c>
      <c r="I791" s="761" t="s">
        <v>1084</v>
      </c>
      <c r="J791" s="775">
        <f>'store&amp;sf'!T95</f>
        <v>349</v>
      </c>
      <c r="K791" s="753"/>
      <c r="L791" s="776">
        <f>AVERAGE(J791,J787)</f>
        <v>350</v>
      </c>
      <c r="M791" s="753"/>
      <c r="N791" s="768">
        <f>(L791/L784-1)*100</f>
        <v>-4.2407660738714048</v>
      </c>
      <c r="O791" s="761" t="s">
        <v>1084</v>
      </c>
      <c r="P791" s="772">
        <f>H791/N791*100</f>
        <v>76.910377387774957</v>
      </c>
      <c r="Q791" s="769" t="s">
        <v>1084</v>
      </c>
      <c r="R791" s="753"/>
      <c r="S791" s="777">
        <f>+'segSales&amp;OM'!AO87</f>
        <v>143</v>
      </c>
      <c r="T791" s="753"/>
      <c r="U791" s="794">
        <f>S791/L791</f>
        <v>0.40857142857142859</v>
      </c>
      <c r="V791" s="753"/>
      <c r="W791" s="779">
        <f>(U791/U784-1)*100</f>
        <v>-4.1988881414586015</v>
      </c>
      <c r="X791" s="761" t="s">
        <v>1084</v>
      </c>
      <c r="Y791" s="753"/>
      <c r="Z791" s="780">
        <f>+'store&amp;sf'!T459</f>
        <v>2.6837499999999994</v>
      </c>
      <c r="AA791" s="753"/>
      <c r="AB791" s="781">
        <f>AVERAGE(Z791,Z787)</f>
        <v>2.7037499999999994</v>
      </c>
      <c r="AC791" s="753"/>
      <c r="AD791" s="768">
        <f>(AB791/AB784-1)*100</f>
        <v>-4.5875606528452018</v>
      </c>
      <c r="AE791" s="761" t="s">
        <v>1084</v>
      </c>
      <c r="AF791" s="772">
        <f>+H791/AD791*100</f>
        <v>71.096372088822193</v>
      </c>
      <c r="AG791" s="769" t="s">
        <v>1084</v>
      </c>
      <c r="AH791" s="753"/>
      <c r="AI791" s="777">
        <f>+S791</f>
        <v>143</v>
      </c>
      <c r="AJ791" s="753"/>
      <c r="AK791" s="795">
        <f>AI791/AB791</f>
        <v>52.889505316689792</v>
      </c>
      <c r="AL791" s="753"/>
      <c r="AM791" s="779">
        <f>(AK791/AK784-1)*100</f>
        <v>-3.8506808586396213</v>
      </c>
      <c r="AN791" s="761" t="s">
        <v>1084</v>
      </c>
      <c r="AO791" s="753"/>
    </row>
    <row r="792" spans="1:41" hidden="1" outlineLevel="1">
      <c r="A792" s="753" t="str">
        <f>$A$27</f>
        <v>2Q</v>
      </c>
      <c r="B792" s="760" t="str">
        <f>$B$27</f>
        <v>Jul</v>
      </c>
      <c r="C792" s="753"/>
      <c r="D792" s="768">
        <f>(S792/S785-1)*100</f>
        <v>-5.2534223847614747</v>
      </c>
      <c r="E792" s="768"/>
      <c r="F792" s="810">
        <v>-4</v>
      </c>
      <c r="G792" s="768"/>
      <c r="H792" s="768">
        <f>D792-F792</f>
        <v>-1.2534223847614747</v>
      </c>
      <c r="I792" s="753"/>
      <c r="J792" s="775">
        <f>'store&amp;sf'!T96</f>
        <v>347</v>
      </c>
      <c r="K792" s="799"/>
      <c r="L792" s="776">
        <f>AVERAGE(J792,J791)</f>
        <v>348</v>
      </c>
      <c r="M792" s="753"/>
      <c r="N792" s="768">
        <f>(L792/L785-1)*100</f>
        <v>-3.7344398340248941</v>
      </c>
      <c r="O792" s="761"/>
      <c r="P792" s="772">
        <f>H792/N792*100</f>
        <v>33.563866080835062</v>
      </c>
      <c r="Q792" s="769"/>
      <c r="R792" s="753"/>
      <c r="S792" s="784">
        <f>+'segSales&amp;OM'!AO88</f>
        <v>134.19999999999999</v>
      </c>
      <c r="T792" s="753"/>
      <c r="U792" s="785">
        <f>S792/L792</f>
        <v>0.38563218390804593</v>
      </c>
      <c r="V792" s="753"/>
      <c r="W792" s="779">
        <f>(U792/U785-1)*100</f>
        <v>-1.5779085979634289</v>
      </c>
      <c r="X792" s="761"/>
      <c r="Y792" s="753"/>
      <c r="Z792" s="780">
        <f>+'store&amp;sf'!T460</f>
        <v>2.6574999999999998</v>
      </c>
      <c r="AA792" s="799"/>
      <c r="AB792" s="781">
        <f>AVERAGE(Z792,Z791)</f>
        <v>2.6706249999999994</v>
      </c>
      <c r="AC792" s="753"/>
      <c r="AD792" s="768">
        <f>(AB792/AB785-1)*100</f>
        <v>-3.5875451263537972</v>
      </c>
      <c r="AE792" s="761"/>
      <c r="AF792" s="772">
        <f>+H792/AD792*100</f>
        <v>34.938163580269475</v>
      </c>
      <c r="AG792" s="769"/>
      <c r="AH792" s="753"/>
      <c r="AI792" s="784">
        <f>+S792</f>
        <v>134.19999999999999</v>
      </c>
      <c r="AJ792" s="753"/>
      <c r="AK792" s="776">
        <f>AI792/AB792</f>
        <v>50.250409548326708</v>
      </c>
      <c r="AL792" s="753"/>
      <c r="AM792" s="779">
        <f>(AK792/AK785-1)*100</f>
        <v>-1.7278652022613694</v>
      </c>
      <c r="AN792" s="761"/>
      <c r="AO792" s="753"/>
    </row>
    <row r="793" spans="1:41" hidden="1" outlineLevel="1">
      <c r="A793" s="753" t="str">
        <f>$A$28</f>
        <v>3Q</v>
      </c>
      <c r="B793" s="760" t="str">
        <f>$B$28</f>
        <v>Oct</v>
      </c>
      <c r="C793" s="753"/>
      <c r="D793" s="768">
        <f>(S793/S786-1)*100</f>
        <v>1.107427434026631</v>
      </c>
      <c r="E793" s="768"/>
      <c r="F793" s="810">
        <v>0</v>
      </c>
      <c r="G793" s="768"/>
      <c r="H793" s="768">
        <f>D793-F793</f>
        <v>1.107427434026631</v>
      </c>
      <c r="I793" s="753"/>
      <c r="J793" s="775">
        <f>'store&amp;sf'!T97</f>
        <v>346</v>
      </c>
      <c r="K793" s="799"/>
      <c r="L793" s="776">
        <f>AVERAGE(J793,J792)</f>
        <v>346.5</v>
      </c>
      <c r="M793" s="753"/>
      <c r="N793" s="768">
        <f>(L793/L786-1)*100</f>
        <v>-3.6161335187760768</v>
      </c>
      <c r="O793" s="761"/>
      <c r="P793" s="772">
        <f>H793/N793*100</f>
        <v>-30.624627887121076</v>
      </c>
      <c r="Q793" s="769"/>
      <c r="R793" s="753"/>
      <c r="S793" s="784">
        <f>+'segSales&amp;OM'!AO89</f>
        <v>159.5</v>
      </c>
      <c r="T793" s="753"/>
      <c r="U793" s="785">
        <f>S793/L793</f>
        <v>0.46031746031746029</v>
      </c>
      <c r="V793" s="753"/>
      <c r="W793" s="779">
        <f>(U793/U786-1)*100</f>
        <v>4.9007796898486777</v>
      </c>
      <c r="X793" s="761"/>
      <c r="Y793" s="753"/>
      <c r="Z793" s="780">
        <f>+'store&amp;sf'!T461</f>
        <v>2.6712499999999997</v>
      </c>
      <c r="AA793" s="799"/>
      <c r="AB793" s="781">
        <f>AVERAGE(Z793,Z792)</f>
        <v>2.6643749999999997</v>
      </c>
      <c r="AC793" s="753"/>
      <c r="AD793" s="768">
        <f>(AB793/AB786-1)*100</f>
        <v>-3.289473684210531</v>
      </c>
      <c r="AE793" s="761"/>
      <c r="AF793" s="772">
        <f>+H793/AD793*100</f>
        <v>-33.66579399440954</v>
      </c>
      <c r="AG793" s="769"/>
      <c r="AH793" s="753"/>
      <c r="AI793" s="784">
        <f>+S793</f>
        <v>159.5</v>
      </c>
      <c r="AJ793" s="753"/>
      <c r="AK793" s="776">
        <f>AI793/AB793</f>
        <v>59.863945578231302</v>
      </c>
      <c r="AL793" s="753"/>
      <c r="AM793" s="779">
        <f>(AK793/AK786-1)*100</f>
        <v>4.546455578041142</v>
      </c>
      <c r="AN793" s="761"/>
      <c r="AO793" s="753"/>
    </row>
    <row r="794" spans="1:41" hidden="1" outlineLevel="1">
      <c r="A794" s="753" t="str">
        <f>$A$29</f>
        <v>4Q</v>
      </c>
      <c r="B794" s="760" t="str">
        <f>$B$29</f>
        <v>Jan</v>
      </c>
      <c r="C794" s="753"/>
      <c r="D794" s="786">
        <f>(S794/S787-1)*100</f>
        <v>3.3229718488682725</v>
      </c>
      <c r="E794" s="753"/>
      <c r="F794" s="805">
        <v>5</v>
      </c>
      <c r="G794" s="753"/>
      <c r="H794" s="786">
        <f>D794-F794</f>
        <v>-1.6770281511317275</v>
      </c>
      <c r="I794" s="753"/>
      <c r="J794" s="775">
        <f>'store&amp;sf'!T98</f>
        <v>341</v>
      </c>
      <c r="K794" s="799"/>
      <c r="L794" s="788">
        <f>AVERAGE(J794,J793)</f>
        <v>343.5</v>
      </c>
      <c r="M794" s="753"/>
      <c r="N794" s="786">
        <f>(L794/L787-1)*100</f>
        <v>-3.2394366197183055</v>
      </c>
      <c r="O794" s="761"/>
      <c r="P794" s="787">
        <f>H794/N794*100</f>
        <v>51.769129882762087</v>
      </c>
      <c r="Q794" s="769"/>
      <c r="R794" s="753"/>
      <c r="S794" s="789">
        <f>+'segSales&amp;OM'!AO90</f>
        <v>188.8</v>
      </c>
      <c r="T794" s="753"/>
      <c r="U794" s="790">
        <f>S794/L794</f>
        <v>0.54963609898107713</v>
      </c>
      <c r="V794" s="753"/>
      <c r="W794" s="791">
        <f>(U794/U787-1)*100</f>
        <v>6.7821106443907819</v>
      </c>
      <c r="X794" s="761"/>
      <c r="Y794" s="753"/>
      <c r="Z794" s="780">
        <f>+'store&amp;sf'!T462</f>
        <v>2.625</v>
      </c>
      <c r="AA794" s="799"/>
      <c r="AB794" s="792">
        <f>AVERAGE(Z794,Z793)</f>
        <v>2.6481249999999998</v>
      </c>
      <c r="AC794" s="753"/>
      <c r="AD794" s="786">
        <f>(AB794/AB787-1)*100</f>
        <v>-3.1764168190127839</v>
      </c>
      <c r="AE794" s="761"/>
      <c r="AF794" s="787">
        <f>+H794/AD794*100</f>
        <v>52.796224383830712</v>
      </c>
      <c r="AG794" s="769"/>
      <c r="AH794" s="753"/>
      <c r="AI794" s="789">
        <f>+S794</f>
        <v>188.8</v>
      </c>
      <c r="AJ794" s="753"/>
      <c r="AK794" s="788">
        <f>AI794/AB794</f>
        <v>71.295728109511458</v>
      </c>
      <c r="AL794" s="753"/>
      <c r="AM794" s="791">
        <f>(AK794/AK787-1)*100</f>
        <v>6.7126091127324594</v>
      </c>
      <c r="AN794" s="761"/>
      <c r="AO794" s="753"/>
    </row>
    <row r="795" spans="1:41" hidden="1" outlineLevel="1">
      <c r="A795" s="753"/>
      <c r="B795" s="760" t="str">
        <f>$B$30</f>
        <v>Year</v>
      </c>
      <c r="C795" s="753"/>
      <c r="D795" s="802">
        <f>(S795/S788-1)*100</f>
        <v>-1.9592476489028177</v>
      </c>
      <c r="E795" s="753"/>
      <c r="F795" s="772">
        <f>+F791*S791/S795+F792*S792/S795+F793*S793/S795+F794*S794/S795</f>
        <v>-0.49208633093525189</v>
      </c>
      <c r="G795" s="753"/>
      <c r="H795" s="802">
        <f>D795-F795</f>
        <v>-1.4671613179675658</v>
      </c>
      <c r="I795" s="753"/>
      <c r="J795" s="753"/>
      <c r="K795" s="753"/>
      <c r="L795" s="793">
        <f>AVERAGE(L791:L794)</f>
        <v>347</v>
      </c>
      <c r="M795" s="753"/>
      <c r="N795" s="768">
        <f>(L795/L788-1)*100</f>
        <v>-3.7114117238987165</v>
      </c>
      <c r="O795" s="761"/>
      <c r="P795" s="772">
        <f>H795/N795*100</f>
        <v>39.531084857013951</v>
      </c>
      <c r="Q795" s="769"/>
      <c r="R795" s="753"/>
      <c r="S795" s="777">
        <f>SUM(S791:S794)</f>
        <v>625.5</v>
      </c>
      <c r="T795" s="753"/>
      <c r="U795" s="794">
        <f>SUM(U791:U794)</f>
        <v>1.8041571717780118</v>
      </c>
      <c r="V795" s="753"/>
      <c r="W795" s="779">
        <f>(U795/U788-1)*100</f>
        <v>1.8243663254039921</v>
      </c>
      <c r="X795" s="761"/>
      <c r="Y795" s="753"/>
      <c r="Z795" s="770"/>
      <c r="AA795" s="753"/>
      <c r="AB795" s="781">
        <f>AVERAGE(AB791:AB794)</f>
        <v>2.6717187499999997</v>
      </c>
      <c r="AC795" s="753"/>
      <c r="AD795" s="768">
        <f>(AB795/AB788-1)*100</f>
        <v>-3.6676056338028284</v>
      </c>
      <c r="AE795" s="761"/>
      <c r="AF795" s="772">
        <f>+H795/AD795*100</f>
        <v>40.003246380835961</v>
      </c>
      <c r="AG795" s="769"/>
      <c r="AH795" s="753"/>
      <c r="AI795" s="777">
        <f>SUM(AI791:AI794)</f>
        <v>625.5</v>
      </c>
      <c r="AJ795" s="753"/>
      <c r="AK795" s="795">
        <f>SUM(AK791:AK794)</f>
        <v>234.29958855275925</v>
      </c>
      <c r="AL795" s="753"/>
      <c r="AM795" s="779">
        <f>(AK795/AK788-1)*100</f>
        <v>1.7750469028327887</v>
      </c>
      <c r="AN795" s="761"/>
      <c r="AO795" s="753"/>
    </row>
    <row r="796" spans="1:41" hidden="1" outlineLevel="1">
      <c r="A796" s="753"/>
      <c r="B796" s="760"/>
      <c r="C796" s="753"/>
      <c r="D796" s="753"/>
      <c r="E796" s="753"/>
      <c r="F796" s="753"/>
      <c r="G796" s="753"/>
      <c r="H796" s="753"/>
      <c r="I796" s="753"/>
      <c r="J796" s="753"/>
      <c r="K796" s="753"/>
      <c r="L796" s="753"/>
      <c r="M796" s="753"/>
      <c r="N796" s="753"/>
      <c r="O796" s="761"/>
      <c r="P796" s="753"/>
      <c r="Q796" s="753"/>
      <c r="R796" s="753"/>
      <c r="S796" s="753"/>
      <c r="T796" s="753"/>
      <c r="U796" s="753"/>
      <c r="V796" s="753"/>
      <c r="W796" s="753"/>
      <c r="X796" s="753"/>
      <c r="Y796" s="753"/>
      <c r="Z796" s="753"/>
      <c r="AA796" s="753"/>
      <c r="AB796" s="753"/>
      <c r="AC796" s="753"/>
      <c r="AD796" s="753"/>
      <c r="AE796" s="761"/>
      <c r="AF796" s="753"/>
      <c r="AG796" s="753"/>
      <c r="AH796" s="753"/>
      <c r="AI796" s="753"/>
      <c r="AJ796" s="753"/>
      <c r="AK796" s="753"/>
      <c r="AL796" s="753"/>
      <c r="AM796" s="753"/>
      <c r="AN796" s="753"/>
      <c r="AO796" s="753"/>
    </row>
    <row r="797" spans="1:41" hidden="1" outlineLevel="1">
      <c r="A797" s="766"/>
      <c r="B797" s="796">
        <f>B790+1</f>
        <v>2004</v>
      </c>
      <c r="C797" s="753"/>
      <c r="D797" s="768"/>
      <c r="E797" s="773"/>
      <c r="F797" s="768"/>
      <c r="G797" s="773"/>
      <c r="H797" s="768"/>
      <c r="I797" s="761"/>
      <c r="J797" s="753"/>
      <c r="K797" s="753"/>
      <c r="L797" s="753"/>
      <c r="M797" s="753"/>
      <c r="N797" s="753"/>
      <c r="O797" s="761"/>
      <c r="P797" s="769"/>
      <c r="Q797" s="769"/>
      <c r="R797" s="753"/>
      <c r="S797" s="753"/>
      <c r="T797" s="753"/>
      <c r="U797" s="753"/>
      <c r="V797" s="753"/>
      <c r="W797" s="753"/>
      <c r="X797" s="761"/>
      <c r="Y797" s="753"/>
      <c r="Z797" s="770"/>
      <c r="AA797" s="753"/>
      <c r="AB797" s="771"/>
      <c r="AC797" s="753"/>
      <c r="AD797" s="753"/>
      <c r="AE797" s="761"/>
      <c r="AF797" s="772"/>
      <c r="AG797" s="769"/>
      <c r="AH797" s="753"/>
      <c r="AI797" s="753"/>
      <c r="AJ797" s="753"/>
      <c r="AK797" s="753"/>
      <c r="AL797" s="753"/>
      <c r="AM797" s="753"/>
      <c r="AN797" s="761"/>
      <c r="AO797" s="753"/>
    </row>
    <row r="798" spans="1:41" hidden="1" outlineLevel="1">
      <c r="A798" s="753" t="str">
        <f>$A$26</f>
        <v>1Q</v>
      </c>
      <c r="B798" s="760" t="str">
        <f>$B$26</f>
        <v>Apr</v>
      </c>
      <c r="C798" s="753"/>
      <c r="D798" s="768">
        <f>(S798/S791-1)*100</f>
        <v>-2.1678321678321621</v>
      </c>
      <c r="E798" s="773" t="s">
        <v>1084</v>
      </c>
      <c r="F798" s="774">
        <v>0</v>
      </c>
      <c r="G798" s="773" t="s">
        <v>1084</v>
      </c>
      <c r="H798" s="768">
        <f>D798-F798</f>
        <v>-2.1678321678321621</v>
      </c>
      <c r="I798" s="761" t="s">
        <v>1084</v>
      </c>
      <c r="J798" s="775">
        <f>'store&amp;sf'!T101</f>
        <v>340</v>
      </c>
      <c r="K798" s="753"/>
      <c r="L798" s="776">
        <f>AVERAGE(J798,J794)</f>
        <v>340.5</v>
      </c>
      <c r="M798" s="753"/>
      <c r="N798" s="768">
        <f>(L798/L791-1)*100</f>
        <v>-2.7142857142857135</v>
      </c>
      <c r="O798" s="761" t="s">
        <v>1084</v>
      </c>
      <c r="P798" s="772">
        <f>H798/N798*100</f>
        <v>79.867500920132315</v>
      </c>
      <c r="Q798" s="769" t="s">
        <v>1084</v>
      </c>
      <c r="R798" s="753"/>
      <c r="S798" s="784">
        <f>'segSales&amp;OM'!AO94</f>
        <v>139.9</v>
      </c>
      <c r="T798" s="753"/>
      <c r="U798" s="794">
        <f>S798/L798</f>
        <v>0.41086637298091044</v>
      </c>
      <c r="V798" s="753"/>
      <c r="W798" s="779">
        <f>(U798/U791-1)*100</f>
        <v>0.56169968064241349</v>
      </c>
      <c r="X798" s="761" t="s">
        <v>1084</v>
      </c>
      <c r="Y798" s="753"/>
      <c r="Z798" s="780">
        <f>+'store&amp;sf'!T465</f>
        <v>2.61375</v>
      </c>
      <c r="AA798" s="753"/>
      <c r="AB798" s="781">
        <f>AVERAGE(Z798,Z794)</f>
        <v>2.6193749999999998</v>
      </c>
      <c r="AC798" s="753"/>
      <c r="AD798" s="768">
        <f>(AB798/AB791-1)*100</f>
        <v>-3.1206657420249528</v>
      </c>
      <c r="AE798" s="761" t="s">
        <v>1084</v>
      </c>
      <c r="AF798" s="772">
        <f>+H798/AD798*100</f>
        <v>69.466977466977568</v>
      </c>
      <c r="AG798" s="769" t="s">
        <v>1084</v>
      </c>
      <c r="AH798" s="753"/>
      <c r="AI798" s="777">
        <f>+S798</f>
        <v>139.9</v>
      </c>
      <c r="AJ798" s="753"/>
      <c r="AK798" s="795">
        <f>AI798/AB798</f>
        <v>53.409687425435465</v>
      </c>
      <c r="AL798" s="753"/>
      <c r="AM798" s="779">
        <f>(AK798/AK791-1)*100</f>
        <v>0.98352613742735961</v>
      </c>
      <c r="AN798" s="761" t="s">
        <v>1084</v>
      </c>
      <c r="AO798" s="753"/>
    </row>
    <row r="799" spans="1:41" hidden="1" outlineLevel="1">
      <c r="A799" s="753" t="str">
        <f>$A$27</f>
        <v>2Q</v>
      </c>
      <c r="B799" s="760" t="str">
        <f>$B$27</f>
        <v>Jul</v>
      </c>
      <c r="C799" s="753"/>
      <c r="D799" s="768">
        <f>(S799/S792-1)*100</f>
        <v>-4.8435171385990961</v>
      </c>
      <c r="E799" s="768"/>
      <c r="F799" s="801">
        <v>-2</v>
      </c>
      <c r="G799" s="768"/>
      <c r="H799" s="768">
        <f>D799-F799</f>
        <v>-2.8435171385990961</v>
      </c>
      <c r="I799" s="753"/>
      <c r="J799" s="775">
        <f>'store&amp;sf'!T102</f>
        <v>335</v>
      </c>
      <c r="K799" s="799"/>
      <c r="L799" s="776">
        <f>AVERAGE(J799,J798)</f>
        <v>337.5</v>
      </c>
      <c r="M799" s="753"/>
      <c r="N799" s="768">
        <f>(L799/L792-1)*100</f>
        <v>-3.0172413793103425</v>
      </c>
      <c r="O799" s="761"/>
      <c r="P799" s="772">
        <f>H799/N799*100</f>
        <v>94.242282307855831</v>
      </c>
      <c r="Q799" s="769"/>
      <c r="R799" s="753"/>
      <c r="S799" s="784">
        <f>'segSales&amp;OM'!AO95</f>
        <v>127.7</v>
      </c>
      <c r="T799" s="753"/>
      <c r="U799" s="785">
        <f>S799/L799</f>
        <v>0.37837037037037036</v>
      </c>
      <c r="V799" s="753"/>
      <c r="W799" s="779">
        <f>(U799/U792-1)*100</f>
        <v>-1.8830932273555145</v>
      </c>
      <c r="X799" s="761"/>
      <c r="Y799" s="753"/>
      <c r="Z799" s="780">
        <f>+'store&amp;sf'!T466</f>
        <v>2.5487500000000001</v>
      </c>
      <c r="AA799" s="799"/>
      <c r="AB799" s="781">
        <f>AVERAGE(Z799,Z798)</f>
        <v>2.5812499999999998</v>
      </c>
      <c r="AC799" s="753"/>
      <c r="AD799" s="768">
        <f>(AB799/AB792-1)*100</f>
        <v>-3.3465948981979743</v>
      </c>
      <c r="AE799" s="761"/>
      <c r="AF799" s="772">
        <f>+H799/AD799*100</f>
        <v>84.967473658978918</v>
      </c>
      <c r="AG799" s="769"/>
      <c r="AH799" s="753"/>
      <c r="AI799" s="784">
        <f>+S799</f>
        <v>127.7</v>
      </c>
      <c r="AJ799" s="753"/>
      <c r="AK799" s="776">
        <f>AI799/AB799</f>
        <v>49.472154963680389</v>
      </c>
      <c r="AL799" s="753"/>
      <c r="AM799" s="779">
        <f>(AK799/AK792-1)*100</f>
        <v>-1.5487527199113837</v>
      </c>
      <c r="AN799" s="761"/>
      <c r="AO799" s="753"/>
    </row>
    <row r="800" spans="1:41" hidden="1" outlineLevel="1">
      <c r="A800" s="753" t="str">
        <f>$A$28</f>
        <v>3Q</v>
      </c>
      <c r="B800" s="760" t="str">
        <f>$B$28</f>
        <v>Oct</v>
      </c>
      <c r="C800" s="753"/>
      <c r="D800" s="768">
        <f>(S800/S793-1)*100</f>
        <v>-15.423197492163009</v>
      </c>
      <c r="E800" s="768"/>
      <c r="F800" s="801">
        <v>-13</v>
      </c>
      <c r="G800" s="768"/>
      <c r="H800" s="768">
        <f>D800-F800</f>
        <v>-2.4231974921630091</v>
      </c>
      <c r="I800" s="753"/>
      <c r="J800" s="775">
        <f>'store&amp;sf'!T103</f>
        <v>332</v>
      </c>
      <c r="K800" s="799"/>
      <c r="L800" s="776">
        <f>AVERAGE(J800,J799)</f>
        <v>333.5</v>
      </c>
      <c r="M800" s="753"/>
      <c r="N800" s="768">
        <f>(L800/L793-1)*100</f>
        <v>-3.7518037518037506</v>
      </c>
      <c r="O800" s="761"/>
      <c r="P800" s="772">
        <f>H800/N800*100</f>
        <v>64.587533156498694</v>
      </c>
      <c r="Q800" s="769"/>
      <c r="R800" s="753"/>
      <c r="S800" s="784">
        <f>'segSales&amp;OM'!AO96</f>
        <v>134.9</v>
      </c>
      <c r="T800" s="753"/>
      <c r="U800" s="785">
        <f>S800/L800</f>
        <v>0.40449775112443781</v>
      </c>
      <c r="V800" s="753"/>
      <c r="W800" s="779">
        <f>(U800/U793-1)*100</f>
        <v>-12.126350617794534</v>
      </c>
      <c r="X800" s="761"/>
      <c r="Y800" s="753"/>
      <c r="Z800" s="780">
        <f>+'store&amp;sf'!T467</f>
        <v>2.5024999999999995</v>
      </c>
      <c r="AA800" s="799"/>
      <c r="AB800" s="781">
        <f>AVERAGE(Z800,Z799)</f>
        <v>2.5256249999999998</v>
      </c>
      <c r="AC800" s="753"/>
      <c r="AD800" s="768">
        <f>(AB800/AB793-1)*100</f>
        <v>-5.2076002814919082</v>
      </c>
      <c r="AE800" s="761"/>
      <c r="AF800" s="772">
        <f>+H800/AD800*100</f>
        <v>46.531941031941017</v>
      </c>
      <c r="AG800" s="769"/>
      <c r="AH800" s="753"/>
      <c r="AI800" s="784">
        <f>+S800</f>
        <v>134.9</v>
      </c>
      <c r="AJ800" s="753"/>
      <c r="AK800" s="776">
        <f>AI800/AB800</f>
        <v>53.412521653056181</v>
      </c>
      <c r="AL800" s="753"/>
      <c r="AM800" s="779">
        <f>(AK800/AK793-1)*100</f>
        <v>-10.776810420462979</v>
      </c>
      <c r="AN800" s="761"/>
      <c r="AO800" s="753"/>
    </row>
    <row r="801" spans="1:41" hidden="1" outlineLevel="1">
      <c r="A801" s="753" t="str">
        <f>$A$29</f>
        <v>4Q</v>
      </c>
      <c r="B801" s="760" t="str">
        <f>$B$29</f>
        <v>Jan</v>
      </c>
      <c r="C801" s="753"/>
      <c r="D801" s="786">
        <f>(S801/S794-1)*100</f>
        <v>-7.468220338983067</v>
      </c>
      <c r="E801" s="753"/>
      <c r="F801" s="803">
        <v>-5</v>
      </c>
      <c r="G801" s="753"/>
      <c r="H801" s="786">
        <f>D801-F801</f>
        <v>-2.468220338983067</v>
      </c>
      <c r="I801" s="753"/>
      <c r="J801" s="775">
        <f>'store&amp;sf'!T104</f>
        <v>323</v>
      </c>
      <c r="K801" s="799"/>
      <c r="L801" s="788">
        <f>AVERAGE(J801,J800)</f>
        <v>327.5</v>
      </c>
      <c r="M801" s="753"/>
      <c r="N801" s="786">
        <f>(L801/L794-1)*100</f>
        <v>-4.6579330422125143</v>
      </c>
      <c r="O801" s="761"/>
      <c r="P801" s="787">
        <f>H801/N801*100</f>
        <v>52.989605402542765</v>
      </c>
      <c r="Q801" s="769"/>
      <c r="R801" s="753"/>
      <c r="S801" s="789">
        <f>'segSales&amp;OM'!AO97</f>
        <v>174.7</v>
      </c>
      <c r="T801" s="753"/>
      <c r="U801" s="790">
        <f>S801/L801</f>
        <v>0.53343511450381675</v>
      </c>
      <c r="V801" s="753"/>
      <c r="W801" s="791">
        <f>(U801/U794-1)*100</f>
        <v>-2.9475837753913825</v>
      </c>
      <c r="X801" s="761"/>
      <c r="Y801" s="753"/>
      <c r="Z801" s="780">
        <f>+'store&amp;sf'!T468</f>
        <v>2.4349999999999996</v>
      </c>
      <c r="AA801" s="799"/>
      <c r="AB801" s="792">
        <f>AVERAGE(Z801,Z800)</f>
        <v>2.4687499999999996</v>
      </c>
      <c r="AC801" s="753"/>
      <c r="AD801" s="786">
        <f>(AB801/AB794-1)*100</f>
        <v>-6.7736606089214169</v>
      </c>
      <c r="AE801" s="761"/>
      <c r="AF801" s="787">
        <f>+H801/AD801*100</f>
        <v>36.438500265753447</v>
      </c>
      <c r="AG801" s="769"/>
      <c r="AH801" s="753"/>
      <c r="AI801" s="789">
        <f>+S801</f>
        <v>174.7</v>
      </c>
      <c r="AJ801" s="753"/>
      <c r="AK801" s="788">
        <f>AI801/AB801</f>
        <v>70.764556962025324</v>
      </c>
      <c r="AL801" s="753"/>
      <c r="AM801" s="791">
        <f>(AK801/AK794-1)*100</f>
        <v>-0.74502520918258153</v>
      </c>
      <c r="AN801" s="761"/>
      <c r="AO801" s="753"/>
    </row>
    <row r="802" spans="1:41" hidden="1" outlineLevel="1">
      <c r="A802" s="753"/>
      <c r="B802" s="760" t="str">
        <f>$B$30</f>
        <v>Year</v>
      </c>
      <c r="C802" s="753"/>
      <c r="D802" s="802">
        <f>(S802/S795-1)*100</f>
        <v>-7.7218225419664162</v>
      </c>
      <c r="E802" s="753"/>
      <c r="F802" s="772">
        <f>+F798*S798/S802+F799*S799/S802+F800*S800/S802+F801*S801/S802</f>
        <v>-4.9941094941094937</v>
      </c>
      <c r="G802" s="753"/>
      <c r="H802" s="802">
        <f>D802-F802</f>
        <v>-2.7277130478569225</v>
      </c>
      <c r="I802" s="753"/>
      <c r="J802" s="753"/>
      <c r="K802" s="753"/>
      <c r="L802" s="793">
        <f>AVERAGE(L798:L801)</f>
        <v>334.75</v>
      </c>
      <c r="M802" s="753"/>
      <c r="N802" s="768">
        <f>(L802/L795-1)*100</f>
        <v>-3.5302593659942372</v>
      </c>
      <c r="O802" s="761"/>
      <c r="P802" s="772">
        <f>H802/N802*100</f>
        <v>77.266647151538919</v>
      </c>
      <c r="Q802" s="769"/>
      <c r="R802" s="753"/>
      <c r="S802" s="777">
        <f>SUM(S798:S801)</f>
        <v>577.20000000000005</v>
      </c>
      <c r="T802" s="753"/>
      <c r="U802" s="794">
        <f>SUM(U798:U801)</f>
        <v>1.7271696089795354</v>
      </c>
      <c r="V802" s="753"/>
      <c r="W802" s="779">
        <f>(U802/U795-1)*100</f>
        <v>-4.2672314808695155</v>
      </c>
      <c r="X802" s="761"/>
      <c r="Y802" s="753"/>
      <c r="Z802" s="770"/>
      <c r="AA802" s="753"/>
      <c r="AB802" s="781">
        <f>AVERAGE(AB798:AB801)</f>
        <v>2.5487499999999996</v>
      </c>
      <c r="AC802" s="753"/>
      <c r="AD802" s="768">
        <f>(AB802/AB795-1)*100</f>
        <v>-4.6026083396689899</v>
      </c>
      <c r="AE802" s="761"/>
      <c r="AF802" s="772">
        <f>+H802/AD802*100</f>
        <v>59.264504962268717</v>
      </c>
      <c r="AG802" s="769"/>
      <c r="AH802" s="753"/>
      <c r="AI802" s="777">
        <f>SUM(AI798:AI801)</f>
        <v>577.20000000000005</v>
      </c>
      <c r="AJ802" s="753"/>
      <c r="AK802" s="795">
        <f>SUM(AK798:AK801)</f>
        <v>227.05892100419737</v>
      </c>
      <c r="AL802" s="753"/>
      <c r="AM802" s="779">
        <f>(AK802/AK795-1)*100</f>
        <v>-3.0903458231773318</v>
      </c>
      <c r="AN802" s="761"/>
      <c r="AO802" s="753"/>
    </row>
    <row r="803" spans="1:41" hidden="1" outlineLevel="1">
      <c r="A803" s="753"/>
      <c r="B803" s="760"/>
      <c r="C803" s="753"/>
      <c r="D803" s="753"/>
      <c r="E803" s="753"/>
      <c r="F803" s="753"/>
      <c r="G803" s="753"/>
      <c r="H803" s="753"/>
      <c r="I803" s="753"/>
      <c r="J803" s="753"/>
      <c r="K803" s="753"/>
      <c r="L803" s="753"/>
      <c r="M803" s="753"/>
      <c r="N803" s="753"/>
      <c r="O803" s="761"/>
      <c r="P803" s="753"/>
      <c r="Q803" s="753"/>
      <c r="R803" s="753"/>
      <c r="S803" s="753"/>
      <c r="T803" s="753"/>
      <c r="U803" s="753"/>
      <c r="V803" s="753"/>
      <c r="W803" s="753"/>
      <c r="X803" s="753"/>
      <c r="Y803" s="753"/>
      <c r="Z803" s="753"/>
      <c r="AA803" s="753"/>
      <c r="AB803" s="753"/>
      <c r="AC803" s="753"/>
      <c r="AD803" s="753"/>
      <c r="AE803" s="761"/>
      <c r="AF803" s="753"/>
      <c r="AG803" s="753"/>
      <c r="AH803" s="753"/>
      <c r="AI803" s="753"/>
      <c r="AJ803" s="753"/>
      <c r="AK803" s="753"/>
      <c r="AL803" s="753"/>
      <c r="AM803" s="753"/>
      <c r="AN803" s="753"/>
      <c r="AO803" s="753"/>
    </row>
    <row r="804" spans="1:41" hidden="1" outlineLevel="1">
      <c r="A804" s="766"/>
      <c r="B804" s="804">
        <f>B797+1</f>
        <v>2005</v>
      </c>
      <c r="C804" s="753"/>
      <c r="D804" s="768"/>
      <c r="E804" s="773"/>
      <c r="F804" s="768"/>
      <c r="G804" s="773"/>
      <c r="H804" s="768"/>
      <c r="I804" s="761"/>
      <c r="J804" s="753"/>
      <c r="K804" s="753"/>
      <c r="L804" s="753"/>
      <c r="M804" s="753"/>
      <c r="N804" s="753"/>
      <c r="O804" s="761"/>
      <c r="P804" s="769"/>
      <c r="Q804" s="769"/>
      <c r="R804" s="753"/>
      <c r="S804" s="753"/>
      <c r="T804" s="753"/>
      <c r="U804" s="753"/>
      <c r="V804" s="753"/>
      <c r="W804" s="753"/>
      <c r="X804" s="761"/>
      <c r="Y804" s="753"/>
      <c r="Z804" s="770"/>
      <c r="AA804" s="753"/>
      <c r="AB804" s="771"/>
      <c r="AC804" s="753"/>
      <c r="AD804" s="753"/>
      <c r="AE804" s="761"/>
      <c r="AF804" s="772"/>
      <c r="AG804" s="769"/>
      <c r="AH804" s="753"/>
      <c r="AI804" s="753"/>
      <c r="AJ804" s="753"/>
      <c r="AK804" s="753"/>
      <c r="AL804" s="753"/>
      <c r="AM804" s="753"/>
      <c r="AN804" s="761"/>
      <c r="AO804" s="753"/>
    </row>
    <row r="805" spans="1:41" hidden="1" outlineLevel="1">
      <c r="A805" s="753" t="str">
        <f>$A$26</f>
        <v>1Q</v>
      </c>
      <c r="B805" s="760" t="str">
        <f>$B$26</f>
        <v>Apr</v>
      </c>
      <c r="C805" s="753"/>
      <c r="D805" s="768">
        <f>(S805/S798-1)*100</f>
        <v>-7.7412437455325334</v>
      </c>
      <c r="E805" s="773" t="s">
        <v>1084</v>
      </c>
      <c r="F805" s="811">
        <v>-6</v>
      </c>
      <c r="G805" s="773" t="s">
        <v>1084</v>
      </c>
      <c r="H805" s="768">
        <f>D805-F805</f>
        <v>-1.7412437455325334</v>
      </c>
      <c r="I805" s="761" t="s">
        <v>1084</v>
      </c>
      <c r="J805" s="775">
        <f>'store&amp;sf'!T107</f>
        <v>317</v>
      </c>
      <c r="K805" s="753"/>
      <c r="L805" s="776">
        <f>AVERAGE(J805,J801)</f>
        <v>320</v>
      </c>
      <c r="M805" s="753"/>
      <c r="N805" s="768">
        <f>(L805/L798-1)*100</f>
        <v>-6.0205580029368599</v>
      </c>
      <c r="O805" s="761" t="s">
        <v>1084</v>
      </c>
      <c r="P805" s="772">
        <f>H805/N805*100</f>
        <v>28.921633919698898</v>
      </c>
      <c r="Q805" s="769" t="s">
        <v>1084</v>
      </c>
      <c r="R805" s="753"/>
      <c r="S805" s="777">
        <f>'segSales&amp;OM'!AO101</f>
        <v>129.07</v>
      </c>
      <c r="T805" s="753"/>
      <c r="U805" s="794">
        <f>S805/L805</f>
        <v>0.40334375</v>
      </c>
      <c r="V805" s="753"/>
      <c r="W805" s="779">
        <f>(U805/U798-1)*100</f>
        <v>-1.8309171729807061</v>
      </c>
      <c r="X805" s="761" t="s">
        <v>1084</v>
      </c>
      <c r="Y805" s="753"/>
      <c r="Z805" s="780">
        <f>+'store&amp;sf'!T471</f>
        <v>2.3849999999999998</v>
      </c>
      <c r="AA805" s="753"/>
      <c r="AB805" s="781">
        <f>AVERAGE(Z805,Z801)</f>
        <v>2.4099999999999997</v>
      </c>
      <c r="AC805" s="753"/>
      <c r="AD805" s="768">
        <f>(AB805/AB798-1)*100</f>
        <v>-7.9933190169410695</v>
      </c>
      <c r="AE805" s="761" t="s">
        <v>1084</v>
      </c>
      <c r="AF805" s="772">
        <f>+H805/AD805*100</f>
        <v>21.783738917990576</v>
      </c>
      <c r="AG805" s="769" t="s">
        <v>1084</v>
      </c>
      <c r="AH805" s="753"/>
      <c r="AI805" s="777">
        <f>+S805</f>
        <v>129.07</v>
      </c>
      <c r="AJ805" s="753"/>
      <c r="AK805" s="795">
        <f>AI805/AB805</f>
        <v>53.556016597510379</v>
      </c>
      <c r="AL805" s="753"/>
      <c r="AM805" s="779">
        <f>(AK805/AK798-1)*100</f>
        <v>0.27397496433432256</v>
      </c>
      <c r="AN805" s="761" t="s">
        <v>1084</v>
      </c>
      <c r="AO805" s="753"/>
    </row>
    <row r="806" spans="1:41" hidden="1" outlineLevel="1">
      <c r="A806" s="753" t="str">
        <f>$A$27</f>
        <v>2Q</v>
      </c>
      <c r="B806" s="760" t="str">
        <f>$B$27</f>
        <v>Jul</v>
      </c>
      <c r="C806" s="753"/>
      <c r="D806" s="768">
        <f>(S806/S799-1)*100</f>
        <v>-5.2466718872357099</v>
      </c>
      <c r="E806" s="768"/>
      <c r="F806" s="772">
        <v>-2</v>
      </c>
      <c r="G806" s="768"/>
      <c r="H806" s="768">
        <f>D806-F806</f>
        <v>-3.2466718872357099</v>
      </c>
      <c r="I806" s="753"/>
      <c r="J806" s="775">
        <f>'store&amp;sf'!T108</f>
        <v>314</v>
      </c>
      <c r="K806" s="799"/>
      <c r="L806" s="776">
        <f>AVERAGE(J806,J805)</f>
        <v>315.5</v>
      </c>
      <c r="M806" s="753"/>
      <c r="N806" s="768">
        <f>(L806/L799-1)*100</f>
        <v>-6.5185185185185235</v>
      </c>
      <c r="O806" s="761"/>
      <c r="P806" s="772">
        <f>H806/N806*100</f>
        <v>49.806898270093235</v>
      </c>
      <c r="Q806" s="769"/>
      <c r="R806" s="753"/>
      <c r="S806" s="784">
        <f>'segSales&amp;OM'!AO102</f>
        <v>121</v>
      </c>
      <c r="T806" s="753"/>
      <c r="U806" s="785">
        <f>S806/L806</f>
        <v>0.38351822503961963</v>
      </c>
      <c r="V806" s="753"/>
      <c r="W806" s="779">
        <f>(U806/U799-1)*100</f>
        <v>1.3605332426559258</v>
      </c>
      <c r="X806" s="761"/>
      <c r="Y806" s="753"/>
      <c r="Z806" s="780">
        <f>+'store&amp;sf'!T472</f>
        <v>2.335</v>
      </c>
      <c r="AA806" s="799"/>
      <c r="AB806" s="781">
        <f>AVERAGE(Z806,Z805)</f>
        <v>2.36</v>
      </c>
      <c r="AC806" s="753"/>
      <c r="AD806" s="768">
        <f>(AB806/AB799-1)*100</f>
        <v>-8.5714285714285747</v>
      </c>
      <c r="AE806" s="761"/>
      <c r="AF806" s="772">
        <f>+H806/AD806*100</f>
        <v>37.877838684416595</v>
      </c>
      <c r="AG806" s="769"/>
      <c r="AH806" s="753"/>
      <c r="AI806" s="784">
        <f>+S806</f>
        <v>121</v>
      </c>
      <c r="AJ806" s="753"/>
      <c r="AK806" s="776">
        <f>AI806/AB806</f>
        <v>51.271186440677965</v>
      </c>
      <c r="AL806" s="753"/>
      <c r="AM806" s="779">
        <f>(AK806/AK799-1)*100</f>
        <v>3.6364526233359395</v>
      </c>
      <c r="AN806" s="761"/>
      <c r="AO806" s="753"/>
    </row>
    <row r="807" spans="1:41" hidden="1" outlineLevel="1">
      <c r="A807" s="753" t="str">
        <f>$A$28</f>
        <v>3Q</v>
      </c>
      <c r="B807" s="760" t="str">
        <f>$B$28</f>
        <v>Oct</v>
      </c>
      <c r="C807" s="753"/>
      <c r="D807" s="768">
        <f>(S807/S800-1)*100</f>
        <v>-3.1875463306152763</v>
      </c>
      <c r="E807" s="768"/>
      <c r="F807" s="772">
        <v>-3</v>
      </c>
      <c r="G807" s="768"/>
      <c r="H807" s="768">
        <f>D807-F807</f>
        <v>-0.18754633061527626</v>
      </c>
      <c r="I807" s="753"/>
      <c r="J807" s="775">
        <f>'store&amp;sf'!T109</f>
        <v>313</v>
      </c>
      <c r="K807" s="799"/>
      <c r="L807" s="776">
        <f>AVERAGE(J807,J806)</f>
        <v>313.5</v>
      </c>
      <c r="M807" s="753"/>
      <c r="N807" s="768">
        <f>(L807/L800-1)*100</f>
        <v>-5.9970014992503762</v>
      </c>
      <c r="O807" s="761"/>
      <c r="P807" s="772">
        <f>H807/N807*100</f>
        <v>3.1273350630097307</v>
      </c>
      <c r="Q807" s="769"/>
      <c r="R807" s="753"/>
      <c r="S807" s="784">
        <f>'segSales&amp;OM'!AO103</f>
        <v>130.6</v>
      </c>
      <c r="T807" s="753"/>
      <c r="U807" s="785">
        <f>S807/L807</f>
        <v>0.41658692185007973</v>
      </c>
      <c r="V807" s="753"/>
      <c r="W807" s="779">
        <f>(U807/U800-1)*100</f>
        <v>2.9886867583406751</v>
      </c>
      <c r="X807" s="761"/>
      <c r="Y807" s="753"/>
      <c r="Z807" s="780">
        <f>+'store&amp;sf'!T473</f>
        <v>2.3174999999999999</v>
      </c>
      <c r="AA807" s="799"/>
      <c r="AB807" s="781">
        <f>AVERAGE(Z807,Z806)</f>
        <v>2.3262499999999999</v>
      </c>
      <c r="AC807" s="753"/>
      <c r="AD807" s="768">
        <f>(AB807/AB800-1)*100</f>
        <v>-7.8940856223706941</v>
      </c>
      <c r="AE807" s="761"/>
      <c r="AF807" s="772">
        <f>+H807/AD807*100</f>
        <v>2.3757828276374044</v>
      </c>
      <c r="AG807" s="769"/>
      <c r="AH807" s="753"/>
      <c r="AI807" s="784">
        <f>+S807</f>
        <v>130.6</v>
      </c>
      <c r="AJ807" s="753"/>
      <c r="AK807" s="776">
        <f>AI807/AB807</f>
        <v>56.141859215475549</v>
      </c>
      <c r="AL807" s="753"/>
      <c r="AM807" s="779">
        <f>(AK807/AK800-1)*100</f>
        <v>5.1099208162234344</v>
      </c>
      <c r="AN807" s="761"/>
      <c r="AO807" s="753"/>
    </row>
    <row r="808" spans="1:41" hidden="1" outlineLevel="1">
      <c r="A808" s="753" t="str">
        <f>$A$29</f>
        <v>4Q</v>
      </c>
      <c r="B808" s="760" t="str">
        <f>$B$29</f>
        <v>Jan</v>
      </c>
      <c r="C808" s="753"/>
      <c r="D808" s="791">
        <f>(S808/S801-1)*100</f>
        <v>-5.8385804235832843</v>
      </c>
      <c r="E808" s="753"/>
      <c r="F808" s="787">
        <v>-1</v>
      </c>
      <c r="G808" s="753"/>
      <c r="H808" s="791">
        <f>D808-F808</f>
        <v>-4.8385804235832843</v>
      </c>
      <c r="I808" s="753"/>
      <c r="J808" s="775">
        <f>'store&amp;sf'!T110</f>
        <v>292</v>
      </c>
      <c r="K808" s="799"/>
      <c r="L808" s="788">
        <f>AVERAGE(J808,J807)</f>
        <v>302.5</v>
      </c>
      <c r="M808" s="753"/>
      <c r="N808" s="786">
        <f>(L808/L801-1)*100</f>
        <v>-7.6335877862595432</v>
      </c>
      <c r="O808" s="761"/>
      <c r="P808" s="805">
        <f>H808/N808*100</f>
        <v>63.385403548941014</v>
      </c>
      <c r="Q808" s="769"/>
      <c r="R808" s="753"/>
      <c r="S808" s="789">
        <f>'segSales&amp;OM'!AO104</f>
        <v>164.5</v>
      </c>
      <c r="T808" s="753"/>
      <c r="U808" s="790">
        <f>S808/L808</f>
        <v>0.54380165289256199</v>
      </c>
      <c r="V808" s="753"/>
      <c r="W808" s="791">
        <f>(U808/U801-1)*100</f>
        <v>1.9433550785999287</v>
      </c>
      <c r="X808" s="761"/>
      <c r="Y808" s="753"/>
      <c r="Z808" s="780">
        <f>+'store&amp;sf'!T474</f>
        <v>2.1462499999999998</v>
      </c>
      <c r="AA808" s="799"/>
      <c r="AB808" s="792">
        <f>AVERAGE(Z808,Z807)</f>
        <v>2.2318749999999996</v>
      </c>
      <c r="AC808" s="753"/>
      <c r="AD808" s="786">
        <f>(AB808/AB801-1)*100</f>
        <v>-9.5949367088607573</v>
      </c>
      <c r="AE808" s="761"/>
      <c r="AF808" s="787">
        <f>+H808/AD808*100</f>
        <v>50.428476710168802</v>
      </c>
      <c r="AG808" s="769"/>
      <c r="AH808" s="753"/>
      <c r="AI808" s="789">
        <f>+S808</f>
        <v>164.5</v>
      </c>
      <c r="AJ808" s="753"/>
      <c r="AK808" s="788">
        <f>AI808/AB808</f>
        <v>73.704844581349775</v>
      </c>
      <c r="AL808" s="753"/>
      <c r="AM808" s="791">
        <f>(AK808/AK801-1)*100</f>
        <v>4.1550286549554949</v>
      </c>
      <c r="AN808" s="761"/>
      <c r="AO808" s="753"/>
    </row>
    <row r="809" spans="1:41" hidden="1" outlineLevel="1">
      <c r="A809" s="753"/>
      <c r="B809" s="760" t="str">
        <f>$B$30</f>
        <v>Year</v>
      </c>
      <c r="C809" s="753"/>
      <c r="D809" s="802">
        <f>(S809/S802-1)*100</f>
        <v>-5.5492030492030668</v>
      </c>
      <c r="E809" s="753"/>
      <c r="F809" s="772">
        <f>+F805*S805/S809+F806*S806/S809+F807*S807/S809+F808*S808/S809</f>
        <v>-2.884824916998368</v>
      </c>
      <c r="G809" s="753"/>
      <c r="H809" s="802">
        <f>D809-F809</f>
        <v>-2.6643781322046989</v>
      </c>
      <c r="I809" s="753"/>
      <c r="J809" s="753"/>
      <c r="K809" s="753"/>
      <c r="L809" s="793">
        <f>AVERAGE(L805:L808)</f>
        <v>312.875</v>
      </c>
      <c r="M809" s="753"/>
      <c r="N809" s="768">
        <f>(L809/L802-1)*100</f>
        <v>-6.5347274085138185</v>
      </c>
      <c r="O809" s="761"/>
      <c r="P809" s="772">
        <f>H809/N809*100</f>
        <v>40.772597931681034</v>
      </c>
      <c r="Q809" s="769"/>
      <c r="R809" s="753"/>
      <c r="S809" s="777">
        <f>SUM(S805:S808)</f>
        <v>545.16999999999996</v>
      </c>
      <c r="T809" s="753"/>
      <c r="U809" s="794">
        <f>SUM(U805:U808)</f>
        <v>1.7472505497822612</v>
      </c>
      <c r="V809" s="753"/>
      <c r="W809" s="779">
        <f>(U809/U802-1)*100</f>
        <v>1.1626501936072398</v>
      </c>
      <c r="X809" s="761"/>
      <c r="Y809" s="753"/>
      <c r="Z809" s="770"/>
      <c r="AA809" s="753"/>
      <c r="AB809" s="781">
        <f>AVERAGE(AB805:AB808)</f>
        <v>2.33203125</v>
      </c>
      <c r="AC809" s="753"/>
      <c r="AD809" s="768">
        <f>(AB809/AB802-1)*100</f>
        <v>-8.502942618930831</v>
      </c>
      <c r="AE809" s="761"/>
      <c r="AF809" s="772">
        <f>+H809/AD809*100</f>
        <v>31.33477728372252</v>
      </c>
      <c r="AG809" s="769"/>
      <c r="AH809" s="753"/>
      <c r="AI809" s="777">
        <f>SUM(AI805:AI808)</f>
        <v>545.16999999999996</v>
      </c>
      <c r="AJ809" s="753"/>
      <c r="AK809" s="795">
        <f>SUM(AK805:AK808)</f>
        <v>234.67390683501367</v>
      </c>
      <c r="AL809" s="753"/>
      <c r="AM809" s="779">
        <f>(AK809/AK802-1)*100</f>
        <v>3.3537487966286639</v>
      </c>
      <c r="AN809" s="761"/>
      <c r="AO809" s="753"/>
    </row>
    <row r="810" spans="1:41" hidden="1" outlineLevel="1">
      <c r="A810" s="753"/>
      <c r="B810" s="760"/>
      <c r="C810" s="753"/>
      <c r="D810" s="753"/>
      <c r="E810" s="753"/>
      <c r="F810" s="772"/>
      <c r="G810" s="753"/>
      <c r="H810" s="753"/>
      <c r="I810" s="753"/>
      <c r="J810" s="753"/>
      <c r="K810" s="753"/>
      <c r="L810" s="753"/>
      <c r="M810" s="753"/>
      <c r="N810" s="753"/>
      <c r="O810" s="761"/>
      <c r="P810" s="753"/>
      <c r="Q810" s="753"/>
      <c r="R810" s="753"/>
      <c r="S810" s="753"/>
      <c r="T810" s="753"/>
      <c r="U810" s="753"/>
      <c r="V810" s="753"/>
      <c r="W810" s="753"/>
      <c r="X810" s="753"/>
      <c r="Y810" s="753"/>
      <c r="Z810" s="753"/>
      <c r="AA810" s="753"/>
      <c r="AB810" s="753"/>
      <c r="AC810" s="753"/>
      <c r="AD810" s="753"/>
      <c r="AE810" s="761"/>
      <c r="AF810" s="753"/>
      <c r="AG810" s="753"/>
      <c r="AH810" s="753"/>
      <c r="AI810" s="753"/>
      <c r="AJ810" s="753"/>
      <c r="AK810" s="753"/>
      <c r="AL810" s="753"/>
      <c r="AM810" s="753"/>
      <c r="AN810" s="753"/>
      <c r="AO810" s="753"/>
    </row>
    <row r="811" spans="1:41" hidden="1" outlineLevel="1">
      <c r="A811" s="766"/>
      <c r="B811" s="804">
        <f>B804+1</f>
        <v>2006</v>
      </c>
      <c r="C811" s="753"/>
      <c r="D811" s="768"/>
      <c r="E811" s="773"/>
      <c r="F811" s="772"/>
      <c r="G811" s="773"/>
      <c r="H811" s="768"/>
      <c r="I811" s="761"/>
      <c r="J811" s="753"/>
      <c r="K811" s="753"/>
      <c r="L811" s="753"/>
      <c r="M811" s="753"/>
      <c r="N811" s="753"/>
      <c r="O811" s="761"/>
      <c r="P811" s="769"/>
      <c r="Q811" s="769"/>
      <c r="R811" s="753"/>
      <c r="S811" s="753"/>
      <c r="T811" s="753"/>
      <c r="U811" s="753"/>
      <c r="V811" s="753"/>
      <c r="W811" s="753"/>
      <c r="X811" s="761"/>
      <c r="Y811" s="753"/>
      <c r="Z811" s="770"/>
      <c r="AA811" s="753"/>
      <c r="AB811" s="771"/>
      <c r="AC811" s="753"/>
      <c r="AD811" s="753"/>
      <c r="AE811" s="761"/>
      <c r="AF811" s="772"/>
      <c r="AG811" s="769"/>
      <c r="AH811" s="753"/>
      <c r="AI811" s="753"/>
      <c r="AJ811" s="753"/>
      <c r="AK811" s="753"/>
      <c r="AL811" s="753"/>
      <c r="AM811" s="753"/>
      <c r="AN811" s="761"/>
      <c r="AO811" s="753"/>
    </row>
    <row r="812" spans="1:41" hidden="1" outlineLevel="1">
      <c r="A812" s="753" t="str">
        <f>$A$26</f>
        <v>1Q</v>
      </c>
      <c r="B812" s="760" t="str">
        <f>$B$26</f>
        <v>Apr</v>
      </c>
      <c r="C812" s="753"/>
      <c r="D812" s="768">
        <f>(S812/S805-1)*100</f>
        <v>-13.922677616797085</v>
      </c>
      <c r="E812" s="773" t="s">
        <v>1084</v>
      </c>
      <c r="F812" s="774">
        <v>-7</v>
      </c>
      <c r="G812" s="773" t="s">
        <v>1084</v>
      </c>
      <c r="H812" s="768">
        <f>D812-F812</f>
        <v>-6.9226776167970847</v>
      </c>
      <c r="I812" s="761" t="s">
        <v>1084</v>
      </c>
      <c r="J812" s="775">
        <f>'store&amp;sf'!T113</f>
        <v>288</v>
      </c>
      <c r="K812" s="753"/>
      <c r="L812" s="776">
        <f>AVERAGE(J812,J808)</f>
        <v>290</v>
      </c>
      <c r="M812" s="753"/>
      <c r="N812" s="768">
        <f>(L812/L805-1)*100</f>
        <v>-9.375</v>
      </c>
      <c r="O812" s="761" t="s">
        <v>1084</v>
      </c>
      <c r="P812" s="772">
        <f>H812/N812*100</f>
        <v>73.841894579168894</v>
      </c>
      <c r="Q812" s="769" t="s">
        <v>1084</v>
      </c>
      <c r="R812" s="753"/>
      <c r="S812" s="777">
        <f>'segSales&amp;OM'!AO115</f>
        <v>111.1</v>
      </c>
      <c r="T812" s="753"/>
      <c r="U812" s="794">
        <f>S812/L812</f>
        <v>0.38310344827586207</v>
      </c>
      <c r="V812" s="753"/>
      <c r="W812" s="779">
        <f>(U812/U805-1)*100</f>
        <v>-5.0181270254312738</v>
      </c>
      <c r="X812" s="761" t="s">
        <v>1084</v>
      </c>
      <c r="Y812" s="753"/>
      <c r="Z812" s="780">
        <f>'store&amp;sf'!T477</f>
        <v>2.11</v>
      </c>
      <c r="AA812" s="753"/>
      <c r="AB812" s="781">
        <f>AVERAGE(Z812,Z808)</f>
        <v>2.1281249999999998</v>
      </c>
      <c r="AC812" s="753"/>
      <c r="AD812" s="768">
        <f>(AB812/AB805-1)*100</f>
        <v>-11.696058091286298</v>
      </c>
      <c r="AE812" s="761" t="s">
        <v>1084</v>
      </c>
      <c r="AF812" s="772">
        <f>+H812/AD812*100</f>
        <v>59.18812614272634</v>
      </c>
      <c r="AG812" s="769" t="s">
        <v>1084</v>
      </c>
      <c r="AH812" s="753"/>
      <c r="AI812" s="777">
        <f>+S812</f>
        <v>111.1</v>
      </c>
      <c r="AJ812" s="753"/>
      <c r="AK812" s="795">
        <f>AI812/AB812</f>
        <v>52.205580029368576</v>
      </c>
      <c r="AL812" s="753"/>
      <c r="AM812" s="779">
        <f>(AK812/AK805-1)*100</f>
        <v>-2.5215403495945976</v>
      </c>
      <c r="AN812" s="761" t="s">
        <v>1084</v>
      </c>
      <c r="AO812" s="753"/>
    </row>
    <row r="813" spans="1:41" hidden="1" outlineLevel="1">
      <c r="A813" s="753" t="str">
        <f>$A$27</f>
        <v>2Q</v>
      </c>
      <c r="B813" s="760" t="str">
        <f>$B$27</f>
        <v>Jul</v>
      </c>
      <c r="C813" s="753"/>
      <c r="D813" s="768">
        <f>(S813/S806-1)*100</f>
        <v>-10.578512396694217</v>
      </c>
      <c r="E813" s="768"/>
      <c r="F813" s="772">
        <v>-4</v>
      </c>
      <c r="G813" s="768"/>
      <c r="H813" s="768">
        <f>D813-F813</f>
        <v>-6.5785123966942169</v>
      </c>
      <c r="I813" s="753"/>
      <c r="J813" s="775">
        <f>'store&amp;sf'!T114</f>
        <v>277</v>
      </c>
      <c r="K813" s="799"/>
      <c r="L813" s="776">
        <f>AVERAGE(J813,J812)</f>
        <v>282.5</v>
      </c>
      <c r="M813" s="753"/>
      <c r="N813" s="768">
        <f>(L813/L806-1)*100</f>
        <v>-10.459587955625993</v>
      </c>
      <c r="O813" s="761"/>
      <c r="P813" s="772">
        <f>H813/N813*100</f>
        <v>62.894565489606812</v>
      </c>
      <c r="Q813" s="769"/>
      <c r="R813" s="753"/>
      <c r="S813" s="784">
        <f>'segSales&amp;OM'!AO116</f>
        <v>108.2</v>
      </c>
      <c r="T813" s="753"/>
      <c r="U813" s="785">
        <f>S813/L813</f>
        <v>0.38300884955752212</v>
      </c>
      <c r="V813" s="753"/>
      <c r="W813" s="779">
        <f>(U813/U806-1)*100</f>
        <v>-0.13281649967087361</v>
      </c>
      <c r="X813" s="761"/>
      <c r="Y813" s="753"/>
      <c r="Z813" s="780">
        <f>+'store&amp;sf'!T478</f>
        <v>2.0150000000000001</v>
      </c>
      <c r="AA813" s="799"/>
      <c r="AB813" s="781">
        <f>AVERAGE(Z813,Z812)</f>
        <v>2.0625</v>
      </c>
      <c r="AC813" s="753"/>
      <c r="AD813" s="768">
        <f>(AB813/AB806-1)*100</f>
        <v>-12.605932203389825</v>
      </c>
      <c r="AE813" s="761"/>
      <c r="AF813" s="772">
        <f>+H813/AD813*100</f>
        <v>52.18584623932221</v>
      </c>
      <c r="AG813" s="769"/>
      <c r="AH813" s="753"/>
      <c r="AI813" s="784">
        <f>+S813</f>
        <v>108.2</v>
      </c>
      <c r="AJ813" s="753"/>
      <c r="AK813" s="776">
        <f>AI813/AB813</f>
        <v>52.460606060606061</v>
      </c>
      <c r="AL813" s="753"/>
      <c r="AM813" s="779">
        <f>(AK813/AK806-1)*100</f>
        <v>2.3198597545704969</v>
      </c>
      <c r="AN813" s="761"/>
      <c r="AO813" s="753"/>
    </row>
    <row r="814" spans="1:41" hidden="1" outlineLevel="1">
      <c r="A814" s="753" t="str">
        <f>$A$28</f>
        <v>3Q</v>
      </c>
      <c r="B814" s="760" t="str">
        <f>$B$28</f>
        <v>Oct</v>
      </c>
      <c r="C814" s="753"/>
      <c r="D814" s="768">
        <f>(S814/S807-1)*100</f>
        <v>-8.7289433384379773</v>
      </c>
      <c r="E814" s="768"/>
      <c r="F814" s="772">
        <v>-2</v>
      </c>
      <c r="G814" s="768"/>
      <c r="H814" s="768">
        <f>D814-F814</f>
        <v>-6.7289433384379773</v>
      </c>
      <c r="I814" s="753"/>
      <c r="J814" s="775">
        <f>'store&amp;sf'!T115</f>
        <v>276</v>
      </c>
      <c r="K814" s="799"/>
      <c r="L814" s="776">
        <f>AVERAGE(J814,J813)</f>
        <v>276.5</v>
      </c>
      <c r="M814" s="753"/>
      <c r="N814" s="768">
        <f>(L814/L807-1)*100</f>
        <v>-11.802232854864435</v>
      </c>
      <c r="O814" s="761"/>
      <c r="P814" s="772">
        <f>H814/N814*100</f>
        <v>57.014155043251499</v>
      </c>
      <c r="Q814" s="769"/>
      <c r="R814" s="753"/>
      <c r="S814" s="784">
        <f>'segSales&amp;OM'!AO117</f>
        <v>119.2</v>
      </c>
      <c r="T814" s="753"/>
      <c r="U814" s="785">
        <f>S814/L814</f>
        <v>0.43110307414104881</v>
      </c>
      <c r="V814" s="753"/>
      <c r="W814" s="779">
        <f>(U814/U807-1)*100</f>
        <v>3.4845434481001636</v>
      </c>
      <c r="X814" s="761"/>
      <c r="Y814" s="753"/>
      <c r="Z814" s="780">
        <f>+'store&amp;sf'!T479</f>
        <v>1.9937499999999999</v>
      </c>
      <c r="AA814" s="799"/>
      <c r="AB814" s="781">
        <f>AVERAGE(Z814,Z813)</f>
        <v>2.004375</v>
      </c>
      <c r="AC814" s="753"/>
      <c r="AD814" s="768">
        <f>(AB814/AB807-1)*100</f>
        <v>-13.836646963997845</v>
      </c>
      <c r="AE814" s="761"/>
      <c r="AF814" s="772">
        <f>+H814/AD814*100</f>
        <v>48.631314768283808</v>
      </c>
      <c r="AG814" s="769"/>
      <c r="AH814" s="753"/>
      <c r="AI814" s="784">
        <f>+S814</f>
        <v>119.2</v>
      </c>
      <c r="AJ814" s="753"/>
      <c r="AK814" s="776">
        <f>AI814/AB814</f>
        <v>59.469909572809478</v>
      </c>
      <c r="AL814" s="753"/>
      <c r="AM814" s="779">
        <f>(AK814/AK807-1)*100</f>
        <v>5.9279304316600667</v>
      </c>
      <c r="AN814" s="761"/>
      <c r="AO814" s="753"/>
    </row>
    <row r="815" spans="1:41" hidden="1" outlineLevel="1">
      <c r="A815" s="753" t="str">
        <f>$A$29</f>
        <v>4Q</v>
      </c>
      <c r="B815" s="760" t="str">
        <f>$B$29</f>
        <v>Jan</v>
      </c>
      <c r="C815" s="753"/>
      <c r="D815" s="791">
        <f>(S815/S808-1)*100</f>
        <v>-5.83586626139817</v>
      </c>
      <c r="E815" s="753"/>
      <c r="F815" s="787">
        <v>-4</v>
      </c>
      <c r="G815" s="753"/>
      <c r="H815" s="791">
        <f>D815-F815</f>
        <v>-1.83586626139817</v>
      </c>
      <c r="I815" s="753"/>
      <c r="J815" s="775">
        <f>'store&amp;sf'!T116</f>
        <v>260</v>
      </c>
      <c r="K815" s="799"/>
      <c r="L815" s="788">
        <f>AVERAGE(J815,J814)</f>
        <v>268</v>
      </c>
      <c r="M815" s="753"/>
      <c r="N815" s="786">
        <f>(L815/L808-1)*100</f>
        <v>-11.404958677685951</v>
      </c>
      <c r="O815" s="761"/>
      <c r="P815" s="805">
        <f>H815/N815*100</f>
        <v>16.097088233998448</v>
      </c>
      <c r="Q815" s="769"/>
      <c r="R815" s="753"/>
      <c r="S815" s="789">
        <f>'segSales&amp;OM'!AO118</f>
        <v>154.9</v>
      </c>
      <c r="T815" s="753"/>
      <c r="U815" s="790">
        <f>S815/L815</f>
        <v>0.57798507462686566</v>
      </c>
      <c r="V815" s="753"/>
      <c r="W815" s="791">
        <f>(U815/U808-1)*100</f>
        <v>6.2860091639069138</v>
      </c>
      <c r="X815" s="761"/>
      <c r="Y815" s="753"/>
      <c r="Z815" s="780">
        <f>+'store&amp;sf'!T480</f>
        <v>1.8699999999999999</v>
      </c>
      <c r="AA815" s="799"/>
      <c r="AB815" s="792">
        <f>AVERAGE(Z815,Z814)</f>
        <v>1.9318749999999998</v>
      </c>
      <c r="AC815" s="753"/>
      <c r="AD815" s="786">
        <f>(AB815/AB808-1)*100</f>
        <v>-13.441612993559227</v>
      </c>
      <c r="AE815" s="761"/>
      <c r="AF815" s="787">
        <f>+H815/AD815*100</f>
        <v>13.658080040526801</v>
      </c>
      <c r="AG815" s="769"/>
      <c r="AH815" s="753"/>
      <c r="AI815" s="789">
        <f>+S815</f>
        <v>154.9</v>
      </c>
      <c r="AJ815" s="753"/>
      <c r="AK815" s="788">
        <f>AI815/AB815</f>
        <v>80.181171142025249</v>
      </c>
      <c r="AL815" s="753"/>
      <c r="AM815" s="791">
        <f>(AK815/AK808-1)*100</f>
        <v>8.7868397219498906</v>
      </c>
      <c r="AN815" s="761"/>
      <c r="AO815" s="753"/>
    </row>
    <row r="816" spans="1:41" hidden="1" outlineLevel="1">
      <c r="A816" s="753"/>
      <c r="B816" s="760" t="str">
        <f>$B$30</f>
        <v>Year</v>
      </c>
      <c r="C816" s="753"/>
      <c r="D816" s="802">
        <f>(S816/S809-1)*100</f>
        <v>-9.4961204761817353</v>
      </c>
      <c r="E816" s="753"/>
      <c r="F816" s="772">
        <f>+F812*S812/S816+F813*S813/S816+F814*S814/S816+F815*S815/S816</f>
        <v>-4.1923388731252533</v>
      </c>
      <c r="G816" s="753"/>
      <c r="H816" s="802">
        <f>D816-F816</f>
        <v>-5.3037816030564819</v>
      </c>
      <c r="I816" s="753"/>
      <c r="J816" s="753"/>
      <c r="K816" s="753"/>
      <c r="L816" s="793">
        <f>AVERAGE(L812:L815)</f>
        <v>279.25</v>
      </c>
      <c r="M816" s="753"/>
      <c r="N816" s="768">
        <f>(L816/L809-1)*100</f>
        <v>-10.747103475829</v>
      </c>
      <c r="O816" s="761"/>
      <c r="P816" s="772">
        <f>H816/N816*100</f>
        <v>49.350800566730044</v>
      </c>
      <c r="Q816" s="769"/>
      <c r="R816" s="753"/>
      <c r="S816" s="777">
        <f>SUM(S812:S815)</f>
        <v>493.4</v>
      </c>
      <c r="T816" s="753"/>
      <c r="U816" s="794">
        <f>SUM(U812:U815)</f>
        <v>1.7752004466012985</v>
      </c>
      <c r="V816" s="753"/>
      <c r="W816" s="779">
        <f>(U816/U809-1)*100</f>
        <v>1.5996501945596986</v>
      </c>
      <c r="X816" s="761"/>
      <c r="Y816" s="753"/>
      <c r="Z816" s="770"/>
      <c r="AA816" s="753"/>
      <c r="AB816" s="781">
        <f>AVERAGE(AB812:AB815)</f>
        <v>2.03171875</v>
      </c>
      <c r="AC816" s="753"/>
      <c r="AD816" s="768">
        <f>(AB816/AB809-1)*100</f>
        <v>-12.87772194304857</v>
      </c>
      <c r="AE816" s="761"/>
      <c r="AF816" s="772">
        <f>+H816/AD816*100</f>
        <v>41.185713020612916</v>
      </c>
      <c r="AG816" s="769"/>
      <c r="AH816" s="753"/>
      <c r="AI816" s="777">
        <f>SUM(AI812:AI815)</f>
        <v>493.4</v>
      </c>
      <c r="AJ816" s="753"/>
      <c r="AK816" s="795">
        <f>SUM(AK812:AK815)</f>
        <v>244.31726680480938</v>
      </c>
      <c r="AL816" s="753"/>
      <c r="AM816" s="779">
        <f>(AK816/AK809-1)*100</f>
        <v>4.1092595678204002</v>
      </c>
      <c r="AN816" s="761"/>
      <c r="AO816" s="753"/>
    </row>
    <row r="817" spans="1:41" hidden="1" outlineLevel="1">
      <c r="A817" s="753"/>
      <c r="B817" s="760"/>
      <c r="C817" s="753"/>
      <c r="D817" s="802"/>
      <c r="E817" s="753"/>
      <c r="F817" s="772"/>
      <c r="G817" s="753"/>
      <c r="H817" s="802"/>
      <c r="I817" s="753"/>
      <c r="J817" s="753"/>
      <c r="K817" s="753"/>
      <c r="L817" s="793"/>
      <c r="M817" s="753"/>
      <c r="N817" s="768"/>
      <c r="O817" s="761"/>
      <c r="P817" s="772"/>
      <c r="Q817" s="769"/>
      <c r="R817" s="753"/>
      <c r="S817" s="777"/>
      <c r="T817" s="753"/>
      <c r="U817" s="794"/>
      <c r="V817" s="753"/>
      <c r="W817" s="779"/>
      <c r="X817" s="761"/>
      <c r="Y817" s="753"/>
      <c r="Z817" s="770"/>
      <c r="AA817" s="753"/>
      <c r="AB817" s="781"/>
      <c r="AC817" s="753"/>
      <c r="AD817" s="768"/>
      <c r="AE817" s="761"/>
      <c r="AF817" s="772"/>
      <c r="AG817" s="769"/>
      <c r="AH817" s="753"/>
      <c r="AI817" s="777"/>
      <c r="AJ817" s="753"/>
      <c r="AK817" s="795"/>
      <c r="AL817" s="753"/>
      <c r="AM817" s="779"/>
      <c r="AN817" s="761"/>
      <c r="AO817" s="753"/>
    </row>
    <row r="818" spans="1:41" hidden="1" outlineLevel="2">
      <c r="A818" s="766"/>
      <c r="B818" s="807">
        <f>B811+1</f>
        <v>2007</v>
      </c>
      <c r="C818" s="753"/>
      <c r="D818" s="768"/>
      <c r="E818" s="773"/>
      <c r="F818" s="768"/>
      <c r="G818" s="773"/>
      <c r="H818" s="768"/>
      <c r="I818" s="761"/>
      <c r="J818" s="753"/>
      <c r="K818" s="753"/>
      <c r="L818" s="753"/>
      <c r="M818" s="753"/>
      <c r="N818" s="753"/>
      <c r="O818" s="761"/>
      <c r="P818" s="769"/>
      <c r="Q818" s="769"/>
      <c r="R818" s="753"/>
      <c r="S818" s="753"/>
      <c r="T818" s="753"/>
      <c r="U818" s="753"/>
      <c r="V818" s="753"/>
      <c r="W818" s="753"/>
      <c r="X818" s="761"/>
      <c r="Y818" s="753"/>
      <c r="Z818" s="770"/>
      <c r="AA818" s="753"/>
      <c r="AB818" s="771"/>
      <c r="AC818" s="753"/>
      <c r="AD818" s="753"/>
      <c r="AE818" s="761"/>
      <c r="AF818" s="772"/>
      <c r="AG818" s="769"/>
      <c r="AH818" s="753"/>
      <c r="AI818" s="753"/>
      <c r="AJ818" s="753"/>
      <c r="AK818" s="753"/>
      <c r="AL818" s="753"/>
      <c r="AM818" s="753"/>
      <c r="AN818" s="761"/>
      <c r="AO818" s="753"/>
    </row>
    <row r="819" spans="1:41" hidden="1" outlineLevel="2">
      <c r="A819" s="753" t="str">
        <f>$A$26</f>
        <v>1Q</v>
      </c>
      <c r="B819" s="760" t="str">
        <f>$B$26</f>
        <v>Apr</v>
      </c>
      <c r="C819" s="753"/>
      <c r="D819" s="768">
        <f>(S819/S812-1)*100</f>
        <v>-9.0009000900082015E-2</v>
      </c>
      <c r="E819" s="773" t="s">
        <v>1084</v>
      </c>
      <c r="F819" s="774">
        <v>4</v>
      </c>
      <c r="G819" s="773" t="s">
        <v>1084</v>
      </c>
      <c r="H819" s="768">
        <f>D819-F819</f>
        <v>-4.090009000900082</v>
      </c>
      <c r="I819" s="761" t="s">
        <v>1084</v>
      </c>
      <c r="J819" s="775">
        <f>'store&amp;sf'!T119</f>
        <v>253</v>
      </c>
      <c r="K819" s="753"/>
      <c r="L819" s="776">
        <f>AVERAGE(J819,J815)</f>
        <v>256.5</v>
      </c>
      <c r="M819" s="753"/>
      <c r="N819" s="768">
        <f>(L819/L812-1)*100</f>
        <v>-11.55172413793103</v>
      </c>
      <c r="O819" s="761" t="s">
        <v>1084</v>
      </c>
      <c r="P819" s="772">
        <f>H819/N819*100</f>
        <v>35.406048067493259</v>
      </c>
      <c r="Q819" s="769" t="s">
        <v>1084</v>
      </c>
      <c r="R819" s="753"/>
      <c r="S819" s="777">
        <f>'segSales&amp;OM'!AO122</f>
        <v>111</v>
      </c>
      <c r="T819" s="753"/>
      <c r="U819" s="794">
        <f>S819/L819</f>
        <v>0.43274853801169588</v>
      </c>
      <c r="V819" s="753"/>
      <c r="W819" s="779">
        <f>(U819/U812-1)*100</f>
        <v>12.95866428748138</v>
      </c>
      <c r="X819" s="761" t="s">
        <v>1084</v>
      </c>
      <c r="Y819" s="753"/>
      <c r="Z819" s="780">
        <f>'store&amp;sf'!T483</f>
        <v>1.79125</v>
      </c>
      <c r="AA819" s="753"/>
      <c r="AB819" s="781">
        <f>AVERAGE(Z819,Z815)</f>
        <v>1.8306249999999999</v>
      </c>
      <c r="AC819" s="753"/>
      <c r="AD819" s="768">
        <f>(AB819/AB812-1)*100</f>
        <v>-13.979441997063136</v>
      </c>
      <c r="AE819" s="761" t="s">
        <v>1084</v>
      </c>
      <c r="AF819" s="772">
        <f>+H819/AD819*100</f>
        <v>29.257312285850389</v>
      </c>
      <c r="AG819" s="769" t="s">
        <v>1084</v>
      </c>
      <c r="AH819" s="753"/>
      <c r="AI819" s="777">
        <f>+S819</f>
        <v>111</v>
      </c>
      <c r="AJ819" s="753"/>
      <c r="AK819" s="795">
        <f>AI819/AB819</f>
        <v>60.635029020143392</v>
      </c>
      <c r="AL819" s="753"/>
      <c r="AM819" s="779">
        <f>(AK819/AK812-1)*100</f>
        <v>16.14664368451184</v>
      </c>
      <c r="AN819" s="761" t="s">
        <v>1084</v>
      </c>
      <c r="AO819" s="753"/>
    </row>
    <row r="820" spans="1:41" hidden="1" outlineLevel="2">
      <c r="A820" s="753" t="str">
        <f>$A$27</f>
        <v>2Q</v>
      </c>
      <c r="B820" s="760" t="str">
        <f>$B$27</f>
        <v>Jul</v>
      </c>
      <c r="C820" s="753"/>
      <c r="D820" s="768">
        <f>(S820/S813-1)*100</f>
        <v>-8.0406654343807773</v>
      </c>
      <c r="E820" s="768"/>
      <c r="F820" s="800">
        <v>3</v>
      </c>
      <c r="G820" s="768"/>
      <c r="H820" s="768">
        <f>D820-F820</f>
        <v>-11.040665434380777</v>
      </c>
      <c r="I820" s="753"/>
      <c r="J820" s="775">
        <f>'store&amp;sf'!T120</f>
        <v>246</v>
      </c>
      <c r="K820" s="799"/>
      <c r="L820" s="776">
        <f>AVERAGE(J820,J819)</f>
        <v>249.5</v>
      </c>
      <c r="M820" s="753"/>
      <c r="N820" s="768">
        <f>(L820/L813-1)*100</f>
        <v>-11.681415929203542</v>
      </c>
      <c r="O820" s="761"/>
      <c r="P820" s="800">
        <f>H820/N820*100</f>
        <v>94.51478743068391</v>
      </c>
      <c r="Q820" s="769"/>
      <c r="R820" s="753"/>
      <c r="S820" s="784">
        <f>'segSales&amp;OM'!AO123</f>
        <v>99.5</v>
      </c>
      <c r="T820" s="753"/>
      <c r="U820" s="785">
        <f>S820/L820</f>
        <v>0.39879759519038077</v>
      </c>
      <c r="V820" s="753"/>
      <c r="W820" s="779">
        <f>(U820/U813-1)*100</f>
        <v>4.1222926444385966</v>
      </c>
      <c r="X820" s="761"/>
      <c r="Y820" s="753"/>
      <c r="Z820" s="780">
        <f>'store&amp;sf'!T484</f>
        <v>1.7154374999999999</v>
      </c>
      <c r="AA820" s="799"/>
      <c r="AB820" s="781">
        <f>AVERAGE(Z820,Z819)</f>
        <v>1.75334375</v>
      </c>
      <c r="AC820" s="753"/>
      <c r="AD820" s="768">
        <f>(AB820/AB813-1)*100</f>
        <v>-14.989393939393935</v>
      </c>
      <c r="AE820" s="761"/>
      <c r="AF820" s="772">
        <f>+H820/AD820*100</f>
        <v>73.656516594474013</v>
      </c>
      <c r="AG820" s="769"/>
      <c r="AH820" s="753"/>
      <c r="AI820" s="784">
        <f>+S820</f>
        <v>99.5</v>
      </c>
      <c r="AJ820" s="753"/>
      <c r="AK820" s="776">
        <f>AI820/AB820</f>
        <v>56.748712281889958</v>
      </c>
      <c r="AL820" s="753"/>
      <c r="AM820" s="779">
        <f>(AK820/AK813-1)*100</f>
        <v>8.1739547887227602</v>
      </c>
      <c r="AN820" s="761"/>
      <c r="AO820" s="753"/>
    </row>
    <row r="821" spans="1:41" hidden="1" outlineLevel="2">
      <c r="A821" s="753" t="str">
        <f>$A$28</f>
        <v>3Q</v>
      </c>
      <c r="B821" s="760" t="str">
        <f>$B$28</f>
        <v>Oct</v>
      </c>
      <c r="C821" s="753"/>
      <c r="D821" s="768">
        <f>F821+H821</f>
        <v>-2.6057866184448475</v>
      </c>
      <c r="E821" s="768"/>
      <c r="F821" s="812">
        <v>3</v>
      </c>
      <c r="G821" s="768"/>
      <c r="H821" s="768">
        <f>N821*P821/100</f>
        <v>-5.6057866184448475</v>
      </c>
      <c r="I821" s="753"/>
      <c r="J821" s="775">
        <f>'store&amp;sf'!T121</f>
        <v>245</v>
      </c>
      <c r="K821" s="799"/>
      <c r="L821" s="776">
        <f>AVERAGE(J821,J820)</f>
        <v>245.5</v>
      </c>
      <c r="M821" s="753"/>
      <c r="N821" s="768">
        <f>(L821/L814-1)*100</f>
        <v>-11.211573236889693</v>
      </c>
      <c r="O821" s="761"/>
      <c r="P821" s="808">
        <v>50</v>
      </c>
      <c r="Q821" s="769"/>
      <c r="R821" s="753"/>
      <c r="S821" s="784">
        <f>S814*(1+D821/100)</f>
        <v>116.09390235081374</v>
      </c>
      <c r="T821" s="753"/>
      <c r="U821" s="785">
        <f>S821/L821</f>
        <v>0.47288758595036146</v>
      </c>
      <c r="V821" s="753"/>
      <c r="W821" s="779">
        <f>(U821/U814-1)*100</f>
        <v>9.6924643584521455</v>
      </c>
      <c r="X821" s="761"/>
      <c r="Y821" s="753"/>
      <c r="Z821" s="780">
        <f>'store&amp;sf'!T485</f>
        <v>1.6861249999999999</v>
      </c>
      <c r="AA821" s="799"/>
      <c r="AB821" s="781">
        <f>AVERAGE(Z821,Z820)</f>
        <v>1.7007812499999999</v>
      </c>
      <c r="AC821" s="753"/>
      <c r="AD821" s="768">
        <f>(AB821/AB814-1)*100</f>
        <v>-15.146554412223267</v>
      </c>
      <c r="AE821" s="761"/>
      <c r="AF821" s="772">
        <f>+H821/AD821*100</f>
        <v>37.010309182403745</v>
      </c>
      <c r="AG821" s="769"/>
      <c r="AH821" s="753"/>
      <c r="AI821" s="784">
        <f>+S821</f>
        <v>116.09390235081374</v>
      </c>
      <c r="AJ821" s="753"/>
      <c r="AK821" s="776">
        <f>AI821/AB821</f>
        <v>68.259161694552873</v>
      </c>
      <c r="AL821" s="753"/>
      <c r="AM821" s="779">
        <f>(AK821/AK814-1)*100</f>
        <v>14.779326528120308</v>
      </c>
      <c r="AN821" s="761"/>
      <c r="AO821" s="753"/>
    </row>
    <row r="822" spans="1:41" hidden="1" outlineLevel="2">
      <c r="A822" s="753" t="str">
        <f>$A$29</f>
        <v>4Q</v>
      </c>
      <c r="B822" s="760" t="str">
        <f>$B$29</f>
        <v>Jan</v>
      </c>
      <c r="C822" s="753"/>
      <c r="D822" s="791">
        <f>F822+H822</f>
        <v>-2.9514925373134346</v>
      </c>
      <c r="E822" s="753"/>
      <c r="F822" s="813">
        <v>3</v>
      </c>
      <c r="G822" s="753"/>
      <c r="H822" s="791">
        <f>N822*P822/100</f>
        <v>-5.9514925373134346</v>
      </c>
      <c r="I822" s="753"/>
      <c r="J822" s="775">
        <f>'store&amp;sf'!T122</f>
        <v>233</v>
      </c>
      <c r="K822" s="799"/>
      <c r="L822" s="788">
        <f>AVERAGE(J822,J821)</f>
        <v>239</v>
      </c>
      <c r="M822" s="753"/>
      <c r="N822" s="786">
        <f>(L822/L815-1)*100</f>
        <v>-10.820895522388064</v>
      </c>
      <c r="O822" s="761"/>
      <c r="P822" s="809">
        <v>55</v>
      </c>
      <c r="Q822" s="769"/>
      <c r="R822" s="753"/>
      <c r="S822" s="789">
        <f>S815*(1+D822/100)</f>
        <v>150.3281380597015</v>
      </c>
      <c r="T822" s="753"/>
      <c r="U822" s="790">
        <f>S822/L822</f>
        <v>0.62898802535439957</v>
      </c>
      <c r="V822" s="753"/>
      <c r="W822" s="791">
        <f>(U822/U815-1)*100</f>
        <v>8.8242677824267766</v>
      </c>
      <c r="X822" s="761"/>
      <c r="Y822" s="753"/>
      <c r="Z822" s="780">
        <f>'store&amp;sf'!T486</f>
        <v>1.5715625</v>
      </c>
      <c r="AA822" s="799"/>
      <c r="AB822" s="792">
        <f>AVERAGE(Z822,Z821)</f>
        <v>1.6288437499999999</v>
      </c>
      <c r="AC822" s="753"/>
      <c r="AD822" s="786">
        <f>(AB822/AB815-1)*100</f>
        <v>-15.685862180524101</v>
      </c>
      <c r="AE822" s="761"/>
      <c r="AF822" s="787">
        <f>+H822/AD822*100</f>
        <v>37.941762262216827</v>
      </c>
      <c r="AG822" s="769"/>
      <c r="AH822" s="753"/>
      <c r="AI822" s="789">
        <f>+S822</f>
        <v>150.3281380597015</v>
      </c>
      <c r="AJ822" s="753"/>
      <c r="AK822" s="788">
        <f>AI822/AB822</f>
        <v>92.291318955364204</v>
      </c>
      <c r="AL822" s="753"/>
      <c r="AM822" s="791">
        <f>(AK822/AK815-1)*100</f>
        <v>15.103480830790318</v>
      </c>
      <c r="AN822" s="761"/>
      <c r="AO822" s="753"/>
    </row>
    <row r="823" spans="1:41" hidden="1" outlineLevel="2">
      <c r="A823" s="753"/>
      <c r="B823" s="760" t="str">
        <f>$B$30</f>
        <v>Year</v>
      </c>
      <c r="C823" s="753"/>
      <c r="D823" s="802">
        <f>(S823/S816-1)*100</f>
        <v>-3.3396756362960578</v>
      </c>
      <c r="E823" s="753"/>
      <c r="F823" s="772">
        <f>+F819*S819/S823+F820*S820/S823+F821*S821/S823+F822*S822/S823</f>
        <v>3.2327424413106502</v>
      </c>
      <c r="G823" s="753"/>
      <c r="H823" s="802">
        <f>D823-F823</f>
        <v>-6.5724180776067076</v>
      </c>
      <c r="I823" s="753"/>
      <c r="J823" s="753"/>
      <c r="K823" s="753"/>
      <c r="L823" s="793">
        <f>AVERAGE(L819:L822)</f>
        <v>247.625</v>
      </c>
      <c r="M823" s="753"/>
      <c r="N823" s="768">
        <f>(L823/L816-1)*100</f>
        <v>-11.324977618621313</v>
      </c>
      <c r="O823" s="761"/>
      <c r="P823" s="772">
        <f>H823/N823*100</f>
        <v>58.034711404637854</v>
      </c>
      <c r="Q823" s="769"/>
      <c r="R823" s="753"/>
      <c r="S823" s="777">
        <f>SUM(S819:S822)</f>
        <v>476.92204041051525</v>
      </c>
      <c r="T823" s="753"/>
      <c r="U823" s="794">
        <f>SUM(U819:U822)</f>
        <v>1.9334217445068376</v>
      </c>
      <c r="V823" s="753"/>
      <c r="W823" s="779">
        <f>(U823/U816-1)*100</f>
        <v>8.9128694288276513</v>
      </c>
      <c r="X823" s="761"/>
      <c r="Y823" s="753"/>
      <c r="Z823" s="770"/>
      <c r="AA823" s="753"/>
      <c r="AB823" s="781">
        <f>AVERAGE(AB819:AB822)</f>
        <v>1.7283984374999999</v>
      </c>
      <c r="AC823" s="753"/>
      <c r="AD823" s="768">
        <f>(AB823/AB816-1)*100</f>
        <v>-14.929247096823817</v>
      </c>
      <c r="AE823" s="761"/>
      <c r="AF823" s="772">
        <f>+H823/AD823*100</f>
        <v>44.023774507724397</v>
      </c>
      <c r="AG823" s="769"/>
      <c r="AH823" s="753"/>
      <c r="AI823" s="777">
        <f>SUM(AI819:AI822)</f>
        <v>476.92204041051525</v>
      </c>
      <c r="AJ823" s="753"/>
      <c r="AK823" s="795">
        <f>SUM(AK819:AK822)</f>
        <v>277.93422195195041</v>
      </c>
      <c r="AL823" s="753"/>
      <c r="AM823" s="779">
        <f>(AK823/AK816-1)*100</f>
        <v>13.75954945255604</v>
      </c>
      <c r="AN823" s="761"/>
      <c r="AO823" s="753"/>
    </row>
    <row r="824" spans="1:41" hidden="1" outlineLevel="1" collapsed="1">
      <c r="A824" s="753"/>
      <c r="B824" s="760"/>
      <c r="C824" s="753"/>
      <c r="D824" s="802"/>
      <c r="E824" s="753"/>
      <c r="F824" s="772"/>
      <c r="G824" s="753"/>
      <c r="H824" s="802"/>
      <c r="I824" s="753"/>
      <c r="J824" s="753"/>
      <c r="K824" s="753"/>
      <c r="L824" s="793"/>
      <c r="M824" s="753"/>
      <c r="N824" s="768"/>
      <c r="O824" s="761"/>
      <c r="P824" s="772"/>
      <c r="Q824" s="769"/>
      <c r="R824" s="753"/>
      <c r="S824" s="777"/>
      <c r="T824" s="753"/>
      <c r="U824" s="794"/>
      <c r="V824" s="753"/>
      <c r="W824" s="779"/>
      <c r="X824" s="761"/>
      <c r="Y824" s="753"/>
      <c r="Z824" s="770"/>
      <c r="AA824" s="753"/>
      <c r="AB824" s="781"/>
      <c r="AC824" s="753"/>
      <c r="AD824" s="768"/>
      <c r="AE824" s="761"/>
      <c r="AF824" s="772"/>
      <c r="AG824" s="769"/>
      <c r="AH824" s="753"/>
      <c r="AI824" s="777"/>
      <c r="AJ824" s="753"/>
      <c r="AK824" s="795"/>
      <c r="AL824" s="753"/>
      <c r="AM824" s="779"/>
      <c r="AN824" s="761"/>
      <c r="AO824" s="753"/>
    </row>
    <row r="825" spans="1:41" hidden="1" outlineLevel="1">
      <c r="A825" s="666"/>
      <c r="B825" s="684"/>
      <c r="C825" s="666"/>
      <c r="D825" s="667"/>
      <c r="E825" s="667"/>
      <c r="F825" s="667"/>
      <c r="G825" s="667"/>
      <c r="H825" s="666"/>
      <c r="I825" s="666"/>
      <c r="J825" s="666"/>
      <c r="K825" s="666"/>
      <c r="L825" s="666"/>
      <c r="M825" s="666"/>
      <c r="N825" s="666"/>
      <c r="O825" s="685"/>
      <c r="P825" s="666"/>
      <c r="Q825" s="666"/>
      <c r="R825" s="666"/>
      <c r="S825" s="666"/>
      <c r="T825" s="666"/>
      <c r="U825" s="666"/>
      <c r="V825" s="666"/>
      <c r="W825" s="666"/>
      <c r="X825" s="666"/>
      <c r="Y825" s="666"/>
      <c r="Z825" s="666"/>
      <c r="AA825" s="666"/>
      <c r="AB825" s="666"/>
      <c r="AC825" s="666"/>
      <c r="AD825" s="666"/>
      <c r="AE825" s="685"/>
      <c r="AF825" s="666"/>
      <c r="AG825" s="666"/>
      <c r="AH825" s="666"/>
      <c r="AI825" s="666"/>
      <c r="AJ825" s="666"/>
      <c r="AK825" s="666"/>
      <c r="AL825" s="666"/>
      <c r="AM825" s="666"/>
      <c r="AN825" s="666"/>
      <c r="AO825" s="666"/>
    </row>
    <row r="826" spans="1:41" hidden="1" outlineLevel="1">
      <c r="A826" s="665" t="s">
        <v>549</v>
      </c>
      <c r="B826" s="684"/>
      <c r="C826" s="666"/>
      <c r="D826" s="666"/>
      <c r="E826" s="666"/>
      <c r="F826" s="666"/>
      <c r="G826" s="666"/>
      <c r="H826" s="666"/>
      <c r="I826" s="666"/>
      <c r="J826" s="666"/>
      <c r="K826" s="666"/>
      <c r="L826" s="666"/>
      <c r="M826" s="666"/>
      <c r="N826" s="666"/>
      <c r="O826" s="666"/>
      <c r="P826" s="666"/>
      <c r="Q826" s="666"/>
      <c r="R826" s="666"/>
      <c r="S826" s="666"/>
      <c r="T826" s="666"/>
      <c r="U826" s="666"/>
      <c r="V826" s="666"/>
      <c r="W826" s="666"/>
      <c r="X826" s="666"/>
      <c r="Y826" s="666"/>
      <c r="Z826" s="666"/>
      <c r="AA826" s="666"/>
      <c r="AB826" s="666"/>
      <c r="AC826" s="666"/>
      <c r="AD826" s="666"/>
      <c r="AE826" s="666"/>
      <c r="AF826" s="666"/>
      <c r="AG826" s="666"/>
      <c r="AH826" s="666"/>
      <c r="AI826" s="666"/>
      <c r="AJ826" s="666"/>
      <c r="AK826" s="666"/>
      <c r="AL826" s="666"/>
      <c r="AM826" s="666"/>
      <c r="AN826" s="666"/>
      <c r="AO826" s="666"/>
    </row>
    <row r="827" spans="1:41" hidden="1" outlineLevel="1"/>
    <row r="828" spans="1:41" collapsed="1"/>
  </sheetData>
  <phoneticPr fontId="0" type="noConversion"/>
  <dataValidations count="1">
    <dataValidation type="custom" allowBlank="1" showInputMessage="1" showErrorMessage="1" sqref="S266:S268 S693:S695 S273:S275 S707:S709 S792:S794 S700:S702 S280:S282 S294:S296 S287:S289 S798:S801 S806:S808 S820:S822 S714:S716 S301:S303 S721:S723 S813:S815 S308:S310 S315:S317 S322:S324 S139:S141 S132:S134 S125:S127 S118:S120 S111:S113 S104:S106 S97:S99 S90:S92 S83:S85 S386:S388 S393:S395 S400:S402 S148 S154:S155 S329:S331 S407:S409 S414:S416 S166:S169 S342:S345 S422:S423 S159:S162 S457:S460 S441:S444 S427:S430 S349:S352 S434:S437 S180:S183 S464:S467 S173:S176 S356:S359 S492:S495 S471:S474 S363:S366 S370:S373 S478:S481 S187:S190 S194:S197 S377:S380 S485:S488">
      <formula1>-1</formula1>
    </dataValidation>
  </dataValidations>
  <printOptions horizontalCentered="1"/>
  <pageMargins left="0" right="0" top="0.5" bottom="0" header="0.5" footer="0.5"/>
  <pageSetup scale="80" orientation="landscape" r:id="rId1"/>
  <headerFooter alignWithMargins="0">
    <oddFooter>&amp;R&amp;8&amp;D/&amp;T
&amp;F/&amp;A</oddFooter>
  </headerFooter>
  <rowBreaks count="3" manualBreakCount="3">
    <brk id="162" max="16383" man="1"/>
    <brk id="345" max="16383" man="1"/>
    <brk id="724"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221"/>
  <sheetViews>
    <sheetView showGridLines="0" zoomScaleNormal="100" workbookViewId="0">
      <pane xSplit="3" ySplit="9" topLeftCell="D185" activePane="bottomRight" state="frozen"/>
      <selection activeCell="CM22" sqref="CM22"/>
      <selection pane="topRight" activeCell="CM22" sqref="CM22"/>
      <selection pane="bottomLeft" activeCell="CM22" sqref="CM22"/>
      <selection pane="bottomRight" activeCell="B207" sqref="B207"/>
    </sheetView>
  </sheetViews>
  <sheetFormatPr defaultRowHeight="12.75" outlineLevelRow="1"/>
  <cols>
    <col min="1" max="1" width="2.7109375" customWidth="1"/>
    <col min="2" max="2" width="7.28515625" customWidth="1"/>
    <col min="3" max="3" width="1.28515625" customWidth="1"/>
    <col min="4" max="4" width="6.140625" customWidth="1"/>
    <col min="5" max="5" width="1.7109375" customWidth="1"/>
    <col min="7" max="7" width="1.5703125" customWidth="1"/>
    <col min="9" max="9" width="1.7109375" customWidth="1"/>
    <col min="10" max="10" width="6.42578125" customWidth="1"/>
    <col min="11" max="11" width="1.28515625" customWidth="1"/>
    <col min="12" max="12" width="6.85546875" customWidth="1"/>
    <col min="13" max="13" width="1.28515625" customWidth="1"/>
    <col min="14" max="14" width="8.42578125" customWidth="1"/>
    <col min="15" max="15" width="1.7109375" customWidth="1"/>
    <col min="17" max="17" width="4" customWidth="1"/>
    <col min="18" max="18" width="1.28515625" customWidth="1"/>
    <col min="19" max="19" width="7.7109375" customWidth="1"/>
    <col min="20" max="20" width="1.5703125" customWidth="1"/>
    <col min="21" max="21" width="6.42578125" customWidth="1"/>
    <col min="22" max="22" width="1.28515625" customWidth="1"/>
    <col min="23" max="23" width="6.42578125" customWidth="1"/>
    <col min="24" max="25" width="1.7109375" customWidth="1"/>
    <col min="26" max="26" width="6.42578125" customWidth="1"/>
    <col min="27" max="27" width="1.7109375" customWidth="1"/>
    <col min="28" max="28" width="6.28515625" customWidth="1"/>
    <col min="29" max="29" width="1.28515625" customWidth="1"/>
    <col min="30" max="30" width="7.85546875" customWidth="1"/>
    <col min="31" max="31" width="1.7109375" customWidth="1"/>
    <col min="32" max="32" width="9.7109375" customWidth="1"/>
    <col min="33" max="33" width="4" customWidth="1"/>
    <col min="34" max="34" width="1.140625" customWidth="1"/>
    <col min="35" max="35" width="8.28515625" customWidth="1"/>
    <col min="36" max="36" width="1.28515625" customWidth="1"/>
    <col min="37" max="37" width="8.140625" customWidth="1"/>
    <col min="38" max="38" width="1.28515625" customWidth="1"/>
    <col min="39" max="39" width="6.140625" customWidth="1"/>
    <col min="40" max="40" width="1.7109375" customWidth="1"/>
    <col min="41" max="41" width="15.42578125" bestFit="1" customWidth="1"/>
  </cols>
  <sheetData>
    <row r="1" spans="1:40">
      <c r="A1" s="25" t="str">
        <f>sumry!A1&amp;" Total Company"</f>
        <v>L Brands Inc. Total Company</v>
      </c>
      <c r="B1" s="76"/>
      <c r="C1" s="25"/>
      <c r="D1" s="25"/>
      <c r="E1" s="44"/>
      <c r="F1" s="25"/>
      <c r="G1" s="25"/>
      <c r="H1" s="25"/>
      <c r="I1" s="44"/>
      <c r="J1" s="48"/>
      <c r="K1" s="48"/>
      <c r="L1" s="48"/>
      <c r="M1" s="49"/>
      <c r="N1" s="48"/>
      <c r="O1" s="44"/>
      <c r="P1" s="48"/>
      <c r="Q1" s="48"/>
      <c r="R1" s="49"/>
      <c r="S1" s="48"/>
      <c r="T1" s="48"/>
      <c r="U1" s="49"/>
      <c r="V1" s="49"/>
      <c r="W1" s="48"/>
      <c r="X1" s="158"/>
      <c r="Y1" s="48"/>
      <c r="Z1" s="218"/>
      <c r="AA1" s="48"/>
      <c r="AB1" s="48"/>
      <c r="AC1" s="49"/>
      <c r="AD1" s="48"/>
      <c r="AE1" s="49"/>
      <c r="AF1" s="48"/>
      <c r="AG1" s="48"/>
      <c r="AH1" s="49"/>
      <c r="AI1" s="48"/>
      <c r="AJ1" s="48"/>
      <c r="AK1" s="49"/>
      <c r="AL1" s="49"/>
      <c r="AM1" s="48"/>
      <c r="AN1" s="158"/>
    </row>
    <row r="2" spans="1:40">
      <c r="A2" s="26" t="s">
        <v>336</v>
      </c>
      <c r="B2" s="77"/>
      <c r="C2" s="26"/>
      <c r="D2" s="26"/>
      <c r="E2" s="45"/>
      <c r="F2" s="26"/>
      <c r="G2" s="26"/>
      <c r="H2" s="26"/>
      <c r="I2" s="45"/>
      <c r="J2" s="26"/>
      <c r="K2" s="26"/>
      <c r="L2" s="26"/>
      <c r="M2" s="45"/>
      <c r="N2" s="26"/>
      <c r="O2" s="45"/>
      <c r="P2" s="26"/>
      <c r="Q2" s="26"/>
      <c r="R2" s="45"/>
      <c r="S2" s="26"/>
      <c r="T2" s="26"/>
      <c r="U2" s="45"/>
      <c r="V2" s="45"/>
      <c r="W2" s="26"/>
      <c r="X2" s="96"/>
      <c r="Y2" s="26"/>
      <c r="Z2" s="220"/>
      <c r="AA2" s="26"/>
      <c r="AB2" s="26"/>
      <c r="AC2" s="45"/>
      <c r="AD2" s="26"/>
      <c r="AE2" s="45"/>
      <c r="AF2" s="26"/>
      <c r="AG2" s="26"/>
      <c r="AH2" s="45"/>
      <c r="AI2" s="26"/>
      <c r="AJ2" s="26"/>
      <c r="AK2" s="45"/>
      <c r="AL2" s="45"/>
      <c r="AM2" s="26"/>
      <c r="AN2" s="158"/>
    </row>
    <row r="3" spans="1:40">
      <c r="A3" s="24"/>
      <c r="B3" s="78"/>
      <c r="C3" s="24"/>
      <c r="D3" s="24"/>
      <c r="E3" s="24"/>
      <c r="F3" s="24"/>
      <c r="G3" s="24"/>
      <c r="H3" s="24"/>
      <c r="I3" s="24"/>
      <c r="J3" s="24"/>
      <c r="K3" s="24"/>
      <c r="L3" s="24"/>
      <c r="M3" s="24"/>
      <c r="N3" s="24"/>
      <c r="O3" s="24"/>
      <c r="P3" s="24"/>
      <c r="Q3" s="24"/>
      <c r="R3" s="24"/>
      <c r="S3" s="24"/>
      <c r="T3" s="24"/>
      <c r="U3" s="24"/>
      <c r="V3" s="24"/>
      <c r="W3" s="24"/>
      <c r="X3" s="143"/>
      <c r="Y3" s="24"/>
      <c r="Z3" s="168"/>
      <c r="AA3" s="24"/>
      <c r="AB3" s="24"/>
      <c r="AC3" s="24"/>
      <c r="AD3" s="24"/>
      <c r="AE3" s="24"/>
      <c r="AF3" s="24"/>
      <c r="AG3" s="24"/>
      <c r="AH3" s="24"/>
      <c r="AI3" s="24"/>
      <c r="AJ3" s="24"/>
      <c r="AK3" s="24"/>
      <c r="AL3" s="24"/>
      <c r="AM3" s="24"/>
      <c r="AN3" s="143"/>
    </row>
    <row r="4" spans="1:40">
      <c r="A4" s="24"/>
      <c r="B4" s="78"/>
      <c r="C4" s="24"/>
      <c r="D4" s="24"/>
      <c r="E4" s="24"/>
      <c r="F4" s="24"/>
      <c r="G4" s="24"/>
      <c r="H4" s="24"/>
      <c r="I4" s="24"/>
      <c r="J4" s="24"/>
      <c r="K4" s="24"/>
      <c r="L4" s="24"/>
      <c r="M4" s="24"/>
      <c r="N4" s="24"/>
      <c r="O4" s="24"/>
      <c r="P4" s="24"/>
      <c r="Q4" s="24"/>
      <c r="R4" s="24"/>
      <c r="S4" s="24"/>
      <c r="T4" s="24"/>
      <c r="U4" s="24"/>
      <c r="V4" s="24"/>
      <c r="W4" s="24"/>
      <c r="X4" s="143"/>
      <c r="Y4" s="24"/>
      <c r="Z4" s="168"/>
      <c r="AA4" s="24"/>
      <c r="AB4" s="24"/>
      <c r="AC4" s="24"/>
      <c r="AD4" s="24"/>
      <c r="AE4" s="24"/>
      <c r="AF4" s="24"/>
      <c r="AG4" s="24"/>
      <c r="AH4" s="24"/>
      <c r="AI4" s="24"/>
      <c r="AJ4" s="24"/>
      <c r="AK4" s="24"/>
      <c r="AL4" s="24"/>
      <c r="AM4" s="24"/>
      <c r="AN4" s="143"/>
    </row>
    <row r="5" spans="1:40">
      <c r="A5" s="24"/>
      <c r="B5" s="78"/>
      <c r="C5" s="24"/>
      <c r="D5" s="24"/>
      <c r="E5" s="24"/>
      <c r="F5" s="24"/>
      <c r="G5" s="24"/>
      <c r="H5" s="24"/>
      <c r="I5" s="24"/>
      <c r="J5" s="171" t="s">
        <v>935</v>
      </c>
      <c r="K5" s="172"/>
      <c r="L5" s="172"/>
      <c r="M5" s="172"/>
      <c r="N5" s="172"/>
      <c r="O5" s="172"/>
      <c r="P5" s="172"/>
      <c r="Q5" s="172"/>
      <c r="R5" s="172"/>
      <c r="S5" s="172"/>
      <c r="T5" s="172"/>
      <c r="U5" s="172"/>
      <c r="V5" s="172"/>
      <c r="W5" s="172"/>
      <c r="X5" s="173"/>
      <c r="Y5" s="24"/>
      <c r="Z5" s="955" t="s">
        <v>936</v>
      </c>
      <c r="AA5" s="172"/>
      <c r="AB5" s="172"/>
      <c r="AC5" s="172"/>
      <c r="AD5" s="172"/>
      <c r="AE5" s="172"/>
      <c r="AF5" s="172"/>
      <c r="AG5" s="172"/>
      <c r="AH5" s="172"/>
      <c r="AI5" s="172"/>
      <c r="AJ5" s="172"/>
      <c r="AK5" s="172"/>
      <c r="AL5" s="172"/>
      <c r="AM5" s="172"/>
      <c r="AN5" s="173"/>
    </row>
    <row r="6" spans="1:40">
      <c r="A6" s="24"/>
      <c r="B6" s="78"/>
      <c r="C6" s="24"/>
      <c r="D6" s="66"/>
      <c r="E6" s="68" t="s">
        <v>1173</v>
      </c>
      <c r="F6" s="66"/>
      <c r="G6" s="24"/>
      <c r="H6" s="69" t="s">
        <v>362</v>
      </c>
      <c r="I6" s="24"/>
      <c r="J6" s="24"/>
      <c r="K6" s="24"/>
      <c r="L6" s="24"/>
      <c r="M6" s="24"/>
      <c r="N6" s="24"/>
      <c r="O6" s="24"/>
      <c r="P6" s="71" t="s">
        <v>253</v>
      </c>
      <c r="Q6" s="71"/>
      <c r="R6" s="24"/>
      <c r="S6" s="67"/>
      <c r="T6" s="67"/>
      <c r="U6" s="66" t="s">
        <v>933</v>
      </c>
      <c r="V6" s="67"/>
      <c r="W6" s="67"/>
      <c r="X6" s="143"/>
      <c r="Y6" s="24"/>
      <c r="Z6" s="168"/>
      <c r="AA6" s="24"/>
      <c r="AB6" s="24"/>
      <c r="AC6" s="24"/>
      <c r="AD6" s="24"/>
      <c r="AE6" s="24"/>
      <c r="AF6" s="71" t="s">
        <v>253</v>
      </c>
      <c r="AG6" s="71"/>
      <c r="AH6" s="24"/>
      <c r="AI6" s="67"/>
      <c r="AJ6" s="67"/>
      <c r="AK6" s="68" t="s">
        <v>934</v>
      </c>
      <c r="AL6" s="67"/>
      <c r="AM6" s="67"/>
      <c r="AN6" s="143"/>
    </row>
    <row r="7" spans="1:40">
      <c r="A7" s="24"/>
      <c r="B7" s="78"/>
      <c r="C7" s="24"/>
      <c r="D7" s="69"/>
      <c r="E7" s="69"/>
      <c r="F7" s="69" t="s">
        <v>361</v>
      </c>
      <c r="G7" s="69"/>
      <c r="H7" s="68" t="s">
        <v>363</v>
      </c>
      <c r="I7" s="24"/>
      <c r="J7" s="68"/>
      <c r="K7" s="68" t="s">
        <v>368</v>
      </c>
      <c r="L7" s="68"/>
      <c r="M7" s="69"/>
      <c r="N7" s="69" t="s">
        <v>251</v>
      </c>
      <c r="O7" s="24"/>
      <c r="P7" s="71" t="s">
        <v>254</v>
      </c>
      <c r="Q7" s="71"/>
      <c r="R7" s="24"/>
      <c r="S7" s="24"/>
      <c r="T7" s="24"/>
      <c r="U7" s="69" t="s">
        <v>794</v>
      </c>
      <c r="V7" s="24"/>
      <c r="W7" s="69" t="s">
        <v>796</v>
      </c>
      <c r="X7" s="143"/>
      <c r="Y7" s="24"/>
      <c r="Z7" s="230"/>
      <c r="AA7" s="68" t="s">
        <v>595</v>
      </c>
      <c r="AB7" s="68"/>
      <c r="AC7" s="69"/>
      <c r="AD7" s="69" t="s">
        <v>251</v>
      </c>
      <c r="AE7" s="24"/>
      <c r="AF7" s="71" t="s">
        <v>254</v>
      </c>
      <c r="AG7" s="71"/>
      <c r="AH7" s="24"/>
      <c r="AI7" s="24"/>
      <c r="AJ7" s="24"/>
      <c r="AK7" s="69" t="s">
        <v>794</v>
      </c>
      <c r="AL7" s="24"/>
      <c r="AM7" s="69" t="s">
        <v>796</v>
      </c>
      <c r="AN7" s="143"/>
    </row>
    <row r="8" spans="1:40">
      <c r="A8" s="24"/>
      <c r="B8" s="78"/>
      <c r="C8" s="24"/>
      <c r="D8" s="68" t="s">
        <v>360</v>
      </c>
      <c r="E8" s="69"/>
      <c r="F8" s="68" t="s">
        <v>1186</v>
      </c>
      <c r="G8" s="69"/>
      <c r="H8" s="69" t="s">
        <v>364</v>
      </c>
      <c r="I8" s="24"/>
      <c r="J8" s="68" t="s">
        <v>360</v>
      </c>
      <c r="K8" s="69"/>
      <c r="L8" s="68" t="s">
        <v>1197</v>
      </c>
      <c r="M8" s="69"/>
      <c r="N8" s="68" t="s">
        <v>1084</v>
      </c>
      <c r="O8" s="24"/>
      <c r="P8" s="72" t="s">
        <v>238</v>
      </c>
      <c r="Q8" s="72"/>
      <c r="R8" s="24"/>
      <c r="S8" s="68" t="s">
        <v>360</v>
      </c>
      <c r="T8" s="24"/>
      <c r="U8" s="68" t="s">
        <v>1198</v>
      </c>
      <c r="V8" s="24"/>
      <c r="W8" s="68" t="s">
        <v>1199</v>
      </c>
      <c r="X8" s="143"/>
      <c r="Y8" s="24"/>
      <c r="Z8" s="230" t="s">
        <v>360</v>
      </c>
      <c r="AA8" s="69"/>
      <c r="AB8" s="68" t="s">
        <v>1197</v>
      </c>
      <c r="AC8" s="69"/>
      <c r="AD8" s="68" t="s">
        <v>1084</v>
      </c>
      <c r="AE8" s="24"/>
      <c r="AF8" s="72" t="s">
        <v>932</v>
      </c>
      <c r="AG8" s="72"/>
      <c r="AH8" s="24"/>
      <c r="AI8" s="68" t="s">
        <v>360</v>
      </c>
      <c r="AJ8" s="24"/>
      <c r="AK8" s="68" t="s">
        <v>269</v>
      </c>
      <c r="AL8" s="24"/>
      <c r="AM8" s="68" t="s">
        <v>1199</v>
      </c>
      <c r="AN8" s="143"/>
    </row>
    <row r="9" spans="1:40">
      <c r="A9" s="24"/>
      <c r="B9" s="78"/>
      <c r="C9" s="24"/>
      <c r="D9" s="212" t="s">
        <v>366</v>
      </c>
      <c r="E9" s="69"/>
      <c r="F9" s="212" t="s">
        <v>367</v>
      </c>
      <c r="G9" s="69"/>
      <c r="H9" s="212" t="s">
        <v>365</v>
      </c>
      <c r="I9" s="24"/>
      <c r="J9" s="212" t="s">
        <v>369</v>
      </c>
      <c r="K9" s="69"/>
      <c r="L9" s="212" t="s">
        <v>250</v>
      </c>
      <c r="M9" s="69"/>
      <c r="N9" s="212" t="s">
        <v>252</v>
      </c>
      <c r="O9" s="24"/>
      <c r="P9" s="170" t="s">
        <v>239</v>
      </c>
      <c r="Q9" s="170"/>
      <c r="R9" s="24"/>
      <c r="S9" s="212" t="s">
        <v>240</v>
      </c>
      <c r="T9" s="24"/>
      <c r="U9" s="212" t="s">
        <v>795</v>
      </c>
      <c r="V9" s="24"/>
      <c r="W9" s="212" t="s">
        <v>797</v>
      </c>
      <c r="X9" s="143"/>
      <c r="Y9" s="24"/>
      <c r="Z9" s="261" t="s">
        <v>266</v>
      </c>
      <c r="AA9" s="69"/>
      <c r="AB9" s="212" t="s">
        <v>267</v>
      </c>
      <c r="AC9" s="69"/>
      <c r="AD9" s="212" t="s">
        <v>268</v>
      </c>
      <c r="AE9" s="24"/>
      <c r="AF9" s="170" t="s">
        <v>270</v>
      </c>
      <c r="AG9" s="170"/>
      <c r="AH9" s="24"/>
      <c r="AI9" s="212" t="s">
        <v>271</v>
      </c>
      <c r="AJ9" s="24"/>
      <c r="AK9" s="212" t="s">
        <v>272</v>
      </c>
      <c r="AL9" s="24"/>
      <c r="AM9" s="212" t="s">
        <v>273</v>
      </c>
      <c r="AN9" s="143"/>
    </row>
    <row r="10" spans="1:40" hidden="1" outlineLevel="1">
      <c r="A10" s="24"/>
      <c r="B10" s="78"/>
      <c r="C10" s="24"/>
      <c r="D10" s="24"/>
      <c r="E10" s="24"/>
      <c r="F10" s="24"/>
      <c r="G10" s="24"/>
      <c r="H10" s="24"/>
      <c r="I10" s="24"/>
      <c r="J10" s="24"/>
      <c r="K10" s="24"/>
      <c r="L10" s="24"/>
      <c r="M10" s="24"/>
      <c r="N10" s="24"/>
      <c r="O10" s="24"/>
      <c r="P10" s="30"/>
      <c r="Q10" s="30"/>
      <c r="R10" s="24"/>
      <c r="S10" s="24"/>
      <c r="T10" s="24"/>
      <c r="U10" s="24"/>
      <c r="V10" s="24"/>
      <c r="W10" s="24"/>
      <c r="X10" s="143"/>
      <c r="Y10" s="24"/>
      <c r="Z10" s="168"/>
      <c r="AA10" s="24"/>
      <c r="AB10" s="24"/>
      <c r="AC10" s="24"/>
      <c r="AD10" s="24"/>
      <c r="AE10" s="24"/>
      <c r="AF10" s="30"/>
      <c r="AG10" s="30"/>
      <c r="AH10" s="24"/>
      <c r="AI10" s="24"/>
      <c r="AJ10" s="24"/>
      <c r="AK10" s="24"/>
      <c r="AL10" s="24"/>
      <c r="AM10" s="24"/>
      <c r="AN10" s="143"/>
    </row>
    <row r="11" spans="1:40" hidden="1" outlineLevel="1" collapsed="1">
      <c r="A11" s="73"/>
      <c r="B11" s="79">
        <v>1989</v>
      </c>
      <c r="C11" s="24"/>
      <c r="D11" s="24"/>
      <c r="E11" s="24"/>
      <c r="F11" s="24"/>
      <c r="G11" s="24"/>
      <c r="H11" s="24"/>
      <c r="I11" s="24"/>
      <c r="J11" s="24"/>
      <c r="K11" s="24"/>
      <c r="L11" s="24"/>
      <c r="M11" s="24"/>
      <c r="N11" s="24"/>
      <c r="O11" s="24"/>
      <c r="P11" s="30"/>
      <c r="Q11" s="30"/>
      <c r="R11" s="24"/>
      <c r="S11" s="24"/>
      <c r="T11" s="24"/>
      <c r="U11" s="24"/>
      <c r="V11" s="24"/>
      <c r="W11" s="24"/>
      <c r="X11" s="143"/>
      <c r="Y11" s="24"/>
      <c r="Z11" s="168"/>
      <c r="AA11" s="24"/>
      <c r="AB11" s="371"/>
      <c r="AC11" s="24"/>
      <c r="AD11" s="24"/>
      <c r="AE11" s="24"/>
      <c r="AF11" s="24"/>
      <c r="AG11" s="30"/>
      <c r="AH11" s="24"/>
      <c r="AI11" s="24"/>
      <c r="AJ11" s="24"/>
      <c r="AK11" s="24"/>
      <c r="AL11" s="24"/>
      <c r="AM11" s="24"/>
      <c r="AN11" s="143"/>
    </row>
    <row r="12" spans="1:40" hidden="1" outlineLevel="1">
      <c r="A12" s="24" t="str">
        <f>$A$47</f>
        <v>1Q</v>
      </c>
      <c r="B12" s="78" t="str">
        <f>$B$47</f>
        <v>Apr</v>
      </c>
      <c r="C12" s="24"/>
      <c r="D12" s="241"/>
      <c r="E12" s="24"/>
      <c r="F12" s="430">
        <f>+'qtrP&amp;L'!E10</f>
        <v>14</v>
      </c>
      <c r="G12" s="143" t="s">
        <v>1084</v>
      </c>
      <c r="H12" s="243"/>
      <c r="I12" s="143"/>
      <c r="J12" s="361">
        <f>+'store&amp;sf'!AQ11</f>
        <v>3411</v>
      </c>
      <c r="K12" s="24"/>
      <c r="L12" s="362">
        <f>AVERAGE(J12,3497)</f>
        <v>3454</v>
      </c>
      <c r="M12" s="24"/>
      <c r="N12" s="244"/>
      <c r="O12" s="254"/>
      <c r="P12" s="297"/>
      <c r="Q12" s="30"/>
      <c r="R12" s="24"/>
      <c r="S12" s="33">
        <f>+'qtrP&amp;L'!D10</f>
        <v>964.61699999999996</v>
      </c>
      <c r="T12" s="24"/>
      <c r="U12" s="255">
        <f>S12/L12</f>
        <v>0.27927533294730744</v>
      </c>
      <c r="V12" s="24"/>
      <c r="W12" s="130"/>
      <c r="X12" s="143"/>
      <c r="Y12" s="24"/>
      <c r="Z12" s="956">
        <f>+'store&amp;sf'!AQ375</f>
        <v>18.391249999999999</v>
      </c>
      <c r="AA12" s="24"/>
      <c r="AB12" s="372">
        <f>AVERAGE(Z12,(14.296/0.75))</f>
        <v>18.726291666666668</v>
      </c>
      <c r="AC12" s="24"/>
      <c r="AD12" s="244"/>
      <c r="AE12" s="143"/>
      <c r="AF12" s="244"/>
      <c r="AG12" s="30"/>
      <c r="AH12" s="24"/>
      <c r="AI12" s="33">
        <f>+S12</f>
        <v>964.61699999999996</v>
      </c>
      <c r="AJ12" s="24"/>
      <c r="AK12" s="153">
        <f>AI12/AB12</f>
        <v>51.511373269756639</v>
      </c>
      <c r="AL12" s="24"/>
      <c r="AM12" s="37"/>
      <c r="AN12" s="143" t="s">
        <v>1084</v>
      </c>
    </row>
    <row r="13" spans="1:40" hidden="1" outlineLevel="1">
      <c r="A13" s="24" t="str">
        <f>$A$48</f>
        <v>2Q</v>
      </c>
      <c r="B13" s="78" t="str">
        <f>$B$48</f>
        <v>Jul</v>
      </c>
      <c r="C13" s="24"/>
      <c r="D13" s="241"/>
      <c r="E13" s="24"/>
      <c r="F13" s="430">
        <f>+'qtrP&amp;L'!E11</f>
        <v>12</v>
      </c>
      <c r="G13" s="24"/>
      <c r="H13" s="241"/>
      <c r="I13" s="143"/>
      <c r="J13" s="361">
        <f>+'store&amp;sf'!AQ12</f>
        <v>3062</v>
      </c>
      <c r="K13" s="24"/>
      <c r="L13" s="362">
        <f>AVERAGE(J13,J12)</f>
        <v>3236.5</v>
      </c>
      <c r="M13" s="24"/>
      <c r="N13" s="244"/>
      <c r="O13" s="254"/>
      <c r="P13" s="297"/>
      <c r="Q13" s="30"/>
      <c r="R13" s="24"/>
      <c r="S13" s="34">
        <f>+'qtrP&amp;L'!D11</f>
        <v>990.28399999999999</v>
      </c>
      <c r="T13" s="24"/>
      <c r="U13" s="257">
        <f>S13/L13</f>
        <v>0.30597373706164066</v>
      </c>
      <c r="V13" s="24"/>
      <c r="W13" s="130"/>
      <c r="X13" s="143"/>
      <c r="Y13" s="24"/>
      <c r="Z13" s="956">
        <f>+'store&amp;sf'!AQ376</f>
        <v>16.95</v>
      </c>
      <c r="AA13" s="24"/>
      <c r="AB13" s="372">
        <f>AVERAGE(Z13,Z12)</f>
        <v>17.670625000000001</v>
      </c>
      <c r="AC13" s="24"/>
      <c r="AD13" s="244"/>
      <c r="AE13" s="143"/>
      <c r="AF13" s="297"/>
      <c r="AG13" s="30"/>
      <c r="AH13" s="24"/>
      <c r="AI13" s="34">
        <f>+S13</f>
        <v>990.28399999999999</v>
      </c>
      <c r="AJ13" s="24"/>
      <c r="AK13" s="154">
        <f>AI13/AB13</f>
        <v>56.041254907508929</v>
      </c>
      <c r="AL13" s="24"/>
      <c r="AM13" s="130"/>
      <c r="AN13" s="143"/>
    </row>
    <row r="14" spans="1:40" hidden="1" outlineLevel="1">
      <c r="A14" s="24" t="str">
        <f>$A$49</f>
        <v>3Q</v>
      </c>
      <c r="B14" s="78" t="str">
        <f>$B$49</f>
        <v>Oct</v>
      </c>
      <c r="C14" s="24"/>
      <c r="D14" s="241"/>
      <c r="E14" s="24"/>
      <c r="F14" s="430">
        <f>+'qtrP&amp;L'!E12</f>
        <v>6</v>
      </c>
      <c r="G14" s="24"/>
      <c r="H14" s="241"/>
      <c r="I14" s="143"/>
      <c r="J14" s="361">
        <f>+'store&amp;sf'!AQ13</f>
        <v>3289</v>
      </c>
      <c r="K14" s="24"/>
      <c r="L14" s="362">
        <f>AVERAGE(J14,J13)</f>
        <v>3175.5</v>
      </c>
      <c r="M14" s="24"/>
      <c r="N14" s="244"/>
      <c r="O14" s="254"/>
      <c r="P14" s="297"/>
      <c r="Q14" s="30"/>
      <c r="R14" s="24"/>
      <c r="S14" s="34">
        <f>+'qtrP&amp;L'!D12</f>
        <v>1110.4490000000001</v>
      </c>
      <c r="T14" s="24"/>
      <c r="U14" s="257">
        <f>S14/L14</f>
        <v>0.3496926468272713</v>
      </c>
      <c r="V14" s="24"/>
      <c r="W14" s="130"/>
      <c r="X14" s="143"/>
      <c r="Y14" s="24"/>
      <c r="Z14" s="956">
        <f>+'store&amp;sf'!AQ377</f>
        <v>17.535</v>
      </c>
      <c r="AA14" s="24"/>
      <c r="AB14" s="372">
        <f>AVERAGE(Z14,Z13)</f>
        <v>17.2425</v>
      </c>
      <c r="AC14" s="24"/>
      <c r="AD14" s="244"/>
      <c r="AE14" s="143"/>
      <c r="AF14" s="297"/>
      <c r="AG14" s="30"/>
      <c r="AH14" s="24"/>
      <c r="AI14" s="34">
        <f>+S14</f>
        <v>1110.4490000000001</v>
      </c>
      <c r="AJ14" s="24"/>
      <c r="AK14" s="154">
        <f>AI14/AB14</f>
        <v>64.401855879367844</v>
      </c>
      <c r="AL14" s="24"/>
      <c r="AM14" s="130"/>
      <c r="AN14" s="143"/>
    </row>
    <row r="15" spans="1:40" hidden="1" outlineLevel="1">
      <c r="A15" s="24" t="str">
        <f>$A$50</f>
        <v>4Q</v>
      </c>
      <c r="B15" s="78" t="str">
        <f>$B$50</f>
        <v>Jan</v>
      </c>
      <c r="C15" s="24"/>
      <c r="D15" s="242"/>
      <c r="E15" s="24"/>
      <c r="F15" s="431">
        <f>+'qtrP&amp;L'!E13</f>
        <v>7</v>
      </c>
      <c r="G15" s="24"/>
      <c r="H15" s="242"/>
      <c r="I15" s="143"/>
      <c r="J15" s="361">
        <f>+'store&amp;sf'!AQ14</f>
        <v>3344</v>
      </c>
      <c r="K15" s="24"/>
      <c r="L15" s="363">
        <f>AVERAGE(J15,J14)</f>
        <v>3316.5</v>
      </c>
      <c r="M15" s="24"/>
      <c r="N15" s="295"/>
      <c r="O15" s="254"/>
      <c r="P15" s="298"/>
      <c r="Q15" s="30"/>
      <c r="R15" s="24"/>
      <c r="S15" s="38">
        <f>+'qtrP&amp;L'!D13</f>
        <v>1582.566</v>
      </c>
      <c r="T15" s="24"/>
      <c r="U15" s="258">
        <f>S15/L15</f>
        <v>0.47717955676164631</v>
      </c>
      <c r="V15" s="24"/>
      <c r="W15" s="131"/>
      <c r="X15" s="143"/>
      <c r="Y15" s="24"/>
      <c r="Z15" s="956">
        <f>+'store&amp;sf'!AQ378</f>
        <v>17.967500000000001</v>
      </c>
      <c r="AA15" s="24"/>
      <c r="AB15" s="373">
        <f>AVERAGE(Z15,Z14)</f>
        <v>17.751249999999999</v>
      </c>
      <c r="AC15" s="24"/>
      <c r="AD15" s="295"/>
      <c r="AE15" s="143"/>
      <c r="AF15" s="298"/>
      <c r="AG15" s="30"/>
      <c r="AH15" s="24"/>
      <c r="AI15" s="38">
        <f>+S15</f>
        <v>1582.566</v>
      </c>
      <c r="AJ15" s="24"/>
      <c r="AK15" s="169">
        <f>AI15/AB15</f>
        <v>89.152369551440046</v>
      </c>
      <c r="AL15" s="24"/>
      <c r="AM15" s="131"/>
      <c r="AN15" s="143"/>
    </row>
    <row r="16" spans="1:40" hidden="1" outlineLevel="1">
      <c r="A16" s="24"/>
      <c r="B16" s="78" t="str">
        <f>$B$51</f>
        <v>Year</v>
      </c>
      <c r="C16" s="24"/>
      <c r="D16" s="241"/>
      <c r="E16" s="24"/>
      <c r="F16" s="430">
        <f>+'qtrP&amp;L'!E14</f>
        <v>9</v>
      </c>
      <c r="G16" s="24"/>
      <c r="H16" s="241"/>
      <c r="I16" s="143"/>
      <c r="J16" s="31"/>
      <c r="K16" s="24"/>
      <c r="L16" s="81">
        <f>AVERAGE(L12:L15)</f>
        <v>3295.625</v>
      </c>
      <c r="M16" s="24"/>
      <c r="N16" s="244"/>
      <c r="O16" s="254"/>
      <c r="P16" s="297"/>
      <c r="Q16" s="30"/>
      <c r="R16" s="24"/>
      <c r="S16" s="33">
        <f>SUM(S12:S15)</f>
        <v>4647.9160000000002</v>
      </c>
      <c r="T16" s="24"/>
      <c r="U16" s="35">
        <f>SUM(U12:U15)</f>
        <v>1.4121212735978657</v>
      </c>
      <c r="V16" s="24"/>
      <c r="W16" s="130"/>
      <c r="X16" s="143"/>
      <c r="Y16" s="24"/>
      <c r="Z16" s="957"/>
      <c r="AA16" s="24"/>
      <c r="AB16" s="372">
        <f>AVERAGE(AB12:AB15)</f>
        <v>17.847666666666669</v>
      </c>
      <c r="AC16" s="24"/>
      <c r="AD16" s="244"/>
      <c r="AE16" s="143"/>
      <c r="AF16" s="297"/>
      <c r="AG16" s="30"/>
      <c r="AH16" s="24"/>
      <c r="AI16" s="33">
        <f>SUM(AI12:AI15)</f>
        <v>4647.9160000000002</v>
      </c>
      <c r="AJ16" s="24"/>
      <c r="AK16" s="153">
        <f>SUM(AK12:AK15)</f>
        <v>261.10685360807349</v>
      </c>
      <c r="AL16" s="24"/>
      <c r="AM16" s="130"/>
      <c r="AN16" s="143"/>
    </row>
    <row r="17" spans="1:40" hidden="1" outlineLevel="1">
      <c r="A17" s="24"/>
      <c r="B17" s="78"/>
      <c r="C17" s="24"/>
      <c r="D17" s="24"/>
      <c r="E17" s="24"/>
      <c r="F17" s="430"/>
      <c r="G17" s="24"/>
      <c r="H17" s="24"/>
      <c r="I17" s="24"/>
      <c r="J17" s="24"/>
      <c r="K17" s="24"/>
      <c r="L17" s="24"/>
      <c r="M17" s="24"/>
      <c r="N17" s="24"/>
      <c r="O17" s="24"/>
      <c r="P17" s="30"/>
      <c r="Q17" s="30"/>
      <c r="R17" s="24"/>
      <c r="S17" s="24"/>
      <c r="T17" s="24"/>
      <c r="U17" s="24"/>
      <c r="V17" s="24"/>
      <c r="W17" s="24"/>
      <c r="X17" s="143"/>
      <c r="Y17" s="24"/>
      <c r="Z17" s="168"/>
      <c r="AA17" s="24"/>
      <c r="AB17" s="24"/>
      <c r="AC17" s="24"/>
      <c r="AD17" s="24"/>
      <c r="AE17" s="24"/>
      <c r="AF17" s="30"/>
      <c r="AG17" s="30"/>
      <c r="AH17" s="24"/>
      <c r="AI17" s="24"/>
      <c r="AJ17" s="24"/>
      <c r="AK17" s="24"/>
      <c r="AL17" s="24"/>
      <c r="AM17" s="24"/>
      <c r="AN17" s="143"/>
    </row>
    <row r="18" spans="1:40" hidden="1" outlineLevel="1" collapsed="1">
      <c r="A18" s="73"/>
      <c r="B18" s="75">
        <f>B11+1</f>
        <v>1990</v>
      </c>
      <c r="C18" s="24"/>
      <c r="D18" s="24"/>
      <c r="E18" s="24"/>
      <c r="F18" s="430"/>
      <c r="G18" s="24"/>
      <c r="H18" s="24"/>
      <c r="I18" s="24"/>
      <c r="J18" s="24"/>
      <c r="K18" s="24"/>
      <c r="L18" s="24"/>
      <c r="M18" s="24"/>
      <c r="N18" s="24"/>
      <c r="O18" s="24"/>
      <c r="P18" s="30"/>
      <c r="Q18" s="30"/>
      <c r="R18" s="24"/>
      <c r="S18" s="24"/>
      <c r="T18" s="24"/>
      <c r="U18" s="24"/>
      <c r="V18" s="24"/>
      <c r="W18" s="24"/>
      <c r="X18" s="143"/>
      <c r="Y18" s="24"/>
      <c r="Z18" s="168"/>
      <c r="AA18" s="24"/>
      <c r="AB18" s="371"/>
      <c r="AC18" s="24"/>
      <c r="AD18" s="24"/>
      <c r="AE18" s="24"/>
      <c r="AF18" s="24"/>
      <c r="AG18" s="30"/>
      <c r="AH18" s="24"/>
      <c r="AI18" s="24"/>
      <c r="AJ18" s="24"/>
      <c r="AK18" s="24"/>
      <c r="AL18" s="24"/>
      <c r="AM18" s="24"/>
      <c r="AN18" s="143"/>
    </row>
    <row r="19" spans="1:40" hidden="1" outlineLevel="1">
      <c r="A19" s="24" t="str">
        <f>$A$47</f>
        <v>1Q</v>
      </c>
      <c r="B19" s="78" t="str">
        <f>$B$47</f>
        <v>Apr</v>
      </c>
      <c r="C19" s="24"/>
      <c r="D19" s="241">
        <f>'qtrP&amp;L'!G10</f>
        <v>14.796338857805758</v>
      </c>
      <c r="E19" s="24" t="s">
        <v>1084</v>
      </c>
      <c r="F19" s="430">
        <f>'qtrP&amp;L'!H10</f>
        <v>11</v>
      </c>
      <c r="G19" s="143" t="s">
        <v>1084</v>
      </c>
      <c r="H19" s="241">
        <f>D19-F19</f>
        <v>3.7963388578057575</v>
      </c>
      <c r="I19" s="143" t="s">
        <v>1084</v>
      </c>
      <c r="J19" s="361">
        <f>+'store&amp;sf'!AQ17</f>
        <v>3418</v>
      </c>
      <c r="K19" s="24"/>
      <c r="L19" s="362">
        <f>AVERAGE(J19,'store&amp;sf'!AQ14)</f>
        <v>3381</v>
      </c>
      <c r="M19" s="24"/>
      <c r="N19" s="244">
        <f>(L19/L12-1)*100</f>
        <v>-2.1134916039374674</v>
      </c>
      <c r="O19" s="254" t="s">
        <v>1084</v>
      </c>
      <c r="P19" s="297">
        <f>H19/N19*100</f>
        <v>-179.62403308028857</v>
      </c>
      <c r="Q19" s="30" t="s">
        <v>1084</v>
      </c>
      <c r="R19" s="24"/>
      <c r="S19" s="33">
        <f>'qtrP&amp;L'!F$10</f>
        <v>1107.345</v>
      </c>
      <c r="T19" s="24"/>
      <c r="U19" s="255">
        <f>S19/L19</f>
        <v>0.32751996450754217</v>
      </c>
      <c r="V19" s="24"/>
      <c r="W19" s="130">
        <f>(U19/U12-1)*100</f>
        <v>17.274934757427118</v>
      </c>
      <c r="X19" s="143" t="s">
        <v>1084</v>
      </c>
      <c r="Y19" s="24"/>
      <c r="Z19" s="958">
        <f>+'store&amp;sf'!AQ381</f>
        <v>18.517499999999998</v>
      </c>
      <c r="AA19" s="24"/>
      <c r="AB19" s="372">
        <f>AVERAGE(Z19,Z8)</f>
        <v>18.517499999999998</v>
      </c>
      <c r="AC19" s="24"/>
      <c r="AD19" s="244">
        <f>(AB19/AB12-1)*100</f>
        <v>-1.114965367320031</v>
      </c>
      <c r="AE19" s="143"/>
      <c r="AF19" s="297">
        <f>+H19/AD19*100</f>
        <v>-340.48939716672703</v>
      </c>
      <c r="AG19" s="30" t="s">
        <v>1084</v>
      </c>
      <c r="AH19" s="24"/>
      <c r="AI19" s="33">
        <f>+S19</f>
        <v>1107.345</v>
      </c>
      <c r="AJ19" s="24"/>
      <c r="AK19" s="153">
        <f>AI19/AB19</f>
        <v>59.799918995544765</v>
      </c>
      <c r="AL19" s="24"/>
      <c r="AM19" s="130">
        <f>(AK19/AK12-1)*100</f>
        <v>16.090710069759485</v>
      </c>
      <c r="AN19" s="143" t="s">
        <v>1084</v>
      </c>
    </row>
    <row r="20" spans="1:40" hidden="1" outlineLevel="1">
      <c r="A20" s="24" t="str">
        <f>$A$48</f>
        <v>2Q</v>
      </c>
      <c r="B20" s="78" t="str">
        <f>$B$48</f>
        <v>Jul</v>
      </c>
      <c r="C20" s="24"/>
      <c r="D20" s="241">
        <f>'qtrP&amp;L'!G11</f>
        <v>16.588978515254205</v>
      </c>
      <c r="E20" s="24"/>
      <c r="F20" s="430">
        <f>'qtrP&amp;L'!H11</f>
        <v>5</v>
      </c>
      <c r="G20" s="143"/>
      <c r="H20" s="241">
        <f>D20-F20</f>
        <v>11.588978515254205</v>
      </c>
      <c r="I20" s="143"/>
      <c r="J20" s="361">
        <f>+'store&amp;sf'!AQ18</f>
        <v>3516</v>
      </c>
      <c r="K20" s="24"/>
      <c r="L20" s="362">
        <f>AVERAGE(J20,J19)</f>
        <v>3467</v>
      </c>
      <c r="M20" s="24"/>
      <c r="N20" s="244">
        <f>(L20/L13-1)*100</f>
        <v>7.1218909315618806</v>
      </c>
      <c r="O20" s="254"/>
      <c r="P20" s="297">
        <f>H20/N20*100</f>
        <v>162.72333607210493</v>
      </c>
      <c r="Q20" s="30"/>
      <c r="R20" s="24"/>
      <c r="S20" s="34">
        <f>'qtrP&amp;L'!F$11</f>
        <v>1154.5619999999999</v>
      </c>
      <c r="T20" s="24"/>
      <c r="U20" s="257">
        <f>S20/L20</f>
        <v>0.3330147101240265</v>
      </c>
      <c r="V20" s="24"/>
      <c r="W20" s="130">
        <f>(U20/U13-1)*100</f>
        <v>8.8376778092357213</v>
      </c>
      <c r="X20" s="143"/>
      <c r="Y20" s="24"/>
      <c r="Z20" s="958">
        <f>+'store&amp;sf'!AQ382</f>
        <v>19.305</v>
      </c>
      <c r="AA20" s="24"/>
      <c r="AB20" s="372">
        <f>AVERAGE(Z20,Z19)</f>
        <v>18.911249999999999</v>
      </c>
      <c r="AC20" s="24"/>
      <c r="AD20" s="244">
        <f>(AB20/AB13-1)*100</f>
        <v>7.0208325964701279</v>
      </c>
      <c r="AE20" s="143"/>
      <c r="AF20" s="297">
        <f>+H20/AD20*100</f>
        <v>165.06558668099862</v>
      </c>
      <c r="AG20" s="30"/>
      <c r="AH20" s="24"/>
      <c r="AI20" s="34">
        <f>+S20</f>
        <v>1154.5619999999999</v>
      </c>
      <c r="AJ20" s="24"/>
      <c r="AK20" s="154">
        <f>AI20/AB20</f>
        <v>61.05159627206028</v>
      </c>
      <c r="AL20" s="24"/>
      <c r="AM20" s="130">
        <f>(AK20/AK13-1)*100</f>
        <v>8.9404517668643777</v>
      </c>
      <c r="AN20" s="143"/>
    </row>
    <row r="21" spans="1:40" hidden="1" outlineLevel="1">
      <c r="A21" s="24" t="str">
        <f>$A$49</f>
        <v>3Q</v>
      </c>
      <c r="B21" s="78" t="str">
        <f>$B$49</f>
        <v>Oct</v>
      </c>
      <c r="C21" s="24"/>
      <c r="D21" s="241">
        <f>'qtrP&amp;L'!G12</f>
        <v>12.377335654316401</v>
      </c>
      <c r="E21" s="24"/>
      <c r="F21" s="430">
        <f>'qtrP&amp;L'!H12</f>
        <v>-1</v>
      </c>
      <c r="G21" s="143"/>
      <c r="H21" s="241">
        <f>D21-F21</f>
        <v>13.377335654316401</v>
      </c>
      <c r="I21" s="143"/>
      <c r="J21" s="361">
        <f>+'store&amp;sf'!AQ19</f>
        <v>3689</v>
      </c>
      <c r="K21" s="24"/>
      <c r="L21" s="362">
        <f>AVERAGE(J21,J20)</f>
        <v>3602.5</v>
      </c>
      <c r="M21" s="24"/>
      <c r="N21" s="244">
        <f>(L21/L14-1)*100</f>
        <v>13.446701306880815</v>
      </c>
      <c r="O21" s="254"/>
      <c r="P21" s="297">
        <f>H21/N21*100</f>
        <v>99.484143724313128</v>
      </c>
      <c r="Q21" s="30"/>
      <c r="R21" s="24"/>
      <c r="S21" s="34">
        <f>'qtrP&amp;L'!F$12</f>
        <v>1247.893</v>
      </c>
      <c r="T21" s="24"/>
      <c r="U21" s="257">
        <f>S21/L21</f>
        <v>0.34639639139486467</v>
      </c>
      <c r="V21" s="24"/>
      <c r="W21" s="130">
        <f>(U21/U14-1)*100</f>
        <v>-0.94261502559840338</v>
      </c>
      <c r="X21" s="143"/>
      <c r="Y21" s="24"/>
      <c r="Z21" s="958">
        <f>+'store&amp;sf'!AQ383</f>
        <v>20.6875</v>
      </c>
      <c r="AA21" s="24"/>
      <c r="AB21" s="372">
        <f>AVERAGE(Z21,Z20)</f>
        <v>19.99625</v>
      </c>
      <c r="AC21" s="24"/>
      <c r="AD21" s="244">
        <f>(AB21/AB14-1)*100</f>
        <v>15.970711903726254</v>
      </c>
      <c r="AE21" s="143"/>
      <c r="AF21" s="297">
        <f>+H21/AD21*100</f>
        <v>83.761674087898527</v>
      </c>
      <c r="AG21" s="30"/>
      <c r="AH21" s="24"/>
      <c r="AI21" s="34">
        <f>+S21</f>
        <v>1247.893</v>
      </c>
      <c r="AJ21" s="24"/>
      <c r="AK21" s="154">
        <f>AI21/AB21</f>
        <v>62.406351190848284</v>
      </c>
      <c r="AL21" s="24"/>
      <c r="AM21" s="130">
        <f>(AK21/AK14-1)*100</f>
        <v>-3.0985204716108994</v>
      </c>
      <c r="AN21" s="143"/>
    </row>
    <row r="22" spans="1:40" hidden="1" outlineLevel="1">
      <c r="A22" s="24" t="str">
        <f>$A$50</f>
        <v>4Q</v>
      </c>
      <c r="B22" s="78" t="str">
        <f>$B$50</f>
        <v>Jan</v>
      </c>
      <c r="C22" s="24"/>
      <c r="D22" s="242">
        <f>'qtrP&amp;L'!G13</f>
        <v>10.182387338032029</v>
      </c>
      <c r="E22" s="24"/>
      <c r="F22" s="431">
        <f>'qtrP&amp;L'!H13</f>
        <v>-1</v>
      </c>
      <c r="G22" s="143"/>
      <c r="H22" s="242">
        <f>D22-F22</f>
        <v>11.182387338032029</v>
      </c>
      <c r="I22" s="143"/>
      <c r="J22" s="361">
        <f>+'store&amp;sf'!AQ20</f>
        <v>3755</v>
      </c>
      <c r="K22" s="24"/>
      <c r="L22" s="363">
        <f>AVERAGE(J22,J21)</f>
        <v>3722</v>
      </c>
      <c r="M22" s="24"/>
      <c r="N22" s="295">
        <f>(L22/L15-1)*100</f>
        <v>12.226745062565957</v>
      </c>
      <c r="O22" s="254"/>
      <c r="P22" s="298">
        <f>H22/N22*100</f>
        <v>91.458415799218812</v>
      </c>
      <c r="Q22" s="30"/>
      <c r="R22" s="24"/>
      <c r="S22" s="38">
        <f>'qtrP&amp;L'!F$13</f>
        <v>1743.7090000000001</v>
      </c>
      <c r="T22" s="24"/>
      <c r="U22" s="258">
        <f>S22/L22</f>
        <v>0.46848710370768404</v>
      </c>
      <c r="V22" s="24"/>
      <c r="W22" s="131">
        <f>(U22/U15-1)*100</f>
        <v>-1.8216314866783323</v>
      </c>
      <c r="X22" s="143"/>
      <c r="Y22" s="24"/>
      <c r="Z22" s="958">
        <f>+'store&amp;sf'!AQ384</f>
        <v>21.259999999999998</v>
      </c>
      <c r="AA22" s="24"/>
      <c r="AB22" s="373">
        <f>AVERAGE(Z22,Z21)</f>
        <v>20.973749999999999</v>
      </c>
      <c r="AC22" s="24"/>
      <c r="AD22" s="295">
        <f>(AB22/AB15-1)*100</f>
        <v>18.153651151327367</v>
      </c>
      <c r="AE22" s="143"/>
      <c r="AF22" s="298">
        <f>+H22/AD22*100</f>
        <v>61.598558024589941</v>
      </c>
      <c r="AG22" s="30"/>
      <c r="AH22" s="24"/>
      <c r="AI22" s="38">
        <f>+S22</f>
        <v>1743.7090000000001</v>
      </c>
      <c r="AJ22" s="24"/>
      <c r="AK22" s="169">
        <f>AI22/AB22</f>
        <v>83.137684009774134</v>
      </c>
      <c r="AL22" s="24"/>
      <c r="AM22" s="131">
        <f>(AK22/AK15-1)*100</f>
        <v>-6.7465234765246462</v>
      </c>
      <c r="AN22" s="143"/>
    </row>
    <row r="23" spans="1:40" hidden="1" outlineLevel="1">
      <c r="A23" s="24"/>
      <c r="B23" s="78" t="str">
        <f>$B$51</f>
        <v>Year</v>
      </c>
      <c r="C23" s="24"/>
      <c r="D23" s="241">
        <f>+'qtrP&amp;L'!G14</f>
        <v>13.029344764406247</v>
      </c>
      <c r="E23" s="24"/>
      <c r="F23" s="430">
        <f>'qtrP&amp;L'!H14</f>
        <v>3</v>
      </c>
      <c r="G23" s="143"/>
      <c r="H23" s="241">
        <f>D23-F23</f>
        <v>10.029344764406247</v>
      </c>
      <c r="I23" s="143"/>
      <c r="J23" s="31"/>
      <c r="K23" s="24"/>
      <c r="L23" s="81">
        <f>AVERAGE(L19:L22)</f>
        <v>3543.125</v>
      </c>
      <c r="M23" s="24"/>
      <c r="N23" s="244">
        <f>(L23/L16-1)*100</f>
        <v>7.5099563815664627</v>
      </c>
      <c r="O23" s="254"/>
      <c r="P23" s="297">
        <f>H23/N23*100</f>
        <v>133.54731046139949</v>
      </c>
      <c r="Q23" s="30"/>
      <c r="R23" s="24"/>
      <c r="S23" s="33">
        <f>SUM(S19:S22)</f>
        <v>5253.509</v>
      </c>
      <c r="T23" s="24"/>
      <c r="U23" s="35">
        <f>SUM(U19:U22)</f>
        <v>1.4754181697341175</v>
      </c>
      <c r="V23" s="24"/>
      <c r="W23" s="130">
        <f>(U23/U16-1)*100</f>
        <v>4.4823980290999543</v>
      </c>
      <c r="X23" s="143"/>
      <c r="Y23" s="24"/>
      <c r="Z23" s="959"/>
      <c r="AA23" s="24"/>
      <c r="AB23" s="372">
        <f>AVERAGE(AB19:AB22)</f>
        <v>19.599687499999998</v>
      </c>
      <c r="AC23" s="24"/>
      <c r="AD23" s="244">
        <f>(AB23/AB16-1)*100</f>
        <v>9.8165259697812637</v>
      </c>
      <c r="AE23" s="143"/>
      <c r="AF23" s="297">
        <f>+H23/AD23*100</f>
        <v>102.16796446400809</v>
      </c>
      <c r="AG23" s="30"/>
      <c r="AH23" s="24"/>
      <c r="AI23" s="33">
        <f>SUM(AI19:AI22)</f>
        <v>5253.509</v>
      </c>
      <c r="AJ23" s="24"/>
      <c r="AK23" s="153">
        <f>SUM(AK19:AK22)</f>
        <v>266.39555046822744</v>
      </c>
      <c r="AL23" s="24"/>
      <c r="AM23" s="130">
        <f>(AK23/AK16-1)*100</f>
        <v>2.0254913982810985</v>
      </c>
      <c r="AN23" s="143"/>
    </row>
    <row r="24" spans="1:40" hidden="1" outlineLevel="1">
      <c r="A24" s="24"/>
      <c r="B24" s="78"/>
      <c r="C24" s="24"/>
      <c r="D24" s="24"/>
      <c r="E24" s="24"/>
      <c r="F24" s="430"/>
      <c r="G24" s="143"/>
      <c r="H24" s="24"/>
      <c r="I24" s="143"/>
      <c r="J24" s="31"/>
      <c r="K24" s="24"/>
      <c r="L24" s="24"/>
      <c r="M24" s="24"/>
      <c r="N24" s="24"/>
      <c r="O24" s="143"/>
      <c r="P24" s="30"/>
      <c r="Q24" s="30"/>
      <c r="R24" s="24"/>
      <c r="S24" s="24"/>
      <c r="T24" s="24"/>
      <c r="U24" s="24"/>
      <c r="V24" s="24"/>
      <c r="W24" s="24"/>
      <c r="X24" s="143"/>
      <c r="Y24" s="24"/>
      <c r="Z24" s="959"/>
      <c r="AA24" s="24"/>
      <c r="AB24" s="371"/>
      <c r="AC24" s="24"/>
      <c r="AD24" s="24"/>
      <c r="AE24" s="143"/>
      <c r="AF24" s="194"/>
      <c r="AG24" s="30"/>
      <c r="AH24" s="24"/>
      <c r="AI24" s="24"/>
      <c r="AJ24" s="24"/>
      <c r="AK24" s="24"/>
      <c r="AL24" s="24"/>
      <c r="AM24" s="24"/>
      <c r="AN24" s="143"/>
    </row>
    <row r="25" spans="1:40" hidden="1" outlineLevel="1" collapsed="1">
      <c r="A25" s="73"/>
      <c r="B25" s="75">
        <f>B18+1</f>
        <v>1991</v>
      </c>
      <c r="C25" s="24"/>
      <c r="D25" s="168"/>
      <c r="E25" s="168"/>
      <c r="F25" s="432"/>
      <c r="G25" s="254"/>
      <c r="H25" s="168"/>
      <c r="I25" s="168"/>
      <c r="J25" s="168"/>
      <c r="K25" s="168"/>
      <c r="L25" s="168"/>
      <c r="M25" s="168"/>
      <c r="N25" s="168"/>
      <c r="O25" s="168"/>
      <c r="P25" s="253"/>
      <c r="Q25" s="253"/>
      <c r="R25" s="168"/>
      <c r="S25" s="168"/>
      <c r="T25" s="168"/>
      <c r="U25" s="168"/>
      <c r="V25" s="24"/>
      <c r="W25" s="24"/>
      <c r="X25" s="143"/>
      <c r="Y25" s="24"/>
      <c r="Z25" s="958"/>
      <c r="AA25" s="24"/>
      <c r="AB25" s="371"/>
      <c r="AC25" s="24"/>
      <c r="AD25" s="168"/>
      <c r="AE25" s="24"/>
      <c r="AF25" s="297"/>
      <c r="AG25" s="30"/>
      <c r="AH25" s="24"/>
      <c r="AI25" s="24"/>
      <c r="AJ25" s="24"/>
      <c r="AK25" s="24"/>
      <c r="AL25" s="24"/>
      <c r="AM25" s="24"/>
      <c r="AN25" s="143"/>
    </row>
    <row r="26" spans="1:40" hidden="1" outlineLevel="1">
      <c r="A26" s="24" t="str">
        <f>$A$47</f>
        <v>1Q</v>
      </c>
      <c r="B26" s="78" t="str">
        <f>$B$47</f>
        <v>Apr</v>
      </c>
      <c r="C26" s="24"/>
      <c r="D26" s="244">
        <f>(S26/S19-1)*100</f>
        <v>15.996550307266478</v>
      </c>
      <c r="E26" s="244" t="s">
        <v>1084</v>
      </c>
      <c r="F26" s="432">
        <f>'qtrP&amp;L'!L$10</f>
        <v>1</v>
      </c>
      <c r="G26" s="296" t="s">
        <v>1084</v>
      </c>
      <c r="H26" s="244">
        <f>D26-F26</f>
        <v>14.996550307266478</v>
      </c>
      <c r="I26" s="254" t="s">
        <v>1084</v>
      </c>
      <c r="J26" s="361">
        <f>+'store&amp;sf'!AQ23</f>
        <v>3802</v>
      </c>
      <c r="K26" s="168"/>
      <c r="L26" s="362">
        <f>AVERAGE(J26,J22)</f>
        <v>3778.5</v>
      </c>
      <c r="M26" s="168"/>
      <c r="N26" s="244">
        <f>(L26/L19-1)*100</f>
        <v>11.756876663708971</v>
      </c>
      <c r="O26" s="254" t="s">
        <v>1084</v>
      </c>
      <c r="P26" s="297">
        <f>H26/N26*100</f>
        <v>127.55556374557968</v>
      </c>
      <c r="Q26" s="253" t="s">
        <v>1084</v>
      </c>
      <c r="R26" s="168"/>
      <c r="S26" s="240">
        <f>'qtrP&amp;L'!J$10</f>
        <v>1284.482</v>
      </c>
      <c r="T26" s="168"/>
      <c r="U26" s="255">
        <f>S26/L26</f>
        <v>0.33994495170041023</v>
      </c>
      <c r="V26" s="24"/>
      <c r="W26" s="130">
        <f>(U26/U19-1)*100</f>
        <v>3.7936579565615913</v>
      </c>
      <c r="X26" s="143" t="s">
        <v>1084</v>
      </c>
      <c r="Y26" s="24"/>
      <c r="Z26" s="958">
        <f>+'store&amp;sf'!AQ387</f>
        <v>21.656249999999996</v>
      </c>
      <c r="AA26" s="24"/>
      <c r="AB26" s="372">
        <f>AVERAGE(Z26,Z22)</f>
        <v>21.458124999999995</v>
      </c>
      <c r="AC26" s="24"/>
      <c r="AD26" s="244">
        <f>(AB26/AB19-1)*100</f>
        <v>15.880248413662734</v>
      </c>
      <c r="AE26" s="143" t="s">
        <v>1084</v>
      </c>
      <c r="AF26" s="297">
        <f>+H26/AD26*100</f>
        <v>94.435237514068376</v>
      </c>
      <c r="AG26" s="30" t="s">
        <v>1084</v>
      </c>
      <c r="AH26" s="24"/>
      <c r="AI26" s="33">
        <f>+S26</f>
        <v>1284.482</v>
      </c>
      <c r="AJ26" s="24"/>
      <c r="AK26" s="153">
        <f>AI26/AB26</f>
        <v>59.859936504237915</v>
      </c>
      <c r="AL26" s="24"/>
      <c r="AM26" s="130">
        <f>(AK26/AK19-1)*100</f>
        <v>0.10036386286347287</v>
      </c>
      <c r="AN26" s="143" t="s">
        <v>1084</v>
      </c>
    </row>
    <row r="27" spans="1:40" hidden="1" outlineLevel="1">
      <c r="A27" s="24" t="str">
        <f>$A$48</f>
        <v>2Q</v>
      </c>
      <c r="B27" s="78" t="str">
        <f>$B$48</f>
        <v>Jul</v>
      </c>
      <c r="C27" s="24"/>
      <c r="D27" s="244">
        <f>(S27/S20-1)*100</f>
        <v>19.108804897441622</v>
      </c>
      <c r="E27" s="244"/>
      <c r="F27" s="432">
        <f>'qtrP&amp;L'!L$11</f>
        <v>6</v>
      </c>
      <c r="G27" s="296"/>
      <c r="H27" s="244">
        <f>D27-F27</f>
        <v>13.108804897441622</v>
      </c>
      <c r="I27" s="254"/>
      <c r="J27" s="361">
        <f>+'store&amp;sf'!AQ24</f>
        <v>3894</v>
      </c>
      <c r="K27" s="168"/>
      <c r="L27" s="362">
        <f>AVERAGE(J27,J26)</f>
        <v>3848</v>
      </c>
      <c r="M27" s="168"/>
      <c r="N27" s="244">
        <f>(L27/L20-1)*100</f>
        <v>10.989327949235662</v>
      </c>
      <c r="O27" s="254"/>
      <c r="P27" s="297">
        <f>H27/N27*100</f>
        <v>119.28668393551196</v>
      </c>
      <c r="Q27" s="253"/>
      <c r="R27" s="168"/>
      <c r="S27" s="249">
        <f>'qtrP&amp;L'!J$11</f>
        <v>1375.1849999999999</v>
      </c>
      <c r="T27" s="168"/>
      <c r="U27" s="257">
        <f>S27/L27</f>
        <v>0.35737655925155926</v>
      </c>
      <c r="V27" s="24"/>
      <c r="W27" s="130">
        <f>(U27/U20-1)*100</f>
        <v>7.3155474478768578</v>
      </c>
      <c r="X27" s="143"/>
      <c r="Y27" s="24"/>
      <c r="Z27" s="958">
        <f>+'store&amp;sf'!AQ388</f>
        <v>22.545000000000002</v>
      </c>
      <c r="AA27" s="24"/>
      <c r="AB27" s="372">
        <f>AVERAGE(Z27,Z26)</f>
        <v>22.100625000000001</v>
      </c>
      <c r="AC27" s="24"/>
      <c r="AD27" s="244">
        <f>(AB27/AB20-1)*100</f>
        <v>16.864961332540162</v>
      </c>
      <c r="AE27" s="143"/>
      <c r="AF27" s="297">
        <f>+H27/AD27*100</f>
        <v>77.728045970368115</v>
      </c>
      <c r="AG27" s="30"/>
      <c r="AH27" s="24"/>
      <c r="AI27" s="34">
        <f>+S27</f>
        <v>1375.1849999999999</v>
      </c>
      <c r="AJ27" s="24"/>
      <c r="AK27" s="154">
        <f>AI27/AB27</f>
        <v>62.223805887842531</v>
      </c>
      <c r="AL27" s="24"/>
      <c r="AM27" s="130">
        <f>(AK27/AK20-1)*100</f>
        <v>1.9200310677522703</v>
      </c>
      <c r="AN27" s="143"/>
    </row>
    <row r="28" spans="1:40" hidden="1" outlineLevel="1">
      <c r="A28" s="24" t="str">
        <f>$A$49</f>
        <v>3Q</v>
      </c>
      <c r="B28" s="78" t="str">
        <f>$B$49</f>
        <v>Oct</v>
      </c>
      <c r="C28" s="24"/>
      <c r="D28" s="244">
        <f>(S28/S21-1)*100</f>
        <v>14.86657910574063</v>
      </c>
      <c r="E28" s="244"/>
      <c r="F28" s="432">
        <f>'qtrP&amp;L'!L$12</f>
        <v>2</v>
      </c>
      <c r="G28" s="296"/>
      <c r="H28" s="244">
        <f>D28-F28</f>
        <v>12.86657910574063</v>
      </c>
      <c r="I28" s="254"/>
      <c r="J28" s="361">
        <f>+'store&amp;sf'!AQ25</f>
        <v>4087</v>
      </c>
      <c r="K28" s="168"/>
      <c r="L28" s="362">
        <f>AVERAGE(J28,J27)</f>
        <v>3990.5</v>
      </c>
      <c r="M28" s="168"/>
      <c r="N28" s="244">
        <f>(L28/L21-1)*100</f>
        <v>10.770298403886191</v>
      </c>
      <c r="O28" s="254"/>
      <c r="P28" s="297">
        <f>H28/N28*100</f>
        <v>119.46353409389334</v>
      </c>
      <c r="Q28" s="253"/>
      <c r="R28" s="168"/>
      <c r="S28" s="249">
        <f>'qtrP&amp;L'!J$12</f>
        <v>1433.412</v>
      </c>
      <c r="T28" s="168"/>
      <c r="U28" s="257">
        <f>S28/L28</f>
        <v>0.35920611452198975</v>
      </c>
      <c r="V28" s="24"/>
      <c r="W28" s="130">
        <f>(U28/U21-1)*100</f>
        <v>3.6979955465306746</v>
      </c>
      <c r="X28" s="143"/>
      <c r="Y28" s="24"/>
      <c r="Z28" s="958">
        <f>+'store&amp;sf'!AQ389</f>
        <v>24.346250000000001</v>
      </c>
      <c r="AA28" s="24"/>
      <c r="AB28" s="372">
        <f>AVERAGE(Z28,Z27)</f>
        <v>23.445625</v>
      </c>
      <c r="AC28" s="24"/>
      <c r="AD28" s="244">
        <f>(AB28/AB21-1)*100</f>
        <v>17.250109395511657</v>
      </c>
      <c r="AE28" s="143"/>
      <c r="AF28" s="297">
        <f>+H28/AD28*100</f>
        <v>74.588391358772554</v>
      </c>
      <c r="AG28" s="30"/>
      <c r="AH28" s="24"/>
      <c r="AI28" s="34">
        <f>+S28</f>
        <v>1433.412</v>
      </c>
      <c r="AJ28" s="24"/>
      <c r="AK28" s="154">
        <f>AI28/AB28</f>
        <v>61.137717591235038</v>
      </c>
      <c r="AL28" s="24"/>
      <c r="AM28" s="130">
        <f>(AK28/AK21-1)*100</f>
        <v>-2.0328597577089047</v>
      </c>
      <c r="AN28" s="143"/>
    </row>
    <row r="29" spans="1:40" hidden="1" outlineLevel="1">
      <c r="A29" s="24" t="str">
        <f>$A$50</f>
        <v>4Q</v>
      </c>
      <c r="B29" s="78" t="str">
        <f>$B$50</f>
        <v>Jan</v>
      </c>
      <c r="C29" s="24"/>
      <c r="D29" s="295">
        <f>(S29/S22-1)*100</f>
        <v>17.917553903776362</v>
      </c>
      <c r="E29" s="244"/>
      <c r="F29" s="433">
        <f>'qtrP&amp;L'!L$13</f>
        <v>3</v>
      </c>
      <c r="G29" s="296"/>
      <c r="H29" s="295">
        <f>D29-F29</f>
        <v>14.917553903776362</v>
      </c>
      <c r="I29" s="254"/>
      <c r="J29" s="361">
        <f>+'store&amp;sf'!AQ26</f>
        <v>4194</v>
      </c>
      <c r="K29" s="168"/>
      <c r="L29" s="363">
        <f>AVERAGE(J29,J28)</f>
        <v>4140.5</v>
      </c>
      <c r="M29" s="168"/>
      <c r="N29" s="295">
        <f>(L29/L22-1)*100</f>
        <v>11.24395486297689</v>
      </c>
      <c r="O29" s="254"/>
      <c r="P29" s="298">
        <f>H29/N29*100</f>
        <v>132.67176972486411</v>
      </c>
      <c r="Q29" s="253"/>
      <c r="R29" s="168"/>
      <c r="S29" s="250">
        <f>'qtrP&amp;L'!J$13</f>
        <v>2056.1389999999997</v>
      </c>
      <c r="T29" s="168"/>
      <c r="U29" s="258">
        <f>S29/L29</f>
        <v>0.49659195749305629</v>
      </c>
      <c r="V29" s="24"/>
      <c r="W29" s="131">
        <f>(U29/U22-1)*100</f>
        <v>5.9990666899784051</v>
      </c>
      <c r="X29" s="143"/>
      <c r="Y29" s="24"/>
      <c r="Z29" s="958">
        <f>+'store&amp;sf'!AQ390</f>
        <v>25.443749999999998</v>
      </c>
      <c r="AA29" s="24"/>
      <c r="AB29" s="373">
        <f>AVERAGE(Z29,Z28)</f>
        <v>24.895</v>
      </c>
      <c r="AC29" s="24"/>
      <c r="AD29" s="295">
        <f>(AB29/AB22-1)*100</f>
        <v>18.695989033911431</v>
      </c>
      <c r="AE29" s="143"/>
      <c r="AF29" s="298">
        <f>+H29/AD29*100</f>
        <v>79.790129726319307</v>
      </c>
      <c r="AG29" s="30"/>
      <c r="AH29" s="24"/>
      <c r="AI29" s="38">
        <f>+S29</f>
        <v>2056.1389999999997</v>
      </c>
      <c r="AJ29" s="24"/>
      <c r="AK29" s="169">
        <f>AI29/AB29</f>
        <v>82.5924482827877</v>
      </c>
      <c r="AL29" s="24"/>
      <c r="AM29" s="131">
        <f>(AK29/AK22-1)*100</f>
        <v>-0.65582260737782061</v>
      </c>
      <c r="AN29" s="143"/>
    </row>
    <row r="30" spans="1:40" hidden="1" outlineLevel="1">
      <c r="A30" s="24"/>
      <c r="B30" s="78" t="str">
        <f>$B$51</f>
        <v>Year</v>
      </c>
      <c r="C30" s="24"/>
      <c r="D30" s="244">
        <f>(S30/S23-1)*100</f>
        <v>17.049728096021145</v>
      </c>
      <c r="E30" s="244"/>
      <c r="F30" s="432">
        <f>'qtrP&amp;L'!L$14</f>
        <v>3</v>
      </c>
      <c r="G30" s="296"/>
      <c r="H30" s="244">
        <f>D30-F30</f>
        <v>14.049728096021145</v>
      </c>
      <c r="I30" s="254"/>
      <c r="J30" s="150"/>
      <c r="K30" s="168"/>
      <c r="L30" s="256">
        <f>AVERAGE(L26:L29)</f>
        <v>3939.375</v>
      </c>
      <c r="M30" s="168"/>
      <c r="N30" s="244">
        <f>(L30/L23-1)*100</f>
        <v>11.183630269888866</v>
      </c>
      <c r="O30" s="254"/>
      <c r="P30" s="297">
        <f>H30/N30*100</f>
        <v>125.62761605101559</v>
      </c>
      <c r="Q30" s="253"/>
      <c r="R30" s="168"/>
      <c r="S30" s="240">
        <f>SUM(S26:S29)</f>
        <v>6149.2179999999989</v>
      </c>
      <c r="T30" s="168"/>
      <c r="U30" s="255">
        <f>SUM(U26:U29)</f>
        <v>1.5531195829670157</v>
      </c>
      <c r="V30" s="24"/>
      <c r="W30" s="130">
        <f>(U30/U23-1)*100</f>
        <v>5.2663993725182712</v>
      </c>
      <c r="X30" s="143"/>
      <c r="Y30" s="24"/>
      <c r="Z30" s="959"/>
      <c r="AA30" s="24"/>
      <c r="AB30" s="372">
        <f>AVERAGE(AB26:AB29)</f>
        <v>22.974843749999998</v>
      </c>
      <c r="AC30" s="24"/>
      <c r="AD30" s="244">
        <f>(AB30/AB23-1)*100</f>
        <v>17.220459509877383</v>
      </c>
      <c r="AE30" s="143"/>
      <c r="AF30" s="297">
        <f>+H30/AD30*100</f>
        <v>81.587416920915743</v>
      </c>
      <c r="AG30" s="30"/>
      <c r="AH30" s="24"/>
      <c r="AI30" s="33">
        <f>SUM(AI26:AI29)</f>
        <v>6149.2179999999989</v>
      </c>
      <c r="AJ30" s="24"/>
      <c r="AK30" s="153">
        <f>SUM(AK26:AK29)</f>
        <v>265.81390826610317</v>
      </c>
      <c r="AL30" s="24"/>
      <c r="AM30" s="130">
        <f>(AK30/AK23-1)*100</f>
        <v>-0.21833780673211622</v>
      </c>
      <c r="AN30" s="143"/>
    </row>
    <row r="31" spans="1:40" hidden="1" outlineLevel="1">
      <c r="A31" s="24"/>
      <c r="B31" s="78"/>
      <c r="C31" s="24"/>
      <c r="D31" s="244"/>
      <c r="E31" s="244"/>
      <c r="F31" s="432"/>
      <c r="G31" s="296"/>
      <c r="H31" s="244"/>
      <c r="I31" s="254"/>
      <c r="J31" s="150"/>
      <c r="K31" s="168"/>
      <c r="L31" s="168"/>
      <c r="M31" s="168"/>
      <c r="N31" s="168"/>
      <c r="O31" s="254"/>
      <c r="P31" s="253"/>
      <c r="Q31" s="253"/>
      <c r="R31" s="168"/>
      <c r="S31" s="168"/>
      <c r="T31" s="168"/>
      <c r="U31" s="168"/>
      <c r="V31" s="24"/>
      <c r="W31" s="24"/>
      <c r="X31" s="143"/>
      <c r="Y31" s="24"/>
      <c r="Z31" s="959"/>
      <c r="AA31" s="24"/>
      <c r="AB31" s="371"/>
      <c r="AC31" s="24"/>
      <c r="AD31" s="168"/>
      <c r="AE31" s="143"/>
      <c r="AF31" s="297"/>
      <c r="AG31" s="30"/>
      <c r="AH31" s="24"/>
      <c r="AI31" s="24"/>
      <c r="AJ31" s="24"/>
      <c r="AK31" s="24"/>
      <c r="AL31" s="24"/>
      <c r="AM31" s="24"/>
      <c r="AN31" s="143"/>
    </row>
    <row r="32" spans="1:40" hidden="1" outlineLevel="1" collapsed="1">
      <c r="A32" s="73"/>
      <c r="B32" s="75">
        <f>B25+1</f>
        <v>1992</v>
      </c>
      <c r="C32" s="24"/>
      <c r="D32" s="244"/>
      <c r="E32" s="244"/>
      <c r="F32" s="432"/>
      <c r="G32" s="296"/>
      <c r="H32" s="244"/>
      <c r="I32" s="168"/>
      <c r="J32" s="168"/>
      <c r="K32" s="168"/>
      <c r="L32" s="168"/>
      <c r="M32" s="168"/>
      <c r="N32" s="168"/>
      <c r="O32" s="168"/>
      <c r="P32" s="253"/>
      <c r="Q32" s="253"/>
      <c r="R32" s="168"/>
      <c r="S32" s="168"/>
      <c r="T32" s="168"/>
      <c r="U32" s="168"/>
      <c r="V32" s="24"/>
      <c r="W32" s="24"/>
      <c r="X32" s="143"/>
      <c r="Y32" s="24"/>
      <c r="Z32" s="958"/>
      <c r="AA32" s="24"/>
      <c r="AB32" s="371"/>
      <c r="AC32" s="24"/>
      <c r="AD32" s="168"/>
      <c r="AE32" s="24"/>
      <c r="AF32" s="297"/>
      <c r="AG32" s="30"/>
      <c r="AH32" s="24"/>
      <c r="AI32" s="24"/>
      <c r="AJ32" s="24"/>
      <c r="AK32" s="24"/>
      <c r="AL32" s="24"/>
      <c r="AM32" s="24"/>
      <c r="AN32" s="143"/>
    </row>
    <row r="33" spans="1:40" hidden="1" outlineLevel="1">
      <c r="A33" s="24" t="str">
        <f>$A$47</f>
        <v>1Q</v>
      </c>
      <c r="B33" s="78" t="str">
        <f>$B$47</f>
        <v>Apr</v>
      </c>
      <c r="C33" s="24"/>
      <c r="D33" s="244">
        <f>(S33/S26-1)*100</f>
        <v>10.209796633973856</v>
      </c>
      <c r="E33" s="244" t="s">
        <v>1084</v>
      </c>
      <c r="F33" s="432">
        <f>'qtrP&amp;L'!P$10</f>
        <v>0</v>
      </c>
      <c r="G33" s="296" t="s">
        <v>1084</v>
      </c>
      <c r="H33" s="244">
        <f>D33-F33</f>
        <v>10.209796633973856</v>
      </c>
      <c r="I33" s="254" t="s">
        <v>1084</v>
      </c>
      <c r="J33" s="361">
        <f>+'store&amp;sf'!AQ29</f>
        <v>4257</v>
      </c>
      <c r="K33" s="168"/>
      <c r="L33" s="362">
        <f>AVERAGE(J33,J29)</f>
        <v>4225.5</v>
      </c>
      <c r="M33" s="168"/>
      <c r="N33" s="244">
        <f>(L33/L26-1)*100</f>
        <v>11.830091306073843</v>
      </c>
      <c r="O33" s="254" t="s">
        <v>1084</v>
      </c>
      <c r="P33" s="297">
        <f>H33/N33*100</f>
        <v>86.303616513356147</v>
      </c>
      <c r="Q33" s="253" t="s">
        <v>1084</v>
      </c>
      <c r="R33" s="168"/>
      <c r="S33" s="240">
        <f>'qtrP&amp;L'!N$10</f>
        <v>1415.625</v>
      </c>
      <c r="T33" s="168"/>
      <c r="U33" s="255">
        <f>S33/L33</f>
        <v>0.33501952431664894</v>
      </c>
      <c r="V33" s="24"/>
      <c r="W33" s="130">
        <f>(U33/U26-1)*100</f>
        <v>-1.4488896979126253</v>
      </c>
      <c r="X33" s="143" t="s">
        <v>1084</v>
      </c>
      <c r="Y33" s="24"/>
      <c r="Z33" s="958">
        <f>+'store&amp;sf'!AQ393</f>
        <v>26.052499999999998</v>
      </c>
      <c r="AA33" s="24"/>
      <c r="AB33" s="372">
        <f>AVERAGE(Z33,Z29)</f>
        <v>25.748124999999998</v>
      </c>
      <c r="AC33" s="24"/>
      <c r="AD33" s="244">
        <f>(AB33/AB26-1)*100</f>
        <v>19.992427110942845</v>
      </c>
      <c r="AE33" s="143" t="s">
        <v>1084</v>
      </c>
      <c r="AF33" s="297">
        <f>+H33/AD33*100</f>
        <v>51.068319905918415</v>
      </c>
      <c r="AG33" s="30" t="s">
        <v>1084</v>
      </c>
      <c r="AH33" s="24"/>
      <c r="AI33" s="33">
        <f>+S33</f>
        <v>1415.625</v>
      </c>
      <c r="AJ33" s="24"/>
      <c r="AK33" s="153">
        <f>AI33/AB33</f>
        <v>54.979731533849559</v>
      </c>
      <c r="AL33" s="24"/>
      <c r="AM33" s="37">
        <f>(AK33/AK26-1)*100</f>
        <v>-8.152706560326628</v>
      </c>
      <c r="AN33" s="143" t="s">
        <v>1084</v>
      </c>
    </row>
    <row r="34" spans="1:40" hidden="1" outlineLevel="1">
      <c r="A34" s="24" t="str">
        <f>$A$48</f>
        <v>2Q</v>
      </c>
      <c r="B34" s="78" t="str">
        <f>$B$48</f>
        <v>Jul</v>
      </c>
      <c r="C34" s="24"/>
      <c r="D34" s="244">
        <f>(S34/S27-1)*100</f>
        <v>8.3049189745379781</v>
      </c>
      <c r="E34" s="244"/>
      <c r="F34" s="432">
        <f>'qtrP&amp;L'!P$11</f>
        <v>-4</v>
      </c>
      <c r="G34" s="244"/>
      <c r="H34" s="244">
        <f>D34-F34</f>
        <v>12.304918974537978</v>
      </c>
      <c r="I34" s="254"/>
      <c r="J34" s="361">
        <f>+'store&amp;sf'!AQ30</f>
        <v>4315</v>
      </c>
      <c r="K34" s="168"/>
      <c r="L34" s="362">
        <f>AVERAGE(J34,J33)</f>
        <v>4286</v>
      </c>
      <c r="M34" s="168"/>
      <c r="N34" s="244">
        <f>(L34/L27-1)*100</f>
        <v>11.38253638253639</v>
      </c>
      <c r="O34" s="254"/>
      <c r="P34" s="297">
        <f>H34/N34*100</f>
        <v>108.10348907310983</v>
      </c>
      <c r="Q34" s="253"/>
      <c r="R34" s="168"/>
      <c r="S34" s="249">
        <f>'qtrP&amp;L'!N$11</f>
        <v>1489.393</v>
      </c>
      <c r="T34" s="168"/>
      <c r="U34" s="257">
        <f>S34/L34</f>
        <v>0.34750186654223053</v>
      </c>
      <c r="V34" s="24"/>
      <c r="W34" s="130">
        <f>(U34/U27-1)*100</f>
        <v>-2.7631058763364136</v>
      </c>
      <c r="X34" s="143"/>
      <c r="Y34" s="24"/>
      <c r="Z34" s="958">
        <f>+'store&amp;sf'!AQ394</f>
        <v>26.88</v>
      </c>
      <c r="AA34" s="24"/>
      <c r="AB34" s="372">
        <f>AVERAGE(Z34,Z33)</f>
        <v>26.466249999999999</v>
      </c>
      <c r="AC34" s="24"/>
      <c r="AD34" s="244">
        <f>(AB34/AB27-1)*100</f>
        <v>19.753400639122187</v>
      </c>
      <c r="AE34" s="143"/>
      <c r="AF34" s="297">
        <f>+H34/AD34*100</f>
        <v>62.292661397084849</v>
      </c>
      <c r="AG34" s="30"/>
      <c r="AH34" s="24"/>
      <c r="AI34" s="34">
        <f>+S34</f>
        <v>1489.393</v>
      </c>
      <c r="AJ34" s="24"/>
      <c r="AK34" s="154">
        <f>AI34/AB34</f>
        <v>56.27518065460729</v>
      </c>
      <c r="AL34" s="24"/>
      <c r="AM34" s="130">
        <f>(AK34/AK27-1)*100</f>
        <v>-9.5600472333009492</v>
      </c>
      <c r="AN34" s="143"/>
    </row>
    <row r="35" spans="1:40" hidden="1" outlineLevel="1">
      <c r="A35" s="24" t="str">
        <f>$A$49</f>
        <v>3Q</v>
      </c>
      <c r="B35" s="78" t="str">
        <f>$B$49</f>
        <v>Oct</v>
      </c>
      <c r="C35" s="24"/>
      <c r="D35" s="244">
        <f>(S35/S28-1)*100</f>
        <v>12.411504856942734</v>
      </c>
      <c r="E35" s="244"/>
      <c r="F35" s="432">
        <f>'qtrP&amp;L'!P$12</f>
        <v>2</v>
      </c>
      <c r="G35" s="244"/>
      <c r="H35" s="244">
        <f>D35-F35</f>
        <v>10.411504856942734</v>
      </c>
      <c r="I35" s="254"/>
      <c r="J35" s="361">
        <f>+'store&amp;sf'!AQ31</f>
        <v>4401</v>
      </c>
      <c r="K35" s="168"/>
      <c r="L35" s="362">
        <f>AVERAGE(J35,J34)</f>
        <v>4358</v>
      </c>
      <c r="M35" s="168"/>
      <c r="N35" s="244">
        <f>(L35/L28-1)*100</f>
        <v>9.2093722591154012</v>
      </c>
      <c r="O35" s="254"/>
      <c r="P35" s="297">
        <f>H35/N35*100</f>
        <v>113.05336090239449</v>
      </c>
      <c r="Q35" s="253"/>
      <c r="R35" s="168"/>
      <c r="S35" s="249">
        <f>'qtrP&amp;L'!N$12</f>
        <v>1611.32</v>
      </c>
      <c r="T35" s="168"/>
      <c r="U35" s="257">
        <f>S35/L35</f>
        <v>0.36973841211564934</v>
      </c>
      <c r="V35" s="24"/>
      <c r="W35" s="130">
        <f>(U35/U28-1)*100</f>
        <v>2.9321042064318181</v>
      </c>
      <c r="X35" s="143"/>
      <c r="Y35" s="24"/>
      <c r="Z35" s="958">
        <f>+'store&amp;sf'!AQ395</f>
        <v>27.981249999999999</v>
      </c>
      <c r="AA35" s="24"/>
      <c r="AB35" s="372">
        <f>AVERAGE(Z35,Z34)</f>
        <v>27.430624999999999</v>
      </c>
      <c r="AC35" s="24"/>
      <c r="AD35" s="244">
        <f>(AB35/AB28-1)*100</f>
        <v>16.996774451523478</v>
      </c>
      <c r="AE35" s="143"/>
      <c r="AF35" s="297">
        <f>+H35/AD35*100</f>
        <v>61.255768773289311</v>
      </c>
      <c r="AG35" s="30"/>
      <c r="AH35" s="24"/>
      <c r="AI35" s="34">
        <f>+S35</f>
        <v>1611.32</v>
      </c>
      <c r="AJ35" s="24"/>
      <c r="AK35" s="154">
        <f>AI35/AB35</f>
        <v>58.741643692041286</v>
      </c>
      <c r="AL35" s="24"/>
      <c r="AM35" s="130">
        <f>(AK35/AK28-1)*100</f>
        <v>-3.9191418875232364</v>
      </c>
      <c r="AN35" s="143"/>
    </row>
    <row r="36" spans="1:40" hidden="1" outlineLevel="1">
      <c r="A36" s="24" t="str">
        <f>$A$50</f>
        <v>4Q</v>
      </c>
      <c r="B36" s="78" t="str">
        <f>$B$50</f>
        <v>Jan</v>
      </c>
      <c r="C36" s="24"/>
      <c r="D36" s="295">
        <f>(S36/S29-1)*100</f>
        <v>18.083359150329859</v>
      </c>
      <c r="E36" s="244"/>
      <c r="F36" s="433">
        <f>'qtrP&amp;L'!P$13</f>
        <v>8</v>
      </c>
      <c r="G36" s="244"/>
      <c r="H36" s="295">
        <f>D36-F36</f>
        <v>10.083359150329859</v>
      </c>
      <c r="I36" s="254"/>
      <c r="J36" s="361">
        <f>+'store&amp;sf'!AQ32</f>
        <v>4425</v>
      </c>
      <c r="K36" s="168"/>
      <c r="L36" s="363">
        <f>AVERAGE(J36,J35)</f>
        <v>4413</v>
      </c>
      <c r="M36" s="168"/>
      <c r="N36" s="295">
        <f>(L36/L29-1)*100</f>
        <v>6.581330757154924</v>
      </c>
      <c r="O36" s="254"/>
      <c r="P36" s="298">
        <f>H36/N36*100</f>
        <v>153.21155435574619</v>
      </c>
      <c r="Q36" s="253"/>
      <c r="R36" s="168"/>
      <c r="S36" s="250">
        <f>'qtrP&amp;L'!N$13</f>
        <v>2427.9580000000005</v>
      </c>
      <c r="T36" s="168"/>
      <c r="U36" s="258">
        <f>S36/L36</f>
        <v>0.5501830953999548</v>
      </c>
      <c r="V36" s="24"/>
      <c r="W36" s="131">
        <f>(U36/U29-1)*100</f>
        <v>10.791785307487146</v>
      </c>
      <c r="X36" s="143"/>
      <c r="Y36" s="24"/>
      <c r="Z36" s="958">
        <f>+'store&amp;sf'!AQ396</f>
        <v>28.578749999999999</v>
      </c>
      <c r="AA36" s="24"/>
      <c r="AB36" s="373">
        <f>AVERAGE(Z36,Z35)</f>
        <v>28.28</v>
      </c>
      <c r="AC36" s="24"/>
      <c r="AD36" s="295">
        <f>(AB36/AB29-1)*100</f>
        <v>13.597107852982537</v>
      </c>
      <c r="AE36" s="143"/>
      <c r="AF36" s="298">
        <f>+H36/AD36*100</f>
        <v>74.158117000727216</v>
      </c>
      <c r="AG36" s="30"/>
      <c r="AH36" s="24"/>
      <c r="AI36" s="38">
        <f>+S36</f>
        <v>2427.9580000000005</v>
      </c>
      <c r="AJ36" s="24"/>
      <c r="AK36" s="169">
        <f>AI36/AB36</f>
        <v>85.854243281471014</v>
      </c>
      <c r="AL36" s="24"/>
      <c r="AM36" s="131">
        <f>(AK36/AK29-1)*100</f>
        <v>3.949265418934278</v>
      </c>
      <c r="AN36" s="143"/>
    </row>
    <row r="37" spans="1:40" hidden="1" outlineLevel="1">
      <c r="A37" s="24"/>
      <c r="B37" s="78" t="str">
        <f>$B$51</f>
        <v>Year</v>
      </c>
      <c r="C37" s="24"/>
      <c r="D37" s="244">
        <f>(S37/S30-1)*100</f>
        <v>12.929741635440495</v>
      </c>
      <c r="E37" s="244"/>
      <c r="F37" s="432">
        <f>'qtrP&amp;L'!P$14</f>
        <v>2</v>
      </c>
      <c r="G37" s="244"/>
      <c r="H37" s="244">
        <f>D37-F37</f>
        <v>10.929741635440495</v>
      </c>
      <c r="I37" s="254"/>
      <c r="J37" s="150"/>
      <c r="K37" s="168"/>
      <c r="L37" s="256">
        <f>AVERAGE(L33:L36)</f>
        <v>4320.625</v>
      </c>
      <c r="M37" s="168"/>
      <c r="N37" s="244">
        <f>(L37/L30-1)*100</f>
        <v>9.6779311438997198</v>
      </c>
      <c r="O37" s="254"/>
      <c r="P37" s="297">
        <f>H37/N37*100</f>
        <v>112.93469102980576</v>
      </c>
      <c r="Q37" s="253"/>
      <c r="R37" s="168"/>
      <c r="S37" s="240">
        <f>SUM(S33:S36)</f>
        <v>6944.2960000000003</v>
      </c>
      <c r="T37" s="168"/>
      <c r="U37" s="255">
        <f>SUM(U33:U36)</f>
        <v>1.6024428983744836</v>
      </c>
      <c r="V37" s="24"/>
      <c r="W37" s="130">
        <f>(U37/U30-1)*100</f>
        <v>3.1757577425714167</v>
      </c>
      <c r="X37" s="143"/>
      <c r="Y37" s="24"/>
      <c r="Z37" s="959"/>
      <c r="AA37" s="24"/>
      <c r="AB37" s="372">
        <f>AVERAGE(AB33:AB36)</f>
        <v>26.981249999999999</v>
      </c>
      <c r="AC37" s="24"/>
      <c r="AD37" s="244">
        <f>(AB37/AB30-1)*100</f>
        <v>17.438230673494793</v>
      </c>
      <c r="AE37" s="143"/>
      <c r="AF37" s="297">
        <f>+H37/AD37*100</f>
        <v>62.676895609903447</v>
      </c>
      <c r="AG37" s="30"/>
      <c r="AH37" s="24"/>
      <c r="AI37" s="33">
        <f>SUM(AI33:AI36)</f>
        <v>6944.2960000000003</v>
      </c>
      <c r="AJ37" s="24"/>
      <c r="AK37" s="153">
        <f>SUM(AK33:AK36)</f>
        <v>255.85079916196915</v>
      </c>
      <c r="AL37" s="24"/>
      <c r="AM37" s="130">
        <f>(AK37/AK30-1)*100</f>
        <v>-3.7481519191840285</v>
      </c>
      <c r="AN37" s="143"/>
    </row>
    <row r="38" spans="1:40" hidden="1" outlineLevel="1">
      <c r="A38" s="24"/>
      <c r="B38" s="78"/>
      <c r="C38" s="24"/>
      <c r="D38" s="244"/>
      <c r="E38" s="244"/>
      <c r="F38" s="432"/>
      <c r="G38" s="244"/>
      <c r="H38" s="244"/>
      <c r="I38" s="254"/>
      <c r="J38" s="150"/>
      <c r="K38" s="168"/>
      <c r="L38" s="168"/>
      <c r="M38" s="168"/>
      <c r="N38" s="168"/>
      <c r="O38" s="254"/>
      <c r="P38" s="253"/>
      <c r="Q38" s="253"/>
      <c r="R38" s="168"/>
      <c r="S38" s="168"/>
      <c r="T38" s="168"/>
      <c r="U38" s="168"/>
      <c r="V38" s="24"/>
      <c r="W38" s="24"/>
      <c r="X38" s="143"/>
      <c r="Y38" s="24"/>
      <c r="Z38" s="959"/>
      <c r="AA38" s="24"/>
      <c r="AB38" s="371"/>
      <c r="AC38" s="24"/>
      <c r="AD38" s="168"/>
      <c r="AE38" s="143"/>
      <c r="AF38" s="297"/>
      <c r="AG38" s="30"/>
      <c r="AH38" s="24"/>
      <c r="AI38" s="24"/>
      <c r="AJ38" s="24"/>
      <c r="AK38" s="24"/>
      <c r="AL38" s="24"/>
      <c r="AM38" s="24"/>
      <c r="AN38" s="143"/>
    </row>
    <row r="39" spans="1:40" hidden="1" outlineLevel="1" collapsed="1">
      <c r="A39" s="73"/>
      <c r="B39" s="75">
        <f>B32+1</f>
        <v>1993</v>
      </c>
      <c r="C39" s="24"/>
      <c r="D39" s="244"/>
      <c r="E39" s="244"/>
      <c r="F39" s="432"/>
      <c r="G39" s="244"/>
      <c r="H39" s="244"/>
      <c r="I39" s="168"/>
      <c r="J39" s="168"/>
      <c r="K39" s="168"/>
      <c r="L39" s="168"/>
      <c r="M39" s="168"/>
      <c r="N39" s="168"/>
      <c r="O39" s="168"/>
      <c r="P39" s="253"/>
      <c r="Q39" s="253"/>
      <c r="R39" s="168"/>
      <c r="S39" s="168"/>
      <c r="T39" s="168"/>
      <c r="U39" s="168"/>
      <c r="V39" s="24"/>
      <c r="W39" s="24"/>
      <c r="X39" s="143"/>
      <c r="Y39" s="24"/>
      <c r="Z39" s="958"/>
      <c r="AA39" s="24"/>
      <c r="AB39" s="371"/>
      <c r="AC39" s="24"/>
      <c r="AD39" s="168"/>
      <c r="AE39" s="24"/>
      <c r="AF39" s="297"/>
      <c r="AG39" s="30"/>
      <c r="AH39" s="24"/>
      <c r="AI39" s="24"/>
      <c r="AJ39" s="24"/>
      <c r="AK39" s="24"/>
      <c r="AL39" s="24"/>
      <c r="AM39" s="24"/>
      <c r="AN39" s="143"/>
    </row>
    <row r="40" spans="1:40" hidden="1" outlineLevel="1">
      <c r="A40" s="24" t="str">
        <f>$A$47</f>
        <v>1Q</v>
      </c>
      <c r="B40" s="78" t="str">
        <f>$B$47</f>
        <v>Apr</v>
      </c>
      <c r="C40" s="24"/>
      <c r="D40" s="244">
        <f>(S40/S33-1)*100</f>
        <v>7.2714172185430304</v>
      </c>
      <c r="E40" s="244" t="s">
        <v>1084</v>
      </c>
      <c r="F40" s="432">
        <f>'qtrP&amp;L'!T$10</f>
        <v>-3</v>
      </c>
      <c r="G40" s="244" t="s">
        <v>1084</v>
      </c>
      <c r="H40" s="244">
        <f>D40-F40</f>
        <v>10.27141721854303</v>
      </c>
      <c r="I40" s="254" t="s">
        <v>1084</v>
      </c>
      <c r="J40" s="361">
        <f>+'store&amp;sf'!AQ35</f>
        <v>4457</v>
      </c>
      <c r="K40" s="168"/>
      <c r="L40" s="362">
        <f>AVERAGE(J40,J36)</f>
        <v>4441</v>
      </c>
      <c r="M40" s="168"/>
      <c r="N40" s="244">
        <f>(L40/L33-1)*100</f>
        <v>5.0999881670808156</v>
      </c>
      <c r="O40" s="254" t="s">
        <v>1084</v>
      </c>
      <c r="P40" s="435">
        <f>H40/N40*100</f>
        <v>201.40080490465709</v>
      </c>
      <c r="Q40" s="436" t="s">
        <v>1084</v>
      </c>
      <c r="R40" s="437"/>
      <c r="S40" s="438">
        <f>'qtrP&amp;L'!R$10-'store&amp;sf'!T7</f>
        <v>1518.5609999999999</v>
      </c>
      <c r="T40" s="168"/>
      <c r="U40" s="255">
        <f>S40/L40</f>
        <v>0.3419412294528259</v>
      </c>
      <c r="V40" s="24"/>
      <c r="W40" s="130">
        <f>(U40/U33-1)*100</f>
        <v>2.0660602244885196</v>
      </c>
      <c r="X40" s="143" t="s">
        <v>1084</v>
      </c>
      <c r="Y40" s="24"/>
      <c r="Z40" s="958">
        <f>+'store&amp;sf'!AQ399</f>
        <v>28.958750000000006</v>
      </c>
      <c r="AA40" s="24"/>
      <c r="AB40" s="372">
        <f>AVERAGE(Z40,Z36)</f>
        <v>28.768750000000004</v>
      </c>
      <c r="AC40" s="24"/>
      <c r="AD40" s="244">
        <f>(AB40/AB33-1)*100</f>
        <v>11.731436755103552</v>
      </c>
      <c r="AE40" s="143" t="s">
        <v>1084</v>
      </c>
      <c r="AF40" s="297">
        <f>+H40/AD40*100</f>
        <v>87.554640006686597</v>
      </c>
      <c r="AG40" s="30" t="s">
        <v>1084</v>
      </c>
      <c r="AH40" s="24"/>
      <c r="AI40" s="33">
        <f>+S40</f>
        <v>1518.5609999999999</v>
      </c>
      <c r="AJ40" s="24"/>
      <c r="AK40" s="153">
        <f>AI40/AB40</f>
        <v>52.785087986096016</v>
      </c>
      <c r="AL40" s="24"/>
      <c r="AM40" s="37">
        <f>(AK40/AK33-1)*100</f>
        <v>-3.9917320192848882</v>
      </c>
      <c r="AN40" s="143" t="s">
        <v>1084</v>
      </c>
    </row>
    <row r="41" spans="1:40" hidden="1" outlineLevel="1">
      <c r="A41" s="24" t="str">
        <f>$A$48</f>
        <v>2Q</v>
      </c>
      <c r="B41" s="78" t="str">
        <f>$B$48</f>
        <v>Jul</v>
      </c>
      <c r="C41" s="24"/>
      <c r="D41" s="244">
        <f>(S41/S34-1)*100</f>
        <v>13.405595433844519</v>
      </c>
      <c r="E41" s="244"/>
      <c r="F41" s="432">
        <f>'qtrP&amp;L'!T$11</f>
        <v>4</v>
      </c>
      <c r="G41" s="244"/>
      <c r="H41" s="244">
        <f>D41-F41</f>
        <v>9.4055954338445193</v>
      </c>
      <c r="I41" s="254"/>
      <c r="J41" s="361">
        <f>+'store&amp;sf'!AQ36</f>
        <v>4481</v>
      </c>
      <c r="K41" s="168"/>
      <c r="L41" s="362">
        <f>AVERAGE(J41,J40)</f>
        <v>4469</v>
      </c>
      <c r="M41" s="168"/>
      <c r="N41" s="244">
        <f>(L41/L34-1)*100</f>
        <v>4.2697153523098441</v>
      </c>
      <c r="O41" s="254"/>
      <c r="P41" s="435">
        <f>H41/N41*100</f>
        <v>220.28624059812913</v>
      </c>
      <c r="Q41" s="436"/>
      <c r="R41" s="437"/>
      <c r="S41" s="439">
        <f>'qtrP&amp;L'!R$11</f>
        <v>1689.0550000000001</v>
      </c>
      <c r="T41" s="168"/>
      <c r="U41" s="257">
        <f>S41/L41</f>
        <v>0.37794920563884538</v>
      </c>
      <c r="V41" s="24"/>
      <c r="W41" s="130">
        <f>(U41/U34-1)*100</f>
        <v>8.7617771379408396</v>
      </c>
      <c r="X41" s="143"/>
      <c r="Y41" s="24"/>
      <c r="Z41" s="958">
        <f>+'store&amp;sf'!AQ400</f>
        <v>29.332500000000003</v>
      </c>
      <c r="AA41" s="24"/>
      <c r="AB41" s="372">
        <f>AVERAGE(Z41,Z40)</f>
        <v>29.145625000000003</v>
      </c>
      <c r="AC41" s="24"/>
      <c r="AD41" s="244">
        <f>(AB41/AB34-1)*100</f>
        <v>10.123742502243438</v>
      </c>
      <c r="AE41" s="143"/>
      <c r="AF41" s="297">
        <f>+H41/AD41*100</f>
        <v>92.906308430506044</v>
      </c>
      <c r="AG41" s="30"/>
      <c r="AH41" s="24"/>
      <c r="AI41" s="34">
        <f>+S41</f>
        <v>1689.0550000000001</v>
      </c>
      <c r="AJ41" s="24"/>
      <c r="AK41" s="154">
        <f>AI41/AB41</f>
        <v>57.952265563013313</v>
      </c>
      <c r="AL41" s="24"/>
      <c r="AM41" s="130">
        <f>(AK41/AK34-1)*100</f>
        <v>2.9801501992490209</v>
      </c>
      <c r="AN41" s="143"/>
    </row>
    <row r="42" spans="1:40" hidden="1" outlineLevel="1">
      <c r="A42" s="24" t="str">
        <f>$A$49</f>
        <v>3Q</v>
      </c>
      <c r="B42" s="78" t="str">
        <f>$B$49</f>
        <v>Oct</v>
      </c>
      <c r="C42" s="24"/>
      <c r="D42" s="244">
        <f>(S42/S35-1)*100</f>
        <v>0.33183973388277721</v>
      </c>
      <c r="E42" s="244"/>
      <c r="F42" s="432">
        <f>'qtrP&amp;L'!T$12</f>
        <v>1</v>
      </c>
      <c r="G42" s="244"/>
      <c r="H42" s="244">
        <f>D42-F42</f>
        <v>-0.66816026611722279</v>
      </c>
      <c r="I42" s="254"/>
      <c r="J42" s="361">
        <f>+'store&amp;sf'!AQ37</f>
        <v>4605</v>
      </c>
      <c r="K42" s="168"/>
      <c r="L42" s="362">
        <f>AVERAGE(J42,J41)</f>
        <v>4543</v>
      </c>
      <c r="M42" s="168"/>
      <c r="N42" s="244">
        <f>(L42/L35-1)*100</f>
        <v>4.24506654428638</v>
      </c>
      <c r="O42" s="254"/>
      <c r="P42" s="435">
        <f>H42/N42*100</f>
        <v>-15.739688863453244</v>
      </c>
      <c r="Q42" s="436"/>
      <c r="R42" s="437"/>
      <c r="S42" s="439">
        <f>'qtrP&amp;L'!R$12</f>
        <v>1616.6669999999999</v>
      </c>
      <c r="T42" s="168"/>
      <c r="U42" s="257">
        <f>S42/L42</f>
        <v>0.35585890380805635</v>
      </c>
      <c r="V42" s="24"/>
      <c r="W42" s="130">
        <f>(U42/U35-1)*100</f>
        <v>-3.7538724278535773</v>
      </c>
      <c r="X42" s="143"/>
      <c r="Y42" s="24"/>
      <c r="Z42" s="958">
        <f>+'store&amp;sf'!AQ401</f>
        <v>30.247499999999999</v>
      </c>
      <c r="AA42" s="24"/>
      <c r="AB42" s="372">
        <f>AVERAGE(Z42,Z41)</f>
        <v>29.79</v>
      </c>
      <c r="AC42" s="24"/>
      <c r="AD42" s="244">
        <f>(AB42/AB35-1)*100</f>
        <v>8.601244047483414</v>
      </c>
      <c r="AE42" s="143"/>
      <c r="AF42" s="297">
        <f>+H42/AD42*100</f>
        <v>-7.7681817005612785</v>
      </c>
      <c r="AG42" s="30"/>
      <c r="AH42" s="24"/>
      <c r="AI42" s="34">
        <f>+S42</f>
        <v>1616.6669999999999</v>
      </c>
      <c r="AJ42" s="24"/>
      <c r="AK42" s="154">
        <f>AI42/AB42</f>
        <v>54.268781470292041</v>
      </c>
      <c r="AL42" s="24"/>
      <c r="AM42" s="130">
        <f>(AK42/AK35-1)*100</f>
        <v>-7.6144655488339037</v>
      </c>
      <c r="AN42" s="143"/>
    </row>
    <row r="43" spans="1:40" hidden="1" outlineLevel="1">
      <c r="A43" s="24" t="str">
        <f>$A$50</f>
        <v>4Q</v>
      </c>
      <c r="B43" s="78" t="str">
        <f>$B$50</f>
        <v>Jan</v>
      </c>
      <c r="C43" s="24"/>
      <c r="D43" s="295">
        <f>(S43/S36-1)*100</f>
        <v>-0.29460970906417527</v>
      </c>
      <c r="E43" s="244"/>
      <c r="F43" s="433">
        <f>'qtrP&amp;L'!T$13</f>
        <v>-4</v>
      </c>
      <c r="G43" s="244"/>
      <c r="H43" s="295">
        <f>D43-F43</f>
        <v>3.7053902909358247</v>
      </c>
      <c r="I43" s="254"/>
      <c r="J43" s="361">
        <f>+'store&amp;sf'!AQ38</f>
        <v>4623</v>
      </c>
      <c r="K43" s="168"/>
      <c r="L43" s="363">
        <f>AVERAGE(J43,J42)</f>
        <v>4614</v>
      </c>
      <c r="M43" s="168"/>
      <c r="N43" s="295">
        <f>(L43/L36-1)*100</f>
        <v>4.554724677090416</v>
      </c>
      <c r="O43" s="254"/>
      <c r="P43" s="440">
        <f>H43/N43*100</f>
        <v>81.352673402486516</v>
      </c>
      <c r="Q43" s="436"/>
      <c r="R43" s="437"/>
      <c r="S43" s="441">
        <f>'qtrP&amp;L'!R$13</f>
        <v>2420.8050000000003</v>
      </c>
      <c r="T43" s="168"/>
      <c r="U43" s="258">
        <f>S43/L43</f>
        <v>0.52466514954486354</v>
      </c>
      <c r="V43" s="24"/>
      <c r="W43" s="131">
        <f>(U43/U36-1)*100</f>
        <v>-4.6380824980711282</v>
      </c>
      <c r="X43" s="143"/>
      <c r="Y43" s="24"/>
      <c r="Z43" s="958">
        <f>+'store&amp;sf'!AQ402</f>
        <v>30.532499999999999</v>
      </c>
      <c r="AA43" s="24"/>
      <c r="AB43" s="373">
        <f>AVERAGE(Z43,Z42)</f>
        <v>30.39</v>
      </c>
      <c r="AC43" s="24"/>
      <c r="AD43" s="295">
        <f>(AB43/AB36-1)*100</f>
        <v>7.461103253182455</v>
      </c>
      <c r="AE43" s="143"/>
      <c r="AF43" s="298">
        <f>+H43/AD43*100</f>
        <v>49.662766553395834</v>
      </c>
      <c r="AG43" s="30"/>
      <c r="AH43" s="24"/>
      <c r="AI43" s="38">
        <f>+S43</f>
        <v>2420.8050000000003</v>
      </c>
      <c r="AJ43" s="24"/>
      <c r="AK43" s="169">
        <f>AI43/AB43</f>
        <v>79.657946692991118</v>
      </c>
      <c r="AL43" s="24"/>
      <c r="AM43" s="131">
        <f>(AK43/AK36-1)*100</f>
        <v>-7.2172281201821171</v>
      </c>
      <c r="AN43" s="143"/>
    </row>
    <row r="44" spans="1:40" hidden="1" outlineLevel="1">
      <c r="A44" s="24"/>
      <c r="B44" s="78" t="str">
        <f>$B$51</f>
        <v>Year</v>
      </c>
      <c r="C44" s="24"/>
      <c r="D44" s="244">
        <f>(S44/S37-1)*100</f>
        <v>4.3314973900882014</v>
      </c>
      <c r="E44" s="244"/>
      <c r="F44" s="432">
        <f>'qtrP&amp;L'!T$14</f>
        <v>-1</v>
      </c>
      <c r="G44" s="244"/>
      <c r="H44" s="244">
        <f>D44-F44</f>
        <v>5.3314973900882014</v>
      </c>
      <c r="I44" s="254"/>
      <c r="J44" s="150"/>
      <c r="K44" s="168"/>
      <c r="L44" s="256">
        <f>AVERAGE(L40:L43)</f>
        <v>4516.75</v>
      </c>
      <c r="M44" s="168"/>
      <c r="N44" s="244">
        <f>(L44/L37-1)*100</f>
        <v>4.5392738319108838</v>
      </c>
      <c r="O44" s="254"/>
      <c r="P44" s="435">
        <f>H44/N44*100</f>
        <v>117.45264964206439</v>
      </c>
      <c r="Q44" s="436"/>
      <c r="R44" s="437"/>
      <c r="S44" s="438">
        <f>SUM(S40:S43)</f>
        <v>7245.0879999999997</v>
      </c>
      <c r="T44" s="168"/>
      <c r="U44" s="255">
        <f>SUM(U40:U43)</f>
        <v>1.6004144884445912</v>
      </c>
      <c r="V44" s="24"/>
      <c r="W44" s="130">
        <f>(U44/U37-1)*100</f>
        <v>-0.12658235322768885</v>
      </c>
      <c r="X44" s="143"/>
      <c r="Y44" s="24"/>
      <c r="Z44" s="959"/>
      <c r="AA44" s="24"/>
      <c r="AB44" s="372">
        <f>AVERAGE(AB40:AB43)</f>
        <v>29.52359375</v>
      </c>
      <c r="AC44" s="24"/>
      <c r="AD44" s="244">
        <f>(AB44/AB37-1)*100</f>
        <v>9.4226314570303504</v>
      </c>
      <c r="AE44" s="143"/>
      <c r="AF44" s="297">
        <f>+H44/AD44*100</f>
        <v>56.581830822962942</v>
      </c>
      <c r="AG44" s="30"/>
      <c r="AH44" s="24"/>
      <c r="AI44" s="33">
        <f>SUM(AI40:AI43)</f>
        <v>7245.0879999999997</v>
      </c>
      <c r="AJ44" s="24"/>
      <c r="AK44" s="153">
        <f>SUM(AK40:AK43)</f>
        <v>244.66408171239249</v>
      </c>
      <c r="AL44" s="24"/>
      <c r="AM44" s="130">
        <f>(AK44/AK37-1)*100</f>
        <v>-4.3723597839906647</v>
      </c>
      <c r="AN44" s="143"/>
    </row>
    <row r="45" spans="1:40" hidden="1" outlineLevel="1">
      <c r="A45" s="24"/>
      <c r="B45" s="78"/>
      <c r="C45" s="24"/>
      <c r="D45" s="244"/>
      <c r="E45" s="244"/>
      <c r="F45" s="432"/>
      <c r="G45" s="244"/>
      <c r="H45" s="244"/>
      <c r="I45" s="254"/>
      <c r="J45" s="150"/>
      <c r="K45" s="168"/>
      <c r="L45" s="168"/>
      <c r="M45" s="168"/>
      <c r="N45" s="168"/>
      <c r="O45" s="254"/>
      <c r="P45" s="253"/>
      <c r="Q45" s="253"/>
      <c r="R45" s="168"/>
      <c r="S45" s="168"/>
      <c r="T45" s="168"/>
      <c r="U45" s="168"/>
      <c r="V45" s="24"/>
      <c r="W45" s="24"/>
      <c r="X45" s="143"/>
      <c r="Y45" s="24"/>
      <c r="Z45" s="959"/>
      <c r="AA45" s="24"/>
      <c r="AB45" s="371"/>
      <c r="AC45" s="24"/>
      <c r="AD45" s="168"/>
      <c r="AE45" s="143"/>
      <c r="AF45" s="297"/>
      <c r="AG45" s="30"/>
      <c r="AH45" s="24"/>
      <c r="AI45" s="24"/>
      <c r="AJ45" s="24"/>
      <c r="AK45" s="24"/>
      <c r="AL45" s="24"/>
      <c r="AM45" s="24"/>
      <c r="AN45" s="143"/>
    </row>
    <row r="46" spans="1:40" hidden="1" outlineLevel="1">
      <c r="A46" s="74"/>
      <c r="B46" s="75">
        <f>B39+1</f>
        <v>1994</v>
      </c>
      <c r="C46" s="24"/>
      <c r="D46" s="244"/>
      <c r="E46" s="244"/>
      <c r="F46" s="432"/>
      <c r="G46" s="244"/>
      <c r="H46" s="244"/>
      <c r="I46" s="168"/>
      <c r="J46" s="168"/>
      <c r="K46" s="168"/>
      <c r="L46" s="168"/>
      <c r="M46" s="168"/>
      <c r="N46" s="168"/>
      <c r="O46" s="168"/>
      <c r="P46" s="253"/>
      <c r="Q46" s="253"/>
      <c r="R46" s="168"/>
      <c r="S46" s="168"/>
      <c r="T46" s="168"/>
      <c r="U46" s="168"/>
      <c r="V46" s="24"/>
      <c r="W46" s="24"/>
      <c r="X46" s="143"/>
      <c r="Y46" s="24"/>
      <c r="Z46" s="958"/>
      <c r="AA46" s="24"/>
      <c r="AB46" s="371"/>
      <c r="AC46" s="24"/>
      <c r="AD46" s="168"/>
      <c r="AE46" s="24"/>
      <c r="AF46" s="297"/>
      <c r="AG46" s="30"/>
      <c r="AH46" s="24"/>
      <c r="AI46" s="24"/>
      <c r="AJ46" s="24"/>
      <c r="AK46" s="24"/>
      <c r="AL46" s="24"/>
      <c r="AM46" s="24"/>
      <c r="AN46" s="143"/>
    </row>
    <row r="47" spans="1:40" hidden="1" outlineLevel="1">
      <c r="A47" s="24" t="s">
        <v>119</v>
      </c>
      <c r="B47" s="78" t="s">
        <v>830</v>
      </c>
      <c r="C47" s="24"/>
      <c r="D47" s="244">
        <f>(S47/S40-1)*100</f>
        <v>-16.985356531611174</v>
      </c>
      <c r="E47" s="244" t="s">
        <v>1084</v>
      </c>
      <c r="F47" s="432">
        <f>'qtrP&amp;L'!X$10</f>
        <v>0</v>
      </c>
      <c r="G47" s="244" t="s">
        <v>1084</v>
      </c>
      <c r="H47" s="244">
        <f>D47-F47</f>
        <v>-16.985356531611174</v>
      </c>
      <c r="I47" s="254" t="s">
        <v>1084</v>
      </c>
      <c r="J47" s="361">
        <f>+'store&amp;sf'!AQ41</f>
        <v>4641</v>
      </c>
      <c r="K47" s="168"/>
      <c r="L47" s="362">
        <f>AVERAGE(J47,J43)</f>
        <v>4632</v>
      </c>
      <c r="M47" s="168"/>
      <c r="N47" s="244">
        <f>(L47/L40-1)*100</f>
        <v>4.300833145687899</v>
      </c>
      <c r="O47" s="254" t="s">
        <v>1084</v>
      </c>
      <c r="P47" s="297">
        <f>H47/N47*100</f>
        <v>-394.93177150201768</v>
      </c>
      <c r="Q47" s="253" t="s">
        <v>1084</v>
      </c>
      <c r="R47" s="168"/>
      <c r="S47" s="240">
        <f>'qtrP&amp;L'!V$10-'segSales&amp;OM'!K24-'segSales&amp;OM'!BE24</f>
        <v>1260.6279999999999</v>
      </c>
      <c r="T47" s="168"/>
      <c r="U47" s="255">
        <f>S47/L47</f>
        <v>0.27215630397236612</v>
      </c>
      <c r="V47" s="24"/>
      <c r="W47" s="130">
        <f>(U47/U40-1)*100</f>
        <v>-20.408456035596988</v>
      </c>
      <c r="X47" s="143" t="s">
        <v>1084</v>
      </c>
      <c r="Y47" s="24"/>
      <c r="Z47" s="958">
        <f>+'store&amp;sf'!AQ405</f>
        <v>30.693749999999994</v>
      </c>
      <c r="AA47" s="24"/>
      <c r="AB47" s="372">
        <f>AVERAGE(Z47,Z43)</f>
        <v>30.613124999999997</v>
      </c>
      <c r="AC47" s="24"/>
      <c r="AD47" s="244">
        <f>(AB47/AB40-1)*100</f>
        <v>6.4110362806864885</v>
      </c>
      <c r="AE47" s="143" t="s">
        <v>1084</v>
      </c>
      <c r="AF47" s="297">
        <f>+H47/AD47*100</f>
        <v>-264.93932943072338</v>
      </c>
      <c r="AG47" s="30" t="s">
        <v>1084</v>
      </c>
      <c r="AH47" s="24"/>
      <c r="AI47" s="33">
        <f>+S47</f>
        <v>1260.6279999999999</v>
      </c>
      <c r="AJ47" s="24"/>
      <c r="AK47" s="153">
        <f>AI47/AB47</f>
        <v>41.179330760907291</v>
      </c>
      <c r="AL47" s="24"/>
      <c r="AM47" s="37">
        <f>(AK47/AK40-1)*100</f>
        <v>-21.986810419347535</v>
      </c>
      <c r="AN47" s="143" t="s">
        <v>1084</v>
      </c>
    </row>
    <row r="48" spans="1:40" hidden="1" outlineLevel="1">
      <c r="A48" s="24" t="s">
        <v>120</v>
      </c>
      <c r="B48" s="78" t="s">
        <v>653</v>
      </c>
      <c r="C48" s="24"/>
      <c r="D48" s="244">
        <f>(S48/S41-1)*100</f>
        <v>-26.371373341898284</v>
      </c>
      <c r="E48" s="244"/>
      <c r="F48" s="432">
        <f>'qtrP&amp;L'!X$11</f>
        <v>-6</v>
      </c>
      <c r="G48" s="244"/>
      <c r="H48" s="244">
        <f>D48-F48</f>
        <v>-20.371373341898284</v>
      </c>
      <c r="I48" s="254"/>
      <c r="J48" s="361">
        <f>+'store&amp;sf'!AQ42</f>
        <v>4696</v>
      </c>
      <c r="K48" s="168"/>
      <c r="L48" s="362">
        <f>AVERAGE(J48,J47)</f>
        <v>4668.5</v>
      </c>
      <c r="M48" s="168"/>
      <c r="N48" s="244">
        <f>(L48/L41-1)*100</f>
        <v>4.4640859252629284</v>
      </c>
      <c r="O48" s="254"/>
      <c r="P48" s="297">
        <f>H48/N48*100</f>
        <v>-456.3391852879364</v>
      </c>
      <c r="Q48" s="253"/>
      <c r="R48" s="168"/>
      <c r="S48" s="249">
        <f>'qtrP&amp;L'!V$10-'segSales&amp;OM'!K25-'segSales&amp;OM'!BE25</f>
        <v>1243.6279999999999</v>
      </c>
      <c r="T48" s="168"/>
      <c r="U48" s="257">
        <f>S48/L48</f>
        <v>0.26638706222555425</v>
      </c>
      <c r="V48" s="24"/>
      <c r="W48" s="130">
        <f>(U48/U41-1)*100</f>
        <v>-29.517761050646552</v>
      </c>
      <c r="X48" s="143"/>
      <c r="Y48" s="24"/>
      <c r="Z48" s="958">
        <f>+'store&amp;sf'!AQ406</f>
        <v>31.036249999999999</v>
      </c>
      <c r="AA48" s="24"/>
      <c r="AB48" s="372">
        <f>AVERAGE(Z48,Z47)</f>
        <v>30.864999999999995</v>
      </c>
      <c r="AC48" s="24"/>
      <c r="AD48" s="244">
        <f>(AB48/AB41-1)*100</f>
        <v>5.8992558917504434</v>
      </c>
      <c r="AE48" s="143"/>
      <c r="AF48" s="297">
        <f>+H48/AD48*100</f>
        <v>-345.32106617693501</v>
      </c>
      <c r="AG48" s="30"/>
      <c r="AH48" s="24"/>
      <c r="AI48" s="34">
        <f>+S48</f>
        <v>1243.6279999999999</v>
      </c>
      <c r="AJ48" s="24"/>
      <c r="AK48" s="154">
        <f>AI48/AB48</f>
        <v>40.292499595010533</v>
      </c>
      <c r="AL48" s="24"/>
      <c r="AM48" s="130">
        <f>(AK48/AK41-1)*100</f>
        <v>-30.472951827570505</v>
      </c>
      <c r="AN48" s="143"/>
    </row>
    <row r="49" spans="1:40" hidden="1" outlineLevel="1">
      <c r="A49" s="24" t="s">
        <v>1018</v>
      </c>
      <c r="B49" s="78" t="s">
        <v>598</v>
      </c>
      <c r="C49" s="24"/>
      <c r="D49" s="244">
        <f>(S49/S42-1)*100</f>
        <v>-24.187974394232082</v>
      </c>
      <c r="E49" s="244"/>
      <c r="F49" s="432">
        <f>'qtrP&amp;L'!X$12</f>
        <v>-2</v>
      </c>
      <c r="G49" s="244"/>
      <c r="H49" s="244">
        <f>D49-F49</f>
        <v>-22.187974394232082</v>
      </c>
      <c r="I49" s="254"/>
      <c r="J49" s="361">
        <f>+'store&amp;sf'!AQ43</f>
        <v>4825</v>
      </c>
      <c r="K49" s="168"/>
      <c r="L49" s="362">
        <f>AVERAGE(J49,J48)</f>
        <v>4760.5</v>
      </c>
      <c r="M49" s="168"/>
      <c r="N49" s="244">
        <f>(L49/L42-1)*100</f>
        <v>4.7875852960598708</v>
      </c>
      <c r="O49" s="254"/>
      <c r="P49" s="297">
        <f>H49/N49*100</f>
        <v>-463.44812723216728</v>
      </c>
      <c r="Q49" s="253"/>
      <c r="R49" s="168"/>
      <c r="S49" s="249">
        <f>'qtrP&amp;L'!V$10-'segSales&amp;OM'!K26-'segSales&amp;OM'!BE26</f>
        <v>1225.6279999999999</v>
      </c>
      <c r="T49" s="168"/>
      <c r="U49" s="257">
        <f>S49/L49</f>
        <v>0.25745783005986767</v>
      </c>
      <c r="V49" s="24"/>
      <c r="W49" s="130">
        <f>(U49/U42-1)*100</f>
        <v>-27.651710465916679</v>
      </c>
      <c r="X49" s="143"/>
      <c r="Y49" s="24"/>
      <c r="Z49" s="958">
        <f>+'store&amp;sf'!AQ407</f>
        <v>31.7575</v>
      </c>
      <c r="AA49" s="24"/>
      <c r="AB49" s="372">
        <f>AVERAGE(Z49,Z48)</f>
        <v>31.396875000000001</v>
      </c>
      <c r="AC49" s="24"/>
      <c r="AD49" s="244">
        <f>(AB49/AB42-1)*100</f>
        <v>5.3940080563947612</v>
      </c>
      <c r="AE49" s="143"/>
      <c r="AF49" s="297">
        <f>+H49/AD49*100</f>
        <v>-411.3448508466272</v>
      </c>
      <c r="AG49" s="30"/>
      <c r="AH49" s="24"/>
      <c r="AI49" s="34">
        <f>+S49</f>
        <v>1225.6279999999999</v>
      </c>
      <c r="AJ49" s="24"/>
      <c r="AK49" s="154">
        <f>AI49/AB49</f>
        <v>39.036623867821234</v>
      </c>
      <c r="AL49" s="24"/>
      <c r="AM49" s="130">
        <f>(AK49/AK42-1)*100</f>
        <v>-28.067992665008035</v>
      </c>
      <c r="AN49" s="143"/>
    </row>
    <row r="50" spans="1:40" hidden="1" outlineLevel="1">
      <c r="A50" s="24" t="s">
        <v>1019</v>
      </c>
      <c r="B50" s="78" t="s">
        <v>601</v>
      </c>
      <c r="C50" s="24"/>
      <c r="D50" s="295">
        <f>(S50/S43-1)*100</f>
        <v>-54.328085079136912</v>
      </c>
      <c r="E50" s="244"/>
      <c r="F50" s="433">
        <f>'qtrP&amp;L'!X$13</f>
        <v>-4</v>
      </c>
      <c r="G50" s="244"/>
      <c r="H50" s="295">
        <f>D50-F50</f>
        <v>-50.328085079136912</v>
      </c>
      <c r="I50" s="254"/>
      <c r="J50" s="361">
        <f>+'store&amp;sf'!AQ44</f>
        <v>4867</v>
      </c>
      <c r="K50" s="168"/>
      <c r="L50" s="363">
        <f>AVERAGE(J50,J49)</f>
        <v>4846</v>
      </c>
      <c r="M50" s="168"/>
      <c r="N50" s="295">
        <f>(L50/L43-1)*100</f>
        <v>5.0281751192024382</v>
      </c>
      <c r="O50" s="254"/>
      <c r="P50" s="298">
        <f>H50/N50*100</f>
        <v>-1000.9214851514536</v>
      </c>
      <c r="Q50" s="253"/>
      <c r="R50" s="168"/>
      <c r="S50" s="250">
        <f>'qtrP&amp;L'!V$10-'segSales&amp;OM'!K27-'segSales&amp;OM'!BE27</f>
        <v>1105.6279999999999</v>
      </c>
      <c r="T50" s="168"/>
      <c r="U50" s="258">
        <f>S50/L50</f>
        <v>0.22815270326042095</v>
      </c>
      <c r="V50" s="24"/>
      <c r="W50" s="131">
        <f>(U50/U43-1)*100</f>
        <v>-56.51460680048239</v>
      </c>
      <c r="X50" s="143"/>
      <c r="Y50" s="24"/>
      <c r="Z50" s="958">
        <f>+'store&amp;sf'!AQ408</f>
        <v>32.033749999999998</v>
      </c>
      <c r="AA50" s="24"/>
      <c r="AB50" s="373">
        <f>AVERAGE(Z50,Z49)</f>
        <v>31.895624999999999</v>
      </c>
      <c r="AC50" s="24"/>
      <c r="AD50" s="295">
        <f>(AB50/AB43-1)*100</f>
        <v>4.9543435340572595</v>
      </c>
      <c r="AE50" s="143"/>
      <c r="AF50" s="298">
        <f>+H50/AD50*100</f>
        <v>-1015.8376126558537</v>
      </c>
      <c r="AG50" s="30"/>
      <c r="AH50" s="24"/>
      <c r="AI50" s="38">
        <f>+S50</f>
        <v>1105.6279999999999</v>
      </c>
      <c r="AJ50" s="24"/>
      <c r="AK50" s="169">
        <f>AI50/AB50</f>
        <v>34.663939019849899</v>
      </c>
      <c r="AL50" s="24"/>
      <c r="AM50" s="131">
        <f>(AK50/AK43-1)*100</f>
        <v>-56.484016398956612</v>
      </c>
      <c r="AN50" s="143"/>
    </row>
    <row r="51" spans="1:40" hidden="1" outlineLevel="1">
      <c r="A51" s="24"/>
      <c r="B51" s="78" t="s">
        <v>1020</v>
      </c>
      <c r="C51" s="24"/>
      <c r="D51" s="244">
        <f>(S51/S44-1)*100</f>
        <v>-33.258063946221213</v>
      </c>
      <c r="E51" s="244"/>
      <c r="F51" s="432">
        <f>'qtrP&amp;L'!X$14</f>
        <v>-3</v>
      </c>
      <c r="G51" s="244"/>
      <c r="H51" s="244">
        <f>D51-F51</f>
        <v>-30.258063946221213</v>
      </c>
      <c r="I51" s="254"/>
      <c r="J51" s="150"/>
      <c r="K51" s="168"/>
      <c r="L51" s="256">
        <f>AVERAGE(L47:L50)</f>
        <v>4726.75</v>
      </c>
      <c r="M51" s="168"/>
      <c r="N51" s="244">
        <f>(L51/L44-1)*100</f>
        <v>4.6493607129019843</v>
      </c>
      <c r="O51" s="254"/>
      <c r="P51" s="297">
        <f>H51/N51*100</f>
        <v>-650.80052537664005</v>
      </c>
      <c r="Q51" s="253"/>
      <c r="R51" s="168"/>
      <c r="S51" s="240">
        <f>SUM(S47:S50)</f>
        <v>4835.5119999999997</v>
      </c>
      <c r="T51" s="168"/>
      <c r="U51" s="255">
        <f>SUM(U47:U50)</f>
        <v>1.0241538995182091</v>
      </c>
      <c r="V51" s="24"/>
      <c r="W51" s="130">
        <f>(U51/U44-1)*100</f>
        <v>-36.006959015125986</v>
      </c>
      <c r="X51" s="143"/>
      <c r="Y51" s="24"/>
      <c r="Z51" s="959"/>
      <c r="AA51" s="24"/>
      <c r="AB51" s="372">
        <f>AVERAGE(AB47:AB50)</f>
        <v>31.192656249999999</v>
      </c>
      <c r="AC51" s="24"/>
      <c r="AD51" s="244">
        <f>(AB51/AB44-1)*100</f>
        <v>5.6533175267661884</v>
      </c>
      <c r="AE51" s="143"/>
      <c r="AF51" s="297">
        <f>+H51/AD51*100</f>
        <v>-535.22668420730713</v>
      </c>
      <c r="AG51" s="30"/>
      <c r="AH51" s="24"/>
      <c r="AI51" s="33">
        <f>SUM(AI47:AI50)</f>
        <v>4835.5119999999997</v>
      </c>
      <c r="AJ51" s="24"/>
      <c r="AK51" s="153">
        <f>SUM(AK47:AK50)</f>
        <v>155.17239324358897</v>
      </c>
      <c r="AL51" s="24"/>
      <c r="AM51" s="130">
        <f>(AK51/AK44-1)*100</f>
        <v>-36.577370835332822</v>
      </c>
      <c r="AN51" s="143"/>
    </row>
    <row r="52" spans="1:40" hidden="1" outlineLevel="1">
      <c r="A52" s="24"/>
      <c r="B52" s="78"/>
      <c r="C52" s="24"/>
      <c r="D52" s="244"/>
      <c r="E52" s="244"/>
      <c r="F52" s="432"/>
      <c r="G52" s="244"/>
      <c r="H52" s="244"/>
      <c r="I52" s="168"/>
      <c r="J52" s="168"/>
      <c r="K52" s="168"/>
      <c r="L52" s="168"/>
      <c r="M52" s="168"/>
      <c r="N52" s="168"/>
      <c r="O52" s="168"/>
      <c r="P52" s="253"/>
      <c r="Q52" s="253"/>
      <c r="R52" s="168"/>
      <c r="S52" s="168"/>
      <c r="T52" s="168"/>
      <c r="U52" s="168"/>
      <c r="V52" s="24"/>
      <c r="W52" s="24"/>
      <c r="X52" s="143"/>
      <c r="Y52" s="24"/>
      <c r="Z52" s="958"/>
      <c r="AA52" s="24"/>
      <c r="AB52" s="371"/>
      <c r="AC52" s="24"/>
      <c r="AD52" s="168"/>
      <c r="AE52" s="24"/>
      <c r="AF52" s="297"/>
      <c r="AG52" s="30"/>
      <c r="AH52" s="24"/>
      <c r="AI52" s="24"/>
      <c r="AJ52" s="24"/>
      <c r="AK52" s="24"/>
      <c r="AL52" s="24"/>
      <c r="AM52" s="24"/>
      <c r="AN52" s="143"/>
    </row>
    <row r="53" spans="1:40" hidden="1" outlineLevel="1" collapsed="1">
      <c r="A53" s="73"/>
      <c r="B53" s="75">
        <f>B46+1</f>
        <v>1995</v>
      </c>
      <c r="C53" s="24"/>
      <c r="D53" s="244"/>
      <c r="E53" s="244"/>
      <c r="F53" s="432"/>
      <c r="G53" s="244"/>
      <c r="H53" s="244"/>
      <c r="I53" s="168"/>
      <c r="J53" s="168"/>
      <c r="K53" s="168"/>
      <c r="L53" s="168"/>
      <c r="M53" s="168"/>
      <c r="N53" s="168"/>
      <c r="O53" s="168"/>
      <c r="P53" s="253"/>
      <c r="Q53" s="253"/>
      <c r="R53" s="168"/>
      <c r="S53" s="168"/>
      <c r="T53" s="168"/>
      <c r="U53" s="168"/>
      <c r="V53" s="24"/>
      <c r="W53" s="24"/>
      <c r="X53" s="143"/>
      <c r="Y53" s="24"/>
      <c r="Z53" s="958"/>
      <c r="AA53" s="24"/>
      <c r="AB53" s="371"/>
      <c r="AC53" s="24"/>
      <c r="AD53" s="168"/>
      <c r="AE53" s="24"/>
      <c r="AF53" s="297"/>
      <c r="AG53" s="30"/>
      <c r="AH53" s="24"/>
      <c r="AI53" s="24"/>
      <c r="AJ53" s="24"/>
      <c r="AK53" s="24"/>
      <c r="AL53" s="24"/>
      <c r="AM53" s="24"/>
      <c r="AN53" s="143"/>
    </row>
    <row r="54" spans="1:40" hidden="1" outlineLevel="1">
      <c r="A54" s="24" t="str">
        <f>$A$47</f>
        <v>1Q</v>
      </c>
      <c r="B54" s="78" t="str">
        <f>$B$47</f>
        <v>Apr</v>
      </c>
      <c r="C54" s="24"/>
      <c r="D54" s="244">
        <f>(S54/S47-1)*100</f>
        <v>4.4823691049223235</v>
      </c>
      <c r="E54" s="244" t="s">
        <v>1084</v>
      </c>
      <c r="F54" s="432">
        <f>'qtrP&amp;L'!AB$10</f>
        <v>-1</v>
      </c>
      <c r="G54" s="244" t="s">
        <v>1084</v>
      </c>
      <c r="H54" s="244">
        <f>D54-F54</f>
        <v>5.4823691049223235</v>
      </c>
      <c r="I54" s="254" t="s">
        <v>1084</v>
      </c>
      <c r="J54" s="361">
        <f>+'store&amp;sf'!AQ47</f>
        <v>4954</v>
      </c>
      <c r="K54" s="168"/>
      <c r="L54" s="362">
        <f>AVERAGE(J54,J50)</f>
        <v>4910.5</v>
      </c>
      <c r="M54" s="168"/>
      <c r="N54" s="244">
        <f>(L54/L47-1)*100</f>
        <v>6.0125215889464512</v>
      </c>
      <c r="O54" s="254" t="s">
        <v>1084</v>
      </c>
      <c r="P54" s="297">
        <f>H54/N54*100</f>
        <v>91.1825267289057</v>
      </c>
      <c r="Q54" s="253" t="s">
        <v>1084</v>
      </c>
      <c r="R54" s="168"/>
      <c r="S54" s="240">
        <f>'qtrP&amp;L'!Z$10-'segSales&amp;OM'!K31-'segSales&amp;OM'!BE31</f>
        <v>1317.134</v>
      </c>
      <c r="T54" s="168"/>
      <c r="U54" s="255">
        <f>S54/L54</f>
        <v>0.2682280826799715</v>
      </c>
      <c r="V54" s="24"/>
      <c r="W54" s="130">
        <f>(U54/U47-1)*100</f>
        <v>-1.4433695766214782</v>
      </c>
      <c r="X54" s="143" t="s">
        <v>1084</v>
      </c>
      <c r="Y54" s="24"/>
      <c r="Z54" s="958">
        <f>+'store&amp;sf'!AQ411</f>
        <v>32.364999999999995</v>
      </c>
      <c r="AA54" s="24"/>
      <c r="AB54" s="372">
        <f>AVERAGE(Z54,Z50)</f>
        <v>32.199374999999996</v>
      </c>
      <c r="AC54" s="24"/>
      <c r="AD54" s="244">
        <f>(AB54/AB47-1)*100</f>
        <v>5.1816010289704062</v>
      </c>
      <c r="AE54" s="143" t="s">
        <v>1084</v>
      </c>
      <c r="AF54" s="297">
        <f>+H54/AD54*100</f>
        <v>105.80453945161578</v>
      </c>
      <c r="AG54" s="30" t="s">
        <v>1084</v>
      </c>
      <c r="AH54" s="24"/>
      <c r="AI54" s="33">
        <f>+S54</f>
        <v>1317.134</v>
      </c>
      <c r="AJ54" s="24"/>
      <c r="AK54" s="153">
        <f>AI54/AB54</f>
        <v>40.905576583396424</v>
      </c>
      <c r="AL54" s="24"/>
      <c r="AM54" s="37">
        <f>(AK54/AK47-1)*100</f>
        <v>-0.66478539707292006</v>
      </c>
      <c r="AN54" s="143" t="s">
        <v>1084</v>
      </c>
    </row>
    <row r="55" spans="1:40" hidden="1" outlineLevel="1">
      <c r="A55" s="24" t="str">
        <f>$A$48</f>
        <v>2Q</v>
      </c>
      <c r="B55" s="78" t="str">
        <f>$B$48</f>
        <v>Jul</v>
      </c>
      <c r="C55" s="24"/>
      <c r="D55" s="244">
        <f>(S55/S48-1)*100</f>
        <v>3.9807723853113597</v>
      </c>
      <c r="E55" s="244"/>
      <c r="F55" s="432">
        <f>'qtrP&amp;L'!AB$11</f>
        <v>0</v>
      </c>
      <c r="G55" s="244"/>
      <c r="H55" s="244">
        <f>D55-F55</f>
        <v>3.9807723853113597</v>
      </c>
      <c r="I55" s="254"/>
      <c r="J55" s="361">
        <f>+'store&amp;sf'!AQ48</f>
        <v>5048</v>
      </c>
      <c r="K55" s="168"/>
      <c r="L55" s="362">
        <f>AVERAGE(J55,J54)</f>
        <v>5001</v>
      </c>
      <c r="M55" s="168"/>
      <c r="N55" s="244">
        <f>(L55/L48-1)*100</f>
        <v>7.1222019920745394</v>
      </c>
      <c r="O55" s="254"/>
      <c r="P55" s="297">
        <f>H55/N55*100</f>
        <v>55.892438739326586</v>
      </c>
      <c r="Q55" s="253"/>
      <c r="R55" s="168"/>
      <c r="S55" s="249">
        <f>'qtrP&amp;L'!Z$10-'segSales&amp;OM'!K32-'segSales&amp;OM'!BE32</f>
        <v>1293.134</v>
      </c>
      <c r="T55" s="168"/>
      <c r="U55" s="257">
        <f>S55/L55</f>
        <v>0.25857508498300341</v>
      </c>
      <c r="V55" s="24"/>
      <c r="W55" s="130">
        <f>(U55/U48-1)*100</f>
        <v>-2.9325663105726596</v>
      </c>
      <c r="X55" s="143"/>
      <c r="Y55" s="24"/>
      <c r="Z55" s="958">
        <f>+'store&amp;sf'!AQ412</f>
        <v>33.1</v>
      </c>
      <c r="AA55" s="24"/>
      <c r="AB55" s="372">
        <f>AVERAGE(Z55,Z54)</f>
        <v>32.732500000000002</v>
      </c>
      <c r="AC55" s="24"/>
      <c r="AD55" s="244">
        <f>(AB55/AB48-1)*100</f>
        <v>6.0505426858901812</v>
      </c>
      <c r="AE55" s="143"/>
      <c r="AF55" s="297">
        <f>+H55/AD55*100</f>
        <v>65.791989115199371</v>
      </c>
      <c r="AG55" s="30"/>
      <c r="AH55" s="24"/>
      <c r="AI55" s="34">
        <f>+S55</f>
        <v>1293.134</v>
      </c>
      <c r="AJ55" s="24"/>
      <c r="AK55" s="154">
        <f>AI55/AB55</f>
        <v>39.506117772855724</v>
      </c>
      <c r="AL55" s="24"/>
      <c r="AM55" s="130">
        <f>(AK55/AK48-1)*100</f>
        <v>-1.9516828939850295</v>
      </c>
      <c r="AN55" s="143"/>
    </row>
    <row r="56" spans="1:40" hidden="1" outlineLevel="1">
      <c r="A56" s="24" t="str">
        <f>$A$49</f>
        <v>3Q</v>
      </c>
      <c r="B56" s="78" t="str">
        <f>$B$49</f>
        <v>Oct</v>
      </c>
      <c r="C56" s="24"/>
      <c r="D56" s="244">
        <f>(S56/S49-1)*100</f>
        <v>4.447189522432593</v>
      </c>
      <c r="E56" s="244"/>
      <c r="F56" s="432">
        <f>'qtrP&amp;L'!AB$12</f>
        <v>-3</v>
      </c>
      <c r="G56" s="244"/>
      <c r="H56" s="244">
        <f>D56-F56</f>
        <v>7.447189522432593</v>
      </c>
      <c r="I56" s="254"/>
      <c r="J56" s="361">
        <f>+'store&amp;sf'!AQ49</f>
        <v>5214</v>
      </c>
      <c r="K56" s="168"/>
      <c r="L56" s="362">
        <f>AVERAGE(J56,J55)</f>
        <v>5131</v>
      </c>
      <c r="M56" s="168"/>
      <c r="N56" s="244">
        <f>(L56/L49-1)*100</f>
        <v>7.7827959247978251</v>
      </c>
      <c r="O56" s="254"/>
      <c r="P56" s="297">
        <f>H56/N56*100</f>
        <v>95.687842703212723</v>
      </c>
      <c r="Q56" s="253"/>
      <c r="R56" s="168"/>
      <c r="S56" s="249">
        <f>'qtrP&amp;L'!Z$10-'segSales&amp;OM'!K33-'segSales&amp;OM'!BE33</f>
        <v>1280.134</v>
      </c>
      <c r="T56" s="168"/>
      <c r="U56" s="257">
        <f>S56/L56</f>
        <v>0.24949015786396414</v>
      </c>
      <c r="V56" s="24"/>
      <c r="W56" s="130">
        <f>(U56/U49-1)*100</f>
        <v>-3.0947484463963559</v>
      </c>
      <c r="X56" s="143"/>
      <c r="Y56" s="24"/>
      <c r="Z56" s="958">
        <f>+'store&amp;sf'!AQ413</f>
        <v>33.894999999999989</v>
      </c>
      <c r="AA56" s="24"/>
      <c r="AB56" s="372">
        <f>AVERAGE(Z56,Z55)</f>
        <v>33.497499999999995</v>
      </c>
      <c r="AC56" s="24"/>
      <c r="AD56" s="244">
        <f>(AB56/AB49-1)*100</f>
        <v>6.6905543943465595</v>
      </c>
      <c r="AE56" s="143"/>
      <c r="AF56" s="297">
        <f>+H56/AD56*100</f>
        <v>111.30900495668014</v>
      </c>
      <c r="AG56" s="30"/>
      <c r="AH56" s="24"/>
      <c r="AI56" s="34">
        <f>+S56</f>
        <v>1280.134</v>
      </c>
      <c r="AJ56" s="24"/>
      <c r="AK56" s="154">
        <f>AI56/AB56</f>
        <v>38.215807149787302</v>
      </c>
      <c r="AL56" s="24"/>
      <c r="AM56" s="130">
        <f>(AK56/AK49-1)*100</f>
        <v>-2.1026836767780721</v>
      </c>
      <c r="AN56" s="143"/>
    </row>
    <row r="57" spans="1:40" hidden="1" outlineLevel="1">
      <c r="A57" s="24" t="str">
        <f>$A$50</f>
        <v>4Q</v>
      </c>
      <c r="B57" s="78" t="str">
        <f>$B$50</f>
        <v>Jan</v>
      </c>
      <c r="C57" s="24"/>
      <c r="D57" s="295">
        <f>(S57/S50-1)*100</f>
        <v>1.4024608638710356</v>
      </c>
      <c r="E57" s="244"/>
      <c r="F57" s="433">
        <f>'qtrP&amp;L'!AB$13</f>
        <v>-4</v>
      </c>
      <c r="G57" s="244"/>
      <c r="H57" s="295">
        <f>D57-F57</f>
        <v>5.4024608638710356</v>
      </c>
      <c r="I57" s="254"/>
      <c r="J57" s="361">
        <f>+'store&amp;sf'!AQ50</f>
        <v>5298</v>
      </c>
      <c r="K57" s="168"/>
      <c r="L57" s="363">
        <f>AVERAGE(J57,J56)</f>
        <v>5256</v>
      </c>
      <c r="M57" s="168"/>
      <c r="N57" s="295">
        <f>(L57/L50-1)*100</f>
        <v>8.4605860503508055</v>
      </c>
      <c r="O57" s="254"/>
      <c r="P57" s="298">
        <f>H57/N57*100</f>
        <v>63.85445206419277</v>
      </c>
      <c r="Q57" s="253"/>
      <c r="R57" s="168"/>
      <c r="S57" s="250">
        <f>'qtrP&amp;L'!Z$10-'segSales&amp;OM'!K34-'segSales&amp;OM'!BE34</f>
        <v>1121.134</v>
      </c>
      <c r="T57" s="168"/>
      <c r="U57" s="258">
        <f>S57/L57</f>
        <v>0.21330555555555555</v>
      </c>
      <c r="V57" s="24"/>
      <c r="W57" s="131">
        <f>(U57/U50-1)*100</f>
        <v>-6.5075484500915053</v>
      </c>
      <c r="X57" s="143"/>
      <c r="Y57" s="24"/>
      <c r="Z57" s="958">
        <f>+'store&amp;sf'!AQ414</f>
        <v>34.253750000000004</v>
      </c>
      <c r="AA57" s="24"/>
      <c r="AB57" s="373">
        <f>AVERAGE(Z57,Z56)</f>
        <v>34.074374999999996</v>
      </c>
      <c r="AC57" s="24"/>
      <c r="AD57" s="295">
        <f>(AB57/AB50-1)*100</f>
        <v>6.8308741402621775</v>
      </c>
      <c r="AE57" s="143"/>
      <c r="AF57" s="298">
        <f>+H57/AD57*100</f>
        <v>79.088865538132751</v>
      </c>
      <c r="AG57" s="30"/>
      <c r="AH57" s="24"/>
      <c r="AI57" s="38">
        <f>+S57</f>
        <v>1121.134</v>
      </c>
      <c r="AJ57" s="24"/>
      <c r="AK57" s="169">
        <f>AI57/AB57</f>
        <v>32.902555072543521</v>
      </c>
      <c r="AL57" s="24"/>
      <c r="AM57" s="131">
        <f>(AK57/AK50-1)*100</f>
        <v>-5.0813150412529318</v>
      </c>
      <c r="AN57" s="143"/>
    </row>
    <row r="58" spans="1:40" hidden="1" outlineLevel="1">
      <c r="A58" s="24"/>
      <c r="B58" s="78" t="str">
        <f>$B$51</f>
        <v>Year</v>
      </c>
      <c r="C58" s="24"/>
      <c r="D58" s="244">
        <f>(S58/S51-1)*100</f>
        <v>3.6402349947637358</v>
      </c>
      <c r="E58" s="244"/>
      <c r="F58" s="432">
        <f>'qtrP&amp;L'!AB$14</f>
        <v>-2</v>
      </c>
      <c r="G58" s="244"/>
      <c r="H58" s="244">
        <f>D58-F58</f>
        <v>5.6402349947637358</v>
      </c>
      <c r="I58" s="254"/>
      <c r="J58" s="150"/>
      <c r="K58" s="168"/>
      <c r="L58" s="256">
        <f>AVERAGE(L54:L57)</f>
        <v>5074.625</v>
      </c>
      <c r="M58" s="168"/>
      <c r="N58" s="244">
        <f>(L58/L51-1)*100</f>
        <v>7.3597080446395458</v>
      </c>
      <c r="O58" s="254"/>
      <c r="P58" s="297">
        <f>H58/N58*100</f>
        <v>76.636667657921691</v>
      </c>
      <c r="Q58" s="253"/>
      <c r="R58" s="168"/>
      <c r="S58" s="240">
        <f>SUM(S54:S57)</f>
        <v>5011.5360000000001</v>
      </c>
      <c r="T58" s="168"/>
      <c r="U58" s="255">
        <f>SUM(U54:U57)</f>
        <v>0.98959888108249461</v>
      </c>
      <c r="V58" s="24"/>
      <c r="W58" s="130">
        <f>(U58/U51-1)*100</f>
        <v>-3.3740064312570817</v>
      </c>
      <c r="X58" s="143"/>
      <c r="Y58" s="24"/>
      <c r="Z58" s="958"/>
      <c r="AA58" s="24"/>
      <c r="AB58" s="372">
        <f>AVERAGE(AB54:AB57)</f>
        <v>33.125937499999999</v>
      </c>
      <c r="AC58" s="24"/>
      <c r="AD58" s="244">
        <f>(AB58/AB51-1)*100</f>
        <v>6.1978730971332441</v>
      </c>
      <c r="AE58" s="143"/>
      <c r="AF58" s="297">
        <f>+H58/AD58*100</f>
        <v>91.002750562488316</v>
      </c>
      <c r="AG58" s="30"/>
      <c r="AH58" s="24"/>
      <c r="AI58" s="33">
        <f>SUM(AI54:AI57)</f>
        <v>5011.5360000000001</v>
      </c>
      <c r="AJ58" s="24"/>
      <c r="AK58" s="153">
        <f>SUM(AK54:AK57)</f>
        <v>151.53005657858299</v>
      </c>
      <c r="AL58" s="24"/>
      <c r="AM58" s="130">
        <f>(AK58/AK51-1)*100</f>
        <v>-2.3472839394107048</v>
      </c>
      <c r="AN58" s="143"/>
    </row>
    <row r="59" spans="1:40" hidden="1" outlineLevel="1">
      <c r="A59" s="24"/>
      <c r="B59" s="78"/>
      <c r="C59" s="24"/>
      <c r="D59" s="244"/>
      <c r="E59" s="244"/>
      <c r="F59" s="432"/>
      <c r="G59" s="244"/>
      <c r="H59" s="244"/>
      <c r="I59" s="254"/>
      <c r="J59" s="150"/>
      <c r="K59" s="168"/>
      <c r="L59" s="168"/>
      <c r="M59" s="168"/>
      <c r="N59" s="168"/>
      <c r="O59" s="254"/>
      <c r="P59" s="253"/>
      <c r="Q59" s="253"/>
      <c r="R59" s="168"/>
      <c r="S59" s="168"/>
      <c r="T59" s="168"/>
      <c r="U59" s="168"/>
      <c r="V59" s="24"/>
      <c r="W59" s="24"/>
      <c r="X59" s="143"/>
      <c r="Y59" s="24"/>
      <c r="Z59" s="958"/>
      <c r="AA59" s="24"/>
      <c r="AB59" s="371"/>
      <c r="AC59" s="24"/>
      <c r="AD59" s="168"/>
      <c r="AE59" s="143"/>
      <c r="AF59" s="297"/>
      <c r="AG59" s="30"/>
      <c r="AH59" s="24"/>
      <c r="AI59" s="24"/>
      <c r="AJ59" s="24"/>
      <c r="AK59" s="24"/>
      <c r="AL59" s="24"/>
      <c r="AM59" s="24"/>
      <c r="AN59" s="143"/>
    </row>
    <row r="60" spans="1:40" hidden="1" outlineLevel="1">
      <c r="A60" s="73"/>
      <c r="B60" s="75">
        <f>B53+1</f>
        <v>1996</v>
      </c>
      <c r="C60" s="24"/>
      <c r="D60" s="244"/>
      <c r="E60" s="244"/>
      <c r="F60" s="432"/>
      <c r="G60" s="244"/>
      <c r="H60" s="244"/>
      <c r="I60" s="254"/>
      <c r="J60" s="150"/>
      <c r="K60" s="168"/>
      <c r="L60" s="168"/>
      <c r="M60" s="168"/>
      <c r="N60" s="168"/>
      <c r="O60" s="254"/>
      <c r="P60" s="253"/>
      <c r="Q60" s="253"/>
      <c r="R60" s="168"/>
      <c r="S60" s="168"/>
      <c r="T60" s="168"/>
      <c r="U60" s="168"/>
      <c r="V60" s="24"/>
      <c r="W60" s="24"/>
      <c r="X60" s="143"/>
      <c r="Y60" s="24"/>
      <c r="Z60" s="958"/>
      <c r="AA60" s="24"/>
      <c r="AB60" s="371"/>
      <c r="AC60" s="24"/>
      <c r="AD60" s="168"/>
      <c r="AE60" s="143"/>
      <c r="AF60" s="297"/>
      <c r="AG60" s="30"/>
      <c r="AH60" s="24"/>
      <c r="AI60" s="24"/>
      <c r="AJ60" s="24"/>
      <c r="AK60" s="24"/>
      <c r="AL60" s="24"/>
      <c r="AM60" s="24"/>
      <c r="AN60" s="143"/>
    </row>
    <row r="61" spans="1:40" hidden="1" outlineLevel="1">
      <c r="A61" s="24" t="str">
        <f>$A$47</f>
        <v>1Q</v>
      </c>
      <c r="B61" s="78" t="str">
        <f>$B$47</f>
        <v>Apr</v>
      </c>
      <c r="C61" s="24"/>
      <c r="D61" s="244">
        <f>(S61/S54-1)*100</f>
        <v>11.070172055386918</v>
      </c>
      <c r="E61" s="244" t="s">
        <v>1084</v>
      </c>
      <c r="F61" s="432">
        <f>'qtrP&amp;L'!AF10</f>
        <v>4</v>
      </c>
      <c r="G61" s="244" t="s">
        <v>1084</v>
      </c>
      <c r="H61" s="244">
        <f>D61-F61</f>
        <v>7.0701720553869176</v>
      </c>
      <c r="I61" s="254" t="s">
        <v>1084</v>
      </c>
      <c r="J61" s="361">
        <f>+'store&amp;sf'!AQ53</f>
        <v>5352</v>
      </c>
      <c r="K61" s="168"/>
      <c r="L61" s="362">
        <f>AVERAGE(J61,J57)</f>
        <v>5325</v>
      </c>
      <c r="M61" s="168"/>
      <c r="N61" s="244">
        <f>(L61/L54-1)*100</f>
        <v>8.4410956114448599</v>
      </c>
      <c r="O61" s="254" t="s">
        <v>1084</v>
      </c>
      <c r="P61" s="297">
        <f>H61/N61*100</f>
        <v>83.758938185711628</v>
      </c>
      <c r="Q61" s="253" t="s">
        <v>1084</v>
      </c>
      <c r="R61" s="168"/>
      <c r="S61" s="240">
        <f>'qtrP&amp;L'!AD10-'segSales&amp;OM'!K38-'segSales&amp;OM'!BE38</f>
        <v>1462.943</v>
      </c>
      <c r="T61" s="168"/>
      <c r="U61" s="255">
        <f>S61/L61</f>
        <v>0.27473107981220657</v>
      </c>
      <c r="V61" s="24"/>
      <c r="W61" s="37">
        <f>(U61/U54-1)*100</f>
        <v>2.4244281460990447</v>
      </c>
      <c r="X61" s="143" t="s">
        <v>1084</v>
      </c>
      <c r="Y61" s="24"/>
      <c r="Z61" s="958">
        <f>+'store&amp;sf'!AQ417</f>
        <v>34.409999999999997</v>
      </c>
      <c r="AA61" s="24"/>
      <c r="AB61" s="372">
        <f>AVERAGE(Z61,Z57)</f>
        <v>34.331874999999997</v>
      </c>
      <c r="AC61" s="24"/>
      <c r="AD61" s="244">
        <f>(AB61/AB54-1)*100</f>
        <v>6.6227993555775466</v>
      </c>
      <c r="AE61" s="143" t="s">
        <v>1084</v>
      </c>
      <c r="AF61" s="297">
        <f>+H61/AD61*100</f>
        <v>106.75503930875703</v>
      </c>
      <c r="AG61" s="30" t="s">
        <v>1084</v>
      </c>
      <c r="AH61" s="24"/>
      <c r="AI61" s="33">
        <f>+S61</f>
        <v>1462.943</v>
      </c>
      <c r="AJ61" s="24"/>
      <c r="AK61" s="153">
        <f>AI61/AB61</f>
        <v>42.611800258506129</v>
      </c>
      <c r="AL61" s="24"/>
      <c r="AM61" s="37">
        <f>(AK61/AK54-1)*100</f>
        <v>4.1711273073761213</v>
      </c>
      <c r="AN61" s="143" t="s">
        <v>1084</v>
      </c>
    </row>
    <row r="62" spans="1:40" hidden="1" outlineLevel="1">
      <c r="A62" s="24" t="str">
        <f>$A$48</f>
        <v>2Q</v>
      </c>
      <c r="B62" s="78" t="str">
        <f>$B$48</f>
        <v>Jul</v>
      </c>
      <c r="C62" s="24"/>
      <c r="D62" s="244">
        <f>(S62/S55-1)*100</f>
        <v>20.064973931549247</v>
      </c>
      <c r="E62" s="244"/>
      <c r="F62" s="432">
        <f>'qtrP&amp;L'!AF11</f>
        <v>3</v>
      </c>
      <c r="G62" s="244"/>
      <c r="H62" s="244">
        <f>D62-F62</f>
        <v>17.064973931549247</v>
      </c>
      <c r="I62" s="254"/>
      <c r="J62" s="361">
        <f>+'store&amp;sf'!AQ54</f>
        <v>5454</v>
      </c>
      <c r="K62" s="168"/>
      <c r="L62" s="362">
        <f>AVERAGE(J62,J61)</f>
        <v>5403</v>
      </c>
      <c r="M62" s="168"/>
      <c r="N62" s="244">
        <f>(L62/L55-1)*100</f>
        <v>8.0383923215356923</v>
      </c>
      <c r="O62" s="254"/>
      <c r="P62" s="297">
        <f>H62/N62*100</f>
        <v>212.29336973054177</v>
      </c>
      <c r="Q62" s="253"/>
      <c r="R62" s="168"/>
      <c r="S62" s="249">
        <f>'qtrP&amp;L'!AD11-'segSales&amp;OM'!K39-'segSales&amp;OM'!BE39</f>
        <v>1552.6010000000001</v>
      </c>
      <c r="T62" s="168"/>
      <c r="U62" s="257">
        <f>S62/L62</f>
        <v>0.28735905978160281</v>
      </c>
      <c r="V62" s="24"/>
      <c r="W62" s="37">
        <f>(U62/U55-1)*100</f>
        <v>11.131766542972009</v>
      </c>
      <c r="X62" s="143"/>
      <c r="Y62" s="24"/>
      <c r="Z62" s="958">
        <f>+'store&amp;sf'!AQ418</f>
        <v>34.754999999999995</v>
      </c>
      <c r="AA62" s="24"/>
      <c r="AB62" s="372">
        <f>AVERAGE(Z62,Z61)</f>
        <v>34.582499999999996</v>
      </c>
      <c r="AC62" s="24"/>
      <c r="AD62" s="244">
        <f>(AB62/AB55-1)*100</f>
        <v>5.6518750477354107</v>
      </c>
      <c r="AE62" s="143"/>
      <c r="AF62" s="297">
        <f>+H62/AD62*100</f>
        <v>301.93473471050692</v>
      </c>
      <c r="AG62" s="30"/>
      <c r="AH62" s="24"/>
      <c r="AI62" s="34">
        <f>+S62</f>
        <v>1552.6010000000001</v>
      </c>
      <c r="AJ62" s="24"/>
      <c r="AK62" s="154">
        <f>AI62/AB62</f>
        <v>44.895568567917309</v>
      </c>
      <c r="AL62" s="24"/>
      <c r="AM62" s="37">
        <f>(AK62/AK55-1)*100</f>
        <v>13.642066340329251</v>
      </c>
      <c r="AN62" s="143"/>
    </row>
    <row r="63" spans="1:40" hidden="1" outlineLevel="1">
      <c r="A63" s="24" t="str">
        <f>$A$49</f>
        <v>3Q</v>
      </c>
      <c r="B63" s="78" t="str">
        <f>$B$49</f>
        <v>Oct</v>
      </c>
      <c r="C63" s="24"/>
      <c r="D63" s="244">
        <f>(S63/S56-1)*100</f>
        <v>26.860625528265025</v>
      </c>
      <c r="E63" s="244"/>
      <c r="F63" s="432">
        <f>'qtrP&amp;L'!AF12</f>
        <v>4</v>
      </c>
      <c r="G63" s="244"/>
      <c r="H63" s="244">
        <f>D63-F63</f>
        <v>22.860625528265025</v>
      </c>
      <c r="I63" s="254"/>
      <c r="J63" s="361">
        <f>+'store&amp;sf'!AQ55</f>
        <v>5656</v>
      </c>
      <c r="K63" s="168"/>
      <c r="L63" s="362">
        <f>AVERAGE(J63,J62)</f>
        <v>5555</v>
      </c>
      <c r="M63" s="168"/>
      <c r="N63" s="244">
        <f>(L63/L56-1)*100</f>
        <v>8.2634963944650188</v>
      </c>
      <c r="O63" s="254"/>
      <c r="P63" s="297">
        <f>H63/N63*100</f>
        <v>276.645918833792</v>
      </c>
      <c r="Q63" s="253"/>
      <c r="R63" s="168"/>
      <c r="S63" s="249">
        <f>'qtrP&amp;L'!AD12-'segSales&amp;OM'!K40-'segSales&amp;OM'!BE40</f>
        <v>1623.9860000000001</v>
      </c>
      <c r="T63" s="168"/>
      <c r="U63" s="257">
        <f>S63/L63</f>
        <v>0.29234671467146717</v>
      </c>
      <c r="V63" s="24"/>
      <c r="W63" s="37">
        <f>(U63/U56-1)*100</f>
        <v>17.177654290824094</v>
      </c>
      <c r="X63" s="143"/>
      <c r="Y63" s="24"/>
      <c r="Z63" s="958">
        <f>+'store&amp;sf'!AQ419</f>
        <v>35.736249999999991</v>
      </c>
      <c r="AA63" s="24"/>
      <c r="AB63" s="372">
        <f>AVERAGE(Z63,Z62)</f>
        <v>35.24562499999999</v>
      </c>
      <c r="AC63" s="24"/>
      <c r="AD63" s="244">
        <f>(AB63/AB56-1)*100</f>
        <v>5.2186730353011246</v>
      </c>
      <c r="AE63" s="143"/>
      <c r="AF63" s="297">
        <f>+H63/AD63*100</f>
        <v>438.05437462027044</v>
      </c>
      <c r="AG63" s="30"/>
      <c r="AH63" s="24"/>
      <c r="AI63" s="34">
        <f>+S63</f>
        <v>1623.9860000000001</v>
      </c>
      <c r="AJ63" s="24"/>
      <c r="AK63" s="154">
        <f>AI63/AB63</f>
        <v>46.076243505399624</v>
      </c>
      <c r="AL63" s="24"/>
      <c r="AM63" s="37">
        <f>(AK63/AK56-1)*100</f>
        <v>20.568547263186797</v>
      </c>
      <c r="AN63" s="143"/>
    </row>
    <row r="64" spans="1:40" hidden="1" outlineLevel="1">
      <c r="A64" s="24" t="str">
        <f>$A$50</f>
        <v>4Q</v>
      </c>
      <c r="B64" s="78" t="str">
        <f>$B$50</f>
        <v>Jan</v>
      </c>
      <c r="C64" s="24"/>
      <c r="D64" s="295">
        <f>(S64/S57-1)*100</f>
        <v>115.34098510971927</v>
      </c>
      <c r="E64" s="244"/>
      <c r="F64" s="433">
        <f>'qtrP&amp;L'!AF13</f>
        <v>3</v>
      </c>
      <c r="G64" s="244"/>
      <c r="H64" s="295">
        <f>D64-F64</f>
        <v>112.34098510971927</v>
      </c>
      <c r="I64" s="254"/>
      <c r="J64" s="361">
        <f>+'store&amp;sf'!AQ56</f>
        <v>5633</v>
      </c>
      <c r="K64" s="168"/>
      <c r="L64" s="363">
        <f>AVERAGE(J64,J63)</f>
        <v>5644.5</v>
      </c>
      <c r="M64" s="168"/>
      <c r="N64" s="295">
        <f>(L64/L57-1)*100</f>
        <v>7.3915525114155223</v>
      </c>
      <c r="O64" s="254"/>
      <c r="P64" s="298">
        <f>H64/N64*100</f>
        <v>1519.8564163106428</v>
      </c>
      <c r="Q64" s="253"/>
      <c r="R64" s="168"/>
      <c r="S64" s="250">
        <f>'qtrP&amp;L'!AD13-'segSales&amp;OM'!K41-'segSales&amp;OM'!BE41</f>
        <v>2414.261</v>
      </c>
      <c r="T64" s="168"/>
      <c r="U64" s="258">
        <f>S64/L64</f>
        <v>0.4277191956772079</v>
      </c>
      <c r="V64" s="24"/>
      <c r="W64" s="80">
        <f>(U64/U57-1)*100</f>
        <v>100.51948228127992</v>
      </c>
      <c r="X64" s="143"/>
      <c r="Y64" s="24"/>
      <c r="Z64" s="958">
        <f>+'store&amp;sf'!AQ420</f>
        <v>35.506249999999994</v>
      </c>
      <c r="AA64" s="24"/>
      <c r="AB64" s="373">
        <f>AVERAGE(Z64,Z63)</f>
        <v>35.621249999999989</v>
      </c>
      <c r="AC64" s="24"/>
      <c r="AD64" s="295">
        <f>(AB64/AB57-1)*100</f>
        <v>4.5397017553513219</v>
      </c>
      <c r="AE64" s="143"/>
      <c r="AF64" s="298">
        <f>+H64/AD64*100</f>
        <v>2474.6336029078047</v>
      </c>
      <c r="AG64" s="30"/>
      <c r="AH64" s="24"/>
      <c r="AI64" s="38">
        <f>+S64</f>
        <v>2414.261</v>
      </c>
      <c r="AJ64" s="24"/>
      <c r="AK64" s="169">
        <f>AI64/AB64</f>
        <v>67.775864126048376</v>
      </c>
      <c r="AL64" s="24"/>
      <c r="AM64" s="80">
        <f>(AK64/AK57-1)*100</f>
        <v>105.9896685124186</v>
      </c>
      <c r="AN64" s="143"/>
    </row>
    <row r="65" spans="1:40" hidden="1" outlineLevel="1">
      <c r="A65" s="24"/>
      <c r="B65" s="78" t="str">
        <f>$B$51</f>
        <v>Year</v>
      </c>
      <c r="C65" s="24"/>
      <c r="D65" s="244">
        <f>(S65/S58-1)*100</f>
        <v>40.751079110276756</v>
      </c>
      <c r="E65" s="244"/>
      <c r="F65" s="432">
        <f>'qtrP&amp;L'!AF14</f>
        <v>3</v>
      </c>
      <c r="G65" s="244"/>
      <c r="H65" s="244">
        <f>D65-F65</f>
        <v>37.751079110276756</v>
      </c>
      <c r="I65" s="254"/>
      <c r="J65" s="150"/>
      <c r="K65" s="168"/>
      <c r="L65" s="256">
        <f>AVERAGE(L61:L64)</f>
        <v>5481.875</v>
      </c>
      <c r="M65" s="168"/>
      <c r="N65" s="244">
        <f>(L65/L58-1)*100</f>
        <v>8.0252235386851325</v>
      </c>
      <c r="O65" s="254"/>
      <c r="P65" s="297">
        <f>H65/N65*100</f>
        <v>470.40532800488154</v>
      </c>
      <c r="Q65" s="253"/>
      <c r="R65" s="168"/>
      <c r="S65" s="240">
        <f>SUM(S61:S64)</f>
        <v>7053.7909999999993</v>
      </c>
      <c r="T65" s="168"/>
      <c r="U65" s="255">
        <f>SUM(U61:U64)</f>
        <v>1.2821560499424844</v>
      </c>
      <c r="V65" s="24"/>
      <c r="W65" s="37">
        <f>(U65/U58-1)*100</f>
        <v>29.563207320926811</v>
      </c>
      <c r="X65" s="143"/>
      <c r="Y65" s="24"/>
      <c r="Z65" s="958"/>
      <c r="AA65" s="24"/>
      <c r="AB65" s="372">
        <f>AVERAGE(AB61:AB64)</f>
        <v>34.945312499999993</v>
      </c>
      <c r="AC65" s="24"/>
      <c r="AD65" s="244">
        <f>(AB65/AB58-1)*100</f>
        <v>5.4922973878097636</v>
      </c>
      <c r="AE65" s="143"/>
      <c r="AF65" s="297">
        <f>+H65/AD65*100</f>
        <v>687.34586721516291</v>
      </c>
      <c r="AG65" s="30"/>
      <c r="AH65" s="24"/>
      <c r="AI65" s="33">
        <f>SUM(AI61:AI64)</f>
        <v>7053.7909999999993</v>
      </c>
      <c r="AJ65" s="24"/>
      <c r="AK65" s="153">
        <f>SUM(AK61:AK64)</f>
        <v>201.35947645787144</v>
      </c>
      <c r="AL65" s="24"/>
      <c r="AM65" s="37">
        <f>(AK65/AK58-1)*100</f>
        <v>32.884182190908831</v>
      </c>
      <c r="AN65" s="143"/>
    </row>
    <row r="66" spans="1:40" hidden="1" outlineLevel="1">
      <c r="A66" s="24"/>
      <c r="B66" s="78"/>
      <c r="C66" s="24"/>
      <c r="D66" s="244"/>
      <c r="E66" s="244"/>
      <c r="F66" s="432"/>
      <c r="G66" s="244"/>
      <c r="H66" s="244"/>
      <c r="I66" s="254"/>
      <c r="J66" s="150"/>
      <c r="K66" s="168"/>
      <c r="L66" s="168"/>
      <c r="M66" s="168"/>
      <c r="N66" s="168"/>
      <c r="O66" s="254"/>
      <c r="P66" s="253"/>
      <c r="Q66" s="253"/>
      <c r="R66" s="168"/>
      <c r="S66" s="168"/>
      <c r="T66" s="168"/>
      <c r="U66" s="168"/>
      <c r="V66" s="24"/>
      <c r="W66" s="24"/>
      <c r="X66" s="143"/>
      <c r="Y66" s="24"/>
      <c r="Z66" s="958"/>
      <c r="AA66" s="24"/>
      <c r="AB66" s="371"/>
      <c r="AC66" s="24"/>
      <c r="AD66" s="168"/>
      <c r="AE66" s="143"/>
      <c r="AF66" s="297"/>
      <c r="AG66" s="30"/>
      <c r="AH66" s="24"/>
      <c r="AI66" s="24"/>
      <c r="AJ66" s="24"/>
      <c r="AK66" s="24"/>
      <c r="AL66" s="24"/>
      <c r="AM66" s="24"/>
      <c r="AN66" s="143"/>
    </row>
    <row r="67" spans="1:40" hidden="1" outlineLevel="1">
      <c r="A67" s="73"/>
      <c r="B67" s="75">
        <f>B60+1</f>
        <v>1997</v>
      </c>
      <c r="C67" s="24"/>
      <c r="D67" s="244"/>
      <c r="E67" s="244"/>
      <c r="F67" s="432"/>
      <c r="G67" s="244"/>
      <c r="H67" s="244"/>
      <c r="I67" s="254"/>
      <c r="J67" s="150"/>
      <c r="K67" s="168"/>
      <c r="L67" s="168"/>
      <c r="M67" s="168"/>
      <c r="N67" s="168"/>
      <c r="O67" s="254"/>
      <c r="P67" s="253"/>
      <c r="Q67" s="253"/>
      <c r="R67" s="168"/>
      <c r="S67" s="168"/>
      <c r="T67" s="168"/>
      <c r="U67" s="168"/>
      <c r="V67" s="24"/>
      <c r="W67" s="24"/>
      <c r="X67" s="143"/>
      <c r="Y67" s="24"/>
      <c r="Z67" s="958"/>
      <c r="AA67" s="24"/>
      <c r="AB67" s="371"/>
      <c r="AC67" s="24"/>
      <c r="AD67" s="168"/>
      <c r="AE67" s="143"/>
      <c r="AF67" s="297"/>
      <c r="AG67" s="30"/>
      <c r="AH67" s="24"/>
      <c r="AI67" s="24"/>
      <c r="AJ67" s="24"/>
      <c r="AK67" s="24"/>
      <c r="AL67" s="24"/>
      <c r="AM67" s="24"/>
      <c r="AN67" s="143"/>
    </row>
    <row r="68" spans="1:40" hidden="1" outlineLevel="1">
      <c r="A68" s="24" t="str">
        <f>$A$47</f>
        <v>1Q</v>
      </c>
      <c r="B68" s="78" t="str">
        <f>$B$47</f>
        <v>Apr</v>
      </c>
      <c r="C68" s="24"/>
      <c r="D68" s="244">
        <f>(S68/S61-1)*100</f>
        <v>-11.189021034995905</v>
      </c>
      <c r="E68" s="244" t="s">
        <v>1084</v>
      </c>
      <c r="F68" s="432">
        <f>'qtrP&amp;L'!AJ10</f>
        <v>-4</v>
      </c>
      <c r="G68" s="244" t="s">
        <v>1084</v>
      </c>
      <c r="H68" s="244">
        <f>D68-F68</f>
        <v>-7.1890210349959052</v>
      </c>
      <c r="I68" s="254" t="s">
        <v>1084</v>
      </c>
      <c r="J68" s="361">
        <f>+'store&amp;sf'!AQ59</f>
        <v>5629</v>
      </c>
      <c r="K68" s="168"/>
      <c r="L68" s="362">
        <f>AVERAGE(J68,J64)</f>
        <v>5631</v>
      </c>
      <c r="M68" s="168"/>
      <c r="N68" s="244">
        <f>(L68/L61-1)*100</f>
        <v>5.7464788732394467</v>
      </c>
      <c r="O68" s="254" t="s">
        <v>1084</v>
      </c>
      <c r="P68" s="297">
        <f>H68/N68*100</f>
        <v>-125.103062128605</v>
      </c>
      <c r="Q68" s="253" t="s">
        <v>1084</v>
      </c>
      <c r="R68" s="168"/>
      <c r="S68" s="240">
        <f>'qtrP&amp;L'!AH10-'segSales&amp;OM'!K45-'segSales&amp;OM'!BE45</f>
        <v>1299.2539999999999</v>
      </c>
      <c r="T68" s="168"/>
      <c r="U68" s="255">
        <f>S68/L68</f>
        <v>0.23073237435624222</v>
      </c>
      <c r="V68" s="24"/>
      <c r="W68" s="132">
        <f>(U68/U61-1)*100</f>
        <v>-16.015190376727606</v>
      </c>
      <c r="X68" s="143" t="s">
        <v>1084</v>
      </c>
      <c r="Y68" s="24"/>
      <c r="Z68" s="958">
        <f>+'store&amp;sf'!AQ423</f>
        <v>35.347500000000004</v>
      </c>
      <c r="AA68" s="24"/>
      <c r="AB68" s="372">
        <f>AVERAGE(Z68,Z64)</f>
        <v>35.426874999999995</v>
      </c>
      <c r="AC68" s="24"/>
      <c r="AD68" s="244">
        <f>(AB68/AB61-1)*100</f>
        <v>3.1894558628096981</v>
      </c>
      <c r="AE68" s="143" t="s">
        <v>1084</v>
      </c>
      <c r="AF68" s="297">
        <f>+H68/AD68*100</f>
        <v>-225.39960871767187</v>
      </c>
      <c r="AG68" s="30" t="s">
        <v>1084</v>
      </c>
      <c r="AH68" s="24"/>
      <c r="AI68" s="33">
        <f>+S68</f>
        <v>1299.2539999999999</v>
      </c>
      <c r="AJ68" s="24"/>
      <c r="AK68" s="153">
        <f>AI68/AB68</f>
        <v>36.674248010867458</v>
      </c>
      <c r="AL68" s="24"/>
      <c r="AM68" s="37">
        <f>(AK68/AK61-1)*100</f>
        <v>-13.934056321531319</v>
      </c>
      <c r="AN68" s="143" t="s">
        <v>1084</v>
      </c>
    </row>
    <row r="69" spans="1:40" hidden="1" outlineLevel="1">
      <c r="A69" s="24" t="str">
        <f>$A$48</f>
        <v>2Q</v>
      </c>
      <c r="B69" s="78" t="str">
        <f>$B$48</f>
        <v>Jul</v>
      </c>
      <c r="C69" s="24"/>
      <c r="D69" s="244">
        <f>(S69/S62-1)*100</f>
        <v>-5.6435619969328883</v>
      </c>
      <c r="E69" s="244"/>
      <c r="F69" s="432">
        <f>'qtrP&amp;L'!AJ11</f>
        <v>0</v>
      </c>
      <c r="G69" s="244"/>
      <c r="H69" s="244">
        <f>D69-F69</f>
        <v>-5.6435619969328883</v>
      </c>
      <c r="I69" s="254"/>
      <c r="J69" s="361">
        <f>+'store&amp;sf'!AQ60</f>
        <v>5690</v>
      </c>
      <c r="K69" s="168"/>
      <c r="L69" s="362">
        <f>AVERAGE(J69,J68)</f>
        <v>5659.5</v>
      </c>
      <c r="M69" s="168"/>
      <c r="N69" s="244">
        <f>(L69/L62-1)*100</f>
        <v>4.74736257634647</v>
      </c>
      <c r="O69" s="254"/>
      <c r="P69" s="297">
        <f>H69/N69*100</f>
        <v>-118.87783808744024</v>
      </c>
      <c r="Q69" s="253"/>
      <c r="R69" s="168"/>
      <c r="S69" s="249">
        <f>'qtrP&amp;L'!AH11-'segSales&amp;OM'!K46-'segSales&amp;OM'!BE46</f>
        <v>1464.979</v>
      </c>
      <c r="T69" s="168"/>
      <c r="U69" s="257">
        <f>S69/L69</f>
        <v>0.25885307889389525</v>
      </c>
      <c r="V69" s="24"/>
      <c r="W69" s="132">
        <f>(U69/U62-1)*100</f>
        <v>-9.9199868308911263</v>
      </c>
      <c r="X69" s="143"/>
      <c r="Y69" s="24"/>
      <c r="Z69" s="958">
        <f>+'store&amp;sf'!AQ424</f>
        <v>35.59375</v>
      </c>
      <c r="AA69" s="24"/>
      <c r="AB69" s="372">
        <f>AVERAGE(Z69,Z68)</f>
        <v>35.470624999999998</v>
      </c>
      <c r="AC69" s="24"/>
      <c r="AD69" s="244">
        <f>(AB69/AB62-1)*100</f>
        <v>2.5681341719077544</v>
      </c>
      <c r="AE69" s="143"/>
      <c r="AF69" s="297">
        <f>+H69/AD69*100</f>
        <v>-219.753393676489</v>
      </c>
      <c r="AG69" s="30"/>
      <c r="AH69" s="24"/>
      <c r="AI69" s="34">
        <f>+S69</f>
        <v>1464.979</v>
      </c>
      <c r="AJ69" s="24"/>
      <c r="AK69" s="154">
        <f>AI69/AB69</f>
        <v>41.301189364438891</v>
      </c>
      <c r="AL69" s="24"/>
      <c r="AM69" s="37">
        <f>(AK69/AK62-1)*100</f>
        <v>-8.0060890598609884</v>
      </c>
      <c r="AN69" s="143"/>
    </row>
    <row r="70" spans="1:40" hidden="1" outlineLevel="1">
      <c r="A70" s="24" t="str">
        <f>$A$49</f>
        <v>3Q</v>
      </c>
      <c r="B70" s="78" t="str">
        <f>$B$49</f>
        <v>Oct</v>
      </c>
      <c r="C70" s="24"/>
      <c r="D70" s="244">
        <f>(S70/S63-1)*100</f>
        <v>-16.128895199835469</v>
      </c>
      <c r="E70" s="244"/>
      <c r="F70" s="432">
        <f>'qtrP&amp;L'!AJ12</f>
        <v>-2</v>
      </c>
      <c r="G70" s="244"/>
      <c r="H70" s="244">
        <f>D70-F70</f>
        <v>-14.128895199835469</v>
      </c>
      <c r="I70" s="254"/>
      <c r="J70" s="361">
        <f>+'store&amp;sf'!AQ61</f>
        <v>5794</v>
      </c>
      <c r="K70" s="168"/>
      <c r="L70" s="362">
        <f>AVERAGE(J70,J69)</f>
        <v>5742</v>
      </c>
      <c r="M70" s="168"/>
      <c r="N70" s="244">
        <f>(L70/L63-1)*100</f>
        <v>3.3663366336633693</v>
      </c>
      <c r="O70" s="254"/>
      <c r="P70" s="297">
        <f>H70/N70*100</f>
        <v>-419.7112985833474</v>
      </c>
      <c r="Q70" s="253"/>
      <c r="R70" s="168"/>
      <c r="S70" s="249">
        <f>'qtrP&amp;L'!AH12-'segSales&amp;OM'!K47-'segSales&amp;OM'!BE47</f>
        <v>1362.0550000000001</v>
      </c>
      <c r="T70" s="168"/>
      <c r="U70" s="257">
        <f>S70/L70</f>
        <v>0.23720916057122954</v>
      </c>
      <c r="V70" s="24"/>
      <c r="W70" s="132">
        <f>(U70/U63-1)*100</f>
        <v>-18.860329647350405</v>
      </c>
      <c r="X70" s="143"/>
      <c r="Y70" s="24"/>
      <c r="Z70" s="958">
        <f>+'store&amp;sf'!AQ425</f>
        <v>36.16375</v>
      </c>
      <c r="AA70" s="24"/>
      <c r="AB70" s="372">
        <f>AVERAGE(Z70,Z69)</f>
        <v>35.878749999999997</v>
      </c>
      <c r="AC70" s="24"/>
      <c r="AD70" s="244">
        <f>(AB70/AB63-1)*100</f>
        <v>1.7963222385757316</v>
      </c>
      <c r="AE70" s="143"/>
      <c r="AF70" s="297">
        <f>+H70/AD70*100</f>
        <v>-786.54569299537206</v>
      </c>
      <c r="AG70" s="30"/>
      <c r="AH70" s="24"/>
      <c r="AI70" s="34">
        <f>+S70</f>
        <v>1362.0550000000001</v>
      </c>
      <c r="AJ70" s="24"/>
      <c r="AK70" s="154">
        <f>AI70/AB70</f>
        <v>37.96272166672474</v>
      </c>
      <c r="AL70" s="24"/>
      <c r="AM70" s="37">
        <f>(AK70/AK63-1)*100</f>
        <v>-17.608904766127619</v>
      </c>
      <c r="AN70" s="143"/>
    </row>
    <row r="71" spans="1:40" hidden="1" outlineLevel="1">
      <c r="A71" s="24" t="str">
        <f>$A$50</f>
        <v>4Q</v>
      </c>
      <c r="B71" s="78" t="str">
        <f>$B$50</f>
        <v>Jan</v>
      </c>
      <c r="C71" s="24"/>
      <c r="D71" s="295">
        <f>(S71/S64-1)*100</f>
        <v>-5.2112841155119494</v>
      </c>
      <c r="E71" s="244"/>
      <c r="F71" s="433">
        <f>'qtrP&amp;L'!AJ13</f>
        <v>5</v>
      </c>
      <c r="G71" s="244"/>
      <c r="H71" s="295">
        <f>D71-F71</f>
        <v>-10.211284115511949</v>
      </c>
      <c r="I71" s="254"/>
      <c r="J71" s="361">
        <f>+'store&amp;sf'!AQ62</f>
        <v>5640</v>
      </c>
      <c r="K71" s="168"/>
      <c r="L71" s="363">
        <f>AVERAGE(J71,J70)</f>
        <v>5717</v>
      </c>
      <c r="M71" s="168"/>
      <c r="N71" s="295">
        <f>(L71/L64-1)*100</f>
        <v>1.2844361768092893</v>
      </c>
      <c r="O71" s="254"/>
      <c r="P71" s="298">
        <f>H71/N71*100</f>
        <v>-795.001285379406</v>
      </c>
      <c r="Q71" s="253"/>
      <c r="R71" s="168"/>
      <c r="S71" s="250">
        <f>'qtrP&amp;L'!AH13-'segSales&amp;OM'!K48-'segSales&amp;OM'!BE48</f>
        <v>2288.4470000000001</v>
      </c>
      <c r="T71" s="168"/>
      <c r="U71" s="258">
        <f>S71/L71</f>
        <v>0.40028808815812489</v>
      </c>
      <c r="V71" s="24"/>
      <c r="W71" s="131">
        <f>(U71/U64-1)*100</f>
        <v>-6.4133449693907991</v>
      </c>
      <c r="X71" s="143"/>
      <c r="Y71" s="24"/>
      <c r="Z71" s="958">
        <f>+'store&amp;sf'!AQ426</f>
        <v>35.499999999999993</v>
      </c>
      <c r="AA71" s="24"/>
      <c r="AB71" s="373">
        <f>AVERAGE(Z71,Z70)</f>
        <v>35.831874999999997</v>
      </c>
      <c r="AC71" s="24"/>
      <c r="AD71" s="295">
        <f>(AB71/AB64-1)*100</f>
        <v>0.5912903112608614</v>
      </c>
      <c r="AE71" s="143"/>
      <c r="AF71" s="298">
        <f>+H71/AD71*100</f>
        <v>-1726.9493379212508</v>
      </c>
      <c r="AG71" s="30"/>
      <c r="AH71" s="24"/>
      <c r="AI71" s="38">
        <f>+S71</f>
        <v>2288.4470000000001</v>
      </c>
      <c r="AJ71" s="24"/>
      <c r="AK71" s="169">
        <f>AI71/AB71</f>
        <v>63.866236416598362</v>
      </c>
      <c r="AL71" s="24"/>
      <c r="AM71" s="80">
        <f>(AK71/AK64-1)*100</f>
        <v>-5.7684660459348169</v>
      </c>
      <c r="AN71" s="143"/>
    </row>
    <row r="72" spans="1:40" hidden="1" outlineLevel="1">
      <c r="A72" s="24"/>
      <c r="B72" s="78" t="str">
        <f>$B$51</f>
        <v>Year</v>
      </c>
      <c r="C72" s="24"/>
      <c r="D72" s="244">
        <f>(S72/S65-1)*100</f>
        <v>-9.0597524083148926</v>
      </c>
      <c r="E72" s="244"/>
      <c r="F72" s="432">
        <f>'qtrP&amp;L'!AJ14</f>
        <v>0</v>
      </c>
      <c r="G72" s="244"/>
      <c r="H72" s="244">
        <f>D72-F72</f>
        <v>-9.0597524083148926</v>
      </c>
      <c r="I72" s="254"/>
      <c r="J72" s="150"/>
      <c r="K72" s="168"/>
      <c r="L72" s="256">
        <f>AVERAGE(L68:L71)</f>
        <v>5687.375</v>
      </c>
      <c r="M72" s="168"/>
      <c r="N72" s="244">
        <f>(L72/L65-1)*100</f>
        <v>3.748717364040588</v>
      </c>
      <c r="O72" s="254"/>
      <c r="P72" s="297">
        <f>H72/N72*100</f>
        <v>-241.67605952959224</v>
      </c>
      <c r="Q72" s="253"/>
      <c r="R72" s="168"/>
      <c r="S72" s="240">
        <f>SUM(S68:S71)</f>
        <v>6414.7350000000006</v>
      </c>
      <c r="T72" s="168"/>
      <c r="U72" s="255">
        <f>SUM(U68:U71)</f>
        <v>1.127082701979492</v>
      </c>
      <c r="V72" s="24"/>
      <c r="W72" s="132">
        <f>(U72/U65-1)*100</f>
        <v>-12.0947327721886</v>
      </c>
      <c r="X72" s="143"/>
      <c r="Y72" s="24"/>
      <c r="Z72" s="959"/>
      <c r="AA72" s="24"/>
      <c r="AB72" s="372">
        <f>AVERAGE(AB68:AB71)</f>
        <v>35.652031249999993</v>
      </c>
      <c r="AC72" s="24"/>
      <c r="AD72" s="244">
        <f>(AB72/AB65-1)*100</f>
        <v>2.0223563603845252</v>
      </c>
      <c r="AE72" s="143"/>
      <c r="AF72" s="297">
        <f>+H72/AD72*100</f>
        <v>-447.98001904037807</v>
      </c>
      <c r="AG72" s="30"/>
      <c r="AH72" s="24"/>
      <c r="AI72" s="33">
        <f>SUM(AI68:AI71)</f>
        <v>6414.7350000000006</v>
      </c>
      <c r="AJ72" s="24"/>
      <c r="AK72" s="153">
        <f>SUM(AK68:AK71)</f>
        <v>179.80439545862944</v>
      </c>
      <c r="AL72" s="24"/>
      <c r="AM72" s="37">
        <f>(AK72/AK65-1)*100</f>
        <v>-10.704776044524412</v>
      </c>
      <c r="AN72" s="143"/>
    </row>
    <row r="73" spans="1:40" hidden="1" outlineLevel="1">
      <c r="A73" s="24"/>
      <c r="B73" s="78"/>
      <c r="C73" s="24"/>
      <c r="D73" s="244"/>
      <c r="E73" s="244"/>
      <c r="F73" s="432"/>
      <c r="G73" s="244"/>
      <c r="H73" s="244"/>
      <c r="I73" s="254"/>
      <c r="J73" s="150"/>
      <c r="K73" s="168"/>
      <c r="L73" s="168"/>
      <c r="M73" s="168"/>
      <c r="N73" s="168"/>
      <c r="O73" s="254"/>
      <c r="P73" s="253"/>
      <c r="Q73" s="253"/>
      <c r="R73" s="168"/>
      <c r="S73" s="168"/>
      <c r="T73" s="168"/>
      <c r="U73" s="168"/>
      <c r="V73" s="24"/>
      <c r="W73" s="24"/>
      <c r="X73" s="143"/>
      <c r="Y73" s="24"/>
      <c r="Z73" s="959"/>
      <c r="AA73" s="24"/>
      <c r="AB73" s="371"/>
      <c r="AC73" s="24"/>
      <c r="AD73" s="168"/>
      <c r="AE73" s="143"/>
      <c r="AF73" s="297"/>
      <c r="AG73" s="30"/>
      <c r="AH73" s="24"/>
      <c r="AI73" s="24"/>
      <c r="AJ73" s="24"/>
      <c r="AK73" s="24"/>
      <c r="AL73" s="24"/>
      <c r="AM73" s="24"/>
      <c r="AN73" s="143"/>
    </row>
    <row r="74" spans="1:40" hidden="1" outlineLevel="1" collapsed="1">
      <c r="A74" s="73"/>
      <c r="B74" s="75">
        <f>B67+1</f>
        <v>1998</v>
      </c>
      <c r="C74" s="24"/>
      <c r="D74" s="244"/>
      <c r="E74" s="244"/>
      <c r="F74" s="432"/>
      <c r="G74" s="244"/>
      <c r="H74" s="244"/>
      <c r="I74" s="254"/>
      <c r="J74" s="150"/>
      <c r="K74" s="168"/>
      <c r="L74" s="168"/>
      <c r="M74" s="168"/>
      <c r="N74" s="168"/>
      <c r="O74" s="254"/>
      <c r="P74" s="253"/>
      <c r="Q74" s="253"/>
      <c r="R74" s="168"/>
      <c r="S74" s="168"/>
      <c r="T74" s="168"/>
      <c r="U74" s="168"/>
      <c r="V74" s="24"/>
      <c r="W74" s="24"/>
      <c r="X74" s="143"/>
      <c r="Y74" s="24"/>
      <c r="Z74" s="959"/>
      <c r="AA74" s="24"/>
      <c r="AB74" s="371"/>
      <c r="AC74" s="24"/>
      <c r="AD74" s="168"/>
      <c r="AE74" s="143"/>
      <c r="AF74" s="297"/>
      <c r="AG74" s="30"/>
      <c r="AH74" s="24"/>
      <c r="AI74" s="24"/>
      <c r="AJ74" s="24"/>
      <c r="AK74" s="24"/>
      <c r="AL74" s="24"/>
      <c r="AM74" s="24"/>
      <c r="AN74" s="143"/>
    </row>
    <row r="75" spans="1:40" hidden="1" outlineLevel="1">
      <c r="A75" s="24" t="str">
        <f>$A$47</f>
        <v>1Q</v>
      </c>
      <c r="B75" s="78" t="str">
        <f>$B$47</f>
        <v>Apr</v>
      </c>
      <c r="C75" s="24"/>
      <c r="D75" s="244">
        <f>(S75/S68-1)*100</f>
        <v>3.0471332010522989</v>
      </c>
      <c r="E75" s="296" t="s">
        <v>1084</v>
      </c>
      <c r="F75" s="432">
        <f>'qtrP&amp;L'!AN10</f>
        <v>8</v>
      </c>
      <c r="G75" s="296" t="s">
        <v>1084</v>
      </c>
      <c r="H75" s="244">
        <f>D75-F75</f>
        <v>-4.9528667989477011</v>
      </c>
      <c r="I75" s="254" t="s">
        <v>1084</v>
      </c>
      <c r="J75" s="361">
        <f>+'store&amp;sf'!AQ65</f>
        <v>5599</v>
      </c>
      <c r="K75" s="168"/>
      <c r="L75" s="362">
        <f>AVERAGE(J75,J71)</f>
        <v>5619.5</v>
      </c>
      <c r="M75" s="168"/>
      <c r="N75" s="244">
        <f>(L75/L68-1)*100</f>
        <v>-0.20422660273485826</v>
      </c>
      <c r="O75" s="254" t="s">
        <v>1084</v>
      </c>
      <c r="P75" s="297">
        <f>H75/N75*100</f>
        <v>2425.1819952065061</v>
      </c>
      <c r="Q75" s="253" t="s">
        <v>1084</v>
      </c>
      <c r="R75" s="168"/>
      <c r="S75" s="240">
        <f>'qtrP&amp;L'!AL10-'segSales&amp;OM'!K52-'segSales&amp;OM'!BE52</f>
        <v>1338.8440000000001</v>
      </c>
      <c r="T75" s="168"/>
      <c r="U75" s="255">
        <f>S75/L75</f>
        <v>0.23824966634042175</v>
      </c>
      <c r="V75" s="24"/>
      <c r="W75" s="132">
        <f>(U75/U68-1)*100</f>
        <v>3.2580135341445882</v>
      </c>
      <c r="X75" s="143" t="s">
        <v>1084</v>
      </c>
      <c r="Y75" s="24"/>
      <c r="Z75" s="958">
        <f>+'store&amp;sf'!AQ429</f>
        <v>35</v>
      </c>
      <c r="AA75" s="24"/>
      <c r="AB75" s="372">
        <f>AVERAGE(Z75,Z71)</f>
        <v>35.25</v>
      </c>
      <c r="AC75" s="24"/>
      <c r="AD75" s="244">
        <f>(AB75/AB68-1)*100</f>
        <v>-0.49926785808794838</v>
      </c>
      <c r="AE75" s="143" t="s">
        <v>1084</v>
      </c>
      <c r="AF75" s="297">
        <f>+H75/AD75*100</f>
        <v>992.02596736664555</v>
      </c>
      <c r="AG75" s="30" t="s">
        <v>1084</v>
      </c>
      <c r="AH75" s="24"/>
      <c r="AI75" s="33">
        <f>+S75</f>
        <v>1338.8440000000001</v>
      </c>
      <c r="AJ75" s="24"/>
      <c r="AK75" s="153">
        <f>AI75/AB75</f>
        <v>37.981390070921989</v>
      </c>
      <c r="AL75" s="24"/>
      <c r="AM75" s="37">
        <f>(AK75/AK68-1)*100</f>
        <v>3.5641959438873716</v>
      </c>
      <c r="AN75" s="143" t="s">
        <v>1084</v>
      </c>
    </row>
    <row r="76" spans="1:40" hidden="1" outlineLevel="1">
      <c r="A76" s="24" t="str">
        <f>$A$48</f>
        <v>2Q</v>
      </c>
      <c r="B76" s="78" t="str">
        <f>$B$48</f>
        <v>Jul</v>
      </c>
      <c r="C76" s="24"/>
      <c r="D76" s="244">
        <f>(S76/S69-1)*100</f>
        <v>10.21154569451166</v>
      </c>
      <c r="E76" s="244"/>
      <c r="F76" s="432">
        <f>'qtrP&amp;L'!AN11</f>
        <v>6</v>
      </c>
      <c r="G76" s="244"/>
      <c r="H76" s="244">
        <f>D76-F76</f>
        <v>4.2115456945116598</v>
      </c>
      <c r="I76" s="254"/>
      <c r="J76" s="361">
        <f>+'store&amp;sf'!AQ66</f>
        <v>5441</v>
      </c>
      <c r="K76" s="168"/>
      <c r="L76" s="362">
        <f>AVERAGE(J76,J75)</f>
        <v>5520</v>
      </c>
      <c r="M76" s="168"/>
      <c r="N76" s="244">
        <f>(L76/L69-1)*100</f>
        <v>-2.4648820567187868</v>
      </c>
      <c r="O76" s="254"/>
      <c r="P76" s="297">
        <f>H76/N76*100</f>
        <v>-170.8619559719626</v>
      </c>
      <c r="Q76" s="253"/>
      <c r="R76" s="168"/>
      <c r="S76" s="249">
        <f>'qtrP&amp;L'!AL11-'segSales&amp;OM'!K53-'segSales&amp;OM'!BE53</f>
        <v>1614.576</v>
      </c>
      <c r="T76" s="168"/>
      <c r="U76" s="257">
        <f>S76/L76</f>
        <v>0.29249565217391305</v>
      </c>
      <c r="V76" s="24"/>
      <c r="W76" s="132">
        <f>(U76/U69-1)*100</f>
        <v>12.996783126465349</v>
      </c>
      <c r="X76" s="143"/>
      <c r="Y76" s="24"/>
      <c r="Z76" s="958">
        <f>+'store&amp;sf'!AQ430</f>
        <v>33.417499999999997</v>
      </c>
      <c r="AA76" s="24"/>
      <c r="AB76" s="372">
        <f>AVERAGE(Z76,Z75)</f>
        <v>34.208749999999995</v>
      </c>
      <c r="AC76" s="24"/>
      <c r="AD76" s="244">
        <f>(AB76/AB69-1)*100</f>
        <v>-3.5575211883072333</v>
      </c>
      <c r="AE76" s="143"/>
      <c r="AF76" s="297">
        <f>+H76/AD76*100</f>
        <v>-118.38427578039612</v>
      </c>
      <c r="AG76" s="30"/>
      <c r="AH76" s="24"/>
      <c r="AI76" s="34">
        <f>+S76</f>
        <v>1614.576</v>
      </c>
      <c r="AJ76" s="24"/>
      <c r="AK76" s="154">
        <f>AI76/AB76</f>
        <v>47.197749113896307</v>
      </c>
      <c r="AL76" s="24"/>
      <c r="AM76" s="37">
        <f>(AK76/AK69-1)*100</f>
        <v>14.276973230544465</v>
      </c>
      <c r="AN76" s="143"/>
    </row>
    <row r="77" spans="1:40" hidden="1" outlineLevel="1">
      <c r="A77" s="24" t="str">
        <f>$A$49</f>
        <v>3Q</v>
      </c>
      <c r="B77" s="78" t="str">
        <f>$B$49</f>
        <v>Oct</v>
      </c>
      <c r="C77" s="24"/>
      <c r="D77" s="244">
        <f>(S77/S70-1)*100</f>
        <v>15.82425085624295</v>
      </c>
      <c r="E77" s="244"/>
      <c r="F77" s="432">
        <f>'qtrP&amp;L'!AN12</f>
        <v>5</v>
      </c>
      <c r="G77" s="244"/>
      <c r="H77" s="244">
        <f>D77-F77</f>
        <v>10.82425085624295</v>
      </c>
      <c r="I77" s="254"/>
      <c r="J77" s="361">
        <f>+'store&amp;sf'!AQ67</f>
        <v>5462</v>
      </c>
      <c r="K77" s="168"/>
      <c r="L77" s="362">
        <f>AVERAGE(J77,J76)</f>
        <v>5451.5</v>
      </c>
      <c r="M77" s="168"/>
      <c r="N77" s="244">
        <f>(L77/L70-1)*100</f>
        <v>-5.0592128178335027</v>
      </c>
      <c r="O77" s="254"/>
      <c r="P77" s="297">
        <f>H77/N77*100</f>
        <v>-213.95128542701229</v>
      </c>
      <c r="Q77" s="253"/>
      <c r="R77" s="168"/>
      <c r="S77" s="249">
        <f>'qtrP&amp;L'!AL12-'segSales&amp;OM'!K54-'segSales&amp;OM'!BE54</f>
        <v>1577.59</v>
      </c>
      <c r="T77" s="168"/>
      <c r="U77" s="257">
        <f>S77/L77</f>
        <v>0.28938640741080435</v>
      </c>
      <c r="V77" s="24"/>
      <c r="W77" s="132">
        <f>(U77/U70-1)*100</f>
        <v>21.99630347914281</v>
      </c>
      <c r="X77" s="143"/>
      <c r="Y77" s="24"/>
      <c r="Z77" s="958">
        <f>+'store&amp;sf'!AQ431</f>
        <v>33.567499999999995</v>
      </c>
      <c r="AA77" s="24"/>
      <c r="AB77" s="372">
        <f>AVERAGE(Z77,Z76)</f>
        <v>33.492499999999993</v>
      </c>
      <c r="AC77" s="24"/>
      <c r="AD77" s="244">
        <f>(AB77/AB70-1)*100</f>
        <v>-6.6508727310734201</v>
      </c>
      <c r="AE77" s="143"/>
      <c r="AF77" s="297">
        <f>+H77/AD77*100</f>
        <v>-162.7493307107076</v>
      </c>
      <c r="AG77" s="30"/>
      <c r="AH77" s="24"/>
      <c r="AI77" s="34">
        <f>+S77</f>
        <v>1577.59</v>
      </c>
      <c r="AJ77" s="24"/>
      <c r="AK77" s="154">
        <f>AI77/AB77</f>
        <v>47.102784205419134</v>
      </c>
      <c r="AL77" s="24"/>
      <c r="AM77" s="132">
        <f>(AK77/AK70-1)*100</f>
        <v>24.076415329056577</v>
      </c>
      <c r="AN77" s="143"/>
    </row>
    <row r="78" spans="1:40" hidden="1" outlineLevel="1">
      <c r="A78" s="24" t="str">
        <f>$A$50</f>
        <v>4Q</v>
      </c>
      <c r="B78" s="78" t="str">
        <f>$B$50</f>
        <v>Jan</v>
      </c>
      <c r="C78" s="24"/>
      <c r="D78" s="295">
        <f>(S78/S71-1)*100</f>
        <v>16.042495194339203</v>
      </c>
      <c r="E78" s="244"/>
      <c r="F78" s="433">
        <f>'qtrP&amp;L'!AN13</f>
        <v>6</v>
      </c>
      <c r="G78" s="244"/>
      <c r="H78" s="295">
        <f>D78-F78</f>
        <v>10.042495194339203</v>
      </c>
      <c r="I78" s="254"/>
      <c r="J78" s="361">
        <f>+'store&amp;sf'!AQ68</f>
        <v>5382</v>
      </c>
      <c r="K78" s="168"/>
      <c r="L78" s="363">
        <f>AVERAGE(J78,J77)</f>
        <v>5422</v>
      </c>
      <c r="M78" s="168"/>
      <c r="N78" s="295">
        <f>(L78/L71-1)*100</f>
        <v>-5.1600489767360536</v>
      </c>
      <c r="O78" s="254"/>
      <c r="P78" s="298">
        <f>H78/N78*100</f>
        <v>-194.62015263063455</v>
      </c>
      <c r="Q78" s="253"/>
      <c r="R78" s="168"/>
      <c r="S78" s="250">
        <f>'qtrP&amp;L'!AL13-'segSales&amp;OM'!K55-'segSales&amp;OM'!BE55</f>
        <v>2655.5709999999999</v>
      </c>
      <c r="T78" s="168"/>
      <c r="U78" s="258">
        <f>S78/L78</f>
        <v>0.48977701954998154</v>
      </c>
      <c r="V78" s="24"/>
      <c r="W78" s="131">
        <f>(U78/U71-1)*100</f>
        <v>22.356131506093192</v>
      </c>
      <c r="X78" s="143"/>
      <c r="Y78" s="24"/>
      <c r="Z78" s="958">
        <f>+'store&amp;sf'!AQ432</f>
        <v>32.894999999999996</v>
      </c>
      <c r="AA78" s="24"/>
      <c r="AB78" s="373">
        <f>AVERAGE(Z78,Z77)</f>
        <v>33.231249999999996</v>
      </c>
      <c r="AC78" s="24"/>
      <c r="AD78" s="295">
        <f>(AB78/AB71-1)*100</f>
        <v>-7.2578535172943104</v>
      </c>
      <c r="AE78" s="143"/>
      <c r="AF78" s="298">
        <f>+H78/AD78*100</f>
        <v>-138.36728959064183</v>
      </c>
      <c r="AG78" s="30"/>
      <c r="AH78" s="24"/>
      <c r="AI78" s="38">
        <f>+S78</f>
        <v>2655.5709999999999</v>
      </c>
      <c r="AJ78" s="24"/>
      <c r="AK78" s="169">
        <f>AI78/AB78</f>
        <v>79.91186007146888</v>
      </c>
      <c r="AL78" s="24"/>
      <c r="AM78" s="131">
        <f>(AK78/AK71-1)*100</f>
        <v>25.123797103378998</v>
      </c>
      <c r="AN78" s="143"/>
    </row>
    <row r="79" spans="1:40" hidden="1" outlineLevel="1">
      <c r="A79" s="24"/>
      <c r="B79" s="78" t="str">
        <f>$B$51</f>
        <v>Year</v>
      </c>
      <c r="C79" s="24"/>
      <c r="D79" s="244">
        <f>(S79/S72-1)*100</f>
        <v>12.032391049669222</v>
      </c>
      <c r="E79" s="244"/>
      <c r="F79" s="432">
        <f>'qtrP&amp;L'!AN14</f>
        <v>6</v>
      </c>
      <c r="G79" s="244"/>
      <c r="H79" s="244">
        <f>D79-F79</f>
        <v>6.0323910496692221</v>
      </c>
      <c r="I79" s="254"/>
      <c r="J79" s="168"/>
      <c r="K79" s="168"/>
      <c r="L79" s="256">
        <f>AVERAGE(L75:L78)</f>
        <v>5503.25</v>
      </c>
      <c r="M79" s="168"/>
      <c r="N79" s="244">
        <f>(L79/L72-1)*100</f>
        <v>-3.2374337897536187</v>
      </c>
      <c r="O79" s="254"/>
      <c r="P79" s="297">
        <f>H79/N79*100</f>
        <v>-186.33249176435854</v>
      </c>
      <c r="Q79" s="253"/>
      <c r="R79" s="168"/>
      <c r="S79" s="240">
        <f>SUM(S75:S78)</f>
        <v>7186.5810000000001</v>
      </c>
      <c r="T79" s="168"/>
      <c r="U79" s="255">
        <f>SUM(U75:U78)</f>
        <v>1.3099087454751208</v>
      </c>
      <c r="V79" s="24"/>
      <c r="W79" s="132">
        <f>(U79/U72-1)*100</f>
        <v>16.221173758991412</v>
      </c>
      <c r="X79" s="143"/>
      <c r="Y79" s="24"/>
      <c r="Z79" s="959"/>
      <c r="AA79" s="24"/>
      <c r="AB79" s="372">
        <f>AVERAGE(AB75:AB78)</f>
        <v>34.045624999999994</v>
      </c>
      <c r="AC79" s="24"/>
      <c r="AD79" s="244">
        <f>(AB79/AB72-1)*100</f>
        <v>-4.5057916580839912</v>
      </c>
      <c r="AE79" s="143"/>
      <c r="AF79" s="297">
        <f>+H79/AD79*100</f>
        <v>-133.88082511197135</v>
      </c>
      <c r="AG79" s="30"/>
      <c r="AH79" s="24"/>
      <c r="AI79" s="33">
        <f>SUM(AI75:AI78)</f>
        <v>7186.5810000000001</v>
      </c>
      <c r="AJ79" s="24"/>
      <c r="AK79" s="153">
        <f>SUM(AK75:AK78)</f>
        <v>212.19378346170632</v>
      </c>
      <c r="AL79" s="24"/>
      <c r="AM79" s="132">
        <f>(AK79/AK72-1)*100</f>
        <v>18.013679765981717</v>
      </c>
      <c r="AN79" s="143"/>
    </row>
    <row r="80" spans="1:40" hidden="1" outlineLevel="1">
      <c r="A80" s="24"/>
      <c r="B80" s="78"/>
      <c r="C80" s="24"/>
      <c r="D80" s="244"/>
      <c r="E80" s="244"/>
      <c r="F80" s="432"/>
      <c r="G80" s="244"/>
      <c r="H80" s="244"/>
      <c r="I80" s="254"/>
      <c r="J80" s="168"/>
      <c r="K80" s="168"/>
      <c r="L80" s="168"/>
      <c r="M80" s="168"/>
      <c r="N80" s="168"/>
      <c r="O80" s="254"/>
      <c r="P80" s="253"/>
      <c r="Q80" s="253"/>
      <c r="R80" s="168"/>
      <c r="S80" s="168"/>
      <c r="T80" s="168"/>
      <c r="U80" s="168"/>
      <c r="V80" s="24"/>
      <c r="W80" s="24"/>
      <c r="X80" s="143"/>
      <c r="Y80" s="24"/>
      <c r="Z80" s="958"/>
      <c r="AA80" s="24"/>
      <c r="AB80" s="371"/>
      <c r="AC80" s="24"/>
      <c r="AD80" s="168"/>
      <c r="AE80" s="143"/>
      <c r="AF80" s="297"/>
      <c r="AG80" s="30"/>
      <c r="AH80" s="24"/>
      <c r="AI80" s="24"/>
      <c r="AJ80" s="24"/>
      <c r="AK80" s="24"/>
      <c r="AL80" s="24"/>
      <c r="AM80" s="24"/>
      <c r="AN80" s="143"/>
    </row>
    <row r="81" spans="1:40" hidden="1" outlineLevel="1">
      <c r="A81" s="73"/>
      <c r="B81" s="75">
        <f>B74+1</f>
        <v>1999</v>
      </c>
      <c r="C81" s="24"/>
      <c r="D81" s="244"/>
      <c r="E81" s="244"/>
      <c r="F81" s="432"/>
      <c r="G81" s="244"/>
      <c r="H81" s="244"/>
      <c r="I81" s="254"/>
      <c r="J81" s="168"/>
      <c r="K81" s="168"/>
      <c r="L81" s="168"/>
      <c r="M81" s="168"/>
      <c r="N81" s="168"/>
      <c r="O81" s="254"/>
      <c r="P81" s="253"/>
      <c r="Q81" s="253"/>
      <c r="R81" s="168"/>
      <c r="S81" s="168"/>
      <c r="T81" s="168"/>
      <c r="U81" s="168"/>
      <c r="V81" s="24"/>
      <c r="W81" s="24"/>
      <c r="X81" s="143"/>
      <c r="Y81" s="24"/>
      <c r="Z81" s="958"/>
      <c r="AA81" s="24"/>
      <c r="AB81" s="371"/>
      <c r="AC81" s="24"/>
      <c r="AD81" s="168"/>
      <c r="AE81" s="143"/>
      <c r="AF81" s="297"/>
      <c r="AG81" s="30"/>
      <c r="AH81" s="24"/>
      <c r="AI81" s="24"/>
      <c r="AJ81" s="24"/>
      <c r="AK81" s="24"/>
      <c r="AL81" s="24"/>
      <c r="AM81" s="24"/>
      <c r="AN81" s="143"/>
    </row>
    <row r="82" spans="1:40" hidden="1" outlineLevel="1">
      <c r="A82" s="24" t="str">
        <f>$A$47</f>
        <v>1Q</v>
      </c>
      <c r="B82" s="78" t="str">
        <f>$B$47</f>
        <v>Apr</v>
      </c>
      <c r="C82" s="24"/>
      <c r="D82" s="244">
        <f>(S82/S75-1)*100</f>
        <v>-6.4297259426789104</v>
      </c>
      <c r="E82" s="296" t="s">
        <v>1084</v>
      </c>
      <c r="F82" s="432">
        <f>'qtrP&amp;L'!AR10</f>
        <v>11</v>
      </c>
      <c r="G82" s="296" t="s">
        <v>1084</v>
      </c>
      <c r="H82" s="244">
        <f>D82-F82</f>
        <v>-17.42972594267891</v>
      </c>
      <c r="I82" s="254" t="s">
        <v>1084</v>
      </c>
      <c r="J82" s="361">
        <f>+'store&amp;sf'!AQ71</f>
        <v>5358</v>
      </c>
      <c r="K82" s="168"/>
      <c r="L82" s="362">
        <f>AVERAGE(J82,J78)</f>
        <v>5370</v>
      </c>
      <c r="M82" s="168"/>
      <c r="N82" s="244">
        <f>(L82/L75-1)*100</f>
        <v>-4.4398967879704649</v>
      </c>
      <c r="O82" s="254" t="s">
        <v>1084</v>
      </c>
      <c r="P82" s="297">
        <f>H82/N82*100</f>
        <v>392.57052078109831</v>
      </c>
      <c r="Q82" s="253" t="s">
        <v>1084</v>
      </c>
      <c r="R82" s="168"/>
      <c r="S82" s="240">
        <f>'qtrP&amp;L'!AP10-'segSales&amp;OM'!K59-'segSales&amp;OM'!BE59</f>
        <v>1252.76</v>
      </c>
      <c r="T82" s="168"/>
      <c r="U82" s="255">
        <f>S82/L82</f>
        <v>0.23328864059590315</v>
      </c>
      <c r="V82" s="24"/>
      <c r="W82" s="132">
        <f>(U82/U75-1)*100</f>
        <v>-2.0822802485817804</v>
      </c>
      <c r="X82" s="143" t="s">
        <v>1084</v>
      </c>
      <c r="Y82" s="24"/>
      <c r="Z82" s="958">
        <f>+'store&amp;sf'!AQ435</f>
        <v>32.646250000000002</v>
      </c>
      <c r="AA82" s="24"/>
      <c r="AB82" s="372">
        <f>AVERAGE(Z82,Z78)</f>
        <v>32.770624999999995</v>
      </c>
      <c r="AC82" s="24"/>
      <c r="AD82" s="244">
        <f>(AB82/AB75-1)*100</f>
        <v>-7.0336879432624233</v>
      </c>
      <c r="AE82" s="143" t="s">
        <v>1084</v>
      </c>
      <c r="AF82" s="297">
        <f>+H82/AD82*100</f>
        <v>247.80351478877964</v>
      </c>
      <c r="AG82" s="30" t="s">
        <v>1084</v>
      </c>
      <c r="AH82" s="24"/>
      <c r="AI82" s="33">
        <f>+S82</f>
        <v>1252.76</v>
      </c>
      <c r="AJ82" s="24"/>
      <c r="AK82" s="153">
        <f>AI82/AB82</f>
        <v>38.228138767570044</v>
      </c>
      <c r="AL82" s="24"/>
      <c r="AM82" s="37">
        <f>(AK82/AK75-1)*100</f>
        <v>0.64965683506397198</v>
      </c>
      <c r="AN82" s="143" t="s">
        <v>1084</v>
      </c>
    </row>
    <row r="83" spans="1:40" hidden="1" outlineLevel="1">
      <c r="A83" s="24" t="str">
        <f>$A$48</f>
        <v>2Q</v>
      </c>
      <c r="B83" s="78" t="str">
        <f>$B$48</f>
        <v>Jul</v>
      </c>
      <c r="C83" s="24"/>
      <c r="D83" s="244">
        <f>(S83/S76-1)*100</f>
        <v>-14.689986720971948</v>
      </c>
      <c r="E83" s="296"/>
      <c r="F83" s="432">
        <f>'qtrP&amp;L'!AR11</f>
        <v>10</v>
      </c>
      <c r="G83" s="296"/>
      <c r="H83" s="244">
        <f>D83-F83</f>
        <v>-24.689986720971948</v>
      </c>
      <c r="I83" s="254"/>
      <c r="J83" s="361">
        <f>+'store&amp;sf'!AQ72</f>
        <v>5356</v>
      </c>
      <c r="K83" s="168"/>
      <c r="L83" s="362">
        <f>AVERAGE(J83,J82)</f>
        <v>5357</v>
      </c>
      <c r="M83" s="168"/>
      <c r="N83" s="244">
        <f>(L83/L76-1)*100</f>
        <v>-2.9528985507246364</v>
      </c>
      <c r="O83" s="254"/>
      <c r="P83" s="297">
        <f>H83/N83*100</f>
        <v>836.12715766727115</v>
      </c>
      <c r="Q83" s="253"/>
      <c r="R83" s="168"/>
      <c r="S83" s="249">
        <f>'qtrP&amp;L'!AP11-'segSales&amp;OM'!K60-'segSales&amp;OM'!BE60</f>
        <v>1377.395</v>
      </c>
      <c r="T83" s="168"/>
      <c r="U83" s="257">
        <f>S83/L83</f>
        <v>0.25712058988239683</v>
      </c>
      <c r="V83" s="24"/>
      <c r="W83" s="132">
        <f>(U83/U76-1)*100</f>
        <v>-12.094218163107184</v>
      </c>
      <c r="X83" s="143"/>
      <c r="Y83" s="24"/>
      <c r="Z83" s="958">
        <f>+'store&amp;sf'!AQ436</f>
        <v>32.585000000000001</v>
      </c>
      <c r="AA83" s="24"/>
      <c r="AB83" s="372">
        <f>AVERAGE(Z83,Z82)</f>
        <v>32.615625000000001</v>
      </c>
      <c r="AC83" s="24"/>
      <c r="AD83" s="244">
        <f>(AB83/AB76-1)*100</f>
        <v>-4.6570687324149374</v>
      </c>
      <c r="AE83" s="143"/>
      <c r="AF83" s="297">
        <f>+H83/AD83*100</f>
        <v>530.16152733843978</v>
      </c>
      <c r="AG83" s="30"/>
      <c r="AH83" s="24"/>
      <c r="AI83" s="34">
        <f>+S83</f>
        <v>1377.395</v>
      </c>
      <c r="AJ83" s="24"/>
      <c r="AK83" s="154">
        <f>AI83/AB83</f>
        <v>42.231139216249879</v>
      </c>
      <c r="AL83" s="24"/>
      <c r="AM83" s="37">
        <f>(AK83/AK76-1)*100</f>
        <v>-10.522980419386407</v>
      </c>
      <c r="AN83" s="143"/>
    </row>
    <row r="84" spans="1:40" hidden="1" outlineLevel="1">
      <c r="A84" s="24" t="str">
        <f>$A$49</f>
        <v>3Q</v>
      </c>
      <c r="B84" s="78" t="str">
        <f>$B$49</f>
        <v>Oct</v>
      </c>
      <c r="C84" s="24"/>
      <c r="D84" s="244">
        <f>(S84/S77-1)*100</f>
        <v>-14.522911529611626</v>
      </c>
      <c r="E84" s="296"/>
      <c r="F84" s="432">
        <f>'qtrP&amp;L'!AR12</f>
        <v>9</v>
      </c>
      <c r="G84" s="296"/>
      <c r="H84" s="244">
        <f>D84-F84</f>
        <v>-23.522911529611626</v>
      </c>
      <c r="I84" s="254"/>
      <c r="J84" s="361">
        <f>+'store&amp;sf'!AQ73</f>
        <v>5061</v>
      </c>
      <c r="K84" s="168"/>
      <c r="L84" s="362">
        <f>AVERAGE(J84,J83)</f>
        <v>5208.5</v>
      </c>
      <c r="M84" s="168"/>
      <c r="N84" s="244">
        <f>(L84/L77-1)*100</f>
        <v>-4.4574887645602139</v>
      </c>
      <c r="O84" s="254"/>
      <c r="P84" s="297">
        <f>H84/N84*100</f>
        <v>527.71667573529942</v>
      </c>
      <c r="Q84" s="253"/>
      <c r="R84" s="168"/>
      <c r="S84" s="249">
        <f>'qtrP&amp;L'!AP12-'segSales&amp;OM'!K61-'segSales&amp;OM'!BE61</f>
        <v>1348.4779999999998</v>
      </c>
      <c r="T84" s="168"/>
      <c r="U84" s="257">
        <f>S84/L84</f>
        <v>0.25889949121628103</v>
      </c>
      <c r="V84" s="24"/>
      <c r="W84" s="132">
        <f>(U84/U77-1)*100</f>
        <v>-10.535020102462866</v>
      </c>
      <c r="X84" s="143"/>
      <c r="Y84" s="24"/>
      <c r="Z84" s="958">
        <f>+'store&amp;sf'!AQ437</f>
        <v>29.907499999999999</v>
      </c>
      <c r="AA84" s="24"/>
      <c r="AB84" s="372">
        <f>AVERAGE(Z84,Z83)</f>
        <v>31.24625</v>
      </c>
      <c r="AC84" s="24"/>
      <c r="AD84" s="244">
        <f>(AB84/AB77-1)*100</f>
        <v>-6.7067253862804872</v>
      </c>
      <c r="AE84" s="143"/>
      <c r="AF84" s="297">
        <f>+H84/AD84*100</f>
        <v>350.7361666802538</v>
      </c>
      <c r="AG84" s="30"/>
      <c r="AH84" s="24"/>
      <c r="AI84" s="34">
        <f>+S84</f>
        <v>1348.4779999999998</v>
      </c>
      <c r="AJ84" s="24"/>
      <c r="AK84" s="154">
        <f>AI84/AB84</f>
        <v>43.156474776973234</v>
      </c>
      <c r="AL84" s="24"/>
      <c r="AM84" s="132">
        <f>(AK84/AK77-1)*100</f>
        <v>-8.3780810307002689</v>
      </c>
      <c r="AN84" s="143"/>
    </row>
    <row r="85" spans="1:40" hidden="1" outlineLevel="1">
      <c r="A85" s="24" t="str">
        <f>$A$50</f>
        <v>4Q</v>
      </c>
      <c r="B85" s="78" t="str">
        <f>$B$50</f>
        <v>Jan</v>
      </c>
      <c r="C85" s="24"/>
      <c r="D85" s="295">
        <f>(S85/S78-1)*100</f>
        <v>-11.452791132302631</v>
      </c>
      <c r="E85" s="296"/>
      <c r="F85" s="433">
        <f>'qtrP&amp;L'!AR13</f>
        <v>5</v>
      </c>
      <c r="G85" s="296"/>
      <c r="H85" s="295">
        <f>D85-F85</f>
        <v>-16.452791132302629</v>
      </c>
      <c r="I85" s="254"/>
      <c r="J85" s="361">
        <f>+'store&amp;sf'!AQ74</f>
        <v>5023</v>
      </c>
      <c r="K85" s="168"/>
      <c r="L85" s="363">
        <f>AVERAGE(J85,J84)</f>
        <v>5042</v>
      </c>
      <c r="M85" s="168"/>
      <c r="N85" s="295">
        <f>(L85/L78-1)*100</f>
        <v>-7.0084839542604254</v>
      </c>
      <c r="O85" s="254"/>
      <c r="P85" s="298">
        <f>H85/N85*100</f>
        <v>234.7553513666968</v>
      </c>
      <c r="Q85" s="253"/>
      <c r="R85" s="168"/>
      <c r="S85" s="250">
        <f>'qtrP&amp;L'!AP13-'segSales&amp;OM'!K62-'segSales&amp;OM'!BE62</f>
        <v>2351.4339999999997</v>
      </c>
      <c r="T85" s="168"/>
      <c r="U85" s="258">
        <f>S85/L85</f>
        <v>0.46636929789765963</v>
      </c>
      <c r="V85" s="24"/>
      <c r="W85" s="131">
        <f>(U85/U78-1)*100</f>
        <v>-4.7792609122064285</v>
      </c>
      <c r="X85" s="143"/>
      <c r="Y85" s="24"/>
      <c r="Z85" s="958">
        <f>+'store&amp;sf'!AQ438</f>
        <v>29.49</v>
      </c>
      <c r="AA85" s="24"/>
      <c r="AB85" s="373">
        <f>AVERAGE(Z85,Z84)</f>
        <v>29.698749999999997</v>
      </c>
      <c r="AC85" s="24"/>
      <c r="AD85" s="295">
        <f>(AB85/AB78-1)*100</f>
        <v>-10.630054542034983</v>
      </c>
      <c r="AE85" s="143"/>
      <c r="AF85" s="298">
        <f>+H85/AD85*100</f>
        <v>154.77616852521774</v>
      </c>
      <c r="AG85" s="30"/>
      <c r="AH85" s="24"/>
      <c r="AI85" s="38">
        <f>+S85</f>
        <v>2351.4339999999997</v>
      </c>
      <c r="AJ85" s="24"/>
      <c r="AK85" s="169">
        <f>AI85/AB85</f>
        <v>79.176194284271219</v>
      </c>
      <c r="AL85" s="24"/>
      <c r="AM85" s="131">
        <f>(AK85/AK78-1)*100</f>
        <v>-0.92059650036893093</v>
      </c>
      <c r="AN85" s="143"/>
    </row>
    <row r="86" spans="1:40" hidden="1" outlineLevel="1">
      <c r="A86" s="24"/>
      <c r="B86" s="78" t="str">
        <f>$B$51</f>
        <v>Year</v>
      </c>
      <c r="C86" s="24"/>
      <c r="D86" s="244">
        <f>(S86/S79-1)*100</f>
        <v>-11.918240398320156</v>
      </c>
      <c r="E86" s="296"/>
      <c r="F86" s="432">
        <f>'qtrP&amp;L'!AR14</f>
        <v>8</v>
      </c>
      <c r="G86" s="296"/>
      <c r="H86" s="244">
        <f>D86-F86</f>
        <v>-19.918240398320158</v>
      </c>
      <c r="I86" s="254"/>
      <c r="J86" s="168"/>
      <c r="K86" s="168"/>
      <c r="L86" s="256">
        <f>AVERAGE(L82:L85)</f>
        <v>5244.375</v>
      </c>
      <c r="M86" s="168"/>
      <c r="N86" s="244">
        <f>(L86/L79-1)*100</f>
        <v>-4.7040385226911337</v>
      </c>
      <c r="O86" s="254"/>
      <c r="P86" s="297">
        <f>H86/N86*100</f>
        <v>423.42851365352192</v>
      </c>
      <c r="Q86" s="253"/>
      <c r="R86" s="168"/>
      <c r="S86" s="240">
        <f>SUM(S82:S85)</f>
        <v>6330.0669999999991</v>
      </c>
      <c r="T86" s="168"/>
      <c r="U86" s="255">
        <f>SUM(U82:U85)</f>
        <v>1.2156780195922408</v>
      </c>
      <c r="V86" s="24"/>
      <c r="W86" s="132">
        <f>(U86/U79-1)*100</f>
        <v>-7.1936862936739399</v>
      </c>
      <c r="X86" s="143"/>
      <c r="Y86" s="24"/>
      <c r="Z86" s="958"/>
      <c r="AA86" s="24"/>
      <c r="AB86" s="372">
        <f>AVERAGE(AB82:AB85)</f>
        <v>31.582812499999996</v>
      </c>
      <c r="AC86" s="24"/>
      <c r="AD86" s="244">
        <f>(AB86/AB79-1)*100</f>
        <v>-7.2338589760064576</v>
      </c>
      <c r="AE86" s="143"/>
      <c r="AF86" s="297">
        <f>+H86/AD86*100</f>
        <v>275.34736942461484</v>
      </c>
      <c r="AG86" s="30"/>
      <c r="AH86" s="24"/>
      <c r="AI86" s="33">
        <f>SUM(AI82:AI85)</f>
        <v>6330.0669999999991</v>
      </c>
      <c r="AJ86" s="24"/>
      <c r="AK86" s="153">
        <f>SUM(AK82:AK85)</f>
        <v>202.79194704506438</v>
      </c>
      <c r="AL86" s="24"/>
      <c r="AM86" s="132">
        <f>(AK86/AK79-1)*100</f>
        <v>-4.4307784437703113</v>
      </c>
      <c r="AN86" s="143"/>
    </row>
    <row r="87" spans="1:40" hidden="1" outlineLevel="1">
      <c r="A87" s="24"/>
      <c r="B87" s="78"/>
      <c r="C87" s="24"/>
      <c r="D87" s="244"/>
      <c r="E87" s="296"/>
      <c r="F87" s="432"/>
      <c r="G87" s="296"/>
      <c r="H87" s="244"/>
      <c r="I87" s="254"/>
      <c r="J87" s="168"/>
      <c r="K87" s="168"/>
      <c r="L87" s="168"/>
      <c r="M87" s="168"/>
      <c r="N87" s="168"/>
      <c r="O87" s="254"/>
      <c r="P87" s="253"/>
      <c r="Q87" s="253"/>
      <c r="R87" s="168"/>
      <c r="S87" s="168"/>
      <c r="T87" s="168"/>
      <c r="U87" s="168"/>
      <c r="V87" s="24"/>
      <c r="W87" s="24"/>
      <c r="X87" s="143"/>
      <c r="Y87" s="24"/>
      <c r="Z87" s="958"/>
      <c r="AA87" s="24"/>
      <c r="AB87" s="371"/>
      <c r="AC87" s="24"/>
      <c r="AD87" s="168"/>
      <c r="AE87" s="143"/>
      <c r="AF87" s="297"/>
      <c r="AG87" s="30"/>
      <c r="AH87" s="24"/>
      <c r="AI87" s="24"/>
      <c r="AJ87" s="24"/>
      <c r="AK87" s="24"/>
      <c r="AL87" s="24"/>
      <c r="AM87" s="24"/>
      <c r="AN87" s="143"/>
    </row>
    <row r="88" spans="1:40" hidden="1" outlineLevel="1">
      <c r="A88" s="73"/>
      <c r="B88" s="75">
        <f>B81+1</f>
        <v>2000</v>
      </c>
      <c r="C88" s="24"/>
      <c r="D88" s="244"/>
      <c r="E88" s="296"/>
      <c r="F88" s="432"/>
      <c r="G88" s="296"/>
      <c r="H88" s="244"/>
      <c r="I88" s="254"/>
      <c r="J88" s="168"/>
      <c r="K88" s="168"/>
      <c r="L88" s="168"/>
      <c r="M88" s="168"/>
      <c r="N88" s="168"/>
      <c r="O88" s="254"/>
      <c r="P88" s="253"/>
      <c r="Q88" s="253"/>
      <c r="R88" s="168"/>
      <c r="S88" s="168"/>
      <c r="T88" s="168"/>
      <c r="U88" s="168"/>
      <c r="V88" s="24"/>
      <c r="W88" s="24"/>
      <c r="X88" s="143"/>
      <c r="Y88" s="24"/>
      <c r="Z88" s="958"/>
      <c r="AA88" s="24"/>
      <c r="AB88" s="371"/>
      <c r="AC88" s="24"/>
      <c r="AD88" s="168"/>
      <c r="AE88" s="143"/>
      <c r="AF88" s="297"/>
      <c r="AG88" s="30"/>
      <c r="AH88" s="24"/>
      <c r="AI88" s="24"/>
      <c r="AJ88" s="24"/>
      <c r="AK88" s="24"/>
      <c r="AL88" s="24"/>
      <c r="AM88" s="24"/>
      <c r="AN88" s="143"/>
    </row>
    <row r="89" spans="1:40" hidden="1" outlineLevel="1">
      <c r="A89" s="24" t="str">
        <f>$A$47</f>
        <v>1Q</v>
      </c>
      <c r="B89" s="78" t="str">
        <f>$B$47</f>
        <v>Apr</v>
      </c>
      <c r="C89" s="24"/>
      <c r="D89" s="244">
        <f>(S89/S82-1)*100</f>
        <v>12.039576614834434</v>
      </c>
      <c r="E89" s="296" t="s">
        <v>1084</v>
      </c>
      <c r="F89" s="432">
        <f>'qtrP&amp;L'!AV10</f>
        <v>9</v>
      </c>
      <c r="G89" s="296" t="s">
        <v>1084</v>
      </c>
      <c r="H89" s="244">
        <f>D89-F89</f>
        <v>3.0395766148344343</v>
      </c>
      <c r="I89" s="254" t="s">
        <v>1084</v>
      </c>
      <c r="J89" s="361">
        <f>+'store&amp;sf'!AQ77</f>
        <v>4993</v>
      </c>
      <c r="K89" s="168"/>
      <c r="L89" s="362">
        <f>AVERAGE(J89,J85)</f>
        <v>5008</v>
      </c>
      <c r="M89" s="168"/>
      <c r="N89" s="244">
        <f>(L89/L82-1)*100</f>
        <v>-6.7411545623836115</v>
      </c>
      <c r="O89" s="254" t="s">
        <v>1084</v>
      </c>
      <c r="P89" s="297">
        <f>H89/N89*100</f>
        <v>-45.089851993538439</v>
      </c>
      <c r="Q89" s="253" t="s">
        <v>1084</v>
      </c>
      <c r="R89" s="168"/>
      <c r="S89" s="240">
        <f>+'qtrP&amp;L'!AT10-'segSales&amp;OM'!K66-'segSales&amp;OM'!BE66</f>
        <v>1403.587</v>
      </c>
      <c r="T89" s="168"/>
      <c r="U89" s="255">
        <f>S89/L89</f>
        <v>0.28026896964856229</v>
      </c>
      <c r="V89" s="24"/>
      <c r="W89" s="132">
        <f>(U89/U82-1)*100</f>
        <v>20.138284029884378</v>
      </c>
      <c r="X89" s="143" t="s">
        <v>1084</v>
      </c>
      <c r="Y89" s="24"/>
      <c r="Z89" s="958">
        <f>+'store&amp;sf'!AQ441</f>
        <v>29.153749999999999</v>
      </c>
      <c r="AA89" s="24"/>
      <c r="AB89" s="372">
        <f>AVERAGE(Z89,Z85)</f>
        <v>29.321874999999999</v>
      </c>
      <c r="AC89" s="24"/>
      <c r="AD89" s="244">
        <f>(AB89/AB82-1)*100</f>
        <v>-10.523906699979014</v>
      </c>
      <c r="AE89" s="143" t="s">
        <v>1084</v>
      </c>
      <c r="AF89" s="297">
        <f>+H89/AD89*100</f>
        <v>-28.882588011166003</v>
      </c>
      <c r="AG89" s="30" t="s">
        <v>1084</v>
      </c>
      <c r="AH89" s="24"/>
      <c r="AI89" s="33">
        <f>+S89</f>
        <v>1403.587</v>
      </c>
      <c r="AJ89" s="24"/>
      <c r="AK89" s="153">
        <f>AI89/AB89</f>
        <v>47.868255355430037</v>
      </c>
      <c r="AL89" s="24"/>
      <c r="AM89" s="132">
        <f>(AK89/AK82-1)*100</f>
        <v>25.217331783984108</v>
      </c>
      <c r="AN89" s="143" t="s">
        <v>1084</v>
      </c>
    </row>
    <row r="90" spans="1:40" hidden="1" outlineLevel="1">
      <c r="A90" s="24" t="str">
        <f>$A$48</f>
        <v>2Q</v>
      </c>
      <c r="B90" s="78" t="str">
        <f>$B$48</f>
        <v>Jul</v>
      </c>
      <c r="C90" s="24"/>
      <c r="D90" s="244">
        <f>(S90/S83-1)*100</f>
        <v>9.2536999190500957</v>
      </c>
      <c r="E90" s="244"/>
      <c r="F90" s="432">
        <f>'qtrP&amp;L'!AV11</f>
        <v>7</v>
      </c>
      <c r="G90" s="244"/>
      <c r="H90" s="244">
        <f>D90-F90</f>
        <v>2.2536999190500957</v>
      </c>
      <c r="I90" s="168"/>
      <c r="J90" s="361">
        <f>+'store&amp;sf'!AQ78</f>
        <v>5038</v>
      </c>
      <c r="K90" s="150"/>
      <c r="L90" s="362">
        <f>AVERAGE(J90,J89)</f>
        <v>5015.5</v>
      </c>
      <c r="M90" s="168"/>
      <c r="N90" s="244">
        <f>(L90/L83-1)*100</f>
        <v>-6.3748366623109902</v>
      </c>
      <c r="O90" s="254"/>
      <c r="P90" s="297">
        <f>H90/N90*100</f>
        <v>-35.353061394879568</v>
      </c>
      <c r="Q90" s="253"/>
      <c r="R90" s="168"/>
      <c r="S90" s="249">
        <f>+'qtrP&amp;L'!AT11-'segSales&amp;OM'!K67-'segSales&amp;OM'!BE67</f>
        <v>1504.855</v>
      </c>
      <c r="T90" s="168"/>
      <c r="U90" s="257">
        <f>S90/L90</f>
        <v>0.30004087329279233</v>
      </c>
      <c r="V90" s="24"/>
      <c r="W90" s="132">
        <f>(U90/U83-1)*100</f>
        <v>16.692666826109349</v>
      </c>
      <c r="X90" s="143"/>
      <c r="Y90" s="24"/>
      <c r="Z90" s="958">
        <f>+'store&amp;sf'!AQ442</f>
        <v>29.078749999999999</v>
      </c>
      <c r="AA90" s="150"/>
      <c r="AB90" s="372">
        <f>AVERAGE(Z90,Z89)</f>
        <v>29.116250000000001</v>
      </c>
      <c r="AC90" s="24"/>
      <c r="AD90" s="244">
        <f>(AB90/AB83-1)*100</f>
        <v>-10.729136725112587</v>
      </c>
      <c r="AE90" s="143"/>
      <c r="AF90" s="297">
        <f>+H90/AD90*100</f>
        <v>-21.005417087985208</v>
      </c>
      <c r="AG90" s="30"/>
      <c r="AH90" s="24"/>
      <c r="AI90" s="34">
        <f>+S90</f>
        <v>1504.855</v>
      </c>
      <c r="AJ90" s="24"/>
      <c r="AK90" s="154">
        <f>AI90/AB90</f>
        <v>51.684368694457561</v>
      </c>
      <c r="AL90" s="24"/>
      <c r="AM90" s="132">
        <f>(AK90/AK83-1)*100</f>
        <v>22.384500284970365</v>
      </c>
      <c r="AN90" s="143"/>
    </row>
    <row r="91" spans="1:40" hidden="1" outlineLevel="1">
      <c r="A91" s="24" t="str">
        <f>$A$49</f>
        <v>3Q</v>
      </c>
      <c r="B91" s="78" t="str">
        <f>$B$49</f>
        <v>Oct</v>
      </c>
      <c r="C91" s="24"/>
      <c r="D91" s="244">
        <f>(S91/S84-1)*100</f>
        <v>11.174375851886364</v>
      </c>
      <c r="E91" s="244"/>
      <c r="F91" s="432">
        <f>'qtrP&amp;L'!AV12</f>
        <v>8</v>
      </c>
      <c r="G91" s="244"/>
      <c r="H91" s="244">
        <f>D91-F91</f>
        <v>3.1743758518863636</v>
      </c>
      <c r="I91" s="168"/>
      <c r="J91" s="361">
        <f>+'store&amp;sf'!AQ79</f>
        <v>5156</v>
      </c>
      <c r="K91" s="150"/>
      <c r="L91" s="362">
        <f>AVERAGE(J91,J90)</f>
        <v>5097</v>
      </c>
      <c r="M91" s="168"/>
      <c r="N91" s="244">
        <f>(L91/L84-1)*100</f>
        <v>-2.1407314965921076</v>
      </c>
      <c r="O91" s="254"/>
      <c r="P91" s="297">
        <f>H91/N91*100</f>
        <v>-148.28463340403709</v>
      </c>
      <c r="Q91" s="253"/>
      <c r="R91" s="168"/>
      <c r="S91" s="249">
        <f>+'qtrP&amp;L'!AT12-'segSales&amp;OM'!K68-'segSales&amp;OM'!BE68</f>
        <v>1499.162</v>
      </c>
      <c r="T91" s="168"/>
      <c r="U91" s="257">
        <f>S91/L91</f>
        <v>0.29412634883264666</v>
      </c>
      <c r="V91" s="24"/>
      <c r="W91" s="132">
        <f>(U91/U84-1)*100</f>
        <v>13.606383485295304</v>
      </c>
      <c r="X91" s="143"/>
      <c r="Y91" s="24"/>
      <c r="Z91" s="958">
        <f>+'store&amp;sf'!AQ443</f>
        <v>29.348749999999995</v>
      </c>
      <c r="AA91" s="150"/>
      <c r="AB91" s="372">
        <f>AVERAGE(Z91,Z90)</f>
        <v>29.213749999999997</v>
      </c>
      <c r="AC91" s="24"/>
      <c r="AD91" s="244">
        <f>(AB91/AB84-1)*100</f>
        <v>-6.5047805736688442</v>
      </c>
      <c r="AE91" s="143"/>
      <c r="AF91" s="297">
        <f>+H91/AD91*100</f>
        <v>-48.800660005906138</v>
      </c>
      <c r="AG91" s="30"/>
      <c r="AH91" s="24"/>
      <c r="AI91" s="34">
        <f>+S91</f>
        <v>1499.162</v>
      </c>
      <c r="AJ91" s="24"/>
      <c r="AK91" s="154">
        <f>AI91/AB91</f>
        <v>51.316999700483514</v>
      </c>
      <c r="AL91" s="24"/>
      <c r="AM91" s="132">
        <f>(AK91/AK84-1)*100</f>
        <v>18.909155499105879</v>
      </c>
      <c r="AN91" s="143"/>
    </row>
    <row r="92" spans="1:40" hidden="1" outlineLevel="1">
      <c r="A92" s="24" t="str">
        <f>$A$50</f>
        <v>4Q</v>
      </c>
      <c r="B92" s="78" t="str">
        <f>$B$50</f>
        <v>Jan</v>
      </c>
      <c r="C92" s="24"/>
      <c r="D92" s="295">
        <f>(S92/S85-1)*100</f>
        <v>8.5329632896351768</v>
      </c>
      <c r="E92" s="244"/>
      <c r="F92" s="433">
        <f>'qtrP&amp;L'!AV13</f>
        <v>1</v>
      </c>
      <c r="G92" s="244"/>
      <c r="H92" s="295">
        <f>D92-F92</f>
        <v>7.5329632896351768</v>
      </c>
      <c r="I92" s="168"/>
      <c r="J92" s="361">
        <f>+'store&amp;sf'!AQ80</f>
        <v>5129</v>
      </c>
      <c r="K92" s="150"/>
      <c r="L92" s="363">
        <f>AVERAGE(J92,J91)</f>
        <v>5142.5</v>
      </c>
      <c r="M92" s="168"/>
      <c r="N92" s="295">
        <f>(L92/L85-1)*100</f>
        <v>1.9932566441888122</v>
      </c>
      <c r="O92" s="254"/>
      <c r="P92" s="298">
        <f>H92/N92*100</f>
        <v>377.92239707801582</v>
      </c>
      <c r="Q92" s="253"/>
      <c r="R92" s="168"/>
      <c r="S92" s="250">
        <f>+'qtrP&amp;L'!AT13-'segSales&amp;OM'!K69-'segSales&amp;OM'!BE69</f>
        <v>2552.0809999999997</v>
      </c>
      <c r="T92" s="168"/>
      <c r="U92" s="258">
        <f>S92/L92</f>
        <v>0.49627243558580453</v>
      </c>
      <c r="V92" s="24"/>
      <c r="W92" s="131">
        <f>(U92/U85-1)*100</f>
        <v>6.4119010026914003</v>
      </c>
      <c r="X92" s="143"/>
      <c r="Y92" s="24"/>
      <c r="Z92" s="958">
        <f>+'store&amp;sf'!AQ444</f>
        <v>29.029999999999998</v>
      </c>
      <c r="AA92" s="31"/>
      <c r="AB92" s="373">
        <f>AVERAGE(Z92,Z91)</f>
        <v>29.189374999999998</v>
      </c>
      <c r="AC92" s="24"/>
      <c r="AD92" s="295">
        <f>(AB92/AB85-1)*100</f>
        <v>-1.7151395260743274</v>
      </c>
      <c r="AE92" s="143"/>
      <c r="AF92" s="298">
        <f>+H92/AD92*100</f>
        <v>-439.20410993482795</v>
      </c>
      <c r="AG92" s="30"/>
      <c r="AH92" s="24"/>
      <c r="AI92" s="38">
        <f>+S92</f>
        <v>2552.0809999999997</v>
      </c>
      <c r="AJ92" s="24"/>
      <c r="AK92" s="169">
        <f>AI92/AB92</f>
        <v>87.43184806115238</v>
      </c>
      <c r="AL92" s="24"/>
      <c r="AM92" s="131">
        <f>(AK92/AK85-1)*100</f>
        <v>10.426939374277545</v>
      </c>
      <c r="AN92" s="143"/>
    </row>
    <row r="93" spans="1:40" hidden="1" outlineLevel="1">
      <c r="A93" s="24"/>
      <c r="B93" s="78" t="str">
        <f>$B$51</f>
        <v>Year</v>
      </c>
      <c r="C93" s="24"/>
      <c r="D93" s="244">
        <f>(S93/S86-1)*100</f>
        <v>9.9464666013803651</v>
      </c>
      <c r="E93" s="244"/>
      <c r="F93" s="434">
        <f>'qtrP&amp;L'!AV14</f>
        <v>5</v>
      </c>
      <c r="G93" s="244"/>
      <c r="H93" s="244">
        <f>D93-F93</f>
        <v>4.9464666013803651</v>
      </c>
      <c r="I93" s="168"/>
      <c r="J93" s="168"/>
      <c r="K93" s="168"/>
      <c r="L93" s="256">
        <f>AVERAGE(L89:L92)</f>
        <v>5065.75</v>
      </c>
      <c r="M93" s="168"/>
      <c r="N93" s="244">
        <f>(L93/L86-1)*100</f>
        <v>-3.4060302705279488</v>
      </c>
      <c r="O93" s="254"/>
      <c r="P93" s="297">
        <f>H93/N93*100</f>
        <v>-145.22673636173064</v>
      </c>
      <c r="Q93" s="253"/>
      <c r="R93" s="168"/>
      <c r="S93" s="240">
        <f>SUM(S89:S92)</f>
        <v>6959.6849999999995</v>
      </c>
      <c r="T93" s="168"/>
      <c r="U93" s="255">
        <f>SUM(U89:U92)</f>
        <v>1.3707086273598059</v>
      </c>
      <c r="V93" s="24"/>
      <c r="W93" s="132">
        <f>(U93/U86-1)*100</f>
        <v>12.752604330179885</v>
      </c>
      <c r="X93" s="143"/>
      <c r="Y93" s="24"/>
      <c r="Z93" s="958"/>
      <c r="AA93" s="24"/>
      <c r="AB93" s="372">
        <f>AVERAGE(AB89:AB92)</f>
        <v>29.210312499999997</v>
      </c>
      <c r="AC93" s="24"/>
      <c r="AD93" s="244">
        <f>(AB93/AB86-1)*100</f>
        <v>-7.5119972295057629</v>
      </c>
      <c r="AE93" s="143"/>
      <c r="AF93" s="297">
        <f>+H93/AD93*100</f>
        <v>-65.847556252437656</v>
      </c>
      <c r="AG93" s="30"/>
      <c r="AH93" s="24"/>
      <c r="AI93" s="33">
        <f>SUM(AI89:AI92)</f>
        <v>6959.6849999999995</v>
      </c>
      <c r="AJ93" s="24"/>
      <c r="AK93" s="153">
        <f>SUM(AK89:AK92)</f>
        <v>238.3014718115235</v>
      </c>
      <c r="AL93" s="24"/>
      <c r="AM93" s="132">
        <f>(AK93/AK86-1)*100</f>
        <v>17.510322911672716</v>
      </c>
      <c r="AN93" s="143"/>
    </row>
    <row r="94" spans="1:40" hidden="1" outlineLevel="1">
      <c r="A94" s="24"/>
      <c r="B94" s="78"/>
      <c r="C94" s="24"/>
      <c r="D94" s="244"/>
      <c r="E94" s="244"/>
      <c r="F94" s="432"/>
      <c r="G94" s="244"/>
      <c r="H94" s="244"/>
      <c r="I94" s="168"/>
      <c r="J94" s="168"/>
      <c r="K94" s="168"/>
      <c r="L94" s="168"/>
      <c r="M94" s="168"/>
      <c r="N94" s="168"/>
      <c r="O94" s="254"/>
      <c r="P94" s="253"/>
      <c r="Q94" s="253"/>
      <c r="R94" s="168"/>
      <c r="S94" s="168"/>
      <c r="T94" s="168"/>
      <c r="U94" s="168"/>
      <c r="V94" s="24"/>
      <c r="W94" s="24"/>
      <c r="X94" s="143"/>
      <c r="Y94" s="24"/>
      <c r="Z94" s="958"/>
      <c r="AA94" s="24"/>
      <c r="AB94" s="371"/>
      <c r="AC94" s="24"/>
      <c r="AD94" s="168"/>
      <c r="AE94" s="143"/>
      <c r="AF94" s="297"/>
      <c r="AG94" s="30"/>
      <c r="AH94" s="24"/>
      <c r="AI94" s="24"/>
      <c r="AJ94" s="24"/>
      <c r="AK94" s="24"/>
      <c r="AL94" s="24"/>
      <c r="AM94" s="24"/>
      <c r="AN94" s="24"/>
    </row>
    <row r="95" spans="1:40" hidden="1" outlineLevel="1">
      <c r="A95" s="73"/>
      <c r="B95" s="75">
        <f>B88+1</f>
        <v>2001</v>
      </c>
      <c r="C95" s="24"/>
      <c r="D95" s="244"/>
      <c r="E95" s="296"/>
      <c r="F95" s="432"/>
      <c r="G95" s="296"/>
      <c r="H95" s="244"/>
      <c r="I95" s="254"/>
      <c r="J95" s="168"/>
      <c r="K95" s="168"/>
      <c r="L95" s="168"/>
      <c r="M95" s="168"/>
      <c r="N95" s="168"/>
      <c r="O95" s="254"/>
      <c r="P95" s="253"/>
      <c r="Q95" s="253"/>
      <c r="R95" s="168"/>
      <c r="S95" s="168"/>
      <c r="T95" s="168"/>
      <c r="U95" s="168"/>
      <c r="V95" s="24"/>
      <c r="W95" s="24"/>
      <c r="X95" s="143"/>
      <c r="Y95" s="24"/>
      <c r="Z95" s="958"/>
      <c r="AA95" s="24"/>
      <c r="AB95" s="371"/>
      <c r="AC95" s="24"/>
      <c r="AD95" s="168"/>
      <c r="AE95" s="143"/>
      <c r="AF95" s="297"/>
      <c r="AG95" s="30"/>
      <c r="AH95" s="24"/>
      <c r="AI95" s="24"/>
      <c r="AJ95" s="24"/>
      <c r="AK95" s="24"/>
      <c r="AL95" s="24"/>
      <c r="AM95" s="24"/>
      <c r="AN95" s="143"/>
    </row>
    <row r="96" spans="1:40" hidden="1" outlineLevel="1">
      <c r="A96" s="24" t="str">
        <f>$A$47</f>
        <v>1Q</v>
      </c>
      <c r="B96" s="78" t="str">
        <f>$B$47</f>
        <v>Apr</v>
      </c>
      <c r="C96" s="24"/>
      <c r="D96" s="244">
        <f>(S96/S89-1)*100</f>
        <v>-0.53014170122692716</v>
      </c>
      <c r="E96" s="296" t="s">
        <v>1084</v>
      </c>
      <c r="F96" s="432">
        <f>'qtrP&amp;L'!AZ10</f>
        <v>-3</v>
      </c>
      <c r="G96" s="296" t="s">
        <v>1084</v>
      </c>
      <c r="H96" s="244">
        <f>D96-F96</f>
        <v>2.4698582987730728</v>
      </c>
      <c r="I96" s="254" t="s">
        <v>1084</v>
      </c>
      <c r="J96" s="361">
        <f>+'store&amp;sf'!AQ83</f>
        <v>5155</v>
      </c>
      <c r="K96" s="168"/>
      <c r="L96" s="362">
        <f>AVERAGE(J96,J92)</f>
        <v>5142</v>
      </c>
      <c r="M96" s="168"/>
      <c r="N96" s="244">
        <f>(L96/L89-1)*100</f>
        <v>2.6757188498402584</v>
      </c>
      <c r="O96" s="254" t="s">
        <v>1084</v>
      </c>
      <c r="P96" s="297">
        <f>H96/N96*100</f>
        <v>92.306345972056235</v>
      </c>
      <c r="Q96" s="253" t="s">
        <v>1084</v>
      </c>
      <c r="R96" s="168"/>
      <c r="S96" s="240">
        <f>+'qtrP&amp;L'!AX10-'segSales&amp;OM'!K73-'segSales&amp;OM'!BE73</f>
        <v>1396.146</v>
      </c>
      <c r="T96" s="168"/>
      <c r="U96" s="255">
        <f>S96/L96</f>
        <v>0.27151808634772462</v>
      </c>
      <c r="V96" s="24"/>
      <c r="W96" s="132">
        <f>(U96/U89-1)*100</f>
        <v>-3.1223161493085239</v>
      </c>
      <c r="X96" s="143" t="s">
        <v>1084</v>
      </c>
      <c r="Y96" s="24"/>
      <c r="Z96" s="958">
        <f>+'store&amp;sf'!AQ447</f>
        <v>28.976249999999997</v>
      </c>
      <c r="AA96" s="24"/>
      <c r="AB96" s="372">
        <f>AVERAGE(Z96,Z92)</f>
        <v>29.003124999999997</v>
      </c>
      <c r="AC96" s="24"/>
      <c r="AD96" s="244">
        <f>(AB96/AB89-1)*100</f>
        <v>-1.0870723649152758</v>
      </c>
      <c r="AE96" s="143" t="s">
        <v>1084</v>
      </c>
      <c r="AF96" s="297">
        <f>+H96/AD96*100</f>
        <v>-227.20274919007517</v>
      </c>
      <c r="AG96" s="30" t="s">
        <v>1084</v>
      </c>
      <c r="AH96" s="24"/>
      <c r="AI96" s="33">
        <f>+S96</f>
        <v>1396.146</v>
      </c>
      <c r="AJ96" s="24"/>
      <c r="AK96" s="153">
        <f>AI96/AB96</f>
        <v>48.137778256653384</v>
      </c>
      <c r="AL96" s="24"/>
      <c r="AM96" s="132">
        <f>(AK96/AK89-1)*100</f>
        <v>0.56305144029606957</v>
      </c>
      <c r="AN96" s="143" t="s">
        <v>1084</v>
      </c>
    </row>
    <row r="97" spans="1:40" hidden="1" outlineLevel="1">
      <c r="A97" s="24" t="str">
        <f>$A$48</f>
        <v>2Q</v>
      </c>
      <c r="B97" s="78" t="str">
        <f>$B$48</f>
        <v>Jul</v>
      </c>
      <c r="C97" s="24"/>
      <c r="D97" s="244">
        <f>(S97/S90-1)*100</f>
        <v>-1.1421698436061889</v>
      </c>
      <c r="E97" s="244"/>
      <c r="F97" s="432">
        <f>'qtrP&amp;L'!AZ11</f>
        <v>-5</v>
      </c>
      <c r="G97" s="244"/>
      <c r="H97" s="244">
        <f>D97-F97</f>
        <v>3.8578301563938111</v>
      </c>
      <c r="I97" s="168"/>
      <c r="J97" s="361">
        <f>+'store&amp;sf'!AQ84</f>
        <v>5218</v>
      </c>
      <c r="K97" s="150"/>
      <c r="L97" s="362">
        <f>AVERAGE(J97,J96)</f>
        <v>5186.5</v>
      </c>
      <c r="M97" s="168"/>
      <c r="N97" s="244">
        <f>(L97/L90-1)*100</f>
        <v>3.4094307646296507</v>
      </c>
      <c r="O97" s="254"/>
      <c r="P97" s="297">
        <f>H97/N97*100</f>
        <v>113.15173771574938</v>
      </c>
      <c r="Q97" s="253"/>
      <c r="R97" s="168"/>
      <c r="S97" s="249">
        <f>+'qtrP&amp;L'!AX11-'segSales&amp;OM'!K74-'segSales&amp;OM'!BE74</f>
        <v>1487.6670000000001</v>
      </c>
      <c r="T97" s="168"/>
      <c r="U97" s="257">
        <f>S97/L97</f>
        <v>0.28683447411549218</v>
      </c>
      <c r="V97" s="24"/>
      <c r="W97" s="132">
        <f>(U97/U90-1)*100</f>
        <v>-4.4015333752254531</v>
      </c>
      <c r="X97" s="143"/>
      <c r="Y97" s="24"/>
      <c r="Z97" s="958">
        <f>+'store&amp;sf'!AQ448</f>
        <v>29.057499999999994</v>
      </c>
      <c r="AA97" s="150"/>
      <c r="AB97" s="372">
        <f>AVERAGE(Z97,Z96)</f>
        <v>29.016874999999995</v>
      </c>
      <c r="AC97" s="24"/>
      <c r="AD97" s="244">
        <f>(AB97/AB90-1)*100</f>
        <v>-0.3413042544970768</v>
      </c>
      <c r="AE97" s="143"/>
      <c r="AF97" s="297">
        <f>+H97/AD97*100</f>
        <v>-1130.3199727405838</v>
      </c>
      <c r="AG97" s="30"/>
      <c r="AH97" s="24"/>
      <c r="AI97" s="34">
        <f>+S97</f>
        <v>1487.6670000000001</v>
      </c>
      <c r="AJ97" s="24"/>
      <c r="AK97" s="154">
        <f>AI97/AB97</f>
        <v>51.269028797897789</v>
      </c>
      <c r="AL97" s="24"/>
      <c r="AM97" s="132">
        <f>(AK97/AK90-1)*100</f>
        <v>-0.80360833855809277</v>
      </c>
      <c r="AN97" s="143"/>
    </row>
    <row r="98" spans="1:40" hidden="1" outlineLevel="1">
      <c r="A98" s="24" t="str">
        <f>$A$49</f>
        <v>3Q</v>
      </c>
      <c r="B98" s="78" t="str">
        <f>$B$49</f>
        <v>Oct</v>
      </c>
      <c r="C98" s="24"/>
      <c r="D98" s="244">
        <f>(S98/S91-1)*100</f>
        <v>-5.4266316782309083</v>
      </c>
      <c r="E98" s="244"/>
      <c r="F98" s="432">
        <f>'qtrP&amp;L'!AZ12</f>
        <v>-7</v>
      </c>
      <c r="G98" s="244"/>
      <c r="H98" s="244">
        <f>D98-F98</f>
        <v>1.5733683217690917</v>
      </c>
      <c r="I98" s="168"/>
      <c r="J98" s="361">
        <f>+'store&amp;sf'!AQ85</f>
        <v>4653</v>
      </c>
      <c r="K98" s="150"/>
      <c r="L98" s="362">
        <f>AVERAGE(J98,J97)</f>
        <v>4935.5</v>
      </c>
      <c r="M98" s="168"/>
      <c r="N98" s="244">
        <f>(L98/L91-1)*100</f>
        <v>-3.1685305081420423</v>
      </c>
      <c r="O98" s="254"/>
      <c r="P98" s="297">
        <f>H98/N98*100</f>
        <v>-49.656088768155207</v>
      </c>
      <c r="Q98" s="253"/>
      <c r="R98" s="168"/>
      <c r="S98" s="249">
        <f>+'qtrP&amp;L'!AX12-'segSales&amp;OM'!K75-'segSales&amp;OM'!BE75</f>
        <v>1417.808</v>
      </c>
      <c r="T98" s="168"/>
      <c r="U98" s="257">
        <f>S98/L98</f>
        <v>0.28726734879951371</v>
      </c>
      <c r="V98" s="24"/>
      <c r="W98" s="132">
        <f>(U98/U91-1)*100</f>
        <v>-2.3319910169066871</v>
      </c>
      <c r="X98" s="143"/>
      <c r="Y98" s="24"/>
      <c r="Z98" s="958">
        <f>+'store&amp;sf'!AQ449</f>
        <v>25.451249999999998</v>
      </c>
      <c r="AA98" s="150"/>
      <c r="AB98" s="372">
        <f>AVERAGE(Z98,Z97)</f>
        <v>27.254374999999996</v>
      </c>
      <c r="AC98" s="24"/>
      <c r="AD98" s="244">
        <f>(AB98/AB91-1)*100</f>
        <v>-6.7070300800136984</v>
      </c>
      <c r="AE98" s="143"/>
      <c r="AF98" s="297">
        <f>+H98/AD98*100</f>
        <v>-23.458495086485108</v>
      </c>
      <c r="AG98" s="30"/>
      <c r="AH98" s="24"/>
      <c r="AI98" s="34">
        <f>+S98</f>
        <v>1417.808</v>
      </c>
      <c r="AJ98" s="24"/>
      <c r="AK98" s="154">
        <f>AI98/AB98</f>
        <v>52.021299332675952</v>
      </c>
      <c r="AL98" s="24"/>
      <c r="AM98" s="132">
        <f>(AK98/AK91-1)*100</f>
        <v>1.37244896682025</v>
      </c>
      <c r="AN98" s="143"/>
    </row>
    <row r="99" spans="1:40" hidden="1" outlineLevel="1">
      <c r="A99" s="24" t="str">
        <f>$A$50</f>
        <v>4Q</v>
      </c>
      <c r="B99" s="78" t="str">
        <f>$B$50</f>
        <v>Jan</v>
      </c>
      <c r="C99" s="24"/>
      <c r="D99" s="295">
        <f>(S99/S92-1)*100</f>
        <v>-1.6623296831095646</v>
      </c>
      <c r="E99" s="244"/>
      <c r="F99" s="433">
        <f>'qtrP&amp;L'!AZ13</f>
        <v>-1</v>
      </c>
      <c r="G99" s="244"/>
      <c r="H99" s="295">
        <f>D99-F99</f>
        <v>-0.66232968310956464</v>
      </c>
      <c r="I99" s="168"/>
      <c r="J99" s="361">
        <f>+'store&amp;sf'!AQ86</f>
        <v>4614</v>
      </c>
      <c r="K99" s="150"/>
      <c r="L99" s="363">
        <f>AVERAGE(J99,J98)</f>
        <v>4633.5</v>
      </c>
      <c r="M99" s="168"/>
      <c r="N99" s="295">
        <f>(L99/L92-1)*100</f>
        <v>-9.8979095770539658</v>
      </c>
      <c r="O99" s="254"/>
      <c r="P99" s="298">
        <f>H99/N99*100</f>
        <v>6.6916117787641154</v>
      </c>
      <c r="Q99" s="253"/>
      <c r="R99" s="168"/>
      <c r="S99" s="250">
        <f>+'qtrP&amp;L'!AX13-'segSales&amp;OM'!K76-'segSales&amp;OM'!BE76</f>
        <v>2509.6570000000002</v>
      </c>
      <c r="T99" s="168"/>
      <c r="U99" s="258">
        <f>S99/L99</f>
        <v>0.54163310672277976</v>
      </c>
      <c r="V99" s="24"/>
      <c r="W99" s="131">
        <f>(U99/U92-1)*100</f>
        <v>9.1402761637226604</v>
      </c>
      <c r="X99" s="143"/>
      <c r="Y99" s="24"/>
      <c r="Z99" s="958">
        <f>+'store&amp;sf'!AQ450</f>
        <v>25.182499999999997</v>
      </c>
      <c r="AA99" s="31"/>
      <c r="AB99" s="373">
        <f>AVERAGE(Z99,Z98)</f>
        <v>25.316874999999996</v>
      </c>
      <c r="AC99" s="24"/>
      <c r="AD99" s="295">
        <f>(AB99/AB92-1)*100</f>
        <v>-13.266813695051717</v>
      </c>
      <c r="AE99" s="143"/>
      <c r="AF99" s="298">
        <f>+H99/AD99*100</f>
        <v>4.9923794690551935</v>
      </c>
      <c r="AG99" s="30"/>
      <c r="AH99" s="24"/>
      <c r="AI99" s="38">
        <f>+S99</f>
        <v>2509.6570000000002</v>
      </c>
      <c r="AJ99" s="24"/>
      <c r="AK99" s="169">
        <f>AI99/AB99</f>
        <v>99.129809662527492</v>
      </c>
      <c r="AL99" s="24"/>
      <c r="AM99" s="131">
        <f>(AK99/AK92-1)*100</f>
        <v>13.379520004190248</v>
      </c>
      <c r="AN99" s="143"/>
    </row>
    <row r="100" spans="1:40" hidden="1" outlineLevel="1">
      <c r="A100" s="24"/>
      <c r="B100" s="78" t="str">
        <f>$B$51</f>
        <v>Year</v>
      </c>
      <c r="C100" s="24"/>
      <c r="D100" s="244">
        <f>(S100/S93-1)*100</f>
        <v>-2.1323809913810665</v>
      </c>
      <c r="E100" s="244"/>
      <c r="F100" s="432">
        <f>'qtrP&amp;L'!AZ14</f>
        <v>-3</v>
      </c>
      <c r="G100" s="244"/>
      <c r="H100" s="244">
        <f>D100-F100</f>
        <v>0.86761900861893348</v>
      </c>
      <c r="I100" s="168"/>
      <c r="J100" s="168"/>
      <c r="K100" s="168"/>
      <c r="L100" s="256">
        <f>AVERAGE(L96:L99)</f>
        <v>4974.375</v>
      </c>
      <c r="M100" s="168"/>
      <c r="N100" s="244">
        <f>(L100/L93-1)*100</f>
        <v>-1.8037802891970545</v>
      </c>
      <c r="O100" s="254"/>
      <c r="P100" s="297">
        <f>H100/N100*100</f>
        <v>-48.100038226116254</v>
      </c>
      <c r="Q100" s="253"/>
      <c r="R100" s="168"/>
      <c r="S100" s="240">
        <f>SUM(S96:S99)</f>
        <v>6811.2780000000002</v>
      </c>
      <c r="T100" s="168"/>
      <c r="U100" s="255">
        <f>SUM(U96:U99)</f>
        <v>1.3872530159855103</v>
      </c>
      <c r="V100" s="24"/>
      <c r="W100" s="132">
        <f>(U100/U93-1)*100</f>
        <v>1.20699529392847</v>
      </c>
      <c r="X100" s="143"/>
      <c r="Y100" s="24"/>
      <c r="Z100" s="958"/>
      <c r="AA100" s="24"/>
      <c r="AB100" s="372">
        <f>AVERAGE(AB96:AB99)</f>
        <v>27.647812499999997</v>
      </c>
      <c r="AC100" s="24"/>
      <c r="AD100" s="244">
        <f>(AB100/AB93-1)*100</f>
        <v>-5.3491382538273129</v>
      </c>
      <c r="AE100" s="143"/>
      <c r="AF100" s="297">
        <f>+H100/AD100*100</f>
        <v>-16.219790318527501</v>
      </c>
      <c r="AG100" s="30"/>
      <c r="AH100" s="24"/>
      <c r="AI100" s="33">
        <f>SUM(AI96:AI99)</f>
        <v>6811.2780000000002</v>
      </c>
      <c r="AJ100" s="24"/>
      <c r="AK100" s="153">
        <f>SUM(AK96:AK99)</f>
        <v>250.5579160497546</v>
      </c>
      <c r="AL100" s="24"/>
      <c r="AM100" s="132">
        <f>(AK100/AK93-1)*100</f>
        <v>5.1432515901223219</v>
      </c>
      <c r="AN100" s="143"/>
    </row>
    <row r="101" spans="1:40" hidden="1" outlineLevel="1">
      <c r="A101" s="24"/>
      <c r="B101" s="78"/>
      <c r="C101" s="24"/>
      <c r="D101" s="244"/>
      <c r="E101" s="244"/>
      <c r="F101" s="432"/>
      <c r="G101" s="244"/>
      <c r="H101" s="244"/>
      <c r="I101" s="168"/>
      <c r="J101" s="168"/>
      <c r="K101" s="168"/>
      <c r="L101" s="168"/>
      <c r="M101" s="168"/>
      <c r="N101" s="168"/>
      <c r="O101" s="254"/>
      <c r="P101" s="168"/>
      <c r="Q101" s="168"/>
      <c r="R101" s="168"/>
      <c r="S101" s="168"/>
      <c r="T101" s="168"/>
      <c r="U101" s="168"/>
      <c r="V101" s="24"/>
      <c r="W101" s="24"/>
      <c r="X101" s="24"/>
      <c r="Y101" s="24"/>
      <c r="Z101" s="958"/>
      <c r="AA101" s="24"/>
      <c r="AB101" s="371"/>
      <c r="AC101" s="24"/>
      <c r="AD101" s="168"/>
      <c r="AE101" s="143"/>
      <c r="AF101" s="297"/>
      <c r="AG101" s="24"/>
      <c r="AH101" s="24"/>
      <c r="AI101" s="24"/>
      <c r="AJ101" s="24"/>
      <c r="AK101" s="24"/>
      <c r="AL101" s="24"/>
      <c r="AM101" s="24"/>
      <c r="AN101" s="24"/>
    </row>
    <row r="102" spans="1:40" hidden="1" outlineLevel="1">
      <c r="A102" s="73"/>
      <c r="B102" s="75">
        <f>B95+1</f>
        <v>2002</v>
      </c>
      <c r="C102" s="24"/>
      <c r="D102" s="244"/>
      <c r="E102" s="296"/>
      <c r="F102" s="432"/>
      <c r="G102" s="296"/>
      <c r="H102" s="244"/>
      <c r="I102" s="254"/>
      <c r="J102" s="168"/>
      <c r="K102" s="168"/>
      <c r="L102" s="168"/>
      <c r="M102" s="168"/>
      <c r="N102" s="168"/>
      <c r="O102" s="254"/>
      <c r="P102" s="253"/>
      <c r="Q102" s="253"/>
      <c r="R102" s="168"/>
      <c r="S102" s="168"/>
      <c r="T102" s="168"/>
      <c r="U102" s="168"/>
      <c r="V102" s="24"/>
      <c r="W102" s="24"/>
      <c r="X102" s="143"/>
      <c r="Y102" s="24"/>
      <c r="Z102" s="958"/>
      <c r="AA102" s="24"/>
      <c r="AB102" s="371"/>
      <c r="AC102" s="24"/>
      <c r="AD102" s="168"/>
      <c r="AE102" s="143"/>
      <c r="AF102" s="297"/>
      <c r="AG102" s="30"/>
      <c r="AH102" s="24"/>
      <c r="AI102" s="24"/>
      <c r="AJ102" s="24"/>
      <c r="AK102" s="24"/>
      <c r="AL102" s="24"/>
      <c r="AM102" s="24"/>
      <c r="AN102" s="143"/>
    </row>
    <row r="103" spans="1:40" hidden="1" outlineLevel="1">
      <c r="A103" s="24" t="str">
        <f>$A$47</f>
        <v>1Q</v>
      </c>
      <c r="B103" s="78" t="str">
        <f>$B$47</f>
        <v>Apr</v>
      </c>
      <c r="C103" s="24"/>
      <c r="D103" s="244">
        <f>(S103/S96-1)*100</f>
        <v>7.0221882238677091</v>
      </c>
      <c r="E103" s="296" t="s">
        <v>1084</v>
      </c>
      <c r="F103" s="432">
        <f>'qtrP&amp;L'!BD10</f>
        <v>4</v>
      </c>
      <c r="G103" s="296" t="s">
        <v>1084</v>
      </c>
      <c r="H103" s="244">
        <f>D103-F103</f>
        <v>3.0221882238677091</v>
      </c>
      <c r="I103" s="254" t="s">
        <v>1084</v>
      </c>
      <c r="J103" s="361">
        <f>+'store&amp;sf'!AQ89</f>
        <v>4602</v>
      </c>
      <c r="K103" s="168"/>
      <c r="L103" s="362">
        <f>AVERAGE(J103,J99)</f>
        <v>4608</v>
      </c>
      <c r="M103" s="168"/>
      <c r="N103" s="244">
        <f>(L103/L96-1)*100</f>
        <v>-10.38506417736289</v>
      </c>
      <c r="O103" s="254" t="s">
        <v>1084</v>
      </c>
      <c r="P103" s="297">
        <f>H103/N103*100</f>
        <v>-29.101295593872216</v>
      </c>
      <c r="Q103" s="253" t="s">
        <v>1084</v>
      </c>
      <c r="R103" s="168"/>
      <c r="S103" s="240">
        <f>+'qtrP&amp;L'!BB10-'segSales&amp;OM'!K73-'segSales&amp;OM'!BE80</f>
        <v>1494.1860000000001</v>
      </c>
      <c r="T103" s="168"/>
      <c r="U103" s="255">
        <f>S103/L103</f>
        <v>0.32425911458333334</v>
      </c>
      <c r="V103" s="24"/>
      <c r="W103" s="132">
        <f>(U103/U96-1)*100</f>
        <v>19.424499098769044</v>
      </c>
      <c r="X103" s="143" t="s">
        <v>1084</v>
      </c>
      <c r="Y103" s="24"/>
      <c r="Z103" s="958">
        <f>+'store&amp;sf'!AQ453</f>
        <v>24.931249999999999</v>
      </c>
      <c r="AA103" s="24"/>
      <c r="AB103" s="372">
        <f>AVERAGE(Z103,Z99)</f>
        <v>25.056874999999998</v>
      </c>
      <c r="AC103" s="24"/>
      <c r="AD103" s="244">
        <f>(AB103/AB96-1)*100</f>
        <v>-13.606292425385192</v>
      </c>
      <c r="AE103" s="143" t="s">
        <v>1084</v>
      </c>
      <c r="AF103" s="297">
        <f>+H103/AD103*100</f>
        <v>-22.211695364045152</v>
      </c>
      <c r="AG103" s="30" t="s">
        <v>1084</v>
      </c>
      <c r="AH103" s="24"/>
      <c r="AI103" s="33">
        <f>+S103</f>
        <v>1494.1860000000001</v>
      </c>
      <c r="AJ103" s="24"/>
      <c r="AK103" s="153">
        <f>AI103/AB103</f>
        <v>59.6317777057195</v>
      </c>
      <c r="AL103" s="24"/>
      <c r="AM103" s="132">
        <f>(AK103/AK96-1)*100</f>
        <v>23.87729526648328</v>
      </c>
      <c r="AN103" s="143" t="s">
        <v>1084</v>
      </c>
    </row>
    <row r="104" spans="1:40" hidden="1" outlineLevel="1">
      <c r="A104" s="24" t="str">
        <f>$A$48</f>
        <v>2Q</v>
      </c>
      <c r="B104" s="78" t="str">
        <f>$B$48</f>
        <v>Jul</v>
      </c>
      <c r="C104" s="24"/>
      <c r="D104" s="244">
        <f>(S104/S97-1)*100</f>
        <v>7.599684606837398</v>
      </c>
      <c r="E104" s="244"/>
      <c r="F104" s="432">
        <f>'qtrP&amp;L'!BD11</f>
        <v>4</v>
      </c>
      <c r="G104" s="244"/>
      <c r="H104" s="244">
        <f>D104-F104</f>
        <v>3.599684606837398</v>
      </c>
      <c r="I104" s="168"/>
      <c r="J104" s="361">
        <f>+'store&amp;sf'!AQ90</f>
        <v>4564</v>
      </c>
      <c r="K104" s="150"/>
      <c r="L104" s="362">
        <f>AVERAGE(J104,J103)</f>
        <v>4583</v>
      </c>
      <c r="M104" s="168"/>
      <c r="N104" s="244">
        <f>(L104/L97-1)*100</f>
        <v>-11.63597801985925</v>
      </c>
      <c r="O104" s="254"/>
      <c r="P104" s="297">
        <f>H104/N104*100</f>
        <v>-30.935814769448495</v>
      </c>
      <c r="Q104" s="253"/>
      <c r="R104" s="168"/>
      <c r="S104" s="249">
        <f>+'qtrP&amp;L'!BB11-'segSales&amp;OM'!K74-'segSales&amp;OM'!BE81</f>
        <v>1600.7249999999999</v>
      </c>
      <c r="T104" s="168"/>
      <c r="U104" s="257">
        <f>S104/L104</f>
        <v>0.34927449269037747</v>
      </c>
      <c r="V104" s="24"/>
      <c r="W104" s="132">
        <f>(U104/U97-1)*100</f>
        <v>21.768659003570189</v>
      </c>
      <c r="X104" s="143"/>
      <c r="Y104" s="24"/>
      <c r="Z104" s="958">
        <f>+'store&amp;sf'!AQ454</f>
        <v>24.864999999999995</v>
      </c>
      <c r="AA104" s="150"/>
      <c r="AB104" s="372">
        <f>AVERAGE(Z104,Z103)</f>
        <v>24.898124999999997</v>
      </c>
      <c r="AC104" s="24"/>
      <c r="AD104" s="244">
        <f>(AB104/AB97-1)*100</f>
        <v>-14.194326577207228</v>
      </c>
      <c r="AE104" s="143"/>
      <c r="AF104" s="297">
        <f>+H104/AD104*100</f>
        <v>-25.360023860643384</v>
      </c>
      <c r="AG104" s="30"/>
      <c r="AH104" s="24"/>
      <c r="AI104" s="34">
        <f>+S104</f>
        <v>1600.7249999999999</v>
      </c>
      <c r="AJ104" s="24"/>
      <c r="AK104" s="154">
        <f>AI104/AB104</f>
        <v>64.290985767000535</v>
      </c>
      <c r="AL104" s="24"/>
      <c r="AM104" s="132">
        <f>(AK104/AK97-1)*100</f>
        <v>25.399265939745462</v>
      </c>
      <c r="AN104" s="143"/>
    </row>
    <row r="105" spans="1:40" hidden="1" outlineLevel="1">
      <c r="A105" s="24" t="str">
        <f>$A$49</f>
        <v>3Q</v>
      </c>
      <c r="B105" s="78" t="str">
        <f>$B$49</f>
        <v>Oct</v>
      </c>
      <c r="C105" s="24"/>
      <c r="D105" s="244">
        <f>(S105/S98-1)*100</f>
        <v>6.7966889734011993</v>
      </c>
      <c r="E105" s="244"/>
      <c r="F105" s="432">
        <f>+'qtrP&amp;L'!BD12</f>
        <v>4</v>
      </c>
      <c r="G105" s="244"/>
      <c r="H105" s="244">
        <f>D105-F105</f>
        <v>2.7966889734011993</v>
      </c>
      <c r="I105" s="168"/>
      <c r="J105" s="361">
        <f>+'store&amp;sf'!AQ91</f>
        <v>4594</v>
      </c>
      <c r="K105" s="150"/>
      <c r="L105" s="362">
        <f>AVERAGE(J105,J104)</f>
        <v>4579</v>
      </c>
      <c r="M105" s="168"/>
      <c r="N105" s="244">
        <f>(L105/L98-1)*100</f>
        <v>-7.2231790092189279</v>
      </c>
      <c r="O105" s="254"/>
      <c r="P105" s="297">
        <f>H105/N105*100</f>
        <v>-38.718256460649684</v>
      </c>
      <c r="Q105" s="253"/>
      <c r="R105" s="168"/>
      <c r="S105" s="249">
        <f>+'qtrP&amp;L'!BB12-'segSales&amp;OM'!K75-'segSales&amp;OM'!BE82</f>
        <v>1514.172</v>
      </c>
      <c r="T105" s="168"/>
      <c r="U105" s="257">
        <f>S105/L105</f>
        <v>0.33067744048918979</v>
      </c>
      <c r="V105" s="24"/>
      <c r="W105" s="132">
        <f>(U105/U98-1)*100</f>
        <v>15.111390790177248</v>
      </c>
      <c r="X105" s="143"/>
      <c r="Y105" s="24"/>
      <c r="Z105" s="958">
        <f>+'store&amp;sf'!AQ455</f>
        <v>25.181249999999999</v>
      </c>
      <c r="AA105" s="150"/>
      <c r="AB105" s="372">
        <f>AVERAGE(Z105,Z104)</f>
        <v>25.023124999999997</v>
      </c>
      <c r="AC105" s="24"/>
      <c r="AD105" s="244">
        <f>(AB105/AB98-1)*100</f>
        <v>-8.1867590065815126</v>
      </c>
      <c r="AE105" s="143"/>
      <c r="AF105" s="297">
        <f>+H105/AD105*100</f>
        <v>-34.161124947648766</v>
      </c>
      <c r="AG105" s="30"/>
      <c r="AH105" s="24"/>
      <c r="AI105" s="34">
        <f>+S105</f>
        <v>1514.172</v>
      </c>
      <c r="AJ105" s="24"/>
      <c r="AK105" s="154">
        <f>AI105/AB105</f>
        <v>60.51090741064516</v>
      </c>
      <c r="AL105" s="24"/>
      <c r="AM105" s="132">
        <f>(AK105/AK98-1)*100</f>
        <v>16.319484878065449</v>
      </c>
      <c r="AN105" s="143"/>
    </row>
    <row r="106" spans="1:40" hidden="1" outlineLevel="1">
      <c r="A106" s="24" t="str">
        <f>$A$50</f>
        <v>4Q</v>
      </c>
      <c r="B106" s="78" t="str">
        <f>$B$50</f>
        <v>Jan</v>
      </c>
      <c r="C106" s="24"/>
      <c r="D106" s="206">
        <f>(S106/S99-1)*100</f>
        <v>3.5797322104175855</v>
      </c>
      <c r="E106" s="168"/>
      <c r="F106" s="433">
        <f>+'qtrP&amp;L'!BD13</f>
        <v>0</v>
      </c>
      <c r="G106" s="168"/>
      <c r="H106" s="242">
        <f>D106-F106</f>
        <v>3.5797322104175855</v>
      </c>
      <c r="I106" s="168"/>
      <c r="J106" s="361">
        <f>+'store&amp;sf'!AQ92</f>
        <v>4036</v>
      </c>
      <c r="K106" s="150"/>
      <c r="L106" s="363">
        <f>AVERAGE(J106,J105)</f>
        <v>4315</v>
      </c>
      <c r="M106" s="168"/>
      <c r="N106" s="295">
        <f>(L106/L99-1)*100</f>
        <v>-6.873853458508683</v>
      </c>
      <c r="O106" s="254"/>
      <c r="P106" s="299">
        <f>H106/N106*100</f>
        <v>-52.077517101946277</v>
      </c>
      <c r="Q106" s="253"/>
      <c r="R106" s="168"/>
      <c r="S106" s="250">
        <f>+'qtrP&amp;L'!BB13-'segSales&amp;OM'!K76-'segSales&amp;OM'!BE83</f>
        <v>2599.4959999999996</v>
      </c>
      <c r="T106" s="168"/>
      <c r="U106" s="258">
        <f>S106/L106</f>
        <v>0.6024324449594437</v>
      </c>
      <c r="V106" s="24"/>
      <c r="W106" s="131">
        <f>(U106/U99-1)*100</f>
        <v>11.225188689911914</v>
      </c>
      <c r="X106" s="143"/>
      <c r="Y106" s="24"/>
      <c r="Z106" s="958">
        <f>+'store&amp;sf'!AQ456</f>
        <v>20.371249999999996</v>
      </c>
      <c r="AA106" s="31"/>
      <c r="AB106" s="373">
        <f>AVERAGE(Z106,Z105)</f>
        <v>22.776249999999997</v>
      </c>
      <c r="AC106" s="24"/>
      <c r="AD106" s="295">
        <f>(AB106/AB99-1)*100</f>
        <v>-10.035302540301672</v>
      </c>
      <c r="AE106" s="143"/>
      <c r="AF106" s="298">
        <f>+H106/AD106*100</f>
        <v>-35.671393025187008</v>
      </c>
      <c r="AG106" s="30"/>
      <c r="AH106" s="24"/>
      <c r="AI106" s="38">
        <f>+S106</f>
        <v>2599.4959999999996</v>
      </c>
      <c r="AJ106" s="24"/>
      <c r="AK106" s="169">
        <f>AI106/AB106</f>
        <v>114.13186982053674</v>
      </c>
      <c r="AL106" s="24"/>
      <c r="AM106" s="131">
        <f>(AK106/AK99-1)*100</f>
        <v>15.133752610926511</v>
      </c>
      <c r="AN106" s="143"/>
    </row>
    <row r="107" spans="1:40" hidden="1" outlineLevel="1">
      <c r="A107" s="24"/>
      <c r="B107" s="78" t="str">
        <f>$B$51</f>
        <v>Year</v>
      </c>
      <c r="C107" s="24"/>
      <c r="D107" s="241">
        <f>(S107/S100-1)*100</f>
        <v>5.8329875832406008</v>
      </c>
      <c r="E107" s="168"/>
      <c r="F107" s="432">
        <f>+'qtrP&amp;L'!BD14</f>
        <v>3</v>
      </c>
      <c r="G107" s="168"/>
      <c r="H107" s="241">
        <f>D107-F107</f>
        <v>2.8329875832406008</v>
      </c>
      <c r="I107" s="168"/>
      <c r="J107" s="168"/>
      <c r="K107" s="168"/>
      <c r="L107" s="256">
        <f>AVERAGE(L103:L106)</f>
        <v>4521.25</v>
      </c>
      <c r="M107" s="168"/>
      <c r="N107" s="244">
        <f>(L107/L100-1)*100</f>
        <v>-9.1091845709259989</v>
      </c>
      <c r="O107" s="254"/>
      <c r="P107" s="297">
        <f>H107/N107*100</f>
        <v>-31.100342310361288</v>
      </c>
      <c r="Q107" s="253"/>
      <c r="R107" s="168"/>
      <c r="S107" s="240">
        <f>SUM(S103:S106)</f>
        <v>7208.5789999999997</v>
      </c>
      <c r="T107" s="168"/>
      <c r="U107" s="255">
        <f>SUM(U103:U106)</f>
        <v>1.6066434927223443</v>
      </c>
      <c r="V107" s="24"/>
      <c r="W107" s="132">
        <f>(U107/U100-1)*100</f>
        <v>15.814741378015906</v>
      </c>
      <c r="X107" s="143"/>
      <c r="Y107" s="24"/>
      <c r="Z107" s="958"/>
      <c r="AA107" s="24"/>
      <c r="AB107" s="372">
        <f>AVERAGE(AB103:AB106)</f>
        <v>24.438593749999995</v>
      </c>
      <c r="AC107" s="24"/>
      <c r="AD107" s="244">
        <f>(AB107/AB100-1)*100</f>
        <v>-11.607496072248036</v>
      </c>
      <c r="AE107" s="143"/>
      <c r="AF107" s="297">
        <f>+H107/AD107*100</f>
        <v>-24.406534928871469</v>
      </c>
      <c r="AG107" s="30"/>
      <c r="AH107" s="24"/>
      <c r="AI107" s="33">
        <f>SUM(AI103:AI106)</f>
        <v>7208.5789999999997</v>
      </c>
      <c r="AJ107" s="24"/>
      <c r="AK107" s="153">
        <f>SUM(AK103:AK106)</f>
        <v>298.56554070390195</v>
      </c>
      <c r="AL107" s="24"/>
      <c r="AM107" s="132">
        <f>(AK107/AK100-1)*100</f>
        <v>19.160290527246481</v>
      </c>
      <c r="AN107" s="143"/>
    </row>
    <row r="108" spans="1:40" hidden="1" outlineLevel="1">
      <c r="A108" s="24"/>
      <c r="B108" s="78"/>
      <c r="C108" s="24"/>
      <c r="D108" s="168"/>
      <c r="E108" s="168"/>
      <c r="F108" s="432"/>
      <c r="G108" s="168"/>
      <c r="H108" s="24"/>
      <c r="I108" s="24"/>
      <c r="J108" s="24"/>
      <c r="K108" s="24"/>
      <c r="L108" s="24"/>
      <c r="M108" s="24"/>
      <c r="N108" s="24"/>
      <c r="O108" s="143"/>
      <c r="P108" s="24"/>
      <c r="Q108" s="24"/>
      <c r="R108" s="24"/>
      <c r="S108" s="24"/>
      <c r="T108" s="24"/>
      <c r="U108" s="24"/>
      <c r="V108" s="24"/>
      <c r="W108" s="24"/>
      <c r="X108" s="24"/>
      <c r="Y108" s="24"/>
      <c r="Z108" s="168"/>
      <c r="AA108" s="24"/>
      <c r="AB108" s="24"/>
      <c r="AC108" s="24"/>
      <c r="AD108" s="24"/>
      <c r="AE108" s="143"/>
      <c r="AF108" s="24"/>
      <c r="AG108" s="24"/>
      <c r="AH108" s="24"/>
      <c r="AI108" s="24"/>
      <c r="AJ108" s="24"/>
      <c r="AK108" s="24"/>
      <c r="AL108" s="24"/>
      <c r="AM108" s="24"/>
      <c r="AN108" s="24"/>
    </row>
    <row r="109" spans="1:40" hidden="1" outlineLevel="1">
      <c r="A109" s="73"/>
      <c r="B109" s="75">
        <f>B102+1</f>
        <v>2003</v>
      </c>
      <c r="C109" s="24"/>
      <c r="D109" s="244"/>
      <c r="E109" s="296"/>
      <c r="F109" s="432"/>
      <c r="G109" s="296"/>
      <c r="H109" s="244"/>
      <c r="I109" s="254"/>
      <c r="J109" s="168"/>
      <c r="K109" s="168"/>
      <c r="L109" s="168"/>
      <c r="M109" s="168"/>
      <c r="N109" s="168"/>
      <c r="O109" s="254"/>
      <c r="P109" s="253"/>
      <c r="Q109" s="253"/>
      <c r="R109" s="168"/>
      <c r="S109" s="168"/>
      <c r="T109" s="168"/>
      <c r="U109" s="168"/>
      <c r="V109" s="24"/>
      <c r="W109" s="24"/>
      <c r="X109" s="143"/>
      <c r="Y109" s="24"/>
      <c r="Z109" s="958"/>
      <c r="AA109" s="24"/>
      <c r="AB109" s="371"/>
      <c r="AC109" s="24"/>
      <c r="AD109" s="168"/>
      <c r="AE109" s="143"/>
      <c r="AF109" s="297"/>
      <c r="AG109" s="30"/>
      <c r="AH109" s="24"/>
      <c r="AI109" s="24"/>
      <c r="AJ109" s="24"/>
      <c r="AK109" s="24"/>
      <c r="AL109" s="24"/>
      <c r="AM109" s="24"/>
      <c r="AN109" s="143"/>
    </row>
    <row r="110" spans="1:40" hidden="1" outlineLevel="1">
      <c r="A110" s="24" t="str">
        <f>$A$47</f>
        <v>1Q</v>
      </c>
      <c r="B110" s="78" t="str">
        <f>$B$47</f>
        <v>Apr</v>
      </c>
      <c r="C110" s="24"/>
      <c r="D110" s="244">
        <f>(S110/S103-1)*100</f>
        <v>0.30391129350695323</v>
      </c>
      <c r="E110" s="296" t="s">
        <v>1084</v>
      </c>
      <c r="F110" s="432">
        <f>+'qtrP&amp;L'!BH10</f>
        <v>-1</v>
      </c>
      <c r="G110" s="296" t="s">
        <v>1084</v>
      </c>
      <c r="H110" s="244">
        <f>D110-F110</f>
        <v>1.3039112935069532</v>
      </c>
      <c r="I110" s="254" t="s">
        <v>1084</v>
      </c>
      <c r="J110" s="361">
        <f>+'store&amp;sf'!AQ95</f>
        <v>3981</v>
      </c>
      <c r="K110" s="168"/>
      <c r="L110" s="362">
        <f>AVERAGE(J110,J106)</f>
        <v>4008.5</v>
      </c>
      <c r="M110" s="168"/>
      <c r="N110" s="244">
        <f>(L110/L103-1)*100</f>
        <v>-13.009982638888884</v>
      </c>
      <c r="O110" s="254" t="s">
        <v>1084</v>
      </c>
      <c r="P110" s="297">
        <f>H110/N110*100</f>
        <v>-10.022390726405408</v>
      </c>
      <c r="Q110" s="253" t="s">
        <v>1084</v>
      </c>
      <c r="R110" s="168"/>
      <c r="S110" s="240">
        <f>+'qtrP&amp;L'!BF10-'segSales&amp;OM'!K87-'segSales&amp;OM'!BE87</f>
        <v>1498.7270000000001</v>
      </c>
      <c r="T110" s="168"/>
      <c r="U110" s="255">
        <f>S110/L110</f>
        <v>0.37388723961581644</v>
      </c>
      <c r="V110" s="24"/>
      <c r="W110" s="132">
        <f>(U110/U103-1)*100</f>
        <v>15.30508250978675</v>
      </c>
      <c r="X110" s="143" t="s">
        <v>1084</v>
      </c>
      <c r="Y110" s="24"/>
      <c r="Z110" s="958">
        <f>+'store&amp;sf'!AQ459</f>
        <v>20.183749999999996</v>
      </c>
      <c r="AA110" s="24"/>
      <c r="AB110" s="372">
        <f>AVERAGE(Z110,Z106)</f>
        <v>20.277499999999996</v>
      </c>
      <c r="AC110" s="24"/>
      <c r="AD110" s="244">
        <f>(AB110/AB103-1)*100</f>
        <v>-19.074106407921988</v>
      </c>
      <c r="AE110" s="143" t="s">
        <v>1084</v>
      </c>
      <c r="AF110" s="297">
        <f>+H110/AD110*100</f>
        <v>-6.836028202953738</v>
      </c>
      <c r="AG110" s="30" t="s">
        <v>1084</v>
      </c>
      <c r="AH110" s="24"/>
      <c r="AI110" s="33">
        <f>+S110</f>
        <v>1498.7270000000001</v>
      </c>
      <c r="AJ110" s="24"/>
      <c r="AK110" s="153">
        <f>AI110/AB110</f>
        <v>73.910837134755283</v>
      </c>
      <c r="AL110" s="24"/>
      <c r="AM110" s="132">
        <f>(AK110/AK103-1)*100</f>
        <v>23.945386132042536</v>
      </c>
      <c r="AN110" s="143" t="s">
        <v>1084</v>
      </c>
    </row>
    <row r="111" spans="1:40" hidden="1" outlineLevel="1">
      <c r="A111" s="24" t="str">
        <f>$A$48</f>
        <v>2Q</v>
      </c>
      <c r="B111" s="78" t="str">
        <f>$B$48</f>
        <v>Jul</v>
      </c>
      <c r="C111" s="24"/>
      <c r="D111" s="244">
        <f>(S111/S104-1)*100</f>
        <v>3.1555076605913168</v>
      </c>
      <c r="E111" s="244"/>
      <c r="F111" s="432">
        <f>+mthSales!DL18</f>
        <v>3</v>
      </c>
      <c r="G111" s="244"/>
      <c r="H111" s="244">
        <f>D111-F111</f>
        <v>0.15550766059131682</v>
      </c>
      <c r="I111" s="168"/>
      <c r="J111" s="361">
        <f>+'store&amp;sf'!AQ96</f>
        <v>3970</v>
      </c>
      <c r="K111" s="150"/>
      <c r="L111" s="362">
        <f>AVERAGE(J111,J110)</f>
        <v>3975.5</v>
      </c>
      <c r="M111" s="168"/>
      <c r="N111" s="244">
        <f>(L111/L104-1)*100</f>
        <v>-13.255509491599394</v>
      </c>
      <c r="O111" s="254"/>
      <c r="P111" s="297">
        <f>H111/N111*100</f>
        <v>-1.173154911094658</v>
      </c>
      <c r="Q111" s="253"/>
      <c r="R111" s="168"/>
      <c r="S111" s="249">
        <f>+'qtrP&amp;L'!BF11-'segSales&amp;OM'!K88-'segSales&amp;OM'!BE88</f>
        <v>1651.2360000000001</v>
      </c>
      <c r="T111" s="168"/>
      <c r="U111" s="257">
        <f>S111/L111</f>
        <v>0.41535303735379198</v>
      </c>
      <c r="V111" s="24"/>
      <c r="W111" s="132">
        <f>(U111/U104-1)*100</f>
        <v>18.91880055552506</v>
      </c>
      <c r="X111" s="143"/>
      <c r="Y111" s="24"/>
      <c r="Z111" s="958">
        <f>+'store&amp;sf'!AQ460</f>
        <v>20.031249999999996</v>
      </c>
      <c r="AA111" s="150"/>
      <c r="AB111" s="372">
        <f>AVERAGE(Z111,Z110)</f>
        <v>20.107499999999995</v>
      </c>
      <c r="AC111" s="24"/>
      <c r="AD111" s="244">
        <f>(AB111/AB104-1)*100</f>
        <v>-19.240906694781245</v>
      </c>
      <c r="AE111" s="143"/>
      <c r="AF111" s="297">
        <f>+H111/AD111*100</f>
        <v>-0.80821378668966526</v>
      </c>
      <c r="AG111" s="30"/>
      <c r="AH111" s="24"/>
      <c r="AI111" s="34">
        <f>+S111</f>
        <v>1651.2360000000001</v>
      </c>
      <c r="AJ111" s="24"/>
      <c r="AK111" s="154">
        <f>AI111/AB111</f>
        <v>82.120402834763169</v>
      </c>
      <c r="AL111" s="24"/>
      <c r="AM111" s="132">
        <f>(AK111/AK104-1)*100</f>
        <v>27.732374694609476</v>
      </c>
      <c r="AN111" s="143"/>
    </row>
    <row r="112" spans="1:40" hidden="1" outlineLevel="1">
      <c r="A112" s="24" t="str">
        <f>$A$49</f>
        <v>3Q</v>
      </c>
      <c r="B112" s="78" t="str">
        <f>$B$49</f>
        <v>Oct</v>
      </c>
      <c r="C112" s="24"/>
      <c r="D112" s="244">
        <f>(S112/S105-1)*100</f>
        <v>1.7133456436917438</v>
      </c>
      <c r="E112" s="244"/>
      <c r="F112" s="432">
        <f>+mthSales!DL23</f>
        <v>2</v>
      </c>
      <c r="G112" s="244"/>
      <c r="H112" s="244">
        <f>D112-F112</f>
        <v>-0.2866543563082562</v>
      </c>
      <c r="I112" s="168"/>
      <c r="J112" s="361">
        <f>+'store&amp;sf'!AQ97</f>
        <v>3971</v>
      </c>
      <c r="K112" s="150"/>
      <c r="L112" s="362">
        <f>AVERAGE(J112,J111)</f>
        <v>3970.5</v>
      </c>
      <c r="M112" s="168"/>
      <c r="N112" s="244">
        <f>(L112/L105-1)*100</f>
        <v>-13.288927713474564</v>
      </c>
      <c r="O112" s="254"/>
      <c r="P112" s="297">
        <f>H112/N112*100</f>
        <v>2.1570916968537461</v>
      </c>
      <c r="Q112" s="253"/>
      <c r="R112" s="168"/>
      <c r="S112" s="249">
        <f>+'qtrP&amp;L'!BF12-'segSales&amp;OM'!K89-'segSales&amp;OM'!BE89</f>
        <v>1540.115</v>
      </c>
      <c r="T112" s="168"/>
      <c r="U112" s="257">
        <f>S112/L112</f>
        <v>0.38788943458002773</v>
      </c>
      <c r="V112" s="24"/>
      <c r="W112" s="132">
        <f>(U112/U105-1)*100</f>
        <v>17.301450623967884</v>
      </c>
      <c r="X112" s="143"/>
      <c r="Y112" s="24"/>
      <c r="Z112" s="958">
        <f>+'store&amp;sf'!AQ461</f>
        <v>20.251249999999999</v>
      </c>
      <c r="AA112" s="150"/>
      <c r="AB112" s="372">
        <f>AVERAGE(Z112,Z111)</f>
        <v>20.141249999999999</v>
      </c>
      <c r="AC112" s="24"/>
      <c r="AD112" s="244">
        <f>(AB112/AB105-1)*100</f>
        <v>-19.509453755276361</v>
      </c>
      <c r="AE112" s="143"/>
      <c r="AF112" s="297">
        <f>+H112/AD112*100</f>
        <v>1.4693100068510636</v>
      </c>
      <c r="AG112" s="30"/>
      <c r="AH112" s="24"/>
      <c r="AI112" s="34">
        <f>+S112</f>
        <v>1540.115</v>
      </c>
      <c r="AJ112" s="24"/>
      <c r="AK112" s="154">
        <f>AI112/AB112</f>
        <v>76.465710916651147</v>
      </c>
      <c r="AL112" s="24"/>
      <c r="AM112" s="132">
        <f>(AK112/AK105-1)*100</f>
        <v>26.366822427123605</v>
      </c>
      <c r="AN112" s="143"/>
    </row>
    <row r="113" spans="1:40" hidden="1" outlineLevel="1">
      <c r="A113" s="24" t="str">
        <f>$A$50</f>
        <v>4Q</v>
      </c>
      <c r="B113" s="78" t="str">
        <f>$B$50</f>
        <v>Jan</v>
      </c>
      <c r="C113" s="24"/>
      <c r="D113" s="242">
        <f>(S113/S106-1)*100</f>
        <v>6.2675226274631957</v>
      </c>
      <c r="E113" s="168"/>
      <c r="F113" s="433">
        <f>+mthSales!DL28</f>
        <v>7.7094813833989484</v>
      </c>
      <c r="G113" s="168"/>
      <c r="H113" s="242">
        <f>D113-F113</f>
        <v>-1.4419587559357527</v>
      </c>
      <c r="I113" s="168"/>
      <c r="J113" s="361">
        <f>+'store&amp;sf'!AQ98</f>
        <v>3911</v>
      </c>
      <c r="K113" s="150"/>
      <c r="L113" s="363">
        <f>AVERAGE(J113,J112)</f>
        <v>3941</v>
      </c>
      <c r="M113" s="168"/>
      <c r="N113" s="295">
        <f>(L113/L106-1)*100</f>
        <v>-8.6674391657010403</v>
      </c>
      <c r="O113" s="254"/>
      <c r="P113" s="298">
        <f>H113/N113*100</f>
        <v>16.636502758991377</v>
      </c>
      <c r="Q113" s="253"/>
      <c r="R113" s="168"/>
      <c r="S113" s="250">
        <f>+'qtrP&amp;L'!BF13-'segSales&amp;OM'!K90-'segSales&amp;OM'!BE90</f>
        <v>2762.42</v>
      </c>
      <c r="T113" s="168"/>
      <c r="U113" s="258">
        <f>S113/L113</f>
        <v>0.70094392286221774</v>
      </c>
      <c r="V113" s="24"/>
      <c r="W113" s="131">
        <f>(U113/U106-1)*100</f>
        <v>16.352286256661674</v>
      </c>
      <c r="X113" s="143"/>
      <c r="Y113" s="24"/>
      <c r="Z113" s="958">
        <f>+'store&amp;sf'!AQ462</f>
        <v>20.047499999999999</v>
      </c>
      <c r="AA113" s="31"/>
      <c r="AB113" s="373">
        <f>AVERAGE(Z113,Z112)</f>
        <v>20.149374999999999</v>
      </c>
      <c r="AC113" s="24"/>
      <c r="AD113" s="295">
        <f>(AB113/AB106-1)*100</f>
        <v>-11.533395532627178</v>
      </c>
      <c r="AE113" s="143"/>
      <c r="AF113" s="298">
        <f>+H113/AD113*100</f>
        <v>12.502465140092969</v>
      </c>
      <c r="AG113" s="30"/>
      <c r="AH113" s="24"/>
      <c r="AI113" s="38">
        <f>+S113</f>
        <v>2762.42</v>
      </c>
      <c r="AJ113" s="24"/>
      <c r="AK113" s="169">
        <f>AI113/AB113</f>
        <v>137.09705636030895</v>
      </c>
      <c r="AL113" s="24"/>
      <c r="AM113" s="131">
        <f>(AK113/AK106-1)*100</f>
        <v>20.121624727504361</v>
      </c>
      <c r="AN113" s="143"/>
    </row>
    <row r="114" spans="1:40" hidden="1" outlineLevel="1">
      <c r="A114" s="24"/>
      <c r="B114" s="78" t="str">
        <f>$B$51</f>
        <v>Year</v>
      </c>
      <c r="C114" s="24"/>
      <c r="D114" s="241">
        <f>(S114/S107-1)*100</f>
        <v>3.3837320781252567</v>
      </c>
      <c r="E114" s="168"/>
      <c r="F114" s="432">
        <f>'qtrP&amp;L'!BH14</f>
        <v>4</v>
      </c>
      <c r="G114" s="168"/>
      <c r="H114" s="241">
        <f>D114-F114</f>
        <v>-0.61626792187474333</v>
      </c>
      <c r="I114" s="168"/>
      <c r="J114" s="168"/>
      <c r="K114" s="168"/>
      <c r="L114" s="256">
        <f>AVERAGE(L110:L113)</f>
        <v>3973.875</v>
      </c>
      <c r="M114" s="168"/>
      <c r="N114" s="244">
        <f>(L114/L107-1)*100</f>
        <v>-12.106718274813378</v>
      </c>
      <c r="O114" s="254"/>
      <c r="P114" s="297">
        <f>H114/N114*100</f>
        <v>5.0902970390978473</v>
      </c>
      <c r="Q114" s="253"/>
      <c r="R114" s="168"/>
      <c r="S114" s="240">
        <f>SUM(S110:S113)</f>
        <v>7452.4980000000005</v>
      </c>
      <c r="T114" s="168"/>
      <c r="U114" s="255">
        <f>SUM(U110:U113)</f>
        <v>1.8780736344118538</v>
      </c>
      <c r="V114" s="24"/>
      <c r="W114" s="132">
        <f>(U114/U107-1)*100</f>
        <v>16.894235897323441</v>
      </c>
      <c r="X114" s="143"/>
      <c r="Y114" s="24"/>
      <c r="Z114" s="958"/>
      <c r="AA114" s="24"/>
      <c r="AB114" s="372">
        <f>AVERAGE(AB110:AB113)</f>
        <v>20.168906249999999</v>
      </c>
      <c r="AC114" s="24"/>
      <c r="AD114" s="244">
        <f>(AB114/AB107-1)*100</f>
        <v>-17.47108505373799</v>
      </c>
      <c r="AE114" s="143"/>
      <c r="AF114" s="297">
        <f>+H114/AD114*100</f>
        <v>3.5273591764862422</v>
      </c>
      <c r="AG114" s="30"/>
      <c r="AH114" s="24"/>
      <c r="AI114" s="33">
        <f>SUM(AI110:AI113)</f>
        <v>7452.4980000000005</v>
      </c>
      <c r="AJ114" s="24"/>
      <c r="AK114" s="153">
        <f>SUM(AK110:AK113)</f>
        <v>369.59400724647855</v>
      </c>
      <c r="AL114" s="24"/>
      <c r="AM114" s="132">
        <f>(AK114/AK107-1)*100</f>
        <v>23.789907695013635</v>
      </c>
      <c r="AN114" s="143"/>
    </row>
    <row r="115" spans="1:40" hidden="1" outlineLevel="1">
      <c r="A115" s="24"/>
      <c r="B115" s="78"/>
      <c r="C115" s="24"/>
      <c r="D115" s="168"/>
      <c r="E115" s="168"/>
      <c r="F115" s="432"/>
      <c r="G115" s="168"/>
      <c r="H115" s="24"/>
      <c r="I115" s="24"/>
      <c r="J115" s="24"/>
      <c r="K115" s="24"/>
      <c r="L115" s="24"/>
      <c r="M115" s="24"/>
      <c r="N115" s="24"/>
      <c r="O115" s="143"/>
      <c r="P115" s="24"/>
      <c r="Q115" s="24"/>
      <c r="R115" s="24"/>
      <c r="S115" s="24"/>
      <c r="T115" s="24"/>
      <c r="U115" s="24"/>
      <c r="V115" s="24"/>
      <c r="W115" s="24"/>
      <c r="X115" s="24"/>
      <c r="Y115" s="24"/>
      <c r="Z115" s="168"/>
      <c r="AA115" s="24"/>
      <c r="AB115" s="24"/>
      <c r="AC115" s="24"/>
      <c r="AD115" s="24"/>
      <c r="AE115" s="143"/>
      <c r="AF115" s="24"/>
      <c r="AG115" s="24"/>
      <c r="AH115" s="24"/>
      <c r="AI115" s="24"/>
      <c r="AJ115" s="24"/>
      <c r="AK115" s="24"/>
      <c r="AL115" s="24"/>
      <c r="AM115" s="24"/>
      <c r="AN115" s="24"/>
    </row>
    <row r="116" spans="1:40" hidden="1" outlineLevel="1">
      <c r="A116" s="73"/>
      <c r="B116" s="75" t="s">
        <v>949</v>
      </c>
      <c r="C116" s="24"/>
      <c r="D116" s="244"/>
      <c r="E116" s="296"/>
      <c r="F116" s="432"/>
      <c r="G116" s="296"/>
      <c r="H116" s="244"/>
      <c r="I116" s="254"/>
      <c r="J116" s="361"/>
      <c r="K116" s="168"/>
      <c r="L116" s="168"/>
      <c r="M116" s="168"/>
      <c r="N116" s="168"/>
      <c r="O116" s="254"/>
      <c r="P116" s="253"/>
      <c r="Q116" s="253"/>
      <c r="R116" s="168"/>
      <c r="S116" s="168"/>
      <c r="T116" s="168"/>
      <c r="U116" s="168"/>
      <c r="V116" s="24"/>
      <c r="W116" s="24"/>
      <c r="X116" s="143"/>
      <c r="Y116" s="24"/>
      <c r="Z116" s="958"/>
      <c r="AA116" s="24"/>
      <c r="AB116" s="371"/>
      <c r="AC116" s="24"/>
      <c r="AD116" s="168"/>
      <c r="AE116" s="143"/>
      <c r="AF116" s="297"/>
      <c r="AG116" s="30"/>
      <c r="AH116" s="24"/>
      <c r="AI116" s="24"/>
      <c r="AJ116" s="24"/>
      <c r="AK116" s="24"/>
      <c r="AL116" s="24"/>
      <c r="AM116" s="24"/>
      <c r="AN116" s="143"/>
    </row>
    <row r="117" spans="1:40" hidden="1" outlineLevel="1">
      <c r="A117" s="24" t="str">
        <f>$A$47</f>
        <v>1Q</v>
      </c>
      <c r="B117" s="78" t="str">
        <f>$B$47</f>
        <v>Apr</v>
      </c>
      <c r="C117" s="24"/>
      <c r="D117" s="244">
        <f>(S117/S110-1)*100</f>
        <v>6.1271332270653733</v>
      </c>
      <c r="E117" s="296" t="s">
        <v>1084</v>
      </c>
      <c r="F117" s="432">
        <f>+mthSales!DT$13</f>
        <v>8</v>
      </c>
      <c r="G117" s="296" t="s">
        <v>1084</v>
      </c>
      <c r="H117" s="244">
        <f>D117-F117</f>
        <v>-1.8728667729346267</v>
      </c>
      <c r="I117" s="254" t="s">
        <v>1084</v>
      </c>
      <c r="J117" s="361">
        <f>+'store&amp;sf'!AQ101</f>
        <v>3871</v>
      </c>
      <c r="K117" s="168"/>
      <c r="L117" s="362">
        <f>AVERAGE(J117,J113)</f>
        <v>3891</v>
      </c>
      <c r="M117" s="168"/>
      <c r="N117" s="244">
        <f>(L117/L110-1)*100</f>
        <v>-2.9312710490208338</v>
      </c>
      <c r="O117" s="254" t="s">
        <v>1084</v>
      </c>
      <c r="P117" s="297">
        <f>H117/N117*100</f>
        <v>63.892650717518663</v>
      </c>
      <c r="Q117" s="253" t="s">
        <v>1084</v>
      </c>
      <c r="R117" s="168"/>
      <c r="S117" s="240">
        <f>'qtrP&amp;L'!BJ10-'segSales&amp;OM'!BE94-'segSales&amp;OM'!K94</f>
        <v>1590.556</v>
      </c>
      <c r="T117" s="168"/>
      <c r="U117" s="255">
        <f>S117/L117</f>
        <v>0.40877820611667953</v>
      </c>
      <c r="V117" s="24"/>
      <c r="W117" s="132">
        <f>(U117/U110-1)*100</f>
        <v>9.3319489952946597</v>
      </c>
      <c r="X117" s="143" t="s">
        <v>1084</v>
      </c>
      <c r="Y117" s="24"/>
      <c r="Z117" s="958">
        <f>+'store&amp;sf'!AQ465</f>
        <v>19.916250000000002</v>
      </c>
      <c r="AA117" s="24"/>
      <c r="AB117" s="372">
        <f>AVERAGE(Z117,Z113)</f>
        <v>19.981875000000002</v>
      </c>
      <c r="AC117" s="24"/>
      <c r="AD117" s="244">
        <f>(AB117/AB110-1)*100</f>
        <v>-1.45789668351618</v>
      </c>
      <c r="AE117" s="143" t="s">
        <v>1084</v>
      </c>
      <c r="AF117" s="297">
        <f>+H117/AD117*100</f>
        <v>128.46361433634755</v>
      </c>
      <c r="AG117" s="30" t="s">
        <v>1084</v>
      </c>
      <c r="AH117" s="24"/>
      <c r="AI117" s="33">
        <f>+S117</f>
        <v>1590.556</v>
      </c>
      <c r="AJ117" s="24"/>
      <c r="AK117" s="153">
        <f>AI117/AB117</f>
        <v>79.599937443307994</v>
      </c>
      <c r="AL117" s="24"/>
      <c r="AM117" s="132">
        <f>(AK117/AK110-1)*100</f>
        <v>7.6972478314381254</v>
      </c>
      <c r="AN117" s="143" t="s">
        <v>1084</v>
      </c>
    </row>
    <row r="118" spans="1:40" hidden="1" outlineLevel="1">
      <c r="A118" s="24" t="str">
        <f>$A$48</f>
        <v>2Q</v>
      </c>
      <c r="B118" s="78" t="str">
        <f>$B$48</f>
        <v>Jul</v>
      </c>
      <c r="C118" s="24"/>
      <c r="D118" s="244">
        <f>(S118/S111-1)*100</f>
        <v>8.344839865409881</v>
      </c>
      <c r="E118" s="244"/>
      <c r="F118" s="432">
        <f>+mthSales!DT$18</f>
        <v>9</v>
      </c>
      <c r="G118" s="244"/>
      <c r="H118" s="244">
        <f>D118-F118</f>
        <v>-0.65516013459011901</v>
      </c>
      <c r="I118" s="168"/>
      <c r="J118" s="361">
        <f>+'store&amp;sf'!AQ102</f>
        <v>3836</v>
      </c>
      <c r="K118" s="150"/>
      <c r="L118" s="362">
        <f>AVERAGE(J118,J117)</f>
        <v>3853.5</v>
      </c>
      <c r="M118" s="168"/>
      <c r="N118" s="244">
        <f>(L118/L111-1)*100</f>
        <v>-3.0687963778141092</v>
      </c>
      <c r="O118" s="254"/>
      <c r="P118" s="297">
        <f>H118/N118*100</f>
        <v>21.349091107073935</v>
      </c>
      <c r="Q118" s="253"/>
      <c r="R118" s="168"/>
      <c r="S118" s="249">
        <f>'qtrP&amp;L'!BJ11-'segSales&amp;OM'!BE95-'segSales&amp;OM'!K95</f>
        <v>1789.0289999999998</v>
      </c>
      <c r="T118" s="168"/>
      <c r="U118" s="257">
        <f>S118/L118</f>
        <v>0.46426080186843122</v>
      </c>
      <c r="V118" s="24"/>
      <c r="W118" s="132">
        <f>(U118/U111-1)*100</f>
        <v>11.774986605666804</v>
      </c>
      <c r="X118" s="143"/>
      <c r="Y118" s="24"/>
      <c r="Z118" s="958">
        <f>+'store&amp;sf'!AQ466</f>
        <v>19.883749999999996</v>
      </c>
      <c r="AA118" s="150"/>
      <c r="AB118" s="372">
        <f>AVERAGE(Z118,Z117)</f>
        <v>19.899999999999999</v>
      </c>
      <c r="AC118" s="24"/>
      <c r="AD118" s="244">
        <f>(AB118/AB111-1)*100</f>
        <v>-1.0319532512743756</v>
      </c>
      <c r="AE118" s="143"/>
      <c r="AF118" s="297">
        <f>+H118/AD118*100</f>
        <v>63.487385090463277</v>
      </c>
      <c r="AG118" s="30"/>
      <c r="AH118" s="24"/>
      <c r="AI118" s="34">
        <f>+S118</f>
        <v>1789.0289999999998</v>
      </c>
      <c r="AJ118" s="24"/>
      <c r="AK118" s="154">
        <f>AI118/AB118</f>
        <v>89.900954773869344</v>
      </c>
      <c r="AL118" s="24"/>
      <c r="AM118" s="132">
        <f>(AK118/AK111-1)*100</f>
        <v>9.4745662107401643</v>
      </c>
      <c r="AN118" s="143"/>
    </row>
    <row r="119" spans="1:40" hidden="1" outlineLevel="1">
      <c r="A119" s="24" t="str">
        <f>$A$49</f>
        <v>3Q</v>
      </c>
      <c r="B119" s="78" t="str">
        <f>$B$49</f>
        <v>Oct</v>
      </c>
      <c r="C119" s="24"/>
      <c r="D119" s="244">
        <f>(S119/S112-1)*100</f>
        <v>1.711365709703494</v>
      </c>
      <c r="E119" s="244"/>
      <c r="F119" s="432">
        <f>+mthSales!DT$23</f>
        <v>1</v>
      </c>
      <c r="G119" s="244"/>
      <c r="H119" s="244">
        <f>D119-F119</f>
        <v>0.711365709703494</v>
      </c>
      <c r="I119" s="168"/>
      <c r="J119" s="361">
        <f>+'store&amp;sf'!AQ103</f>
        <v>3835</v>
      </c>
      <c r="K119" s="150"/>
      <c r="L119" s="362">
        <f>AVERAGE(J119,J118)</f>
        <v>3835.5</v>
      </c>
      <c r="M119" s="168"/>
      <c r="N119" s="244">
        <f>(L119/L112-1)*100</f>
        <v>-3.4000755572346053</v>
      </c>
      <c r="O119" s="254"/>
      <c r="P119" s="297">
        <f>H119/N119*100</f>
        <v>-20.922055928723875</v>
      </c>
      <c r="Q119" s="253"/>
      <c r="R119" s="168"/>
      <c r="S119" s="249">
        <f>'qtrP&amp;L'!BJ12-'segSales&amp;OM'!BE96-'segSales&amp;OM'!K96</f>
        <v>1566.472</v>
      </c>
      <c r="T119" s="168"/>
      <c r="U119" s="257">
        <f>S119/L119</f>
        <v>0.40841402685438666</v>
      </c>
      <c r="V119" s="24"/>
      <c r="W119" s="132">
        <f>(U119/U112-1)*100</f>
        <v>5.2913512059386658</v>
      </c>
      <c r="X119" s="143"/>
      <c r="Y119" s="24"/>
      <c r="Z119" s="958">
        <f>+'store&amp;sf'!AQ467</f>
        <v>19.979999999999997</v>
      </c>
      <c r="AA119" s="150"/>
      <c r="AB119" s="372">
        <f>AVERAGE(Z119,Z118)</f>
        <v>19.931874999999998</v>
      </c>
      <c r="AC119" s="24"/>
      <c r="AD119" s="244">
        <f>(AB119/AB112-1)*100</f>
        <v>-1.0395332960963288</v>
      </c>
      <c r="AE119" s="143"/>
      <c r="AF119" s="297">
        <f>+H119/AD119*100</f>
        <v>-68.431257793745075</v>
      </c>
      <c r="AG119" s="30"/>
      <c r="AH119" s="24"/>
      <c r="AI119" s="34">
        <f>+S119</f>
        <v>1566.472</v>
      </c>
      <c r="AJ119" s="24"/>
      <c r="AK119" s="154">
        <f>AI119/AB119</f>
        <v>78.591301621147039</v>
      </c>
      <c r="AL119" s="24"/>
      <c r="AM119" s="132">
        <f>(AK119/AK112-1)*100</f>
        <v>2.7797959098462055</v>
      </c>
      <c r="AN119" s="143"/>
    </row>
    <row r="120" spans="1:40" hidden="1" outlineLevel="1">
      <c r="A120" s="24" t="str">
        <f>$A$50</f>
        <v>4Q</v>
      </c>
      <c r="B120" s="78" t="str">
        <f>$B$50</f>
        <v>Jan</v>
      </c>
      <c r="C120" s="24"/>
      <c r="D120" s="242">
        <f>(S120/S113-1)*100</f>
        <v>2.2910708726406437</v>
      </c>
      <c r="E120" s="168"/>
      <c r="F120" s="433">
        <f>+mthSales!DT$28</f>
        <v>2</v>
      </c>
      <c r="G120" s="168"/>
      <c r="H120" s="242">
        <f>D120-F120</f>
        <v>0.29107087264064369</v>
      </c>
      <c r="I120" s="168"/>
      <c r="J120" s="361">
        <f>+'store&amp;sf'!AQ104</f>
        <v>3779</v>
      </c>
      <c r="K120" s="150"/>
      <c r="L120" s="363">
        <f>AVERAGE(J120,J119)</f>
        <v>3807</v>
      </c>
      <c r="M120" s="168"/>
      <c r="N120" s="295">
        <f>(L120/L113-1)*100</f>
        <v>-3.4001522456229338</v>
      </c>
      <c r="O120" s="254"/>
      <c r="P120" s="298">
        <f>H120/N120*100</f>
        <v>-8.5605246946028224</v>
      </c>
      <c r="Q120" s="253"/>
      <c r="R120" s="168"/>
      <c r="S120" s="250">
        <f>'qtrP&amp;L'!BJ13-'segSales&amp;OM'!BE97-'segSales&amp;OM'!K97</f>
        <v>2825.7089999999998</v>
      </c>
      <c r="T120" s="168"/>
      <c r="U120" s="258">
        <f>S120/L120</f>
        <v>0.7422403467297084</v>
      </c>
      <c r="V120" s="24"/>
      <c r="W120" s="131">
        <f>(U120/U113-1)*100</f>
        <v>5.8915446044330855</v>
      </c>
      <c r="X120" s="143"/>
      <c r="Y120" s="24"/>
      <c r="Z120" s="958">
        <f>+'store&amp;sf'!AQ468</f>
        <v>19.751249999999999</v>
      </c>
      <c r="AA120" s="31"/>
      <c r="AB120" s="373">
        <f>AVERAGE(Z120,Z119)</f>
        <v>19.865624999999998</v>
      </c>
      <c r="AC120" s="24"/>
      <c r="AD120" s="295">
        <f>(AB120/AB113-1)*100</f>
        <v>-1.4082322652687829</v>
      </c>
      <c r="AE120" s="143"/>
      <c r="AF120" s="298">
        <f>+H120/AD120*100</f>
        <v>-20.669237583836235</v>
      </c>
      <c r="AG120" s="30"/>
      <c r="AH120" s="24"/>
      <c r="AI120" s="38">
        <f>+S120</f>
        <v>2825.7089999999998</v>
      </c>
      <c r="AJ120" s="24"/>
      <c r="AK120" s="169">
        <f>AI120/AB120</f>
        <v>142.24113260972157</v>
      </c>
      <c r="AL120" s="24"/>
      <c r="AM120" s="131">
        <f>(AK120/AK113-1)*100</f>
        <v>3.7521420123662663</v>
      </c>
      <c r="AN120" s="143"/>
    </row>
    <row r="121" spans="1:40" hidden="1" outlineLevel="1">
      <c r="A121" s="24"/>
      <c r="B121" s="78" t="str">
        <f>$B$51</f>
        <v>Year</v>
      </c>
      <c r="C121" s="24"/>
      <c r="D121" s="241">
        <f>(S121/S114-1)*100</f>
        <v>4.2840400628084474</v>
      </c>
      <c r="E121" s="168"/>
      <c r="F121" s="432">
        <f>'qtrP&amp;L'!BL14</f>
        <v>4</v>
      </c>
      <c r="G121" s="168"/>
      <c r="H121" s="241">
        <f>D121-F121</f>
        <v>0.2840400628084474</v>
      </c>
      <c r="I121" s="168"/>
      <c r="J121" s="168"/>
      <c r="K121" s="168"/>
      <c r="L121" s="256">
        <f>AVERAGE(L117:L120)</f>
        <v>3846.75</v>
      </c>
      <c r="M121" s="168"/>
      <c r="N121" s="244">
        <f>(L121/L114-1)*100</f>
        <v>-3.1990185901670243</v>
      </c>
      <c r="O121" s="254"/>
      <c r="P121" s="297">
        <f>H121/N121*100</f>
        <v>-8.8789750607112712</v>
      </c>
      <c r="Q121" s="253"/>
      <c r="R121" s="168"/>
      <c r="S121" s="240">
        <f>SUM(S117:S120)</f>
        <v>7771.7659999999996</v>
      </c>
      <c r="T121" s="168"/>
      <c r="U121" s="255">
        <f>SUM(U117:U120)</f>
        <v>2.0236933815692058</v>
      </c>
      <c r="V121" s="24"/>
      <c r="W121" s="132">
        <f>(U121/U114-1)*100</f>
        <v>7.7536761333085291</v>
      </c>
      <c r="X121" s="143"/>
      <c r="Y121" s="24"/>
      <c r="Z121" s="958"/>
      <c r="AA121" s="24"/>
      <c r="AB121" s="372">
        <f>AVERAGE(AB117:AB120)</f>
        <v>19.919843749999998</v>
      </c>
      <c r="AC121" s="24"/>
      <c r="AD121" s="244">
        <f>(AB121/AB114-1)*100</f>
        <v>-1.234883522749286</v>
      </c>
      <c r="AE121" s="143"/>
      <c r="AF121" s="297">
        <f>+H121/AD121*100</f>
        <v>-23.001364709772311</v>
      </c>
      <c r="AG121" s="30"/>
      <c r="AH121" s="24"/>
      <c r="AI121" s="33">
        <f>SUM(AI117:AI120)</f>
        <v>7771.7659999999996</v>
      </c>
      <c r="AJ121" s="24"/>
      <c r="AK121" s="153">
        <f>SUM(AK117:AK120)</f>
        <v>390.33332644804597</v>
      </c>
      <c r="AL121" s="24"/>
      <c r="AM121" s="132">
        <f>(AK121/AK114-1)*100</f>
        <v>5.6113786465527227</v>
      </c>
      <c r="AN121" s="143"/>
    </row>
    <row r="122" spans="1:40" hidden="1" outlineLevel="1">
      <c r="A122" s="24"/>
      <c r="B122" s="78"/>
      <c r="C122" s="24"/>
      <c r="D122" s="168"/>
      <c r="E122" s="168"/>
      <c r="F122" s="432"/>
      <c r="G122" s="168"/>
      <c r="H122" s="24"/>
      <c r="I122" s="24"/>
      <c r="J122" s="91"/>
      <c r="K122" s="24"/>
      <c r="L122" s="24"/>
      <c r="M122" s="24"/>
      <c r="N122" s="24"/>
      <c r="O122" s="143"/>
      <c r="P122" s="24"/>
      <c r="Q122" s="24"/>
      <c r="R122" s="24"/>
      <c r="S122" s="24"/>
      <c r="T122" s="24"/>
      <c r="U122" s="24"/>
      <c r="V122" s="24"/>
      <c r="W122" s="24"/>
      <c r="X122" s="24"/>
      <c r="Y122" s="24"/>
      <c r="Z122" s="168"/>
      <c r="AA122" s="24"/>
      <c r="AB122" s="24"/>
      <c r="AC122" s="24"/>
      <c r="AD122" s="24"/>
      <c r="AE122" s="143"/>
      <c r="AF122" s="24"/>
      <c r="AG122" s="24"/>
      <c r="AH122" s="24"/>
      <c r="AI122" s="24"/>
      <c r="AJ122" s="24"/>
      <c r="AK122" s="24"/>
      <c r="AL122" s="24"/>
      <c r="AM122" s="24"/>
      <c r="AN122" s="24"/>
    </row>
    <row r="123" spans="1:40" hidden="1" outlineLevel="1" collapsed="1">
      <c r="A123" s="73"/>
      <c r="B123" s="75" t="s">
        <v>982</v>
      </c>
      <c r="C123" s="24"/>
      <c r="D123" s="244"/>
      <c r="E123" s="296"/>
      <c r="F123" s="432"/>
      <c r="G123" s="296"/>
      <c r="H123" s="244"/>
      <c r="I123" s="254"/>
      <c r="J123" s="361"/>
      <c r="K123" s="168"/>
      <c r="L123" s="168"/>
      <c r="M123" s="168"/>
      <c r="N123" s="168"/>
      <c r="O123" s="254"/>
      <c r="P123" s="253"/>
      <c r="Q123" s="253"/>
      <c r="R123" s="168"/>
      <c r="S123" s="168"/>
      <c r="T123" s="168"/>
      <c r="U123" s="168"/>
      <c r="V123" s="24"/>
      <c r="W123" s="24"/>
      <c r="X123" s="143"/>
      <c r="Y123" s="24"/>
      <c r="Z123" s="958"/>
      <c r="AA123" s="24"/>
      <c r="AB123" s="371"/>
      <c r="AC123" s="24"/>
      <c r="AD123" s="168"/>
      <c r="AE123" s="143"/>
      <c r="AF123" s="297"/>
      <c r="AG123" s="30"/>
      <c r="AH123" s="24"/>
      <c r="AI123" s="24"/>
      <c r="AJ123" s="24"/>
      <c r="AK123" s="24"/>
      <c r="AL123" s="24"/>
      <c r="AM123" s="24"/>
      <c r="AN123" s="143"/>
    </row>
    <row r="124" spans="1:40" hidden="1" outlineLevel="1">
      <c r="A124" s="24" t="str">
        <f>$A$47</f>
        <v>1Q</v>
      </c>
      <c r="B124" s="78" t="str">
        <f>$B$47</f>
        <v>Apr</v>
      </c>
      <c r="C124" s="24"/>
      <c r="D124" s="244">
        <f>(S124/S117-1)*100</f>
        <v>-3.6683398761187869</v>
      </c>
      <c r="E124" s="296" t="s">
        <v>1084</v>
      </c>
      <c r="F124" s="432">
        <f>'qtrP&amp;L'!BP10</f>
        <v>-5</v>
      </c>
      <c r="G124" s="296" t="s">
        <v>1084</v>
      </c>
      <c r="H124" s="244">
        <f>D124-F124</f>
        <v>1.3316601238812131</v>
      </c>
      <c r="I124" s="254" t="s">
        <v>1084</v>
      </c>
      <c r="J124" s="361">
        <f>+'store&amp;sf'!AQ107</f>
        <v>3699</v>
      </c>
      <c r="K124" s="168"/>
      <c r="L124" s="362">
        <f>AVERAGE(J124,J120)</f>
        <v>3739</v>
      </c>
      <c r="M124" s="168"/>
      <c r="N124" s="244">
        <f>(L124/L117-1)*100</f>
        <v>-3.9064507838601936</v>
      </c>
      <c r="O124" s="254" t="s">
        <v>1084</v>
      </c>
      <c r="P124" s="297">
        <f>H124/N124*100</f>
        <v>-34.088746986985498</v>
      </c>
      <c r="Q124" s="253" t="s">
        <v>1084</v>
      </c>
      <c r="R124" s="168"/>
      <c r="S124" s="240">
        <f>+segqtrSales!S103+segqtrSales!S286+segqtrSales!S706+segqtrSales!S805</f>
        <v>1532.2090000000001</v>
      </c>
      <c r="T124" s="168"/>
      <c r="U124" s="255">
        <f>S124/L124</f>
        <v>0.40979112062048678</v>
      </c>
      <c r="V124" s="24"/>
      <c r="W124" s="132">
        <f>(U124/U117-1)*100</f>
        <v>0.24779073068248447</v>
      </c>
      <c r="X124" s="143" t="s">
        <v>1084</v>
      </c>
      <c r="Y124" s="24"/>
      <c r="Z124" s="958">
        <f>'store&amp;sf'!AQ471</f>
        <v>19.625</v>
      </c>
      <c r="AA124" s="24"/>
      <c r="AB124" s="372">
        <f>AVERAGE(Z124,Z120)</f>
        <v>19.688124999999999</v>
      </c>
      <c r="AC124" s="24"/>
      <c r="AD124" s="244">
        <f>(AB124/AB117-1)*100</f>
        <v>-1.4700822620499987</v>
      </c>
      <c r="AE124" s="143" t="s">
        <v>1084</v>
      </c>
      <c r="AF124" s="297">
        <f>+H124/AD124*100</f>
        <v>-90.584054937459157</v>
      </c>
      <c r="AG124" s="30" t="s">
        <v>1084</v>
      </c>
      <c r="AH124" s="24"/>
      <c r="AI124" s="33">
        <f>+S124</f>
        <v>1532.2090000000001</v>
      </c>
      <c r="AJ124" s="24"/>
      <c r="AK124" s="153">
        <f>AI124/AB124</f>
        <v>77.824018285133818</v>
      </c>
      <c r="AL124" s="24"/>
      <c r="AM124" s="132">
        <f>(AK124/AK117-1)*100</f>
        <v>-2.2310559721720913</v>
      </c>
      <c r="AN124" s="143" t="s">
        <v>1084</v>
      </c>
    </row>
    <row r="125" spans="1:40" hidden="1" outlineLevel="1">
      <c r="A125" s="24" t="str">
        <f>$A$48</f>
        <v>2Q</v>
      </c>
      <c r="B125" s="78" t="str">
        <f>$B$48</f>
        <v>Jul</v>
      </c>
      <c r="C125" s="24"/>
      <c r="D125" s="244">
        <f>(S125/S118-1)*100</f>
        <v>1.7152880137773163</v>
      </c>
      <c r="E125" s="244"/>
      <c r="F125" s="432">
        <f>'qtrP&amp;L'!BP11</f>
        <v>0</v>
      </c>
      <c r="G125" s="244"/>
      <c r="H125" s="244">
        <f>D125-F125</f>
        <v>1.7152880137773163</v>
      </c>
      <c r="I125" s="168"/>
      <c r="J125" s="361">
        <f>+'store&amp;sf'!AQ108</f>
        <v>3666</v>
      </c>
      <c r="K125" s="150"/>
      <c r="L125" s="362">
        <f>AVERAGE(J125,J124)</f>
        <v>3682.5</v>
      </c>
      <c r="M125" s="168"/>
      <c r="N125" s="244">
        <f>(L125/L118-1)*100</f>
        <v>-4.437524328532505</v>
      </c>
      <c r="O125" s="254"/>
      <c r="P125" s="297">
        <f>H125/N125*100</f>
        <v>-38.654165854332661</v>
      </c>
      <c r="Q125" s="253"/>
      <c r="R125" s="168"/>
      <c r="S125" s="249">
        <f>+segqtrSales!S104+segqtrSales!S287+segqtrSales!S707+segqtrSales!S806</f>
        <v>1819.7160000000001</v>
      </c>
      <c r="T125" s="168"/>
      <c r="U125" s="257">
        <f>S125/L125</f>
        <v>0.4941523421588595</v>
      </c>
      <c r="V125" s="24"/>
      <c r="W125" s="132">
        <f>(U125/U118-1)*100</f>
        <v>6.4385233838671896</v>
      </c>
      <c r="X125" s="143"/>
      <c r="Y125" s="24"/>
      <c r="Z125" s="958">
        <f>'store&amp;sf'!AQ472</f>
        <v>19.53125</v>
      </c>
      <c r="AA125" s="150"/>
      <c r="AB125" s="372">
        <f>AVERAGE(Z125,Z124)</f>
        <v>19.578125</v>
      </c>
      <c r="AC125" s="24"/>
      <c r="AD125" s="244">
        <f>(AB125/AB118-1)*100</f>
        <v>-1.6174623115577824</v>
      </c>
      <c r="AE125" s="143"/>
      <c r="AF125" s="297">
        <f>+H125/AD125*100</f>
        <v>-106.04809778382518</v>
      </c>
      <c r="AG125" s="30"/>
      <c r="AH125" s="24"/>
      <c r="AI125" s="34">
        <f>+S125</f>
        <v>1819.7160000000001</v>
      </c>
      <c r="AJ125" s="24"/>
      <c r="AK125" s="154">
        <f>AI125/AB125</f>
        <v>92.946387869114133</v>
      </c>
      <c r="AL125" s="24"/>
      <c r="AM125" s="132">
        <f>(AK125/AK118-1)*100</f>
        <v>3.3875425493589795</v>
      </c>
      <c r="AN125" s="143"/>
    </row>
    <row r="126" spans="1:40" hidden="1" outlineLevel="1">
      <c r="A126" s="24" t="str">
        <f>$A$49</f>
        <v>3Q</v>
      </c>
      <c r="B126" s="78" t="str">
        <f>$B$49</f>
        <v>Oct</v>
      </c>
      <c r="C126" s="24"/>
      <c r="D126" s="244">
        <f>(S126/S119-1)*100</f>
        <v>-1.9423264507760218</v>
      </c>
      <c r="E126" s="244"/>
      <c r="F126" s="432">
        <f>'qtrP&amp;L'!BP12</f>
        <v>-3</v>
      </c>
      <c r="G126" s="244"/>
      <c r="H126" s="244">
        <f>D126-F126</f>
        <v>1.0576735492239782</v>
      </c>
      <c r="I126" s="168"/>
      <c r="J126" s="361">
        <f>+'store&amp;sf'!AQ109</f>
        <v>3677</v>
      </c>
      <c r="K126" s="150"/>
      <c r="L126" s="362">
        <f>AVERAGE(J126,J125)</f>
        <v>3671.5</v>
      </c>
      <c r="M126" s="168"/>
      <c r="N126" s="244">
        <f>(L126/L119-1)*100</f>
        <v>-4.2758440881241029</v>
      </c>
      <c r="O126" s="254"/>
      <c r="P126" s="297">
        <f>H126/N126*100</f>
        <v>-24.736017671027859</v>
      </c>
      <c r="Q126" s="253"/>
      <c r="R126" s="168"/>
      <c r="S126" s="249">
        <f>+segqtrSales!S105+segqtrSales!S288+segqtrSales!S708+segqtrSales!S807</f>
        <v>1536.0459999999998</v>
      </c>
      <c r="T126" s="168"/>
      <c r="U126" s="257">
        <f>S126/L126</f>
        <v>0.41837014844069176</v>
      </c>
      <c r="V126" s="24"/>
      <c r="W126" s="132">
        <f>(U126/U119-1)*100</f>
        <v>2.4377521171315752</v>
      </c>
      <c r="X126" s="143"/>
      <c r="Y126" s="24"/>
      <c r="Z126" s="958">
        <f>'store&amp;sf'!AQ473</f>
        <v>19.671250000000001</v>
      </c>
      <c r="AA126" s="150"/>
      <c r="AB126" s="372">
        <f>AVERAGE(Z126,Z125)</f>
        <v>19.60125</v>
      </c>
      <c r="AC126" s="24"/>
      <c r="AD126" s="244">
        <f>(AB126/AB119-1)*100</f>
        <v>-1.6587752030353231</v>
      </c>
      <c r="AE126" s="143"/>
      <c r="AF126" s="297">
        <f>+H126/AD126*100</f>
        <v>-63.762319769947474</v>
      </c>
      <c r="AG126" s="30"/>
      <c r="AH126" s="24"/>
      <c r="AI126" s="34">
        <f>+S126</f>
        <v>1536.0459999999998</v>
      </c>
      <c r="AJ126" s="24"/>
      <c r="AK126" s="154">
        <f>AI126/AB126</f>
        <v>78.364696129073394</v>
      </c>
      <c r="AL126" s="24"/>
      <c r="AM126" s="132">
        <f>(AK126/AK119-1)*100</f>
        <v>-0.2883340616573693</v>
      </c>
      <c r="AN126" s="143"/>
    </row>
    <row r="127" spans="1:40" hidden="1" outlineLevel="1">
      <c r="A127" s="24" t="str">
        <f>$A$50</f>
        <v>4Q</v>
      </c>
      <c r="B127" s="78" t="str">
        <f>$B$50</f>
        <v>Jan</v>
      </c>
      <c r="C127" s="24"/>
      <c r="D127" s="242">
        <f>(S127/S120-1)*100</f>
        <v>3.6030603292837249</v>
      </c>
      <c r="E127" s="168"/>
      <c r="F127" s="433">
        <f>'qtrP&amp;L'!BP13</f>
        <v>3</v>
      </c>
      <c r="G127" s="168"/>
      <c r="H127" s="242">
        <f>D127-F127</f>
        <v>0.60306032928372488</v>
      </c>
      <c r="I127" s="168"/>
      <c r="J127" s="361">
        <f>+'store&amp;sf'!AQ110</f>
        <v>3590</v>
      </c>
      <c r="K127" s="150"/>
      <c r="L127" s="363">
        <f>AVERAGE(J127,J126)</f>
        <v>3633.5</v>
      </c>
      <c r="M127" s="168"/>
      <c r="N127" s="295">
        <f>(L127/L120-1)*100</f>
        <v>-4.5573942737063273</v>
      </c>
      <c r="O127" s="254"/>
      <c r="P127" s="298">
        <f>H127/N127*100</f>
        <v>-13.232568723822144</v>
      </c>
      <c r="Q127" s="253"/>
      <c r="R127" s="168"/>
      <c r="S127" s="250">
        <f>+segqtrSales!S106+segqtrSales!S289+segqtrSales!S709+segqtrSales!S808</f>
        <v>2927.5209999999997</v>
      </c>
      <c r="T127" s="168"/>
      <c r="U127" s="258">
        <f>S127/L127</f>
        <v>0.80570276592816836</v>
      </c>
      <c r="V127" s="24"/>
      <c r="W127" s="131">
        <f>(U127/U120-1)*100</f>
        <v>8.5501171524929411</v>
      </c>
      <c r="X127" s="143"/>
      <c r="Y127" s="24"/>
      <c r="Z127" s="958">
        <f>'store&amp;sf'!AQ474</f>
        <v>19.164999999999996</v>
      </c>
      <c r="AA127" s="31"/>
      <c r="AB127" s="373">
        <f>AVERAGE(Z127,Z126)</f>
        <v>19.418124999999996</v>
      </c>
      <c r="AC127" s="24"/>
      <c r="AD127" s="295">
        <f>(AB127/AB120-1)*100</f>
        <v>-2.252634890671712</v>
      </c>
      <c r="AE127" s="143"/>
      <c r="AF127" s="298">
        <f>+H127/AD127*100</f>
        <v>-26.771330399836728</v>
      </c>
      <c r="AG127" s="30"/>
      <c r="AH127" s="24"/>
      <c r="AI127" s="38">
        <f>+S127</f>
        <v>2927.5209999999997</v>
      </c>
      <c r="AJ127" s="24"/>
      <c r="AK127" s="169">
        <f>AI127/AB127</f>
        <v>150.76229038591524</v>
      </c>
      <c r="AL127" s="24"/>
      <c r="AM127" s="131">
        <f>(AK127/AK120-1)*100</f>
        <v>5.9906425236178729</v>
      </c>
      <c r="AN127" s="143"/>
    </row>
    <row r="128" spans="1:40" hidden="1" outlineLevel="1">
      <c r="A128" s="24"/>
      <c r="B128" s="78" t="str">
        <f>$B$51</f>
        <v>Year</v>
      </c>
      <c r="C128" s="24"/>
      <c r="D128" s="241">
        <f>(S128/S121-1)*100</f>
        <v>0.56262630655632417</v>
      </c>
      <c r="E128" s="168"/>
      <c r="F128" s="432">
        <f>'qtrP&amp;L'!BT14</f>
        <v>-1</v>
      </c>
      <c r="G128" s="168"/>
      <c r="H128" s="241">
        <f>D128-F128</f>
        <v>1.5626263065563242</v>
      </c>
      <c r="I128" s="168"/>
      <c r="J128" s="168"/>
      <c r="K128" s="168"/>
      <c r="L128" s="256">
        <f>AVERAGE(L124:L127)</f>
        <v>3681.625</v>
      </c>
      <c r="M128" s="168"/>
      <c r="N128" s="244">
        <f>(L128/L121-1)*100</f>
        <v>-4.29258464937935</v>
      </c>
      <c r="O128" s="254"/>
      <c r="P128" s="297">
        <f>H128/N128*100</f>
        <v>-36.402923510949492</v>
      </c>
      <c r="Q128" s="253"/>
      <c r="R128" s="168"/>
      <c r="S128" s="240">
        <f>SUM(S124:S127)</f>
        <v>7815.4919999999993</v>
      </c>
      <c r="T128" s="168"/>
      <c r="U128" s="255">
        <f>SUM(U124:U127)</f>
        <v>2.1280163771482066</v>
      </c>
      <c r="V128" s="24"/>
      <c r="W128" s="132">
        <f>(U128/U121-1)*100</f>
        <v>5.1550791502864346</v>
      </c>
      <c r="X128" s="143"/>
      <c r="Y128" s="24"/>
      <c r="Z128" s="958"/>
      <c r="AA128" s="24"/>
      <c r="AB128" s="372">
        <f>AVERAGE(AB124:AB127)</f>
        <v>19.571406249999999</v>
      </c>
      <c r="AC128" s="24"/>
      <c r="AD128" s="244">
        <f>(AB128/AB121-1)*100</f>
        <v>-1.7491979574387972</v>
      </c>
      <c r="AE128" s="143"/>
      <c r="AF128" s="297">
        <f>+H128/AD128*100</f>
        <v>-89.333874414325635</v>
      </c>
      <c r="AG128" s="30"/>
      <c r="AH128" s="24"/>
      <c r="AI128" s="33">
        <f>SUM(AI124:AI127)</f>
        <v>7815.4919999999993</v>
      </c>
      <c r="AJ128" s="24"/>
      <c r="AK128" s="153">
        <f>SUM(AK124:AK127)</f>
        <v>399.89739266923658</v>
      </c>
      <c r="AL128" s="24"/>
      <c r="AM128" s="132">
        <f>(AK128/AK121-1)*100</f>
        <v>2.4502305012543246</v>
      </c>
      <c r="AN128" s="143"/>
    </row>
    <row r="129" spans="1:40" hidden="1" outlineLevel="1">
      <c r="A129" s="24"/>
      <c r="B129" s="78"/>
      <c r="C129" s="24"/>
      <c r="D129" s="168"/>
      <c r="E129" s="168"/>
      <c r="F129" s="168"/>
      <c r="G129" s="168"/>
      <c r="H129" s="24"/>
      <c r="I129" s="24"/>
      <c r="J129" s="91"/>
      <c r="K129" s="24"/>
      <c r="L129" s="24"/>
      <c r="M129" s="24"/>
      <c r="N129" s="24"/>
      <c r="O129" s="143"/>
      <c r="P129" s="24"/>
      <c r="Q129" s="24"/>
      <c r="R129" s="24"/>
      <c r="S129" s="24"/>
      <c r="T129" s="24"/>
      <c r="U129" s="24"/>
      <c r="V129" s="24"/>
      <c r="W129" s="24"/>
      <c r="X129" s="24"/>
      <c r="Y129" s="24"/>
      <c r="Z129" s="960"/>
      <c r="AA129" s="24"/>
      <c r="AB129" s="24"/>
      <c r="AC129" s="24"/>
      <c r="AD129" s="24"/>
      <c r="AE129" s="143"/>
      <c r="AF129" s="24"/>
      <c r="AG129" s="24"/>
      <c r="AH129" s="24"/>
      <c r="AI129" s="33"/>
      <c r="AJ129" s="24"/>
      <c r="AK129" s="24"/>
      <c r="AL129" s="24"/>
      <c r="AM129" s="24"/>
      <c r="AN129" s="24"/>
    </row>
    <row r="130" spans="1:40" hidden="1" outlineLevel="1">
      <c r="A130" s="73"/>
      <c r="B130" s="75" t="s">
        <v>753</v>
      </c>
      <c r="C130" s="24"/>
      <c r="D130" s="244"/>
      <c r="E130" s="296"/>
      <c r="F130" s="432"/>
      <c r="G130" s="296"/>
      <c r="H130" s="244"/>
      <c r="I130" s="254"/>
      <c r="J130" s="361"/>
      <c r="K130" s="168"/>
      <c r="L130" s="168"/>
      <c r="M130" s="168"/>
      <c r="N130" s="168"/>
      <c r="O130" s="254"/>
      <c r="P130" s="253"/>
      <c r="Q130" s="253"/>
      <c r="R130" s="168"/>
      <c r="S130" s="168"/>
      <c r="T130" s="168"/>
      <c r="U130" s="168"/>
      <c r="V130" s="24"/>
      <c r="W130" s="24"/>
      <c r="X130" s="143"/>
      <c r="Y130" s="24"/>
      <c r="Z130" s="958"/>
      <c r="AA130" s="24"/>
      <c r="AB130" s="371"/>
      <c r="AC130" s="24"/>
      <c r="AD130" s="168"/>
      <c r="AE130" s="143"/>
      <c r="AF130" s="297"/>
      <c r="AG130" s="30"/>
      <c r="AH130" s="24"/>
      <c r="AI130" s="24"/>
      <c r="AJ130" s="24"/>
      <c r="AK130" s="24"/>
      <c r="AL130" s="24"/>
      <c r="AM130" s="24"/>
      <c r="AN130" s="143"/>
    </row>
    <row r="131" spans="1:40" hidden="1" outlineLevel="1">
      <c r="A131" s="24" t="str">
        <f>$A$47</f>
        <v>1Q</v>
      </c>
      <c r="B131" s="78" t="str">
        <f>$B$47</f>
        <v>Apr</v>
      </c>
      <c r="C131" s="24"/>
      <c r="D131" s="244">
        <f>(S131/S124-1)*100</f>
        <v>5.2847881718486089</v>
      </c>
      <c r="E131" s="296" t="s">
        <v>1084</v>
      </c>
      <c r="F131" s="432">
        <f>'qtrP&amp;L'!BX10</f>
        <v>5</v>
      </c>
      <c r="G131" s="296" t="s">
        <v>1084</v>
      </c>
      <c r="H131" s="244">
        <f>D131-F131</f>
        <v>0.28478817184860894</v>
      </c>
      <c r="I131" s="254" t="s">
        <v>1084</v>
      </c>
      <c r="J131" s="361">
        <f>'store&amp;sf'!AQ113</f>
        <v>3559</v>
      </c>
      <c r="K131" s="168"/>
      <c r="L131" s="362">
        <f>AVERAGE(J131,J127)</f>
        <v>3574.5</v>
      </c>
      <c r="M131" s="168"/>
      <c r="N131" s="244">
        <f>(L131/L124-1)*100</f>
        <v>-4.3995720780957477</v>
      </c>
      <c r="O131" s="254" t="s">
        <v>1084</v>
      </c>
      <c r="P131" s="297">
        <f>H131/N131*100</f>
        <v>-6.4730879911364667</v>
      </c>
      <c r="Q131" s="253" t="s">
        <v>1084</v>
      </c>
      <c r="R131" s="168"/>
      <c r="S131" s="240">
        <f>+segqtrSales!S110+segqtrSales!S293+segqtrSales!S713+segqtrSales!S812</f>
        <v>1613.183</v>
      </c>
      <c r="T131" s="168"/>
      <c r="U131" s="255">
        <f>S131/L131</f>
        <v>0.45130311931738704</v>
      </c>
      <c r="V131" s="24"/>
      <c r="W131" s="132">
        <f>(U131/U124-1)*100</f>
        <v>10.130038599676027</v>
      </c>
      <c r="X131" s="143" t="s">
        <v>1084</v>
      </c>
      <c r="Y131" s="24"/>
      <c r="Z131" s="958">
        <f>'store&amp;sf'!AQ477</f>
        <v>18.9925</v>
      </c>
      <c r="AA131" s="24"/>
      <c r="AB131" s="372">
        <f>AVERAGE(Z131,Z127)</f>
        <v>19.078749999999999</v>
      </c>
      <c r="AC131" s="24"/>
      <c r="AD131" s="244">
        <f>(AB131/AB124-1)*100</f>
        <v>-3.0951398368305738</v>
      </c>
      <c r="AE131" s="143" t="s">
        <v>1084</v>
      </c>
      <c r="AF131" s="297">
        <f>+H131/AD131*100</f>
        <v>-9.2011407193877321</v>
      </c>
      <c r="AG131" s="30" t="s">
        <v>1084</v>
      </c>
      <c r="AH131" s="24"/>
      <c r="AI131" s="33">
        <f>+S131</f>
        <v>1613.183</v>
      </c>
      <c r="AJ131" s="24"/>
      <c r="AK131" s="153">
        <f>AI131/AB131</f>
        <v>84.553914695669263</v>
      </c>
      <c r="AL131" s="24"/>
      <c r="AM131" s="132">
        <f>(AK131/AK124-1)*100</f>
        <v>8.6475827884885845</v>
      </c>
      <c r="AN131" s="143" t="s">
        <v>1084</v>
      </c>
    </row>
    <row r="132" spans="1:40" hidden="1" outlineLevel="1">
      <c r="A132" s="24" t="str">
        <f>$A$48</f>
        <v>2Q</v>
      </c>
      <c r="B132" s="78" t="str">
        <f>$B$48</f>
        <v>Jul</v>
      </c>
      <c r="C132" s="24"/>
      <c r="D132" s="244">
        <f>(S132/S125-1)*100</f>
        <v>5.9512583282226306</v>
      </c>
      <c r="E132" s="244"/>
      <c r="F132" s="432">
        <f>'qtrP&amp;L'!BX11</f>
        <v>5</v>
      </c>
      <c r="G132" s="244"/>
      <c r="H132" s="244">
        <f>D132-F132</f>
        <v>0.95125832822263057</v>
      </c>
      <c r="I132" s="168"/>
      <c r="J132" s="361">
        <f>'store&amp;sf'!AQ114</f>
        <v>3519</v>
      </c>
      <c r="K132" s="150"/>
      <c r="L132" s="362">
        <f>AVERAGE(J132,J131)</f>
        <v>3539</v>
      </c>
      <c r="M132" s="168"/>
      <c r="N132" s="244">
        <f>(L132/L125-1)*100</f>
        <v>-3.8968092328581116</v>
      </c>
      <c r="O132" s="254"/>
      <c r="P132" s="297">
        <f>H132/N132*100</f>
        <v>-24.411211105782844</v>
      </c>
      <c r="Q132" s="253"/>
      <c r="R132" s="168"/>
      <c r="S132" s="249">
        <f>+segqtrSales!S111+segqtrSales!S294+segqtrSales!S714+segqtrSales!S813</f>
        <v>1928.0119999999999</v>
      </c>
      <c r="T132" s="168"/>
      <c r="U132" s="257">
        <f>S132/L132</f>
        <v>0.54479005368748235</v>
      </c>
      <c r="V132" s="24"/>
      <c r="W132" s="132">
        <f>(U132/U125-1)*100</f>
        <v>10.247388752099429</v>
      </c>
      <c r="X132" s="143"/>
      <c r="Y132" s="24"/>
      <c r="Z132" s="958">
        <f>'store&amp;sf'!AQ478</f>
        <v>18.766249999999999</v>
      </c>
      <c r="AA132" s="150"/>
      <c r="AB132" s="372">
        <f>AVERAGE(Z132,Z131)</f>
        <v>18.879375</v>
      </c>
      <c r="AC132" s="24"/>
      <c r="AD132" s="244">
        <f>(AB132/AB125-1)*100</f>
        <v>-3.569034317637676</v>
      </c>
      <c r="AE132" s="143"/>
      <c r="AF132" s="297">
        <f>+H132/AD132*100</f>
        <v>-26.653101191032064</v>
      </c>
      <c r="AG132" s="30"/>
      <c r="AH132" s="24"/>
      <c r="AI132" s="34">
        <f>+S132</f>
        <v>1928.0119999999999</v>
      </c>
      <c r="AJ132" s="24"/>
      <c r="AK132" s="154">
        <f>AI132/AB132</f>
        <v>102.12266031052405</v>
      </c>
      <c r="AL132" s="24"/>
      <c r="AM132" s="132">
        <f>(AK132/AK125-1)*100</f>
        <v>9.872650946190431</v>
      </c>
      <c r="AN132" s="143"/>
    </row>
    <row r="133" spans="1:40" hidden="1" outlineLevel="1">
      <c r="A133" s="24" t="str">
        <f>$A$49</f>
        <v>3Q</v>
      </c>
      <c r="B133" s="78" t="str">
        <f>$B$49</f>
        <v>Oct</v>
      </c>
      <c r="C133" s="24"/>
      <c r="D133" s="244">
        <f>(S133/S126-1)*100</f>
        <v>9.9215778694127685</v>
      </c>
      <c r="E133" s="244"/>
      <c r="F133" s="432">
        <f>'qtrP&amp;L'!BX12</f>
        <v>10</v>
      </c>
      <c r="G133" s="244"/>
      <c r="H133" s="244">
        <f>D133-F133</f>
        <v>-7.8422130587231464E-2</v>
      </c>
      <c r="I133" s="168"/>
      <c r="J133" s="361">
        <f>'store&amp;sf'!AQ115</f>
        <v>3534</v>
      </c>
      <c r="K133" s="150"/>
      <c r="L133" s="362">
        <f>AVERAGE(J133,J132)</f>
        <v>3526.5</v>
      </c>
      <c r="M133" s="168"/>
      <c r="N133" s="244">
        <f>(L133/L126-1)*100</f>
        <v>-3.9493395070134829</v>
      </c>
      <c r="O133" s="254"/>
      <c r="P133" s="297">
        <f>H133/N133*100</f>
        <v>1.9857024306966915</v>
      </c>
      <c r="Q133" s="253"/>
      <c r="R133" s="168"/>
      <c r="S133" s="249">
        <f>+segqtrSales!S112+segqtrSales!S295+segqtrSales!S715+segqtrSales!S814</f>
        <v>1688.4459999999999</v>
      </c>
      <c r="T133" s="168"/>
      <c r="U133" s="257">
        <f>S133/L133</f>
        <v>0.47878803346093857</v>
      </c>
      <c r="V133" s="24"/>
      <c r="W133" s="132">
        <f>(U133/U126-1)*100</f>
        <v>14.44125142423054</v>
      </c>
      <c r="X133" s="143"/>
      <c r="Y133" s="24"/>
      <c r="Z133" s="958">
        <f>'store&amp;sf'!AQ479</f>
        <v>18.827499999999997</v>
      </c>
      <c r="AA133" s="150"/>
      <c r="AB133" s="372">
        <f>AVERAGE(Z133,Z132)</f>
        <v>18.796875</v>
      </c>
      <c r="AC133" s="24"/>
      <c r="AD133" s="244">
        <f>(AB133/AB126-1)*100</f>
        <v>-4.1036923665582536</v>
      </c>
      <c r="AE133" s="143"/>
      <c r="AF133" s="297">
        <f>+H133/AD133*100</f>
        <v>1.9110138768273148</v>
      </c>
      <c r="AG133" s="30"/>
      <c r="AH133" s="24"/>
      <c r="AI133" s="34">
        <f>+S133</f>
        <v>1688.4459999999999</v>
      </c>
      <c r="AJ133" s="24"/>
      <c r="AK133" s="154">
        <f>AI133/AB133</f>
        <v>89.825888611803819</v>
      </c>
      <c r="AL133" s="24"/>
      <c r="AM133" s="132">
        <f>(AK133/AK126-1)*100</f>
        <v>14.625453870009085</v>
      </c>
      <c r="AN133" s="143"/>
    </row>
    <row r="134" spans="1:40" hidden="1" outlineLevel="1">
      <c r="A134" s="24" t="str">
        <f>$A$50</f>
        <v>4Q</v>
      </c>
      <c r="B134" s="78" t="str">
        <f>$B$50</f>
        <v>Jan</v>
      </c>
      <c r="C134" s="24"/>
      <c r="D134" s="242">
        <f>(S134/S127-1)*100</f>
        <v>11.629054069979361</v>
      </c>
      <c r="E134" s="168"/>
      <c r="F134" s="433">
        <f>'qtrP&amp;L'!BX13</f>
        <v>8</v>
      </c>
      <c r="G134" s="168"/>
      <c r="H134" s="242">
        <f>D134-F134</f>
        <v>3.629054069979361</v>
      </c>
      <c r="I134" s="168"/>
      <c r="J134" s="361">
        <f>'store&amp;sf'!AQ116</f>
        <v>3766</v>
      </c>
      <c r="K134" s="150"/>
      <c r="L134" s="363">
        <f>AVERAGE(J134,J133)</f>
        <v>3650</v>
      </c>
      <c r="M134" s="168"/>
      <c r="N134" s="295">
        <f>(L134/L127-1)*100</f>
        <v>0.45410760974267106</v>
      </c>
      <c r="O134" s="254"/>
      <c r="P134" s="298">
        <f>H134/N134*100</f>
        <v>799.16169474363915</v>
      </c>
      <c r="Q134" s="253"/>
      <c r="R134" s="168"/>
      <c r="S134" s="250">
        <f>+segqtrSales!S113+segqtrSales!S296+segqtrSales!S716+segqtrSales!S815</f>
        <v>3267.9639999999999</v>
      </c>
      <c r="T134" s="168"/>
      <c r="U134" s="258">
        <f>S134/L134</f>
        <v>0.89533260273972604</v>
      </c>
      <c r="V134" s="24"/>
      <c r="W134" s="131">
        <f>(U134/U127-1)*100</f>
        <v>11.124429578978079</v>
      </c>
      <c r="X134" s="143"/>
      <c r="Y134" s="24"/>
      <c r="Z134" s="958">
        <f>'store&amp;sf'!AQ480</f>
        <v>19.647500000000001</v>
      </c>
      <c r="AA134" s="31"/>
      <c r="AB134" s="373">
        <f>AVERAGE(Z134,Z133)</f>
        <v>19.237499999999997</v>
      </c>
      <c r="AC134" s="24"/>
      <c r="AD134" s="295">
        <f>(AB134/AB127-1)*100</f>
        <v>-0.93018764685055544</v>
      </c>
      <c r="AE134" s="143"/>
      <c r="AF134" s="298">
        <f>+H134/AD134*100</f>
        <v>-390.14214844356098</v>
      </c>
      <c r="AG134" s="30"/>
      <c r="AH134" s="24"/>
      <c r="AI134" s="38">
        <f>+S134</f>
        <v>3267.9639999999999</v>
      </c>
      <c r="AJ134" s="24"/>
      <c r="AK134" s="169">
        <f>AI134/AB134</f>
        <v>169.87467186484733</v>
      </c>
      <c r="AL134" s="24"/>
      <c r="AM134" s="131">
        <f>(AK134/AK127-1)*100</f>
        <v>12.67716312216336</v>
      </c>
      <c r="AN134" s="143"/>
    </row>
    <row r="135" spans="1:40" hidden="1" outlineLevel="1">
      <c r="A135" s="24"/>
      <c r="B135" s="78" t="str">
        <f>$B$51</f>
        <v>Year</v>
      </c>
      <c r="C135" s="24"/>
      <c r="D135" s="241">
        <f>(S135/S128-1)*100</f>
        <v>8.7277038988716313</v>
      </c>
      <c r="E135" s="168"/>
      <c r="F135" s="432">
        <f>'qtrP&amp;L'!BX14</f>
        <v>7</v>
      </c>
      <c r="G135" s="168"/>
      <c r="H135" s="241">
        <f>D135-F135</f>
        <v>1.7277038988716313</v>
      </c>
      <c r="I135" s="168"/>
      <c r="J135" s="168"/>
      <c r="K135" s="168"/>
      <c r="L135" s="256">
        <f>AVERAGE(L131:L134)</f>
        <v>3572.5</v>
      </c>
      <c r="M135" s="168"/>
      <c r="N135" s="244">
        <f>(L135/L128-1)*100</f>
        <v>-2.9640444097375429</v>
      </c>
      <c r="O135" s="254"/>
      <c r="P135" s="297">
        <f>H135/N135*100</f>
        <v>-58.288731882550103</v>
      </c>
      <c r="Q135" s="253"/>
      <c r="R135" s="168"/>
      <c r="S135" s="240">
        <f>SUM(S131:S134)</f>
        <v>8497.6049999999996</v>
      </c>
      <c r="T135" s="168"/>
      <c r="U135" s="255">
        <f>SUM(U131:U134)</f>
        <v>2.3702138092055338</v>
      </c>
      <c r="V135" s="24"/>
      <c r="W135" s="132">
        <f>(U135/U128-1)*100</f>
        <v>11.381370682019853</v>
      </c>
      <c r="X135" s="143"/>
      <c r="Y135" s="24"/>
      <c r="Z135" s="958"/>
      <c r="AA135" s="24"/>
      <c r="AB135" s="372">
        <f>AVERAGE(AB131:AB134)</f>
        <v>18.998124999999998</v>
      </c>
      <c r="AC135" s="24"/>
      <c r="AD135" s="244">
        <f>(AB135/AB128-1)*100</f>
        <v>-2.9291776108321343</v>
      </c>
      <c r="AE135" s="143"/>
      <c r="AF135" s="297">
        <f>+H135/AD135*100</f>
        <v>-58.982558533923012</v>
      </c>
      <c r="AG135" s="30"/>
      <c r="AH135" s="24"/>
      <c r="AI135" s="33">
        <f>SUM(AI131:AI134)</f>
        <v>8497.6049999999996</v>
      </c>
      <c r="AJ135" s="24"/>
      <c r="AK135" s="153">
        <f>SUM(AK131:AK134)</f>
        <v>446.37713548284444</v>
      </c>
      <c r="AL135" s="24"/>
      <c r="AM135" s="132">
        <f>(AK135/AK128-1)*100</f>
        <v>11.622917194674542</v>
      </c>
      <c r="AN135" s="143"/>
    </row>
    <row r="136" spans="1:40" hidden="1" outlineLevel="1">
      <c r="A136" s="24"/>
      <c r="B136" s="78"/>
      <c r="C136" s="24"/>
      <c r="D136" s="241"/>
      <c r="E136" s="168"/>
      <c r="F136" s="432"/>
      <c r="G136" s="168"/>
      <c r="H136" s="241"/>
      <c r="I136" s="168"/>
      <c r="J136" s="168"/>
      <c r="K136" s="168"/>
      <c r="L136" s="256"/>
      <c r="M136" s="168"/>
      <c r="N136" s="244"/>
      <c r="O136" s="254"/>
      <c r="P136" s="297"/>
      <c r="Q136" s="253"/>
      <c r="R136" s="168"/>
      <c r="S136" s="240"/>
      <c r="T136" s="168"/>
      <c r="U136" s="255"/>
      <c r="V136" s="24"/>
      <c r="W136" s="132"/>
      <c r="X136" s="143"/>
      <c r="Y136" s="24"/>
      <c r="Z136" s="958"/>
      <c r="AA136" s="24"/>
      <c r="AB136" s="372"/>
      <c r="AC136" s="24"/>
      <c r="AD136" s="244"/>
      <c r="AE136" s="143"/>
      <c r="AF136" s="297"/>
      <c r="AG136" s="30"/>
      <c r="AH136" s="24"/>
      <c r="AI136" s="33"/>
      <c r="AJ136" s="24"/>
      <c r="AK136" s="153"/>
      <c r="AL136" s="24"/>
      <c r="AM136" s="132"/>
      <c r="AN136" s="143"/>
    </row>
    <row r="137" spans="1:40" hidden="1" outlineLevel="1">
      <c r="A137" s="73"/>
      <c r="B137" s="75" t="s">
        <v>144</v>
      </c>
      <c r="C137" s="24"/>
      <c r="D137" s="244"/>
      <c r="E137" s="296"/>
      <c r="F137" s="432"/>
      <c r="G137" s="296"/>
      <c r="H137" s="244"/>
      <c r="I137" s="254"/>
      <c r="J137" s="361"/>
      <c r="K137" s="168"/>
      <c r="L137" s="168"/>
      <c r="M137" s="168"/>
      <c r="N137" s="168"/>
      <c r="O137" s="254"/>
      <c r="P137" s="253"/>
      <c r="Q137" s="253"/>
      <c r="R137" s="168"/>
      <c r="S137" s="249"/>
      <c r="T137" s="168"/>
      <c r="U137" s="168"/>
      <c r="V137" s="24"/>
      <c r="W137" s="24"/>
      <c r="X137" s="143"/>
      <c r="Y137" s="24"/>
      <c r="Z137" s="292"/>
      <c r="AA137" s="24"/>
      <c r="AB137" s="371"/>
      <c r="AC137" s="24"/>
      <c r="AD137" s="168"/>
      <c r="AE137" s="143"/>
      <c r="AF137" s="297"/>
      <c r="AG137" s="30"/>
      <c r="AH137" s="24"/>
      <c r="AI137" s="24"/>
      <c r="AJ137" s="24"/>
      <c r="AK137" s="24"/>
      <c r="AL137" s="24"/>
      <c r="AM137" s="24"/>
      <c r="AN137" s="143"/>
    </row>
    <row r="138" spans="1:40" hidden="1" outlineLevel="1">
      <c r="A138" s="24" t="str">
        <f>$A$47</f>
        <v>1Q</v>
      </c>
      <c r="B138" s="78" t="str">
        <f>$B$47</f>
        <v>Apr</v>
      </c>
      <c r="C138" s="24"/>
      <c r="D138" s="244">
        <f>(S138/S131-1)*100</f>
        <v>10.56718301643398</v>
      </c>
      <c r="E138" s="296" t="s">
        <v>1084</v>
      </c>
      <c r="F138" s="432">
        <f>'qtrP&amp;L'!CB10</f>
        <v>4</v>
      </c>
      <c r="G138" s="296" t="s">
        <v>1084</v>
      </c>
      <c r="H138" s="244">
        <f>D138-F138</f>
        <v>6.5671830164339795</v>
      </c>
      <c r="I138" s="254" t="s">
        <v>1084</v>
      </c>
      <c r="J138" s="361">
        <f>'store&amp;sf'!AQ119</f>
        <v>3736</v>
      </c>
      <c r="K138" s="168"/>
      <c r="L138" s="362">
        <f>AVERAGE(J138,J134)</f>
        <v>3751</v>
      </c>
      <c r="M138" s="168"/>
      <c r="N138" s="244">
        <f>(L138/L131-1)*100</f>
        <v>4.9377535319625077</v>
      </c>
      <c r="O138" s="254" t="s">
        <v>1084</v>
      </c>
      <c r="P138" s="297">
        <f>H138/N138*100</f>
        <v>132.99940902120838</v>
      </c>
      <c r="Q138" s="253" t="s">
        <v>1084</v>
      </c>
      <c r="R138" s="168"/>
      <c r="S138" s="240">
        <f>segqtrSales!S117+segqtrSales!S300+segqtrSales!S385+'segSales&amp;OM'!AP122</f>
        <v>1783.6510000000003</v>
      </c>
      <c r="T138" s="168"/>
      <c r="U138" s="255">
        <f>S138/L138</f>
        <v>0.47551346307651299</v>
      </c>
      <c r="V138" s="24"/>
      <c r="W138" s="132">
        <f>(U138/U131-1)*100</f>
        <v>5.3645416401608248</v>
      </c>
      <c r="X138" s="143" t="s">
        <v>1084</v>
      </c>
      <c r="Y138" s="24"/>
      <c r="Z138" s="958">
        <f>'store&amp;sf'!AQ483</f>
        <v>19.241250000000001</v>
      </c>
      <c r="AA138" s="24"/>
      <c r="AB138" s="372">
        <f>AVERAGE(Z138,Z134)</f>
        <v>19.444375000000001</v>
      </c>
      <c r="AC138" s="24"/>
      <c r="AD138" s="244">
        <f>(AB138/AB131-1)*100</f>
        <v>1.9163991351634824</v>
      </c>
      <c r="AE138" s="143" t="s">
        <v>1084</v>
      </c>
      <c r="AF138" s="297">
        <f>+H138/AD138*100</f>
        <v>342.68346796523434</v>
      </c>
      <c r="AG138" s="30" t="s">
        <v>1084</v>
      </c>
      <c r="AH138" s="24"/>
      <c r="AI138" s="33">
        <f>+S138</f>
        <v>1783.6510000000003</v>
      </c>
      <c r="AJ138" s="24"/>
      <c r="AK138" s="153">
        <f>AI138/AB138</f>
        <v>91.730950467680259</v>
      </c>
      <c r="AL138" s="24"/>
      <c r="AM138" s="132">
        <f>(AK138/AK131-1)*100</f>
        <v>8.4881176676951497</v>
      </c>
      <c r="AN138" s="143" t="s">
        <v>1084</v>
      </c>
    </row>
    <row r="139" spans="1:40" hidden="1" outlineLevel="1">
      <c r="A139" s="24" t="str">
        <f>$A$48</f>
        <v>2Q</v>
      </c>
      <c r="B139" s="78" t="str">
        <f>$B$48</f>
        <v>Jul</v>
      </c>
      <c r="C139" s="24"/>
      <c r="D139" s="244">
        <f>(S139/S132-1)*100</f>
        <v>1.9812636020937635</v>
      </c>
      <c r="E139" s="244"/>
      <c r="F139" s="432">
        <f>'qtrP&amp;L'!CB11</f>
        <v>2</v>
      </c>
      <c r="G139" s="244"/>
      <c r="H139" s="244">
        <f>D139-F139</f>
        <v>-1.873639790623649E-2</v>
      </c>
      <c r="I139" s="168"/>
      <c r="J139" s="361">
        <f>'store&amp;sf'!AQ120</f>
        <v>2854</v>
      </c>
      <c r="K139" s="150"/>
      <c r="L139" s="362">
        <f>AVERAGE(J139,J138)</f>
        <v>3295</v>
      </c>
      <c r="M139" s="168"/>
      <c r="N139" s="244">
        <f>(L139/L132-1)*100</f>
        <v>-6.8946029951963865</v>
      </c>
      <c r="O139" s="254"/>
      <c r="P139" s="297">
        <f>H139/N139*100</f>
        <v>0.27175455815643812</v>
      </c>
      <c r="Q139" s="253"/>
      <c r="R139" s="168"/>
      <c r="S139" s="249">
        <f>segqtrSales!S118+segqtrSales!S301+segqtrSales!S386+'segSales&amp;OM'!AP123</f>
        <v>1966.211</v>
      </c>
      <c r="T139" s="168"/>
      <c r="U139" s="257">
        <f>S139/L139</f>
        <v>0.59672564491654023</v>
      </c>
      <c r="V139" s="24"/>
      <c r="W139" s="132">
        <f>(U139/U132-1)*100</f>
        <v>9.5331386609438074</v>
      </c>
      <c r="X139" s="143"/>
      <c r="Y139" s="24"/>
      <c r="Z139" s="958">
        <f>'store&amp;sf'!AQ484</f>
        <v>12.241249999999999</v>
      </c>
      <c r="AA139" s="150"/>
      <c r="AB139" s="372">
        <f>AVERAGE(Z139,Z138)</f>
        <v>15.741250000000001</v>
      </c>
      <c r="AC139" s="24"/>
      <c r="AD139" s="244">
        <f>(AB139/AB132-1)*100</f>
        <v>-16.621975038898263</v>
      </c>
      <c r="AE139" s="143"/>
      <c r="AF139" s="297">
        <f>+H139/AD139*100</f>
        <v>0.11272064759085558</v>
      </c>
      <c r="AG139" s="30"/>
      <c r="AH139" s="24"/>
      <c r="AI139" s="34">
        <f>+S139</f>
        <v>1966.211</v>
      </c>
      <c r="AJ139" s="24"/>
      <c r="AK139" s="154">
        <f>AI139/AB139</f>
        <v>124.90818708806479</v>
      </c>
      <c r="AL139" s="24"/>
      <c r="AM139" s="132">
        <f>(AK139/AK132-1)*100</f>
        <v>22.311920496642813</v>
      </c>
      <c r="AN139" s="143"/>
    </row>
    <row r="140" spans="1:40" hidden="1" outlineLevel="1">
      <c r="A140" s="24" t="str">
        <f>$A$49</f>
        <v>3Q</v>
      </c>
      <c r="B140" s="78" t="str">
        <f>$B$49</f>
        <v>Oct</v>
      </c>
      <c r="C140" s="24"/>
      <c r="D140" s="244">
        <f>(S140/S133-1)*100</f>
        <v>-24.062895704097144</v>
      </c>
      <c r="E140" s="244"/>
      <c r="F140" s="432">
        <f>'qtrP&amp;L'!CB12</f>
        <v>-3</v>
      </c>
      <c r="G140" s="244"/>
      <c r="H140" s="244">
        <f>D140-F140</f>
        <v>-21.062895704097144</v>
      </c>
      <c r="I140" s="168"/>
      <c r="J140" s="361">
        <f>'store&amp;sf'!AQ121</f>
        <v>2918</v>
      </c>
      <c r="K140" s="150"/>
      <c r="L140" s="362">
        <f>AVERAGE(J140,J139)</f>
        <v>2886</v>
      </c>
      <c r="M140" s="168"/>
      <c r="N140" s="244">
        <f>(L140/L133-1)*100</f>
        <v>-18.162484049340712</v>
      </c>
      <c r="O140" s="254"/>
      <c r="P140" s="297">
        <f>H140/N140*100</f>
        <v>115.96924543403367</v>
      </c>
      <c r="Q140" s="253"/>
      <c r="R140" s="168"/>
      <c r="S140" s="249">
        <f>segqtrSales!S119+segqtrSales!S302+segqtrSales!S387</f>
        <v>1282.1569999999999</v>
      </c>
      <c r="T140" s="168"/>
      <c r="U140" s="257">
        <f>S140/L140</f>
        <v>0.44426784476784476</v>
      </c>
      <c r="V140" s="24"/>
      <c r="W140" s="132">
        <f>(U140/U133-1)*100</f>
        <v>-7.209910499133243</v>
      </c>
      <c r="X140" s="143"/>
      <c r="Y140" s="24"/>
      <c r="Z140" s="958">
        <f>'store&amp;sf'!AQ485</f>
        <v>12.741250000000001</v>
      </c>
      <c r="AA140" s="150"/>
      <c r="AB140" s="372">
        <f>AVERAGE(Z140,Z139)</f>
        <v>12.491250000000001</v>
      </c>
      <c r="AC140" s="24"/>
      <c r="AD140" s="244">
        <f>(AB140/AB133-1)*100</f>
        <v>-33.54613466334164</v>
      </c>
      <c r="AE140" s="143"/>
      <c r="AF140" s="297">
        <f>+H140/AD140*100</f>
        <v>62.787846991844752</v>
      </c>
      <c r="AG140" s="30"/>
      <c r="AH140" s="24"/>
      <c r="AI140" s="34">
        <f>+S140</f>
        <v>1282.1569999999999</v>
      </c>
      <c r="AJ140" s="24"/>
      <c r="AK140" s="154">
        <f>AI140/AB140</f>
        <v>102.64441108776143</v>
      </c>
      <c r="AL140" s="24"/>
      <c r="AM140" s="132">
        <f>(AK140/AK133-1)*100</f>
        <v>14.270409871874246</v>
      </c>
      <c r="AN140" s="143"/>
    </row>
    <row r="141" spans="1:40" hidden="1" outlineLevel="1">
      <c r="A141" s="24" t="str">
        <f>$A$50</f>
        <v>4Q</v>
      </c>
      <c r="B141" s="78" t="str">
        <f>$B$50</f>
        <v>Jan</v>
      </c>
      <c r="C141" s="24"/>
      <c r="D141" s="242">
        <f>(S141/S134-1)*100</f>
        <v>-22.207619178179428</v>
      </c>
      <c r="E141" s="168"/>
      <c r="F141" s="433">
        <f>'qtrP&amp;L'!CB13</f>
        <v>-8</v>
      </c>
      <c r="G141" s="168"/>
      <c r="H141" s="242">
        <f>D141-F141</f>
        <v>-14.207619178179428</v>
      </c>
      <c r="I141" s="168"/>
      <c r="J141" s="361">
        <f>'store&amp;sf'!AQ122</f>
        <v>2926</v>
      </c>
      <c r="K141" s="150"/>
      <c r="L141" s="363">
        <f>AVERAGE(J141,J140)</f>
        <v>2922</v>
      </c>
      <c r="M141" s="168"/>
      <c r="N141" s="295">
        <f>(L141/L134-1)*100</f>
        <v>-19.945205479452056</v>
      </c>
      <c r="O141" s="254"/>
      <c r="P141" s="298">
        <f>H141/N141*100</f>
        <v>71.233255494993003</v>
      </c>
      <c r="Q141" s="253"/>
      <c r="R141" s="168"/>
      <c r="S141" s="250">
        <f>segqtrSales!S120+segqtrSales!S303+segqtrSales!S388</f>
        <v>2542.2270000000003</v>
      </c>
      <c r="T141" s="168"/>
      <c r="U141" s="258">
        <f>S141/L141</f>
        <v>0.8700297741273102</v>
      </c>
      <c r="V141" s="24"/>
      <c r="W141" s="131">
        <f>(U141/U134-1)*100</f>
        <v>-2.8260814511823829</v>
      </c>
      <c r="X141" s="143"/>
      <c r="Y141" s="24"/>
      <c r="Z141" s="958">
        <f>'store&amp;sf'!AQ486</f>
        <v>12.887499999999999</v>
      </c>
      <c r="AA141" s="31"/>
      <c r="AB141" s="373">
        <f>AVERAGE(Z141,Z140)</f>
        <v>12.814375</v>
      </c>
      <c r="AC141" s="24"/>
      <c r="AD141" s="295">
        <f>(AB141/AB134-1)*100</f>
        <v>-33.388564002599075</v>
      </c>
      <c r="AE141" s="143"/>
      <c r="AF141" s="298">
        <f>+H141/AD141*100</f>
        <v>42.552351688660409</v>
      </c>
      <c r="AG141" s="30"/>
      <c r="AH141" s="24"/>
      <c r="AI141" s="38">
        <f>+S141</f>
        <v>2542.2270000000003</v>
      </c>
      <c r="AJ141" s="24"/>
      <c r="AK141" s="169">
        <f>AI141/AB141</f>
        <v>198.38868458274402</v>
      </c>
      <c r="AL141" s="24"/>
      <c r="AM141" s="131">
        <f>(AK141/AK134-1)*100</f>
        <v>16.785323206147229</v>
      </c>
      <c r="AN141" s="143"/>
    </row>
    <row r="142" spans="1:40" hidden="1" outlineLevel="1">
      <c r="A142" s="24"/>
      <c r="B142" s="78" t="str">
        <f>$B$51</f>
        <v>Year</v>
      </c>
      <c r="C142" s="24"/>
      <c r="D142" s="241">
        <f>(S142/S135-1)*100</f>
        <v>-10.866108744758062</v>
      </c>
      <c r="E142" s="168"/>
      <c r="F142" s="432">
        <f>'qtrP&amp;L'!CB14</f>
        <v>-2</v>
      </c>
      <c r="G142" s="168"/>
      <c r="H142" s="241">
        <f>D142-F142</f>
        <v>-8.866108744758062</v>
      </c>
      <c r="I142" s="168"/>
      <c r="J142" s="168"/>
      <c r="K142" s="168"/>
      <c r="L142" s="256">
        <f>AVERAGE(L138:L141)</f>
        <v>3213.5</v>
      </c>
      <c r="M142" s="168"/>
      <c r="N142" s="244">
        <f>(L142/L135-1)*100</f>
        <v>-10.048985304408674</v>
      </c>
      <c r="O142" s="254"/>
      <c r="P142" s="297">
        <f>H142/N142*100</f>
        <v>88.228895517125878</v>
      </c>
      <c r="Q142" s="253"/>
      <c r="R142" s="168"/>
      <c r="S142" s="240">
        <f>SUM(S138:S141)</f>
        <v>7574.246000000001</v>
      </c>
      <c r="T142" s="168"/>
      <c r="U142" s="255">
        <f>SUM(U138:U141)</f>
        <v>2.3865367268882083</v>
      </c>
      <c r="V142" s="24"/>
      <c r="W142" s="132">
        <f>(U142/U135-1)*100</f>
        <v>0.68866857577485341</v>
      </c>
      <c r="X142" s="143"/>
      <c r="Y142" s="24"/>
      <c r="Z142" s="958"/>
      <c r="AA142" s="24"/>
      <c r="AB142" s="372">
        <f>AVERAGE(AB138:AB141)</f>
        <v>15.1228125</v>
      </c>
      <c r="AC142" s="24"/>
      <c r="AD142" s="244">
        <f>(AB142/AB135-1)*100</f>
        <v>-20.398394578412336</v>
      </c>
      <c r="AE142" s="143"/>
      <c r="AF142" s="297">
        <f>+H142/AD142*100</f>
        <v>43.464737926685089</v>
      </c>
      <c r="AG142" s="30"/>
      <c r="AH142" s="24"/>
      <c r="AI142" s="33">
        <f>SUM(AI138:AI141)</f>
        <v>7574.246000000001</v>
      </c>
      <c r="AJ142" s="24"/>
      <c r="AK142" s="153">
        <f>SUM(AK138:AK141)</f>
        <v>517.67223322625046</v>
      </c>
      <c r="AL142" s="24"/>
      <c r="AM142" s="132">
        <f>(AK142/AK135-1)*100</f>
        <v>15.971942126087256</v>
      </c>
      <c r="AN142" s="143"/>
    </row>
    <row r="143" spans="1:40" hidden="1" outlineLevel="1">
      <c r="A143" s="24"/>
      <c r="B143" s="78"/>
      <c r="C143" s="24"/>
      <c r="D143" s="241"/>
      <c r="E143" s="168"/>
      <c r="F143" s="432"/>
      <c r="G143" s="168"/>
      <c r="H143" s="241"/>
      <c r="I143" s="168"/>
      <c r="J143" s="168"/>
      <c r="K143" s="168"/>
      <c r="L143" s="256"/>
      <c r="M143" s="168"/>
      <c r="N143" s="244"/>
      <c r="O143" s="254"/>
      <c r="P143" s="297"/>
      <c r="Q143" s="253"/>
      <c r="R143" s="168"/>
      <c r="S143" s="240"/>
      <c r="T143" s="168"/>
      <c r="U143" s="255"/>
      <c r="V143" s="24"/>
      <c r="W143" s="132"/>
      <c r="X143" s="143"/>
      <c r="Y143" s="24"/>
      <c r="Z143" s="958"/>
      <c r="AA143" s="24"/>
      <c r="AB143" s="372"/>
      <c r="AC143" s="24"/>
      <c r="AD143" s="244"/>
      <c r="AE143" s="143"/>
      <c r="AF143" s="297"/>
      <c r="AG143" s="30"/>
      <c r="AH143" s="24"/>
      <c r="AI143" s="33"/>
      <c r="AJ143" s="24"/>
      <c r="AK143" s="153"/>
      <c r="AL143" s="24"/>
      <c r="AM143" s="132"/>
      <c r="AN143" s="143"/>
    </row>
    <row r="144" spans="1:40" hidden="1" outlineLevel="1">
      <c r="A144" s="73"/>
      <c r="B144" s="75" t="s">
        <v>143</v>
      </c>
      <c r="C144" s="24"/>
      <c r="D144" s="244"/>
      <c r="E144" s="296"/>
      <c r="F144" s="432"/>
      <c r="G144" s="296"/>
      <c r="H144" s="244"/>
      <c r="I144" s="254"/>
      <c r="J144" s="361"/>
      <c r="K144" s="168"/>
      <c r="L144" s="168"/>
      <c r="M144" s="168"/>
      <c r="N144" s="168"/>
      <c r="O144" s="254"/>
      <c r="P144" s="253"/>
      <c r="Q144" s="253"/>
      <c r="R144" s="168"/>
      <c r="S144" s="168"/>
      <c r="T144" s="168"/>
      <c r="U144" s="168"/>
      <c r="V144" s="24"/>
      <c r="W144" s="24"/>
      <c r="X144" s="143"/>
      <c r="Y144" s="24"/>
      <c r="Z144" s="292"/>
      <c r="AA144" s="24"/>
      <c r="AB144" s="371"/>
      <c r="AC144" s="24"/>
      <c r="AD144" s="168"/>
      <c r="AE144" s="143"/>
      <c r="AF144" s="297"/>
      <c r="AG144" s="30"/>
      <c r="AH144" s="24"/>
      <c r="AI144" s="24"/>
      <c r="AJ144" s="24"/>
      <c r="AK144" s="24"/>
      <c r="AL144" s="24"/>
      <c r="AM144" s="24"/>
      <c r="AN144" s="143"/>
    </row>
    <row r="145" spans="1:40" hidden="1" outlineLevel="1">
      <c r="A145" s="24" t="str">
        <f>$A$47</f>
        <v>1Q</v>
      </c>
      <c r="B145" s="78" t="str">
        <f>$B$47</f>
        <v>Apr</v>
      </c>
      <c r="C145" s="24"/>
      <c r="D145" s="244">
        <f>(S145/S138-1)*100</f>
        <v>-28.695692150538431</v>
      </c>
      <c r="E145" s="296" t="s">
        <v>1084</v>
      </c>
      <c r="F145" s="432">
        <f>'qtrP&amp;L'!CF10</f>
        <v>-8</v>
      </c>
      <c r="G145" s="296" t="s">
        <v>1084</v>
      </c>
      <c r="H145" s="244">
        <f>D145-F145</f>
        <v>-20.695692150538431</v>
      </c>
      <c r="I145" s="254" t="s">
        <v>1084</v>
      </c>
      <c r="J145" s="361">
        <f>'store&amp;sf'!AQ125</f>
        <v>2974</v>
      </c>
      <c r="K145" s="168"/>
      <c r="L145" s="362">
        <f>AVERAGE(J145,J141)</f>
        <v>2950</v>
      </c>
      <c r="M145" s="168"/>
      <c r="N145" s="244">
        <f>(L145/L138-1)*100</f>
        <v>-21.354305518528392</v>
      </c>
      <c r="O145" s="254" t="s">
        <v>1084</v>
      </c>
      <c r="P145" s="297">
        <f>H145/N145*100</f>
        <v>96.915781843532656</v>
      </c>
      <c r="Q145" s="253" t="s">
        <v>1084</v>
      </c>
      <c r="R145" s="168"/>
      <c r="S145" s="240">
        <f>segqtrSales!S124+segqtrSales!S307+segqtrSales!S392</f>
        <v>1271.82</v>
      </c>
      <c r="T145" s="168"/>
      <c r="U145" s="255">
        <f>S145/L145</f>
        <v>0.43112542372881352</v>
      </c>
      <c r="V145" s="24"/>
      <c r="W145" s="132">
        <f>(U145/U138-1)*100</f>
        <v>-9.3347597480236129</v>
      </c>
      <c r="X145" s="143" t="s">
        <v>1084</v>
      </c>
      <c r="Y145" s="24"/>
      <c r="Z145" s="958">
        <f>'store&amp;sf'!AQ489</f>
        <v>13.106250000000001</v>
      </c>
      <c r="AA145" s="24"/>
      <c r="AB145" s="372">
        <f>AVERAGE(Z145,Z141)</f>
        <v>12.996874999999999</v>
      </c>
      <c r="AC145" s="24"/>
      <c r="AD145" s="244">
        <f>(AB145/AB138-1)*100</f>
        <v>-33.158689852463766</v>
      </c>
      <c r="AE145" s="143" t="s">
        <v>1084</v>
      </c>
      <c r="AF145" s="297">
        <f>+H145/AD145*100</f>
        <v>62.414082832047399</v>
      </c>
      <c r="AG145" s="30" t="s">
        <v>1084</v>
      </c>
      <c r="AH145" s="24"/>
      <c r="AI145" s="33">
        <f>+S145</f>
        <v>1271.82</v>
      </c>
      <c r="AJ145" s="24"/>
      <c r="AK145" s="153">
        <f>AI145/AB145</f>
        <v>97.855830728540511</v>
      </c>
      <c r="AL145" s="24"/>
      <c r="AM145" s="132">
        <f>(AK145/AK138-1)*100</f>
        <v>6.6770051216445747</v>
      </c>
      <c r="AN145" s="143" t="s">
        <v>1084</v>
      </c>
    </row>
    <row r="146" spans="1:40" hidden="1" outlineLevel="1">
      <c r="A146" s="24" t="str">
        <f>$A$48</f>
        <v>2Q</v>
      </c>
      <c r="B146" s="78" t="str">
        <f>$B$48</f>
        <v>Jul</v>
      </c>
      <c r="C146" s="24"/>
      <c r="D146" s="244">
        <f>(S146/S139-1)*100</f>
        <v>-18.569827958443931</v>
      </c>
      <c r="E146" s="244"/>
      <c r="F146" s="432">
        <f>'qtrP&amp;L'!CF11</f>
        <v>-7</v>
      </c>
      <c r="G146" s="244"/>
      <c r="H146" s="244">
        <f>D146-F146</f>
        <v>-11.569827958443931</v>
      </c>
      <c r="I146" s="168"/>
      <c r="J146" s="361">
        <f>'store&amp;sf'!AQ126</f>
        <v>2992</v>
      </c>
      <c r="K146" s="150"/>
      <c r="L146" s="362">
        <f>AVERAGE(J146,J145)</f>
        <v>2983</v>
      </c>
      <c r="M146" s="168"/>
      <c r="N146" s="244">
        <f>(L146/L139-1)*100</f>
        <v>-9.4688922610015158</v>
      </c>
      <c r="O146" s="254"/>
      <c r="P146" s="297">
        <f>H146/N146*100</f>
        <v>122.18776642010498</v>
      </c>
      <c r="Q146" s="253"/>
      <c r="R146" s="168"/>
      <c r="S146" s="249">
        <f>segqtrSales!S125+segqtrSales!S308+segqtrSales!S393</f>
        <v>1601.0889999999999</v>
      </c>
      <c r="T146" s="168"/>
      <c r="U146" s="257">
        <f>S146/L146</f>
        <v>0.53673784780422396</v>
      </c>
      <c r="V146" s="24"/>
      <c r="W146" s="132">
        <f>(U146/U139-1)*100</f>
        <v>-10.052827061036796</v>
      </c>
      <c r="X146" s="143"/>
      <c r="Y146" s="24"/>
      <c r="Z146" s="958">
        <f>'store&amp;sf'!AQ490</f>
        <v>13.3475</v>
      </c>
      <c r="AA146" s="150"/>
      <c r="AB146" s="372">
        <f>AVERAGE(Z146,Z145)</f>
        <v>13.226875</v>
      </c>
      <c r="AC146" s="24"/>
      <c r="AD146" s="244">
        <f>(AB146/AB139-1)*100</f>
        <v>-15.973159691892324</v>
      </c>
      <c r="AE146" s="143"/>
      <c r="AF146" s="297">
        <f>+H146/AD146*100</f>
        <v>72.432932379162025</v>
      </c>
      <c r="AG146" s="30"/>
      <c r="AH146" s="24"/>
      <c r="AI146" s="34">
        <f>+S146</f>
        <v>1601.0889999999999</v>
      </c>
      <c r="AJ146" s="24"/>
      <c r="AK146" s="154">
        <f>AI146/AB146</f>
        <v>121.048168974153</v>
      </c>
      <c r="AL146" s="24"/>
      <c r="AM146" s="132">
        <f>(AK146/AK139-1)*100</f>
        <v>-3.0902843151428772</v>
      </c>
      <c r="AN146" s="143"/>
    </row>
    <row r="147" spans="1:40" hidden="1" outlineLevel="1">
      <c r="A147" s="24" t="str">
        <f>$A$49</f>
        <v>3Q</v>
      </c>
      <c r="B147" s="78" t="str">
        <f>$B$49</f>
        <v>Oct</v>
      </c>
      <c r="C147" s="24"/>
      <c r="D147" s="244">
        <f>(S147/S140-1)*100</f>
        <v>-1.2405657029521344</v>
      </c>
      <c r="E147" s="244"/>
      <c r="F147" s="432">
        <f>'qtrP&amp;L'!CF12</f>
        <v>-7</v>
      </c>
      <c r="G147" s="244"/>
      <c r="H147" s="244">
        <f>D147-F147</f>
        <v>5.759434297047866</v>
      </c>
      <c r="I147" s="168"/>
      <c r="J147" s="361">
        <f>'store&amp;sf'!AQ127</f>
        <v>3021</v>
      </c>
      <c r="K147" s="150"/>
      <c r="L147" s="362">
        <f>AVERAGE(J147,J146)</f>
        <v>3006.5</v>
      </c>
      <c r="M147" s="168"/>
      <c r="N147" s="244">
        <f>(L147/L140-1)*100</f>
        <v>4.1753291753291677</v>
      </c>
      <c r="O147" s="254"/>
      <c r="P147" s="297">
        <f>H147/N147*100</f>
        <v>137.93964631767776</v>
      </c>
      <c r="Q147" s="253"/>
      <c r="R147" s="168"/>
      <c r="S147" s="249">
        <f>segqtrSales!S126+segqtrSales!S309+segqtrSales!S394</f>
        <v>1266.251</v>
      </c>
      <c r="T147" s="168"/>
      <c r="U147" s="257">
        <f>S147/L147</f>
        <v>0.42117112922002325</v>
      </c>
      <c r="V147" s="24"/>
      <c r="W147" s="132">
        <f>(U147/U140-1)*100</f>
        <v>-5.1988267482853345</v>
      </c>
      <c r="X147" s="143"/>
      <c r="Y147" s="24"/>
      <c r="Z147" s="958">
        <f>'store&amp;sf'!AQ491</f>
        <v>13.5825</v>
      </c>
      <c r="AA147" s="150"/>
      <c r="AB147" s="372">
        <f>AVERAGE(Z147,Z146)</f>
        <v>13.465</v>
      </c>
      <c r="AC147" s="24"/>
      <c r="AD147" s="244">
        <f>(AB147/AB140-1)*100</f>
        <v>7.7954568197738272</v>
      </c>
      <c r="AE147" s="143"/>
      <c r="AF147" s="297">
        <f>+H147/AD147*100</f>
        <v>73.881934442104537</v>
      </c>
      <c r="AG147" s="30"/>
      <c r="AH147" s="24"/>
      <c r="AI147" s="34">
        <f>+S147</f>
        <v>1266.251</v>
      </c>
      <c r="AJ147" s="24"/>
      <c r="AK147" s="154">
        <f>AI147/AB147</f>
        <v>94.040178239881172</v>
      </c>
      <c r="AL147" s="24"/>
      <c r="AM147" s="132">
        <f>(AK147/AK140-1)*100</f>
        <v>-8.3825634115856538</v>
      </c>
      <c r="AN147" s="143"/>
    </row>
    <row r="148" spans="1:40" hidden="1" outlineLevel="1">
      <c r="A148" s="24" t="str">
        <f>$A$50</f>
        <v>4Q</v>
      </c>
      <c r="B148" s="78" t="str">
        <f>$B$50</f>
        <v>Jan</v>
      </c>
      <c r="C148" s="24"/>
      <c r="D148" s="242">
        <f>(S148/S141-1)*100</f>
        <v>-8.912500732625384</v>
      </c>
      <c r="E148" s="168"/>
      <c r="F148" s="433">
        <f>'qtrP&amp;L'!CF13</f>
        <v>-10</v>
      </c>
      <c r="G148" s="168"/>
      <c r="H148" s="242">
        <f>D148-F148</f>
        <v>1.087499267374616</v>
      </c>
      <c r="I148" s="168"/>
      <c r="J148" s="361">
        <f>'store&amp;sf'!AQ128</f>
        <v>3014</v>
      </c>
      <c r="K148" s="150"/>
      <c r="L148" s="363">
        <f>AVERAGE(J148,J147)</f>
        <v>3017.5</v>
      </c>
      <c r="M148" s="168"/>
      <c r="N148" s="295">
        <f>(L148/L141-1)*100</f>
        <v>3.268309377138956</v>
      </c>
      <c r="O148" s="254"/>
      <c r="P148" s="298">
        <f>H148/N148*100</f>
        <v>33.274061353598093</v>
      </c>
      <c r="Q148" s="253"/>
      <c r="R148" s="168"/>
      <c r="S148" s="250">
        <f>segqtrSales!S127+segqtrSales!S310+segqtrSales!S395</f>
        <v>2315.6509999999998</v>
      </c>
      <c r="T148" s="168"/>
      <c r="U148" s="258">
        <f>S148/L148</f>
        <v>0.76740712510356246</v>
      </c>
      <c r="V148" s="24"/>
      <c r="W148" s="131">
        <f>(U148/U141-1)*100</f>
        <v>-11.79530311208995</v>
      </c>
      <c r="X148" s="143"/>
      <c r="Y148" s="24"/>
      <c r="Z148" s="958">
        <f>'store&amp;sf'!AQ492</f>
        <v>13.6225</v>
      </c>
      <c r="AA148" s="31"/>
      <c r="AB148" s="373">
        <f>AVERAGE(Z148,Z147)</f>
        <v>13.602499999999999</v>
      </c>
      <c r="AC148" s="24"/>
      <c r="AD148" s="295">
        <f>(AB148/AB141-1)*100</f>
        <v>6.1503194654440652</v>
      </c>
      <c r="AE148" s="143"/>
      <c r="AF148" s="298">
        <f>+H148/AD148*100</f>
        <v>17.681996414735774</v>
      </c>
      <c r="AG148" s="30"/>
      <c r="AH148" s="24"/>
      <c r="AI148" s="38">
        <f>+S148</f>
        <v>2315.6509999999998</v>
      </c>
      <c r="AJ148" s="24"/>
      <c r="AK148" s="169">
        <f>AI148/AB148</f>
        <v>170.23716228634441</v>
      </c>
      <c r="AL148" s="24"/>
      <c r="AM148" s="131">
        <f>(AK148/AK141-1)*100</f>
        <v>-14.19008465911682</v>
      </c>
      <c r="AN148" s="143"/>
    </row>
    <row r="149" spans="1:40" hidden="1" outlineLevel="1">
      <c r="A149" s="24"/>
      <c r="B149" s="78" t="str">
        <f>$B$51</f>
        <v>Year</v>
      </c>
      <c r="C149" s="24"/>
      <c r="D149" s="241">
        <f>(S149/S142-1)*100</f>
        <v>-14.779490922264749</v>
      </c>
      <c r="E149" s="168"/>
      <c r="F149" s="432">
        <f>F145*S145/$S$149+F146*S146/$S$149+F147*S147/$S$149+F148*S148/$S$149</f>
        <v>-8.2732786444095723</v>
      </c>
      <c r="G149" s="168"/>
      <c r="H149" s="241">
        <f>D149-F149</f>
        <v>-6.5062122778551768</v>
      </c>
      <c r="I149" s="168"/>
      <c r="J149" s="168"/>
      <c r="K149" s="168"/>
      <c r="L149" s="256">
        <f>AVERAGE(L145:L148)</f>
        <v>2989.25</v>
      </c>
      <c r="M149" s="168"/>
      <c r="N149" s="244">
        <f>(L149/L142-1)*100</f>
        <v>-6.9783724910533635</v>
      </c>
      <c r="O149" s="254"/>
      <c r="P149" s="297">
        <f>H149/N149*100</f>
        <v>93.23394940864047</v>
      </c>
      <c r="Q149" s="253"/>
      <c r="R149" s="168"/>
      <c r="S149" s="240">
        <f>SUM(S145:S148)</f>
        <v>6454.8109999999997</v>
      </c>
      <c r="T149" s="168"/>
      <c r="U149" s="255">
        <f>SUM(U145:U148)</f>
        <v>2.1564415258566232</v>
      </c>
      <c r="V149" s="24"/>
      <c r="W149" s="132">
        <f>(U149/U142-1)*100</f>
        <v>-9.6413852943970753</v>
      </c>
      <c r="X149" s="143"/>
      <c r="Y149" s="24"/>
      <c r="Z149" s="956"/>
      <c r="AA149" s="24"/>
      <c r="AB149" s="372">
        <f>AVERAGE(AB145:AB148)</f>
        <v>13.3228125</v>
      </c>
      <c r="AC149" s="24"/>
      <c r="AD149" s="244">
        <f>(AB149/AB142-1)*100</f>
        <v>-11.902547889157521</v>
      </c>
      <c r="AE149" s="143"/>
      <c r="AF149" s="297">
        <f>+H149/AD149*100</f>
        <v>54.662349090667639</v>
      </c>
      <c r="AG149" s="30"/>
      <c r="AH149" s="24"/>
      <c r="AI149" s="33">
        <f>SUM(AI145:AI148)</f>
        <v>6454.8109999999997</v>
      </c>
      <c r="AJ149" s="24"/>
      <c r="AK149" s="153">
        <f>SUM(AK145:AK148)</f>
        <v>483.18134022891911</v>
      </c>
      <c r="AL149" s="24"/>
      <c r="AM149" s="132">
        <f>(AK149/AK142-1)*100</f>
        <v>-6.6626893975704089</v>
      </c>
      <c r="AN149" s="143"/>
    </row>
    <row r="150" spans="1:40" hidden="1" outlineLevel="1">
      <c r="A150" s="24"/>
      <c r="B150" s="78"/>
      <c r="C150" s="24"/>
      <c r="D150" s="168"/>
      <c r="E150" s="168"/>
      <c r="F150" s="168"/>
      <c r="G150" s="168"/>
      <c r="H150" s="24"/>
      <c r="I150" s="24"/>
      <c r="J150" s="91"/>
      <c r="K150" s="24"/>
      <c r="L150" s="24"/>
      <c r="M150" s="24"/>
      <c r="N150" s="24"/>
      <c r="O150" s="143"/>
      <c r="P150" s="24"/>
      <c r="Q150" s="24"/>
      <c r="R150" s="24"/>
      <c r="S150" s="24"/>
      <c r="T150" s="24"/>
      <c r="U150" s="24"/>
      <c r="V150" s="24"/>
      <c r="W150" s="24"/>
      <c r="X150" s="24"/>
      <c r="Y150" s="24"/>
      <c r="Z150" s="960"/>
      <c r="AA150" s="24"/>
      <c r="AB150" s="24"/>
      <c r="AC150" s="24"/>
      <c r="AD150" s="24"/>
      <c r="AE150" s="143"/>
      <c r="AF150" s="24"/>
      <c r="AG150" s="24"/>
      <c r="AH150" s="24"/>
      <c r="AI150" s="33"/>
      <c r="AJ150" s="24"/>
      <c r="AK150" s="24"/>
      <c r="AL150" s="24"/>
      <c r="AM150" s="24"/>
      <c r="AN150" s="24"/>
    </row>
    <row r="151" spans="1:40" hidden="1" outlineLevel="1">
      <c r="A151" s="73"/>
      <c r="B151" s="75" t="s">
        <v>991</v>
      </c>
      <c r="C151" s="24"/>
      <c r="D151" s="244"/>
      <c r="E151" s="296"/>
      <c r="F151" s="432"/>
      <c r="G151" s="296"/>
      <c r="H151" s="244"/>
      <c r="I151" s="254"/>
      <c r="J151" s="361"/>
      <c r="K151" s="168"/>
      <c r="L151" s="168"/>
      <c r="M151" s="168"/>
      <c r="N151" s="168"/>
      <c r="O151" s="254"/>
      <c r="P151" s="253"/>
      <c r="Q151" s="253"/>
      <c r="R151" s="168"/>
      <c r="S151" s="168"/>
      <c r="T151" s="168"/>
      <c r="U151" s="168"/>
      <c r="V151" s="24"/>
      <c r="W151" s="24"/>
      <c r="X151" s="143"/>
      <c r="Y151" s="24"/>
      <c r="Z151" s="292"/>
      <c r="AA151" s="24"/>
      <c r="AB151" s="371"/>
      <c r="AC151" s="24"/>
      <c r="AD151" s="168"/>
      <c r="AE151" s="143"/>
      <c r="AF151" s="297"/>
      <c r="AG151" s="30"/>
      <c r="AH151" s="24"/>
      <c r="AI151" s="24"/>
      <c r="AJ151" s="24"/>
      <c r="AK151" s="24"/>
      <c r="AL151" s="24"/>
      <c r="AM151" s="24"/>
      <c r="AN151" s="143"/>
    </row>
    <row r="152" spans="1:40" hidden="1" outlineLevel="1">
      <c r="A152" s="24" t="str">
        <f>$A$47</f>
        <v>1Q</v>
      </c>
      <c r="B152" s="78" t="str">
        <f>$B$47</f>
        <v>Apr</v>
      </c>
      <c r="C152" s="24"/>
      <c r="D152" s="244">
        <f>(S152/S145-1)*100</f>
        <v>-4.8395213159094785</v>
      </c>
      <c r="E152" s="296" t="s">
        <v>1084</v>
      </c>
      <c r="F152" s="432">
        <f>'qtrP&amp;L'!CJ10</f>
        <v>-7</v>
      </c>
      <c r="G152" s="296" t="s">
        <v>1084</v>
      </c>
      <c r="H152" s="244">
        <f>D152-F152</f>
        <v>2.1604786840905215</v>
      </c>
      <c r="I152" s="254" t="s">
        <v>1084</v>
      </c>
      <c r="J152" s="361">
        <f>'store&amp;sf'!AQ131</f>
        <v>3008</v>
      </c>
      <c r="K152" s="168"/>
      <c r="L152" s="362">
        <f>AVERAGE(J152,J148)</f>
        <v>3011</v>
      </c>
      <c r="M152" s="168"/>
      <c r="N152" s="244">
        <f>(L152/L145-1)*100</f>
        <v>2.0677966101694922</v>
      </c>
      <c r="O152" s="254" t="s">
        <v>1084</v>
      </c>
      <c r="P152" s="297">
        <f>H152/N152*100</f>
        <v>104.4821658699514</v>
      </c>
      <c r="Q152" s="253" t="s">
        <v>1084</v>
      </c>
      <c r="R152" s="168"/>
      <c r="S152" s="240">
        <f>segqtrSales!S131+segqtrSales!S314+segqtrSales!S399</f>
        <v>1210.27</v>
      </c>
      <c r="T152" s="168"/>
      <c r="U152" s="255">
        <f>S152/L152</f>
        <v>0.4019495184324145</v>
      </c>
      <c r="V152" s="24"/>
      <c r="W152" s="132">
        <f>(U152/U145-1)*100</f>
        <v>-6.7673822258163208</v>
      </c>
      <c r="X152" s="143" t="s">
        <v>1084</v>
      </c>
      <c r="Y152" s="24"/>
      <c r="Z152" s="958">
        <f>'store&amp;sf'!$AQ$495</f>
        <v>13.612499999999999</v>
      </c>
      <c r="AA152" s="24"/>
      <c r="AB152" s="372">
        <f>AVERAGE(Z152,Z148)</f>
        <v>13.6175</v>
      </c>
      <c r="AC152" s="24"/>
      <c r="AD152" s="244">
        <f>(AB152/AB145-1)*100</f>
        <v>4.7751863428708852</v>
      </c>
      <c r="AE152" s="143" t="s">
        <v>1084</v>
      </c>
      <c r="AF152" s="297">
        <f>+H152/AD152*100</f>
        <v>45.243861264513967</v>
      </c>
      <c r="AG152" s="30" t="s">
        <v>1084</v>
      </c>
      <c r="AH152" s="24"/>
      <c r="AI152" s="33">
        <f>+S152</f>
        <v>1210.27</v>
      </c>
      <c r="AJ152" s="24"/>
      <c r="AK152" s="153">
        <f>AI152/AB152</f>
        <v>88.876078575362584</v>
      </c>
      <c r="AL152" s="24"/>
      <c r="AM152" s="132">
        <f>(AK152/AK145-1)*100</f>
        <v>-9.1765121059453669</v>
      </c>
      <c r="AN152" s="143" t="s">
        <v>1084</v>
      </c>
    </row>
    <row r="153" spans="1:40" hidden="1" outlineLevel="1">
      <c r="A153" s="24" t="str">
        <f>$A$48</f>
        <v>2Q</v>
      </c>
      <c r="B153" s="78" t="str">
        <f>$B$48</f>
        <v>Jul</v>
      </c>
      <c r="C153" s="24"/>
      <c r="D153" s="244">
        <f>(S153/S146-1)*100</f>
        <v>-7.5414296144686421</v>
      </c>
      <c r="E153" s="244"/>
      <c r="F153" s="432">
        <f>'qtrP&amp;L'!CJ11</f>
        <v>-9</v>
      </c>
      <c r="G153" s="244"/>
      <c r="H153" s="244">
        <f>D153-F153</f>
        <v>1.4585703855313579</v>
      </c>
      <c r="I153" s="168"/>
      <c r="J153" s="361">
        <f>'store&amp;sf'!AQ132</f>
        <v>3009</v>
      </c>
      <c r="K153" s="150"/>
      <c r="L153" s="362">
        <f>AVERAGE(J153,J152)</f>
        <v>3008.5</v>
      </c>
      <c r="M153" s="168"/>
      <c r="N153" s="244">
        <f>(L153/L146-1)*100</f>
        <v>0.85484411666107984</v>
      </c>
      <c r="O153" s="254"/>
      <c r="P153" s="297">
        <f>H153/N153*100</f>
        <v>170.62413568784464</v>
      </c>
      <c r="Q153" s="253"/>
      <c r="R153" s="168"/>
      <c r="S153" s="249">
        <f>segqtrSales!S132+segqtrSales!S315+segqtrSales!S400</f>
        <v>1480.3440000000001</v>
      </c>
      <c r="T153" s="168"/>
      <c r="U153" s="257">
        <f>S153/L153</f>
        <v>0.49205384743227526</v>
      </c>
      <c r="V153" s="24"/>
      <c r="W153" s="132">
        <f>(U153/U146-1)*100</f>
        <v>-8.3251070433638006</v>
      </c>
      <c r="X153" s="143"/>
      <c r="Y153" s="24"/>
      <c r="Z153" s="958">
        <f>'store&amp;sf'!$AQ$496</f>
        <v>13.659999999999998</v>
      </c>
      <c r="AA153" s="150"/>
      <c r="AB153" s="372">
        <f>AVERAGE(Z153,Z152)</f>
        <v>13.636249999999999</v>
      </c>
      <c r="AC153" s="24"/>
      <c r="AD153" s="244">
        <f>(AB153/AB146-1)*100</f>
        <v>3.0950243349241457</v>
      </c>
      <c r="AE153" s="143"/>
      <c r="AF153" s="297">
        <f>+H153/AD153*100</f>
        <v>47.126297815267584</v>
      </c>
      <c r="AG153" s="30"/>
      <c r="AH153" s="24"/>
      <c r="AI153" s="34">
        <f>+S153</f>
        <v>1480.3440000000001</v>
      </c>
      <c r="AJ153" s="24"/>
      <c r="AK153" s="154">
        <f>AI153/AB153</f>
        <v>108.55946466220553</v>
      </c>
      <c r="AL153" s="24"/>
      <c r="AM153" s="132">
        <f>(AK153/AK146-1)*100</f>
        <v>-10.317136077138134</v>
      </c>
      <c r="AN153" s="143"/>
    </row>
    <row r="154" spans="1:40" hidden="1" outlineLevel="1">
      <c r="A154" s="24" t="str">
        <f>$A$49</f>
        <v>3Q</v>
      </c>
      <c r="B154" s="78" t="str">
        <f>$B$49</f>
        <v>Oct</v>
      </c>
      <c r="C154" s="24"/>
      <c r="D154" s="244">
        <f>(S154/S147-1)*100</f>
        <v>0.12501470877417376</v>
      </c>
      <c r="E154" s="244"/>
      <c r="F154" s="432">
        <f>'qtrP&amp;L'!CJ12</f>
        <v>-2</v>
      </c>
      <c r="G154" s="244"/>
      <c r="H154" s="244">
        <f>D154-F154</f>
        <v>2.1250147087741738</v>
      </c>
      <c r="I154" s="168"/>
      <c r="J154" s="361">
        <f>'store&amp;sf'!AQ133</f>
        <v>3025</v>
      </c>
      <c r="K154" s="150"/>
      <c r="L154" s="362">
        <f>AVERAGE(J154,J153)</f>
        <v>3017</v>
      </c>
      <c r="M154" s="168"/>
      <c r="N154" s="244">
        <f>(L154/L147-1)*100</f>
        <v>0.34924330616996624</v>
      </c>
      <c r="O154" s="254"/>
      <c r="P154" s="297">
        <f>H154/N154*100</f>
        <v>608.46254494566972</v>
      </c>
      <c r="Q154" s="253"/>
      <c r="R154" s="168"/>
      <c r="S154" s="249">
        <f>segqtrSales!S133+segqtrSales!S316+segqtrSales!S401</f>
        <v>1267.8340000000001</v>
      </c>
      <c r="T154" s="168"/>
      <c r="U154" s="257">
        <f>S154/L154</f>
        <v>0.42023002983095792</v>
      </c>
      <c r="V154" s="24"/>
      <c r="W154" s="132">
        <f>(U154/U147-1)*100</f>
        <v>-0.2234482194466092</v>
      </c>
      <c r="X154" s="143"/>
      <c r="Y154" s="24"/>
      <c r="Z154" s="958">
        <f>'store&amp;sf'!$AQ$497</f>
        <v>13.782499999999999</v>
      </c>
      <c r="AA154" s="150"/>
      <c r="AB154" s="372">
        <f>AVERAGE(Z154,Z153)</f>
        <v>13.721249999999998</v>
      </c>
      <c r="AC154" s="24"/>
      <c r="AD154" s="244">
        <f>(AB154/AB147-1)*100</f>
        <v>1.9030820646119384</v>
      </c>
      <c r="AE154" s="143"/>
      <c r="AF154" s="297">
        <f>+H154/AD154*100</f>
        <v>111.66174850202744</v>
      </c>
      <c r="AG154" s="30"/>
      <c r="AH154" s="24"/>
      <c r="AI154" s="34">
        <f>+S154</f>
        <v>1267.8340000000001</v>
      </c>
      <c r="AJ154" s="24"/>
      <c r="AK154" s="154">
        <f>AI154/AB154</f>
        <v>92.39930764325409</v>
      </c>
      <c r="AL154" s="24"/>
      <c r="AM154" s="132">
        <f>(AK154/AK147-1)*100</f>
        <v>-1.7448612150026799</v>
      </c>
      <c r="AN154" s="143"/>
    </row>
    <row r="155" spans="1:40" hidden="1" outlineLevel="1">
      <c r="A155" s="24" t="str">
        <f>$A$50</f>
        <v>4Q</v>
      </c>
      <c r="B155" s="78" t="str">
        <f>$B$50</f>
        <v>Jan</v>
      </c>
      <c r="C155" s="24"/>
      <c r="D155" s="242">
        <f>(S155/S148-1)*100</f>
        <v>1.1868800609418528</v>
      </c>
      <c r="E155" s="168"/>
      <c r="F155" s="433">
        <f>'qtrP&amp;L'!CJ13</f>
        <v>1</v>
      </c>
      <c r="G155" s="168"/>
      <c r="H155" s="242">
        <f>D155-F155</f>
        <v>0.18688006094185283</v>
      </c>
      <c r="I155" s="168"/>
      <c r="J155" s="361">
        <f>'store&amp;sf'!AQ134</f>
        <v>2971</v>
      </c>
      <c r="K155" s="150"/>
      <c r="L155" s="363">
        <f>AVERAGE(J155,J154)</f>
        <v>2998</v>
      </c>
      <c r="M155" s="168"/>
      <c r="N155" s="295">
        <f>(L155/L148-1)*100</f>
        <v>-0.64623032311516004</v>
      </c>
      <c r="O155" s="254"/>
      <c r="P155" s="298">
        <f>H155/N155*100</f>
        <v>-28.918491481643194</v>
      </c>
      <c r="Q155" s="253"/>
      <c r="R155" s="168"/>
      <c r="S155" s="250">
        <f>segqtrSales!S134+segqtrSales!S317+segqtrSales!S402</f>
        <v>2343.1350000000002</v>
      </c>
      <c r="T155" s="168"/>
      <c r="U155" s="258">
        <f>S155/L155</f>
        <v>0.78156604402935292</v>
      </c>
      <c r="V155" s="24"/>
      <c r="W155" s="131">
        <f>(U155/U148-1)*100</f>
        <v>1.845033550330899</v>
      </c>
      <c r="X155" s="143"/>
      <c r="Y155" s="24"/>
      <c r="Z155" s="958">
        <f>yrSales!AE30/0.8</f>
        <v>13.667499999999999</v>
      </c>
      <c r="AA155" s="31"/>
      <c r="AB155" s="373">
        <f>AVERAGE(Z155,Z154)</f>
        <v>13.724999999999998</v>
      </c>
      <c r="AC155" s="24"/>
      <c r="AD155" s="295">
        <f>(AB155/AB148-1)*100</f>
        <v>0.90056974820804658</v>
      </c>
      <c r="AE155" s="143"/>
      <c r="AF155" s="298">
        <f>+H155/AD155*100</f>
        <v>20.751314522135207</v>
      </c>
      <c r="AG155" s="30"/>
      <c r="AH155" s="24"/>
      <c r="AI155" s="38">
        <f>+S155</f>
        <v>2343.1350000000002</v>
      </c>
      <c r="AJ155" s="24"/>
      <c r="AK155" s="169">
        <f>AI155/AB155</f>
        <v>170.72021857923502</v>
      </c>
      <c r="AL155" s="24"/>
      <c r="AM155" s="131">
        <f>(AK155/AK148-1)*100</f>
        <v>0.28375490192797947</v>
      </c>
      <c r="AN155" s="143"/>
    </row>
    <row r="156" spans="1:40" hidden="1" outlineLevel="1">
      <c r="A156" s="24"/>
      <c r="B156" s="78" t="str">
        <f>$B$51</f>
        <v>Year</v>
      </c>
      <c r="C156" s="24"/>
      <c r="D156" s="241">
        <f>(S156/S149-1)*100</f>
        <v>-2.3738572670834124</v>
      </c>
      <c r="E156" s="168"/>
      <c r="F156" s="432">
        <f>F152*S152/$S$156+F153*S153/$S$156+F154*S154/$S$156+F155*S155/$S$156</f>
        <v>-3.4892056488028484</v>
      </c>
      <c r="G156" s="168"/>
      <c r="H156" s="241">
        <f>D156-F156</f>
        <v>1.1153483817194361</v>
      </c>
      <c r="I156" s="168"/>
      <c r="J156" s="168"/>
      <c r="K156" s="168"/>
      <c r="L156" s="256">
        <f>AVERAGE(L152:L155)</f>
        <v>3008.625</v>
      </c>
      <c r="M156" s="168"/>
      <c r="N156" s="244">
        <f>(L156/L149-1)*100</f>
        <v>0.64815589194613388</v>
      </c>
      <c r="O156" s="254"/>
      <c r="P156" s="297">
        <f>H156/N156*100</f>
        <v>172.08026580928296</v>
      </c>
      <c r="Q156" s="253"/>
      <c r="R156" s="168"/>
      <c r="S156" s="240">
        <f>SUM(S152:S155)</f>
        <v>6301.5830000000005</v>
      </c>
      <c r="T156" s="168"/>
      <c r="U156" s="255">
        <f>SUM(U152:U155)</f>
        <v>2.0957994397250004</v>
      </c>
      <c r="V156" s="24"/>
      <c r="W156" s="132">
        <f>(U156/U149-1)*100</f>
        <v>-2.8121368191299956</v>
      </c>
      <c r="X156" s="143"/>
      <c r="Y156" s="24"/>
      <c r="Z156" s="958"/>
      <c r="AA156" s="24"/>
      <c r="AB156" s="372">
        <f>AVERAGE(AB152:AB155)</f>
        <v>13.674999999999997</v>
      </c>
      <c r="AC156" s="24"/>
      <c r="AD156" s="244">
        <f>(AB156/AB149-1)*100</f>
        <v>2.6434921305092063</v>
      </c>
      <c r="AE156" s="143"/>
      <c r="AF156" s="297">
        <f>+H156/AD156*100</f>
        <v>42.192233857892766</v>
      </c>
      <c r="AG156" s="30"/>
      <c r="AH156" s="24"/>
      <c r="AI156" s="33">
        <f>SUM(AI152:AI155)</f>
        <v>6301.5830000000005</v>
      </c>
      <c r="AJ156" s="24"/>
      <c r="AK156" s="153">
        <f>SUM(AK152:AK155)</f>
        <v>460.55506946005721</v>
      </c>
      <c r="AL156" s="24"/>
      <c r="AM156" s="132">
        <f>(AK156/AK149-1)*100</f>
        <v>-4.6827699840689458</v>
      </c>
      <c r="AN156" s="143"/>
    </row>
    <row r="157" spans="1:40" hidden="1" outlineLevel="1">
      <c r="A157" s="24"/>
      <c r="B157" s="78"/>
      <c r="C157" s="24"/>
      <c r="D157" s="168"/>
      <c r="E157" s="168"/>
      <c r="F157" s="168"/>
      <c r="G157" s="168"/>
      <c r="H157" s="24"/>
      <c r="I157" s="24"/>
      <c r="J157" s="91"/>
      <c r="K157" s="24"/>
      <c r="L157" s="24"/>
      <c r="M157" s="24"/>
      <c r="N157" s="24"/>
      <c r="O157" s="143"/>
      <c r="P157" s="24"/>
      <c r="Q157" s="24"/>
      <c r="R157" s="24"/>
      <c r="S157" s="24"/>
      <c r="T157" s="24"/>
      <c r="U157" s="24"/>
      <c r="V157" s="24"/>
      <c r="W157" s="24"/>
      <c r="X157" s="24"/>
      <c r="Y157" s="24"/>
      <c r="Z157" s="960"/>
      <c r="AA157" s="24"/>
      <c r="AB157" s="24"/>
      <c r="AC157" s="24"/>
      <c r="AD157" s="24"/>
      <c r="AE157" s="143"/>
      <c r="AF157" s="24"/>
      <c r="AG157" s="24"/>
      <c r="AH157" s="24"/>
      <c r="AI157" s="33"/>
      <c r="AJ157" s="24"/>
      <c r="AK157" s="24"/>
      <c r="AL157" s="24"/>
      <c r="AM157" s="24"/>
      <c r="AN157" s="24"/>
    </row>
    <row r="158" spans="1:40" collapsed="1">
      <c r="A158" s="73"/>
      <c r="B158" s="75" t="s">
        <v>112</v>
      </c>
      <c r="C158" s="24"/>
      <c r="D158" s="244"/>
      <c r="E158" s="296"/>
      <c r="F158" s="432"/>
      <c r="G158" s="296"/>
      <c r="H158" s="244"/>
      <c r="I158" s="254"/>
      <c r="J158" s="361"/>
      <c r="K158" s="168"/>
      <c r="L158" s="168"/>
      <c r="M158" s="168"/>
      <c r="N158" s="168"/>
      <c r="O158" s="254"/>
      <c r="P158" s="253"/>
      <c r="Q158" s="253"/>
      <c r="R158" s="168"/>
      <c r="S158" s="168"/>
      <c r="T158" s="168"/>
      <c r="U158" s="168"/>
      <c r="V158" s="24"/>
      <c r="W158" s="24"/>
      <c r="X158" s="143"/>
      <c r="Y158" s="24"/>
      <c r="Z158" s="292"/>
      <c r="AA158" s="24"/>
      <c r="AB158" s="371"/>
      <c r="AC158" s="24"/>
      <c r="AD158" s="168"/>
      <c r="AE158" s="143"/>
      <c r="AF158" s="297"/>
      <c r="AG158" s="30"/>
      <c r="AH158" s="24"/>
      <c r="AI158" s="24"/>
      <c r="AJ158" s="24"/>
      <c r="AK158" s="24"/>
      <c r="AL158" s="24"/>
      <c r="AM158" s="24"/>
      <c r="AN158" s="143"/>
    </row>
    <row r="159" spans="1:40">
      <c r="A159" s="24" t="str">
        <f>$A$47</f>
        <v>1Q</v>
      </c>
      <c r="B159" s="78" t="str">
        <f>$B$47</f>
        <v>Apr</v>
      </c>
      <c r="C159" s="24"/>
      <c r="D159" s="244">
        <f>(S159/S152-1)*100</f>
        <v>11.033075264197256</v>
      </c>
      <c r="E159" s="296" t="s">
        <v>1084</v>
      </c>
      <c r="F159" s="432">
        <f>'qtrP&amp;L'!CN10</f>
        <v>10</v>
      </c>
      <c r="G159" s="296" t="s">
        <v>1084</v>
      </c>
      <c r="H159" s="244">
        <f>D159-F159</f>
        <v>1.0330752641972563</v>
      </c>
      <c r="I159" s="254" t="s">
        <v>1084</v>
      </c>
      <c r="J159" s="361">
        <f>'store&amp;sf'!AQ137</f>
        <v>2969</v>
      </c>
      <c r="K159" s="168"/>
      <c r="L159" s="362">
        <f>AVERAGE(J159,J155)</f>
        <v>2970</v>
      </c>
      <c r="M159" s="168"/>
      <c r="N159" s="244">
        <f>(L159/L152-1)*100</f>
        <v>-1.3616738625041536</v>
      </c>
      <c r="O159" s="254" t="s">
        <v>1084</v>
      </c>
      <c r="P159" s="297">
        <f>H159/N159*100</f>
        <v>-75.868039524339849</v>
      </c>
      <c r="Q159" s="253" t="s">
        <v>1084</v>
      </c>
      <c r="R159" s="168"/>
      <c r="S159" s="240">
        <f>segqtrSales!S138+segqtrSales!S321+segqtrSales!S406</f>
        <v>1343.8000000000002</v>
      </c>
      <c r="T159" s="168"/>
      <c r="U159" s="255">
        <f>S159/L159</f>
        <v>0.4524579124579125</v>
      </c>
      <c r="V159" s="24"/>
      <c r="W159" s="132">
        <f>(U159/U152-1)*100</f>
        <v>12.565855091076749</v>
      </c>
      <c r="X159" s="143" t="s">
        <v>1084</v>
      </c>
      <c r="Y159" s="24"/>
      <c r="Z159" s="958">
        <f>'store&amp;sf'!AQ501</f>
        <v>13.656249999999998</v>
      </c>
      <c r="AA159" s="24"/>
      <c r="AB159" s="372">
        <f>AVERAGE(Z159,Z155)</f>
        <v>13.661874999999998</v>
      </c>
      <c r="AC159" s="24"/>
      <c r="AD159" s="244">
        <f>(AB159/AB152-1)*100</f>
        <v>0.3258674499724501</v>
      </c>
      <c r="AE159" s="143" t="s">
        <v>1084</v>
      </c>
      <c r="AF159" s="297">
        <f>+H159/AD159*100</f>
        <v>317.02315290606526</v>
      </c>
      <c r="AG159" s="30" t="s">
        <v>1084</v>
      </c>
      <c r="AH159" s="24"/>
      <c r="AI159" s="33">
        <f>+S159</f>
        <v>1343.8000000000002</v>
      </c>
      <c r="AJ159" s="24"/>
      <c r="AK159" s="153">
        <f>AI159/AB159</f>
        <v>98.361315705201548</v>
      </c>
      <c r="AL159" s="24"/>
      <c r="AM159" s="132">
        <f>(AK159/AK152-1)*100</f>
        <v>10.672429839257536</v>
      </c>
      <c r="AN159" s="143" t="s">
        <v>1084</v>
      </c>
    </row>
    <row r="160" spans="1:40">
      <c r="A160" s="24" t="str">
        <f>$A$48</f>
        <v>2Q</v>
      </c>
      <c r="B160" s="78" t="str">
        <f>$B$48</f>
        <v>Jul</v>
      </c>
      <c r="C160" s="24"/>
      <c r="D160" s="244">
        <f>(S160/S153-1)*100</f>
        <v>7.648154753219516</v>
      </c>
      <c r="E160" s="244"/>
      <c r="F160" s="432">
        <f>'qtrP&amp;L'!CN11</f>
        <v>7</v>
      </c>
      <c r="G160" s="244"/>
      <c r="H160" s="244">
        <f>D160-F160</f>
        <v>0.64815475321951599</v>
      </c>
      <c r="I160" s="168"/>
      <c r="J160" s="361">
        <f>'store&amp;sf'!AQ138</f>
        <v>2969</v>
      </c>
      <c r="K160" s="150"/>
      <c r="L160" s="362">
        <f>AVERAGE(J160,J159)</f>
        <v>2969</v>
      </c>
      <c r="M160" s="168"/>
      <c r="N160" s="244">
        <f>(L160/L153-1)*100</f>
        <v>-1.3129466511550558</v>
      </c>
      <c r="O160" s="254"/>
      <c r="P160" s="297">
        <f>H160/N160*100</f>
        <v>-49.366419621795472</v>
      </c>
      <c r="Q160" s="253"/>
      <c r="R160" s="168"/>
      <c r="S160" s="249">
        <f>segqtrSales!S139+segqtrSales!S322+segqtrSales!S407</f>
        <v>1593.5629999999999</v>
      </c>
      <c r="T160" s="168"/>
      <c r="U160" s="257">
        <f>S160/L160</f>
        <v>0.53673391714381946</v>
      </c>
      <c r="V160" s="24"/>
      <c r="W160" s="132">
        <f>(U160/U153-1)*100</f>
        <v>9.0803211771845369</v>
      </c>
      <c r="X160" s="143"/>
      <c r="Y160" s="24"/>
      <c r="Z160" s="958">
        <f>'store&amp;sf'!AQ502</f>
        <v>13.683749999999998</v>
      </c>
      <c r="AA160" s="150"/>
      <c r="AB160" s="372">
        <f>AVERAGE(Z160,Z159)</f>
        <v>13.669999999999998</v>
      </c>
      <c r="AC160" s="24"/>
      <c r="AD160" s="244">
        <f>(AB160/AB153-1)*100</f>
        <v>0.24750206251717977</v>
      </c>
      <c r="AE160" s="143"/>
      <c r="AF160" s="297">
        <f>+H160/AD160*100</f>
        <v>261.87852603229351</v>
      </c>
      <c r="AG160" s="30"/>
      <c r="AH160" s="24"/>
      <c r="AI160" s="34">
        <f>+S160</f>
        <v>1593.5629999999999</v>
      </c>
      <c r="AJ160" s="24"/>
      <c r="AK160" s="154">
        <f>AI160/AB160</f>
        <v>116.57373811265546</v>
      </c>
      <c r="AL160" s="24"/>
      <c r="AM160" s="132">
        <f>(AK160/AK153-1)*100</f>
        <v>7.3823811451053212</v>
      </c>
      <c r="AN160" s="143"/>
    </row>
    <row r="161" spans="1:40">
      <c r="A161" s="24" t="str">
        <f>$A$49</f>
        <v>3Q</v>
      </c>
      <c r="B161" s="78" t="str">
        <f>$B$49</f>
        <v>Oct</v>
      </c>
      <c r="C161" s="24"/>
      <c r="D161" s="244">
        <f>(S161/S154-1)*100</f>
        <v>10.373045682636683</v>
      </c>
      <c r="E161" s="244"/>
      <c r="F161" s="432">
        <f>'qtrP&amp;L'!CN12</f>
        <v>10</v>
      </c>
      <c r="G161" s="244"/>
      <c r="H161" s="244">
        <f>D161-F161</f>
        <v>0.37304568263668259</v>
      </c>
      <c r="I161" s="168"/>
      <c r="J161" s="361">
        <f>'store&amp;sf'!AQ139</f>
        <v>2988</v>
      </c>
      <c r="K161" s="150"/>
      <c r="L161" s="362">
        <f>AVERAGE(J161,J160)</f>
        <v>2978.5</v>
      </c>
      <c r="M161" s="168"/>
      <c r="N161" s="244">
        <f>(L161/L154-1)*100</f>
        <v>-1.2761020881670526</v>
      </c>
      <c r="O161" s="254"/>
      <c r="P161" s="297">
        <f>H161/N161*100</f>
        <v>-29.23321622116551</v>
      </c>
      <c r="Q161" s="253"/>
      <c r="R161" s="168"/>
      <c r="S161" s="249">
        <f>segqtrSales!S140+segqtrSales!S323+segqtrSales!S408</f>
        <v>1399.347</v>
      </c>
      <c r="T161" s="168"/>
      <c r="U161" s="257">
        <f>S161/L161</f>
        <v>0.46981601477253648</v>
      </c>
      <c r="V161" s="24"/>
      <c r="W161" s="132">
        <f>(U161/U154-1)*100</f>
        <v>11.799724298980973</v>
      </c>
      <c r="X161" s="143"/>
      <c r="Y161" s="24"/>
      <c r="Z161" s="958">
        <f>'store&amp;sf'!AQ503</f>
        <v>13.796249999999999</v>
      </c>
      <c r="AA161" s="150"/>
      <c r="AB161" s="372">
        <f>AVERAGE(Z161,Z160)</f>
        <v>13.739999999999998</v>
      </c>
      <c r="AC161" s="24"/>
      <c r="AD161" s="244">
        <f>(AB161/AB154-1)*100</f>
        <v>0.1366493577480199</v>
      </c>
      <c r="AE161" s="143"/>
      <c r="AF161" s="297">
        <f>+H161/AD161*100</f>
        <v>272.99483055352169</v>
      </c>
      <c r="AG161" s="30"/>
      <c r="AH161" s="24"/>
      <c r="AI161" s="34">
        <f>+S161</f>
        <v>1399.347</v>
      </c>
      <c r="AJ161" s="24"/>
      <c r="AK161" s="154">
        <f>AI161/AB161</f>
        <v>101.84475982532751</v>
      </c>
      <c r="AL161" s="24"/>
      <c r="AM161" s="132">
        <f>(AK161/AK154-1)*100</f>
        <v>10.222427443440928</v>
      </c>
      <c r="AN161" s="143"/>
    </row>
    <row r="162" spans="1:40">
      <c r="A162" s="24" t="str">
        <f>$A$50</f>
        <v>4Q</v>
      </c>
      <c r="B162" s="78" t="str">
        <f>$B$50</f>
        <v>Jan</v>
      </c>
      <c r="C162" s="24"/>
      <c r="D162" s="242">
        <f>(S162/S155-1)*100</f>
        <v>10.754011185868496</v>
      </c>
      <c r="E162" s="168"/>
      <c r="F162" s="433">
        <f>'qtrP&amp;L'!CN13</f>
        <v>10</v>
      </c>
      <c r="G162" s="168"/>
      <c r="H162" s="242">
        <f>D162-F162</f>
        <v>0.75401118586849591</v>
      </c>
      <c r="I162" s="168"/>
      <c r="J162" s="361">
        <f>'store&amp;sf'!AQ140</f>
        <v>2968</v>
      </c>
      <c r="K162" s="150"/>
      <c r="L162" s="363">
        <f>AVERAGE(J162,J161)</f>
        <v>2978</v>
      </c>
      <c r="M162" s="168"/>
      <c r="N162" s="295">
        <f>(L162/L155-1)*100</f>
        <v>-0.66711140760506993</v>
      </c>
      <c r="O162" s="254"/>
      <c r="P162" s="298">
        <f>H162/N162*100</f>
        <v>-113.02627676168755</v>
      </c>
      <c r="Q162" s="253"/>
      <c r="R162" s="168"/>
      <c r="S162" s="250">
        <f>segqtrSales!S141+segqtrSales!S324+segqtrSales!S409</f>
        <v>2595.116</v>
      </c>
      <c r="T162" s="168"/>
      <c r="U162" s="258">
        <f>S162/L162</f>
        <v>0.87142914707857622</v>
      </c>
      <c r="V162" s="24"/>
      <c r="W162" s="131">
        <f>(U162/U155-1)*100</f>
        <v>11.497825901690328</v>
      </c>
      <c r="X162" s="143"/>
      <c r="Y162" s="24"/>
      <c r="Z162" s="958">
        <f>yrSales!$AF$30/0.8</f>
        <v>13.718749999999998</v>
      </c>
      <c r="AA162" s="31"/>
      <c r="AB162" s="373">
        <f>AVERAGE(Z162,Z161)</f>
        <v>13.757499999999999</v>
      </c>
      <c r="AC162" s="24"/>
      <c r="AD162" s="295">
        <f>(AB162/AB155-1)*100</f>
        <v>0.23679417122040025</v>
      </c>
      <c r="AE162" s="143"/>
      <c r="AF162" s="298">
        <f>+H162/AD162*100</f>
        <v>318.42472387831162</v>
      </c>
      <c r="AG162" s="30"/>
      <c r="AH162" s="24"/>
      <c r="AI162" s="38">
        <f>+S162</f>
        <v>2595.116</v>
      </c>
      <c r="AJ162" s="24"/>
      <c r="AK162" s="169">
        <f>AI162/AB162</f>
        <v>188.63281846265676</v>
      </c>
      <c r="AL162" s="24"/>
      <c r="AM162" s="131">
        <f>(AK162/AK155-1)*100</f>
        <v>10.49237169006323</v>
      </c>
      <c r="AN162" s="143"/>
    </row>
    <row r="163" spans="1:40">
      <c r="A163" s="24"/>
      <c r="B163" s="78" t="str">
        <f>$B$51</f>
        <v>Year</v>
      </c>
      <c r="C163" s="24"/>
      <c r="D163" s="241">
        <f>(S163/S156-1)*100</f>
        <v>10.001344106710963</v>
      </c>
      <c r="E163" s="168"/>
      <c r="F163" s="432">
        <f>F159*S159/$S$163+F160*S160/$S$163+F161*S161/$S$163+F162*S162/$S$163</f>
        <v>9.3103276106468922</v>
      </c>
      <c r="G163" s="168"/>
      <c r="H163" s="241">
        <f>D163-F163</f>
        <v>0.69101649606407101</v>
      </c>
      <c r="I163" s="168"/>
      <c r="J163" s="168"/>
      <c r="K163" s="168"/>
      <c r="L163" s="256">
        <f>AVERAGE(L159:L162)</f>
        <v>2973.875</v>
      </c>
      <c r="M163" s="168"/>
      <c r="N163" s="244">
        <f>(L163/L156-1)*100</f>
        <v>-1.1550126719016118</v>
      </c>
      <c r="O163" s="254"/>
      <c r="P163" s="297">
        <f>H163/N163*100</f>
        <v>-59.827611668223703</v>
      </c>
      <c r="Q163" s="253"/>
      <c r="R163" s="168"/>
      <c r="S163" s="240">
        <f>SUM(S159:S162)</f>
        <v>6931.826</v>
      </c>
      <c r="T163" s="168"/>
      <c r="U163" s="255">
        <f>SUM(U159:U162)</f>
        <v>2.3304369914528449</v>
      </c>
      <c r="V163" s="24"/>
      <c r="W163" s="132">
        <f>(U163/U156-1)*100</f>
        <v>11.195610957822977</v>
      </c>
      <c r="X163" s="143"/>
      <c r="Y163" s="24"/>
      <c r="Z163" s="958"/>
      <c r="AA163" s="24"/>
      <c r="AB163" s="372">
        <f>AVERAGE(AB159:AB162)</f>
        <v>13.707343749999998</v>
      </c>
      <c r="AC163" s="24"/>
      <c r="AD163" s="244">
        <f>(AB163/AB156-1)*100</f>
        <v>0.23651736745886609</v>
      </c>
      <c r="AE163" s="143"/>
      <c r="AF163" s="297">
        <f>+H163/AD163*100</f>
        <v>292.16310983346671</v>
      </c>
      <c r="AG163" s="30"/>
      <c r="AH163" s="24"/>
      <c r="AI163" s="33">
        <f>SUM(AI159:AI162)</f>
        <v>6931.826</v>
      </c>
      <c r="AJ163" s="24"/>
      <c r="AK163" s="153">
        <f>SUM(AK159:AK162)</f>
        <v>505.41263210584128</v>
      </c>
      <c r="AL163" s="24"/>
      <c r="AM163" s="132">
        <f>(AK163/AK156-1)*100</f>
        <v>9.7398911922463185</v>
      </c>
      <c r="AN163" s="143"/>
    </row>
    <row r="164" spans="1:40">
      <c r="A164" s="24"/>
      <c r="B164" s="78"/>
      <c r="C164" s="24"/>
      <c r="D164" s="168"/>
      <c r="E164" s="168"/>
      <c r="F164" s="168"/>
      <c r="G164" s="168"/>
      <c r="H164" s="24"/>
      <c r="I164" s="24"/>
      <c r="J164" s="91"/>
      <c r="K164" s="24"/>
      <c r="L164" s="24"/>
      <c r="M164" s="24"/>
      <c r="N164" s="24"/>
      <c r="O164" s="143"/>
      <c r="P164" s="24"/>
      <c r="Q164" s="24"/>
      <c r="R164" s="24"/>
      <c r="S164" s="24"/>
      <c r="T164" s="24"/>
      <c r="U164" s="24"/>
      <c r="V164" s="24"/>
      <c r="W164" s="24"/>
      <c r="X164" s="24"/>
      <c r="Y164" s="24"/>
      <c r="Z164" s="960"/>
      <c r="AA164" s="24"/>
      <c r="AB164" s="24"/>
      <c r="AC164" s="24"/>
      <c r="AD164" s="24"/>
      <c r="AE164" s="143"/>
      <c r="AF164" s="24"/>
      <c r="AG164" s="24"/>
      <c r="AH164" s="24"/>
      <c r="AI164" s="33"/>
      <c r="AJ164" s="24"/>
      <c r="AK164" s="24"/>
      <c r="AL164" s="24"/>
      <c r="AM164" s="24"/>
      <c r="AN164" s="24"/>
    </row>
    <row r="165" spans="1:40">
      <c r="A165" s="73"/>
      <c r="B165" s="75" t="s">
        <v>432</v>
      </c>
      <c r="C165" s="24"/>
      <c r="D165" s="244"/>
      <c r="E165" s="296"/>
      <c r="F165" s="432"/>
      <c r="G165" s="296"/>
      <c r="H165" s="244"/>
      <c r="I165" s="254"/>
      <c r="J165" s="361"/>
      <c r="K165" s="168"/>
      <c r="L165" s="168"/>
      <c r="M165" s="168"/>
      <c r="N165" s="168"/>
      <c r="O165" s="254"/>
      <c r="P165" s="253"/>
      <c r="Q165" s="253"/>
      <c r="R165" s="168"/>
      <c r="S165" s="168"/>
      <c r="T165" s="168"/>
      <c r="U165" s="168"/>
      <c r="V165" s="24"/>
      <c r="W165" s="24"/>
      <c r="X165" s="143"/>
      <c r="Y165" s="24"/>
      <c r="Z165" s="292"/>
      <c r="AA165" s="24"/>
      <c r="AB165" s="371"/>
      <c r="AC165" s="24"/>
      <c r="AD165" s="168"/>
      <c r="AE165" s="143"/>
      <c r="AF165" s="297"/>
      <c r="AG165" s="30"/>
      <c r="AH165" s="24"/>
      <c r="AI165" s="24"/>
      <c r="AJ165" s="24"/>
      <c r="AK165" s="24"/>
      <c r="AL165" s="24"/>
      <c r="AM165" s="24"/>
      <c r="AN165" s="143"/>
    </row>
    <row r="166" spans="1:40">
      <c r="A166" s="24" t="str">
        <f>$A$47</f>
        <v>1Q</v>
      </c>
      <c r="B166" s="78" t="str">
        <f>$B$47</f>
        <v>Apr</v>
      </c>
      <c r="C166" s="24"/>
      <c r="D166" s="244">
        <f>(S166/S159-1)*100</f>
        <v>15.687155826759923</v>
      </c>
      <c r="E166" s="296" t="s">
        <v>1084</v>
      </c>
      <c r="F166" s="432">
        <f>'qtrP&amp;L'!CR10</f>
        <v>15</v>
      </c>
      <c r="G166" s="296" t="s">
        <v>1084</v>
      </c>
      <c r="H166" s="244">
        <f>D166-F166</f>
        <v>0.68715582675992337</v>
      </c>
      <c r="I166" s="254" t="s">
        <v>1084</v>
      </c>
      <c r="J166" s="361">
        <f>'store&amp;sf'!AQ143</f>
        <v>2956</v>
      </c>
      <c r="K166" s="168"/>
      <c r="L166" s="362">
        <f>AVERAGE(J166,J162)</f>
        <v>2962</v>
      </c>
      <c r="M166" s="168"/>
      <c r="N166" s="244">
        <f>(L166/L159-1)*100</f>
        <v>-0.2693602693602748</v>
      </c>
      <c r="O166" s="254" t="s">
        <v>1084</v>
      </c>
      <c r="P166" s="297">
        <f>H166/N166*100</f>
        <v>-255.10660068461641</v>
      </c>
      <c r="Q166" s="253" t="s">
        <v>1084</v>
      </c>
      <c r="R166" s="168"/>
      <c r="S166" s="240">
        <f>segqtrSales!S145+segqtrSales!S328+segqtrSales!S413</f>
        <v>1554.604</v>
      </c>
      <c r="T166" s="168"/>
      <c r="U166" s="255">
        <f>S166/L166</f>
        <v>0.52484942606347063</v>
      </c>
      <c r="V166" s="24"/>
      <c r="W166" s="132">
        <f>(U166/U159-1)*100</f>
        <v>15.999612695974674</v>
      </c>
      <c r="X166" s="143" t="s">
        <v>1084</v>
      </c>
      <c r="Y166" s="24"/>
      <c r="Z166" s="958">
        <f>'store&amp;sf'!AQ507</f>
        <v>13.666249999999998</v>
      </c>
      <c r="AA166" s="24"/>
      <c r="AB166" s="372">
        <f>AVERAGE(Z166,Z162)</f>
        <v>13.692499999999999</v>
      </c>
      <c r="AC166" s="24"/>
      <c r="AD166" s="244">
        <f>(AB166/AB159-1)*100</f>
        <v>0.22416395992497229</v>
      </c>
      <c r="AE166" s="143" t="s">
        <v>1084</v>
      </c>
      <c r="AF166" s="297">
        <f>+H166/AD166*100</f>
        <v>306.54161667643388</v>
      </c>
      <c r="AG166" s="30" t="s">
        <v>1084</v>
      </c>
      <c r="AH166" s="24"/>
      <c r="AI166" s="33">
        <f>+S166</f>
        <v>1554.604</v>
      </c>
      <c r="AJ166" s="24"/>
      <c r="AK166" s="153">
        <f>AI166/AB166</f>
        <v>113.5368997626438</v>
      </c>
      <c r="AL166" s="24"/>
      <c r="AM166" s="132">
        <f>(AK166/AK159-1)*100</f>
        <v>15.428406938887385</v>
      </c>
      <c r="AN166" s="143" t="s">
        <v>1084</v>
      </c>
    </row>
    <row r="167" spans="1:40">
      <c r="A167" s="24" t="str">
        <f>$A$48</f>
        <v>2Q</v>
      </c>
      <c r="B167" s="78" t="str">
        <f>$B$48</f>
        <v>Jul</v>
      </c>
      <c r="C167" s="24"/>
      <c r="D167" s="244">
        <f>(S167/S160-1)*100</f>
        <v>9.2409901585315488</v>
      </c>
      <c r="E167" s="244"/>
      <c r="F167" s="432">
        <f>'qtrP&amp;L'!CR11</f>
        <v>9</v>
      </c>
      <c r="G167" s="244"/>
      <c r="H167" s="244">
        <f>D167-F167</f>
        <v>0.24099015853154881</v>
      </c>
      <c r="I167" s="168"/>
      <c r="J167" s="361">
        <f>'store&amp;sf'!AQ144</f>
        <v>2951</v>
      </c>
      <c r="K167" s="150"/>
      <c r="L167" s="362">
        <f>AVERAGE(J167,J166)</f>
        <v>2953.5</v>
      </c>
      <c r="M167" s="168"/>
      <c r="N167" s="244">
        <f>(L167/L160-1)*100</f>
        <v>-0.5220613001010399</v>
      </c>
      <c r="O167" s="254"/>
      <c r="P167" s="297">
        <f>H167/N167*100</f>
        <v>-46.161276172914469</v>
      </c>
      <c r="Q167" s="253"/>
      <c r="R167" s="168"/>
      <c r="S167" s="249">
        <f>segqtrSales!S146+segqtrSales!S329+segqtrSales!S414</f>
        <v>1740.8239999999998</v>
      </c>
      <c r="T167" s="168"/>
      <c r="U167" s="257">
        <f>S167/L167</f>
        <v>0.58941052987980358</v>
      </c>
      <c r="V167" s="24"/>
      <c r="W167" s="132">
        <f>(U167/U160-1)*100</f>
        <v>9.8142880584662695</v>
      </c>
      <c r="X167" s="143"/>
      <c r="Y167" s="24"/>
      <c r="Z167" s="958">
        <f>'store&amp;sf'!AQ508</f>
        <v>13.668749999999999</v>
      </c>
      <c r="AA167" s="150"/>
      <c r="AB167" s="372">
        <f>AVERAGE(Z167,Z166)</f>
        <v>13.667499999999999</v>
      </c>
      <c r="AC167" s="24"/>
      <c r="AD167" s="244">
        <f>(AB167/AB160-1)*100</f>
        <v>-1.8288222384776898E-2</v>
      </c>
      <c r="AE167" s="143"/>
      <c r="AF167" s="297">
        <f>+H167/AD167*100</f>
        <v>-1317.734186851035</v>
      </c>
      <c r="AG167" s="30"/>
      <c r="AH167" s="24"/>
      <c r="AI167" s="34">
        <f>+S167</f>
        <v>1740.8239999999998</v>
      </c>
      <c r="AJ167" s="24"/>
      <c r="AK167" s="154">
        <f>AI167/AB167</f>
        <v>127.36959941466984</v>
      </c>
      <c r="AL167" s="24"/>
      <c r="AM167" s="132">
        <f>(AK167/AK160-1)*100</f>
        <v>9.2609720480794522</v>
      </c>
      <c r="AN167" s="143"/>
    </row>
    <row r="168" spans="1:40">
      <c r="A168" s="24" t="str">
        <f>$A$49</f>
        <v>3Q</v>
      </c>
      <c r="B168" s="78" t="str">
        <f>$B$49</f>
        <v>Oct</v>
      </c>
      <c r="C168" s="24"/>
      <c r="D168" s="244">
        <f>(S168/S161-1)*100</f>
        <v>9.9237001258444266</v>
      </c>
      <c r="E168" s="244"/>
      <c r="F168" s="432">
        <f>'qtrP&amp;L'!CR12</f>
        <v>9</v>
      </c>
      <c r="G168" s="244"/>
      <c r="H168" s="244">
        <f>D168-F168</f>
        <v>0.92370012584442662</v>
      </c>
      <c r="I168" s="168"/>
      <c r="J168" s="361">
        <f>'store&amp;sf'!AQ145</f>
        <v>2959</v>
      </c>
      <c r="K168" s="150"/>
      <c r="L168" s="362">
        <f>AVERAGE(J168,J167)</f>
        <v>2955</v>
      </c>
      <c r="M168" s="168"/>
      <c r="N168" s="244">
        <f>(L168/L161-1)*100</f>
        <v>-0.78898774550948403</v>
      </c>
      <c r="O168" s="254"/>
      <c r="P168" s="297">
        <f>H168/N168*100</f>
        <v>-117.07407765223945</v>
      </c>
      <c r="Q168" s="253"/>
      <c r="R168" s="168"/>
      <c r="S168" s="249">
        <f>segqtrSales!S147+segqtrSales!S330+segqtrSales!S415</f>
        <v>1538.2140000000002</v>
      </c>
      <c r="T168" s="168"/>
      <c r="U168" s="257">
        <f>S168/L168</f>
        <v>0.52054619289340109</v>
      </c>
      <c r="V168" s="24"/>
      <c r="W168" s="132">
        <f>(U168/U161-1)*100</f>
        <v>10.797881835813072</v>
      </c>
      <c r="X168" s="143"/>
      <c r="Y168" s="24"/>
      <c r="Z168" s="958">
        <f>'store&amp;sf'!AQ509</f>
        <v>13.721250000000001</v>
      </c>
      <c r="AA168" s="150"/>
      <c r="AB168" s="372">
        <f>AVERAGE(Z168,Z167)</f>
        <v>13.695</v>
      </c>
      <c r="AC168" s="24"/>
      <c r="AD168" s="244">
        <f>(AB168/AB161-1)*100</f>
        <v>-0.32751091703054902</v>
      </c>
      <c r="AE168" s="143"/>
      <c r="AF168" s="297">
        <f>+H168/AD168*100</f>
        <v>-282.03643842451436</v>
      </c>
      <c r="AG168" s="30"/>
      <c r="AH168" s="24"/>
      <c r="AI168" s="34">
        <f>+S168</f>
        <v>1538.2140000000002</v>
      </c>
      <c r="AJ168" s="24"/>
      <c r="AK168" s="154">
        <f>AI168/AB168</f>
        <v>112.31938663745893</v>
      </c>
      <c r="AL168" s="24"/>
      <c r="AM168" s="132">
        <f>(AK168/AK161-1)*100</f>
        <v>10.284895197451792</v>
      </c>
      <c r="AN168" s="143"/>
    </row>
    <row r="169" spans="1:40">
      <c r="A169" s="24" t="str">
        <f>$A$50</f>
        <v>4Q</v>
      </c>
      <c r="B169" s="78" t="str">
        <f>$B$50</f>
        <v>Jan</v>
      </c>
      <c r="C169" s="24"/>
      <c r="D169" s="242">
        <f>(S169/S162-1)*100</f>
        <v>8.6463957680504642</v>
      </c>
      <c r="E169" s="168"/>
      <c r="F169" s="433">
        <f>'qtrP&amp;L'!CR13</f>
        <v>7.1</v>
      </c>
      <c r="G169" s="168"/>
      <c r="H169" s="242">
        <f>D169-F169</f>
        <v>1.5463957680504645</v>
      </c>
      <c r="I169" s="168"/>
      <c r="J169" s="361">
        <f>'store&amp;sf'!AQ146</f>
        <v>2941</v>
      </c>
      <c r="K169" s="150"/>
      <c r="L169" s="363">
        <f>AVERAGE(J169,J168)</f>
        <v>2950</v>
      </c>
      <c r="M169" s="168"/>
      <c r="N169" s="295">
        <f>(L169/L162-1)*100</f>
        <v>-0.94022834116856968</v>
      </c>
      <c r="O169" s="254"/>
      <c r="P169" s="298">
        <f>H169/N169*100</f>
        <v>-164.47023561622439</v>
      </c>
      <c r="Q169" s="253"/>
      <c r="R169" s="168"/>
      <c r="S169" s="250">
        <f>segqtrSales!S148+segqtrSales!S331+segqtrSales!S416</f>
        <v>2819.5000000000005</v>
      </c>
      <c r="T169" s="168"/>
      <c r="U169" s="258">
        <f>S169/L169</f>
        <v>0.95576271186440698</v>
      </c>
      <c r="V169" s="24"/>
      <c r="W169" s="131">
        <f>(U169/U162-1)*100</f>
        <v>9.6776157956794293</v>
      </c>
      <c r="X169" s="143"/>
      <c r="Y169" s="24"/>
      <c r="Z169" s="958">
        <f>yrSales!$AG$30/0.8</f>
        <v>13.6775</v>
      </c>
      <c r="AA169" s="31"/>
      <c r="AB169" s="373">
        <f>AVERAGE(Z169,Z168)</f>
        <v>13.699375</v>
      </c>
      <c r="AC169" s="24"/>
      <c r="AD169" s="295">
        <f>(AB169/AB162-1)*100</f>
        <v>-0.42249681991639587</v>
      </c>
      <c r="AE169" s="143"/>
      <c r="AF169" s="298">
        <f>+H169/AD169*100</f>
        <v>-366.01358759492365</v>
      </c>
      <c r="AG169" s="30"/>
      <c r="AH169" s="24"/>
      <c r="AI169" s="38">
        <f>+S169</f>
        <v>2819.5000000000005</v>
      </c>
      <c r="AJ169" s="24"/>
      <c r="AK169" s="169">
        <f>AI169/AB169</f>
        <v>205.81230895570056</v>
      </c>
      <c r="AL169" s="24"/>
      <c r="AM169" s="131">
        <f>(AK169/AK162-1)*100</f>
        <v>9.1073709405687495</v>
      </c>
      <c r="AN169" s="143"/>
    </row>
    <row r="170" spans="1:40">
      <c r="A170" s="24"/>
      <c r="B170" s="78" t="str">
        <f>$B$51</f>
        <v>Year</v>
      </c>
      <c r="C170" s="24"/>
      <c r="D170" s="241">
        <f>(S170/S163-1)*100</f>
        <v>10.405858427490822</v>
      </c>
      <c r="E170" s="168"/>
      <c r="F170" s="432">
        <f>F166*S166/$S$170+F167*S167/$S$170+F168*S168/$S$170+F169*S169/$S$170</f>
        <v>9.5188161934013529</v>
      </c>
      <c r="G170" s="168"/>
      <c r="H170" s="241">
        <f>D170-F170</f>
        <v>0.88704223408946881</v>
      </c>
      <c r="I170" s="168"/>
      <c r="J170" s="168"/>
      <c r="K170" s="168"/>
      <c r="L170" s="256">
        <f>AVERAGE(L166:L169)</f>
        <v>2955.125</v>
      </c>
      <c r="M170" s="168"/>
      <c r="N170" s="244">
        <f>(L170/L163-1)*100</f>
        <v>-0.63049052162582608</v>
      </c>
      <c r="O170" s="254"/>
      <c r="P170" s="297">
        <f>H170/N170*100</f>
        <v>-140.69081194148342</v>
      </c>
      <c r="Q170" s="253"/>
      <c r="R170" s="168"/>
      <c r="S170" s="240">
        <f>SUM(S166:S169)</f>
        <v>7653.1419999999998</v>
      </c>
      <c r="T170" s="168"/>
      <c r="U170" s="255">
        <f>SUM(U166:U169)</f>
        <v>2.5905688607010822</v>
      </c>
      <c r="V170" s="24"/>
      <c r="W170" s="132">
        <f>(U170/U163-1)*100</f>
        <v>11.162364406431147</v>
      </c>
      <c r="X170" s="143"/>
      <c r="Y170" s="24"/>
      <c r="Z170" s="958"/>
      <c r="AA170" s="24"/>
      <c r="AB170" s="372">
        <f>AVERAGE(AB166:AB169)</f>
        <v>13.688593749999999</v>
      </c>
      <c r="AC170" s="24"/>
      <c r="AD170" s="244">
        <f>(AB170/AB163-1)*100</f>
        <v>-0.13678799001446418</v>
      </c>
      <c r="AE170" s="143"/>
      <c r="AF170" s="297">
        <f>+H170/AD170*100</f>
        <v>-648.47961724978302</v>
      </c>
      <c r="AG170" s="30"/>
      <c r="AH170" s="24"/>
      <c r="AI170" s="33">
        <f>SUM(AI166:AI169)</f>
        <v>7653.1419999999998</v>
      </c>
      <c r="AJ170" s="24"/>
      <c r="AK170" s="153">
        <f>SUM(AK166:AK169)</f>
        <v>559.03819477047318</v>
      </c>
      <c r="AL170" s="24"/>
      <c r="AM170" s="132">
        <f>(AK170/AK163-1)*100</f>
        <v>10.610253732914599</v>
      </c>
      <c r="AN170" s="143"/>
    </row>
    <row r="171" spans="1:40">
      <c r="A171" s="24"/>
      <c r="B171" s="78"/>
      <c r="C171" s="24"/>
      <c r="D171" s="168"/>
      <c r="E171" s="168"/>
      <c r="F171" s="168"/>
      <c r="G171" s="168"/>
      <c r="H171" s="24"/>
      <c r="I171" s="24"/>
      <c r="J171" s="91"/>
      <c r="K171" s="24"/>
      <c r="L171" s="24"/>
      <c r="M171" s="24"/>
      <c r="N171" s="24"/>
      <c r="O171" s="143"/>
      <c r="P171" s="24"/>
      <c r="Q171" s="24"/>
      <c r="R171" s="24"/>
      <c r="S171" s="24"/>
      <c r="T171" s="24"/>
      <c r="U171" s="24"/>
      <c r="V171" s="24"/>
      <c r="W171" s="24"/>
      <c r="X171" s="24"/>
      <c r="Y171" s="24"/>
      <c r="Z171" s="960"/>
      <c r="AA171" s="24"/>
      <c r="AB171" s="24"/>
      <c r="AC171" s="24"/>
      <c r="AD171" s="24"/>
      <c r="AE171" s="143"/>
      <c r="AF171" s="24"/>
      <c r="AG171" s="24"/>
      <c r="AH171" s="24"/>
      <c r="AI171" s="33"/>
      <c r="AJ171" s="24"/>
      <c r="AK171" s="24"/>
      <c r="AL171" s="24"/>
      <c r="AM171" s="24"/>
      <c r="AN171" s="24"/>
    </row>
    <row r="172" spans="1:40">
      <c r="A172" s="73"/>
      <c r="B172" s="75" t="s">
        <v>201</v>
      </c>
      <c r="C172" s="24"/>
      <c r="D172" s="244"/>
      <c r="E172" s="296"/>
      <c r="F172" s="432"/>
      <c r="G172" s="296"/>
      <c r="H172" s="244"/>
      <c r="I172" s="254"/>
      <c r="J172" s="361"/>
      <c r="K172" s="168"/>
      <c r="L172" s="168"/>
      <c r="M172" s="168"/>
      <c r="N172" s="168"/>
      <c r="O172" s="254"/>
      <c r="P172" s="253"/>
      <c r="Q172" s="253"/>
      <c r="R172" s="168"/>
      <c r="S172" s="168"/>
      <c r="T172" s="168"/>
      <c r="U172" s="168"/>
      <c r="V172" s="24"/>
      <c r="W172" s="24"/>
      <c r="X172" s="143"/>
      <c r="Y172" s="24"/>
      <c r="Z172" s="292"/>
      <c r="AA172" s="24"/>
      <c r="AB172" s="371"/>
      <c r="AC172" s="24"/>
      <c r="AD172" s="168"/>
      <c r="AE172" s="143"/>
      <c r="AF172" s="297"/>
      <c r="AG172" s="30"/>
      <c r="AH172" s="24"/>
      <c r="AI172" s="24"/>
      <c r="AJ172" s="24"/>
      <c r="AK172" s="24"/>
      <c r="AL172" s="24"/>
      <c r="AM172" s="24"/>
      <c r="AN172" s="143"/>
    </row>
    <row r="173" spans="1:40">
      <c r="A173" s="24" t="str">
        <f>$A$47</f>
        <v>1Q</v>
      </c>
      <c r="B173" s="78" t="str">
        <f>$B$47</f>
        <v>Apr</v>
      </c>
      <c r="C173" s="24"/>
      <c r="D173" s="244">
        <f>(S173/S166-1)*100</f>
        <v>11.037730508862698</v>
      </c>
      <c r="E173" s="296" t="s">
        <v>1084</v>
      </c>
      <c r="F173" s="432">
        <f>+'qtrP&amp;L'!CV10</f>
        <v>7</v>
      </c>
      <c r="G173" s="296" t="s">
        <v>1084</v>
      </c>
      <c r="H173" s="244">
        <f>D173-F173</f>
        <v>4.0377305088626976</v>
      </c>
      <c r="I173" s="254" t="s">
        <v>1084</v>
      </c>
      <c r="J173" s="361">
        <f>'store&amp;sf'!AQ149</f>
        <v>2899</v>
      </c>
      <c r="K173" s="168"/>
      <c r="L173" s="362">
        <f>AVERAGE(J173,J169)</f>
        <v>2920</v>
      </c>
      <c r="M173" s="168"/>
      <c r="N173" s="244">
        <f>(L173/L166-1)*100</f>
        <v>-1.4179608372721142</v>
      </c>
      <c r="O173" s="254" t="s">
        <v>1084</v>
      </c>
      <c r="P173" s="297">
        <f>H173/N173*100</f>
        <v>-284.75613731550726</v>
      </c>
      <c r="Q173" s="253" t="s">
        <v>1084</v>
      </c>
      <c r="R173" s="168"/>
      <c r="S173" s="240">
        <f>segqtrSales!S152+segqtrSales!S335+segqtrSales!S420</f>
        <v>1726.1969999999999</v>
      </c>
      <c r="T173" s="168"/>
      <c r="U173" s="255">
        <f>S173/L173</f>
        <v>0.59116335616438354</v>
      </c>
      <c r="V173" s="24"/>
      <c r="W173" s="132">
        <f>(U173/U166-1)*100</f>
        <v>12.634848550428535</v>
      </c>
      <c r="X173" s="143" t="s">
        <v>1084</v>
      </c>
      <c r="Y173" s="24"/>
      <c r="Z173" s="958">
        <f>'store&amp;sf'!AQ508</f>
        <v>13.668749999999999</v>
      </c>
      <c r="AA173" s="24"/>
      <c r="AB173" s="372">
        <f>AVERAGE(Z173,Z169)</f>
        <v>13.673124999999999</v>
      </c>
      <c r="AC173" s="24"/>
      <c r="AD173" s="244">
        <f>(AB173/AB166-1)*100</f>
        <v>-0.14150082161767941</v>
      </c>
      <c r="AE173" s="143" t="s">
        <v>1084</v>
      </c>
      <c r="AF173" s="297">
        <f>+H173/AD173*100</f>
        <v>-2853.5032254245339</v>
      </c>
      <c r="AG173" s="30" t="s">
        <v>1084</v>
      </c>
      <c r="AH173" s="24"/>
      <c r="AI173" s="33">
        <f>+S173</f>
        <v>1726.1969999999999</v>
      </c>
      <c r="AJ173" s="24"/>
      <c r="AK173" s="153">
        <f>AI173/AB173</f>
        <v>126.24743794853042</v>
      </c>
      <c r="AL173" s="24"/>
      <c r="AM173" s="132">
        <f>(AK173/AK166-1)*100</f>
        <v>11.195072449977772</v>
      </c>
      <c r="AN173" s="143" t="s">
        <v>1084</v>
      </c>
    </row>
    <row r="174" spans="1:40">
      <c r="A174" s="24" t="str">
        <f>$A$48</f>
        <v>2Q</v>
      </c>
      <c r="B174" s="78" t="str">
        <f>$B$48</f>
        <v>Jul</v>
      </c>
      <c r="C174" s="24"/>
      <c r="D174" s="244">
        <f>(S174/S167-1)*100</f>
        <v>11.644715376166692</v>
      </c>
      <c r="E174" s="244"/>
      <c r="F174" s="432">
        <f>+'qtrP&amp;L'!CV11</f>
        <v>8</v>
      </c>
      <c r="G174" s="244"/>
      <c r="H174" s="244">
        <f>D174-F174</f>
        <v>3.6447153761666922</v>
      </c>
      <c r="I174" s="168"/>
      <c r="J174" s="361">
        <f>'store&amp;sf'!AQ150</f>
        <v>2893</v>
      </c>
      <c r="K174" s="150"/>
      <c r="L174" s="362">
        <f>AVERAGE(J174,J173)</f>
        <v>2896</v>
      </c>
      <c r="M174" s="168"/>
      <c r="N174" s="244">
        <f>(L174/L167-1)*100</f>
        <v>-1.9468427289656365</v>
      </c>
      <c r="O174" s="254"/>
      <c r="P174" s="297">
        <f>H174/N174*100</f>
        <v>-187.21159762623151</v>
      </c>
      <c r="Q174" s="253"/>
      <c r="R174" s="168"/>
      <c r="S174" s="249">
        <f>segqtrSales!S153+segqtrSales!S336+segqtrSales!S421</f>
        <v>1943.538</v>
      </c>
      <c r="T174" s="168"/>
      <c r="U174" s="257">
        <f>S174/L174</f>
        <v>0.67111118784530388</v>
      </c>
      <c r="V174" s="24"/>
      <c r="W174" s="132">
        <f>(U174/U167-1)*100</f>
        <v>13.861418115852331</v>
      </c>
      <c r="X174" s="143"/>
      <c r="Y174" s="24"/>
      <c r="Z174" s="958">
        <f>'store&amp;sf'!AQ509</f>
        <v>13.721250000000001</v>
      </c>
      <c r="AA174" s="150"/>
      <c r="AB174" s="372">
        <f>AVERAGE(Z174,Z173)</f>
        <v>13.695</v>
      </c>
      <c r="AC174" s="24"/>
      <c r="AD174" s="244">
        <f>(AB174/AB167-1)*100</f>
        <v>0.20120724346077701</v>
      </c>
      <c r="AE174" s="143"/>
      <c r="AF174" s="297">
        <f>+H174/AD174*100</f>
        <v>1811.4235419547342</v>
      </c>
      <c r="AG174" s="30"/>
      <c r="AH174" s="24"/>
      <c r="AI174" s="34">
        <f>+S174</f>
        <v>1943.538</v>
      </c>
      <c r="AJ174" s="24"/>
      <c r="AK174" s="154">
        <f>AI174/AB174</f>
        <v>141.91588170865279</v>
      </c>
      <c r="AL174" s="24"/>
      <c r="AM174" s="132">
        <f>(AK174/AK167-1)*100</f>
        <v>11.420529200712547</v>
      </c>
      <c r="AN174" s="143"/>
    </row>
    <row r="175" spans="1:40">
      <c r="A175" s="24" t="str">
        <f>$A$49</f>
        <v>3Q</v>
      </c>
      <c r="B175" s="78" t="str">
        <f>$B$49</f>
        <v>Oct</v>
      </c>
      <c r="C175" s="24"/>
      <c r="D175" s="244">
        <f>(S175/S168-1)*100</f>
        <v>10.71651928795343</v>
      </c>
      <c r="E175" s="244"/>
      <c r="F175" s="432">
        <f>+'qtrP&amp;L'!CV12</f>
        <v>5</v>
      </c>
      <c r="G175" s="244"/>
      <c r="H175" s="244">
        <f>D175-F175</f>
        <v>5.7165192879534299</v>
      </c>
      <c r="I175" s="168"/>
      <c r="J175" s="361">
        <f>'store&amp;sf'!AQ151</f>
        <v>2889</v>
      </c>
      <c r="K175" s="150"/>
      <c r="L175" s="362">
        <f>AVERAGE(J175,J174)</f>
        <v>2891</v>
      </c>
      <c r="M175" s="168"/>
      <c r="N175" s="244">
        <f>(L175/L168-1)*100</f>
        <v>-2.1658206429780003</v>
      </c>
      <c r="O175" s="254"/>
      <c r="P175" s="297">
        <f>H175/N175*100</f>
        <v>-263.94241399847516</v>
      </c>
      <c r="Q175" s="253"/>
      <c r="R175" s="168"/>
      <c r="S175" s="249">
        <f>segqtrSales!S154+segqtrSales!S337+segqtrSales!S422</f>
        <v>1703.0570000000002</v>
      </c>
      <c r="T175" s="168"/>
      <c r="U175" s="257">
        <f>S175/L175</f>
        <v>0.58908924247665173</v>
      </c>
      <c r="V175" s="24"/>
      <c r="W175" s="132">
        <f>(U175/U168-1)*100</f>
        <v>13.167524903459826</v>
      </c>
      <c r="X175" s="143"/>
      <c r="Y175" s="24"/>
      <c r="Z175" s="958">
        <f>'store&amp;sf'!AQ510</f>
        <v>13.678749999999999</v>
      </c>
      <c r="AA175" s="150"/>
      <c r="AB175" s="372">
        <f>AVERAGE(Z175,Z174)</f>
        <v>13.7</v>
      </c>
      <c r="AC175" s="24"/>
      <c r="AD175" s="244">
        <f>(AB175/AB168-1)*100</f>
        <v>3.6509675063878255E-2</v>
      </c>
      <c r="AE175" s="143"/>
      <c r="AF175" s="297">
        <f>+H175/AD175*100</f>
        <v>15657.546329710309</v>
      </c>
      <c r="AG175" s="30"/>
      <c r="AH175" s="24"/>
      <c r="AI175" s="34">
        <f>+S175</f>
        <v>1703.0570000000002</v>
      </c>
      <c r="AJ175" s="24"/>
      <c r="AK175" s="154">
        <f>AI175/AB175</f>
        <v>124.31072992700733</v>
      </c>
      <c r="AL175" s="24"/>
      <c r="AM175" s="132">
        <f>(AK175/AK168-1)*100</f>
        <v>10.676111799162236</v>
      </c>
      <c r="AN175" s="143"/>
    </row>
    <row r="176" spans="1:40">
      <c r="A176" s="24" t="str">
        <f>$A$50</f>
        <v>4Q</v>
      </c>
      <c r="B176" s="78" t="str">
        <f>$B$50</f>
        <v>Jan</v>
      </c>
      <c r="C176" s="24"/>
      <c r="D176" s="242">
        <f>(S176/S169-1)*100</f>
        <v>13.643305550629536</v>
      </c>
      <c r="E176" s="168"/>
      <c r="F176" s="433">
        <f>+'qtrP&amp;L'!CV13</f>
        <v>5</v>
      </c>
      <c r="G176" s="168"/>
      <c r="H176" s="242">
        <f>D176-F176</f>
        <v>8.6433055506295364</v>
      </c>
      <c r="I176" s="168"/>
      <c r="J176" s="361">
        <f>'store&amp;sf'!AQ152</f>
        <v>2878</v>
      </c>
      <c r="K176" s="150"/>
      <c r="L176" s="363">
        <f>AVERAGE(J176,J175)</f>
        <v>2883.5</v>
      </c>
      <c r="M176" s="168"/>
      <c r="N176" s="295">
        <f>(L176/L169-1)*100</f>
        <v>-2.2542372881355965</v>
      </c>
      <c r="O176" s="254"/>
      <c r="P176" s="298">
        <f>H176/N176*100</f>
        <v>-383.42483269709919</v>
      </c>
      <c r="Q176" s="253"/>
      <c r="R176" s="168"/>
      <c r="S176" s="250">
        <f>segqtrSales!S155+segqtrSales!S338+segqtrSales!S423</f>
        <v>3204.1730000000002</v>
      </c>
      <c r="T176" s="168"/>
      <c r="U176" s="258">
        <f>S176/L176</f>
        <v>1.1112096410612105</v>
      </c>
      <c r="V176" s="24"/>
      <c r="W176" s="131">
        <f>(U176/U169-1)*100</f>
        <v>16.264175957814153</v>
      </c>
      <c r="X176" s="143"/>
      <c r="Y176" s="24"/>
      <c r="Z176" s="958">
        <f>'store&amp;sf'!AQ516</f>
        <v>13.561249999999999</v>
      </c>
      <c r="AA176" s="31"/>
      <c r="AB176" s="373">
        <f>AVERAGE(Z176,Z175)</f>
        <v>13.62</v>
      </c>
      <c r="AC176" s="24"/>
      <c r="AD176" s="295">
        <f>(AB176/AB169-1)*100</f>
        <v>-0.57940599479904265</v>
      </c>
      <c r="AE176" s="143"/>
      <c r="AF176" s="298">
        <f>+H176/AD176*100</f>
        <v>-1491.7528690098077</v>
      </c>
      <c r="AG176" s="30"/>
      <c r="AH176" s="24"/>
      <c r="AI176" s="38">
        <f>+S176</f>
        <v>3204.1730000000002</v>
      </c>
      <c r="AJ176" s="24"/>
      <c r="AK176" s="169">
        <f>AI176/AB176</f>
        <v>235.25499265785612</v>
      </c>
      <c r="AL176" s="24"/>
      <c r="AM176" s="131">
        <f>(AK176/AK169-1)*100</f>
        <v>14.305599043880735</v>
      </c>
      <c r="AN176" s="143"/>
    </row>
    <row r="177" spans="1:40">
      <c r="A177" s="24"/>
      <c r="B177" s="78" t="str">
        <f>$B$51</f>
        <v>Year</v>
      </c>
      <c r="C177" s="24"/>
      <c r="D177" s="241">
        <f>(S177/S170-1)*100</f>
        <v>12.071159792932118</v>
      </c>
      <c r="E177" s="168"/>
      <c r="F177" s="432">
        <f>F173*S173/$S$177+F174*S174/$S$177+F175*S175/$S$177+F176*S176/$S$177</f>
        <v>6.0823185124341768</v>
      </c>
      <c r="G177" s="168"/>
      <c r="H177" s="241">
        <f>D177-F177</f>
        <v>5.9888412804979412</v>
      </c>
      <c r="I177" s="168"/>
      <c r="J177" s="168"/>
      <c r="K177" s="168"/>
      <c r="L177" s="256">
        <f>AVERAGE(L173:L176)</f>
        <v>2897.625</v>
      </c>
      <c r="M177" s="168"/>
      <c r="N177" s="244">
        <f>(L177/L170-1)*100</f>
        <v>-1.9457721754578938</v>
      </c>
      <c r="O177" s="254"/>
      <c r="P177" s="297">
        <f>H177/N177*100</f>
        <v>-307.78738415706874</v>
      </c>
      <c r="Q177" s="253"/>
      <c r="R177" s="168"/>
      <c r="S177" s="240">
        <f>SUM(S173:S176)</f>
        <v>8576.9650000000001</v>
      </c>
      <c r="T177" s="168"/>
      <c r="U177" s="255">
        <f>SUM(U173:U176)</f>
        <v>2.9625734275475497</v>
      </c>
      <c r="V177" s="24"/>
      <c r="W177" s="132">
        <f>(U177/U170-1)*100</f>
        <v>14.359956706412058</v>
      </c>
      <c r="X177" s="143"/>
      <c r="Y177" s="24"/>
      <c r="Z177" s="958"/>
      <c r="AA177" s="24"/>
      <c r="AB177" s="372">
        <f>AVERAGE(AB173:AB176)</f>
        <v>13.672031249999998</v>
      </c>
      <c r="AC177" s="24"/>
      <c r="AD177" s="244">
        <f>(AB177/AB170-1)*100</f>
        <v>-0.12099489766800309</v>
      </c>
      <c r="AE177" s="143"/>
      <c r="AF177" s="297">
        <f>+H177/AD177*100</f>
        <v>-4949.6643213259076</v>
      </c>
      <c r="AG177" s="30"/>
      <c r="AH177" s="24"/>
      <c r="AI177" s="33">
        <f>SUM(AI173:AI176)</f>
        <v>8576.9650000000001</v>
      </c>
      <c r="AJ177" s="24"/>
      <c r="AK177" s="153">
        <f>SUM(AK173:AK176)</f>
        <v>627.72904224204672</v>
      </c>
      <c r="AL177" s="24"/>
      <c r="AM177" s="132">
        <f>(AK177/AK170-1)*100</f>
        <v>12.287326360549699</v>
      </c>
      <c r="AN177" s="143"/>
    </row>
    <row r="178" spans="1:40">
      <c r="A178" s="24"/>
      <c r="B178" s="78"/>
      <c r="C178" s="24"/>
      <c r="D178" s="241"/>
      <c r="E178" s="168"/>
      <c r="F178" s="432"/>
      <c r="G178" s="168"/>
      <c r="H178" s="241"/>
      <c r="I178" s="168"/>
      <c r="J178" s="168"/>
      <c r="K178" s="168"/>
      <c r="L178" s="256"/>
      <c r="M178" s="168"/>
      <c r="N178" s="244"/>
      <c r="O178" s="254"/>
      <c r="P178" s="297"/>
      <c r="Q178" s="253"/>
      <c r="R178" s="168"/>
      <c r="S178" s="240"/>
      <c r="T178" s="168"/>
      <c r="U178" s="255"/>
      <c r="V178" s="24"/>
      <c r="W178" s="132"/>
      <c r="X178" s="143"/>
      <c r="Y178" s="24"/>
      <c r="Z178" s="958"/>
      <c r="AA178" s="24"/>
      <c r="AB178" s="372"/>
      <c r="AC178" s="24"/>
      <c r="AD178" s="244"/>
      <c r="AE178" s="143"/>
      <c r="AF178" s="297"/>
      <c r="AG178" s="30"/>
      <c r="AH178" s="24"/>
      <c r="AI178" s="33"/>
      <c r="AJ178" s="24"/>
      <c r="AK178" s="153"/>
      <c r="AL178" s="24"/>
      <c r="AM178" s="132"/>
      <c r="AN178" s="143"/>
    </row>
    <row r="179" spans="1:40">
      <c r="A179" s="73"/>
      <c r="B179" s="75" t="s">
        <v>853</v>
      </c>
      <c r="C179" s="24"/>
      <c r="D179" s="241"/>
      <c r="E179" s="168"/>
      <c r="F179" s="432"/>
      <c r="G179" s="168"/>
      <c r="H179" s="241"/>
      <c r="I179" s="168"/>
      <c r="J179" s="168"/>
      <c r="K179" s="168"/>
      <c r="L179" s="256"/>
      <c r="M179" s="168"/>
      <c r="N179" s="244"/>
      <c r="O179" s="254"/>
      <c r="P179" s="297"/>
      <c r="Q179" s="253"/>
      <c r="R179" s="168"/>
      <c r="S179" s="240"/>
      <c r="T179" s="168"/>
      <c r="U179" s="255"/>
      <c r="V179" s="24"/>
      <c r="W179" s="132"/>
      <c r="X179" s="143"/>
      <c r="Y179" s="24"/>
      <c r="Z179" s="958"/>
      <c r="AA179" s="24"/>
      <c r="AB179" s="372"/>
      <c r="AC179" s="24"/>
      <c r="AD179" s="244"/>
      <c r="AE179" s="143"/>
      <c r="AF179" s="297"/>
      <c r="AG179" s="30"/>
      <c r="AH179" s="24"/>
      <c r="AI179" s="33"/>
      <c r="AJ179" s="24"/>
      <c r="AK179" s="153"/>
      <c r="AL179" s="24"/>
      <c r="AM179" s="132"/>
      <c r="AN179" s="143"/>
    </row>
    <row r="180" spans="1:40">
      <c r="A180" s="24" t="str">
        <f>$A$47</f>
        <v>1Q</v>
      </c>
      <c r="B180" s="78" t="str">
        <f>$B$47</f>
        <v>Apr</v>
      </c>
      <c r="C180" s="24"/>
      <c r="D180" s="244">
        <f>(S180/S173-1)*100</f>
        <v>5.3328791557394783</v>
      </c>
      <c r="E180" s="296" t="s">
        <v>1084</v>
      </c>
      <c r="F180" s="432">
        <f>+'qtrP&amp;L'!CZ10</f>
        <v>3</v>
      </c>
      <c r="G180" s="296" t="s">
        <v>1084</v>
      </c>
      <c r="H180" s="244">
        <f>D180-F180</f>
        <v>2.3328791557394783</v>
      </c>
      <c r="I180" s="254" t="s">
        <v>1084</v>
      </c>
      <c r="J180" s="361">
        <f>'store&amp;sf'!AQ155</f>
        <v>2878</v>
      </c>
      <c r="K180" s="168"/>
      <c r="L180" s="362">
        <f>AVERAGE(J180,J176)</f>
        <v>2878</v>
      </c>
      <c r="M180" s="168"/>
      <c r="N180" s="244">
        <f>(L180/L173-1)*100</f>
        <v>-1.4383561643835585</v>
      </c>
      <c r="O180" s="254" t="s">
        <v>1084</v>
      </c>
      <c r="P180" s="297">
        <f>H180/N180*100</f>
        <v>-162.19064606569742</v>
      </c>
      <c r="Q180" s="253" t="s">
        <v>1084</v>
      </c>
      <c r="R180" s="168"/>
      <c r="S180" s="240">
        <f>segqtrSales!S159+segqtrSales!S342+segqtrSales!S427</f>
        <v>1818.2529999999999</v>
      </c>
      <c r="T180" s="168"/>
      <c r="U180" s="255">
        <f>S180/L180</f>
        <v>0.63177658095899925</v>
      </c>
      <c r="V180" s="24"/>
      <c r="W180" s="132">
        <f>(U180/U173-1)*100</f>
        <v>6.8700511239608186</v>
      </c>
      <c r="X180" s="143" t="s">
        <v>1084</v>
      </c>
      <c r="Y180" s="24"/>
      <c r="Z180" s="958">
        <f>'store&amp;sf'!AQ519</f>
        <v>13.501250000000001</v>
      </c>
      <c r="AA180" s="24"/>
      <c r="AB180" s="372">
        <f>AVERAGE(Z180,Z176)</f>
        <v>13.53125</v>
      </c>
      <c r="AC180" s="24"/>
      <c r="AD180" s="244">
        <f>(AB180/AB173-1)*100</f>
        <v>-1.037619417653235</v>
      </c>
      <c r="AE180" s="143" t="s">
        <v>1084</v>
      </c>
      <c r="AF180" s="297">
        <f>+H180/AD180*100</f>
        <v>-224.82994400930824</v>
      </c>
      <c r="AG180" s="30" t="s">
        <v>1084</v>
      </c>
      <c r="AH180" s="24"/>
      <c r="AI180" s="33">
        <f>+S180</f>
        <v>1818.2529999999999</v>
      </c>
      <c r="AJ180" s="24"/>
      <c r="AK180" s="153">
        <f>AI180/AB180</f>
        <v>134.3743556581986</v>
      </c>
      <c r="AL180" s="24"/>
      <c r="AM180" s="132">
        <f>(AK180/AK173-1)*100</f>
        <v>6.4372931773723829</v>
      </c>
      <c r="AN180" s="143" t="s">
        <v>1084</v>
      </c>
    </row>
    <row r="181" spans="1:40">
      <c r="A181" s="24" t="str">
        <f>$A$48</f>
        <v>2Q</v>
      </c>
      <c r="B181" s="78" t="str">
        <f>$B$48</f>
        <v>Jul</v>
      </c>
      <c r="C181" s="24"/>
      <c r="D181" s="244">
        <f>(S181/S174-1)*100</f>
        <v>4.7383174396384176</v>
      </c>
      <c r="E181" s="244"/>
      <c r="F181" s="432">
        <f>+'qtrP&amp;L'!CZ11</f>
        <v>2</v>
      </c>
      <c r="G181" s="244"/>
      <c r="H181" s="244">
        <f>D181-F181</f>
        <v>2.7383174396384176</v>
      </c>
      <c r="I181" s="168"/>
      <c r="J181" s="361">
        <f>'store&amp;sf'!AQ156</f>
        <v>2894</v>
      </c>
      <c r="K181" s="168"/>
      <c r="L181" s="362">
        <f>AVERAGE(J181,J180)</f>
        <v>2886</v>
      </c>
      <c r="M181" s="168"/>
      <c r="N181" s="244">
        <f>(L181/L174-1)*100</f>
        <v>-0.34530386740331265</v>
      </c>
      <c r="O181" s="254"/>
      <c r="P181" s="297">
        <f>H181/N181*100</f>
        <v>-793.01673051929095</v>
      </c>
      <c r="Q181" s="253"/>
      <c r="R181" s="168"/>
      <c r="S181" s="249">
        <f>segqtrSales!S160+segqtrSales!S343+segqtrSales!S428</f>
        <v>2035.6289999999999</v>
      </c>
      <c r="T181" s="168"/>
      <c r="U181" s="257">
        <f>S181/L181</f>
        <v>0.70534615384615384</v>
      </c>
      <c r="V181" s="24"/>
      <c r="W181" s="132">
        <f>(U181/U174-1)*100</f>
        <v>5.1012360724854044</v>
      </c>
      <c r="X181" s="143"/>
      <c r="Y181" s="24"/>
      <c r="Z181" s="958">
        <f>'store&amp;sf'!AQ520</f>
        <v>13.60125</v>
      </c>
      <c r="AA181" s="24"/>
      <c r="AB181" s="372">
        <f>AVERAGE(Z181,Z180)</f>
        <v>13.55125</v>
      </c>
      <c r="AC181" s="24"/>
      <c r="AD181" s="244">
        <f>(AB181/AB174-1)*100</f>
        <v>-1.049653158086894</v>
      </c>
      <c r="AE181" s="143"/>
      <c r="AF181" s="297">
        <f>+H181/AD181*100</f>
        <v>-260.87831190155197</v>
      </c>
      <c r="AG181" s="30"/>
      <c r="AH181" s="24"/>
      <c r="AI181" s="34">
        <f>+S181</f>
        <v>2035.6289999999999</v>
      </c>
      <c r="AJ181" s="24"/>
      <c r="AK181" s="154">
        <f>AI181/AB181</f>
        <v>150.21706484641638</v>
      </c>
      <c r="AL181" s="24"/>
      <c r="AM181" s="132">
        <f>(AK181/AK174-1)*100</f>
        <v>5.8493686808116063</v>
      </c>
      <c r="AN181" s="143"/>
    </row>
    <row r="182" spans="1:40">
      <c r="A182" s="24" t="str">
        <f>$A$49</f>
        <v>3Q</v>
      </c>
      <c r="B182" s="78" t="str">
        <f>$B$49</f>
        <v>Oct</v>
      </c>
      <c r="C182" s="24"/>
      <c r="D182" s="244">
        <f>(S182/S175-1)*100</f>
        <v>4.8639593390003677</v>
      </c>
      <c r="E182" s="244"/>
      <c r="F182" s="432">
        <f>+'qtrP&amp;L'!CZ12</f>
        <v>3</v>
      </c>
      <c r="G182" s="244"/>
      <c r="H182" s="244">
        <f>D182-F182</f>
        <v>1.8639593390003677</v>
      </c>
      <c r="I182" s="168"/>
      <c r="J182" s="361">
        <f>'store&amp;sf'!AQ157</f>
        <v>2932</v>
      </c>
      <c r="K182" s="168"/>
      <c r="L182" s="362">
        <f>AVERAGE(J182,J181)</f>
        <v>2913</v>
      </c>
      <c r="M182" s="168"/>
      <c r="N182" s="244">
        <f>(L182/L175-1)*100</f>
        <v>0.76098235904531464</v>
      </c>
      <c r="O182" s="254"/>
      <c r="P182" s="297">
        <f>H182/N182*100</f>
        <v>244.9412022295478</v>
      </c>
      <c r="Q182" s="253"/>
      <c r="R182" s="168"/>
      <c r="S182" s="249">
        <f>segqtrSales!S161+segqtrSales!S344+segqtrSales!S429</f>
        <v>1785.8929999999998</v>
      </c>
      <c r="T182" s="168"/>
      <c r="U182" s="257">
        <f>S182/L182</f>
        <v>0.61307689667009946</v>
      </c>
      <c r="V182" s="24"/>
      <c r="W182" s="132">
        <f>(U182/U175-1)*100</f>
        <v>4.0719898554926415</v>
      </c>
      <c r="X182" s="143"/>
      <c r="Y182" s="24"/>
      <c r="Z182" s="958">
        <f>'store&amp;sf'!AQ521</f>
        <v>13.91</v>
      </c>
      <c r="AA182" s="24"/>
      <c r="AB182" s="372">
        <f>AVERAGE(Z182,Z181)</f>
        <v>13.755625</v>
      </c>
      <c r="AC182" s="24"/>
      <c r="AD182" s="244">
        <f>(AB182/AB175-1)*100</f>
        <v>0.40602189781022702</v>
      </c>
      <c r="AE182" s="143"/>
      <c r="AF182" s="297">
        <f>+H182/AD182*100</f>
        <v>459.07852484142973</v>
      </c>
      <c r="AG182" s="30"/>
      <c r="AH182" s="24"/>
      <c r="AI182" s="34">
        <f>+S182</f>
        <v>1785.8929999999998</v>
      </c>
      <c r="AJ182" s="24"/>
      <c r="AK182" s="154">
        <f>AI182/AB182</f>
        <v>129.83001499386614</v>
      </c>
      <c r="AL182" s="24"/>
      <c r="AM182" s="132">
        <f>(AK182/AK175-1)*100</f>
        <v>4.4399104325906658</v>
      </c>
      <c r="AN182" s="143"/>
    </row>
    <row r="183" spans="1:40">
      <c r="A183" s="24" t="str">
        <f>$A$50</f>
        <v>4Q</v>
      </c>
      <c r="B183" s="78" t="str">
        <f>$B$50</f>
        <v>Jan</v>
      </c>
      <c r="C183" s="24"/>
      <c r="D183" s="242">
        <f>(S183/S176-1)*100</f>
        <v>-0.97647661346624837</v>
      </c>
      <c r="E183" s="168"/>
      <c r="F183" s="433">
        <f>+'qtrP&amp;L'!CZ13</f>
        <v>1</v>
      </c>
      <c r="G183" s="168"/>
      <c r="H183" s="242">
        <f>D183-F183</f>
        <v>-1.9764766134662484</v>
      </c>
      <c r="I183" s="168"/>
      <c r="J183" s="361">
        <f>'store&amp;sf'!AQ158</f>
        <v>2923</v>
      </c>
      <c r="K183" s="168"/>
      <c r="L183" s="363">
        <f>AVERAGE(J183,J182)</f>
        <v>2927.5</v>
      </c>
      <c r="M183" s="168"/>
      <c r="N183" s="295">
        <f>(L183/L176-1)*100</f>
        <v>1.525923357031389</v>
      </c>
      <c r="O183" s="254"/>
      <c r="P183" s="298">
        <f>H183/N183*100</f>
        <v>-129.52659806658895</v>
      </c>
      <c r="Q183" s="253"/>
      <c r="R183" s="168"/>
      <c r="S183" s="250">
        <f>segqtrSales!S162+segqtrSales!S345+segqtrSales!S430</f>
        <v>3172.8850000000002</v>
      </c>
      <c r="T183" s="168"/>
      <c r="U183" s="258">
        <f>S183/L183</f>
        <v>1.0838206660973528</v>
      </c>
      <c r="V183" s="24"/>
      <c r="W183" s="131">
        <f>(U183/U176-1)*100</f>
        <v>-2.4647891767480501</v>
      </c>
      <c r="X183" s="143"/>
      <c r="Y183" s="24"/>
      <c r="Z183" s="958">
        <f>'store&amp;sf'!AQ522</f>
        <v>13.961250000000001</v>
      </c>
      <c r="AA183" s="24"/>
      <c r="AB183" s="373">
        <f>AVERAGE(Z183,Z182)</f>
        <v>13.935625000000002</v>
      </c>
      <c r="AC183" s="24"/>
      <c r="AD183" s="295">
        <f>(AB183/AB176-1)*100</f>
        <v>2.3173641703377656</v>
      </c>
      <c r="AE183" s="143"/>
      <c r="AF183" s="298">
        <f>+H183/AD183*100</f>
        <v>-85.289858139912837</v>
      </c>
      <c r="AG183" s="30"/>
      <c r="AH183" s="24"/>
      <c r="AI183" s="38">
        <f>+S183</f>
        <v>3172.8850000000002</v>
      </c>
      <c r="AJ183" s="24"/>
      <c r="AK183" s="169">
        <f>AI183/AB183</f>
        <v>227.68157151186256</v>
      </c>
      <c r="AL183" s="24"/>
      <c r="AM183" s="131">
        <f>(AK183/AK176-1)*100</f>
        <v>-3.2192392860320718</v>
      </c>
      <c r="AN183" s="143"/>
    </row>
    <row r="184" spans="1:40">
      <c r="A184" s="24"/>
      <c r="B184" s="78" t="str">
        <f>$B$51</f>
        <v>Year</v>
      </c>
      <c r="C184" s="24"/>
      <c r="D184" s="241">
        <f>(S184/S177-1)*100</f>
        <v>2.7480000209864519</v>
      </c>
      <c r="E184" s="168"/>
      <c r="F184" s="432">
        <f>F180*S180/$S$177+F181*S181/$S$177+F182*S182/$S$177+F183*S183/$S$177</f>
        <v>2.1052413062196238</v>
      </c>
      <c r="G184" s="168"/>
      <c r="H184" s="241">
        <f>D184-F184</f>
        <v>0.64275871476682811</v>
      </c>
      <c r="I184" s="168"/>
      <c r="J184" s="168"/>
      <c r="K184" s="168"/>
      <c r="L184" s="256">
        <f>AVERAGE(L180:L183)</f>
        <v>2901.125</v>
      </c>
      <c r="M184" s="168"/>
      <c r="N184" s="244">
        <f>(L184/L177-1)*100</f>
        <v>0.12078857685173805</v>
      </c>
      <c r="O184" s="254"/>
      <c r="P184" s="297">
        <f>H184/N184*100</f>
        <v>532.1353488217535</v>
      </c>
      <c r="Q184" s="253"/>
      <c r="R184" s="168"/>
      <c r="S184" s="240">
        <f>SUM(S180:S183)</f>
        <v>8812.66</v>
      </c>
      <c r="T184" s="168"/>
      <c r="U184" s="255">
        <f>SUM(U180:U183)</f>
        <v>3.0340202975726056</v>
      </c>
      <c r="V184" s="24"/>
      <c r="W184" s="132">
        <f>(U184/U177-1)*100</f>
        <v>2.4116489184945022</v>
      </c>
      <c r="X184" s="143"/>
      <c r="Y184" s="24"/>
      <c r="Z184" s="958"/>
      <c r="AA184" s="24"/>
      <c r="AB184" s="372">
        <f>AVERAGE(AB180:AB183)</f>
        <v>13.6934375</v>
      </c>
      <c r="AC184" s="24"/>
      <c r="AD184" s="244">
        <f>(AB184/AB177-1)*100</f>
        <v>0.15656963920414046</v>
      </c>
      <c r="AE184" s="143"/>
      <c r="AF184" s="297">
        <f>+H184/AD184*100</f>
        <v>410.52576861902253</v>
      </c>
      <c r="AG184" s="30"/>
      <c r="AH184" s="24"/>
      <c r="AI184" s="33">
        <f>SUM(AI180:AI183)</f>
        <v>8812.66</v>
      </c>
      <c r="AJ184" s="24"/>
      <c r="AK184" s="153">
        <f>SUM(AK180:AK183)</f>
        <v>642.10300701034362</v>
      </c>
      <c r="AL184" s="24"/>
      <c r="AM184" s="132">
        <f>(AK184/AK177-1)*100</f>
        <v>2.2898358688260956</v>
      </c>
      <c r="AN184" s="143"/>
    </row>
    <row r="185" spans="1:40">
      <c r="A185" s="24"/>
      <c r="B185" s="78"/>
      <c r="C185" s="24"/>
      <c r="D185" s="168"/>
      <c r="E185" s="168"/>
      <c r="F185" s="168"/>
      <c r="G185" s="168"/>
      <c r="H185" s="24"/>
      <c r="I185" s="24"/>
      <c r="J185" s="91"/>
      <c r="K185" s="24"/>
      <c r="L185" s="24"/>
      <c r="M185" s="24"/>
      <c r="N185" s="24"/>
      <c r="O185" s="143"/>
      <c r="P185" s="24"/>
      <c r="Q185" s="24"/>
      <c r="R185" s="24"/>
      <c r="S185" s="24"/>
      <c r="T185" s="24"/>
      <c r="U185" s="24"/>
      <c r="V185" s="24"/>
      <c r="W185" s="24"/>
      <c r="X185" s="24"/>
      <c r="Y185" s="24"/>
      <c r="Z185" s="960"/>
      <c r="AA185" s="24"/>
      <c r="AB185" s="24"/>
      <c r="AC185" s="24"/>
      <c r="AD185" s="24"/>
      <c r="AE185" s="143"/>
      <c r="AF185" s="24"/>
      <c r="AG185" s="24"/>
      <c r="AH185" s="24"/>
      <c r="AI185" s="33"/>
      <c r="AJ185" s="24"/>
      <c r="AK185" s="24"/>
      <c r="AL185" s="24"/>
      <c r="AM185" s="24"/>
      <c r="AN185" s="24"/>
    </row>
    <row r="186" spans="1:40">
      <c r="A186" s="73"/>
      <c r="B186" s="75" t="s">
        <v>335</v>
      </c>
      <c r="C186" s="24"/>
      <c r="D186" s="241"/>
      <c r="E186" s="168"/>
      <c r="F186" s="432"/>
      <c r="G186" s="168"/>
      <c r="H186" s="241"/>
      <c r="I186" s="168"/>
      <c r="J186" s="168"/>
      <c r="K186" s="168"/>
      <c r="L186" s="256"/>
      <c r="M186" s="168"/>
      <c r="N186" s="244"/>
      <c r="O186" s="254"/>
      <c r="P186" s="297"/>
      <c r="Q186" s="253"/>
      <c r="R186" s="168"/>
      <c r="S186" s="240"/>
      <c r="T186" s="168"/>
      <c r="U186" s="255"/>
      <c r="V186" s="24"/>
      <c r="W186" s="132"/>
      <c r="X186" s="143"/>
      <c r="Y186" s="24"/>
      <c r="Z186" s="958"/>
      <c r="AA186" s="24"/>
      <c r="AB186" s="372"/>
      <c r="AC186" s="24"/>
      <c r="AD186" s="244"/>
      <c r="AE186" s="143"/>
      <c r="AF186" s="297"/>
      <c r="AG186" s="30"/>
      <c r="AH186" s="24"/>
      <c r="AI186" s="33"/>
      <c r="AJ186" s="24"/>
      <c r="AK186" s="153"/>
      <c r="AL186" s="24"/>
      <c r="AM186" s="132"/>
      <c r="AN186" s="143"/>
    </row>
    <row r="187" spans="1:40">
      <c r="A187" s="24" t="str">
        <f>$A$47</f>
        <v>1Q</v>
      </c>
      <c r="B187" s="78" t="str">
        <f>$B$47</f>
        <v>Apr</v>
      </c>
      <c r="C187" s="24"/>
      <c r="D187" s="244">
        <f>(S187/S180-1)*100</f>
        <v>3.5012179273181454</v>
      </c>
      <c r="E187" s="296" t="s">
        <v>1084</v>
      </c>
      <c r="F187" s="432">
        <f>+'qtrP&amp;L'!DD10</f>
        <v>2</v>
      </c>
      <c r="G187" s="296" t="s">
        <v>1084</v>
      </c>
      <c r="H187" s="244">
        <f>D187-F187</f>
        <v>1.5012179273181454</v>
      </c>
      <c r="I187" s="254" t="s">
        <v>1084</v>
      </c>
      <c r="J187" s="361">
        <f>'store&amp;sf'!AQ161</f>
        <v>2923</v>
      </c>
      <c r="K187" s="168"/>
      <c r="L187" s="362">
        <f>AVERAGE(J187,J183)</f>
        <v>2923</v>
      </c>
      <c r="M187" s="168"/>
      <c r="N187" s="244">
        <f>(L187/L180-1)*100</f>
        <v>1.5635858234885447</v>
      </c>
      <c r="O187" s="254" t="s">
        <v>1084</v>
      </c>
      <c r="P187" s="297">
        <f>H187/N187*100</f>
        <v>96.011226551590937</v>
      </c>
      <c r="Q187" s="253" t="s">
        <v>1084</v>
      </c>
      <c r="R187" s="168"/>
      <c r="S187" s="240">
        <f>segqtrSales!S166+segqtrSales!S349+segqtrSales!S434</f>
        <v>1881.914</v>
      </c>
      <c r="T187" s="168"/>
      <c r="U187" s="255">
        <f>S187/L187</f>
        <v>0.64382962709544989</v>
      </c>
      <c r="V187" s="24"/>
      <c r="W187" s="132">
        <f>(U187/U180-1)*100</f>
        <v>1.9078019824911641</v>
      </c>
      <c r="X187" s="143" t="s">
        <v>1084</v>
      </c>
      <c r="Y187" s="24"/>
      <c r="Z187" s="958">
        <f>'store&amp;sf'!AQ525</f>
        <v>13.892499999999998</v>
      </c>
      <c r="AA187" s="24"/>
      <c r="AB187" s="372">
        <f>AVERAGE(Z187,Z183)</f>
        <v>13.926874999999999</v>
      </c>
      <c r="AC187" s="24"/>
      <c r="AD187" s="244">
        <f>(AB187/AB180-1)*100</f>
        <v>2.923787528868349</v>
      </c>
      <c r="AE187" s="143" t="s">
        <v>1084</v>
      </c>
      <c r="AF187" s="297">
        <f>+H187/AD187*100</f>
        <v>51.344973343503909</v>
      </c>
      <c r="AG187" s="30" t="s">
        <v>1084</v>
      </c>
      <c r="AH187" s="24"/>
      <c r="AI187" s="33">
        <f>+S187</f>
        <v>1881.914</v>
      </c>
      <c r="AJ187" s="24"/>
      <c r="AK187" s="153">
        <f>AI187/AB187</f>
        <v>135.12823228470134</v>
      </c>
      <c r="AL187" s="24"/>
      <c r="AM187" s="132">
        <f>(AK187/AK180-1)*100</f>
        <v>0.56102715641692669</v>
      </c>
      <c r="AN187" s="143" t="s">
        <v>1084</v>
      </c>
    </row>
    <row r="188" spans="1:40">
      <c r="A188" s="24" t="str">
        <f>$A$48</f>
        <v>2Q</v>
      </c>
      <c r="B188" s="78" t="str">
        <f>$B$48</f>
        <v>Jul</v>
      </c>
      <c r="C188" s="24"/>
      <c r="D188" s="244">
        <f>(S188/S181-1)*100</f>
        <v>5.0953292569520192</v>
      </c>
      <c r="E188" s="244"/>
      <c r="F188" s="432">
        <f>+'qtrP&amp;L'!DD11</f>
        <v>3</v>
      </c>
      <c r="G188" s="244"/>
      <c r="H188" s="244">
        <f>D188-F188</f>
        <v>2.0953292569520192</v>
      </c>
      <c r="I188" s="168"/>
      <c r="J188" s="361">
        <f>'store&amp;sf'!AQ162</f>
        <v>2942</v>
      </c>
      <c r="K188" s="168"/>
      <c r="L188" s="362">
        <f>AVERAGE(J188,J187)</f>
        <v>2932.5</v>
      </c>
      <c r="M188" s="168"/>
      <c r="N188" s="244">
        <f>(L188/L181-1)*100</f>
        <v>1.6112266112266127</v>
      </c>
      <c r="O188" s="254"/>
      <c r="P188" s="297">
        <f>H188/N188*100</f>
        <v>130.04559646373167</v>
      </c>
      <c r="Q188" s="253"/>
      <c r="R188" s="168"/>
      <c r="S188" s="249">
        <f>segqtrSales!S167+segqtrSales!S350+segqtrSales!S435</f>
        <v>2139.3509999999997</v>
      </c>
      <c r="T188" s="168"/>
      <c r="U188" s="257">
        <f>S188/L188</f>
        <v>0.72953145780051143</v>
      </c>
      <c r="V188" s="24"/>
      <c r="W188" s="132">
        <f>(U188/U181-1)*100</f>
        <v>3.4288560053072459</v>
      </c>
      <c r="X188" s="143"/>
      <c r="Y188" s="24"/>
      <c r="Z188" s="958">
        <f>'store&amp;sf'!AQ526</f>
        <v>14.013749999999998</v>
      </c>
      <c r="AA188" s="24"/>
      <c r="AB188" s="372">
        <f>AVERAGE(Z188,Z187)</f>
        <v>13.953124999999998</v>
      </c>
      <c r="AC188" s="24"/>
      <c r="AD188" s="244">
        <f>(AB188/AB181-1)*100</f>
        <v>2.9655935799280497</v>
      </c>
      <c r="AE188" s="143"/>
      <c r="AF188" s="297">
        <f>+H188/AD188*100</f>
        <v>70.654632891498764</v>
      </c>
      <c r="AG188" s="30"/>
      <c r="AH188" s="24"/>
      <c r="AI188" s="34">
        <f>+S188</f>
        <v>2139.3509999999997</v>
      </c>
      <c r="AJ188" s="24"/>
      <c r="AK188" s="154">
        <f>AI188/AB188</f>
        <v>153.32414781634938</v>
      </c>
      <c r="AL188" s="24"/>
      <c r="AM188" s="132">
        <f>(AK188/AK181-1)*100</f>
        <v>2.0683954736498977</v>
      </c>
      <c r="AN188" s="143"/>
    </row>
    <row r="189" spans="1:40">
      <c r="A189" s="24" t="str">
        <f>$A$49</f>
        <v>3Q</v>
      </c>
      <c r="B189" s="78" t="str">
        <f>$B$49</f>
        <v>Oct</v>
      </c>
      <c r="C189" s="24"/>
      <c r="D189" s="244">
        <f>(S189/S182-1)*100</f>
        <v>6.2747880192150385</v>
      </c>
      <c r="E189" s="244"/>
      <c r="F189" s="432">
        <f>+'qtrP&amp;L'!DD12</f>
        <v>5</v>
      </c>
      <c r="G189" s="244"/>
      <c r="H189" s="244">
        <f>D189-F189</f>
        <v>1.2747880192150385</v>
      </c>
      <c r="I189" s="168"/>
      <c r="J189" s="361">
        <f>'store&amp;sf'!AQ163</f>
        <v>2971</v>
      </c>
      <c r="K189" s="168"/>
      <c r="L189" s="362">
        <f>AVERAGE(J189,J188)</f>
        <v>2956.5</v>
      </c>
      <c r="M189" s="168"/>
      <c r="N189" s="244">
        <f>(L189/L182-1)*100</f>
        <v>1.4933058702368607</v>
      </c>
      <c r="O189" s="254"/>
      <c r="P189" s="297">
        <f>H189/N189*100</f>
        <v>85.366839079848916</v>
      </c>
      <c r="Q189" s="253"/>
      <c r="R189" s="168"/>
      <c r="S189" s="249">
        <f>segqtrSales!S168+segqtrSales!S351+segqtrSales!S436</f>
        <v>1897.954</v>
      </c>
      <c r="T189" s="168"/>
      <c r="U189" s="257">
        <f>S189/L189</f>
        <v>0.6419597497040419</v>
      </c>
      <c r="V189" s="24"/>
      <c r="W189" s="132">
        <f>(U189/U182-1)*100</f>
        <v>4.7111305597745456</v>
      </c>
      <c r="X189" s="143"/>
      <c r="Y189" s="24"/>
      <c r="Z189" s="958">
        <f>'store&amp;sf'!AQ527</f>
        <v>14.263749999999998</v>
      </c>
      <c r="AA189" s="24"/>
      <c r="AB189" s="372">
        <f>AVERAGE(Z189,Z188)</f>
        <v>14.138749999999998</v>
      </c>
      <c r="AC189" s="24"/>
      <c r="AD189" s="244">
        <f>(AB189/AB182-1)*100</f>
        <v>2.7852242264527982</v>
      </c>
      <c r="AE189" s="143"/>
      <c r="AF189" s="297">
        <f>+H189/AD189*100</f>
        <v>45.769672944378378</v>
      </c>
      <c r="AG189" s="30"/>
      <c r="AH189" s="24"/>
      <c r="AI189" s="34">
        <f>+S189</f>
        <v>1897.954</v>
      </c>
      <c r="AJ189" s="24"/>
      <c r="AK189" s="154">
        <f>AI189/AB189</f>
        <v>134.23775086199277</v>
      </c>
      <c r="AL189" s="24"/>
      <c r="AM189" s="132">
        <f>(AK189/AK182-1)*100</f>
        <v>3.3950052831272171</v>
      </c>
      <c r="AN189" s="143"/>
    </row>
    <row r="190" spans="1:40">
      <c r="A190" s="24" t="str">
        <f>$A$50</f>
        <v>4Q</v>
      </c>
      <c r="B190" s="78" t="str">
        <f>$B$50</f>
        <v>Jan</v>
      </c>
      <c r="C190" s="24"/>
      <c r="D190" s="242">
        <f>(S190/S183-1)*100</f>
        <v>7.0546603846813438</v>
      </c>
      <c r="E190" s="168"/>
      <c r="F190" s="433">
        <f>+'qtrP&amp;L'!DD13</f>
        <v>6</v>
      </c>
      <c r="G190" s="168"/>
      <c r="H190" s="242">
        <f>D190-F190</f>
        <v>1.0546603846813438</v>
      </c>
      <c r="I190" s="168"/>
      <c r="J190" s="361">
        <f>'store&amp;sf'!AQ164</f>
        <v>2969</v>
      </c>
      <c r="K190" s="168"/>
      <c r="L190" s="363">
        <f>AVERAGE(J190,J189)</f>
        <v>2970</v>
      </c>
      <c r="M190" s="168"/>
      <c r="N190" s="295">
        <f>(L190/L183-1)*100</f>
        <v>1.4517506404782221</v>
      </c>
      <c r="O190" s="254"/>
      <c r="P190" s="298">
        <f>H190/N190*100</f>
        <v>72.647488850697357</v>
      </c>
      <c r="Q190" s="253"/>
      <c r="R190" s="168"/>
      <c r="S190" s="250">
        <f>segqtrSales!S169+segqtrSales!S352+segqtrSales!S437</f>
        <v>3396.721261146497</v>
      </c>
      <c r="T190" s="168"/>
      <c r="U190" s="258">
        <f>S190/L190</f>
        <v>1.1436771923052178</v>
      </c>
      <c r="V190" s="24"/>
      <c r="W190" s="131">
        <f>(U190/U183-1)*100</f>
        <v>5.5227334263146854</v>
      </c>
      <c r="X190" s="143"/>
      <c r="Y190" s="24"/>
      <c r="Z190" s="958">
        <f>'store&amp;sf'!AQ528</f>
        <v>14.28875</v>
      </c>
      <c r="AA190" s="24"/>
      <c r="AB190" s="373">
        <f>AVERAGE(Z190,Z189)</f>
        <v>14.276249999999999</v>
      </c>
      <c r="AC190" s="24"/>
      <c r="AD190" s="295">
        <f>(AB190/AB183-1)*100</f>
        <v>2.4442750145759362</v>
      </c>
      <c r="AE190" s="143"/>
      <c r="AF190" s="298">
        <f>+H190/AD190*100</f>
        <v>43.148188251816649</v>
      </c>
      <c r="AG190" s="30"/>
      <c r="AH190" s="24"/>
      <c r="AI190" s="38">
        <f>+S190</f>
        <v>3396.721261146497</v>
      </c>
      <c r="AJ190" s="24"/>
      <c r="AK190" s="169">
        <f>AI190/AB190</f>
        <v>237.92811565687748</v>
      </c>
      <c r="AL190" s="24"/>
      <c r="AM190" s="131">
        <f>(AK190/AK183-1)*100</f>
        <v>4.5003836177760492</v>
      </c>
      <c r="AN190" s="143"/>
    </row>
    <row r="191" spans="1:40">
      <c r="A191" s="24"/>
      <c r="B191" s="78" t="str">
        <f>$B$51</f>
        <v>Year</v>
      </c>
      <c r="C191" s="24"/>
      <c r="D191" s="241">
        <f>(S191/S184-1)*100</f>
        <v>5.7108779999057724</v>
      </c>
      <c r="E191" s="168"/>
      <c r="F191" s="432">
        <f>F187*S187/$S$184+F188*S188/$S$184+F189*S189/$S$184+F190*S190/$S$184</f>
        <v>4.5448228533585748</v>
      </c>
      <c r="G191" s="168"/>
      <c r="H191" s="241">
        <f>D191-F191</f>
        <v>1.1660551465471976</v>
      </c>
      <c r="I191" s="168"/>
      <c r="J191" s="168"/>
      <c r="K191" s="168"/>
      <c r="L191" s="256">
        <f>AVERAGE(L187:L190)</f>
        <v>2945.5</v>
      </c>
      <c r="M191" s="168"/>
      <c r="N191" s="244">
        <f>(L191/L184-1)*100</f>
        <v>1.529579042612772</v>
      </c>
      <c r="O191" s="254"/>
      <c r="P191" s="297">
        <f>H191/N191*100</f>
        <v>76.233729285109973</v>
      </c>
      <c r="Q191" s="253"/>
      <c r="R191" s="168"/>
      <c r="S191" s="240">
        <f>SUM(S187:S190)</f>
        <v>9315.9402611464957</v>
      </c>
      <c r="T191" s="168"/>
      <c r="U191" s="255">
        <f>SUM(U187:U190)</f>
        <v>3.1589980269052211</v>
      </c>
      <c r="V191" s="24"/>
      <c r="W191" s="132">
        <f>(U191/U184-1)*100</f>
        <v>4.1192120379881736</v>
      </c>
      <c r="X191" s="143"/>
      <c r="Y191" s="24"/>
      <c r="Z191" s="958"/>
      <c r="AA191" s="24"/>
      <c r="AB191" s="372">
        <f>AVERAGE(AB187:AB190)</f>
        <v>14.073749999999999</v>
      </c>
      <c r="AC191" s="24"/>
      <c r="AD191" s="244">
        <f>(AB191/AB184-1)*100</f>
        <v>2.7773340331819441</v>
      </c>
      <c r="AE191" s="143"/>
      <c r="AF191" s="297">
        <f>+H191/AD191*100</f>
        <v>41.984692248604617</v>
      </c>
      <c r="AG191" s="30"/>
      <c r="AH191" s="24"/>
      <c r="AI191" s="33">
        <f>SUM(AI187:AI190)</f>
        <v>9315.9402611464957</v>
      </c>
      <c r="AJ191" s="24"/>
      <c r="AK191" s="153">
        <f>SUM(AK187:AK190)</f>
        <v>660.61824661992091</v>
      </c>
      <c r="AL191" s="24"/>
      <c r="AM191" s="132">
        <f>(AK191/AK184-1)*100</f>
        <v>2.8835310545865411</v>
      </c>
      <c r="AN191" s="143"/>
    </row>
    <row r="192" spans="1:40">
      <c r="A192" s="24"/>
      <c r="B192" s="78"/>
      <c r="C192" s="24"/>
      <c r="D192" s="241"/>
      <c r="E192" s="168"/>
      <c r="F192" s="432"/>
      <c r="G192" s="168"/>
      <c r="H192" s="241"/>
      <c r="I192" s="168"/>
      <c r="J192" s="168"/>
      <c r="K192" s="168"/>
      <c r="L192" s="256"/>
      <c r="M192" s="168"/>
      <c r="N192" s="244"/>
      <c r="O192" s="254"/>
      <c r="P192" s="297"/>
      <c r="Q192" s="253"/>
      <c r="R192" s="168"/>
      <c r="S192" s="240"/>
      <c r="T192" s="168"/>
      <c r="U192" s="255"/>
      <c r="V192" s="24"/>
      <c r="W192" s="132"/>
      <c r="X192" s="143"/>
      <c r="Y192" s="24"/>
      <c r="Z192" s="958"/>
      <c r="AA192" s="24"/>
      <c r="AB192" s="372"/>
      <c r="AC192" s="24"/>
      <c r="AD192" s="244"/>
      <c r="AE192" s="143"/>
      <c r="AF192" s="297"/>
      <c r="AG192" s="30"/>
      <c r="AH192" s="24"/>
      <c r="AI192" s="33"/>
      <c r="AJ192" s="24"/>
      <c r="AK192" s="153"/>
      <c r="AL192" s="24"/>
      <c r="AM192" s="132"/>
      <c r="AN192" s="143"/>
    </row>
    <row r="193" spans="1:40">
      <c r="A193" s="73"/>
      <c r="B193" s="75" t="s">
        <v>1266</v>
      </c>
      <c r="C193" s="24"/>
      <c r="D193" s="241"/>
      <c r="E193" s="168"/>
      <c r="F193" s="432"/>
      <c r="G193" s="168"/>
      <c r="H193" s="241"/>
      <c r="I193" s="168"/>
      <c r="J193" s="168"/>
      <c r="K193" s="168"/>
      <c r="L193" s="256"/>
      <c r="M193" s="168"/>
      <c r="N193" s="244"/>
      <c r="O193" s="254"/>
      <c r="P193" s="297"/>
      <c r="Q193" s="253"/>
      <c r="R193" s="168"/>
      <c r="S193" s="240"/>
      <c r="T193" s="168"/>
      <c r="U193" s="255"/>
      <c r="V193" s="24"/>
      <c r="W193" s="132"/>
      <c r="X193" s="143"/>
      <c r="Y193" s="24"/>
      <c r="Z193" s="958"/>
      <c r="AA193" s="24"/>
      <c r="AB193" s="372"/>
      <c r="AC193" s="24"/>
      <c r="AD193" s="244"/>
      <c r="AE193" s="143"/>
      <c r="AF193" s="297"/>
      <c r="AG193" s="30"/>
      <c r="AH193" s="24"/>
      <c r="AI193" s="33"/>
      <c r="AJ193" s="24"/>
      <c r="AK193" s="153"/>
      <c r="AL193" s="24"/>
      <c r="AM193" s="132"/>
      <c r="AN193" s="143"/>
    </row>
    <row r="194" spans="1:40">
      <c r="A194" s="24" t="str">
        <f>$A$47</f>
        <v>1Q</v>
      </c>
      <c r="B194" s="78" t="str">
        <f>$B$47</f>
        <v>Apr</v>
      </c>
      <c r="C194" s="24"/>
      <c r="D194" s="244">
        <f>(S194/S187-1)*100</f>
        <v>6.5575877160339191</v>
      </c>
      <c r="E194" s="296" t="s">
        <v>1084</v>
      </c>
      <c r="F194" s="432">
        <f>'qtrP&amp;L'!DH10</f>
        <v>5</v>
      </c>
      <c r="G194" s="296" t="s">
        <v>1084</v>
      </c>
      <c r="H194" s="244">
        <f>D194-F194</f>
        <v>1.5575877160339191</v>
      </c>
      <c r="I194" s="254" t="s">
        <v>1084</v>
      </c>
      <c r="J194" s="361">
        <f>'store&amp;sf'!AQ167</f>
        <v>2966</v>
      </c>
      <c r="K194" s="168"/>
      <c r="L194" s="362">
        <f>AVERAGE(J194,J190)</f>
        <v>2967.5</v>
      </c>
      <c r="M194" s="168"/>
      <c r="N194" s="244">
        <f>(L194/L187-1)*100</f>
        <v>1.5224084844337904</v>
      </c>
      <c r="O194" s="254" t="s">
        <v>1084</v>
      </c>
      <c r="P194" s="297">
        <f>H194/N194*100</f>
        <v>102.31076166218375</v>
      </c>
      <c r="Q194" s="253" t="s">
        <v>1084</v>
      </c>
      <c r="R194" s="168"/>
      <c r="S194" s="240">
        <f>segqtrSales!S173+segqtrSales!S356+segqtrSales!S441</f>
        <v>2005.3221612903226</v>
      </c>
      <c r="T194" s="168"/>
      <c r="U194" s="255">
        <f>S194/L194</f>
        <v>0.6757614696850287</v>
      </c>
      <c r="V194" s="24"/>
      <c r="W194" s="132">
        <f>(U194/U187-1)*100</f>
        <v>4.9596727528111728</v>
      </c>
      <c r="X194" s="143" t="s">
        <v>1084</v>
      </c>
      <c r="Y194" s="24"/>
      <c r="Z194" s="958">
        <f>'store&amp;sf'!AQ531</f>
        <v>14.30875</v>
      </c>
      <c r="AA194" s="24"/>
      <c r="AB194" s="372">
        <f>AVERAGE(Z194,Z190)</f>
        <v>14.29875</v>
      </c>
      <c r="AC194" s="24"/>
      <c r="AD194" s="244">
        <f>(AB194/AB187-1)*100</f>
        <v>2.6701970111744355</v>
      </c>
      <c r="AE194" s="143" t="s">
        <v>1084</v>
      </c>
      <c r="AF194" s="297">
        <f>+H194/AD194*100</f>
        <v>58.332314414090504</v>
      </c>
      <c r="AG194" s="30" t="s">
        <v>1084</v>
      </c>
      <c r="AH194" s="24"/>
      <c r="AI194" s="33">
        <f>+S194</f>
        <v>2005.3221612903226</v>
      </c>
      <c r="AJ194" s="24"/>
      <c r="AK194" s="153">
        <f>AI194/AB194</f>
        <v>140.24457811279464</v>
      </c>
      <c r="AL194" s="24"/>
      <c r="AM194" s="132">
        <f>(AK194/AK187-1)*100</f>
        <v>3.7862893205867554</v>
      </c>
      <c r="AN194" s="143" t="s">
        <v>1084</v>
      </c>
    </row>
    <row r="195" spans="1:40">
      <c r="A195" s="24" t="str">
        <f>$A$48</f>
        <v>2Q</v>
      </c>
      <c r="B195" s="78" t="str">
        <f>$B$48</f>
        <v>Jul</v>
      </c>
      <c r="C195" s="24"/>
      <c r="D195" s="244">
        <f>(S195/S188-1)*100</f>
        <v>4.8077151416847874</v>
      </c>
      <c r="E195" s="244"/>
      <c r="F195" s="432">
        <f>'qtrP&amp;L'!DH11</f>
        <v>4</v>
      </c>
      <c r="G195" s="244"/>
      <c r="H195" s="244">
        <f>D195-F195</f>
        <v>0.80771514168478742</v>
      </c>
      <c r="I195" s="168"/>
      <c r="J195" s="361">
        <f>'store&amp;sf'!AQ168</f>
        <v>2976</v>
      </c>
      <c r="K195" s="168"/>
      <c r="L195" s="362">
        <f>AVERAGE(J195,J194)</f>
        <v>2971</v>
      </c>
      <c r="M195" s="168"/>
      <c r="N195" s="244">
        <f>(L195/L188-1)*100</f>
        <v>1.3128729752770685</v>
      </c>
      <c r="O195" s="254"/>
      <c r="P195" s="297">
        <f>H195/N195*100</f>
        <v>61.522718259497069</v>
      </c>
      <c r="Q195" s="253"/>
      <c r="R195" s="168"/>
      <c r="S195" s="249">
        <f>segqtrSales!S174+segqtrSales!S357+segqtrSales!S442</f>
        <v>2242.2049019607844</v>
      </c>
      <c r="T195" s="168"/>
      <c r="U195" s="257">
        <f>S195/L195</f>
        <v>0.75469703869430638</v>
      </c>
      <c r="V195" s="24"/>
      <c r="W195" s="132">
        <f>(U195/U188-1)*100</f>
        <v>3.4495539054158808</v>
      </c>
      <c r="X195" s="143"/>
      <c r="Y195" s="24"/>
      <c r="Z195" s="958">
        <f>'store&amp;sf'!AQ532</f>
        <v>14.392499999999998</v>
      </c>
      <c r="AA195" s="24"/>
      <c r="AB195" s="372">
        <f>AVERAGE(Z195,Z194)</f>
        <v>14.350624999999999</v>
      </c>
      <c r="AC195" s="24"/>
      <c r="AD195" s="244">
        <f>(AB195/AB188-1)*100</f>
        <v>2.8488241881299059</v>
      </c>
      <c r="AE195" s="143"/>
      <c r="AF195" s="297">
        <f>+H195/AD195*100</f>
        <v>28.352579462441568</v>
      </c>
      <c r="AG195" s="30"/>
      <c r="AH195" s="24"/>
      <c r="AI195" s="34">
        <f>+S195</f>
        <v>2242.2049019607844</v>
      </c>
      <c r="AJ195" s="24"/>
      <c r="AK195" s="154">
        <f>AI195/AB195</f>
        <v>156.24440761017618</v>
      </c>
      <c r="AL195" s="24"/>
      <c r="AM195" s="132">
        <f>(AK195/AK188-1)*100</f>
        <v>1.9046313548239491</v>
      </c>
      <c r="AN195" s="143"/>
    </row>
    <row r="196" spans="1:40">
      <c r="A196" s="24" t="str">
        <f>$A$49</f>
        <v>3Q</v>
      </c>
      <c r="B196" s="78" t="str">
        <f>$B$49</f>
        <v>Oct</v>
      </c>
      <c r="C196" s="24"/>
      <c r="D196" s="244">
        <f>(S196/S189-1)*100</f>
        <v>7.3289783563645017</v>
      </c>
      <c r="E196" s="244"/>
      <c r="F196" s="432">
        <f>'qtrP&amp;L'!DH12</f>
        <v>7</v>
      </c>
      <c r="G196" s="244"/>
      <c r="H196" s="244">
        <f>D196-F196</f>
        <v>0.32897835636450168</v>
      </c>
      <c r="I196" s="168"/>
      <c r="J196" s="361">
        <f>'store&amp;sf'!AQ169</f>
        <v>3003</v>
      </c>
      <c r="K196" s="168"/>
      <c r="L196" s="362">
        <f>AVERAGE(J196,J195)</f>
        <v>2989.5</v>
      </c>
      <c r="M196" s="168"/>
      <c r="N196" s="244">
        <f>(L196/L189-1)*100</f>
        <v>1.1161846778285245</v>
      </c>
      <c r="O196" s="254"/>
      <c r="P196" s="297">
        <f>H196/N196*100</f>
        <v>29.47347001792847</v>
      </c>
      <c r="Q196" s="253"/>
      <c r="R196" s="168"/>
      <c r="S196" s="249">
        <f>segqtrSales!S175+segqtrSales!S358+segqtrSales!S443</f>
        <v>2037.0546378737542</v>
      </c>
      <c r="T196" s="168"/>
      <c r="U196" s="257">
        <f>S196/L196</f>
        <v>0.68140312355703436</v>
      </c>
      <c r="V196" s="24"/>
      <c r="W196" s="132">
        <f>(U196/U189-1)*100</f>
        <v>6.144212915401126</v>
      </c>
      <c r="X196" s="143"/>
      <c r="Y196" s="24"/>
      <c r="Z196" s="958">
        <f>'store&amp;sf'!AQ533</f>
        <v>14.604999999999999</v>
      </c>
      <c r="AA196" s="24"/>
      <c r="AB196" s="372">
        <f>AVERAGE(Z196,Z195)</f>
        <v>14.498749999999998</v>
      </c>
      <c r="AC196" s="24"/>
      <c r="AD196" s="244">
        <f>(AB196/AB189-1)*100</f>
        <v>2.5461939704712222</v>
      </c>
      <c r="AE196" s="143"/>
      <c r="AF196" s="297">
        <f>+H196/AD196*100</f>
        <v>12.920396489023886</v>
      </c>
      <c r="AG196" s="30"/>
      <c r="AH196" s="24"/>
      <c r="AI196" s="34">
        <f>+S196</f>
        <v>2037.0546378737542</v>
      </c>
      <c r="AJ196" s="24"/>
      <c r="AK196" s="154">
        <f>AI196/AB196</f>
        <v>140.49863870152632</v>
      </c>
      <c r="AL196" s="24"/>
      <c r="AM196" s="132">
        <f>(AK196/AK189-1)*100</f>
        <v>4.6640291567237702</v>
      </c>
      <c r="AN196" s="143"/>
    </row>
    <row r="197" spans="1:40">
      <c r="A197" s="24" t="str">
        <f>$A$50</f>
        <v>4Q</v>
      </c>
      <c r="B197" s="78" t="str">
        <f>$B$50</f>
        <v>Jan</v>
      </c>
      <c r="C197" s="24"/>
      <c r="D197" s="242">
        <f>(S197/S190-1)*100</f>
        <v>6.88157226753221</v>
      </c>
      <c r="E197" s="168"/>
      <c r="F197" s="433">
        <f>'qtrP&amp;L'!DH13</f>
        <v>6</v>
      </c>
      <c r="G197" s="168"/>
      <c r="H197" s="242">
        <f>D197-F197</f>
        <v>0.88157226753220996</v>
      </c>
      <c r="I197" s="168"/>
      <c r="J197" s="361">
        <f>'store&amp;sf'!AQ170</f>
        <v>3005</v>
      </c>
      <c r="K197" s="168"/>
      <c r="L197" s="363">
        <f>AVERAGE(J197,J196)</f>
        <v>3004</v>
      </c>
      <c r="M197" s="168"/>
      <c r="N197" s="295">
        <f>(L197/L190-1)*100</f>
        <v>1.1447811447811373</v>
      </c>
      <c r="O197" s="254"/>
      <c r="P197" s="298">
        <f>H197/N197*100</f>
        <v>77.007930428549429</v>
      </c>
      <c r="Q197" s="253"/>
      <c r="R197" s="168"/>
      <c r="S197" s="250">
        <f>segqtrSales!S176+segqtrSales!S359+segqtrSales!S444</f>
        <v>3630.4690894589248</v>
      </c>
      <c r="T197" s="168"/>
      <c r="U197" s="258">
        <f>S197/L197</f>
        <v>1.2085449698598285</v>
      </c>
      <c r="V197" s="24"/>
      <c r="W197" s="131">
        <f>(U197/U190-1)*100</f>
        <v>5.671860730549505</v>
      </c>
      <c r="X197" s="143"/>
      <c r="Y197" s="24"/>
      <c r="Z197" s="958">
        <f>'store&amp;sf'!AQ534</f>
        <v>14.706250000000001</v>
      </c>
      <c r="AA197" s="24"/>
      <c r="AB197" s="373">
        <f>AVERAGE(Z197,Z196)</f>
        <v>14.655625000000001</v>
      </c>
      <c r="AC197" s="24"/>
      <c r="AD197" s="295">
        <f>(AB197/AB190-1)*100</f>
        <v>2.6573855179056194</v>
      </c>
      <c r="AE197" s="143"/>
      <c r="AF197" s="298">
        <f>+H197/AD197*100</f>
        <v>33.174421309671644</v>
      </c>
      <c r="AG197" s="30"/>
      <c r="AH197" s="24"/>
      <c r="AI197" s="38">
        <f>+S197</f>
        <v>3630.4690894589248</v>
      </c>
      <c r="AJ197" s="24"/>
      <c r="AK197" s="169">
        <f>AI197/AB197</f>
        <v>247.71847597485092</v>
      </c>
      <c r="AL197" s="24"/>
      <c r="AM197" s="131">
        <f>(AK197/AK190-1)*100</f>
        <v>4.1148395980626251</v>
      </c>
      <c r="AN197" s="143"/>
    </row>
    <row r="198" spans="1:40">
      <c r="A198" s="24"/>
      <c r="B198" s="78" t="str">
        <f>$B$51</f>
        <v>Year</v>
      </c>
      <c r="C198" s="24"/>
      <c r="D198" s="241">
        <f>(S198/S191-1)*100</f>
        <v>6.4310258829800571</v>
      </c>
      <c r="E198" s="168"/>
      <c r="F198" s="432">
        <f>F194*S194/$S$184+F195*S195/$S$184+F196*S196/$S$184+F197*S197/$S$184</f>
        <v>6.2452911398107469</v>
      </c>
      <c r="G198" s="168"/>
      <c r="H198" s="241">
        <f>D198-F198</f>
        <v>0.18573474316931016</v>
      </c>
      <c r="I198" s="168"/>
      <c r="J198" s="168"/>
      <c r="K198" s="168"/>
      <c r="L198" s="256">
        <f>AVERAGE(L194:L197)</f>
        <v>2983</v>
      </c>
      <c r="M198" s="168"/>
      <c r="N198" s="244">
        <f>(L198/L191-1)*100</f>
        <v>1.2731285011033711</v>
      </c>
      <c r="O198" s="254"/>
      <c r="P198" s="297">
        <f>H198/N198*100</f>
        <v>14.588844960138827</v>
      </c>
      <c r="Q198" s="253"/>
      <c r="R198" s="168"/>
      <c r="S198" s="240">
        <f>SUM(S194:S197)</f>
        <v>9915.0507905837876</v>
      </c>
      <c r="T198" s="168"/>
      <c r="U198" s="255">
        <f>SUM(U194:U197)</f>
        <v>3.320406601796198</v>
      </c>
      <c r="V198" s="24"/>
      <c r="W198" s="132">
        <f>(U198/U191-1)*100</f>
        <v>5.109486410445907</v>
      </c>
      <c r="X198" s="143"/>
      <c r="Y198" s="24"/>
      <c r="Z198" s="958"/>
      <c r="AA198" s="24"/>
      <c r="AB198" s="372">
        <f>AVERAGE(AB194:AB197)</f>
        <v>14.450937499999998</v>
      </c>
      <c r="AC198" s="24"/>
      <c r="AD198" s="244">
        <f>(AB198/AB191-1)*100</f>
        <v>2.6800781596944656</v>
      </c>
      <c r="AE198" s="143"/>
      <c r="AF198" s="297">
        <f>+H198/AD198*100</f>
        <v>6.9301987517589518</v>
      </c>
      <c r="AG198" s="30"/>
      <c r="AH198" s="24"/>
      <c r="AI198" s="33">
        <f>SUM(AI194:AI197)</f>
        <v>9915.0507905837876</v>
      </c>
      <c r="AJ198" s="24"/>
      <c r="AK198" s="153">
        <f>SUM(AK194:AK197)</f>
        <v>684.70610039934809</v>
      </c>
      <c r="AL198" s="24"/>
      <c r="AM198" s="132">
        <f>(AK198/AK191-1)*100</f>
        <v>3.6462592280297468</v>
      </c>
      <c r="AN198" s="143"/>
    </row>
    <row r="199" spans="1:40">
      <c r="A199" s="24"/>
      <c r="B199" s="78"/>
      <c r="C199" s="24"/>
      <c r="D199" s="241"/>
      <c r="E199" s="168"/>
      <c r="F199" s="432"/>
      <c r="G199" s="168"/>
      <c r="H199" s="241"/>
      <c r="I199" s="168"/>
      <c r="J199" s="168"/>
      <c r="K199" s="168"/>
      <c r="L199" s="256"/>
      <c r="M199" s="168"/>
      <c r="N199" s="244"/>
      <c r="O199" s="254"/>
      <c r="P199" s="297"/>
      <c r="Q199" s="253"/>
      <c r="R199" s="168"/>
      <c r="S199" s="240"/>
      <c r="T199" s="168"/>
      <c r="U199" s="255"/>
      <c r="V199" s="24"/>
      <c r="W199" s="132"/>
      <c r="X199" s="143"/>
      <c r="Y199" s="24"/>
      <c r="Z199" s="958"/>
      <c r="AA199" s="24"/>
      <c r="AB199" s="372"/>
      <c r="AC199" s="24"/>
      <c r="AD199" s="244"/>
      <c r="AE199" s="143"/>
      <c r="AF199" s="297"/>
      <c r="AG199" s="30"/>
      <c r="AH199" s="24"/>
      <c r="AI199" s="33"/>
      <c r="AJ199" s="24"/>
      <c r="AK199" s="153"/>
      <c r="AL199" s="24"/>
      <c r="AM199" s="132"/>
      <c r="AN199" s="143"/>
    </row>
    <row r="200" spans="1:40">
      <c r="A200" s="73"/>
      <c r="B200" s="75">
        <v>2016</v>
      </c>
      <c r="C200" s="24"/>
      <c r="D200" s="241"/>
      <c r="E200" s="168"/>
      <c r="F200" s="432"/>
      <c r="G200" s="168"/>
      <c r="H200" s="241"/>
      <c r="I200" s="168"/>
      <c r="J200" s="168"/>
      <c r="K200" s="168"/>
      <c r="L200" s="256"/>
      <c r="M200" s="168"/>
      <c r="N200" s="244"/>
      <c r="O200" s="254"/>
      <c r="P200" s="297"/>
      <c r="Q200" s="253"/>
      <c r="R200" s="168"/>
      <c r="S200" s="240"/>
      <c r="T200" s="168"/>
      <c r="U200" s="255"/>
      <c r="V200" s="24"/>
      <c r="W200" s="132"/>
      <c r="X200" s="143"/>
      <c r="Y200" s="24"/>
      <c r="Z200" s="958"/>
      <c r="AA200" s="24"/>
      <c r="AB200" s="372"/>
      <c r="AC200" s="24"/>
      <c r="AD200" s="244"/>
      <c r="AE200" s="143"/>
      <c r="AF200" s="297"/>
      <c r="AG200" s="30"/>
      <c r="AH200" s="24"/>
      <c r="AI200" s="33"/>
      <c r="AJ200" s="24"/>
      <c r="AK200" s="153"/>
      <c r="AL200" s="24"/>
      <c r="AM200" s="132"/>
      <c r="AN200" s="143"/>
    </row>
    <row r="201" spans="1:40">
      <c r="A201" s="24" t="str">
        <f>$A$47</f>
        <v>1Q</v>
      </c>
      <c r="B201" s="78" t="str">
        <f>$B$47</f>
        <v>Apr</v>
      </c>
      <c r="C201" s="24"/>
      <c r="D201" s="244">
        <f>(S201/S194-1)*100</f>
        <v>6.5489646125076906</v>
      </c>
      <c r="E201" s="296" t="s">
        <v>1084</v>
      </c>
      <c r="F201" s="432">
        <f>'qtrP&amp;L'!DL10</f>
        <v>3</v>
      </c>
      <c r="G201" s="296" t="s">
        <v>1084</v>
      </c>
      <c r="H201" s="244">
        <f>D201-F201</f>
        <v>3.5489646125076906</v>
      </c>
      <c r="I201" s="254" t="s">
        <v>1084</v>
      </c>
      <c r="J201" s="361">
        <f>'store&amp;sf'!AQ173</f>
        <v>3038</v>
      </c>
      <c r="K201" s="168"/>
      <c r="L201" s="362">
        <f>AVERAGE(J201,J197)</f>
        <v>3021.5</v>
      </c>
      <c r="M201" s="168"/>
      <c r="N201" s="244">
        <f>(L201/L194-1)*100</f>
        <v>1.8197135636057293</v>
      </c>
      <c r="O201" s="254" t="s">
        <v>1084</v>
      </c>
      <c r="P201" s="297">
        <f>H201/N201*100</f>
        <v>195.02874977067719</v>
      </c>
      <c r="Q201" s="253" t="s">
        <v>1084</v>
      </c>
      <c r="R201" s="168"/>
      <c r="S201" s="240">
        <f>+segqtrSales!S180+segqtrSales!S363+segqtrSales!S478</f>
        <v>2136.65</v>
      </c>
      <c r="T201" s="168"/>
      <c r="U201" s="255">
        <f>S201/L201</f>
        <v>0.70714876716862485</v>
      </c>
      <c r="V201" s="24"/>
      <c r="W201" s="132">
        <f>(U201/U194-1)*100</f>
        <v>4.6447302623255027</v>
      </c>
      <c r="X201" s="143" t="s">
        <v>1084</v>
      </c>
      <c r="Y201" s="24"/>
      <c r="Z201" s="958">
        <f>'store&amp;sf'!AQ537</f>
        <v>14.744999999999999</v>
      </c>
      <c r="AA201" s="24"/>
      <c r="AB201" s="372">
        <f>AVERAGE(Z201,Z197)</f>
        <v>14.725625000000001</v>
      </c>
      <c r="AC201" s="24"/>
      <c r="AD201" s="244">
        <f>(AB201/AB194-1)*100</f>
        <v>2.9854008217501615</v>
      </c>
      <c r="AE201" s="143" t="s">
        <v>1084</v>
      </c>
      <c r="AF201" s="297">
        <f>+H201/AD201*100</f>
        <v>118.8773241653744</v>
      </c>
      <c r="AG201" s="30" t="s">
        <v>1084</v>
      </c>
      <c r="AH201" s="24"/>
      <c r="AI201" s="33">
        <f>+S201</f>
        <v>2136.65</v>
      </c>
      <c r="AJ201" s="24"/>
      <c r="AK201" s="153">
        <f>AI201/AB201</f>
        <v>145.097406731463</v>
      </c>
      <c r="AL201" s="24"/>
      <c r="AM201" s="132">
        <f>(AK201/AK194-1)*100</f>
        <v>3.4602611266478789</v>
      </c>
      <c r="AN201" s="143" t="s">
        <v>1084</v>
      </c>
    </row>
    <row r="202" spans="1:40">
      <c r="A202" s="24" t="str">
        <f>$A$48</f>
        <v>2Q</v>
      </c>
      <c r="B202" s="78" t="str">
        <f>$B$48</f>
        <v>Jul</v>
      </c>
      <c r="C202" s="24"/>
      <c r="D202" s="244">
        <f>(S202/S195-1)*100</f>
        <v>5.7088492638329935</v>
      </c>
      <c r="E202" s="244"/>
      <c r="F202" s="432">
        <f>'qtrP&amp;L'!DL11</f>
        <v>3</v>
      </c>
      <c r="G202" s="244"/>
      <c r="H202" s="244">
        <f>D202-F202</f>
        <v>2.7088492638329935</v>
      </c>
      <c r="I202" s="168"/>
      <c r="J202" s="361">
        <f>'store&amp;sf'!AQ174</f>
        <v>3052</v>
      </c>
      <c r="K202" s="168"/>
      <c r="L202" s="362">
        <f>AVERAGE(J202,J201)</f>
        <v>3045</v>
      </c>
      <c r="M202" s="168"/>
      <c r="N202" s="244">
        <f>(L202/L195-1)*100</f>
        <v>2.4907438572871143</v>
      </c>
      <c r="O202" s="254"/>
      <c r="P202" s="297">
        <f>H202/N202*100</f>
        <v>108.75663733578116</v>
      </c>
      <c r="Q202" s="253"/>
      <c r="R202" s="168"/>
      <c r="S202" s="249">
        <f>+segqtrSales!S181+segqtrSales!S364+segqtrSales!S479</f>
        <v>2370.2089999999998</v>
      </c>
      <c r="T202" s="168"/>
      <c r="U202" s="257">
        <f>S202/L202</f>
        <v>0.77839376026272578</v>
      </c>
      <c r="V202" s="24"/>
      <c r="W202" s="132">
        <f>(U202/U195-1)*100</f>
        <v>3.1398985756478925</v>
      </c>
      <c r="X202" s="143"/>
      <c r="Y202" s="24"/>
      <c r="Z202" s="958">
        <f>'store&amp;sf'!AQ538</f>
        <v>14.896250000000002</v>
      </c>
      <c r="AA202" s="24"/>
      <c r="AB202" s="372">
        <f>AVERAGE(Z202,Z201)</f>
        <v>14.820625</v>
      </c>
      <c r="AC202" s="24"/>
      <c r="AD202" s="244">
        <f>(AB202/AB195-1)*100</f>
        <v>3.2751186795000331</v>
      </c>
      <c r="AE202" s="143"/>
      <c r="AF202" s="297">
        <f>+H202/AD202*100</f>
        <v>82.709957376155785</v>
      </c>
      <c r="AG202" s="30"/>
      <c r="AH202" s="24"/>
      <c r="AI202" s="34">
        <f>+S202</f>
        <v>2370.2089999999998</v>
      </c>
      <c r="AJ202" s="24"/>
      <c r="AK202" s="154">
        <f>AI202/AB202</f>
        <v>159.92638637034537</v>
      </c>
      <c r="AL202" s="24"/>
      <c r="AM202" s="132">
        <f>(AK202/AK195-1)*100</f>
        <v>2.3565507505110661</v>
      </c>
      <c r="AN202" s="143"/>
    </row>
    <row r="203" spans="1:40">
      <c r="A203" s="24" t="str">
        <f>$A$49</f>
        <v>3Q</v>
      </c>
      <c r="B203" s="78" t="str">
        <f>$B$49</f>
        <v>Oct</v>
      </c>
      <c r="C203" s="24"/>
      <c r="D203" s="244">
        <f>(S203/S196-1)*100</f>
        <v>6.0273475165301349</v>
      </c>
      <c r="E203" s="244"/>
      <c r="F203" s="432">
        <f>'qtrP&amp;L'!DL12</f>
        <v>2</v>
      </c>
      <c r="G203" s="244"/>
      <c r="H203" s="244">
        <f>D203-F203</f>
        <v>4.0273475165301349</v>
      </c>
      <c r="I203" s="168"/>
      <c r="J203" s="361">
        <f>'store&amp;sf'!AQ175</f>
        <v>3073</v>
      </c>
      <c r="K203" s="168"/>
      <c r="L203" s="362">
        <f>AVERAGE(J203,J202)</f>
        <v>3062.5</v>
      </c>
      <c r="M203" s="168"/>
      <c r="N203" s="244">
        <f>(L203/L196-1)*100</f>
        <v>2.4418799130289326</v>
      </c>
      <c r="O203" s="254"/>
      <c r="P203" s="297">
        <f>H203/N203*100</f>
        <v>164.92815617351846</v>
      </c>
      <c r="Q203" s="253"/>
      <c r="R203" s="168"/>
      <c r="S203" s="249">
        <f>+segqtrSales!S182+segqtrSales!S365+segqtrSales!S480</f>
        <v>2159.835</v>
      </c>
      <c r="T203" s="168"/>
      <c r="U203" s="257">
        <f>S203/L203</f>
        <v>0.70525224489795924</v>
      </c>
      <c r="V203" s="24"/>
      <c r="W203" s="132">
        <f>(U203/U196-1)*100</f>
        <v>3.5000017634830627</v>
      </c>
      <c r="X203" s="143"/>
      <c r="Y203" s="24"/>
      <c r="Z203" s="958">
        <f>'store&amp;sf'!AQ539</f>
        <v>15.202500000000001</v>
      </c>
      <c r="AA203" s="24"/>
      <c r="AB203" s="372">
        <f>AVERAGE(Z203,Z202)</f>
        <v>15.049375000000001</v>
      </c>
      <c r="AC203" s="24"/>
      <c r="AD203" s="244">
        <f>(AB203/AB196-1)*100</f>
        <v>3.7977411845849129</v>
      </c>
      <c r="AE203" s="143"/>
      <c r="AF203" s="297">
        <f>+H203/AD203*100</f>
        <v>106.04586570767903</v>
      </c>
      <c r="AG203" s="30"/>
      <c r="AH203" s="24"/>
      <c r="AI203" s="34">
        <f>+S203</f>
        <v>2159.835</v>
      </c>
      <c r="AJ203" s="24"/>
      <c r="AK203" s="154">
        <f>AI203/AB203</f>
        <v>143.51659122056563</v>
      </c>
      <c r="AL203" s="24"/>
      <c r="AM203" s="132">
        <f>(AK203/AK196-1)*100</f>
        <v>2.1480297225161094</v>
      </c>
      <c r="AN203" s="143"/>
    </row>
    <row r="204" spans="1:40">
      <c r="A204" s="24" t="str">
        <f>$A$50</f>
        <v>4Q</v>
      </c>
      <c r="B204" s="78" t="str">
        <f>$B$50</f>
        <v>Jan</v>
      </c>
      <c r="C204" s="24"/>
      <c r="D204" s="242">
        <f>(S204/S197-1)*100</f>
        <v>4.8529792211323475</v>
      </c>
      <c r="E204" s="168"/>
      <c r="F204" s="433">
        <f>'qtrP&amp;L'!DL13</f>
        <v>0</v>
      </c>
      <c r="G204" s="168"/>
      <c r="H204" s="242">
        <f>D204-F204</f>
        <v>4.8529792211323475</v>
      </c>
      <c r="I204" s="168"/>
      <c r="J204" s="361">
        <f>'store&amp;sf'!AQ176</f>
        <v>3074</v>
      </c>
      <c r="K204" s="168"/>
      <c r="L204" s="363">
        <f>AVERAGE(J204,J203)</f>
        <v>3073.5</v>
      </c>
      <c r="M204" s="168"/>
      <c r="N204" s="295">
        <f>(L204/L197-1)*100</f>
        <v>2.3135818908122552</v>
      </c>
      <c r="O204" s="254"/>
      <c r="P204" s="298">
        <f>H204/N204*100</f>
        <v>209.76042561556176</v>
      </c>
      <c r="Q204" s="253"/>
      <c r="R204" s="168"/>
      <c r="S204" s="250">
        <f>+segqtrSales!S183+segqtrSales!S366+segqtrSales!S481</f>
        <v>3806.6549999999993</v>
      </c>
      <c r="T204" s="168"/>
      <c r="U204" s="258">
        <f>S204/L204</f>
        <v>1.2385407515861393</v>
      </c>
      <c r="V204" s="24"/>
      <c r="W204" s="131">
        <f>(U204/U197-1)*100</f>
        <v>2.481974810568266</v>
      </c>
      <c r="X204" s="143"/>
      <c r="Y204" s="24"/>
      <c r="Z204" s="958">
        <f>'store&amp;sf'!AQ540</f>
        <v>15.2425</v>
      </c>
      <c r="AA204" s="24"/>
      <c r="AB204" s="373">
        <f>AVERAGE(Z204,Z203)</f>
        <v>15.2225</v>
      </c>
      <c r="AC204" s="24"/>
      <c r="AD204" s="295">
        <f>(AB204/AB197-1)*100</f>
        <v>3.8679687833169885</v>
      </c>
      <c r="AE204" s="143"/>
      <c r="AF204" s="298">
        <f>+H204/AD204*100</f>
        <v>125.46583214590115</v>
      </c>
      <c r="AG204" s="30"/>
      <c r="AH204" s="24"/>
      <c r="AI204" s="38">
        <f>+S204</f>
        <v>3806.6549999999993</v>
      </c>
      <c r="AJ204" s="24"/>
      <c r="AK204" s="169">
        <f>AI204/AB204</f>
        <v>250.06766299885032</v>
      </c>
      <c r="AL204" s="24"/>
      <c r="AM204" s="131">
        <f>(AK204/AK197-1)*100</f>
        <v>0.94832935442323851</v>
      </c>
      <c r="AN204" s="143"/>
    </row>
    <row r="205" spans="1:40">
      <c r="A205" s="24"/>
      <c r="B205" s="78" t="str">
        <f>$B$51</f>
        <v>Year</v>
      </c>
      <c r="C205" s="24"/>
      <c r="D205" s="241">
        <f>(S205/S198-1)*100</f>
        <v>5.630815426043223</v>
      </c>
      <c r="E205" s="168"/>
      <c r="F205" s="432">
        <f>F201*S201/$S$184+F202*S202/$S$184+F203*S203/$S$184+F204*S204/$S$184</f>
        <v>2.0243884366354767</v>
      </c>
      <c r="G205" s="168"/>
      <c r="H205" s="241">
        <f>D205-F205</f>
        <v>3.6064269894077463</v>
      </c>
      <c r="I205" s="168"/>
      <c r="J205" s="168"/>
      <c r="K205" s="168"/>
      <c r="L205" s="256">
        <f>AVERAGE(L201:L204)</f>
        <v>3050.625</v>
      </c>
      <c r="M205" s="168"/>
      <c r="N205" s="244">
        <f>(L205/L198-1)*100</f>
        <v>2.2670130740864991</v>
      </c>
      <c r="O205" s="254"/>
      <c r="P205" s="297">
        <f>H205/N205*100</f>
        <v>159.0827609523588</v>
      </c>
      <c r="Q205" s="253"/>
      <c r="R205" s="168"/>
      <c r="S205" s="240">
        <f>SUM(S201:S204)</f>
        <v>10473.349</v>
      </c>
      <c r="T205" s="168"/>
      <c r="U205" s="255">
        <f>SUM(U201:U204)</f>
        <v>3.4293355239154497</v>
      </c>
      <c r="V205" s="24"/>
      <c r="W205" s="132">
        <f>(U205/U198-1)*100</f>
        <v>3.2805898548788015</v>
      </c>
      <c r="X205" s="143"/>
      <c r="Y205" s="24"/>
      <c r="Z205" s="958"/>
      <c r="AA205" s="24"/>
      <c r="AB205" s="372">
        <f>AVERAGE(AB201:AB204)</f>
        <v>14.954531249999999</v>
      </c>
      <c r="AC205" s="24"/>
      <c r="AD205" s="244">
        <f>(AB205/AB198-1)*100</f>
        <v>3.4848517613476737</v>
      </c>
      <c r="AE205" s="143"/>
      <c r="AF205" s="297">
        <f>+H205/AD205*100</f>
        <v>103.48867717727701</v>
      </c>
      <c r="AG205" s="30"/>
      <c r="AH205" s="24"/>
      <c r="AI205" s="33">
        <f>SUM(AI201:AI204)</f>
        <v>10473.349</v>
      </c>
      <c r="AJ205" s="24"/>
      <c r="AK205" s="153">
        <f>SUM(AK201:AK204)</f>
        <v>698.60804732122426</v>
      </c>
      <c r="AL205" s="24"/>
      <c r="AM205" s="132">
        <f>(AK205/AK198-1)*100</f>
        <v>2.0303524262114792</v>
      </c>
      <c r="AN205" s="143"/>
    </row>
    <row r="206" spans="1:40">
      <c r="A206" s="24"/>
      <c r="B206" s="78"/>
      <c r="C206" s="24"/>
      <c r="D206" s="241"/>
      <c r="E206" s="168"/>
      <c r="F206" s="432"/>
      <c r="G206" s="168"/>
      <c r="H206" s="241"/>
      <c r="I206" s="168"/>
      <c r="J206" s="168"/>
      <c r="K206" s="168"/>
      <c r="L206" s="256"/>
      <c r="M206" s="168"/>
      <c r="N206" s="244"/>
      <c r="O206" s="254"/>
      <c r="P206" s="297"/>
      <c r="Q206" s="253"/>
      <c r="R206" s="168"/>
      <c r="S206" s="240"/>
      <c r="T206" s="168"/>
      <c r="U206" s="255"/>
      <c r="V206" s="24"/>
      <c r="W206" s="132"/>
      <c r="X206" s="143"/>
      <c r="Y206" s="24"/>
      <c r="Z206" s="958"/>
      <c r="AA206" s="24"/>
      <c r="AB206" s="372"/>
      <c r="AC206" s="24"/>
      <c r="AD206" s="244"/>
      <c r="AE206" s="143"/>
      <c r="AF206" s="297"/>
      <c r="AG206" s="30"/>
      <c r="AH206" s="24"/>
      <c r="AI206" s="33"/>
      <c r="AJ206" s="24"/>
      <c r="AK206" s="153"/>
      <c r="AL206" s="24"/>
      <c r="AM206" s="132"/>
      <c r="AN206" s="143"/>
    </row>
    <row r="207" spans="1:40">
      <c r="A207" s="73"/>
      <c r="B207" s="75">
        <v>2017</v>
      </c>
      <c r="C207" s="24"/>
      <c r="D207" s="241"/>
      <c r="E207" s="168"/>
      <c r="F207" s="432"/>
      <c r="G207" s="168"/>
      <c r="H207" s="241"/>
      <c r="I207" s="168"/>
      <c r="J207" s="168"/>
      <c r="K207" s="168"/>
      <c r="L207" s="256"/>
      <c r="M207" s="168"/>
      <c r="N207" s="244"/>
      <c r="O207" s="254"/>
      <c r="P207" s="297"/>
      <c r="Q207" s="253"/>
      <c r="R207" s="168"/>
      <c r="S207" s="240"/>
      <c r="T207" s="168"/>
      <c r="U207" s="255"/>
      <c r="V207" s="24"/>
      <c r="W207" s="132"/>
      <c r="X207" s="143"/>
      <c r="Y207" s="24"/>
      <c r="Z207" s="958"/>
      <c r="AA207" s="24"/>
      <c r="AB207" s="372"/>
      <c r="AC207" s="24"/>
      <c r="AD207" s="244"/>
      <c r="AE207" s="143"/>
      <c r="AF207" s="297"/>
      <c r="AG207" s="30"/>
      <c r="AH207" s="24"/>
      <c r="AI207" s="33"/>
      <c r="AJ207" s="24"/>
      <c r="AK207" s="153"/>
      <c r="AL207" s="24"/>
      <c r="AM207" s="132"/>
      <c r="AN207" s="143"/>
    </row>
    <row r="208" spans="1:40">
      <c r="A208" s="24" t="str">
        <f>$A$47</f>
        <v>1Q</v>
      </c>
      <c r="B208" s="78" t="str">
        <f>$B$47</f>
        <v>Apr</v>
      </c>
      <c r="C208" s="24"/>
      <c r="D208" s="244">
        <f>(S208/S201-1)*100</f>
        <v>-5.0940958977839124</v>
      </c>
      <c r="E208" s="296" t="s">
        <v>1084</v>
      </c>
      <c r="F208" s="432">
        <f>'qtrP&amp;L'!DP10</f>
        <v>-9</v>
      </c>
      <c r="G208" s="296" t="s">
        <v>1084</v>
      </c>
      <c r="H208" s="244">
        <f>D208-F208</f>
        <v>3.9059041022160876</v>
      </c>
      <c r="I208" s="254" t="s">
        <v>1084</v>
      </c>
      <c r="J208" s="361">
        <f>'store&amp;sf'!AQ179</f>
        <v>3080</v>
      </c>
      <c r="K208" s="168"/>
      <c r="L208" s="362">
        <f>AVERAGE(J208,J204)</f>
        <v>3077</v>
      </c>
      <c r="M208" s="168"/>
      <c r="N208" s="244">
        <f>(L208/L201-1)*100</f>
        <v>1.8368360086050028</v>
      </c>
      <c r="O208" s="254" t="s">
        <v>1084</v>
      </c>
      <c r="P208" s="297">
        <f>H208/N208*100</f>
        <v>212.64304945668243</v>
      </c>
      <c r="Q208" s="253" t="s">
        <v>1084</v>
      </c>
      <c r="R208" s="168"/>
      <c r="S208" s="240">
        <f>segqtrSales!S187+segqtrSales!S370+segqtrSales!S485</f>
        <v>2027.807</v>
      </c>
      <c r="T208" s="168"/>
      <c r="U208" s="255">
        <f>S208/L208</f>
        <v>0.65902079948001302</v>
      </c>
      <c r="V208" s="24"/>
      <c r="W208" s="132">
        <f>(U208/U201-1)*100</f>
        <v>-6.8059183474663882</v>
      </c>
      <c r="X208" s="143" t="s">
        <v>1084</v>
      </c>
      <c r="Y208" s="24"/>
      <c r="Z208" s="958">
        <f>'store&amp;sf'!AQ543</f>
        <v>15.266249999999999</v>
      </c>
      <c r="AA208" s="24"/>
      <c r="AB208" s="372">
        <f>AVERAGE(Z208,Z204)</f>
        <v>15.254375</v>
      </c>
      <c r="AC208" s="24"/>
      <c r="AD208" s="244">
        <f>(AB208/AB201-1)*100</f>
        <v>3.5906795127541136</v>
      </c>
      <c r="AE208" s="143" t="s">
        <v>1084</v>
      </c>
      <c r="AF208" s="297">
        <f>+H208/AD208*100</f>
        <v>108.77896755592624</v>
      </c>
      <c r="AG208" s="30" t="s">
        <v>1084</v>
      </c>
      <c r="AH208" s="24"/>
      <c r="AI208" s="33">
        <f>+S208</f>
        <v>2027.807</v>
      </c>
      <c r="AJ208" s="24"/>
      <c r="AK208" s="153">
        <f>AI208/AB208</f>
        <v>132.93281435653705</v>
      </c>
      <c r="AL208" s="24"/>
      <c r="AM208" s="132">
        <f>(AK208/AK201-1)*100</f>
        <v>-8.3837421005320873</v>
      </c>
      <c r="AN208" s="143" t="s">
        <v>1084</v>
      </c>
    </row>
    <row r="209" spans="1:40">
      <c r="A209" s="24" t="str">
        <f>$A$48</f>
        <v>2Q</v>
      </c>
      <c r="B209" s="78" t="str">
        <f>$B$48</f>
        <v>Jul</v>
      </c>
      <c r="C209" s="24"/>
      <c r="D209" s="244">
        <f>(S209/S202-1)*100</f>
        <v>-1.8956978055521545</v>
      </c>
      <c r="E209" s="244"/>
      <c r="F209" s="432">
        <f>'qtrP&amp;L'!DP11</f>
        <v>-8</v>
      </c>
      <c r="G209" s="244"/>
      <c r="H209" s="244">
        <f>D209-F209</f>
        <v>6.1043021944478451</v>
      </c>
      <c r="I209" s="168"/>
      <c r="J209" s="361">
        <f>'store&amp;sf'!AQ180</f>
        <v>3077</v>
      </c>
      <c r="K209" s="168"/>
      <c r="L209" s="362">
        <f>AVERAGE(J209,J208)</f>
        <v>3078.5</v>
      </c>
      <c r="M209" s="168"/>
      <c r="N209" s="244">
        <f>(L209/L202-1)*100</f>
        <v>1.1001642036124748</v>
      </c>
      <c r="O209" s="254"/>
      <c r="P209" s="297">
        <f>H209/N209*100</f>
        <v>554.85373677891846</v>
      </c>
      <c r="Q209" s="253"/>
      <c r="R209" s="168"/>
      <c r="S209" s="249">
        <f>segqtrSales!S188+segqtrSales!S371+segqtrSales!S486</f>
        <v>2325.277</v>
      </c>
      <c r="T209" s="168"/>
      <c r="U209" s="257">
        <f>S209/L209</f>
        <v>0.7553279194412863</v>
      </c>
      <c r="V209" s="24"/>
      <c r="W209" s="132">
        <f>(U209/U202-1)*100</f>
        <v>-2.963261269418993</v>
      </c>
      <c r="X209" s="143"/>
      <c r="Y209" s="24"/>
      <c r="Z209" s="958">
        <f>'store&amp;sf'!AQ544</f>
        <v>15.3675</v>
      </c>
      <c r="AA209" s="24"/>
      <c r="AB209" s="372">
        <f>AVERAGE(Z209,Z208)</f>
        <v>15.316875</v>
      </c>
      <c r="AC209" s="24"/>
      <c r="AD209" s="244">
        <f>(AB209/AB202-1)*100</f>
        <v>3.3483743094505192</v>
      </c>
      <c r="AE209" s="143"/>
      <c r="AF209" s="297">
        <f>+H209/AD209*100</f>
        <v>182.30644576440989</v>
      </c>
      <c r="AG209" s="30"/>
      <c r="AH209" s="24"/>
      <c r="AI209" s="34">
        <f>+S209</f>
        <v>2325.277</v>
      </c>
      <c r="AJ209" s="24"/>
      <c r="AK209" s="154">
        <f>AI209/AB209</f>
        <v>151.81144978985597</v>
      </c>
      <c r="AL209" s="24"/>
      <c r="AM209" s="132">
        <f>(AK209/AK202-1)*100</f>
        <v>-5.0741699132108469</v>
      </c>
      <c r="AN209" s="143"/>
    </row>
    <row r="210" spans="1:40">
      <c r="A210" s="24" t="str">
        <f>$A$49</f>
        <v>3Q</v>
      </c>
      <c r="B210" s="78" t="str">
        <f>$B$49</f>
        <v>Oct</v>
      </c>
      <c r="C210" s="24"/>
      <c r="D210" s="244">
        <f>(S210/S203-1)*100</f>
        <v>0.64153048728259332</v>
      </c>
      <c r="E210" s="244"/>
      <c r="F210" s="432">
        <f>'qtrP&amp;L'!DP12</f>
        <v>-1</v>
      </c>
      <c r="G210" s="244"/>
      <c r="H210" s="244">
        <f>D210-F210</f>
        <v>1.6415304872825933</v>
      </c>
      <c r="I210" s="168"/>
      <c r="J210" s="361">
        <f>'store&amp;sf'!AQ181</f>
        <v>3087</v>
      </c>
      <c r="K210" s="168"/>
      <c r="L210" s="362">
        <f>AVERAGE(J210,J209)</f>
        <v>3082</v>
      </c>
      <c r="M210" s="168"/>
      <c r="N210" s="244">
        <f>(L210/L203-1)*100</f>
        <v>0.63673469387754977</v>
      </c>
      <c r="O210" s="254"/>
      <c r="P210" s="297">
        <f>H210/N210*100</f>
        <v>257.80446755399754</v>
      </c>
      <c r="Q210" s="253"/>
      <c r="R210" s="168"/>
      <c r="S210" s="249">
        <f>segqtrSales!S189+segqtrSales!S372+segqtrSales!S487</f>
        <v>2173.6910000000003</v>
      </c>
      <c r="T210" s="168"/>
      <c r="U210" s="257">
        <f>S210/L210</f>
        <v>0.70528585334198579</v>
      </c>
      <c r="V210" s="24"/>
      <c r="W210" s="132">
        <f>(U210/U203-1)*100</f>
        <v>4.7654501307503594E-3</v>
      </c>
      <c r="X210" s="143"/>
      <c r="Y210" s="24"/>
      <c r="Z210" s="958">
        <f>'store&amp;sf'!AQ545</f>
        <v>15.688749999999997</v>
      </c>
      <c r="AA210" s="24"/>
      <c r="AB210" s="372">
        <f>AVERAGE(Z210,Z209)</f>
        <v>15.528124999999999</v>
      </c>
      <c r="AC210" s="24"/>
      <c r="AD210" s="244">
        <f>(AB210/AB203-1)*100</f>
        <v>3.1811952323601345</v>
      </c>
      <c r="AE210" s="143"/>
      <c r="AF210" s="297">
        <f>+H210/AD210*100</f>
        <v>51.601060839788161</v>
      </c>
      <c r="AG210" s="30"/>
      <c r="AH210" s="24"/>
      <c r="AI210" s="34">
        <f>+S210</f>
        <v>2173.6910000000003</v>
      </c>
      <c r="AJ210" s="24"/>
      <c r="AK210" s="154">
        <f>AI210/AB210</f>
        <v>139.98412557858725</v>
      </c>
      <c r="AL210" s="24"/>
      <c r="AM210" s="132">
        <f>(AK210/AK203-1)*100</f>
        <v>-2.4613639523735964</v>
      </c>
      <c r="AN210" s="143"/>
    </row>
    <row r="211" spans="1:40">
      <c r="A211" s="24" t="str">
        <f>$A$50</f>
        <v>4Q</v>
      </c>
      <c r="B211" s="78" t="str">
        <f>$B$50</f>
        <v>Jan</v>
      </c>
      <c r="C211" s="24"/>
      <c r="D211" s="242">
        <f>(S211/S204-1)*100</f>
        <v>5.1395516536171693</v>
      </c>
      <c r="E211" s="168"/>
      <c r="F211" s="433">
        <f>'qtrP&amp;L'!DP13</f>
        <v>2</v>
      </c>
      <c r="G211" s="168"/>
      <c r="H211" s="242">
        <f>D211-F211</f>
        <v>3.1395516536171693</v>
      </c>
      <c r="I211" s="168"/>
      <c r="J211" s="361">
        <f>'store&amp;sf'!AQ182</f>
        <v>3075</v>
      </c>
      <c r="K211" s="168"/>
      <c r="L211" s="363">
        <f>AVERAGE(J211,J210)</f>
        <v>3081</v>
      </c>
      <c r="M211" s="168"/>
      <c r="N211" s="295">
        <f>(L211/L204-1)*100</f>
        <v>0.24402147388971063</v>
      </c>
      <c r="O211" s="254"/>
      <c r="P211" s="298">
        <f>H211/N211*100</f>
        <v>1286.588267652272</v>
      </c>
      <c r="Q211" s="253"/>
      <c r="R211" s="168"/>
      <c r="S211" s="250">
        <f>segqtrSales!S190+segqtrSales!S373+segqtrSales!S488</f>
        <v>4002.3</v>
      </c>
      <c r="T211" s="168"/>
      <c r="U211" s="258">
        <f>S211/L211</f>
        <v>1.2990262901655307</v>
      </c>
      <c r="V211" s="24"/>
      <c r="W211" s="131">
        <f>(U211/U204-1)*100</f>
        <v>4.8836131150251205</v>
      </c>
      <c r="X211" s="143"/>
      <c r="Y211" s="24"/>
      <c r="Z211" s="958">
        <f>'store&amp;sf'!AQ546</f>
        <v>15.41</v>
      </c>
      <c r="AA211" s="24"/>
      <c r="AB211" s="373">
        <f>AVERAGE(Z211,Z210)</f>
        <v>15.549374999999998</v>
      </c>
      <c r="AC211" s="24"/>
      <c r="AD211" s="295">
        <f>(AB211/AB204-1)*100</f>
        <v>2.1473148300213296</v>
      </c>
      <c r="AE211" s="143"/>
      <c r="AF211" s="298">
        <f>+H211/AD211*100</f>
        <v>146.20826018260132</v>
      </c>
      <c r="AG211" s="30"/>
      <c r="AH211" s="24"/>
      <c r="AI211" s="38">
        <f>+S211</f>
        <v>4002.3</v>
      </c>
      <c r="AJ211" s="24"/>
      <c r="AK211" s="169">
        <f>AI211/AB211</f>
        <v>257.39298203303997</v>
      </c>
      <c r="AL211" s="24"/>
      <c r="AM211" s="131">
        <f>(AK211/AK204-1)*100</f>
        <v>2.92933478337154</v>
      </c>
      <c r="AN211" s="143"/>
    </row>
    <row r="212" spans="1:40">
      <c r="A212" s="24"/>
      <c r="B212" s="78" t="str">
        <f>$B$51</f>
        <v>Year</v>
      </c>
      <c r="C212" s="24"/>
      <c r="D212" s="241">
        <f>(S212/S205-1)*100</f>
        <v>0.53207431548401019</v>
      </c>
      <c r="E212" s="168"/>
      <c r="F212" s="432">
        <f>F208*S208/$S$184+F209*S209/$S$184+F210*S210/$S$184+F211*S211/$S$184</f>
        <v>-3.5201142447342799</v>
      </c>
      <c r="G212" s="168"/>
      <c r="H212" s="241">
        <f>D212-F212</f>
        <v>4.0521885602182905</v>
      </c>
      <c r="I212" s="168"/>
      <c r="J212" s="168"/>
      <c r="K212" s="168"/>
      <c r="L212" s="256">
        <f>AVERAGE(L208:L211)</f>
        <v>3079.625</v>
      </c>
      <c r="M212" s="168"/>
      <c r="N212" s="244">
        <f>(L212/L205-1)*100</f>
        <v>0.9506248719524768</v>
      </c>
      <c r="O212" s="254"/>
      <c r="P212" s="297">
        <f>H212/N212*100</f>
        <v>426.26578367295923</v>
      </c>
      <c r="Q212" s="253"/>
      <c r="R212" s="168"/>
      <c r="S212" s="240">
        <f>SUM(S208:S211)</f>
        <v>10529.075000000001</v>
      </c>
      <c r="T212" s="168"/>
      <c r="U212" s="255">
        <f>SUM(U208:U211)</f>
        <v>3.4186608624288159</v>
      </c>
      <c r="V212" s="24"/>
      <c r="W212" s="132">
        <f>(U212/U205-1)*100</f>
        <v>-0.31127492227549514</v>
      </c>
      <c r="X212" s="143"/>
      <c r="Y212" s="24"/>
      <c r="Z212" s="958"/>
      <c r="AA212" s="24"/>
      <c r="AB212" s="372">
        <f>AVERAGE(AB208:AB211)</f>
        <v>15.412187499999998</v>
      </c>
      <c r="AC212" s="24"/>
      <c r="AD212" s="244">
        <f>(AB212/AB205-1)*100</f>
        <v>3.0603182563813114</v>
      </c>
      <c r="AE212" s="143"/>
      <c r="AF212" s="297">
        <f>+H212/AD212*100</f>
        <v>132.41069133148986</v>
      </c>
      <c r="AG212" s="30"/>
      <c r="AH212" s="24"/>
      <c r="AI212" s="33">
        <f>SUM(AI208:AI211)</f>
        <v>10529.075000000001</v>
      </c>
      <c r="AJ212" s="24"/>
      <c r="AK212" s="153">
        <f>SUM(AK208:AK211)</f>
        <v>682.12137175802025</v>
      </c>
      <c r="AL212" s="24"/>
      <c r="AM212" s="132">
        <f>(AK212/AK205-1)*100</f>
        <v>-2.3599321001842588</v>
      </c>
      <c r="AN212" s="143"/>
    </row>
    <row r="213" spans="1:40" s="2702" customFormat="1">
      <c r="A213" s="24"/>
      <c r="B213" s="78"/>
      <c r="C213" s="24"/>
      <c r="D213" s="241"/>
      <c r="E213" s="168"/>
      <c r="F213" s="432"/>
      <c r="G213" s="168"/>
      <c r="H213" s="241"/>
      <c r="I213" s="168"/>
      <c r="J213" s="168"/>
      <c r="K213" s="168"/>
      <c r="L213" s="256"/>
      <c r="M213" s="168"/>
      <c r="N213" s="244"/>
      <c r="O213" s="254"/>
      <c r="P213" s="297"/>
      <c r="Q213" s="253"/>
      <c r="R213" s="168"/>
      <c r="S213" s="240"/>
      <c r="T213" s="168"/>
      <c r="U213" s="255"/>
      <c r="V213" s="24"/>
      <c r="W213" s="132"/>
      <c r="X213" s="143"/>
      <c r="Y213" s="24"/>
      <c r="Z213" s="958"/>
      <c r="AA213" s="24"/>
      <c r="AB213" s="372"/>
      <c r="AC213" s="24"/>
      <c r="AD213" s="244"/>
      <c r="AE213" s="143"/>
      <c r="AF213" s="297"/>
      <c r="AG213" s="30"/>
      <c r="AH213" s="24"/>
      <c r="AI213" s="33"/>
      <c r="AJ213" s="24"/>
      <c r="AK213" s="153"/>
      <c r="AL213" s="24"/>
      <c r="AM213" s="132"/>
      <c r="AN213" s="143"/>
    </row>
    <row r="214" spans="1:40" s="2702" customFormat="1">
      <c r="A214" s="73"/>
      <c r="B214" s="1147">
        <v>2018</v>
      </c>
      <c r="C214" s="24"/>
      <c r="D214" s="241"/>
      <c r="E214" s="168"/>
      <c r="F214" s="432"/>
      <c r="G214" s="168"/>
      <c r="H214" s="241"/>
      <c r="I214" s="168"/>
      <c r="J214" s="168"/>
      <c r="K214" s="168"/>
      <c r="L214" s="256"/>
      <c r="M214" s="168"/>
      <c r="N214" s="244"/>
      <c r="O214" s="254"/>
      <c r="P214" s="297"/>
      <c r="Q214" s="253"/>
      <c r="R214" s="168"/>
      <c r="S214" s="240"/>
      <c r="T214" s="168"/>
      <c r="U214" s="255"/>
      <c r="V214" s="24"/>
      <c r="W214" s="132"/>
      <c r="X214" s="143"/>
      <c r="Y214" s="24"/>
      <c r="Z214" s="958"/>
      <c r="AA214" s="24"/>
      <c r="AB214" s="372"/>
      <c r="AC214" s="24"/>
      <c r="AD214" s="244"/>
      <c r="AE214" s="143"/>
      <c r="AF214" s="297"/>
      <c r="AG214" s="30"/>
      <c r="AH214" s="24"/>
      <c r="AI214" s="33"/>
      <c r="AJ214" s="24"/>
      <c r="AK214" s="153"/>
      <c r="AL214" s="24"/>
      <c r="AM214" s="132"/>
      <c r="AN214" s="143"/>
    </row>
    <row r="215" spans="1:40" s="2702" customFormat="1">
      <c r="A215" s="24" t="str">
        <f>$A$47</f>
        <v>1Q</v>
      </c>
      <c r="B215" s="78" t="str">
        <f>$B$47</f>
        <v>Apr</v>
      </c>
      <c r="C215" s="24"/>
      <c r="D215" s="244">
        <f>(S215/S208-1)*100</f>
        <v>5.6738485929408222</v>
      </c>
      <c r="E215" s="296" t="s">
        <v>1084</v>
      </c>
      <c r="F215" s="432">
        <f>'qtrP&amp;L'!DT10</f>
        <v>2.3243581195333798</v>
      </c>
      <c r="G215" s="296" t="s">
        <v>1084</v>
      </c>
      <c r="H215" s="244">
        <f>D215-F215</f>
        <v>3.3494904734074424</v>
      </c>
      <c r="I215" s="254" t="s">
        <v>1084</v>
      </c>
      <c r="J215" s="361">
        <f>'store&amp;sf'!AQ185</f>
        <v>3093</v>
      </c>
      <c r="K215" s="168"/>
      <c r="L215" s="362">
        <f>AVERAGE(J215,J211)</f>
        <v>3084</v>
      </c>
      <c r="M215" s="168"/>
      <c r="N215" s="244">
        <f>(L215/L208-1)*100</f>
        <v>0.22749431264217357</v>
      </c>
      <c r="O215" s="254" t="s">
        <v>1084</v>
      </c>
      <c r="P215" s="297">
        <f>H215/N215*100</f>
        <v>1472.3403123821672</v>
      </c>
      <c r="Q215" s="253" t="s">
        <v>1084</v>
      </c>
      <c r="R215" s="168"/>
      <c r="S215" s="240">
        <f>segqtrSales!S194+segqtrSales!S377+segqtrSales!S492</f>
        <v>2142.8616989370557</v>
      </c>
      <c r="T215" s="168"/>
      <c r="U215" s="255">
        <f>S215/L215</f>
        <v>0.69483193869554338</v>
      </c>
      <c r="V215" s="24"/>
      <c r="W215" s="132">
        <f>(U215/U208-1)*100</f>
        <v>5.4339922569646371</v>
      </c>
      <c r="X215" s="143" t="s">
        <v>1084</v>
      </c>
      <c r="Y215" s="24"/>
      <c r="Z215" s="958">
        <f>'store&amp;sf'!AQ549</f>
        <v>15.528257526235441</v>
      </c>
      <c r="AA215" s="24"/>
      <c r="AB215" s="372">
        <f>AVERAGE(Z215,Z211)</f>
        <v>15.46912876311772</v>
      </c>
      <c r="AC215" s="24"/>
      <c r="AD215" s="244">
        <f>(AB215/AB208-1)*100</f>
        <v>1.4078175154191408</v>
      </c>
      <c r="AE215" s="143" t="s">
        <v>1084</v>
      </c>
      <c r="AF215" s="297">
        <f>+H215/AD215*100</f>
        <v>237.92078424384565</v>
      </c>
      <c r="AG215" s="30" t="s">
        <v>1084</v>
      </c>
      <c r="AH215" s="24"/>
      <c r="AI215" s="33">
        <f>+S215</f>
        <v>2142.8616989370557</v>
      </c>
      <c r="AJ215" s="24"/>
      <c r="AK215" s="153">
        <f>AI215/AB215</f>
        <v>138.52504118048168</v>
      </c>
      <c r="AL215" s="24"/>
      <c r="AM215" s="132">
        <f>(AK215/AK208-1)*100</f>
        <v>4.2068069129611585</v>
      </c>
      <c r="AN215" s="143" t="s">
        <v>1084</v>
      </c>
    </row>
    <row r="216" spans="1:40" s="2702" customFormat="1">
      <c r="A216" s="24" t="str">
        <f>$A$48</f>
        <v>2Q</v>
      </c>
      <c r="B216" s="78" t="str">
        <f>$B$48</f>
        <v>Jul</v>
      </c>
      <c r="C216" s="24"/>
      <c r="D216" s="244">
        <f>(S216/S209-1)*100</f>
        <v>5.0986462087630136</v>
      </c>
      <c r="E216" s="244"/>
      <c r="F216" s="432">
        <f>'qtrP&amp;L'!DT11</f>
        <v>2.106972222808702</v>
      </c>
      <c r="G216" s="244"/>
      <c r="H216" s="244">
        <f>D216-F216</f>
        <v>2.9916739859543116</v>
      </c>
      <c r="I216" s="168"/>
      <c r="J216" s="361">
        <f>'store&amp;sf'!AQ186</f>
        <v>3105</v>
      </c>
      <c r="K216" s="168"/>
      <c r="L216" s="362">
        <f>AVERAGE(J216,J215)</f>
        <v>3099</v>
      </c>
      <c r="M216" s="168"/>
      <c r="N216" s="244">
        <f>(L216/L209-1)*100</f>
        <v>0.66590872178009519</v>
      </c>
      <c r="O216" s="254"/>
      <c r="P216" s="297">
        <f>H216/N216*100</f>
        <v>449.26187150049975</v>
      </c>
      <c r="Q216" s="253"/>
      <c r="R216" s="168"/>
      <c r="S216" s="249">
        <f>segqtrSales!S195+segqtrSales!S378+segqtrSales!S493</f>
        <v>2443.8346476037382</v>
      </c>
      <c r="T216" s="168"/>
      <c r="U216" s="257">
        <f>S216/L216</f>
        <v>0.78858814056267768</v>
      </c>
      <c r="V216" s="24"/>
      <c r="W216" s="132">
        <f>(U216/U209-1)*100</f>
        <v>4.4034147640132026</v>
      </c>
      <c r="X216" s="143"/>
      <c r="Y216" s="24"/>
      <c r="Z216" s="958">
        <f>'store&amp;sf'!AQ550</f>
        <v>15.635349343658625</v>
      </c>
      <c r="AA216" s="24"/>
      <c r="AB216" s="372">
        <f>AVERAGE(Z216,Z215)</f>
        <v>15.581803434947034</v>
      </c>
      <c r="AC216" s="24"/>
      <c r="AD216" s="244">
        <f>(AB216/AB209-1)*100</f>
        <v>1.7296506953737856</v>
      </c>
      <c r="AE216" s="143"/>
      <c r="AF216" s="297">
        <f>+H216/AD216*100</f>
        <v>172.96405534111597</v>
      </c>
      <c r="AG216" s="30"/>
      <c r="AH216" s="24"/>
      <c r="AI216" s="34">
        <f>+S216</f>
        <v>2443.8346476037382</v>
      </c>
      <c r="AJ216" s="24"/>
      <c r="AK216" s="154">
        <f>AI216/AB216</f>
        <v>156.83901146658545</v>
      </c>
      <c r="AL216" s="24"/>
      <c r="AM216" s="132">
        <f>(AK216/AK209-1)*100</f>
        <v>3.311714421862666</v>
      </c>
      <c r="AN216" s="143"/>
    </row>
    <row r="217" spans="1:40" s="2702" customFormat="1">
      <c r="A217" s="24" t="str">
        <f>$A$49</f>
        <v>3Q</v>
      </c>
      <c r="B217" s="78" t="str">
        <f>$B$49</f>
        <v>Oct</v>
      </c>
      <c r="C217" s="24"/>
      <c r="D217" s="244">
        <f>(S217/S210-1)*100</f>
        <v>5.5522641344255108</v>
      </c>
      <c r="E217" s="244"/>
      <c r="F217" s="432">
        <f>'qtrP&amp;L'!DT12</f>
        <v>2.4935549770768137</v>
      </c>
      <c r="G217" s="244"/>
      <c r="H217" s="244">
        <f>D217-F217</f>
        <v>3.0587091573486971</v>
      </c>
      <c r="I217" s="168"/>
      <c r="J217" s="361">
        <f>'store&amp;sf'!AQ187</f>
        <v>3121</v>
      </c>
      <c r="K217" s="168"/>
      <c r="L217" s="362">
        <f>AVERAGE(J217,J216)</f>
        <v>3113</v>
      </c>
      <c r="M217" s="168"/>
      <c r="N217" s="244">
        <f>(L217/L210-1)*100</f>
        <v>1.0058403634003898</v>
      </c>
      <c r="O217" s="254"/>
      <c r="P217" s="297">
        <f>H217/N217*100</f>
        <v>304.09489106286065</v>
      </c>
      <c r="Q217" s="253"/>
      <c r="R217" s="168"/>
      <c r="S217" s="249">
        <f>segqtrSales!S196+segqtrSales!S379+segqtrSales!S494</f>
        <v>2294.3800657862353</v>
      </c>
      <c r="T217" s="168"/>
      <c r="U217" s="257">
        <f>S217/L217</f>
        <v>0.73703182325288641</v>
      </c>
      <c r="V217" s="24"/>
      <c r="W217" s="132">
        <f>(U217/U210-1)*100</f>
        <v>4.5011493936072622</v>
      </c>
      <c r="X217" s="143"/>
      <c r="Y217" s="24"/>
      <c r="Z217" s="958">
        <f>'store&amp;sf'!AQ551</f>
        <v>15.761823748580191</v>
      </c>
      <c r="AA217" s="24"/>
      <c r="AB217" s="372">
        <f>AVERAGE(Z217,Z216)</f>
        <v>15.698586546119408</v>
      </c>
      <c r="AC217" s="24"/>
      <c r="AD217" s="244">
        <f>(AB217/AB210-1)*100</f>
        <v>1.0977600072089144</v>
      </c>
      <c r="AE217" s="143"/>
      <c r="AF217" s="297">
        <f>+H217/AD217*100</f>
        <v>278.6318628172246</v>
      </c>
      <c r="AG217" s="30"/>
      <c r="AH217" s="24"/>
      <c r="AI217" s="34">
        <f>+S217</f>
        <v>2294.3800657862353</v>
      </c>
      <c r="AJ217" s="24"/>
      <c r="AK217" s="154">
        <f>AI217/AB217</f>
        <v>146.15201559998991</v>
      </c>
      <c r="AL217" s="24"/>
      <c r="AM217" s="132">
        <f>(AK217/AK210-1)*100</f>
        <v>4.4061353356384725</v>
      </c>
      <c r="AN217" s="143"/>
    </row>
    <row r="218" spans="1:40" s="2702" customFormat="1">
      <c r="A218" s="24" t="str">
        <f>$A$50</f>
        <v>4Q</v>
      </c>
      <c r="B218" s="78" t="str">
        <f>$B$50</f>
        <v>Jan</v>
      </c>
      <c r="C218" s="24"/>
      <c r="D218" s="242">
        <f>(S218/S211-1)*100</f>
        <v>-0.28983320205189234</v>
      </c>
      <c r="E218" s="168"/>
      <c r="F218" s="433">
        <f>'qtrP&amp;L'!DT13</f>
        <v>1.9552233969749644</v>
      </c>
      <c r="G218" s="168"/>
      <c r="H218" s="242">
        <f>D218-F218</f>
        <v>-2.2450565990268565</v>
      </c>
      <c r="I218" s="168"/>
      <c r="J218" s="361">
        <f>'store&amp;sf'!AQ188</f>
        <v>3114</v>
      </c>
      <c r="K218" s="168"/>
      <c r="L218" s="363">
        <f>AVERAGE(J218,J217)</f>
        <v>3117.5</v>
      </c>
      <c r="M218" s="168"/>
      <c r="N218" s="295">
        <f>(L218/L211-1)*100</f>
        <v>1.1846802986043459</v>
      </c>
      <c r="O218" s="254"/>
      <c r="P218" s="298">
        <f>H218/N218*100</f>
        <v>-189.50738031785656</v>
      </c>
      <c r="Q218" s="253"/>
      <c r="R218" s="168"/>
      <c r="S218" s="250">
        <f>segqtrSales!S197+segqtrSales!S380+segqtrSales!S495</f>
        <v>3990.7000057542773</v>
      </c>
      <c r="T218" s="168"/>
      <c r="U218" s="258">
        <f>S218/L218</f>
        <v>1.2800962328000889</v>
      </c>
      <c r="V218" s="24"/>
      <c r="W218" s="131">
        <f>(U218/U211-1)*100</f>
        <v>-1.4572497499669268</v>
      </c>
      <c r="X218" s="143"/>
      <c r="Y218" s="24"/>
      <c r="Z218" s="958">
        <f>'store&amp;sf'!AQ552</f>
        <v>15.742985073366517</v>
      </c>
      <c r="AA218" s="24"/>
      <c r="AB218" s="373">
        <f>AVERAGE(Z218,Z217)</f>
        <v>15.752404410973355</v>
      </c>
      <c r="AC218" s="24"/>
      <c r="AD218" s="295">
        <f>(AB218/AB211-1)*100</f>
        <v>1.3057078562537461</v>
      </c>
      <c r="AE218" s="143"/>
      <c r="AF218" s="298">
        <f>+H218/AD218*100</f>
        <v>-171.94172404447576</v>
      </c>
      <c r="AG218" s="30"/>
      <c r="AH218" s="24"/>
      <c r="AI218" s="38">
        <f>+S218</f>
        <v>3990.7000057542773</v>
      </c>
      <c r="AJ218" s="24"/>
      <c r="AK218" s="169">
        <f>AI218/AB218</f>
        <v>253.33910313871178</v>
      </c>
      <c r="AL218" s="24"/>
      <c r="AM218" s="131">
        <f>(AK218/AK211-1)*100</f>
        <v>-1.5749764668439248</v>
      </c>
      <c r="AN218" s="143"/>
    </row>
    <row r="219" spans="1:40" s="2702" customFormat="1">
      <c r="A219" s="24"/>
      <c r="B219" s="78" t="str">
        <f>$B$51</f>
        <v>Year</v>
      </c>
      <c r="C219" s="24"/>
      <c r="D219" s="241">
        <f>(S219/S212-1)*100</f>
        <v>3.2548103046213139</v>
      </c>
      <c r="E219" s="168"/>
      <c r="F219" s="432">
        <f>F215*S215/$S$219+F216*S216/$S$219+F217*S217/$S$219+F218*S218/$S$219</f>
        <v>2.1757017117429367</v>
      </c>
      <c r="G219" s="168"/>
      <c r="H219" s="241">
        <f>D219-F219</f>
        <v>1.0791085928783772</v>
      </c>
      <c r="I219" s="168"/>
      <c r="J219" s="168"/>
      <c r="K219" s="168"/>
      <c r="L219" s="256">
        <f>AVERAGE(L215:L218)</f>
        <v>3103.375</v>
      </c>
      <c r="M219" s="168"/>
      <c r="N219" s="244">
        <f>(L219/L212-1)*100</f>
        <v>0.771197791938949</v>
      </c>
      <c r="O219" s="254"/>
      <c r="P219" s="297">
        <f>H219/N219*100</f>
        <v>139.92630738286704</v>
      </c>
      <c r="Q219" s="253"/>
      <c r="R219" s="168"/>
      <c r="S219" s="240">
        <f>SUM(S215:S218)</f>
        <v>10871.776418081306</v>
      </c>
      <c r="T219" s="168"/>
      <c r="U219" s="255">
        <f>SUM(U215:U218)</f>
        <v>3.5005481353111962</v>
      </c>
      <c r="V219" s="24"/>
      <c r="W219" s="132">
        <f>(U219/U212-1)*100</f>
        <v>2.3953026105140607</v>
      </c>
      <c r="X219" s="143"/>
      <c r="Y219" s="24"/>
      <c r="Z219" s="958"/>
      <c r="AA219" s="24"/>
      <c r="AB219" s="372">
        <f>AVERAGE(AB215:AB218)</f>
        <v>15.625480788789378</v>
      </c>
      <c r="AC219" s="24"/>
      <c r="AD219" s="244">
        <f>(AB219/AB212-1)*100</f>
        <v>1.3839261220341292</v>
      </c>
      <c r="AE219" s="143"/>
      <c r="AF219" s="297">
        <f>+H219/AD219*100</f>
        <v>77.974436329901522</v>
      </c>
      <c r="AG219" s="30"/>
      <c r="AH219" s="24"/>
      <c r="AI219" s="33">
        <f>SUM(AI215:AI218)</f>
        <v>10871.776418081306</v>
      </c>
      <c r="AJ219" s="24"/>
      <c r="AK219" s="153">
        <f>SUM(AK215:AK218)</f>
        <v>694.85517138576881</v>
      </c>
      <c r="AL219" s="24"/>
      <c r="AM219" s="132">
        <f>(AK219/AK212-1)*100</f>
        <v>1.8667938221800462</v>
      </c>
      <c r="AN219" s="143"/>
    </row>
    <row r="220" spans="1:40" s="2702" customFormat="1">
      <c r="A220" s="24"/>
      <c r="B220" s="78"/>
      <c r="C220" s="24"/>
      <c r="D220" s="241"/>
      <c r="E220" s="168"/>
      <c r="F220" s="432"/>
      <c r="G220" s="168"/>
      <c r="H220" s="241"/>
      <c r="I220" s="168"/>
      <c r="J220" s="168"/>
      <c r="K220" s="168"/>
      <c r="L220" s="256"/>
      <c r="M220" s="168"/>
      <c r="N220" s="244"/>
      <c r="O220" s="254"/>
      <c r="P220" s="297"/>
      <c r="Q220" s="253"/>
      <c r="R220" s="168"/>
      <c r="S220" s="240"/>
      <c r="T220" s="168"/>
      <c r="U220" s="255"/>
      <c r="V220" s="24"/>
      <c r="W220" s="132"/>
      <c r="X220" s="143"/>
      <c r="Y220" s="24"/>
      <c r="Z220" s="958"/>
      <c r="AA220" s="24"/>
      <c r="AB220" s="372"/>
      <c r="AC220" s="24"/>
      <c r="AD220" s="244"/>
      <c r="AE220" s="143"/>
      <c r="AF220" s="297"/>
      <c r="AG220" s="30"/>
      <c r="AH220" s="24"/>
      <c r="AI220" s="33"/>
      <c r="AJ220" s="24"/>
      <c r="AK220" s="153"/>
      <c r="AL220" s="24"/>
      <c r="AM220" s="132"/>
      <c r="AN220" s="143"/>
    </row>
    <row r="221" spans="1:40">
      <c r="A221" s="23" t="s">
        <v>549</v>
      </c>
      <c r="B221" s="78"/>
      <c r="C221" s="24"/>
      <c r="D221" s="24"/>
      <c r="E221" s="24"/>
      <c r="F221" s="24"/>
      <c r="G221" s="24"/>
      <c r="H221" s="24"/>
      <c r="I221" s="24"/>
      <c r="J221" s="91"/>
      <c r="K221" s="24"/>
      <c r="L221" s="24"/>
      <c r="M221" s="24"/>
      <c r="N221" s="24"/>
      <c r="O221" s="24"/>
      <c r="P221" s="24"/>
      <c r="Q221" s="24"/>
      <c r="R221" s="24"/>
      <c r="S221" s="240"/>
      <c r="T221" s="24"/>
      <c r="U221" s="24"/>
      <c r="V221" s="24"/>
      <c r="W221" s="24"/>
      <c r="X221" s="24"/>
      <c r="Y221" s="24"/>
      <c r="Z221" s="960"/>
      <c r="AA221" s="24"/>
      <c r="AB221" s="24"/>
      <c r="AC221" s="24"/>
      <c r="AD221" s="24"/>
      <c r="AE221" s="24"/>
      <c r="AF221" s="24"/>
      <c r="AG221" s="24"/>
      <c r="AH221" s="24"/>
      <c r="AI221" s="546"/>
      <c r="AJ221" s="24"/>
      <c r="AK221" s="24"/>
      <c r="AL221" s="24"/>
      <c r="AM221" s="24"/>
      <c r="AN221" s="24"/>
    </row>
  </sheetData>
  <phoneticPr fontId="0" type="noConversion"/>
  <dataValidations count="1">
    <dataValidation type="custom" allowBlank="1" showInputMessage="1" showErrorMessage="1" sqref="F103:F104 S181:S183 F180:F183 F166:F169 S167:S169 F159:F162 S160:S162 S153:S155 F152:F155 S146:S148 F145:F148 S139:S141 F138:F141 F124:F127 F131:F134 S132:S134 F117:F119 S125:S127 F110:F112 S111:S113 S104:S106 S174:S176 F173:F176 S188:S190 F187:F190 F194:F197 F201:F204 F208:F211 F215:F218">
      <formula1>-1</formula1>
    </dataValidation>
  </dataValidations>
  <printOptions horizontalCentered="1"/>
  <pageMargins left="0" right="0" top="0.5" bottom="0" header="0.5" footer="0.5"/>
  <pageSetup scale="64" orientation="landscape" r:id="rId1"/>
  <headerFooter alignWithMargins="0">
    <oddFooter>&amp;R&amp;8&amp;D/&amp;T
&amp;F/&amp;A</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N265"/>
  <sheetViews>
    <sheetView showGridLines="0" topLeftCell="A7" zoomScaleNormal="100" zoomScaleSheetLayoutView="100" workbookViewId="0">
      <selection activeCell="R236" sqref="R236"/>
    </sheetView>
  </sheetViews>
  <sheetFormatPr defaultRowHeight="12.75" outlineLevelRow="2" outlineLevelCol="4"/>
  <cols>
    <col min="1" max="1" width="2.42578125" style="23" customWidth="1"/>
    <col min="2" max="2" width="5.5703125" style="23" customWidth="1"/>
    <col min="3" max="4" width="1.42578125" style="23" customWidth="1"/>
    <col min="5" max="5" width="6.85546875" style="23" customWidth="1" outlineLevel="1"/>
    <col min="6" max="6" width="3.85546875" style="23" customWidth="1" outlineLevel="2"/>
    <col min="7" max="8" width="3.7109375" style="23" customWidth="1" outlineLevel="1"/>
    <col min="9" max="9" width="15" style="23" hidden="1" customWidth="1" outlineLevel="2"/>
    <col min="10" max="10" width="4.28515625" style="23" hidden="1" customWidth="1" outlineLevel="2"/>
    <col min="11" max="11" width="7.7109375" style="23" customWidth="1" outlineLevel="1" collapsed="1"/>
    <col min="12" max="12" width="4.28515625" style="23" customWidth="1" outlineLevel="1"/>
    <col min="13" max="13" width="5.42578125" style="23" customWidth="1" outlineLevel="1"/>
    <col min="14" max="14" width="5.140625" style="23" hidden="1" customWidth="1" outlineLevel="2"/>
    <col min="15" max="15" width="5.5703125" style="23" hidden="1" customWidth="1" outlineLevel="2"/>
    <col min="16" max="16" width="3.85546875" style="23" hidden="1" customWidth="1" outlineLevel="2"/>
    <col min="17" max="17" width="0.85546875" style="23" hidden="1" customWidth="1" outlineLevel="2"/>
    <col min="18" max="18" width="6.28515625" style="23" customWidth="1" outlineLevel="1" collapsed="1"/>
    <col min="19" max="19" width="4.28515625" style="23" customWidth="1" outlineLevel="1"/>
    <col min="20" max="20" width="4.42578125" style="23" customWidth="1" outlineLevel="1"/>
    <col min="21" max="21" width="4" style="23" customWidth="1" outlineLevel="1"/>
    <col min="22" max="22" width="0.85546875" style="23" customWidth="1" outlineLevel="1"/>
    <col min="23" max="23" width="6.28515625" style="23" customWidth="1" outlineLevel="1"/>
    <col min="24" max="24" width="17.28515625" style="23" hidden="1" customWidth="1" outlineLevel="2"/>
    <col min="25" max="27" width="3.42578125" style="23" hidden="1" customWidth="1" outlineLevel="2"/>
    <col min="28" max="28" width="5" style="23" customWidth="1" outlineLevel="1" collapsed="1"/>
    <col min="29" max="29" width="4" style="23" customWidth="1" outlineLevel="1"/>
    <col min="30" max="30" width="3.7109375" style="23" customWidth="1" outlineLevel="1"/>
    <col min="31" max="32" width="1.42578125" style="23" customWidth="1" outlineLevel="1"/>
    <col min="33" max="33" width="6" style="23" customWidth="1" outlineLevel="1"/>
    <col min="34" max="34" width="4.7109375" style="23" customWidth="1" outlineLevel="1"/>
    <col min="35" max="35" width="3.140625" style="23" customWidth="1" outlineLevel="1"/>
    <col min="36" max="37" width="6.5703125" style="23" hidden="1" customWidth="1" outlineLevel="3"/>
    <col min="38" max="38" width="6.140625" style="23" hidden="1" customWidth="1" outlineLevel="3" collapsed="1"/>
    <col min="39" max="40" width="6.5703125" style="23" hidden="1" customWidth="1" outlineLevel="4"/>
    <col min="41" max="41" width="5.5703125" style="23" hidden="1" customWidth="1" outlineLevel="3" collapsed="1"/>
    <col min="42" max="42" width="5.7109375" style="23" hidden="1" customWidth="1" outlineLevel="3" collapsed="1"/>
    <col min="43" max="43" width="4.42578125" style="23" hidden="1" customWidth="1" outlineLevel="3"/>
    <col min="44" max="44" width="4.7109375" style="23" hidden="1" customWidth="1" outlineLevel="3"/>
    <col min="45" max="45" width="0.85546875" style="23" hidden="1" customWidth="1" outlineLevel="3"/>
    <col min="46" max="51" width="6.5703125" style="23" hidden="1" customWidth="1" outlineLevel="3"/>
    <col min="52" max="52" width="6.140625" style="23" hidden="1" customWidth="1" outlineLevel="2" collapsed="1"/>
    <col min="53" max="53" width="4.42578125" style="23" hidden="1" customWidth="1" outlineLevel="2"/>
    <col min="54" max="54" width="7.140625" style="23" hidden="1" customWidth="1" outlineLevel="2"/>
    <col min="55" max="55" width="6.28515625" style="23" hidden="1" customWidth="1" outlineLevel="2"/>
    <col min="56" max="56" width="5" style="23" hidden="1" customWidth="1" outlineLevel="2"/>
    <col min="57" max="57" width="8.140625" style="23" customWidth="1" outlineLevel="1" collapsed="1"/>
    <col min="58" max="58" width="4.140625" style="23" customWidth="1" outlineLevel="1"/>
    <col min="59" max="59" width="5" style="23" customWidth="1" outlineLevel="1"/>
    <col min="60" max="60" width="1.5703125" style="23" customWidth="1" outlineLevel="1"/>
    <col min="61" max="61" width="6.5703125" style="23" customWidth="1" outlineLevel="1"/>
    <col min="62" max="62" width="3.5703125" style="23" customWidth="1" outlineLevel="1"/>
    <col min="63" max="63" width="4.5703125" style="484" customWidth="1" outlineLevel="1"/>
    <col min="64" max="64" width="6.85546875" style="23" hidden="1" customWidth="1" outlineLevel="2"/>
    <col min="65" max="66" width="3.7109375" style="23" hidden="1" customWidth="1" outlineLevel="2"/>
    <col min="67" max="67" width="7.5703125" style="23" hidden="1" customWidth="1" outlineLevel="2"/>
    <col min="68" max="69" width="3.7109375" style="23" hidden="1" customWidth="1" outlineLevel="2"/>
    <col min="70" max="70" width="0.85546875" style="23" hidden="1" customWidth="1" outlineLevel="2"/>
    <col min="71" max="71" width="7" style="23" hidden="1" customWidth="1" outlineLevel="2"/>
    <col min="72" max="73" width="3.7109375" style="23" hidden="1" customWidth="1" outlineLevel="2"/>
    <col min="74" max="74" width="0.85546875" style="23" hidden="1" customWidth="1" outlineLevel="2"/>
    <col min="75" max="75" width="6.85546875" style="23" hidden="1" customWidth="1" outlineLevel="2"/>
    <col min="76" max="76" width="3.7109375" style="23" hidden="1" customWidth="1" outlineLevel="2"/>
    <col min="77" max="77" width="2.28515625" style="23" hidden="1" customWidth="1" outlineLevel="2"/>
    <col min="78" max="78" width="6.85546875" style="23" hidden="1" customWidth="1" outlineLevel="2"/>
    <col min="79" max="80" width="3.7109375" style="23" hidden="1" customWidth="1" outlineLevel="2"/>
    <col min="81" max="81" width="6.85546875" style="23" hidden="1" customWidth="1" outlineLevel="2"/>
    <col min="82" max="82" width="4.5703125" style="23" hidden="1" customWidth="1" outlineLevel="2"/>
    <col min="83" max="83" width="3.85546875" style="23" hidden="1" customWidth="1" outlineLevel="2"/>
    <col min="84" max="84" width="0.85546875" style="23" hidden="1" customWidth="1" outlineLevel="2"/>
    <col min="85" max="85" width="7" style="23" hidden="1" customWidth="1" outlineLevel="2"/>
    <col min="86" max="86" width="5" style="23" hidden="1" customWidth="1" outlineLevel="2"/>
    <col min="87" max="87" width="3.7109375" style="23" hidden="1" customWidth="1" outlineLevel="2"/>
    <col min="88" max="88" width="0.85546875" style="23" hidden="1" customWidth="1" outlineLevel="2"/>
    <col min="89" max="89" width="7" style="23" hidden="1" customWidth="1" outlineLevel="2"/>
    <col min="90" max="90" width="4.42578125" style="23" hidden="1" customWidth="1" outlineLevel="2"/>
    <col min="91" max="91" width="3.7109375" style="23" hidden="1" customWidth="1" outlineLevel="2"/>
    <col min="92" max="92" width="0.85546875" style="23" hidden="1" customWidth="1" outlineLevel="2"/>
    <col min="93" max="93" width="6.85546875" style="23" hidden="1" customWidth="1" outlineLevel="2"/>
    <col min="94" max="95" width="3.7109375" style="23" hidden="1" customWidth="1" outlineLevel="2"/>
    <col min="96" max="96" width="4.140625" style="23" customWidth="1" outlineLevel="1" collapsed="1"/>
    <col min="97" max="97" width="6.28515625" style="23" customWidth="1" outlineLevel="1"/>
    <col min="98" max="98" width="6.85546875" style="23" customWidth="1"/>
    <col min="99" max="99" width="4.42578125" style="23" customWidth="1"/>
    <col min="100" max="100" width="4.5703125" style="23" customWidth="1"/>
    <col min="101" max="101" width="5.85546875" style="23" hidden="1" customWidth="1" outlineLevel="1"/>
    <col min="102" max="102" width="4.5703125" style="23" hidden="1" customWidth="1" outlineLevel="1"/>
    <col min="103" max="103" width="4.28515625" style="23" hidden="1" customWidth="1" outlineLevel="1"/>
    <col min="104" max="104" width="2.5703125" style="23" customWidth="1" collapsed="1"/>
    <col min="105" max="105" width="7.28515625" style="23" customWidth="1"/>
    <col min="106" max="106" width="4.7109375" style="23" customWidth="1"/>
    <col min="107" max="107" width="4.42578125" style="23" customWidth="1"/>
    <col min="108" max="108" width="6.28515625" style="23" hidden="1" customWidth="1" outlineLevel="1"/>
    <col min="109" max="109" width="4.42578125" style="23" hidden="1" customWidth="1" outlineLevel="1"/>
    <col min="110" max="110" width="4.85546875" style="23" hidden="1" customWidth="1" outlineLevel="1"/>
    <col min="111" max="111" width="2.42578125" style="23" customWidth="1" collapsed="1"/>
    <col min="112" max="112" width="6.7109375" style="23" customWidth="1"/>
    <col min="113" max="113" width="5.42578125" style="23" customWidth="1"/>
    <col min="114" max="114" width="4.140625" style="23" customWidth="1"/>
    <col min="115" max="115" width="2.140625" style="23" customWidth="1"/>
    <col min="116" max="116" width="5.28515625" style="23" hidden="1" customWidth="1" outlineLevel="1"/>
    <col min="117" max="117" width="5.42578125" style="23" hidden="1" customWidth="1" outlineLevel="1"/>
    <col min="118" max="118" width="4.28515625" style="23" hidden="1" customWidth="1" outlineLevel="1"/>
    <col min="119" max="119" width="0.85546875" style="23" hidden="1" customWidth="1" outlineLevel="1"/>
    <col min="120" max="120" width="5.28515625" style="23" hidden="1" customWidth="1" outlineLevel="1"/>
    <col min="121" max="121" width="6.140625" style="23" hidden="1" customWidth="1" outlineLevel="1"/>
    <col min="122" max="122" width="5" style="23" hidden="1" customWidth="1" outlineLevel="1"/>
    <col min="123" max="123" width="2.42578125" style="23" customWidth="1" collapsed="1"/>
    <col min="124" max="124" width="5.7109375" style="23" customWidth="1"/>
    <col min="125" max="125" width="5.28515625" style="23" customWidth="1"/>
    <col min="126" max="126" width="4.140625" style="23" customWidth="1"/>
    <col min="127" max="127" width="0.85546875" style="23" customWidth="1"/>
    <col min="128" max="128" width="7" style="23" bestFit="1" customWidth="1"/>
    <col min="129" max="129" width="5" style="23" customWidth="1"/>
    <col min="130" max="131" width="3.7109375" style="23" customWidth="1"/>
    <col min="132" max="132" width="6.5703125" style="23" customWidth="1"/>
    <col min="133" max="133" width="17.28515625" style="23" customWidth="1"/>
    <col min="134" max="134" width="2.140625" style="23" customWidth="1"/>
    <col min="135" max="136" width="9.140625" style="23"/>
    <col min="137" max="137" width="5.28515625" style="23" customWidth="1"/>
    <col min="138" max="138" width="5" style="23" bestFit="1" customWidth="1"/>
    <col min="139" max="139" width="7.140625" style="23" bestFit="1" customWidth="1"/>
    <col min="140" max="140" width="5" style="23" bestFit="1" customWidth="1"/>
    <col min="141" max="16384" width="9.140625" style="23"/>
  </cols>
  <sheetData>
    <row r="1" spans="1:140">
      <c r="A1" s="25" t="str">
        <f>sumry!A1</f>
        <v>L Brands Inc.</v>
      </c>
      <c r="B1" s="76"/>
      <c r="C1" s="25"/>
      <c r="D1" s="25"/>
      <c r="E1" s="25"/>
      <c r="F1" s="25"/>
      <c r="G1" s="44"/>
      <c r="H1" s="25"/>
      <c r="I1" s="25"/>
      <c r="J1" s="25"/>
      <c r="K1" s="25"/>
      <c r="L1" s="25"/>
      <c r="M1" s="44"/>
      <c r="N1" s="44"/>
      <c r="O1" s="44"/>
      <c r="P1" s="44"/>
      <c r="Q1" s="48"/>
      <c r="R1" s="48"/>
      <c r="S1" s="25"/>
      <c r="T1" s="25"/>
      <c r="U1" s="44"/>
      <c r="V1" s="48"/>
      <c r="W1" s="48"/>
      <c r="X1" s="48"/>
      <c r="Y1" s="48"/>
      <c r="Z1" s="48"/>
      <c r="AA1" s="48"/>
      <c r="AB1" s="48"/>
      <c r="AC1" s="25"/>
      <c r="AD1" s="44"/>
      <c r="AE1" s="44"/>
      <c r="AF1" s="44"/>
      <c r="AG1" s="44"/>
      <c r="AH1" s="44"/>
      <c r="AI1" s="48"/>
      <c r="AJ1" s="48"/>
      <c r="AK1" s="48"/>
      <c r="AL1" s="48"/>
      <c r="AM1" s="48"/>
      <c r="AN1" s="48"/>
      <c r="AO1" s="48"/>
      <c r="AP1" s="44"/>
      <c r="AQ1" s="25"/>
      <c r="AR1" s="44"/>
      <c r="AS1" s="48"/>
      <c r="AT1" s="48"/>
      <c r="AU1" s="48"/>
      <c r="AV1" s="48"/>
      <c r="AW1" s="48"/>
      <c r="AX1" s="48"/>
      <c r="AY1" s="48"/>
      <c r="AZ1" s="48"/>
      <c r="BA1" s="48"/>
      <c r="BB1" s="48"/>
      <c r="BC1" s="44"/>
      <c r="BD1" s="25"/>
      <c r="BE1" s="44"/>
      <c r="BF1" s="25"/>
      <c r="BG1" s="44"/>
      <c r="BH1" s="48"/>
      <c r="BI1" s="44"/>
      <c r="BJ1" s="44"/>
      <c r="BK1" s="76"/>
      <c r="BL1" s="25"/>
      <c r="BM1" s="44"/>
      <c r="BN1" s="25"/>
      <c r="BO1" s="25"/>
      <c r="BP1" s="25"/>
      <c r="BQ1" s="44"/>
      <c r="BR1" s="48"/>
      <c r="BS1" s="48"/>
      <c r="BT1" s="25"/>
      <c r="BU1" s="44"/>
      <c r="BV1" s="48"/>
      <c r="BW1" s="44"/>
      <c r="BX1" s="25"/>
      <c r="BY1" s="49"/>
      <c r="BZ1" s="25"/>
      <c r="CA1" s="44"/>
      <c r="CB1" s="25"/>
      <c r="CC1" s="25"/>
      <c r="CD1" s="25"/>
      <c r="CE1" s="44"/>
      <c r="CF1" s="48"/>
      <c r="CG1" s="48"/>
      <c r="CH1" s="25"/>
      <c r="CI1" s="44"/>
      <c r="CJ1" s="48"/>
      <c r="CK1" s="48"/>
      <c r="CL1" s="25"/>
      <c r="CM1" s="44"/>
      <c r="CN1" s="48"/>
      <c r="CO1" s="44"/>
      <c r="CP1" s="25"/>
      <c r="CQ1" s="44"/>
      <c r="CR1" s="44"/>
      <c r="CS1" s="49"/>
      <c r="CT1" s="48"/>
      <c r="CU1" s="25"/>
      <c r="CV1" s="44"/>
      <c r="CW1" s="48"/>
      <c r="CX1" s="48"/>
      <c r="CY1" s="48"/>
      <c r="CZ1" s="48"/>
      <c r="DA1" s="48"/>
      <c r="DB1" s="25"/>
      <c r="DC1" s="44"/>
      <c r="DD1" s="44"/>
      <c r="DE1" s="44"/>
      <c r="DF1" s="44"/>
      <c r="DG1" s="44"/>
      <c r="DH1" s="44"/>
      <c r="DI1" s="25"/>
      <c r="DJ1" s="44"/>
      <c r="DK1" s="48"/>
      <c r="DL1" s="44"/>
      <c r="DM1" s="25"/>
      <c r="DN1" s="44"/>
      <c r="DO1" s="48"/>
      <c r="DP1" s="44"/>
      <c r="DQ1" s="25"/>
      <c r="DR1" s="44"/>
      <c r="DS1" s="48"/>
      <c r="DT1" s="44"/>
      <c r="DU1" s="25"/>
      <c r="DV1" s="44"/>
      <c r="DW1" s="48"/>
      <c r="DX1" s="44"/>
      <c r="DY1" s="25"/>
      <c r="DZ1" s="44"/>
      <c r="EA1" s="44"/>
      <c r="EB1" s="48"/>
      <c r="EC1" s="48"/>
      <c r="ED1" s="49"/>
      <c r="EE1" s="49"/>
      <c r="EG1" s="44"/>
      <c r="EH1" s="25"/>
      <c r="EI1" s="44"/>
      <c r="EJ1" s="25"/>
    </row>
    <row r="2" spans="1:140">
      <c r="A2" s="182" t="s">
        <v>337</v>
      </c>
      <c r="B2" s="77"/>
      <c r="C2" s="26"/>
      <c r="D2" s="26"/>
      <c r="E2" s="26"/>
      <c r="F2" s="26"/>
      <c r="G2" s="45"/>
      <c r="H2" s="26"/>
      <c r="I2" s="26"/>
      <c r="J2" s="26"/>
      <c r="K2" s="26"/>
      <c r="L2" s="26"/>
      <c r="M2" s="45"/>
      <c r="N2" s="45"/>
      <c r="O2" s="45"/>
      <c r="P2" s="45"/>
      <c r="Q2" s="26"/>
      <c r="R2" s="26"/>
      <c r="S2" s="26"/>
      <c r="T2" s="26"/>
      <c r="U2" s="45"/>
      <c r="V2" s="26"/>
      <c r="W2" s="26"/>
      <c r="X2" s="26"/>
      <c r="Y2" s="26"/>
      <c r="Z2" s="26"/>
      <c r="AA2" s="26"/>
      <c r="AB2" s="26"/>
      <c r="AC2" s="26"/>
      <c r="AD2" s="45"/>
      <c r="AE2" s="45"/>
      <c r="AF2" s="45"/>
      <c r="AG2" s="45"/>
      <c r="AH2" s="45"/>
      <c r="AI2" s="26"/>
      <c r="AJ2" s="26"/>
      <c r="AK2" s="26"/>
      <c r="AL2" s="26"/>
      <c r="AM2" s="26"/>
      <c r="AN2" s="26"/>
      <c r="AO2" s="26"/>
      <c r="AP2" s="45"/>
      <c r="AQ2" s="26"/>
      <c r="AR2" s="45"/>
      <c r="AS2" s="26"/>
      <c r="AT2" s="26"/>
      <c r="AU2" s="26"/>
      <c r="AV2" s="26"/>
      <c r="AW2" s="26"/>
      <c r="AX2" s="26"/>
      <c r="AY2" s="26"/>
      <c r="AZ2" s="26"/>
      <c r="BA2" s="26"/>
      <c r="BB2" s="26"/>
      <c r="BC2" s="45"/>
      <c r="BD2" s="26"/>
      <c r="BE2" s="45"/>
      <c r="BF2" s="26"/>
      <c r="BG2" s="45"/>
      <c r="BH2" s="26"/>
      <c r="BI2" s="45"/>
      <c r="BJ2" s="45"/>
      <c r="BK2" s="77"/>
      <c r="BL2" s="26"/>
      <c r="BM2" s="45"/>
      <c r="BN2" s="26"/>
      <c r="BO2" s="26"/>
      <c r="BP2" s="26"/>
      <c r="BQ2" s="45"/>
      <c r="BR2" s="26"/>
      <c r="BS2" s="26"/>
      <c r="BT2" s="26"/>
      <c r="BU2" s="45"/>
      <c r="BV2" s="26"/>
      <c r="BW2" s="45"/>
      <c r="BX2" s="26"/>
      <c r="BY2" s="45"/>
      <c r="BZ2" s="26"/>
      <c r="CA2" s="45"/>
      <c r="CB2" s="26"/>
      <c r="CC2" s="26"/>
      <c r="CD2" s="26"/>
      <c r="CE2" s="45"/>
      <c r="CF2" s="26"/>
      <c r="CG2" s="26"/>
      <c r="CH2" s="26"/>
      <c r="CI2" s="45"/>
      <c r="CJ2" s="26"/>
      <c r="CK2" s="26"/>
      <c r="CL2" s="26"/>
      <c r="CM2" s="45"/>
      <c r="CN2" s="26"/>
      <c r="CO2" s="45"/>
      <c r="CP2" s="26"/>
      <c r="CQ2" s="45"/>
      <c r="CR2" s="45"/>
      <c r="CS2" s="45"/>
      <c r="CT2" s="26"/>
      <c r="CU2" s="26"/>
      <c r="CV2" s="45"/>
      <c r="CW2" s="26"/>
      <c r="CX2" s="26"/>
      <c r="CY2" s="26"/>
      <c r="CZ2" s="26"/>
      <c r="DA2" s="26"/>
      <c r="DB2" s="26"/>
      <c r="DC2" s="45"/>
      <c r="DD2" s="45"/>
      <c r="DE2" s="45"/>
      <c r="DF2" s="45"/>
      <c r="DG2" s="45"/>
      <c r="DH2" s="45"/>
      <c r="DI2" s="26"/>
      <c r="DJ2" s="45"/>
      <c r="DK2" s="26"/>
      <c r="DL2" s="45"/>
      <c r="DM2" s="26"/>
      <c r="DN2" s="45"/>
      <c r="DO2" s="26"/>
      <c r="DP2" s="45"/>
      <c r="DQ2" s="26"/>
      <c r="DR2" s="45"/>
      <c r="DS2" s="26"/>
      <c r="DT2" s="45"/>
      <c r="DU2" s="26"/>
      <c r="DV2" s="45"/>
      <c r="DW2" s="26"/>
      <c r="DX2" s="45"/>
      <c r="DY2" s="26"/>
      <c r="DZ2" s="45"/>
      <c r="EA2" s="45"/>
      <c r="EB2" s="26"/>
      <c r="EC2" s="1968" t="s">
        <v>1155</v>
      </c>
      <c r="ED2" s="49"/>
      <c r="EE2" s="49"/>
      <c r="EG2" s="45"/>
      <c r="EH2" s="26"/>
      <c r="EI2" s="45"/>
      <c r="EJ2" s="26"/>
    </row>
    <row r="3" spans="1:140">
      <c r="A3" s="24"/>
      <c r="B3" s="24"/>
      <c r="C3" s="24"/>
      <c r="D3" s="24"/>
      <c r="E3" s="24"/>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78"/>
      <c r="BL3" s="24"/>
      <c r="BM3" s="24"/>
      <c r="BN3" s="24"/>
      <c r="BO3" s="24"/>
      <c r="BP3" s="24"/>
      <c r="BQ3" s="24"/>
      <c r="BR3" s="24"/>
      <c r="BS3" s="24"/>
      <c r="BT3" s="24"/>
      <c r="BU3" s="24"/>
      <c r="BV3" s="24"/>
      <c r="BW3" s="24"/>
      <c r="BX3" s="24"/>
      <c r="BY3" s="24"/>
      <c r="BZ3" s="24"/>
      <c r="CA3" s="24"/>
      <c r="CB3" s="24"/>
      <c r="CC3" s="24"/>
      <c r="CD3" s="24"/>
      <c r="CE3" s="24"/>
      <c r="CF3" s="24"/>
      <c r="CG3" s="24"/>
      <c r="CH3" s="24"/>
      <c r="CI3" s="24"/>
      <c r="CJ3" s="24"/>
      <c r="CK3" s="24"/>
      <c r="CL3" s="24"/>
      <c r="CM3" s="24"/>
      <c r="CN3" s="24"/>
      <c r="CO3" s="24"/>
      <c r="CP3" s="24"/>
      <c r="CQ3" s="24"/>
      <c r="CR3" s="24"/>
      <c r="CS3" s="24"/>
      <c r="CT3" s="24"/>
      <c r="CU3" s="24"/>
      <c r="CV3" s="24"/>
      <c r="CW3" s="24"/>
      <c r="CX3" s="24"/>
      <c r="CY3" s="24"/>
      <c r="CZ3" s="24"/>
      <c r="DA3" s="24"/>
      <c r="DB3" s="24"/>
      <c r="DC3" s="24"/>
      <c r="DD3" s="24"/>
      <c r="DE3" s="24"/>
      <c r="DF3" s="24"/>
      <c r="DG3" s="24"/>
      <c r="DH3" s="24"/>
      <c r="DI3" s="24"/>
      <c r="DJ3" s="24"/>
      <c r="DK3" s="24"/>
      <c r="DL3" s="24"/>
      <c r="DM3" s="24"/>
      <c r="DN3" s="24"/>
      <c r="DO3" s="24"/>
      <c r="DP3" s="24"/>
      <c r="DQ3" s="24"/>
      <c r="DR3" s="24"/>
      <c r="DS3" s="24"/>
      <c r="DT3" s="24"/>
      <c r="DU3" s="24"/>
      <c r="DV3" s="24"/>
      <c r="DW3" s="24"/>
      <c r="DX3" s="24"/>
      <c r="DY3" s="24"/>
      <c r="DZ3" s="24"/>
      <c r="EA3" s="24"/>
      <c r="EB3" s="30"/>
      <c r="EC3" s="1968" t="s">
        <v>221</v>
      </c>
      <c r="ED3" s="30"/>
      <c r="EE3" s="1968" t="s">
        <v>360</v>
      </c>
      <c r="EG3" s="24"/>
      <c r="EH3" s="24"/>
      <c r="EI3" s="24"/>
      <c r="EJ3" s="24"/>
    </row>
    <row r="4" spans="1:140">
      <c r="A4" s="24"/>
      <c r="B4" s="24"/>
      <c r="C4" s="24"/>
      <c r="D4" s="24"/>
      <c r="E4" s="1969" t="s">
        <v>890</v>
      </c>
      <c r="F4" s="1970"/>
      <c r="G4" s="1970"/>
      <c r="H4" s="1970"/>
      <c r="I4" s="1970"/>
      <c r="J4" s="1970"/>
      <c r="K4" s="1970"/>
      <c r="L4" s="1970"/>
      <c r="M4" s="1970"/>
      <c r="N4" s="1970"/>
      <c r="O4" s="1970"/>
      <c r="P4" s="1970"/>
      <c r="Q4" s="1970"/>
      <c r="R4" s="1970"/>
      <c r="S4" s="1970"/>
      <c r="T4" s="1970"/>
      <c r="U4" s="1970"/>
      <c r="V4" s="1970"/>
      <c r="W4" s="1970"/>
      <c r="X4" s="1970"/>
      <c r="Y4" s="1970"/>
      <c r="Z4" s="1970"/>
      <c r="AA4" s="1970"/>
      <c r="AB4" s="1970"/>
      <c r="AC4" s="1970"/>
      <c r="AD4" s="1970"/>
      <c r="AE4" s="1970"/>
      <c r="AF4" s="1970"/>
      <c r="AG4" s="1970"/>
      <c r="AH4" s="1970"/>
      <c r="AI4" s="1970"/>
      <c r="AJ4" s="1970"/>
      <c r="AK4" s="1970"/>
      <c r="AL4" s="1970"/>
      <c r="AM4" s="1970"/>
      <c r="AN4" s="1970"/>
      <c r="AO4" s="1970"/>
      <c r="AP4" s="1970"/>
      <c r="AQ4" s="1970"/>
      <c r="AR4" s="1970"/>
      <c r="AS4" s="1970"/>
      <c r="AT4" s="1970"/>
      <c r="AU4" s="1970"/>
      <c r="AV4" s="1970"/>
      <c r="AW4" s="1970"/>
      <c r="AX4" s="1970"/>
      <c r="AY4" s="1970"/>
      <c r="AZ4" s="1970"/>
      <c r="BA4" s="1970"/>
      <c r="BB4" s="1970"/>
      <c r="BC4" s="1970"/>
      <c r="BD4" s="1970"/>
      <c r="BE4" s="1970"/>
      <c r="BF4" s="1970"/>
      <c r="BG4" s="1970"/>
      <c r="BH4" s="1970"/>
      <c r="BI4" s="1970"/>
      <c r="BJ4" s="1970"/>
      <c r="BK4" s="2888"/>
      <c r="BL4" s="1969" t="s">
        <v>449</v>
      </c>
      <c r="BM4" s="1970"/>
      <c r="BN4" s="1970"/>
      <c r="BO4" s="1970"/>
      <c r="BP4" s="1970"/>
      <c r="BQ4" s="1970"/>
      <c r="BR4" s="1970"/>
      <c r="BS4" s="1970"/>
      <c r="BT4" s="1970"/>
      <c r="BU4" s="1970"/>
      <c r="BV4" s="1970"/>
      <c r="BW4" s="1970"/>
      <c r="BX4" s="331"/>
      <c r="BY4" s="24"/>
      <c r="BZ4" s="1969" t="s">
        <v>448</v>
      </c>
      <c r="CA4" s="1970"/>
      <c r="CB4" s="1970"/>
      <c r="CC4" s="1970"/>
      <c r="CD4" s="1970"/>
      <c r="CE4" s="1970"/>
      <c r="CF4" s="1970"/>
      <c r="CG4" s="1970"/>
      <c r="CH4" s="1970"/>
      <c r="CI4" s="1970"/>
      <c r="CJ4" s="1970"/>
      <c r="CK4" s="1970"/>
      <c r="CL4" s="1970"/>
      <c r="CM4" s="1970"/>
      <c r="CN4" s="1970"/>
      <c r="CO4" s="1970"/>
      <c r="CP4" s="1970"/>
      <c r="CQ4" s="331"/>
      <c r="CR4" s="333"/>
      <c r="CS4" s="24"/>
      <c r="CT4" s="1969" t="s">
        <v>892</v>
      </c>
      <c r="CU4" s="1970"/>
      <c r="CV4" s="1970"/>
      <c r="CW4" s="1970"/>
      <c r="CX4" s="1970"/>
      <c r="CY4" s="1970"/>
      <c r="CZ4" s="1970"/>
      <c r="DA4" s="1970"/>
      <c r="DB4" s="1970"/>
      <c r="DC4" s="1970"/>
      <c r="DD4" s="1970"/>
      <c r="DE4" s="1970"/>
      <c r="DF4" s="1970"/>
      <c r="DG4" s="1970"/>
      <c r="DH4" s="1970"/>
      <c r="DI4" s="1970"/>
      <c r="DJ4" s="1970"/>
      <c r="DK4" s="1970"/>
      <c r="DL4" s="1970"/>
      <c r="DM4" s="1970"/>
      <c r="DN4" s="1970"/>
      <c r="DO4" s="1970"/>
      <c r="DP4" s="1970"/>
      <c r="DQ4" s="1970"/>
      <c r="DR4" s="1970"/>
      <c r="DS4" s="1970"/>
      <c r="DT4" s="1970"/>
      <c r="DU4" s="1970"/>
      <c r="DV4" s="1970"/>
      <c r="DW4" s="1970"/>
      <c r="DX4" s="1970"/>
      <c r="DY4" s="1970"/>
      <c r="DZ4" s="331"/>
      <c r="EA4" s="1971" t="s">
        <v>309</v>
      </c>
      <c r="EB4" s="30"/>
      <c r="EC4" s="1972" t="s">
        <v>222</v>
      </c>
      <c r="ED4" s="30"/>
      <c r="EE4" s="1968" t="s">
        <v>223</v>
      </c>
      <c r="EG4" s="1970"/>
      <c r="EH4" s="1970"/>
      <c r="EI4" s="1970"/>
      <c r="EJ4" s="1970"/>
    </row>
    <row r="5" spans="1:140">
      <c r="A5" s="113"/>
      <c r="B5" s="24"/>
      <c r="C5" s="24"/>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78"/>
      <c r="BL5" s="24"/>
      <c r="BM5" s="24"/>
      <c r="BN5" s="24"/>
      <c r="BO5" s="24"/>
      <c r="BP5" s="24"/>
      <c r="BQ5" s="24"/>
      <c r="BR5" s="24"/>
      <c r="BS5" s="24"/>
      <c r="BT5" s="24"/>
      <c r="BU5" s="24"/>
      <c r="BV5" s="24"/>
      <c r="BW5" s="24"/>
      <c r="BX5" s="24"/>
      <c r="BY5" s="24"/>
      <c r="BZ5" s="24"/>
      <c r="CA5" s="24"/>
      <c r="CB5" s="24"/>
      <c r="CC5" s="24"/>
      <c r="CD5" s="24"/>
      <c r="CE5" s="24"/>
      <c r="CF5" s="24"/>
      <c r="CG5" s="24"/>
      <c r="CH5" s="24"/>
      <c r="CI5" s="24"/>
      <c r="CJ5" s="24"/>
      <c r="CK5" s="24"/>
      <c r="CL5" s="24"/>
      <c r="CM5" s="24"/>
      <c r="CN5" s="24"/>
      <c r="CO5" s="24"/>
      <c r="CP5" s="24"/>
      <c r="CQ5" s="24"/>
      <c r="CR5" s="24"/>
      <c r="CS5" s="24"/>
      <c r="CT5" s="24"/>
      <c r="CU5" s="24"/>
      <c r="CV5" s="24"/>
      <c r="CW5" s="24"/>
      <c r="CX5" s="24"/>
      <c r="CY5" s="24"/>
      <c r="CZ5" s="24"/>
      <c r="DA5" s="24"/>
      <c r="DB5" s="24"/>
      <c r="DC5" s="24"/>
      <c r="DD5" s="24"/>
      <c r="DE5" s="24"/>
      <c r="DF5" s="24"/>
      <c r="DG5" s="24"/>
      <c r="DH5" s="24"/>
      <c r="DI5" s="24"/>
      <c r="DJ5" s="24"/>
      <c r="DK5" s="24"/>
      <c r="DL5" s="24"/>
      <c r="DM5" s="24"/>
      <c r="DN5" s="24"/>
      <c r="DO5" s="24"/>
      <c r="DP5" s="24"/>
      <c r="DQ5" s="24"/>
      <c r="DR5" s="24"/>
      <c r="DS5" s="24"/>
      <c r="DT5" s="24"/>
      <c r="DU5" s="24"/>
      <c r="DV5" s="24"/>
      <c r="DW5" s="24"/>
      <c r="DX5" s="24"/>
      <c r="DY5" s="24"/>
      <c r="DZ5" s="24"/>
      <c r="EA5" s="24"/>
      <c r="EB5" s="30"/>
      <c r="EC5" s="30"/>
      <c r="ED5" s="30"/>
      <c r="EE5" s="30"/>
      <c r="EG5" s="24"/>
      <c r="EH5" s="24"/>
      <c r="EI5" s="24"/>
      <c r="EJ5" s="24"/>
    </row>
    <row r="6" spans="1:140">
      <c r="A6" s="113"/>
      <c r="B6" s="24"/>
      <c r="C6" s="24"/>
      <c r="D6" s="24"/>
      <c r="E6" s="72" t="s">
        <v>414</v>
      </c>
      <c r="F6" s="72"/>
      <c r="G6" s="72"/>
      <c r="H6" s="72"/>
      <c r="I6" s="72"/>
      <c r="J6" s="72"/>
      <c r="K6" s="72"/>
      <c r="L6" s="72"/>
      <c r="M6" s="72"/>
      <c r="N6" s="72"/>
      <c r="O6" s="72"/>
      <c r="P6" s="72"/>
      <c r="Q6" s="28"/>
      <c r="R6" s="72"/>
      <c r="S6" s="1973" t="s">
        <v>309</v>
      </c>
      <c r="T6" s="1973"/>
      <c r="U6" s="71"/>
      <c r="V6" s="24"/>
      <c r="W6" s="69" t="s">
        <v>1167</v>
      </c>
      <c r="X6" s="69"/>
      <c r="Y6" s="69"/>
      <c r="Z6" s="69"/>
      <c r="AA6" s="69"/>
      <c r="AB6" s="69"/>
      <c r="AC6" s="71"/>
      <c r="AD6" s="71"/>
      <c r="AE6" s="71"/>
      <c r="AF6" s="71"/>
      <c r="AG6" s="69" t="s">
        <v>1129</v>
      </c>
      <c r="AH6" s="71"/>
      <c r="AI6" s="71"/>
      <c r="AJ6" s="24"/>
      <c r="AK6" s="24"/>
      <c r="AL6" s="24"/>
      <c r="AM6" s="24"/>
      <c r="AN6" s="24"/>
      <c r="AO6" s="24"/>
      <c r="AP6" s="24"/>
      <c r="AQ6" s="71"/>
      <c r="AR6" s="71"/>
      <c r="AS6" s="24"/>
      <c r="AT6" s="24"/>
      <c r="AU6" s="24"/>
      <c r="AV6" s="24"/>
      <c r="AW6" s="24"/>
      <c r="AX6" s="24"/>
      <c r="AY6" s="24"/>
      <c r="AZ6" s="72" t="s">
        <v>1235</v>
      </c>
      <c r="BA6" s="28"/>
      <c r="BB6" s="28"/>
      <c r="BC6" s="28"/>
      <c r="BD6" s="28"/>
      <c r="BE6" s="28"/>
      <c r="BF6" s="28"/>
      <c r="BG6" s="28"/>
      <c r="BH6" s="24"/>
      <c r="BI6" s="24"/>
      <c r="BJ6" s="24"/>
      <c r="BK6" s="313"/>
      <c r="BL6" s="71"/>
      <c r="BM6" s="71"/>
      <c r="BN6" s="71"/>
      <c r="BO6" s="71"/>
      <c r="BP6" s="71"/>
      <c r="BQ6" s="71"/>
      <c r="BR6" s="24"/>
      <c r="BS6" s="69" t="s">
        <v>450</v>
      </c>
      <c r="BT6" s="71"/>
      <c r="BU6" s="71"/>
      <c r="BV6" s="24"/>
      <c r="BW6" s="24"/>
      <c r="BX6" s="71"/>
      <c r="BY6" s="24"/>
      <c r="BZ6" s="71"/>
      <c r="CA6" s="71"/>
      <c r="CB6" s="71"/>
      <c r="CC6" s="71"/>
      <c r="CD6" s="71"/>
      <c r="CE6" s="71"/>
      <c r="CF6" s="24"/>
      <c r="CG6" s="69" t="s">
        <v>450</v>
      </c>
      <c r="CH6" s="71"/>
      <c r="CI6" s="71"/>
      <c r="CJ6" s="24"/>
      <c r="CK6" s="69"/>
      <c r="CL6" s="71"/>
      <c r="CM6" s="71"/>
      <c r="CN6" s="24"/>
      <c r="CO6" s="24"/>
      <c r="CP6" s="71"/>
      <c r="CQ6" s="71"/>
      <c r="CR6" s="71"/>
      <c r="CS6" s="24"/>
      <c r="CT6" s="69"/>
      <c r="CU6" s="71"/>
      <c r="CV6" s="71"/>
      <c r="CW6" s="69"/>
      <c r="CX6" s="69"/>
      <c r="CY6" s="69"/>
      <c r="CZ6" s="24"/>
      <c r="DA6" s="69" t="s">
        <v>1167</v>
      </c>
      <c r="DB6" s="71"/>
      <c r="DC6" s="71"/>
      <c r="DD6" s="71"/>
      <c r="DE6" s="71"/>
      <c r="DF6" s="71"/>
      <c r="DG6" s="71"/>
      <c r="DH6" s="69" t="s">
        <v>1129</v>
      </c>
      <c r="DI6" s="71"/>
      <c r="DJ6" s="71"/>
      <c r="DK6" s="24"/>
      <c r="DL6" s="72" t="s">
        <v>707</v>
      </c>
      <c r="DM6" s="28"/>
      <c r="DN6" s="28"/>
      <c r="DO6" s="28"/>
      <c r="DP6" s="28"/>
      <c r="DQ6" s="28"/>
      <c r="DR6" s="28"/>
      <c r="DS6" s="72" t="s">
        <v>707</v>
      </c>
      <c r="DT6" s="72"/>
      <c r="DU6" s="28"/>
      <c r="DV6" s="28"/>
      <c r="DW6" s="24"/>
      <c r="DX6" s="69" t="s">
        <v>894</v>
      </c>
      <c r="DY6" s="71"/>
      <c r="DZ6" s="71"/>
      <c r="EA6" s="71"/>
      <c r="EB6" s="30"/>
      <c r="EC6" s="30"/>
      <c r="ED6" s="30"/>
      <c r="EE6" s="30"/>
      <c r="EG6" s="24"/>
      <c r="EH6" s="71"/>
      <c r="EI6" s="24"/>
      <c r="EJ6" s="71"/>
    </row>
    <row r="7" spans="1:140">
      <c r="A7" s="113"/>
      <c r="B7" s="24"/>
      <c r="C7" s="24"/>
      <c r="D7" s="24"/>
      <c r="E7" s="24"/>
      <c r="F7" s="380" t="s">
        <v>1198</v>
      </c>
      <c r="G7" s="380" t="s">
        <v>1084</v>
      </c>
      <c r="H7" s="380" t="s">
        <v>1084</v>
      </c>
      <c r="I7" s="380"/>
      <c r="J7" s="380" t="s">
        <v>1084</v>
      </c>
      <c r="K7" s="24"/>
      <c r="L7" s="380" t="s">
        <v>1084</v>
      </c>
      <c r="M7" s="380" t="s">
        <v>1084</v>
      </c>
      <c r="N7" s="543" t="s">
        <v>399</v>
      </c>
      <c r="O7" s="380" t="s">
        <v>1084</v>
      </c>
      <c r="P7" s="380" t="s">
        <v>1084</v>
      </c>
      <c r="Q7" s="24"/>
      <c r="R7" s="69"/>
      <c r="S7" s="380" t="s">
        <v>1084</v>
      </c>
      <c r="T7" s="380" t="s">
        <v>360</v>
      </c>
      <c r="U7" s="380" t="s">
        <v>1084</v>
      </c>
      <c r="V7" s="24"/>
      <c r="W7" s="69" t="s">
        <v>374</v>
      </c>
      <c r="X7" s="69"/>
      <c r="Y7" s="380" t="s">
        <v>1084</v>
      </c>
      <c r="Z7" s="380"/>
      <c r="AA7" s="380" t="s">
        <v>1198</v>
      </c>
      <c r="AB7" s="380" t="s">
        <v>360</v>
      </c>
      <c r="AC7" s="380" t="s">
        <v>1084</v>
      </c>
      <c r="AD7" s="380" t="s">
        <v>1084</v>
      </c>
      <c r="AE7" s="380"/>
      <c r="AF7" s="380"/>
      <c r="AG7" s="69" t="s">
        <v>416</v>
      </c>
      <c r="AH7" s="380" t="s">
        <v>1084</v>
      </c>
      <c r="AI7" s="380" t="s">
        <v>1084</v>
      </c>
      <c r="AJ7" s="71"/>
      <c r="AK7" s="71"/>
      <c r="AL7" s="1696" t="s">
        <v>673</v>
      </c>
      <c r="AM7" s="143" t="s">
        <v>1161</v>
      </c>
      <c r="AN7" s="143" t="s">
        <v>1169</v>
      </c>
      <c r="AO7" s="24"/>
      <c r="AP7" s="69"/>
      <c r="AQ7" s="380" t="s">
        <v>1084</v>
      </c>
      <c r="AR7" s="380" t="s">
        <v>1084</v>
      </c>
      <c r="AS7" s="24"/>
      <c r="AT7" s="382"/>
      <c r="AU7" s="143" t="s">
        <v>0</v>
      </c>
      <c r="AV7" s="143"/>
      <c r="AW7" s="143" t="s">
        <v>636</v>
      </c>
      <c r="AX7" s="143"/>
      <c r="AY7" s="143"/>
      <c r="AZ7" s="69" t="s">
        <v>399</v>
      </c>
      <c r="BA7" s="380" t="s">
        <v>1084</v>
      </c>
      <c r="BB7" s="380" t="s">
        <v>1084</v>
      </c>
      <c r="BC7" s="69"/>
      <c r="BD7" s="380" t="s">
        <v>1084</v>
      </c>
      <c r="BE7" s="69" t="s">
        <v>889</v>
      </c>
      <c r="BF7" s="380" t="s">
        <v>1084</v>
      </c>
      <c r="BG7" s="380" t="s">
        <v>1084</v>
      </c>
      <c r="BH7" s="24"/>
      <c r="BI7" s="69" t="s">
        <v>724</v>
      </c>
      <c r="BJ7" s="380" t="s">
        <v>529</v>
      </c>
      <c r="BK7" s="541" t="s">
        <v>1084</v>
      </c>
      <c r="BL7" s="1974" t="s">
        <v>899</v>
      </c>
      <c r="BM7" s="380" t="s">
        <v>1084</v>
      </c>
      <c r="BN7" s="380" t="s">
        <v>1084</v>
      </c>
      <c r="BO7" s="69" t="s">
        <v>898</v>
      </c>
      <c r="BP7" s="380" t="s">
        <v>1084</v>
      </c>
      <c r="BQ7" s="380" t="s">
        <v>1084</v>
      </c>
      <c r="BR7" s="24"/>
      <c r="BS7" s="69" t="s">
        <v>1111</v>
      </c>
      <c r="BT7" s="380" t="s">
        <v>1084</v>
      </c>
      <c r="BU7" s="380" t="s">
        <v>1084</v>
      </c>
      <c r="BV7" s="24"/>
      <c r="BW7" s="69"/>
      <c r="BX7" s="380" t="s">
        <v>1084</v>
      </c>
      <c r="BY7" s="24"/>
      <c r="BZ7" s="1974" t="s">
        <v>899</v>
      </c>
      <c r="CA7" s="380" t="s">
        <v>1084</v>
      </c>
      <c r="CB7" s="380" t="s">
        <v>1084</v>
      </c>
      <c r="CC7" s="69" t="s">
        <v>898</v>
      </c>
      <c r="CD7" s="380" t="s">
        <v>1084</v>
      </c>
      <c r="CE7" s="380" t="s">
        <v>1084</v>
      </c>
      <c r="CF7" s="24"/>
      <c r="CG7" s="69" t="s">
        <v>1111</v>
      </c>
      <c r="CH7" s="380" t="s">
        <v>1084</v>
      </c>
      <c r="CI7" s="380" t="s">
        <v>1084</v>
      </c>
      <c r="CJ7" s="24"/>
      <c r="CK7" s="69"/>
      <c r="CL7" s="380" t="s">
        <v>1084</v>
      </c>
      <c r="CM7" s="380" t="s">
        <v>1084</v>
      </c>
      <c r="CN7" s="24"/>
      <c r="CO7" s="70" t="s">
        <v>724</v>
      </c>
      <c r="CP7" s="380" t="s">
        <v>1084</v>
      </c>
      <c r="CQ7" s="380" t="s">
        <v>1084</v>
      </c>
      <c r="CR7" s="380"/>
      <c r="CS7" s="24"/>
      <c r="CT7" s="69" t="s">
        <v>308</v>
      </c>
      <c r="CU7" s="380" t="s">
        <v>1084</v>
      </c>
      <c r="CV7" s="380" t="s">
        <v>1084</v>
      </c>
      <c r="CW7" s="69" t="s">
        <v>169</v>
      </c>
      <c r="CX7" s="380" t="s">
        <v>1084</v>
      </c>
      <c r="CY7" s="380" t="s">
        <v>1084</v>
      </c>
      <c r="CZ7" s="24"/>
      <c r="DA7" s="69" t="s">
        <v>374</v>
      </c>
      <c r="DB7" s="380" t="s">
        <v>1084</v>
      </c>
      <c r="DC7" s="380" t="s">
        <v>1084</v>
      </c>
      <c r="DD7" s="69" t="s">
        <v>897</v>
      </c>
      <c r="DE7" s="380" t="s">
        <v>1084</v>
      </c>
      <c r="DF7" s="380" t="s">
        <v>1084</v>
      </c>
      <c r="DG7" s="380"/>
      <c r="DH7" s="69" t="s">
        <v>415</v>
      </c>
      <c r="DI7" s="380" t="s">
        <v>1084</v>
      </c>
      <c r="DJ7" s="380" t="s">
        <v>1084</v>
      </c>
      <c r="DK7" s="24"/>
      <c r="DL7" s="69" t="s">
        <v>140</v>
      </c>
      <c r="DM7" s="380" t="s">
        <v>1084</v>
      </c>
      <c r="DN7" s="380" t="s">
        <v>1084</v>
      </c>
      <c r="DO7" s="24"/>
      <c r="DP7" s="69"/>
      <c r="DQ7" s="380" t="s">
        <v>1084</v>
      </c>
      <c r="DR7" s="380" t="s">
        <v>1084</v>
      </c>
      <c r="DS7" s="24"/>
      <c r="DT7" s="69"/>
      <c r="DU7" s="380" t="s">
        <v>1084</v>
      </c>
      <c r="DV7" s="380" t="s">
        <v>1084</v>
      </c>
      <c r="DW7" s="24"/>
      <c r="DX7" s="69" t="s">
        <v>895</v>
      </c>
      <c r="DY7" s="380" t="s">
        <v>1084</v>
      </c>
      <c r="DZ7" s="380" t="s">
        <v>1084</v>
      </c>
      <c r="EA7" s="380"/>
      <c r="EB7" s="24"/>
      <c r="EC7" s="24"/>
      <c r="ED7" s="24"/>
      <c r="EE7" s="24"/>
      <c r="EG7" s="69"/>
      <c r="EH7" s="380" t="s">
        <v>1084</v>
      </c>
      <c r="EI7" s="69"/>
      <c r="EJ7" s="380" t="s">
        <v>1084</v>
      </c>
    </row>
    <row r="8" spans="1:140">
      <c r="A8" s="113"/>
      <c r="B8" s="24"/>
      <c r="C8" s="24"/>
      <c r="D8" s="24"/>
      <c r="E8" s="68" t="s">
        <v>1186</v>
      </c>
      <c r="F8" s="1975" t="s">
        <v>1283</v>
      </c>
      <c r="G8" s="2139" t="s">
        <v>528</v>
      </c>
      <c r="H8" s="1976" t="s">
        <v>529</v>
      </c>
      <c r="I8" s="1977" t="s">
        <v>167</v>
      </c>
      <c r="J8" s="1975" t="s">
        <v>528</v>
      </c>
      <c r="K8" s="68" t="s">
        <v>532</v>
      </c>
      <c r="L8" s="1975" t="s">
        <v>528</v>
      </c>
      <c r="M8" s="1976" t="s">
        <v>529</v>
      </c>
      <c r="N8" s="1977" t="s">
        <v>400</v>
      </c>
      <c r="O8" s="1975" t="s">
        <v>528</v>
      </c>
      <c r="P8" s="1976" t="s">
        <v>529</v>
      </c>
      <c r="Q8" s="24"/>
      <c r="R8" s="68" t="s">
        <v>360</v>
      </c>
      <c r="S8" s="1975" t="s">
        <v>528</v>
      </c>
      <c r="T8" s="1975" t="s">
        <v>1283</v>
      </c>
      <c r="U8" s="1976" t="s">
        <v>529</v>
      </c>
      <c r="V8" s="24"/>
      <c r="W8" s="68" t="s">
        <v>375</v>
      </c>
      <c r="X8" s="542" t="s">
        <v>168</v>
      </c>
      <c r="Y8" s="1975" t="s">
        <v>528</v>
      </c>
      <c r="Z8" s="1975"/>
      <c r="AA8" s="1975" t="s">
        <v>1283</v>
      </c>
      <c r="AB8" s="1975" t="s">
        <v>361</v>
      </c>
      <c r="AC8" s="1975" t="s">
        <v>528</v>
      </c>
      <c r="AD8" s="1976" t="s">
        <v>529</v>
      </c>
      <c r="AE8" s="1976"/>
      <c r="AF8" s="1976"/>
      <c r="AG8" s="68" t="s">
        <v>417</v>
      </c>
      <c r="AH8" s="1975" t="s">
        <v>528</v>
      </c>
      <c r="AI8" s="1976" t="s">
        <v>529</v>
      </c>
      <c r="AJ8" s="382" t="s">
        <v>637</v>
      </c>
      <c r="AK8" s="382" t="s">
        <v>638</v>
      </c>
      <c r="AL8" s="382" t="s">
        <v>988</v>
      </c>
      <c r="AM8" s="382" t="s">
        <v>306</v>
      </c>
      <c r="AN8" s="382" t="s">
        <v>1170</v>
      </c>
      <c r="AO8" s="382" t="s">
        <v>636</v>
      </c>
      <c r="AP8" s="68" t="s">
        <v>376</v>
      </c>
      <c r="AQ8" s="1975" t="s">
        <v>528</v>
      </c>
      <c r="AR8" s="1976" t="s">
        <v>529</v>
      </c>
      <c r="AS8" s="24"/>
      <c r="AT8" s="382" t="s">
        <v>3</v>
      </c>
      <c r="AU8" s="382" t="s">
        <v>1</v>
      </c>
      <c r="AV8" s="382" t="s">
        <v>4</v>
      </c>
      <c r="AW8" s="382" t="s">
        <v>5</v>
      </c>
      <c r="AX8" s="382" t="s">
        <v>7</v>
      </c>
      <c r="AY8" s="382" t="s">
        <v>889</v>
      </c>
      <c r="AZ8" s="68" t="s">
        <v>400</v>
      </c>
      <c r="BA8" s="1975" t="s">
        <v>528</v>
      </c>
      <c r="BB8" s="1976" t="s">
        <v>529</v>
      </c>
      <c r="BC8" s="68" t="s">
        <v>889</v>
      </c>
      <c r="BD8" s="1975" t="s">
        <v>528</v>
      </c>
      <c r="BE8" s="68"/>
      <c r="BF8" s="1975" t="s">
        <v>528</v>
      </c>
      <c r="BG8" s="1976" t="s">
        <v>529</v>
      </c>
      <c r="BH8" s="24"/>
      <c r="BI8" s="68" t="s">
        <v>891</v>
      </c>
      <c r="BJ8" s="1975" t="s">
        <v>1283</v>
      </c>
      <c r="BK8" s="2889" t="s">
        <v>528</v>
      </c>
      <c r="BL8" s="68" t="s">
        <v>900</v>
      </c>
      <c r="BM8" s="1975" t="s">
        <v>528</v>
      </c>
      <c r="BN8" s="1976" t="s">
        <v>529</v>
      </c>
      <c r="BO8" s="68" t="s">
        <v>901</v>
      </c>
      <c r="BP8" s="1975" t="s">
        <v>528</v>
      </c>
      <c r="BQ8" s="1976" t="s">
        <v>529</v>
      </c>
      <c r="BR8" s="24"/>
      <c r="BS8" s="68" t="s">
        <v>889</v>
      </c>
      <c r="BT8" s="1975" t="s">
        <v>528</v>
      </c>
      <c r="BU8" s="1976" t="s">
        <v>529</v>
      </c>
      <c r="BV8" s="24"/>
      <c r="BW8" s="68" t="s">
        <v>724</v>
      </c>
      <c r="BX8" s="1975" t="s">
        <v>528</v>
      </c>
      <c r="BY8" s="24"/>
      <c r="BZ8" s="68" t="s">
        <v>900</v>
      </c>
      <c r="CA8" s="1975" t="s">
        <v>528</v>
      </c>
      <c r="CB8" s="1976" t="s">
        <v>893</v>
      </c>
      <c r="CC8" s="68" t="s">
        <v>901</v>
      </c>
      <c r="CD8" s="1975" t="s">
        <v>528</v>
      </c>
      <c r="CE8" s="1976" t="s">
        <v>893</v>
      </c>
      <c r="CF8" s="24"/>
      <c r="CG8" s="68" t="s">
        <v>889</v>
      </c>
      <c r="CH8" s="1975" t="s">
        <v>528</v>
      </c>
      <c r="CI8" s="1976" t="s">
        <v>893</v>
      </c>
      <c r="CJ8" s="24"/>
      <c r="CK8" s="68" t="s">
        <v>4</v>
      </c>
      <c r="CL8" s="1975" t="s">
        <v>528</v>
      </c>
      <c r="CM8" s="1976" t="s">
        <v>893</v>
      </c>
      <c r="CN8" s="24"/>
      <c r="CO8" s="68" t="s">
        <v>1113</v>
      </c>
      <c r="CP8" s="1975" t="s">
        <v>528</v>
      </c>
      <c r="CQ8" s="1976" t="s">
        <v>893</v>
      </c>
      <c r="CR8" s="1976"/>
      <c r="CS8" s="24"/>
      <c r="CT8" s="68" t="s">
        <v>307</v>
      </c>
      <c r="CU8" s="1975" t="s">
        <v>528</v>
      </c>
      <c r="CV8" s="1976" t="s">
        <v>893</v>
      </c>
      <c r="CW8" s="70" t="s">
        <v>97</v>
      </c>
      <c r="CX8" s="1975" t="s">
        <v>528</v>
      </c>
      <c r="CY8" s="1976" t="s">
        <v>893</v>
      </c>
      <c r="CZ8" s="24"/>
      <c r="DA8" s="68" t="s">
        <v>375</v>
      </c>
      <c r="DB8" s="1975" t="s">
        <v>528</v>
      </c>
      <c r="DC8" s="1976" t="s">
        <v>893</v>
      </c>
      <c r="DD8" s="70" t="s">
        <v>97</v>
      </c>
      <c r="DE8" s="1975" t="s">
        <v>528</v>
      </c>
      <c r="DF8" s="1976" t="s">
        <v>893</v>
      </c>
      <c r="DG8" s="1976"/>
      <c r="DH8" s="68" t="s">
        <v>897</v>
      </c>
      <c r="DI8" s="1975" t="s">
        <v>528</v>
      </c>
      <c r="DJ8" s="1976" t="s">
        <v>893</v>
      </c>
      <c r="DK8" s="24"/>
      <c r="DL8" s="68" t="s">
        <v>400</v>
      </c>
      <c r="DM8" s="1975" t="s">
        <v>528</v>
      </c>
      <c r="DN8" s="1976" t="s">
        <v>893</v>
      </c>
      <c r="DO8" s="24"/>
      <c r="DP8" s="68" t="s">
        <v>889</v>
      </c>
      <c r="DQ8" s="1975" t="s">
        <v>528</v>
      </c>
      <c r="DR8" s="1976" t="s">
        <v>893</v>
      </c>
      <c r="DS8" s="24"/>
      <c r="DT8" s="68" t="s">
        <v>360</v>
      </c>
      <c r="DU8" s="1975" t="s">
        <v>528</v>
      </c>
      <c r="DV8" s="1976" t="s">
        <v>893</v>
      </c>
      <c r="DW8" s="24"/>
      <c r="DX8" s="68" t="s">
        <v>896</v>
      </c>
      <c r="DY8" s="1975" t="s">
        <v>528</v>
      </c>
      <c r="DZ8" s="1976" t="s">
        <v>893</v>
      </c>
      <c r="EA8" s="1978" t="s">
        <v>228</v>
      </c>
      <c r="EB8" s="1979"/>
      <c r="EC8" s="24"/>
      <c r="ED8" s="24"/>
      <c r="EE8" s="24"/>
      <c r="EG8" s="68" t="s">
        <v>1129</v>
      </c>
      <c r="EH8" s="1975" t="s">
        <v>528</v>
      </c>
      <c r="EI8" s="68" t="s">
        <v>1130</v>
      </c>
      <c r="EJ8" s="1975" t="s">
        <v>528</v>
      </c>
    </row>
    <row r="9" spans="1:140" hidden="1" outlineLevel="2">
      <c r="A9" s="113"/>
      <c r="B9" s="136">
        <f>+qtrSales!B32</f>
        <v>1992</v>
      </c>
      <c r="C9" s="24"/>
      <c r="D9" s="24"/>
      <c r="E9" s="24"/>
      <c r="F9" s="24"/>
      <c r="G9" s="1980"/>
      <c r="H9" s="1981"/>
      <c r="I9" s="1981"/>
      <c r="J9" s="1981"/>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78"/>
      <c r="BL9" s="24"/>
      <c r="BM9" s="1980"/>
      <c r="BN9" s="1981"/>
      <c r="BO9" s="24"/>
      <c r="BP9" s="24"/>
      <c r="BQ9" s="24"/>
      <c r="BR9" s="24"/>
      <c r="BS9" s="24"/>
      <c r="BT9" s="24"/>
      <c r="BU9" s="24"/>
      <c r="BV9" s="24"/>
      <c r="BW9" s="24"/>
      <c r="BX9" s="24"/>
      <c r="BY9" s="24"/>
      <c r="BZ9" s="24"/>
      <c r="CA9" s="1980"/>
      <c r="CB9" s="1981"/>
      <c r="CC9" s="24"/>
      <c r="CD9" s="24"/>
      <c r="CE9" s="24"/>
      <c r="CF9" s="24"/>
      <c r="CG9" s="24"/>
      <c r="CH9" s="24"/>
      <c r="CI9" s="24"/>
      <c r="CJ9" s="24"/>
      <c r="CK9" s="24"/>
      <c r="CL9" s="24"/>
      <c r="CM9" s="24"/>
      <c r="CN9" s="24"/>
      <c r="CO9" s="24"/>
      <c r="CP9" s="24"/>
      <c r="CQ9" s="24"/>
      <c r="CR9" s="24"/>
      <c r="CS9" s="24"/>
      <c r="CT9" s="24"/>
      <c r="CU9" s="24"/>
      <c r="CV9" s="24"/>
      <c r="CW9" s="24"/>
      <c r="CX9" s="24"/>
      <c r="CY9" s="24"/>
      <c r="CZ9" s="24"/>
      <c r="DA9" s="24"/>
      <c r="DB9" s="24"/>
      <c r="DC9" s="24"/>
      <c r="DD9" s="24"/>
      <c r="DE9" s="1975" t="s">
        <v>528</v>
      </c>
      <c r="DF9" s="1976" t="s">
        <v>893</v>
      </c>
      <c r="DG9" s="24"/>
      <c r="DH9" s="24"/>
      <c r="DI9" s="24"/>
      <c r="DJ9" s="24"/>
      <c r="DK9" s="24"/>
      <c r="DL9" s="24"/>
      <c r="DM9" s="24"/>
      <c r="DN9" s="24"/>
      <c r="DO9" s="24"/>
      <c r="DP9" s="24"/>
      <c r="DQ9" s="24"/>
      <c r="DR9" s="24"/>
      <c r="DS9" s="24"/>
      <c r="DT9" s="24"/>
      <c r="DU9" s="24"/>
      <c r="DV9" s="24"/>
      <c r="DW9" s="24"/>
      <c r="DX9" s="24"/>
      <c r="DY9" s="24"/>
      <c r="DZ9" s="24"/>
      <c r="EA9" s="24"/>
      <c r="EB9" s="24"/>
      <c r="EC9" s="24"/>
      <c r="ED9" s="24"/>
      <c r="EE9" s="24"/>
      <c r="EG9" s="24"/>
      <c r="EH9" s="24"/>
      <c r="EI9" s="24"/>
      <c r="EJ9" s="24"/>
    </row>
    <row r="10" spans="1:140" hidden="1" outlineLevel="2">
      <c r="A10" s="113" t="str">
        <f>+qtrSales!A33</f>
        <v>1Q</v>
      </c>
      <c r="B10" s="24" t="str">
        <f>+qtrSales!B33</f>
        <v>Apr</v>
      </c>
      <c r="C10" s="24"/>
      <c r="D10" s="24"/>
      <c r="E10" s="1982"/>
      <c r="F10" s="1982"/>
      <c r="G10" s="24"/>
      <c r="H10" s="24"/>
      <c r="I10" s="24"/>
      <c r="J10" s="24"/>
      <c r="K10" s="1982"/>
      <c r="L10" s="1980"/>
      <c r="M10" s="1981"/>
      <c r="N10" s="1981"/>
      <c r="O10" s="1981"/>
      <c r="P10" s="1981"/>
      <c r="Q10" s="24"/>
      <c r="R10" s="1982"/>
      <c r="S10" s="1980"/>
      <c r="T10" s="1980"/>
      <c r="U10" s="1981"/>
      <c r="V10" s="24"/>
      <c r="W10" s="1982"/>
      <c r="X10" s="1982"/>
      <c r="Y10" s="1982"/>
      <c r="Z10" s="1982"/>
      <c r="AA10" s="1982"/>
      <c r="AB10" s="1982"/>
      <c r="AC10" s="1980"/>
      <c r="AD10" s="1981"/>
      <c r="AE10" s="1981"/>
      <c r="AF10" s="1981"/>
      <c r="AG10" s="1981"/>
      <c r="AH10" s="1981"/>
      <c r="AI10" s="24"/>
      <c r="AJ10" s="24"/>
      <c r="AK10" s="24"/>
      <c r="AL10" s="24"/>
      <c r="AM10" s="24"/>
      <c r="AN10" s="24"/>
      <c r="AO10" s="24"/>
      <c r="AP10" s="24"/>
      <c r="AQ10" s="1980"/>
      <c r="AR10" s="1981"/>
      <c r="AS10" s="24"/>
      <c r="AT10" s="24"/>
      <c r="AU10" s="24"/>
      <c r="AV10" s="24"/>
      <c r="AW10" s="24"/>
      <c r="AX10" s="24"/>
      <c r="AY10" s="24"/>
      <c r="AZ10" s="24"/>
      <c r="BA10" s="24"/>
      <c r="BB10" s="24"/>
      <c r="BC10" s="1982"/>
      <c r="BD10" s="1980"/>
      <c r="BE10" s="1982"/>
      <c r="BF10" s="1980"/>
      <c r="BG10" s="1981"/>
      <c r="BH10" s="24"/>
      <c r="BI10" s="381"/>
      <c r="BJ10" s="381"/>
      <c r="BK10" s="2889"/>
      <c r="BL10" s="24"/>
      <c r="BM10" s="24"/>
      <c r="BN10" s="24"/>
      <c r="BO10" s="24"/>
      <c r="BP10" s="24"/>
      <c r="BQ10" s="24"/>
      <c r="BR10" s="24"/>
      <c r="BS10" s="24"/>
      <c r="BT10" s="24"/>
      <c r="BU10" s="24"/>
      <c r="BV10" s="24"/>
      <c r="BW10" s="24"/>
      <c r="BX10" s="24"/>
      <c r="BY10" s="24"/>
      <c r="BZ10" s="24"/>
      <c r="CA10" s="24"/>
      <c r="CB10" s="24"/>
      <c r="CC10" s="24"/>
      <c r="CD10" s="24"/>
      <c r="CE10" s="24"/>
      <c r="CF10" s="24"/>
      <c r="CG10" s="24"/>
      <c r="CH10" s="24"/>
      <c r="CI10" s="24"/>
      <c r="CJ10" s="24"/>
      <c r="CK10" s="24"/>
      <c r="CL10" s="24"/>
      <c r="CM10" s="24"/>
      <c r="CN10" s="24"/>
      <c r="CO10" s="24"/>
      <c r="CP10" s="24"/>
      <c r="CQ10" s="24"/>
      <c r="CR10" s="24"/>
      <c r="CS10" s="24"/>
      <c r="CT10" s="24"/>
      <c r="CU10" s="24"/>
      <c r="CV10" s="24"/>
      <c r="CW10" s="24"/>
      <c r="CX10" s="24"/>
      <c r="CY10" s="24"/>
      <c r="CZ10" s="24"/>
      <c r="DA10" s="24"/>
      <c r="DB10" s="24"/>
      <c r="DC10" s="24"/>
      <c r="DD10" s="24"/>
      <c r="DE10" s="24"/>
      <c r="DF10" s="24"/>
      <c r="DG10" s="24"/>
      <c r="DH10" s="24"/>
      <c r="DI10" s="24"/>
      <c r="DJ10" s="24"/>
      <c r="DK10" s="24"/>
      <c r="DL10" s="24"/>
      <c r="DM10" s="24"/>
      <c r="DN10" s="24"/>
      <c r="DO10" s="24"/>
      <c r="DP10" s="24"/>
      <c r="DQ10" s="24"/>
      <c r="DR10" s="24"/>
      <c r="DS10" s="24"/>
      <c r="DT10" s="24"/>
      <c r="DU10" s="24"/>
      <c r="DV10" s="24"/>
      <c r="DW10" s="24"/>
      <c r="DX10" s="24"/>
      <c r="DY10" s="24"/>
      <c r="DZ10" s="24"/>
      <c r="EA10" s="24"/>
      <c r="EB10" s="24"/>
      <c r="EC10" s="24"/>
      <c r="ED10" s="24"/>
      <c r="EE10" s="24"/>
      <c r="EG10" s="24"/>
      <c r="EH10" s="24"/>
      <c r="EI10" s="24"/>
      <c r="EJ10" s="24"/>
    </row>
    <row r="11" spans="1:140" hidden="1" outlineLevel="2">
      <c r="A11" s="113" t="str">
        <f>+qtrSales!A34</f>
        <v>2Q</v>
      </c>
      <c r="B11" s="24" t="str">
        <f>+qtrSales!B34</f>
        <v>Jul</v>
      </c>
      <c r="C11" s="24"/>
      <c r="D11" s="24"/>
      <c r="E11" s="24"/>
      <c r="F11" s="24"/>
      <c r="G11" s="24"/>
      <c r="H11" s="24"/>
      <c r="I11" s="24"/>
      <c r="J11" s="24"/>
      <c r="K11" s="24"/>
      <c r="L11" s="1980"/>
      <c r="M11" s="1981"/>
      <c r="N11" s="1981"/>
      <c r="O11" s="1981"/>
      <c r="P11" s="1981"/>
      <c r="Q11" s="24"/>
      <c r="R11" s="24"/>
      <c r="S11" s="1980"/>
      <c r="T11" s="1980"/>
      <c r="U11" s="1981"/>
      <c r="V11" s="24"/>
      <c r="W11" s="24"/>
      <c r="X11" s="24"/>
      <c r="Y11" s="24"/>
      <c r="Z11" s="24"/>
      <c r="AA11" s="24"/>
      <c r="AB11" s="24"/>
      <c r="AC11" s="1980"/>
      <c r="AD11" s="1981"/>
      <c r="AE11" s="1981"/>
      <c r="AF11" s="1981"/>
      <c r="AG11" s="1981"/>
      <c r="AH11" s="1981"/>
      <c r="AI11" s="24"/>
      <c r="AJ11" s="24"/>
      <c r="AK11" s="24"/>
      <c r="AL11" s="24"/>
      <c r="AM11" s="24"/>
      <c r="AN11" s="24"/>
      <c r="AO11" s="24"/>
      <c r="AP11" s="24"/>
      <c r="AQ11" s="1980"/>
      <c r="AR11" s="1981"/>
      <c r="AS11" s="24"/>
      <c r="AT11" s="24"/>
      <c r="AU11" s="24"/>
      <c r="AV11" s="24"/>
      <c r="AW11" s="24"/>
      <c r="AX11" s="24"/>
      <c r="AY11" s="24"/>
      <c r="AZ11" s="24"/>
      <c r="BA11" s="24"/>
      <c r="BB11" s="24"/>
      <c r="BC11" s="24"/>
      <c r="BD11" s="1980"/>
      <c r="BE11" s="24"/>
      <c r="BF11" s="1980"/>
      <c r="BG11" s="1981"/>
      <c r="BH11" s="24"/>
      <c r="BI11" s="24"/>
      <c r="BJ11" s="24"/>
      <c r="BK11" s="2889"/>
      <c r="BL11" s="24"/>
      <c r="BM11" s="24"/>
      <c r="BN11" s="24"/>
      <c r="BO11" s="24"/>
      <c r="BP11" s="24"/>
      <c r="BQ11" s="24"/>
      <c r="BR11" s="24"/>
      <c r="BS11" s="24"/>
      <c r="BT11" s="24"/>
      <c r="BU11" s="24"/>
      <c r="BV11" s="24"/>
      <c r="BW11" s="24"/>
      <c r="BX11" s="24"/>
      <c r="BY11" s="24"/>
      <c r="BZ11" s="24"/>
      <c r="CA11" s="24"/>
      <c r="CB11" s="24"/>
      <c r="CC11" s="24"/>
      <c r="CD11" s="24"/>
      <c r="CE11" s="24"/>
      <c r="CF11" s="24"/>
      <c r="CG11" s="24"/>
      <c r="CH11" s="24"/>
      <c r="CI11" s="24"/>
      <c r="CJ11" s="24"/>
      <c r="CK11" s="24"/>
      <c r="CL11" s="24"/>
      <c r="CM11" s="24"/>
      <c r="CN11" s="24"/>
      <c r="CO11" s="24"/>
      <c r="CP11" s="24"/>
      <c r="CQ11" s="24"/>
      <c r="CR11" s="24"/>
      <c r="CS11" s="24"/>
      <c r="CT11" s="24"/>
      <c r="CU11" s="24"/>
      <c r="CV11" s="24"/>
      <c r="CW11" s="24"/>
      <c r="CX11" s="24"/>
      <c r="CY11" s="24"/>
      <c r="CZ11" s="24"/>
      <c r="DA11" s="24"/>
      <c r="DB11" s="24"/>
      <c r="DC11" s="24"/>
      <c r="DD11" s="24"/>
      <c r="DE11" s="24"/>
      <c r="DF11" s="24"/>
      <c r="DG11" s="24"/>
      <c r="DH11" s="24"/>
      <c r="DI11" s="24"/>
      <c r="DJ11" s="24"/>
      <c r="DK11" s="24"/>
      <c r="DL11" s="24"/>
      <c r="DM11" s="24"/>
      <c r="DN11" s="24"/>
      <c r="DO11" s="24"/>
      <c r="DP11" s="24"/>
      <c r="DQ11" s="24"/>
      <c r="DR11" s="24"/>
      <c r="DS11" s="24"/>
      <c r="DT11" s="24"/>
      <c r="DU11" s="24"/>
      <c r="DV11" s="24"/>
      <c r="DW11" s="24"/>
      <c r="DX11" s="24"/>
      <c r="DY11" s="24"/>
      <c r="DZ11" s="24"/>
      <c r="EA11" s="24"/>
      <c r="EB11" s="24"/>
      <c r="EC11" s="24"/>
      <c r="ED11" s="24"/>
      <c r="EE11" s="24"/>
      <c r="EG11" s="24"/>
      <c r="EH11" s="24"/>
      <c r="EI11" s="24"/>
      <c r="EJ11" s="24"/>
    </row>
    <row r="12" spans="1:140" hidden="1" outlineLevel="2">
      <c r="A12" s="113" t="str">
        <f>+qtrSales!A35</f>
        <v>3Q</v>
      </c>
      <c r="B12" s="24" t="str">
        <f>+qtrSales!B35</f>
        <v>Oct</v>
      </c>
      <c r="C12" s="24"/>
      <c r="D12" s="24"/>
      <c r="E12" s="24"/>
      <c r="F12" s="24"/>
      <c r="G12" s="24"/>
      <c r="H12" s="24"/>
      <c r="I12" s="24"/>
      <c r="J12" s="24"/>
      <c r="K12" s="24"/>
      <c r="L12" s="1980"/>
      <c r="M12" s="1981"/>
      <c r="N12" s="1981"/>
      <c r="O12" s="1981"/>
      <c r="P12" s="1981"/>
      <c r="Q12" s="24"/>
      <c r="R12" s="24"/>
      <c r="S12" s="1980"/>
      <c r="T12" s="1980"/>
      <c r="U12" s="1981"/>
      <c r="V12" s="24"/>
      <c r="W12" s="24"/>
      <c r="X12" s="24"/>
      <c r="Y12" s="24"/>
      <c r="Z12" s="24"/>
      <c r="AA12" s="24"/>
      <c r="AB12" s="24"/>
      <c r="AC12" s="1980"/>
      <c r="AD12" s="1981"/>
      <c r="AE12" s="1981"/>
      <c r="AF12" s="1981"/>
      <c r="AG12" s="1981"/>
      <c r="AH12" s="1981"/>
      <c r="AI12" s="24"/>
      <c r="AJ12" s="24"/>
      <c r="AK12" s="24"/>
      <c r="AL12" s="24"/>
      <c r="AM12" s="24"/>
      <c r="AN12" s="24"/>
      <c r="AO12" s="24"/>
      <c r="AP12" s="24"/>
      <c r="AQ12" s="1980"/>
      <c r="AR12" s="1981"/>
      <c r="AS12" s="24"/>
      <c r="AT12" s="24"/>
      <c r="AU12" s="24"/>
      <c r="AV12" s="24"/>
      <c r="AW12" s="24"/>
      <c r="AX12" s="24"/>
      <c r="AY12" s="24"/>
      <c r="AZ12" s="24"/>
      <c r="BA12" s="24"/>
      <c r="BB12" s="24"/>
      <c r="BC12" s="24"/>
      <c r="BD12" s="1980"/>
      <c r="BE12" s="24"/>
      <c r="BF12" s="1980"/>
      <c r="BG12" s="1981"/>
      <c r="BH12" s="24"/>
      <c r="BI12" s="24"/>
      <c r="BJ12" s="24"/>
      <c r="BK12" s="2889"/>
      <c r="BL12" s="24"/>
      <c r="BM12" s="24"/>
      <c r="BN12" s="24"/>
      <c r="BO12" s="24"/>
      <c r="BP12" s="24"/>
      <c r="BQ12" s="24"/>
      <c r="BR12" s="24"/>
      <c r="BS12" s="24"/>
      <c r="BT12" s="24"/>
      <c r="BU12" s="24"/>
      <c r="BV12" s="24"/>
      <c r="BW12" s="24"/>
      <c r="BX12" s="24"/>
      <c r="BY12" s="24"/>
      <c r="BZ12" s="24"/>
      <c r="CA12" s="24"/>
      <c r="CB12" s="24"/>
      <c r="CC12" s="24"/>
      <c r="CD12" s="24"/>
      <c r="CE12" s="24"/>
      <c r="CF12" s="24"/>
      <c r="CG12" s="24"/>
      <c r="CH12" s="24"/>
      <c r="CI12" s="24"/>
      <c r="CJ12" s="24"/>
      <c r="CK12" s="24"/>
      <c r="CL12" s="24"/>
      <c r="CM12" s="24"/>
      <c r="CN12" s="24"/>
      <c r="CO12" s="24"/>
      <c r="CP12" s="24"/>
      <c r="CQ12" s="24"/>
      <c r="CR12" s="24"/>
      <c r="CS12" s="24"/>
      <c r="CT12" s="24"/>
      <c r="CU12" s="24"/>
      <c r="CV12" s="24"/>
      <c r="CW12" s="24"/>
      <c r="CX12" s="24"/>
      <c r="CY12" s="24"/>
      <c r="CZ12" s="24"/>
      <c r="DA12" s="24"/>
      <c r="DB12" s="24"/>
      <c r="DC12" s="24"/>
      <c r="DD12" s="24"/>
      <c r="DE12" s="24"/>
      <c r="DF12" s="24"/>
      <c r="DG12" s="24"/>
      <c r="DH12" s="24"/>
      <c r="DI12" s="24"/>
      <c r="DJ12" s="24"/>
      <c r="DK12" s="24"/>
      <c r="DL12" s="24"/>
      <c r="DM12" s="24"/>
      <c r="DN12" s="24"/>
      <c r="DO12" s="24"/>
      <c r="DP12" s="24"/>
      <c r="DQ12" s="24"/>
      <c r="DR12" s="24"/>
      <c r="DS12" s="24"/>
      <c r="DT12" s="24"/>
      <c r="DU12" s="24"/>
      <c r="DV12" s="24"/>
      <c r="DW12" s="24"/>
      <c r="DX12" s="24"/>
      <c r="DY12" s="24"/>
      <c r="DZ12" s="24"/>
      <c r="EA12" s="24"/>
      <c r="EB12" s="24"/>
      <c r="EC12" s="24"/>
      <c r="ED12" s="24"/>
      <c r="EE12" s="24"/>
      <c r="EG12" s="24"/>
      <c r="EH12" s="24"/>
      <c r="EI12" s="24"/>
      <c r="EJ12" s="24"/>
    </row>
    <row r="13" spans="1:140" hidden="1" outlineLevel="2">
      <c r="A13" s="113" t="str">
        <f>+qtrSales!A36</f>
        <v>4Q</v>
      </c>
      <c r="B13" s="24" t="str">
        <f>+qtrSales!B36</f>
        <v>Jan</v>
      </c>
      <c r="C13" s="24"/>
      <c r="D13" s="24"/>
      <c r="E13" s="24"/>
      <c r="F13" s="24"/>
      <c r="G13" s="24"/>
      <c r="H13" s="24"/>
      <c r="I13" s="24"/>
      <c r="J13" s="24"/>
      <c r="K13" s="24"/>
      <c r="L13" s="1980"/>
      <c r="M13" s="1981"/>
      <c r="N13" s="1981"/>
      <c r="O13" s="1981"/>
      <c r="P13" s="1981"/>
      <c r="Q13" s="24"/>
      <c r="R13" s="24"/>
      <c r="S13" s="1980"/>
      <c r="T13" s="1980"/>
      <c r="U13" s="1981"/>
      <c r="V13" s="24"/>
      <c r="W13" s="24"/>
      <c r="X13" s="24"/>
      <c r="Y13" s="24"/>
      <c r="Z13" s="24"/>
      <c r="AA13" s="24"/>
      <c r="AB13" s="24"/>
      <c r="AC13" s="1980"/>
      <c r="AD13" s="1981"/>
      <c r="AE13" s="1981"/>
      <c r="AF13" s="1981"/>
      <c r="AG13" s="1981"/>
      <c r="AH13" s="1981"/>
      <c r="AI13" s="24"/>
      <c r="AJ13" s="24"/>
      <c r="AK13" s="24"/>
      <c r="AL13" s="24"/>
      <c r="AM13" s="24"/>
      <c r="AN13" s="24"/>
      <c r="AO13" s="24"/>
      <c r="AP13" s="24"/>
      <c r="AQ13" s="1980"/>
      <c r="AR13" s="1981"/>
      <c r="AS13" s="24"/>
      <c r="AT13" s="24"/>
      <c r="AU13" s="24"/>
      <c r="AV13" s="24"/>
      <c r="AW13" s="24"/>
      <c r="AX13" s="24"/>
      <c r="AY13" s="24"/>
      <c r="AZ13" s="24"/>
      <c r="BA13" s="24"/>
      <c r="BB13" s="24"/>
      <c r="BC13" s="24"/>
      <c r="BD13" s="1980"/>
      <c r="BE13" s="24"/>
      <c r="BF13" s="1980"/>
      <c r="BG13" s="1981"/>
      <c r="BH13" s="24"/>
      <c r="BI13" s="24"/>
      <c r="BJ13" s="24"/>
      <c r="BK13" s="2889"/>
      <c r="BL13" s="24"/>
      <c r="BM13" s="24"/>
      <c r="BN13" s="24"/>
      <c r="BO13" s="24"/>
      <c r="BP13" s="24"/>
      <c r="BQ13" s="24"/>
      <c r="BR13" s="24"/>
      <c r="BS13" s="24"/>
      <c r="BT13" s="24"/>
      <c r="BU13" s="24"/>
      <c r="BV13" s="24"/>
      <c r="BW13" s="24"/>
      <c r="BX13" s="24"/>
      <c r="BY13" s="24"/>
      <c r="BZ13" s="24"/>
      <c r="CA13" s="24"/>
      <c r="CB13" s="24"/>
      <c r="CC13" s="24"/>
      <c r="CD13" s="24"/>
      <c r="CE13" s="24"/>
      <c r="CF13" s="24"/>
      <c r="CG13" s="24"/>
      <c r="CH13" s="24"/>
      <c r="CI13" s="24"/>
      <c r="CJ13" s="24"/>
      <c r="CK13" s="24"/>
      <c r="CL13" s="24"/>
      <c r="CM13" s="24"/>
      <c r="CN13" s="24"/>
      <c r="CO13" s="24"/>
      <c r="CP13" s="24"/>
      <c r="CQ13" s="24"/>
      <c r="CR13" s="24"/>
      <c r="CS13" s="24"/>
      <c r="CT13" s="24"/>
      <c r="CU13" s="24"/>
      <c r="CV13" s="24"/>
      <c r="CW13" s="24"/>
      <c r="CX13" s="24"/>
      <c r="CY13" s="24"/>
      <c r="CZ13" s="24"/>
      <c r="DA13" s="24"/>
      <c r="DB13" s="24"/>
      <c r="DC13" s="24"/>
      <c r="DD13" s="24"/>
      <c r="DE13" s="24"/>
      <c r="DF13" s="24"/>
      <c r="DG13" s="24"/>
      <c r="DH13" s="24"/>
      <c r="DI13" s="24"/>
      <c r="DJ13" s="24"/>
      <c r="DK13" s="24"/>
      <c r="DL13" s="24"/>
      <c r="DM13" s="24"/>
      <c r="DN13" s="24"/>
      <c r="DO13" s="24"/>
      <c r="DP13" s="24"/>
      <c r="DQ13" s="24"/>
      <c r="DR13" s="24"/>
      <c r="DS13" s="24"/>
      <c r="DT13" s="24"/>
      <c r="DU13" s="24"/>
      <c r="DV13" s="24"/>
      <c r="DW13" s="24"/>
      <c r="DX13" s="24"/>
      <c r="DY13" s="24"/>
      <c r="DZ13" s="24"/>
      <c r="EA13" s="24"/>
      <c r="EB13" s="24"/>
      <c r="EC13" s="24"/>
      <c r="ED13" s="24"/>
      <c r="EE13" s="24"/>
      <c r="EG13" s="24"/>
      <c r="EH13" s="24"/>
      <c r="EI13" s="24"/>
      <c r="EJ13" s="24"/>
    </row>
    <row r="14" spans="1:140" hidden="1" outlineLevel="2">
      <c r="A14" s="113"/>
      <c r="B14" s="24" t="str">
        <f>+qtrSales!B37</f>
        <v>Year</v>
      </c>
      <c r="C14" s="24"/>
      <c r="D14" s="24"/>
      <c r="E14" s="389">
        <v>840</v>
      </c>
      <c r="F14" s="389"/>
      <c r="G14" s="389"/>
      <c r="H14" s="1981">
        <f>+E14/$BI14*100</f>
        <v>12.885411872986655</v>
      </c>
      <c r="I14" s="1981"/>
      <c r="J14" s="1981"/>
      <c r="K14" s="389">
        <v>367</v>
      </c>
      <c r="L14" s="1980"/>
      <c r="M14" s="1981">
        <f>+K14/$BI14*100</f>
        <v>5.6296978064120262</v>
      </c>
      <c r="N14" s="1981"/>
      <c r="O14" s="1981"/>
      <c r="P14" s="1981"/>
      <c r="Q14" s="24"/>
      <c r="R14" s="266">
        <f>+E14+K14</f>
        <v>1207</v>
      </c>
      <c r="S14" s="1980"/>
      <c r="T14" s="1980"/>
      <c r="U14" s="1981">
        <f>+R14/$BI14*100</f>
        <v>18.51510967939868</v>
      </c>
      <c r="V14" s="24"/>
      <c r="W14" s="388">
        <v>57</v>
      </c>
      <c r="X14" s="388"/>
      <c r="Y14" s="388"/>
      <c r="Z14" s="388"/>
      <c r="AA14" s="388"/>
      <c r="AB14" s="388"/>
      <c r="AC14" s="1980"/>
      <c r="AD14" s="1981">
        <f>+W14/$BI14*100</f>
        <v>0.87436723423838014</v>
      </c>
      <c r="AE14" s="1981"/>
      <c r="AF14" s="1981"/>
      <c r="AG14" s="1981"/>
      <c r="AH14" s="1981"/>
      <c r="AI14" s="24"/>
      <c r="AJ14" s="389">
        <v>1312</v>
      </c>
      <c r="AK14" s="388">
        <v>318</v>
      </c>
      <c r="AL14" s="266">
        <f>+AJ14+AK14</f>
        <v>1630</v>
      </c>
      <c r="AM14" s="389">
        <v>1175</v>
      </c>
      <c r="AN14" s="388">
        <v>918</v>
      </c>
      <c r="AO14" s="389">
        <v>1205</v>
      </c>
      <c r="AP14" s="266">
        <f>+SUM(AL14:AO14)</f>
        <v>4928</v>
      </c>
      <c r="AQ14" s="1980"/>
      <c r="AR14" s="1981">
        <f>+AP14/$BI14*100</f>
        <v>75.594416321521706</v>
      </c>
      <c r="AS14" s="24"/>
      <c r="AT14" s="388">
        <v>56</v>
      </c>
      <c r="AU14" s="388">
        <v>73</v>
      </c>
      <c r="AV14" s="388">
        <v>85</v>
      </c>
      <c r="AW14" s="388">
        <v>108</v>
      </c>
      <c r="AX14" s="388">
        <v>0</v>
      </c>
      <c r="AY14" s="388">
        <v>5</v>
      </c>
      <c r="AZ14" s="388"/>
      <c r="BA14" s="388"/>
      <c r="BB14" s="388"/>
      <c r="BC14" s="266"/>
      <c r="BD14" s="1980"/>
      <c r="BE14" s="266">
        <f>+SUM(AT14:AY14)</f>
        <v>327</v>
      </c>
      <c r="BF14" s="1980"/>
      <c r="BG14" s="1981">
        <f>+BE14/$BI14*100</f>
        <v>5.0161067648412336</v>
      </c>
      <c r="BH14" s="24"/>
      <c r="BI14" s="266">
        <f>+R14+W14+AP14+BE14</f>
        <v>6519</v>
      </c>
      <c r="BJ14" s="266"/>
      <c r="BK14" s="2889"/>
      <c r="BL14" s="266"/>
      <c r="BM14" s="1980"/>
      <c r="BN14" s="1981"/>
      <c r="BO14" s="266"/>
      <c r="BP14" s="1980"/>
      <c r="BQ14" s="1981"/>
      <c r="BR14" s="24"/>
      <c r="BS14" s="266"/>
      <c r="BT14" s="1980"/>
      <c r="BU14" s="1981"/>
      <c r="BV14" s="24"/>
      <c r="BW14" s="266"/>
      <c r="BX14" s="1980"/>
      <c r="BY14" s="24"/>
      <c r="BZ14" s="389"/>
      <c r="CA14" s="1980"/>
      <c r="CB14" s="1981"/>
      <c r="CC14" s="389"/>
      <c r="CD14" s="1980"/>
      <c r="CE14" s="1981"/>
      <c r="CF14" s="389"/>
      <c r="CG14" s="389"/>
      <c r="CH14" s="1980"/>
      <c r="CI14" s="1981"/>
      <c r="CJ14" s="389"/>
      <c r="CK14" s="389"/>
      <c r="CL14" s="1980"/>
      <c r="CM14" s="1981"/>
      <c r="CN14" s="389"/>
      <c r="CO14" s="266"/>
      <c r="CP14" s="1980"/>
      <c r="CQ14" s="1981"/>
      <c r="CR14" s="1981"/>
      <c r="CS14" s="24"/>
      <c r="CT14" s="24"/>
      <c r="CU14" s="24"/>
      <c r="CV14" s="24"/>
      <c r="CW14" s="24"/>
      <c r="CX14" s="24"/>
      <c r="CY14" s="24"/>
      <c r="CZ14" s="24"/>
      <c r="DA14" s="24"/>
      <c r="DB14" s="24"/>
      <c r="DC14" s="24"/>
      <c r="DD14" s="24"/>
      <c r="DE14" s="24"/>
      <c r="DF14" s="24"/>
      <c r="DG14" s="24"/>
      <c r="DH14" s="24"/>
      <c r="DI14" s="24"/>
      <c r="DJ14" s="24"/>
      <c r="DK14" s="24"/>
      <c r="DL14" s="24"/>
      <c r="DM14" s="24"/>
      <c r="DN14" s="24"/>
      <c r="DO14" s="24"/>
      <c r="DP14" s="24"/>
      <c r="DQ14" s="24"/>
      <c r="DR14" s="24"/>
      <c r="DS14" s="24"/>
      <c r="DT14" s="24"/>
      <c r="DU14" s="24"/>
      <c r="DV14" s="24"/>
      <c r="DW14" s="24"/>
      <c r="DX14" s="24"/>
      <c r="DY14" s="24"/>
      <c r="DZ14" s="24"/>
      <c r="EA14" s="24"/>
      <c r="EB14" s="24"/>
      <c r="EC14" s="24"/>
      <c r="ED14" s="24"/>
      <c r="EE14" s="24"/>
      <c r="EG14" s="24"/>
      <c r="EH14" s="24"/>
      <c r="EI14" s="24"/>
      <c r="EJ14" s="24"/>
    </row>
    <row r="15" spans="1:140" hidden="1" outlineLevel="2">
      <c r="A15" s="113"/>
      <c r="B15" s="24"/>
      <c r="C15" s="24"/>
      <c r="D15" s="24"/>
      <c r="E15" s="24"/>
      <c r="F15" s="24"/>
      <c r="G15" s="24"/>
      <c r="H15" s="24"/>
      <c r="I15" s="24"/>
      <c r="J15" s="24"/>
      <c r="K15" s="24"/>
      <c r="L15" s="1980"/>
      <c r="M15" s="1981"/>
      <c r="N15" s="1981"/>
      <c r="O15" s="1981"/>
      <c r="P15" s="1981"/>
      <c r="Q15" s="24"/>
      <c r="R15" s="24"/>
      <c r="S15" s="1980"/>
      <c r="T15" s="1980"/>
      <c r="U15" s="1981"/>
      <c r="V15" s="24"/>
      <c r="W15" s="24"/>
      <c r="X15" s="24"/>
      <c r="Y15" s="24"/>
      <c r="Z15" s="24"/>
      <c r="AA15" s="24"/>
      <c r="AB15" s="24"/>
      <c r="AC15" s="1980"/>
      <c r="AD15" s="1981"/>
      <c r="AE15" s="1981"/>
      <c r="AF15" s="1981"/>
      <c r="AG15" s="1981"/>
      <c r="AH15" s="1981"/>
      <c r="AI15" s="24"/>
      <c r="AJ15" s="24"/>
      <c r="AK15" s="24"/>
      <c r="AL15" s="24"/>
      <c r="AM15" s="24"/>
      <c r="AN15" s="24"/>
      <c r="AO15" s="24"/>
      <c r="AP15" s="24"/>
      <c r="AQ15" s="1980"/>
      <c r="AR15" s="1981"/>
      <c r="AS15" s="24"/>
      <c r="AT15" s="24"/>
      <c r="AU15" s="24"/>
      <c r="AV15" s="24"/>
      <c r="AW15" s="24"/>
      <c r="AX15" s="24"/>
      <c r="AY15" s="24"/>
      <c r="AZ15" s="24"/>
      <c r="BA15" s="24"/>
      <c r="BB15" s="24"/>
      <c r="BC15" s="24"/>
      <c r="BD15" s="1980"/>
      <c r="BE15" s="24"/>
      <c r="BF15" s="1980"/>
      <c r="BG15" s="1981"/>
      <c r="BH15" s="24"/>
      <c r="BI15" s="24"/>
      <c r="BJ15" s="24"/>
      <c r="BK15" s="2889"/>
      <c r="BL15" s="24"/>
      <c r="BM15" s="24"/>
      <c r="BN15" s="24"/>
      <c r="BO15" s="24"/>
      <c r="BP15" s="24"/>
      <c r="BQ15" s="24"/>
      <c r="BR15" s="24"/>
      <c r="BS15" s="24"/>
      <c r="BT15" s="24"/>
      <c r="BU15" s="24"/>
      <c r="BV15" s="24"/>
      <c r="BW15" s="24"/>
      <c r="BX15" s="24"/>
      <c r="BY15" s="24"/>
      <c r="BZ15" s="24"/>
      <c r="CA15" s="24"/>
      <c r="CB15" s="24"/>
      <c r="CC15" s="24"/>
      <c r="CD15" s="24"/>
      <c r="CE15" s="24"/>
      <c r="CF15" s="24"/>
      <c r="CG15" s="24"/>
      <c r="CH15" s="24"/>
      <c r="CI15" s="24"/>
      <c r="CJ15" s="24"/>
      <c r="CK15" s="24"/>
      <c r="CL15" s="24"/>
      <c r="CM15" s="24"/>
      <c r="CN15" s="24"/>
      <c r="CO15" s="24"/>
      <c r="CP15" s="24"/>
      <c r="CQ15" s="24"/>
      <c r="CR15" s="24"/>
      <c r="CS15" s="24"/>
      <c r="CT15" s="24"/>
      <c r="CU15" s="24"/>
      <c r="CV15" s="24"/>
      <c r="CW15" s="24"/>
      <c r="CX15" s="24"/>
      <c r="CY15" s="24"/>
      <c r="CZ15" s="24"/>
      <c r="DA15" s="24"/>
      <c r="DB15" s="24"/>
      <c r="DC15" s="24"/>
      <c r="DD15" s="24"/>
      <c r="DE15" s="24"/>
      <c r="DF15" s="24"/>
      <c r="DG15" s="24"/>
      <c r="DH15" s="24"/>
      <c r="DI15" s="24"/>
      <c r="DJ15" s="24"/>
      <c r="DK15" s="24"/>
      <c r="DL15" s="24"/>
      <c r="DM15" s="24"/>
      <c r="DN15" s="24"/>
      <c r="DO15" s="24"/>
      <c r="DP15" s="24"/>
      <c r="DQ15" s="24"/>
      <c r="DR15" s="24"/>
      <c r="DS15" s="24"/>
      <c r="DT15" s="24"/>
      <c r="DU15" s="24"/>
      <c r="DV15" s="24"/>
      <c r="DW15" s="24"/>
      <c r="DX15" s="24"/>
      <c r="DY15" s="24"/>
      <c r="DZ15" s="24"/>
      <c r="EA15" s="24"/>
      <c r="EB15" s="24"/>
      <c r="EC15" s="24"/>
      <c r="ED15" s="24"/>
      <c r="EE15" s="24"/>
      <c r="EG15" s="24"/>
      <c r="EH15" s="24"/>
      <c r="EI15" s="24"/>
      <c r="EJ15" s="24"/>
    </row>
    <row r="16" spans="1:140" hidden="1" outlineLevel="2">
      <c r="A16" s="113"/>
      <c r="B16" s="136">
        <f>+qtrSales!B39</f>
        <v>1993</v>
      </c>
      <c r="C16" s="24"/>
      <c r="D16" s="24"/>
      <c r="E16" s="24"/>
      <c r="F16" s="24"/>
      <c r="G16" s="1980"/>
      <c r="H16" s="1981"/>
      <c r="I16" s="1981"/>
      <c r="J16" s="1981"/>
      <c r="K16" s="24"/>
      <c r="L16" s="1980"/>
      <c r="M16" s="1981"/>
      <c r="N16" s="1981"/>
      <c r="O16" s="1981"/>
      <c r="P16" s="1981"/>
      <c r="Q16" s="24"/>
      <c r="R16" s="24"/>
      <c r="S16" s="1980"/>
      <c r="T16" s="1980"/>
      <c r="U16" s="1981"/>
      <c r="V16" s="24"/>
      <c r="W16" s="24"/>
      <c r="X16" s="24"/>
      <c r="Y16" s="24"/>
      <c r="Z16" s="24"/>
      <c r="AA16" s="24"/>
      <c r="AB16" s="24"/>
      <c r="AC16" s="1980"/>
      <c r="AD16" s="1981"/>
      <c r="AE16" s="1981"/>
      <c r="AF16" s="1981"/>
      <c r="AG16" s="1981"/>
      <c r="AH16" s="1981"/>
      <c r="AI16" s="24"/>
      <c r="AJ16" s="24"/>
      <c r="AK16" s="24"/>
      <c r="AL16" s="24"/>
      <c r="AM16" s="24"/>
      <c r="AN16" s="24"/>
      <c r="AO16" s="24"/>
      <c r="AP16" s="24"/>
      <c r="AQ16" s="1980"/>
      <c r="AR16" s="1981"/>
      <c r="AS16" s="24"/>
      <c r="AT16" s="24"/>
      <c r="AU16" s="24"/>
      <c r="AV16" s="24"/>
      <c r="AW16" s="24"/>
      <c r="AX16" s="24"/>
      <c r="AY16" s="24"/>
      <c r="AZ16" s="24"/>
      <c r="BA16" s="24"/>
      <c r="BB16" s="24"/>
      <c r="BC16" s="24"/>
      <c r="BD16" s="1980"/>
      <c r="BE16" s="24"/>
      <c r="BF16" s="1980"/>
      <c r="BG16" s="1981"/>
      <c r="BH16" s="24"/>
      <c r="BI16" s="24"/>
      <c r="BJ16" s="24"/>
      <c r="BK16" s="2889"/>
      <c r="BL16" s="24"/>
      <c r="BM16" s="1980"/>
      <c r="BN16" s="1981"/>
      <c r="BO16" s="24"/>
      <c r="BP16" s="24"/>
      <c r="BQ16" s="24"/>
      <c r="BR16" s="24"/>
      <c r="BS16" s="24"/>
      <c r="BT16" s="24"/>
      <c r="BU16" s="24"/>
      <c r="BV16" s="24"/>
      <c r="BW16" s="24"/>
      <c r="BX16" s="24"/>
      <c r="BY16" s="24"/>
      <c r="BZ16" s="24"/>
      <c r="CA16" s="1980"/>
      <c r="CB16" s="1981"/>
      <c r="CC16" s="24"/>
      <c r="CD16" s="24"/>
      <c r="CE16" s="24"/>
      <c r="CF16" s="24"/>
      <c r="CG16" s="24"/>
      <c r="CH16" s="24"/>
      <c r="CI16" s="24"/>
      <c r="CJ16" s="24"/>
      <c r="CK16" s="24"/>
      <c r="CL16" s="24"/>
      <c r="CM16" s="24"/>
      <c r="CN16" s="24"/>
      <c r="CO16" s="24"/>
      <c r="CP16" s="24"/>
      <c r="CQ16" s="24"/>
      <c r="CR16" s="24"/>
      <c r="CS16" s="24"/>
      <c r="CT16" s="24"/>
      <c r="CU16" s="24"/>
      <c r="CV16" s="24"/>
      <c r="CW16" s="24"/>
      <c r="CX16" s="24"/>
      <c r="CY16" s="24"/>
      <c r="CZ16" s="24"/>
      <c r="DA16" s="24"/>
      <c r="DB16" s="24"/>
      <c r="DC16" s="24"/>
      <c r="DD16" s="24"/>
      <c r="DE16" s="24"/>
      <c r="DF16" s="24"/>
      <c r="DG16" s="24"/>
      <c r="DH16" s="24"/>
      <c r="DI16" s="24"/>
      <c r="DJ16" s="24"/>
      <c r="DK16" s="24"/>
      <c r="DL16" s="24"/>
      <c r="DM16" s="24"/>
      <c r="DN16" s="24"/>
      <c r="DO16" s="24"/>
      <c r="DP16" s="24"/>
      <c r="DQ16" s="24"/>
      <c r="DR16" s="24"/>
      <c r="DS16" s="24"/>
      <c r="DT16" s="24"/>
      <c r="DU16" s="24"/>
      <c r="DV16" s="24"/>
      <c r="DW16" s="24"/>
      <c r="DX16" s="24"/>
      <c r="DY16" s="24"/>
      <c r="DZ16" s="24"/>
      <c r="EA16" s="24"/>
      <c r="EB16" s="24"/>
      <c r="EC16" s="24"/>
      <c r="ED16" s="24"/>
      <c r="EE16" s="24"/>
      <c r="EG16" s="24"/>
      <c r="EH16" s="24"/>
      <c r="EI16" s="24"/>
      <c r="EJ16" s="24"/>
    </row>
    <row r="17" spans="1:140" hidden="1" outlineLevel="2">
      <c r="A17" s="113" t="str">
        <f>+qtrSales!A40</f>
        <v>1Q</v>
      </c>
      <c r="B17" s="24" t="str">
        <f>+qtrSales!B40</f>
        <v>Apr</v>
      </c>
      <c r="C17" s="24"/>
      <c r="D17" s="24"/>
      <c r="E17" s="1982"/>
      <c r="F17" s="1982"/>
      <c r="G17" s="24"/>
      <c r="H17" s="24"/>
      <c r="I17" s="24"/>
      <c r="J17" s="24"/>
      <c r="K17" s="1982"/>
      <c r="L17" s="1980"/>
      <c r="M17" s="1981"/>
      <c r="N17" s="1981"/>
      <c r="O17" s="1981"/>
      <c r="P17" s="1981"/>
      <c r="Q17" s="24"/>
      <c r="R17" s="1982"/>
      <c r="S17" s="1980"/>
      <c r="T17" s="1980"/>
      <c r="U17" s="1981"/>
      <c r="V17" s="24"/>
      <c r="W17" s="1982"/>
      <c r="X17" s="1982"/>
      <c r="Y17" s="1982"/>
      <c r="Z17" s="1982"/>
      <c r="AA17" s="1982"/>
      <c r="AB17" s="1982"/>
      <c r="AC17" s="1980"/>
      <c r="AD17" s="1981"/>
      <c r="AE17" s="1981"/>
      <c r="AF17" s="1981"/>
      <c r="AG17" s="1981"/>
      <c r="AH17" s="1981"/>
      <c r="AI17" s="24"/>
      <c r="AJ17" s="24"/>
      <c r="AK17" s="24"/>
      <c r="AL17" s="24"/>
      <c r="AM17" s="24"/>
      <c r="AN17" s="24"/>
      <c r="AO17" s="24"/>
      <c r="AP17" s="24"/>
      <c r="AQ17" s="1980"/>
      <c r="AR17" s="1981"/>
      <c r="AS17" s="24"/>
      <c r="AT17" s="24"/>
      <c r="AU17" s="24"/>
      <c r="AV17" s="24"/>
      <c r="AW17" s="24"/>
      <c r="AX17" s="24"/>
      <c r="AY17" s="24"/>
      <c r="AZ17" s="24"/>
      <c r="BA17" s="24"/>
      <c r="BB17" s="24"/>
      <c r="BC17" s="1982"/>
      <c r="BD17" s="1980"/>
      <c r="BE17" s="1982"/>
      <c r="BF17" s="1980"/>
      <c r="BG17" s="1981"/>
      <c r="BH17" s="24"/>
      <c r="BI17" s="381"/>
      <c r="BJ17" s="381"/>
      <c r="BK17" s="2889"/>
      <c r="BL17" s="24"/>
      <c r="BM17" s="24"/>
      <c r="BN17" s="24"/>
      <c r="BO17" s="24"/>
      <c r="BP17" s="24"/>
      <c r="BQ17" s="24"/>
      <c r="BR17" s="24"/>
      <c r="BS17" s="24"/>
      <c r="BT17" s="24"/>
      <c r="BU17" s="24"/>
      <c r="BV17" s="24"/>
      <c r="BW17" s="24"/>
      <c r="BX17" s="24"/>
      <c r="BY17" s="24"/>
      <c r="BZ17" s="24"/>
      <c r="CA17" s="24"/>
      <c r="CB17" s="24"/>
      <c r="CC17" s="24"/>
      <c r="CD17" s="24"/>
      <c r="CE17" s="24"/>
      <c r="CF17" s="24"/>
      <c r="CG17" s="24"/>
      <c r="CH17" s="24"/>
      <c r="CI17" s="24"/>
      <c r="CJ17" s="24"/>
      <c r="CK17" s="24"/>
      <c r="CL17" s="24"/>
      <c r="CM17" s="24"/>
      <c r="CN17" s="24"/>
      <c r="CO17" s="24"/>
      <c r="CP17" s="24"/>
      <c r="CQ17" s="24"/>
      <c r="CR17" s="24"/>
      <c r="CS17" s="24"/>
      <c r="CT17" s="24"/>
      <c r="CU17" s="24"/>
      <c r="CV17" s="24"/>
      <c r="CW17" s="24"/>
      <c r="CX17" s="24"/>
      <c r="CY17" s="24"/>
      <c r="CZ17" s="24"/>
      <c r="DA17" s="24"/>
      <c r="DB17" s="24"/>
      <c r="DC17" s="24"/>
      <c r="DD17" s="24"/>
      <c r="DE17" s="24"/>
      <c r="DF17" s="24"/>
      <c r="DG17" s="24"/>
      <c r="DH17" s="24"/>
      <c r="DI17" s="24"/>
      <c r="DJ17" s="24"/>
      <c r="DK17" s="24"/>
      <c r="DL17" s="24"/>
      <c r="DM17" s="24"/>
      <c r="DN17" s="24"/>
      <c r="DO17" s="24"/>
      <c r="DP17" s="24"/>
      <c r="DQ17" s="24"/>
      <c r="DR17" s="24"/>
      <c r="DS17" s="24"/>
      <c r="DT17" s="24"/>
      <c r="DU17" s="24"/>
      <c r="DV17" s="24"/>
      <c r="DW17" s="24"/>
      <c r="DX17" s="24"/>
      <c r="DY17" s="24"/>
      <c r="DZ17" s="24"/>
      <c r="EA17" s="24"/>
      <c r="EB17" s="24"/>
      <c r="EC17" s="24"/>
      <c r="ED17" s="24"/>
      <c r="EE17" s="24"/>
      <c r="EG17" s="24"/>
      <c r="EH17" s="24"/>
      <c r="EI17" s="24"/>
      <c r="EJ17" s="24"/>
    </row>
    <row r="18" spans="1:140" hidden="1" outlineLevel="2">
      <c r="A18" s="113" t="str">
        <f>+qtrSales!A41</f>
        <v>2Q</v>
      </c>
      <c r="B18" s="24" t="str">
        <f>+qtrSales!B41</f>
        <v>Jul</v>
      </c>
      <c r="C18" s="24"/>
      <c r="D18" s="24"/>
      <c r="E18" s="24"/>
      <c r="F18" s="24"/>
      <c r="G18" s="24"/>
      <c r="H18" s="24"/>
      <c r="I18" s="24"/>
      <c r="J18" s="24"/>
      <c r="K18" s="24"/>
      <c r="L18" s="1980"/>
      <c r="M18" s="1981"/>
      <c r="N18" s="1981"/>
      <c r="O18" s="1981"/>
      <c r="P18" s="1981"/>
      <c r="Q18" s="24"/>
      <c r="R18" s="24"/>
      <c r="S18" s="1980"/>
      <c r="T18" s="1980"/>
      <c r="U18" s="1981"/>
      <c r="V18" s="24"/>
      <c r="W18" s="24"/>
      <c r="X18" s="24"/>
      <c r="Y18" s="24"/>
      <c r="Z18" s="24"/>
      <c r="AA18" s="24"/>
      <c r="AB18" s="24"/>
      <c r="AC18" s="1980"/>
      <c r="AD18" s="1981"/>
      <c r="AE18" s="1981"/>
      <c r="AF18" s="1981"/>
      <c r="AG18" s="1981"/>
      <c r="AH18" s="1981"/>
      <c r="AI18" s="24"/>
      <c r="AJ18" s="24"/>
      <c r="AK18" s="24"/>
      <c r="AL18" s="24"/>
      <c r="AM18" s="24"/>
      <c r="AN18" s="24"/>
      <c r="AO18" s="24"/>
      <c r="AP18" s="24"/>
      <c r="AQ18" s="1980"/>
      <c r="AR18" s="1981"/>
      <c r="AS18" s="24"/>
      <c r="AT18" s="24"/>
      <c r="AU18" s="24"/>
      <c r="AV18" s="24"/>
      <c r="AW18" s="24"/>
      <c r="AX18" s="24"/>
      <c r="AY18" s="24"/>
      <c r="AZ18" s="24"/>
      <c r="BA18" s="24"/>
      <c r="BB18" s="24"/>
      <c r="BC18" s="24"/>
      <c r="BD18" s="1980"/>
      <c r="BE18" s="24"/>
      <c r="BF18" s="1980"/>
      <c r="BG18" s="1981"/>
      <c r="BH18" s="24"/>
      <c r="BI18" s="24"/>
      <c r="BJ18" s="24"/>
      <c r="BK18" s="2889"/>
      <c r="BL18" s="24"/>
      <c r="BM18" s="24"/>
      <c r="BN18" s="24"/>
      <c r="BO18" s="24"/>
      <c r="BP18" s="24"/>
      <c r="BQ18" s="24"/>
      <c r="BR18" s="24"/>
      <c r="BS18" s="24"/>
      <c r="BT18" s="24"/>
      <c r="BU18" s="24"/>
      <c r="BV18" s="24"/>
      <c r="BW18" s="24"/>
      <c r="BX18" s="24"/>
      <c r="BY18" s="24"/>
      <c r="BZ18" s="24"/>
      <c r="CA18" s="24"/>
      <c r="CB18" s="24"/>
      <c r="CC18" s="24"/>
      <c r="CD18" s="24"/>
      <c r="CE18" s="24"/>
      <c r="CF18" s="24"/>
      <c r="CG18" s="24"/>
      <c r="CH18" s="24"/>
      <c r="CI18" s="24"/>
      <c r="CJ18" s="24"/>
      <c r="CK18" s="24"/>
      <c r="CL18" s="24"/>
      <c r="CM18" s="24"/>
      <c r="CN18" s="24"/>
      <c r="CO18" s="24"/>
      <c r="CP18" s="24"/>
      <c r="CQ18" s="24"/>
      <c r="CR18" s="24"/>
      <c r="CS18" s="24"/>
      <c r="CT18" s="24"/>
      <c r="CU18" s="24"/>
      <c r="CV18" s="24"/>
      <c r="CW18" s="24"/>
      <c r="CX18" s="24"/>
      <c r="CY18" s="24"/>
      <c r="CZ18" s="24"/>
      <c r="DA18" s="24"/>
      <c r="DB18" s="24"/>
      <c r="DC18" s="24"/>
      <c r="DD18" s="24"/>
      <c r="DE18" s="24"/>
      <c r="DF18" s="24"/>
      <c r="DG18" s="24"/>
      <c r="DH18" s="24"/>
      <c r="DI18" s="24"/>
      <c r="DJ18" s="24"/>
      <c r="DK18" s="24"/>
      <c r="DL18" s="24"/>
      <c r="DM18" s="24"/>
      <c r="DN18" s="24"/>
      <c r="DO18" s="24"/>
      <c r="DP18" s="24"/>
      <c r="DQ18" s="24"/>
      <c r="DR18" s="24"/>
      <c r="DS18" s="24"/>
      <c r="DT18" s="24"/>
      <c r="DU18" s="24"/>
      <c r="DV18" s="24"/>
      <c r="DW18" s="24"/>
      <c r="DX18" s="24"/>
      <c r="DY18" s="24"/>
      <c r="DZ18" s="24"/>
      <c r="EA18" s="24"/>
      <c r="EB18" s="24"/>
      <c r="EC18" s="24"/>
      <c r="ED18" s="24"/>
      <c r="EE18" s="24"/>
      <c r="EG18" s="24"/>
      <c r="EH18" s="24"/>
      <c r="EI18" s="24"/>
      <c r="EJ18" s="24"/>
    </row>
    <row r="19" spans="1:140" hidden="1" outlineLevel="2">
      <c r="A19" s="113" t="str">
        <f>+qtrSales!A42</f>
        <v>3Q</v>
      </c>
      <c r="B19" s="24" t="str">
        <f>+qtrSales!B42</f>
        <v>Oct</v>
      </c>
      <c r="C19" s="24"/>
      <c r="D19" s="24"/>
      <c r="E19" s="24"/>
      <c r="F19" s="24"/>
      <c r="G19" s="24"/>
      <c r="H19" s="24"/>
      <c r="I19" s="24"/>
      <c r="J19" s="24"/>
      <c r="K19" s="24"/>
      <c r="L19" s="1980"/>
      <c r="M19" s="1981"/>
      <c r="N19" s="1981"/>
      <c r="O19" s="1981"/>
      <c r="P19" s="1981"/>
      <c r="Q19" s="24"/>
      <c r="R19" s="24"/>
      <c r="S19" s="1980"/>
      <c r="T19" s="1980"/>
      <c r="U19" s="1981"/>
      <c r="V19" s="24"/>
      <c r="W19" s="24"/>
      <c r="X19" s="24"/>
      <c r="Y19" s="24"/>
      <c r="Z19" s="24"/>
      <c r="AA19" s="24"/>
      <c r="AB19" s="24"/>
      <c r="AC19" s="1980"/>
      <c r="AD19" s="1981"/>
      <c r="AE19" s="1981"/>
      <c r="AF19" s="1981"/>
      <c r="AG19" s="1981"/>
      <c r="AH19" s="1981"/>
      <c r="AI19" s="24"/>
      <c r="AJ19" s="24"/>
      <c r="AK19" s="24"/>
      <c r="AL19" s="24"/>
      <c r="AM19" s="24"/>
      <c r="AN19" s="24"/>
      <c r="AO19" s="24"/>
      <c r="AP19" s="24"/>
      <c r="AQ19" s="1980"/>
      <c r="AR19" s="1981"/>
      <c r="AS19" s="24"/>
      <c r="AT19" s="24"/>
      <c r="AU19" s="24"/>
      <c r="AV19" s="24"/>
      <c r="AW19" s="24"/>
      <c r="AX19" s="24"/>
      <c r="AY19" s="24"/>
      <c r="AZ19" s="24"/>
      <c r="BA19" s="24"/>
      <c r="BB19" s="24"/>
      <c r="BC19" s="24"/>
      <c r="BD19" s="1980"/>
      <c r="BE19" s="24"/>
      <c r="BF19" s="1980"/>
      <c r="BG19" s="1981"/>
      <c r="BH19" s="24"/>
      <c r="BI19" s="24"/>
      <c r="BJ19" s="24"/>
      <c r="BK19" s="2889"/>
      <c r="BL19" s="24"/>
      <c r="BM19" s="24"/>
      <c r="BN19" s="24"/>
      <c r="BO19" s="24"/>
      <c r="BP19" s="24"/>
      <c r="BQ19" s="24"/>
      <c r="BR19" s="24"/>
      <c r="BS19" s="24"/>
      <c r="BT19" s="24"/>
      <c r="BU19" s="24"/>
      <c r="BV19" s="24"/>
      <c r="BW19" s="24"/>
      <c r="BX19" s="24"/>
      <c r="BY19" s="24"/>
      <c r="BZ19" s="24"/>
      <c r="CA19" s="24"/>
      <c r="CB19" s="24"/>
      <c r="CC19" s="24"/>
      <c r="CD19" s="24"/>
      <c r="CE19" s="24"/>
      <c r="CF19" s="24"/>
      <c r="CG19" s="24"/>
      <c r="CH19" s="24"/>
      <c r="CI19" s="24"/>
      <c r="CJ19" s="24"/>
      <c r="CK19" s="24"/>
      <c r="CL19" s="24"/>
      <c r="CM19" s="24"/>
      <c r="CN19" s="24"/>
      <c r="CO19" s="24"/>
      <c r="CP19" s="24"/>
      <c r="CQ19" s="24"/>
      <c r="CR19" s="24"/>
      <c r="CS19" s="24"/>
      <c r="CT19" s="24"/>
      <c r="CU19" s="24"/>
      <c r="CV19" s="24"/>
      <c r="CW19" s="24"/>
      <c r="CX19" s="24"/>
      <c r="CY19" s="24"/>
      <c r="CZ19" s="24"/>
      <c r="DA19" s="24"/>
      <c r="DB19" s="24"/>
      <c r="DC19" s="24"/>
      <c r="DD19" s="24"/>
      <c r="DE19" s="24"/>
      <c r="DF19" s="24"/>
      <c r="DG19" s="24"/>
      <c r="DH19" s="24"/>
      <c r="DI19" s="24"/>
      <c r="DJ19" s="24"/>
      <c r="DK19" s="24"/>
      <c r="DL19" s="24"/>
      <c r="DM19" s="24"/>
      <c r="DN19" s="24"/>
      <c r="DO19" s="24"/>
      <c r="DP19" s="24"/>
      <c r="DQ19" s="24"/>
      <c r="DR19" s="24"/>
      <c r="DS19" s="24"/>
      <c r="DT19" s="24"/>
      <c r="DU19" s="24"/>
      <c r="DV19" s="24"/>
      <c r="DW19" s="24"/>
      <c r="DX19" s="24"/>
      <c r="DY19" s="24"/>
      <c r="DZ19" s="24"/>
      <c r="EA19" s="24"/>
      <c r="EB19" s="24"/>
      <c r="EC19" s="24"/>
      <c r="ED19" s="24"/>
      <c r="EE19" s="24"/>
      <c r="EG19" s="24"/>
      <c r="EH19" s="24"/>
      <c r="EI19" s="24"/>
      <c r="EJ19" s="24"/>
    </row>
    <row r="20" spans="1:140" hidden="1" outlineLevel="2">
      <c r="A20" s="113" t="str">
        <f>+qtrSales!A43</f>
        <v>4Q</v>
      </c>
      <c r="B20" s="24" t="str">
        <f>+qtrSales!B43</f>
        <v>Jan</v>
      </c>
      <c r="C20" s="24"/>
      <c r="D20" s="24"/>
      <c r="E20" s="30"/>
      <c r="F20" s="30"/>
      <c r="G20" s="24"/>
      <c r="H20" s="24"/>
      <c r="I20" s="24"/>
      <c r="J20" s="24"/>
      <c r="K20" s="24"/>
      <c r="L20" s="1980"/>
      <c r="M20" s="1981"/>
      <c r="N20" s="1981"/>
      <c r="O20" s="1981"/>
      <c r="P20" s="1981"/>
      <c r="Q20" s="24"/>
      <c r="R20" s="24"/>
      <c r="S20" s="1980"/>
      <c r="T20" s="1980"/>
      <c r="U20" s="1981"/>
      <c r="V20" s="24"/>
      <c r="W20" s="24"/>
      <c r="X20" s="24"/>
      <c r="Y20" s="24"/>
      <c r="Z20" s="24"/>
      <c r="AA20" s="24"/>
      <c r="AB20" s="24"/>
      <c r="AC20" s="1980"/>
      <c r="AD20" s="1981"/>
      <c r="AE20" s="1981"/>
      <c r="AF20" s="1981"/>
      <c r="AG20" s="1981"/>
      <c r="AH20" s="1981"/>
      <c r="AI20" s="24"/>
      <c r="AJ20" s="24"/>
      <c r="AK20" s="24"/>
      <c r="AL20" s="24"/>
      <c r="AM20" s="24"/>
      <c r="AN20" s="24"/>
      <c r="AO20" s="24"/>
      <c r="AP20" s="24"/>
      <c r="AQ20" s="1980"/>
      <c r="AR20" s="1981"/>
      <c r="AS20" s="24"/>
      <c r="AT20" s="24"/>
      <c r="AU20" s="24"/>
      <c r="AV20" s="24"/>
      <c r="AW20" s="24"/>
      <c r="AX20" s="24"/>
      <c r="AY20" s="24"/>
      <c r="AZ20" s="24"/>
      <c r="BA20" s="24"/>
      <c r="BB20" s="24"/>
      <c r="BC20" s="24"/>
      <c r="BD20" s="1980"/>
      <c r="BE20" s="24"/>
      <c r="BF20" s="1980"/>
      <c r="BG20" s="1981"/>
      <c r="BH20" s="24"/>
      <c r="BI20" s="24"/>
      <c r="BJ20" s="24"/>
      <c r="BK20" s="2889"/>
      <c r="BL20" s="24"/>
      <c r="BM20" s="24"/>
      <c r="BN20" s="24"/>
      <c r="BO20" s="24"/>
      <c r="BP20" s="24"/>
      <c r="BQ20" s="24"/>
      <c r="BR20" s="24"/>
      <c r="BS20" s="24"/>
      <c r="BT20" s="24"/>
      <c r="BU20" s="24"/>
      <c r="BV20" s="24"/>
      <c r="BW20" s="24"/>
      <c r="BX20" s="24"/>
      <c r="BY20" s="24"/>
      <c r="BZ20" s="24"/>
      <c r="CA20" s="24"/>
      <c r="CB20" s="24"/>
      <c r="CC20" s="24"/>
      <c r="CD20" s="24"/>
      <c r="CE20" s="24"/>
      <c r="CF20" s="24"/>
      <c r="CG20" s="24"/>
      <c r="CH20" s="24"/>
      <c r="CI20" s="24"/>
      <c r="CJ20" s="24"/>
      <c r="CK20" s="24"/>
      <c r="CL20" s="24"/>
      <c r="CM20" s="24"/>
      <c r="CN20" s="24"/>
      <c r="CO20" s="24"/>
      <c r="CP20" s="24"/>
      <c r="CQ20" s="24"/>
      <c r="CR20" s="24"/>
      <c r="CS20" s="24"/>
      <c r="CT20" s="24"/>
      <c r="CU20" s="24"/>
      <c r="CV20" s="24"/>
      <c r="CW20" s="24"/>
      <c r="CX20" s="24"/>
      <c r="CY20" s="24"/>
      <c r="CZ20" s="24"/>
      <c r="DA20" s="24"/>
      <c r="DB20" s="24"/>
      <c r="DC20" s="24"/>
      <c r="DD20" s="24"/>
      <c r="DE20" s="24"/>
      <c r="DF20" s="24"/>
      <c r="DG20" s="24"/>
      <c r="DH20" s="24"/>
      <c r="DI20" s="24"/>
      <c r="DJ20" s="24"/>
      <c r="DK20" s="24"/>
      <c r="DL20" s="24"/>
      <c r="DM20" s="24"/>
      <c r="DN20" s="24"/>
      <c r="DO20" s="24"/>
      <c r="DP20" s="24"/>
      <c r="DQ20" s="24"/>
      <c r="DR20" s="24"/>
      <c r="DS20" s="24"/>
      <c r="DT20" s="24"/>
      <c r="DU20" s="24"/>
      <c r="DV20" s="24"/>
      <c r="DW20" s="24"/>
      <c r="DX20" s="24"/>
      <c r="DY20" s="24"/>
      <c r="DZ20" s="24"/>
      <c r="EA20" s="24"/>
      <c r="EB20" s="24"/>
      <c r="EC20" s="24"/>
      <c r="ED20" s="24"/>
      <c r="EE20" s="24"/>
      <c r="EG20" s="24"/>
      <c r="EH20" s="24"/>
      <c r="EI20" s="24"/>
      <c r="EJ20" s="24"/>
    </row>
    <row r="21" spans="1:140" hidden="1" outlineLevel="2">
      <c r="A21" s="113"/>
      <c r="B21" s="24" t="str">
        <f>+qtrSales!B44</f>
        <v>Year</v>
      </c>
      <c r="C21" s="24"/>
      <c r="D21" s="24"/>
      <c r="E21" s="389">
        <v>992</v>
      </c>
      <c r="F21" s="389"/>
      <c r="G21" s="1980">
        <f>+(E21/E14-1)*100</f>
        <v>18.095238095238098</v>
      </c>
      <c r="H21" s="1981">
        <f>+E21/$BI21*100</f>
        <v>14.183585930797825</v>
      </c>
      <c r="I21" s="1981"/>
      <c r="J21" s="1981"/>
      <c r="K21" s="389">
        <v>436</v>
      </c>
      <c r="L21" s="1980">
        <f>+(K21/K14-1)*100</f>
        <v>18.801089918256132</v>
      </c>
      <c r="M21" s="1981">
        <f>+K21/$BI21*100</f>
        <v>6.2339147841006577</v>
      </c>
      <c r="N21" s="1981"/>
      <c r="O21" s="1981"/>
      <c r="P21" s="1981"/>
      <c r="Q21" s="24"/>
      <c r="R21" s="266">
        <f>+E21+K21</f>
        <v>1428</v>
      </c>
      <c r="S21" s="1980">
        <f>+(R21/R14-1)*100</f>
        <v>18.309859154929576</v>
      </c>
      <c r="T21" s="1980"/>
      <c r="U21" s="1981">
        <f>+R21/$BI21*100</f>
        <v>20.417500714898484</v>
      </c>
      <c r="V21" s="24"/>
      <c r="W21" s="388">
        <v>112</v>
      </c>
      <c r="X21" s="388"/>
      <c r="Y21" s="388"/>
      <c r="Z21" s="388"/>
      <c r="AA21" s="388"/>
      <c r="AB21" s="388"/>
      <c r="AC21" s="1980">
        <f>+(W21/W14-1)*100</f>
        <v>96.491228070175424</v>
      </c>
      <c r="AD21" s="1981">
        <f>+W21/$BI21*100</f>
        <v>1.6013726050900772</v>
      </c>
      <c r="AE21" s="1981"/>
      <c r="AF21" s="1981"/>
      <c r="AG21" s="1981"/>
      <c r="AH21" s="1981"/>
      <c r="AI21" s="24"/>
      <c r="AJ21" s="389">
        <v>1421</v>
      </c>
      <c r="AK21" s="388">
        <v>450</v>
      </c>
      <c r="AL21" s="266">
        <f>+AJ21+AK21</f>
        <v>1871</v>
      </c>
      <c r="AM21" s="389">
        <v>1141</v>
      </c>
      <c r="AN21" s="388">
        <v>928</v>
      </c>
      <c r="AO21" s="389">
        <v>1084</v>
      </c>
      <c r="AP21" s="266">
        <f>+SUM(AL21:AO21)</f>
        <v>5024</v>
      </c>
      <c r="AQ21" s="1980">
        <f>+(AP21/AP14-1)*100</f>
        <v>1.9480519480519431</v>
      </c>
      <c r="AR21" s="1981">
        <f>+AP21/$BI21*100</f>
        <v>71.832999714040596</v>
      </c>
      <c r="AS21" s="24"/>
      <c r="AT21" s="388">
        <v>86</v>
      </c>
      <c r="AU21" s="388">
        <v>81</v>
      </c>
      <c r="AV21" s="388">
        <v>111</v>
      </c>
      <c r="AW21" s="388">
        <v>147</v>
      </c>
      <c r="AX21" s="388">
        <v>0</v>
      </c>
      <c r="AY21" s="388">
        <v>5</v>
      </c>
      <c r="AZ21" s="388"/>
      <c r="BA21" s="388"/>
      <c r="BB21" s="388"/>
      <c r="BC21" s="266"/>
      <c r="BD21" s="1980" t="e">
        <f>+(BC21/BC14-1)*100</f>
        <v>#DIV/0!</v>
      </c>
      <c r="BE21" s="266">
        <f>+SUM(AT21:AY21)</f>
        <v>430</v>
      </c>
      <c r="BF21" s="1980">
        <f>+(BE21/BE14-1)*100</f>
        <v>31.498470948012237</v>
      </c>
      <c r="BG21" s="1981">
        <f>+BE21/$BI21*100</f>
        <v>6.1481269659708317</v>
      </c>
      <c r="BH21" s="24"/>
      <c r="BI21" s="266">
        <f>+R21+W21+AP21+BE21</f>
        <v>6994</v>
      </c>
      <c r="BJ21" s="266"/>
      <c r="BK21" s="2889">
        <f>+(BI21/BI14-1)*100</f>
        <v>7.2863936186531753</v>
      </c>
      <c r="BL21" s="266"/>
      <c r="BM21" s="1980"/>
      <c r="BN21" s="1981"/>
      <c r="BO21" s="266"/>
      <c r="BP21" s="1980"/>
      <c r="BQ21" s="1981"/>
      <c r="BR21" s="24"/>
      <c r="BS21" s="266"/>
      <c r="BT21" s="1980"/>
      <c r="BU21" s="1981"/>
      <c r="BV21" s="24"/>
      <c r="BW21" s="266"/>
      <c r="BX21" s="1980"/>
      <c r="BY21" s="24"/>
      <c r="BZ21" s="389"/>
      <c r="CA21" s="1980"/>
      <c r="CB21" s="1981"/>
      <c r="CC21" s="389"/>
      <c r="CD21" s="1980"/>
      <c r="CE21" s="1981"/>
      <c r="CF21" s="389"/>
      <c r="CG21" s="389"/>
      <c r="CH21" s="1980"/>
      <c r="CI21" s="1981"/>
      <c r="CJ21" s="389"/>
      <c r="CK21" s="389"/>
      <c r="CL21" s="1980"/>
      <c r="CM21" s="1981"/>
      <c r="CN21" s="389"/>
      <c r="CO21" s="266"/>
      <c r="CP21" s="1980"/>
      <c r="CQ21" s="1981"/>
      <c r="CR21" s="1981"/>
      <c r="CS21" s="24"/>
      <c r="CT21" s="24"/>
      <c r="CU21" s="24"/>
      <c r="CV21" s="24"/>
      <c r="CW21" s="24"/>
      <c r="CX21" s="24"/>
      <c r="CY21" s="24"/>
      <c r="CZ21" s="24"/>
      <c r="DA21" s="24"/>
      <c r="DB21" s="24"/>
      <c r="DC21" s="24"/>
      <c r="DD21" s="24"/>
      <c r="DE21" s="24"/>
      <c r="DF21" s="24"/>
      <c r="DG21" s="24"/>
      <c r="DH21" s="24"/>
      <c r="DI21" s="24"/>
      <c r="DJ21" s="24"/>
      <c r="DK21" s="24"/>
      <c r="DL21" s="24"/>
      <c r="DM21" s="24"/>
      <c r="DN21" s="24"/>
      <c r="DO21" s="24"/>
      <c r="DP21" s="24"/>
      <c r="DQ21" s="24"/>
      <c r="DR21" s="24"/>
      <c r="DS21" s="24"/>
      <c r="DT21" s="24"/>
      <c r="DU21" s="24"/>
      <c r="DV21" s="24"/>
      <c r="DW21" s="24"/>
      <c r="DX21" s="24"/>
      <c r="DY21" s="24"/>
      <c r="DZ21" s="24"/>
      <c r="EA21" s="24"/>
      <c r="EB21" s="24"/>
      <c r="EC21" s="24"/>
      <c r="ED21" s="24"/>
      <c r="EE21" s="24"/>
      <c r="EG21" s="24"/>
      <c r="EH21" s="24"/>
      <c r="EI21" s="24"/>
      <c r="EJ21" s="24"/>
    </row>
    <row r="22" spans="1:140" hidden="1" outlineLevel="2">
      <c r="A22" s="113"/>
      <c r="B22" s="24"/>
      <c r="C22" s="24"/>
      <c r="D22" s="24"/>
      <c r="E22" s="24"/>
      <c r="F22" s="24"/>
      <c r="G22" s="24"/>
      <c r="H22" s="24"/>
      <c r="I22" s="24"/>
      <c r="J22" s="24"/>
      <c r="K22" s="24"/>
      <c r="L22" s="1980"/>
      <c r="M22" s="1981"/>
      <c r="N22" s="1981"/>
      <c r="O22" s="1981"/>
      <c r="P22" s="1981"/>
      <c r="Q22" s="24"/>
      <c r="R22" s="24"/>
      <c r="S22" s="1980"/>
      <c r="T22" s="1980"/>
      <c r="U22" s="1981"/>
      <c r="V22" s="24"/>
      <c r="W22" s="24"/>
      <c r="X22" s="24"/>
      <c r="Y22" s="24"/>
      <c r="Z22" s="24"/>
      <c r="AA22" s="24"/>
      <c r="AB22" s="24"/>
      <c r="AC22" s="1980"/>
      <c r="AD22" s="1981"/>
      <c r="AE22" s="1981"/>
      <c r="AF22" s="1981"/>
      <c r="AG22" s="1981"/>
      <c r="AH22" s="1981"/>
      <c r="AI22" s="24"/>
      <c r="AJ22" s="24"/>
      <c r="AK22" s="24"/>
      <c r="AL22" s="24"/>
      <c r="AM22" s="24"/>
      <c r="AN22" s="24"/>
      <c r="AO22" s="24"/>
      <c r="AP22" s="24"/>
      <c r="AQ22" s="1980"/>
      <c r="AR22" s="1981"/>
      <c r="AS22" s="24"/>
      <c r="AT22" s="24"/>
      <c r="AU22" s="24"/>
      <c r="AV22" s="24"/>
      <c r="AW22" s="24"/>
      <c r="AX22" s="24"/>
      <c r="AY22" s="24"/>
      <c r="AZ22" s="24"/>
      <c r="BA22" s="24"/>
      <c r="BB22" s="24"/>
      <c r="BC22" s="24"/>
      <c r="BD22" s="1980"/>
      <c r="BE22" s="24"/>
      <c r="BF22" s="1980"/>
      <c r="BG22" s="1981"/>
      <c r="BH22" s="24"/>
      <c r="BI22" s="24"/>
      <c r="BJ22" s="24"/>
      <c r="BK22" s="2889"/>
      <c r="BL22" s="24"/>
      <c r="BM22" s="24"/>
      <c r="BN22" s="24"/>
      <c r="BO22" s="24"/>
      <c r="BP22" s="24"/>
      <c r="BQ22" s="24"/>
      <c r="BR22" s="24"/>
      <c r="BS22" s="24"/>
      <c r="BT22" s="24"/>
      <c r="BU22" s="24"/>
      <c r="BV22" s="24"/>
      <c r="BW22" s="24"/>
      <c r="BX22" s="24"/>
      <c r="BY22" s="24"/>
      <c r="BZ22" s="24"/>
      <c r="CA22" s="24"/>
      <c r="CB22" s="24"/>
      <c r="CC22" s="24"/>
      <c r="CD22" s="24"/>
      <c r="CE22" s="24"/>
      <c r="CF22" s="24"/>
      <c r="CG22" s="24"/>
      <c r="CH22" s="24"/>
      <c r="CI22" s="24"/>
      <c r="CJ22" s="24"/>
      <c r="CK22" s="24"/>
      <c r="CL22" s="24"/>
      <c r="CM22" s="24"/>
      <c r="CN22" s="24"/>
      <c r="CO22" s="24"/>
      <c r="CP22" s="24"/>
      <c r="CQ22" s="24"/>
      <c r="CR22" s="24"/>
      <c r="CS22" s="24"/>
      <c r="CT22" s="24"/>
      <c r="CU22" s="24"/>
      <c r="CV22" s="24"/>
      <c r="CW22" s="24"/>
      <c r="CX22" s="24"/>
      <c r="CY22" s="24"/>
      <c r="CZ22" s="24"/>
      <c r="DA22" s="24"/>
      <c r="DB22" s="24"/>
      <c r="DC22" s="24"/>
      <c r="DD22" s="24"/>
      <c r="DE22" s="24"/>
      <c r="DF22" s="24"/>
      <c r="DG22" s="24"/>
      <c r="DH22" s="24"/>
      <c r="DI22" s="24"/>
      <c r="DJ22" s="24"/>
      <c r="DK22" s="24"/>
      <c r="DL22" s="24"/>
      <c r="DM22" s="24"/>
      <c r="DN22" s="24"/>
      <c r="DO22" s="24"/>
      <c r="DP22" s="24"/>
      <c r="DQ22" s="24"/>
      <c r="DR22" s="24"/>
      <c r="DS22" s="24"/>
      <c r="DT22" s="24"/>
      <c r="DU22" s="24"/>
      <c r="DV22" s="24"/>
      <c r="DW22" s="24"/>
      <c r="DX22" s="24"/>
      <c r="DY22" s="24"/>
      <c r="DZ22" s="24"/>
      <c r="EA22" s="24"/>
      <c r="EB22" s="24"/>
      <c r="EC22" s="24"/>
      <c r="ED22" s="24"/>
      <c r="EE22" s="24"/>
      <c r="EG22" s="24"/>
      <c r="EH22" s="24"/>
      <c r="EI22" s="24"/>
      <c r="EJ22" s="24"/>
    </row>
    <row r="23" spans="1:140" hidden="1" outlineLevel="2">
      <c r="A23" s="113"/>
      <c r="B23" s="136">
        <f>+qtrSales!B46</f>
        <v>1994</v>
      </c>
      <c r="C23" s="24"/>
      <c r="D23" s="24"/>
      <c r="E23" s="24"/>
      <c r="F23" s="24"/>
      <c r="G23" s="1980"/>
      <c r="H23" s="1981"/>
      <c r="I23" s="1981"/>
      <c r="J23" s="1981"/>
      <c r="K23" s="24"/>
      <c r="L23" s="1980"/>
      <c r="M23" s="1981"/>
      <c r="N23" s="1981"/>
      <c r="O23" s="1981"/>
      <c r="P23" s="1981"/>
      <c r="Q23" s="24"/>
      <c r="R23" s="24"/>
      <c r="S23" s="1980"/>
      <c r="T23" s="1980"/>
      <c r="U23" s="1981"/>
      <c r="V23" s="24"/>
      <c r="W23" s="24"/>
      <c r="X23" s="24"/>
      <c r="Y23" s="24"/>
      <c r="Z23" s="24"/>
      <c r="AA23" s="24"/>
      <c r="AB23" s="24"/>
      <c r="AC23" s="1980"/>
      <c r="AD23" s="1981"/>
      <c r="AE23" s="1981"/>
      <c r="AF23" s="1981"/>
      <c r="AG23" s="1981"/>
      <c r="AH23" s="1981"/>
      <c r="AI23" s="24"/>
      <c r="AJ23" s="24"/>
      <c r="AK23" s="24"/>
      <c r="AL23" s="24"/>
      <c r="AM23" s="24"/>
      <c r="AN23" s="24"/>
      <c r="AO23" s="24"/>
      <c r="AP23" s="24"/>
      <c r="AQ23" s="1980"/>
      <c r="AR23" s="1981"/>
      <c r="AS23" s="24"/>
      <c r="AT23" s="24"/>
      <c r="AU23" s="24"/>
      <c r="AV23" s="24"/>
      <c r="AW23" s="24"/>
      <c r="AX23" s="24"/>
      <c r="AY23" s="24"/>
      <c r="AZ23" s="24"/>
      <c r="BA23" s="24"/>
      <c r="BB23" s="24"/>
      <c r="BC23" s="24"/>
      <c r="BD23" s="1980"/>
      <c r="BE23" s="24"/>
      <c r="BF23" s="1980"/>
      <c r="BG23" s="1981"/>
      <c r="BH23" s="24"/>
      <c r="BI23" s="24"/>
      <c r="BJ23" s="24"/>
      <c r="BK23" s="2889"/>
      <c r="BL23" s="24"/>
      <c r="BM23" s="1980"/>
      <c r="BN23" s="1981"/>
      <c r="BO23" s="24"/>
      <c r="BP23" s="24"/>
      <c r="BQ23" s="24"/>
      <c r="BR23" s="24"/>
      <c r="BS23" s="24"/>
      <c r="BT23" s="24"/>
      <c r="BU23" s="24"/>
      <c r="BV23" s="24"/>
      <c r="BW23" s="24"/>
      <c r="BX23" s="24"/>
      <c r="BY23" s="24"/>
      <c r="BZ23" s="24"/>
      <c r="CA23" s="1980"/>
      <c r="CB23" s="1981"/>
      <c r="CC23" s="24"/>
      <c r="CD23" s="24"/>
      <c r="CE23" s="24"/>
      <c r="CF23" s="24"/>
      <c r="CG23" s="24"/>
      <c r="CH23" s="24"/>
      <c r="CI23" s="24"/>
      <c r="CJ23" s="24"/>
      <c r="CK23" s="24"/>
      <c r="CL23" s="24"/>
      <c r="CM23" s="24"/>
      <c r="CN23" s="24"/>
      <c r="CO23" s="24"/>
      <c r="CP23" s="24"/>
      <c r="CQ23" s="24"/>
      <c r="CR23" s="24"/>
      <c r="CS23" s="24"/>
      <c r="CT23" s="24"/>
      <c r="CU23" s="24"/>
      <c r="CV23" s="24"/>
      <c r="CW23" s="24"/>
      <c r="CX23" s="24"/>
      <c r="CY23" s="24"/>
      <c r="CZ23" s="24"/>
      <c r="DA23" s="24"/>
      <c r="DB23" s="24"/>
      <c r="DC23" s="24"/>
      <c r="DD23" s="24"/>
      <c r="DE23" s="24"/>
      <c r="DF23" s="24"/>
      <c r="DG23" s="24"/>
      <c r="DH23" s="24"/>
      <c r="DI23" s="24"/>
      <c r="DJ23" s="24"/>
      <c r="DK23" s="24"/>
      <c r="DL23" s="24"/>
      <c r="DM23" s="24"/>
      <c r="DN23" s="24"/>
      <c r="DO23" s="24"/>
      <c r="DP23" s="24"/>
      <c r="DQ23" s="24"/>
      <c r="DR23" s="24"/>
      <c r="DS23" s="24"/>
      <c r="DT23" s="24"/>
      <c r="DU23" s="24"/>
      <c r="DV23" s="24"/>
      <c r="DW23" s="24"/>
      <c r="DX23" s="24"/>
      <c r="DY23" s="24"/>
      <c r="DZ23" s="24"/>
      <c r="EA23" s="24"/>
      <c r="EB23" s="24"/>
      <c r="EC23" s="24"/>
      <c r="ED23" s="24"/>
      <c r="EE23" s="24"/>
      <c r="EG23" s="24"/>
      <c r="EH23" s="24"/>
      <c r="EI23" s="24"/>
      <c r="EJ23" s="24"/>
    </row>
    <row r="24" spans="1:140" hidden="1" outlineLevel="2">
      <c r="A24" s="113" t="str">
        <f>+qtrSales!A47</f>
        <v>1Q</v>
      </c>
      <c r="B24" s="24" t="str">
        <f>+qtrSales!B47</f>
        <v>Apr</v>
      </c>
      <c r="C24" s="24"/>
      <c r="D24" s="24"/>
      <c r="E24" s="1982">
        <v>222</v>
      </c>
      <c r="F24" s="1982"/>
      <c r="G24" s="1980"/>
      <c r="H24" s="1981">
        <f>+E24/$BI24*100</f>
        <v>14.979757085020243</v>
      </c>
      <c r="I24" s="1981"/>
      <c r="J24" s="1981"/>
      <c r="K24" s="1982">
        <v>122</v>
      </c>
      <c r="L24" s="1980"/>
      <c r="M24" s="1981">
        <f>+K24/$BI24*100</f>
        <v>8.2321187584345488</v>
      </c>
      <c r="N24" s="1981"/>
      <c r="O24" s="1981"/>
      <c r="P24" s="1981"/>
      <c r="Q24" s="24"/>
      <c r="R24" s="381">
        <f>+E24+K24</f>
        <v>344</v>
      </c>
      <c r="S24" s="1980"/>
      <c r="T24" s="1980"/>
      <c r="U24" s="1981">
        <f>+R24/$BI24*100</f>
        <v>23.211875843454791</v>
      </c>
      <c r="V24" s="24"/>
      <c r="W24" s="1982">
        <v>32</v>
      </c>
      <c r="X24" s="1982"/>
      <c r="Y24" s="1982"/>
      <c r="Z24" s="1982"/>
      <c r="AA24" s="1982"/>
      <c r="AB24" s="1982"/>
      <c r="AC24" s="1980"/>
      <c r="AD24" s="1981">
        <f>+W24/$BI24*100</f>
        <v>2.1592442645074224</v>
      </c>
      <c r="AE24" s="1981"/>
      <c r="AF24" s="1981"/>
      <c r="AG24" s="1981"/>
      <c r="AH24" s="1981"/>
      <c r="AI24" s="24"/>
      <c r="AJ24" s="1982">
        <v>265</v>
      </c>
      <c r="AK24" s="1982">
        <v>93</v>
      </c>
      <c r="AL24" s="381">
        <f>+AJ24+AK24</f>
        <v>358</v>
      </c>
      <c r="AM24" s="1982">
        <v>222</v>
      </c>
      <c r="AN24" s="1982">
        <v>223</v>
      </c>
      <c r="AO24" s="1982">
        <v>204</v>
      </c>
      <c r="AP24" s="381">
        <f>+SUM(AL24:AO24)</f>
        <v>1007</v>
      </c>
      <c r="AQ24" s="1980"/>
      <c r="AR24" s="1981">
        <f>+AP24/$BI24*100</f>
        <v>67.948717948717956</v>
      </c>
      <c r="AS24" s="24"/>
      <c r="AT24" s="1982">
        <v>20</v>
      </c>
      <c r="AU24" s="1982">
        <v>19</v>
      </c>
      <c r="AV24" s="1982">
        <v>23</v>
      </c>
      <c r="AW24" s="1982">
        <v>35</v>
      </c>
      <c r="AX24" s="1982">
        <v>0</v>
      </c>
      <c r="AY24" s="1982">
        <v>2</v>
      </c>
      <c r="AZ24" s="1982"/>
      <c r="BA24" s="1982"/>
      <c r="BB24" s="1982"/>
      <c r="BC24" s="381"/>
      <c r="BD24" s="1980"/>
      <c r="BE24" s="381">
        <f>+SUM(AT24:AY24)</f>
        <v>99</v>
      </c>
      <c r="BF24" s="1980"/>
      <c r="BG24" s="1981">
        <f>+BE24/$BI24*100</f>
        <v>6.6801619433198383</v>
      </c>
      <c r="BH24" s="24"/>
      <c r="BI24" s="381">
        <f>+E24+K24+W24+AP24+BE24</f>
        <v>1482</v>
      </c>
      <c r="BJ24" s="381"/>
      <c r="BK24" s="2889"/>
      <c r="BL24" s="381">
        <f>+E24+K24+W24+AT24+AY24</f>
        <v>398</v>
      </c>
      <c r="BM24" s="1980" t="e">
        <f>+(BL24/BL17-1)*100</f>
        <v>#DIV/0!</v>
      </c>
      <c r="BN24" s="1981">
        <f>+BL24/$BW24*100</f>
        <v>26.855600539811064</v>
      </c>
      <c r="BO24" s="381">
        <f>+AJ24+AM24+AN24+AO24+AU24</f>
        <v>933</v>
      </c>
      <c r="BP24" s="1980" t="e">
        <f>+(BO24/BO17-1)*100</f>
        <v>#DIV/0!</v>
      </c>
      <c r="BQ24" s="1981">
        <f>+BO24/$BW24*100</f>
        <v>62.955465587044536</v>
      </c>
      <c r="BR24" s="389"/>
      <c r="BS24" s="381">
        <f>+AK24+AV24+AW24+AX24</f>
        <v>151</v>
      </c>
      <c r="BT24" s="1980" t="e">
        <f>+(BS24/BS17-1)*100</f>
        <v>#DIV/0!</v>
      </c>
      <c r="BU24" s="1981">
        <f>+BS24/$BW24*100</f>
        <v>10.1889338731444</v>
      </c>
      <c r="BV24" s="389"/>
      <c r="BW24" s="381">
        <f>+BL24+BO24+BS24</f>
        <v>1482</v>
      </c>
      <c r="BX24" s="1980"/>
      <c r="BY24" s="24"/>
      <c r="BZ24" s="390">
        <v>27</v>
      </c>
      <c r="CA24" s="1980"/>
      <c r="CB24" s="1981">
        <f>+BZ24/BL24*100</f>
        <v>6.78391959798995</v>
      </c>
      <c r="CC24" s="390">
        <v>33</v>
      </c>
      <c r="CD24" s="1980"/>
      <c r="CE24" s="1981">
        <f>+CC24/BO24*100</f>
        <v>3.536977491961415</v>
      </c>
      <c r="CF24" s="389"/>
      <c r="CG24" s="390">
        <v>31</v>
      </c>
      <c r="CH24" s="1980"/>
      <c r="CI24" s="1981">
        <f>+CG24/BS24*100</f>
        <v>20.52980132450331</v>
      </c>
      <c r="CJ24" s="24"/>
      <c r="CK24" s="1983" t="s">
        <v>520</v>
      </c>
      <c r="CL24" s="1980"/>
      <c r="CM24" s="1981"/>
      <c r="CN24" s="24"/>
      <c r="CO24" s="165">
        <f>+BZ24+CC24+CG24</f>
        <v>91</v>
      </c>
      <c r="CP24" s="1980"/>
      <c r="CQ24" s="1981">
        <f>+CO24/BW24*100</f>
        <v>6.140350877192982</v>
      </c>
      <c r="CR24" s="1981"/>
      <c r="CS24" s="24"/>
      <c r="CT24" s="24"/>
      <c r="CU24" s="24"/>
      <c r="CV24" s="24"/>
      <c r="CW24" s="24"/>
      <c r="CX24" s="24"/>
      <c r="CY24" s="24"/>
      <c r="CZ24" s="24"/>
      <c r="DA24" s="24"/>
      <c r="DB24" s="24"/>
      <c r="DC24" s="24"/>
      <c r="DD24" s="24"/>
      <c r="DE24" s="24"/>
      <c r="DF24" s="24"/>
      <c r="DG24" s="24"/>
      <c r="DH24" s="24"/>
      <c r="DI24" s="24"/>
      <c r="DJ24" s="24"/>
      <c r="DK24" s="24"/>
      <c r="DL24" s="24"/>
      <c r="DM24" s="24"/>
      <c r="DN24" s="24"/>
      <c r="DO24" s="24"/>
      <c r="DP24" s="24"/>
      <c r="DQ24" s="24"/>
      <c r="DR24" s="24"/>
      <c r="DS24" s="24"/>
      <c r="DT24" s="24"/>
      <c r="DU24" s="24"/>
      <c r="DV24" s="24"/>
      <c r="DW24" s="24"/>
      <c r="DX24" s="24"/>
      <c r="DY24" s="24"/>
      <c r="DZ24" s="24"/>
      <c r="EA24" s="24"/>
      <c r="EB24" s="24"/>
      <c r="EC24" s="24"/>
      <c r="ED24" s="24"/>
      <c r="EE24" s="24"/>
      <c r="EG24" s="24"/>
      <c r="EH24" s="24"/>
      <c r="EI24" s="24"/>
      <c r="EJ24" s="24"/>
    </row>
    <row r="25" spans="1:140" hidden="1" outlineLevel="2">
      <c r="A25" s="113" t="str">
        <f>+qtrSales!A48</f>
        <v>2Q</v>
      </c>
      <c r="B25" s="24" t="str">
        <f>+qtrSales!B48</f>
        <v>Jul</v>
      </c>
      <c r="C25" s="24"/>
      <c r="D25" s="24"/>
      <c r="E25" s="388">
        <v>255</v>
      </c>
      <c r="F25" s="388"/>
      <c r="G25" s="1980"/>
      <c r="H25" s="1981">
        <f>+E25/$BI25*100</f>
        <v>16.088328075709779</v>
      </c>
      <c r="I25" s="1981"/>
      <c r="J25" s="1981"/>
      <c r="K25" s="388">
        <v>140</v>
      </c>
      <c r="L25" s="1980"/>
      <c r="M25" s="1981">
        <f>+K25/$BI25*100</f>
        <v>8.8328075709779181</v>
      </c>
      <c r="N25" s="1981"/>
      <c r="O25" s="1981"/>
      <c r="P25" s="1981"/>
      <c r="Q25" s="24"/>
      <c r="R25" s="387">
        <f>+E25+K25</f>
        <v>395</v>
      </c>
      <c r="S25" s="1980"/>
      <c r="T25" s="1980"/>
      <c r="U25" s="1981">
        <f>+R25/$BI25*100</f>
        <v>24.921135646687699</v>
      </c>
      <c r="V25" s="24"/>
      <c r="W25" s="388">
        <v>44</v>
      </c>
      <c r="X25" s="388"/>
      <c r="Y25" s="388"/>
      <c r="Z25" s="388"/>
      <c r="AA25" s="388"/>
      <c r="AB25" s="388"/>
      <c r="AC25" s="1980"/>
      <c r="AD25" s="1981">
        <f>+W25/$BI25*100</f>
        <v>2.77602523659306</v>
      </c>
      <c r="AE25" s="1981"/>
      <c r="AF25" s="1981"/>
      <c r="AG25" s="1981"/>
      <c r="AH25" s="1981"/>
      <c r="AI25" s="24"/>
      <c r="AJ25" s="388">
        <v>286</v>
      </c>
      <c r="AK25" s="388">
        <v>113</v>
      </c>
      <c r="AL25" s="266">
        <f>+AJ25+AK25</f>
        <v>399</v>
      </c>
      <c r="AM25" s="388">
        <v>224</v>
      </c>
      <c r="AN25" s="388">
        <v>218</v>
      </c>
      <c r="AO25" s="388">
        <v>207</v>
      </c>
      <c r="AP25" s="266">
        <f>+SUM(AL25:AO25)</f>
        <v>1048</v>
      </c>
      <c r="AQ25" s="1980"/>
      <c r="AR25" s="1981">
        <f>+AP25/$BI25*100</f>
        <v>66.119873817034701</v>
      </c>
      <c r="AS25" s="24"/>
      <c r="AT25" s="388">
        <v>21</v>
      </c>
      <c r="AU25" s="388">
        <v>18</v>
      </c>
      <c r="AV25" s="388">
        <v>29</v>
      </c>
      <c r="AW25" s="388">
        <v>29</v>
      </c>
      <c r="AX25" s="388">
        <v>0</v>
      </c>
      <c r="AY25" s="388">
        <v>1</v>
      </c>
      <c r="AZ25" s="388"/>
      <c r="BA25" s="388"/>
      <c r="BB25" s="388"/>
      <c r="BC25" s="266"/>
      <c r="BD25" s="1980"/>
      <c r="BE25" s="266">
        <f>+SUM(AT25:AY25)</f>
        <v>98</v>
      </c>
      <c r="BF25" s="1980"/>
      <c r="BG25" s="1981">
        <f>+BE25/$BI25*100</f>
        <v>6.1829652996845423</v>
      </c>
      <c r="BH25" s="24"/>
      <c r="BI25" s="266">
        <f>+E25+K25+W25+AP25+BE25</f>
        <v>1585</v>
      </c>
      <c r="BJ25" s="266"/>
      <c r="BK25" s="2889"/>
      <c r="BL25" s="266">
        <f>+E25+K25+W25+AT25+AY25</f>
        <v>461</v>
      </c>
      <c r="BM25" s="1980" t="e">
        <f>+(BL25/BL18-1)*100</f>
        <v>#DIV/0!</v>
      </c>
      <c r="BN25" s="1981">
        <f>+BL25/$BW25*100</f>
        <v>29.085173501577287</v>
      </c>
      <c r="BO25" s="266">
        <f>+AJ25+AM25+AN25+AO25+AU25</f>
        <v>953</v>
      </c>
      <c r="BP25" s="1980" t="e">
        <f>+(BO25/BO18-1)*100</f>
        <v>#DIV/0!</v>
      </c>
      <c r="BQ25" s="1981">
        <f>+BO25/$BW25*100</f>
        <v>60.126182965299677</v>
      </c>
      <c r="BR25" s="389"/>
      <c r="BS25" s="266">
        <f>+AK25+AV25+AW25+AX25</f>
        <v>171</v>
      </c>
      <c r="BT25" s="1980" t="e">
        <f>+(BS25/BS18-1)*100</f>
        <v>#DIV/0!</v>
      </c>
      <c r="BU25" s="1981">
        <f>+BS25/$BW25*100</f>
        <v>10.788643533123029</v>
      </c>
      <c r="BV25" s="389"/>
      <c r="BW25" s="266">
        <f>+BL25+BO25+BS25</f>
        <v>1585</v>
      </c>
      <c r="BX25" s="1980"/>
      <c r="BY25" s="24"/>
      <c r="BZ25" s="389">
        <v>70</v>
      </c>
      <c r="CA25" s="1980"/>
      <c r="CB25" s="1981">
        <f>+BZ25/BL25*100</f>
        <v>15.184381778741866</v>
      </c>
      <c r="CC25" s="389">
        <v>-5</v>
      </c>
      <c r="CD25" s="1980"/>
      <c r="CE25" s="1981">
        <f>+CC25/BO25*100</f>
        <v>-0.52465897166841546</v>
      </c>
      <c r="CF25" s="389"/>
      <c r="CG25" s="389">
        <v>37</v>
      </c>
      <c r="CH25" s="1980"/>
      <c r="CI25" s="1981">
        <f>+CG25/BS25*100</f>
        <v>21.637426900584796</v>
      </c>
      <c r="CJ25" s="389"/>
      <c r="CK25" s="1983" t="s">
        <v>520</v>
      </c>
      <c r="CL25" s="1980"/>
      <c r="CM25" s="1981"/>
      <c r="CN25" s="389"/>
      <c r="CO25" s="266">
        <f>+BZ25+CC25+CG25</f>
        <v>102</v>
      </c>
      <c r="CP25" s="1980"/>
      <c r="CQ25" s="1981">
        <f>+CO25/BW25*100</f>
        <v>6.4353312302839107</v>
      </c>
      <c r="CR25" s="1981"/>
      <c r="CS25" s="24"/>
      <c r="CT25" s="24"/>
      <c r="CU25" s="24"/>
      <c r="CV25" s="24"/>
      <c r="CW25" s="24"/>
      <c r="CX25" s="24"/>
      <c r="CY25" s="24"/>
      <c r="CZ25" s="24"/>
      <c r="DA25" s="24"/>
      <c r="DB25" s="24"/>
      <c r="DC25" s="24"/>
      <c r="DD25" s="24"/>
      <c r="DE25" s="24"/>
      <c r="DF25" s="24"/>
      <c r="DG25" s="24"/>
      <c r="DH25" s="24"/>
      <c r="DI25" s="24"/>
      <c r="DJ25" s="24"/>
      <c r="DK25" s="24"/>
      <c r="DL25" s="24"/>
      <c r="DM25" s="24"/>
      <c r="DN25" s="24"/>
      <c r="DO25" s="24"/>
      <c r="DP25" s="24"/>
      <c r="DQ25" s="24"/>
      <c r="DR25" s="24"/>
      <c r="DS25" s="24"/>
      <c r="DT25" s="24"/>
      <c r="DU25" s="24"/>
      <c r="DV25" s="24"/>
      <c r="DW25" s="24"/>
      <c r="DX25" s="24"/>
      <c r="DY25" s="24"/>
      <c r="DZ25" s="24"/>
      <c r="EA25" s="24"/>
      <c r="EB25" s="24"/>
      <c r="EC25" s="24"/>
      <c r="ED25" s="24"/>
      <c r="EE25" s="24"/>
      <c r="EG25" s="24"/>
      <c r="EH25" s="24"/>
      <c r="EI25" s="24"/>
      <c r="EJ25" s="24"/>
    </row>
    <row r="26" spans="1:140" hidden="1" outlineLevel="2">
      <c r="A26" s="113" t="str">
        <f>+qtrSales!A49</f>
        <v>3Q</v>
      </c>
      <c r="B26" s="24" t="str">
        <f>+qtrSales!B49</f>
        <v>Oct</v>
      </c>
      <c r="C26" s="24"/>
      <c r="D26" s="24"/>
      <c r="E26" s="388">
        <v>256</v>
      </c>
      <c r="F26" s="388"/>
      <c r="G26" s="1980"/>
      <c r="H26" s="1981">
        <f>+E26/$BI26*100</f>
        <v>14.927113702623906</v>
      </c>
      <c r="I26" s="1981"/>
      <c r="J26" s="1981"/>
      <c r="K26" s="388">
        <v>121</v>
      </c>
      <c r="L26" s="1980"/>
      <c r="M26" s="1981">
        <f>+K26/$BI26*100</f>
        <v>7.055393586005831</v>
      </c>
      <c r="N26" s="1981"/>
      <c r="O26" s="1981"/>
      <c r="P26" s="1981"/>
      <c r="Q26" s="24"/>
      <c r="R26" s="387">
        <f>+E26+K26</f>
        <v>377</v>
      </c>
      <c r="S26" s="1980"/>
      <c r="T26" s="1980"/>
      <c r="U26" s="1981">
        <f>+R26/$BI26*100</f>
        <v>21.982507288629737</v>
      </c>
      <c r="V26" s="24"/>
      <c r="W26" s="388">
        <v>47</v>
      </c>
      <c r="X26" s="388"/>
      <c r="Y26" s="388"/>
      <c r="Z26" s="388"/>
      <c r="AA26" s="388"/>
      <c r="AB26" s="388"/>
      <c r="AC26" s="1980"/>
      <c r="AD26" s="1981">
        <f>+W26/$BI26*100</f>
        <v>2.740524781341108</v>
      </c>
      <c r="AE26" s="1981"/>
      <c r="AF26" s="1981"/>
      <c r="AG26" s="1981"/>
      <c r="AH26" s="1981"/>
      <c r="AI26" s="24"/>
      <c r="AJ26" s="388">
        <v>352</v>
      </c>
      <c r="AK26" s="388">
        <v>123</v>
      </c>
      <c r="AL26" s="266">
        <f>+AJ26+AK26</f>
        <v>475</v>
      </c>
      <c r="AM26" s="388">
        <v>238</v>
      </c>
      <c r="AN26" s="388">
        <v>239</v>
      </c>
      <c r="AO26" s="388">
        <v>204</v>
      </c>
      <c r="AP26" s="266">
        <f>+SUM(AL26:AO26)</f>
        <v>1156</v>
      </c>
      <c r="AQ26" s="1980"/>
      <c r="AR26" s="1981">
        <f>+AP26/$BI26*100</f>
        <v>67.40524781341108</v>
      </c>
      <c r="AS26" s="24"/>
      <c r="AT26" s="388">
        <v>21</v>
      </c>
      <c r="AU26" s="388">
        <v>24</v>
      </c>
      <c r="AV26" s="388">
        <v>38</v>
      </c>
      <c r="AW26" s="388">
        <v>50</v>
      </c>
      <c r="AX26" s="388">
        <v>0</v>
      </c>
      <c r="AY26" s="388">
        <v>2</v>
      </c>
      <c r="AZ26" s="388"/>
      <c r="BA26" s="388"/>
      <c r="BB26" s="388"/>
      <c r="BC26" s="266"/>
      <c r="BD26" s="1980"/>
      <c r="BE26" s="266">
        <f>+SUM(AT26:AY26)</f>
        <v>135</v>
      </c>
      <c r="BF26" s="1980"/>
      <c r="BG26" s="1981">
        <f>+BE26/$BI26*100</f>
        <v>7.8717201166180768</v>
      </c>
      <c r="BH26" s="24"/>
      <c r="BI26" s="266">
        <f>+E26+K26+W26+AP26+BE26</f>
        <v>1715</v>
      </c>
      <c r="BJ26" s="266"/>
      <c r="BK26" s="2889"/>
      <c r="BL26" s="266">
        <f>+E26+K26+W26+AT26+AY26</f>
        <v>447</v>
      </c>
      <c r="BM26" s="1980" t="e">
        <f>+(BL26/BL19-1)*100</f>
        <v>#DIV/0!</v>
      </c>
      <c r="BN26" s="1981">
        <f>+BL26/$BW26*100</f>
        <v>26.064139941690961</v>
      </c>
      <c r="BO26" s="266">
        <f>+AJ26+AM26+AN26+AO26+AU26</f>
        <v>1057</v>
      </c>
      <c r="BP26" s="1980" t="e">
        <f>+(BO26/BO19-1)*100</f>
        <v>#DIV/0!</v>
      </c>
      <c r="BQ26" s="1981">
        <f>+BO26/$BW26*100</f>
        <v>61.632653061224488</v>
      </c>
      <c r="BR26" s="24"/>
      <c r="BS26" s="266">
        <f>+AK26+AV26+AW26+AX26</f>
        <v>211</v>
      </c>
      <c r="BT26" s="1980" t="e">
        <f>+(BS26/BS19-1)*100</f>
        <v>#DIV/0!</v>
      </c>
      <c r="BU26" s="1981">
        <f>+BS26/$BW26*100</f>
        <v>12.303206997084548</v>
      </c>
      <c r="BV26" s="24"/>
      <c r="BW26" s="266">
        <f>+BL26+BO26+BS26</f>
        <v>1715</v>
      </c>
      <c r="BX26" s="1980"/>
      <c r="BY26" s="24"/>
      <c r="BZ26" s="389">
        <v>42</v>
      </c>
      <c r="CA26" s="1980"/>
      <c r="CB26" s="1981">
        <f>+BZ26/BL26*100</f>
        <v>9.3959731543624159</v>
      </c>
      <c r="CC26" s="389">
        <v>76</v>
      </c>
      <c r="CD26" s="1980"/>
      <c r="CE26" s="1981">
        <f>+CC26/BO26*100</f>
        <v>7.1901608325449384</v>
      </c>
      <c r="CF26" s="389"/>
      <c r="CG26" s="389">
        <v>48</v>
      </c>
      <c r="CH26" s="1980"/>
      <c r="CI26" s="1981">
        <f>+CG26/BS26*100</f>
        <v>22.748815165876778</v>
      </c>
      <c r="CJ26" s="389"/>
      <c r="CK26" s="1983" t="s">
        <v>520</v>
      </c>
      <c r="CL26" s="1980"/>
      <c r="CM26" s="1981"/>
      <c r="CN26" s="389"/>
      <c r="CO26" s="266">
        <f>+BZ26+CC26+CG26</f>
        <v>166</v>
      </c>
      <c r="CP26" s="1980"/>
      <c r="CQ26" s="1981">
        <f>+CO26/BW26*100</f>
        <v>9.6793002915451893</v>
      </c>
      <c r="CR26" s="1981"/>
      <c r="CS26" s="24"/>
      <c r="CT26" s="24"/>
      <c r="CU26" s="24"/>
      <c r="CV26" s="24"/>
      <c r="CW26" s="24"/>
      <c r="CX26" s="24"/>
      <c r="CY26" s="24"/>
      <c r="CZ26" s="24"/>
      <c r="DA26" s="24"/>
      <c r="DB26" s="24"/>
      <c r="DC26" s="24"/>
      <c r="DD26" s="24"/>
      <c r="DE26" s="24"/>
      <c r="DF26" s="24"/>
      <c r="DG26" s="24"/>
      <c r="DH26" s="24"/>
      <c r="DI26" s="24"/>
      <c r="DJ26" s="24"/>
      <c r="DK26" s="24"/>
      <c r="DL26" s="24"/>
      <c r="DM26" s="24"/>
      <c r="DN26" s="24"/>
      <c r="DO26" s="24"/>
      <c r="DP26" s="24"/>
      <c r="DQ26" s="24"/>
      <c r="DR26" s="24"/>
      <c r="DS26" s="24"/>
      <c r="DT26" s="24"/>
      <c r="DU26" s="24"/>
      <c r="DV26" s="24"/>
      <c r="DW26" s="24"/>
      <c r="DX26" s="24"/>
      <c r="DY26" s="24"/>
      <c r="DZ26" s="24"/>
      <c r="EA26" s="24"/>
      <c r="EB26" s="24"/>
      <c r="EC26" s="24"/>
      <c r="ED26" s="24"/>
      <c r="EE26" s="24"/>
      <c r="EG26" s="24"/>
      <c r="EH26" s="24"/>
      <c r="EI26" s="24"/>
      <c r="EJ26" s="24"/>
    </row>
    <row r="27" spans="1:140" hidden="1" outlineLevel="2">
      <c r="A27" s="113" t="str">
        <f>+qtrSales!A50</f>
        <v>4Q</v>
      </c>
      <c r="B27" s="24" t="str">
        <f>+qtrSales!B50</f>
        <v>Jan</v>
      </c>
      <c r="C27" s="24"/>
      <c r="D27" s="24"/>
      <c r="E27" s="393">
        <f>+E28-E26-E25-E24</f>
        <v>448</v>
      </c>
      <c r="F27" s="309"/>
      <c r="G27" s="24"/>
      <c r="H27" s="1981">
        <f>+E27/$BI27*100</f>
        <v>17.644742024419063</v>
      </c>
      <c r="I27" s="1981"/>
      <c r="J27" s="1981"/>
      <c r="K27" s="393">
        <f>+K28-K26-K25-K24</f>
        <v>186</v>
      </c>
      <c r="L27" s="24"/>
      <c r="M27" s="1981">
        <f>+K27/$BI27*100</f>
        <v>7.3257187869239866</v>
      </c>
      <c r="N27" s="1981"/>
      <c r="O27" s="1981"/>
      <c r="P27" s="1981"/>
      <c r="Q27" s="24"/>
      <c r="R27" s="393">
        <f>+E27+K27</f>
        <v>634</v>
      </c>
      <c r="S27" s="1980"/>
      <c r="T27" s="1980"/>
      <c r="U27" s="1981">
        <f>+R27/$BI27*100</f>
        <v>24.970460811343049</v>
      </c>
      <c r="V27" s="24"/>
      <c r="W27" s="393">
        <f>+W28-W26-W25-W24</f>
        <v>137</v>
      </c>
      <c r="X27" s="309"/>
      <c r="Y27" s="309"/>
      <c r="Z27" s="309"/>
      <c r="AA27" s="309"/>
      <c r="AB27" s="309"/>
      <c r="AC27" s="1980"/>
      <c r="AD27" s="1981">
        <f>+W27/$BI27*100</f>
        <v>5.3958251280031515</v>
      </c>
      <c r="AE27" s="1981"/>
      <c r="AF27" s="1981"/>
      <c r="AG27" s="1981"/>
      <c r="AH27" s="1981"/>
      <c r="AI27" s="24"/>
      <c r="AJ27" s="1984">
        <f>+AJ28-AJ26-AJ25-AJ24</f>
        <v>484</v>
      </c>
      <c r="AK27" s="1984">
        <f>+AK28-AK26-AK25-AK24</f>
        <v>226</v>
      </c>
      <c r="AL27" s="1985">
        <f>+AJ27+AK27</f>
        <v>710</v>
      </c>
      <c r="AM27" s="1984">
        <f>+AM28-AM26-AM25-AM24</f>
        <v>335</v>
      </c>
      <c r="AN27" s="1984">
        <f>+AN28-AN26-AN25-AN24</f>
        <v>279</v>
      </c>
      <c r="AO27" s="1984">
        <f>+AO28-AO26-AO25-AO24</f>
        <v>254</v>
      </c>
      <c r="AP27" s="1022">
        <f>+SUM(AL27:AO27)</f>
        <v>1578</v>
      </c>
      <c r="AQ27" s="1980"/>
      <c r="AR27" s="1981">
        <f>+AP27/$BI27*100</f>
        <v>62.150452934226074</v>
      </c>
      <c r="AS27" s="24"/>
      <c r="AT27" s="1986">
        <f t="shared" ref="AT27:AY27" si="0">+AT28-AT26-AT25-AT24</f>
        <v>30</v>
      </c>
      <c r="AU27" s="1984">
        <f t="shared" si="0"/>
        <v>23</v>
      </c>
      <c r="AV27" s="1984">
        <f t="shared" si="0"/>
        <v>76</v>
      </c>
      <c r="AW27" s="1984">
        <f t="shared" si="0"/>
        <v>60</v>
      </c>
      <c r="AX27" s="1984">
        <f t="shared" si="0"/>
        <v>0</v>
      </c>
      <c r="AY27" s="1984">
        <f t="shared" si="0"/>
        <v>1</v>
      </c>
      <c r="AZ27" s="1984"/>
      <c r="BA27" s="1984"/>
      <c r="BB27" s="1984"/>
      <c r="BC27" s="1022"/>
      <c r="BD27" s="1980"/>
      <c r="BE27" s="1022">
        <f>+SUM(AT27:AY27)</f>
        <v>190</v>
      </c>
      <c r="BF27" s="1980"/>
      <c r="BG27" s="1981">
        <f>+BE27/$BI27*100</f>
        <v>7.4832611264277276</v>
      </c>
      <c r="BH27" s="24"/>
      <c r="BI27" s="1022">
        <f>+E27+K27+W27+AP27+BE27</f>
        <v>2539</v>
      </c>
      <c r="BJ27" s="325"/>
      <c r="BK27" s="2889"/>
      <c r="BL27" s="1022">
        <f>+E27+K27+W27+AT27+AY27</f>
        <v>802</v>
      </c>
      <c r="BM27" s="1980" t="e">
        <f>+(BL27/BL20-1)*100</f>
        <v>#DIV/0!</v>
      </c>
      <c r="BN27" s="1981">
        <f>+BL27/$BW27*100</f>
        <v>31.587239070500196</v>
      </c>
      <c r="BO27" s="1022">
        <f>+AJ27+AM27+AN27+AO27+AU27</f>
        <v>1375</v>
      </c>
      <c r="BP27" s="1980" t="e">
        <f>+(BO27/BO20-1)*100</f>
        <v>#DIV/0!</v>
      </c>
      <c r="BQ27" s="1981">
        <f>+BO27/$BW27*100</f>
        <v>54.155179204411183</v>
      </c>
      <c r="BR27" s="24"/>
      <c r="BS27" s="1022">
        <f>+AK27+AV27+AW27+AX27</f>
        <v>362</v>
      </c>
      <c r="BT27" s="1980" t="e">
        <f>+(BS27/BS20-1)*100</f>
        <v>#DIV/0!</v>
      </c>
      <c r="BU27" s="1981">
        <f>+BS27/$BW27*100</f>
        <v>14.257581725088617</v>
      </c>
      <c r="BV27" s="24"/>
      <c r="BW27" s="1022">
        <f>+BL27+BO27+BS27</f>
        <v>2539</v>
      </c>
      <c r="BX27" s="1980"/>
      <c r="BY27" s="24"/>
      <c r="BZ27" s="1022">
        <f>+BZ28-BZ26-BZ25-BZ24</f>
        <v>199</v>
      </c>
      <c r="CA27" s="1980"/>
      <c r="CB27" s="1981">
        <f>+BZ27/BL27*100</f>
        <v>24.812967581047381</v>
      </c>
      <c r="CC27" s="1022">
        <f>+CC28-CC26-CC25-CC24</f>
        <v>140</v>
      </c>
      <c r="CD27" s="1980"/>
      <c r="CE27" s="1981">
        <f>+CC27/BO27*100</f>
        <v>10.181818181818182</v>
      </c>
      <c r="CF27" s="389"/>
      <c r="CG27" s="1022">
        <f>+CG28-CG26-CG25-CG24</f>
        <v>87</v>
      </c>
      <c r="CH27" s="1980"/>
      <c r="CI27" s="1981">
        <f>+CG27/BS27*100</f>
        <v>24.033149171270718</v>
      </c>
      <c r="CJ27" s="389"/>
      <c r="CK27" s="1987" t="s">
        <v>520</v>
      </c>
      <c r="CL27" s="1980"/>
      <c r="CM27" s="1981"/>
      <c r="CN27" s="389"/>
      <c r="CO27" s="1022">
        <f>+CO28-SUM(CO24:CO26)</f>
        <v>440</v>
      </c>
      <c r="CP27" s="1980"/>
      <c r="CQ27" s="1981">
        <f>+CO27/BW27*100</f>
        <v>17.329657345411579</v>
      </c>
      <c r="CR27" s="1981"/>
      <c r="CS27" s="24"/>
      <c r="CT27" s="24"/>
      <c r="CU27" s="24"/>
      <c r="CV27" s="24"/>
      <c r="CW27" s="24"/>
      <c r="CX27" s="24"/>
      <c r="CY27" s="24"/>
      <c r="CZ27" s="24"/>
      <c r="DA27" s="24"/>
      <c r="DB27" s="24"/>
      <c r="DC27" s="24"/>
      <c r="DD27" s="24"/>
      <c r="DE27" s="24"/>
      <c r="DF27" s="24"/>
      <c r="DG27" s="24"/>
      <c r="DH27" s="24"/>
      <c r="DI27" s="24"/>
      <c r="DJ27" s="24"/>
      <c r="DK27" s="24"/>
      <c r="DL27" s="24"/>
      <c r="DM27" s="24"/>
      <c r="DN27" s="24"/>
      <c r="DO27" s="24"/>
      <c r="DP27" s="24"/>
      <c r="DQ27" s="24"/>
      <c r="DR27" s="24"/>
      <c r="DS27" s="24"/>
      <c r="DT27" s="24"/>
      <c r="DU27" s="24"/>
      <c r="DV27" s="24"/>
      <c r="DW27" s="24"/>
      <c r="DX27" s="24"/>
      <c r="DY27" s="24"/>
      <c r="DZ27" s="24"/>
      <c r="EA27" s="24"/>
      <c r="EB27" s="24"/>
      <c r="EC27" s="24"/>
      <c r="ED27" s="24"/>
      <c r="EE27" s="24"/>
      <c r="EG27" s="24"/>
      <c r="EH27" s="24"/>
      <c r="EI27" s="24"/>
      <c r="EJ27" s="24"/>
    </row>
    <row r="28" spans="1:140" hidden="1" outlineLevel="2">
      <c r="A28" s="113"/>
      <c r="B28" s="24" t="str">
        <f>+qtrSales!B51</f>
        <v>Year</v>
      </c>
      <c r="C28" s="24"/>
      <c r="D28" s="24"/>
      <c r="E28" s="389">
        <v>1181</v>
      </c>
      <c r="F28" s="389"/>
      <c r="G28" s="1980">
        <f>+(E28/E21-1)*100</f>
        <v>19.052419354838701</v>
      </c>
      <c r="H28" s="1981">
        <f>+E28/$BI28*100</f>
        <v>16.131676000546374</v>
      </c>
      <c r="I28" s="1981"/>
      <c r="J28" s="1981"/>
      <c r="K28" s="389">
        <v>569</v>
      </c>
      <c r="L28" s="1980">
        <f>+(K28/K21-1)*100</f>
        <v>30.504587155963293</v>
      </c>
      <c r="M28" s="1981">
        <f>+K28/$BI28*100</f>
        <v>7.7721622729135369</v>
      </c>
      <c r="N28" s="1981"/>
      <c r="O28" s="1981"/>
      <c r="P28" s="1981"/>
      <c r="Q28" s="24"/>
      <c r="R28" s="266">
        <f>+E28+K28</f>
        <v>1750</v>
      </c>
      <c r="S28" s="1980">
        <f>+(R28/R21-1)*100</f>
        <v>22.549019607843146</v>
      </c>
      <c r="T28" s="1980"/>
      <c r="U28" s="1981">
        <f>+R28/$BI28*100</f>
        <v>23.903838273459911</v>
      </c>
      <c r="V28" s="24"/>
      <c r="W28" s="388">
        <v>260</v>
      </c>
      <c r="X28" s="388"/>
      <c r="Y28" s="388"/>
      <c r="Z28" s="388"/>
      <c r="AA28" s="388"/>
      <c r="AB28" s="388"/>
      <c r="AC28" s="1980">
        <f>+(W28/W21-1)*100</f>
        <v>132.14285714285717</v>
      </c>
      <c r="AD28" s="1981">
        <f>+W28/$BI28*100</f>
        <v>3.5514274006283291</v>
      </c>
      <c r="AE28" s="1981"/>
      <c r="AF28" s="1981"/>
      <c r="AG28" s="1981"/>
      <c r="AH28" s="1981"/>
      <c r="AI28" s="24"/>
      <c r="AJ28" s="389">
        <v>1387</v>
      </c>
      <c r="AK28" s="388">
        <v>555</v>
      </c>
      <c r="AL28" s="266">
        <f>+AJ28+AK28</f>
        <v>1942</v>
      </c>
      <c r="AM28" s="389">
        <v>1019</v>
      </c>
      <c r="AN28" s="388">
        <v>959</v>
      </c>
      <c r="AO28" s="388">
        <v>869</v>
      </c>
      <c r="AP28" s="266">
        <f>+SUM(AL28:AO28)</f>
        <v>4789</v>
      </c>
      <c r="AQ28" s="1980">
        <f>+(AP28/AP21-1)*100</f>
        <v>-4.6775477707006408</v>
      </c>
      <c r="AR28" s="1981">
        <f>+AP28/$BI28*100</f>
        <v>65.414560852342575</v>
      </c>
      <c r="AS28" s="24"/>
      <c r="AT28" s="388">
        <v>92</v>
      </c>
      <c r="AU28" s="388">
        <v>84</v>
      </c>
      <c r="AV28" s="388">
        <v>166</v>
      </c>
      <c r="AW28" s="388">
        <v>174</v>
      </c>
      <c r="AX28" s="388">
        <v>0</v>
      </c>
      <c r="AY28" s="388">
        <v>6</v>
      </c>
      <c r="AZ28" s="388"/>
      <c r="BA28" s="388"/>
      <c r="BB28" s="388"/>
      <c r="BC28" s="266"/>
      <c r="BD28" s="1980" t="e">
        <f>+(BC28/BC21-1)*100</f>
        <v>#DIV/0!</v>
      </c>
      <c r="BE28" s="266">
        <f>+SUM(AT28:AY28)</f>
        <v>522</v>
      </c>
      <c r="BF28" s="1980">
        <f>+(BE28/BE21-1)*100</f>
        <v>21.395348837209305</v>
      </c>
      <c r="BG28" s="1981">
        <f>+BE28/$BI28*100</f>
        <v>7.1301734735691848</v>
      </c>
      <c r="BH28" s="24"/>
      <c r="BI28" s="266">
        <f>+E28+K28+W28+AP28+BE28</f>
        <v>7321</v>
      </c>
      <c r="BJ28" s="266"/>
      <c r="BK28" s="2889">
        <f>+(BI28/BI21-1)*100</f>
        <v>4.6754360880755019</v>
      </c>
      <c r="BL28" s="266">
        <f>+E28+K28+W28+AT28+AY28</f>
        <v>2108</v>
      </c>
      <c r="BM28" s="1980" t="e">
        <f>+(BL28/BL21-1)*100</f>
        <v>#DIV/0!</v>
      </c>
      <c r="BN28" s="1981">
        <f>+BL28/$BW28*100</f>
        <v>28.793880617401996</v>
      </c>
      <c r="BO28" s="266">
        <f>+AJ28+AM28+AN28+AO28+AU28</f>
        <v>4318</v>
      </c>
      <c r="BP28" s="1980" t="e">
        <f>+(BO28/BO21-1)*100</f>
        <v>#DIV/0!</v>
      </c>
      <c r="BQ28" s="1981">
        <f>+BO28/$BW28*100</f>
        <v>58.981013522742799</v>
      </c>
      <c r="BR28" s="24"/>
      <c r="BS28" s="266">
        <f>+AK28+AV28+AW28+AX28</f>
        <v>895</v>
      </c>
      <c r="BT28" s="1980" t="e">
        <f>+(BS28/BS21-1)*100</f>
        <v>#DIV/0!</v>
      </c>
      <c r="BU28" s="1981">
        <f>+BS28/$BW28*100</f>
        <v>12.22510585985521</v>
      </c>
      <c r="BV28" s="24"/>
      <c r="BW28" s="266">
        <f>+BL28+BO28+BS28</f>
        <v>7321</v>
      </c>
      <c r="BX28" s="1980"/>
      <c r="BY28" s="24"/>
      <c r="BZ28" s="389">
        <v>338</v>
      </c>
      <c r="CA28" s="1980"/>
      <c r="CB28" s="1981">
        <f>+BZ28/BL28*100</f>
        <v>16.034155597722961</v>
      </c>
      <c r="CC28" s="389">
        <v>244</v>
      </c>
      <c r="CD28" s="1980"/>
      <c r="CE28" s="1981">
        <f>+CC28/BO28*100</f>
        <v>5.6507642427049563</v>
      </c>
      <c r="CF28" s="389"/>
      <c r="CG28" s="389">
        <v>203</v>
      </c>
      <c r="CH28" s="1980"/>
      <c r="CI28" s="1981">
        <f>+CG28/BS28*100</f>
        <v>22.681564245810058</v>
      </c>
      <c r="CJ28" s="389"/>
      <c r="CK28" s="389">
        <v>14</v>
      </c>
      <c r="CL28" s="1980"/>
      <c r="CM28" s="1981"/>
      <c r="CN28" s="389"/>
      <c r="CO28" s="266">
        <v>799</v>
      </c>
      <c r="CP28" s="1980"/>
      <c r="CQ28" s="1981">
        <f>+CO28/BW28*100</f>
        <v>10.913809588853981</v>
      </c>
      <c r="CR28" s="1981"/>
      <c r="CS28" s="24"/>
      <c r="CT28" s="24"/>
      <c r="CU28" s="24"/>
      <c r="CV28" s="24"/>
      <c r="CW28" s="24"/>
      <c r="CX28" s="24"/>
      <c r="CY28" s="24"/>
      <c r="CZ28" s="24"/>
      <c r="DA28" s="24"/>
      <c r="DB28" s="24"/>
      <c r="DC28" s="24"/>
      <c r="DD28" s="24"/>
      <c r="DE28" s="24"/>
      <c r="DF28" s="24"/>
      <c r="DG28" s="24"/>
      <c r="DH28" s="24"/>
      <c r="DI28" s="24"/>
      <c r="DJ28" s="24"/>
      <c r="DK28" s="24"/>
      <c r="DL28" s="24"/>
      <c r="DM28" s="24"/>
      <c r="DN28" s="24"/>
      <c r="DO28" s="24"/>
      <c r="DP28" s="24"/>
      <c r="DQ28" s="24"/>
      <c r="DR28" s="24"/>
      <c r="DS28" s="24"/>
      <c r="DT28" s="24"/>
      <c r="DU28" s="24"/>
      <c r="DV28" s="24"/>
      <c r="DW28" s="24"/>
      <c r="DX28" s="24"/>
      <c r="DY28" s="24"/>
      <c r="DZ28" s="24"/>
      <c r="EA28" s="24"/>
      <c r="EB28" s="24"/>
      <c r="EC28" s="24"/>
      <c r="ED28" s="24"/>
      <c r="EE28" s="24"/>
      <c r="EG28" s="24"/>
      <c r="EH28" s="24"/>
      <c r="EI28" s="24"/>
      <c r="EJ28" s="24"/>
    </row>
    <row r="29" spans="1:140" hidden="1" outlineLevel="2">
      <c r="A29" s="113"/>
      <c r="B29" s="24"/>
      <c r="C29" s="24"/>
      <c r="D29" s="24"/>
      <c r="E29" s="24"/>
      <c r="F29" s="24"/>
      <c r="G29" s="24"/>
      <c r="H29" s="24"/>
      <c r="I29" s="24"/>
      <c r="J29" s="24"/>
      <c r="K29" s="24"/>
      <c r="L29" s="1980"/>
      <c r="M29" s="1981"/>
      <c r="N29" s="1981"/>
      <c r="O29" s="1981"/>
      <c r="P29" s="1981"/>
      <c r="Q29" s="24"/>
      <c r="R29" s="24"/>
      <c r="S29" s="1980"/>
      <c r="T29" s="1980"/>
      <c r="U29" s="1981"/>
      <c r="V29" s="24"/>
      <c r="W29" s="24"/>
      <c r="X29" s="24"/>
      <c r="Y29" s="24"/>
      <c r="Z29" s="24"/>
      <c r="AA29" s="24"/>
      <c r="AB29" s="24"/>
      <c r="AC29" s="1980"/>
      <c r="AD29" s="1981"/>
      <c r="AE29" s="1981"/>
      <c r="AF29" s="1981"/>
      <c r="AG29" s="1981"/>
      <c r="AH29" s="1981"/>
      <c r="AI29" s="24"/>
      <c r="AJ29" s="24"/>
      <c r="AK29" s="24"/>
      <c r="AL29" s="24"/>
      <c r="AM29" s="24"/>
      <c r="AN29" s="24"/>
      <c r="AO29" s="24"/>
      <c r="AP29" s="24"/>
      <c r="AQ29" s="1980"/>
      <c r="AR29" s="1981"/>
      <c r="AS29" s="24"/>
      <c r="AT29" s="24"/>
      <c r="AU29" s="24"/>
      <c r="AV29" s="24"/>
      <c r="AW29" s="24"/>
      <c r="AX29" s="24"/>
      <c r="AY29" s="24"/>
      <c r="AZ29" s="24"/>
      <c r="BA29" s="24"/>
      <c r="BB29" s="24"/>
      <c r="BC29" s="24"/>
      <c r="BD29" s="1980"/>
      <c r="BE29" s="24"/>
      <c r="BF29" s="1980"/>
      <c r="BG29" s="1981"/>
      <c r="BH29" s="24"/>
      <c r="BI29" s="24"/>
      <c r="BJ29" s="24"/>
      <c r="BK29" s="2889"/>
      <c r="BL29" s="389"/>
      <c r="BM29" s="389"/>
      <c r="BN29" s="389"/>
      <c r="BO29" s="389"/>
      <c r="BP29" s="389"/>
      <c r="BQ29" s="389"/>
      <c r="BR29" s="389"/>
      <c r="BS29" s="389"/>
      <c r="BT29" s="389"/>
      <c r="BU29" s="389"/>
      <c r="BV29" s="389"/>
      <c r="BW29" s="266"/>
      <c r="BX29" s="24"/>
      <c r="BY29" s="24"/>
      <c r="BZ29" s="389"/>
      <c r="CA29" s="389"/>
      <c r="CB29" s="389"/>
      <c r="CC29" s="389"/>
      <c r="CD29" s="389"/>
      <c r="CE29" s="389"/>
      <c r="CF29" s="389"/>
      <c r="CG29" s="389"/>
      <c r="CH29" s="389"/>
      <c r="CI29" s="389"/>
      <c r="CJ29" s="389"/>
      <c r="CK29" s="389"/>
      <c r="CL29" s="389"/>
      <c r="CM29" s="389"/>
      <c r="CN29" s="389"/>
      <c r="CO29" s="266"/>
      <c r="CP29" s="24"/>
      <c r="CQ29" s="24"/>
      <c r="CR29" s="24"/>
      <c r="CS29" s="24"/>
      <c r="CT29" s="24"/>
      <c r="CU29" s="24"/>
      <c r="CV29" s="24"/>
      <c r="CW29" s="24"/>
      <c r="CX29" s="24"/>
      <c r="CY29" s="24"/>
      <c r="CZ29" s="24"/>
      <c r="DA29" s="24"/>
      <c r="DB29" s="24"/>
      <c r="DC29" s="24"/>
      <c r="DD29" s="24"/>
      <c r="DE29" s="24"/>
      <c r="DF29" s="24"/>
      <c r="DG29" s="24"/>
      <c r="DH29" s="24"/>
      <c r="DI29" s="24"/>
      <c r="DJ29" s="24"/>
      <c r="DK29" s="24"/>
      <c r="DL29" s="24"/>
      <c r="DM29" s="24"/>
      <c r="DN29" s="24"/>
      <c r="DO29" s="24"/>
      <c r="DP29" s="24"/>
      <c r="DQ29" s="24"/>
      <c r="DR29" s="24"/>
      <c r="DS29" s="24"/>
      <c r="DT29" s="24"/>
      <c r="DU29" s="24"/>
      <c r="DV29" s="24"/>
      <c r="DW29" s="24"/>
      <c r="DX29" s="24"/>
      <c r="DY29" s="24"/>
      <c r="DZ29" s="24"/>
      <c r="EA29" s="24"/>
      <c r="EB29" s="24"/>
      <c r="EC29" s="24"/>
      <c r="ED29" s="24"/>
      <c r="EE29" s="24"/>
      <c r="EG29" s="24"/>
      <c r="EH29" s="24"/>
      <c r="EI29" s="24"/>
      <c r="EJ29" s="24"/>
    </row>
    <row r="30" spans="1:140" hidden="1" outlineLevel="2">
      <c r="A30" s="113"/>
      <c r="B30" s="136">
        <f>+qtrSales!B53</f>
        <v>1995</v>
      </c>
      <c r="C30" s="24"/>
      <c r="D30" s="24"/>
      <c r="E30" s="24"/>
      <c r="F30" s="24"/>
      <c r="G30" s="1980"/>
      <c r="H30" s="1981"/>
      <c r="I30" s="1981"/>
      <c r="J30" s="1981"/>
      <c r="K30" s="24"/>
      <c r="L30" s="1980"/>
      <c r="M30" s="1981"/>
      <c r="N30" s="1981"/>
      <c r="O30" s="1981"/>
      <c r="P30" s="1981"/>
      <c r="Q30" s="24"/>
      <c r="R30" s="24"/>
      <c r="S30" s="1980"/>
      <c r="T30" s="1980"/>
      <c r="U30" s="1981"/>
      <c r="V30" s="24"/>
      <c r="W30" s="24"/>
      <c r="X30" s="24"/>
      <c r="Y30" s="24"/>
      <c r="Z30" s="24"/>
      <c r="AA30" s="24"/>
      <c r="AB30" s="24"/>
      <c r="AC30" s="1980"/>
      <c r="AD30" s="1981"/>
      <c r="AE30" s="1981"/>
      <c r="AF30" s="1981"/>
      <c r="AG30" s="1981"/>
      <c r="AH30" s="1981"/>
      <c r="AI30" s="24"/>
      <c r="AJ30" s="24"/>
      <c r="AK30" s="24"/>
      <c r="AL30" s="24"/>
      <c r="AM30" s="24"/>
      <c r="AN30" s="24"/>
      <c r="AO30" s="24"/>
      <c r="AP30" s="24"/>
      <c r="AQ30" s="1980"/>
      <c r="AR30" s="1981"/>
      <c r="AS30" s="24"/>
      <c r="AT30" s="24"/>
      <c r="AU30" s="24"/>
      <c r="AV30" s="24"/>
      <c r="AW30" s="24"/>
      <c r="AX30" s="24"/>
      <c r="AY30" s="24"/>
      <c r="AZ30" s="24"/>
      <c r="BA30" s="24"/>
      <c r="BB30" s="24"/>
      <c r="BC30" s="24"/>
      <c r="BD30" s="1980"/>
      <c r="BE30" s="24"/>
      <c r="BF30" s="1980"/>
      <c r="BG30" s="1981"/>
      <c r="BH30" s="24"/>
      <c r="BI30" s="24"/>
      <c r="BJ30" s="24"/>
      <c r="BK30" s="2889"/>
      <c r="BL30" s="389"/>
      <c r="BM30" s="1988"/>
      <c r="BN30" s="1989"/>
      <c r="BO30" s="389"/>
      <c r="BP30" s="389"/>
      <c r="BQ30" s="389"/>
      <c r="BR30" s="389"/>
      <c r="BS30" s="389"/>
      <c r="BT30" s="389"/>
      <c r="BU30" s="389"/>
      <c r="BV30" s="389"/>
      <c r="BW30" s="266"/>
      <c r="BX30" s="24"/>
      <c r="BY30" s="24"/>
      <c r="BZ30" s="389"/>
      <c r="CA30" s="1988"/>
      <c r="CB30" s="1989"/>
      <c r="CC30" s="389"/>
      <c r="CD30" s="389"/>
      <c r="CE30" s="389"/>
      <c r="CF30" s="389"/>
      <c r="CG30" s="389"/>
      <c r="CH30" s="389"/>
      <c r="CI30" s="389"/>
      <c r="CJ30" s="389"/>
      <c r="CK30" s="389"/>
      <c r="CL30" s="389"/>
      <c r="CM30" s="389"/>
      <c r="CN30" s="389"/>
      <c r="CO30" s="266"/>
      <c r="CP30" s="24"/>
      <c r="CQ30" s="24"/>
      <c r="CR30" s="24"/>
      <c r="CS30" s="24"/>
      <c r="CT30" s="24"/>
      <c r="CU30" s="24"/>
      <c r="CV30" s="24"/>
      <c r="CW30" s="24"/>
      <c r="CX30" s="24"/>
      <c r="CY30" s="24"/>
      <c r="CZ30" s="24"/>
      <c r="DA30" s="24"/>
      <c r="DB30" s="24"/>
      <c r="DC30" s="24"/>
      <c r="DD30" s="24"/>
      <c r="DE30" s="24"/>
      <c r="DF30" s="24"/>
      <c r="DG30" s="24"/>
      <c r="DH30" s="24"/>
      <c r="DI30" s="24"/>
      <c r="DJ30" s="24"/>
      <c r="DK30" s="24"/>
      <c r="DL30" s="24"/>
      <c r="DM30" s="24"/>
      <c r="DN30" s="24"/>
      <c r="DO30" s="24"/>
      <c r="DP30" s="24"/>
      <c r="DQ30" s="24"/>
      <c r="DR30" s="24"/>
      <c r="DS30" s="24"/>
      <c r="DT30" s="24"/>
      <c r="DU30" s="24"/>
      <c r="DV30" s="24"/>
      <c r="DW30" s="24"/>
      <c r="DX30" s="24"/>
      <c r="DY30" s="24"/>
      <c r="DZ30" s="24"/>
      <c r="EA30" s="24"/>
      <c r="EB30" s="24"/>
      <c r="EC30" s="24"/>
      <c r="ED30" s="24"/>
      <c r="EE30" s="24"/>
      <c r="EG30" s="24"/>
      <c r="EH30" s="24"/>
      <c r="EI30" s="24"/>
      <c r="EJ30" s="24"/>
    </row>
    <row r="31" spans="1:140" hidden="1" outlineLevel="2">
      <c r="A31" s="113" t="str">
        <f>+qtrSales!A54</f>
        <v>1Q</v>
      </c>
      <c r="B31" s="24" t="str">
        <f>+qtrSales!B54</f>
        <v>Apr</v>
      </c>
      <c r="C31" s="24"/>
      <c r="D31" s="24"/>
      <c r="E31" s="1982">
        <v>241</v>
      </c>
      <c r="F31" s="1982"/>
      <c r="G31" s="1980">
        <f>+(E31/E24-1)*100</f>
        <v>8.5585585585585591</v>
      </c>
      <c r="H31" s="1981">
        <f>+E31/$BI31*100</f>
        <v>15.176322418136021</v>
      </c>
      <c r="I31" s="1981"/>
      <c r="J31" s="1981"/>
      <c r="K31" s="1982">
        <v>155</v>
      </c>
      <c r="L31" s="1980">
        <f>+(K31/K24-1)*100</f>
        <v>27.04918032786885</v>
      </c>
      <c r="M31" s="1981">
        <f>+K31/$BI31*100</f>
        <v>9.7607052896725435</v>
      </c>
      <c r="N31" s="1981"/>
      <c r="O31" s="1981"/>
      <c r="P31" s="1981"/>
      <c r="Q31" s="24"/>
      <c r="R31" s="381">
        <f>+E31+K31</f>
        <v>396</v>
      </c>
      <c r="S31" s="1980">
        <f>+(R31/R24-1)*100</f>
        <v>15.116279069767447</v>
      </c>
      <c r="T31" s="1980"/>
      <c r="U31" s="1981">
        <f>+R31/$BI31*100</f>
        <v>24.937027707808564</v>
      </c>
      <c r="V31" s="24"/>
      <c r="W31" s="1982">
        <v>66</v>
      </c>
      <c r="X31" s="1982"/>
      <c r="Y31" s="1982"/>
      <c r="Z31" s="1982"/>
      <c r="AA31" s="1982"/>
      <c r="AB31" s="1982"/>
      <c r="AC31" s="1980">
        <f>+(W31/W24-1)*100</f>
        <v>106.25</v>
      </c>
      <c r="AD31" s="1981">
        <f>+W31/$BI31*100</f>
        <v>4.1561712846347607</v>
      </c>
      <c r="AE31" s="1981"/>
      <c r="AF31" s="1981"/>
      <c r="AG31" s="1981"/>
      <c r="AH31" s="1981"/>
      <c r="AI31" s="24"/>
      <c r="AJ31" s="1982">
        <v>304</v>
      </c>
      <c r="AK31" s="1982">
        <v>104</v>
      </c>
      <c r="AL31" s="381">
        <f>+AJ31+AK31</f>
        <v>408</v>
      </c>
      <c r="AM31" s="1982">
        <v>219</v>
      </c>
      <c r="AN31" s="1982">
        <v>204</v>
      </c>
      <c r="AO31" s="1982">
        <v>179</v>
      </c>
      <c r="AP31" s="381">
        <f>+SUM(AL31:AO31)</f>
        <v>1010</v>
      </c>
      <c r="AQ31" s="1980">
        <f>+(AP31/AP24-1)*100</f>
        <v>0.29791459781529639</v>
      </c>
      <c r="AR31" s="1981">
        <f>+AP31/$BI31*100</f>
        <v>63.602015113350127</v>
      </c>
      <c r="AS31" s="24"/>
      <c r="AT31" s="1982">
        <v>15</v>
      </c>
      <c r="AU31" s="1982">
        <v>21</v>
      </c>
      <c r="AV31" s="1982">
        <v>33</v>
      </c>
      <c r="AW31" s="1982">
        <v>44</v>
      </c>
      <c r="AX31" s="1982">
        <v>0</v>
      </c>
      <c r="AY31" s="1982">
        <v>3</v>
      </c>
      <c r="AZ31" s="1982"/>
      <c r="BA31" s="1982"/>
      <c r="BB31" s="1982"/>
      <c r="BC31" s="381"/>
      <c r="BD31" s="1980" t="e">
        <f>+(BC31/BC24-1)*100</f>
        <v>#DIV/0!</v>
      </c>
      <c r="BE31" s="381">
        <f>+SUM(AT31:AY31)</f>
        <v>116</v>
      </c>
      <c r="BF31" s="1980">
        <f>+(BE31/BE24-1)*100</f>
        <v>17.171717171717169</v>
      </c>
      <c r="BG31" s="1981">
        <f>+BE31/$BI31*100</f>
        <v>7.3047858942065487</v>
      </c>
      <c r="BH31" s="24"/>
      <c r="BI31" s="381">
        <f>+E31+K31+W31+AP31+BE31</f>
        <v>1588</v>
      </c>
      <c r="BJ31" s="381"/>
      <c r="BK31" s="2889">
        <f>+(BI31/BI24-1)*100</f>
        <v>7.1524966261808265</v>
      </c>
      <c r="BL31" s="381">
        <f>+E31+K31+W31+AT31+AY31</f>
        <v>480</v>
      </c>
      <c r="BM31" s="1980">
        <f>+(BL31/BL24-1)*100</f>
        <v>20.603015075376874</v>
      </c>
      <c r="BN31" s="1981">
        <f>+BL31/$BW31*100</f>
        <v>30.22670025188917</v>
      </c>
      <c r="BO31" s="381">
        <f>+AJ31+AM31+AN31+AO31+AU31</f>
        <v>927</v>
      </c>
      <c r="BP31" s="1980">
        <f>+(BO31/BO24-1)*100</f>
        <v>-0.64308681672026191</v>
      </c>
      <c r="BQ31" s="1981">
        <f>+BO31/$BW31*100</f>
        <v>58.375314861460957</v>
      </c>
      <c r="BR31" s="389"/>
      <c r="BS31" s="381">
        <f>+AK31+AV31+AW31+AX31</f>
        <v>181</v>
      </c>
      <c r="BT31" s="1980">
        <f>+(BS31/BS24-1)*100</f>
        <v>19.867549668874162</v>
      </c>
      <c r="BU31" s="1981">
        <f>+BS31/$BW31*100</f>
        <v>11.397984886649875</v>
      </c>
      <c r="BV31" s="389"/>
      <c r="BW31" s="381">
        <f>+BL31+BO31+BS31</f>
        <v>1588</v>
      </c>
      <c r="BX31" s="1980">
        <f>+(BW31/BW24-1)*100</f>
        <v>7.1524966261808265</v>
      </c>
      <c r="BY31" s="24"/>
      <c r="BZ31" s="390">
        <v>40</v>
      </c>
      <c r="CA31" s="1980">
        <f>+(BZ31/BZ24-1)*100</f>
        <v>48.148148148148138</v>
      </c>
      <c r="CB31" s="1981">
        <f>+BZ31/BL31*100</f>
        <v>8.3333333333333321</v>
      </c>
      <c r="CC31" s="390">
        <v>12</v>
      </c>
      <c r="CD31" s="1980">
        <f>+(CC31/CC24-1)*100</f>
        <v>-63.636363636363633</v>
      </c>
      <c r="CE31" s="1981">
        <f>+CC31/BO31*100</f>
        <v>1.2944983818770228</v>
      </c>
      <c r="CF31" s="389"/>
      <c r="CG31" s="390">
        <v>28</v>
      </c>
      <c r="CH31" s="1980">
        <f>+(CG31/CG24-1)*100</f>
        <v>-9.6774193548387117</v>
      </c>
      <c r="CI31" s="1981">
        <f>+CG31/BS31*100</f>
        <v>15.469613259668508</v>
      </c>
      <c r="CJ31" s="24"/>
      <c r="CK31" s="1983" t="s">
        <v>520</v>
      </c>
      <c r="CL31" s="1980"/>
      <c r="CM31" s="1981"/>
      <c r="CN31" s="24"/>
      <c r="CO31" s="165">
        <f>+BZ31+CC31+CG31</f>
        <v>80</v>
      </c>
      <c r="CP31" s="1980">
        <f>+(CO31/CO24-1)*100</f>
        <v>-12.087912087912089</v>
      </c>
      <c r="CQ31" s="1981">
        <f>+CO31/BW31*100</f>
        <v>5.037783375314862</v>
      </c>
      <c r="CR31" s="1981"/>
      <c r="CS31" s="24"/>
      <c r="CT31" s="24"/>
      <c r="CU31" s="24"/>
      <c r="CV31" s="24"/>
      <c r="CW31" s="24"/>
      <c r="CX31" s="24"/>
      <c r="CY31" s="24"/>
      <c r="CZ31" s="24"/>
      <c r="DA31" s="24"/>
      <c r="DB31" s="24"/>
      <c r="DC31" s="24"/>
      <c r="DD31" s="24"/>
      <c r="DE31" s="24"/>
      <c r="DF31" s="24"/>
      <c r="DG31" s="24"/>
      <c r="DH31" s="24"/>
      <c r="DI31" s="24"/>
      <c r="DJ31" s="24"/>
      <c r="DK31" s="24"/>
      <c r="DL31" s="24"/>
      <c r="DM31" s="24"/>
      <c r="DN31" s="24"/>
      <c r="DO31" s="24"/>
      <c r="DP31" s="24"/>
      <c r="DQ31" s="24"/>
      <c r="DR31" s="24"/>
      <c r="DS31" s="24"/>
      <c r="DT31" s="24"/>
      <c r="DU31" s="24"/>
      <c r="DV31" s="24"/>
      <c r="DW31" s="24"/>
      <c r="DX31" s="24"/>
      <c r="DY31" s="24"/>
      <c r="DZ31" s="24"/>
      <c r="EA31" s="24"/>
      <c r="EB31" s="24"/>
      <c r="EC31" s="24"/>
      <c r="ED31" s="24"/>
      <c r="EE31" s="24"/>
      <c r="EG31" s="24"/>
      <c r="EH31" s="24"/>
      <c r="EI31" s="24"/>
      <c r="EJ31" s="24"/>
    </row>
    <row r="32" spans="1:140" hidden="1" outlineLevel="2">
      <c r="A32" s="113" t="str">
        <f>+qtrSales!A55</f>
        <v>2Q</v>
      </c>
      <c r="B32" s="24" t="str">
        <f>+qtrSales!B55</f>
        <v>Jul</v>
      </c>
      <c r="C32" s="24"/>
      <c r="D32" s="24"/>
      <c r="E32" s="388">
        <v>281</v>
      </c>
      <c r="F32" s="388"/>
      <c r="G32" s="1980">
        <f>+(E32/E25-1)*100</f>
        <v>10.196078431372557</v>
      </c>
      <c r="H32" s="1981">
        <f>+E32/$BI32*100</f>
        <v>16.346713205351946</v>
      </c>
      <c r="I32" s="1981"/>
      <c r="J32" s="1981"/>
      <c r="K32" s="388">
        <v>168</v>
      </c>
      <c r="L32" s="1980">
        <f>+(K32/K25-1)*100</f>
        <v>19.999999999999996</v>
      </c>
      <c r="M32" s="1981">
        <f>+K32/$BI32*100</f>
        <v>9.7731239092495628</v>
      </c>
      <c r="N32" s="1981"/>
      <c r="O32" s="1981"/>
      <c r="P32" s="1981"/>
      <c r="Q32" s="24"/>
      <c r="R32" s="387">
        <f>+E32+K32</f>
        <v>449</v>
      </c>
      <c r="S32" s="1980">
        <f>+(R32/R25-1)*100</f>
        <v>13.670886075949372</v>
      </c>
      <c r="T32" s="1980"/>
      <c r="U32" s="1981">
        <f>+R32/$BI32*100</f>
        <v>26.119837114601513</v>
      </c>
      <c r="V32" s="24"/>
      <c r="W32" s="388">
        <v>84</v>
      </c>
      <c r="X32" s="388"/>
      <c r="Y32" s="388"/>
      <c r="Z32" s="388"/>
      <c r="AA32" s="388"/>
      <c r="AB32" s="388"/>
      <c r="AC32" s="1980">
        <f>+(W32/W25-1)*100</f>
        <v>90.909090909090921</v>
      </c>
      <c r="AD32" s="1981">
        <f>+W32/$BI32*100</f>
        <v>4.8865619546247814</v>
      </c>
      <c r="AE32" s="1981"/>
      <c r="AF32" s="1981"/>
      <c r="AG32" s="1981"/>
      <c r="AH32" s="1981"/>
      <c r="AI32" s="24"/>
      <c r="AJ32" s="388">
        <v>313</v>
      </c>
      <c r="AK32" s="388">
        <v>124</v>
      </c>
      <c r="AL32" s="266">
        <f>+AJ32+AK32</f>
        <v>437</v>
      </c>
      <c r="AM32" s="388">
        <v>224</v>
      </c>
      <c r="AN32" s="388">
        <v>207</v>
      </c>
      <c r="AO32" s="388">
        <v>191</v>
      </c>
      <c r="AP32" s="266">
        <f>+SUM(AL32:AO32)</f>
        <v>1059</v>
      </c>
      <c r="AQ32" s="1980">
        <f>+(AP32/AP25-1)*100</f>
        <v>1.0496183206106791</v>
      </c>
      <c r="AR32" s="1981">
        <f>+AP32/$BI32*100</f>
        <v>61.605584642233858</v>
      </c>
      <c r="AS32" s="24"/>
      <c r="AT32" s="388">
        <v>18</v>
      </c>
      <c r="AU32" s="388">
        <v>19</v>
      </c>
      <c r="AV32" s="388">
        <v>39</v>
      </c>
      <c r="AW32" s="388">
        <v>44</v>
      </c>
      <c r="AX32" s="388">
        <v>5</v>
      </c>
      <c r="AY32" s="388">
        <v>2</v>
      </c>
      <c r="AZ32" s="388"/>
      <c r="BA32" s="388"/>
      <c r="BB32" s="388"/>
      <c r="BC32" s="266"/>
      <c r="BD32" s="1980" t="e">
        <f>+(BC32/BC25-1)*100</f>
        <v>#DIV/0!</v>
      </c>
      <c r="BE32" s="266">
        <f>+SUM(AT32:AY32)</f>
        <v>127</v>
      </c>
      <c r="BF32" s="1980">
        <f>+(BE32/BE25-1)*100</f>
        <v>29.591836734693878</v>
      </c>
      <c r="BG32" s="1981">
        <f>+BE32/$BI32*100</f>
        <v>7.3880162885398493</v>
      </c>
      <c r="BH32" s="24"/>
      <c r="BI32" s="266">
        <f>+E32+K32+W32+AP32+BE32</f>
        <v>1719</v>
      </c>
      <c r="BJ32" s="266"/>
      <c r="BK32" s="2889">
        <f>+(BI32/BI25-1)*100</f>
        <v>8.454258675078874</v>
      </c>
      <c r="BL32" s="266">
        <f>+E32+K32+W32+AT32+AY32</f>
        <v>553</v>
      </c>
      <c r="BM32" s="1980">
        <f>+(BL32/BL25-1)*100</f>
        <v>19.956616052060738</v>
      </c>
      <c r="BN32" s="1981">
        <f>+BL32/$BW32*100</f>
        <v>32.16986620127981</v>
      </c>
      <c r="BO32" s="266">
        <f>+AJ32+AM32+AN32+AO32+AU32</f>
        <v>954</v>
      </c>
      <c r="BP32" s="1980">
        <f>+(BO32/BO25-1)*100</f>
        <v>0.10493179433368471</v>
      </c>
      <c r="BQ32" s="1981">
        <f>+BO32/$BW32*100</f>
        <v>55.497382198952884</v>
      </c>
      <c r="BR32" s="389"/>
      <c r="BS32" s="266">
        <f>+AK32+AV32+AW32+AX32</f>
        <v>212</v>
      </c>
      <c r="BT32" s="1980">
        <f>+(BS32/BS25-1)*100</f>
        <v>23.976608187134495</v>
      </c>
      <c r="BU32" s="1981">
        <f>+BS32/$BW32*100</f>
        <v>12.332751599767306</v>
      </c>
      <c r="BV32" s="389"/>
      <c r="BW32" s="266">
        <f>+BL32+BO32+BS32</f>
        <v>1719</v>
      </c>
      <c r="BX32" s="1980">
        <f>+(BW32/BW25-1)*100</f>
        <v>8.454258675078874</v>
      </c>
      <c r="BY32" s="24"/>
      <c r="BZ32" s="389">
        <v>73</v>
      </c>
      <c r="CA32" s="1980">
        <f>+(BZ32/BZ25-1)*100</f>
        <v>4.2857142857142927</v>
      </c>
      <c r="CB32" s="1981">
        <f>+BZ32/BL32*100</f>
        <v>13.200723327305605</v>
      </c>
      <c r="CC32" s="389">
        <v>-5</v>
      </c>
      <c r="CD32" s="1980">
        <f>+(CC32/CC25-1)*100</f>
        <v>0</v>
      </c>
      <c r="CE32" s="1981">
        <f>+CC32/BO32*100</f>
        <v>-0.52410901467505244</v>
      </c>
      <c r="CF32" s="389"/>
      <c r="CG32" s="389">
        <v>29</v>
      </c>
      <c r="CH32" s="1980">
        <f>+(CG32/CG25-1)*100</f>
        <v>-21.621621621621621</v>
      </c>
      <c r="CI32" s="1981">
        <f>+CG32/BS32*100</f>
        <v>13.679245283018867</v>
      </c>
      <c r="CJ32" s="389"/>
      <c r="CK32" s="1983" t="s">
        <v>520</v>
      </c>
      <c r="CL32" s="1980"/>
      <c r="CM32" s="1981"/>
      <c r="CN32" s="389"/>
      <c r="CO32" s="266">
        <f>+BZ32+CC32+CG32</f>
        <v>97</v>
      </c>
      <c r="CP32" s="1980">
        <f>+(CO32/CO25-1)*100</f>
        <v>-4.9019607843137303</v>
      </c>
      <c r="CQ32" s="1981">
        <f>+CO32/BW32*100</f>
        <v>5.6428155904595698</v>
      </c>
      <c r="CR32" s="1981"/>
      <c r="CS32" s="24"/>
      <c r="CT32" s="24"/>
      <c r="CU32" s="24"/>
      <c r="CV32" s="24"/>
      <c r="CW32" s="24"/>
      <c r="CX32" s="24"/>
      <c r="CY32" s="24"/>
      <c r="CZ32" s="24"/>
      <c r="DA32" s="24"/>
      <c r="DB32" s="24"/>
      <c r="DC32" s="24"/>
      <c r="DD32" s="24"/>
      <c r="DE32" s="24"/>
      <c r="DF32" s="24"/>
      <c r="DG32" s="24"/>
      <c r="DH32" s="24"/>
      <c r="DI32" s="24"/>
      <c r="DJ32" s="24"/>
      <c r="DK32" s="24"/>
      <c r="DL32" s="24"/>
      <c r="DM32" s="24"/>
      <c r="DN32" s="24"/>
      <c r="DO32" s="24"/>
      <c r="DP32" s="24"/>
      <c r="DQ32" s="24"/>
      <c r="DR32" s="24"/>
      <c r="DS32" s="24"/>
      <c r="DT32" s="24"/>
      <c r="DU32" s="24"/>
      <c r="DV32" s="24"/>
      <c r="DW32" s="24"/>
      <c r="DX32" s="24"/>
      <c r="DY32" s="24"/>
      <c r="DZ32" s="24"/>
      <c r="EA32" s="24"/>
      <c r="EB32" s="24"/>
      <c r="EC32" s="24"/>
      <c r="ED32" s="24"/>
      <c r="EE32" s="24"/>
      <c r="EG32" s="24"/>
      <c r="EH32" s="24"/>
      <c r="EI32" s="24"/>
      <c r="EJ32" s="24"/>
    </row>
    <row r="33" spans="1:140" hidden="1" outlineLevel="2">
      <c r="A33" s="113" t="str">
        <f>+qtrSales!A56</f>
        <v>3Q</v>
      </c>
      <c r="B33" s="24" t="str">
        <f>+qtrSales!B56</f>
        <v>Oct</v>
      </c>
      <c r="C33" s="24"/>
      <c r="D33" s="24"/>
      <c r="E33" s="388">
        <v>264</v>
      </c>
      <c r="F33" s="388"/>
      <c r="G33" s="1980">
        <f>+(E33/E26-1)*100</f>
        <v>3.125</v>
      </c>
      <c r="H33" s="1981">
        <f>+E33/$BI33*100</f>
        <v>14.64226289517471</v>
      </c>
      <c r="I33" s="1981"/>
      <c r="J33" s="1981"/>
      <c r="K33" s="388">
        <v>132</v>
      </c>
      <c r="L33" s="1980">
        <f>+(K33/K26-1)*100</f>
        <v>9.0909090909090828</v>
      </c>
      <c r="M33" s="1981">
        <f>+K33/$BI33*100</f>
        <v>7.321131447587355</v>
      </c>
      <c r="N33" s="1981"/>
      <c r="O33" s="1981"/>
      <c r="P33" s="1981"/>
      <c r="Q33" s="24"/>
      <c r="R33" s="387">
        <f>+E33+K33</f>
        <v>396</v>
      </c>
      <c r="S33" s="1980">
        <f>+(R33/R26-1)*100</f>
        <v>5.0397877984084793</v>
      </c>
      <c r="T33" s="1980"/>
      <c r="U33" s="1981">
        <f>+R33/$BI33*100</f>
        <v>21.963394342762061</v>
      </c>
      <c r="V33" s="24"/>
      <c r="W33" s="388">
        <v>87</v>
      </c>
      <c r="X33" s="388"/>
      <c r="Y33" s="388"/>
      <c r="Z33" s="388"/>
      <c r="AA33" s="388"/>
      <c r="AB33" s="388"/>
      <c r="AC33" s="1980">
        <f>+(W33/W26-1)*100</f>
        <v>85.106382978723389</v>
      </c>
      <c r="AD33" s="1981">
        <f>+W33/$BI33*100</f>
        <v>4.8252911813643928</v>
      </c>
      <c r="AE33" s="1981"/>
      <c r="AF33" s="1981"/>
      <c r="AG33" s="1981"/>
      <c r="AH33" s="1981"/>
      <c r="AI33" s="24"/>
      <c r="AJ33" s="388">
        <v>360</v>
      </c>
      <c r="AK33" s="388">
        <v>128</v>
      </c>
      <c r="AL33" s="266">
        <f>+AJ33+AK33</f>
        <v>488</v>
      </c>
      <c r="AM33" s="388">
        <v>223</v>
      </c>
      <c r="AN33" s="388">
        <v>219</v>
      </c>
      <c r="AO33" s="388">
        <v>214</v>
      </c>
      <c r="AP33" s="266">
        <f>+SUM(AL33:AO33)</f>
        <v>1144</v>
      </c>
      <c r="AQ33" s="1980">
        <f>+(AP33/AP26-1)*100</f>
        <v>-1.038062283737029</v>
      </c>
      <c r="AR33" s="1981">
        <f>+AP33/$BI33*100</f>
        <v>63.449805879090405</v>
      </c>
      <c r="AS33" s="24"/>
      <c r="AT33" s="388">
        <v>19</v>
      </c>
      <c r="AU33" s="388">
        <v>24</v>
      </c>
      <c r="AV33" s="388">
        <v>57</v>
      </c>
      <c r="AW33" s="388">
        <v>58</v>
      </c>
      <c r="AX33" s="388">
        <v>14</v>
      </c>
      <c r="AY33" s="388">
        <v>4</v>
      </c>
      <c r="AZ33" s="388"/>
      <c r="BA33" s="388"/>
      <c r="BB33" s="388"/>
      <c r="BC33" s="266"/>
      <c r="BD33" s="1980" t="e">
        <f>+(BC33/BC26-1)*100</f>
        <v>#DIV/0!</v>
      </c>
      <c r="BE33" s="266">
        <f>+SUM(AT33:AY33)</f>
        <v>176</v>
      </c>
      <c r="BF33" s="1980">
        <f>+(BE33/BE26-1)*100</f>
        <v>30.370370370370381</v>
      </c>
      <c r="BG33" s="1981">
        <f>+BE33/$BI33*100</f>
        <v>9.7615085967831394</v>
      </c>
      <c r="BH33" s="24"/>
      <c r="BI33" s="266">
        <f>+E33+K33+W33+AP33+BE33</f>
        <v>1803</v>
      </c>
      <c r="BJ33" s="266"/>
      <c r="BK33" s="2889">
        <f>+(BI33/BI26-1)*100</f>
        <v>5.1311953352769724</v>
      </c>
      <c r="BL33" s="266">
        <f>+E33+K33+W33+AT33+AY33</f>
        <v>506</v>
      </c>
      <c r="BM33" s="1980">
        <f>+(BL33/BL26-1)*100</f>
        <v>13.199105145413871</v>
      </c>
      <c r="BN33" s="1981">
        <f>+BL33/$BW33*100</f>
        <v>28.064337215751522</v>
      </c>
      <c r="BO33" s="266">
        <f>+AJ33+AM33+AN33+AO33+AU33</f>
        <v>1040</v>
      </c>
      <c r="BP33" s="1980">
        <f>+(BO33/BO26-1)*100</f>
        <v>-1.6083254493850507</v>
      </c>
      <c r="BQ33" s="1981">
        <f>+BO33/$BW33*100</f>
        <v>57.68164170826401</v>
      </c>
      <c r="BR33" s="24"/>
      <c r="BS33" s="266">
        <f>+AK33+AV33+AW33+AX33</f>
        <v>257</v>
      </c>
      <c r="BT33" s="1980">
        <f>+(BS33/BS26-1)*100</f>
        <v>21.800947867298582</v>
      </c>
      <c r="BU33" s="1981">
        <f>+BS33/$BW33*100</f>
        <v>14.254021075984472</v>
      </c>
      <c r="BV33" s="24"/>
      <c r="BW33" s="266">
        <f>+BL33+BO33+BS33</f>
        <v>1803</v>
      </c>
      <c r="BX33" s="1980">
        <f>+(BW33/BW26-1)*100</f>
        <v>5.1311953352769724</v>
      </c>
      <c r="BY33" s="24"/>
      <c r="BZ33" s="389">
        <v>45</v>
      </c>
      <c r="CA33" s="1980">
        <f>+(BZ33/BZ26-1)*100</f>
        <v>7.1428571428571397</v>
      </c>
      <c r="CB33" s="1981">
        <f>+BZ33/BL33*100</f>
        <v>8.8932806324110665</v>
      </c>
      <c r="CC33" s="389">
        <v>21</v>
      </c>
      <c r="CD33" s="1980">
        <f>+(CC33/CC26-1)*100</f>
        <v>-72.368421052631575</v>
      </c>
      <c r="CE33" s="1981">
        <f>+CC33/BO33*100</f>
        <v>2.0192307692307692</v>
      </c>
      <c r="CF33" s="24"/>
      <c r="CG33" s="389">
        <v>25</v>
      </c>
      <c r="CH33" s="1980">
        <f>+(CG33/CG26-1)*100</f>
        <v>-47.916666666666664</v>
      </c>
      <c r="CI33" s="1981">
        <f>+CG33/BS33*100</f>
        <v>9.7276264591439698</v>
      </c>
      <c r="CJ33" s="24"/>
      <c r="CK33" s="1983" t="s">
        <v>520</v>
      </c>
      <c r="CL33" s="1980"/>
      <c r="CM33" s="1981"/>
      <c r="CN33" s="24"/>
      <c r="CO33" s="266">
        <f>+BZ33+CC33+CG33</f>
        <v>91</v>
      </c>
      <c r="CP33" s="1980">
        <f>+(CO33/CO26-1)*100</f>
        <v>-45.180722891566262</v>
      </c>
      <c r="CQ33" s="1981">
        <f>+CO33/BW33*100</f>
        <v>5.0471436494731003</v>
      </c>
      <c r="CR33" s="1981"/>
      <c r="CS33" s="24"/>
      <c r="CT33" s="24"/>
      <c r="CU33" s="24"/>
      <c r="CV33" s="24"/>
      <c r="CW33" s="24"/>
      <c r="CX33" s="24"/>
      <c r="CY33" s="24"/>
      <c r="CZ33" s="24"/>
      <c r="DA33" s="24"/>
      <c r="DB33" s="24"/>
      <c r="DC33" s="24"/>
      <c r="DD33" s="24"/>
      <c r="DE33" s="24"/>
      <c r="DF33" s="24"/>
      <c r="DG33" s="24"/>
      <c r="DH33" s="24"/>
      <c r="DI33" s="24"/>
      <c r="DJ33" s="24"/>
      <c r="DK33" s="24"/>
      <c r="DL33" s="24"/>
      <c r="DM33" s="24"/>
      <c r="DN33" s="24"/>
      <c r="DO33" s="24"/>
      <c r="DP33" s="24"/>
      <c r="DQ33" s="24"/>
      <c r="DR33" s="24"/>
      <c r="DS33" s="24"/>
      <c r="DT33" s="24"/>
      <c r="DU33" s="24"/>
      <c r="DV33" s="24"/>
      <c r="DW33" s="24"/>
      <c r="DX33" s="24"/>
      <c r="DY33" s="24"/>
      <c r="DZ33" s="24"/>
      <c r="EA33" s="24"/>
      <c r="EB33" s="24"/>
      <c r="EC33" s="24"/>
      <c r="ED33" s="24"/>
      <c r="EE33" s="24"/>
      <c r="EG33" s="24"/>
      <c r="EH33" s="24"/>
      <c r="EI33" s="24"/>
      <c r="EJ33" s="24"/>
    </row>
    <row r="34" spans="1:140" hidden="1" outlineLevel="2">
      <c r="A34" s="113" t="str">
        <f>+qtrSales!A57</f>
        <v>4Q</v>
      </c>
      <c r="B34" s="24" t="str">
        <f>+qtrSales!B57</f>
        <v>Jan</v>
      </c>
      <c r="C34" s="24"/>
      <c r="D34" s="24"/>
      <c r="E34" s="393">
        <f>+E35-E33-E32-E31</f>
        <v>500</v>
      </c>
      <c r="F34" s="309"/>
      <c r="G34" s="1980">
        <f>+(E34/E27-1)*100</f>
        <v>11.607142857142861</v>
      </c>
      <c r="H34" s="1981">
        <f>+E34/$BI34*100</f>
        <v>18.044027426921687</v>
      </c>
      <c r="I34" s="1981"/>
      <c r="J34" s="1981"/>
      <c r="K34" s="393">
        <f>+K35-K33-K32-K31</f>
        <v>206</v>
      </c>
      <c r="L34" s="1980">
        <f>+(K34/K27-1)*100</f>
        <v>10.752688172043001</v>
      </c>
      <c r="M34" s="1981">
        <f>+K34/$BI34*100</f>
        <v>7.4341392998917355</v>
      </c>
      <c r="N34" s="1981"/>
      <c r="O34" s="1981"/>
      <c r="P34" s="1981"/>
      <c r="Q34" s="24"/>
      <c r="R34" s="393">
        <f>+E34+K34</f>
        <v>706</v>
      </c>
      <c r="S34" s="1980">
        <f>+(R34/R27-1)*100</f>
        <v>11.356466876971606</v>
      </c>
      <c r="T34" s="1980"/>
      <c r="U34" s="1981">
        <f>+R34/$BI34*100</f>
        <v>25.478166726813424</v>
      </c>
      <c r="V34" s="24"/>
      <c r="W34" s="393">
        <f>+W35-W33-W32-W31</f>
        <v>238</v>
      </c>
      <c r="X34" s="309"/>
      <c r="Y34" s="309"/>
      <c r="Z34" s="309"/>
      <c r="AA34" s="309"/>
      <c r="AB34" s="309"/>
      <c r="AC34" s="1980">
        <f>+(W34/W27-1)*100</f>
        <v>73.72262773722629</v>
      </c>
      <c r="AD34" s="1981">
        <f>+W34/$BI34*100</f>
        <v>8.5889570552147241</v>
      </c>
      <c r="AE34" s="1981"/>
      <c r="AF34" s="1981"/>
      <c r="AG34" s="1981"/>
      <c r="AH34" s="1981"/>
      <c r="AI34" s="24"/>
      <c r="AJ34" s="1984">
        <f>+AJ35-AJ33-AJ32-AJ31</f>
        <v>468</v>
      </c>
      <c r="AK34" s="1984">
        <f>+AK35-AK33-AK32-AK31</f>
        <v>220</v>
      </c>
      <c r="AL34" s="1985">
        <f>+AJ34+AK34</f>
        <v>688</v>
      </c>
      <c r="AM34" s="1984">
        <f>+AM35-AM33-AM32-AM31</f>
        <v>339</v>
      </c>
      <c r="AN34" s="1984">
        <f>+AN35-AN33-AN32-AN31</f>
        <v>273</v>
      </c>
      <c r="AO34" s="1984">
        <f>+AO35-AO33-AO32-AO31</f>
        <v>266</v>
      </c>
      <c r="AP34" s="1022">
        <f>+SUM(AL34:AO34)</f>
        <v>1566</v>
      </c>
      <c r="AQ34" s="1980">
        <f>+(AP34/AP27-1)*100</f>
        <v>-0.76045627376425395</v>
      </c>
      <c r="AR34" s="1981">
        <f>+AP34/$BI34*100</f>
        <v>56.513893901118728</v>
      </c>
      <c r="AS34" s="24"/>
      <c r="AT34" s="1986">
        <f t="shared" ref="AT34:AY34" si="1">+AT35-AT33-AT32-AT31</f>
        <v>28</v>
      </c>
      <c r="AU34" s="1984">
        <f t="shared" si="1"/>
        <v>27</v>
      </c>
      <c r="AV34" s="1984">
        <f t="shared" si="1"/>
        <v>106</v>
      </c>
      <c r="AW34" s="1984">
        <f t="shared" si="1"/>
        <v>68</v>
      </c>
      <c r="AX34" s="1984">
        <f t="shared" si="1"/>
        <v>26</v>
      </c>
      <c r="AY34" s="1984">
        <f t="shared" si="1"/>
        <v>6</v>
      </c>
      <c r="AZ34" s="1984"/>
      <c r="BA34" s="1984"/>
      <c r="BB34" s="1984"/>
      <c r="BC34" s="1022"/>
      <c r="BD34" s="1980" t="e">
        <f>+(BC34/BC27-1)*100</f>
        <v>#DIV/0!</v>
      </c>
      <c r="BE34" s="1022">
        <f>+SUM(AT34:AY34)</f>
        <v>261</v>
      </c>
      <c r="BF34" s="1980">
        <f>+(BE34/BE27-1)*100</f>
        <v>37.368421052631582</v>
      </c>
      <c r="BG34" s="1981">
        <f>+BE34/$BI34*100</f>
        <v>9.418982316853123</v>
      </c>
      <c r="BH34" s="24"/>
      <c r="BI34" s="1022">
        <f>+E34+K34+W34+AP34+BE34</f>
        <v>2771</v>
      </c>
      <c r="BJ34" s="325"/>
      <c r="BK34" s="2889">
        <f>+(BI34/BI27-1)*100</f>
        <v>9.1374556912170224</v>
      </c>
      <c r="BL34" s="1022">
        <f>+E34+K34+W34+AT34+AY34</f>
        <v>978</v>
      </c>
      <c r="BM34" s="1980">
        <f>+(BL34/BL27-1)*100</f>
        <v>21.94513715710724</v>
      </c>
      <c r="BN34" s="1981">
        <f>+BL34/$BW34*100</f>
        <v>35.294117647058826</v>
      </c>
      <c r="BO34" s="1022">
        <f>+AJ34+AM34+AN34+AO34+AU34</f>
        <v>1373</v>
      </c>
      <c r="BP34" s="1980">
        <f>+(BO34/BO27-1)*100</f>
        <v>-0.14545454545454861</v>
      </c>
      <c r="BQ34" s="1981">
        <f>+BO34/$BW34*100</f>
        <v>49.548899314326952</v>
      </c>
      <c r="BR34" s="24"/>
      <c r="BS34" s="1022">
        <f>+AK34+AV34+AW34+AX34</f>
        <v>420</v>
      </c>
      <c r="BT34" s="1980">
        <f>+(BS34/BS27-1)*100</f>
        <v>16.022099447513803</v>
      </c>
      <c r="BU34" s="1981">
        <f>+BS34/$BW34*100</f>
        <v>15.15698303861422</v>
      </c>
      <c r="BV34" s="24"/>
      <c r="BW34" s="1022">
        <f>+BL34+BO34+BS34</f>
        <v>2771</v>
      </c>
      <c r="BX34" s="1980">
        <f>+(BW34/BW27-1)*100</f>
        <v>9.1374556912170224</v>
      </c>
      <c r="BY34" s="24"/>
      <c r="BZ34" s="1022">
        <f>+BZ35-BZ33-BZ32-BZ31</f>
        <v>228</v>
      </c>
      <c r="CA34" s="1980">
        <f>+(BZ34/BZ27-1)*100</f>
        <v>14.572864321608048</v>
      </c>
      <c r="CB34" s="1981">
        <f>+BZ34/BL34*100</f>
        <v>23.312883435582819</v>
      </c>
      <c r="CC34" s="1022">
        <f>+CC35-SUM(CC31:CC33)</f>
        <v>26</v>
      </c>
      <c r="CD34" s="1980">
        <f>+(CC34/CC27-1)*100</f>
        <v>-81.428571428571431</v>
      </c>
      <c r="CE34" s="1981">
        <f>+CC34/BO34*100</f>
        <v>1.8936635105608157</v>
      </c>
      <c r="CF34" s="24"/>
      <c r="CG34" s="1022">
        <f>+CG35-SUM(CG31:CG33)</f>
        <v>67</v>
      </c>
      <c r="CH34" s="1980">
        <f>+(CG34/CG27-1)*100</f>
        <v>-22.988505747126442</v>
      </c>
      <c r="CI34" s="1981">
        <f>+CG34/BS34*100</f>
        <v>15.952380952380951</v>
      </c>
      <c r="CJ34" s="24"/>
      <c r="CK34" s="1987" t="s">
        <v>520</v>
      </c>
      <c r="CL34" s="1980"/>
      <c r="CM34" s="1981"/>
      <c r="CN34" s="24"/>
      <c r="CO34" s="1022">
        <f>+BZ34+CC34+CG34</f>
        <v>321</v>
      </c>
      <c r="CP34" s="1980">
        <f>+(CO34/CO27-1)*100</f>
        <v>-27.04545454545455</v>
      </c>
      <c r="CQ34" s="1981">
        <f>+CO34/BW34*100</f>
        <v>11.584265608083724</v>
      </c>
      <c r="CR34" s="1981"/>
      <c r="CS34" s="24"/>
      <c r="CT34" s="24"/>
      <c r="CU34" s="24"/>
      <c r="CV34" s="24"/>
      <c r="CW34" s="24"/>
      <c r="CX34" s="24"/>
      <c r="CY34" s="24"/>
      <c r="CZ34" s="24"/>
      <c r="DA34" s="24"/>
      <c r="DB34" s="24"/>
      <c r="DC34" s="24"/>
      <c r="DD34" s="24"/>
      <c r="DE34" s="24"/>
      <c r="DF34" s="24"/>
      <c r="DG34" s="24"/>
      <c r="DH34" s="24"/>
      <c r="DI34" s="24"/>
      <c r="DJ34" s="24"/>
      <c r="DK34" s="24"/>
      <c r="DL34" s="24"/>
      <c r="DM34" s="24"/>
      <c r="DN34" s="24"/>
      <c r="DO34" s="24"/>
      <c r="DP34" s="24"/>
      <c r="DQ34" s="24"/>
      <c r="DR34" s="24"/>
      <c r="DS34" s="24"/>
      <c r="DT34" s="24"/>
      <c r="DU34" s="24"/>
      <c r="DV34" s="24"/>
      <c r="DW34" s="24"/>
      <c r="DX34" s="24"/>
      <c r="DY34" s="24"/>
      <c r="DZ34" s="24"/>
      <c r="EA34" s="24"/>
      <c r="EB34" s="24"/>
      <c r="EC34" s="24"/>
      <c r="ED34" s="24"/>
      <c r="EE34" s="24"/>
      <c r="EG34" s="24"/>
      <c r="EH34" s="24"/>
      <c r="EI34" s="24"/>
      <c r="EJ34" s="24"/>
    </row>
    <row r="35" spans="1:140" hidden="1" outlineLevel="2">
      <c r="A35" s="113"/>
      <c r="B35" s="24" t="str">
        <f>+qtrSales!B58</f>
        <v>Year</v>
      </c>
      <c r="C35" s="24"/>
      <c r="D35" s="24"/>
      <c r="E35" s="389">
        <v>1286</v>
      </c>
      <c r="F35" s="389"/>
      <c r="G35" s="1980">
        <f>+(E35/E28-1)*100</f>
        <v>8.8907705334462239</v>
      </c>
      <c r="H35" s="1981">
        <f>+E35/$BI35*100</f>
        <v>16.317726176881106</v>
      </c>
      <c r="I35" s="1981"/>
      <c r="J35" s="1981"/>
      <c r="K35" s="388">
        <v>661</v>
      </c>
      <c r="L35" s="1980">
        <f>+(K35/K28-1)*100</f>
        <v>16.168717047451665</v>
      </c>
      <c r="M35" s="1981">
        <f>+K35/$BI35*100</f>
        <v>8.3872604999365574</v>
      </c>
      <c r="N35" s="1981"/>
      <c r="O35" s="1981"/>
      <c r="P35" s="1981"/>
      <c r="Q35" s="24"/>
      <c r="R35" s="266">
        <f>+E35+K35</f>
        <v>1947</v>
      </c>
      <c r="S35" s="1980">
        <f>+(R35/R28-1)*100</f>
        <v>11.257142857142854</v>
      </c>
      <c r="T35" s="1980"/>
      <c r="U35" s="1981">
        <f>+R35/$BI35*100</f>
        <v>24.704986676817665</v>
      </c>
      <c r="V35" s="24"/>
      <c r="W35" s="388">
        <v>475</v>
      </c>
      <c r="X35" s="388"/>
      <c r="Y35" s="388"/>
      <c r="Z35" s="388"/>
      <c r="AA35" s="388"/>
      <c r="AB35" s="388"/>
      <c r="AC35" s="1980">
        <f>+(W35/W28-1)*100</f>
        <v>82.692307692307693</v>
      </c>
      <c r="AD35" s="1981">
        <f>+W35/$BI35*100</f>
        <v>6.0271539144778581</v>
      </c>
      <c r="AE35" s="1981"/>
      <c r="AF35" s="1981"/>
      <c r="AG35" s="1981"/>
      <c r="AH35" s="1981"/>
      <c r="AI35" s="24"/>
      <c r="AJ35" s="389">
        <v>1445</v>
      </c>
      <c r="AK35" s="388">
        <v>576</v>
      </c>
      <c r="AL35" s="266">
        <f>+AJ35+AK35</f>
        <v>2021</v>
      </c>
      <c r="AM35" s="389">
        <v>1005</v>
      </c>
      <c r="AN35" s="388">
        <v>903</v>
      </c>
      <c r="AO35" s="388">
        <v>850</v>
      </c>
      <c r="AP35" s="266">
        <f>+SUM(AL35:AO35)</f>
        <v>4779</v>
      </c>
      <c r="AQ35" s="1980">
        <f>+(AP35/AP28-1)*100</f>
        <v>-0.20881186051368017</v>
      </c>
      <c r="AR35" s="1981">
        <f>+AP35/$BI35*100</f>
        <v>60.639512752188807</v>
      </c>
      <c r="AS35" s="24"/>
      <c r="AT35" s="388">
        <v>80</v>
      </c>
      <c r="AU35" s="388">
        <v>91</v>
      </c>
      <c r="AV35" s="388">
        <v>235</v>
      </c>
      <c r="AW35" s="388">
        <v>214</v>
      </c>
      <c r="AX35" s="388">
        <v>45</v>
      </c>
      <c r="AY35" s="388">
        <v>15</v>
      </c>
      <c r="AZ35" s="388"/>
      <c r="BA35" s="388"/>
      <c r="BB35" s="388"/>
      <c r="BC35" s="266"/>
      <c r="BD35" s="1980" t="e">
        <f>+(BC35/BC28-1)*100</f>
        <v>#DIV/0!</v>
      </c>
      <c r="BE35" s="266">
        <f>+SUM(AT35:AY35)</f>
        <v>680</v>
      </c>
      <c r="BF35" s="1980">
        <f>+(BE35/BE28-1)*100</f>
        <v>30.268199233716466</v>
      </c>
      <c r="BG35" s="1981">
        <f>+BE35/$BI35*100</f>
        <v>8.6283466565156708</v>
      </c>
      <c r="BH35" s="24"/>
      <c r="BI35" s="266">
        <f>+E35+K35+W35+AP35+BE35</f>
        <v>7881</v>
      </c>
      <c r="BJ35" s="266"/>
      <c r="BK35" s="2889">
        <f>+(BI35/BI28-1)*100</f>
        <v>7.6492282475071782</v>
      </c>
      <c r="BL35" s="266">
        <f>+E35+K35+W35+AT35+AY35</f>
        <v>2517</v>
      </c>
      <c r="BM35" s="1980">
        <f>+(BL35/BL28-1)*100</f>
        <v>19.402277039848205</v>
      </c>
      <c r="BN35" s="1981">
        <f>+BL35/$BW35*100</f>
        <v>31.937571374191094</v>
      </c>
      <c r="BO35" s="266">
        <f>+AJ35+AM35+AN35+AO35+AU35</f>
        <v>4294</v>
      </c>
      <c r="BP35" s="1980">
        <f>+(BO35/BO28-1)*100</f>
        <v>-0.55581287633164056</v>
      </c>
      <c r="BQ35" s="1981">
        <f>+BO35/$BW35*100</f>
        <v>54.485471386879837</v>
      </c>
      <c r="BR35" s="24"/>
      <c r="BS35" s="266">
        <f>+AK35+AV35+AW35+AX35</f>
        <v>1070</v>
      </c>
      <c r="BT35" s="1980">
        <f>+(BS35/BS28-1)*100</f>
        <v>19.55307262569832</v>
      </c>
      <c r="BU35" s="1981">
        <f>+BS35/$BW35*100</f>
        <v>13.576957238929069</v>
      </c>
      <c r="BV35" s="24"/>
      <c r="BW35" s="266">
        <f>+BL35+BO35+BS35</f>
        <v>7881</v>
      </c>
      <c r="BX35" s="1980">
        <f>+(BW35/BW28-1)*100</f>
        <v>7.6492282475071782</v>
      </c>
      <c r="BY35" s="24"/>
      <c r="BZ35" s="389">
        <v>386</v>
      </c>
      <c r="CA35" s="1980">
        <f>+(BZ35/BZ28-1)*100</f>
        <v>14.201183431952668</v>
      </c>
      <c r="CB35" s="1981">
        <f>+BZ35/BL35*100</f>
        <v>15.335717123559794</v>
      </c>
      <c r="CC35" s="389">
        <v>54</v>
      </c>
      <c r="CD35" s="1980">
        <f>+(CC35/CC28-1)*100</f>
        <v>-77.868852459016395</v>
      </c>
      <c r="CE35" s="1981">
        <f>+CC35/BO35*100</f>
        <v>1.2575687005123428</v>
      </c>
      <c r="CF35" s="24"/>
      <c r="CG35" s="389">
        <v>149</v>
      </c>
      <c r="CH35" s="1980">
        <f>+(CG35/CG28-1)*100</f>
        <v>-26.600985221674879</v>
      </c>
      <c r="CI35" s="1981">
        <f>+CG35/BS35*100</f>
        <v>13.925233644859814</v>
      </c>
      <c r="CJ35" s="24"/>
      <c r="CK35" s="389">
        <v>24</v>
      </c>
      <c r="CL35" s="1980">
        <f>+(CK35/CK28-1)*100</f>
        <v>71.428571428571416</v>
      </c>
      <c r="CM35" s="1981">
        <f>+CK35/AV35*100</f>
        <v>10.212765957446807</v>
      </c>
      <c r="CN35" s="24"/>
      <c r="CO35" s="389">
        <v>613</v>
      </c>
      <c r="CP35" s="1980">
        <f>+(CO35/CO28-1)*100</f>
        <v>-23.279098873591984</v>
      </c>
      <c r="CQ35" s="1981">
        <f>+CO35/BW35*100</f>
        <v>7.7782007359472143</v>
      </c>
      <c r="CR35" s="1981"/>
      <c r="CS35" s="24"/>
      <c r="CT35" s="24"/>
      <c r="CU35" s="24"/>
      <c r="CV35" s="24"/>
      <c r="CW35" s="24"/>
      <c r="CX35" s="24"/>
      <c r="CY35" s="24"/>
      <c r="CZ35" s="24"/>
      <c r="DA35" s="24"/>
      <c r="DB35" s="24"/>
      <c r="DC35" s="24"/>
      <c r="DD35" s="24"/>
      <c r="DE35" s="24"/>
      <c r="DF35" s="24"/>
      <c r="DG35" s="24"/>
      <c r="DH35" s="24"/>
      <c r="DI35" s="24"/>
      <c r="DJ35" s="24"/>
      <c r="DK35" s="24"/>
      <c r="DL35" s="24"/>
      <c r="DM35" s="24"/>
      <c r="DN35" s="24"/>
      <c r="DO35" s="24"/>
      <c r="DP35" s="24"/>
      <c r="DQ35" s="24"/>
      <c r="DR35" s="24"/>
      <c r="DS35" s="24"/>
      <c r="DT35" s="24"/>
      <c r="DU35" s="24"/>
      <c r="DV35" s="24"/>
      <c r="DW35" s="24"/>
      <c r="DX35" s="24"/>
      <c r="DY35" s="24"/>
      <c r="DZ35" s="24"/>
      <c r="EA35" s="24"/>
      <c r="EB35" s="24"/>
      <c r="EC35" s="24"/>
      <c r="ED35" s="24"/>
      <c r="EE35" s="24"/>
      <c r="EG35" s="24"/>
      <c r="EH35" s="24"/>
      <c r="EI35" s="24"/>
      <c r="EJ35" s="24"/>
    </row>
    <row r="36" spans="1:140" hidden="1" outlineLevel="2">
      <c r="A36" s="113"/>
      <c r="B36" s="24"/>
      <c r="C36" s="24"/>
      <c r="D36" s="2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78"/>
      <c r="BL36" s="24"/>
      <c r="BM36" s="24"/>
      <c r="BN36" s="24"/>
      <c r="BO36" s="24"/>
      <c r="BP36" s="24"/>
      <c r="BQ36" s="24"/>
      <c r="BR36" s="24"/>
      <c r="BS36" s="24"/>
      <c r="BT36" s="24"/>
      <c r="BU36" s="24"/>
      <c r="BV36" s="24"/>
      <c r="BW36" s="24"/>
      <c r="BX36" s="24"/>
      <c r="BY36" s="24"/>
      <c r="BZ36" s="24"/>
      <c r="CA36" s="24"/>
      <c r="CB36" s="24"/>
      <c r="CC36" s="24"/>
      <c r="CD36" s="24"/>
      <c r="CE36" s="24"/>
      <c r="CF36" s="24"/>
      <c r="CG36" s="24"/>
      <c r="CH36" s="24"/>
      <c r="CI36" s="24"/>
      <c r="CJ36" s="24"/>
      <c r="CK36" s="24"/>
      <c r="CL36" s="24"/>
      <c r="CM36" s="24"/>
      <c r="CN36" s="24"/>
      <c r="CO36" s="24"/>
      <c r="CP36" s="24"/>
      <c r="CQ36" s="24"/>
      <c r="CR36" s="24"/>
      <c r="CS36" s="24"/>
      <c r="CT36" s="24"/>
      <c r="CU36" s="24"/>
      <c r="CV36" s="24"/>
      <c r="CW36" s="24"/>
      <c r="CX36" s="24"/>
      <c r="CY36" s="24"/>
      <c r="CZ36" s="24"/>
      <c r="DA36" s="24"/>
      <c r="DB36" s="24"/>
      <c r="DC36" s="24"/>
      <c r="DD36" s="24"/>
      <c r="DE36" s="24"/>
      <c r="DF36" s="24"/>
      <c r="DG36" s="24"/>
      <c r="DH36" s="24"/>
      <c r="DI36" s="24"/>
      <c r="DJ36" s="24"/>
      <c r="DK36" s="24"/>
      <c r="DL36" s="24"/>
      <c r="DM36" s="24"/>
      <c r="DN36" s="24"/>
      <c r="DO36" s="24"/>
      <c r="DP36" s="24"/>
      <c r="DQ36" s="24"/>
      <c r="DR36" s="24"/>
      <c r="DS36" s="24"/>
      <c r="DT36" s="24"/>
      <c r="DU36" s="24"/>
      <c r="DV36" s="24"/>
      <c r="DW36" s="24"/>
      <c r="DX36" s="24"/>
      <c r="DY36" s="24"/>
      <c r="DZ36" s="24"/>
      <c r="EA36" s="24"/>
      <c r="EB36" s="24"/>
      <c r="EC36" s="24"/>
      <c r="ED36" s="24"/>
      <c r="EE36" s="24"/>
      <c r="EG36" s="24"/>
      <c r="EH36" s="24"/>
      <c r="EI36" s="24"/>
      <c r="EJ36" s="24"/>
    </row>
    <row r="37" spans="1:140" hidden="1" outlineLevel="2">
      <c r="A37" s="113"/>
      <c r="B37" s="136">
        <f>+qtrSales!B60</f>
        <v>1996</v>
      </c>
      <c r="C37" s="24"/>
      <c r="D37" s="24"/>
      <c r="E37" s="24"/>
      <c r="F37" s="24"/>
      <c r="G37" s="1980"/>
      <c r="H37" s="1981"/>
      <c r="I37" s="1981"/>
      <c r="J37" s="1981"/>
      <c r="K37" s="24"/>
      <c r="L37" s="1980"/>
      <c r="M37" s="1981"/>
      <c r="N37" s="1981"/>
      <c r="O37" s="1981"/>
      <c r="P37" s="1981"/>
      <c r="Q37" s="24"/>
      <c r="R37" s="24"/>
      <c r="S37" s="1980"/>
      <c r="T37" s="1980"/>
      <c r="U37" s="1981"/>
      <c r="V37" s="24"/>
      <c r="W37" s="24"/>
      <c r="X37" s="24"/>
      <c r="Y37" s="24"/>
      <c r="Z37" s="24"/>
      <c r="AA37" s="24"/>
      <c r="AB37" s="24"/>
      <c r="AC37" s="1980"/>
      <c r="AD37" s="1981"/>
      <c r="AE37" s="1981"/>
      <c r="AF37" s="1981"/>
      <c r="AG37" s="1981"/>
      <c r="AH37" s="1981"/>
      <c r="AI37" s="24"/>
      <c r="AJ37" s="24"/>
      <c r="AK37" s="24"/>
      <c r="AL37" s="24"/>
      <c r="AM37" s="24"/>
      <c r="AN37" s="24"/>
      <c r="AO37" s="24"/>
      <c r="AP37" s="24"/>
      <c r="AQ37" s="1980"/>
      <c r="AR37" s="1981"/>
      <c r="AS37" s="24"/>
      <c r="AT37" s="24"/>
      <c r="AU37" s="24"/>
      <c r="AV37" s="24"/>
      <c r="AW37" s="24"/>
      <c r="AX37" s="24"/>
      <c r="AY37" s="24"/>
      <c r="AZ37" s="24"/>
      <c r="BA37" s="24"/>
      <c r="BB37" s="24"/>
      <c r="BC37" s="24"/>
      <c r="BD37" s="1980"/>
      <c r="BE37" s="24"/>
      <c r="BF37" s="1980"/>
      <c r="BG37" s="1981"/>
      <c r="BH37" s="24"/>
      <c r="BI37" s="24"/>
      <c r="BJ37" s="24"/>
      <c r="BK37" s="2889"/>
      <c r="BL37" s="389"/>
      <c r="BM37" s="1988"/>
      <c r="BN37" s="1989"/>
      <c r="BO37" s="389"/>
      <c r="BP37" s="389"/>
      <c r="BQ37" s="389"/>
      <c r="BR37" s="389"/>
      <c r="BS37" s="389"/>
      <c r="BT37" s="389"/>
      <c r="BU37" s="389"/>
      <c r="BV37" s="389"/>
      <c r="BW37" s="266"/>
      <c r="BX37" s="24"/>
      <c r="BY37" s="24"/>
      <c r="BZ37" s="389"/>
      <c r="CA37" s="1988"/>
      <c r="CB37" s="1989"/>
      <c r="CC37" s="389"/>
      <c r="CD37" s="389"/>
      <c r="CE37" s="389"/>
      <c r="CF37" s="389"/>
      <c r="CG37" s="389"/>
      <c r="CH37" s="389"/>
      <c r="CI37" s="389"/>
      <c r="CJ37" s="389"/>
      <c r="CK37" s="389"/>
      <c r="CL37" s="389"/>
      <c r="CM37" s="389"/>
      <c r="CN37" s="389"/>
      <c r="CO37" s="266"/>
      <c r="CP37" s="24"/>
      <c r="CQ37" s="24"/>
      <c r="CR37" s="24"/>
      <c r="CS37" s="24"/>
      <c r="CT37" s="24"/>
      <c r="CU37" s="24"/>
      <c r="CV37" s="24"/>
      <c r="CW37" s="24"/>
      <c r="CX37" s="24"/>
      <c r="CY37" s="24"/>
      <c r="CZ37" s="24"/>
      <c r="DA37" s="24"/>
      <c r="DB37" s="24"/>
      <c r="DC37" s="24"/>
      <c r="DD37" s="24"/>
      <c r="DE37" s="24"/>
      <c r="DF37" s="24"/>
      <c r="DG37" s="24"/>
      <c r="DH37" s="24"/>
      <c r="DI37" s="24"/>
      <c r="DJ37" s="24"/>
      <c r="DK37" s="24"/>
      <c r="DL37" s="24"/>
      <c r="DM37" s="24"/>
      <c r="DN37" s="24"/>
      <c r="DO37" s="24"/>
      <c r="DP37" s="24"/>
      <c r="DQ37" s="24"/>
      <c r="DR37" s="24"/>
      <c r="DS37" s="24"/>
      <c r="DT37" s="24"/>
      <c r="DU37" s="24"/>
      <c r="DV37" s="24"/>
      <c r="DW37" s="24"/>
      <c r="DX37" s="24"/>
      <c r="DY37" s="24"/>
      <c r="DZ37" s="24"/>
      <c r="EA37" s="24"/>
      <c r="EB37" s="24"/>
      <c r="EC37" s="24"/>
      <c r="ED37" s="24"/>
      <c r="EE37" s="24"/>
      <c r="EG37" s="24"/>
      <c r="EH37" s="24"/>
      <c r="EI37" s="24"/>
      <c r="EJ37" s="24"/>
    </row>
    <row r="38" spans="1:140" hidden="1" outlineLevel="2">
      <c r="A38" s="113" t="str">
        <f>+qtrSales!A61</f>
        <v>1Q</v>
      </c>
      <c r="B38" s="24" t="str">
        <f>+qtrSales!B61</f>
        <v>Apr</v>
      </c>
      <c r="C38" s="24"/>
      <c r="D38" s="24"/>
      <c r="E38" s="1982">
        <v>286</v>
      </c>
      <c r="F38" s="1982"/>
      <c r="G38" s="1980">
        <f>+(E38/E31-1)*100</f>
        <v>18.672199170124482</v>
      </c>
      <c r="H38" s="1981">
        <f>+E38/$BI38*100</f>
        <v>15.995525727069351</v>
      </c>
      <c r="I38" s="1981"/>
      <c r="J38" s="1981"/>
      <c r="K38" s="1982">
        <v>167</v>
      </c>
      <c r="L38" s="1980">
        <f>+(K38/K31-1)*100</f>
        <v>7.7419354838709653</v>
      </c>
      <c r="M38" s="1981">
        <f>+K38/$BI38*100</f>
        <v>9.3400447427293063</v>
      </c>
      <c r="N38" s="1981"/>
      <c r="O38" s="1981"/>
      <c r="P38" s="1981"/>
      <c r="Q38" s="24"/>
      <c r="R38" s="381">
        <f>+E38+K38</f>
        <v>453</v>
      </c>
      <c r="S38" s="1980">
        <f>+(R38/R31-1)*100</f>
        <v>14.393939393939403</v>
      </c>
      <c r="T38" s="1980"/>
      <c r="U38" s="1981">
        <f>+R38/$BI38*100</f>
        <v>25.335570469798657</v>
      </c>
      <c r="V38" s="24"/>
      <c r="W38" s="1982">
        <v>111</v>
      </c>
      <c r="X38" s="1982"/>
      <c r="Y38" s="1982"/>
      <c r="Z38" s="1982"/>
      <c r="AA38" s="1982"/>
      <c r="AB38" s="1982"/>
      <c r="AC38" s="1980">
        <f>+(W38/W31-1)*100</f>
        <v>68.181818181818187</v>
      </c>
      <c r="AD38" s="1981">
        <f>+W38/$BI38*100</f>
        <v>6.2080536912751683</v>
      </c>
      <c r="AE38" s="1981"/>
      <c r="AF38" s="1981"/>
      <c r="AG38" s="1981"/>
      <c r="AH38" s="1981"/>
      <c r="AI38" s="24"/>
      <c r="AJ38" s="1982">
        <v>315</v>
      </c>
      <c r="AK38" s="1982">
        <v>123</v>
      </c>
      <c r="AL38" s="381">
        <f>+AJ38+AK38</f>
        <v>438</v>
      </c>
      <c r="AM38" s="1982">
        <v>222</v>
      </c>
      <c r="AN38" s="1982">
        <v>219</v>
      </c>
      <c r="AO38" s="1982">
        <v>187</v>
      </c>
      <c r="AP38" s="381">
        <f>+SUM(AL38:AO38)</f>
        <v>1066</v>
      </c>
      <c r="AQ38" s="1980">
        <f>+(AP38/AP31-1)*100</f>
        <v>5.5445544554455495</v>
      </c>
      <c r="AR38" s="1981">
        <f>+AP38/$BI38*100</f>
        <v>59.619686800894854</v>
      </c>
      <c r="AS38" s="24"/>
      <c r="AT38" s="1982">
        <v>19</v>
      </c>
      <c r="AU38" s="1982">
        <v>22</v>
      </c>
      <c r="AV38" s="1982">
        <v>51</v>
      </c>
      <c r="AW38" s="1982">
        <v>46</v>
      </c>
      <c r="AX38" s="1982">
        <v>17</v>
      </c>
      <c r="AY38" s="1982">
        <v>3</v>
      </c>
      <c r="AZ38" s="1982"/>
      <c r="BA38" s="1982"/>
      <c r="BB38" s="1982"/>
      <c r="BC38" s="381"/>
      <c r="BD38" s="1980" t="e">
        <f>+(BC38/BC31-1)*100</f>
        <v>#DIV/0!</v>
      </c>
      <c r="BE38" s="381">
        <f>+SUM(AT38:AY38)</f>
        <v>158</v>
      </c>
      <c r="BF38" s="1980">
        <f>+(BE38/BE31-1)*100</f>
        <v>36.206896551724135</v>
      </c>
      <c r="BG38" s="1981">
        <f>+BE38/$BI38*100</f>
        <v>8.8366890380313201</v>
      </c>
      <c r="BH38" s="24"/>
      <c r="BI38" s="381">
        <f>+E38+K38+W38+AP38+BE38</f>
        <v>1788</v>
      </c>
      <c r="BJ38" s="381"/>
      <c r="BK38" s="2889">
        <f>+(BI38/BI31-1)*100</f>
        <v>12.594458438287148</v>
      </c>
      <c r="BL38" s="381">
        <f>+E38+K38+W38+AT38+AY38</f>
        <v>586</v>
      </c>
      <c r="BM38" s="1980">
        <f>+(BL38/BL31-1)*100</f>
        <v>22.083333333333343</v>
      </c>
      <c r="BN38" s="1981">
        <f>+BL38/$BW38*100</f>
        <v>32.774049217002236</v>
      </c>
      <c r="BO38" s="381">
        <f>+AJ38+AM38+AN38+AO38+AU38</f>
        <v>965</v>
      </c>
      <c r="BP38" s="1980">
        <f>+(BO38/BO31-1)*100</f>
        <v>4.0992448759439082</v>
      </c>
      <c r="BQ38" s="1981">
        <f>+BO38/$BW38*100</f>
        <v>53.970917225950785</v>
      </c>
      <c r="BR38" s="389"/>
      <c r="BS38" s="381">
        <f>+AK38+AV38+AW38+AX38</f>
        <v>237</v>
      </c>
      <c r="BT38" s="1980">
        <f>+(BS38/BS31-1)*100</f>
        <v>30.939226519337026</v>
      </c>
      <c r="BU38" s="1981">
        <f>+BS38/$BW38*100</f>
        <v>13.25503355704698</v>
      </c>
      <c r="BV38" s="389"/>
      <c r="BW38" s="381">
        <f>+BL38+BO38+BS38</f>
        <v>1788</v>
      </c>
      <c r="BX38" s="1980">
        <f>+(BW38/BW31-1)*100</f>
        <v>12.594458438287148</v>
      </c>
      <c r="BY38" s="24"/>
      <c r="BZ38" s="390">
        <v>49</v>
      </c>
      <c r="CA38" s="1980">
        <f>+(BZ38/BZ31-1)*100</f>
        <v>22.500000000000007</v>
      </c>
      <c r="CB38" s="1981">
        <f>+BZ38/BL38*100</f>
        <v>8.3617747440273025</v>
      </c>
      <c r="CC38" s="390">
        <v>4</v>
      </c>
      <c r="CD38" s="1980">
        <f>+(CC38/CC31-1)*100</f>
        <v>-66.666666666666671</v>
      </c>
      <c r="CE38" s="1981">
        <f>+CC38/BO38*100</f>
        <v>0.41450777202072536</v>
      </c>
      <c r="CF38" s="389"/>
      <c r="CG38" s="390">
        <v>1</v>
      </c>
      <c r="CH38" s="1980">
        <f>+(CG38/CG31-1)*100</f>
        <v>-96.428571428571431</v>
      </c>
      <c r="CI38" s="1981">
        <f>+CG38/BS38*100</f>
        <v>0.42194092827004215</v>
      </c>
      <c r="CJ38" s="24"/>
      <c r="CK38" s="1983" t="s">
        <v>520</v>
      </c>
      <c r="CL38" s="1990" t="s">
        <v>886</v>
      </c>
      <c r="CM38" s="1981"/>
      <c r="CN38" s="24"/>
      <c r="CO38" s="165">
        <f>+BZ38+CC38+CG38</f>
        <v>54</v>
      </c>
      <c r="CP38" s="1980">
        <f>+(CO38/CO31-1)*100</f>
        <v>-32.499999999999993</v>
      </c>
      <c r="CQ38" s="1981">
        <f>+CO38/BW38*100</f>
        <v>3.0201342281879198</v>
      </c>
      <c r="CR38" s="1981"/>
      <c r="CS38" s="24"/>
      <c r="CT38" s="24"/>
      <c r="CU38" s="24"/>
      <c r="CV38" s="24"/>
      <c r="CW38" s="24"/>
      <c r="CX38" s="24"/>
      <c r="CY38" s="24"/>
      <c r="CZ38" s="24"/>
      <c r="DA38" s="24"/>
      <c r="DB38" s="24"/>
      <c r="DC38" s="24"/>
      <c r="DD38" s="24"/>
      <c r="DE38" s="24"/>
      <c r="DF38" s="24"/>
      <c r="DG38" s="24"/>
      <c r="DH38" s="24"/>
      <c r="DI38" s="24"/>
      <c r="DJ38" s="24"/>
      <c r="DK38" s="24"/>
      <c r="DL38" s="24"/>
      <c r="DM38" s="24"/>
      <c r="DN38" s="24"/>
      <c r="DO38" s="24"/>
      <c r="DP38" s="24"/>
      <c r="DQ38" s="24"/>
      <c r="DR38" s="24"/>
      <c r="DS38" s="24"/>
      <c r="DT38" s="24"/>
      <c r="DU38" s="24"/>
      <c r="DV38" s="24"/>
      <c r="DW38" s="24"/>
      <c r="DX38" s="24"/>
      <c r="DY38" s="24"/>
      <c r="DZ38" s="24"/>
      <c r="EA38" s="24"/>
      <c r="EB38" s="24"/>
      <c r="EC38" s="24"/>
      <c r="ED38" s="24"/>
      <c r="EE38" s="24"/>
      <c r="EG38" s="24"/>
      <c r="EH38" s="24"/>
      <c r="EI38" s="24"/>
      <c r="EJ38" s="24"/>
    </row>
    <row r="39" spans="1:140" hidden="1" outlineLevel="2">
      <c r="A39" s="113" t="str">
        <f>+qtrSales!A62</f>
        <v>2Q</v>
      </c>
      <c r="B39" s="24" t="str">
        <f>+qtrSales!B62</f>
        <v>Jul</v>
      </c>
      <c r="C39" s="24"/>
      <c r="D39" s="24"/>
      <c r="E39" s="388">
        <v>319</v>
      </c>
      <c r="F39" s="388"/>
      <c r="G39" s="1980">
        <f>+(E39/E32-1)*100</f>
        <v>13.523131672597867</v>
      </c>
      <c r="H39" s="1981">
        <f>+E39/$BI39*100</f>
        <v>16.824894514767934</v>
      </c>
      <c r="I39" s="1981"/>
      <c r="J39" s="1981"/>
      <c r="K39" s="388">
        <v>176</v>
      </c>
      <c r="L39" s="1980">
        <f>+(K39/K32-1)*100</f>
        <v>4.7619047619047672</v>
      </c>
      <c r="M39" s="1981">
        <f>+K39/$BI39*100</f>
        <v>9.2827004219409286</v>
      </c>
      <c r="N39" s="1981"/>
      <c r="O39" s="1981"/>
      <c r="P39" s="1981"/>
      <c r="Q39" s="24"/>
      <c r="R39" s="387">
        <f>+E39+K39</f>
        <v>495</v>
      </c>
      <c r="S39" s="1980">
        <f>+(R39/R32-1)*100</f>
        <v>10.244988864142535</v>
      </c>
      <c r="T39" s="1980"/>
      <c r="U39" s="1981">
        <f>+R39/$BI39*100</f>
        <v>26.10759493670886</v>
      </c>
      <c r="V39" s="24"/>
      <c r="W39" s="388">
        <v>134</v>
      </c>
      <c r="X39" s="388"/>
      <c r="Y39" s="388"/>
      <c r="Z39" s="388"/>
      <c r="AA39" s="388"/>
      <c r="AB39" s="388"/>
      <c r="AC39" s="1980">
        <f>+(W39/W32-1)*100</f>
        <v>59.523809523809533</v>
      </c>
      <c r="AD39" s="1981">
        <f>+W39/$BI39*100</f>
        <v>7.0675105485232068</v>
      </c>
      <c r="AE39" s="1981"/>
      <c r="AF39" s="1981"/>
      <c r="AG39" s="1981"/>
      <c r="AH39" s="1981"/>
      <c r="AI39" s="24"/>
      <c r="AJ39" s="388">
        <v>317</v>
      </c>
      <c r="AK39" s="388">
        <v>146</v>
      </c>
      <c r="AL39" s="266">
        <f>+AJ39+AK39</f>
        <v>463</v>
      </c>
      <c r="AM39" s="388">
        <v>225</v>
      </c>
      <c r="AN39" s="388">
        <v>207</v>
      </c>
      <c r="AO39" s="388">
        <v>205</v>
      </c>
      <c r="AP39" s="266">
        <f>+SUM(AL39:AO39)</f>
        <v>1100</v>
      </c>
      <c r="AQ39" s="1980">
        <f>+(AP39/AP32-1)*100</f>
        <v>3.8715769593956617</v>
      </c>
      <c r="AR39" s="1981">
        <f>+AP39/$BI39*100</f>
        <v>58.016877637130804</v>
      </c>
      <c r="AS39" s="24"/>
      <c r="AT39" s="388">
        <v>21</v>
      </c>
      <c r="AU39" s="388">
        <v>18</v>
      </c>
      <c r="AV39" s="388">
        <v>57</v>
      </c>
      <c r="AW39" s="388">
        <v>48</v>
      </c>
      <c r="AX39" s="388">
        <v>20</v>
      </c>
      <c r="AY39" s="388">
        <v>3</v>
      </c>
      <c r="AZ39" s="388"/>
      <c r="BA39" s="388"/>
      <c r="BB39" s="388"/>
      <c r="BC39" s="266"/>
      <c r="BD39" s="1980" t="e">
        <f>+(BC39/BC32-1)*100</f>
        <v>#DIV/0!</v>
      </c>
      <c r="BE39" s="266">
        <f>+SUM(AT39:AY39)</f>
        <v>167</v>
      </c>
      <c r="BF39" s="1980">
        <f>+(BE39/BE32-1)*100</f>
        <v>31.496062992125996</v>
      </c>
      <c r="BG39" s="1981">
        <f>+BE39/$BI39*100</f>
        <v>8.8080168776371313</v>
      </c>
      <c r="BH39" s="24"/>
      <c r="BI39" s="266">
        <f>+E39+K39+W39+AP39+BE39</f>
        <v>1896</v>
      </c>
      <c r="BJ39" s="266"/>
      <c r="BK39" s="2889">
        <f>+(BI39/BI32-1)*100</f>
        <v>10.296684118673639</v>
      </c>
      <c r="BL39" s="266">
        <f>+E39+K39+W39+AT39+AY39</f>
        <v>653</v>
      </c>
      <c r="BM39" s="1980">
        <f>+(BL39/BL32-1)*100</f>
        <v>18.083182640144656</v>
      </c>
      <c r="BN39" s="1981">
        <f>+BL39/$BW39*100</f>
        <v>34.440928270042193</v>
      </c>
      <c r="BO39" s="266">
        <f>+AJ39+AM39+AN39+AO39+AU39</f>
        <v>972</v>
      </c>
      <c r="BP39" s="1980">
        <f>+(BO39/BO32-1)*100</f>
        <v>1.8867924528301883</v>
      </c>
      <c r="BQ39" s="1981">
        <f>+BO39/$BW39*100</f>
        <v>51.265822784810119</v>
      </c>
      <c r="BR39" s="389"/>
      <c r="BS39" s="266">
        <f>+AK39+AV39+AW39+AX39</f>
        <v>271</v>
      </c>
      <c r="BT39" s="1980">
        <f>+(BS39/BS32-1)*100</f>
        <v>27.830188679245293</v>
      </c>
      <c r="BU39" s="1981">
        <f>+BS39/$BW39*100</f>
        <v>14.293248945147679</v>
      </c>
      <c r="BV39" s="389"/>
      <c r="BW39" s="266">
        <f>+BL39+BO39+BS39</f>
        <v>1896</v>
      </c>
      <c r="BX39" s="1980">
        <f>+(BW39/BW32-1)*100</f>
        <v>10.296684118673639</v>
      </c>
      <c r="BY39" s="24"/>
      <c r="BZ39" s="389">
        <v>87</v>
      </c>
      <c r="CA39" s="1980">
        <f>+(BZ39/BZ32-1)*100</f>
        <v>19.178082191780831</v>
      </c>
      <c r="CB39" s="1981">
        <f>+BZ39/BL39*100</f>
        <v>13.323124042879019</v>
      </c>
      <c r="CC39" s="389">
        <v>-19</v>
      </c>
      <c r="CD39" s="1980">
        <f>+(CC39/CC32-1)*100</f>
        <v>280</v>
      </c>
      <c r="CE39" s="1981">
        <f>+CC39/BO39*100</f>
        <v>-1.9547325102880659</v>
      </c>
      <c r="CF39" s="389"/>
      <c r="CG39" s="389">
        <v>12</v>
      </c>
      <c r="CH39" s="1980">
        <f>+(CG39/CG32-1)*100</f>
        <v>-58.62068965517242</v>
      </c>
      <c r="CI39" s="1981">
        <f>+CG39/BS39*100</f>
        <v>4.428044280442804</v>
      </c>
      <c r="CJ39" s="389"/>
      <c r="CK39" s="389">
        <v>2</v>
      </c>
      <c r="CL39" s="1990" t="s">
        <v>886</v>
      </c>
      <c r="CM39" s="1981">
        <f>+CK39/AV39*100</f>
        <v>3.5087719298245612</v>
      </c>
      <c r="CN39" s="389"/>
      <c r="CO39" s="266">
        <f>+BZ39+CC39+CG39+CK39</f>
        <v>82</v>
      </c>
      <c r="CP39" s="1980">
        <f>+(CO39/CO32-1)*100</f>
        <v>-15.463917525773196</v>
      </c>
      <c r="CQ39" s="1981">
        <f>+CO39/BW39*100</f>
        <v>4.3248945147679327</v>
      </c>
      <c r="CR39" s="1981"/>
      <c r="CS39" s="24"/>
      <c r="CT39" s="24"/>
      <c r="CU39" s="24"/>
      <c r="CV39" s="24"/>
      <c r="CW39" s="24"/>
      <c r="CX39" s="24"/>
      <c r="CY39" s="24"/>
      <c r="CZ39" s="24"/>
      <c r="DA39" s="24"/>
      <c r="DB39" s="24"/>
      <c r="DC39" s="24"/>
      <c r="DD39" s="24"/>
      <c r="DE39" s="24"/>
      <c r="DF39" s="24"/>
      <c r="DG39" s="24"/>
      <c r="DH39" s="24"/>
      <c r="DI39" s="24"/>
      <c r="DJ39" s="24"/>
      <c r="DK39" s="24"/>
      <c r="DL39" s="24"/>
      <c r="DM39" s="24"/>
      <c r="DN39" s="24"/>
      <c r="DO39" s="24"/>
      <c r="DP39" s="24"/>
      <c r="DQ39" s="24"/>
      <c r="DR39" s="24"/>
      <c r="DS39" s="24"/>
      <c r="DT39" s="24"/>
      <c r="DU39" s="24"/>
      <c r="DV39" s="24"/>
      <c r="DW39" s="24"/>
      <c r="DX39" s="24"/>
      <c r="DY39" s="24"/>
      <c r="DZ39" s="24"/>
      <c r="EA39" s="24"/>
      <c r="EB39" s="24"/>
      <c r="EC39" s="24"/>
      <c r="ED39" s="24"/>
      <c r="EE39" s="24"/>
      <c r="EG39" s="24"/>
      <c r="EH39" s="24"/>
      <c r="EI39" s="24"/>
      <c r="EJ39" s="24"/>
    </row>
    <row r="40" spans="1:140" hidden="1" outlineLevel="2">
      <c r="A40" s="113" t="str">
        <f>+qtrSales!A63</f>
        <v>3Q</v>
      </c>
      <c r="B40" s="24" t="str">
        <f>+qtrSales!B63</f>
        <v>Oct</v>
      </c>
      <c r="C40" s="24"/>
      <c r="D40" s="24"/>
      <c r="E40" s="388">
        <v>304</v>
      </c>
      <c r="F40" s="388"/>
      <c r="G40" s="1980">
        <f>+(E40/E33-1)*100</f>
        <v>15.151515151515159</v>
      </c>
      <c r="H40" s="1981">
        <f>+E40/$BI40*100</f>
        <v>15.238095238095239</v>
      </c>
      <c r="I40" s="1981"/>
      <c r="J40" s="1981"/>
      <c r="K40" s="388">
        <v>133</v>
      </c>
      <c r="L40" s="1980">
        <f>+(K40/K33-1)*100</f>
        <v>0.7575757575757569</v>
      </c>
      <c r="M40" s="1981">
        <f>+K40/$BI40*100</f>
        <v>6.666666666666667</v>
      </c>
      <c r="N40" s="1981"/>
      <c r="O40" s="1981"/>
      <c r="P40" s="1981"/>
      <c r="Q40" s="24"/>
      <c r="R40" s="387">
        <f>+E40+K40</f>
        <v>437</v>
      </c>
      <c r="S40" s="1980">
        <f>+(R40/R33-1)*100</f>
        <v>10.35353535353536</v>
      </c>
      <c r="T40" s="1980"/>
      <c r="U40" s="1981">
        <f>+R40/$BI40*100</f>
        <v>21.904761904761905</v>
      </c>
      <c r="V40" s="24"/>
      <c r="W40" s="388">
        <v>133</v>
      </c>
      <c r="X40" s="388"/>
      <c r="Y40" s="388"/>
      <c r="Z40" s="388"/>
      <c r="AA40" s="388"/>
      <c r="AB40" s="388"/>
      <c r="AC40" s="1980">
        <f>+(W40/W33-1)*100</f>
        <v>52.873563218390807</v>
      </c>
      <c r="AD40" s="1981">
        <f>+W40/$BI40*100</f>
        <v>6.666666666666667</v>
      </c>
      <c r="AE40" s="1981"/>
      <c r="AF40" s="1981"/>
      <c r="AG40" s="1981"/>
      <c r="AH40" s="1981"/>
      <c r="AI40" s="24"/>
      <c r="AJ40" s="388">
        <v>350</v>
      </c>
      <c r="AK40" s="388">
        <v>149</v>
      </c>
      <c r="AL40" s="266">
        <f>+AJ40+AK40</f>
        <v>499</v>
      </c>
      <c r="AM40" s="388">
        <v>257</v>
      </c>
      <c r="AN40" s="388">
        <v>220</v>
      </c>
      <c r="AO40" s="388">
        <v>211</v>
      </c>
      <c r="AP40" s="266">
        <f>+SUM(AL40:AO40)</f>
        <v>1187</v>
      </c>
      <c r="AQ40" s="1980">
        <f>+(AP40/AP33-1)*100</f>
        <v>3.7587412587412494</v>
      </c>
      <c r="AR40" s="1981">
        <f>+AP40/$BI40*100</f>
        <v>59.498746867167917</v>
      </c>
      <c r="AS40" s="24"/>
      <c r="AT40" s="388">
        <f>20</f>
        <v>20</v>
      </c>
      <c r="AU40" s="388">
        <v>26</v>
      </c>
      <c r="AV40" s="388">
        <v>88</v>
      </c>
      <c r="AW40" s="388">
        <v>73</v>
      </c>
      <c r="AX40" s="388">
        <f>20+4</f>
        <v>24</v>
      </c>
      <c r="AY40" s="388">
        <v>7</v>
      </c>
      <c r="AZ40" s="388"/>
      <c r="BA40" s="388"/>
      <c r="BB40" s="388"/>
      <c r="BC40" s="266"/>
      <c r="BD40" s="1980" t="e">
        <f>+(BC40/BC33-1)*100</f>
        <v>#DIV/0!</v>
      </c>
      <c r="BE40" s="266">
        <f>+SUM(AT40:AY40)</f>
        <v>238</v>
      </c>
      <c r="BF40" s="1980">
        <f>+(BE40/BE33-1)*100</f>
        <v>35.227272727272727</v>
      </c>
      <c r="BG40" s="1981">
        <f>+BE40/$BI40*100</f>
        <v>11.929824561403509</v>
      </c>
      <c r="BH40" s="24"/>
      <c r="BI40" s="266">
        <f>+E40+K40+W40+AP40+BE40</f>
        <v>1995</v>
      </c>
      <c r="BJ40" s="266"/>
      <c r="BK40" s="2889">
        <f>+(BI40/BI33-1)*100</f>
        <v>10.648918469217961</v>
      </c>
      <c r="BL40" s="266">
        <f>+E40+K40+W40+AT40+AY40</f>
        <v>597</v>
      </c>
      <c r="BM40" s="1980">
        <f>+(BL40/BL33-1)*100</f>
        <v>17.984189723320164</v>
      </c>
      <c r="BN40" s="1981">
        <f>+BL40/$BW40*100</f>
        <v>29.924812030075188</v>
      </c>
      <c r="BO40" s="266">
        <f>+AJ40+AM40+AN40+AO40+AU40</f>
        <v>1064</v>
      </c>
      <c r="BP40" s="1980">
        <f>+(BO40/BO33-1)*100</f>
        <v>2.3076923076922995</v>
      </c>
      <c r="BQ40" s="1981">
        <f>+BO40/$BW40*100</f>
        <v>53.333333333333336</v>
      </c>
      <c r="BR40" s="24"/>
      <c r="BS40" s="266">
        <f>+AK40+AV40+AW40+AX40</f>
        <v>334</v>
      </c>
      <c r="BT40" s="1980">
        <f>+(BS40/BS33-1)*100</f>
        <v>29.961089494163428</v>
      </c>
      <c r="BU40" s="1981">
        <f>+BS40/$BW40*100</f>
        <v>16.74185463659148</v>
      </c>
      <c r="BV40" s="24"/>
      <c r="BW40" s="266">
        <f>+BL40+BO40+BS40</f>
        <v>1995</v>
      </c>
      <c r="BX40" s="1980">
        <f>+(BW40/BW33-1)*100</f>
        <v>10.648918469217961</v>
      </c>
      <c r="BY40" s="24"/>
      <c r="BZ40" s="389">
        <v>53</v>
      </c>
      <c r="CA40" s="1980">
        <f>+(BZ40/BZ33-1)*100</f>
        <v>17.777777777777782</v>
      </c>
      <c r="CB40" s="1981">
        <f>+BZ40/BL40*100</f>
        <v>8.8777219430485754</v>
      </c>
      <c r="CC40" s="389">
        <v>22</v>
      </c>
      <c r="CD40" s="1980">
        <f>+(CC40/CC33-1)*100</f>
        <v>4.7619047619047672</v>
      </c>
      <c r="CE40" s="1981">
        <f>+CC40/BO40*100</f>
        <v>2.0676691729323307</v>
      </c>
      <c r="CF40" s="24"/>
      <c r="CG40" s="389">
        <f>4</f>
        <v>4</v>
      </c>
      <c r="CH40" s="1980">
        <f>+(CG40/CG33-1)*100</f>
        <v>-84</v>
      </c>
      <c r="CI40" s="1981">
        <f>+CG40/BS40*100</f>
        <v>1.1976047904191618</v>
      </c>
      <c r="CJ40" s="24"/>
      <c r="CK40" s="389">
        <f>9</f>
        <v>9</v>
      </c>
      <c r="CL40" s="1990" t="s">
        <v>886</v>
      </c>
      <c r="CM40" s="1981">
        <f>+CK40/AV40*100</f>
        <v>10.227272727272728</v>
      </c>
      <c r="CN40" s="24"/>
      <c r="CO40" s="266">
        <f>+BZ40+CC40+CG40+CK40</f>
        <v>88</v>
      </c>
      <c r="CP40" s="1980">
        <f>+(CO40/CO33-1)*100</f>
        <v>-3.2967032967032961</v>
      </c>
      <c r="CQ40" s="1981">
        <f>+CO40/BW40*100</f>
        <v>4.4110275689223055</v>
      </c>
      <c r="CR40" s="1981"/>
      <c r="CS40" s="24"/>
      <c r="CT40" s="24"/>
      <c r="CU40" s="24"/>
      <c r="CV40" s="24"/>
      <c r="CW40" s="24"/>
      <c r="CX40" s="24"/>
      <c r="CY40" s="24"/>
      <c r="CZ40" s="24"/>
      <c r="DA40" s="24"/>
      <c r="DB40" s="24"/>
      <c r="DC40" s="24"/>
      <c r="DD40" s="24"/>
      <c r="DE40" s="24"/>
      <c r="DF40" s="24"/>
      <c r="DG40" s="24"/>
      <c r="DH40" s="24"/>
      <c r="DI40" s="24"/>
      <c r="DJ40" s="24"/>
      <c r="DK40" s="24"/>
      <c r="DL40" s="24"/>
      <c r="DM40" s="24"/>
      <c r="DN40" s="24"/>
      <c r="DO40" s="24"/>
      <c r="DP40" s="24"/>
      <c r="DQ40" s="24"/>
      <c r="DR40" s="24"/>
      <c r="DS40" s="24"/>
      <c r="DT40" s="24"/>
      <c r="DU40" s="24"/>
      <c r="DV40" s="24"/>
      <c r="DW40" s="24"/>
      <c r="DX40" s="24"/>
      <c r="DY40" s="24"/>
      <c r="DZ40" s="24"/>
      <c r="EA40" s="24"/>
      <c r="EB40" s="24"/>
      <c r="EC40" s="24"/>
      <c r="ED40" s="24"/>
      <c r="EE40" s="24"/>
      <c r="EG40" s="24"/>
      <c r="EH40" s="24"/>
      <c r="EI40" s="24"/>
      <c r="EJ40" s="24"/>
    </row>
    <row r="41" spans="1:140" hidden="1" outlineLevel="2">
      <c r="A41" s="113" t="str">
        <f>+qtrSales!A64</f>
        <v>4Q</v>
      </c>
      <c r="B41" s="24" t="str">
        <f>+qtrSales!B64</f>
        <v>Jan</v>
      </c>
      <c r="C41" s="24"/>
      <c r="D41" s="24"/>
      <c r="E41" s="393">
        <f>+E42-E40-E39-E38</f>
        <v>541</v>
      </c>
      <c r="F41" s="309"/>
      <c r="G41" s="1980">
        <f>+(E41/E34-1)*100</f>
        <v>8.2000000000000064</v>
      </c>
      <c r="H41" s="1981">
        <f>+E41/$BI41*100</f>
        <v>18.240053944706673</v>
      </c>
      <c r="I41" s="1981"/>
      <c r="J41" s="1981"/>
      <c r="K41" s="393">
        <f>+K42-K40-K39-K38</f>
        <v>208</v>
      </c>
      <c r="L41" s="1980">
        <f>+(K41/K34-1)*100</f>
        <v>0.97087378640776656</v>
      </c>
      <c r="M41" s="1981">
        <f>+K41/$BI41*100</f>
        <v>7.0128118678354685</v>
      </c>
      <c r="N41" s="1981"/>
      <c r="O41" s="1981"/>
      <c r="P41" s="1981"/>
      <c r="Q41" s="24"/>
      <c r="R41" s="1022">
        <f>+E41+K41</f>
        <v>749</v>
      </c>
      <c r="S41" s="1980">
        <f>+(R41/R34-1)*100</f>
        <v>6.0906515580736453</v>
      </c>
      <c r="T41" s="1980"/>
      <c r="U41" s="1981">
        <f>+R41/$BI41*100</f>
        <v>25.252865812542147</v>
      </c>
      <c r="V41" s="24"/>
      <c r="W41" s="393">
        <f>+W42-W40-W39-W38</f>
        <v>375</v>
      </c>
      <c r="X41" s="309"/>
      <c r="Y41" s="309"/>
      <c r="Z41" s="309"/>
      <c r="AA41" s="309"/>
      <c r="AB41" s="309"/>
      <c r="AC41" s="1980">
        <f>+(W41/W34-1)*100</f>
        <v>57.563025210084028</v>
      </c>
      <c r="AD41" s="1981">
        <f>+W41/$BI41*100</f>
        <v>12.643290627107215</v>
      </c>
      <c r="AE41" s="1981"/>
      <c r="AF41" s="1981"/>
      <c r="AG41" s="1981"/>
      <c r="AH41" s="1981"/>
      <c r="AI41" s="24"/>
      <c r="AJ41" s="1984">
        <f>+AJ42-AJ40-AJ39-AJ38</f>
        <v>404</v>
      </c>
      <c r="AK41" s="1984">
        <f>+AK42-AK40-AK39-AK38</f>
        <v>242</v>
      </c>
      <c r="AL41" s="1985">
        <f>+AJ41+AK41</f>
        <v>646</v>
      </c>
      <c r="AM41" s="1984">
        <f>+AM42-AM40-AM39-AM38</f>
        <v>341</v>
      </c>
      <c r="AN41" s="1984">
        <f>+AN42-AN40-AN39-AN38</f>
        <v>259</v>
      </c>
      <c r="AO41" s="1984">
        <f>+AO42-AO40-AO39-AO38</f>
        <v>252</v>
      </c>
      <c r="AP41" s="1022">
        <f>+SUM(AL41:AO41)</f>
        <v>1498</v>
      </c>
      <c r="AQ41" s="1980">
        <f>+(AP41/AP34-1)*100</f>
        <v>-4.3422733077905455</v>
      </c>
      <c r="AR41" s="1981">
        <f>+AP41/$BI41*100</f>
        <v>50.505731625084294</v>
      </c>
      <c r="AS41" s="24"/>
      <c r="AT41" s="1986">
        <f t="shared" ref="AT41:AY41" si="2">+AT42-AT40-AT39-AT38</f>
        <v>28</v>
      </c>
      <c r="AU41" s="1984">
        <f t="shared" si="2"/>
        <v>25</v>
      </c>
      <c r="AV41" s="1984">
        <f t="shared" si="2"/>
        <v>139</v>
      </c>
      <c r="AW41" s="1984">
        <f t="shared" si="2"/>
        <v>92</v>
      </c>
      <c r="AX41" s="1984">
        <f t="shared" si="2"/>
        <v>51</v>
      </c>
      <c r="AY41" s="1984">
        <f t="shared" si="2"/>
        <v>9</v>
      </c>
      <c r="AZ41" s="1984"/>
      <c r="BA41" s="1984"/>
      <c r="BB41" s="1984"/>
      <c r="BC41" s="1022"/>
      <c r="BD41" s="1980" t="e">
        <f>+(BC41/BC34-1)*100</f>
        <v>#DIV/0!</v>
      </c>
      <c r="BE41" s="1022">
        <f>+SUM(AT41:AY41)</f>
        <v>344</v>
      </c>
      <c r="BF41" s="1980">
        <f>+(BE41/BE34-1)*100</f>
        <v>31.800766283524908</v>
      </c>
      <c r="BG41" s="1981">
        <f>+BE41/$BI41*100</f>
        <v>11.598111935266351</v>
      </c>
      <c r="BH41" s="24"/>
      <c r="BI41" s="1022">
        <f>+E41+K41+W41+AP41+BE41</f>
        <v>2966</v>
      </c>
      <c r="BJ41" s="325"/>
      <c r="BK41" s="2889">
        <f>+(BI41/BI34-1)*100</f>
        <v>7.0371706964994507</v>
      </c>
      <c r="BL41" s="1022">
        <f>+E41+K41+W41+AT41+AY41</f>
        <v>1161</v>
      </c>
      <c r="BM41" s="1980">
        <f>+(BL41/BL34-1)*100</f>
        <v>18.711656441717793</v>
      </c>
      <c r="BN41" s="1981">
        <f>+BL41/$BW41*100</f>
        <v>39.143627781523939</v>
      </c>
      <c r="BO41" s="1022">
        <f>+AJ41+AM41+AN41+AO41+AU41</f>
        <v>1281</v>
      </c>
      <c r="BP41" s="1980">
        <f>+(BO41/BO34-1)*100</f>
        <v>-6.700655498907504</v>
      </c>
      <c r="BQ41" s="1981">
        <f>+BO41/$BW41*100</f>
        <v>43.189480782198245</v>
      </c>
      <c r="BR41" s="24"/>
      <c r="BS41" s="1022">
        <f>+AK41+AV41+AW41+AX41</f>
        <v>524</v>
      </c>
      <c r="BT41" s="1980">
        <f>+(BS41/BS34-1)*100</f>
        <v>24.761904761904763</v>
      </c>
      <c r="BU41" s="1981">
        <f>+BS41/$BW41*100</f>
        <v>17.666891436277815</v>
      </c>
      <c r="BV41" s="24"/>
      <c r="BW41" s="1022">
        <f>+BL41+BO41+BS41</f>
        <v>2966</v>
      </c>
      <c r="BX41" s="1980">
        <f>+(BW41/BW34-1)*100</f>
        <v>7.0371706964994507</v>
      </c>
      <c r="BY41" s="24"/>
      <c r="BZ41" s="1022">
        <f>+BZ42-BZ40-BZ39-BZ38</f>
        <v>269</v>
      </c>
      <c r="CA41" s="1980">
        <f>+(BZ41/BZ34-1)*100</f>
        <v>17.982456140350877</v>
      </c>
      <c r="CB41" s="1981">
        <f>+BZ41/BL41*100</f>
        <v>23.169681309216191</v>
      </c>
      <c r="CC41" s="1022">
        <f>+CC42-SUM(CC38:CC40)</f>
        <v>57</v>
      </c>
      <c r="CD41" s="1980">
        <f>+(CC41/CC34-1)*100</f>
        <v>119.23076923076925</v>
      </c>
      <c r="CE41" s="1981">
        <f>+CC41/BO41*100</f>
        <v>4.4496487119437944</v>
      </c>
      <c r="CF41" s="24"/>
      <c r="CG41" s="1022">
        <f>+CG42-SUM(CG38:CG40)</f>
        <v>51</v>
      </c>
      <c r="CH41" s="1980">
        <f>+(CG41/CG34-1)*100</f>
        <v>-23.880597014925375</v>
      </c>
      <c r="CI41" s="1981">
        <f>+CG41/BS41*100</f>
        <v>9.7328244274809155</v>
      </c>
      <c r="CJ41" s="24"/>
      <c r="CK41" s="1022">
        <f>+CK42-SUM(CK38:CK40)</f>
        <v>35</v>
      </c>
      <c r="CL41" s="1990" t="s">
        <v>886</v>
      </c>
      <c r="CM41" s="1981">
        <f>+CK41/AV41*100</f>
        <v>25.179856115107913</v>
      </c>
      <c r="CN41" s="24"/>
      <c r="CO41" s="1022">
        <f>+CO42-SUM(CO38:CO40)</f>
        <v>412</v>
      </c>
      <c r="CP41" s="1980">
        <f>+(CO41/CO34-1)*100</f>
        <v>28.348909657320863</v>
      </c>
      <c r="CQ41" s="1981">
        <f>+CO41/BW41*100</f>
        <v>13.890761968981794</v>
      </c>
      <c r="CR41" s="1981"/>
      <c r="CS41" s="24"/>
      <c r="CT41" s="24"/>
      <c r="CU41" s="24"/>
      <c r="CV41" s="24"/>
      <c r="CW41" s="24"/>
      <c r="CX41" s="24"/>
      <c r="CY41" s="24"/>
      <c r="CZ41" s="24"/>
      <c r="DA41" s="24"/>
      <c r="DB41" s="24"/>
      <c r="DC41" s="24"/>
      <c r="DD41" s="24"/>
      <c r="DE41" s="24"/>
      <c r="DF41" s="24"/>
      <c r="DG41" s="24"/>
      <c r="DH41" s="24"/>
      <c r="DI41" s="24"/>
      <c r="DJ41" s="24"/>
      <c r="DK41" s="24"/>
      <c r="DL41" s="24"/>
      <c r="DM41" s="24"/>
      <c r="DN41" s="24"/>
      <c r="DO41" s="24"/>
      <c r="DP41" s="24"/>
      <c r="DQ41" s="24"/>
      <c r="DR41" s="24"/>
      <c r="DS41" s="24"/>
      <c r="DT41" s="24"/>
      <c r="DU41" s="24"/>
      <c r="DV41" s="24"/>
      <c r="DW41" s="24"/>
      <c r="DX41" s="24"/>
      <c r="DY41" s="24"/>
      <c r="DZ41" s="24"/>
      <c r="EA41" s="24"/>
      <c r="EB41" s="24"/>
      <c r="EC41" s="24"/>
      <c r="ED41" s="24"/>
      <c r="EE41" s="24"/>
      <c r="EG41" s="24"/>
      <c r="EH41" s="24"/>
      <c r="EI41" s="24"/>
      <c r="EJ41" s="24"/>
    </row>
    <row r="42" spans="1:140" hidden="1" outlineLevel="2">
      <c r="A42" s="113"/>
      <c r="B42" s="24" t="str">
        <f>+qtrSales!B65</f>
        <v>Year</v>
      </c>
      <c r="C42" s="24"/>
      <c r="D42" s="24"/>
      <c r="E42" s="389">
        <v>1450</v>
      </c>
      <c r="F42" s="389"/>
      <c r="G42" s="1980">
        <f>+(E42/E35-1)*100</f>
        <v>12.752721617418361</v>
      </c>
      <c r="H42" s="1981">
        <f>+E42/$BI42*100</f>
        <v>16.772700983227299</v>
      </c>
      <c r="I42" s="1981"/>
      <c r="J42" s="1981"/>
      <c r="K42" s="388">
        <v>684</v>
      </c>
      <c r="L42" s="1980">
        <f>+(K42/K35-1)*100</f>
        <v>3.4795763993948459</v>
      </c>
      <c r="M42" s="1981">
        <f>+K42/$BI42*100</f>
        <v>7.9120879120879115</v>
      </c>
      <c r="N42" s="1981"/>
      <c r="O42" s="1981"/>
      <c r="P42" s="1981"/>
      <c r="Q42" s="24"/>
      <c r="R42" s="266">
        <f>+E42+K42</f>
        <v>2134</v>
      </c>
      <c r="S42" s="1980">
        <f>+(R42/R35-1)*100</f>
        <v>9.6045197740112886</v>
      </c>
      <c r="T42" s="1980"/>
      <c r="U42" s="1981">
        <f>+R42/$BI42*100</f>
        <v>24.684788895315211</v>
      </c>
      <c r="V42" s="24"/>
      <c r="W42" s="389">
        <v>753</v>
      </c>
      <c r="X42" s="389"/>
      <c r="Y42" s="389"/>
      <c r="Z42" s="389"/>
      <c r="AA42" s="389"/>
      <c r="AB42" s="389"/>
      <c r="AC42" s="1980">
        <f>+(W42/W35-1)*100</f>
        <v>58.526315789473692</v>
      </c>
      <c r="AD42" s="1981">
        <f>+W42/$BI42*100</f>
        <v>8.7102371312897624</v>
      </c>
      <c r="AE42" s="1981"/>
      <c r="AF42" s="1981"/>
      <c r="AG42" s="1981"/>
      <c r="AH42" s="1981"/>
      <c r="AI42" s="24"/>
      <c r="AJ42" s="389">
        <v>1386</v>
      </c>
      <c r="AK42" s="388">
        <v>660</v>
      </c>
      <c r="AL42" s="266">
        <f>+AJ42+AK42</f>
        <v>2046</v>
      </c>
      <c r="AM42" s="389">
        <v>1045</v>
      </c>
      <c r="AN42" s="388">
        <v>905</v>
      </c>
      <c r="AO42" s="388">
        <v>855</v>
      </c>
      <c r="AP42" s="266">
        <f>+SUM(AL42:AO42)</f>
        <v>4851</v>
      </c>
      <c r="AQ42" s="1980">
        <f>+(AP42/AP35-1)*100</f>
        <v>1.5065913370998052</v>
      </c>
      <c r="AR42" s="1981">
        <f>+AP42/$BI42*100</f>
        <v>56.113360323886639</v>
      </c>
      <c r="AS42" s="24"/>
      <c r="AT42" s="1991">
        <v>88</v>
      </c>
      <c r="AU42" s="388">
        <v>91</v>
      </c>
      <c r="AV42" s="388">
        <v>335</v>
      </c>
      <c r="AW42" s="388">
        <v>259</v>
      </c>
      <c r="AX42" s="388">
        <f>108+4</f>
        <v>112</v>
      </c>
      <c r="AY42" s="388">
        <v>22</v>
      </c>
      <c r="AZ42" s="388"/>
      <c r="BA42" s="388"/>
      <c r="BB42" s="388"/>
      <c r="BC42" s="266"/>
      <c r="BD42" s="1980" t="e">
        <f>+(BC42/BC35-1)*100</f>
        <v>#DIV/0!</v>
      </c>
      <c r="BE42" s="266">
        <f>+SUM(AT42:AY42)</f>
        <v>907</v>
      </c>
      <c r="BF42" s="1980">
        <f>+(BE42/BE35-1)*100</f>
        <v>33.382352941176464</v>
      </c>
      <c r="BG42" s="1981">
        <f>+BE42/$BI42*100</f>
        <v>10.491613649508388</v>
      </c>
      <c r="BH42" s="24"/>
      <c r="BI42" s="266">
        <f>+E42+K42+W42+AP42+BE42</f>
        <v>8645</v>
      </c>
      <c r="BJ42" s="266"/>
      <c r="BK42" s="2889">
        <f>+(BI42/BI35-1)*100</f>
        <v>9.6942012434970248</v>
      </c>
      <c r="BL42" s="266">
        <f>+E42+K42+W42+AT42+AY42</f>
        <v>2997</v>
      </c>
      <c r="BM42" s="1980">
        <f>+(BL42/BL35-1)*100</f>
        <v>19.070321811680579</v>
      </c>
      <c r="BN42" s="1981">
        <f>+BL42/$BW42*100</f>
        <v>34.667437825332563</v>
      </c>
      <c r="BO42" s="266">
        <f>+AJ42+AM42+AN42+AO42+AU42</f>
        <v>4282</v>
      </c>
      <c r="BP42" s="1980">
        <f>+(BO42/BO35-1)*100</f>
        <v>-0.27945971122496083</v>
      </c>
      <c r="BQ42" s="1981">
        <f>+BO42/$BW42*100</f>
        <v>49.531521110468482</v>
      </c>
      <c r="BR42" s="24"/>
      <c r="BS42" s="266">
        <f>+AK42+AV42+AW42+AX42</f>
        <v>1366</v>
      </c>
      <c r="BT42" s="1980">
        <f>+(BS42/BS35-1)*100</f>
        <v>27.663551401869157</v>
      </c>
      <c r="BU42" s="1981">
        <f>+BS42/$BW42*100</f>
        <v>15.801041064198959</v>
      </c>
      <c r="BV42" s="24"/>
      <c r="BW42" s="266">
        <f>+BL42+BO42+BS42</f>
        <v>8645</v>
      </c>
      <c r="BX42" s="1980">
        <f>+(BW42/BW35-1)*100</f>
        <v>9.6942012434970248</v>
      </c>
      <c r="BY42" s="24"/>
      <c r="BZ42" s="389">
        <v>458</v>
      </c>
      <c r="CA42" s="1980">
        <f>+(BZ42/BZ35-1)*100</f>
        <v>18.652849740932641</v>
      </c>
      <c r="CB42" s="1981">
        <f>+BZ42/BL42*100</f>
        <v>15.281948615281948</v>
      </c>
      <c r="CC42" s="389">
        <v>64</v>
      </c>
      <c r="CD42" s="1980">
        <f>+(CC42/CC35-1)*100</f>
        <v>18.518518518518512</v>
      </c>
      <c r="CE42" s="1981">
        <f>+CC42/BO42*100</f>
        <v>1.4946286781877627</v>
      </c>
      <c r="CF42" s="24"/>
      <c r="CG42" s="389">
        <v>68</v>
      </c>
      <c r="CH42" s="1980">
        <f>+(CG42/CG35-1)*100</f>
        <v>-54.36241610738255</v>
      </c>
      <c r="CI42" s="1981">
        <f>+CG42/BS42*100</f>
        <v>4.9780380673499272</v>
      </c>
      <c r="CJ42" s="24"/>
      <c r="CK42" s="389">
        <v>46</v>
      </c>
      <c r="CL42" s="1980">
        <f>+(CK42/CK35-1)*100</f>
        <v>91.666666666666671</v>
      </c>
      <c r="CM42" s="1981">
        <f>+CK42/AV42*100</f>
        <v>13.73134328358209</v>
      </c>
      <c r="CN42" s="24"/>
      <c r="CO42" s="389">
        <v>636</v>
      </c>
      <c r="CP42" s="1980">
        <f>+(CO42/CO35-1)*100</f>
        <v>3.7520391517128937</v>
      </c>
      <c r="CQ42" s="1981">
        <f>+CO42/BW42*100</f>
        <v>7.3568536726431457</v>
      </c>
      <c r="CR42" s="1981"/>
      <c r="CS42" s="24"/>
      <c r="CT42" s="24"/>
      <c r="CU42" s="24"/>
      <c r="CV42" s="24"/>
      <c r="CW42" s="24"/>
      <c r="CX42" s="24"/>
      <c r="CY42" s="24"/>
      <c r="CZ42" s="24"/>
      <c r="DA42" s="24"/>
      <c r="DB42" s="24"/>
      <c r="DC42" s="24"/>
      <c r="DD42" s="24"/>
      <c r="DE42" s="24"/>
      <c r="DF42" s="24"/>
      <c r="DG42" s="24"/>
      <c r="DH42" s="24"/>
      <c r="DI42" s="24"/>
      <c r="DJ42" s="24"/>
      <c r="DK42" s="24"/>
      <c r="DL42" s="24"/>
      <c r="DM42" s="24"/>
      <c r="DN42" s="24"/>
      <c r="DO42" s="24"/>
      <c r="DP42" s="24"/>
      <c r="DQ42" s="24"/>
      <c r="DR42" s="24"/>
      <c r="DS42" s="24"/>
      <c r="DT42" s="24"/>
      <c r="DU42" s="24"/>
      <c r="DV42" s="24"/>
      <c r="DW42" s="24"/>
      <c r="DX42" s="24"/>
      <c r="DY42" s="24"/>
      <c r="DZ42" s="24"/>
      <c r="EA42" s="24"/>
      <c r="EB42" s="24"/>
      <c r="EC42" s="24"/>
      <c r="ED42" s="24"/>
      <c r="EE42" s="24"/>
      <c r="EG42" s="24"/>
      <c r="EH42" s="24"/>
      <c r="EI42" s="24"/>
      <c r="EJ42" s="24"/>
    </row>
    <row r="43" spans="1:140" hidden="1" outlineLevel="2">
      <c r="A43" s="113"/>
      <c r="B43" s="24"/>
      <c r="C43" s="24"/>
      <c r="D43" s="2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78"/>
      <c r="BL43" s="24"/>
      <c r="BM43" s="24"/>
      <c r="BN43" s="24"/>
      <c r="BO43" s="24"/>
      <c r="BP43" s="24"/>
      <c r="BQ43" s="24"/>
      <c r="BR43" s="24"/>
      <c r="BS43" s="24"/>
      <c r="BT43" s="24"/>
      <c r="BU43" s="24"/>
      <c r="BV43" s="24"/>
      <c r="BW43" s="24"/>
      <c r="BX43" s="24"/>
      <c r="BY43" s="24"/>
      <c r="BZ43" s="24"/>
      <c r="CA43" s="24"/>
      <c r="CB43" s="24"/>
      <c r="CC43" s="24"/>
      <c r="CD43" s="24"/>
      <c r="CE43" s="24"/>
      <c r="CF43" s="24"/>
      <c r="CG43" s="24"/>
      <c r="CH43" s="24"/>
      <c r="CI43" s="24"/>
      <c r="CJ43" s="24"/>
      <c r="CK43" s="24"/>
      <c r="CL43" s="24"/>
      <c r="CM43" s="24"/>
      <c r="CN43" s="24"/>
      <c r="CO43" s="24"/>
      <c r="CP43" s="24"/>
      <c r="CQ43" s="24"/>
      <c r="CR43" s="24"/>
      <c r="CS43" s="24"/>
      <c r="CT43" s="24"/>
      <c r="CU43" s="24"/>
      <c r="CV43" s="24"/>
      <c r="CW43" s="24"/>
      <c r="CX43" s="24"/>
      <c r="CY43" s="24"/>
      <c r="CZ43" s="24"/>
      <c r="DA43" s="24"/>
      <c r="DB43" s="24"/>
      <c r="DC43" s="24"/>
      <c r="DD43" s="24"/>
      <c r="DE43" s="24"/>
      <c r="DF43" s="24"/>
      <c r="DG43" s="24"/>
      <c r="DH43" s="24"/>
      <c r="DI43" s="24"/>
      <c r="DJ43" s="24"/>
      <c r="DK43" s="24"/>
      <c r="DL43" s="24"/>
      <c r="DM43" s="24"/>
      <c r="DN43" s="24"/>
      <c r="DO43" s="24"/>
      <c r="DP43" s="24"/>
      <c r="DQ43" s="24"/>
      <c r="DR43" s="24"/>
      <c r="DS43" s="24"/>
      <c r="DT43" s="24"/>
      <c r="DU43" s="24"/>
      <c r="DV43" s="24"/>
      <c r="DW43" s="24"/>
      <c r="DX43" s="24"/>
      <c r="DY43" s="24"/>
      <c r="DZ43" s="24"/>
      <c r="EA43" s="24"/>
      <c r="EB43" s="24"/>
      <c r="EC43" s="24"/>
      <c r="ED43" s="24"/>
      <c r="EE43" s="24"/>
      <c r="EG43" s="24"/>
      <c r="EH43" s="24"/>
      <c r="EI43" s="24"/>
      <c r="EJ43" s="24"/>
    </row>
    <row r="44" spans="1:140" hidden="1" outlineLevel="2">
      <c r="A44" s="113"/>
      <c r="B44" s="136">
        <f>+qtrSales!B67</f>
        <v>1997</v>
      </c>
      <c r="C44" s="24"/>
      <c r="D44" s="24"/>
      <c r="E44" s="24"/>
      <c r="F44" s="24"/>
      <c r="G44" s="1980"/>
      <c r="H44" s="1981"/>
      <c r="I44" s="1981"/>
      <c r="J44" s="1981"/>
      <c r="K44" s="24"/>
      <c r="L44" s="1980"/>
      <c r="M44" s="1981"/>
      <c r="N44" s="1981"/>
      <c r="O44" s="1981"/>
      <c r="P44" s="1981"/>
      <c r="Q44" s="24"/>
      <c r="R44" s="24"/>
      <c r="S44" s="1980"/>
      <c r="T44" s="1980"/>
      <c r="U44" s="1981"/>
      <c r="V44" s="24"/>
      <c r="W44" s="24"/>
      <c r="X44" s="24"/>
      <c r="Y44" s="24"/>
      <c r="Z44" s="24"/>
      <c r="AA44" s="24"/>
      <c r="AB44" s="24"/>
      <c r="AC44" s="1980"/>
      <c r="AD44" s="1981"/>
      <c r="AE44" s="1981"/>
      <c r="AF44" s="1981"/>
      <c r="AG44" s="1981"/>
      <c r="AH44" s="1981"/>
      <c r="AI44" s="24"/>
      <c r="AJ44" s="24"/>
      <c r="AK44" s="24"/>
      <c r="AL44" s="24"/>
      <c r="AM44" s="24"/>
      <c r="AN44" s="24"/>
      <c r="AO44" s="24"/>
      <c r="AP44" s="24"/>
      <c r="AQ44" s="1980"/>
      <c r="AR44" s="1981"/>
      <c r="AS44" s="24"/>
      <c r="AT44" s="24"/>
      <c r="AU44" s="24"/>
      <c r="AV44" s="24"/>
      <c r="AW44" s="24"/>
      <c r="AX44" s="24"/>
      <c r="AY44" s="24"/>
      <c r="AZ44" s="24"/>
      <c r="BA44" s="24"/>
      <c r="BB44" s="24"/>
      <c r="BC44" s="24"/>
      <c r="BD44" s="1980"/>
      <c r="BE44" s="24"/>
      <c r="BF44" s="1980"/>
      <c r="BG44" s="1981"/>
      <c r="BH44" s="24"/>
      <c r="BI44" s="24"/>
      <c r="BJ44" s="24"/>
      <c r="BK44" s="2889"/>
      <c r="BL44" s="389"/>
      <c r="BM44" s="1988"/>
      <c r="BN44" s="1989"/>
      <c r="BO44" s="389"/>
      <c r="BP44" s="389"/>
      <c r="BQ44" s="389"/>
      <c r="BR44" s="389"/>
      <c r="BS44" s="389"/>
      <c r="BT44" s="389"/>
      <c r="BU44" s="389"/>
      <c r="BV44" s="389"/>
      <c r="BW44" s="266"/>
      <c r="BX44" s="24"/>
      <c r="BY44" s="24"/>
      <c r="BZ44" s="389"/>
      <c r="CA44" s="1988"/>
      <c r="CB44" s="1989"/>
      <c r="CC44" s="389"/>
      <c r="CD44" s="389"/>
      <c r="CE44" s="389"/>
      <c r="CF44" s="389"/>
      <c r="CG44" s="389"/>
      <c r="CH44" s="389"/>
      <c r="CI44" s="389"/>
      <c r="CJ44" s="389"/>
      <c r="CK44" s="389"/>
      <c r="CL44" s="389"/>
      <c r="CM44" s="389"/>
      <c r="CN44" s="389"/>
      <c r="CO44" s="266"/>
      <c r="CP44" s="24"/>
      <c r="CQ44" s="24"/>
      <c r="CR44" s="24"/>
      <c r="CS44" s="24"/>
      <c r="CT44" s="24"/>
      <c r="CU44" s="24"/>
      <c r="CV44" s="24"/>
      <c r="CW44" s="24"/>
      <c r="CX44" s="24"/>
      <c r="CY44" s="24"/>
      <c r="CZ44" s="24"/>
      <c r="DA44" s="24"/>
      <c r="DB44" s="24"/>
      <c r="DC44" s="24"/>
      <c r="DD44" s="24"/>
      <c r="DE44" s="24"/>
      <c r="DF44" s="24"/>
      <c r="DG44" s="24"/>
      <c r="DH44" s="24"/>
      <c r="DI44" s="24"/>
      <c r="DJ44" s="24"/>
      <c r="DK44" s="24"/>
      <c r="DL44" s="24"/>
      <c r="DM44" s="24"/>
      <c r="DN44" s="24"/>
      <c r="DO44" s="24"/>
      <c r="DP44" s="24"/>
      <c r="DQ44" s="24"/>
      <c r="DR44" s="24"/>
      <c r="DS44" s="24"/>
      <c r="DT44" s="24"/>
      <c r="DU44" s="24"/>
      <c r="DV44" s="24"/>
      <c r="DW44" s="24"/>
      <c r="DX44" s="24"/>
      <c r="DY44" s="24"/>
      <c r="DZ44" s="24"/>
      <c r="EA44" s="24"/>
      <c r="EB44" s="24"/>
      <c r="EC44" s="24"/>
      <c r="ED44" s="24"/>
      <c r="EE44" s="24"/>
      <c r="EG44" s="24"/>
      <c r="EH44" s="24"/>
      <c r="EI44" s="24"/>
      <c r="EJ44" s="24"/>
    </row>
    <row r="45" spans="1:140" hidden="1" outlineLevel="2">
      <c r="A45" s="113" t="str">
        <f>+qtrSales!A68</f>
        <v>1Q</v>
      </c>
      <c r="B45" s="24" t="str">
        <f>+qtrSales!B68</f>
        <v>Apr</v>
      </c>
      <c r="C45" s="24"/>
      <c r="D45" s="24"/>
      <c r="E45" s="1982">
        <v>325</v>
      </c>
      <c r="F45" s="1982"/>
      <c r="G45" s="1980">
        <f>+(E45/E38-1)*100</f>
        <v>13.636363636363647</v>
      </c>
      <c r="H45" s="1981">
        <f>+E45/$BI45*100</f>
        <v>17.759562841530055</v>
      </c>
      <c r="I45" s="1981"/>
      <c r="J45" s="1981"/>
      <c r="K45" s="1982">
        <v>180</v>
      </c>
      <c r="L45" s="1980">
        <f>+(K45/K38-1)*100</f>
        <v>7.7844311377245567</v>
      </c>
      <c r="M45" s="1981">
        <f>+K45/$BI45*100</f>
        <v>9.8360655737704921</v>
      </c>
      <c r="N45" s="1981"/>
      <c r="O45" s="1981"/>
      <c r="P45" s="1981"/>
      <c r="Q45" s="24"/>
      <c r="R45" s="381">
        <f>+E45+K45</f>
        <v>505</v>
      </c>
      <c r="S45" s="1980">
        <f>+(R45/R38-1)*100</f>
        <v>11.479028697571735</v>
      </c>
      <c r="T45" s="1980"/>
      <c r="U45" s="1981">
        <f>+R45/$BI45*100</f>
        <v>27.595628415300546</v>
      </c>
      <c r="V45" s="24"/>
      <c r="W45" s="1982">
        <v>177</v>
      </c>
      <c r="X45" s="1982"/>
      <c r="Y45" s="1982"/>
      <c r="Z45" s="1982"/>
      <c r="AA45" s="1982"/>
      <c r="AB45" s="1982"/>
      <c r="AC45" s="1980">
        <f>+(W45/W38-1)*100</f>
        <v>59.459459459459453</v>
      </c>
      <c r="AD45" s="1981">
        <f>+W45/$BI45*100</f>
        <v>9.6721311475409841</v>
      </c>
      <c r="AE45" s="1981"/>
      <c r="AF45" s="1981"/>
      <c r="AG45" s="1981"/>
      <c r="AH45" s="1981"/>
      <c r="AI45" s="24"/>
      <c r="AJ45" s="1982">
        <v>224</v>
      </c>
      <c r="AK45" s="1982">
        <v>127</v>
      </c>
      <c r="AL45" s="381">
        <f>+AJ45+AK45</f>
        <v>351</v>
      </c>
      <c r="AM45" s="1982">
        <v>195</v>
      </c>
      <c r="AN45" s="1982">
        <v>204</v>
      </c>
      <c r="AO45" s="1982">
        <v>180</v>
      </c>
      <c r="AP45" s="381">
        <f>+SUM(AL45:AO45)</f>
        <v>930</v>
      </c>
      <c r="AQ45" s="1980">
        <f>+(AP45/AP38-1)*100</f>
        <v>-12.757973733583494</v>
      </c>
      <c r="AR45" s="1981">
        <f>+AP45/$BI45*100</f>
        <v>50.819672131147541</v>
      </c>
      <c r="AS45" s="24"/>
      <c r="AT45" s="1982">
        <v>19</v>
      </c>
      <c r="AU45" s="1982">
        <v>25</v>
      </c>
      <c r="AV45" s="1982">
        <v>74</v>
      </c>
      <c r="AW45" s="1982">
        <v>66</v>
      </c>
      <c r="AX45" s="1982">
        <v>31</v>
      </c>
      <c r="AY45" s="1982">
        <v>3</v>
      </c>
      <c r="AZ45" s="1982"/>
      <c r="BA45" s="1982"/>
      <c r="BB45" s="1982"/>
      <c r="BC45" s="381"/>
      <c r="BD45" s="1980" t="e">
        <f>+(BC45/BC38-1)*100</f>
        <v>#DIV/0!</v>
      </c>
      <c r="BE45" s="381">
        <f>+SUM(AT45:AY45)</f>
        <v>218</v>
      </c>
      <c r="BF45" s="1980">
        <f>+(BE45/BE38-1)*100</f>
        <v>37.974683544303801</v>
      </c>
      <c r="BG45" s="1981">
        <f>+BE45/$BI45*100</f>
        <v>11.912568306010929</v>
      </c>
      <c r="BH45" s="24"/>
      <c r="BI45" s="381">
        <f>+E45+K45+W45+AP45+BE45</f>
        <v>1830</v>
      </c>
      <c r="BJ45" s="381"/>
      <c r="BK45" s="2889">
        <f>+(BI45/BI38-1)*100</f>
        <v>2.3489932885905951</v>
      </c>
      <c r="BL45" s="381">
        <f>+E45+K45+W45+AT45+AY45</f>
        <v>704</v>
      </c>
      <c r="BM45" s="1980">
        <f>+(BL45/BL38-1)*100</f>
        <v>20.136518771331069</v>
      </c>
      <c r="BN45" s="1981">
        <f>+BL45/$BW45*100</f>
        <v>38.469945355191257</v>
      </c>
      <c r="BO45" s="381">
        <f>+AJ45+AM45+AN45+AO45+AU45</f>
        <v>828</v>
      </c>
      <c r="BP45" s="1980">
        <f>+(BO45/BO38-1)*100</f>
        <v>-14.196891191709849</v>
      </c>
      <c r="BQ45" s="1981">
        <f>+BO45/$BW45*100</f>
        <v>45.245901639344261</v>
      </c>
      <c r="BR45" s="389"/>
      <c r="BS45" s="381">
        <f>+AK45+AV45+AW45+AX45</f>
        <v>298</v>
      </c>
      <c r="BT45" s="1980">
        <f>+(BS45/BS38-1)*100</f>
        <v>25.738396624472571</v>
      </c>
      <c r="BU45" s="1981">
        <f>+BS45/$BW45*100</f>
        <v>16.284153005464479</v>
      </c>
      <c r="BV45" s="389"/>
      <c r="BW45" s="381">
        <f>+BL45+BO45+BS45</f>
        <v>1830</v>
      </c>
      <c r="BX45" s="1980">
        <f>+(BW45/BW38-1)*100</f>
        <v>2.3489932885905951</v>
      </c>
      <c r="BY45" s="24"/>
      <c r="BZ45" s="390">
        <v>60</v>
      </c>
      <c r="CA45" s="1980">
        <f>+(BZ45/BZ38-1)*100</f>
        <v>22.448979591836739</v>
      </c>
      <c r="CB45" s="1981">
        <f>+BZ45/BL45*100</f>
        <v>8.5227272727272716</v>
      </c>
      <c r="CC45" s="390">
        <v>-26</v>
      </c>
      <c r="CD45" s="1980">
        <f>+(CC45/CC38-1)*100</f>
        <v>-750</v>
      </c>
      <c r="CE45" s="1981">
        <f>+CC45/BO45*100</f>
        <v>-3.1400966183574881</v>
      </c>
      <c r="CF45" s="389"/>
      <c r="CG45" s="390">
        <v>14</v>
      </c>
      <c r="CH45" s="1980">
        <f>+(CG45/CG38-1)*100</f>
        <v>1300</v>
      </c>
      <c r="CI45" s="1981">
        <f>+CG45/BS45*100</f>
        <v>4.6979865771812079</v>
      </c>
      <c r="CJ45" s="24"/>
      <c r="CK45" s="390">
        <v>2</v>
      </c>
      <c r="CL45" s="1990" t="s">
        <v>886</v>
      </c>
      <c r="CM45" s="1981">
        <f>+CK45/AV45*100</f>
        <v>2.7027027027027026</v>
      </c>
      <c r="CN45" s="24"/>
      <c r="CO45" s="165">
        <f>+BZ45+CC45+CG45</f>
        <v>48</v>
      </c>
      <c r="CP45" s="1980">
        <f>+(CO45/CO38-1)*100</f>
        <v>-11.111111111111116</v>
      </c>
      <c r="CQ45" s="1981">
        <f>+CO45/BW45*100</f>
        <v>2.622950819672131</v>
      </c>
      <c r="CR45" s="1981"/>
      <c r="CS45" s="24"/>
      <c r="CT45" s="24"/>
      <c r="CU45" s="24"/>
      <c r="CV45" s="24"/>
      <c r="CW45" s="24"/>
      <c r="CX45" s="24"/>
      <c r="CY45" s="24"/>
      <c r="CZ45" s="24"/>
      <c r="DA45" s="24"/>
      <c r="DB45" s="24"/>
      <c r="DC45" s="24"/>
      <c r="DD45" s="24"/>
      <c r="DE45" s="24"/>
      <c r="DF45" s="24"/>
      <c r="DG45" s="24"/>
      <c r="DH45" s="24"/>
      <c r="DI45" s="24"/>
      <c r="DJ45" s="24"/>
      <c r="DK45" s="24"/>
      <c r="DL45" s="24"/>
      <c r="DM45" s="24"/>
      <c r="DN45" s="24"/>
      <c r="DO45" s="24"/>
      <c r="DP45" s="24"/>
      <c r="DQ45" s="24"/>
      <c r="DR45" s="24"/>
      <c r="DS45" s="24"/>
      <c r="DT45" s="24"/>
      <c r="DU45" s="24"/>
      <c r="DV45" s="24"/>
      <c r="DW45" s="24"/>
      <c r="DX45" s="24"/>
      <c r="DY45" s="24"/>
      <c r="DZ45" s="24"/>
      <c r="EA45" s="24"/>
      <c r="EB45" s="24"/>
      <c r="EC45" s="24"/>
      <c r="ED45" s="24"/>
      <c r="EE45" s="24"/>
      <c r="EG45" s="24"/>
      <c r="EH45" s="24"/>
      <c r="EI45" s="24"/>
      <c r="EJ45" s="24"/>
    </row>
    <row r="46" spans="1:140" hidden="1" outlineLevel="2">
      <c r="A46" s="113" t="str">
        <f>+qtrSales!A69</f>
        <v>2Q</v>
      </c>
      <c r="B46" s="24" t="str">
        <f>+qtrSales!B69</f>
        <v>Jul</v>
      </c>
      <c r="C46" s="24"/>
      <c r="D46" s="24"/>
      <c r="E46" s="388">
        <v>389</v>
      </c>
      <c r="F46" s="388"/>
      <c r="G46" s="1980">
        <f>+(E46/E39-1)*100</f>
        <v>21.943573667711604</v>
      </c>
      <c r="H46" s="1981">
        <f>+E46/$BI46*100</f>
        <v>19.257425742574259</v>
      </c>
      <c r="I46" s="1981"/>
      <c r="J46" s="1981"/>
      <c r="K46" s="388">
        <v>196</v>
      </c>
      <c r="L46" s="1980">
        <f>+(K46/K39-1)*100</f>
        <v>11.363636363636353</v>
      </c>
      <c r="M46" s="1981">
        <f>+K46/$BI46*100</f>
        <v>9.7029702970297027</v>
      </c>
      <c r="N46" s="1981"/>
      <c r="O46" s="1981"/>
      <c r="P46" s="1981"/>
      <c r="Q46" s="24"/>
      <c r="R46" s="387">
        <f>+E46+K46</f>
        <v>585</v>
      </c>
      <c r="S46" s="1980">
        <f>+(R46/R39-1)*100</f>
        <v>18.181818181818187</v>
      </c>
      <c r="T46" s="1980"/>
      <c r="U46" s="1981">
        <f>+R46/$BI46*100</f>
        <v>28.960396039603957</v>
      </c>
      <c r="V46" s="24"/>
      <c r="W46" s="388">
        <v>212</v>
      </c>
      <c r="X46" s="388"/>
      <c r="Y46" s="388"/>
      <c r="Z46" s="388"/>
      <c r="AA46" s="388"/>
      <c r="AB46" s="388"/>
      <c r="AC46" s="1980">
        <f>+(W46/W39-1)*100</f>
        <v>58.208955223880587</v>
      </c>
      <c r="AD46" s="1981">
        <f>+W46/$BI46*100</f>
        <v>10.495049504950495</v>
      </c>
      <c r="AE46" s="1981"/>
      <c r="AF46" s="1981"/>
      <c r="AG46" s="1981"/>
      <c r="AH46" s="1981"/>
      <c r="AI46" s="24"/>
      <c r="AJ46" s="388">
        <v>246</v>
      </c>
      <c r="AK46" s="388">
        <v>152</v>
      </c>
      <c r="AL46" s="266">
        <f>+AJ46+AK46</f>
        <v>398</v>
      </c>
      <c r="AM46" s="388">
        <v>203</v>
      </c>
      <c r="AN46" s="388">
        <v>217</v>
      </c>
      <c r="AO46" s="388">
        <v>175</v>
      </c>
      <c r="AP46" s="266">
        <f>+SUM(AL46:AO46)</f>
        <v>993</v>
      </c>
      <c r="AQ46" s="1980">
        <f>+(AP46/AP39-1)*100</f>
        <v>-9.7272727272727284</v>
      </c>
      <c r="AR46" s="1981">
        <f>+AP46/$BI46*100</f>
        <v>49.158415841584159</v>
      </c>
      <c r="AS46" s="24"/>
      <c r="AT46" s="388">
        <v>22</v>
      </c>
      <c r="AU46" s="388">
        <v>17</v>
      </c>
      <c r="AV46" s="388">
        <v>87</v>
      </c>
      <c r="AW46" s="388">
        <v>61</v>
      </c>
      <c r="AX46" s="388">
        <v>35</v>
      </c>
      <c r="AY46" s="388">
        <v>8</v>
      </c>
      <c r="AZ46" s="388"/>
      <c r="BA46" s="388"/>
      <c r="BB46" s="388"/>
      <c r="BC46" s="266"/>
      <c r="BD46" s="1980" t="e">
        <f>+(BC46/BC39-1)*100</f>
        <v>#DIV/0!</v>
      </c>
      <c r="BE46" s="266">
        <f>+SUM(AT46:AY46)</f>
        <v>230</v>
      </c>
      <c r="BF46" s="1980">
        <f>+(BE46/BE39-1)*100</f>
        <v>37.724550898203589</v>
      </c>
      <c r="BG46" s="1981">
        <f>+BE46/$BI46*100</f>
        <v>11.386138613861387</v>
      </c>
      <c r="BH46" s="24"/>
      <c r="BI46" s="266">
        <f>+E46+K46+W46+AP46+BE46</f>
        <v>2020</v>
      </c>
      <c r="BJ46" s="266"/>
      <c r="BK46" s="2889">
        <f>+(BI46/BI39-1)*100</f>
        <v>6.5400843881856519</v>
      </c>
      <c r="BL46" s="266">
        <f>+E46+K46+W46+AT46+AY46</f>
        <v>827</v>
      </c>
      <c r="BM46" s="1980">
        <f>+(BL46/BL39-1)*100</f>
        <v>26.646248085758039</v>
      </c>
      <c r="BN46" s="1981">
        <f>+BL46/$BW46*100</f>
        <v>40.940594059405939</v>
      </c>
      <c r="BO46" s="266">
        <f>+AJ46+AM46+AN46+AO46+AU46</f>
        <v>858</v>
      </c>
      <c r="BP46" s="1980">
        <f>+(BO46/BO39-1)*100</f>
        <v>-11.728395061728392</v>
      </c>
      <c r="BQ46" s="1981">
        <f>+BO46/$BW46*100</f>
        <v>42.475247524752476</v>
      </c>
      <c r="BR46" s="389"/>
      <c r="BS46" s="266">
        <f>+AK46+AV46+AW46+AX46</f>
        <v>335</v>
      </c>
      <c r="BT46" s="1980">
        <f>+(BS46/BS39-1)*100</f>
        <v>23.616236162361616</v>
      </c>
      <c r="BU46" s="1981">
        <f>+BS46/$BW46*100</f>
        <v>16.584158415841586</v>
      </c>
      <c r="BV46" s="389"/>
      <c r="BW46" s="266">
        <f>+BL46+BO46+BS46</f>
        <v>2020</v>
      </c>
      <c r="BX46" s="1980">
        <f>+(BW46/BW39-1)*100</f>
        <v>6.5400843881856519</v>
      </c>
      <c r="BY46" s="24"/>
      <c r="BZ46" s="389">
        <v>107</v>
      </c>
      <c r="CA46" s="1980">
        <f>+(BZ46/BZ39-1)*100</f>
        <v>22.988505747126432</v>
      </c>
      <c r="CB46" s="1981">
        <f>+BZ46/BL46*100</f>
        <v>12.93833131801693</v>
      </c>
      <c r="CC46" s="389">
        <v>-69</v>
      </c>
      <c r="CD46" s="1980">
        <f>+(CC46/CC39-1)*100</f>
        <v>263.15789473684214</v>
      </c>
      <c r="CE46" s="1981">
        <f>+CC46/BO46*100</f>
        <v>-8.0419580419580416</v>
      </c>
      <c r="CF46" s="389"/>
      <c r="CG46" s="389">
        <v>30</v>
      </c>
      <c r="CH46" s="1980">
        <f>+(CG46/CG39-1)*100</f>
        <v>150</v>
      </c>
      <c r="CI46" s="1981">
        <f>+CG46/BS46*100</f>
        <v>8.9552238805970141</v>
      </c>
      <c r="CJ46" s="389"/>
      <c r="CK46" s="389">
        <v>5</v>
      </c>
      <c r="CL46" s="1980">
        <f>+(CK46/CK39-1)*100</f>
        <v>150</v>
      </c>
      <c r="CM46" s="1981">
        <f>+CK46/AV46*100</f>
        <v>5.7471264367816088</v>
      </c>
      <c r="CN46" s="389"/>
      <c r="CO46" s="266">
        <f>+BZ46+CC46+CG46</f>
        <v>68</v>
      </c>
      <c r="CP46" s="1980">
        <f>+(CO46/CO39-1)*100</f>
        <v>-17.073170731707322</v>
      </c>
      <c r="CQ46" s="1981">
        <f>+CO46/BW46*100</f>
        <v>3.3663366336633667</v>
      </c>
      <c r="CR46" s="1981"/>
      <c r="CS46" s="24"/>
      <c r="CT46" s="24"/>
      <c r="CU46" s="24"/>
      <c r="CV46" s="24"/>
      <c r="CW46" s="24"/>
      <c r="CX46" s="24"/>
      <c r="CY46" s="24"/>
      <c r="CZ46" s="24"/>
      <c r="DA46" s="24"/>
      <c r="DB46" s="24"/>
      <c r="DC46" s="24"/>
      <c r="DD46" s="24"/>
      <c r="DE46" s="24"/>
      <c r="DF46" s="24"/>
      <c r="DG46" s="24"/>
      <c r="DH46" s="24"/>
      <c r="DI46" s="24"/>
      <c r="DJ46" s="24"/>
      <c r="DK46" s="24"/>
      <c r="DL46" s="24"/>
      <c r="DM46" s="24"/>
      <c r="DN46" s="24"/>
      <c r="DO46" s="24"/>
      <c r="DP46" s="24"/>
      <c r="DQ46" s="24"/>
      <c r="DR46" s="24"/>
      <c r="DS46" s="24"/>
      <c r="DT46" s="24"/>
      <c r="DU46" s="24"/>
      <c r="DV46" s="24"/>
      <c r="DW46" s="24"/>
      <c r="DX46" s="24"/>
      <c r="DY46" s="24"/>
      <c r="DZ46" s="24"/>
      <c r="EA46" s="24"/>
      <c r="EB46" s="24"/>
      <c r="EC46" s="24"/>
      <c r="ED46" s="24"/>
      <c r="EE46" s="24"/>
      <c r="EG46" s="24"/>
      <c r="EH46" s="24"/>
      <c r="EI46" s="24"/>
      <c r="EJ46" s="24"/>
    </row>
    <row r="47" spans="1:140" hidden="1" outlineLevel="2">
      <c r="A47" s="113" t="str">
        <f>+qtrSales!A70</f>
        <v>3Q</v>
      </c>
      <c r="B47" s="24" t="str">
        <f>+qtrSales!B70</f>
        <v>Oct</v>
      </c>
      <c r="C47" s="24"/>
      <c r="D47" s="24"/>
      <c r="E47" s="388">
        <v>332</v>
      </c>
      <c r="F47" s="388"/>
      <c r="G47" s="1980">
        <f>+(E47/E40-1)*100</f>
        <v>9.210526315789469</v>
      </c>
      <c r="H47" s="1981">
        <f>+E47/$BI47*100</f>
        <v>16.030902945436985</v>
      </c>
      <c r="I47" s="1981"/>
      <c r="J47" s="1981"/>
      <c r="K47" s="388">
        <v>143</v>
      </c>
      <c r="L47" s="1980">
        <f>+(K47/K40-1)*100</f>
        <v>7.5187969924812137</v>
      </c>
      <c r="M47" s="1981">
        <f>+K47/$BI47*100</f>
        <v>6.9048768710767749</v>
      </c>
      <c r="N47" s="1981"/>
      <c r="O47" s="1981"/>
      <c r="P47" s="1981"/>
      <c r="Q47" s="24"/>
      <c r="R47" s="387">
        <f>+E47+K47</f>
        <v>475</v>
      </c>
      <c r="S47" s="1980">
        <f>+(R47/R40-1)*100</f>
        <v>8.6956521739130377</v>
      </c>
      <c r="T47" s="1980"/>
      <c r="U47" s="1981">
        <f>+R47/$BI47*100</f>
        <v>22.935779816513762</v>
      </c>
      <c r="V47" s="24"/>
      <c r="W47" s="388">
        <v>182</v>
      </c>
      <c r="X47" s="388"/>
      <c r="Y47" s="388"/>
      <c r="Z47" s="388"/>
      <c r="AA47" s="388"/>
      <c r="AB47" s="388"/>
      <c r="AC47" s="1980">
        <f>+(W47/W40-1)*100</f>
        <v>36.842105263157897</v>
      </c>
      <c r="AD47" s="1981">
        <f>+W47/$BI47*100</f>
        <v>8.7880251086431667</v>
      </c>
      <c r="AE47" s="1981"/>
      <c r="AF47" s="1981"/>
      <c r="AG47" s="1981"/>
      <c r="AH47" s="1981"/>
      <c r="AI47" s="24"/>
      <c r="AJ47" s="388">
        <v>315</v>
      </c>
      <c r="AK47" s="388">
        <v>143</v>
      </c>
      <c r="AL47" s="266">
        <f>+AJ47+AK47</f>
        <v>458</v>
      </c>
      <c r="AM47" s="388">
        <v>231</v>
      </c>
      <c r="AN47" s="388">
        <v>218</v>
      </c>
      <c r="AO47" s="388">
        <v>177</v>
      </c>
      <c r="AP47" s="266">
        <f>+SUM(AL47:AO47)</f>
        <v>1084</v>
      </c>
      <c r="AQ47" s="1980">
        <f>+(AP47/AP40-1)*100</f>
        <v>-8.6773378264532468</v>
      </c>
      <c r="AR47" s="1981">
        <f>+AP47/$BI47*100</f>
        <v>52.341863833896674</v>
      </c>
      <c r="AS47" s="24"/>
      <c r="AT47" s="388">
        <v>22</v>
      </c>
      <c r="AU47" s="388">
        <v>20</v>
      </c>
      <c r="AV47" s="388">
        <v>149</v>
      </c>
      <c r="AW47" s="388">
        <v>86</v>
      </c>
      <c r="AX47" s="388">
        <f>34+8</f>
        <v>42</v>
      </c>
      <c r="AY47" s="388">
        <v>11</v>
      </c>
      <c r="AZ47" s="388"/>
      <c r="BA47" s="388"/>
      <c r="BB47" s="388"/>
      <c r="BC47" s="266"/>
      <c r="BD47" s="1980" t="e">
        <f>+(BC47/BC40-1)*100</f>
        <v>#DIV/0!</v>
      </c>
      <c r="BE47" s="266">
        <f>+SUM(AT47:AY47)</f>
        <v>330</v>
      </c>
      <c r="BF47" s="1980">
        <f>+(BE47/BE40-1)*100</f>
        <v>38.655462184873947</v>
      </c>
      <c r="BG47" s="1981">
        <f>+BE47/$BI47*100</f>
        <v>15.934331240946403</v>
      </c>
      <c r="BH47" s="24"/>
      <c r="BI47" s="266">
        <f>+E47+K47+W47+AP47+BE47</f>
        <v>2071</v>
      </c>
      <c r="BJ47" s="266"/>
      <c r="BK47" s="2889">
        <f>+(BI47/BI40-1)*100</f>
        <v>3.8095238095238182</v>
      </c>
      <c r="BL47" s="266">
        <f>+E47+K47+W47+AT47+AY47</f>
        <v>690</v>
      </c>
      <c r="BM47" s="1980">
        <f>+(BL47/BL40-1)*100</f>
        <v>15.577889447236171</v>
      </c>
      <c r="BN47" s="1981">
        <f>+BL47/$BW47*100</f>
        <v>33.317238049251571</v>
      </c>
      <c r="BO47" s="266">
        <f>+AJ47+AM47+AN47+AO47+AU47</f>
        <v>961</v>
      </c>
      <c r="BP47" s="1980">
        <f>+(BO47/BO40-1)*100</f>
        <v>-9.6804511278195449</v>
      </c>
      <c r="BQ47" s="1981">
        <f>+BO47/$BW47*100</f>
        <v>46.402704007725738</v>
      </c>
      <c r="BR47" s="24"/>
      <c r="BS47" s="266">
        <f>+AK47+AV47+AW47+AX47</f>
        <v>420</v>
      </c>
      <c r="BT47" s="1980">
        <f>+(BS47/BS40-1)*100</f>
        <v>25.748502994011968</v>
      </c>
      <c r="BU47" s="1981">
        <f>+BS47/$BW47*100</f>
        <v>20.280057943022694</v>
      </c>
      <c r="BV47" s="24"/>
      <c r="BW47" s="266">
        <f>+BL47+BO47+BS47</f>
        <v>2071</v>
      </c>
      <c r="BX47" s="1980">
        <f>+(BW47/BW40-1)*100</f>
        <v>3.8095238095238182</v>
      </c>
      <c r="BY47" s="24"/>
      <c r="BZ47" s="389">
        <v>66</v>
      </c>
      <c r="CA47" s="1980">
        <f>+(BZ47/BZ40-1)*100</f>
        <v>24.528301886792448</v>
      </c>
      <c r="CB47" s="1981">
        <f>+BZ47/BL47*100</f>
        <v>9.5652173913043477</v>
      </c>
      <c r="CC47" s="389">
        <v>-4</v>
      </c>
      <c r="CD47" s="1980">
        <f>+(CC47/CC40-1)*100</f>
        <v>-118.18181818181819</v>
      </c>
      <c r="CE47" s="1981">
        <f>+CC47/BO47*100</f>
        <v>-0.41623309053069724</v>
      </c>
      <c r="CF47" s="24"/>
      <c r="CG47" s="389">
        <f>15</f>
        <v>15</v>
      </c>
      <c r="CH47" s="1980">
        <f>+(CG47/CG40-1)*100</f>
        <v>275</v>
      </c>
      <c r="CI47" s="1981">
        <f>+CG47/BS47*100</f>
        <v>3.5714285714285712</v>
      </c>
      <c r="CJ47" s="24"/>
      <c r="CK47" s="389">
        <f>18</f>
        <v>18</v>
      </c>
      <c r="CL47" s="1980">
        <f>+(CK47/CK40-1)*100</f>
        <v>100</v>
      </c>
      <c r="CM47" s="1981">
        <f>+CK47/AV47*100</f>
        <v>12.080536912751679</v>
      </c>
      <c r="CN47" s="24"/>
      <c r="CO47" s="266">
        <f>+BZ47+CC47+CG47</f>
        <v>77</v>
      </c>
      <c r="CP47" s="1980">
        <f>+(CO47/CO40-1)*100</f>
        <v>-12.5</v>
      </c>
      <c r="CQ47" s="1981">
        <f>+CO47/BW47*100</f>
        <v>3.7180106228874936</v>
      </c>
      <c r="CR47" s="1981"/>
      <c r="CS47" s="24"/>
      <c r="CT47" s="24"/>
      <c r="CU47" s="24"/>
      <c r="CV47" s="24"/>
      <c r="CW47" s="24"/>
      <c r="CX47" s="24"/>
      <c r="CY47" s="24"/>
      <c r="CZ47" s="24"/>
      <c r="DA47" s="24"/>
      <c r="DB47" s="24"/>
      <c r="DC47" s="24"/>
      <c r="DD47" s="24"/>
      <c r="DE47" s="24"/>
      <c r="DF47" s="24"/>
      <c r="DG47" s="24"/>
      <c r="DH47" s="24"/>
      <c r="DI47" s="24"/>
      <c r="DJ47" s="24"/>
      <c r="DK47" s="24"/>
      <c r="DL47" s="24"/>
      <c r="DM47" s="24"/>
      <c r="DN47" s="24"/>
      <c r="DO47" s="24"/>
      <c r="DP47" s="24"/>
      <c r="DQ47" s="24"/>
      <c r="DR47" s="24"/>
      <c r="DS47" s="24"/>
      <c r="DT47" s="24"/>
      <c r="DU47" s="24"/>
      <c r="DV47" s="24"/>
      <c r="DW47" s="24"/>
      <c r="DX47" s="24"/>
      <c r="DY47" s="24"/>
      <c r="DZ47" s="24"/>
      <c r="EA47" s="24"/>
      <c r="EB47" s="24"/>
      <c r="EC47" s="24"/>
      <c r="ED47" s="24"/>
      <c r="EE47" s="24"/>
      <c r="EG47" s="24"/>
      <c r="EH47" s="24"/>
      <c r="EI47" s="24"/>
      <c r="EJ47" s="24"/>
    </row>
    <row r="48" spans="1:140" hidden="1" outlineLevel="2">
      <c r="A48" s="113" t="str">
        <f>+qtrSales!A71</f>
        <v>4Q</v>
      </c>
      <c r="B48" s="24" t="str">
        <f>+qtrSales!B71</f>
        <v>Jan</v>
      </c>
      <c r="C48" s="24"/>
      <c r="D48" s="24"/>
      <c r="E48" s="393">
        <f>+E49-E47-E46-E45</f>
        <v>656</v>
      </c>
      <c r="F48" s="309"/>
      <c r="G48" s="1980">
        <f>+(E48/E41-1)*100</f>
        <v>21.25693160813309</v>
      </c>
      <c r="H48" s="1981">
        <f>+E48/$BI48*100</f>
        <v>20.073439412484699</v>
      </c>
      <c r="I48" s="1981"/>
      <c r="J48" s="1981"/>
      <c r="K48" s="393">
        <f>+K49-K47-K46-K45</f>
        <v>215</v>
      </c>
      <c r="L48" s="1980">
        <f>+(K48/K41-1)*100</f>
        <v>3.3653846153846256</v>
      </c>
      <c r="M48" s="1981">
        <f>+K48/$BI48*100</f>
        <v>6.5789473684210522</v>
      </c>
      <c r="N48" s="1981"/>
      <c r="O48" s="1981"/>
      <c r="P48" s="1981"/>
      <c r="Q48" s="24"/>
      <c r="R48" s="1022">
        <f>+E48+K48</f>
        <v>871</v>
      </c>
      <c r="S48" s="1980">
        <f>+(R48/R41-1)*100</f>
        <v>16.288384512683574</v>
      </c>
      <c r="T48" s="1980"/>
      <c r="U48" s="1981">
        <f>+R48/$BI48*100</f>
        <v>26.652386780905751</v>
      </c>
      <c r="V48" s="24"/>
      <c r="W48" s="393">
        <f>+W49-W47-W46-W45</f>
        <v>486</v>
      </c>
      <c r="X48" s="309"/>
      <c r="Y48" s="309"/>
      <c r="Z48" s="309"/>
      <c r="AA48" s="309"/>
      <c r="AB48" s="309"/>
      <c r="AC48" s="1980">
        <f>+(W48/W41-1)*100</f>
        <v>29.600000000000005</v>
      </c>
      <c r="AD48" s="1981">
        <f>+W48/$BI48*100</f>
        <v>14.871481028151775</v>
      </c>
      <c r="AE48" s="1981"/>
      <c r="AF48" s="1981"/>
      <c r="AG48" s="1981"/>
      <c r="AH48" s="1981"/>
      <c r="AI48" s="24"/>
      <c r="AJ48" s="1984">
        <f>+AJ49-AJ47-AJ46-AJ45</f>
        <v>404</v>
      </c>
      <c r="AK48" s="1984">
        <f>+AK49-AK47-AK46-AK45</f>
        <v>238</v>
      </c>
      <c r="AL48" s="1985">
        <f>+AJ48+AK48</f>
        <v>642</v>
      </c>
      <c r="AM48" s="1984">
        <f>+AM49-AM47-AM46-AM45</f>
        <v>317</v>
      </c>
      <c r="AN48" s="1984">
        <f>+AN49-AN47-AN46-AN45</f>
        <v>268</v>
      </c>
      <c r="AO48" s="1984">
        <f>+AO49-AO47-AO46-AO45</f>
        <v>244</v>
      </c>
      <c r="AP48" s="1022">
        <f>+SUM(AL48:AO48)</f>
        <v>1471</v>
      </c>
      <c r="AQ48" s="1980">
        <f>+(AP48/AP41-1)*100</f>
        <v>-1.8024032042723626</v>
      </c>
      <c r="AR48" s="1981">
        <f>+AP48/$BI48*100</f>
        <v>45.012239902080779</v>
      </c>
      <c r="AS48" s="24"/>
      <c r="AT48" s="1986">
        <f t="shared" ref="AT48:AY48" si="3">+AT49-AT47-AT46-AT45</f>
        <v>25</v>
      </c>
      <c r="AU48" s="1984">
        <f t="shared" si="3"/>
        <v>21</v>
      </c>
      <c r="AV48" s="1984">
        <f t="shared" si="3"/>
        <v>212</v>
      </c>
      <c r="AW48" s="1984">
        <f t="shared" si="3"/>
        <v>109</v>
      </c>
      <c r="AX48" s="1984">
        <f t="shared" si="3"/>
        <v>58</v>
      </c>
      <c r="AY48" s="1984">
        <f t="shared" si="3"/>
        <v>15</v>
      </c>
      <c r="AZ48" s="1984"/>
      <c r="BA48" s="1984"/>
      <c r="BB48" s="1984"/>
      <c r="BC48" s="1022"/>
      <c r="BD48" s="1980" t="e">
        <f>+(BC48/BC41-1)*100</f>
        <v>#DIV/0!</v>
      </c>
      <c r="BE48" s="1022">
        <f>+SUM(AT48:AY48)</f>
        <v>440</v>
      </c>
      <c r="BF48" s="1980">
        <f>+(BE48/BE41-1)*100</f>
        <v>27.906976744186053</v>
      </c>
      <c r="BG48" s="1981">
        <f>+BE48/$BI48*100</f>
        <v>13.46389228886169</v>
      </c>
      <c r="BH48" s="24"/>
      <c r="BI48" s="1022">
        <f>+E48+K48+W48+AP48+BE48</f>
        <v>3268</v>
      </c>
      <c r="BJ48" s="325"/>
      <c r="BK48" s="2889">
        <f>+(BI48/BI41-1)*100</f>
        <v>10.182063385030338</v>
      </c>
      <c r="BL48" s="1022">
        <f>+E48+K48+W48+AT48+AY48</f>
        <v>1397</v>
      </c>
      <c r="BM48" s="1980">
        <f>+(BL48/BL41-1)*100</f>
        <v>20.327304048234286</v>
      </c>
      <c r="BN48" s="1981">
        <f>+BL48/$BW48*100</f>
        <v>42.747858017135862</v>
      </c>
      <c r="BO48" s="1022">
        <f>+AJ48+AM48+AN48+AO48+AU48</f>
        <v>1254</v>
      </c>
      <c r="BP48" s="1980">
        <f>+(BO48/BO41-1)*100</f>
        <v>-2.1077283372365363</v>
      </c>
      <c r="BQ48" s="1981">
        <f>+BO48/$BW48*100</f>
        <v>38.372093023255815</v>
      </c>
      <c r="BR48" s="24"/>
      <c r="BS48" s="1022">
        <f>+AK48+AV48+AW48+AX48</f>
        <v>617</v>
      </c>
      <c r="BT48" s="1980">
        <f>+(BS48/BS41-1)*100</f>
        <v>17.748091603053439</v>
      </c>
      <c r="BU48" s="1981">
        <f>+BS48/$BW48*100</f>
        <v>18.880048959608324</v>
      </c>
      <c r="BV48" s="24"/>
      <c r="BW48" s="1022">
        <f>+BL48+BO48+BS48</f>
        <v>3268</v>
      </c>
      <c r="BX48" s="1980">
        <f>+(BW48/BW41-1)*100</f>
        <v>10.182063385030338</v>
      </c>
      <c r="BY48" s="24"/>
      <c r="BZ48" s="1022">
        <f>+BZ49-SUM(BZ45:BZ47)</f>
        <v>272</v>
      </c>
      <c r="CA48" s="1980">
        <f>+(BZ48/BZ41-1)*100</f>
        <v>1.1152416356877248</v>
      </c>
      <c r="CB48" s="1981">
        <f>+BZ48/BL48*100</f>
        <v>19.470293486041516</v>
      </c>
      <c r="CC48" s="1022">
        <f>+CC49-SUM(CC45:CC47)</f>
        <v>-169</v>
      </c>
      <c r="CD48" s="1980">
        <f>+(CC48/CC41-1)*100</f>
        <v>-396.49122807017545</v>
      </c>
      <c r="CE48" s="1981">
        <f>+CC48/BO48*100</f>
        <v>-13.476874003189792</v>
      </c>
      <c r="CF48" s="325"/>
      <c r="CG48" s="1022">
        <f>+CG49-SUM(CG45:CG47)</f>
        <v>100</v>
      </c>
      <c r="CH48" s="1980">
        <f>+(CG48/CG41-1)*100</f>
        <v>96.078431372549005</v>
      </c>
      <c r="CI48" s="1981">
        <f>+CG48/BS48*100</f>
        <v>16.207455429497568</v>
      </c>
      <c r="CJ48" s="24"/>
      <c r="CK48" s="1022">
        <f>+CK49-SUM(CK45:CK47)</f>
        <v>59</v>
      </c>
      <c r="CL48" s="1980">
        <f>+(CK48/CK41-1)*100</f>
        <v>68.571428571428569</v>
      </c>
      <c r="CM48" s="1981">
        <f>+CK48/AV48*100</f>
        <v>27.830188679245282</v>
      </c>
      <c r="CN48" s="24"/>
      <c r="CO48" s="1022">
        <f>+BZ48+CC48+CG48</f>
        <v>203</v>
      </c>
      <c r="CP48" s="1980">
        <f>+(CO48/CO41-1)*100</f>
        <v>-50.728155339805824</v>
      </c>
      <c r="CQ48" s="1981">
        <f>+CO48/BW48*100</f>
        <v>6.2117503059975521</v>
      </c>
      <c r="CR48" s="1981"/>
      <c r="CS48" s="24"/>
      <c r="CT48" s="24"/>
      <c r="CU48" s="24"/>
      <c r="CV48" s="24"/>
      <c r="CW48" s="24"/>
      <c r="CX48" s="24"/>
      <c r="CY48" s="24"/>
      <c r="CZ48" s="24"/>
      <c r="DA48" s="24"/>
      <c r="DB48" s="24"/>
      <c r="DC48" s="24"/>
      <c r="DD48" s="24"/>
      <c r="DE48" s="24"/>
      <c r="DF48" s="24"/>
      <c r="DG48" s="24"/>
      <c r="DH48" s="24"/>
      <c r="DI48" s="24"/>
      <c r="DJ48" s="24"/>
      <c r="DK48" s="24"/>
      <c r="DL48" s="24"/>
      <c r="DM48" s="24"/>
      <c r="DN48" s="24"/>
      <c r="DO48" s="24"/>
      <c r="DP48" s="24"/>
      <c r="DQ48" s="24"/>
      <c r="DR48" s="24"/>
      <c r="DS48" s="24"/>
      <c r="DT48" s="24"/>
      <c r="DU48" s="24"/>
      <c r="DV48" s="24"/>
      <c r="DW48" s="24"/>
      <c r="DX48" s="24"/>
      <c r="DY48" s="24"/>
      <c r="DZ48" s="24"/>
      <c r="EA48" s="24"/>
      <c r="EB48" s="24"/>
      <c r="EC48" s="24"/>
      <c r="ED48" s="24"/>
      <c r="EE48" s="24"/>
      <c r="EG48" s="24"/>
      <c r="EH48" s="24"/>
      <c r="EI48" s="24"/>
      <c r="EJ48" s="24"/>
    </row>
    <row r="49" spans="1:140" hidden="1" outlineLevel="2">
      <c r="A49" s="113"/>
      <c r="B49" s="24" t="str">
        <f>+qtrSales!B72</f>
        <v>Year</v>
      </c>
      <c r="C49" s="24"/>
      <c r="D49" s="24"/>
      <c r="E49" s="389">
        <v>1702</v>
      </c>
      <c r="F49" s="389"/>
      <c r="G49" s="1980">
        <f>+(E49/E42-1)*100</f>
        <v>17.37931034482758</v>
      </c>
      <c r="H49" s="1981">
        <f>+E49/$BI49*100</f>
        <v>18.522146044183263</v>
      </c>
      <c r="I49" s="1981"/>
      <c r="J49" s="1981"/>
      <c r="K49" s="388">
        <v>734</v>
      </c>
      <c r="L49" s="1980">
        <f>+(K49/K42-1)*100</f>
        <v>7.3099415204678442</v>
      </c>
      <c r="M49" s="1981">
        <f>+K49/$BI49*100</f>
        <v>7.9878115137664603</v>
      </c>
      <c r="N49" s="1981"/>
      <c r="O49" s="1981"/>
      <c r="P49" s="1981"/>
      <c r="Q49" s="24"/>
      <c r="R49" s="266">
        <f>+E49+K49</f>
        <v>2436</v>
      </c>
      <c r="S49" s="1980">
        <f>+(R49/R42-1)*100</f>
        <v>14.151827553889419</v>
      </c>
      <c r="T49" s="1980"/>
      <c r="U49" s="1981">
        <f>+R49/$BI49*100</f>
        <v>26.509957557949722</v>
      </c>
      <c r="V49" s="24"/>
      <c r="W49" s="389">
        <v>1057</v>
      </c>
      <c r="X49" s="389"/>
      <c r="Y49" s="389"/>
      <c r="Z49" s="389"/>
      <c r="AA49" s="389"/>
      <c r="AB49" s="389"/>
      <c r="AC49" s="1980">
        <f>+(W49/W42-1)*100</f>
        <v>40.371845949535199</v>
      </c>
      <c r="AD49" s="1981">
        <f>+W49/$BI49*100</f>
        <v>11.502883882903472</v>
      </c>
      <c r="AE49" s="1981"/>
      <c r="AF49" s="1981"/>
      <c r="AG49" s="1981"/>
      <c r="AH49" s="1981"/>
      <c r="AI49" s="24"/>
      <c r="AJ49" s="389">
        <v>1189</v>
      </c>
      <c r="AK49" s="388">
        <v>660</v>
      </c>
      <c r="AL49" s="266">
        <f>+AJ49+AK49</f>
        <v>1849</v>
      </c>
      <c r="AM49" s="388">
        <v>946</v>
      </c>
      <c r="AN49" s="388">
        <v>907</v>
      </c>
      <c r="AO49" s="388">
        <v>776</v>
      </c>
      <c r="AP49" s="266">
        <f>+SUM(AL49:AO49)</f>
        <v>4478</v>
      </c>
      <c r="AQ49" s="1980">
        <f>+(AP49/AP42-1)*100</f>
        <v>-7.6891362605648332</v>
      </c>
      <c r="AR49" s="1981">
        <f>+AP49/$BI49*100</f>
        <v>48.732179780171947</v>
      </c>
      <c r="AS49" s="24"/>
      <c r="AT49" s="1991">
        <v>88</v>
      </c>
      <c r="AU49" s="388">
        <v>83</v>
      </c>
      <c r="AV49" s="388">
        <v>522</v>
      </c>
      <c r="AW49" s="388">
        <v>322</v>
      </c>
      <c r="AX49" s="388">
        <f>160+6</f>
        <v>166</v>
      </c>
      <c r="AY49" s="388">
        <f>125-AT49</f>
        <v>37</v>
      </c>
      <c r="AZ49" s="388"/>
      <c r="BA49" s="388"/>
      <c r="BB49" s="388"/>
      <c r="BC49" s="266"/>
      <c r="BD49" s="1980" t="e">
        <f>+(BC49/BC42-1)*100</f>
        <v>#DIV/0!</v>
      </c>
      <c r="BE49" s="266">
        <f>+SUM(AT49:AY49)</f>
        <v>1218</v>
      </c>
      <c r="BF49" s="1980">
        <f>+(BE49/BE42-1)*100</f>
        <v>34.28886438809262</v>
      </c>
      <c r="BG49" s="1981">
        <f>+BE49/$BI49*100</f>
        <v>13.254978778974861</v>
      </c>
      <c r="BH49" s="24"/>
      <c r="BI49" s="266">
        <f>+E49+K49+W49+AP49+BE49</f>
        <v>9189</v>
      </c>
      <c r="BJ49" s="266"/>
      <c r="BK49" s="2889">
        <f>+(BI49/BI42-1)*100</f>
        <v>6.2926547137073463</v>
      </c>
      <c r="BL49" s="266">
        <f>+E49+K49+W49+AT49+AY49</f>
        <v>3618</v>
      </c>
      <c r="BM49" s="1980">
        <f>+(BL49/BL42-1)*100</f>
        <v>20.720720720720731</v>
      </c>
      <c r="BN49" s="1981">
        <f>+BL49/$BW49*100</f>
        <v>39.373163565132224</v>
      </c>
      <c r="BO49" s="266">
        <f>+AJ49+AM49+AN49+AO49+AU49</f>
        <v>3901</v>
      </c>
      <c r="BP49" s="1980">
        <f>+(BO49/BO42-1)*100</f>
        <v>-8.8977113498365235</v>
      </c>
      <c r="BQ49" s="1981">
        <f>+BO49/$BW49*100</f>
        <v>42.452932854499949</v>
      </c>
      <c r="BR49" s="24"/>
      <c r="BS49" s="266">
        <f>+AK49+AV49+AW49+AX49</f>
        <v>1670</v>
      </c>
      <c r="BT49" s="1980">
        <f>+(BS49/BS42-1)*100</f>
        <v>22.254758418740849</v>
      </c>
      <c r="BU49" s="1981">
        <f>+BS49/$BW49*100</f>
        <v>18.173903580367831</v>
      </c>
      <c r="BV49" s="24"/>
      <c r="BW49" s="266">
        <f>+BL49+BO49+BS49</f>
        <v>9189</v>
      </c>
      <c r="BX49" s="1980">
        <f>+(BW49/BW42-1)*100</f>
        <v>6.2926547137073463</v>
      </c>
      <c r="BY49" s="24"/>
      <c r="BZ49" s="389">
        <v>505</v>
      </c>
      <c r="CA49" s="1980">
        <f>+(BZ49/BZ42-1)*100</f>
        <v>10.262008733624462</v>
      </c>
      <c r="CB49" s="1981">
        <f>+BZ49/BL49*100</f>
        <v>13.957987838584854</v>
      </c>
      <c r="CC49" s="389">
        <v>-268</v>
      </c>
      <c r="CD49" s="1980">
        <f>+(CC49/CC42-1)*100</f>
        <v>-518.75</v>
      </c>
      <c r="CE49" s="1981">
        <f>+CC49/BO49*100</f>
        <v>-6.8700333247885155</v>
      </c>
      <c r="CF49" s="24"/>
      <c r="CG49" s="389">
        <v>159</v>
      </c>
      <c r="CH49" s="1980">
        <f>+(CG49/CG42-1)*100</f>
        <v>133.82352941176472</v>
      </c>
      <c r="CI49" s="1981">
        <f>+CG49/BS49*100</f>
        <v>9.5209580838323351</v>
      </c>
      <c r="CJ49" s="24"/>
      <c r="CK49" s="389">
        <v>84</v>
      </c>
      <c r="CL49" s="1980">
        <f>+(CK49/CK42-1)*100</f>
        <v>82.608695652173907</v>
      </c>
      <c r="CM49" s="1981">
        <f>+CK49/AV49*100</f>
        <v>16.091954022988507</v>
      </c>
      <c r="CN49" s="24"/>
      <c r="CO49" s="266">
        <f>+BZ49+CC49+CG49</f>
        <v>396</v>
      </c>
      <c r="CP49" s="1980">
        <f>+(CO49/CO42-1)*100</f>
        <v>-37.735849056603776</v>
      </c>
      <c r="CQ49" s="1981">
        <f>+CO49/BW49*100</f>
        <v>4.3095004897159646</v>
      </c>
      <c r="CR49" s="1981"/>
      <c r="CS49" s="24"/>
      <c r="CT49" s="24"/>
      <c r="CU49" s="24"/>
      <c r="CV49" s="24"/>
      <c r="CW49" s="24"/>
      <c r="CX49" s="24"/>
      <c r="CY49" s="24"/>
      <c r="CZ49" s="24"/>
      <c r="DA49" s="24"/>
      <c r="DB49" s="24"/>
      <c r="DC49" s="24"/>
      <c r="DD49" s="24"/>
      <c r="DE49" s="24"/>
      <c r="DF49" s="24"/>
      <c r="DG49" s="24"/>
      <c r="DH49" s="24"/>
      <c r="DI49" s="24"/>
      <c r="DJ49" s="24"/>
      <c r="DK49" s="24"/>
      <c r="DL49" s="24"/>
      <c r="DM49" s="24"/>
      <c r="DN49" s="24"/>
      <c r="DO49" s="24"/>
      <c r="DP49" s="24"/>
      <c r="DQ49" s="24"/>
      <c r="DR49" s="24"/>
      <c r="DS49" s="24"/>
      <c r="DT49" s="24"/>
      <c r="DU49" s="24"/>
      <c r="DV49" s="24"/>
      <c r="DW49" s="24"/>
      <c r="DX49" s="24"/>
      <c r="DY49" s="24"/>
      <c r="DZ49" s="24"/>
      <c r="EA49" s="24"/>
      <c r="EB49" s="24"/>
      <c r="EC49" s="24"/>
      <c r="ED49" s="24"/>
      <c r="EE49" s="24"/>
      <c r="EG49" s="24"/>
      <c r="EH49" s="24"/>
      <c r="EI49" s="24"/>
      <c r="EJ49" s="24"/>
    </row>
    <row r="50" spans="1:140" hidden="1" outlineLevel="2">
      <c r="A50" s="113"/>
      <c r="B50" s="24"/>
      <c r="C50" s="24"/>
      <c r="D50" s="2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168"/>
      <c r="AU50" s="24"/>
      <c r="AV50" s="24"/>
      <c r="AW50" s="24"/>
      <c r="AX50" s="24"/>
      <c r="AY50" s="24"/>
      <c r="AZ50" s="24"/>
      <c r="BA50" s="24"/>
      <c r="BB50" s="24"/>
      <c r="BC50" s="24"/>
      <c r="BD50" s="24"/>
      <c r="BE50" s="24"/>
      <c r="BF50" s="24"/>
      <c r="BG50" s="24"/>
      <c r="BH50" s="24"/>
      <c r="BI50" s="24"/>
      <c r="BJ50" s="24"/>
      <c r="BK50" s="78"/>
      <c r="BL50" s="24"/>
      <c r="BM50" s="24"/>
      <c r="BN50" s="24"/>
      <c r="BO50" s="24"/>
      <c r="BP50" s="24"/>
      <c r="BQ50" s="24"/>
      <c r="BR50" s="24"/>
      <c r="BS50" s="24"/>
      <c r="BT50" s="24"/>
      <c r="BU50" s="24"/>
      <c r="BV50" s="24"/>
      <c r="BW50" s="24"/>
      <c r="BX50" s="24"/>
      <c r="BY50" s="24"/>
      <c r="BZ50" s="24"/>
      <c r="CA50" s="24"/>
      <c r="CB50" s="24"/>
      <c r="CC50" s="24"/>
      <c r="CD50" s="24"/>
      <c r="CE50" s="24"/>
      <c r="CF50" s="24"/>
      <c r="CG50" s="24"/>
      <c r="CH50" s="24"/>
      <c r="CI50" s="24"/>
      <c r="CJ50" s="24"/>
      <c r="CK50" s="24"/>
      <c r="CL50" s="24"/>
      <c r="CM50" s="24"/>
      <c r="CN50" s="24"/>
      <c r="CO50" s="24"/>
      <c r="CP50" s="24"/>
      <c r="CQ50" s="24"/>
      <c r="CR50" s="24"/>
      <c r="CS50" s="24"/>
      <c r="CT50" s="24"/>
      <c r="CU50" s="24"/>
      <c r="CV50" s="24"/>
      <c r="CW50" s="24"/>
      <c r="CX50" s="24"/>
      <c r="CY50" s="24"/>
      <c r="CZ50" s="24"/>
      <c r="DA50" s="24"/>
      <c r="DB50" s="24"/>
      <c r="DC50" s="24"/>
      <c r="DD50" s="24"/>
      <c r="DE50" s="24"/>
      <c r="DF50" s="24"/>
      <c r="DG50" s="24"/>
      <c r="DH50" s="24"/>
      <c r="DI50" s="24"/>
      <c r="DJ50" s="24"/>
      <c r="DK50" s="24"/>
      <c r="DL50" s="24"/>
      <c r="DM50" s="24"/>
      <c r="DN50" s="24"/>
      <c r="DO50" s="24"/>
      <c r="DP50" s="24"/>
      <c r="DQ50" s="24"/>
      <c r="DR50" s="24"/>
      <c r="DS50" s="24"/>
      <c r="DT50" s="24"/>
      <c r="DU50" s="24"/>
      <c r="DV50" s="24"/>
      <c r="DW50" s="24"/>
      <c r="DX50" s="24"/>
      <c r="DY50" s="24"/>
      <c r="DZ50" s="24"/>
      <c r="EA50" s="24"/>
      <c r="EB50" s="24"/>
      <c r="EC50" s="24"/>
      <c r="ED50" s="24"/>
      <c r="EE50" s="24"/>
      <c r="EG50" s="24"/>
      <c r="EH50" s="24"/>
      <c r="EI50" s="24"/>
      <c r="EJ50" s="24"/>
    </row>
    <row r="51" spans="1:140" hidden="1" outlineLevel="2">
      <c r="A51" s="113"/>
      <c r="B51" s="136">
        <f>+qtrSales!B74</f>
        <v>1998</v>
      </c>
      <c r="C51" s="24"/>
      <c r="D51" s="24"/>
      <c r="E51" s="24"/>
      <c r="F51" s="24"/>
      <c r="G51" s="1980"/>
      <c r="H51" s="1981"/>
      <c r="I51" s="1981"/>
      <c r="J51" s="1981"/>
      <c r="K51" s="24"/>
      <c r="L51" s="1980"/>
      <c r="M51" s="1981"/>
      <c r="N51" s="1981"/>
      <c r="O51" s="1981"/>
      <c r="P51" s="1981"/>
      <c r="Q51" s="24"/>
      <c r="R51" s="24"/>
      <c r="S51" s="1980"/>
      <c r="T51" s="1980"/>
      <c r="U51" s="1981"/>
      <c r="V51" s="24"/>
      <c r="W51" s="24"/>
      <c r="X51" s="24"/>
      <c r="Y51" s="24"/>
      <c r="Z51" s="24"/>
      <c r="AA51" s="24"/>
      <c r="AB51" s="24"/>
      <c r="AC51" s="1980"/>
      <c r="AD51" s="1981"/>
      <c r="AE51" s="1981"/>
      <c r="AF51" s="1981"/>
      <c r="AG51" s="1981"/>
      <c r="AH51" s="1981"/>
      <c r="AI51" s="24"/>
      <c r="AJ51" s="24"/>
      <c r="AK51" s="24"/>
      <c r="AL51" s="24"/>
      <c r="AM51" s="24"/>
      <c r="AN51" s="24"/>
      <c r="AO51" s="24"/>
      <c r="AP51" s="24"/>
      <c r="AQ51" s="1980"/>
      <c r="AR51" s="1981"/>
      <c r="AS51" s="24"/>
      <c r="AT51" s="24"/>
      <c r="AU51" s="24"/>
      <c r="AV51" s="24"/>
      <c r="AW51" s="24"/>
      <c r="AX51" s="24"/>
      <c r="AY51" s="24"/>
      <c r="AZ51" s="24"/>
      <c r="BA51" s="24"/>
      <c r="BB51" s="24"/>
      <c r="BC51" s="24"/>
      <c r="BD51" s="1980"/>
      <c r="BE51" s="24"/>
      <c r="BF51" s="1980"/>
      <c r="BG51" s="1981"/>
      <c r="BH51" s="24"/>
      <c r="BI51" s="24"/>
      <c r="BJ51" s="24"/>
      <c r="BK51" s="2889"/>
      <c r="BL51" s="389"/>
      <c r="BM51" s="1988"/>
      <c r="BN51" s="1989"/>
      <c r="BO51" s="389"/>
      <c r="BP51" s="389"/>
      <c r="BQ51" s="389"/>
      <c r="BR51" s="389"/>
      <c r="BS51" s="389"/>
      <c r="BT51" s="389"/>
      <c r="BU51" s="389"/>
      <c r="BV51" s="389"/>
      <c r="BW51" s="266"/>
      <c r="BX51" s="24"/>
      <c r="BY51" s="24"/>
      <c r="BZ51" s="389"/>
      <c r="CA51" s="1988"/>
      <c r="CB51" s="1989"/>
      <c r="CC51" s="389"/>
      <c r="CD51" s="389"/>
      <c r="CE51" s="389"/>
      <c r="CF51" s="389"/>
      <c r="CG51" s="389"/>
      <c r="CH51" s="389"/>
      <c r="CI51" s="389"/>
      <c r="CJ51" s="389"/>
      <c r="CK51" s="389"/>
      <c r="CL51" s="389"/>
      <c r="CM51" s="389"/>
      <c r="CN51" s="389"/>
      <c r="CO51" s="266"/>
      <c r="CP51" s="24"/>
      <c r="CQ51" s="24"/>
      <c r="CR51" s="24"/>
      <c r="CS51" s="24"/>
      <c r="CT51" s="24"/>
      <c r="CU51" s="24"/>
      <c r="CV51" s="24"/>
      <c r="CW51" s="24"/>
      <c r="CX51" s="24"/>
      <c r="CY51" s="24"/>
      <c r="CZ51" s="24"/>
      <c r="DA51" s="24"/>
      <c r="DB51" s="24"/>
      <c r="DC51" s="24"/>
      <c r="DD51" s="24"/>
      <c r="DE51" s="24"/>
      <c r="DF51" s="24"/>
      <c r="DG51" s="24"/>
      <c r="DH51" s="24"/>
      <c r="DI51" s="24"/>
      <c r="DJ51" s="24"/>
      <c r="DK51" s="24"/>
      <c r="DL51" s="24"/>
      <c r="DM51" s="24"/>
      <c r="DN51" s="24"/>
      <c r="DO51" s="24"/>
      <c r="DP51" s="24"/>
      <c r="DQ51" s="24"/>
      <c r="DR51" s="24"/>
      <c r="DS51" s="24"/>
      <c r="DT51" s="24"/>
      <c r="DU51" s="24"/>
      <c r="DV51" s="24"/>
      <c r="DW51" s="24"/>
      <c r="DX51" s="24"/>
      <c r="DY51" s="24"/>
      <c r="DZ51" s="24"/>
      <c r="EA51" s="24"/>
      <c r="EB51" s="24"/>
      <c r="EC51" s="24"/>
      <c r="ED51" s="24"/>
      <c r="EE51" s="24"/>
      <c r="EG51" s="24"/>
      <c r="EH51" s="24"/>
      <c r="EI51" s="24"/>
      <c r="EJ51" s="24"/>
    </row>
    <row r="52" spans="1:140" hidden="1" outlineLevel="2">
      <c r="A52" s="113" t="str">
        <f>+qtrSales!A75</f>
        <v>1Q</v>
      </c>
      <c r="B52" s="24" t="str">
        <f>+qtrSales!B75</f>
        <v>Apr</v>
      </c>
      <c r="C52" s="24"/>
      <c r="D52" s="24"/>
      <c r="E52" s="1982">
        <v>362</v>
      </c>
      <c r="F52" s="1982"/>
      <c r="G52" s="1980">
        <f>+(E52/E45-1)*100</f>
        <v>11.384615384615394</v>
      </c>
      <c r="H52" s="1981">
        <f>+E52/$BI52*100</f>
        <v>18.02788844621514</v>
      </c>
      <c r="I52" s="1981"/>
      <c r="J52" s="1981"/>
      <c r="K52" s="1982">
        <v>199</v>
      </c>
      <c r="L52" s="1980">
        <f>+(K52/K45-1)*100</f>
        <v>10.555555555555562</v>
      </c>
      <c r="M52" s="1981">
        <f>+K52/$BI52*100</f>
        <v>9.9103585657370505</v>
      </c>
      <c r="N52" s="1981"/>
      <c r="O52" s="1981"/>
      <c r="P52" s="1981"/>
      <c r="Q52" s="24"/>
      <c r="R52" s="381">
        <f>+E52+K52</f>
        <v>561</v>
      </c>
      <c r="S52" s="1980">
        <f>+(R52/R45-1)*100</f>
        <v>11.089108910891099</v>
      </c>
      <c r="T52" s="1980"/>
      <c r="U52" s="1981">
        <f>+R52/$BI52*100</f>
        <v>27.938247011952189</v>
      </c>
      <c r="V52" s="24"/>
      <c r="W52" s="1982">
        <v>205</v>
      </c>
      <c r="X52" s="1982"/>
      <c r="Y52" s="1982"/>
      <c r="Z52" s="1982"/>
      <c r="AA52" s="1982"/>
      <c r="AB52" s="1982"/>
      <c r="AC52" s="1980">
        <f>+(W52/W45-1)*100</f>
        <v>15.819209039548031</v>
      </c>
      <c r="AD52" s="1981">
        <f>+W52/$BI52*100</f>
        <v>10.209163346613547</v>
      </c>
      <c r="AE52" s="1981"/>
      <c r="AF52" s="1981"/>
      <c r="AG52" s="1981"/>
      <c r="AH52" s="1981"/>
      <c r="AI52" s="24"/>
      <c r="AJ52" s="1982">
        <v>269</v>
      </c>
      <c r="AK52" s="1982">
        <v>121</v>
      </c>
      <c r="AL52" s="381">
        <f>+AJ52+AK52</f>
        <v>390</v>
      </c>
      <c r="AM52" s="1982">
        <v>202</v>
      </c>
      <c r="AN52" s="1982">
        <v>211</v>
      </c>
      <c r="AO52" s="1982">
        <v>171</v>
      </c>
      <c r="AP52" s="381">
        <f>+SUM(AL52:AO52)</f>
        <v>974</v>
      </c>
      <c r="AQ52" s="1980">
        <f>+(AP52/AP45-1)*100</f>
        <v>4.7311827956989294</v>
      </c>
      <c r="AR52" s="1981">
        <f>+AP52/$BI52*100</f>
        <v>48.505976095617534</v>
      </c>
      <c r="AS52" s="24"/>
      <c r="AT52" s="1982">
        <v>0</v>
      </c>
      <c r="AU52" s="1982">
        <v>12</v>
      </c>
      <c r="AV52" s="1982">
        <v>134</v>
      </c>
      <c r="AW52" s="1982">
        <v>82</v>
      </c>
      <c r="AX52" s="1982">
        <v>35</v>
      </c>
      <c r="AY52" s="1982">
        <v>5</v>
      </c>
      <c r="AZ52" s="1982"/>
      <c r="BA52" s="1982"/>
      <c r="BB52" s="1982"/>
      <c r="BC52" s="381"/>
      <c r="BD52" s="1980" t="e">
        <f>+(BC52/BC45-1)*100</f>
        <v>#DIV/0!</v>
      </c>
      <c r="BE52" s="381">
        <f>+SUM(AT52:AY52)</f>
        <v>268</v>
      </c>
      <c r="BF52" s="1980">
        <f>+(BE52/BE45-1)*100</f>
        <v>22.935779816513758</v>
      </c>
      <c r="BG52" s="1981">
        <f>+BE52/$BI52*100</f>
        <v>13.346613545816732</v>
      </c>
      <c r="BH52" s="24"/>
      <c r="BI52" s="381">
        <f>+E52+K52+W52+AP52+BE52</f>
        <v>2008</v>
      </c>
      <c r="BJ52" s="381"/>
      <c r="BK52" s="2889">
        <f>+(BI52/BI45-1)*100</f>
        <v>9.7267759562841505</v>
      </c>
      <c r="BL52" s="381">
        <f>+E52+K52+W52+AT52+AY52</f>
        <v>771</v>
      </c>
      <c r="BM52" s="1980">
        <f>+(BL52/BL45-1)*100</f>
        <v>9.5170454545454586</v>
      </c>
      <c r="BN52" s="1981">
        <f>+BL52/$BW52*100</f>
        <v>38.396414342629484</v>
      </c>
      <c r="BO52" s="381">
        <f>+AJ52+AM52+AN52+AO52+AU52</f>
        <v>865</v>
      </c>
      <c r="BP52" s="1980">
        <f>+(BO52/BO45-1)*100</f>
        <v>4.4685990338164228</v>
      </c>
      <c r="BQ52" s="1981">
        <f>+BO52/$BW52*100</f>
        <v>43.077689243027891</v>
      </c>
      <c r="BR52" s="389"/>
      <c r="BS52" s="381">
        <f>+AK52+AV52+AW52+AX52</f>
        <v>372</v>
      </c>
      <c r="BT52" s="1980">
        <f>+(BS52/BS45-1)*100</f>
        <v>24.832214765100669</v>
      </c>
      <c r="BU52" s="1981">
        <f>+BS52/$BW52*100</f>
        <v>18.525896414342629</v>
      </c>
      <c r="BV52" s="389"/>
      <c r="BW52" s="381">
        <f>+BL52+BO52+BS52</f>
        <v>2008</v>
      </c>
      <c r="BX52" s="1980">
        <f>+(BW52/BW45-1)*100</f>
        <v>9.7267759562841505</v>
      </c>
      <c r="BY52" s="24"/>
      <c r="BZ52" s="390">
        <v>71</v>
      </c>
      <c r="CA52" s="1980">
        <f>+(BZ52/BZ45-1)*100</f>
        <v>18.333333333333336</v>
      </c>
      <c r="CB52" s="1981">
        <f>+BZ52/BL52*100</f>
        <v>9.2088197146562916</v>
      </c>
      <c r="CC52" s="390">
        <v>-40</v>
      </c>
      <c r="CD52" s="1980">
        <f>+(CC52/CC45-1)*100</f>
        <v>53.846153846153854</v>
      </c>
      <c r="CE52" s="1981">
        <f>+CC52/BO52*100</f>
        <v>-4.6242774566473983</v>
      </c>
      <c r="CF52" s="389"/>
      <c r="CG52" s="390">
        <v>104</v>
      </c>
      <c r="CH52" s="1980">
        <f>+(CG52/CG45-1)*100</f>
        <v>642.85714285714289</v>
      </c>
      <c r="CI52" s="1981">
        <f>+CG52/BS52*100</f>
        <v>27.956989247311824</v>
      </c>
      <c r="CJ52" s="24"/>
      <c r="CK52" s="390">
        <v>10</v>
      </c>
      <c r="CL52" s="1980">
        <f>+(CK52/CK45-1)*100</f>
        <v>400</v>
      </c>
      <c r="CM52" s="1981">
        <f>+CK52/AV52*100</f>
        <v>7.4626865671641784</v>
      </c>
      <c r="CN52" s="24"/>
      <c r="CO52" s="165">
        <f>+BZ52+CC52+CG52</f>
        <v>135</v>
      </c>
      <c r="CP52" s="1980">
        <f>+(CO52/CO45-1)*100</f>
        <v>181.25</v>
      </c>
      <c r="CQ52" s="1981">
        <f>+CO52/BW52*100</f>
        <v>6.7231075697211153</v>
      </c>
      <c r="CR52" s="1981"/>
      <c r="CS52" s="24"/>
      <c r="CT52" s="24"/>
      <c r="CU52" s="24"/>
      <c r="CV52" s="24"/>
      <c r="CW52" s="24"/>
      <c r="CX52" s="24"/>
      <c r="CY52" s="24"/>
      <c r="CZ52" s="24"/>
      <c r="DA52" s="24"/>
      <c r="DB52" s="24"/>
      <c r="DC52" s="24"/>
      <c r="DD52" s="24"/>
      <c r="DE52" s="24"/>
      <c r="DF52" s="24"/>
      <c r="DG52" s="24"/>
      <c r="DH52" s="24"/>
      <c r="DI52" s="24"/>
      <c r="DJ52" s="24"/>
      <c r="DK52" s="24"/>
      <c r="DL52" s="24"/>
      <c r="DM52" s="24"/>
      <c r="DN52" s="24"/>
      <c r="DO52" s="24"/>
      <c r="DP52" s="24"/>
      <c r="DQ52" s="24"/>
      <c r="DR52" s="24"/>
      <c r="DS52" s="24"/>
      <c r="DT52" s="24"/>
      <c r="DU52" s="24"/>
      <c r="DV52" s="24"/>
      <c r="DW52" s="24"/>
      <c r="DX52" s="24"/>
      <c r="DY52" s="24"/>
      <c r="DZ52" s="24"/>
      <c r="EA52" s="24"/>
      <c r="EB52" s="24"/>
      <c r="EC52" s="24"/>
      <c r="ED52" s="24"/>
      <c r="EE52" s="24"/>
      <c r="EG52" s="24"/>
      <c r="EH52" s="24"/>
      <c r="EI52" s="24"/>
      <c r="EJ52" s="24"/>
    </row>
    <row r="53" spans="1:140" hidden="1" outlineLevel="2">
      <c r="A53" s="113" t="str">
        <f>+qtrSales!A76</f>
        <v>2Q</v>
      </c>
      <c r="B53" s="24" t="str">
        <f>+qtrSales!B76</f>
        <v>Jul</v>
      </c>
      <c r="C53" s="24"/>
      <c r="D53" s="24"/>
      <c r="E53" s="388">
        <v>413</v>
      </c>
      <c r="F53" s="388"/>
      <c r="G53" s="1980">
        <f>+(E53/E46-1)*100</f>
        <v>6.1696658097686319</v>
      </c>
      <c r="H53" s="1981">
        <f>+E53/$BI53*100</f>
        <v>19.827172347575612</v>
      </c>
      <c r="I53" s="1981"/>
      <c r="J53" s="1981"/>
      <c r="K53" s="388">
        <v>202</v>
      </c>
      <c r="L53" s="1980">
        <f>+(K53/K46-1)*100</f>
        <v>3.0612244897959107</v>
      </c>
      <c r="M53" s="1981">
        <f>+K53/$BI53*100</f>
        <v>9.6975516082573208</v>
      </c>
      <c r="N53" s="1981"/>
      <c r="O53" s="1981"/>
      <c r="P53" s="1981"/>
      <c r="Q53" s="24"/>
      <c r="R53" s="387">
        <f>+E53+K53</f>
        <v>615</v>
      </c>
      <c r="S53" s="1980">
        <f>+(R53/R46-1)*100</f>
        <v>5.1282051282051322</v>
      </c>
      <c r="T53" s="1980"/>
      <c r="U53" s="1981">
        <f>+R53/$BI53*100</f>
        <v>29.524723955832933</v>
      </c>
      <c r="V53" s="24"/>
      <c r="W53" s="388">
        <v>254</v>
      </c>
      <c r="X53" s="388"/>
      <c r="Y53" s="388"/>
      <c r="Z53" s="388"/>
      <c r="AA53" s="388"/>
      <c r="AB53" s="388"/>
      <c r="AC53" s="1980">
        <f>+(W53/W46-1)*100</f>
        <v>19.811320754716988</v>
      </c>
      <c r="AD53" s="1981">
        <f>+W53/$BI53*100</f>
        <v>12.193951032165147</v>
      </c>
      <c r="AE53" s="1981"/>
      <c r="AF53" s="1981"/>
      <c r="AG53" s="1981"/>
      <c r="AH53" s="1981"/>
      <c r="AI53" s="24"/>
      <c r="AJ53" s="388">
        <v>284</v>
      </c>
      <c r="AK53" s="388">
        <v>131</v>
      </c>
      <c r="AL53" s="266">
        <f>+AJ53+AK53</f>
        <v>415</v>
      </c>
      <c r="AM53" s="388">
        <v>216</v>
      </c>
      <c r="AN53" s="388">
        <v>230</v>
      </c>
      <c r="AO53" s="388">
        <v>169</v>
      </c>
      <c r="AP53" s="266">
        <f>+SUM(AL53:AO53)</f>
        <v>1030</v>
      </c>
      <c r="AQ53" s="1980">
        <f>+(AP53/AP46-1)*100</f>
        <v>3.7260825780463191</v>
      </c>
      <c r="AR53" s="1981">
        <f>+AP53/$BI53*100</f>
        <v>49.447911665866542</v>
      </c>
      <c r="AS53" s="24"/>
      <c r="AT53" s="388">
        <v>0</v>
      </c>
      <c r="AU53" s="388">
        <v>8</v>
      </c>
      <c r="AV53" s="388">
        <v>22</v>
      </c>
      <c r="AW53" s="388">
        <v>75</v>
      </c>
      <c r="AX53" s="388">
        <f>46+27</f>
        <v>73</v>
      </c>
      <c r="AY53" s="388">
        <v>6</v>
      </c>
      <c r="AZ53" s="388"/>
      <c r="BA53" s="388"/>
      <c r="BB53" s="388"/>
      <c r="BC53" s="266"/>
      <c r="BD53" s="1980" t="e">
        <f>+(BC53/BC46-1)*100</f>
        <v>#DIV/0!</v>
      </c>
      <c r="BE53" s="266">
        <f>+SUM(AT53:AY53)</f>
        <v>184</v>
      </c>
      <c r="BF53" s="1980">
        <f>+(BE53/BE46-1)*100</f>
        <v>-19.999999999999996</v>
      </c>
      <c r="BG53" s="1981">
        <f>+BE53/$BI53*100</f>
        <v>8.8334133461353819</v>
      </c>
      <c r="BH53" s="24"/>
      <c r="BI53" s="266">
        <f>+E53+K53+W53+AP53+BE53</f>
        <v>2083</v>
      </c>
      <c r="BJ53" s="266"/>
      <c r="BK53" s="2889">
        <f>+(BI53/BI46-1)*100</f>
        <v>3.1188118811881216</v>
      </c>
      <c r="BL53" s="266">
        <f>+E53+K53+W53+AT53+AY53</f>
        <v>875</v>
      </c>
      <c r="BM53" s="1980">
        <f>+(BL53/BL46-1)*100</f>
        <v>5.8041112454655375</v>
      </c>
      <c r="BN53" s="1981">
        <f>+BL53/$BW53*100</f>
        <v>42.006721075372063</v>
      </c>
      <c r="BO53" s="266">
        <f>+AJ53+AM53+AN53+AO53+AU53</f>
        <v>907</v>
      </c>
      <c r="BP53" s="1980">
        <f>+(BO53/BO46-1)*100</f>
        <v>5.7109557109557008</v>
      </c>
      <c r="BQ53" s="1981">
        <f>+BO53/$BW53*100</f>
        <v>43.54296687469995</v>
      </c>
      <c r="BR53" s="389"/>
      <c r="BS53" s="266">
        <f>+AK53+AV53+AW53+AX53</f>
        <v>301</v>
      </c>
      <c r="BT53" s="1980">
        <f>+(BS53/BS46-1)*100</f>
        <v>-10.149253731343288</v>
      </c>
      <c r="BU53" s="1981">
        <f>+BS53/$BW53*100</f>
        <v>14.450312049927987</v>
      </c>
      <c r="BV53" s="389"/>
      <c r="BW53" s="266">
        <f>+BL53+BO53+BS53</f>
        <v>2083</v>
      </c>
      <c r="BX53" s="1980">
        <f>+(BW53/BW46-1)*100</f>
        <v>3.1188118811881216</v>
      </c>
      <c r="BY53" s="24"/>
      <c r="BZ53" s="389">
        <v>125</v>
      </c>
      <c r="CA53" s="1980">
        <f>+(BZ53/BZ46-1)*100</f>
        <v>16.822429906542059</v>
      </c>
      <c r="CB53" s="1981">
        <f>+BZ53/BL53*100</f>
        <v>14.285714285714285</v>
      </c>
      <c r="CC53" s="389">
        <v>-25</v>
      </c>
      <c r="CD53" s="1980">
        <f>+(CC53/CC46-1)*100</f>
        <v>-63.768115942028977</v>
      </c>
      <c r="CE53" s="1981">
        <f>+CC53/BO53*100</f>
        <v>-2.7563395810363835</v>
      </c>
      <c r="CF53" s="389"/>
      <c r="CG53" s="389">
        <v>-25</v>
      </c>
      <c r="CH53" s="1980">
        <f>+(CG53/CG46-1)*100</f>
        <v>-183.33333333333334</v>
      </c>
      <c r="CI53" s="1981">
        <f>+CG53/BS53*100</f>
        <v>-8.3056478405315612</v>
      </c>
      <c r="CJ53" s="389"/>
      <c r="CK53" s="389">
        <v>2</v>
      </c>
      <c r="CL53" s="1990" t="s">
        <v>886</v>
      </c>
      <c r="CM53" s="1981">
        <f>+CK53/AV53*100</f>
        <v>9.0909090909090917</v>
      </c>
      <c r="CN53" s="389"/>
      <c r="CO53" s="266">
        <f>+BZ53+CC53+CG53</f>
        <v>75</v>
      </c>
      <c r="CP53" s="1980">
        <f>+(CO53/CO46-1)*100</f>
        <v>10.294117647058831</v>
      </c>
      <c r="CQ53" s="1981">
        <f>+CO53/BW53*100</f>
        <v>3.6005760921747481</v>
      </c>
      <c r="CR53" s="1981"/>
      <c r="CS53" s="24"/>
      <c r="CT53" s="24"/>
      <c r="CU53" s="24"/>
      <c r="CV53" s="24"/>
      <c r="CW53" s="24"/>
      <c r="CX53" s="24"/>
      <c r="CY53" s="24"/>
      <c r="CZ53" s="24"/>
      <c r="DA53" s="24"/>
      <c r="DB53" s="24"/>
      <c r="DC53" s="24"/>
      <c r="DD53" s="24"/>
      <c r="DE53" s="24"/>
      <c r="DF53" s="24"/>
      <c r="DG53" s="24"/>
      <c r="DH53" s="24"/>
      <c r="DI53" s="24"/>
      <c r="DJ53" s="24"/>
      <c r="DK53" s="24"/>
      <c r="DL53" s="24"/>
      <c r="DM53" s="24"/>
      <c r="DN53" s="24"/>
      <c r="DO53" s="24"/>
      <c r="DP53" s="24"/>
      <c r="DQ53" s="24"/>
      <c r="DR53" s="24"/>
      <c r="DS53" s="24"/>
      <c r="DT53" s="24"/>
      <c r="DU53" s="24"/>
      <c r="DV53" s="24"/>
      <c r="DW53" s="24"/>
      <c r="DX53" s="24"/>
      <c r="DY53" s="24"/>
      <c r="DZ53" s="24"/>
      <c r="EA53" s="24"/>
      <c r="EB53" s="24"/>
      <c r="EC53" s="24"/>
      <c r="ED53" s="24"/>
      <c r="EE53" s="24"/>
      <c r="EG53" s="24"/>
      <c r="EH53" s="24"/>
      <c r="EI53" s="24"/>
      <c r="EJ53" s="24"/>
    </row>
    <row r="54" spans="1:140" hidden="1" outlineLevel="2">
      <c r="A54" s="113" t="str">
        <f>+qtrSales!A77</f>
        <v>3Q</v>
      </c>
      <c r="B54" s="24" t="str">
        <f>+qtrSales!B77</f>
        <v>Oct</v>
      </c>
      <c r="C54" s="24"/>
      <c r="D54" s="24"/>
      <c r="E54" s="388">
        <v>352</v>
      </c>
      <c r="F54" s="388"/>
      <c r="G54" s="1980">
        <f>+(E54/E47-1)*100</f>
        <v>6.024096385542177</v>
      </c>
      <c r="H54" s="1981">
        <f>+E54/$BI54*100</f>
        <v>17.599999999999998</v>
      </c>
      <c r="I54" s="1981"/>
      <c r="J54" s="1981"/>
      <c r="K54" s="388">
        <v>130</v>
      </c>
      <c r="L54" s="1980">
        <f>+(K54/K47-1)*100</f>
        <v>-9.0909090909090935</v>
      </c>
      <c r="M54" s="1981">
        <f>+K54/$BI54*100</f>
        <v>6.5</v>
      </c>
      <c r="N54" s="1981"/>
      <c r="O54" s="1981"/>
      <c r="P54" s="1981"/>
      <c r="Q54" s="24"/>
      <c r="R54" s="387">
        <f>+E54+K54</f>
        <v>482</v>
      </c>
      <c r="S54" s="1980">
        <f>+(R54/R47-1)*100</f>
        <v>1.4736842105263159</v>
      </c>
      <c r="T54" s="1980"/>
      <c r="U54" s="1981">
        <f>+R54/$BI54*100</f>
        <v>24.099999999999998</v>
      </c>
      <c r="V54" s="24"/>
      <c r="W54" s="388">
        <v>218</v>
      </c>
      <c r="X54" s="388"/>
      <c r="Y54" s="388"/>
      <c r="Z54" s="388"/>
      <c r="AA54" s="388"/>
      <c r="AB54" s="388"/>
      <c r="AC54" s="1980">
        <f>+(W54/W47-1)*100</f>
        <v>19.780219780219777</v>
      </c>
      <c r="AD54" s="1981">
        <f>+W54/$BI54*100</f>
        <v>10.9</v>
      </c>
      <c r="AE54" s="1981"/>
      <c r="AF54" s="1981"/>
      <c r="AG54" s="1981"/>
      <c r="AH54" s="1981"/>
      <c r="AI54" s="24"/>
      <c r="AJ54" s="388">
        <v>357</v>
      </c>
      <c r="AK54" s="388">
        <v>140</v>
      </c>
      <c r="AL54" s="266">
        <f>+AJ54+AK54</f>
        <v>497</v>
      </c>
      <c r="AM54" s="388">
        <v>218</v>
      </c>
      <c r="AN54" s="388">
        <v>209</v>
      </c>
      <c r="AO54" s="388">
        <v>181</v>
      </c>
      <c r="AP54" s="266">
        <f>+SUM(AL54:AO54)</f>
        <v>1105</v>
      </c>
      <c r="AQ54" s="1980">
        <f>+(AP54/AP47-1)*100</f>
        <v>1.9372693726937174</v>
      </c>
      <c r="AR54" s="1981">
        <f>+AP54/$BI54*100</f>
        <v>55.25</v>
      </c>
      <c r="AS54" s="24"/>
      <c r="AT54" s="388">
        <v>0</v>
      </c>
      <c r="AU54" s="388">
        <v>10</v>
      </c>
      <c r="AV54" s="388">
        <v>0</v>
      </c>
      <c r="AW54" s="388">
        <v>97</v>
      </c>
      <c r="AX54" s="388">
        <f>49+30</f>
        <v>79</v>
      </c>
      <c r="AY54" s="388">
        <v>9</v>
      </c>
      <c r="AZ54" s="388"/>
      <c r="BA54" s="388"/>
      <c r="BB54" s="388"/>
      <c r="BC54" s="266"/>
      <c r="BD54" s="1980" t="e">
        <f>+(BC54/BC47-1)*100</f>
        <v>#DIV/0!</v>
      </c>
      <c r="BE54" s="266">
        <f>+SUM(AT54:AY54)</f>
        <v>195</v>
      </c>
      <c r="BF54" s="1980">
        <f>+(BE54/BE47-1)*100</f>
        <v>-40.909090909090907</v>
      </c>
      <c r="BG54" s="1981">
        <f>+BE54/$BI54*100</f>
        <v>9.75</v>
      </c>
      <c r="BH54" s="24"/>
      <c r="BI54" s="266">
        <f>+E54+K54+W54+AP54+BE54</f>
        <v>2000</v>
      </c>
      <c r="BJ54" s="266"/>
      <c r="BK54" s="2889">
        <f>+(BI54/BI47-1)*100</f>
        <v>-3.4282955094157463</v>
      </c>
      <c r="BL54" s="266">
        <f>+E54+K54+W54+AT54+AY54</f>
        <v>709</v>
      </c>
      <c r="BM54" s="1980">
        <f>+(BL54/BL47-1)*100</f>
        <v>2.753623188405796</v>
      </c>
      <c r="BN54" s="1981">
        <f>+BL54/$BW54*100</f>
        <v>35.449999999999996</v>
      </c>
      <c r="BO54" s="266">
        <f>+AJ54+AM54+AN54+AO54+AU54</f>
        <v>975</v>
      </c>
      <c r="BP54" s="1980">
        <f>+(BO54/BO47-1)*100</f>
        <v>1.4568158168574374</v>
      </c>
      <c r="BQ54" s="1981">
        <f>+BO54/$BW54*100</f>
        <v>48.75</v>
      </c>
      <c r="BR54" s="24"/>
      <c r="BS54" s="266">
        <f>+AK54+AV54+AW54+AX54</f>
        <v>316</v>
      </c>
      <c r="BT54" s="1980">
        <f>+(BS54/BS47-1)*100</f>
        <v>-24.761904761904763</v>
      </c>
      <c r="BU54" s="1981">
        <f>+BS54/$BW54*100</f>
        <v>15.8</v>
      </c>
      <c r="BV54" s="24"/>
      <c r="BW54" s="266">
        <f>+BL54+BO54+BS54</f>
        <v>2000</v>
      </c>
      <c r="BX54" s="1980">
        <f>+(BW54/BW47-1)*100</f>
        <v>-3.4282955094157463</v>
      </c>
      <c r="BY54" s="24"/>
      <c r="BZ54" s="389">
        <v>71</v>
      </c>
      <c r="CA54" s="1980">
        <f>+(BZ54/BZ47-1)*100</f>
        <v>7.575757575757569</v>
      </c>
      <c r="CB54" s="1981">
        <f>+BZ54/BL54*100</f>
        <v>10.01410437235543</v>
      </c>
      <c r="CC54" s="389">
        <v>-16</v>
      </c>
      <c r="CD54" s="1980">
        <f>+(CC54/CC47-1)*100</f>
        <v>300</v>
      </c>
      <c r="CE54" s="1981">
        <f>+CC54/BO54*100</f>
        <v>-1.641025641025641</v>
      </c>
      <c r="CF54" s="24"/>
      <c r="CG54" s="389">
        <v>26</v>
      </c>
      <c r="CH54" s="1980">
        <f>+(CG54/CG47-1)*100</f>
        <v>73.333333333333343</v>
      </c>
      <c r="CI54" s="1981">
        <f>+CG54/BS54*100</f>
        <v>8.2278481012658222</v>
      </c>
      <c r="CJ54" s="24"/>
      <c r="CK54" s="389">
        <v>0</v>
      </c>
      <c r="CL54" s="1990" t="s">
        <v>886</v>
      </c>
      <c r="CM54" s="1981"/>
      <c r="CN54" s="24"/>
      <c r="CO54" s="266">
        <f>+BZ54+CC54+CG54</f>
        <v>81</v>
      </c>
      <c r="CP54" s="1980">
        <f>+(CO54/CO47-1)*100</f>
        <v>5.1948051948051965</v>
      </c>
      <c r="CQ54" s="1981">
        <f>+CO54/BW54*100</f>
        <v>4.05</v>
      </c>
      <c r="CR54" s="1981"/>
      <c r="CS54" s="24"/>
      <c r="CT54" s="24"/>
      <c r="CU54" s="24"/>
      <c r="CV54" s="24"/>
      <c r="CW54" s="24"/>
      <c r="CX54" s="24"/>
      <c r="CY54" s="24"/>
      <c r="CZ54" s="24"/>
      <c r="DA54" s="24"/>
      <c r="DB54" s="24"/>
      <c r="DC54" s="24"/>
      <c r="DD54" s="24"/>
      <c r="DE54" s="24"/>
      <c r="DF54" s="24"/>
      <c r="DG54" s="24"/>
      <c r="DH54" s="24"/>
      <c r="DI54" s="24"/>
      <c r="DJ54" s="24"/>
      <c r="DK54" s="24"/>
      <c r="DL54" s="24"/>
      <c r="DM54" s="24"/>
      <c r="DN54" s="24"/>
      <c r="DO54" s="24"/>
      <c r="DP54" s="24"/>
      <c r="DQ54" s="24"/>
      <c r="DR54" s="24"/>
      <c r="DS54" s="24"/>
      <c r="DT54" s="24"/>
      <c r="DU54" s="24"/>
      <c r="DV54" s="24"/>
      <c r="DW54" s="24"/>
      <c r="DX54" s="24"/>
      <c r="DY54" s="24"/>
      <c r="DZ54" s="24"/>
      <c r="EA54" s="24"/>
      <c r="EB54" s="24"/>
      <c r="EC54" s="24"/>
      <c r="ED54" s="24"/>
      <c r="EE54" s="24"/>
      <c r="EG54" s="24"/>
      <c r="EH54" s="24"/>
      <c r="EI54" s="24"/>
      <c r="EJ54" s="24"/>
    </row>
    <row r="55" spans="1:140" hidden="1" outlineLevel="2">
      <c r="A55" s="113" t="str">
        <f>+qtrSales!A78</f>
        <v>4Q</v>
      </c>
      <c r="B55" s="24" t="str">
        <f>+qtrSales!B78</f>
        <v>Jan</v>
      </c>
      <c r="C55" s="24"/>
      <c r="D55" s="24"/>
      <c r="E55" s="393">
        <f>+E56-E54-E53-E52</f>
        <v>702</v>
      </c>
      <c r="F55" s="309"/>
      <c r="G55" s="1980">
        <f>+(E55/E48-1)*100</f>
        <v>7.0121951219512146</v>
      </c>
      <c r="H55" s="1981">
        <f>+E55/$BI55*100</f>
        <v>21.560196560196559</v>
      </c>
      <c r="I55" s="1981"/>
      <c r="J55" s="1981"/>
      <c r="K55" s="393">
        <f>+K56-K54-K53-K52</f>
        <v>228</v>
      </c>
      <c r="L55" s="1980">
        <f>+(K55/K48-1)*100</f>
        <v>6.0465116279069697</v>
      </c>
      <c r="M55" s="1981">
        <f>+K55/$BI55*100</f>
        <v>7.0024570024570023</v>
      </c>
      <c r="N55" s="1981"/>
      <c r="O55" s="1981"/>
      <c r="P55" s="1981"/>
      <c r="Q55" s="24"/>
      <c r="R55" s="1022">
        <f>+E55+K55</f>
        <v>930</v>
      </c>
      <c r="S55" s="1980">
        <f>+(R55/R48-1)*100</f>
        <v>6.77382319173363</v>
      </c>
      <c r="T55" s="1980"/>
      <c r="U55" s="1981">
        <f>+R55/$BI55*100</f>
        <v>28.562653562653562</v>
      </c>
      <c r="V55" s="24"/>
      <c r="W55" s="393">
        <f>+W56-W54-W53-W52</f>
        <v>595</v>
      </c>
      <c r="X55" s="309"/>
      <c r="Y55" s="309"/>
      <c r="Z55" s="309"/>
      <c r="AA55" s="309"/>
      <c r="AB55" s="309"/>
      <c r="AC55" s="1980">
        <f>+(W55/W48-1)*100</f>
        <v>22.427983539094654</v>
      </c>
      <c r="AD55" s="1981">
        <f>+W55/$BI55*100</f>
        <v>18.273955773955773</v>
      </c>
      <c r="AE55" s="1981"/>
      <c r="AF55" s="1981"/>
      <c r="AG55" s="1981"/>
      <c r="AH55" s="1981"/>
      <c r="AI55" s="24"/>
      <c r="AJ55" s="1992">
        <f>+AJ56-AJ54-AJ53-AJ52</f>
        <v>446</v>
      </c>
      <c r="AK55" s="1992">
        <f>+AK56-AK54-AK53-AK52</f>
        <v>218</v>
      </c>
      <c r="AL55" s="1985">
        <f>+AJ55+AK55</f>
        <v>664</v>
      </c>
      <c r="AM55" s="1992">
        <f>+AM56-AM54-AM53-AM52</f>
        <v>304</v>
      </c>
      <c r="AN55" s="1992">
        <f>+AN56-AN54-AN53-AN52</f>
        <v>283</v>
      </c>
      <c r="AO55" s="1992">
        <f>+AO56-AO54-AO53-AO52</f>
        <v>236</v>
      </c>
      <c r="AP55" s="1022">
        <f>+SUM(AL55:AO55)</f>
        <v>1487</v>
      </c>
      <c r="AQ55" s="1980">
        <f>+(AP55/AP48-1)*100</f>
        <v>1.0876954452753163</v>
      </c>
      <c r="AR55" s="1981">
        <f>+AP55/$BI55*100</f>
        <v>45.669533169533175</v>
      </c>
      <c r="AS55" s="24"/>
      <c r="AT55" s="1992">
        <f t="shared" ref="AT55:AY55" si="4">+AT56-AT54-AT53-AT52</f>
        <v>0</v>
      </c>
      <c r="AU55" s="1992">
        <f t="shared" si="4"/>
        <v>10</v>
      </c>
      <c r="AV55" s="1992">
        <f t="shared" si="4"/>
        <v>0</v>
      </c>
      <c r="AW55" s="1992">
        <f t="shared" si="4"/>
        <v>123</v>
      </c>
      <c r="AX55" s="1992">
        <f t="shared" si="4"/>
        <v>105</v>
      </c>
      <c r="AY55" s="1992">
        <f t="shared" si="4"/>
        <v>6</v>
      </c>
      <c r="AZ55" s="1992"/>
      <c r="BA55" s="1992"/>
      <c r="BB55" s="1992"/>
      <c r="BC55" s="1022"/>
      <c r="BD55" s="1980" t="e">
        <f>+(BC55/BC48-1)*100</f>
        <v>#DIV/0!</v>
      </c>
      <c r="BE55" s="1022">
        <f>+SUM(AT55:AY55)</f>
        <v>244</v>
      </c>
      <c r="BF55" s="1980">
        <f>+(BE55/BE48-1)*100</f>
        <v>-44.545454545454547</v>
      </c>
      <c r="BG55" s="1981">
        <f>+BE55/$BI55*100</f>
        <v>7.4938574938574938</v>
      </c>
      <c r="BH55" s="24"/>
      <c r="BI55" s="1022">
        <f>+E55+K55+W55+AP55+BE55</f>
        <v>3256</v>
      </c>
      <c r="BJ55" s="325"/>
      <c r="BK55" s="2889">
        <f>+(BI55/BI48-1)*100</f>
        <v>-0.36719706242349659</v>
      </c>
      <c r="BL55" s="1022">
        <f>+E55+K55+W55+AT55+AY55</f>
        <v>1531</v>
      </c>
      <c r="BM55" s="1980">
        <f>+(BL55/BL48-1)*100</f>
        <v>9.591982820329271</v>
      </c>
      <c r="BN55" s="1981">
        <f>+BL55/$BW55*100</f>
        <v>47.020884520884522</v>
      </c>
      <c r="BO55" s="1022">
        <f>+AJ55+AM55+AN55+AO55+AU55</f>
        <v>1279</v>
      </c>
      <c r="BP55" s="1980">
        <f>+(BO55/BO48-1)*100</f>
        <v>1.9936204146730363</v>
      </c>
      <c r="BQ55" s="1981">
        <f>+BO55/$BW55*100</f>
        <v>39.281326781326783</v>
      </c>
      <c r="BR55" s="24"/>
      <c r="BS55" s="1022">
        <f>+AK55+AV55+AW55+AX55</f>
        <v>446</v>
      </c>
      <c r="BT55" s="1980">
        <f>+(BS55/BS48-1)*100</f>
        <v>-27.714748784440847</v>
      </c>
      <c r="BU55" s="1981">
        <f>+BS55/$BW55*100</f>
        <v>13.697788697788699</v>
      </c>
      <c r="BV55" s="24"/>
      <c r="BW55" s="1022">
        <f>+BL55+BO55+BS55</f>
        <v>3256</v>
      </c>
      <c r="BX55" s="1980">
        <f>+(BW55/BW48-1)*100</f>
        <v>-0.36719706242349659</v>
      </c>
      <c r="BY55" s="24"/>
      <c r="BZ55" s="1987" t="s">
        <v>465</v>
      </c>
      <c r="CA55" s="1990" t="s">
        <v>886</v>
      </c>
      <c r="CB55" s="1990" t="s">
        <v>886</v>
      </c>
      <c r="CC55" s="1987" t="s">
        <v>465</v>
      </c>
      <c r="CD55" s="1990" t="s">
        <v>886</v>
      </c>
      <c r="CE55" s="1990" t="s">
        <v>886</v>
      </c>
      <c r="CF55" s="24"/>
      <c r="CG55" s="1987" t="s">
        <v>465</v>
      </c>
      <c r="CH55" s="1990" t="s">
        <v>886</v>
      </c>
      <c r="CI55" s="1990" t="s">
        <v>886</v>
      </c>
      <c r="CJ55" s="24"/>
      <c r="CK55" s="306">
        <v>0</v>
      </c>
      <c r="CL55" s="1990" t="s">
        <v>886</v>
      </c>
      <c r="CM55" s="1981"/>
      <c r="CN55" s="24"/>
      <c r="CO55" s="1987" t="s">
        <v>465</v>
      </c>
      <c r="CP55" s="1990" t="s">
        <v>886</v>
      </c>
      <c r="CQ55" s="1990" t="s">
        <v>886</v>
      </c>
      <c r="CR55" s="1990"/>
      <c r="CS55" s="24"/>
      <c r="CT55" s="24"/>
      <c r="CU55" s="24"/>
      <c r="CV55" s="24"/>
      <c r="CW55" s="24"/>
      <c r="CX55" s="24"/>
      <c r="CY55" s="24"/>
      <c r="CZ55" s="24"/>
      <c r="DA55" s="24"/>
      <c r="DB55" s="24"/>
      <c r="DC55" s="24"/>
      <c r="DD55" s="24"/>
      <c r="DE55" s="24"/>
      <c r="DF55" s="24"/>
      <c r="DG55" s="24"/>
      <c r="DH55" s="24"/>
      <c r="DI55" s="24"/>
      <c r="DJ55" s="24"/>
      <c r="DK55" s="24"/>
      <c r="DL55" s="24"/>
      <c r="DM55" s="24"/>
      <c r="DN55" s="24"/>
      <c r="DO55" s="24"/>
      <c r="DP55" s="24"/>
      <c r="DQ55" s="24"/>
      <c r="DR55" s="24"/>
      <c r="DS55" s="24"/>
      <c r="DT55" s="24"/>
      <c r="DU55" s="24"/>
      <c r="DV55" s="24"/>
      <c r="DW55" s="24"/>
      <c r="DX55" s="24"/>
      <c r="DY55" s="24"/>
      <c r="DZ55" s="24"/>
      <c r="EA55" s="24"/>
      <c r="EB55" s="24"/>
      <c r="EC55" s="24"/>
      <c r="ED55" s="24"/>
      <c r="EE55" s="24"/>
      <c r="EG55" s="24"/>
      <c r="EH55" s="24"/>
      <c r="EI55" s="24"/>
      <c r="EJ55" s="24"/>
    </row>
    <row r="56" spans="1:140" hidden="1" outlineLevel="2">
      <c r="A56" s="113"/>
      <c r="B56" s="24" t="str">
        <f>+qtrSales!B79</f>
        <v>Year</v>
      </c>
      <c r="C56" s="24"/>
      <c r="D56" s="24"/>
      <c r="E56" s="389">
        <v>1829</v>
      </c>
      <c r="F56" s="389"/>
      <c r="G56" s="1980">
        <f>+(E56/E49-1)*100</f>
        <v>7.4618096357226715</v>
      </c>
      <c r="H56" s="1981">
        <f>+E56/$BI56*100</f>
        <v>19.567775756927354</v>
      </c>
      <c r="I56" s="1981"/>
      <c r="J56" s="1981"/>
      <c r="K56" s="388">
        <v>759</v>
      </c>
      <c r="L56" s="1980">
        <f>+(K56/K49-1)*100</f>
        <v>3.4059945504087086</v>
      </c>
      <c r="M56" s="1981">
        <f>+K56/$BI56*100</f>
        <v>8.1202524874291218</v>
      </c>
      <c r="N56" s="1981"/>
      <c r="O56" s="1981"/>
      <c r="P56" s="1981"/>
      <c r="Q56" s="24"/>
      <c r="R56" s="266">
        <f>+E56+K56</f>
        <v>2588</v>
      </c>
      <c r="S56" s="1980">
        <f>+(R56/R49-1)*100</f>
        <v>6.2397372742200252</v>
      </c>
      <c r="T56" s="1980"/>
      <c r="U56" s="1981">
        <f>+R56/$BI56*100</f>
        <v>27.688028244356477</v>
      </c>
      <c r="V56" s="24"/>
      <c r="W56" s="389">
        <v>1272</v>
      </c>
      <c r="X56" s="389"/>
      <c r="Y56" s="389"/>
      <c r="Z56" s="389"/>
      <c r="AA56" s="389"/>
      <c r="AB56" s="389"/>
      <c r="AC56" s="1980">
        <f>+(W56/W49-1)*100</f>
        <v>20.340586565752126</v>
      </c>
      <c r="AD56" s="1981">
        <f>+W56/$BI56*100</f>
        <v>13.608644484861454</v>
      </c>
      <c r="AE56" s="1981"/>
      <c r="AF56" s="1981"/>
      <c r="AG56" s="1981"/>
      <c r="AH56" s="1981"/>
      <c r="AI56" s="24"/>
      <c r="AJ56" s="389">
        <v>1356</v>
      </c>
      <c r="AK56" s="388">
        <v>610</v>
      </c>
      <c r="AL56" s="266">
        <f>+AJ56+AK56</f>
        <v>1966</v>
      </c>
      <c r="AM56" s="388">
        <v>940</v>
      </c>
      <c r="AN56" s="388">
        <v>933</v>
      </c>
      <c r="AO56" s="388">
        <v>757</v>
      </c>
      <c r="AP56" s="266">
        <f>+SUM(AL56:AO56)</f>
        <v>4596</v>
      </c>
      <c r="AQ56" s="1980">
        <f>+(AP56/AP49-1)*100</f>
        <v>2.6351049575703334</v>
      </c>
      <c r="AR56" s="1981">
        <f>+AP56/$BI56*100</f>
        <v>49.17085695945223</v>
      </c>
      <c r="AS56" s="24"/>
      <c r="AT56" s="389">
        <v>0</v>
      </c>
      <c r="AU56" s="388">
        <v>40</v>
      </c>
      <c r="AV56" s="388">
        <v>156</v>
      </c>
      <c r="AW56" s="388">
        <v>377</v>
      </c>
      <c r="AX56" s="388">
        <f>220+72</f>
        <v>292</v>
      </c>
      <c r="AY56" s="388">
        <v>26</v>
      </c>
      <c r="AZ56" s="388"/>
      <c r="BA56" s="388"/>
      <c r="BB56" s="388"/>
      <c r="BC56" s="266"/>
      <c r="BD56" s="1980" t="e">
        <f>+(BC56/BC49-1)*100</f>
        <v>#DIV/0!</v>
      </c>
      <c r="BE56" s="266">
        <f>+SUM(AT56:AY56)</f>
        <v>891</v>
      </c>
      <c r="BF56" s="1980">
        <f>+(BE56/BE49-1)*100</f>
        <v>-26.847290640394085</v>
      </c>
      <c r="BG56" s="1981">
        <f>+BE56/$BI56*100</f>
        <v>9.5324703113298384</v>
      </c>
      <c r="BH56" s="24"/>
      <c r="BI56" s="266">
        <f>+E56+K56+W56+AP56+BE56</f>
        <v>9347</v>
      </c>
      <c r="BJ56" s="266"/>
      <c r="BK56" s="2889">
        <f>+(BI56/BI49-1)*100</f>
        <v>1.7194471650886944</v>
      </c>
      <c r="BL56" s="266">
        <f>+E56+K56+W56+AT56+AY56</f>
        <v>3886</v>
      </c>
      <c r="BM56" s="1980">
        <f>+(BL56/BL49-1)*100</f>
        <v>7.4074074074074181</v>
      </c>
      <c r="BN56" s="1981">
        <f>+BL56/$BW56*100</f>
        <v>41.574836846046857</v>
      </c>
      <c r="BO56" s="266">
        <f>+AJ56+AM56+AN56+AO56+AU56</f>
        <v>4026</v>
      </c>
      <c r="BP56" s="1980">
        <f>+(BO56/BO49-1)*100</f>
        <v>3.2043065880543509</v>
      </c>
      <c r="BQ56" s="1981">
        <f>+BO56/$BW56*100</f>
        <v>43.072643628971861</v>
      </c>
      <c r="BR56" s="24"/>
      <c r="BS56" s="266">
        <f>+AK56+AV56+AW56+AX56</f>
        <v>1435</v>
      </c>
      <c r="BT56" s="1980">
        <f>+(BS56/BS49-1)*100</f>
        <v>-14.071856287425156</v>
      </c>
      <c r="BU56" s="1981">
        <f>+BS56/$BW56*100</f>
        <v>15.352519524981279</v>
      </c>
      <c r="BV56" s="24"/>
      <c r="BW56" s="266">
        <f>+BL56+BO56+BS56</f>
        <v>9347</v>
      </c>
      <c r="BX56" s="1980">
        <f>+(BW56/BW49-1)*100</f>
        <v>1.7194471650886944</v>
      </c>
      <c r="BY56" s="24"/>
      <c r="BZ56" s="1993">
        <v>681</v>
      </c>
      <c r="CA56" s="1994">
        <f>+(BZ56/572-1)*100</f>
        <v>19.055944055944064</v>
      </c>
      <c r="CB56" s="1995">
        <f>+BZ56/BL56*100</f>
        <v>17.52444673185795</v>
      </c>
      <c r="CC56" s="478">
        <v>-11</v>
      </c>
      <c r="CD56" s="1996" t="s">
        <v>886</v>
      </c>
      <c r="CE56" s="1995">
        <f>+CC56/BO56*100</f>
        <v>-0.27322404371584702</v>
      </c>
      <c r="CF56" s="1997"/>
      <c r="CG56" s="478">
        <v>27</v>
      </c>
      <c r="CH56" s="1996" t="s">
        <v>886</v>
      </c>
      <c r="CI56" s="1998">
        <f>CG56/(72+26+220+40)*100</f>
        <v>7.5418994413407825</v>
      </c>
      <c r="CJ56" s="1997"/>
      <c r="CK56" s="478">
        <v>0</v>
      </c>
      <c r="CL56" s="1996"/>
      <c r="CM56" s="1995"/>
      <c r="CN56" s="1997"/>
      <c r="CO56" s="478">
        <f>+BZ56+CC56+CG56</f>
        <v>697</v>
      </c>
      <c r="CP56" s="1994">
        <f>+(CO56/706-1)*100</f>
        <v>-1.2747875354107596</v>
      </c>
      <c r="CQ56" s="1995">
        <f>+CO56/BW56*100</f>
        <v>7.456938054990907</v>
      </c>
      <c r="CR56" s="1995"/>
      <c r="CS56" s="24"/>
      <c r="CT56" s="24"/>
      <c r="CU56" s="24"/>
      <c r="CV56" s="24"/>
      <c r="CW56" s="24"/>
      <c r="CX56" s="24"/>
      <c r="CY56" s="24"/>
      <c r="CZ56" s="24"/>
      <c r="DA56" s="24"/>
      <c r="DB56" s="24"/>
      <c r="DC56" s="24"/>
      <c r="DD56" s="24"/>
      <c r="DE56" s="24"/>
      <c r="DF56" s="24"/>
      <c r="DG56" s="24"/>
      <c r="DH56" s="24"/>
      <c r="DI56" s="24"/>
      <c r="DJ56" s="24"/>
      <c r="DK56" s="24"/>
      <c r="DL56" s="24"/>
      <c r="DM56" s="24"/>
      <c r="DN56" s="24"/>
      <c r="DO56" s="24"/>
      <c r="DP56" s="24"/>
      <c r="DQ56" s="24"/>
      <c r="DR56" s="24"/>
      <c r="DS56" s="24"/>
      <c r="DT56" s="24"/>
      <c r="DU56" s="24"/>
      <c r="DV56" s="24"/>
      <c r="DW56" s="24"/>
      <c r="DX56" s="24"/>
      <c r="DY56" s="24"/>
      <c r="DZ56" s="24"/>
      <c r="EA56" s="24"/>
      <c r="EB56" s="24"/>
      <c r="EC56" s="24"/>
      <c r="ED56" s="24"/>
      <c r="EE56" s="24"/>
      <c r="EG56" s="24"/>
      <c r="EH56" s="24"/>
      <c r="EI56" s="24"/>
      <c r="EJ56" s="24"/>
    </row>
    <row r="57" spans="1:140" hidden="1" outlineLevel="2">
      <c r="A57" s="113"/>
      <c r="B57" s="24"/>
      <c r="C57" s="24"/>
      <c r="D57" s="2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c r="BE57" s="24"/>
      <c r="BF57" s="24"/>
      <c r="BG57" s="24"/>
      <c r="BH57" s="24"/>
      <c r="BI57" s="24"/>
      <c r="BJ57" s="24"/>
      <c r="BK57" s="78"/>
      <c r="BL57" s="24"/>
      <c r="BM57" s="24"/>
      <c r="BN57" s="24"/>
      <c r="BO57" s="24"/>
      <c r="BP57" s="24"/>
      <c r="BQ57" s="24"/>
      <c r="BR57" s="24"/>
      <c r="BS57" s="24"/>
      <c r="BT57" s="24"/>
      <c r="BU57" s="24"/>
      <c r="BV57" s="24"/>
      <c r="BW57" s="24"/>
      <c r="BX57" s="24"/>
      <c r="BY57" s="24"/>
      <c r="BZ57" s="1999" t="s">
        <v>422</v>
      </c>
      <c r="CA57" s="24"/>
      <c r="CB57" s="24"/>
      <c r="CC57" s="24"/>
      <c r="CD57" s="24"/>
      <c r="CE57" s="24"/>
      <c r="CF57" s="24"/>
      <c r="CG57" s="24"/>
      <c r="CH57" s="24"/>
      <c r="CI57" s="24"/>
      <c r="CJ57" s="24"/>
      <c r="CK57" s="24"/>
      <c r="CL57" s="24"/>
      <c r="CM57" s="24"/>
      <c r="CN57" s="24"/>
      <c r="CO57" s="24"/>
      <c r="CP57" s="24"/>
      <c r="CQ57" s="24"/>
      <c r="CR57" s="24"/>
      <c r="CS57" s="24"/>
      <c r="CT57" s="24"/>
      <c r="CU57" s="24"/>
      <c r="CV57" s="24"/>
      <c r="CW57" s="24"/>
      <c r="CX57" s="24"/>
      <c r="CY57" s="24"/>
      <c r="CZ57" s="24"/>
      <c r="DA57" s="24"/>
      <c r="DB57" s="24"/>
      <c r="DC57" s="24"/>
      <c r="DD57" s="24"/>
      <c r="DE57" s="24"/>
      <c r="DF57" s="24"/>
      <c r="DG57" s="24"/>
      <c r="DH57" s="24"/>
      <c r="DI57" s="24"/>
      <c r="DJ57" s="24"/>
      <c r="DK57" s="24"/>
      <c r="DL57" s="24"/>
      <c r="DM57" s="24"/>
      <c r="DN57" s="24"/>
      <c r="DO57" s="24"/>
      <c r="DP57" s="24"/>
      <c r="DQ57" s="24"/>
      <c r="DR57" s="24"/>
      <c r="DS57" s="24"/>
      <c r="DT57" s="24"/>
      <c r="DU57" s="24"/>
      <c r="DV57" s="24"/>
      <c r="DW57" s="24"/>
      <c r="DX57" s="24"/>
      <c r="DY57" s="24"/>
      <c r="DZ57" s="24"/>
      <c r="EA57" s="24"/>
      <c r="EB57" s="24"/>
      <c r="EC57" s="24"/>
      <c r="ED57" s="24"/>
      <c r="EE57" s="24"/>
      <c r="EG57" s="24"/>
      <c r="EH57" s="24"/>
      <c r="EI57" s="24"/>
      <c r="EJ57" s="24"/>
    </row>
    <row r="58" spans="1:140" hidden="1" outlineLevel="1">
      <c r="A58" s="113"/>
      <c r="B58" s="136">
        <f>+qtrSales!B81</f>
        <v>1999</v>
      </c>
      <c r="C58" s="24"/>
      <c r="D58" s="24"/>
      <c r="E58" s="24"/>
      <c r="F58" s="24"/>
      <c r="G58" s="1980"/>
      <c r="H58" s="1981"/>
      <c r="I58" s="1981"/>
      <c r="J58" s="1981"/>
      <c r="K58" s="24"/>
      <c r="L58" s="1980"/>
      <c r="M58" s="1981"/>
      <c r="N58" s="1981"/>
      <c r="O58" s="1981"/>
      <c r="P58" s="1981"/>
      <c r="Q58" s="24"/>
      <c r="R58" s="24"/>
      <c r="S58" s="1980"/>
      <c r="T58" s="1980"/>
      <c r="U58" s="1981"/>
      <c r="V58" s="24"/>
      <c r="W58" s="24"/>
      <c r="X58" s="24"/>
      <c r="Y58" s="24"/>
      <c r="Z58" s="24"/>
      <c r="AA58" s="24"/>
      <c r="AB58" s="24"/>
      <c r="AC58" s="1980"/>
      <c r="AD58" s="1981"/>
      <c r="AE58" s="1981"/>
      <c r="AF58" s="1981"/>
      <c r="AG58" s="1981"/>
      <c r="AH58" s="1981"/>
      <c r="AI58" s="24"/>
      <c r="AJ58" s="24"/>
      <c r="AK58" s="24"/>
      <c r="AL58" s="24"/>
      <c r="AM58" s="24"/>
      <c r="AN58" s="24"/>
      <c r="AO58" s="24"/>
      <c r="AP58" s="24"/>
      <c r="AQ58" s="1980"/>
      <c r="AR58" s="1981"/>
      <c r="AS58" s="24"/>
      <c r="AT58" s="24"/>
      <c r="AU58" s="24"/>
      <c r="AV58" s="24"/>
      <c r="AW58" s="24"/>
      <c r="AX58" s="24"/>
      <c r="AY58" s="24"/>
      <c r="AZ58" s="24"/>
      <c r="BA58" s="24"/>
      <c r="BB58" s="24"/>
      <c r="BC58" s="24"/>
      <c r="BD58" s="1980"/>
      <c r="BE58" s="24"/>
      <c r="BF58" s="1980"/>
      <c r="BG58" s="1981"/>
      <c r="BH58" s="24"/>
      <c r="BI58" s="24"/>
      <c r="BJ58" s="24"/>
      <c r="BK58" s="2889"/>
      <c r="BL58" s="389"/>
      <c r="BM58" s="1988"/>
      <c r="BN58" s="1989"/>
      <c r="BO58" s="389"/>
      <c r="BP58" s="389"/>
      <c r="BQ58" s="389"/>
      <c r="BR58" s="389"/>
      <c r="BS58" s="389"/>
      <c r="BT58" s="389"/>
      <c r="BU58" s="389"/>
      <c r="BV58" s="389"/>
      <c r="BW58" s="266"/>
      <c r="BX58" s="24"/>
      <c r="BY58" s="24"/>
      <c r="BZ58" s="2000" t="s">
        <v>995</v>
      </c>
      <c r="CA58" s="1988"/>
      <c r="CB58" s="1989"/>
      <c r="CC58" s="389"/>
      <c r="CD58" s="389"/>
      <c r="CE58" s="389"/>
      <c r="CF58" s="389"/>
      <c r="CG58" s="389"/>
      <c r="CH58" s="389"/>
      <c r="CI58" s="389"/>
      <c r="CJ58" s="389"/>
      <c r="CK58" s="389"/>
      <c r="CL58" s="389"/>
      <c r="CM58" s="389"/>
      <c r="CN58" s="389"/>
      <c r="CO58" s="266"/>
      <c r="CP58" s="24"/>
      <c r="CQ58" s="24"/>
      <c r="CR58" s="24"/>
      <c r="CS58" s="24"/>
      <c r="CT58" s="24"/>
      <c r="CU58" s="24"/>
      <c r="CV58" s="24"/>
      <c r="CW58" s="24"/>
      <c r="CX58" s="24"/>
      <c r="CY58" s="24"/>
      <c r="CZ58" s="24"/>
      <c r="DA58" s="24"/>
      <c r="DB58" s="24"/>
      <c r="DC58" s="24"/>
      <c r="DD58" s="24"/>
      <c r="DE58" s="24"/>
      <c r="DF58" s="24"/>
      <c r="DG58" s="24"/>
      <c r="DH58" s="24"/>
      <c r="DI58" s="24"/>
      <c r="DJ58" s="24"/>
      <c r="DK58" s="24"/>
      <c r="DL58" s="24"/>
      <c r="DM58" s="24"/>
      <c r="DN58" s="24"/>
      <c r="DO58" s="24"/>
      <c r="DP58" s="24"/>
      <c r="DQ58" s="24"/>
      <c r="DR58" s="24"/>
      <c r="DS58" s="24"/>
      <c r="DT58" s="24"/>
      <c r="DU58" s="24"/>
      <c r="DV58" s="24"/>
      <c r="DW58" s="24"/>
      <c r="DX58" s="24"/>
      <c r="DY58" s="24"/>
      <c r="DZ58" s="24"/>
      <c r="EA58" s="24"/>
      <c r="EB58" s="24"/>
      <c r="EC58" s="24"/>
      <c r="ED58" s="24"/>
      <c r="EE58" s="24"/>
      <c r="EG58" s="24"/>
      <c r="EH58" s="24"/>
      <c r="EI58" s="24"/>
      <c r="EJ58" s="24"/>
    </row>
    <row r="59" spans="1:140" hidden="1" outlineLevel="1">
      <c r="A59" s="113" t="str">
        <f>+qtrSales!A82</f>
        <v>1Q</v>
      </c>
      <c r="B59" s="24" t="str">
        <f>+qtrSales!B82</f>
        <v>Apr</v>
      </c>
      <c r="C59" s="24"/>
      <c r="D59" s="24"/>
      <c r="E59" s="1982">
        <v>419.916</v>
      </c>
      <c r="F59" s="1982"/>
      <c r="G59" s="1980">
        <f>+(E59/E52-1)*100</f>
        <v>15.998895027624304</v>
      </c>
      <c r="H59" s="1981">
        <f>+E59/$BI59*100</f>
        <v>26.767741478984075</v>
      </c>
      <c r="I59" s="1981"/>
      <c r="J59" s="1981"/>
      <c r="K59" s="1982">
        <v>230.76900000000001</v>
      </c>
      <c r="L59" s="1980">
        <f>+(K59/K52-1)*100</f>
        <v>15.9643216080402</v>
      </c>
      <c r="M59" s="1981">
        <f>+K59/$BI59*100</f>
        <v>14.710477651158033</v>
      </c>
      <c r="N59" s="1981"/>
      <c r="O59" s="1981"/>
      <c r="P59" s="1981"/>
      <c r="Q59" s="24"/>
      <c r="R59" s="381">
        <f>+E59+K59</f>
        <v>650.68499999999995</v>
      </c>
      <c r="S59" s="1980">
        <f>+(R59/R52-1)*100</f>
        <v>15.986631016042763</v>
      </c>
      <c r="T59" s="1980"/>
      <c r="U59" s="1981">
        <f>+R59/$BI59*100</f>
        <v>41.478219130142101</v>
      </c>
      <c r="V59" s="24"/>
      <c r="W59" s="1982">
        <v>254.74</v>
      </c>
      <c r="X59" s="1982"/>
      <c r="Y59" s="1982"/>
      <c r="Z59" s="1982"/>
      <c r="AA59" s="1982"/>
      <c r="AB59" s="1982"/>
      <c r="AC59" s="1980">
        <f>+(W59/W52-1)*100</f>
        <v>24.26341463414634</v>
      </c>
      <c r="AD59" s="1981">
        <f>+W59/$BI59*100</f>
        <v>16.238520238229558</v>
      </c>
      <c r="AE59" s="1981"/>
      <c r="AF59" s="1981"/>
      <c r="AG59" s="1981"/>
      <c r="AH59" s="1981"/>
      <c r="AI59" s="24"/>
      <c r="AJ59" s="1982">
        <v>294.06900000000002</v>
      </c>
      <c r="AK59" s="1982">
        <v>121.752</v>
      </c>
      <c r="AL59" s="381">
        <f>+AJ59+AK59</f>
        <v>415.82100000000003</v>
      </c>
      <c r="AM59" s="24"/>
      <c r="AN59" s="1982"/>
      <c r="AO59" s="1982">
        <v>162.28299999999999</v>
      </c>
      <c r="AP59" s="1982">
        <v>578.10400000000004</v>
      </c>
      <c r="AQ59" s="2001" t="s">
        <v>886</v>
      </c>
      <c r="AR59" s="1981">
        <f>+AP59/$BI59*100</f>
        <v>36.851509397038008</v>
      </c>
      <c r="AS59" s="24"/>
      <c r="AT59" s="1982"/>
      <c r="AU59" s="1982"/>
      <c r="AV59" s="1982"/>
      <c r="AW59" s="1982"/>
      <c r="AX59" s="1982"/>
      <c r="AY59" s="1982"/>
      <c r="AZ59" s="1982"/>
      <c r="BA59" s="1982"/>
      <c r="BB59" s="1982"/>
      <c r="BC59" s="1982"/>
      <c r="BD59" s="2001" t="s">
        <v>886</v>
      </c>
      <c r="BE59" s="1982">
        <v>85.21</v>
      </c>
      <c r="BF59" s="2001" t="s">
        <v>886</v>
      </c>
      <c r="BG59" s="1981">
        <f>+BE59/$BI59*100</f>
        <v>5.4317512345903296</v>
      </c>
      <c r="BH59" s="24"/>
      <c r="BI59" s="381">
        <f>+R59+W59+AP59+BE59</f>
        <v>1568.739</v>
      </c>
      <c r="BJ59" s="381"/>
      <c r="BK59" s="2890" t="s">
        <v>886</v>
      </c>
      <c r="BL59" s="381"/>
      <c r="BM59" s="1980"/>
      <c r="BN59" s="1981"/>
      <c r="BO59" s="381"/>
      <c r="BP59" s="1980"/>
      <c r="BQ59" s="1981"/>
      <c r="BR59" s="389"/>
      <c r="BS59" s="381"/>
      <c r="BT59" s="1980"/>
      <c r="BU59" s="1981"/>
      <c r="BV59" s="389"/>
      <c r="BW59" s="381"/>
      <c r="BX59" s="1980"/>
      <c r="BY59" s="24"/>
      <c r="BZ59" s="2002"/>
      <c r="CA59" s="323"/>
      <c r="CB59" s="2003"/>
      <c r="CC59" s="2002"/>
      <c r="CD59" s="323"/>
      <c r="CE59" s="2003"/>
      <c r="CF59" s="321"/>
      <c r="CG59" s="2002"/>
      <c r="CH59" s="323"/>
      <c r="CI59" s="2003"/>
      <c r="CJ59" s="30"/>
      <c r="CK59" s="2002"/>
      <c r="CL59" s="323"/>
      <c r="CM59" s="2003"/>
      <c r="CN59" s="30"/>
      <c r="CO59" s="2004"/>
      <c r="CP59" s="323"/>
      <c r="CQ59" s="2003"/>
      <c r="CR59" s="2003"/>
      <c r="CS59" s="24"/>
      <c r="CT59" s="1982">
        <v>78.33</v>
      </c>
      <c r="CU59" s="1980"/>
      <c r="CV59" s="1981">
        <f>+CT59/R59*100</f>
        <v>12.03808294335969</v>
      </c>
      <c r="CW59" s="1982"/>
      <c r="CX59" s="1982"/>
      <c r="CY59" s="1982"/>
      <c r="CZ59" s="24"/>
      <c r="DA59" s="1982">
        <v>38.960999999999999</v>
      </c>
      <c r="DB59" s="24"/>
      <c r="DC59" s="1981">
        <f>+DA59/W59*100</f>
        <v>15.294417837795399</v>
      </c>
      <c r="DD59" s="1981"/>
      <c r="DE59" s="1981"/>
      <c r="DF59" s="1981"/>
      <c r="DG59" s="1981"/>
      <c r="DH59" s="390">
        <v>-14.484999999999999</v>
      </c>
      <c r="DI59" s="24"/>
      <c r="DJ59" s="1981">
        <f>+DH59/AP59*100</f>
        <v>-2.5056045279050134</v>
      </c>
      <c r="DK59" s="24"/>
      <c r="DL59" s="390"/>
      <c r="DM59" s="24"/>
      <c r="DN59" s="1981"/>
      <c r="DO59" s="24"/>
      <c r="DP59" s="390"/>
      <c r="DQ59" s="24"/>
      <c r="DR59" s="1981"/>
      <c r="DS59" s="24"/>
      <c r="DT59" s="390">
        <v>-40.598999999999997</v>
      </c>
      <c r="DU59" s="24"/>
      <c r="DV59" s="1981">
        <f>+DT59/BE59*100</f>
        <v>-47.645816218753666</v>
      </c>
      <c r="DW59" s="24"/>
      <c r="DX59" s="381">
        <f>+CT59+DA59+DH59+DT59</f>
        <v>62.207000000000001</v>
      </c>
      <c r="DY59" s="24"/>
      <c r="DZ59" s="1981">
        <f>(+DX59/BI59)*100</f>
        <v>3.9654142594784725</v>
      </c>
      <c r="EA59" s="2005" t="str">
        <f>IF(EB59=DX59," ","no")</f>
        <v xml:space="preserve"> </v>
      </c>
      <c r="EB59" s="91">
        <f>DT59+DH59+DA59+CT59</f>
        <v>62.207000000000001</v>
      </c>
      <c r="EC59" s="24"/>
      <c r="ED59" s="24"/>
      <c r="EE59" s="24"/>
      <c r="EG59" s="390"/>
      <c r="EH59" s="24"/>
      <c r="EI59" s="390"/>
      <c r="EJ59" s="24"/>
    </row>
    <row r="60" spans="1:140" hidden="1" outlineLevel="1">
      <c r="A60" s="113" t="str">
        <f>+qtrSales!A83</f>
        <v>2Q</v>
      </c>
      <c r="B60" s="24" t="str">
        <f>+qtrSales!B83</f>
        <v>Jul</v>
      </c>
      <c r="C60" s="24"/>
      <c r="D60" s="24"/>
      <c r="E60" s="388">
        <v>481.84699999999998</v>
      </c>
      <c r="F60" s="388"/>
      <c r="G60" s="1980">
        <f>+(E60/E53-1)*100</f>
        <v>16.66997578692493</v>
      </c>
      <c r="H60" s="1981">
        <f>+E60/$BI60*100</f>
        <v>27.524582915858854</v>
      </c>
      <c r="I60" s="1981"/>
      <c r="J60" s="1981"/>
      <c r="K60" s="388">
        <v>269.13499999999999</v>
      </c>
      <c r="L60" s="1980">
        <f>+(K60/K53-1)*100</f>
        <v>33.235148514851474</v>
      </c>
      <c r="M60" s="1981">
        <f>+K60/$BI60*100</f>
        <v>15.373819123206477</v>
      </c>
      <c r="N60" s="1981"/>
      <c r="O60" s="1981"/>
      <c r="P60" s="1981"/>
      <c r="Q60" s="24"/>
      <c r="R60" s="387">
        <f>+E60+K60</f>
        <v>750.98199999999997</v>
      </c>
      <c r="S60" s="1980">
        <f>+(R60/R53-1)*100</f>
        <v>22.110894308943084</v>
      </c>
      <c r="T60" s="1980"/>
      <c r="U60" s="1981">
        <f>+R60/$BI60*100</f>
        <v>42.898402039065324</v>
      </c>
      <c r="V60" s="24"/>
      <c r="W60" s="388">
        <v>297.89499999999998</v>
      </c>
      <c r="X60" s="388"/>
      <c r="Y60" s="388"/>
      <c r="Z60" s="388"/>
      <c r="AA60" s="388"/>
      <c r="AB60" s="388"/>
      <c r="AC60" s="1980">
        <f>+(W60/W53-1)*100</f>
        <v>17.281496062992119</v>
      </c>
      <c r="AD60" s="1981">
        <f>+W60/$BI60*100</f>
        <v>17.016678795799852</v>
      </c>
      <c r="AE60" s="1981"/>
      <c r="AF60" s="1981"/>
      <c r="AG60" s="1981"/>
      <c r="AH60" s="1981"/>
      <c r="AI60" s="24"/>
      <c r="AJ60" s="388">
        <v>296.483</v>
      </c>
      <c r="AK60" s="388">
        <v>137.11000000000001</v>
      </c>
      <c r="AL60" s="387">
        <f>+AJ60+AK60</f>
        <v>433.59300000000002</v>
      </c>
      <c r="AM60" s="24"/>
      <c r="AN60" s="388"/>
      <c r="AO60" s="388">
        <v>164.06</v>
      </c>
      <c r="AP60" s="388">
        <v>597.65300000000002</v>
      </c>
      <c r="AQ60" s="2001" t="s">
        <v>886</v>
      </c>
      <c r="AR60" s="1981">
        <f>+AP60/$BI60*100</f>
        <v>34.139777882630355</v>
      </c>
      <c r="AS60" s="24"/>
      <c r="AT60" s="388"/>
      <c r="AU60" s="388"/>
      <c r="AV60" s="388"/>
      <c r="AW60" s="388"/>
      <c r="AX60" s="388"/>
      <c r="AY60" s="388"/>
      <c r="AZ60" s="388"/>
      <c r="BA60" s="388"/>
      <c r="BB60" s="388"/>
      <c r="BC60" s="389"/>
      <c r="BD60" s="2001" t="s">
        <v>886</v>
      </c>
      <c r="BE60" s="389">
        <v>104.07599999999999</v>
      </c>
      <c r="BF60" s="2001" t="s">
        <v>886</v>
      </c>
      <c r="BG60" s="1981">
        <f>+BE60/$BI60*100</f>
        <v>5.9451412825044585</v>
      </c>
      <c r="BH60" s="24"/>
      <c r="BI60" s="266">
        <f>+R60+W60+AP60+BE60</f>
        <v>1750.606</v>
      </c>
      <c r="BJ60" s="266"/>
      <c r="BK60" s="2890" t="s">
        <v>886</v>
      </c>
      <c r="BL60" s="266"/>
      <c r="BM60" s="1980"/>
      <c r="BN60" s="1981"/>
      <c r="BO60" s="266"/>
      <c r="BP60" s="1980"/>
      <c r="BQ60" s="1981"/>
      <c r="BR60" s="389"/>
      <c r="BS60" s="266"/>
      <c r="BT60" s="1980"/>
      <c r="BU60" s="1981"/>
      <c r="BV60" s="389"/>
      <c r="BW60" s="266"/>
      <c r="BX60" s="1980"/>
      <c r="BY60" s="24"/>
      <c r="BZ60" s="321"/>
      <c r="CA60" s="323"/>
      <c r="CB60" s="2003"/>
      <c r="CC60" s="321"/>
      <c r="CD60" s="323"/>
      <c r="CE60" s="2003"/>
      <c r="CF60" s="321"/>
      <c r="CG60" s="321"/>
      <c r="CH60" s="323"/>
      <c r="CI60" s="2003"/>
      <c r="CJ60" s="321"/>
      <c r="CK60" s="321"/>
      <c r="CL60" s="323"/>
      <c r="CM60" s="2003"/>
      <c r="CN60" s="321"/>
      <c r="CO60" s="325"/>
      <c r="CP60" s="323"/>
      <c r="CQ60" s="2003"/>
      <c r="CR60" s="2003"/>
      <c r="CS60" s="24"/>
      <c r="CT60" s="389">
        <v>106.59399999999999</v>
      </c>
      <c r="CU60" s="1980"/>
      <c r="CV60" s="1981">
        <f>+CT60/R60*100</f>
        <v>14.193948723138503</v>
      </c>
      <c r="CW60" s="389"/>
      <c r="CX60" s="389"/>
      <c r="CY60" s="389"/>
      <c r="CZ60" s="24"/>
      <c r="DA60" s="389">
        <v>71.998000000000005</v>
      </c>
      <c r="DB60" s="24"/>
      <c r="DC60" s="1981">
        <f>+DA60/W60*100</f>
        <v>24.168918578693837</v>
      </c>
      <c r="DD60" s="1981"/>
      <c r="DE60" s="1981"/>
      <c r="DF60" s="1981"/>
      <c r="DG60" s="1981"/>
      <c r="DH60" s="389">
        <v>-25.509</v>
      </c>
      <c r="DI60" s="24"/>
      <c r="DJ60" s="1981">
        <f>+DH60/AP60*100</f>
        <v>-4.2681957590775923</v>
      </c>
      <c r="DK60" s="24"/>
      <c r="DL60" s="389"/>
      <c r="DM60" s="24"/>
      <c r="DN60" s="1981"/>
      <c r="DO60" s="24"/>
      <c r="DP60" s="389"/>
      <c r="DQ60" s="24"/>
      <c r="DR60" s="1981"/>
      <c r="DS60" s="24"/>
      <c r="DT60" s="389">
        <v>-48.643000000000001</v>
      </c>
      <c r="DU60" s="24"/>
      <c r="DV60" s="1981">
        <f>+DT60/BE60*100</f>
        <v>-46.737960721011575</v>
      </c>
      <c r="DW60" s="24"/>
      <c r="DX60" s="266">
        <f>+CT60+DA60+DH60+DT60</f>
        <v>104.43999999999997</v>
      </c>
      <c r="DY60" s="24"/>
      <c r="DZ60" s="1981">
        <f>(+DX60/BI60)*100</f>
        <v>5.9659340822549431</v>
      </c>
      <c r="EA60" s="2005" t="str">
        <f>IF(EB60=DX60," ","no")</f>
        <v xml:space="preserve"> </v>
      </c>
      <c r="EB60" s="91">
        <f>DT60+DH60+DA60+CT60</f>
        <v>104.44</v>
      </c>
      <c r="EC60" s="24"/>
      <c r="ED60" s="24"/>
      <c r="EE60" s="24"/>
      <c r="EG60" s="389"/>
      <c r="EH60" s="24"/>
      <c r="EI60" s="389"/>
      <c r="EJ60" s="24"/>
    </row>
    <row r="61" spans="1:140" hidden="1" outlineLevel="1">
      <c r="A61" s="113" t="str">
        <f>+qtrSales!A84</f>
        <v>3Q</v>
      </c>
      <c r="B61" s="24" t="str">
        <f>+qtrSales!B84</f>
        <v>Oct</v>
      </c>
      <c r="C61" s="24"/>
      <c r="D61" s="24"/>
      <c r="E61" s="388">
        <v>420.30399999999997</v>
      </c>
      <c r="F61" s="388"/>
      <c r="G61" s="1980">
        <f>+(E61/E54-1)*100</f>
        <v>19.404545454545442</v>
      </c>
      <c r="H61" s="1981">
        <f>+E61/$BI61*100</f>
        <v>26.561391113551871</v>
      </c>
      <c r="I61" s="1981"/>
      <c r="J61" s="1981"/>
      <c r="K61" s="388">
        <v>148.595</v>
      </c>
      <c r="L61" s="1980">
        <f>+(K61/K54-1)*100</f>
        <v>14.303846153846145</v>
      </c>
      <c r="M61" s="1981">
        <f>+K61/$BI61*100</f>
        <v>9.3905599578358512</v>
      </c>
      <c r="N61" s="1981"/>
      <c r="O61" s="1981"/>
      <c r="P61" s="1981"/>
      <c r="Q61" s="24"/>
      <c r="R61" s="387">
        <f>+E61+K61</f>
        <v>568.899</v>
      </c>
      <c r="S61" s="1980">
        <f>+(R61/R54-1)*100</f>
        <v>18.028838174273854</v>
      </c>
      <c r="T61" s="1980"/>
      <c r="U61" s="1981">
        <f>+R61/$BI61*100</f>
        <v>35.951951071387725</v>
      </c>
      <c r="V61" s="24"/>
      <c r="W61" s="388">
        <v>256.43</v>
      </c>
      <c r="X61" s="388"/>
      <c r="Y61" s="388"/>
      <c r="Z61" s="388"/>
      <c r="AA61" s="388"/>
      <c r="AB61" s="388"/>
      <c r="AC61" s="1980">
        <f>+(W61/W54-1)*100</f>
        <v>17.628440366972487</v>
      </c>
      <c r="AD61" s="1981">
        <f>+W61/$BI61*100</f>
        <v>16.205264578134173</v>
      </c>
      <c r="AE61" s="1981"/>
      <c r="AF61" s="1981"/>
      <c r="AG61" s="1981"/>
      <c r="AH61" s="1981"/>
      <c r="AI61" s="24"/>
      <c r="AJ61" s="388">
        <v>352.80500000000001</v>
      </c>
      <c r="AK61" s="388">
        <v>144.78700000000001</v>
      </c>
      <c r="AL61" s="387">
        <f>+AJ61+AK61</f>
        <v>497.59199999999998</v>
      </c>
      <c r="AM61" s="24"/>
      <c r="AN61" s="388"/>
      <c r="AO61" s="388">
        <v>174.15199999999999</v>
      </c>
      <c r="AP61" s="388">
        <v>671.74400000000003</v>
      </c>
      <c r="AQ61" s="2001" t="s">
        <v>886</v>
      </c>
      <c r="AR61" s="1981">
        <f>+AP61/$BI61*100</f>
        <v>42.451309319401645</v>
      </c>
      <c r="AS61" s="24"/>
      <c r="AT61" s="388"/>
      <c r="AU61" s="388"/>
      <c r="AV61" s="388"/>
      <c r="AW61" s="388"/>
      <c r="AX61" s="388"/>
      <c r="AY61" s="388"/>
      <c r="AZ61" s="388"/>
      <c r="BA61" s="388"/>
      <c r="BB61" s="388"/>
      <c r="BC61" s="389"/>
      <c r="BD61" s="2001" t="s">
        <v>886</v>
      </c>
      <c r="BE61" s="389">
        <v>85.313999999999993</v>
      </c>
      <c r="BF61" s="2001" t="s">
        <v>886</v>
      </c>
      <c r="BG61" s="1981">
        <f>+BE61/$BI61*100</f>
        <v>5.3914750310764683</v>
      </c>
      <c r="BH61" s="24"/>
      <c r="BI61" s="266">
        <f>+R61+W61+AP61+BE61</f>
        <v>1582.3869999999999</v>
      </c>
      <c r="BJ61" s="266"/>
      <c r="BK61" s="2890" t="s">
        <v>886</v>
      </c>
      <c r="BL61" s="266"/>
      <c r="BM61" s="1980"/>
      <c r="BN61" s="1981"/>
      <c r="BO61" s="266"/>
      <c r="BP61" s="1980"/>
      <c r="BQ61" s="1981"/>
      <c r="BR61" s="24"/>
      <c r="BS61" s="266"/>
      <c r="BT61" s="1980"/>
      <c r="BU61" s="1981"/>
      <c r="BV61" s="24"/>
      <c r="BW61" s="266"/>
      <c r="BX61" s="1980"/>
      <c r="BY61" s="24"/>
      <c r="BZ61" s="321"/>
      <c r="CA61" s="323"/>
      <c r="CB61" s="2003"/>
      <c r="CC61" s="321"/>
      <c r="CD61" s="323"/>
      <c r="CE61" s="2003"/>
      <c r="CF61" s="30"/>
      <c r="CG61" s="321"/>
      <c r="CH61" s="323"/>
      <c r="CI61" s="2003"/>
      <c r="CJ61" s="30"/>
      <c r="CK61" s="321"/>
      <c r="CL61" s="323"/>
      <c r="CM61" s="2003"/>
      <c r="CN61" s="30"/>
      <c r="CO61" s="325"/>
      <c r="CP61" s="323"/>
      <c r="CQ61" s="2003"/>
      <c r="CR61" s="2003"/>
      <c r="CS61" s="24"/>
      <c r="CT61" s="389">
        <v>58.298999999999999</v>
      </c>
      <c r="CU61" s="1980"/>
      <c r="CV61" s="1981">
        <f>+CT61/R61*100</f>
        <v>10.247688957090801</v>
      </c>
      <c r="CW61" s="389"/>
      <c r="CX61" s="389"/>
      <c r="CY61" s="389"/>
      <c r="CZ61" s="24"/>
      <c r="DA61" s="389">
        <v>32.405999999999999</v>
      </c>
      <c r="DB61" s="24"/>
      <c r="DC61" s="1981">
        <f>+DA61/W61*100</f>
        <v>12.637366922746947</v>
      </c>
      <c r="DD61" s="1981"/>
      <c r="DE61" s="1981"/>
      <c r="DF61" s="1981"/>
      <c r="DG61" s="1981"/>
      <c r="DH61" s="389">
        <v>16.14</v>
      </c>
      <c r="DI61" s="24"/>
      <c r="DJ61" s="1981">
        <f>+DH61/AP61*100</f>
        <v>2.4027010289634143</v>
      </c>
      <c r="DK61" s="24"/>
      <c r="DL61" s="389"/>
      <c r="DM61" s="24"/>
      <c r="DN61" s="1981"/>
      <c r="DO61" s="24"/>
      <c r="DP61" s="389"/>
      <c r="DQ61" s="24"/>
      <c r="DR61" s="1981"/>
      <c r="DS61" s="24"/>
      <c r="DT61" s="389">
        <v>-25.516999999999999</v>
      </c>
      <c r="DU61" s="24"/>
      <c r="DV61" s="1981">
        <f>+DT61/BE61*100</f>
        <v>-29.909510748528966</v>
      </c>
      <c r="DW61" s="24"/>
      <c r="DX61" s="266">
        <f>+CT61+DA61+DH61+DT61</f>
        <v>81.328000000000003</v>
      </c>
      <c r="DY61" s="24"/>
      <c r="DZ61" s="1981">
        <f>(+DX61/BI61)*100</f>
        <v>5.1395771072436771</v>
      </c>
      <c r="EA61" s="2005" t="str">
        <f>IF(EB61=DX61," ","no")</f>
        <v xml:space="preserve"> </v>
      </c>
      <c r="EB61" s="91">
        <f>DT61+DH61+DA61+CT61</f>
        <v>81.328000000000003</v>
      </c>
      <c r="EC61" s="24"/>
      <c r="ED61" s="24"/>
      <c r="EE61" s="24"/>
      <c r="EG61" s="389"/>
      <c r="EH61" s="24"/>
      <c r="EI61" s="389"/>
      <c r="EJ61" s="24"/>
    </row>
    <row r="62" spans="1:140" hidden="1" outlineLevel="1">
      <c r="A62" s="113" t="str">
        <f>+qtrSales!A85</f>
        <v>4Q</v>
      </c>
      <c r="B62" s="24" t="str">
        <f>+qtrSales!B85</f>
        <v>Jan</v>
      </c>
      <c r="C62" s="24"/>
      <c r="D62" s="24"/>
      <c r="E62" s="302">
        <v>800.19600000000003</v>
      </c>
      <c r="F62" s="307"/>
      <c r="G62" s="1980">
        <f>+(E62/E55-1)*100</f>
        <v>13.988034188034181</v>
      </c>
      <c r="H62" s="1981">
        <f>+E62/$BI62*100</f>
        <v>29.430829481290992</v>
      </c>
      <c r="I62" s="1981"/>
      <c r="J62" s="1981"/>
      <c r="K62" s="302">
        <v>307.49400000000003</v>
      </c>
      <c r="L62" s="1980">
        <f>+(K62/K55-1)*100</f>
        <v>34.865789473684217</v>
      </c>
      <c r="M62" s="1981">
        <f>+K62/$BI62*100</f>
        <v>11.309483527185956</v>
      </c>
      <c r="N62" s="1981"/>
      <c r="O62" s="1981"/>
      <c r="P62" s="1981"/>
      <c r="Q62" s="24"/>
      <c r="R62" s="1022">
        <f>+E62+K62</f>
        <v>1107.69</v>
      </c>
      <c r="S62" s="1980">
        <f>+(R62/R55-1)*100</f>
        <v>19.106451612903228</v>
      </c>
      <c r="T62" s="1980"/>
      <c r="U62" s="1981">
        <f>+R62/$BI62*100</f>
        <v>40.740313008476946</v>
      </c>
      <c r="V62" s="24"/>
      <c r="W62" s="302">
        <v>720.98599999999999</v>
      </c>
      <c r="X62" s="307"/>
      <c r="Y62" s="307"/>
      <c r="Z62" s="307"/>
      <c r="AA62" s="307"/>
      <c r="AB62" s="307"/>
      <c r="AC62" s="1980">
        <f>+(W62/W55-1)*100</f>
        <v>21.174117647058832</v>
      </c>
      <c r="AD62" s="1981">
        <f>+W62/$BI62*100</f>
        <v>26.517523237304442</v>
      </c>
      <c r="AE62" s="1981"/>
      <c r="AF62" s="1981"/>
      <c r="AG62" s="1981"/>
      <c r="AH62" s="1981"/>
      <c r="AI62" s="24"/>
      <c r="AJ62" s="2006">
        <v>423.512</v>
      </c>
      <c r="AK62" s="2006">
        <v>203.01</v>
      </c>
      <c r="AL62" s="1984">
        <f>+AJ62+AK62</f>
        <v>626.52199999999993</v>
      </c>
      <c r="AM62" s="24"/>
      <c r="AN62" s="2006"/>
      <c r="AO62" s="2006">
        <v>203.73</v>
      </c>
      <c r="AP62" s="302">
        <v>830.25199999999995</v>
      </c>
      <c r="AQ62" s="2001" t="s">
        <v>886</v>
      </c>
      <c r="AR62" s="1981">
        <f>+AP62/$BI62*100</f>
        <v>30.536274910772871</v>
      </c>
      <c r="AS62" s="24"/>
      <c r="AT62" s="388"/>
      <c r="AU62" s="388"/>
      <c r="AV62" s="388"/>
      <c r="AW62" s="388"/>
      <c r="AX62" s="388"/>
      <c r="AY62" s="388"/>
      <c r="AZ62" s="388"/>
      <c r="BA62" s="388"/>
      <c r="BB62" s="388"/>
      <c r="BC62" s="306"/>
      <c r="BD62" s="2001" t="s">
        <v>886</v>
      </c>
      <c r="BE62" s="306">
        <v>59.975999999999999</v>
      </c>
      <c r="BF62" s="2001" t="s">
        <v>886</v>
      </c>
      <c r="BG62" s="1981">
        <f>+BE62/$BI62*100</f>
        <v>2.2058888434457415</v>
      </c>
      <c r="BH62" s="24"/>
      <c r="BI62" s="1022">
        <f>+R62+W62+AP62+BE62</f>
        <v>2718.904</v>
      </c>
      <c r="BJ62" s="325"/>
      <c r="BK62" s="2890" t="s">
        <v>886</v>
      </c>
      <c r="BL62" s="325"/>
      <c r="BM62" s="323"/>
      <c r="BN62" s="2003"/>
      <c r="BO62" s="325"/>
      <c r="BP62" s="323"/>
      <c r="BQ62" s="2003"/>
      <c r="BR62" s="30"/>
      <c r="BS62" s="325"/>
      <c r="BT62" s="323"/>
      <c r="BU62" s="2003"/>
      <c r="BV62" s="30"/>
      <c r="BW62" s="325"/>
      <c r="BX62" s="323"/>
      <c r="BY62" s="24"/>
      <c r="BZ62" s="321"/>
      <c r="CA62" s="323"/>
      <c r="CB62" s="2003"/>
      <c r="CC62" s="321"/>
      <c r="CD62" s="323"/>
      <c r="CE62" s="2003"/>
      <c r="CF62" s="30"/>
      <c r="CG62" s="321"/>
      <c r="CH62" s="323"/>
      <c r="CI62" s="2003"/>
      <c r="CJ62" s="30"/>
      <c r="CK62" s="321"/>
      <c r="CL62" s="323"/>
      <c r="CM62" s="2003"/>
      <c r="CN62" s="30"/>
      <c r="CO62" s="30"/>
      <c r="CP62" s="323"/>
      <c r="CQ62" s="2003"/>
      <c r="CR62" s="2003"/>
      <c r="CS62" s="24"/>
      <c r="CT62" s="306">
        <v>254.149</v>
      </c>
      <c r="CU62" s="1980"/>
      <c r="CV62" s="1981">
        <f>+CT62/R62*100</f>
        <v>22.944054744558496</v>
      </c>
      <c r="CW62" s="321"/>
      <c r="CX62" s="321"/>
      <c r="CY62" s="321"/>
      <c r="CZ62" s="24"/>
      <c r="DA62" s="306">
        <v>250.74</v>
      </c>
      <c r="DB62" s="24"/>
      <c r="DC62" s="1981">
        <f>+DA62/W62*100</f>
        <v>34.777374317947924</v>
      </c>
      <c r="DD62" s="1981"/>
      <c r="DE62" s="1981"/>
      <c r="DF62" s="1981"/>
      <c r="DG62" s="1981"/>
      <c r="DH62" s="306">
        <v>68.676000000000002</v>
      </c>
      <c r="DI62" s="24"/>
      <c r="DJ62" s="1981">
        <f>+DH62/AP62*100</f>
        <v>8.271705458101879</v>
      </c>
      <c r="DK62" s="24"/>
      <c r="DL62" s="306"/>
      <c r="DM62" s="24"/>
      <c r="DN62" s="1981"/>
      <c r="DO62" s="24"/>
      <c r="DP62" s="306"/>
      <c r="DQ62" s="24"/>
      <c r="DR62" s="1981"/>
      <c r="DS62" s="24"/>
      <c r="DT62" s="306">
        <v>-48.585000000000001</v>
      </c>
      <c r="DU62" s="24"/>
      <c r="DV62" s="1981">
        <f>+DT62/BE62*100</f>
        <v>-81.007402961184468</v>
      </c>
      <c r="DW62" s="24"/>
      <c r="DX62" s="1022">
        <f>+CT62+DA62+DH62+DT62</f>
        <v>524.98</v>
      </c>
      <c r="DY62" s="24"/>
      <c r="DZ62" s="1981">
        <f>(+DX62/BI62)*100</f>
        <v>19.308515490065115</v>
      </c>
      <c r="EA62" s="2005" t="str">
        <f>IF(EB62=DX62," ","no")</f>
        <v xml:space="preserve"> </v>
      </c>
      <c r="EB62" s="91">
        <f>DT62+DH62+DA62+CT62</f>
        <v>524.98</v>
      </c>
      <c r="EC62" s="24"/>
      <c r="ED62" s="24"/>
      <c r="EE62" s="24"/>
      <c r="EG62" s="306"/>
      <c r="EH62" s="24"/>
      <c r="EI62" s="306"/>
      <c r="EJ62" s="24"/>
    </row>
    <row r="63" spans="1:140" hidden="1" outlineLevel="1">
      <c r="A63" s="113"/>
      <c r="B63" s="24" t="str">
        <f>+qtrSales!B86</f>
        <v>Year</v>
      </c>
      <c r="C63" s="24"/>
      <c r="D63" s="24"/>
      <c r="E63" s="266">
        <f>+SUM(E59:E62)</f>
        <v>2122.2629999999999</v>
      </c>
      <c r="F63" s="266"/>
      <c r="G63" s="1980">
        <f>+(E63/E56-1)*100</f>
        <v>16.034062329141598</v>
      </c>
      <c r="H63" s="1981">
        <f>+E63/$BI63*100</f>
        <v>27.848896076390474</v>
      </c>
      <c r="I63" s="1981"/>
      <c r="J63" s="1981"/>
      <c r="K63" s="266">
        <f>+SUM(K59:K62)</f>
        <v>955.99300000000005</v>
      </c>
      <c r="L63" s="1980">
        <f>+(K63/K56-1)*100</f>
        <v>25.954281949934121</v>
      </c>
      <c r="M63" s="1981">
        <f>+K63/$BI63*100</f>
        <v>12.54479284931074</v>
      </c>
      <c r="N63" s="1981"/>
      <c r="O63" s="1981"/>
      <c r="P63" s="1981"/>
      <c r="Q63" s="24"/>
      <c r="R63" s="266">
        <f>+SUM(R59:R62)</f>
        <v>3078.2559999999999</v>
      </c>
      <c r="S63" s="1980">
        <f>+(R63/R56-1)*100</f>
        <v>18.943431221020091</v>
      </c>
      <c r="T63" s="1980"/>
      <c r="U63" s="1981">
        <f>+R63/$BI63*100</f>
        <v>40.393688925701213</v>
      </c>
      <c r="V63" s="24"/>
      <c r="W63" s="266">
        <f>+SUM(W59:W62)</f>
        <v>1530.0509999999999</v>
      </c>
      <c r="X63" s="266"/>
      <c r="Y63" s="266"/>
      <c r="Z63" s="266"/>
      <c r="AA63" s="266"/>
      <c r="AB63" s="266"/>
      <c r="AC63" s="1980">
        <f>+(W63/W56-1)*100</f>
        <v>20.287028301886778</v>
      </c>
      <c r="AD63" s="1981">
        <f>+W63/$BI63*100</f>
        <v>20.077733669473254</v>
      </c>
      <c r="AE63" s="1981"/>
      <c r="AF63" s="1981"/>
      <c r="AG63" s="1981"/>
      <c r="AH63" s="1981"/>
      <c r="AI63" s="24"/>
      <c r="AJ63" s="266">
        <f>+SUM(AJ59:AJ62)</f>
        <v>1366.8689999999999</v>
      </c>
      <c r="AK63" s="266">
        <f>+SUM(AK59:AK62)</f>
        <v>606.65899999999999</v>
      </c>
      <c r="AL63" s="266">
        <f>+SUM(AL59:AL62)</f>
        <v>1973.5279999999998</v>
      </c>
      <c r="AM63" s="24"/>
      <c r="AN63" s="388"/>
      <c r="AO63" s="266">
        <f>+SUM(AO59:AO62)</f>
        <v>704.22499999999991</v>
      </c>
      <c r="AP63" s="266">
        <f>+SUM(AP59:AP62)</f>
        <v>2677.7530000000002</v>
      </c>
      <c r="AQ63" s="2001" t="s">
        <v>886</v>
      </c>
      <c r="AR63" s="1981">
        <f>+AP63/$BI63*100</f>
        <v>35.138182692363209</v>
      </c>
      <c r="AS63" s="24"/>
      <c r="AT63" s="388"/>
      <c r="AU63" s="388"/>
      <c r="AV63" s="388"/>
      <c r="AW63" s="388"/>
      <c r="AX63" s="388"/>
      <c r="AY63" s="388"/>
      <c r="AZ63" s="388"/>
      <c r="BA63" s="388"/>
      <c r="BB63" s="388"/>
      <c r="BC63" s="266"/>
      <c r="BD63" s="2001" t="s">
        <v>886</v>
      </c>
      <c r="BE63" s="266">
        <f>+SUM(BE59:BE62)</f>
        <v>334.57600000000002</v>
      </c>
      <c r="BF63" s="2001" t="s">
        <v>886</v>
      </c>
      <c r="BG63" s="1981">
        <f>+BE63/$BI63*100</f>
        <v>4.390394712462319</v>
      </c>
      <c r="BH63" s="24"/>
      <c r="BI63" s="266">
        <f>+SUM(BI59:BI62)</f>
        <v>7620.6360000000004</v>
      </c>
      <c r="BJ63" s="266"/>
      <c r="BK63" s="2890" t="s">
        <v>886</v>
      </c>
      <c r="BL63" s="266"/>
      <c r="BM63" s="1980"/>
      <c r="BN63" s="1981"/>
      <c r="BO63" s="266"/>
      <c r="BP63" s="1980"/>
      <c r="BQ63" s="1981"/>
      <c r="BR63" s="24"/>
      <c r="BS63" s="266"/>
      <c r="BT63" s="1980"/>
      <c r="BU63" s="1981"/>
      <c r="BV63" s="24"/>
      <c r="BW63" s="266"/>
      <c r="BX63" s="1980"/>
      <c r="BY63" s="24"/>
      <c r="BZ63" s="321"/>
      <c r="CA63" s="323"/>
      <c r="CB63" s="2003"/>
      <c r="CC63" s="321"/>
      <c r="CD63" s="323"/>
      <c r="CE63" s="2003"/>
      <c r="CF63" s="30"/>
      <c r="CG63" s="321"/>
      <c r="CH63" s="323"/>
      <c r="CI63" s="2003"/>
      <c r="CJ63" s="30"/>
      <c r="CK63" s="321"/>
      <c r="CL63" s="323"/>
      <c r="CM63" s="2003"/>
      <c r="CN63" s="30"/>
      <c r="CO63" s="30"/>
      <c r="CP63" s="323"/>
      <c r="CQ63" s="2003"/>
      <c r="CR63" s="2003"/>
      <c r="CS63" s="24"/>
      <c r="CT63" s="266">
        <f>+SUM(CT59:CT62)</f>
        <v>497.37199999999996</v>
      </c>
      <c r="CU63" s="1980"/>
      <c r="CV63" s="1981">
        <f>+CT63/R63*100</f>
        <v>16.157590531781633</v>
      </c>
      <c r="CW63" s="266"/>
      <c r="CX63" s="266"/>
      <c r="CY63" s="266"/>
      <c r="CZ63" s="24"/>
      <c r="DA63" s="266">
        <f>+SUM(DA59:DA62)</f>
        <v>394.10500000000002</v>
      </c>
      <c r="DB63" s="24"/>
      <c r="DC63" s="1981">
        <f>+DA63/W63*100</f>
        <v>25.757638144088009</v>
      </c>
      <c r="DD63" s="1981"/>
      <c r="DE63" s="1981"/>
      <c r="DF63" s="1981"/>
      <c r="DG63" s="1981"/>
      <c r="DH63" s="266">
        <f>+SUM(DH59:DH62)</f>
        <v>44.822000000000003</v>
      </c>
      <c r="DI63" s="24"/>
      <c r="DJ63" s="1981">
        <f>+DH63/AP63*100</f>
        <v>1.6738661108772916</v>
      </c>
      <c r="DK63" s="24"/>
      <c r="DL63" s="266"/>
      <c r="DM63" s="24"/>
      <c r="DN63" s="1981"/>
      <c r="DO63" s="24"/>
      <c r="DP63" s="266"/>
      <c r="DQ63" s="24"/>
      <c r="DR63" s="1981"/>
      <c r="DS63" s="24"/>
      <c r="DT63" s="266">
        <f>+SUM(DT59:DT62)</f>
        <v>-163.34399999999999</v>
      </c>
      <c r="DU63" s="24"/>
      <c r="DV63" s="1981">
        <f>+DT63/BE63*100</f>
        <v>-48.821194586581221</v>
      </c>
      <c r="DW63" s="24"/>
      <c r="DX63" s="266">
        <f>+SUM(DX59:DX62)</f>
        <v>772.95499999999993</v>
      </c>
      <c r="DY63" s="24"/>
      <c r="DZ63" s="1981">
        <f>(+DX63/BI63)*100</f>
        <v>10.142919829788484</v>
      </c>
      <c r="EA63" s="2005"/>
      <c r="EB63" s="24"/>
      <c r="EC63" s="24"/>
      <c r="ED63" s="24"/>
      <c r="EE63" s="24"/>
      <c r="EG63" s="266"/>
      <c r="EH63" s="24"/>
      <c r="EI63" s="266"/>
      <c r="EJ63" s="24"/>
    </row>
    <row r="64" spans="1:140" hidden="1" outlineLevel="1">
      <c r="A64" s="113"/>
      <c r="B64" s="24"/>
      <c r="C64" s="24"/>
      <c r="D64" s="24"/>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c r="BE64" s="24"/>
      <c r="BF64" s="24"/>
      <c r="BG64" s="24"/>
      <c r="BH64" s="24"/>
      <c r="BI64" s="24"/>
      <c r="BJ64" s="24"/>
      <c r="BK64" s="78"/>
      <c r="BL64" s="24"/>
      <c r="BM64" s="24"/>
      <c r="BN64" s="24"/>
      <c r="BO64" s="24"/>
      <c r="BP64" s="24"/>
      <c r="BQ64" s="24"/>
      <c r="BR64" s="24"/>
      <c r="BS64" s="24"/>
      <c r="BT64" s="24"/>
      <c r="BU64" s="24"/>
      <c r="BV64" s="24"/>
      <c r="BW64" s="24"/>
      <c r="BX64" s="24"/>
      <c r="BY64" s="24"/>
      <c r="BZ64" s="24"/>
      <c r="CA64" s="24"/>
      <c r="CB64" s="24"/>
      <c r="CC64" s="24"/>
      <c r="CD64" s="24"/>
      <c r="CE64" s="24"/>
      <c r="CF64" s="24"/>
      <c r="CG64" s="24"/>
      <c r="CH64" s="24"/>
      <c r="CI64" s="24"/>
      <c r="CJ64" s="24"/>
      <c r="CK64" s="24"/>
      <c r="CL64" s="24"/>
      <c r="CM64" s="24"/>
      <c r="CN64" s="24"/>
      <c r="CO64" s="24"/>
      <c r="CP64" s="24"/>
      <c r="CQ64" s="24"/>
      <c r="CR64" s="24"/>
      <c r="CS64" s="24"/>
      <c r="CT64" s="24"/>
      <c r="CU64" s="24"/>
      <c r="CV64" s="24"/>
      <c r="CW64" s="24"/>
      <c r="CX64" s="24"/>
      <c r="CY64" s="24"/>
      <c r="CZ64" s="24"/>
      <c r="DA64" s="24"/>
      <c r="DB64" s="24"/>
      <c r="DC64" s="24"/>
      <c r="DD64" s="24"/>
      <c r="DE64" s="24"/>
      <c r="DF64" s="24"/>
      <c r="DG64" s="24"/>
      <c r="DH64" s="24"/>
      <c r="DI64" s="24"/>
      <c r="DJ64" s="24"/>
      <c r="DK64" s="24"/>
      <c r="DL64" s="24"/>
      <c r="DM64" s="24"/>
      <c r="DN64" s="24"/>
      <c r="DO64" s="24"/>
      <c r="DP64" s="24"/>
      <c r="DQ64" s="24"/>
      <c r="DR64" s="24"/>
      <c r="DS64" s="24"/>
      <c r="DT64" s="24"/>
      <c r="DU64" s="24"/>
      <c r="DV64" s="24"/>
      <c r="DW64" s="24"/>
      <c r="DX64" s="24"/>
      <c r="DY64" s="24"/>
      <c r="DZ64" s="24"/>
      <c r="EA64" s="2007"/>
      <c r="EB64" s="24"/>
      <c r="EC64" s="24"/>
      <c r="ED64" s="24"/>
      <c r="EE64" s="24"/>
      <c r="EG64" s="24"/>
      <c r="EH64" s="24"/>
      <c r="EI64" s="24"/>
      <c r="EJ64" s="24"/>
    </row>
    <row r="65" spans="1:140" hidden="1" outlineLevel="1" collapsed="1">
      <c r="A65" s="113"/>
      <c r="B65" s="136">
        <f>+qtrSales!B88</f>
        <v>2000</v>
      </c>
      <c r="C65" s="24"/>
      <c r="D65" s="24"/>
      <c r="E65" s="24"/>
      <c r="F65" s="24"/>
      <c r="G65" s="1980"/>
      <c r="H65" s="1981"/>
      <c r="I65" s="1981"/>
      <c r="J65" s="1981"/>
      <c r="K65" s="24"/>
      <c r="L65" s="1980"/>
      <c r="M65" s="1981"/>
      <c r="N65" s="1981"/>
      <c r="O65" s="1981"/>
      <c r="P65" s="1981"/>
      <c r="Q65" s="24"/>
      <c r="R65" s="24"/>
      <c r="S65" s="1980"/>
      <c r="T65" s="1980"/>
      <c r="U65" s="1981"/>
      <c r="V65" s="24"/>
      <c r="W65" s="24"/>
      <c r="X65" s="24"/>
      <c r="Y65" s="24"/>
      <c r="Z65" s="24"/>
      <c r="AA65" s="24"/>
      <c r="AB65" s="24"/>
      <c r="AC65" s="1980"/>
      <c r="AD65" s="1981"/>
      <c r="AE65" s="1981"/>
      <c r="AF65" s="1981"/>
      <c r="AG65" s="1981"/>
      <c r="AH65" s="1981"/>
      <c r="AI65" s="24"/>
      <c r="AJ65" s="24"/>
      <c r="AK65" s="24"/>
      <c r="AL65" s="24"/>
      <c r="AM65" s="24"/>
      <c r="AN65" s="24"/>
      <c r="AO65" s="24"/>
      <c r="AP65" s="24"/>
      <c r="AQ65" s="1980"/>
      <c r="AR65" s="1981"/>
      <c r="AS65" s="24"/>
      <c r="AT65" s="24"/>
      <c r="AU65" s="24"/>
      <c r="AV65" s="24"/>
      <c r="AW65" s="24"/>
      <c r="AX65" s="24"/>
      <c r="AY65" s="24"/>
      <c r="AZ65" s="24"/>
      <c r="BA65" s="24"/>
      <c r="BB65" s="24"/>
      <c r="BC65" s="24"/>
      <c r="BD65" s="1980"/>
      <c r="BE65" s="24"/>
      <c r="BF65" s="1980"/>
      <c r="BG65" s="1981"/>
      <c r="BH65" s="24"/>
      <c r="BI65" s="24"/>
      <c r="BJ65" s="24"/>
      <c r="BK65" s="2889"/>
      <c r="BL65" s="389"/>
      <c r="BM65" s="1988"/>
      <c r="BN65" s="1989"/>
      <c r="BO65" s="389"/>
      <c r="BP65" s="389"/>
      <c r="BQ65" s="389"/>
      <c r="BR65" s="389"/>
      <c r="BS65" s="389"/>
      <c r="BT65" s="389"/>
      <c r="BU65" s="389"/>
      <c r="BV65" s="389"/>
      <c r="BW65" s="266"/>
      <c r="BX65" s="24"/>
      <c r="BY65" s="24"/>
      <c r="BZ65" s="389"/>
      <c r="CA65" s="1988"/>
      <c r="CB65" s="1989"/>
      <c r="CC65" s="389"/>
      <c r="CD65" s="389"/>
      <c r="CE65" s="389"/>
      <c r="CF65" s="389"/>
      <c r="CG65" s="389"/>
      <c r="CH65" s="389"/>
      <c r="CI65" s="389"/>
      <c r="CJ65" s="389"/>
      <c r="CK65" s="389"/>
      <c r="CL65" s="389"/>
      <c r="CM65" s="389"/>
      <c r="CN65" s="389"/>
      <c r="CO65" s="266"/>
      <c r="CP65" s="24"/>
      <c r="CQ65" s="24"/>
      <c r="CR65" s="24"/>
      <c r="CS65" s="24"/>
      <c r="CT65" s="24"/>
      <c r="CU65" s="24"/>
      <c r="CV65" s="24"/>
      <c r="CW65" s="24"/>
      <c r="CX65" s="24"/>
      <c r="CY65" s="24"/>
      <c r="CZ65" s="24"/>
      <c r="DA65" s="24"/>
      <c r="DB65" s="24"/>
      <c r="DC65" s="24"/>
      <c r="DD65" s="24"/>
      <c r="DE65" s="24"/>
      <c r="DF65" s="24"/>
      <c r="DG65" s="24"/>
      <c r="DH65" s="24"/>
      <c r="DI65" s="24"/>
      <c r="DJ65" s="24"/>
      <c r="DK65" s="24"/>
      <c r="DL65" s="24"/>
      <c r="DM65" s="24"/>
      <c r="DN65" s="24"/>
      <c r="DO65" s="24"/>
      <c r="DP65" s="24"/>
      <c r="DQ65" s="24"/>
      <c r="DR65" s="24"/>
      <c r="DS65" s="24"/>
      <c r="DT65" s="24"/>
      <c r="DU65" s="24"/>
      <c r="DV65" s="24"/>
      <c r="DW65" s="24"/>
      <c r="DX65" s="24"/>
      <c r="DY65" s="24"/>
      <c r="DZ65" s="24"/>
      <c r="EA65" s="2007"/>
      <c r="EB65" s="24"/>
      <c r="EC65" s="24"/>
      <c r="ED65" s="24"/>
      <c r="EE65" s="24"/>
      <c r="EG65" s="24"/>
      <c r="EH65" s="24"/>
      <c r="EI65" s="24"/>
      <c r="EJ65" s="24"/>
    </row>
    <row r="66" spans="1:140" hidden="1" outlineLevel="1">
      <c r="A66" s="113" t="str">
        <f>+qtrSales!A89</f>
        <v>1Q</v>
      </c>
      <c r="B66" s="24" t="str">
        <f>+qtrSales!B89</f>
        <v>Apr</v>
      </c>
      <c r="C66" s="24"/>
      <c r="D66" s="24"/>
      <c r="E66" s="1982">
        <v>495.65800000000002</v>
      </c>
      <c r="F66" s="1982"/>
      <c r="G66" s="1980">
        <f>+(E66/E59-1)*100</f>
        <v>18.037417007210976</v>
      </c>
      <c r="H66" s="1981">
        <f>+E66/$BI66*100</f>
        <v>29.324884778994569</v>
      </c>
      <c r="I66" s="1981"/>
      <c r="J66" s="1981"/>
      <c r="K66" s="1982">
        <v>242.65600000000001</v>
      </c>
      <c r="L66" s="1980">
        <f>+(K66/K59-1)*100</f>
        <v>5.1510384843718171</v>
      </c>
      <c r="M66" s="1981">
        <f>+K66/$BI66*100</f>
        <v>14.356389367127548</v>
      </c>
      <c r="N66" s="1981"/>
      <c r="O66" s="1981"/>
      <c r="P66" s="1981"/>
      <c r="Q66" s="24"/>
      <c r="R66" s="381">
        <f>+E66+K66</f>
        <v>738.31400000000008</v>
      </c>
      <c r="S66" s="1980">
        <f>+(R66/R59-1)*100</f>
        <v>13.467192266611372</v>
      </c>
      <c r="T66" s="1980"/>
      <c r="U66" s="1981">
        <f>+R66/$BI66*100</f>
        <v>43.681274146122121</v>
      </c>
      <c r="V66" s="24"/>
      <c r="W66" s="1982">
        <v>301.44900000000001</v>
      </c>
      <c r="X66" s="1982"/>
      <c r="Y66" s="1982"/>
      <c r="Z66" s="1982"/>
      <c r="AA66" s="1982"/>
      <c r="AB66" s="1982"/>
      <c r="AC66" s="1980">
        <f>+(W66/W59-1)*100</f>
        <v>18.335950380780396</v>
      </c>
      <c r="AD66" s="1981">
        <f>+W66/$BI66*100</f>
        <v>17.834791714737044</v>
      </c>
      <c r="AE66" s="1981"/>
      <c r="AF66" s="1981"/>
      <c r="AG66" s="1981"/>
      <c r="AH66" s="1981"/>
      <c r="AI66" s="24"/>
      <c r="AJ66" s="1982">
        <v>339.63099999999997</v>
      </c>
      <c r="AK66" s="1982">
        <v>111.17700000000001</v>
      </c>
      <c r="AL66" s="381">
        <f>+AJ66+AK66</f>
        <v>450.80799999999999</v>
      </c>
      <c r="AM66" s="1982"/>
      <c r="AN66" s="1982"/>
      <c r="AO66" s="1982">
        <v>155.672</v>
      </c>
      <c r="AP66" s="1982">
        <v>606.48</v>
      </c>
      <c r="AQ66" s="1980">
        <f>+(AP66/AP59-1)*100</f>
        <v>4.908459377551444</v>
      </c>
      <c r="AR66" s="1981">
        <f>+AP66/$BI66*100</f>
        <v>35.881507250492533</v>
      </c>
      <c r="AS66" s="24"/>
      <c r="AT66" s="1982"/>
      <c r="AU66" s="1982"/>
      <c r="AV66" s="1982"/>
      <c r="AW66" s="1982"/>
      <c r="AX66" s="1982"/>
      <c r="AY66" s="1982"/>
      <c r="AZ66" s="1982"/>
      <c r="BA66" s="1982"/>
      <c r="BB66" s="1982"/>
      <c r="BC66" s="1982"/>
      <c r="BD66" s="1980" t="e">
        <f>+(BC66/BC59-1)*100</f>
        <v>#DIV/0!</v>
      </c>
      <c r="BE66" s="1982">
        <v>43.987000000000002</v>
      </c>
      <c r="BF66" s="1980">
        <f>+(BE66/BE59-1)*100</f>
        <v>-48.378124633258999</v>
      </c>
      <c r="BG66" s="1981">
        <f>+BE66/$BI66*100</f>
        <v>2.60242688864829</v>
      </c>
      <c r="BH66" s="24"/>
      <c r="BI66" s="381">
        <f>+E66+K66+W66+AP66+BE66</f>
        <v>1690.2300000000002</v>
      </c>
      <c r="BJ66" s="381"/>
      <c r="BK66" s="2889">
        <f>+(BI66/BI59-1)*100</f>
        <v>7.7445005192068317</v>
      </c>
      <c r="BL66" s="381">
        <f>+E66+K66+W66+AT66+AY66</f>
        <v>1039.7630000000001</v>
      </c>
      <c r="BM66" s="1980" t="e">
        <f>+(BL66/BL59-1)*100</f>
        <v>#DIV/0!</v>
      </c>
      <c r="BN66" s="1981">
        <f>+BL66/$BW66*100</f>
        <v>64.957539947060042</v>
      </c>
      <c r="BO66" s="381">
        <f>+AJ59+AM66+AN66+AO66+AU66</f>
        <v>449.74099999999999</v>
      </c>
      <c r="BP66" s="1980" t="e">
        <f>+(BO66/BO59-1)*100</f>
        <v>#DIV/0!</v>
      </c>
      <c r="BQ66" s="1981">
        <f>+BO66/$BW66*100</f>
        <v>28.096853776611329</v>
      </c>
      <c r="BR66" s="389"/>
      <c r="BS66" s="381">
        <f>+AK66+AV66+AW66+AX66</f>
        <v>111.17700000000001</v>
      </c>
      <c r="BT66" s="1980" t="e">
        <f>+(BS66/BS59-1)*100</f>
        <v>#DIV/0!</v>
      </c>
      <c r="BU66" s="1981">
        <f>+BS66/$BW66*100</f>
        <v>6.9456062763286379</v>
      </c>
      <c r="BV66" s="389"/>
      <c r="BW66" s="381">
        <f>+BL66+BO66+BS66</f>
        <v>1600.681</v>
      </c>
      <c r="BX66" s="1980" t="e">
        <f>+(BW66/BW59-1)*100</f>
        <v>#DIV/0!</v>
      </c>
      <c r="BY66" s="24"/>
      <c r="BZ66" s="390"/>
      <c r="CA66" s="1980"/>
      <c r="CB66" s="1981"/>
      <c r="CC66" s="390"/>
      <c r="CD66" s="1980"/>
      <c r="CE66" s="1981"/>
      <c r="CF66" s="389"/>
      <c r="CG66" s="390"/>
      <c r="CH66" s="1980"/>
      <c r="CI66" s="1981"/>
      <c r="CJ66" s="24"/>
      <c r="CK66" s="390"/>
      <c r="CL66" s="1980"/>
      <c r="CM66" s="1981"/>
      <c r="CN66" s="24"/>
      <c r="CO66" s="165"/>
      <c r="CP66" s="1980"/>
      <c r="CQ66" s="1981"/>
      <c r="CR66" s="1981"/>
      <c r="CS66" s="24"/>
      <c r="CT66" s="1982">
        <v>102.57</v>
      </c>
      <c r="CU66" s="1980">
        <f>+(CT66/CT59-1)*100</f>
        <v>30.94599770202986</v>
      </c>
      <c r="CV66" s="1981">
        <f>+CT66/R66*100</f>
        <v>13.892463098356522</v>
      </c>
      <c r="CW66" s="1982"/>
      <c r="CX66" s="1982"/>
      <c r="CY66" s="1982"/>
      <c r="CZ66" s="24"/>
      <c r="DA66" s="1982">
        <v>46.531999999999996</v>
      </c>
      <c r="DB66" s="1980">
        <f>+(DA66/DA59-1)*100</f>
        <v>19.432252765586089</v>
      </c>
      <c r="DC66" s="1981">
        <f>+DA66/W66*100</f>
        <v>15.436110254139173</v>
      </c>
      <c r="DD66" s="1981"/>
      <c r="DE66" s="1981"/>
      <c r="DF66" s="1981"/>
      <c r="DG66" s="1981"/>
      <c r="DH66" s="1982">
        <v>2.0859999999999999</v>
      </c>
      <c r="DI66" s="1990" t="s">
        <v>886</v>
      </c>
      <c r="DJ66" s="1981">
        <f>+DH66/AP66*100</f>
        <v>0.34395198522622339</v>
      </c>
      <c r="DK66" s="24"/>
      <c r="DL66" s="1982"/>
      <c r="DM66" s="1980"/>
      <c r="DN66" s="1981"/>
      <c r="DO66" s="24"/>
      <c r="DP66" s="1982"/>
      <c r="DQ66" s="1980"/>
      <c r="DR66" s="1981"/>
      <c r="DS66" s="24"/>
      <c r="DT66" s="1982">
        <v>-38.756</v>
      </c>
      <c r="DU66" s="1980">
        <f>+(DT66/DT59-1)*100</f>
        <v>-4.5395206778491959</v>
      </c>
      <c r="DV66" s="1981">
        <f>+DT66/BE66*100</f>
        <v>-88.107850046604668</v>
      </c>
      <c r="DW66" s="24"/>
      <c r="DX66" s="381">
        <f>+CT66+DA66+DH66+DT66</f>
        <v>112.43199999999999</v>
      </c>
      <c r="DY66" s="1980">
        <f>+(DX66/DX59-1)*100</f>
        <v>80.738502097834612</v>
      </c>
      <c r="DZ66" s="1981">
        <f>(+DX66/BI66)*100</f>
        <v>6.6518757802192585</v>
      </c>
      <c r="EA66" s="2005" t="str">
        <f>IF(EB66=DX66," ","no")</f>
        <v xml:space="preserve"> </v>
      </c>
      <c r="EB66" s="91">
        <f>DT66+DH66+DA66+CT66</f>
        <v>112.43199999999999</v>
      </c>
      <c r="EC66" s="24"/>
      <c r="ED66" s="24"/>
      <c r="EE66" s="24"/>
      <c r="EG66" s="1982"/>
      <c r="EH66" s="1980"/>
      <c r="EI66" s="1982"/>
      <c r="EJ66" s="1980"/>
    </row>
    <row r="67" spans="1:140" hidden="1" outlineLevel="1">
      <c r="A67" s="113" t="str">
        <f>+qtrSales!A90</f>
        <v>2Q</v>
      </c>
      <c r="B67" s="24" t="str">
        <f>+qtrSales!B90</f>
        <v>Jul</v>
      </c>
      <c r="C67" s="24"/>
      <c r="D67" s="24"/>
      <c r="E67" s="388">
        <v>552.274</v>
      </c>
      <c r="F67" s="388"/>
      <c r="G67" s="1980">
        <f>+(E67/E60-1)*100</f>
        <v>14.616050323027864</v>
      </c>
      <c r="H67" s="1981">
        <f>+E67/$BI67*100</f>
        <v>29.975206737167532</v>
      </c>
      <c r="I67" s="1981"/>
      <c r="J67" s="1981"/>
      <c r="K67" s="388">
        <v>282.49299999999999</v>
      </c>
      <c r="L67" s="1980">
        <f>+(K67/K60-1)*100</f>
        <v>4.9633083768368946</v>
      </c>
      <c r="M67" s="1981">
        <f>+K67/$BI67*100</f>
        <v>15.332581430236925</v>
      </c>
      <c r="N67" s="1981"/>
      <c r="O67" s="1981"/>
      <c r="P67" s="1981"/>
      <c r="Q67" s="24"/>
      <c r="R67" s="387">
        <f>+E67+K67</f>
        <v>834.76700000000005</v>
      </c>
      <c r="S67" s="1980">
        <f>+(R67/R60-1)*100</f>
        <v>11.156725460796668</v>
      </c>
      <c r="T67" s="1980"/>
      <c r="U67" s="1981">
        <f>+R67/$BI67*100</f>
        <v>45.30778816740446</v>
      </c>
      <c r="V67" s="24"/>
      <c r="W67" s="388">
        <v>349.93400000000003</v>
      </c>
      <c r="X67" s="388"/>
      <c r="Y67" s="388"/>
      <c r="Z67" s="388"/>
      <c r="AA67" s="388"/>
      <c r="AB67" s="388"/>
      <c r="AC67" s="1980">
        <f>+(W67/W60-1)*100</f>
        <v>17.468906829587617</v>
      </c>
      <c r="AD67" s="1981">
        <f>+W67/$BI67*100</f>
        <v>18.993007084099531</v>
      </c>
      <c r="AE67" s="1981"/>
      <c r="AF67" s="1981"/>
      <c r="AG67" s="1981"/>
      <c r="AH67" s="1981"/>
      <c r="AI67" s="24"/>
      <c r="AJ67" s="388">
        <v>331.16500000000002</v>
      </c>
      <c r="AK67" s="388">
        <v>124.746</v>
      </c>
      <c r="AL67" s="387">
        <f>+AJ67+AK67</f>
        <v>455.911</v>
      </c>
      <c r="AM67" s="388"/>
      <c r="AN67" s="388"/>
      <c r="AO67" s="388">
        <v>146.73599999999999</v>
      </c>
      <c r="AP67" s="388">
        <v>602.64700000000005</v>
      </c>
      <c r="AQ67" s="1980">
        <f>+(AP67/AP60-1)*100</f>
        <v>0.83560192954774681</v>
      </c>
      <c r="AR67" s="1981">
        <f>+AP67/$BI67*100</f>
        <v>32.709250144916844</v>
      </c>
      <c r="AS67" s="24"/>
      <c r="AT67" s="388"/>
      <c r="AU67" s="388"/>
      <c r="AV67" s="388"/>
      <c r="AW67" s="388"/>
      <c r="AX67" s="388"/>
      <c r="AY67" s="388"/>
      <c r="AZ67" s="388"/>
      <c r="BA67" s="388"/>
      <c r="BB67" s="388"/>
      <c r="BC67" s="388"/>
      <c r="BD67" s="1980" t="e">
        <f>+(BC67/BC60-1)*100</f>
        <v>#DIV/0!</v>
      </c>
      <c r="BE67" s="388">
        <v>55.088000000000001</v>
      </c>
      <c r="BF67" s="1980">
        <f>+(BE67/BE60-1)*100</f>
        <v>-47.069449248626007</v>
      </c>
      <c r="BG67" s="1981">
        <f>+BE67/$BI67*100</f>
        <v>2.9899546035791746</v>
      </c>
      <c r="BH67" s="24"/>
      <c r="BI67" s="266">
        <f>+E67+K67+W67+AP67+BE67</f>
        <v>1842.4359999999999</v>
      </c>
      <c r="BJ67" s="266"/>
      <c r="BK67" s="2889">
        <f>+(BI67/BI60-1)*100</f>
        <v>5.2456120908987991</v>
      </c>
      <c r="BL67" s="266">
        <f>+E67+K67+W67+AT67+AY67</f>
        <v>1184.701</v>
      </c>
      <c r="BM67" s="1980" t="e">
        <f>+(BL67/BL60-1)*100</f>
        <v>#DIV/0!</v>
      </c>
      <c r="BN67" s="1981">
        <f>+BL67/$BW67*100</f>
        <v>67.594225026331316</v>
      </c>
      <c r="BO67" s="266">
        <f>+AJ60+AM67+AN67+AO67+AU67</f>
        <v>443.21899999999999</v>
      </c>
      <c r="BP67" s="1980" t="e">
        <f>+(BO67/BO60-1)*100</f>
        <v>#DIV/0!</v>
      </c>
      <c r="BQ67" s="1981">
        <f>+BO67/$BW67*100</f>
        <v>25.28827511916132</v>
      </c>
      <c r="BR67" s="389"/>
      <c r="BS67" s="266">
        <f>+AK67+AV67+AW67+AX67</f>
        <v>124.746</v>
      </c>
      <c r="BT67" s="1980" t="e">
        <f>+(BS67/BS60-1)*100</f>
        <v>#DIV/0!</v>
      </c>
      <c r="BU67" s="1981">
        <f>+BS67/$BW67*100</f>
        <v>7.1174998545073613</v>
      </c>
      <c r="BV67" s="389"/>
      <c r="BW67" s="266">
        <f>+BL67+BO67+BS67</f>
        <v>1752.6660000000002</v>
      </c>
      <c r="BX67" s="1980" t="e">
        <f>+(BW67/BW60-1)*100</f>
        <v>#DIV/0!</v>
      </c>
      <c r="BY67" s="24"/>
      <c r="BZ67" s="389"/>
      <c r="CA67" s="1980"/>
      <c r="CB67" s="1981"/>
      <c r="CC67" s="389"/>
      <c r="CD67" s="1980"/>
      <c r="CE67" s="1981"/>
      <c r="CF67" s="389"/>
      <c r="CG67" s="389"/>
      <c r="CH67" s="1980"/>
      <c r="CI67" s="1981"/>
      <c r="CJ67" s="389"/>
      <c r="CK67" s="389"/>
      <c r="CL67" s="1980"/>
      <c r="CM67" s="1981"/>
      <c r="CN67" s="389"/>
      <c r="CO67" s="266"/>
      <c r="CP67" s="1980"/>
      <c r="CQ67" s="1981"/>
      <c r="CR67" s="1981"/>
      <c r="CS67" s="24"/>
      <c r="CT67" s="2008">
        <v>127.911</v>
      </c>
      <c r="CU67" s="1980">
        <f>+(CT67/CT60-1)*100</f>
        <v>19.998311349606922</v>
      </c>
      <c r="CV67" s="1981">
        <f>+CT67/R67*100</f>
        <v>15.322958382398921</v>
      </c>
      <c r="CW67" s="2008"/>
      <c r="CX67" s="2008"/>
      <c r="CY67" s="2008"/>
      <c r="CZ67" s="24"/>
      <c r="DA67" s="2008">
        <v>74.578000000000003</v>
      </c>
      <c r="DB67" s="1980">
        <f>+(DA67/DA60-1)*100</f>
        <v>3.5834328731353615</v>
      </c>
      <c r="DC67" s="1981">
        <f>+DA67/W67*100</f>
        <v>21.312018837837993</v>
      </c>
      <c r="DD67" s="1981"/>
      <c r="DE67" s="1981"/>
      <c r="DF67" s="1981"/>
      <c r="DG67" s="1981"/>
      <c r="DH67" s="2008">
        <v>-5.7329999999999997</v>
      </c>
      <c r="DI67" s="1990" t="s">
        <v>886</v>
      </c>
      <c r="DJ67" s="1981">
        <f>+DH67/AP67*100</f>
        <v>-0.95130316752593136</v>
      </c>
      <c r="DK67" s="24"/>
      <c r="DL67" s="2008"/>
      <c r="DM67" s="1980"/>
      <c r="DN67" s="1981"/>
      <c r="DO67" s="24"/>
      <c r="DP67" s="2008"/>
      <c r="DQ67" s="1980"/>
      <c r="DR67" s="1981"/>
      <c r="DS67" s="24"/>
      <c r="DT67" s="2008">
        <v>-42.402999999999999</v>
      </c>
      <c r="DU67" s="1980">
        <f>+(DT67/DT60-1)*100</f>
        <v>-12.828156158131698</v>
      </c>
      <c r="DV67" s="1981">
        <f>+DT67/BE67*100</f>
        <v>-76.97320650595411</v>
      </c>
      <c r="DW67" s="24"/>
      <c r="DX67" s="266">
        <f>+CT67+DA67+DH67+DT67</f>
        <v>154.35300000000001</v>
      </c>
      <c r="DY67" s="1980">
        <f>+(DX67/DX60-1)*100</f>
        <v>47.791076216009245</v>
      </c>
      <c r="DZ67" s="1981">
        <f>(+DX67/BI67)*100</f>
        <v>8.3776587083621923</v>
      </c>
      <c r="EA67" s="2005" t="str">
        <f>IF(EB67=DX67," ","no")</f>
        <v xml:space="preserve"> </v>
      </c>
      <c r="EB67" s="91">
        <f>DT67+DH67+DA67+CT67</f>
        <v>154.35300000000001</v>
      </c>
      <c r="EC67" s="24"/>
      <c r="ED67" s="24"/>
      <c r="EE67" s="24"/>
      <c r="EG67" s="2008"/>
      <c r="EH67" s="1980"/>
      <c r="EI67" s="2008"/>
      <c r="EJ67" s="1980"/>
    </row>
    <row r="68" spans="1:140" hidden="1" outlineLevel="1">
      <c r="A68" s="113" t="str">
        <f>+qtrSales!A91</f>
        <v>3Q</v>
      </c>
      <c r="B68" s="24" t="str">
        <f>+qtrSales!B91</f>
        <v>Oct</v>
      </c>
      <c r="C68" s="24"/>
      <c r="D68" s="24"/>
      <c r="E68" s="388">
        <v>462.03800000000001</v>
      </c>
      <c r="F68" s="388"/>
      <c r="G68" s="1980">
        <f>+(E68/E61-1)*100</f>
        <v>9.9294796147550546</v>
      </c>
      <c r="H68" s="1981">
        <f>+E68/$BI68*100</f>
        <v>26.925981785080737</v>
      </c>
      <c r="I68" s="1981"/>
      <c r="J68" s="1981"/>
      <c r="K68" s="388">
        <v>158.64599999999999</v>
      </c>
      <c r="L68" s="1980">
        <f>+(K68/K61-1)*100</f>
        <v>6.7640230155792569</v>
      </c>
      <c r="M68" s="1981">
        <f>+K68/$BI68*100</f>
        <v>9.2453419551550269</v>
      </c>
      <c r="N68" s="1981"/>
      <c r="O68" s="1981"/>
      <c r="P68" s="1981"/>
      <c r="Q68" s="24"/>
      <c r="R68" s="387">
        <f>+E68+K68</f>
        <v>620.68399999999997</v>
      </c>
      <c r="S68" s="1980">
        <f>+(R68/R61-1)*100</f>
        <v>9.1026702455093034</v>
      </c>
      <c r="T68" s="1980"/>
      <c r="U68" s="1981">
        <f>+R68/$BI68*100</f>
        <v>36.171323740235763</v>
      </c>
      <c r="V68" s="24"/>
      <c r="W68" s="388">
        <v>313.08300000000003</v>
      </c>
      <c r="X68" s="388"/>
      <c r="Y68" s="388"/>
      <c r="Z68" s="388"/>
      <c r="AA68" s="388"/>
      <c r="AB68" s="388"/>
      <c r="AC68" s="1980">
        <f>+(W68/W61-1)*100</f>
        <v>22.09296884139922</v>
      </c>
      <c r="AD68" s="1981">
        <f>+W68/$BI68*100</f>
        <v>18.245397900645475</v>
      </c>
      <c r="AE68" s="1981"/>
      <c r="AF68" s="1981"/>
      <c r="AG68" s="1981"/>
      <c r="AH68" s="1981"/>
      <c r="AI68" s="24"/>
      <c r="AJ68" s="388">
        <v>418.798</v>
      </c>
      <c r="AK68" s="388">
        <v>142.32300000000001</v>
      </c>
      <c r="AL68" s="387">
        <f>+AJ68+AK68</f>
        <v>561.12099999999998</v>
      </c>
      <c r="AM68" s="388"/>
      <c r="AN68" s="388"/>
      <c r="AO68" s="388">
        <v>162.91999999999999</v>
      </c>
      <c r="AP68" s="388">
        <v>724.04100000000005</v>
      </c>
      <c r="AQ68" s="1980">
        <f>+(AP68/AP61-1)*100</f>
        <v>7.7852574790396423</v>
      </c>
      <c r="AR68" s="1981">
        <f>+AP68/$BI68*100</f>
        <v>42.194613381695106</v>
      </c>
      <c r="AS68" s="24"/>
      <c r="AT68" s="388"/>
      <c r="AU68" s="388"/>
      <c r="AV68" s="388"/>
      <c r="AW68" s="388"/>
      <c r="AX68" s="388"/>
      <c r="AY68" s="388"/>
      <c r="AZ68" s="388"/>
      <c r="BA68" s="388"/>
      <c r="BB68" s="388"/>
      <c r="BC68" s="388"/>
      <c r="BD68" s="1980" t="e">
        <f>+(BC68/BC61-1)*100</f>
        <v>#DIV/0!</v>
      </c>
      <c r="BE68" s="388">
        <v>58.148000000000003</v>
      </c>
      <c r="BF68" s="1980">
        <f>+(BE68/BE61-1)*100</f>
        <v>-31.842370537074792</v>
      </c>
      <c r="BG68" s="1981">
        <f>+BE68/$BI68*100</f>
        <v>3.3886649774236637</v>
      </c>
      <c r="BH68" s="24"/>
      <c r="BI68" s="266">
        <f>+E68+K68+W68+AP68+BE68</f>
        <v>1715.9559999999999</v>
      </c>
      <c r="BJ68" s="266"/>
      <c r="BK68" s="2889">
        <f>+(BI68/BI61-1)*100</f>
        <v>8.440981883698484</v>
      </c>
      <c r="BL68" s="266">
        <f>+E68+K68+W68+AT68+AY68</f>
        <v>933.76700000000005</v>
      </c>
      <c r="BM68" s="1980" t="e">
        <f>+(BL68/BL61-1)*100</f>
        <v>#DIV/0!</v>
      </c>
      <c r="BN68" s="1981">
        <f>+BL68/$BW68*100</f>
        <v>58.660522736624543</v>
      </c>
      <c r="BO68" s="266">
        <f>+AJ61+AM68+AN68+AO68+AU68</f>
        <v>515.72500000000002</v>
      </c>
      <c r="BP68" s="1980" t="e">
        <f>+(BO68/BO61-1)*100</f>
        <v>#DIV/0!</v>
      </c>
      <c r="BQ68" s="1981">
        <f>+BO68/$BW68*100</f>
        <v>32.398551339194562</v>
      </c>
      <c r="BR68" s="24"/>
      <c r="BS68" s="266">
        <f>+AK68+AV68+AW68+AX68</f>
        <v>142.32300000000001</v>
      </c>
      <c r="BT68" s="1980" t="e">
        <f>+(BS68/BS61-1)*100</f>
        <v>#DIV/0!</v>
      </c>
      <c r="BU68" s="1981">
        <f>+BS68/$BW68*100</f>
        <v>8.9409259241808865</v>
      </c>
      <c r="BV68" s="24"/>
      <c r="BW68" s="266">
        <f>+BL68+BO68+BS68</f>
        <v>1591.8150000000003</v>
      </c>
      <c r="BX68" s="1980" t="e">
        <f>+(BW68/BW61-1)*100</f>
        <v>#DIV/0!</v>
      </c>
      <c r="BY68" s="24"/>
      <c r="BZ68" s="389"/>
      <c r="CA68" s="1980"/>
      <c r="CB68" s="1981"/>
      <c r="CC68" s="389"/>
      <c r="CD68" s="1980"/>
      <c r="CE68" s="1981"/>
      <c r="CF68" s="24"/>
      <c r="CG68" s="389"/>
      <c r="CH68" s="1980"/>
      <c r="CI68" s="1981"/>
      <c r="CJ68" s="24"/>
      <c r="CK68" s="389"/>
      <c r="CL68" s="1980"/>
      <c r="CM68" s="1981"/>
      <c r="CN68" s="24"/>
      <c r="CO68" s="266"/>
      <c r="CP68" s="1980"/>
      <c r="CQ68" s="1981"/>
      <c r="CR68" s="1981"/>
      <c r="CS68" s="24"/>
      <c r="CT68" s="2008">
        <v>65.721000000000004</v>
      </c>
      <c r="CU68" s="1980">
        <f>+(CT68/CT61-1)*100</f>
        <v>12.730921628158299</v>
      </c>
      <c r="CV68" s="1981">
        <f>+CT68/R68*100</f>
        <v>10.588479806149346</v>
      </c>
      <c r="CW68" s="2008"/>
      <c r="CX68" s="2008"/>
      <c r="CY68" s="2008"/>
      <c r="CZ68" s="24"/>
      <c r="DA68" s="2008">
        <v>41.183</v>
      </c>
      <c r="DB68" s="1980">
        <f>+(DA68/DA61-1)*100</f>
        <v>27.084490526445727</v>
      </c>
      <c r="DC68" s="1981">
        <f>+DA68/W68*100</f>
        <v>13.154019860548161</v>
      </c>
      <c r="DD68" s="1981"/>
      <c r="DE68" s="1981"/>
      <c r="DF68" s="1981"/>
      <c r="DG68" s="1981"/>
      <c r="DH68" s="2008">
        <v>22.350999999999999</v>
      </c>
      <c r="DI68" s="1980">
        <f>+(DH68/DH61-1)*100</f>
        <v>38.482032218091675</v>
      </c>
      <c r="DJ68" s="1981">
        <f>+DH68/AP68*100</f>
        <v>3.0869798809735909</v>
      </c>
      <c r="DK68" s="24"/>
      <c r="DL68" s="2008"/>
      <c r="DM68" s="1980"/>
      <c r="DN68" s="1981"/>
      <c r="DO68" s="24"/>
      <c r="DP68" s="2008"/>
      <c r="DQ68" s="1980"/>
      <c r="DR68" s="1981"/>
      <c r="DS68" s="24"/>
      <c r="DT68" s="2008">
        <v>-27.277999999999999</v>
      </c>
      <c r="DU68" s="1980">
        <f>+(DT68/DT61-1)*100</f>
        <v>6.9012814986087578</v>
      </c>
      <c r="DV68" s="1981">
        <f>+DT68/BE68*100</f>
        <v>-46.911329710394163</v>
      </c>
      <c r="DW68" s="24"/>
      <c r="DX68" s="266">
        <f>+CT68+DA68+DH68+DT68</f>
        <v>101.977</v>
      </c>
      <c r="DY68" s="1980">
        <f>+(DX68/DX61-1)*100</f>
        <v>25.389779657682475</v>
      </c>
      <c r="DZ68" s="1981">
        <f>(+DX68/BI68)*100</f>
        <v>5.9428679989463609</v>
      </c>
      <c r="EA68" s="2005" t="str">
        <f>IF(EB68=DX68," ","no")</f>
        <v xml:space="preserve"> </v>
      </c>
      <c r="EB68" s="91">
        <f>DT68+DH68+DA68+CT68</f>
        <v>101.977</v>
      </c>
      <c r="EC68" s="24"/>
      <c r="ED68" s="24"/>
      <c r="EE68" s="24"/>
      <c r="EG68" s="2008"/>
      <c r="EH68" s="1980"/>
      <c r="EI68" s="2008"/>
      <c r="EJ68" s="1980"/>
    </row>
    <row r="69" spans="1:140" hidden="1" outlineLevel="1">
      <c r="A69" s="113" t="str">
        <f>+qtrSales!A92</f>
        <v>4Q</v>
      </c>
      <c r="B69" s="24" t="str">
        <f>+qtrSales!B92</f>
        <v>Jan</v>
      </c>
      <c r="C69" s="24"/>
      <c r="D69" s="24"/>
      <c r="E69" s="302">
        <v>828.78200000000004</v>
      </c>
      <c r="F69" s="307"/>
      <c r="G69" s="1980">
        <f>+(E69/E62-1)*100</f>
        <v>3.5723747681817963</v>
      </c>
      <c r="H69" s="1981">
        <f>+E69/$BI69*100</f>
        <v>28.567351371921006</v>
      </c>
      <c r="I69" s="1981"/>
      <c r="J69" s="1981"/>
      <c r="K69" s="302">
        <v>278.64800000000002</v>
      </c>
      <c r="L69" s="1980">
        <f>+(K69/K62-1)*100</f>
        <v>-9.3809960519554814</v>
      </c>
      <c r="M69" s="1981">
        <f>+K69/$BI69*100</f>
        <v>9.6047396360961574</v>
      </c>
      <c r="N69" s="1981"/>
      <c r="O69" s="1981"/>
      <c r="P69" s="1981"/>
      <c r="Q69" s="24"/>
      <c r="R69" s="1022">
        <f>+E69+K69</f>
        <v>1107.43</v>
      </c>
      <c r="S69" s="1980">
        <f>+(R69/R62-1)*100</f>
        <v>-2.347227112278194E-2</v>
      </c>
      <c r="T69" s="1980"/>
      <c r="U69" s="1981">
        <f>+R69/$BI69*100</f>
        <v>38.172091008017169</v>
      </c>
      <c r="V69" s="24"/>
      <c r="W69" s="302">
        <v>820.11900000000003</v>
      </c>
      <c r="X69" s="307"/>
      <c r="Y69" s="307"/>
      <c r="Z69" s="307"/>
      <c r="AA69" s="307"/>
      <c r="AB69" s="307"/>
      <c r="AC69" s="1980">
        <f>+(W69/W62-1)*100</f>
        <v>13.749642850207922</v>
      </c>
      <c r="AD69" s="1981">
        <f>+W69/$BI69*100</f>
        <v>28.268745749531828</v>
      </c>
      <c r="AE69" s="1981"/>
      <c r="AF69" s="1981"/>
      <c r="AG69" s="1981"/>
      <c r="AH69" s="1981"/>
      <c r="AI69" s="24"/>
      <c r="AJ69" s="2006">
        <v>504.69600000000003</v>
      </c>
      <c r="AK69" s="2006">
        <v>191.18</v>
      </c>
      <c r="AL69" s="1984">
        <f>+AJ69+AK69</f>
        <v>695.87599999999998</v>
      </c>
      <c r="AM69" s="388"/>
      <c r="AN69" s="388"/>
      <c r="AO69" s="2009">
        <v>207.304</v>
      </c>
      <c r="AP69" s="302">
        <v>903.18</v>
      </c>
      <c r="AQ69" s="1980">
        <f>+(AP69/AP62-1)*100</f>
        <v>8.7838391235432134</v>
      </c>
      <c r="AR69" s="1981">
        <f>+AP69/$BI69*100</f>
        <v>31.13178183417547</v>
      </c>
      <c r="AS69" s="24"/>
      <c r="AT69" s="388"/>
      <c r="AU69" s="388"/>
      <c r="AV69" s="388"/>
      <c r="AW69" s="388"/>
      <c r="AX69" s="388"/>
      <c r="AY69" s="388"/>
      <c r="AZ69" s="388"/>
      <c r="BA69" s="388"/>
      <c r="BB69" s="388"/>
      <c r="BC69" s="302"/>
      <c r="BD69" s="1980" t="e">
        <f>+(BC69/BC62-1)*100</f>
        <v>#DIV/0!</v>
      </c>
      <c r="BE69" s="302">
        <v>70.421999999999997</v>
      </c>
      <c r="BF69" s="1980">
        <f>+(BE69/BE62-1)*100</f>
        <v>17.416966786714696</v>
      </c>
      <c r="BG69" s="1981">
        <f>+BE69/$BI69*100</f>
        <v>2.4273814082755432</v>
      </c>
      <c r="BH69" s="24"/>
      <c r="BI69" s="1022">
        <f>+E69+K69+W69+AP69+BE69</f>
        <v>2901.1509999999998</v>
      </c>
      <c r="BJ69" s="325"/>
      <c r="BK69" s="2889">
        <f>+(BI69/BI62-1)*100</f>
        <v>6.7029582508245866</v>
      </c>
      <c r="BL69" s="1022">
        <f>+E69+K69+W69+AT69+AY69</f>
        <v>1927.549</v>
      </c>
      <c r="BM69" s="1980" t="e">
        <f>+(BL69/BL62-1)*100</f>
        <v>#DIV/0!</v>
      </c>
      <c r="BN69" s="1981">
        <f>+BL69/$BW69*100</f>
        <v>70.104289982524392</v>
      </c>
      <c r="BO69" s="1022">
        <f>+AJ62+AM69+AN69+AO69+AU69</f>
        <v>630.81600000000003</v>
      </c>
      <c r="BP69" s="1980" t="e">
        <f>+(BO69/BO62-1)*100</f>
        <v>#DIV/0!</v>
      </c>
      <c r="BQ69" s="1981">
        <f>+BO69/$BW69*100</f>
        <v>22.942559587131694</v>
      </c>
      <c r="BR69" s="24"/>
      <c r="BS69" s="1022">
        <f>+AK69+AV69+AW69+AX69</f>
        <v>191.18</v>
      </c>
      <c r="BT69" s="1980" t="e">
        <f>+(BS69/BS62-1)*100</f>
        <v>#DIV/0!</v>
      </c>
      <c r="BU69" s="1981">
        <f>+BS69/$BW69*100</f>
        <v>6.9531504303439311</v>
      </c>
      <c r="BV69" s="24"/>
      <c r="BW69" s="1022">
        <f>+BL69+BO69+BS69</f>
        <v>2749.5449999999996</v>
      </c>
      <c r="BX69" s="1980" t="e">
        <f>+(BW69/BW62-1)*100</f>
        <v>#DIV/0!</v>
      </c>
      <c r="BY69" s="24"/>
      <c r="BZ69" s="306"/>
      <c r="CA69" s="1980"/>
      <c r="CB69" s="1981"/>
      <c r="CC69" s="306"/>
      <c r="CD69" s="1980"/>
      <c r="CE69" s="1981"/>
      <c r="CF69" s="24"/>
      <c r="CG69" s="306"/>
      <c r="CH69" s="1980"/>
      <c r="CI69" s="1981"/>
      <c r="CJ69" s="24"/>
      <c r="CK69" s="306"/>
      <c r="CL69" s="1980"/>
      <c r="CM69" s="1981"/>
      <c r="CN69" s="24"/>
      <c r="CO69" s="67"/>
      <c r="CP69" s="1980"/>
      <c r="CQ69" s="1981"/>
      <c r="CR69" s="1981"/>
      <c r="CS69" s="24"/>
      <c r="CT69" s="2010">
        <v>172.37</v>
      </c>
      <c r="CU69" s="1980">
        <f>+(CT69/CT62-1)*100</f>
        <v>-32.177580867916063</v>
      </c>
      <c r="CV69" s="1981">
        <f>+CT69/R69*100</f>
        <v>15.564866402391123</v>
      </c>
      <c r="CW69" s="2008"/>
      <c r="CX69" s="2008"/>
      <c r="CY69" s="2008"/>
      <c r="CZ69" s="24"/>
      <c r="DA69" s="2010">
        <v>255.62299999999999</v>
      </c>
      <c r="DB69" s="1980">
        <f>+(DA69/DA62-1)*100</f>
        <v>1.9474355906516694</v>
      </c>
      <c r="DC69" s="1981">
        <f>+DA69/W69*100</f>
        <v>31.169013277341456</v>
      </c>
      <c r="DD69" s="1981"/>
      <c r="DE69" s="1981"/>
      <c r="DF69" s="1981"/>
      <c r="DG69" s="1981"/>
      <c r="DH69" s="2010">
        <v>56.07</v>
      </c>
      <c r="DI69" s="1980">
        <f>+(DH69/DH62-1)*100</f>
        <v>-18.355757469858467</v>
      </c>
      <c r="DJ69" s="1981">
        <f>+DH69/AP69*100</f>
        <v>6.2080648375739056</v>
      </c>
      <c r="DK69" s="24"/>
      <c r="DL69" s="2010"/>
      <c r="DM69" s="1980"/>
      <c r="DN69" s="1981"/>
      <c r="DO69" s="24"/>
      <c r="DP69" s="2010"/>
      <c r="DQ69" s="1980"/>
      <c r="DR69" s="1981"/>
      <c r="DS69" s="24"/>
      <c r="DT69" s="2010">
        <v>-40.643000000000001</v>
      </c>
      <c r="DU69" s="1980">
        <f>+(DT69/DT62-1)*100</f>
        <v>-16.346609035710614</v>
      </c>
      <c r="DV69" s="1981">
        <f>+DT69/BE69*100</f>
        <v>-57.713498622589533</v>
      </c>
      <c r="DW69" s="24"/>
      <c r="DX69" s="1022">
        <f>+CT69+DA69+DH69+DT69</f>
        <v>443.41999999999996</v>
      </c>
      <c r="DY69" s="1980">
        <f>+(DX69/DX62-1)*100</f>
        <v>-15.535829936378542</v>
      </c>
      <c r="DZ69" s="1981">
        <f>(+DX69/BI69)*100</f>
        <v>15.284278550134067</v>
      </c>
      <c r="EA69" s="2005" t="str">
        <f>IF(EB69=DX69," ","no")</f>
        <v xml:space="preserve"> </v>
      </c>
      <c r="EB69" s="91">
        <f>DT69+DH69+DA69+CT69</f>
        <v>443.42</v>
      </c>
      <c r="EC69" s="24"/>
      <c r="ED69" s="24"/>
      <c r="EE69" s="24"/>
      <c r="EG69" s="2010"/>
      <c r="EH69" s="1980"/>
      <c r="EI69" s="2010"/>
      <c r="EJ69" s="1980"/>
    </row>
    <row r="70" spans="1:140" hidden="1" outlineLevel="1">
      <c r="A70" s="113"/>
      <c r="B70" s="24" t="str">
        <f>+qtrSales!B93</f>
        <v>Year</v>
      </c>
      <c r="C70" s="24"/>
      <c r="D70" s="24"/>
      <c r="E70" s="266">
        <f>+SUM(E66:E69)</f>
        <v>2338.752</v>
      </c>
      <c r="F70" s="266"/>
      <c r="G70" s="1980">
        <f>+(E70/E63-1)*100</f>
        <v>10.200856350037668</v>
      </c>
      <c r="H70" s="1981">
        <f>+E70/$BI70*100</f>
        <v>28.697142852935905</v>
      </c>
      <c r="I70" s="1981"/>
      <c r="J70" s="1981"/>
      <c r="K70" s="266">
        <f>+SUM(K66:K69)</f>
        <v>962.44299999999998</v>
      </c>
      <c r="L70" s="1980">
        <f>+(K70/K63-1)*100</f>
        <v>0.67469113267564218</v>
      </c>
      <c r="M70" s="1981">
        <f>+K70/$BI70*100</f>
        <v>11.80944549007684</v>
      </c>
      <c r="N70" s="1981"/>
      <c r="O70" s="1981"/>
      <c r="P70" s="1981"/>
      <c r="Q70" s="24"/>
      <c r="R70" s="266">
        <f>+SUM(R66:R69)</f>
        <v>3301.1950000000006</v>
      </c>
      <c r="S70" s="1980">
        <f>+(R70/R63-1)*100</f>
        <v>7.2423801009402933</v>
      </c>
      <c r="T70" s="1980"/>
      <c r="U70" s="1981">
        <f>+R70/$BI70*100</f>
        <v>40.506588343012751</v>
      </c>
      <c r="V70" s="24"/>
      <c r="W70" s="266">
        <f>+SUM(W66:W69)</f>
        <v>1784.585</v>
      </c>
      <c r="X70" s="266"/>
      <c r="Y70" s="266"/>
      <c r="Z70" s="266"/>
      <c r="AA70" s="266"/>
      <c r="AB70" s="266"/>
      <c r="AC70" s="1980">
        <f>+(W70/W63-1)*100</f>
        <v>16.635654628505847</v>
      </c>
      <c r="AD70" s="1981">
        <f>+W70/$BI70*100</f>
        <v>21.897358368141052</v>
      </c>
      <c r="AE70" s="1981"/>
      <c r="AF70" s="1981"/>
      <c r="AG70" s="1981"/>
      <c r="AH70" s="1981"/>
      <c r="AI70" s="24"/>
      <c r="AJ70" s="266">
        <f>+SUM(AJ66:AJ69)</f>
        <v>1594.29</v>
      </c>
      <c r="AK70" s="266">
        <f>+SUM(AK66:AK69)</f>
        <v>569.42599999999993</v>
      </c>
      <c r="AL70" s="266">
        <f>+SUM(AL66:AL69)</f>
        <v>2163.7160000000003</v>
      </c>
      <c r="AM70" s="388"/>
      <c r="AN70" s="388"/>
      <c r="AO70" s="266">
        <f>+SUM(AO66:AO69)</f>
        <v>672.63199999999995</v>
      </c>
      <c r="AP70" s="266">
        <f>+SUM(AP66:AP69)</f>
        <v>2836.348</v>
      </c>
      <c r="AQ70" s="1980">
        <f>+(AP70/AP63-1)*100</f>
        <v>5.9226896580827137</v>
      </c>
      <c r="AR70" s="1981">
        <f>+AP70/$BI70*100</f>
        <v>34.802785304572289</v>
      </c>
      <c r="AS70" s="24"/>
      <c r="AT70" s="388"/>
      <c r="AU70" s="388"/>
      <c r="AV70" s="388"/>
      <c r="AW70" s="388"/>
      <c r="AX70" s="388"/>
      <c r="AY70" s="388"/>
      <c r="AZ70" s="388"/>
      <c r="BA70" s="388"/>
      <c r="BB70" s="388"/>
      <c r="BC70" s="266"/>
      <c r="BD70" s="1980" t="e">
        <f>+(BC70/BC63-1)*100</f>
        <v>#DIV/0!</v>
      </c>
      <c r="BE70" s="266">
        <f>+SUM(BE66:BE69)</f>
        <v>227.64500000000001</v>
      </c>
      <c r="BF70" s="1980">
        <f>+(BE70/BE63-1)*100</f>
        <v>-31.9601525512888</v>
      </c>
      <c r="BG70" s="1981">
        <f>+BE70/$BI70*100</f>
        <v>2.7932679842739181</v>
      </c>
      <c r="BH70" s="24"/>
      <c r="BI70" s="266">
        <f>+E70+K70+W70+AP70+BE70</f>
        <v>8149.7730000000001</v>
      </c>
      <c r="BJ70" s="266"/>
      <c r="BK70" s="2889">
        <f>+(BI70/BI63-1)*100</f>
        <v>6.9434755839276274</v>
      </c>
      <c r="BL70" s="266">
        <f>+E70+K70+W70+AT70+AY70</f>
        <v>5085.78</v>
      </c>
      <c r="BM70" s="1980" t="e">
        <f>+(BL70/BL63-1)*100</f>
        <v>#DIV/0!</v>
      </c>
      <c r="BN70" s="1981">
        <f>+BL70/$BW70*100</f>
        <v>66.09452445687667</v>
      </c>
      <c r="BO70" s="266">
        <f>+AJ63+AM70+AN70+AO70+AU70</f>
        <v>2039.5009999999997</v>
      </c>
      <c r="BP70" s="1980" t="e">
        <f>+(BO70/BO63-1)*100</f>
        <v>#DIV/0!</v>
      </c>
      <c r="BQ70" s="1981">
        <f>+BO70/$BW70*100</f>
        <v>26.505245748798494</v>
      </c>
      <c r="BR70" s="24"/>
      <c r="BS70" s="266">
        <f>+AK70+AV70+AW70+AX70</f>
        <v>569.42599999999993</v>
      </c>
      <c r="BT70" s="1980" t="e">
        <f>+(BS70/BS63-1)*100</f>
        <v>#DIV/0!</v>
      </c>
      <c r="BU70" s="1981">
        <f>+BS70/$BW70*100</f>
        <v>7.4002297943248525</v>
      </c>
      <c r="BV70" s="24"/>
      <c r="BW70" s="266">
        <f>+BL70+BO70+BS70</f>
        <v>7694.7069999999985</v>
      </c>
      <c r="BX70" s="1980" t="e">
        <f>+(BW70/BW63-1)*100</f>
        <v>#DIV/0!</v>
      </c>
      <c r="BY70" s="24"/>
      <c r="BZ70" s="389"/>
      <c r="CA70" s="1980"/>
      <c r="CB70" s="1981"/>
      <c r="CC70" s="389"/>
      <c r="CD70" s="1980"/>
      <c r="CE70" s="1981"/>
      <c r="CF70" s="24"/>
      <c r="CG70" s="389"/>
      <c r="CH70" s="1980"/>
      <c r="CI70" s="1981"/>
      <c r="CJ70" s="24"/>
      <c r="CK70" s="389"/>
      <c r="CL70" s="1980"/>
      <c r="CM70" s="1981"/>
      <c r="CN70" s="24"/>
      <c r="CO70" s="24"/>
      <c r="CP70" s="1980"/>
      <c r="CQ70" s="1981"/>
      <c r="CR70" s="1981"/>
      <c r="CS70" s="24"/>
      <c r="CT70" s="266">
        <f>+SUM(CT66:CT69)</f>
        <v>468.572</v>
      </c>
      <c r="CU70" s="1980">
        <f>+(CT70/CT63-1)*100</f>
        <v>-5.7904345238573907</v>
      </c>
      <c r="CV70" s="1981">
        <f>+CT70/R70*100</f>
        <v>14.194011562479645</v>
      </c>
      <c r="CW70" s="266"/>
      <c r="CX70" s="266"/>
      <c r="CY70" s="266"/>
      <c r="CZ70" s="24"/>
      <c r="DA70" s="266">
        <f>+SUM(DA66:DA69)</f>
        <v>417.916</v>
      </c>
      <c r="DB70" s="1980">
        <f>+(DA70/DA63-1)*100</f>
        <v>6.0417908932898445</v>
      </c>
      <c r="DC70" s="1981">
        <f>+DA70/W70*100</f>
        <v>23.418105609987755</v>
      </c>
      <c r="DD70" s="1981"/>
      <c r="DE70" s="1981"/>
      <c r="DF70" s="1981"/>
      <c r="DG70" s="1981"/>
      <c r="DH70" s="266">
        <f>+SUM(DH66:DH69)</f>
        <v>74.774000000000001</v>
      </c>
      <c r="DI70" s="1980">
        <f>+(DH70/DH63-1)*100</f>
        <v>66.824327339253031</v>
      </c>
      <c r="DJ70" s="1981">
        <f>+DH70/AP70*100</f>
        <v>2.6362773538366944</v>
      </c>
      <c r="DK70" s="24"/>
      <c r="DL70" s="91"/>
      <c r="DM70" s="1980"/>
      <c r="DN70" s="1981"/>
      <c r="DO70" s="24"/>
      <c r="DP70" s="91"/>
      <c r="DQ70" s="1980"/>
      <c r="DR70" s="1981"/>
      <c r="DS70" s="24"/>
      <c r="DT70" s="91">
        <f>+SUM(DT66:DT69)</f>
        <v>-149.07999999999998</v>
      </c>
      <c r="DU70" s="1980">
        <f>+(DT70/DT63-1)*100</f>
        <v>-8.7324909393672314</v>
      </c>
      <c r="DV70" s="1981">
        <f>+DT70/BE70*100</f>
        <v>-65.487930769399711</v>
      </c>
      <c r="DW70" s="24"/>
      <c r="DX70" s="266">
        <f>+SUM(DX66:DX69)</f>
        <v>812.1819999999999</v>
      </c>
      <c r="DY70" s="1980">
        <f>+(DX70/DX63-1)*100</f>
        <v>5.0749396795414903</v>
      </c>
      <c r="DZ70" s="1981">
        <f>(+DX70/BI70)*100</f>
        <v>9.9657008851657576</v>
      </c>
      <c r="EA70" s="2005"/>
      <c r="EB70" s="24"/>
      <c r="EC70" s="24"/>
      <c r="ED70" s="24"/>
      <c r="EE70" s="24"/>
      <c r="EG70" s="91"/>
      <c r="EH70" s="1980"/>
      <c r="EI70" s="91"/>
      <c r="EJ70" s="1980"/>
    </row>
    <row r="71" spans="1:140" hidden="1" outlineLevel="1">
      <c r="A71" s="113"/>
      <c r="B71" s="24"/>
      <c r="C71" s="24"/>
      <c r="D71" s="24"/>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c r="BE71" s="24"/>
      <c r="BF71" s="24"/>
      <c r="BG71" s="24"/>
      <c r="BH71" s="24"/>
      <c r="BI71" s="24"/>
      <c r="BJ71" s="24"/>
      <c r="BK71" s="78"/>
      <c r="BL71" s="24"/>
      <c r="BM71" s="24"/>
      <c r="BN71" s="24"/>
      <c r="BO71" s="24"/>
      <c r="BP71" s="24"/>
      <c r="BQ71" s="24"/>
      <c r="BR71" s="24"/>
      <c r="BS71" s="24"/>
      <c r="BT71" s="24"/>
      <c r="BU71" s="24"/>
      <c r="BV71" s="24"/>
      <c r="BW71" s="24"/>
      <c r="BX71" s="24"/>
      <c r="BY71" s="24"/>
      <c r="BZ71" s="24"/>
      <c r="CA71" s="24"/>
      <c r="CB71" s="24"/>
      <c r="CC71" s="24"/>
      <c r="CD71" s="24"/>
      <c r="CE71" s="24"/>
      <c r="CF71" s="24"/>
      <c r="CG71" s="24"/>
      <c r="CH71" s="24"/>
      <c r="CI71" s="24"/>
      <c r="CJ71" s="24"/>
      <c r="CK71" s="24"/>
      <c r="CL71" s="24"/>
      <c r="CM71" s="24"/>
      <c r="CN71" s="24"/>
      <c r="CO71" s="24"/>
      <c r="CP71" s="24"/>
      <c r="CQ71" s="24"/>
      <c r="CR71" s="24"/>
      <c r="CS71" s="24"/>
      <c r="CT71" s="24"/>
      <c r="CU71" s="24"/>
      <c r="CV71" s="24"/>
      <c r="CW71" s="24"/>
      <c r="CX71" s="24"/>
      <c r="CY71" s="24"/>
      <c r="CZ71" s="24"/>
      <c r="DA71" s="24"/>
      <c r="DB71" s="24"/>
      <c r="DC71" s="24"/>
      <c r="DD71" s="24"/>
      <c r="DE71" s="24"/>
      <c r="DF71" s="24"/>
      <c r="DG71" s="24"/>
      <c r="DH71" s="24"/>
      <c r="DI71" s="24"/>
      <c r="DJ71" s="24"/>
      <c r="DK71" s="24"/>
      <c r="DL71" s="24"/>
      <c r="DM71" s="24"/>
      <c r="DN71" s="24"/>
      <c r="DO71" s="24"/>
      <c r="DP71" s="24"/>
      <c r="DQ71" s="24"/>
      <c r="DR71" s="24"/>
      <c r="DS71" s="24"/>
      <c r="DT71" s="24"/>
      <c r="DU71" s="24"/>
      <c r="DV71" s="24"/>
      <c r="DW71" s="24"/>
      <c r="DX71" s="24"/>
      <c r="DY71" s="24"/>
      <c r="DZ71" s="24"/>
      <c r="EA71" s="2007"/>
      <c r="EB71" s="24"/>
      <c r="EC71" s="24"/>
      <c r="ED71" s="24"/>
      <c r="EE71" s="24"/>
      <c r="EG71" s="24"/>
      <c r="EH71" s="24"/>
      <c r="EI71" s="24"/>
      <c r="EJ71" s="24"/>
    </row>
    <row r="72" spans="1:140" hidden="1" outlineLevel="1">
      <c r="A72" s="113"/>
      <c r="B72" s="136">
        <f>+qtrSales!B95</f>
        <v>2001</v>
      </c>
      <c r="C72" s="24"/>
      <c r="D72" s="24"/>
      <c r="E72" s="24"/>
      <c r="F72" s="24"/>
      <c r="G72" s="1980"/>
      <c r="H72" s="1981"/>
      <c r="I72" s="1981"/>
      <c r="J72" s="1981"/>
      <c r="K72" s="24"/>
      <c r="L72" s="1980"/>
      <c r="M72" s="1981"/>
      <c r="N72" s="1981"/>
      <c r="O72" s="1981"/>
      <c r="P72" s="1981"/>
      <c r="Q72" s="24"/>
      <c r="R72" s="24"/>
      <c r="S72" s="1980"/>
      <c r="T72" s="1980"/>
      <c r="U72" s="1981"/>
      <c r="V72" s="24"/>
      <c r="W72" s="24"/>
      <c r="X72" s="24"/>
      <c r="Y72" s="24"/>
      <c r="Z72" s="24"/>
      <c r="AA72" s="24"/>
      <c r="AB72" s="24"/>
      <c r="AC72" s="1980"/>
      <c r="AD72" s="1981"/>
      <c r="AE72" s="1981"/>
      <c r="AF72" s="1981"/>
      <c r="AG72" s="1981"/>
      <c r="AH72" s="1981"/>
      <c r="AI72" s="24"/>
      <c r="AJ72" s="381"/>
      <c r="AK72" s="24"/>
      <c r="AL72" s="24"/>
      <c r="AM72" s="24"/>
      <c r="AN72" s="24"/>
      <c r="AO72" s="24"/>
      <c r="AP72" s="24"/>
      <c r="AQ72" s="1980"/>
      <c r="AR72" s="1981"/>
      <c r="AS72" s="24"/>
      <c r="AT72" s="24"/>
      <c r="AU72" s="24"/>
      <c r="AV72" s="24"/>
      <c r="AW72" s="24"/>
      <c r="AX72" s="24"/>
      <c r="AY72" s="24"/>
      <c r="AZ72" s="24"/>
      <c r="BA72" s="24"/>
      <c r="BB72" s="24"/>
      <c r="BC72" s="24"/>
      <c r="BD72" s="1980"/>
      <c r="BE72" s="24"/>
      <c r="BF72" s="1980"/>
      <c r="BG72" s="1981"/>
      <c r="BH72" s="24"/>
      <c r="BI72" s="24"/>
      <c r="BJ72" s="24"/>
      <c r="BK72" s="2889"/>
      <c r="BL72" s="389"/>
      <c r="BM72" s="1988"/>
      <c r="BN72" s="1989"/>
      <c r="BO72" s="389"/>
      <c r="BP72" s="389"/>
      <c r="BQ72" s="389"/>
      <c r="BR72" s="389"/>
      <c r="BS72" s="389"/>
      <c r="BT72" s="389"/>
      <c r="BU72" s="389"/>
      <c r="BV72" s="389"/>
      <c r="BW72" s="266"/>
      <c r="BX72" s="24"/>
      <c r="BY72" s="24"/>
      <c r="BZ72" s="389"/>
      <c r="CA72" s="1988"/>
      <c r="CB72" s="1989"/>
      <c r="CC72" s="389"/>
      <c r="CD72" s="389"/>
      <c r="CE72" s="389"/>
      <c r="CF72" s="389"/>
      <c r="CG72" s="389"/>
      <c r="CH72" s="389"/>
      <c r="CI72" s="389"/>
      <c r="CJ72" s="389"/>
      <c r="CK72" s="389"/>
      <c r="CL72" s="389"/>
      <c r="CM72" s="389"/>
      <c r="CN72" s="389"/>
      <c r="CO72" s="266"/>
      <c r="CP72" s="24"/>
      <c r="CQ72" s="24"/>
      <c r="CR72" s="24"/>
      <c r="CS72" s="24"/>
      <c r="CT72" s="24"/>
      <c r="CU72" s="24"/>
      <c r="CV72" s="24"/>
      <c r="CW72" s="24"/>
      <c r="CX72" s="24"/>
      <c r="CY72" s="24"/>
      <c r="CZ72" s="24"/>
      <c r="DA72" s="24"/>
      <c r="DB72" s="24"/>
      <c r="DC72" s="24"/>
      <c r="DD72" s="24"/>
      <c r="DE72" s="24"/>
      <c r="DF72" s="24"/>
      <c r="DG72" s="24"/>
      <c r="DH72" s="24"/>
      <c r="DI72" s="24"/>
      <c r="DJ72" s="24"/>
      <c r="DK72" s="24"/>
      <c r="DL72" s="24"/>
      <c r="DM72" s="24"/>
      <c r="DN72" s="24"/>
      <c r="DO72" s="24"/>
      <c r="DP72" s="24"/>
      <c r="DQ72" s="24"/>
      <c r="DR72" s="24"/>
      <c r="DS72" s="24"/>
      <c r="DT72" s="24"/>
      <c r="DU72" s="24"/>
      <c r="DV72" s="24"/>
      <c r="DW72" s="24"/>
      <c r="DX72" s="24"/>
      <c r="DY72" s="24"/>
      <c r="DZ72" s="24"/>
      <c r="EA72" s="2007"/>
      <c r="EB72" s="24"/>
      <c r="EC72" s="24"/>
      <c r="ED72" s="24"/>
      <c r="EE72" s="24"/>
      <c r="EG72" s="24"/>
      <c r="EH72" s="24"/>
      <c r="EI72" s="24"/>
      <c r="EJ72" s="24"/>
    </row>
    <row r="73" spans="1:140" hidden="1" outlineLevel="1">
      <c r="A73" s="113" t="str">
        <f>+qtrSales!A96</f>
        <v>1Q</v>
      </c>
      <c r="B73" s="24" t="str">
        <f>+qtrSales!B96</f>
        <v>Apr</v>
      </c>
      <c r="C73" s="24"/>
      <c r="D73" s="24"/>
      <c r="E73" s="1982">
        <v>479.71300000000002</v>
      </c>
      <c r="F73" s="1982"/>
      <c r="G73" s="1980">
        <f>+(E73/E66-1)*100</f>
        <v>-3.2169358711046758</v>
      </c>
      <c r="H73" s="1981">
        <f>+E73/$BI73*100</f>
        <v>28.866064368917204</v>
      </c>
      <c r="I73" s="1981"/>
      <c r="J73" s="1981"/>
      <c r="K73" s="1982">
        <v>226.102</v>
      </c>
      <c r="L73" s="1980">
        <f>+(K73/K66-1)*100</f>
        <v>-6.8220031649742889</v>
      </c>
      <c r="M73" s="1981">
        <f>+K73/$BI73*100</f>
        <v>13.605374225716035</v>
      </c>
      <c r="N73" s="1981"/>
      <c r="O73" s="1981"/>
      <c r="P73" s="1981"/>
      <c r="Q73" s="24"/>
      <c r="R73" s="381">
        <f>+E73+K73</f>
        <v>705.81500000000005</v>
      </c>
      <c r="S73" s="1980">
        <f>+(R73/R66-1)*100</f>
        <v>-4.4017856900993362</v>
      </c>
      <c r="T73" s="1980"/>
      <c r="U73" s="1981">
        <f>+R73/$BI73*100</f>
        <v>42.471438594633241</v>
      </c>
      <c r="V73" s="24"/>
      <c r="W73" s="1982">
        <v>319.84100000000001</v>
      </c>
      <c r="X73" s="1982"/>
      <c r="Y73" s="1982"/>
      <c r="Z73" s="1982"/>
      <c r="AA73" s="1982"/>
      <c r="AB73" s="1982"/>
      <c r="AC73" s="1980">
        <f>+(W73/W66-1)*100</f>
        <v>6.1011978809019096</v>
      </c>
      <c r="AD73" s="1981">
        <f>+W73/$BI73*100</f>
        <v>19.245988526095491</v>
      </c>
      <c r="AE73" s="1981"/>
      <c r="AF73" s="1981"/>
      <c r="AG73" s="1981"/>
      <c r="AH73" s="1981"/>
      <c r="AI73" s="24"/>
      <c r="AJ73" s="1982">
        <v>348.935</v>
      </c>
      <c r="AK73" s="1982">
        <v>102.32</v>
      </c>
      <c r="AL73" s="381">
        <f>+AJ73+AK73</f>
        <v>451.255</v>
      </c>
      <c r="AM73" s="1982"/>
      <c r="AN73" s="1982"/>
      <c r="AO73" s="1982">
        <v>145.33699999999999</v>
      </c>
      <c r="AP73" s="1982">
        <v>596.59199999999998</v>
      </c>
      <c r="AQ73" s="1980">
        <f>+(AP73/AP66-1)*100</f>
        <v>-1.6303917688959335</v>
      </c>
      <c r="AR73" s="1981">
        <f>+AP73/$BI73*100</f>
        <v>35.899096071986897</v>
      </c>
      <c r="AS73" s="24"/>
      <c r="AT73" s="1982"/>
      <c r="AU73" s="1982"/>
      <c r="AV73" s="1982"/>
      <c r="AW73" s="1982"/>
      <c r="AX73" s="1982"/>
      <c r="AY73" s="1982"/>
      <c r="AZ73" s="1982"/>
      <c r="BA73" s="1982"/>
      <c r="BB73" s="1982"/>
      <c r="BC73" s="1982"/>
      <c r="BD73" s="1980" t="e">
        <f>+(BC73/BC66-1)*100</f>
        <v>#DIV/0!</v>
      </c>
      <c r="BE73" s="1982">
        <v>39.61</v>
      </c>
      <c r="BF73" s="1980">
        <f>+(BE73/BE66-1)*100</f>
        <v>-9.9506672425944132</v>
      </c>
      <c r="BG73" s="1981">
        <f>+BE73/$BI73*100</f>
        <v>2.3834768072843771</v>
      </c>
      <c r="BH73" s="24"/>
      <c r="BI73" s="381">
        <f>+E73+K73+W73+AP73+BE73</f>
        <v>1661.8579999999999</v>
      </c>
      <c r="BJ73" s="381"/>
      <c r="BK73" s="2889">
        <f>+(BI73/BI66-1)*100</f>
        <v>-1.6785881211432985</v>
      </c>
      <c r="BL73" s="381">
        <f>+E73+K73+W73+AT73+AY73</f>
        <v>1025.6559999999999</v>
      </c>
      <c r="BM73" s="1980">
        <f>+(BL73/BL66-1)*100</f>
        <v>-1.3567514904839095</v>
      </c>
      <c r="BN73" s="1981">
        <f>+BL73/$BW73*100</f>
        <v>63.224365201868025</v>
      </c>
      <c r="BO73" s="381">
        <f>+AJ73+AM73+AN73+AO73+AU73</f>
        <v>494.27199999999999</v>
      </c>
      <c r="BP73" s="1980">
        <f>+(BO73/BO66-1)*100</f>
        <v>9.9014766276590329</v>
      </c>
      <c r="BQ73" s="1981">
        <f>+BO73/$BW73*100</f>
        <v>30.468337763399926</v>
      </c>
      <c r="BR73" s="389"/>
      <c r="BS73" s="381">
        <f>+AK73+AV73+AW73+AX73</f>
        <v>102.32</v>
      </c>
      <c r="BT73" s="1980">
        <f>+(BS73/BS66-1)*100</f>
        <v>-7.9665758205384352</v>
      </c>
      <c r="BU73" s="1981">
        <f>+BS73/$BW73*100</f>
        <v>6.3072970347320512</v>
      </c>
      <c r="BV73" s="389"/>
      <c r="BW73" s="381">
        <f>+BL73+BO73+BS73</f>
        <v>1622.2479999999998</v>
      </c>
      <c r="BX73" s="1980">
        <f>+(BW73/BW66-1)*100</f>
        <v>1.3473640281854937</v>
      </c>
      <c r="BY73" s="24"/>
      <c r="BZ73" s="390"/>
      <c r="CA73" s="1980"/>
      <c r="CB73" s="1981"/>
      <c r="CC73" s="390"/>
      <c r="CD73" s="1980"/>
      <c r="CE73" s="1981"/>
      <c r="CF73" s="389"/>
      <c r="CG73" s="390"/>
      <c r="CH73" s="1980"/>
      <c r="CI73" s="1981"/>
      <c r="CJ73" s="24"/>
      <c r="CK73" s="390"/>
      <c r="CL73" s="1980"/>
      <c r="CM73" s="1981"/>
      <c r="CN73" s="24"/>
      <c r="CO73" s="165"/>
      <c r="CP73" s="1980"/>
      <c r="CQ73" s="1981"/>
      <c r="CR73" s="1981"/>
      <c r="CS73" s="24"/>
      <c r="CT73" s="1982">
        <v>60.716999999999999</v>
      </c>
      <c r="CU73" s="1980">
        <f>+(CT73/CT66-1)*100</f>
        <v>-40.804328751096804</v>
      </c>
      <c r="CV73" s="1981">
        <f>+CT73/R73*100</f>
        <v>8.6023958119337216</v>
      </c>
      <c r="CW73" s="1982"/>
      <c r="CX73" s="1982"/>
      <c r="CY73" s="1982"/>
      <c r="CZ73" s="24"/>
      <c r="DA73" s="1982">
        <v>34.009</v>
      </c>
      <c r="DB73" s="1980">
        <f>+(DA73/DA66-1)*100</f>
        <v>-26.912662253932773</v>
      </c>
      <c r="DC73" s="1981">
        <f>+DA73/W73*100</f>
        <v>10.633095819485307</v>
      </c>
      <c r="DD73" s="1981"/>
      <c r="DE73" s="1981"/>
      <c r="DF73" s="1981"/>
      <c r="DG73" s="1981"/>
      <c r="DH73" s="1982">
        <v>-15.986000000000001</v>
      </c>
      <c r="DI73" s="1980">
        <f>+(DH73/DH66-1)*100</f>
        <v>-866.347075743049</v>
      </c>
      <c r="DJ73" s="1981">
        <f>+DH73/AP73*100</f>
        <v>-2.6795531954836806</v>
      </c>
      <c r="DK73" s="24"/>
      <c r="DL73" s="1982"/>
      <c r="DM73" s="1980"/>
      <c r="DN73" s="1981"/>
      <c r="DO73" s="24"/>
      <c r="DP73" s="1982"/>
      <c r="DQ73" s="1980"/>
      <c r="DR73" s="1981"/>
      <c r="DS73" s="24"/>
      <c r="DT73" s="1982">
        <v>-40.189</v>
      </c>
      <c r="DU73" s="1980">
        <f>+(DT73/DT66-1)*100</f>
        <v>3.6974920012385226</v>
      </c>
      <c r="DV73" s="1981">
        <f>+DT73/BE73*100</f>
        <v>-101.46175208280737</v>
      </c>
      <c r="DW73" s="24"/>
      <c r="DX73" s="381">
        <f>+CT73+DA73+DH73+DT73</f>
        <v>38.550999999999995</v>
      </c>
      <c r="DY73" s="1980">
        <f>+(DX73/DX66-1)*100</f>
        <v>-65.711719083534931</v>
      </c>
      <c r="DZ73" s="1981">
        <f>(+DX73/BI73)*100</f>
        <v>2.3197529512148445</v>
      </c>
      <c r="EA73" s="2005" t="str">
        <f>IF(EB73=DX73," ","no")</f>
        <v xml:space="preserve"> </v>
      </c>
      <c r="EB73" s="91">
        <f>DT73+DH73+DA73+CT73</f>
        <v>38.551000000000002</v>
      </c>
      <c r="EC73" s="24"/>
      <c r="ED73" s="24"/>
      <c r="EE73" s="24"/>
      <c r="EG73" s="1982"/>
      <c r="EH73" s="1980"/>
      <c r="EI73" s="1982"/>
      <c r="EJ73" s="1980"/>
    </row>
    <row r="74" spans="1:140" hidden="1" outlineLevel="1">
      <c r="A74" s="113" t="str">
        <f>+qtrSales!A97</f>
        <v>2Q</v>
      </c>
      <c r="B74" s="24" t="str">
        <f>+qtrSales!B97</f>
        <v>Jul</v>
      </c>
      <c r="C74" s="24"/>
      <c r="D74" s="24"/>
      <c r="E74" s="388">
        <v>562.95000000000005</v>
      </c>
      <c r="F74" s="388"/>
      <c r="G74" s="1980">
        <f>+(E74/E67-1)*100</f>
        <v>1.933098425781421</v>
      </c>
      <c r="H74" s="1981">
        <f>+E74/$BI74*100</f>
        <v>31.853765217465114</v>
      </c>
      <c r="I74" s="1981"/>
      <c r="J74" s="1981"/>
      <c r="K74" s="388">
        <v>229.12799999999999</v>
      </c>
      <c r="L74" s="1980">
        <f>+(K74/K67-1)*100</f>
        <v>-18.890733575699226</v>
      </c>
      <c r="M74" s="1981">
        <f>+K74/$BI74*100</f>
        <v>12.964898333328618</v>
      </c>
      <c r="N74" s="1981"/>
      <c r="O74" s="1981"/>
      <c r="P74" s="1981"/>
      <c r="Q74" s="24"/>
      <c r="R74" s="387">
        <f>+E74+K74</f>
        <v>792.07799999999997</v>
      </c>
      <c r="S74" s="1980">
        <f>+(R74/R67-1)*100</f>
        <v>-5.1138820772742672</v>
      </c>
      <c r="T74" s="1980"/>
      <c r="U74" s="1981">
        <f>+R74/$BI74*100</f>
        <v>44.818663550793723</v>
      </c>
      <c r="V74" s="24"/>
      <c r="W74" s="388">
        <v>358.86200000000002</v>
      </c>
      <c r="X74" s="388"/>
      <c r="Y74" s="388"/>
      <c r="Z74" s="388"/>
      <c r="AA74" s="388"/>
      <c r="AB74" s="388"/>
      <c r="AC74" s="1980">
        <f>+(W74/W67-1)*100</f>
        <v>2.5513382523561612</v>
      </c>
      <c r="AD74" s="1981">
        <f>+W74/$BI74*100</f>
        <v>20.305721455670955</v>
      </c>
      <c r="AE74" s="1981"/>
      <c r="AF74" s="1981"/>
      <c r="AG74" s="1981"/>
      <c r="AH74" s="1981"/>
      <c r="AI74" s="24"/>
      <c r="AJ74" s="388">
        <v>320.96600000000001</v>
      </c>
      <c r="AK74" s="388">
        <v>113.476</v>
      </c>
      <c r="AL74" s="387">
        <f>+AJ74+AK74</f>
        <v>434.44200000000001</v>
      </c>
      <c r="AM74" s="388"/>
      <c r="AN74" s="388"/>
      <c r="AO74" s="388">
        <v>131.41300000000001</v>
      </c>
      <c r="AP74" s="388">
        <v>565.85500000000002</v>
      </c>
      <c r="AQ74" s="1980">
        <f>+(AP74/AP67-1)*100</f>
        <v>-6.1050664817048794</v>
      </c>
      <c r="AR74" s="1981">
        <f>+AP74/$BI74*100</f>
        <v>32.018140717876754</v>
      </c>
      <c r="AS74" s="24"/>
      <c r="AT74" s="388"/>
      <c r="AU74" s="388"/>
      <c r="AV74" s="388"/>
      <c r="AW74" s="388"/>
      <c r="AX74" s="388"/>
      <c r="AY74" s="388"/>
      <c r="AZ74" s="388"/>
      <c r="BA74" s="388"/>
      <c r="BB74" s="388"/>
      <c r="BC74" s="388"/>
      <c r="BD74" s="1980" t="e">
        <f>+(BC74/BC67-1)*100</f>
        <v>#DIV/0!</v>
      </c>
      <c r="BE74" s="388">
        <v>50.5</v>
      </c>
      <c r="BF74" s="1980">
        <f>+(BE74/BE67-1)*100</f>
        <v>-8.3284925936683134</v>
      </c>
      <c r="BG74" s="1981">
        <f>+BE74/$BI74*100</f>
        <v>2.8574742756585629</v>
      </c>
      <c r="BH74" s="24"/>
      <c r="BI74" s="266">
        <f>+E74+K74+W74+AP74+BE74</f>
        <v>1767.2950000000001</v>
      </c>
      <c r="BJ74" s="266"/>
      <c r="BK74" s="2889">
        <f>+(BI74/BI67-1)*100</f>
        <v>-4.0783506184203899</v>
      </c>
      <c r="BL74" s="266">
        <f>+E74+K74+W74+AT74+AY74</f>
        <v>1150.94</v>
      </c>
      <c r="BM74" s="1980">
        <f>+(BL74/BL67-1)*100</f>
        <v>-2.8497485863521632</v>
      </c>
      <c r="BN74" s="1981">
        <f>+BL74/$BW74*100</f>
        <v>67.040036812781949</v>
      </c>
      <c r="BO74" s="266">
        <f>+AJ74+AM74+AN74+AO74+AU74</f>
        <v>452.37900000000002</v>
      </c>
      <c r="BP74" s="1980">
        <f>+(BO74/BO67-1)*100</f>
        <v>2.066698404174927</v>
      </c>
      <c r="BQ74" s="1981">
        <f>+BO74/$BW74*100</f>
        <v>26.35020488759578</v>
      </c>
      <c r="BR74" s="389"/>
      <c r="BS74" s="266">
        <f>+AK74+AV74+AW74+AX74</f>
        <v>113.476</v>
      </c>
      <c r="BT74" s="1980">
        <f>+(BS74/BS67-1)*100</f>
        <v>-9.0343578150802415</v>
      </c>
      <c r="BU74" s="1981">
        <f>+BS74/$BW74*100</f>
        <v>6.6097582996222606</v>
      </c>
      <c r="BV74" s="389"/>
      <c r="BW74" s="266">
        <f>+BL74+BO74+BS74</f>
        <v>1716.7950000000001</v>
      </c>
      <c r="BX74" s="1980">
        <f>+(BW74/BW67-1)*100</f>
        <v>-2.0466534981565254</v>
      </c>
      <c r="BY74" s="24"/>
      <c r="BZ74" s="389"/>
      <c r="CA74" s="1980"/>
      <c r="CB74" s="1981"/>
      <c r="CC74" s="389"/>
      <c r="CD74" s="1980"/>
      <c r="CE74" s="1981"/>
      <c r="CF74" s="389"/>
      <c r="CG74" s="389"/>
      <c r="CH74" s="1980"/>
      <c r="CI74" s="1981"/>
      <c r="CJ74" s="389"/>
      <c r="CK74" s="389"/>
      <c r="CL74" s="1980"/>
      <c r="CM74" s="1981"/>
      <c r="CN74" s="389"/>
      <c r="CO74" s="266"/>
      <c r="CP74" s="1980"/>
      <c r="CQ74" s="1981"/>
      <c r="CR74" s="1981"/>
      <c r="CS74" s="24"/>
      <c r="CT74" s="2008">
        <v>105.221</v>
      </c>
      <c r="CU74" s="1980">
        <f>+(CT74/CT67-1)*100</f>
        <v>-17.738896576525864</v>
      </c>
      <c r="CV74" s="1981">
        <f>+CT74/R74*100</f>
        <v>13.284171508361551</v>
      </c>
      <c r="CW74" s="2008"/>
      <c r="CX74" s="2008"/>
      <c r="CY74" s="2008"/>
      <c r="CZ74" s="24"/>
      <c r="DA74" s="2008">
        <v>46.344999999999999</v>
      </c>
      <c r="DB74" s="1980">
        <f>+(DA74/DA67-1)*100</f>
        <v>-37.857008769342173</v>
      </c>
      <c r="DC74" s="1981">
        <f>+DA74/W74*100</f>
        <v>12.914435075321432</v>
      </c>
      <c r="DD74" s="1981"/>
      <c r="DE74" s="1981"/>
      <c r="DF74" s="1981"/>
      <c r="DG74" s="1981"/>
      <c r="DH74" s="2008">
        <v>-29.001999999999999</v>
      </c>
      <c r="DI74" s="1990" t="s">
        <v>886</v>
      </c>
      <c r="DJ74" s="1981">
        <f>+DH74/AP74*100</f>
        <v>-5.1253412976822688</v>
      </c>
      <c r="DK74" s="24"/>
      <c r="DL74" s="2008"/>
      <c r="DM74" s="1980"/>
      <c r="DN74" s="1981"/>
      <c r="DO74" s="24"/>
      <c r="DP74" s="2008"/>
      <c r="DQ74" s="1980"/>
      <c r="DR74" s="1981"/>
      <c r="DS74" s="24"/>
      <c r="DT74" s="2008">
        <v>-43.841999999999999</v>
      </c>
      <c r="DU74" s="1980">
        <f>+(DT74/DT67-1)*100</f>
        <v>3.3936278093531058</v>
      </c>
      <c r="DV74" s="1981">
        <f>+DT74/BE74*100</f>
        <v>-86.81584158415842</v>
      </c>
      <c r="DW74" s="24"/>
      <c r="DX74" s="266">
        <f>+CT74+DA74+DH74+DT74</f>
        <v>78.722000000000008</v>
      </c>
      <c r="DY74" s="1980">
        <f>+(DX74/DX67-1)*100</f>
        <v>-48.998723704754688</v>
      </c>
      <c r="DZ74" s="1981">
        <f>(+DX74/BI74)*100</f>
        <v>4.4543780183840278</v>
      </c>
      <c r="EA74" s="2005" t="str">
        <f>IF(EB74=DX74," ","no")</f>
        <v xml:space="preserve"> </v>
      </c>
      <c r="EB74" s="91">
        <f>DT74+DH74+DA74+CT74</f>
        <v>78.722000000000008</v>
      </c>
      <c r="EC74" s="24"/>
      <c r="ED74" s="24"/>
      <c r="EE74" s="24"/>
      <c r="EG74" s="2008"/>
      <c r="EH74" s="1980"/>
      <c r="EI74" s="2008"/>
      <c r="EJ74" s="1980"/>
    </row>
    <row r="75" spans="1:140" hidden="1" outlineLevel="1">
      <c r="A75" s="113" t="str">
        <f>+qtrSales!A98</f>
        <v>3Q</v>
      </c>
      <c r="B75" s="24" t="str">
        <f>+qtrSales!B98</f>
        <v>Oct</v>
      </c>
      <c r="C75" s="24"/>
      <c r="D75" s="24"/>
      <c r="E75" s="388">
        <v>457.03800000000001</v>
      </c>
      <c r="F75" s="388"/>
      <c r="G75" s="1980">
        <f>+(E75/E68-1)*100</f>
        <v>-1.082162073249382</v>
      </c>
      <c r="H75" s="1981">
        <f>+E75/$BI75*100</f>
        <v>27.543443608433499</v>
      </c>
      <c r="I75" s="1981"/>
      <c r="J75" s="1981"/>
      <c r="K75" s="388">
        <v>148.03200000000001</v>
      </c>
      <c r="L75" s="1980">
        <f>+(K75/K68-1)*100</f>
        <v>-6.6903672327067625</v>
      </c>
      <c r="M75" s="1981">
        <f>+K75/$BI75*100</f>
        <v>8.9211642013216146</v>
      </c>
      <c r="N75" s="1981"/>
      <c r="O75" s="1981"/>
      <c r="P75" s="1981"/>
      <c r="Q75" s="24"/>
      <c r="R75" s="387">
        <f>+E75+K75</f>
        <v>605.07000000000005</v>
      </c>
      <c r="S75" s="1980">
        <f>+(R75/R68-1)*100</f>
        <v>-2.5156118089075807</v>
      </c>
      <c r="T75" s="1980"/>
      <c r="U75" s="1981">
        <f>+R75/$BI75*100</f>
        <v>36.464607809755115</v>
      </c>
      <c r="V75" s="24"/>
      <c r="W75" s="388">
        <v>300.55799999999999</v>
      </c>
      <c r="X75" s="388"/>
      <c r="Y75" s="388"/>
      <c r="Z75" s="388"/>
      <c r="AA75" s="388"/>
      <c r="AB75" s="388"/>
      <c r="AC75" s="1980">
        <f>+(W75/W68-1)*100</f>
        <v>-4.0005365989210677</v>
      </c>
      <c r="AD75" s="1981">
        <f>+W75/$BI75*100</f>
        <v>18.113159789915841</v>
      </c>
      <c r="AE75" s="1981"/>
      <c r="AF75" s="1981"/>
      <c r="AG75" s="1981"/>
      <c r="AH75" s="1981"/>
      <c r="AI75" s="24"/>
      <c r="AJ75" s="388">
        <v>388.75099999999998</v>
      </c>
      <c r="AK75" s="388">
        <v>119.923</v>
      </c>
      <c r="AL75" s="387">
        <f>+AJ75+AK75</f>
        <v>508.67399999999998</v>
      </c>
      <c r="AM75" s="388"/>
      <c r="AN75" s="388"/>
      <c r="AO75" s="388">
        <v>151.53800000000001</v>
      </c>
      <c r="AP75" s="388">
        <v>660.21199999999999</v>
      </c>
      <c r="AQ75" s="1980">
        <f>+(AP75/AP68-1)*100</f>
        <v>-8.8156609915736937</v>
      </c>
      <c r="AR75" s="1981">
        <f>+AP75/$BI75*100</f>
        <v>39.787746295955905</v>
      </c>
      <c r="AS75" s="24"/>
      <c r="AT75" s="388"/>
      <c r="AU75" s="388"/>
      <c r="AV75" s="388"/>
      <c r="AW75" s="388"/>
      <c r="AX75" s="388"/>
      <c r="AY75" s="388"/>
      <c r="AZ75" s="388"/>
      <c r="BA75" s="388"/>
      <c r="BB75" s="388"/>
      <c r="BC75" s="388"/>
      <c r="BD75" s="1980" t="e">
        <f>+(BC75/BC68-1)*100</f>
        <v>#DIV/0!</v>
      </c>
      <c r="BE75" s="388">
        <v>93.495000000000005</v>
      </c>
      <c r="BF75" s="1980">
        <f>+(BE75/BE68-1)*100</f>
        <v>60.787989268762473</v>
      </c>
      <c r="BG75" s="1981">
        <f>+BE75/$BI75*100</f>
        <v>5.6344861043731376</v>
      </c>
      <c r="BH75" s="24"/>
      <c r="BI75" s="266">
        <f>+E75+K75+W75+AP75+BE75</f>
        <v>1659.335</v>
      </c>
      <c r="BJ75" s="266"/>
      <c r="BK75" s="2889">
        <f>+(BI75/BI68-1)*100</f>
        <v>-3.2996766816864698</v>
      </c>
      <c r="BL75" s="266">
        <f>+E75+K75+W75+AT75+AY75</f>
        <v>905.62800000000004</v>
      </c>
      <c r="BM75" s="1980">
        <f>+(BL75/BL68-1)*100</f>
        <v>-3.0134926593036626</v>
      </c>
      <c r="BN75" s="1981">
        <f>+BL75/$BW75*100</f>
        <v>57.83656056812957</v>
      </c>
      <c r="BO75" s="266">
        <f>+AJ75+AM75+AN75+AO75+AU75</f>
        <v>540.28899999999999</v>
      </c>
      <c r="BP75" s="1980">
        <f>+(BO75/BO68-1)*100</f>
        <v>4.7630035387076441</v>
      </c>
      <c r="BQ75" s="1981">
        <f>+BO75/$BW75*100</f>
        <v>34.504738670617691</v>
      </c>
      <c r="BR75" s="24"/>
      <c r="BS75" s="266">
        <f>+AK75+AV75+AW75+AX75</f>
        <v>119.923</v>
      </c>
      <c r="BT75" s="1980">
        <f>+(BS75/BS68-1)*100</f>
        <v>-15.738847550993162</v>
      </c>
      <c r="BU75" s="1981">
        <f>+BS75/$BW75*100</f>
        <v>7.6587007612527476</v>
      </c>
      <c r="BV75" s="24"/>
      <c r="BW75" s="266">
        <f>+BL75+BO75+BS75</f>
        <v>1565.84</v>
      </c>
      <c r="BX75" s="1980">
        <f>+(BW75/BW68-1)*100</f>
        <v>-1.6317851006555584</v>
      </c>
      <c r="BY75" s="24"/>
      <c r="BZ75" s="389"/>
      <c r="CA75" s="1980"/>
      <c r="CB75" s="1981"/>
      <c r="CC75" s="389"/>
      <c r="CD75" s="1980"/>
      <c r="CE75" s="1981"/>
      <c r="CF75" s="24"/>
      <c r="CG75" s="389"/>
      <c r="CH75" s="1980"/>
      <c r="CI75" s="1981"/>
      <c r="CJ75" s="24"/>
      <c r="CK75" s="389"/>
      <c r="CL75" s="1980"/>
      <c r="CM75" s="1981"/>
      <c r="CN75" s="24"/>
      <c r="CO75" s="266"/>
      <c r="CP75" s="1980"/>
      <c r="CQ75" s="1981"/>
      <c r="CR75" s="1981"/>
      <c r="CS75" s="24"/>
      <c r="CT75" s="2008">
        <v>16.016999999999999</v>
      </c>
      <c r="CU75" s="1980">
        <f>+(CT75/CT68-1)*100</f>
        <v>-75.628794449262799</v>
      </c>
      <c r="CV75" s="1981">
        <f>+CT75/R75*100</f>
        <v>2.6471317368238383</v>
      </c>
      <c r="CW75" s="2008"/>
      <c r="CX75" s="2008"/>
      <c r="CY75" s="2008"/>
      <c r="CZ75" s="24"/>
      <c r="DA75" s="2008">
        <v>-0.76400000000000001</v>
      </c>
      <c r="DB75" s="1980">
        <f>+(DA75/DA68-1)*100</f>
        <v>-101.85513440011655</v>
      </c>
      <c r="DC75" s="1981">
        <f>+DA75/W75*100</f>
        <v>-0.25419386607576577</v>
      </c>
      <c r="DD75" s="1981"/>
      <c r="DE75" s="1981"/>
      <c r="DF75" s="1981"/>
      <c r="DG75" s="1981"/>
      <c r="DH75" s="2008">
        <v>6.1710000000000003</v>
      </c>
      <c r="DI75" s="1980">
        <f>+(DH75/DH68-1)*100</f>
        <v>-72.39049706948235</v>
      </c>
      <c r="DJ75" s="1981">
        <f>+DH75/AP75*100</f>
        <v>0.93469976310639624</v>
      </c>
      <c r="DK75" s="24"/>
      <c r="DL75" s="2008"/>
      <c r="DM75" s="1980"/>
      <c r="DN75" s="1981"/>
      <c r="DO75" s="24"/>
      <c r="DP75" s="2008"/>
      <c r="DQ75" s="1980"/>
      <c r="DR75" s="1981"/>
      <c r="DS75" s="24"/>
      <c r="DT75" s="2008">
        <v>-39.128999999999998</v>
      </c>
      <c r="DU75" s="1980">
        <f>+(DT75/DT68-1)*100</f>
        <v>43.445267248332001</v>
      </c>
      <c r="DV75" s="1981">
        <f>+DT75/BE75*100</f>
        <v>-41.851435905663401</v>
      </c>
      <c r="DW75" s="24"/>
      <c r="DX75" s="266">
        <f>+CT75+DA75+DH75+DT75</f>
        <v>-17.704999999999998</v>
      </c>
      <c r="DY75" s="1980">
        <f>+(DX75/DX68-1)*100</f>
        <v>-117.36175804348039</v>
      </c>
      <c r="DZ75" s="1981">
        <f>(+DX75/BI75)*100</f>
        <v>-1.0669937053096572</v>
      </c>
      <c r="EA75" s="2005" t="str">
        <f>IF(EB75=DX75," ","no")</f>
        <v xml:space="preserve"> </v>
      </c>
      <c r="EB75" s="91">
        <f>DT75+DH75+DA75+CT75</f>
        <v>-17.705000000000002</v>
      </c>
      <c r="EC75" s="24"/>
      <c r="ED75" s="24"/>
      <c r="EE75" s="24"/>
      <c r="EG75" s="2008"/>
      <c r="EH75" s="1980"/>
      <c r="EI75" s="2008"/>
      <c r="EJ75" s="1980"/>
    </row>
    <row r="76" spans="1:140" hidden="1" outlineLevel="1">
      <c r="A76" s="113" t="str">
        <f>+qtrSales!A99</f>
        <v>4Q</v>
      </c>
      <c r="B76" s="24" t="str">
        <f>+qtrSales!B99</f>
        <v>Jan</v>
      </c>
      <c r="C76" s="24"/>
      <c r="D76" s="24"/>
      <c r="E76" s="302">
        <v>903.35500000000002</v>
      </c>
      <c r="F76" s="307"/>
      <c r="G76" s="1980">
        <f>+(E76/E69-1)*100</f>
        <v>8.9979029467338822</v>
      </c>
      <c r="H76" s="1981">
        <f>+E76/$BI76*100</f>
        <v>31.820095140976662</v>
      </c>
      <c r="I76" s="1981"/>
      <c r="J76" s="1981"/>
      <c r="K76" s="302">
        <v>265.81299999999999</v>
      </c>
      <c r="L76" s="1980">
        <f>+(K76/K69-1)*100</f>
        <v>-4.6061697912778925</v>
      </c>
      <c r="M76" s="1981">
        <f>+K76/$BI76*100</f>
        <v>9.363090866501464</v>
      </c>
      <c r="N76" s="1981"/>
      <c r="O76" s="1981"/>
      <c r="P76" s="1981"/>
      <c r="Q76" s="24"/>
      <c r="R76" s="1022">
        <f>+E76+K76</f>
        <v>1169.1680000000001</v>
      </c>
      <c r="S76" s="1980">
        <f>+(R76/R69-1)*100</f>
        <v>5.574889609275524</v>
      </c>
      <c r="T76" s="1980"/>
      <c r="U76" s="1981">
        <f>+R76/$BI76*100</f>
        <v>41.183186007478135</v>
      </c>
      <c r="V76" s="24"/>
      <c r="W76" s="302">
        <v>767.30899999999997</v>
      </c>
      <c r="X76" s="307"/>
      <c r="Y76" s="307"/>
      <c r="Z76" s="307"/>
      <c r="AA76" s="307"/>
      <c r="AB76" s="307"/>
      <c r="AC76" s="1980">
        <f>+(W76/W69-1)*100</f>
        <v>-6.4393094172918826</v>
      </c>
      <c r="AD76" s="1981">
        <f>+W76/$BI76*100</f>
        <v>27.027962852397629</v>
      </c>
      <c r="AE76" s="1981"/>
      <c r="AF76" s="1981"/>
      <c r="AG76" s="1981"/>
      <c r="AH76" s="1981"/>
      <c r="AI76" s="24"/>
      <c r="AJ76" s="2006">
        <v>504.69600000000003</v>
      </c>
      <c r="AK76" s="2006">
        <v>165.994</v>
      </c>
      <c r="AL76" s="1984">
        <f>+AJ76+AK76</f>
        <v>670.69</v>
      </c>
      <c r="AM76" s="388"/>
      <c r="AN76" s="388"/>
      <c r="AO76" s="2009">
        <v>189.524</v>
      </c>
      <c r="AP76" s="302">
        <v>838.99300000000005</v>
      </c>
      <c r="AQ76" s="1980">
        <f>+(AP76/AP69-1)*100</f>
        <v>-7.1067782723266522</v>
      </c>
      <c r="AR76" s="1981">
        <f>+AP76/$BI76*100</f>
        <v>29.552985351952927</v>
      </c>
      <c r="AS76" s="24"/>
      <c r="AT76" s="388"/>
      <c r="AU76" s="388"/>
      <c r="AV76" s="388"/>
      <c r="AW76" s="388"/>
      <c r="AX76" s="388"/>
      <c r="AY76" s="388"/>
      <c r="AZ76" s="388"/>
      <c r="BA76" s="388"/>
      <c r="BB76" s="388"/>
      <c r="BC76" s="302"/>
      <c r="BD76" s="1980" t="e">
        <f>+(BC76/BC69-1)*100</f>
        <v>#DIV/0!</v>
      </c>
      <c r="BE76" s="302">
        <v>63.475000000000001</v>
      </c>
      <c r="BF76" s="1980">
        <f>+(BE76/BE69-1)*100</f>
        <v>-9.8648149725937824</v>
      </c>
      <c r="BG76" s="1981">
        <f>+BE76/$BI76*100</f>
        <v>2.23586578817131</v>
      </c>
      <c r="BH76" s="24"/>
      <c r="BI76" s="1022">
        <f>+E76+K76+W76+AP76+BE76</f>
        <v>2838.9450000000002</v>
      </c>
      <c r="BJ76" s="325"/>
      <c r="BK76" s="2889">
        <f>+(BI76/BI69-1)*100</f>
        <v>-2.1441834637355939</v>
      </c>
      <c r="BL76" s="1022">
        <f>+E76+K76+W76+AT76+AY76</f>
        <v>1936.4770000000001</v>
      </c>
      <c r="BM76" s="1980">
        <f>+(BL76/BL69-1)*100</f>
        <v>0.46317888676241648</v>
      </c>
      <c r="BN76" s="1981">
        <f>+BL76/$BW76*100</f>
        <v>69.241721734721494</v>
      </c>
      <c r="BO76" s="1022">
        <f>+AJ76+AM76+AN76+AO76+AU76</f>
        <v>694.22</v>
      </c>
      <c r="BP76" s="1980">
        <f>+(BO76/BO69-1)*100</f>
        <v>10.051108405620646</v>
      </c>
      <c r="BQ76" s="1981">
        <f>+BO76/$BW76*100</f>
        <v>24.822906785197219</v>
      </c>
      <c r="BR76" s="24"/>
      <c r="BS76" s="1022">
        <f>+AK76+AV76+AW76+AX76</f>
        <v>165.994</v>
      </c>
      <c r="BT76" s="1980">
        <f>+(BS76/BS69-1)*100</f>
        <v>-13.173972172821424</v>
      </c>
      <c r="BU76" s="1981">
        <f>+BS76/$BW76*100</f>
        <v>5.9353714800812813</v>
      </c>
      <c r="BV76" s="24"/>
      <c r="BW76" s="1022">
        <f>+BL76+BO76+BS76</f>
        <v>2796.6910000000003</v>
      </c>
      <c r="BX76" s="1980">
        <f>+(BW76/BW69-1)*100</f>
        <v>1.7146837022125716</v>
      </c>
      <c r="BY76" s="24"/>
      <c r="BZ76" s="306"/>
      <c r="CA76" s="1980"/>
      <c r="CB76" s="1981"/>
      <c r="CC76" s="306"/>
      <c r="CD76" s="1980"/>
      <c r="CE76" s="1981"/>
      <c r="CF76" s="24"/>
      <c r="CG76" s="306"/>
      <c r="CH76" s="1980"/>
      <c r="CI76" s="1981"/>
      <c r="CJ76" s="24"/>
      <c r="CK76" s="306"/>
      <c r="CL76" s="1980"/>
      <c r="CM76" s="1981"/>
      <c r="CN76" s="24"/>
      <c r="CO76" s="67"/>
      <c r="CP76" s="1980"/>
      <c r="CQ76" s="1981"/>
      <c r="CR76" s="1981"/>
      <c r="CS76" s="24"/>
      <c r="CT76" s="2010">
        <v>271.64299999999997</v>
      </c>
      <c r="CU76" s="1980">
        <f>+(CT76/CT69-1)*100</f>
        <v>57.592968614027939</v>
      </c>
      <c r="CV76" s="1981">
        <f>+CT76/R76*100</f>
        <v>23.233872292091466</v>
      </c>
      <c r="CW76" s="2008"/>
      <c r="CX76" s="2008"/>
      <c r="CY76" s="2008"/>
      <c r="CZ76" s="24"/>
      <c r="DA76" s="2010">
        <v>267.44299999999998</v>
      </c>
      <c r="DB76" s="1980">
        <f>+(DA76/DA69-1)*100</f>
        <v>4.6239970581676948</v>
      </c>
      <c r="DC76" s="1981">
        <f>+DA76/W76*100</f>
        <v>34.854667415604403</v>
      </c>
      <c r="DD76" s="1981"/>
      <c r="DE76" s="1981"/>
      <c r="DF76" s="1981"/>
      <c r="DG76" s="1981"/>
      <c r="DH76" s="2010">
        <v>94.048000000000002</v>
      </c>
      <c r="DI76" s="1980">
        <f>+(DH76/DH69-1)*100</f>
        <v>67.733190654538973</v>
      </c>
      <c r="DJ76" s="1981">
        <f>+DH76/AP76*100</f>
        <v>11.209628685817401</v>
      </c>
      <c r="DK76" s="24"/>
      <c r="DL76" s="2010"/>
      <c r="DM76" s="1980"/>
      <c r="DN76" s="1981"/>
      <c r="DO76" s="24"/>
      <c r="DP76" s="2010"/>
      <c r="DQ76" s="1980"/>
      <c r="DR76" s="1981"/>
      <c r="DS76" s="24"/>
      <c r="DT76" s="2010">
        <v>-44.694000000000003</v>
      </c>
      <c r="DU76" s="1980">
        <f>+(DT76/DT69-1)*100</f>
        <v>9.9672760376940737</v>
      </c>
      <c r="DV76" s="1981">
        <f>+DT76/BE76*100</f>
        <v>-70.411973217802284</v>
      </c>
      <c r="DW76" s="24"/>
      <c r="DX76" s="1022">
        <f>+CT76+DA76+DH76+DT76</f>
        <v>588.44000000000005</v>
      </c>
      <c r="DY76" s="1980">
        <f>+(DX76/DX69-1)*100</f>
        <v>32.704884759370366</v>
      </c>
      <c r="DZ76" s="1981">
        <f>(+DX76/BI76)*100</f>
        <v>20.727418107782995</v>
      </c>
      <c r="EA76" s="2005" t="str">
        <f>IF(EB76=DX76," ","no")</f>
        <v xml:space="preserve"> </v>
      </c>
      <c r="EB76" s="91">
        <f>DT76+DH76+DA76+CT76</f>
        <v>588.43999999999994</v>
      </c>
      <c r="EC76" s="24"/>
      <c r="ED76" s="24"/>
      <c r="EE76" s="24"/>
      <c r="EG76" s="2010"/>
      <c r="EH76" s="1980"/>
      <c r="EI76" s="2010"/>
      <c r="EJ76" s="1980"/>
    </row>
    <row r="77" spans="1:140" hidden="1" outlineLevel="1">
      <c r="A77" s="113"/>
      <c r="B77" s="24" t="str">
        <f>+qtrSales!B100</f>
        <v>Year</v>
      </c>
      <c r="C77" s="24"/>
      <c r="D77" s="24"/>
      <c r="E77" s="266">
        <f>+SUM(E73:E76)</f>
        <v>2403.056</v>
      </c>
      <c r="F77" s="266"/>
      <c r="G77" s="1980">
        <f>+(E77/E70-1)*100</f>
        <v>2.7495005883479751</v>
      </c>
      <c r="H77" s="1981">
        <f>+E77/$BI77*100</f>
        <v>30.313166948241633</v>
      </c>
      <c r="I77" s="1981"/>
      <c r="J77" s="1981"/>
      <c r="K77" s="266">
        <f>+SUM(K73:K76)</f>
        <v>869.07500000000005</v>
      </c>
      <c r="L77" s="1980">
        <f>+(K77/K70-1)*100</f>
        <v>-9.7011459379932052</v>
      </c>
      <c r="M77" s="1981">
        <f>+K77/$BI77*100</f>
        <v>10.962880417910817</v>
      </c>
      <c r="N77" s="1981"/>
      <c r="O77" s="1981"/>
      <c r="P77" s="1981"/>
      <c r="Q77" s="24"/>
      <c r="R77" s="266">
        <f>+SUM(R73:R76)</f>
        <v>3272.1310000000003</v>
      </c>
      <c r="S77" s="1980">
        <f>+(R77/R70-1)*100</f>
        <v>-0.88040845814925106</v>
      </c>
      <c r="T77" s="1980"/>
      <c r="U77" s="1981">
        <f>+R77/$BI77*100</f>
        <v>41.276047366152454</v>
      </c>
      <c r="V77" s="24"/>
      <c r="W77" s="266">
        <f>+SUM(W73:W76)</f>
        <v>1746.57</v>
      </c>
      <c r="X77" s="266"/>
      <c r="Y77" s="266"/>
      <c r="Z77" s="266"/>
      <c r="AA77" s="266"/>
      <c r="AB77" s="266"/>
      <c r="AC77" s="1980">
        <f>+(W77/W70-1)*100</f>
        <v>-2.1301871303412323</v>
      </c>
      <c r="AD77" s="1981">
        <f>+W77/$BI77*100</f>
        <v>22.031974284740091</v>
      </c>
      <c r="AE77" s="1981"/>
      <c r="AF77" s="1981"/>
      <c r="AG77" s="1981"/>
      <c r="AH77" s="1981"/>
      <c r="AI77" s="24"/>
      <c r="AJ77" s="266">
        <f>+SUM(AJ73:AJ76)</f>
        <v>1563.348</v>
      </c>
      <c r="AK77" s="266">
        <f>+SUM(AK73:AK76)</f>
        <v>501.71299999999997</v>
      </c>
      <c r="AL77" s="266">
        <f>+SUM(AL73:AL76)</f>
        <v>2065.0610000000001</v>
      </c>
      <c r="AM77" s="388"/>
      <c r="AN77" s="388"/>
      <c r="AO77" s="266">
        <f>+SUM(AO73:AO76)</f>
        <v>617.81200000000001</v>
      </c>
      <c r="AP77" s="266">
        <f>+SUM(AP73:AP76)</f>
        <v>2661.652</v>
      </c>
      <c r="AQ77" s="1980">
        <f>+(AP77/AP70-1)*100</f>
        <v>-6.1591878006506899</v>
      </c>
      <c r="AR77" s="1981">
        <f>+AP77/$BI77*100</f>
        <v>33.575206501272227</v>
      </c>
      <c r="AS77" s="24"/>
      <c r="AT77" s="388"/>
      <c r="AU77" s="388"/>
      <c r="AV77" s="388"/>
      <c r="AW77" s="388"/>
      <c r="AX77" s="388"/>
      <c r="AY77" s="388"/>
      <c r="AZ77" s="388"/>
      <c r="BA77" s="388"/>
      <c r="BB77" s="388"/>
      <c r="BC77" s="266"/>
      <c r="BD77" s="1980" t="e">
        <f>+(BC77/BC70-1)*100</f>
        <v>#DIV/0!</v>
      </c>
      <c r="BE77" s="266">
        <f>+SUM(BE73:BE76)</f>
        <v>247.08</v>
      </c>
      <c r="BF77" s="1980">
        <f>+(BE77/BE70-1)*100</f>
        <v>8.5374157130620141</v>
      </c>
      <c r="BG77" s="1981">
        <f>+BE77/$BI77*100</f>
        <v>3.1167718478352326</v>
      </c>
      <c r="BH77" s="24"/>
      <c r="BI77" s="266">
        <f>+E77+K77+W77+AP77+BE77</f>
        <v>7927.433</v>
      </c>
      <c r="BJ77" s="266"/>
      <c r="BK77" s="2889">
        <f>+(BI77/BI70-1)*100</f>
        <v>-2.7281741466909537</v>
      </c>
      <c r="BL77" s="266">
        <f>+E77+K77+W77+AT77+AY77</f>
        <v>5018.701</v>
      </c>
      <c r="BM77" s="1980">
        <f>+(BL77/BL70-1)*100</f>
        <v>-1.3189520584846348</v>
      </c>
      <c r="BN77" s="1981">
        <f>+BL77/$BW77*100</f>
        <v>65.164614402198822</v>
      </c>
      <c r="BO77" s="266">
        <f>+AJ77+AM77+AN77+AO77+AU77</f>
        <v>2181.16</v>
      </c>
      <c r="BP77" s="1980">
        <f>+(BO77/BO70-1)*100</f>
        <v>6.9457676166866378</v>
      </c>
      <c r="BQ77" s="1981">
        <f>+BO77/$BW77*100</f>
        <v>28.320964000345906</v>
      </c>
      <c r="BR77" s="24"/>
      <c r="BS77" s="266">
        <f>+AK77+AV77+AW77+AX77</f>
        <v>501.71299999999997</v>
      </c>
      <c r="BT77" s="1980">
        <f>+(BS77/BS70-1)*100</f>
        <v>-11.891448581554053</v>
      </c>
      <c r="BU77" s="1981">
        <f>+BS77/$BW77*100</f>
        <v>6.5144215974552733</v>
      </c>
      <c r="BV77" s="24"/>
      <c r="BW77" s="266">
        <f>+BL77+BO77+BS77</f>
        <v>7701.5739999999996</v>
      </c>
      <c r="BX77" s="1980">
        <f>+(BW77/BW70-1)*100</f>
        <v>8.9243164164676259E-2</v>
      </c>
      <c r="BY77" s="24"/>
      <c r="BZ77" s="389"/>
      <c r="CA77" s="1980"/>
      <c r="CB77" s="1981"/>
      <c r="CC77" s="389"/>
      <c r="CD77" s="1980"/>
      <c r="CE77" s="1981"/>
      <c r="CF77" s="24"/>
      <c r="CG77" s="389"/>
      <c r="CH77" s="1980"/>
      <c r="CI77" s="1981"/>
      <c r="CJ77" s="24"/>
      <c r="CK77" s="389"/>
      <c r="CL77" s="1980"/>
      <c r="CM77" s="1981"/>
      <c r="CN77" s="24"/>
      <c r="CO77" s="24"/>
      <c r="CP77" s="1980"/>
      <c r="CQ77" s="1981"/>
      <c r="CR77" s="1981"/>
      <c r="CS77" s="24"/>
      <c r="CT77" s="266">
        <f>+SUM(CT73:CT76)</f>
        <v>453.59799999999996</v>
      </c>
      <c r="CU77" s="1980">
        <f>+(CT77/CT70-1)*100</f>
        <v>-3.1956668345526462</v>
      </c>
      <c r="CV77" s="1981">
        <f>+CT77/R77*100</f>
        <v>13.862464552916737</v>
      </c>
      <c r="CW77" s="266"/>
      <c r="CX77" s="266"/>
      <c r="CY77" s="266"/>
      <c r="CZ77" s="24"/>
      <c r="DA77" s="266">
        <f>+SUM(DA73:DA76)</f>
        <v>347.03300000000002</v>
      </c>
      <c r="DB77" s="1980">
        <f>+(DA77/DA70-1)*100</f>
        <v>-16.961063945864719</v>
      </c>
      <c r="DC77" s="1981">
        <f>+DA77/W77*100</f>
        <v>19.869401169148677</v>
      </c>
      <c r="DD77" s="1981"/>
      <c r="DE77" s="1981"/>
      <c r="DF77" s="1981"/>
      <c r="DG77" s="1981"/>
      <c r="DH77" s="266">
        <f>+SUM(DH73:DH76)</f>
        <v>55.231000000000002</v>
      </c>
      <c r="DI77" s="1980">
        <f>+(DH77/DH70-1)*100</f>
        <v>-26.136090084788833</v>
      </c>
      <c r="DJ77" s="1981">
        <f>+DH77/AP77*100</f>
        <v>2.0750646590914212</v>
      </c>
      <c r="DK77" s="24"/>
      <c r="DL77" s="91"/>
      <c r="DM77" s="1980"/>
      <c r="DN77" s="1981"/>
      <c r="DO77" s="24"/>
      <c r="DP77" s="91"/>
      <c r="DQ77" s="1980"/>
      <c r="DR77" s="1981"/>
      <c r="DS77" s="24"/>
      <c r="DT77" s="91">
        <f>+SUM(DT73:DT76)</f>
        <v>-167.85399999999998</v>
      </c>
      <c r="DU77" s="1980">
        <f>+(DT77/DT70-1)*100</f>
        <v>12.593238529648509</v>
      </c>
      <c r="DV77" s="1981">
        <f>+DT77/BE77*100</f>
        <v>-67.935081754897183</v>
      </c>
      <c r="DW77" s="24"/>
      <c r="DX77" s="266">
        <f>+SUM(DX73:DX76)</f>
        <v>688.00800000000004</v>
      </c>
      <c r="DY77" s="1980">
        <f>+(DX77/DX70-1)*100</f>
        <v>-15.288937701155636</v>
      </c>
      <c r="DZ77" s="1981">
        <f>(+DX77/BI77)*100</f>
        <v>8.6788245324810696</v>
      </c>
      <c r="EA77" s="2005"/>
      <c r="EB77" s="24"/>
      <c r="EC77" s="24"/>
      <c r="ED77" s="24"/>
      <c r="EE77" s="24"/>
      <c r="EG77" s="91"/>
      <c r="EH77" s="1980"/>
      <c r="EI77" s="91"/>
      <c r="EJ77" s="1980"/>
    </row>
    <row r="78" spans="1:140" hidden="1" outlineLevel="1">
      <c r="A78" s="113"/>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428"/>
      <c r="AK78" s="428"/>
      <c r="AL78" s="24"/>
      <c r="AM78" s="24"/>
      <c r="AN78" s="24"/>
      <c r="AO78" s="24"/>
      <c r="AP78" s="24"/>
      <c r="AQ78" s="24"/>
      <c r="AR78" s="24"/>
      <c r="AS78" s="24"/>
      <c r="AT78" s="24"/>
      <c r="AU78" s="24"/>
      <c r="AV78" s="24"/>
      <c r="AW78" s="24"/>
      <c r="AX78" s="24"/>
      <c r="AY78" s="24"/>
      <c r="AZ78" s="24"/>
      <c r="BA78" s="24"/>
      <c r="BB78" s="24"/>
      <c r="BC78" s="24"/>
      <c r="BD78" s="24"/>
      <c r="BE78" s="24"/>
      <c r="BF78" s="24"/>
      <c r="BG78" s="24"/>
      <c r="BH78" s="24"/>
      <c r="BI78" s="24"/>
      <c r="BJ78" s="24"/>
      <c r="BK78" s="78"/>
      <c r="BL78" s="24"/>
      <c r="BM78" s="24"/>
      <c r="BN78" s="24"/>
      <c r="BO78" s="24"/>
      <c r="BP78" s="24"/>
      <c r="BQ78" s="24"/>
      <c r="BR78" s="24"/>
      <c r="BS78" s="24"/>
      <c r="BT78" s="24"/>
      <c r="BU78" s="24"/>
      <c r="BV78" s="24"/>
      <c r="BW78" s="24"/>
      <c r="BX78" s="24"/>
      <c r="BY78" s="24"/>
      <c r="BZ78" s="24"/>
      <c r="CA78" s="24"/>
      <c r="CB78" s="24"/>
      <c r="CC78" s="24"/>
      <c r="CD78" s="24"/>
      <c r="CE78" s="24"/>
      <c r="CF78" s="24"/>
      <c r="CG78" s="24"/>
      <c r="CH78" s="24"/>
      <c r="CI78" s="24"/>
      <c r="CJ78" s="24"/>
      <c r="CK78" s="24"/>
      <c r="CL78" s="24"/>
      <c r="CM78" s="24"/>
      <c r="CN78" s="24"/>
      <c r="CO78" s="24"/>
      <c r="CP78" s="24"/>
      <c r="CQ78" s="24"/>
      <c r="CR78" s="24"/>
      <c r="CS78" s="24"/>
      <c r="CT78" s="24"/>
      <c r="CU78" s="24"/>
      <c r="CV78" s="24"/>
      <c r="CW78" s="24"/>
      <c r="CX78" s="24"/>
      <c r="CY78" s="24"/>
      <c r="CZ78" s="24"/>
      <c r="DA78" s="24"/>
      <c r="DB78" s="24"/>
      <c r="DC78" s="24"/>
      <c r="DD78" s="24"/>
      <c r="DE78" s="24"/>
      <c r="DF78" s="24"/>
      <c r="DG78" s="24"/>
      <c r="DH78" s="24"/>
      <c r="DI78" s="24"/>
      <c r="DJ78" s="24"/>
      <c r="DK78" s="24"/>
      <c r="DL78" s="24"/>
      <c r="DM78" s="24"/>
      <c r="DN78" s="24"/>
      <c r="DO78" s="24"/>
      <c r="DP78" s="24"/>
      <c r="DQ78" s="24"/>
      <c r="DR78" s="24"/>
      <c r="DS78" s="24"/>
      <c r="DT78" s="24"/>
      <c r="DU78" s="24"/>
      <c r="DV78" s="24"/>
      <c r="DW78" s="24"/>
      <c r="DX78" s="24"/>
      <c r="DY78" s="24"/>
      <c r="DZ78" s="24"/>
      <c r="EA78" s="2007"/>
      <c r="EB78" s="24"/>
      <c r="EC78" s="24"/>
      <c r="ED78" s="24"/>
      <c r="EE78" s="24"/>
      <c r="EG78" s="24"/>
      <c r="EH78" s="24"/>
      <c r="EI78" s="24"/>
      <c r="EJ78" s="24"/>
    </row>
    <row r="79" spans="1:140" hidden="1" outlineLevel="1">
      <c r="A79" s="113"/>
      <c r="B79" s="136">
        <f>+qtrSales!B102</f>
        <v>2002</v>
      </c>
      <c r="C79" s="24"/>
      <c r="D79" s="24"/>
      <c r="E79" s="24"/>
      <c r="F79" s="24"/>
      <c r="G79" s="1980"/>
      <c r="H79" s="1981"/>
      <c r="I79" s="1981"/>
      <c r="J79" s="1981"/>
      <c r="K79" s="24"/>
      <c r="L79" s="1980"/>
      <c r="M79" s="1981"/>
      <c r="N79" s="1981"/>
      <c r="O79" s="1981"/>
      <c r="P79" s="1981"/>
      <c r="Q79" s="24"/>
      <c r="R79" s="24"/>
      <c r="S79" s="1980"/>
      <c r="T79" s="1980"/>
      <c r="U79" s="1981"/>
      <c r="V79" s="24"/>
      <c r="W79" s="24"/>
      <c r="X79" s="24"/>
      <c r="Y79" s="24"/>
      <c r="Z79" s="24"/>
      <c r="AA79" s="24"/>
      <c r="AB79" s="24"/>
      <c r="AC79" s="1980"/>
      <c r="AD79" s="1981"/>
      <c r="AE79" s="1981"/>
      <c r="AF79" s="1981"/>
      <c r="AG79" s="1981"/>
      <c r="AH79" s="1981"/>
      <c r="AI79" s="24"/>
      <c r="AJ79" s="399"/>
      <c r="AK79" s="24"/>
      <c r="AL79" s="24"/>
      <c r="AM79" s="24"/>
      <c r="AN79" s="24"/>
      <c r="AO79" s="24"/>
      <c r="AP79" s="24"/>
      <c r="AQ79" s="1980"/>
      <c r="AR79" s="1981"/>
      <c r="AS79" s="24"/>
      <c r="AT79" s="24"/>
      <c r="AU79" s="24"/>
      <c r="AV79" s="24"/>
      <c r="AW79" s="24"/>
      <c r="AX79" s="24"/>
      <c r="AY79" s="24"/>
      <c r="AZ79" s="24"/>
      <c r="BA79" s="24"/>
      <c r="BB79" s="24"/>
      <c r="BC79" s="24"/>
      <c r="BD79" s="1980"/>
      <c r="BE79" s="24"/>
      <c r="BF79" s="1980"/>
      <c r="BG79" s="1981"/>
      <c r="BH79" s="24"/>
      <c r="BI79" s="24"/>
      <c r="BJ79" s="24"/>
      <c r="BK79" s="2889"/>
      <c r="BL79" s="389"/>
      <c r="BM79" s="1988"/>
      <c r="BN79" s="1989"/>
      <c r="BO79" s="389"/>
      <c r="BP79" s="389"/>
      <c r="BQ79" s="389"/>
      <c r="BR79" s="389"/>
      <c r="BS79" s="389"/>
      <c r="BT79" s="389"/>
      <c r="BU79" s="389"/>
      <c r="BV79" s="389"/>
      <c r="BW79" s="266"/>
      <c r="BX79" s="24"/>
      <c r="BY79" s="24"/>
      <c r="BZ79" s="389"/>
      <c r="CA79" s="1988"/>
      <c r="CB79" s="1989"/>
      <c r="CC79" s="389"/>
      <c r="CD79" s="389"/>
      <c r="CE79" s="389"/>
      <c r="CF79" s="389"/>
      <c r="CG79" s="389"/>
      <c r="CH79" s="389"/>
      <c r="CI79" s="389"/>
      <c r="CJ79" s="389"/>
      <c r="CK79" s="389"/>
      <c r="CL79" s="389"/>
      <c r="CM79" s="389"/>
      <c r="CN79" s="389"/>
      <c r="CO79" s="266"/>
      <c r="CP79" s="24"/>
      <c r="CQ79" s="24"/>
      <c r="CR79" s="24"/>
      <c r="CS79" s="24"/>
      <c r="CT79" s="24"/>
      <c r="CU79" s="24"/>
      <c r="CV79" s="24"/>
      <c r="CW79" s="24"/>
      <c r="CX79" s="24"/>
      <c r="CY79" s="24"/>
      <c r="CZ79" s="24"/>
      <c r="DA79" s="24"/>
      <c r="DB79" s="24"/>
      <c r="DC79" s="24"/>
      <c r="DD79" s="24"/>
      <c r="DE79" s="24"/>
      <c r="DF79" s="24"/>
      <c r="DG79" s="24"/>
      <c r="DH79" s="24"/>
      <c r="DI79" s="24"/>
      <c r="DJ79" s="24"/>
      <c r="DK79" s="24"/>
      <c r="DL79" s="24"/>
      <c r="DM79" s="24"/>
      <c r="DN79" s="24"/>
      <c r="DO79" s="24"/>
      <c r="DP79" s="24"/>
      <c r="DQ79" s="24"/>
      <c r="DR79" s="24"/>
      <c r="DS79" s="24"/>
      <c r="DT79" s="24"/>
      <c r="DU79" s="24"/>
      <c r="DV79" s="24"/>
      <c r="DW79" s="24"/>
      <c r="DX79" s="24"/>
      <c r="DY79" s="24"/>
      <c r="DZ79" s="24"/>
      <c r="EA79" s="2007"/>
      <c r="EB79" s="24"/>
      <c r="EC79" s="24"/>
      <c r="ED79" s="24"/>
      <c r="EE79" s="24"/>
      <c r="EG79" s="24"/>
      <c r="EH79" s="24"/>
      <c r="EI79" s="24"/>
      <c r="EJ79" s="24"/>
    </row>
    <row r="80" spans="1:140" hidden="1" outlineLevel="1">
      <c r="A80" s="113" t="str">
        <f>+qtrSales!A103</f>
        <v>1Q</v>
      </c>
      <c r="B80" s="24" t="str">
        <f>+qtrSales!B103</f>
        <v>Apr</v>
      </c>
      <c r="C80" s="24"/>
      <c r="D80" s="24"/>
      <c r="E80" s="1982">
        <v>536.27</v>
      </c>
      <c r="F80" s="1982"/>
      <c r="G80" s="1980">
        <f>+(E80/E73-1)*100</f>
        <v>11.789757625913811</v>
      </c>
      <c r="H80" s="1981">
        <f>+E80/$BI80*100</f>
        <v>29.815702740329229</v>
      </c>
      <c r="I80" s="1981"/>
      <c r="J80" s="1981"/>
      <c r="K80" s="1982">
        <v>225.77199999999999</v>
      </c>
      <c r="L80" s="1980">
        <f>+(K80/K73-1)*100</f>
        <v>-0.14595182705151588</v>
      </c>
      <c r="M80" s="1981">
        <f>+K80/$BI80*100</f>
        <v>12.552540397728029</v>
      </c>
      <c r="N80" s="1981"/>
      <c r="O80" s="1981"/>
      <c r="P80" s="1981"/>
      <c r="Q80" s="24"/>
      <c r="R80" s="381">
        <f>+E80+K80</f>
        <v>762.04199999999992</v>
      </c>
      <c r="S80" s="1980">
        <f>+(R80/R73-1)*100</f>
        <v>7.9662517798573029</v>
      </c>
      <c r="T80" s="1980"/>
      <c r="U80" s="1981">
        <f>+R80/$BI80*100</f>
        <v>42.36824313805726</v>
      </c>
      <c r="V80" s="24"/>
      <c r="W80" s="1982">
        <v>320.27699999999999</v>
      </c>
      <c r="X80" s="1982"/>
      <c r="Y80" s="1982"/>
      <c r="Z80" s="1982"/>
      <c r="AA80" s="1982"/>
      <c r="AB80" s="1982"/>
      <c r="AC80" s="1980">
        <f>+(W80/W73-1)*100</f>
        <v>0.13631773287352544</v>
      </c>
      <c r="AD80" s="1981">
        <f>+W80/$BI80*100</f>
        <v>17.806858162053491</v>
      </c>
      <c r="AE80" s="1981"/>
      <c r="AF80" s="1981"/>
      <c r="AG80" s="1981"/>
      <c r="AH80" s="1981"/>
      <c r="AI80" s="24"/>
      <c r="AJ80" s="24"/>
      <c r="AK80" s="1982"/>
      <c r="AL80" s="1982">
        <v>482</v>
      </c>
      <c r="AM80" s="1982"/>
      <c r="AN80" s="1982"/>
      <c r="AO80" s="1982">
        <v>155.87799999999999</v>
      </c>
      <c r="AP80" s="381">
        <f>+AL80+AO80</f>
        <v>637.87799999999993</v>
      </c>
      <c r="AQ80" s="1980">
        <f>+(AP80/AP73-1)*100</f>
        <v>6.9203073457237085</v>
      </c>
      <c r="AR80" s="1981">
        <f>+AP80/$BI80*100</f>
        <v>35.464935261334269</v>
      </c>
      <c r="AS80" s="24"/>
      <c r="AT80" s="1982"/>
      <c r="AU80" s="1982"/>
      <c r="AV80" s="1982"/>
      <c r="AW80" s="1982"/>
      <c r="AX80" s="1982"/>
      <c r="AY80" s="1982"/>
      <c r="AZ80" s="1982"/>
      <c r="BA80" s="1982"/>
      <c r="BB80" s="1982"/>
      <c r="BC80" s="1982"/>
      <c r="BD80" s="1980" t="e">
        <f>+(BC80/BC73-1)*100</f>
        <v>#DIV/0!</v>
      </c>
      <c r="BE80" s="1982">
        <f>321.38-242.961</f>
        <v>78.418999999999983</v>
      </c>
      <c r="BF80" s="1980">
        <f>+(BE80/BE73-1)*100</f>
        <v>97.977783388033288</v>
      </c>
      <c r="BG80" s="1981">
        <f>+BE80/$BI80*100</f>
        <v>4.3599634385549768</v>
      </c>
      <c r="BH80" s="24"/>
      <c r="BI80" s="381">
        <f>+R80+W80+AP80+BE80</f>
        <v>1798.616</v>
      </c>
      <c r="BJ80" s="381"/>
      <c r="BK80" s="2889">
        <f>+(BI80/BI73-1)*100</f>
        <v>8.2292229540670725</v>
      </c>
      <c r="BL80" s="381">
        <f>+E80+K80+W80+AT80+AY80</f>
        <v>1082.319</v>
      </c>
      <c r="BM80" s="1980">
        <f>+(BL80/BL73-1)*100</f>
        <v>5.5245618413971131</v>
      </c>
      <c r="BN80" s="1981">
        <f>+BL80/$BW80*100</f>
        <v>62.918316913702334</v>
      </c>
      <c r="BO80" s="381">
        <f>+AL80+AM80+AN80+AO80+AU80</f>
        <v>637.87799999999993</v>
      </c>
      <c r="BP80" s="1980">
        <f>+(BO80/BO73-1)*100</f>
        <v>29.054043117959338</v>
      </c>
      <c r="BQ80" s="1981">
        <f>+BO80/$BW80*100</f>
        <v>37.081683086297673</v>
      </c>
      <c r="BR80" s="389"/>
      <c r="BS80" s="381">
        <f>+AK80+AV80+AW80+AX80</f>
        <v>0</v>
      </c>
      <c r="BT80" s="1980"/>
      <c r="BU80" s="1981">
        <f>+BS80/$BW80*100</f>
        <v>0</v>
      </c>
      <c r="BV80" s="389"/>
      <c r="BW80" s="381">
        <f>+BL80+BO80+BS80</f>
        <v>1720.1969999999999</v>
      </c>
      <c r="BX80" s="1980">
        <f>+(BW80/BW73-1)*100</f>
        <v>6.0378561107796047</v>
      </c>
      <c r="BY80" s="24"/>
      <c r="BZ80" s="390"/>
      <c r="CA80" s="1980"/>
      <c r="CB80" s="1981"/>
      <c r="CC80" s="390"/>
      <c r="CD80" s="1980"/>
      <c r="CE80" s="1981"/>
      <c r="CF80" s="389"/>
      <c r="CG80" s="390"/>
      <c r="CH80" s="1980"/>
      <c r="CI80" s="1981"/>
      <c r="CJ80" s="24"/>
      <c r="CK80" s="390"/>
      <c r="CL80" s="1980"/>
      <c r="CM80" s="1981"/>
      <c r="CN80" s="24"/>
      <c r="CO80" s="165"/>
      <c r="CP80" s="1980"/>
      <c r="CQ80" s="1981"/>
      <c r="CR80" s="1981"/>
      <c r="CS80" s="24"/>
      <c r="CT80" s="1982">
        <v>100.464</v>
      </c>
      <c r="CU80" s="1980">
        <f>+(CT80/CT73-1)*100</f>
        <v>65.462720490142786</v>
      </c>
      <c r="CV80" s="1981">
        <f>+CT80/R80*100</f>
        <v>13.183525317502188</v>
      </c>
      <c r="CW80" s="1982"/>
      <c r="CX80" s="1982"/>
      <c r="CY80" s="1982"/>
      <c r="CZ80" s="24"/>
      <c r="DA80" s="1982">
        <v>27.657</v>
      </c>
      <c r="DB80" s="1980">
        <f>+(DA80/DA73-1)*100</f>
        <v>-18.677408921167928</v>
      </c>
      <c r="DC80" s="1981">
        <f>+DA80/W80*100</f>
        <v>8.6353375359454478</v>
      </c>
      <c r="DD80" s="1981"/>
      <c r="DE80" s="1981"/>
      <c r="DF80" s="1981"/>
      <c r="DG80" s="1981"/>
      <c r="DH80" s="1982">
        <v>34.392000000000003</v>
      </c>
      <c r="DI80" s="1990" t="s">
        <v>886</v>
      </c>
      <c r="DJ80" s="1981">
        <f>+DH80/AP80*100</f>
        <v>5.3916266119853651</v>
      </c>
      <c r="DK80" s="24"/>
      <c r="DL80" s="1982"/>
      <c r="DM80" s="1980"/>
      <c r="DN80" s="1981"/>
      <c r="DO80" s="24"/>
      <c r="DP80" s="1982"/>
      <c r="DQ80" s="1980"/>
      <c r="DR80" s="1981"/>
      <c r="DS80" s="24"/>
      <c r="DT80" s="1982">
        <v>-34.369999999999997</v>
      </c>
      <c r="DU80" s="1980">
        <f>+(DT80/DT73-1)*100</f>
        <v>-14.479086317151468</v>
      </c>
      <c r="DV80" s="1981">
        <f>+DT80/BE80*100</f>
        <v>-43.828663971741548</v>
      </c>
      <c r="DW80" s="24"/>
      <c r="DX80" s="381">
        <f>+CT80+DA80+DH80+DT80</f>
        <v>128.143</v>
      </c>
      <c r="DY80" s="1980">
        <f>+(DX80/DX73-1)*100</f>
        <v>232.39864076158861</v>
      </c>
      <c r="DZ80" s="1981">
        <f>(+DX80/BI80)*100</f>
        <v>7.1245335302254613</v>
      </c>
      <c r="EA80" s="2005" t="str">
        <f>IF(EB80=DX80," ","no")</f>
        <v xml:space="preserve"> </v>
      </c>
      <c r="EB80" s="91">
        <f>DT80+DH80+DA80+CT80</f>
        <v>128.143</v>
      </c>
      <c r="EC80" s="24"/>
      <c r="ED80" s="24"/>
      <c r="EE80" s="24"/>
      <c r="EG80" s="1982"/>
      <c r="EH80" s="1980"/>
      <c r="EI80" s="1982"/>
      <c r="EJ80" s="1980"/>
    </row>
    <row r="81" spans="1:140" hidden="1" outlineLevel="1">
      <c r="A81" s="113" t="str">
        <f>+qtrSales!A104</f>
        <v>2Q</v>
      </c>
      <c r="B81" s="24" t="str">
        <f>+qtrSales!B104</f>
        <v>Jul</v>
      </c>
      <c r="C81" s="24"/>
      <c r="D81" s="24"/>
      <c r="E81" s="388">
        <v>615.26300000000003</v>
      </c>
      <c r="F81" s="388"/>
      <c r="G81" s="1980">
        <f>+(E81/E74-1)*100</f>
        <v>9.2926547650768363</v>
      </c>
      <c r="H81" s="1981">
        <f>+E81/$BI81*100</f>
        <v>32.163113856846984</v>
      </c>
      <c r="I81" s="1981"/>
      <c r="J81" s="1981"/>
      <c r="K81" s="388">
        <v>249.19200000000001</v>
      </c>
      <c r="L81" s="1980">
        <f>+(K81/K74-1)*100</f>
        <v>8.7566774903111053</v>
      </c>
      <c r="M81" s="1981">
        <f>+K81/$BI81*100</f>
        <v>13.026609219497049</v>
      </c>
      <c r="N81" s="1981"/>
      <c r="O81" s="1981"/>
      <c r="P81" s="1981"/>
      <c r="Q81" s="24"/>
      <c r="R81" s="387">
        <f>+E81+K81</f>
        <v>864.45500000000004</v>
      </c>
      <c r="S81" s="1980">
        <f>+(R81/R74-1)*100</f>
        <v>9.13761018485555</v>
      </c>
      <c r="T81" s="1980"/>
      <c r="U81" s="1981">
        <f>+R81/$BI81*100</f>
        <v>45.189723076344031</v>
      </c>
      <c r="V81" s="24"/>
      <c r="W81" s="388">
        <v>374.28699999999998</v>
      </c>
      <c r="X81" s="388"/>
      <c r="Y81" s="388"/>
      <c r="Z81" s="388"/>
      <c r="AA81" s="388"/>
      <c r="AB81" s="388"/>
      <c r="AC81" s="1980">
        <f>+(W81/W74-1)*100</f>
        <v>4.2983096566368006</v>
      </c>
      <c r="AD81" s="1981">
        <f>+W81/$BI81*100</f>
        <v>19.565999249325387</v>
      </c>
      <c r="AE81" s="1981"/>
      <c r="AF81" s="1981"/>
      <c r="AG81" s="1981"/>
      <c r="AH81" s="1981"/>
      <c r="AI81" s="24"/>
      <c r="AJ81" s="24"/>
      <c r="AK81" s="388"/>
      <c r="AL81" s="388">
        <v>450</v>
      </c>
      <c r="AM81" s="388"/>
      <c r="AN81" s="388"/>
      <c r="AO81" s="388">
        <v>141.64099999999999</v>
      </c>
      <c r="AP81" s="387">
        <f>+AL81+AO81</f>
        <v>591.64099999999996</v>
      </c>
      <c r="AQ81" s="1980">
        <f>+(AP81/AP74-1)*100</f>
        <v>4.5569978174620607</v>
      </c>
      <c r="AR81" s="1981">
        <f>+AP81/$BI81*100</f>
        <v>30.928264572026603</v>
      </c>
      <c r="AS81" s="24"/>
      <c r="AT81" s="388"/>
      <c r="AU81" s="388"/>
      <c r="AV81" s="388"/>
      <c r="AW81" s="388"/>
      <c r="AX81" s="388"/>
      <c r="AY81" s="388"/>
      <c r="AZ81" s="388"/>
      <c r="BA81" s="388"/>
      <c r="BB81" s="388"/>
      <c r="BC81" s="388"/>
      <c r="BD81" s="1980" t="e">
        <f>+(BC81/BC74-1)*100</f>
        <v>#DIV/0!</v>
      </c>
      <c r="BE81" s="388">
        <v>82.563000000000002</v>
      </c>
      <c r="BF81" s="1980">
        <f>+(BE81/BE74-1)*100</f>
        <v>63.491089108910906</v>
      </c>
      <c r="BG81" s="1981">
        <f>+BE81/$BI81*100</f>
        <v>4.3160131023039856</v>
      </c>
      <c r="BH81" s="24"/>
      <c r="BI81" s="266">
        <f>+R81+W81+AP81+BE81</f>
        <v>1912.9459999999999</v>
      </c>
      <c r="BJ81" s="266"/>
      <c r="BK81" s="2889">
        <f>+(BI81/BI74-1)*100</f>
        <v>8.2414650638404918</v>
      </c>
      <c r="BL81" s="266">
        <f>+E81+K81+W81+AT81+AY81</f>
        <v>1238.742</v>
      </c>
      <c r="BM81" s="1980">
        <f>+(BL81/BL74-1)*100</f>
        <v>7.6287208716353527</v>
      </c>
      <c r="BN81" s="1981">
        <f>+BL81/$BW81*100</f>
        <v>67.676655650757255</v>
      </c>
      <c r="BO81" s="266">
        <f>+AL81+AM81+AN81+AO81+AU81</f>
        <v>591.64099999999996</v>
      </c>
      <c r="BP81" s="1980">
        <f>+(BO81/BO74-1)*100</f>
        <v>30.784364437783339</v>
      </c>
      <c r="BQ81" s="1981">
        <f>+BO81/$BW81*100</f>
        <v>32.323344349242753</v>
      </c>
      <c r="BR81" s="389"/>
      <c r="BS81" s="266">
        <f>+AK81+AV81+AW81+AX81</f>
        <v>0</v>
      </c>
      <c r="BT81" s="1980"/>
      <c r="BU81" s="1981">
        <f>+BS81/$BW81*100</f>
        <v>0</v>
      </c>
      <c r="BV81" s="389"/>
      <c r="BW81" s="266">
        <f>+BL81+BO81+BS81</f>
        <v>1830.3829999999998</v>
      </c>
      <c r="BX81" s="1980">
        <f>+(BW81/BW74-1)*100</f>
        <v>6.6162820837665448</v>
      </c>
      <c r="BY81" s="24"/>
      <c r="BZ81" s="389"/>
      <c r="CA81" s="1980"/>
      <c r="CB81" s="1981"/>
      <c r="CC81" s="389"/>
      <c r="CD81" s="1980"/>
      <c r="CE81" s="1981"/>
      <c r="CF81" s="389"/>
      <c r="CG81" s="389"/>
      <c r="CH81" s="1980"/>
      <c r="CI81" s="1981"/>
      <c r="CJ81" s="389"/>
      <c r="CK81" s="389"/>
      <c r="CL81" s="1980"/>
      <c r="CM81" s="1981"/>
      <c r="CN81" s="389"/>
      <c r="CO81" s="266"/>
      <c r="CP81" s="1980"/>
      <c r="CQ81" s="1981"/>
      <c r="CR81" s="1981"/>
      <c r="CS81" s="24"/>
      <c r="CT81" s="2008">
        <v>144.92599999999999</v>
      </c>
      <c r="CU81" s="1980">
        <f>+(CT81/CT74-1)*100</f>
        <v>37.734862812556401</v>
      </c>
      <c r="CV81" s="1981">
        <f>+CT81/R81*100</f>
        <v>16.765013794818699</v>
      </c>
      <c r="CW81" s="2008"/>
      <c r="CX81" s="2008"/>
      <c r="CY81" s="2008"/>
      <c r="CZ81" s="24"/>
      <c r="DA81" s="2008">
        <v>31.373000000000001</v>
      </c>
      <c r="DB81" s="1980">
        <f>+(DA81/DA74-1)*100</f>
        <v>-32.305534577624343</v>
      </c>
      <c r="DC81" s="1981">
        <f>+DA81/W81*100</f>
        <v>8.3820704432694715</v>
      </c>
      <c r="DD81" s="1981"/>
      <c r="DE81" s="1981"/>
      <c r="DF81" s="1981"/>
      <c r="DG81" s="1981"/>
      <c r="DH81" s="2008">
        <v>3.3159999999999998</v>
      </c>
      <c r="DI81" s="1990" t="s">
        <v>886</v>
      </c>
      <c r="DJ81" s="1981">
        <f>+DH81/AP81*100</f>
        <v>0.56047501778950415</v>
      </c>
      <c r="DK81" s="24"/>
      <c r="DL81" s="2008"/>
      <c r="DM81" s="1980"/>
      <c r="DN81" s="1981"/>
      <c r="DO81" s="24"/>
      <c r="DP81" s="2008"/>
      <c r="DQ81" s="1980"/>
      <c r="DR81" s="1981"/>
      <c r="DS81" s="24"/>
      <c r="DT81" s="2008">
        <v>-40.942</v>
      </c>
      <c r="DU81" s="1980">
        <f>+(DT81/DT74-1)*100</f>
        <v>-6.6146617398841308</v>
      </c>
      <c r="DV81" s="1981">
        <f>+DT81/BE81*100</f>
        <v>-49.588798856630696</v>
      </c>
      <c r="DW81" s="24"/>
      <c r="DX81" s="266">
        <f>+CT81+DA81+DH81+DT81</f>
        <v>138.67299999999997</v>
      </c>
      <c r="DY81" s="1980">
        <f>+(DX81/DX74-1)*100</f>
        <v>76.155331419425281</v>
      </c>
      <c r="DZ81" s="1981">
        <f>(+DX81/BI81)*100</f>
        <v>7.2491852880321757</v>
      </c>
      <c r="EA81" s="2005" t="str">
        <f>IF(EB81=DX81," ","no")</f>
        <v xml:space="preserve"> </v>
      </c>
      <c r="EB81" s="91">
        <f>DT81+DH81+DA81+CT81</f>
        <v>138.673</v>
      </c>
      <c r="EC81" s="24"/>
      <c r="ED81" s="24"/>
      <c r="EE81" s="24"/>
      <c r="EG81" s="2008"/>
      <c r="EH81" s="1980"/>
      <c r="EI81" s="2008"/>
      <c r="EJ81" s="1980"/>
    </row>
    <row r="82" spans="1:140" hidden="1" outlineLevel="1">
      <c r="A82" s="113" t="str">
        <f>+qtrSales!A105</f>
        <v>3Q</v>
      </c>
      <c r="B82" s="24" t="str">
        <f>+qtrSales!B105</f>
        <v>Oct</v>
      </c>
      <c r="C82" s="24"/>
      <c r="D82" s="24"/>
      <c r="E82" s="388">
        <v>515.09699999999998</v>
      </c>
      <c r="F82" s="388"/>
      <c r="G82" s="1980">
        <f>+(E82/E75-1)*100</f>
        <v>12.703320074041979</v>
      </c>
      <c r="H82" s="1981">
        <f>+E82/$BI82*100</f>
        <v>29.135648700427108</v>
      </c>
      <c r="I82" s="1981"/>
      <c r="J82" s="1981"/>
      <c r="K82" s="388">
        <v>162.405</v>
      </c>
      <c r="L82" s="1980">
        <f>+(K82/K75-1)*100</f>
        <v>9.7093871595330672</v>
      </c>
      <c r="M82" s="1981">
        <f>+K82/$BI82*100</f>
        <v>9.1861824611536562</v>
      </c>
      <c r="N82" s="1981"/>
      <c r="O82" s="1981"/>
      <c r="P82" s="1981"/>
      <c r="Q82" s="24"/>
      <c r="R82" s="387">
        <f>+E82+K82</f>
        <v>677.50199999999995</v>
      </c>
      <c r="S82" s="1980">
        <f>+(R82/R75-1)*100</f>
        <v>11.970846348356368</v>
      </c>
      <c r="T82" s="1980"/>
      <c r="U82" s="1981">
        <f>+R82/$BI82*100</f>
        <v>38.321831161580768</v>
      </c>
      <c r="V82" s="24"/>
      <c r="W82" s="388">
        <v>309.31099999999998</v>
      </c>
      <c r="X82" s="388"/>
      <c r="Y82" s="388"/>
      <c r="Z82" s="388"/>
      <c r="AA82" s="388"/>
      <c r="AB82" s="388"/>
      <c r="AC82" s="1980">
        <f>+(W82/W75-1)*100</f>
        <v>2.912249881886364</v>
      </c>
      <c r="AD82" s="1981">
        <f>+W82/$BI82*100</f>
        <v>17.495688453199705</v>
      </c>
      <c r="AE82" s="1981"/>
      <c r="AF82" s="1981"/>
      <c r="AG82" s="1981"/>
      <c r="AH82" s="1981"/>
      <c r="AI82" s="24"/>
      <c r="AJ82" s="24"/>
      <c r="AK82" s="388"/>
      <c r="AL82" s="388">
        <v>518</v>
      </c>
      <c r="AM82" s="388"/>
      <c r="AN82" s="388"/>
      <c r="AO82" s="388">
        <v>157.75299999999999</v>
      </c>
      <c r="AP82" s="387">
        <f>+AL82+AO82</f>
        <v>675.75299999999993</v>
      </c>
      <c r="AQ82" s="1980">
        <f>+(AP82/AP75-1)*100</f>
        <v>2.3539408553616026</v>
      </c>
      <c r="AR82" s="1981">
        <f>+AP82/$BI82*100</f>
        <v>38.222901737458614</v>
      </c>
      <c r="AS82" s="24"/>
      <c r="AT82" s="388"/>
      <c r="AU82" s="388"/>
      <c r="AV82" s="388"/>
      <c r="AW82" s="388"/>
      <c r="AX82" s="388"/>
      <c r="AY82" s="388"/>
      <c r="AZ82" s="388"/>
      <c r="BA82" s="388"/>
      <c r="BB82" s="388"/>
      <c r="BC82" s="388"/>
      <c r="BD82" s="1980" t="e">
        <f>+(BC82/BC75-1)*100</f>
        <v>#DIV/0!</v>
      </c>
      <c r="BE82" s="388">
        <v>105.361</v>
      </c>
      <c r="BF82" s="1980">
        <f>+(BE82/BE75-1)*100</f>
        <v>12.691587785443081</v>
      </c>
      <c r="BG82" s="1981">
        <f>+BE82/$BI82*100</f>
        <v>5.9595786477609085</v>
      </c>
      <c r="BH82" s="24"/>
      <c r="BI82" s="266">
        <f>+R82+W82+AP82+BE82</f>
        <v>1767.9269999999999</v>
      </c>
      <c r="BJ82" s="266"/>
      <c r="BK82" s="2889">
        <f>+(BI82/BI75-1)*100</f>
        <v>6.5443084127075002</v>
      </c>
      <c r="BL82" s="266">
        <f>+E82+K82+W82+AT82+AY82</f>
        <v>986.81299999999987</v>
      </c>
      <c r="BM82" s="1980">
        <f>+(BL82/BL75-1)*100</f>
        <v>8.9644975641212312</v>
      </c>
      <c r="BN82" s="1981">
        <f>+BL82/$BW82*100</f>
        <v>59.354816590739858</v>
      </c>
      <c r="BO82" s="266">
        <f>+AL82+AM82+AN82+AO82+AU82</f>
        <v>675.75299999999993</v>
      </c>
      <c r="BP82" s="1980">
        <f>+(BO82/BO75-1)*100</f>
        <v>25.072507491361094</v>
      </c>
      <c r="BQ82" s="1981">
        <f>+BO82/$BW82*100</f>
        <v>40.645183409260142</v>
      </c>
      <c r="BR82" s="24"/>
      <c r="BS82" s="266">
        <f>+AK82+AV82+AW82+AX82</f>
        <v>0</v>
      </c>
      <c r="BT82" s="1980"/>
      <c r="BU82" s="1981">
        <f>+BS82/$BW82*100</f>
        <v>0</v>
      </c>
      <c r="BV82" s="24"/>
      <c r="BW82" s="266">
        <f>+BL82+BO82+BS82</f>
        <v>1662.5659999999998</v>
      </c>
      <c r="BX82" s="1980">
        <f>+(BW82/BW75-1)*100</f>
        <v>6.1772594901139177</v>
      </c>
      <c r="BY82" s="24"/>
      <c r="BZ82" s="389"/>
      <c r="CA82" s="1980"/>
      <c r="CB82" s="1981"/>
      <c r="CC82" s="389"/>
      <c r="CD82" s="1980"/>
      <c r="CE82" s="1981"/>
      <c r="CF82" s="24"/>
      <c r="CG82" s="389"/>
      <c r="CH82" s="1980"/>
      <c r="CI82" s="1981"/>
      <c r="CJ82" s="24"/>
      <c r="CK82" s="389"/>
      <c r="CL82" s="1980"/>
      <c r="CM82" s="1981"/>
      <c r="CN82" s="24"/>
      <c r="CO82" s="266"/>
      <c r="CP82" s="1980"/>
      <c r="CQ82" s="1981"/>
      <c r="CR82" s="1981"/>
      <c r="CS82" s="24"/>
      <c r="CT82" s="2008">
        <v>57.283000000000001</v>
      </c>
      <c r="CU82" s="1980">
        <f>+(CT82/CT75-1)*100</f>
        <v>257.63875881875509</v>
      </c>
      <c r="CV82" s="1981">
        <f>+CT82/R82*100</f>
        <v>8.4550303910541977</v>
      </c>
      <c r="CW82" s="2008"/>
      <c r="CX82" s="2008"/>
      <c r="CY82" s="2008"/>
      <c r="CZ82" s="24"/>
      <c r="DA82" s="2008">
        <v>2.2450000000000001</v>
      </c>
      <c r="DB82" s="1990" t="s">
        <v>886</v>
      </c>
      <c r="DC82" s="1981">
        <f>+DA82/W82*100</f>
        <v>0.72580671233806759</v>
      </c>
      <c r="DD82" s="1981"/>
      <c r="DE82" s="1981"/>
      <c r="DF82" s="1981"/>
      <c r="DG82" s="1981"/>
      <c r="DH82" s="2008">
        <v>-2.7639999999999998</v>
      </c>
      <c r="DI82" s="1980">
        <f>+(DH82/DH75-1)*100</f>
        <v>-144.79014746394427</v>
      </c>
      <c r="DJ82" s="1981">
        <f>+DH82/AP82*100</f>
        <v>-0.40902519115712399</v>
      </c>
      <c r="DK82" s="24"/>
      <c r="DL82" s="2008"/>
      <c r="DM82" s="1980"/>
      <c r="DN82" s="1981"/>
      <c r="DO82" s="24"/>
      <c r="DP82" s="2008"/>
      <c r="DQ82" s="1980"/>
      <c r="DR82" s="1981"/>
      <c r="DS82" s="24"/>
      <c r="DT82" s="2008">
        <v>-39.415999999999997</v>
      </c>
      <c r="DU82" s="1980">
        <f>+(DT82/DT75-1)*100</f>
        <v>0.73347133839352097</v>
      </c>
      <c r="DV82" s="1981">
        <f>+DT82/BE82*100</f>
        <v>-37.410427008095972</v>
      </c>
      <c r="DW82" s="24"/>
      <c r="DX82" s="266">
        <f>+CT82+DA82+DH82+DT82</f>
        <v>17.347999999999999</v>
      </c>
      <c r="DY82" s="1990" t="s">
        <v>886</v>
      </c>
      <c r="DZ82" s="1981">
        <f>(+DX82/BI82)*100</f>
        <v>0.98126223537510315</v>
      </c>
      <c r="EA82" s="2005" t="str">
        <f>IF(EB82=DX82," ","no")</f>
        <v xml:space="preserve"> </v>
      </c>
      <c r="EB82" s="91">
        <f>DT82+DH82+DA82+CT82</f>
        <v>17.347999999999999</v>
      </c>
      <c r="EC82" s="24"/>
      <c r="ED82" s="24"/>
      <c r="EE82" s="24"/>
      <c r="EG82" s="2008"/>
      <c r="EH82" s="1980"/>
      <c r="EI82" s="2008"/>
      <c r="EJ82" s="1980"/>
    </row>
    <row r="83" spans="1:140" hidden="1" outlineLevel="1">
      <c r="A83" s="113" t="str">
        <f>+qtrSales!A106</f>
        <v>4Q</v>
      </c>
      <c r="B83" s="24" t="str">
        <f>+qtrSales!B106</f>
        <v>Jan</v>
      </c>
      <c r="C83" s="24"/>
      <c r="D83" s="24"/>
      <c r="E83" s="302">
        <f>2647-SUM(E80:E82)</f>
        <v>980.37000000000012</v>
      </c>
      <c r="F83" s="307"/>
      <c r="G83" s="1980">
        <f>+(E83/E76-1)*100</f>
        <v>8.5254412717038264</v>
      </c>
      <c r="H83" s="1981">
        <f>+E83/$BI83*100</f>
        <v>33.059057949877783</v>
      </c>
      <c r="I83" s="1981"/>
      <c r="J83" s="1981"/>
      <c r="K83" s="302">
        <f>939-SUM(K80:K82)</f>
        <v>301.63099999999997</v>
      </c>
      <c r="L83" s="1980">
        <f>+(K83/K76-1)*100</f>
        <v>13.474886480345205</v>
      </c>
      <c r="M83" s="1981">
        <f>+K83/$BI83*100</f>
        <v>10.17129931401367</v>
      </c>
      <c r="N83" s="1981"/>
      <c r="O83" s="1981"/>
      <c r="P83" s="1981"/>
      <c r="Q83" s="24"/>
      <c r="R83" s="1022">
        <f>+E83+K83</f>
        <v>1282.0010000000002</v>
      </c>
      <c r="S83" s="1980">
        <f>+(R83/R76-1)*100</f>
        <v>9.650708880160952</v>
      </c>
      <c r="T83" s="1980"/>
      <c r="U83" s="1981">
        <f>+R83/$BI83*100</f>
        <v>43.230357263891449</v>
      </c>
      <c r="V83" s="24"/>
      <c r="W83" s="302">
        <f>1781-SUM(W80:W82)</f>
        <v>777.125</v>
      </c>
      <c r="X83" s="307"/>
      <c r="Y83" s="307"/>
      <c r="Z83" s="307"/>
      <c r="AA83" s="307"/>
      <c r="AB83" s="307"/>
      <c r="AC83" s="1980">
        <f>+(W83/W76-1)*100</f>
        <v>1.2792760152689597</v>
      </c>
      <c r="AD83" s="1981">
        <f>+W83/$BI83*100</f>
        <v>26.205433060271904</v>
      </c>
      <c r="AE83" s="1981"/>
      <c r="AF83" s="1981"/>
      <c r="AG83" s="1981"/>
      <c r="AH83" s="1981"/>
      <c r="AI83" s="24"/>
      <c r="AJ83" s="24"/>
      <c r="AK83" s="388"/>
      <c r="AL83" s="2009">
        <f>2073-SUM(AL80:AL82)</f>
        <v>623</v>
      </c>
      <c r="AM83" s="388"/>
      <c r="AN83" s="388"/>
      <c r="AO83" s="2009">
        <f>638-SUM(AO80:AO82)</f>
        <v>182.72800000000001</v>
      </c>
      <c r="AP83" s="393">
        <f>+AL83+AO83</f>
        <v>805.72800000000007</v>
      </c>
      <c r="AQ83" s="1980">
        <f>+(AP83/AP76-1)*100</f>
        <v>-3.9648721741420978</v>
      </c>
      <c r="AR83" s="1981">
        <f>+AP83/$BI83*100</f>
        <v>27.169954857695689</v>
      </c>
      <c r="AS83" s="24"/>
      <c r="AT83" s="388"/>
      <c r="AU83" s="388"/>
      <c r="AV83" s="388"/>
      <c r="AW83" s="388"/>
      <c r="AX83" s="388"/>
      <c r="AY83" s="388"/>
      <c r="AZ83" s="388"/>
      <c r="BA83" s="388"/>
      <c r="BB83" s="388"/>
      <c r="BC83" s="302"/>
      <c r="BD83" s="1980" t="e">
        <f>+(BC83/BC76-1)*100</f>
        <v>#DIV/0!</v>
      </c>
      <c r="BE83" s="302">
        <f>367-SUM(BE80:BE82)</f>
        <v>100.65700000000004</v>
      </c>
      <c r="BF83" s="1980">
        <f>+(BE83/BE76-1)*100</f>
        <v>58.577392674281285</v>
      </c>
      <c r="BG83" s="1981">
        <f>+BE83/$BI83*100</f>
        <v>3.3942548181409551</v>
      </c>
      <c r="BH83" s="24"/>
      <c r="BI83" s="1022">
        <f>+R83+W83+AP83+BE83</f>
        <v>2965.5110000000004</v>
      </c>
      <c r="BJ83" s="325"/>
      <c r="BK83" s="2889">
        <f>+(BI83/BI76-1)*100</f>
        <v>4.4582054249025616</v>
      </c>
      <c r="BL83" s="1022">
        <f>+E83+K83+W83+AT83+AY83</f>
        <v>2059.1260000000002</v>
      </c>
      <c r="BM83" s="1980">
        <f>+(BL83/BL76-1)*100</f>
        <v>6.3336151165234611</v>
      </c>
      <c r="BN83" s="1981">
        <f>+BL83/$BW83*100</f>
        <v>71.875425414349209</v>
      </c>
      <c r="BO83" s="1022">
        <f>+AL83+AM83+AN83+AO83+AU83</f>
        <v>805.72800000000007</v>
      </c>
      <c r="BP83" s="1980">
        <f>+(BO83/BO76-1)*100</f>
        <v>16.062343349370511</v>
      </c>
      <c r="BQ83" s="1981">
        <f>+BO83/$BW83*100</f>
        <v>28.124574585650784</v>
      </c>
      <c r="BR83" s="24"/>
      <c r="BS83" s="1022">
        <f>+AK83+AV83+AW83+AX83</f>
        <v>0</v>
      </c>
      <c r="BT83" s="1980"/>
      <c r="BU83" s="1981">
        <f>+BS83/$BW83*100</f>
        <v>0</v>
      </c>
      <c r="BV83" s="24"/>
      <c r="BW83" s="1022">
        <f>+BL83+BO83+BS83</f>
        <v>2864.8540000000003</v>
      </c>
      <c r="BX83" s="1980">
        <f>+(BW83/BW76-1)*100</f>
        <v>2.4372731917827073</v>
      </c>
      <c r="BY83" s="24"/>
      <c r="BZ83" s="306"/>
      <c r="CA83" s="1980"/>
      <c r="CB83" s="1981"/>
      <c r="CC83" s="306"/>
      <c r="CD83" s="1980"/>
      <c r="CE83" s="1981"/>
      <c r="CF83" s="24"/>
      <c r="CG83" s="306"/>
      <c r="CH83" s="1980"/>
      <c r="CI83" s="1981"/>
      <c r="CJ83" s="24"/>
      <c r="CK83" s="306"/>
      <c r="CL83" s="1980"/>
      <c r="CM83" s="1981"/>
      <c r="CN83" s="24"/>
      <c r="CO83" s="67"/>
      <c r="CP83" s="1980"/>
      <c r="CQ83" s="1981"/>
      <c r="CR83" s="1981"/>
      <c r="CS83" s="24"/>
      <c r="CT83" s="2010">
        <f>614-SUM(CT80:CT82)</f>
        <v>311.327</v>
      </c>
      <c r="CU83" s="1980">
        <f>+(CT83/CT76-1)*100</f>
        <v>14.608880037402038</v>
      </c>
      <c r="CV83" s="1981">
        <f>+CT83/R83*100</f>
        <v>24.284458436459875</v>
      </c>
      <c r="CW83" s="2008"/>
      <c r="CX83" s="2008"/>
      <c r="CY83" s="2008"/>
      <c r="CZ83" s="24"/>
      <c r="DA83" s="2010">
        <f>300-SUM(DA80:DA82)</f>
        <v>238.72499999999999</v>
      </c>
      <c r="DB83" s="1980">
        <f>+(DA83/DA76-1)*100</f>
        <v>-10.737989029438044</v>
      </c>
      <c r="DC83" s="1981">
        <f>+DA83/W83*100</f>
        <v>30.718996300466461</v>
      </c>
      <c r="DD83" s="1981"/>
      <c r="DE83" s="1981"/>
      <c r="DF83" s="1981"/>
      <c r="DG83" s="1981"/>
      <c r="DH83" s="2010">
        <f>115-SUM(DH80:DH82)</f>
        <v>80.055999999999997</v>
      </c>
      <c r="DI83" s="1980">
        <f>+(DH83/DH76-1)*100</f>
        <v>-14.877509356924124</v>
      </c>
      <c r="DJ83" s="1981">
        <f>+DH83/AP83*100</f>
        <v>9.9358592477858529</v>
      </c>
      <c r="DK83" s="24"/>
      <c r="DL83" s="2010"/>
      <c r="DM83" s="1980"/>
      <c r="DN83" s="1981"/>
      <c r="DO83" s="24"/>
      <c r="DP83" s="2010"/>
      <c r="DQ83" s="1980"/>
      <c r="DR83" s="1981"/>
      <c r="DS83" s="24"/>
      <c r="DT83" s="2010">
        <f>-157-SUM(DT80:DT82)</f>
        <v>-42.272000000000006</v>
      </c>
      <c r="DU83" s="1980">
        <f>+(DT83/DT76-1)*100</f>
        <v>-5.4190719112184986</v>
      </c>
      <c r="DV83" s="1981">
        <f>+DT83/BE83*100</f>
        <v>-41.996085716840348</v>
      </c>
      <c r="DW83" s="24"/>
      <c r="DX83" s="1022">
        <f>+CT83+DA83+DH83+DT83</f>
        <v>587.83600000000001</v>
      </c>
      <c r="DY83" s="1980">
        <f>+(DX83/DX76-1)*100</f>
        <v>-0.10264427979064239</v>
      </c>
      <c r="DZ83" s="1981">
        <f>(+DX83/BI83)*100</f>
        <v>19.822418463462114</v>
      </c>
      <c r="EA83" s="2005" t="str">
        <f>IF(EB83=DX83," ","no")</f>
        <v xml:space="preserve"> </v>
      </c>
      <c r="EB83" s="91">
        <f>DT83+DH83+DA83+CT83</f>
        <v>587.83600000000001</v>
      </c>
      <c r="EC83" s="24"/>
      <c r="ED83" s="24"/>
      <c r="EE83" s="24"/>
      <c r="EG83" s="2010"/>
      <c r="EH83" s="1980"/>
      <c r="EI83" s="2010"/>
      <c r="EJ83" s="1980"/>
    </row>
    <row r="84" spans="1:140" hidden="1" outlineLevel="1">
      <c r="A84" s="113"/>
      <c r="B84" s="24" t="str">
        <f>+qtrSales!B107</f>
        <v>Year</v>
      </c>
      <c r="C84" s="24"/>
      <c r="D84" s="24"/>
      <c r="E84" s="266">
        <f>+SUM(E80:E83)</f>
        <v>2647</v>
      </c>
      <c r="F84" s="266"/>
      <c r="G84" s="1980">
        <f>+(E84/E77-1)*100</f>
        <v>10.15140720815495</v>
      </c>
      <c r="H84" s="1981">
        <f>+E84/$BI84*100</f>
        <v>31.34399052693902</v>
      </c>
      <c r="I84" s="1981"/>
      <c r="J84" s="1981"/>
      <c r="K84" s="266">
        <f>+SUM(K80:K83)</f>
        <v>939</v>
      </c>
      <c r="L84" s="1980">
        <f>+(K84/K77-1)*100</f>
        <v>8.0459108822598768</v>
      </c>
      <c r="M84" s="1981">
        <f>+K84/$BI84*100</f>
        <v>11.119005328596803</v>
      </c>
      <c r="N84" s="1981"/>
      <c r="O84" s="1981"/>
      <c r="P84" s="1981"/>
      <c r="Q84" s="24"/>
      <c r="R84" s="266">
        <f>+SUM(R80:R83)</f>
        <v>3586</v>
      </c>
      <c r="S84" s="1980">
        <f>+(R84/R77-1)*100</f>
        <v>9.5921893102690383</v>
      </c>
      <c r="T84" s="1980"/>
      <c r="U84" s="1981">
        <f>+R84/$BI84*100</f>
        <v>42.462995855535816</v>
      </c>
      <c r="V84" s="24"/>
      <c r="W84" s="266">
        <f>+SUM(W80:W83)</f>
        <v>1781</v>
      </c>
      <c r="X84" s="266"/>
      <c r="Y84" s="266"/>
      <c r="Z84" s="266"/>
      <c r="AA84" s="266"/>
      <c r="AB84" s="266"/>
      <c r="AC84" s="1980">
        <f>+(W84/W77-1)*100</f>
        <v>1.9712923043450958</v>
      </c>
      <c r="AD84" s="1981">
        <f>+W84/$BI84*100</f>
        <v>21.08940201302546</v>
      </c>
      <c r="AE84" s="1981"/>
      <c r="AF84" s="1981"/>
      <c r="AG84" s="1981"/>
      <c r="AH84" s="1981"/>
      <c r="AI84" s="24"/>
      <c r="AJ84" s="24"/>
      <c r="AK84" s="388"/>
      <c r="AL84" s="266">
        <f>+SUM(AL80:AL83)</f>
        <v>2073</v>
      </c>
      <c r="AM84" s="388"/>
      <c r="AN84" s="388"/>
      <c r="AO84" s="266">
        <f>+SUM(AO80:AO83)</f>
        <v>638</v>
      </c>
      <c r="AP84" s="266">
        <f>+SUM(AP80:AP83)</f>
        <v>2711</v>
      </c>
      <c r="AQ84" s="1980">
        <f>+(AP84/AP77-1)*100</f>
        <v>1.8540365156677119</v>
      </c>
      <c r="AR84" s="1981">
        <f>+AP84/$BI84*100</f>
        <v>32.101835405565424</v>
      </c>
      <c r="AS84" s="24"/>
      <c r="AT84" s="388"/>
      <c r="AU84" s="388"/>
      <c r="AV84" s="388"/>
      <c r="AW84" s="388"/>
      <c r="AX84" s="388"/>
      <c r="AY84" s="388"/>
      <c r="AZ84" s="388"/>
      <c r="BA84" s="388"/>
      <c r="BB84" s="388"/>
      <c r="BC84" s="266"/>
      <c r="BD84" s="1980" t="e">
        <f>+(BC84/BC77-1)*100</f>
        <v>#DIV/0!</v>
      </c>
      <c r="BE84" s="266">
        <f>+SUM(BE80:BE83)</f>
        <v>367</v>
      </c>
      <c r="BF84" s="1980">
        <f>+(BE84/BE77-1)*100</f>
        <v>48.534887485834545</v>
      </c>
      <c r="BG84" s="1981">
        <f>+BE84/$BI84*100</f>
        <v>4.3457667258732977</v>
      </c>
      <c r="BH84" s="24"/>
      <c r="BI84" s="266">
        <f>+E84+K84+W84+AP84+BE84</f>
        <v>8445</v>
      </c>
      <c r="BJ84" s="266"/>
      <c r="BK84" s="2889">
        <f>+(BI84/BI77-1)*100</f>
        <v>6.5288095150094705</v>
      </c>
      <c r="BL84" s="266">
        <f>+E84+K84+W84+AT84+AY84</f>
        <v>5367</v>
      </c>
      <c r="BM84" s="1980">
        <f>+(BL84/BL77-1)*100</f>
        <v>6.9400229262512436</v>
      </c>
      <c r="BN84" s="1981">
        <f>+BL84/$BW84*100</f>
        <v>66.439712800198066</v>
      </c>
      <c r="BO84" s="266">
        <f>+AL84+AM84+AN84+AO84+AU84</f>
        <v>2711</v>
      </c>
      <c r="BP84" s="1980">
        <f>+(BO84/BO77-1)*100</f>
        <v>24.291661317830894</v>
      </c>
      <c r="BQ84" s="1981">
        <f>+BO84/$BW84*100</f>
        <v>33.560287199801934</v>
      </c>
      <c r="BR84" s="24"/>
      <c r="BS84" s="266">
        <f>+AK84+AV84+AW84+AX84</f>
        <v>0</v>
      </c>
      <c r="BT84" s="1980"/>
      <c r="BU84" s="1981">
        <f>+BS84/$BW84*100</f>
        <v>0</v>
      </c>
      <c r="BV84" s="24"/>
      <c r="BW84" s="266">
        <f>+BL84+BO84+BS84</f>
        <v>8078</v>
      </c>
      <c r="BX84" s="1980">
        <f>+(BW84/BW77-1)*100</f>
        <v>4.887650238769381</v>
      </c>
      <c r="BY84" s="24"/>
      <c r="BZ84" s="389"/>
      <c r="CA84" s="1980"/>
      <c r="CB84" s="1981"/>
      <c r="CC84" s="389"/>
      <c r="CD84" s="1980"/>
      <c r="CE84" s="1981"/>
      <c r="CF84" s="24"/>
      <c r="CG84" s="389"/>
      <c r="CH84" s="1980"/>
      <c r="CI84" s="1981"/>
      <c r="CJ84" s="24"/>
      <c r="CK84" s="389"/>
      <c r="CL84" s="1980"/>
      <c r="CM84" s="1981"/>
      <c r="CN84" s="24"/>
      <c r="CO84" s="24"/>
      <c r="CP84" s="1980"/>
      <c r="CQ84" s="1981"/>
      <c r="CR84" s="1981"/>
      <c r="CS84" s="24"/>
      <c r="CT84" s="266">
        <f>+SUM(CT80:CT83)</f>
        <v>614</v>
      </c>
      <c r="CU84" s="1980">
        <f>+(CT84/CT77-1)*100</f>
        <v>35.362148863090241</v>
      </c>
      <c r="CV84" s="1981">
        <f>+CT84/R84*100</f>
        <v>17.122141662018965</v>
      </c>
      <c r="CW84" s="266"/>
      <c r="CX84" s="266"/>
      <c r="CY84" s="266"/>
      <c r="CZ84" s="24"/>
      <c r="DA84" s="266">
        <f>+SUM(DA80:DA83)</f>
        <v>300</v>
      </c>
      <c r="DB84" s="1980">
        <f>+(DA84/DA77-1)*100</f>
        <v>-13.552889782816047</v>
      </c>
      <c r="DC84" s="1981">
        <f>+DA84/W84*100</f>
        <v>16.844469399213924</v>
      </c>
      <c r="DD84" s="1981"/>
      <c r="DE84" s="1981"/>
      <c r="DF84" s="1981"/>
      <c r="DG84" s="1981"/>
      <c r="DH84" s="266">
        <f>+SUM(DH80:DH83)</f>
        <v>115</v>
      </c>
      <c r="DI84" s="1980">
        <f>+(DH84/DH77-1)*100</f>
        <v>108.21640021002699</v>
      </c>
      <c r="DJ84" s="1981">
        <f>+DH84/AP84*100</f>
        <v>4.2419771302102545</v>
      </c>
      <c r="DK84" s="24"/>
      <c r="DL84" s="91"/>
      <c r="DM84" s="1980"/>
      <c r="DN84" s="1981"/>
      <c r="DO84" s="24"/>
      <c r="DP84" s="91"/>
      <c r="DQ84" s="1980"/>
      <c r="DR84" s="1981"/>
      <c r="DS84" s="24"/>
      <c r="DT84" s="91">
        <f>+SUM(DT80:DT83)</f>
        <v>-157</v>
      </c>
      <c r="DU84" s="1980">
        <f>+(DT84/DT77-1)*100</f>
        <v>-6.4663338377399349</v>
      </c>
      <c r="DV84" s="1981">
        <f>+DT84/BE84*100</f>
        <v>-42.779291553133511</v>
      </c>
      <c r="DW84" s="24"/>
      <c r="DX84" s="266">
        <f>+SUM(DX80:DX83)</f>
        <v>872</v>
      </c>
      <c r="DY84" s="1980">
        <f>+(DX84/DX77-1)*100</f>
        <v>26.742712294043081</v>
      </c>
      <c r="DZ84" s="1981">
        <f>(+DX84/BI84)*100</f>
        <v>10.325636471284785</v>
      </c>
      <c r="EA84" s="2005"/>
      <c r="EB84" s="24"/>
      <c r="EC84" s="389">
        <v>-34</v>
      </c>
      <c r="ED84" s="24"/>
      <c r="EE84" s="266">
        <f>+DX84+EC84</f>
        <v>838</v>
      </c>
      <c r="EG84" s="91"/>
      <c r="EH84" s="1980"/>
      <c r="EI84" s="91"/>
      <c r="EJ84" s="1980"/>
    </row>
    <row r="85" spans="1:140" hidden="1" outlineLevel="1" collapsed="1">
      <c r="A85" s="113"/>
      <c r="B85" s="24"/>
      <c r="C85" s="24"/>
      <c r="D85" s="24"/>
      <c r="E85" s="24"/>
      <c r="F85" s="24"/>
      <c r="G85" s="24"/>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c r="AU85" s="24"/>
      <c r="AV85" s="24"/>
      <c r="AW85" s="24"/>
      <c r="AX85" s="24"/>
      <c r="AY85" s="24"/>
      <c r="AZ85" s="24"/>
      <c r="BA85" s="24"/>
      <c r="BB85" s="24"/>
      <c r="BC85" s="24"/>
      <c r="BD85" s="24"/>
      <c r="BE85" s="24"/>
      <c r="BF85" s="24"/>
      <c r="BG85" s="24"/>
      <c r="BH85" s="24"/>
      <c r="BI85" s="24"/>
      <c r="BJ85" s="24"/>
      <c r="BK85" s="78"/>
      <c r="BL85" s="24"/>
      <c r="BM85" s="24"/>
      <c r="BN85" s="24"/>
      <c r="BO85" s="24"/>
      <c r="BP85" s="24"/>
      <c r="BQ85" s="24"/>
      <c r="BR85" s="24"/>
      <c r="BS85" s="24"/>
      <c r="BT85" s="24"/>
      <c r="BU85" s="24"/>
      <c r="BV85" s="24"/>
      <c r="BW85" s="24"/>
      <c r="BX85" s="24"/>
      <c r="BY85" s="24"/>
      <c r="BZ85" s="24"/>
      <c r="CA85" s="24"/>
      <c r="CB85" s="24"/>
      <c r="CC85" s="24"/>
      <c r="CD85" s="24"/>
      <c r="CE85" s="24"/>
      <c r="CF85" s="24"/>
      <c r="CG85" s="24"/>
      <c r="CH85" s="24"/>
      <c r="CI85" s="24"/>
      <c r="CJ85" s="24"/>
      <c r="CK85" s="24"/>
      <c r="CL85" s="24"/>
      <c r="CM85" s="24"/>
      <c r="CN85" s="24"/>
      <c r="CO85" s="24"/>
      <c r="CP85" s="24"/>
      <c r="CQ85" s="24"/>
      <c r="CR85" s="24"/>
      <c r="CS85" s="24"/>
      <c r="CT85" s="24"/>
      <c r="CU85" s="24"/>
      <c r="CV85" s="24"/>
      <c r="CW85" s="24"/>
      <c r="CX85" s="24"/>
      <c r="CY85" s="24"/>
      <c r="CZ85" s="24"/>
      <c r="DA85" s="24"/>
      <c r="DB85" s="24"/>
      <c r="DC85" s="24"/>
      <c r="DD85" s="24"/>
      <c r="DE85" s="24"/>
      <c r="DF85" s="24"/>
      <c r="DG85" s="24"/>
      <c r="DH85" s="428"/>
      <c r="DI85" s="24"/>
      <c r="DJ85" s="24"/>
      <c r="DK85" s="24"/>
      <c r="DL85" s="24"/>
      <c r="DM85" s="24"/>
      <c r="DN85" s="24"/>
      <c r="DO85" s="24"/>
      <c r="DP85" s="24"/>
      <c r="DQ85" s="24"/>
      <c r="DR85" s="24"/>
      <c r="DS85" s="24"/>
      <c r="DT85" s="24"/>
      <c r="DU85" s="24"/>
      <c r="DV85" s="24"/>
      <c r="DW85" s="24"/>
      <c r="DX85" s="24"/>
      <c r="DY85" s="24"/>
      <c r="DZ85" s="24"/>
      <c r="EA85" s="2007"/>
      <c r="EB85" s="24"/>
      <c r="EC85" s="24"/>
      <c r="ED85" s="24"/>
      <c r="EE85" s="24"/>
      <c r="EG85" s="24"/>
      <c r="EH85" s="24"/>
      <c r="EI85" s="24"/>
      <c r="EJ85" s="24"/>
    </row>
    <row r="86" spans="1:140" hidden="1" outlineLevel="1">
      <c r="A86" s="113"/>
      <c r="B86" s="136">
        <f>+qtrSales!B109</f>
        <v>2003</v>
      </c>
      <c r="C86" s="24"/>
      <c r="D86" s="24"/>
      <c r="E86" s="24"/>
      <c r="F86" s="24"/>
      <c r="G86" s="1980"/>
      <c r="H86" s="1981"/>
      <c r="I86" s="1981"/>
      <c r="J86" s="1981"/>
      <c r="K86" s="24"/>
      <c r="L86" s="1980"/>
      <c r="M86" s="1981"/>
      <c r="N86" s="1981"/>
      <c r="O86" s="1981"/>
      <c r="P86" s="1981"/>
      <c r="Q86" s="24"/>
      <c r="R86" s="24"/>
      <c r="S86" s="1980"/>
      <c r="T86" s="1980"/>
      <c r="U86" s="1981"/>
      <c r="V86" s="24"/>
      <c r="W86" s="24"/>
      <c r="X86" s="24"/>
      <c r="Y86" s="24"/>
      <c r="Z86" s="24"/>
      <c r="AA86" s="24"/>
      <c r="AB86" s="24"/>
      <c r="AC86" s="1980"/>
      <c r="AD86" s="1981"/>
      <c r="AE86" s="1981"/>
      <c r="AF86" s="1981"/>
      <c r="AG86" s="1981"/>
      <c r="AH86" s="1981"/>
      <c r="AI86" s="24"/>
      <c r="AJ86" s="399"/>
      <c r="AK86" s="24"/>
      <c r="AL86" s="1980"/>
      <c r="AM86" s="24"/>
      <c r="AN86" s="24"/>
      <c r="AO86" s="1980"/>
      <c r="AP86" s="24"/>
      <c r="AQ86" s="1980"/>
      <c r="AR86" s="1981"/>
      <c r="AS86" s="24"/>
      <c r="AT86" s="24"/>
      <c r="AU86" s="24"/>
      <c r="AV86" s="24"/>
      <c r="AW86" s="24"/>
      <c r="AX86" s="24"/>
      <c r="AY86" s="24"/>
      <c r="AZ86" s="24"/>
      <c r="BA86" s="24"/>
      <c r="BB86" s="24"/>
      <c r="BC86" s="24"/>
      <c r="BD86" s="1980"/>
      <c r="BE86" s="24"/>
      <c r="BF86" s="1980"/>
      <c r="BG86" s="1981"/>
      <c r="BH86" s="24"/>
      <c r="BI86" s="24"/>
      <c r="BJ86" s="24"/>
      <c r="BK86" s="2889"/>
      <c r="BL86" s="389"/>
      <c r="BM86" s="1988"/>
      <c r="BN86" s="1989"/>
      <c r="BO86" s="389"/>
      <c r="BP86" s="389"/>
      <c r="BQ86" s="389"/>
      <c r="BR86" s="389"/>
      <c r="BS86" s="389"/>
      <c r="BT86" s="389"/>
      <c r="BU86" s="389"/>
      <c r="BV86" s="389"/>
      <c r="BW86" s="266"/>
      <c r="BX86" s="24"/>
      <c r="BY86" s="24"/>
      <c r="BZ86" s="389"/>
      <c r="CA86" s="1988"/>
      <c r="CB86" s="1989"/>
      <c r="CC86" s="389"/>
      <c r="CD86" s="389"/>
      <c r="CE86" s="389"/>
      <c r="CF86" s="389"/>
      <c r="CG86" s="389"/>
      <c r="CH86" s="389"/>
      <c r="CI86" s="389"/>
      <c r="CJ86" s="389"/>
      <c r="CK86" s="389"/>
      <c r="CL86" s="389"/>
      <c r="CM86" s="389"/>
      <c r="CN86" s="389"/>
      <c r="CO86" s="266"/>
      <c r="CP86" s="24"/>
      <c r="CQ86" s="24"/>
      <c r="CR86" s="24"/>
      <c r="CS86" s="24"/>
      <c r="CT86" s="24"/>
      <c r="CU86" s="24"/>
      <c r="CV86" s="24"/>
      <c r="CW86" s="24"/>
      <c r="CX86" s="24"/>
      <c r="CY86" s="24"/>
      <c r="CZ86" s="24"/>
      <c r="DA86" s="24"/>
      <c r="DB86" s="24"/>
      <c r="DC86" s="24"/>
      <c r="DD86" s="24"/>
      <c r="DE86" s="24"/>
      <c r="DF86" s="24"/>
      <c r="DG86" s="24"/>
      <c r="DH86" s="24"/>
      <c r="DI86" s="24"/>
      <c r="DJ86" s="24"/>
      <c r="DK86" s="24"/>
      <c r="DL86" s="24"/>
      <c r="DM86" s="24"/>
      <c r="DN86" s="24"/>
      <c r="DO86" s="24"/>
      <c r="DP86" s="24"/>
      <c r="DQ86" s="24"/>
      <c r="DR86" s="24"/>
      <c r="DS86" s="24"/>
      <c r="DT86" s="24"/>
      <c r="DU86" s="24"/>
      <c r="DV86" s="24"/>
      <c r="DW86" s="24"/>
      <c r="DX86" s="24"/>
      <c r="DY86" s="24"/>
      <c r="DZ86" s="1981"/>
      <c r="EA86" s="2007"/>
      <c r="EB86" s="24"/>
      <c r="EC86" s="24"/>
      <c r="ED86" s="24"/>
      <c r="EE86" s="24"/>
      <c r="EG86" s="24"/>
      <c r="EH86" s="24"/>
      <c r="EI86" s="24"/>
      <c r="EJ86" s="24"/>
    </row>
    <row r="87" spans="1:140" hidden="1" outlineLevel="1">
      <c r="A87" s="113" t="str">
        <f>+qtrSales!A110</f>
        <v>1Q</v>
      </c>
      <c r="B87" s="24" t="str">
        <f>+qtrSales!B110</f>
        <v>Apr</v>
      </c>
      <c r="C87" s="24"/>
      <c r="D87" s="24"/>
      <c r="E87" s="1982">
        <v>561.79999999999995</v>
      </c>
      <c r="F87" s="1982"/>
      <c r="G87" s="1980">
        <f>+(E87/E80-1)*100</f>
        <v>4.7606616070263064</v>
      </c>
      <c r="H87" s="1981">
        <f>+E87/$BI87*100</f>
        <v>30.494540239711622</v>
      </c>
      <c r="I87" s="1981"/>
      <c r="J87" s="1981"/>
      <c r="K87" s="1982">
        <v>229.5</v>
      </c>
      <c r="L87" s="1980">
        <f>+(K87/K80-1)*100</f>
        <v>1.6512233580780578</v>
      </c>
      <c r="M87" s="1981">
        <f>+K87/$BI87*100</f>
        <v>12.457274804225376</v>
      </c>
      <c r="N87" s="1981"/>
      <c r="O87" s="1981"/>
      <c r="P87" s="1981"/>
      <c r="Q87" s="24"/>
      <c r="R87" s="1982">
        <v>791.26</v>
      </c>
      <c r="S87" s="1980">
        <f>+(R87/R80-1)*100</f>
        <v>3.834171869791958</v>
      </c>
      <c r="T87" s="1980"/>
      <c r="U87" s="1981">
        <f>+R87/$BI87*100</f>
        <v>42.949643841356739</v>
      </c>
      <c r="V87" s="24"/>
      <c r="W87" s="1982">
        <v>321.35399999999998</v>
      </c>
      <c r="X87" s="1982"/>
      <c r="Y87" s="1982"/>
      <c r="Z87" s="1982"/>
      <c r="AA87" s="1982"/>
      <c r="AB87" s="1982"/>
      <c r="AC87" s="1980">
        <f>+(W87/W80-1)*100</f>
        <v>0.33627141505634395</v>
      </c>
      <c r="AD87" s="1981">
        <f>+W87/$BI87*100</f>
        <v>17.443115849398875</v>
      </c>
      <c r="AE87" s="1981"/>
      <c r="AF87" s="1981"/>
      <c r="AG87" s="1981"/>
      <c r="AH87" s="1981"/>
      <c r="AI87" s="24"/>
      <c r="AJ87" s="24"/>
      <c r="AK87" s="2011">
        <f>0.75*2.1</f>
        <v>1.5750000000000002</v>
      </c>
      <c r="AL87" s="1982">
        <v>472.6</v>
      </c>
      <c r="AM87" s="1982"/>
      <c r="AN87" s="1982"/>
      <c r="AO87" s="1982">
        <v>143</v>
      </c>
      <c r="AP87" s="1982">
        <v>615.61300000000006</v>
      </c>
      <c r="AQ87" s="1980">
        <f>+(AP87/AP80-1)*100</f>
        <v>-3.4904793706633352</v>
      </c>
      <c r="AR87" s="1981">
        <f>+AP87/$BI87*100</f>
        <v>33.415513350996065</v>
      </c>
      <c r="AS87" s="24"/>
      <c r="AT87" s="1982"/>
      <c r="AU87" s="1982"/>
      <c r="AV87" s="1982"/>
      <c r="AW87" s="1982"/>
      <c r="AX87" s="1982"/>
      <c r="AY87" s="1982"/>
      <c r="AZ87" s="1982"/>
      <c r="BA87" s="1982"/>
      <c r="BB87" s="1982"/>
      <c r="BC87" s="1982"/>
      <c r="BD87" s="1980" t="e">
        <f>+(BC87/BC80-1)*100</f>
        <v>#DIV/0!</v>
      </c>
      <c r="BE87" s="1982">
        <v>114.07</v>
      </c>
      <c r="BF87" s="1980">
        <f>+(BE87/BE80-1)*100</f>
        <v>45.462196661523379</v>
      </c>
      <c r="BG87" s="1981">
        <f>+BE87/$BI87*100</f>
        <v>6.1917269582483172</v>
      </c>
      <c r="BH87" s="24"/>
      <c r="BI87" s="381">
        <f>+R87+W87+AP87+BE87</f>
        <v>1842.297</v>
      </c>
      <c r="BJ87" s="381"/>
      <c r="BK87" s="2889">
        <f>+(BI87/BI80-1)*100</f>
        <v>2.428589537733461</v>
      </c>
      <c r="BL87" s="381">
        <f>+E87+K87+W87+AT87+AY87</f>
        <v>1112.654</v>
      </c>
      <c r="BM87" s="1980">
        <f>+(BL87/BL80-1)*100</f>
        <v>2.802778108857007</v>
      </c>
      <c r="BN87" s="1981">
        <f>+BL87/$BW87*100</f>
        <v>64.321617917146725</v>
      </c>
      <c r="BO87" s="381">
        <f>+AL87+AM87+AN87+AO87+AU87</f>
        <v>615.6</v>
      </c>
      <c r="BP87" s="1980">
        <f>+(BO87/BO80-1)*100</f>
        <v>-3.4925173779311924</v>
      </c>
      <c r="BQ87" s="1981">
        <f>+BO87/$BW87*100</f>
        <v>35.587332620738813</v>
      </c>
      <c r="BR87" s="389"/>
      <c r="BS87" s="381">
        <f>+AK87+AV87+AW87+AX87</f>
        <v>1.5750000000000002</v>
      </c>
      <c r="BT87" s="1980"/>
      <c r="BU87" s="1981">
        <f>+BS87/$BW87*100</f>
        <v>9.1049462114463353E-2</v>
      </c>
      <c r="BV87" s="389"/>
      <c r="BW87" s="381">
        <f>+BL87+BO87+BS87</f>
        <v>1729.829</v>
      </c>
      <c r="BX87" s="1980">
        <f>+(BW87/BW80-1)*100</f>
        <v>0.55993586781049043</v>
      </c>
      <c r="BY87" s="24"/>
      <c r="BZ87" s="390"/>
      <c r="CA87" s="1980"/>
      <c r="CB87" s="1981"/>
      <c r="CC87" s="390"/>
      <c r="CD87" s="1980"/>
      <c r="CE87" s="1981"/>
      <c r="CF87" s="389"/>
      <c r="CG87" s="390"/>
      <c r="CH87" s="1980"/>
      <c r="CI87" s="1981"/>
      <c r="CJ87" s="24"/>
      <c r="CK87" s="390"/>
      <c r="CL87" s="1980"/>
      <c r="CM87" s="1981"/>
      <c r="CN87" s="24"/>
      <c r="CO87" s="165"/>
      <c r="CP87" s="1980"/>
      <c r="CQ87" s="1981"/>
      <c r="CR87" s="1981"/>
      <c r="CS87" s="24"/>
      <c r="CT87" s="1982">
        <v>110.943</v>
      </c>
      <c r="CU87" s="1980">
        <f>+(CT87/CT80-1)*100</f>
        <v>10.430602006688972</v>
      </c>
      <c r="CV87" s="1981">
        <f>+CT87/R87*100</f>
        <v>14.021055026160806</v>
      </c>
      <c r="CW87" s="1982"/>
      <c r="CX87" s="1982"/>
      <c r="CY87" s="1982"/>
      <c r="CZ87" s="24"/>
      <c r="DA87" s="1982">
        <v>16.481999999999999</v>
      </c>
      <c r="DB87" s="1980">
        <f>+(DA87/DA80-1)*100</f>
        <v>-40.405683913656574</v>
      </c>
      <c r="DC87" s="1981">
        <f>+DA87/W87*100</f>
        <v>5.128923243525831</v>
      </c>
      <c r="DD87" s="1981"/>
      <c r="DE87" s="1981"/>
      <c r="DF87" s="1981"/>
      <c r="DG87" s="1981"/>
      <c r="DH87" s="1982">
        <v>14.47</v>
      </c>
      <c r="DI87" s="1980">
        <f>+(DH87/DH80-1)*100</f>
        <v>-57.926261921377062</v>
      </c>
      <c r="DJ87" s="1981">
        <f>+DH87/AP87*100</f>
        <v>2.3505026696967088</v>
      </c>
      <c r="DK87" s="24"/>
      <c r="DL87" s="1982"/>
      <c r="DM87" s="1980"/>
      <c r="DN87" s="1981"/>
      <c r="DO87" s="24"/>
      <c r="DP87" s="1982"/>
      <c r="DQ87" s="1980"/>
      <c r="DR87" s="1981"/>
      <c r="DS87" s="24"/>
      <c r="DT87" s="1982">
        <v>-32.844000000000001</v>
      </c>
      <c r="DU87" s="1980">
        <f>+(DT87/DT80-1)*100</f>
        <v>-4.4399185336048808</v>
      </c>
      <c r="DV87" s="1981">
        <f>+DT87/BE87*100</f>
        <v>-28.792846497764536</v>
      </c>
      <c r="DW87" s="24"/>
      <c r="DX87" s="381">
        <f>+CT87+DA87+DH87+DT87</f>
        <v>109.05100000000002</v>
      </c>
      <c r="DY87" s="1980">
        <f>+(DX87/DX80-1)*100</f>
        <v>-14.898980045730148</v>
      </c>
      <c r="DZ87" s="1981">
        <f>(+DX87/BI87)*100</f>
        <v>5.9192953144905527</v>
      </c>
      <c r="EA87" s="2005" t="str">
        <f>IF(EB87=DX87," ","no")</f>
        <v xml:space="preserve"> </v>
      </c>
      <c r="EB87" s="91">
        <f>DT87+DH87+DA87+CT87</f>
        <v>109.05099999999999</v>
      </c>
      <c r="EC87" s="24"/>
      <c r="ED87" s="24"/>
      <c r="EE87" s="24"/>
      <c r="EG87" s="1982"/>
      <c r="EH87" s="1980"/>
      <c r="EI87" s="1982"/>
      <c r="EJ87" s="1980"/>
    </row>
    <row r="88" spans="1:140" hidden="1" outlineLevel="1">
      <c r="A88" s="113" t="str">
        <f>+qtrSales!A111</f>
        <v>2Q</v>
      </c>
      <c r="B88" s="24" t="str">
        <f>+qtrSales!B111</f>
        <v>Jul</v>
      </c>
      <c r="C88" s="24"/>
      <c r="D88" s="24"/>
      <c r="E88" s="388">
        <v>669</v>
      </c>
      <c r="F88" s="388"/>
      <c r="G88" s="1980">
        <f>+(E88/E81-1)*100</f>
        <v>8.7339885544880822</v>
      </c>
      <c r="H88" s="1981">
        <f>+E88/$BI88*100</f>
        <v>33.215729460117785</v>
      </c>
      <c r="I88" s="1981"/>
      <c r="J88" s="1981"/>
      <c r="K88" s="388">
        <v>260.3</v>
      </c>
      <c r="L88" s="1980">
        <f>+(K88/K81-1)*100</f>
        <v>4.4576069857780398</v>
      </c>
      <c r="M88" s="1981">
        <f>+K88/$BI88*100</f>
        <v>12.923848099355247</v>
      </c>
      <c r="N88" s="1981"/>
      <c r="O88" s="1981"/>
      <c r="P88" s="1981"/>
      <c r="Q88" s="24"/>
      <c r="R88" s="388">
        <v>929.31200000000001</v>
      </c>
      <c r="S88" s="1980">
        <f>+(R88/R81-1)*100</f>
        <v>7.5026461759142959</v>
      </c>
      <c r="T88" s="1980"/>
      <c r="U88" s="1981">
        <f>+R88/$BI88*100</f>
        <v>46.140173357310886</v>
      </c>
      <c r="V88" s="24"/>
      <c r="W88" s="388">
        <v>393.303</v>
      </c>
      <c r="X88" s="388"/>
      <c r="Y88" s="388"/>
      <c r="Z88" s="388"/>
      <c r="AA88" s="388"/>
      <c r="AB88" s="388"/>
      <c r="AC88" s="1980">
        <f>+(W88/W81-1)*100</f>
        <v>5.0805932346033922</v>
      </c>
      <c r="AD88" s="1981">
        <f>+W88/$BI88*100</f>
        <v>19.527423084981624</v>
      </c>
      <c r="AE88" s="1981"/>
      <c r="AF88" s="1981"/>
      <c r="AG88" s="1981"/>
      <c r="AH88" s="1981"/>
      <c r="AI88" s="24"/>
      <c r="AJ88" s="24"/>
      <c r="AK88" s="388"/>
      <c r="AL88" s="388">
        <v>454.7</v>
      </c>
      <c r="AM88" s="388"/>
      <c r="AN88" s="388"/>
      <c r="AO88" s="388">
        <v>134.19999999999999</v>
      </c>
      <c r="AP88" s="388">
        <v>588.92100000000005</v>
      </c>
      <c r="AQ88" s="1980">
        <f>+(AP88/AP81-1)*100</f>
        <v>-0.45973825343408325</v>
      </c>
      <c r="AR88" s="1981">
        <f>+AP88/$BI88*100</f>
        <v>29.239821538687639</v>
      </c>
      <c r="AS88" s="24"/>
      <c r="AT88" s="388"/>
      <c r="AU88" s="388"/>
      <c r="AV88" s="388"/>
      <c r="AW88" s="388"/>
      <c r="AX88" s="388"/>
      <c r="AY88" s="388"/>
      <c r="AZ88" s="388"/>
      <c r="BA88" s="388"/>
      <c r="BB88" s="388"/>
      <c r="BC88" s="388"/>
      <c r="BD88" s="1980" t="e">
        <f>+(BC88/BC81-1)*100</f>
        <v>#DIV/0!</v>
      </c>
      <c r="BE88" s="388">
        <v>102.57</v>
      </c>
      <c r="BF88" s="1980">
        <f>+(BE88/BE81-1)*100</f>
        <v>24.232404345772316</v>
      </c>
      <c r="BG88" s="1981">
        <f>+BE88/$BI88*100</f>
        <v>5.0925820190198525</v>
      </c>
      <c r="BH88" s="24"/>
      <c r="BI88" s="266">
        <f>+R88+W88+AP88+BE88</f>
        <v>2014.106</v>
      </c>
      <c r="BJ88" s="266"/>
      <c r="BK88" s="2889">
        <f>+(BI88/BI81-1)*100</f>
        <v>5.2881785476432741</v>
      </c>
      <c r="BL88" s="266">
        <f>+E88+K88+W88+AT88+AY88</f>
        <v>1322.6030000000001</v>
      </c>
      <c r="BM88" s="1980">
        <f>+(BL88/BL81-1)*100</f>
        <v>6.7698519950078362</v>
      </c>
      <c r="BN88" s="1981">
        <f>+BL88/$BW88*100</f>
        <v>69.191782592023131</v>
      </c>
      <c r="BO88" s="266">
        <f>+AL88+AM88+AN88+AO88+AU88</f>
        <v>588.9</v>
      </c>
      <c r="BP88" s="1980">
        <f>+(BO88/BO81-1)*100</f>
        <v>-0.46328770318486701</v>
      </c>
      <c r="BQ88" s="1981">
        <f>+BO88/$BW88*100</f>
        <v>30.808217407976862</v>
      </c>
      <c r="BR88" s="389"/>
      <c r="BS88" s="266">
        <f>+AK88+AV88+AW88+AX88</f>
        <v>0</v>
      </c>
      <c r="BT88" s="1980"/>
      <c r="BU88" s="1981">
        <f>+BS88/$BW88*100</f>
        <v>0</v>
      </c>
      <c r="BV88" s="389"/>
      <c r="BW88" s="266">
        <f>+BL88+BO88+BS88</f>
        <v>1911.5030000000002</v>
      </c>
      <c r="BX88" s="1980">
        <f>+(BW88/BW81-1)*100</f>
        <v>4.4318593430992426</v>
      </c>
      <c r="BY88" s="24"/>
      <c r="BZ88" s="389"/>
      <c r="CA88" s="1980"/>
      <c r="CB88" s="1981"/>
      <c r="CC88" s="389"/>
      <c r="CD88" s="1980"/>
      <c r="CE88" s="1981"/>
      <c r="CF88" s="389"/>
      <c r="CG88" s="389"/>
      <c r="CH88" s="1980"/>
      <c r="CI88" s="1981"/>
      <c r="CJ88" s="389"/>
      <c r="CK88" s="389"/>
      <c r="CL88" s="1980"/>
      <c r="CM88" s="1981"/>
      <c r="CN88" s="389"/>
      <c r="CO88" s="266"/>
      <c r="CP88" s="1980"/>
      <c r="CQ88" s="1981"/>
      <c r="CR88" s="1981"/>
      <c r="CS88" s="24"/>
      <c r="CT88" s="389">
        <v>174.94499999999999</v>
      </c>
      <c r="CU88" s="1980">
        <f>+(CT88/CT81-1)*100</f>
        <v>20.713329561293349</v>
      </c>
      <c r="CV88" s="1981">
        <f>+CT88/R88*100</f>
        <v>18.825216934678558</v>
      </c>
      <c r="CW88" s="389"/>
      <c r="CX88" s="389"/>
      <c r="CY88" s="389"/>
      <c r="CZ88" s="24"/>
      <c r="DA88" s="2008">
        <v>52.222000000000001</v>
      </c>
      <c r="DB88" s="1980">
        <f>+(DA88/DA81-1)*100</f>
        <v>66.455232206037039</v>
      </c>
      <c r="DC88" s="1981">
        <f>+DA88/W88*100</f>
        <v>13.277803627228879</v>
      </c>
      <c r="DD88" s="1981"/>
      <c r="DE88" s="1981"/>
      <c r="DF88" s="1981"/>
      <c r="DG88" s="1981"/>
      <c r="DH88" s="2008">
        <v>-2.8359999999999999</v>
      </c>
      <c r="DI88" s="1980">
        <f>+(DH88/DH81-1)*100</f>
        <v>-185.52472858866102</v>
      </c>
      <c r="DJ88" s="1981">
        <f>+DH88/AP88*100</f>
        <v>-0.48155864708509288</v>
      </c>
      <c r="DK88" s="24"/>
      <c r="DL88" s="2008"/>
      <c r="DM88" s="1980"/>
      <c r="DN88" s="1981"/>
      <c r="DO88" s="24"/>
      <c r="DP88" s="2008"/>
      <c r="DQ88" s="1980"/>
      <c r="DR88" s="1981"/>
      <c r="DS88" s="24"/>
      <c r="DT88" s="2008">
        <v>-53.963999999999999</v>
      </c>
      <c r="DU88" s="1980">
        <f>+(DT88/DT81-1)*100</f>
        <v>31.805969420155343</v>
      </c>
      <c r="DV88" s="1981">
        <f>+DT88/BE88*100</f>
        <v>-52.611874817198014</v>
      </c>
      <c r="DW88" s="24"/>
      <c r="DX88" s="266">
        <f>+'qtrP&amp;L'!BF61</f>
        <v>170.36699999999996</v>
      </c>
      <c r="DY88" s="1980">
        <f>+(DX88/DX81-1)*100</f>
        <v>22.85520613241221</v>
      </c>
      <c r="DZ88" s="1981">
        <f>(+DX88/BI88)*100</f>
        <v>8.4586908534108911</v>
      </c>
      <c r="EA88" s="2005" t="str">
        <f>IF(EB88=DX88," ","no")</f>
        <v xml:space="preserve"> </v>
      </c>
      <c r="EB88" s="91">
        <f>DT88+DH88+DA88+CT88</f>
        <v>170.36699999999999</v>
      </c>
      <c r="EC88" s="24"/>
      <c r="ED88" s="24"/>
      <c r="EE88" s="24"/>
      <c r="EG88" s="2008"/>
      <c r="EH88" s="1980"/>
      <c r="EI88" s="2008"/>
      <c r="EJ88" s="1980"/>
    </row>
    <row r="89" spans="1:140" hidden="1" outlineLevel="1">
      <c r="A89" s="113" t="str">
        <f>+qtrSales!A112</f>
        <v>3Q</v>
      </c>
      <c r="B89" s="24" t="str">
        <f>+qtrSales!B112</f>
        <v>Oct</v>
      </c>
      <c r="C89" s="24"/>
      <c r="D89" s="24"/>
      <c r="E89" s="388">
        <v>556.6</v>
      </c>
      <c r="F89" s="388"/>
      <c r="G89" s="1980">
        <f>+(E89/E82-1)*100</f>
        <v>8.0573173596429459</v>
      </c>
      <c r="H89" s="1981">
        <f>+E89/$BI89*100</f>
        <v>30.139107739458627</v>
      </c>
      <c r="I89" s="1981"/>
      <c r="J89" s="1981"/>
      <c r="K89" s="388">
        <v>176.8</v>
      </c>
      <c r="L89" s="1980">
        <f>+(K89/K82-1)*100</f>
        <v>8.863643360733974</v>
      </c>
      <c r="M89" s="1981">
        <f>+K89/$BI89*100</f>
        <v>9.5734715205466845</v>
      </c>
      <c r="N89" s="1981"/>
      <c r="O89" s="1981"/>
      <c r="P89" s="1981"/>
      <c r="Q89" s="24"/>
      <c r="R89" s="388">
        <v>733.42899999999997</v>
      </c>
      <c r="S89" s="1980">
        <f>+(R89/R82-1)*100</f>
        <v>8.2548833804180646</v>
      </c>
      <c r="T89" s="1980"/>
      <c r="U89" s="1981">
        <f>+R89/$BI89*100</f>
        <v>39.71414956924793</v>
      </c>
      <c r="V89" s="24"/>
      <c r="W89" s="388">
        <v>320.30099999999999</v>
      </c>
      <c r="X89" s="388"/>
      <c r="Y89" s="388"/>
      <c r="Z89" s="388"/>
      <c r="AA89" s="388"/>
      <c r="AB89" s="388"/>
      <c r="AC89" s="1980">
        <f>+(W89/W82-1)*100</f>
        <v>3.5530582488175311</v>
      </c>
      <c r="AD89" s="1981">
        <f>+W89/$BI89*100</f>
        <v>17.343848990399454</v>
      </c>
      <c r="AE89" s="1981"/>
      <c r="AF89" s="1981"/>
      <c r="AG89" s="1981"/>
      <c r="AH89" s="1981"/>
      <c r="AI89" s="24"/>
      <c r="AJ89" s="24"/>
      <c r="AK89" s="388"/>
      <c r="AL89" s="388">
        <v>503.7</v>
      </c>
      <c r="AM89" s="388"/>
      <c r="AN89" s="388"/>
      <c r="AO89" s="388">
        <v>159.5</v>
      </c>
      <c r="AP89" s="388">
        <v>663.18499999999995</v>
      </c>
      <c r="AQ89" s="1980">
        <f>+(AP89/AP82-1)*100</f>
        <v>-1.8598511586334077</v>
      </c>
      <c r="AR89" s="1981">
        <f>+AP89/$BI89*100</f>
        <v>35.910535692046111</v>
      </c>
      <c r="AS89" s="24"/>
      <c r="AT89" s="388"/>
      <c r="AU89" s="388"/>
      <c r="AV89" s="388"/>
      <c r="AW89" s="388"/>
      <c r="AX89" s="388"/>
      <c r="AY89" s="388"/>
      <c r="AZ89" s="388"/>
      <c r="BA89" s="388"/>
      <c r="BB89" s="388"/>
      <c r="BC89" s="388"/>
      <c r="BD89" s="1980" t="e">
        <f>+(BC89/BC82-1)*100</f>
        <v>#DIV/0!</v>
      </c>
      <c r="BE89" s="388">
        <v>129.85499999999999</v>
      </c>
      <c r="BF89" s="1980">
        <f>+(BE89/BE82-1)*100</f>
        <v>23.247691270963621</v>
      </c>
      <c r="BG89" s="1981">
        <f>+BE89/$BI89*100</f>
        <v>7.031465748306502</v>
      </c>
      <c r="BH89" s="24"/>
      <c r="BI89" s="266">
        <f>+R89+W89+AP89+BE89</f>
        <v>1846.77</v>
      </c>
      <c r="BJ89" s="266"/>
      <c r="BK89" s="2889">
        <f>+(BI89/BI82-1)*100</f>
        <v>4.4596298376573307</v>
      </c>
      <c r="BL89" s="266">
        <f>+E89+K89+W89+AT89+AY89</f>
        <v>1053.701</v>
      </c>
      <c r="BM89" s="1980">
        <f>+(BL89/BL82-1)*100</f>
        <v>6.7781839112375009</v>
      </c>
      <c r="BN89" s="1981">
        <f>+BL89/$BW89*100</f>
        <v>61.372263164853415</v>
      </c>
      <c r="BO89" s="266">
        <f>+AL89+AM89+AN89+AO89+AU89</f>
        <v>663.2</v>
      </c>
      <c r="BP89" s="1980">
        <f>+(BO89/BO82-1)*100</f>
        <v>-1.8576314126611204</v>
      </c>
      <c r="BQ89" s="1981">
        <f>+BO89/$BW89*100</f>
        <v>38.627736835146578</v>
      </c>
      <c r="BR89" s="24"/>
      <c r="BS89" s="266">
        <f>+AK89+AV89+AW89+AX89</f>
        <v>0</v>
      </c>
      <c r="BT89" s="1980"/>
      <c r="BU89" s="1981">
        <f>+BS89/$BW89*100</f>
        <v>0</v>
      </c>
      <c r="BV89" s="24"/>
      <c r="BW89" s="266">
        <f>+BL89+BO89+BS89</f>
        <v>1716.9010000000001</v>
      </c>
      <c r="BX89" s="1980">
        <f>+(BW89/BW82-1)*100</f>
        <v>3.2681409339539114</v>
      </c>
      <c r="BY89" s="24"/>
      <c r="BZ89" s="389"/>
      <c r="CA89" s="1980"/>
      <c r="CB89" s="1981"/>
      <c r="CC89" s="389"/>
      <c r="CD89" s="1980"/>
      <c r="CE89" s="1981"/>
      <c r="CF89" s="24"/>
      <c r="CG89" s="389"/>
      <c r="CH89" s="1980"/>
      <c r="CI89" s="1981"/>
      <c r="CJ89" s="24"/>
      <c r="CK89" s="389"/>
      <c r="CL89" s="1980"/>
      <c r="CM89" s="1981"/>
      <c r="CN89" s="24"/>
      <c r="CO89" s="266"/>
      <c r="CP89" s="1980"/>
      <c r="CQ89" s="1981"/>
      <c r="CR89" s="1981"/>
      <c r="CS89" s="24"/>
      <c r="CT89" s="389">
        <v>84.751000000000005</v>
      </c>
      <c r="CU89" s="1980">
        <f>+(CT89/CT82-1)*100</f>
        <v>47.951399193477997</v>
      </c>
      <c r="CV89" s="1981">
        <f>+CT89/R89*100</f>
        <v>11.555447084857567</v>
      </c>
      <c r="CW89" s="389"/>
      <c r="CX89" s="389"/>
      <c r="CY89" s="389"/>
      <c r="CZ89" s="24"/>
      <c r="DA89" s="2008">
        <v>4.5990000000000002</v>
      </c>
      <c r="DB89" s="1980">
        <f>+(DA89/DA82-1)*100</f>
        <v>104.85523385300669</v>
      </c>
      <c r="DC89" s="1981">
        <f>+DA89/W89*100</f>
        <v>1.4358369159009807</v>
      </c>
      <c r="DD89" s="1981"/>
      <c r="DE89" s="1981"/>
      <c r="DF89" s="1981"/>
      <c r="DG89" s="1981"/>
      <c r="DH89" s="2008">
        <v>-8.8629999999999995</v>
      </c>
      <c r="DI89" s="1980">
        <f>+(DH89/DH82-1)*100</f>
        <v>220.65846599131694</v>
      </c>
      <c r="DJ89" s="1981">
        <f>+DH89/AP89*100</f>
        <v>-1.3364295030798345</v>
      </c>
      <c r="DK89" s="24"/>
      <c r="DL89" s="2008"/>
      <c r="DM89" s="1980"/>
      <c r="DN89" s="1981"/>
      <c r="DO89" s="24"/>
      <c r="DP89" s="2008"/>
      <c r="DQ89" s="1980"/>
      <c r="DR89" s="1981"/>
      <c r="DS89" s="24"/>
      <c r="DT89" s="2008">
        <v>-38.314999999999998</v>
      </c>
      <c r="DU89" s="1980">
        <f>+(DT89/DT82-1)*100</f>
        <v>-2.7932819159732114</v>
      </c>
      <c r="DV89" s="1981">
        <f>+DT89/BE89*100</f>
        <v>-29.505987447537642</v>
      </c>
      <c r="DW89" s="24"/>
      <c r="DX89" s="266">
        <f>+'qtrP&amp;L'!BF62</f>
        <v>42.172000000000025</v>
      </c>
      <c r="DY89" s="1980">
        <f>+(DX89/DX82-1)*100</f>
        <v>143.09430481899946</v>
      </c>
      <c r="DZ89" s="1981">
        <f>(+DX89/BI89)*100</f>
        <v>2.2835545303421667</v>
      </c>
      <c r="EA89" s="2005" t="str">
        <f>IF(EB89=DX89," ","no")</f>
        <v xml:space="preserve"> </v>
      </c>
      <c r="EB89" s="91">
        <f>DT89+DH89+DA89+CT89</f>
        <v>42.172000000000011</v>
      </c>
      <c r="EC89" s="24"/>
      <c r="ED89" s="24"/>
      <c r="EE89" s="24"/>
      <c r="EG89" s="2008"/>
      <c r="EH89" s="1980"/>
      <c r="EI89" s="2008"/>
      <c r="EJ89" s="1980"/>
    </row>
    <row r="90" spans="1:140" hidden="1" outlineLevel="1">
      <c r="A90" s="113" t="str">
        <f>+qtrSales!A113</f>
        <v>4Q</v>
      </c>
      <c r="B90" s="24" t="str">
        <f>+qtrSales!B113</f>
        <v>Jan</v>
      </c>
      <c r="C90" s="24"/>
      <c r="D90" s="24"/>
      <c r="E90" s="302">
        <v>1033.9000000000001</v>
      </c>
      <c r="F90" s="307"/>
      <c r="G90" s="1980">
        <f>+(E90/E83-1)*100</f>
        <v>5.4601834001448468</v>
      </c>
      <c r="H90" s="1981">
        <f>+E90/$BI90*100</f>
        <v>32.000193133963791</v>
      </c>
      <c r="I90" s="1981"/>
      <c r="J90" s="1981"/>
      <c r="K90" s="302">
        <v>328.7</v>
      </c>
      <c r="L90" s="1980">
        <f>+(K90/K83-1)*100</f>
        <v>8.9742102104889874</v>
      </c>
      <c r="M90" s="1981">
        <f>+K90/$BI90*100</f>
        <v>10.173579149950571</v>
      </c>
      <c r="N90" s="1981"/>
      <c r="O90" s="1981"/>
      <c r="P90" s="1981"/>
      <c r="Q90" s="24"/>
      <c r="R90" s="306">
        <v>1362.607</v>
      </c>
      <c r="S90" s="1980">
        <f>+(R90/R83-1)*100</f>
        <v>6.287514596322441</v>
      </c>
      <c r="T90" s="1980"/>
      <c r="U90" s="1981">
        <f>+R90/$BI90*100</f>
        <v>42.173988940604502</v>
      </c>
      <c r="V90" s="24"/>
      <c r="W90" s="302">
        <v>899.51300000000003</v>
      </c>
      <c r="X90" s="307"/>
      <c r="Y90" s="307"/>
      <c r="Z90" s="307"/>
      <c r="AA90" s="307"/>
      <c r="AB90" s="307"/>
      <c r="AC90" s="1980">
        <f>+(W90/W83-1)*100</f>
        <v>15.74881775776098</v>
      </c>
      <c r="AD90" s="1981">
        <f>+W90/$BI90*100</f>
        <v>27.840787045663184</v>
      </c>
      <c r="AE90" s="1981"/>
      <c r="AF90" s="1981"/>
      <c r="AG90" s="1981"/>
      <c r="AH90" s="1981"/>
      <c r="AI90" s="24"/>
      <c r="AJ90" s="24"/>
      <c r="AK90" s="388"/>
      <c r="AL90" s="2009">
        <v>640.20000000000005</v>
      </c>
      <c r="AM90" s="388"/>
      <c r="AN90" s="388"/>
      <c r="AO90" s="2009">
        <v>188.8</v>
      </c>
      <c r="AP90" s="302">
        <v>829</v>
      </c>
      <c r="AQ90" s="1980">
        <f>+(AP90/AP83-1)*100</f>
        <v>2.8883196314388959</v>
      </c>
      <c r="AR90" s="1981">
        <f>+AP90/$BI90*100</f>
        <v>25.658342303952008</v>
      </c>
      <c r="AS90" s="24"/>
      <c r="AT90" s="388"/>
      <c r="AU90" s="388"/>
      <c r="AV90" s="388"/>
      <c r="AW90" s="388"/>
      <c r="AX90" s="388"/>
      <c r="AY90" s="388"/>
      <c r="AZ90" s="388"/>
      <c r="BA90" s="388"/>
      <c r="BB90" s="388"/>
      <c r="BC90" s="302"/>
      <c r="BD90" s="1980" t="e">
        <f>+(BC90/BC83-1)*100</f>
        <v>#DIV/0!</v>
      </c>
      <c r="BE90" s="302">
        <v>139.798</v>
      </c>
      <c r="BF90" s="1980">
        <f>+(BE90/BE83-1)*100</f>
        <v>38.885522119673688</v>
      </c>
      <c r="BG90" s="1981">
        <f>+BE90/$BI90*100</f>
        <v>4.3268817097803165</v>
      </c>
      <c r="BH90" s="24"/>
      <c r="BI90" s="1022">
        <f>+R90+W90+AP90+BE90</f>
        <v>3230.9179999999997</v>
      </c>
      <c r="BJ90" s="325"/>
      <c r="BK90" s="2889">
        <f>+(BI90/BI83-1)*100</f>
        <v>8.9497897664179593</v>
      </c>
      <c r="BL90" s="1022">
        <f>+E90+K90+W90+AT90+AY90</f>
        <v>2262.1130000000003</v>
      </c>
      <c r="BM90" s="1980">
        <f>+(BL90/BL83-1)*100</f>
        <v>9.85792030210877</v>
      </c>
      <c r="BN90" s="1981">
        <f>+BL90/$BW90*100</f>
        <v>73.181181017969905</v>
      </c>
      <c r="BO90" s="1022">
        <f>+AL90+AM90+AN90+AO90+AU90</f>
        <v>829</v>
      </c>
      <c r="BP90" s="1980">
        <f>+(BO90/BO83-1)*100</f>
        <v>2.8883196314388959</v>
      </c>
      <c r="BQ90" s="1981">
        <f>+BO90/$BW90*100</f>
        <v>26.818818982030095</v>
      </c>
      <c r="BR90" s="24"/>
      <c r="BS90" s="1022">
        <f>+AK90+AV90+AW90+AX90</f>
        <v>0</v>
      </c>
      <c r="BT90" s="1980"/>
      <c r="BU90" s="1981">
        <f>+BS90/$BW90*100</f>
        <v>0</v>
      </c>
      <c r="BV90" s="24"/>
      <c r="BW90" s="1022">
        <f>+BL90+BO90+BS90</f>
        <v>3091.1130000000003</v>
      </c>
      <c r="BX90" s="1980">
        <f>+(BW90/BW83-1)*100</f>
        <v>7.8977497631641969</v>
      </c>
      <c r="BY90" s="24"/>
      <c r="BZ90" s="306"/>
      <c r="CA90" s="1980"/>
      <c r="CB90" s="1981"/>
      <c r="CC90" s="306"/>
      <c r="CD90" s="1980"/>
      <c r="CE90" s="1981"/>
      <c r="CF90" s="24"/>
      <c r="CG90" s="306"/>
      <c r="CH90" s="1980"/>
      <c r="CI90" s="1981"/>
      <c r="CJ90" s="24"/>
      <c r="CK90" s="306"/>
      <c r="CL90" s="1980"/>
      <c r="CM90" s="1981"/>
      <c r="CN90" s="24"/>
      <c r="CO90" s="67"/>
      <c r="CP90" s="1980"/>
      <c r="CQ90" s="1981"/>
      <c r="CR90" s="1981"/>
      <c r="CS90" s="24"/>
      <c r="CT90" s="306">
        <v>339.947</v>
      </c>
      <c r="CU90" s="1980">
        <f>+(CT90/CT83-1)*100</f>
        <v>9.1929064938151903</v>
      </c>
      <c r="CV90" s="1981">
        <f>+CT90/R90*100</f>
        <v>24.948279291094206</v>
      </c>
      <c r="CW90" s="321"/>
      <c r="CX90" s="321"/>
      <c r="CY90" s="321"/>
      <c r="CZ90" s="24"/>
      <c r="DA90" s="2010">
        <v>281.88099999999997</v>
      </c>
      <c r="DB90" s="1980">
        <f>+(DA90/DA83-1)*100</f>
        <v>18.077704471672405</v>
      </c>
      <c r="DC90" s="1981">
        <f>+DA90/W90*100</f>
        <v>31.337067946766744</v>
      </c>
      <c r="DD90" s="1981"/>
      <c r="DE90" s="1981"/>
      <c r="DF90" s="1981"/>
      <c r="DG90" s="1981"/>
      <c r="DH90" s="2010">
        <v>88.126000000000005</v>
      </c>
      <c r="DI90" s="1980">
        <f>+(DH90/DH83-1)*100</f>
        <v>10.080443689417407</v>
      </c>
      <c r="DJ90" s="1981">
        <f>+DH90/AP90*100</f>
        <v>10.630398069963812</v>
      </c>
      <c r="DK90" s="24"/>
      <c r="DL90" s="2010"/>
      <c r="DM90" s="1980"/>
      <c r="DN90" s="1981"/>
      <c r="DO90" s="24"/>
      <c r="DP90" s="2010"/>
      <c r="DQ90" s="1980"/>
      <c r="DR90" s="1981"/>
      <c r="DS90" s="24"/>
      <c r="DT90" s="2010">
        <v>-68.462000000000003</v>
      </c>
      <c r="DU90" s="1980">
        <f>+(DT90/DT83-1)*100</f>
        <v>61.955904617713827</v>
      </c>
      <c r="DV90" s="1981">
        <f>+DT90/BE90*100</f>
        <v>-48.972088298831174</v>
      </c>
      <c r="DW90" s="24"/>
      <c r="DX90" s="1022">
        <f>+'qtrP&amp;L'!BF63</f>
        <v>641.49200000000019</v>
      </c>
      <c r="DY90" s="1980">
        <f>+(DX90/DX83-1)*100</f>
        <v>9.1277158935485723</v>
      </c>
      <c r="DZ90" s="1981">
        <f>(+DX90/BI90)*100</f>
        <v>19.854790496075736</v>
      </c>
      <c r="EA90" s="2005" t="str">
        <f>IF(EB90=DX90," ","no")</f>
        <v xml:space="preserve"> </v>
      </c>
      <c r="EB90" s="91">
        <f>DT90+DH90+DA90+CT90</f>
        <v>641.49199999999996</v>
      </c>
      <c r="EC90" s="24"/>
      <c r="ED90" s="24"/>
      <c r="EE90" s="24"/>
      <c r="EG90" s="2010"/>
      <c r="EH90" s="1980"/>
      <c r="EI90" s="2010"/>
      <c r="EJ90" s="1980"/>
    </row>
    <row r="91" spans="1:140" hidden="1" outlineLevel="1">
      <c r="A91" s="113"/>
      <c r="B91" s="24" t="str">
        <f>+qtrSales!B114</f>
        <v>Year</v>
      </c>
      <c r="C91" s="24"/>
      <c r="D91" s="24"/>
      <c r="E91" s="266">
        <f>+segqtrSales!S93</f>
        <v>2821.3</v>
      </c>
      <c r="F91" s="266"/>
      <c r="G91" s="1980">
        <f>+(E91/E84-1)*100</f>
        <v>6.5848129958443691</v>
      </c>
      <c r="H91" s="1981">
        <f>+E91/$BI91*100</f>
        <v>31.579066368646902</v>
      </c>
      <c r="I91" s="1981"/>
      <c r="J91" s="1981"/>
      <c r="K91" s="266">
        <f>+SUM(K87:K90)</f>
        <v>995.3</v>
      </c>
      <c r="L91" s="1980">
        <f>+(K91/K84-1)*100</f>
        <v>5.9957401490947859</v>
      </c>
      <c r="M91" s="1981">
        <f>+K91/$BI91*100</f>
        <v>11.140483024390974</v>
      </c>
      <c r="N91" s="1981"/>
      <c r="O91" s="1981"/>
      <c r="P91" s="1981"/>
      <c r="Q91" s="24"/>
      <c r="R91" s="266">
        <f>+SUM(R87:R90)</f>
        <v>3816.6080000000002</v>
      </c>
      <c r="S91" s="1980">
        <f>+(R91/R84-1)*100</f>
        <v>6.4307863915225916</v>
      </c>
      <c r="T91" s="1980"/>
      <c r="U91" s="1981">
        <f>+R91/$BI91*100</f>
        <v>42.719638937762269</v>
      </c>
      <c r="V91" s="24"/>
      <c r="W91" s="266">
        <f>+SUM(W87:W90)</f>
        <v>1934.471</v>
      </c>
      <c r="X91" s="266"/>
      <c r="Y91" s="266"/>
      <c r="Z91" s="266"/>
      <c r="AA91" s="266"/>
      <c r="AB91" s="266"/>
      <c r="AC91" s="1980">
        <f>+(W91/W84-1)*100</f>
        <v>8.6171252105558658</v>
      </c>
      <c r="AD91" s="1981">
        <f>+W91/$BI91*100</f>
        <v>21.652709069302354</v>
      </c>
      <c r="AE91" s="1981"/>
      <c r="AF91" s="1981"/>
      <c r="AG91" s="1981"/>
      <c r="AH91" s="1981"/>
      <c r="AI91" s="24"/>
      <c r="AJ91" s="24"/>
      <c r="AK91" s="388"/>
      <c r="AL91" s="266">
        <f>+SUM(AL87:AL90)</f>
        <v>2071.1999999999998</v>
      </c>
      <c r="AM91" s="388"/>
      <c r="AN91" s="388"/>
      <c r="AO91" s="266">
        <f>+SUM(AO87:AO90)</f>
        <v>625.5</v>
      </c>
      <c r="AP91" s="266">
        <f>+SUM(AP87:AP90)</f>
        <v>2696.7190000000001</v>
      </c>
      <c r="AQ91" s="1980">
        <f>+(AP91/AP84-1)*100</f>
        <v>-0.52677978605680797</v>
      </c>
      <c r="AR91" s="1981">
        <f>+AP91/$BI91*100</f>
        <v>30.184619954840358</v>
      </c>
      <c r="AS91" s="24"/>
      <c r="AT91" s="388"/>
      <c r="AU91" s="388"/>
      <c r="AV91" s="388"/>
      <c r="AW91" s="388"/>
      <c r="AX91" s="388"/>
      <c r="AY91" s="388"/>
      <c r="AZ91" s="388"/>
      <c r="BA91" s="388"/>
      <c r="BB91" s="388"/>
      <c r="BC91" s="266"/>
      <c r="BD91" s="1980" t="e">
        <f>+(BC91/BC84-1)*100</f>
        <v>#DIV/0!</v>
      </c>
      <c r="BE91" s="266">
        <f>+SUM(BE87:BE90)</f>
        <v>486.29300000000001</v>
      </c>
      <c r="BF91" s="1980">
        <f>+(BE91/BE84-1)*100</f>
        <v>32.504904632152588</v>
      </c>
      <c r="BG91" s="1981">
        <f>+BE91/$BI91*100</f>
        <v>5.4431215828194119</v>
      </c>
      <c r="BH91" s="24"/>
      <c r="BI91" s="266">
        <f>+E91+K91+W91+AP91+BE91</f>
        <v>8934.0830000000005</v>
      </c>
      <c r="BJ91" s="266"/>
      <c r="BK91" s="2889">
        <f>+(BI91/BI84-1)*100</f>
        <v>5.7913913558318653</v>
      </c>
      <c r="BL91" s="266">
        <f>+E91+K91+W91+AT91+AY91</f>
        <v>5751.0709999999999</v>
      </c>
      <c r="BM91" s="1980">
        <f>+(BL91/BL84-1)*100</f>
        <v>7.156158002608537</v>
      </c>
      <c r="BN91" s="1981">
        <f>+BL91/$BW91*100</f>
        <v>68.077969916561415</v>
      </c>
      <c r="BO91" s="266">
        <f>+AL91+AM91+AN91+AO91+AU91</f>
        <v>2696.7</v>
      </c>
      <c r="BP91" s="1980">
        <f>+(BO91/BO84-1)*100</f>
        <v>-0.52748063445223758</v>
      </c>
      <c r="BQ91" s="1981">
        <f>+BO91/$BW91*100</f>
        <v>31.922030083438575</v>
      </c>
      <c r="BR91" s="24"/>
      <c r="BS91" s="266">
        <f>+AK91+AV91+AW91+AX91</f>
        <v>0</v>
      </c>
      <c r="BT91" s="1980"/>
      <c r="BU91" s="1981">
        <f>+BS91/$BW91*100</f>
        <v>0</v>
      </c>
      <c r="BV91" s="24"/>
      <c r="BW91" s="266">
        <f>+BL91+BO91+BS91</f>
        <v>8447.7710000000006</v>
      </c>
      <c r="BX91" s="1980">
        <f>+(BW91/BW84-1)*100</f>
        <v>4.5775068086159942</v>
      </c>
      <c r="BY91" s="24"/>
      <c r="BZ91" s="389"/>
      <c r="CA91" s="1980"/>
      <c r="CB91" s="1981"/>
      <c r="CC91" s="389"/>
      <c r="CD91" s="1980"/>
      <c r="CE91" s="1981"/>
      <c r="CF91" s="24"/>
      <c r="CG91" s="389"/>
      <c r="CH91" s="1980"/>
      <c r="CI91" s="1981"/>
      <c r="CJ91" s="24"/>
      <c r="CK91" s="389"/>
      <c r="CL91" s="1980"/>
      <c r="CM91" s="1981"/>
      <c r="CN91" s="24"/>
      <c r="CO91" s="24"/>
      <c r="CP91" s="1980"/>
      <c r="CQ91" s="1981"/>
      <c r="CR91" s="1981"/>
      <c r="CS91" s="24"/>
      <c r="CT91" s="266">
        <f>+SUM(CT87:CT90)</f>
        <v>710.58600000000001</v>
      </c>
      <c r="CU91" s="1980">
        <f>+(CT91/CT84-1)*100</f>
        <v>15.730618892508152</v>
      </c>
      <c r="CV91" s="1981">
        <f>+CT91/R91*100</f>
        <v>18.618259983734248</v>
      </c>
      <c r="CW91" s="266"/>
      <c r="CX91" s="266"/>
      <c r="CY91" s="266"/>
      <c r="CZ91" s="24"/>
      <c r="DA91" s="266">
        <f>+SUM(DA87:DA90)</f>
        <v>355.18399999999997</v>
      </c>
      <c r="DB91" s="1980">
        <f>+(DA91/DA84-1)*100</f>
        <v>18.394666666666648</v>
      </c>
      <c r="DC91" s="1981">
        <f>+DA91/W91*100</f>
        <v>18.360781836481394</v>
      </c>
      <c r="DD91" s="1981"/>
      <c r="DE91" s="1981"/>
      <c r="DF91" s="1981"/>
      <c r="DG91" s="1981"/>
      <c r="DH91" s="266">
        <f>+SUM(DH87:DH90)</f>
        <v>90.897000000000006</v>
      </c>
      <c r="DI91" s="1980">
        <f>+(DH91/DH84-1)*100</f>
        <v>-20.959130434782601</v>
      </c>
      <c r="DJ91" s="1981">
        <f>+DH91/AP91*100</f>
        <v>3.3706515213487207</v>
      </c>
      <c r="DK91" s="24"/>
      <c r="DL91" s="91"/>
      <c r="DM91" s="1980"/>
      <c r="DN91" s="1981"/>
      <c r="DO91" s="24"/>
      <c r="DP91" s="91"/>
      <c r="DQ91" s="1980"/>
      <c r="DR91" s="1981"/>
      <c r="DS91" s="24"/>
      <c r="DT91" s="91">
        <f>+SUM(DT87:DT90)</f>
        <v>-193.58499999999998</v>
      </c>
      <c r="DU91" s="1980">
        <f>+(DT91/DT84-1)*100</f>
        <v>23.30254777070062</v>
      </c>
      <c r="DV91" s="1981">
        <f>+DT91/BE91*100</f>
        <v>-39.808304869697892</v>
      </c>
      <c r="DW91" s="24"/>
      <c r="DX91" s="266">
        <f>+SUM(DX87:DX90)</f>
        <v>963.08200000000022</v>
      </c>
      <c r="DY91" s="1980">
        <f>+(DX91/DX84-1)*100</f>
        <v>10.445183486238552</v>
      </c>
      <c r="DZ91" s="1981">
        <f>(+DX91/BI91)*100</f>
        <v>10.779864033051854</v>
      </c>
      <c r="EA91" s="2005"/>
      <c r="EB91" s="24"/>
      <c r="EC91" s="24"/>
      <c r="ED91" s="24"/>
      <c r="EE91" s="24"/>
      <c r="EG91" s="91"/>
      <c r="EH91" s="1980"/>
      <c r="EI91" s="91"/>
      <c r="EJ91" s="1980"/>
    </row>
    <row r="92" spans="1:140" hidden="1" outlineLevel="1">
      <c r="A92" s="113"/>
      <c r="B92" s="24"/>
      <c r="C92" s="24"/>
      <c r="D92" s="24"/>
      <c r="E92" s="309">
        <f>SUM(E87:E90)</f>
        <v>2821.3</v>
      </c>
      <c r="F92" s="309"/>
      <c r="G92" s="24"/>
      <c r="H92" s="24"/>
      <c r="I92" s="24"/>
      <c r="J92" s="24"/>
      <c r="K92" s="24"/>
      <c r="L92" s="24"/>
      <c r="M92" s="24"/>
      <c r="N92" s="24"/>
      <c r="O92" s="24"/>
      <c r="P92" s="24"/>
      <c r="Q92" s="24"/>
      <c r="R92" s="24"/>
      <c r="S92" s="24"/>
      <c r="T92" s="24"/>
      <c r="U92" s="24"/>
      <c r="V92" s="24"/>
      <c r="W92" s="24"/>
      <c r="X92" s="24"/>
      <c r="Y92" s="24"/>
      <c r="Z92" s="24"/>
      <c r="AA92" s="24"/>
      <c r="AB92" s="24"/>
      <c r="AC92" s="24"/>
      <c r="AD92" s="24"/>
      <c r="AE92" s="24"/>
      <c r="AF92" s="24"/>
      <c r="AG92" s="24"/>
      <c r="AH92" s="24"/>
      <c r="AI92" s="24"/>
      <c r="AJ92" s="24"/>
      <c r="AK92" s="24"/>
      <c r="AL92" s="24"/>
      <c r="AM92" s="24"/>
      <c r="AN92" s="24"/>
      <c r="AO92" s="24"/>
      <c r="AP92" s="24"/>
      <c r="AQ92" s="24"/>
      <c r="AR92" s="24"/>
      <c r="AS92" s="24"/>
      <c r="AT92" s="24"/>
      <c r="AU92" s="24"/>
      <c r="AV92" s="24"/>
      <c r="AW92" s="24"/>
      <c r="AX92" s="24"/>
      <c r="AY92" s="24"/>
      <c r="AZ92" s="24"/>
      <c r="BA92" s="24"/>
      <c r="BB92" s="24"/>
      <c r="BC92" s="24"/>
      <c r="BD92" s="24"/>
      <c r="BE92" s="24"/>
      <c r="BF92" s="24"/>
      <c r="BG92" s="24"/>
      <c r="BH92" s="24"/>
      <c r="BI92" s="24"/>
      <c r="BJ92" s="24"/>
      <c r="BK92" s="78"/>
      <c r="BL92" s="24"/>
      <c r="BM92" s="24"/>
      <c r="BN92" s="24"/>
      <c r="BO92" s="24"/>
      <c r="BP92" s="24"/>
      <c r="BQ92" s="24"/>
      <c r="BR92" s="24"/>
      <c r="BS92" s="24"/>
      <c r="BT92" s="24"/>
      <c r="BU92" s="24"/>
      <c r="BV92" s="24"/>
      <c r="BW92" s="24"/>
      <c r="BX92" s="24"/>
      <c r="BY92" s="24"/>
      <c r="BZ92" s="24"/>
      <c r="CA92" s="24"/>
      <c r="CB92" s="24"/>
      <c r="CC92" s="24"/>
      <c r="CD92" s="24"/>
      <c r="CE92" s="24"/>
      <c r="CF92" s="24"/>
      <c r="CG92" s="24"/>
      <c r="CH92" s="24"/>
      <c r="CI92" s="24"/>
      <c r="CJ92" s="24"/>
      <c r="CK92" s="24"/>
      <c r="CL92" s="24"/>
      <c r="CM92" s="24"/>
      <c r="CN92" s="24"/>
      <c r="CO92" s="24"/>
      <c r="CP92" s="24"/>
      <c r="CQ92" s="24"/>
      <c r="CR92" s="24"/>
      <c r="CS92" s="24"/>
      <c r="CT92" s="24"/>
      <c r="CU92" s="24"/>
      <c r="CV92" s="24"/>
      <c r="CW92" s="24"/>
      <c r="CX92" s="24"/>
      <c r="CY92" s="24"/>
      <c r="CZ92" s="24"/>
      <c r="DA92" s="24"/>
      <c r="DB92" s="24"/>
      <c r="DC92" s="24"/>
      <c r="DD92" s="24"/>
      <c r="DE92" s="24"/>
      <c r="DF92" s="24"/>
      <c r="DG92" s="24"/>
      <c r="DH92" s="428"/>
      <c r="DI92" s="24"/>
      <c r="DJ92" s="24"/>
      <c r="DK92" s="24"/>
      <c r="DL92" s="2012"/>
      <c r="DM92" s="24"/>
      <c r="DN92" s="24"/>
      <c r="DO92" s="24"/>
      <c r="DP92" s="2012"/>
      <c r="DQ92" s="24"/>
      <c r="DR92" s="24"/>
      <c r="DS92" s="24"/>
      <c r="DT92" s="2012">
        <f>DT91/BI91</f>
        <v>-2.1668144341170769E-2</v>
      </c>
      <c r="DU92" s="24"/>
      <c r="DV92" s="24"/>
      <c r="DW92" s="24"/>
      <c r="DX92" s="24"/>
      <c r="DY92" s="24"/>
      <c r="DZ92" s="24"/>
      <c r="EA92" s="2007"/>
      <c r="EB92" s="24"/>
      <c r="EC92" s="24"/>
      <c r="ED92" s="24"/>
      <c r="EE92" s="24"/>
      <c r="EG92" s="2012"/>
      <c r="EH92" s="24"/>
      <c r="EI92" s="2012"/>
      <c r="EJ92" s="24"/>
    </row>
    <row r="93" spans="1:140" hidden="1" outlineLevel="1">
      <c r="A93" s="113"/>
      <c r="B93" s="136" t="str">
        <f>+qtrSales!B116</f>
        <v>2004A</v>
      </c>
      <c r="C93" s="24"/>
      <c r="D93" s="24"/>
      <c r="E93" s="24"/>
      <c r="F93" s="24"/>
      <c r="G93" s="1980"/>
      <c r="H93" s="1981"/>
      <c r="I93" s="1981"/>
      <c r="J93" s="1981"/>
      <c r="K93" s="24"/>
      <c r="L93" s="1980"/>
      <c r="M93" s="1981"/>
      <c r="N93" s="1981"/>
      <c r="O93" s="1981"/>
      <c r="P93" s="1981"/>
      <c r="Q93" s="24"/>
      <c r="R93" s="24"/>
      <c r="S93" s="1980"/>
      <c r="T93" s="1980"/>
      <c r="U93" s="1981"/>
      <c r="V93" s="24"/>
      <c r="W93" s="24"/>
      <c r="X93" s="24"/>
      <c r="Y93" s="24"/>
      <c r="Z93" s="24"/>
      <c r="AA93" s="24"/>
      <c r="AB93" s="24"/>
      <c r="AC93" s="1980"/>
      <c r="AD93" s="1981"/>
      <c r="AE93" s="1981"/>
      <c r="AF93" s="1981"/>
      <c r="AG93" s="1981"/>
      <c r="AH93" s="1981"/>
      <c r="AI93" s="24"/>
      <c r="AJ93" s="399"/>
      <c r="AK93" s="24"/>
      <c r="AL93" s="1980"/>
      <c r="AM93" s="24"/>
      <c r="AN93" s="24"/>
      <c r="AO93" s="1980"/>
      <c r="AP93" s="24"/>
      <c r="AQ93" s="1980"/>
      <c r="AR93" s="1981"/>
      <c r="AS93" s="24"/>
      <c r="AT93" s="24"/>
      <c r="AU93" s="24"/>
      <c r="AV93" s="24"/>
      <c r="AW93" s="24"/>
      <c r="AX93" s="24"/>
      <c r="AY93" s="24"/>
      <c r="AZ93" s="24"/>
      <c r="BA93" s="24"/>
      <c r="BB93" s="24"/>
      <c r="BC93" s="24"/>
      <c r="BD93" s="1980"/>
      <c r="BE93" s="24"/>
      <c r="BF93" s="1980"/>
      <c r="BG93" s="1981"/>
      <c r="BH93" s="24"/>
      <c r="BI93" s="24"/>
      <c r="BJ93" s="24"/>
      <c r="BK93" s="2889"/>
      <c r="BL93" s="389"/>
      <c r="BM93" s="1988"/>
      <c r="BN93" s="1989"/>
      <c r="BO93" s="389"/>
      <c r="BP93" s="389"/>
      <c r="BQ93" s="389"/>
      <c r="BR93" s="389"/>
      <c r="BS93" s="389"/>
      <c r="BT93" s="389"/>
      <c r="BU93" s="389"/>
      <c r="BV93" s="389"/>
      <c r="BW93" s="266"/>
      <c r="BX93" s="24"/>
      <c r="BY93" s="24"/>
      <c r="BZ93" s="389"/>
      <c r="CA93" s="1988"/>
      <c r="CB93" s="1989"/>
      <c r="CC93" s="389"/>
      <c r="CD93" s="389"/>
      <c r="CE93" s="389"/>
      <c r="CF93" s="389"/>
      <c r="CG93" s="389"/>
      <c r="CH93" s="389"/>
      <c r="CI93" s="389"/>
      <c r="CJ93" s="389"/>
      <c r="CK93" s="389"/>
      <c r="CL93" s="389"/>
      <c r="CM93" s="389"/>
      <c r="CN93" s="389"/>
      <c r="CO93" s="266"/>
      <c r="CP93" s="24"/>
      <c r="CQ93" s="24"/>
      <c r="CR93" s="24"/>
      <c r="CS93" s="24"/>
      <c r="CT93" s="24"/>
      <c r="CU93" s="24"/>
      <c r="CV93" s="24"/>
      <c r="CW93" s="24"/>
      <c r="CX93" s="24"/>
      <c r="CY93" s="24"/>
      <c r="CZ93" s="24"/>
      <c r="DA93" s="24"/>
      <c r="DB93" s="24"/>
      <c r="DC93" s="24"/>
      <c r="DD93" s="24"/>
      <c r="DE93" s="24"/>
      <c r="DF93" s="24"/>
      <c r="DG93" s="24"/>
      <c r="DH93" s="142"/>
      <c r="DI93" s="24"/>
      <c r="DJ93" s="24"/>
      <c r="DK93" s="24"/>
      <c r="DL93" s="24"/>
      <c r="DM93" s="24"/>
      <c r="DN93" s="24"/>
      <c r="DO93" s="24"/>
      <c r="DP93" s="24"/>
      <c r="DQ93" s="24"/>
      <c r="DR93" s="24"/>
      <c r="DS93" s="24"/>
      <c r="DT93" s="24"/>
      <c r="DU93" s="24"/>
      <c r="DV93" s="24"/>
      <c r="DW93" s="24"/>
      <c r="DX93" s="24"/>
      <c r="DY93" s="24"/>
      <c r="DZ93" s="1981"/>
      <c r="EA93" s="2007"/>
      <c r="EB93" s="24"/>
      <c r="EC93" s="24"/>
      <c r="ED93" s="24"/>
      <c r="EE93" s="24"/>
      <c r="EG93" s="24"/>
      <c r="EH93" s="24"/>
      <c r="EI93" s="24"/>
      <c r="EJ93" s="24"/>
    </row>
    <row r="94" spans="1:140" hidden="1" outlineLevel="1">
      <c r="A94" s="113" t="str">
        <f>+qtrSales!A117</f>
        <v>1Q</v>
      </c>
      <c r="B94" s="24" t="str">
        <f>+qtrSales!B117</f>
        <v>Apr</v>
      </c>
      <c r="C94" s="24"/>
      <c r="D94" s="24"/>
      <c r="E94" s="1982">
        <v>648.6</v>
      </c>
      <c r="F94" s="1982"/>
      <c r="G94" s="1980">
        <f>+(E94/E87-1)*100</f>
        <v>15.450338198647229</v>
      </c>
      <c r="H94" s="1981">
        <f>+E94/$BI94*100</f>
        <v>32.787332745931536</v>
      </c>
      <c r="I94" s="1981"/>
      <c r="J94" s="1981"/>
      <c r="K94" s="1982">
        <v>260.3</v>
      </c>
      <c r="L94" s="1980">
        <f>+(K94/K87-1)*100</f>
        <v>13.420479302832256</v>
      </c>
      <c r="M94" s="1981">
        <f>+K94/BI94*100</f>
        <v>13.158406897573203</v>
      </c>
      <c r="N94" s="1981"/>
      <c r="O94" s="1981"/>
      <c r="P94" s="1981"/>
      <c r="Q94" s="24"/>
      <c r="R94" s="1982">
        <v>908.81899999999996</v>
      </c>
      <c r="S94" s="1980">
        <f>+(R94/R87-1)*100</f>
        <v>14.857189798549154</v>
      </c>
      <c r="T94" s="1980"/>
      <c r="U94" s="1981">
        <f>+R94/$BI94*100</f>
        <v>45.941645018231192</v>
      </c>
      <c r="V94" s="24"/>
      <c r="W94" s="1982">
        <v>341.911</v>
      </c>
      <c r="X94" s="1982"/>
      <c r="Y94" s="1982"/>
      <c r="Z94" s="1982"/>
      <c r="AA94" s="1982"/>
      <c r="AB94" s="1982"/>
      <c r="AC94" s="1980">
        <f>+(W94/W87-1)*100</f>
        <v>6.3969952140007669</v>
      </c>
      <c r="AD94" s="1981">
        <f>+W94/$BI94*100</f>
        <v>17.283918788921056</v>
      </c>
      <c r="AE94" s="1981"/>
      <c r="AF94" s="1981"/>
      <c r="AG94" s="1981"/>
      <c r="AH94" s="1981"/>
      <c r="AI94" s="24"/>
      <c r="AJ94" s="24"/>
      <c r="AK94" s="2011">
        <f>0.75*2.1</f>
        <v>1.5750000000000002</v>
      </c>
      <c r="AL94" s="2013">
        <v>460</v>
      </c>
      <c r="AM94" s="2013"/>
      <c r="AN94" s="2013"/>
      <c r="AO94" s="2014">
        <v>139.9</v>
      </c>
      <c r="AP94" s="1982">
        <v>600.12599999999998</v>
      </c>
      <c r="AQ94" s="1980">
        <f>+(AP94/AP87-1)*100</f>
        <v>-2.5157038594051939</v>
      </c>
      <c r="AR94" s="1981">
        <f>+AP94/$BI94*100</f>
        <v>30.336926998897486</v>
      </c>
      <c r="AS94" s="24"/>
      <c r="AT94" s="1982"/>
      <c r="AU94" s="1982"/>
      <c r="AV94" s="1982"/>
      <c r="AW94" s="1982"/>
      <c r="AX94" s="1982"/>
      <c r="AY94" s="1982"/>
      <c r="AZ94" s="1982"/>
      <c r="BA94" s="1982"/>
      <c r="BB94" s="1982"/>
      <c r="BC94" s="1982"/>
      <c r="BD94" s="1980" t="e">
        <f>+(BC94/BC87-1)*100</f>
        <v>#DIV/0!</v>
      </c>
      <c r="BE94" s="1982">
        <v>127.34699999999999</v>
      </c>
      <c r="BF94" s="1980">
        <f>+(BE94/BE87-1)*100</f>
        <v>11.639344262295094</v>
      </c>
      <c r="BG94" s="1981">
        <f>+BE94/$BI94*100</f>
        <v>6.4375091939502669</v>
      </c>
      <c r="BH94" s="24"/>
      <c r="BI94" s="381">
        <f>+R94+W94+AP94+BE94</f>
        <v>1978.203</v>
      </c>
      <c r="BJ94" s="381"/>
      <c r="BK94" s="2889">
        <f>+(BI94/BI87-1)*100</f>
        <v>7.3769864468106849</v>
      </c>
      <c r="BL94" s="381">
        <f>+E94+K94+W94+AT94+AY94</f>
        <v>1250.8110000000001</v>
      </c>
      <c r="BM94" s="1980">
        <f>+(BL94/BL87-1)*100</f>
        <v>12.416887909448949</v>
      </c>
      <c r="BN94" s="1981">
        <f>+BL94/$BW94*100</f>
        <v>67.527962744414197</v>
      </c>
      <c r="BO94" s="381">
        <f>+AL94+AM94+AN94+AO94+AU94</f>
        <v>599.9</v>
      </c>
      <c r="BP94" s="1980">
        <f>+(BO94/BO87-1)*100</f>
        <v>-2.550357374918788</v>
      </c>
      <c r="BQ94" s="1981">
        <f>+BO94/$BW94*100</f>
        <v>32.38700719003436</v>
      </c>
      <c r="BR94" s="389"/>
      <c r="BS94" s="381">
        <f>+AK94+AV94+AW94+AX94</f>
        <v>1.5750000000000002</v>
      </c>
      <c r="BT94" s="1980"/>
      <c r="BU94" s="1981">
        <f>+BS94/$BW94*100</f>
        <v>8.5030065551432124E-2</v>
      </c>
      <c r="BV94" s="389"/>
      <c r="BW94" s="381">
        <f>+BL94+BO94+BS94</f>
        <v>1852.2860000000003</v>
      </c>
      <c r="BX94" s="1980">
        <f>+(BW94/BW87-1)*100</f>
        <v>7.0791390362862749</v>
      </c>
      <c r="BY94" s="24"/>
      <c r="BZ94" s="390"/>
      <c r="CA94" s="1980"/>
      <c r="CB94" s="1981"/>
      <c r="CC94" s="390"/>
      <c r="CD94" s="1980"/>
      <c r="CE94" s="1981"/>
      <c r="CF94" s="389"/>
      <c r="CG94" s="390"/>
      <c r="CH94" s="1980"/>
      <c r="CI94" s="1981"/>
      <c r="CJ94" s="24"/>
      <c r="CK94" s="390"/>
      <c r="CL94" s="1980"/>
      <c r="CM94" s="1981"/>
      <c r="CN94" s="24"/>
      <c r="CO94" s="165"/>
      <c r="CP94" s="1980"/>
      <c r="CQ94" s="1981"/>
      <c r="CR94" s="1981"/>
      <c r="CS94" s="24"/>
      <c r="CT94" s="1982">
        <v>151.42599999999999</v>
      </c>
      <c r="CU94" s="1980">
        <f>+(CT94/CT87-1)*100</f>
        <v>36.489909232669014</v>
      </c>
      <c r="CV94" s="1981">
        <f>+CT94/R94*100</f>
        <v>16.661843557408019</v>
      </c>
      <c r="CW94" s="1982"/>
      <c r="CX94" s="1982"/>
      <c r="CY94" s="1982"/>
      <c r="CZ94" s="24"/>
      <c r="DA94" s="1982">
        <v>9.1080000000000005</v>
      </c>
      <c r="DB94" s="1980">
        <f>+(DA94/DA87-1)*100</f>
        <v>-44.739716053876954</v>
      </c>
      <c r="DC94" s="1981">
        <f>+DA94/W94*100</f>
        <v>2.6638511191508902</v>
      </c>
      <c r="DD94" s="1981"/>
      <c r="DE94" s="1981"/>
      <c r="DF94" s="1981"/>
      <c r="DG94" s="1981"/>
      <c r="DH94" s="1982">
        <v>10.686999999999999</v>
      </c>
      <c r="DI94" s="1980">
        <f>+(DH94/DH87-1)*100</f>
        <v>-26.143745680718734</v>
      </c>
      <c r="DJ94" s="1981">
        <f>+DH94/AP94*100</f>
        <v>1.7807927001996249</v>
      </c>
      <c r="DK94" s="24"/>
      <c r="DL94" s="1982"/>
      <c r="DM94" s="1980"/>
      <c r="DN94" s="1981"/>
      <c r="DO94" s="24"/>
      <c r="DP94" s="1982"/>
      <c r="DQ94" s="1980"/>
      <c r="DR94" s="1981"/>
      <c r="DS94" s="24"/>
      <c r="DT94" s="1982">
        <v>-51.848999999999997</v>
      </c>
      <c r="DU94" s="1980">
        <f>+(DT94/DT87-1)*100</f>
        <v>57.86445012787722</v>
      </c>
      <c r="DV94" s="1981">
        <f>+DT94/BE94*100</f>
        <v>-40.714740040990364</v>
      </c>
      <c r="DW94" s="24"/>
      <c r="DX94" s="381">
        <f>+'qtrP&amp;L'!BJ$60</f>
        <v>119.37200000000007</v>
      </c>
      <c r="DY94" s="1980">
        <f>+(DX94/DX87-1)*100</f>
        <v>9.4643790520032347</v>
      </c>
      <c r="DZ94" s="1981">
        <f>(+DX94/BI94)*100</f>
        <v>6.0343655327587751</v>
      </c>
      <c r="EA94" s="2005" t="str">
        <f>IF(EB94=DX94," ","no")</f>
        <v xml:space="preserve"> </v>
      </c>
      <c r="EB94" s="91">
        <f>DT94+DH94+DA94+CT94</f>
        <v>119.37199999999999</v>
      </c>
      <c r="EC94" s="24"/>
      <c r="ED94" s="24"/>
      <c r="EE94" s="24"/>
      <c r="EG94" s="1982"/>
      <c r="EH94" s="1980"/>
      <c r="EI94" s="1982"/>
      <c r="EJ94" s="1980"/>
    </row>
    <row r="95" spans="1:140" hidden="1" outlineLevel="1">
      <c r="A95" s="113" t="str">
        <f>+qtrSales!A118</f>
        <v>2Q</v>
      </c>
      <c r="B95" s="24" t="str">
        <f>+qtrSales!B118</f>
        <v>Jul</v>
      </c>
      <c r="C95" s="24"/>
      <c r="D95" s="24"/>
      <c r="E95" s="388">
        <v>726.3</v>
      </c>
      <c r="F95" s="388"/>
      <c r="G95" s="1980">
        <f>+(E95/E88-1)*100</f>
        <v>8.5650224215246595</v>
      </c>
      <c r="H95" s="1981">
        <f>+E95/$BI95*100</f>
        <v>32.85188562495928</v>
      </c>
      <c r="I95" s="1981"/>
      <c r="J95" s="1981"/>
      <c r="K95" s="388">
        <v>296.8</v>
      </c>
      <c r="L95" s="1980">
        <f>+(K95/K88-1)*100</f>
        <v>14.022281982328089</v>
      </c>
      <c r="M95" s="1981">
        <f>+K95/BI95*100</f>
        <v>13.424810207198012</v>
      </c>
      <c r="N95" s="1981"/>
      <c r="O95" s="1981"/>
      <c r="P95" s="1981"/>
      <c r="Q95" s="24"/>
      <c r="R95" s="388">
        <v>1023.128</v>
      </c>
      <c r="S95" s="1980">
        <f>+(R95/R88-1)*100</f>
        <v>10.095210220033746</v>
      </c>
      <c r="T95" s="1980"/>
      <c r="U95" s="1981">
        <f>+R95/$BI95*100</f>
        <v>46.277962323686282</v>
      </c>
      <c r="V95" s="24"/>
      <c r="W95" s="388">
        <v>470.35500000000002</v>
      </c>
      <c r="X95" s="388"/>
      <c r="Y95" s="388"/>
      <c r="Z95" s="388"/>
      <c r="AA95" s="388"/>
      <c r="AB95" s="388"/>
      <c r="AC95" s="1980">
        <f>+(W95/W88-1)*100</f>
        <v>19.591002356961429</v>
      </c>
      <c r="AD95" s="1981">
        <f>+W95/$BI95*100</f>
        <v>21.275022254065433</v>
      </c>
      <c r="AE95" s="1981"/>
      <c r="AF95" s="1981"/>
      <c r="AG95" s="1981"/>
      <c r="AH95" s="1981"/>
      <c r="AI95" s="24"/>
      <c r="AJ95" s="24"/>
      <c r="AK95" s="388"/>
      <c r="AL95" s="388">
        <v>464.7</v>
      </c>
      <c r="AM95" s="388"/>
      <c r="AN95" s="388"/>
      <c r="AO95" s="388">
        <v>127.7</v>
      </c>
      <c r="AP95" s="388">
        <v>592.346</v>
      </c>
      <c r="AQ95" s="1980">
        <f>+(AP95/AP88-1)*100</f>
        <v>0.5815720614479547</v>
      </c>
      <c r="AR95" s="1981">
        <f>+AP95/$BI95*100</f>
        <v>26.79289968663381</v>
      </c>
      <c r="AS95" s="24"/>
      <c r="AT95" s="388"/>
      <c r="AU95" s="388"/>
      <c r="AV95" s="388"/>
      <c r="AW95" s="388"/>
      <c r="AX95" s="388"/>
      <c r="AY95" s="388"/>
      <c r="AZ95" s="388"/>
      <c r="BA95" s="388"/>
      <c r="BB95" s="388"/>
      <c r="BC95" s="388"/>
      <c r="BD95" s="1980" t="e">
        <f>+(BC95/BC88-1)*100</f>
        <v>#DIV/0!</v>
      </c>
      <c r="BE95" s="388">
        <v>125.003</v>
      </c>
      <c r="BF95" s="1980">
        <f>+(BE95/BE88-1)*100</f>
        <v>21.870917422248226</v>
      </c>
      <c r="BG95" s="1981">
        <f>+BE95/$BI95*100</f>
        <v>5.6541157356144645</v>
      </c>
      <c r="BH95" s="24"/>
      <c r="BI95" s="266">
        <f>+R95+W95+AP95+BE95</f>
        <v>2210.8320000000003</v>
      </c>
      <c r="BJ95" s="266"/>
      <c r="BK95" s="2889">
        <f>+(BI95/BI88-1)*100</f>
        <v>9.7674104540674822</v>
      </c>
      <c r="BL95" s="266">
        <f>+E95+K95+W95+AT95+AY95</f>
        <v>1493.4549999999999</v>
      </c>
      <c r="BM95" s="1980">
        <f>+(BL95/BL88-1)*100</f>
        <v>12.917859705444478</v>
      </c>
      <c r="BN95" s="1981">
        <f>+BL95/$BW95*100</f>
        <v>71.599176356937562</v>
      </c>
      <c r="BO95" s="266">
        <f>+AL95+AM95+AN95+AO95+AU95</f>
        <v>592.4</v>
      </c>
      <c r="BP95" s="1980">
        <f>+(BO95/BO88-1)*100</f>
        <v>0.59432840889794836</v>
      </c>
      <c r="BQ95" s="1981">
        <f>+BO95/$BW95*100</f>
        <v>28.400823643062434</v>
      </c>
      <c r="BR95" s="389"/>
      <c r="BS95" s="266">
        <f>+AK95+AV95+AW95+AX95</f>
        <v>0</v>
      </c>
      <c r="BT95" s="1980"/>
      <c r="BU95" s="1981">
        <f>+BS95/$BW95*100</f>
        <v>0</v>
      </c>
      <c r="BV95" s="389"/>
      <c r="BW95" s="266">
        <f>+BL95+BO95+BS95</f>
        <v>2085.855</v>
      </c>
      <c r="BX95" s="1980">
        <f>+(BW95/BW88-1)*100</f>
        <v>9.1211993912643443</v>
      </c>
      <c r="BY95" s="24"/>
      <c r="BZ95" s="389"/>
      <c r="CA95" s="1980"/>
      <c r="CB95" s="1981"/>
      <c r="CC95" s="389"/>
      <c r="CD95" s="1980"/>
      <c r="CE95" s="1981"/>
      <c r="CF95" s="389"/>
      <c r="CG95" s="389"/>
      <c r="CH95" s="1980"/>
      <c r="CI95" s="1981"/>
      <c r="CJ95" s="389"/>
      <c r="CK95" s="389"/>
      <c r="CL95" s="1980"/>
      <c r="CM95" s="1981"/>
      <c r="CN95" s="389"/>
      <c r="CO95" s="266"/>
      <c r="CP95" s="1980"/>
      <c r="CQ95" s="1981"/>
      <c r="CR95" s="1981"/>
      <c r="CS95" s="24"/>
      <c r="CT95" s="389">
        <v>188.80500000000001</v>
      </c>
      <c r="CU95" s="1980">
        <f>+(CT95/CT88-1)*100</f>
        <v>7.9224899254051406</v>
      </c>
      <c r="CV95" s="1981">
        <f>+CT95/R95*100</f>
        <v>18.453702762508698</v>
      </c>
      <c r="CW95" s="389"/>
      <c r="CX95" s="389"/>
      <c r="CY95" s="389"/>
      <c r="CZ95" s="24"/>
      <c r="DA95" s="2008">
        <v>76.811999999999998</v>
      </c>
      <c r="DB95" s="1980">
        <f>+(DA95/DA88-1)*100</f>
        <v>47.087434414614513</v>
      </c>
      <c r="DC95" s="1981">
        <f>+DA95/W95*100</f>
        <v>16.330643875370729</v>
      </c>
      <c r="DD95" s="1981"/>
      <c r="DE95" s="1981"/>
      <c r="DF95" s="1981"/>
      <c r="DG95" s="1981"/>
      <c r="DH95" s="2008">
        <v>15.773</v>
      </c>
      <c r="DI95" s="2015" t="s">
        <v>886</v>
      </c>
      <c r="DJ95" s="1981">
        <f>+DH95/AP95*100</f>
        <v>2.6628018084025213</v>
      </c>
      <c r="DK95" s="24"/>
      <c r="DL95" s="2008"/>
      <c r="DM95" s="1980"/>
      <c r="DN95" s="1981"/>
      <c r="DO95" s="24"/>
      <c r="DP95" s="2008"/>
      <c r="DQ95" s="1980"/>
      <c r="DR95" s="1981"/>
      <c r="DS95" s="24"/>
      <c r="DT95" s="2008">
        <v>-54.447000000000003</v>
      </c>
      <c r="DU95" s="1980">
        <f>+(DT95/DT88-1)*100</f>
        <v>0.89504113853680067</v>
      </c>
      <c r="DV95" s="1981">
        <v>-49.6</v>
      </c>
      <c r="DW95" s="24"/>
      <c r="DX95" s="266">
        <f>+'qtrP&amp;L'!BJ$61</f>
        <v>226.94299999999987</v>
      </c>
      <c r="DY95" s="1980">
        <f>+(DX95/DX88-1)*100</f>
        <v>33.208309120897781</v>
      </c>
      <c r="DZ95" s="1981">
        <f>(+DX95/BI95)*100</f>
        <v>10.265049537911512</v>
      </c>
      <c r="EA95" s="2005" t="str">
        <f>IF(EB95=DX95," ","no")</f>
        <v xml:space="preserve"> </v>
      </c>
      <c r="EB95" s="91">
        <f>DT95+DH95+DA95+CT95</f>
        <v>226.94299999999998</v>
      </c>
      <c r="EC95" s="24"/>
      <c r="ED95" s="24"/>
      <c r="EE95" s="24"/>
      <c r="EG95" s="2008"/>
      <c r="EH95" s="1980"/>
      <c r="EI95" s="2008"/>
      <c r="EJ95" s="1980"/>
    </row>
    <row r="96" spans="1:140" hidden="1" outlineLevel="1">
      <c r="A96" s="113" t="str">
        <f>+qtrSales!A119</f>
        <v>3Q</v>
      </c>
      <c r="B96" s="24" t="str">
        <f>+qtrSales!B119</f>
        <v>Oct</v>
      </c>
      <c r="C96" s="24"/>
      <c r="D96" s="24"/>
      <c r="E96" s="388">
        <v>632.03899999999999</v>
      </c>
      <c r="F96" s="388"/>
      <c r="G96" s="1980">
        <f>+(E96/E89-1)*100</f>
        <v>13.553539346029453</v>
      </c>
      <c r="H96" s="1981">
        <f>+E96/$BI96*100</f>
        <v>33.426095602254009</v>
      </c>
      <c r="I96" s="1981"/>
      <c r="J96" s="1981"/>
      <c r="K96" s="388">
        <v>198</v>
      </c>
      <c r="L96" s="1980">
        <f>+(K96/K89-1)*100</f>
        <v>11.990950226244346</v>
      </c>
      <c r="M96" s="1981">
        <f>+K96/BI96*100</f>
        <v>10.471453390133036</v>
      </c>
      <c r="N96" s="1981"/>
      <c r="O96" s="1981"/>
      <c r="P96" s="1981"/>
      <c r="Q96" s="24"/>
      <c r="R96" s="388">
        <v>830.03899999999999</v>
      </c>
      <c r="S96" s="1980">
        <f>+(R96/R89-1)*100</f>
        <v>13.172372513222141</v>
      </c>
      <c r="T96" s="1980"/>
      <c r="U96" s="1981">
        <f>+R96/$BI96*100</f>
        <v>43.897548992387044</v>
      </c>
      <c r="V96" s="24"/>
      <c r="W96" s="388">
        <v>349.98399999999998</v>
      </c>
      <c r="X96" s="388"/>
      <c r="Y96" s="388"/>
      <c r="Z96" s="388"/>
      <c r="AA96" s="388"/>
      <c r="AB96" s="388"/>
      <c r="AC96" s="1980">
        <f>+(W96/W89-1)*100</f>
        <v>9.2672205206977267</v>
      </c>
      <c r="AD96" s="1981">
        <f>+W96/$BI96*100</f>
        <v>18.509298703496569</v>
      </c>
      <c r="AE96" s="1981"/>
      <c r="AF96" s="1981"/>
      <c r="AG96" s="1981"/>
      <c r="AH96" s="1981"/>
      <c r="AI96" s="24"/>
      <c r="AJ96" s="24"/>
      <c r="AK96" s="388"/>
      <c r="AL96" s="388">
        <v>449.54899999999998</v>
      </c>
      <c r="AM96" s="388"/>
      <c r="AN96" s="388"/>
      <c r="AO96" s="388">
        <v>134.9</v>
      </c>
      <c r="AP96" s="388">
        <v>584.44899999999996</v>
      </c>
      <c r="AQ96" s="1980">
        <f>+(AP96/AP89-1)*100</f>
        <v>-11.872403627946948</v>
      </c>
      <c r="AR96" s="1981">
        <f>+AP96/$BI96*100</f>
        <v>30.90924475964577</v>
      </c>
      <c r="AS96" s="24"/>
      <c r="AT96" s="388"/>
      <c r="AU96" s="388"/>
      <c r="AV96" s="388"/>
      <c r="AW96" s="388"/>
      <c r="AX96" s="388"/>
      <c r="AY96" s="388"/>
      <c r="AZ96" s="388"/>
      <c r="BA96" s="388"/>
      <c r="BB96" s="388"/>
      <c r="BC96" s="388"/>
      <c r="BD96" s="1980" t="e">
        <f>+(BC96/BC89-1)*100</f>
        <v>#DIV/0!</v>
      </c>
      <c r="BE96" s="388">
        <v>126.383</v>
      </c>
      <c r="BF96" s="1980">
        <f>+(BE96/BE89-1)*100</f>
        <v>-2.6737514920488148</v>
      </c>
      <c r="BG96" s="1981">
        <f>+BE96/$BI96*100</f>
        <v>6.6839075444706246</v>
      </c>
      <c r="BH96" s="24"/>
      <c r="BI96" s="266">
        <f>+R96+W96+AP96+BE96</f>
        <v>1890.8549999999998</v>
      </c>
      <c r="BJ96" s="266"/>
      <c r="BK96" s="2889">
        <f>+(BI96/BI89-1)*100</f>
        <v>2.3871407917607446</v>
      </c>
      <c r="BL96" s="266">
        <f>+E96+K96+W96+AT96+AY96</f>
        <v>1180.0229999999999</v>
      </c>
      <c r="BM96" s="1980">
        <f>+(BL96/BL89-1)*100</f>
        <v>11.98841037448004</v>
      </c>
      <c r="BN96" s="1981">
        <f>+BL96/$BW96*100</f>
        <v>66.876833409654566</v>
      </c>
      <c r="BO96" s="266">
        <f>+AL96+AM96+AN96+AO96+AU96</f>
        <v>584.44899999999996</v>
      </c>
      <c r="BP96" s="1980">
        <f>+(BO96/BO89-1)*100</f>
        <v>-11.874396863691207</v>
      </c>
      <c r="BQ96" s="1981">
        <f>+BO96/$BW96*100</f>
        <v>33.123166590345441</v>
      </c>
      <c r="BR96" s="24"/>
      <c r="BS96" s="266">
        <f>+AK96+AV96+AW96+AX96</f>
        <v>0</v>
      </c>
      <c r="BT96" s="1980"/>
      <c r="BU96" s="1981">
        <f>+BS96/$BW96*100</f>
        <v>0</v>
      </c>
      <c r="BV96" s="24"/>
      <c r="BW96" s="266">
        <f>+BL96+BO96+BS96</f>
        <v>1764.4719999999998</v>
      </c>
      <c r="BX96" s="1980">
        <f>+(BW96/BW89-1)*100</f>
        <v>2.770747993040934</v>
      </c>
      <c r="BY96" s="24"/>
      <c r="BZ96" s="389"/>
      <c r="CA96" s="1980"/>
      <c r="CB96" s="1981"/>
      <c r="CC96" s="389"/>
      <c r="CD96" s="1980"/>
      <c r="CE96" s="1981"/>
      <c r="CF96" s="24"/>
      <c r="CG96" s="389"/>
      <c r="CH96" s="1980"/>
      <c r="CI96" s="1981"/>
      <c r="CJ96" s="24"/>
      <c r="CK96" s="389"/>
      <c r="CL96" s="1980"/>
      <c r="CM96" s="1981"/>
      <c r="CN96" s="24"/>
      <c r="CO96" s="266"/>
      <c r="CP96" s="1980"/>
      <c r="CQ96" s="1981"/>
      <c r="CR96" s="1981"/>
      <c r="CS96" s="24"/>
      <c r="CT96" s="389">
        <v>107.161</v>
      </c>
      <c r="CU96" s="1980">
        <f>+(CT96/CT89-1)*100</f>
        <v>26.442165874148984</v>
      </c>
      <c r="CV96" s="1981">
        <f>+CT96/R96*100</f>
        <v>12.910357224178624</v>
      </c>
      <c r="CW96" s="389"/>
      <c r="CX96" s="389"/>
      <c r="CY96" s="389"/>
      <c r="CZ96" s="24"/>
      <c r="DA96" s="2008">
        <v>4.6630000000000003</v>
      </c>
      <c r="DB96" s="1980">
        <f>+(DA96/DA89-1)*100</f>
        <v>1.3916068710589258</v>
      </c>
      <c r="DC96" s="1981">
        <f>+DA96/W96*100</f>
        <v>1.332346621559843</v>
      </c>
      <c r="DD96" s="1981"/>
      <c r="DE96" s="1981"/>
      <c r="DF96" s="1981"/>
      <c r="DG96" s="1981"/>
      <c r="DH96" s="2008">
        <v>-17.800999999999998</v>
      </c>
      <c r="DI96" s="2015" t="s">
        <v>886</v>
      </c>
      <c r="DJ96" s="1981">
        <f>+DH96/AP96*100</f>
        <v>-3.0457747382577436</v>
      </c>
      <c r="DK96" s="24"/>
      <c r="DL96" s="2008"/>
      <c r="DM96" s="1980"/>
      <c r="DN96" s="1981"/>
      <c r="DO96" s="24"/>
      <c r="DP96" s="2008"/>
      <c r="DQ96" s="1980"/>
      <c r="DR96" s="1981"/>
      <c r="DS96" s="24"/>
      <c r="DT96" s="2008">
        <v>-40.878</v>
      </c>
      <c r="DU96" s="1980">
        <f>+(DT96/DT89-1)*100</f>
        <v>6.6892861803471204</v>
      </c>
      <c r="DV96" s="1981">
        <v>-48.6</v>
      </c>
      <c r="DW96" s="24"/>
      <c r="DX96" s="266">
        <f>+'qtrP&amp;L'!BJ$62</f>
        <v>53.144999999999982</v>
      </c>
      <c r="DY96" s="1980">
        <f>+(DX96/DX89-1)*100</f>
        <v>26.019633880299597</v>
      </c>
      <c r="DZ96" s="1981">
        <f>(+DX96/BI96)*100</f>
        <v>2.8106332849425253</v>
      </c>
      <c r="EA96" s="2005" t="str">
        <f>IF(EB96=DX96," ","no")</f>
        <v xml:space="preserve"> </v>
      </c>
      <c r="EB96" s="91">
        <f>DT96+DH96+DA96+CT96</f>
        <v>53.144999999999996</v>
      </c>
      <c r="EC96" s="24"/>
      <c r="ED96" s="24"/>
      <c r="EE96" s="24"/>
      <c r="EG96" s="2008"/>
      <c r="EH96" s="1980"/>
      <c r="EI96" s="2008"/>
      <c r="EJ96" s="1980"/>
    </row>
    <row r="97" spans="1:140" hidden="1" outlineLevel="1">
      <c r="A97" s="113" t="str">
        <f>+qtrSales!A120</f>
        <v>4Q</v>
      </c>
      <c r="B97" s="24" t="str">
        <f>+qtrSales!B120</f>
        <v>Jan</v>
      </c>
      <c r="C97" s="24"/>
      <c r="D97" s="24"/>
      <c r="E97" s="306">
        <v>1106</v>
      </c>
      <c r="F97" s="321"/>
      <c r="G97" s="1980">
        <f>+(E97/E90-1)*100</f>
        <v>6.9735951252538841</v>
      </c>
      <c r="H97" s="1981">
        <f>+E97/$BI97*100</f>
        <v>33.228959548999498</v>
      </c>
      <c r="I97" s="1981"/>
      <c r="J97" s="1981"/>
      <c r="K97" s="302">
        <v>364.101</v>
      </c>
      <c r="L97" s="1980">
        <f>+(K97/K90-1)*100</f>
        <v>10.770003042287811</v>
      </c>
      <c r="M97" s="1981">
        <f>+K97/BI97*100</f>
        <v>10.939147740280529</v>
      </c>
      <c r="N97" s="1981"/>
      <c r="O97" s="1981"/>
      <c r="P97" s="1981"/>
      <c r="Q97" s="24"/>
      <c r="R97" s="306">
        <v>1470.1010000000001</v>
      </c>
      <c r="S97" s="1980">
        <f>+(R97/R90-1)*100</f>
        <v>7.8888483620002114</v>
      </c>
      <c r="T97" s="1980"/>
      <c r="U97" s="1981">
        <f>+R97/$BI97*100</f>
        <v>44.16810728928003</v>
      </c>
      <c r="V97" s="24"/>
      <c r="W97" s="302">
        <v>1006.394</v>
      </c>
      <c r="X97" s="307"/>
      <c r="Y97" s="307"/>
      <c r="Z97" s="307"/>
      <c r="AA97" s="307"/>
      <c r="AB97" s="307"/>
      <c r="AC97" s="1980">
        <f>+(W97/W90-1)*100</f>
        <v>11.882096200944293</v>
      </c>
      <c r="AD97" s="1981">
        <f>+W97/$BI97*100</f>
        <v>30.2363702679528</v>
      </c>
      <c r="AE97" s="1981"/>
      <c r="AF97" s="1981"/>
      <c r="AG97" s="1981"/>
      <c r="AH97" s="1981"/>
      <c r="AI97" s="24"/>
      <c r="AJ97" s="24"/>
      <c r="AK97" s="388"/>
      <c r="AL97" s="2009">
        <v>538.6</v>
      </c>
      <c r="AM97" s="388"/>
      <c r="AN97" s="388"/>
      <c r="AO97" s="2009">
        <v>174.7</v>
      </c>
      <c r="AP97" s="302">
        <v>713.31500000000005</v>
      </c>
      <c r="AQ97" s="1980">
        <f>+(AP97/AP90-1)*100</f>
        <v>-13.954764776839557</v>
      </c>
      <c r="AR97" s="1981">
        <f>+AP97/$BI97*100</f>
        <v>21.431026474407393</v>
      </c>
      <c r="AS97" s="24"/>
      <c r="AT97" s="388"/>
      <c r="AU97" s="388"/>
      <c r="AV97" s="388"/>
      <c r="AW97" s="388"/>
      <c r="AX97" s="388"/>
      <c r="AY97" s="388"/>
      <c r="AZ97" s="388"/>
      <c r="BA97" s="388"/>
      <c r="BB97" s="388"/>
      <c r="BC97" s="302"/>
      <c r="BD97" s="1980" t="e">
        <f>+(BC97/BC90-1)*100</f>
        <v>#DIV/0!</v>
      </c>
      <c r="BE97" s="302">
        <v>138.61199999999999</v>
      </c>
      <c r="BF97" s="1980">
        <f>+(BE97/BE90-1)*100</f>
        <v>-0.84836692942674707</v>
      </c>
      <c r="BG97" s="1981">
        <f>+BE97/$BI97*100</f>
        <v>4.1644959683597813</v>
      </c>
      <c r="BH97" s="24"/>
      <c r="BI97" s="1022">
        <f>+R97+W97+AP97+BE97</f>
        <v>3328.422</v>
      </c>
      <c r="BJ97" s="325"/>
      <c r="BK97" s="2889">
        <f>+(BI97/BI90-1)*100</f>
        <v>3.0178419879427487</v>
      </c>
      <c r="BL97" s="1022">
        <f>+E97+K97+W97+AT97+AY97</f>
        <v>2476.4949999999999</v>
      </c>
      <c r="BM97" s="1980">
        <f>+(BL97/BL90-1)*100</f>
        <v>9.4770685637719954</v>
      </c>
      <c r="BN97" s="1981">
        <f>+BL97/$BW97*100</f>
        <v>77.638061380120035</v>
      </c>
      <c r="BO97" s="1022">
        <f>+AL97+AM97+AN97+AO97+AU97</f>
        <v>713.3</v>
      </c>
      <c r="BP97" s="1980">
        <f>+(BO97/BO90-1)*100</f>
        <v>-13.956574185765991</v>
      </c>
      <c r="BQ97" s="1981">
        <f>+BO97/$BW97*100</f>
        <v>22.361938619879957</v>
      </c>
      <c r="BR97" s="24"/>
      <c r="BS97" s="1022">
        <f>+AK97+AV97+AW97+AX97</f>
        <v>0</v>
      </c>
      <c r="BT97" s="1980"/>
      <c r="BU97" s="1981">
        <f>+BS97/$BW97*100</f>
        <v>0</v>
      </c>
      <c r="BV97" s="24"/>
      <c r="BW97" s="1022">
        <f>+BL97+BO97+BS97</f>
        <v>3189.7950000000001</v>
      </c>
      <c r="BX97" s="1980">
        <f>+(BW97/BW90-1)*100</f>
        <v>3.1924423338777874</v>
      </c>
      <c r="BY97" s="24"/>
      <c r="BZ97" s="306"/>
      <c r="CA97" s="1980"/>
      <c r="CB97" s="1981"/>
      <c r="CC97" s="306"/>
      <c r="CD97" s="1980"/>
      <c r="CE97" s="1981"/>
      <c r="CF97" s="24"/>
      <c r="CG97" s="306"/>
      <c r="CH97" s="1980"/>
      <c r="CI97" s="1981"/>
      <c r="CJ97" s="24"/>
      <c r="CK97" s="306"/>
      <c r="CL97" s="1980"/>
      <c r="CM97" s="1981"/>
      <c r="CN97" s="24"/>
      <c r="CO97" s="67"/>
      <c r="CP97" s="1980"/>
      <c r="CQ97" s="1981"/>
      <c r="CR97" s="1981"/>
      <c r="CS97" s="24"/>
      <c r="CT97" s="306">
        <v>351.24599999999998</v>
      </c>
      <c r="CU97" s="1980">
        <f>+(CT97/CT90-1)*100</f>
        <v>3.3237534086195675</v>
      </c>
      <c r="CV97" s="1981">
        <f>+CT97/R97*100</f>
        <v>23.892644110846803</v>
      </c>
      <c r="CW97" s="321"/>
      <c r="CX97" s="321"/>
      <c r="CY97" s="321"/>
      <c r="CZ97" s="24"/>
      <c r="DA97" s="2010">
        <v>309.32799999999997</v>
      </c>
      <c r="DB97" s="1980">
        <f>+(DA97/DA90-1)*100</f>
        <v>9.7370876362720349</v>
      </c>
      <c r="DC97" s="1981">
        <f>+DA97/W97*100</f>
        <v>30.73627227507318</v>
      </c>
      <c r="DD97" s="1981"/>
      <c r="DE97" s="1981"/>
      <c r="DF97" s="1981"/>
      <c r="DG97" s="1981"/>
      <c r="DH97" s="2010">
        <v>7.3470000000000004</v>
      </c>
      <c r="DI97" s="1980">
        <f>+(DH97/DH90-1)*100</f>
        <v>-91.663073326827487</v>
      </c>
      <c r="DJ97" s="1981">
        <f>+DH97/AP97*100</f>
        <v>1.0299797424700168</v>
      </c>
      <c r="DK97" s="24"/>
      <c r="DL97" s="2010"/>
      <c r="DM97" s="1980"/>
      <c r="DN97" s="1981"/>
      <c r="DO97" s="24"/>
      <c r="DP97" s="2010"/>
      <c r="DQ97" s="1980"/>
      <c r="DR97" s="1981"/>
      <c r="DS97" s="24"/>
      <c r="DT97" s="2010">
        <v>-40.573</v>
      </c>
      <c r="DU97" s="1980">
        <f>+(DT97/DT90-1)*100</f>
        <v>-40.736466945166661</v>
      </c>
      <c r="DV97" s="1981">
        <f>+DT97/BE97*100</f>
        <v>-29.270914495137507</v>
      </c>
      <c r="DW97" s="24"/>
      <c r="DX97" s="1022">
        <f>+'qtrP&amp;L'!BJ$63</f>
        <v>627.34799999999996</v>
      </c>
      <c r="DY97" s="1980">
        <f>+(DX97/DX90-1)*100</f>
        <v>-2.2048599203108088</v>
      </c>
      <c r="DZ97" s="1981">
        <f>(+DX97/BI97)*100</f>
        <v>18.848210954019649</v>
      </c>
      <c r="EA97" s="2005" t="str">
        <f>IF(EB97=DX97," ","no")</f>
        <v xml:space="preserve"> </v>
      </c>
      <c r="EB97" s="91">
        <f>DT97+DH97+DA97+CT97</f>
        <v>627.34799999999996</v>
      </c>
      <c r="EC97" s="2016"/>
      <c r="ED97" s="24"/>
      <c r="EE97" s="24"/>
      <c r="EG97" s="2010"/>
      <c r="EH97" s="1980"/>
      <c r="EI97" s="2010"/>
      <c r="EJ97" s="1980"/>
    </row>
    <row r="98" spans="1:140" hidden="1" outlineLevel="1">
      <c r="A98" s="113"/>
      <c r="B98" s="24" t="str">
        <f>+qtrSales!B121</f>
        <v>Year</v>
      </c>
      <c r="C98" s="24"/>
      <c r="D98" s="24"/>
      <c r="E98" s="266">
        <f>+segqtrSales!S100</f>
        <v>3112.9390000000003</v>
      </c>
      <c r="F98" s="266"/>
      <c r="G98" s="1980">
        <f>+(E98/E91-1)*100</f>
        <v>10.337043207032215</v>
      </c>
      <c r="H98" s="1981">
        <f>+E98/$BI98*100</f>
        <v>33.08692849395193</v>
      </c>
      <c r="I98" s="1981"/>
      <c r="J98" s="1981"/>
      <c r="K98" s="266">
        <f>+SUM(K94:K97)</f>
        <v>1119.201</v>
      </c>
      <c r="L98" s="1980">
        <f>+(K98/K91-1)*100</f>
        <v>12.44860845976088</v>
      </c>
      <c r="M98" s="1981">
        <f>+K98/$BI98*100</f>
        <v>11.895807613756482</v>
      </c>
      <c r="N98" s="1981"/>
      <c r="O98" s="1981"/>
      <c r="P98" s="1981"/>
      <c r="Q98" s="24"/>
      <c r="R98" s="266">
        <f>+SUM(R94:R97)</f>
        <v>4232.0869999999995</v>
      </c>
      <c r="S98" s="1980">
        <f>+(R98/R91-1)*100</f>
        <v>10.886079995640085</v>
      </c>
      <c r="T98" s="1980"/>
      <c r="U98" s="1981">
        <f>+R98/$BI98*100</f>
        <v>44.982172779223589</v>
      </c>
      <c r="V98" s="24"/>
      <c r="W98" s="266">
        <f>+SUM(W94:W97)</f>
        <v>2168.6440000000002</v>
      </c>
      <c r="X98" s="266"/>
      <c r="Y98" s="266"/>
      <c r="Z98" s="266"/>
      <c r="AA98" s="266"/>
      <c r="AB98" s="266"/>
      <c r="AC98" s="1980">
        <f>+(W98/W91-1)*100</f>
        <v>12.105273224566314</v>
      </c>
      <c r="AD98" s="1981">
        <f>+W98/$BI98*100</f>
        <v>23.05016865310817</v>
      </c>
      <c r="AE98" s="1981"/>
      <c r="AF98" s="1981"/>
      <c r="AG98" s="1981"/>
      <c r="AH98" s="1981"/>
      <c r="AI98" s="24"/>
      <c r="AJ98" s="24"/>
      <c r="AK98" s="388"/>
      <c r="AL98" s="266">
        <f>+SUM(AL94:AL97)</f>
        <v>1912.8490000000002</v>
      </c>
      <c r="AM98" s="388"/>
      <c r="AN98" s="388"/>
      <c r="AO98" s="164">
        <f>+SUM(AO94:AO97)</f>
        <v>577.20000000000005</v>
      </c>
      <c r="AP98" s="266">
        <f>+SUM(AP94:AP97)</f>
        <v>2490.2359999999999</v>
      </c>
      <c r="AQ98" s="1980">
        <f>+(AP98/AP91-1)*100</f>
        <v>-7.6568229763649853</v>
      </c>
      <c r="AR98" s="1981">
        <f>+AP98/$BI98*100</f>
        <v>26.468318352870025</v>
      </c>
      <c r="AS98" s="24"/>
      <c r="AT98" s="388"/>
      <c r="AU98" s="388"/>
      <c r="AV98" s="388"/>
      <c r="AW98" s="388"/>
      <c r="AX98" s="388"/>
      <c r="AY98" s="388"/>
      <c r="AZ98" s="388"/>
      <c r="BA98" s="388"/>
      <c r="BB98" s="388"/>
      <c r="BC98" s="164"/>
      <c r="BD98" s="1980" t="e">
        <f>+(BC98/BC91-1)*100</f>
        <v>#DIV/0!</v>
      </c>
      <c r="BE98" s="164">
        <f>+SUM(BE94:BE97)</f>
        <v>517.34500000000003</v>
      </c>
      <c r="BF98" s="1980">
        <f>+(BE98/BE91-1)*100</f>
        <v>6.3854507467720145</v>
      </c>
      <c r="BG98" s="1981">
        <f>+BE98/$BI98*100</f>
        <v>5.4987768863134034</v>
      </c>
      <c r="BH98" s="24"/>
      <c r="BI98" s="266">
        <f>+E98+K98+W98+AP98+BE98</f>
        <v>9408.3649999999998</v>
      </c>
      <c r="BJ98" s="266"/>
      <c r="BK98" s="2889">
        <f>+(BI98/BI91-1)*100</f>
        <v>5.3086813722236448</v>
      </c>
      <c r="BL98" s="266">
        <f>+E98+K98+W98+AT98+AY98</f>
        <v>6400.7840000000006</v>
      </c>
      <c r="BM98" s="1980">
        <f>+(BL98/BL91-1)*100</f>
        <v>11.297252285704706</v>
      </c>
      <c r="BN98" s="1981">
        <f>+BL98/$BW98*100</f>
        <v>71.993074214755808</v>
      </c>
      <c r="BO98" s="266">
        <f>+AL98+AM98+AN98+AO98+AU98</f>
        <v>2490.049</v>
      </c>
      <c r="BP98" s="1980">
        <f>+(BO98/BO91-1)*100</f>
        <v>-7.6631067601142133</v>
      </c>
      <c r="BQ98" s="1981">
        <f>+BO98/$BW98*100</f>
        <v>28.006925785244192</v>
      </c>
      <c r="BR98" s="24"/>
      <c r="BS98" s="266">
        <f>+AK98+AV98+AW98+AX98</f>
        <v>0</v>
      </c>
      <c r="BT98" s="1980"/>
      <c r="BU98" s="1981">
        <f>+BS98/$BW98*100</f>
        <v>0</v>
      </c>
      <c r="BV98" s="24"/>
      <c r="BW98" s="266">
        <f>+BL98+BO98+BS98</f>
        <v>8890.8330000000005</v>
      </c>
      <c r="BX98" s="1980">
        <f>+(BW98/BW91-1)*100</f>
        <v>5.2447207671704188</v>
      </c>
      <c r="BY98" s="24"/>
      <c r="BZ98" s="389"/>
      <c r="CA98" s="1980"/>
      <c r="CB98" s="1981"/>
      <c r="CC98" s="389"/>
      <c r="CD98" s="1980"/>
      <c r="CE98" s="1981"/>
      <c r="CF98" s="24"/>
      <c r="CG98" s="389"/>
      <c r="CH98" s="1980"/>
      <c r="CI98" s="1981"/>
      <c r="CJ98" s="24"/>
      <c r="CK98" s="389"/>
      <c r="CL98" s="1980"/>
      <c r="CM98" s="1981"/>
      <c r="CN98" s="24"/>
      <c r="CO98" s="24"/>
      <c r="CP98" s="1980"/>
      <c r="CQ98" s="1981"/>
      <c r="CR98" s="1981"/>
      <c r="CS98" s="24"/>
      <c r="CT98" s="266">
        <f>+SUM(CT94:CT97)</f>
        <v>798.63799999999992</v>
      </c>
      <c r="CU98" s="1980">
        <f>+(CT98/CT91-1)*100</f>
        <v>12.391462820826749</v>
      </c>
      <c r="CV98" s="1981">
        <f>+CT98/R98*100</f>
        <v>18.871020373635986</v>
      </c>
      <c r="CW98" s="266"/>
      <c r="CX98" s="266"/>
      <c r="CY98" s="266"/>
      <c r="CZ98" s="24"/>
      <c r="DA98" s="266">
        <f>+SUM(DA94:DA97)</f>
        <v>399.91099999999994</v>
      </c>
      <c r="DB98" s="1980">
        <f>+(DA98/DA91-1)*100</f>
        <v>12.592628046308384</v>
      </c>
      <c r="DC98" s="1981">
        <f>+DA98/W98*100</f>
        <v>18.440601592515872</v>
      </c>
      <c r="DD98" s="1981"/>
      <c r="DE98" s="1981"/>
      <c r="DF98" s="1981"/>
      <c r="DG98" s="1981"/>
      <c r="DH98" s="266">
        <f>+SUM(DH94:DH97)</f>
        <v>16.006000000000004</v>
      </c>
      <c r="DI98" s="1980">
        <f>+(DH98/DH91-1)*100</f>
        <v>-82.391058010715426</v>
      </c>
      <c r="DJ98" s="1981">
        <f>+DH98/AP98*100</f>
        <v>0.64275032567194457</v>
      </c>
      <c r="DK98" s="24"/>
      <c r="DL98" s="91"/>
      <c r="DM98" s="1980"/>
      <c r="DN98" s="1981"/>
      <c r="DO98" s="24"/>
      <c r="DP98" s="91"/>
      <c r="DQ98" s="1980"/>
      <c r="DR98" s="1981"/>
      <c r="DS98" s="24"/>
      <c r="DT98" s="91">
        <f>+SUM(DT94:DT97)</f>
        <v>-187.74699999999999</v>
      </c>
      <c r="DU98" s="1980">
        <f>+(DT98/DT91-1)*100</f>
        <v>-3.0157295244982785</v>
      </c>
      <c r="DV98" s="1981">
        <f>+DT98/BE98*100</f>
        <v>-36.290483139877637</v>
      </c>
      <c r="DW98" s="24"/>
      <c r="DX98" s="266">
        <f>+SUM(DX94:DX97)</f>
        <v>1026.808</v>
      </c>
      <c r="DY98" s="1980">
        <f>+(DX98/DX91-1)*100</f>
        <v>6.6168820515802196</v>
      </c>
      <c r="DZ98" s="1981">
        <f>(+DX98/BI98)*100</f>
        <v>10.913777260979989</v>
      </c>
      <c r="EA98" s="2005"/>
      <c r="EB98" s="24"/>
      <c r="EC98" s="24"/>
      <c r="ED98" s="24"/>
      <c r="EE98" s="24"/>
      <c r="EG98" s="91"/>
      <c r="EH98" s="1980"/>
      <c r="EI98" s="91"/>
      <c r="EJ98" s="1980"/>
    </row>
    <row r="99" spans="1:140" hidden="1" outlineLevel="1">
      <c r="A99" s="113"/>
      <c r="B99" s="2017" t="s">
        <v>1007</v>
      </c>
      <c r="C99" s="24"/>
      <c r="D99" s="24"/>
      <c r="E99" s="309"/>
      <c r="F99" s="309"/>
      <c r="G99" s="24"/>
      <c r="H99" s="24"/>
      <c r="I99" s="24"/>
      <c r="J99" s="24"/>
      <c r="K99" s="24"/>
      <c r="L99" s="24"/>
      <c r="M99" s="24"/>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c r="AU99" s="24"/>
      <c r="AV99" s="24"/>
      <c r="AW99" s="24"/>
      <c r="AX99" s="24"/>
      <c r="AY99" s="24"/>
      <c r="AZ99" s="24"/>
      <c r="BA99" s="24"/>
      <c r="BB99" s="24"/>
      <c r="BC99" s="24"/>
      <c r="BD99" s="24"/>
      <c r="BE99" s="24"/>
      <c r="BF99" s="24"/>
      <c r="BG99" s="24"/>
      <c r="BH99" s="24"/>
      <c r="BI99" s="24"/>
      <c r="BJ99" s="24"/>
      <c r="BK99" s="78"/>
      <c r="BL99" s="24"/>
      <c r="BM99" s="24"/>
      <c r="BN99" s="24"/>
      <c r="BO99" s="24"/>
      <c r="BP99" s="24"/>
      <c r="BQ99" s="24"/>
      <c r="BR99" s="24"/>
      <c r="BS99" s="24"/>
      <c r="BT99" s="24"/>
      <c r="BU99" s="24"/>
      <c r="BV99" s="24"/>
      <c r="BW99" s="24"/>
      <c r="BX99" s="24"/>
      <c r="BY99" s="24"/>
      <c r="BZ99" s="24"/>
      <c r="CA99" s="24"/>
      <c r="CB99" s="24"/>
      <c r="CC99" s="24"/>
      <c r="CD99" s="24"/>
      <c r="CE99" s="24"/>
      <c r="CF99" s="24"/>
      <c r="CG99" s="24"/>
      <c r="CH99" s="24"/>
      <c r="CI99" s="24"/>
      <c r="CJ99" s="24"/>
      <c r="CK99" s="24"/>
      <c r="CL99" s="24"/>
      <c r="CM99" s="24"/>
      <c r="CN99" s="24"/>
      <c r="CO99" s="24"/>
      <c r="CP99" s="24"/>
      <c r="CQ99" s="24"/>
      <c r="CR99" s="24"/>
      <c r="CS99" s="24"/>
      <c r="CT99" s="24"/>
      <c r="CU99" s="2018"/>
      <c r="CV99" s="24"/>
      <c r="CW99" s="24"/>
      <c r="CX99" s="24"/>
      <c r="CY99" s="24"/>
      <c r="CZ99" s="24"/>
      <c r="DA99" s="24"/>
      <c r="DB99" s="24"/>
      <c r="DC99" s="545"/>
      <c r="DD99" s="545"/>
      <c r="DE99" s="545"/>
      <c r="DF99" s="545"/>
      <c r="DG99" s="545"/>
      <c r="DH99" s="24"/>
      <c r="DI99" s="24"/>
      <c r="DJ99" s="24"/>
      <c r="DK99" s="24"/>
      <c r="DL99" s="2012"/>
      <c r="DM99" s="24"/>
      <c r="DN99" s="24"/>
      <c r="DO99" s="24"/>
      <c r="DP99" s="2012"/>
      <c r="DQ99" s="24"/>
      <c r="DR99" s="24"/>
      <c r="DS99" s="24"/>
      <c r="DT99" s="2012">
        <f>DT98/BI98</f>
        <v>-1.9955326988270544E-2</v>
      </c>
      <c r="DU99" s="24"/>
      <c r="DV99" s="24"/>
      <c r="DW99" s="24"/>
      <c r="DX99" s="24"/>
      <c r="DY99" s="24"/>
      <c r="DZ99" s="24"/>
      <c r="EA99" s="2007"/>
      <c r="EB99" s="24"/>
      <c r="EC99" s="24"/>
      <c r="ED99" s="24"/>
      <c r="EE99" s="24"/>
      <c r="EG99" s="2012"/>
      <c r="EH99" s="24"/>
      <c r="EI99" s="2012"/>
      <c r="EJ99" s="24"/>
    </row>
    <row r="100" spans="1:140" hidden="1" outlineLevel="1">
      <c r="A100" s="113"/>
      <c r="B100" s="136" t="str">
        <f>+qtrSales!B123</f>
        <v>2005A</v>
      </c>
      <c r="C100" s="24"/>
      <c r="D100" s="24"/>
      <c r="E100" s="141" t="s">
        <v>1007</v>
      </c>
      <c r="F100" s="141"/>
      <c r="G100" s="1980"/>
      <c r="H100" s="1981"/>
      <c r="I100" s="1981"/>
      <c r="J100" s="1981"/>
      <c r="K100" s="24"/>
      <c r="L100" s="1980"/>
      <c r="M100" s="1981"/>
      <c r="N100" s="1981"/>
      <c r="O100" s="1981"/>
      <c r="P100" s="1981"/>
      <c r="Q100" s="24"/>
      <c r="R100" s="24"/>
      <c r="S100" s="1980"/>
      <c r="T100" s="1980"/>
      <c r="U100" s="1981"/>
      <c r="V100" s="24"/>
      <c r="W100" s="387"/>
      <c r="X100" s="387"/>
      <c r="Y100" s="387"/>
      <c r="Z100" s="387"/>
      <c r="AA100" s="387"/>
      <c r="AB100" s="387"/>
      <c r="AC100" s="1980"/>
      <c r="AD100" s="1981"/>
      <c r="AE100" s="1981"/>
      <c r="AF100" s="1981"/>
      <c r="AG100" s="1981"/>
      <c r="AH100" s="1981"/>
      <c r="AI100" s="24"/>
      <c r="AJ100" s="399"/>
      <c r="AK100" s="24"/>
      <c r="AL100" s="1980"/>
      <c r="AM100" s="24"/>
      <c r="AN100" s="24"/>
      <c r="AO100" s="1980"/>
      <c r="AP100" s="24"/>
      <c r="AQ100" s="1980"/>
      <c r="AR100" s="1981"/>
      <c r="AS100" s="24"/>
      <c r="AT100" s="24"/>
      <c r="AU100" s="24"/>
      <c r="AV100" s="24"/>
      <c r="AW100" s="24"/>
      <c r="AX100" s="24"/>
      <c r="AY100" s="24"/>
      <c r="AZ100" s="24"/>
      <c r="BA100" s="24"/>
      <c r="BB100" s="24"/>
      <c r="BC100" s="24"/>
      <c r="BD100" s="1980"/>
      <c r="BE100" s="24"/>
      <c r="BF100" s="1980"/>
      <c r="BG100" s="1981"/>
      <c r="BH100" s="24"/>
      <c r="BI100" s="24"/>
      <c r="BJ100" s="24"/>
      <c r="BK100" s="2889"/>
      <c r="BL100" s="389"/>
      <c r="BM100" s="1988"/>
      <c r="BN100" s="1989"/>
      <c r="BO100" s="389"/>
      <c r="BP100" s="389"/>
      <c r="BQ100" s="389"/>
      <c r="BR100" s="389"/>
      <c r="BS100" s="389"/>
      <c r="BT100" s="389"/>
      <c r="BU100" s="389"/>
      <c r="BV100" s="389"/>
      <c r="BW100" s="266"/>
      <c r="BX100" s="24"/>
      <c r="BY100" s="24"/>
      <c r="BZ100" s="389"/>
      <c r="CA100" s="1988"/>
      <c r="CB100" s="1989"/>
      <c r="CC100" s="389"/>
      <c r="CD100" s="389"/>
      <c r="CE100" s="389"/>
      <c r="CF100" s="389"/>
      <c r="CG100" s="389"/>
      <c r="CH100" s="389"/>
      <c r="CI100" s="389"/>
      <c r="CJ100" s="389"/>
      <c r="CK100" s="389"/>
      <c r="CL100" s="389"/>
      <c r="CM100" s="389"/>
      <c r="CN100" s="389"/>
      <c r="CO100" s="266"/>
      <c r="CP100" s="24"/>
      <c r="CQ100" s="24"/>
      <c r="CR100" s="24"/>
      <c r="CS100" s="24"/>
      <c r="CT100" s="24"/>
      <c r="CU100" s="24"/>
      <c r="CV100" s="24"/>
      <c r="CW100" s="24"/>
      <c r="CX100" s="24"/>
      <c r="CY100" s="24"/>
      <c r="CZ100" s="24"/>
      <c r="DA100" s="24"/>
      <c r="DB100" s="24"/>
      <c r="DC100" s="24"/>
      <c r="DD100" s="24"/>
      <c r="DE100" s="24"/>
      <c r="DF100" s="24"/>
      <c r="DG100" s="24"/>
      <c r="DH100" s="142"/>
      <c r="DI100" s="24"/>
      <c r="DJ100" s="2019"/>
      <c r="DK100" s="24"/>
      <c r="DL100" s="24"/>
      <c r="DM100" s="24"/>
      <c r="DN100" s="24"/>
      <c r="DO100" s="24"/>
      <c r="DP100" s="24"/>
      <c r="DQ100" s="24"/>
      <c r="DR100" s="24"/>
      <c r="DS100" s="24"/>
      <c r="DT100" s="24"/>
      <c r="DU100" s="24"/>
      <c r="DV100" s="24"/>
      <c r="DW100" s="24"/>
      <c r="DX100" s="24"/>
      <c r="DY100" s="24"/>
      <c r="DZ100" s="1981"/>
      <c r="EA100" s="2007"/>
      <c r="EB100" s="24"/>
      <c r="EC100" s="24"/>
      <c r="ED100" s="24"/>
      <c r="EE100" s="24"/>
      <c r="EG100" s="24"/>
      <c r="EH100" s="24"/>
      <c r="EI100" s="24"/>
      <c r="EJ100" s="24"/>
    </row>
    <row r="101" spans="1:140" hidden="1" outlineLevel="1">
      <c r="A101" s="113" t="str">
        <f>+qtrSales!A124</f>
        <v>1Q</v>
      </c>
      <c r="B101" s="24" t="str">
        <f>+qtrSales!B124</f>
        <v>Apr</v>
      </c>
      <c r="C101" s="24"/>
      <c r="D101" s="24"/>
      <c r="E101" s="307">
        <v>668.77700000000004</v>
      </c>
      <c r="F101" s="307"/>
      <c r="G101" s="1980">
        <f>+(E101/E94-1)*100</f>
        <v>3.1108541473943818</v>
      </c>
      <c r="H101" s="1981">
        <f>+E101/$BI101*100</f>
        <v>33.863292508299018</v>
      </c>
      <c r="I101" s="1981"/>
      <c r="J101" s="1981"/>
      <c r="K101" s="388">
        <v>286.39999999999998</v>
      </c>
      <c r="L101" s="1980">
        <f>+(K101/K94-1)*100</f>
        <v>10.026892047637336</v>
      </c>
      <c r="M101" s="1981">
        <f>+K101/BI101*100</f>
        <v>14.501765124065031</v>
      </c>
      <c r="N101" s="1981"/>
      <c r="O101" s="1981"/>
      <c r="P101" s="1981"/>
      <c r="Q101" s="24"/>
      <c r="R101" s="1982">
        <v>955.17700000000002</v>
      </c>
      <c r="S101" s="1980">
        <f>+(R101/R94-1)*100</f>
        <v>5.1009056808891673</v>
      </c>
      <c r="T101" s="1980"/>
      <c r="U101" s="1981">
        <f>+R101/$BI101*100</f>
        <v>48.365057632364049</v>
      </c>
      <c r="V101" s="24"/>
      <c r="W101" s="388">
        <v>363.16199999999998</v>
      </c>
      <c r="X101" s="388"/>
      <c r="Y101" s="388"/>
      <c r="Z101" s="388"/>
      <c r="AA101" s="388"/>
      <c r="AB101" s="388"/>
      <c r="AC101" s="1980">
        <f>+(W101/W94-1)*100</f>
        <v>6.2153601375796619</v>
      </c>
      <c r="AD101" s="1981">
        <f>+W101/$BI101*100</f>
        <v>18.388582492966847</v>
      </c>
      <c r="AE101" s="1981"/>
      <c r="AF101" s="1981"/>
      <c r="AG101" s="1981"/>
      <c r="AH101" s="1981"/>
      <c r="AI101" s="24"/>
      <c r="AJ101" s="24"/>
      <c r="AK101" s="2011">
        <f>0.75*2.1</f>
        <v>1.5750000000000002</v>
      </c>
      <c r="AL101" s="1982">
        <v>371.2</v>
      </c>
      <c r="AM101" s="1982"/>
      <c r="AN101" s="1982"/>
      <c r="AO101" s="1982">
        <v>129.07</v>
      </c>
      <c r="AP101" s="1982">
        <v>500.42700000000002</v>
      </c>
      <c r="AQ101" s="1980">
        <f>+(AP101/AP94-1)*100</f>
        <v>-16.613011267633794</v>
      </c>
      <c r="AR101" s="1981">
        <f>+AP101/$BI101*100</f>
        <v>25.338948378982163</v>
      </c>
      <c r="AS101" s="24"/>
      <c r="AT101" s="1982"/>
      <c r="AU101" s="1982"/>
      <c r="AV101" s="1982"/>
      <c r="AW101" s="1982"/>
      <c r="AX101" s="1982"/>
      <c r="AY101" s="1982"/>
      <c r="AZ101" s="1982"/>
      <c r="BA101" s="1982"/>
      <c r="BB101" s="1982"/>
      <c r="BC101" s="1982"/>
      <c r="BD101" s="1980" t="e">
        <f>+(BC101/BC94-1)*100</f>
        <v>#DIV/0!</v>
      </c>
      <c r="BE101" s="1982">
        <v>156.166</v>
      </c>
      <c r="BF101" s="1980">
        <f>+(BE101/BE94-1)*100</f>
        <v>22.630293607230634</v>
      </c>
      <c r="BG101" s="1981">
        <f>+BE101/$BI101*100</f>
        <v>7.9074114956869401</v>
      </c>
      <c r="BH101" s="24"/>
      <c r="BI101" s="381">
        <f>+R101+W101+AP101+BE101</f>
        <v>1974.932</v>
      </c>
      <c r="BJ101" s="381"/>
      <c r="BK101" s="2889">
        <f>+(BI101/BI94-1)*100</f>
        <v>-0.16535208975013704</v>
      </c>
      <c r="BL101" s="381">
        <f>+E101+K101+W101+AT101+AY101</f>
        <v>1318.3389999999999</v>
      </c>
      <c r="BM101" s="1980">
        <f>+(BL101/BL94-1)*100</f>
        <v>5.3987372992402305</v>
      </c>
      <c r="BN101" s="1981">
        <f>+BL101/$BW101*100</f>
        <v>72.428886310394986</v>
      </c>
      <c r="BO101" s="381">
        <f>+AL101+AM101+AN101+AO101+AU101</f>
        <v>500.27</v>
      </c>
      <c r="BP101" s="1980">
        <f>+(BO101/BO94-1)*100</f>
        <v>-16.607767961326893</v>
      </c>
      <c r="BQ101" s="1981">
        <f>+BO101/$BW101*100</f>
        <v>27.484583976125489</v>
      </c>
      <c r="BR101" s="389"/>
      <c r="BS101" s="381">
        <f>+AK101+AV101+AW101+AX101</f>
        <v>1.5750000000000002</v>
      </c>
      <c r="BT101" s="1980"/>
      <c r="BU101" s="1981">
        <f>+BS101/$BW101*100</f>
        <v>8.6529713479516365E-2</v>
      </c>
      <c r="BV101" s="389"/>
      <c r="BW101" s="381">
        <f>+BL101+BO101+BS101</f>
        <v>1820.184</v>
      </c>
      <c r="BX101" s="1980">
        <f>+(BW101/BW94-1)*100</f>
        <v>-1.7331016916394271</v>
      </c>
      <c r="BY101" s="24"/>
      <c r="BZ101" s="390"/>
      <c r="CA101" s="1980"/>
      <c r="CB101" s="1981"/>
      <c r="CC101" s="390"/>
      <c r="CD101" s="1980"/>
      <c r="CE101" s="1981"/>
      <c r="CF101" s="389"/>
      <c r="CG101" s="390"/>
      <c r="CH101" s="1980"/>
      <c r="CI101" s="1981"/>
      <c r="CJ101" s="24"/>
      <c r="CK101" s="390"/>
      <c r="CL101" s="1980"/>
      <c r="CM101" s="1981"/>
      <c r="CN101" s="24"/>
      <c r="CO101" s="165"/>
      <c r="CP101" s="1980"/>
      <c r="CQ101" s="1981"/>
      <c r="CR101" s="1981"/>
      <c r="CS101" s="24"/>
      <c r="CT101" s="1982">
        <v>157.65799999999999</v>
      </c>
      <c r="CU101" s="1980">
        <f>+(CT101/CT94-1)*100</f>
        <v>4.1155415846684251</v>
      </c>
      <c r="CV101" s="1981">
        <f>+CT101/R101*100</f>
        <v>16.505631940467577</v>
      </c>
      <c r="CW101" s="1982"/>
      <c r="CX101" s="1982"/>
      <c r="CY101" s="1982"/>
      <c r="CZ101" s="24"/>
      <c r="DA101" s="1982">
        <v>16.899000000000001</v>
      </c>
      <c r="DB101" s="1980">
        <f>+(DA101/DA94-1)*100</f>
        <v>85.540184453227937</v>
      </c>
      <c r="DC101" s="1981">
        <f>+DA101/W101*100</f>
        <v>4.653295223619212</v>
      </c>
      <c r="DD101" s="1981"/>
      <c r="DE101" s="1981"/>
      <c r="DF101" s="1981"/>
      <c r="DG101" s="1981"/>
      <c r="DH101" s="1982">
        <v>-68.462999999999994</v>
      </c>
      <c r="DI101" s="1980">
        <f>+(DH101/DH94-1)*100</f>
        <v>-740.61944418452322</v>
      </c>
      <c r="DJ101" s="1981">
        <f>+DH101/AP101*100</f>
        <v>-13.680916497311294</v>
      </c>
      <c r="DK101" s="24"/>
      <c r="DL101" s="1982"/>
      <c r="DM101" s="1980"/>
      <c r="DN101" s="1981"/>
      <c r="DO101" s="24"/>
      <c r="DP101" s="1982"/>
      <c r="DQ101" s="1980"/>
      <c r="DR101" s="1981"/>
      <c r="DS101" s="24"/>
      <c r="DT101" s="1982">
        <v>-57.835999999999999</v>
      </c>
      <c r="DU101" s="1980">
        <f>+(DT101/DT94-1)*100</f>
        <v>11.546992227429653</v>
      </c>
      <c r="DV101" s="1981">
        <f>+DT101/BE101*100</f>
        <v>-37.034949989114146</v>
      </c>
      <c r="DW101" s="24"/>
      <c r="DX101" s="381">
        <f>ROUND('qtrP&amp;L'!BN$60, 3)</f>
        <v>48.258000000000003</v>
      </c>
      <c r="DY101" s="1980">
        <f>+(DX101/DX94-1)*100</f>
        <v>-59.573434306202479</v>
      </c>
      <c r="DZ101" s="1981">
        <f>(+DX101/BI101)*100</f>
        <v>2.4435271695430529</v>
      </c>
      <c r="EA101" s="2005" t="str">
        <f>IF(EB101=DX101," ","no")</f>
        <v xml:space="preserve"> </v>
      </c>
      <c r="EB101" s="91">
        <f>DT101+DH101+DA101+CT101</f>
        <v>48.257999999999996</v>
      </c>
      <c r="EC101" s="2016"/>
      <c r="ED101" s="24"/>
      <c r="EE101" s="24"/>
      <c r="EG101" s="1982"/>
      <c r="EH101" s="1980"/>
      <c r="EI101" s="1982"/>
      <c r="EJ101" s="1980"/>
    </row>
    <row r="102" spans="1:140" hidden="1" outlineLevel="1">
      <c r="A102" s="113" t="str">
        <f>+qtrSales!A125</f>
        <v>2Q</v>
      </c>
      <c r="B102" s="24" t="str">
        <f>+qtrSales!B125</f>
        <v>Jul</v>
      </c>
      <c r="C102" s="24"/>
      <c r="D102" s="24"/>
      <c r="E102" s="307">
        <v>762.5</v>
      </c>
      <c r="F102" s="307"/>
      <c r="G102" s="1980">
        <f>+(E102/E95-1)*100</f>
        <v>4.9841663224562849</v>
      </c>
      <c r="H102" s="1981">
        <f>+E102/$BI102*100</f>
        <v>33.283847708827231</v>
      </c>
      <c r="I102" s="1981"/>
      <c r="J102" s="1981"/>
      <c r="K102" s="388">
        <v>319.2</v>
      </c>
      <c r="L102" s="1980">
        <f>+(K102/K95-1)*100</f>
        <v>7.547169811320753</v>
      </c>
      <c r="M102" s="1981">
        <f>+K102/BI102*100</f>
        <v>13.933382542501837</v>
      </c>
      <c r="N102" s="1981"/>
      <c r="O102" s="1981"/>
      <c r="P102" s="1981"/>
      <c r="Q102" s="24"/>
      <c r="R102" s="388">
        <v>1081.7360000000001</v>
      </c>
      <c r="S102" s="1980">
        <f>+(R102/R95-1)*100</f>
        <v>5.7283155186838908</v>
      </c>
      <c r="T102" s="1980"/>
      <c r="U102" s="1981">
        <f>+R102/$BI102*100</f>
        <v>47.218801685450408</v>
      </c>
      <c r="V102" s="24"/>
      <c r="W102" s="388">
        <v>516.51599999999996</v>
      </c>
      <c r="X102" s="388"/>
      <c r="Y102" s="388"/>
      <c r="Z102" s="388"/>
      <c r="AA102" s="388"/>
      <c r="AB102" s="388"/>
      <c r="AC102" s="1980">
        <f>+(W102/W95-1)*100</f>
        <v>9.8140766017157155</v>
      </c>
      <c r="AD102" s="1981">
        <f>+W102/$BI102*100</f>
        <v>22.54641296153784</v>
      </c>
      <c r="AE102" s="1981"/>
      <c r="AF102" s="1981"/>
      <c r="AG102" s="1981"/>
      <c r="AH102" s="1981"/>
      <c r="AI102" s="24"/>
      <c r="AJ102" s="24"/>
      <c r="AK102" s="388"/>
      <c r="AL102" s="388">
        <v>419.7</v>
      </c>
      <c r="AM102" s="388"/>
      <c r="AN102" s="388"/>
      <c r="AO102" s="388">
        <v>121</v>
      </c>
      <c r="AP102" s="388">
        <v>540.66999999999996</v>
      </c>
      <c r="AQ102" s="1980">
        <f>+(AP102/AP95-1)*100</f>
        <v>-8.7239552558808668</v>
      </c>
      <c r="AR102" s="1981">
        <f>+AP102/$BI102*100</f>
        <v>23.600757955057858</v>
      </c>
      <c r="AS102" s="24"/>
      <c r="AT102" s="388"/>
      <c r="AU102" s="388"/>
      <c r="AV102" s="388"/>
      <c r="AW102" s="388"/>
      <c r="AX102" s="388"/>
      <c r="AY102" s="388"/>
      <c r="AZ102" s="388"/>
      <c r="BA102" s="388"/>
      <c r="BB102" s="388"/>
      <c r="BC102" s="388"/>
      <c r="BD102" s="1980" t="e">
        <f>+(BC102/BC95-1)*100</f>
        <v>#DIV/0!</v>
      </c>
      <c r="BE102" s="388">
        <v>151.97900000000001</v>
      </c>
      <c r="BF102" s="1980">
        <f>+(BE102/BE95-1)*100</f>
        <v>21.580282073230261</v>
      </c>
      <c r="BG102" s="1981">
        <f>+BE102/$BI102*100</f>
        <v>6.6340273979539068</v>
      </c>
      <c r="BH102" s="24"/>
      <c r="BI102" s="266">
        <f>+R102+W102+AP102+BE102</f>
        <v>2290.9009999999998</v>
      </c>
      <c r="BJ102" s="266"/>
      <c r="BK102" s="2889">
        <f>+(BI102/BI95-1)*100</f>
        <v>3.6216682226419605</v>
      </c>
      <c r="BL102" s="266">
        <f>+E102+K102+W102+AT102+AY102</f>
        <v>1598.2159999999999</v>
      </c>
      <c r="BM102" s="1980">
        <f>+(BL102/BL95-1)*100</f>
        <v>7.0146740276740838</v>
      </c>
      <c r="BN102" s="1981">
        <f>+BL102/$BW102*100</f>
        <v>74.720839902081224</v>
      </c>
      <c r="BO102" s="266">
        <f>+AL102+AM102+AN102+AO102+AU102</f>
        <v>540.70000000000005</v>
      </c>
      <c r="BP102" s="1980">
        <f>+(BO102/BO95-1)*100</f>
        <v>-8.727211343686692</v>
      </c>
      <c r="BQ102" s="1981">
        <f>+BO102/$BW102*100</f>
        <v>25.279160097918759</v>
      </c>
      <c r="BR102" s="389"/>
      <c r="BS102" s="266">
        <f>+AK102+AV102+AW102+AX102</f>
        <v>0</v>
      </c>
      <c r="BT102" s="1980"/>
      <c r="BU102" s="1981">
        <f>+BS102/$BW102*100</f>
        <v>0</v>
      </c>
      <c r="BV102" s="389"/>
      <c r="BW102" s="266">
        <f>+BL102+BO102+BS102</f>
        <v>2138.9160000000002</v>
      </c>
      <c r="BX102" s="1980">
        <f>+(BW102/BW95-1)*100</f>
        <v>2.543848925260872</v>
      </c>
      <c r="BY102" s="24"/>
      <c r="BZ102" s="389"/>
      <c r="CA102" s="1980"/>
      <c r="CB102" s="1981"/>
      <c r="CC102" s="389"/>
      <c r="CD102" s="1980"/>
      <c r="CE102" s="1981"/>
      <c r="CF102" s="389"/>
      <c r="CG102" s="389"/>
      <c r="CH102" s="1980"/>
      <c r="CI102" s="1981"/>
      <c r="CJ102" s="389"/>
      <c r="CK102" s="389"/>
      <c r="CL102" s="1980"/>
      <c r="CM102" s="1981"/>
      <c r="CN102" s="389"/>
      <c r="CO102" s="266"/>
      <c r="CP102" s="1980"/>
      <c r="CQ102" s="1981"/>
      <c r="CR102" s="1981"/>
      <c r="CS102" s="24"/>
      <c r="CT102" s="389">
        <f>224.528</f>
        <v>224.52799999999999</v>
      </c>
      <c r="CU102" s="1980">
        <f>+(CT102/CT95-1)*100</f>
        <v>18.920579433807362</v>
      </c>
      <c r="CV102" s="1981">
        <f>+CT102/R102*100</f>
        <v>20.756265854145557</v>
      </c>
      <c r="CW102" s="389"/>
      <c r="CX102" s="389"/>
      <c r="CY102" s="389"/>
      <c r="CZ102" s="24"/>
      <c r="DA102" s="2008">
        <v>84.754999999999995</v>
      </c>
      <c r="DB102" s="1980">
        <f>+(DA102/DA95-1)*100</f>
        <v>10.340832161641412</v>
      </c>
      <c r="DC102" s="1981">
        <f>+DA102/W102*100</f>
        <v>16.408978618280944</v>
      </c>
      <c r="DD102" s="1981"/>
      <c r="DE102" s="1981"/>
      <c r="DF102" s="1981"/>
      <c r="DG102" s="1981"/>
      <c r="DH102" s="2008">
        <v>-42.508000000000003</v>
      </c>
      <c r="DI102" s="1980">
        <f>+(DH102/DH95-1)*100</f>
        <v>-369.4985101122171</v>
      </c>
      <c r="DJ102" s="1981">
        <f>+DH102/AP102*100</f>
        <v>-7.8620970277618527</v>
      </c>
      <c r="DK102" s="24"/>
      <c r="DL102" s="2008"/>
      <c r="DM102" s="1980"/>
      <c r="DN102" s="1981"/>
      <c r="DO102" s="24"/>
      <c r="DP102" s="2008"/>
      <c r="DQ102" s="1980"/>
      <c r="DR102" s="1981"/>
      <c r="DS102" s="24"/>
      <c r="DT102" s="2008">
        <v>-62.860999999999997</v>
      </c>
      <c r="DU102" s="1980">
        <f>+(DT102/DT95-1)*100</f>
        <v>15.453560343085915</v>
      </c>
      <c r="DV102" s="1981">
        <f>+DT102/BE102*100</f>
        <v>-41.361635489113624</v>
      </c>
      <c r="DW102" s="24"/>
      <c r="DX102" s="266">
        <f>+'qtrP&amp;L'!BN$61</f>
        <v>203.91399999999976</v>
      </c>
      <c r="DY102" s="1980">
        <f>+(DX102/DX95-1)*100</f>
        <v>-10.147481966837546</v>
      </c>
      <c r="DZ102" s="1981">
        <f>(+DX102/BI102)*100</f>
        <v>8.9010393727184098</v>
      </c>
      <c r="EA102" s="2005" t="str">
        <f>IF(EB102=DX102," ","no")</f>
        <v xml:space="preserve"> </v>
      </c>
      <c r="EB102" s="91">
        <f>DT102+DH102+DA102+CT102</f>
        <v>203.91399999999999</v>
      </c>
      <c r="EC102" s="2020"/>
      <c r="ED102" s="24"/>
      <c r="EE102" s="24"/>
      <c r="EG102" s="2008"/>
      <c r="EH102" s="1980"/>
      <c r="EI102" s="2008"/>
      <c r="EJ102" s="1980"/>
    </row>
    <row r="103" spans="1:140" hidden="1" outlineLevel="1">
      <c r="A103" s="113" t="str">
        <f>+qtrSales!A126</f>
        <v>3Q</v>
      </c>
      <c r="B103" s="24" t="str">
        <f>+qtrSales!B126</f>
        <v>Oct</v>
      </c>
      <c r="C103" s="24"/>
      <c r="D103" s="24"/>
      <c r="E103" s="307">
        <v>627.73599999999999</v>
      </c>
      <c r="F103" s="307"/>
      <c r="G103" s="1980">
        <f>+(E103/E96-1)*100</f>
        <v>-0.68081241822102179</v>
      </c>
      <c r="H103" s="1981">
        <f>+E103/$BI103*100</f>
        <v>33.186311127746492</v>
      </c>
      <c r="I103" s="1981"/>
      <c r="J103" s="1981"/>
      <c r="K103" s="388">
        <v>202.6</v>
      </c>
      <c r="L103" s="1980">
        <f>+(K103/K96-1)*100</f>
        <v>2.3232323232323271</v>
      </c>
      <c r="M103" s="1981">
        <f>+K103/BI103*100</f>
        <v>10.710787073676576</v>
      </c>
      <c r="N103" s="1981"/>
      <c r="O103" s="1981"/>
      <c r="P103" s="1981"/>
      <c r="Q103" s="24"/>
      <c r="R103" s="388">
        <v>830.33600000000001</v>
      </c>
      <c r="S103" s="1980">
        <f>+(R103/R96-1)*100</f>
        <v>3.5781451233019013E-2</v>
      </c>
      <c r="T103" s="1980"/>
      <c r="U103" s="1981">
        <f>+R103/$BI103*100</f>
        <v>43.89709820142307</v>
      </c>
      <c r="V103" s="24"/>
      <c r="W103" s="388">
        <v>356.22199999999998</v>
      </c>
      <c r="X103" s="388"/>
      <c r="Y103" s="388"/>
      <c r="Z103" s="388"/>
      <c r="AA103" s="388"/>
      <c r="AB103" s="388"/>
      <c r="AC103" s="1980">
        <f>+(W103/W96-1)*100</f>
        <v>1.7823671939288577</v>
      </c>
      <c r="AD103" s="1981">
        <f>+W103/$BI103*100</f>
        <v>18.832270448959608</v>
      </c>
      <c r="AE103" s="1981"/>
      <c r="AF103" s="1981"/>
      <c r="AG103" s="1981"/>
      <c r="AH103" s="1981"/>
      <c r="AI103" s="24"/>
      <c r="AJ103" s="24"/>
      <c r="AK103" s="388"/>
      <c r="AL103" s="388">
        <v>421.48799999999994</v>
      </c>
      <c r="AM103" s="388"/>
      <c r="AN103" s="388"/>
      <c r="AO103" s="388">
        <v>130.6</v>
      </c>
      <c r="AP103" s="388">
        <v>552.08799999999997</v>
      </c>
      <c r="AQ103" s="1980">
        <f>+(AP103/AP96-1)*100</f>
        <v>-5.5370100727351712</v>
      </c>
      <c r="AR103" s="1981">
        <f>+AP103/$BI103*100</f>
        <v>29.187053375774695</v>
      </c>
      <c r="AS103" s="24"/>
      <c r="AT103" s="388"/>
      <c r="AU103" s="388"/>
      <c r="AV103" s="388"/>
      <c r="AW103" s="388"/>
      <c r="AX103" s="388"/>
      <c r="AY103" s="388"/>
      <c r="AZ103" s="388"/>
      <c r="BA103" s="388"/>
      <c r="BB103" s="388"/>
      <c r="BC103" s="388"/>
      <c r="BD103" s="1980" t="e">
        <f>+(BC103/BC96-1)*100</f>
        <v>#DIV/0!</v>
      </c>
      <c r="BE103" s="388">
        <v>152.905</v>
      </c>
      <c r="BF103" s="1980">
        <f>+(BE103/BE96-1)*100</f>
        <v>20.985417342522329</v>
      </c>
      <c r="BG103" s="1981">
        <f>+BE103/$BI103*100</f>
        <v>8.0835779738426297</v>
      </c>
      <c r="BH103" s="24"/>
      <c r="BI103" s="266">
        <f>+R103+W103+AP103+BE103</f>
        <v>1891.5509999999999</v>
      </c>
      <c r="BJ103" s="266"/>
      <c r="BK103" s="2889">
        <f>+(BI103/BI96-1)*100</f>
        <v>3.6808745250183073E-2</v>
      </c>
      <c r="BL103" s="266">
        <f>+E103+K103+W103+AT103+AY103</f>
        <v>1186.558</v>
      </c>
      <c r="BM103" s="1980">
        <f>+(BL103/BL96-1)*100</f>
        <v>0.55380276486136637</v>
      </c>
      <c r="BN103" s="1981">
        <f>+BL103/$BW103*100</f>
        <v>68.246094949748255</v>
      </c>
      <c r="BO103" s="266">
        <f>+AL103+AM103+AN103+AO103+AU103</f>
        <v>552.08799999999997</v>
      </c>
      <c r="BP103" s="1980">
        <f>+(BO103/BO96-1)*100</f>
        <v>-5.5370100727351712</v>
      </c>
      <c r="BQ103" s="1981">
        <f>+BO103/$BW103*100</f>
        <v>31.753905050251745</v>
      </c>
      <c r="BR103" s="24"/>
      <c r="BS103" s="266">
        <f>+AK103+AV103+AW103+AX103</f>
        <v>0</v>
      </c>
      <c r="BT103" s="1980"/>
      <c r="BU103" s="1981">
        <f>+BS103/$BW103*100</f>
        <v>0</v>
      </c>
      <c r="BV103" s="24"/>
      <c r="BW103" s="266">
        <f>+BL103+BO103+BS103</f>
        <v>1738.646</v>
      </c>
      <c r="BX103" s="1980">
        <f>+(BW103/BW96-1)*100</f>
        <v>-1.4636673180418724</v>
      </c>
      <c r="BY103" s="24"/>
      <c r="BZ103" s="389"/>
      <c r="CA103" s="1980"/>
      <c r="CB103" s="1981"/>
      <c r="CC103" s="389"/>
      <c r="CD103" s="1980"/>
      <c r="CE103" s="1981"/>
      <c r="CF103" s="24"/>
      <c r="CG103" s="389"/>
      <c r="CH103" s="1980"/>
      <c r="CI103" s="1981"/>
      <c r="CJ103" s="24"/>
      <c r="CK103" s="389"/>
      <c r="CL103" s="1980"/>
      <c r="CM103" s="1981"/>
      <c r="CN103" s="24"/>
      <c r="CO103" s="266"/>
      <c r="CP103" s="1980"/>
      <c r="CQ103" s="1981"/>
      <c r="CR103" s="1981"/>
      <c r="CS103" s="24"/>
      <c r="CT103" s="389">
        <v>107.85899999999999</v>
      </c>
      <c r="CU103" s="1980">
        <f>+(CT103/CT96-1)*100</f>
        <v>0.65135637032127658</v>
      </c>
      <c r="CV103" s="1981">
        <f>+CT103/R103*100</f>
        <v>12.989801718822259</v>
      </c>
      <c r="CW103" s="389"/>
      <c r="CX103" s="389"/>
      <c r="CY103" s="389"/>
      <c r="CZ103" s="24"/>
      <c r="DA103" s="2008">
        <v>-17.398</v>
      </c>
      <c r="DB103" s="1980">
        <f>+(DA103/DA96-1)*100</f>
        <v>-473.10744156122661</v>
      </c>
      <c r="DC103" s="1981">
        <f>+DA103/W103*100</f>
        <v>-4.8840329906631261</v>
      </c>
      <c r="DD103" s="1981"/>
      <c r="DE103" s="1981"/>
      <c r="DF103" s="1981"/>
      <c r="DG103" s="1981"/>
      <c r="DH103" s="2008">
        <v>-36.418999999999997</v>
      </c>
      <c r="DI103" s="1980">
        <f>+(DH103/DH96-1)*100</f>
        <v>104.58962979607888</v>
      </c>
      <c r="DJ103" s="1981">
        <f>+DH103/AP103*100</f>
        <v>-6.5965932967208127</v>
      </c>
      <c r="DK103" s="24"/>
      <c r="DL103" s="2008"/>
      <c r="DM103" s="1980"/>
      <c r="DN103" s="1981"/>
      <c r="DO103" s="24"/>
      <c r="DP103" s="2008"/>
      <c r="DQ103" s="1980"/>
      <c r="DR103" s="1981"/>
      <c r="DS103" s="24"/>
      <c r="DT103" s="2008">
        <v>-51.371000000000002</v>
      </c>
      <c r="DU103" s="1980">
        <f>+(DT103/DT96-1)*100</f>
        <v>25.669064044229174</v>
      </c>
      <c r="DV103" s="1981">
        <f>+DT103/BE103*100</f>
        <v>-33.596677675680979</v>
      </c>
      <c r="DW103" s="24"/>
      <c r="DX103" s="629">
        <f>ROUND('qtrP&amp;L'!BN$62,3)</f>
        <v>2.6709999999999998</v>
      </c>
      <c r="DY103" s="1980">
        <f>+(DX103/DX96-1)*100</f>
        <v>-94.974127387336523</v>
      </c>
      <c r="DZ103" s="1981">
        <f>(+DX103/BI103)*100</f>
        <v>0.1412068720325278</v>
      </c>
      <c r="EA103" s="2005" t="str">
        <f>IF(EB103=DX103," ","no")</f>
        <v xml:space="preserve"> </v>
      </c>
      <c r="EB103" s="91">
        <f>ROUND(DT103+DH103+DA103+CT103, 3)</f>
        <v>2.6709999999999998</v>
      </c>
      <c r="EC103" s="2016"/>
      <c r="ED103" s="24"/>
      <c r="EE103" s="24"/>
      <c r="EG103" s="2008"/>
      <c r="EH103" s="1980"/>
      <c r="EI103" s="2008"/>
      <c r="EJ103" s="1980"/>
    </row>
    <row r="104" spans="1:140" hidden="1" outlineLevel="1">
      <c r="A104" s="113" t="str">
        <f>+qtrSales!A127</f>
        <v>4Q</v>
      </c>
      <c r="B104" s="24" t="str">
        <f>+qtrSales!B127</f>
        <v>Jan</v>
      </c>
      <c r="C104" s="24"/>
      <c r="D104" s="24"/>
      <c r="E104" s="302">
        <v>1163</v>
      </c>
      <c r="F104" s="307"/>
      <c r="G104" s="1980">
        <f>+(E104/E97-1)*100</f>
        <v>5.1537070524412254</v>
      </c>
      <c r="H104" s="1981">
        <f>+E104/$BI104*100</f>
        <v>33.122815012068614</v>
      </c>
      <c r="I104" s="1981"/>
      <c r="J104" s="1981"/>
      <c r="K104" s="302">
        <v>417.4</v>
      </c>
      <c r="L104" s="1980">
        <f>+(K104/K97-1)*100</f>
        <v>14.638520630264672</v>
      </c>
      <c r="M104" s="1981">
        <f>+K104/BI104*100</f>
        <v>11.887758371485329</v>
      </c>
      <c r="N104" s="1981"/>
      <c r="O104" s="1981"/>
      <c r="P104" s="1981"/>
      <c r="Q104" s="24"/>
      <c r="R104" s="306">
        <v>1580.6869999999999</v>
      </c>
      <c r="S104" s="1980">
        <f>+(R104/R97-1)*100</f>
        <v>7.5223403017887769</v>
      </c>
      <c r="T104" s="1980"/>
      <c r="U104" s="1981">
        <f>+R104/$BI104*100</f>
        <v>45.018747285452875</v>
      </c>
      <c r="V104" s="24"/>
      <c r="W104" s="302">
        <f>1033.021</f>
        <v>1033.021</v>
      </c>
      <c r="X104" s="307"/>
      <c r="Y104" s="307"/>
      <c r="Z104" s="307"/>
      <c r="AA104" s="307"/>
      <c r="AB104" s="307"/>
      <c r="AC104" s="1980">
        <f>+(W104/W97-1)*100</f>
        <v>2.6457828643652537</v>
      </c>
      <c r="AD104" s="1981">
        <f>+W104/$BI104*100</f>
        <v>29.420948827671651</v>
      </c>
      <c r="AE104" s="1981"/>
      <c r="AF104" s="1981"/>
      <c r="AG104" s="1981"/>
      <c r="AH104" s="1981"/>
      <c r="AI104" s="24"/>
      <c r="AJ104" s="24"/>
      <c r="AK104" s="388"/>
      <c r="AL104" s="2009">
        <f>567</f>
        <v>567</v>
      </c>
      <c r="AM104" s="388"/>
      <c r="AN104" s="388"/>
      <c r="AO104" s="2009">
        <v>164.5</v>
      </c>
      <c r="AP104" s="302">
        <v>731.54600000000005</v>
      </c>
      <c r="AQ104" s="1980">
        <f>+(AP104/AP97-1)*100</f>
        <v>2.5558133503431169</v>
      </c>
      <c r="AR104" s="1981">
        <f>+AP104/$BI104*100</f>
        <v>20.834791771985163</v>
      </c>
      <c r="AS104" s="24"/>
      <c r="AT104" s="388"/>
      <c r="AU104" s="388"/>
      <c r="AV104" s="388"/>
      <c r="AW104" s="388"/>
      <c r="AX104" s="388"/>
      <c r="AY104" s="388"/>
      <c r="AZ104" s="388"/>
      <c r="BA104" s="388"/>
      <c r="BB104" s="388"/>
      <c r="BC104" s="302"/>
      <c r="BD104" s="1980" t="e">
        <f>+(BC104/BC97-1)*100</f>
        <v>#DIV/0!</v>
      </c>
      <c r="BE104" s="302">
        <v>165.92099999999999</v>
      </c>
      <c r="BF104" s="1980">
        <f>+(BE104/BE97-1)*100</f>
        <v>19.701757423599698</v>
      </c>
      <c r="BG104" s="1981">
        <f>+BE104/$BI104*100</f>
        <v>4.7255121148903143</v>
      </c>
      <c r="BH104" s="24"/>
      <c r="BI104" s="1022">
        <f>+R104+W104+AP104+BE104</f>
        <v>3511.1749999999997</v>
      </c>
      <c r="BJ104" s="325"/>
      <c r="BK104" s="2889">
        <f>+(BI104/BI97-1)*100</f>
        <v>5.4906799678646534</v>
      </c>
      <c r="BL104" s="1022">
        <f>+E104+K104+W104+AT104+AY104</f>
        <v>2613.4210000000003</v>
      </c>
      <c r="BM104" s="1980">
        <f>+(BL104/BL97-1)*100</f>
        <v>5.5290238825436822</v>
      </c>
      <c r="BN104" s="1981">
        <f>+BL104/$BW104*100</f>
        <v>78.131023124312946</v>
      </c>
      <c r="BO104" s="1022">
        <f>+AL104+AM104+AN104+AO104+AU104</f>
        <v>731.5</v>
      </c>
      <c r="BP104" s="1980">
        <f>+(BO104/BO97-1)*100</f>
        <v>2.5515210991167825</v>
      </c>
      <c r="BQ104" s="1981">
        <f>+BO104/$BW104*100</f>
        <v>21.868976875687046</v>
      </c>
      <c r="BR104" s="24"/>
      <c r="BS104" s="1022">
        <f>+AK104+AV104+AW104+AX104</f>
        <v>0</v>
      </c>
      <c r="BT104" s="1980"/>
      <c r="BU104" s="1981">
        <f>+BS104/$BW104*100</f>
        <v>0</v>
      </c>
      <c r="BV104" s="24"/>
      <c r="BW104" s="1022">
        <f>+BL104+BO104+BS104</f>
        <v>3344.9210000000003</v>
      </c>
      <c r="BX104" s="1980">
        <f>+(BW104/BW97-1)*100</f>
        <v>4.8631965377085473</v>
      </c>
      <c r="BY104" s="24"/>
      <c r="BZ104" s="306"/>
      <c r="CA104" s="1980"/>
      <c r="CB104" s="1981"/>
      <c r="CC104" s="306"/>
      <c r="CD104" s="1980"/>
      <c r="CE104" s="1981"/>
      <c r="CF104" s="24"/>
      <c r="CG104" s="306"/>
      <c r="CH104" s="1980"/>
      <c r="CI104" s="1981"/>
      <c r="CJ104" s="24"/>
      <c r="CK104" s="306"/>
      <c r="CL104" s="1980"/>
      <c r="CM104" s="1981"/>
      <c r="CN104" s="24"/>
      <c r="CO104" s="67"/>
      <c r="CP104" s="1980"/>
      <c r="CQ104" s="1981"/>
      <c r="CR104" s="1981"/>
      <c r="CS104" s="24"/>
      <c r="CT104" s="306">
        <f>395.69</f>
        <v>395.69</v>
      </c>
      <c r="CU104" s="1980">
        <f>+(CT104/CT97-1)*100</f>
        <v>12.653240179247604</v>
      </c>
      <c r="CV104" s="1981">
        <f>+CT104/R104*100</f>
        <v>25.032786377062632</v>
      </c>
      <c r="CW104" s="321"/>
      <c r="CX104" s="321"/>
      <c r="CY104" s="321"/>
      <c r="CZ104" s="24"/>
      <c r="DA104" s="2010">
        <v>304.589</v>
      </c>
      <c r="DB104" s="1980">
        <f>+(DA104/DA97-1)*100</f>
        <v>-1.5320307246676546</v>
      </c>
      <c r="DC104" s="1981">
        <f>+DA104/W104*100</f>
        <v>29.48526699844437</v>
      </c>
      <c r="DD104" s="1981"/>
      <c r="DE104" s="1981"/>
      <c r="DF104" s="1981"/>
      <c r="DG104" s="1981"/>
      <c r="DH104" s="2010">
        <v>45.067999999999998</v>
      </c>
      <c r="DI104" s="1980">
        <f>+(DH104/DH97-1)*100</f>
        <v>513.42044371852444</v>
      </c>
      <c r="DJ104" s="1981">
        <f>+DH104/AP104*100</f>
        <v>6.1606515516454188</v>
      </c>
      <c r="DK104" s="24"/>
      <c r="DL104" s="2010"/>
      <c r="DM104" s="1980"/>
      <c r="DN104" s="1981"/>
      <c r="DO104" s="24"/>
      <c r="DP104" s="2010"/>
      <c r="DQ104" s="1980"/>
      <c r="DR104" s="1981"/>
      <c r="DS104" s="24"/>
      <c r="DT104" s="2010">
        <v>-38.991999999999997</v>
      </c>
      <c r="DU104" s="1980">
        <f>+(DT104/DT97-1)*100</f>
        <v>-3.8966800581667682</v>
      </c>
      <c r="DV104" s="1981">
        <f>+DT104/BE104*100</f>
        <v>-23.500340523502146</v>
      </c>
      <c r="DW104" s="24"/>
      <c r="DX104" s="1022">
        <f>+'qtrP&amp;L'!BN$63</f>
        <v>706.35500000000002</v>
      </c>
      <c r="DY104" s="1980">
        <f>+(DX104/DX97-1)*100</f>
        <v>12.59380758366968</v>
      </c>
      <c r="DZ104" s="1981">
        <f>(+DX104/BI104)*100</f>
        <v>20.117339637016102</v>
      </c>
      <c r="EA104" s="2005" t="str">
        <f>IF(EB104=DX104," ","no")</f>
        <v xml:space="preserve"> </v>
      </c>
      <c r="EB104" s="91">
        <f>DT104+DH104+DA104+CT104</f>
        <v>706.35500000000002</v>
      </c>
      <c r="EC104" s="2020"/>
      <c r="ED104" s="24"/>
      <c r="EE104" s="24"/>
      <c r="EG104" s="2010"/>
      <c r="EH104" s="1980"/>
      <c r="EI104" s="2010"/>
      <c r="EJ104" s="1980"/>
    </row>
    <row r="105" spans="1:140" hidden="1" outlineLevel="1">
      <c r="A105" s="113"/>
      <c r="B105" s="24" t="str">
        <f>+qtrSales!B128</f>
        <v>Year</v>
      </c>
      <c r="C105" s="24"/>
      <c r="D105" s="24"/>
      <c r="E105" s="309">
        <f>+segqtrSales!S107</f>
        <v>3222.0129999999999</v>
      </c>
      <c r="F105" s="309"/>
      <c r="G105" s="1980">
        <f>+(E105/E98-1)*100</f>
        <v>3.5038913386995274</v>
      </c>
      <c r="H105" s="1981">
        <f>+E105/$BI105*100</f>
        <v>33.325758700966759</v>
      </c>
      <c r="I105" s="1981"/>
      <c r="J105" s="1981"/>
      <c r="K105" s="266">
        <f>+SUM(K101:K104)</f>
        <v>1225.5999999999999</v>
      </c>
      <c r="L105" s="1980">
        <f>+(K105/K98-1)*100</f>
        <v>9.5066927209678909</v>
      </c>
      <c r="M105" s="1981">
        <f>+K105/$BI105*100</f>
        <v>12.676562715266776</v>
      </c>
      <c r="N105" s="1981"/>
      <c r="O105" s="1981"/>
      <c r="P105" s="1981"/>
      <c r="Q105" s="24"/>
      <c r="R105" s="266">
        <f>+SUM(R101:R104)</f>
        <v>4447.9359999999997</v>
      </c>
      <c r="S105" s="1980">
        <f>+(R105/R98-1)*100</f>
        <v>5.1002968511753233</v>
      </c>
      <c r="T105" s="1980"/>
      <c r="U105" s="1981">
        <f>+R105/$BI105*100</f>
        <v>46.005662253176276</v>
      </c>
      <c r="V105" s="24"/>
      <c r="W105" s="266">
        <f>+SUM(W101:W104)</f>
        <v>2268.9209999999998</v>
      </c>
      <c r="X105" s="266"/>
      <c r="Y105" s="266"/>
      <c r="Z105" s="266"/>
      <c r="AA105" s="266"/>
      <c r="AB105" s="266"/>
      <c r="AC105" s="1980">
        <f>+(W105/W98-1)*100</f>
        <v>4.6239493434606871</v>
      </c>
      <c r="AD105" s="1981">
        <f>+W105/$BI105*100</f>
        <v>23.46778667794208</v>
      </c>
      <c r="AE105" s="1981"/>
      <c r="AF105" s="1981"/>
      <c r="AG105" s="1981"/>
      <c r="AH105" s="1981"/>
      <c r="AI105" s="24"/>
      <c r="AJ105" s="24"/>
      <c r="AK105" s="388"/>
      <c r="AL105" s="266">
        <f>+SUM(AL101:AL104)</f>
        <v>1779.3879999999999</v>
      </c>
      <c r="AM105" s="388"/>
      <c r="AN105" s="388"/>
      <c r="AO105" s="266">
        <f>+SUM(AO101:AO104)</f>
        <v>545.16999999999996</v>
      </c>
      <c r="AP105" s="266">
        <f>+SUM(AP101:AP104)</f>
        <v>2324.7309999999998</v>
      </c>
      <c r="AQ105" s="1980">
        <f>+(AP105/AP98-1)*100</f>
        <v>-6.6461572316840689</v>
      </c>
      <c r="AR105" s="1981">
        <f>+AP105/$BI105*100</f>
        <v>24.045037791795732</v>
      </c>
      <c r="AS105" s="24"/>
      <c r="AT105" s="388"/>
      <c r="AU105" s="388"/>
      <c r="AV105" s="388"/>
      <c r="AW105" s="388"/>
      <c r="AX105" s="388"/>
      <c r="AY105" s="388"/>
      <c r="AZ105" s="388"/>
      <c r="BA105" s="388"/>
      <c r="BB105" s="388"/>
      <c r="BC105" s="266"/>
      <c r="BD105" s="1980" t="e">
        <f>+(BC105/BC98-1)*100</f>
        <v>#DIV/0!</v>
      </c>
      <c r="BE105" s="266">
        <f>+SUM(BE101:BE104)</f>
        <v>626.971</v>
      </c>
      <c r="BF105" s="1980">
        <f>+(BE105/BE98-1)*100</f>
        <v>21.190114913645619</v>
      </c>
      <c r="BG105" s="1981">
        <f>+BE105/$BI105*100</f>
        <v>6.4848541140286615</v>
      </c>
      <c r="BH105" s="24"/>
      <c r="BI105" s="266">
        <f>+E105+K105+W105+AP105+BE105</f>
        <v>9668.235999999999</v>
      </c>
      <c r="BJ105" s="266"/>
      <c r="BK105" s="2889">
        <f>+(BI105/BI98-1)*100</f>
        <v>2.7621271071009534</v>
      </c>
      <c r="BL105" s="266">
        <f>+E105+K105+W105+AT105+AY105</f>
        <v>6716.5339999999997</v>
      </c>
      <c r="BM105" s="1980">
        <f>+(BL105/BL98-1)*100</f>
        <v>4.9329894587912815</v>
      </c>
      <c r="BN105" s="1981">
        <f>+BL105/$BW105*100</f>
        <v>74.288968633434976</v>
      </c>
      <c r="BO105" s="266">
        <f>+AL105+AM105+AN105+AO105+AU105</f>
        <v>2324.558</v>
      </c>
      <c r="BP105" s="1980">
        <f>+(BO105/BO98-1)*100</f>
        <v>-6.6460941130074165</v>
      </c>
      <c r="BQ105" s="1981">
        <f>+BO105/$BW105*100</f>
        <v>25.711031366565013</v>
      </c>
      <c r="BR105" s="24"/>
      <c r="BS105" s="266">
        <f>+AK105+AV105+AW105+AX105</f>
        <v>0</v>
      </c>
      <c r="BT105" s="1980"/>
      <c r="BU105" s="1981">
        <f>+BS105/$BW105*100</f>
        <v>0</v>
      </c>
      <c r="BV105" s="24"/>
      <c r="BW105" s="266">
        <f>+BL105+BO105+BS105</f>
        <v>9041.0920000000006</v>
      </c>
      <c r="BX105" s="1980">
        <f>+(BW105/BW98-1)*100</f>
        <v>1.6900441162262192</v>
      </c>
      <c r="BY105" s="24"/>
      <c r="BZ105" s="389"/>
      <c r="CA105" s="1980"/>
      <c r="CB105" s="1981"/>
      <c r="CC105" s="389"/>
      <c r="CD105" s="1980"/>
      <c r="CE105" s="1981"/>
      <c r="CF105" s="24"/>
      <c r="CG105" s="389"/>
      <c r="CH105" s="1980"/>
      <c r="CI105" s="1981"/>
      <c r="CJ105" s="24"/>
      <c r="CK105" s="389"/>
      <c r="CL105" s="1980"/>
      <c r="CM105" s="1981"/>
      <c r="CN105" s="24"/>
      <c r="CO105" s="24"/>
      <c r="CP105" s="1980"/>
      <c r="CQ105" s="1981"/>
      <c r="CR105" s="1981"/>
      <c r="CS105" s="2021" t="s">
        <v>771</v>
      </c>
      <c r="CT105" s="266">
        <f>+SUM(CT101:CT104)</f>
        <v>885.7349999999999</v>
      </c>
      <c r="CU105" s="1980">
        <f>+(CT105/CT98-1)*100</f>
        <v>10.905691940528751</v>
      </c>
      <c r="CV105" s="1981">
        <f>+CT105/R105*100</f>
        <v>19.913393538036516</v>
      </c>
      <c r="CW105" s="266"/>
      <c r="CX105" s="266"/>
      <c r="CY105" s="266"/>
      <c r="CZ105" s="24"/>
      <c r="DA105" s="266">
        <f>+SUM(DA101:DA104)</f>
        <v>388.84500000000003</v>
      </c>
      <c r="DB105" s="1980">
        <f>+(DA105/DA98-1)*100</f>
        <v>-2.7671156832394961</v>
      </c>
      <c r="DC105" s="1981">
        <f>+DA105/W105*100</f>
        <v>17.137881838988665</v>
      </c>
      <c r="DD105" s="1981"/>
      <c r="DE105" s="1981"/>
      <c r="DF105" s="1981"/>
      <c r="DG105" s="1981"/>
      <c r="DH105" s="91">
        <f>+SUM(DH101:DH104)</f>
        <v>-102.32199999999999</v>
      </c>
      <c r="DI105" s="1980">
        <f>+(DH105/DH98-1)*100</f>
        <v>-739.27277271023343</v>
      </c>
      <c r="DJ105" s="1981">
        <f>+DH105/AP105*100</f>
        <v>-4.4014554802254535</v>
      </c>
      <c r="DK105" s="24"/>
      <c r="DL105" s="91"/>
      <c r="DM105" s="1980"/>
      <c r="DN105" s="1981"/>
      <c r="DO105" s="24"/>
      <c r="DP105" s="91"/>
      <c r="DQ105" s="1980"/>
      <c r="DR105" s="1981"/>
      <c r="DS105" s="24"/>
      <c r="DT105" s="91">
        <f>+SUM(DT101:DT104)</f>
        <v>-211.06</v>
      </c>
      <c r="DU105" s="1980">
        <f>+(DT105/DT98-1)*100</f>
        <v>12.417242352740665</v>
      </c>
      <c r="DV105" s="1981">
        <f>+DT105/BE105*100</f>
        <v>-33.663438978836339</v>
      </c>
      <c r="DW105" s="24"/>
      <c r="DX105" s="266">
        <f>+SUM(DX101:DX104)</f>
        <v>961.19799999999975</v>
      </c>
      <c r="DY105" s="1980">
        <f>+(DX105/DX98-1)*100</f>
        <v>-6.3897047938855422</v>
      </c>
      <c r="DZ105" s="1981">
        <f>(+DX105/BI105)*100</f>
        <v>9.9418135841946746</v>
      </c>
      <c r="EA105" s="2005"/>
      <c r="EB105" s="24"/>
      <c r="EC105" s="24"/>
      <c r="ED105" s="24"/>
      <c r="EE105" s="24"/>
      <c r="EG105" s="91"/>
      <c r="EH105" s="1980"/>
      <c r="EI105" s="91"/>
      <c r="EJ105" s="1980"/>
    </row>
    <row r="106" spans="1:140" hidden="1" outlineLevel="1">
      <c r="A106" s="113"/>
      <c r="B106" s="2017" t="s">
        <v>1008</v>
      </c>
      <c r="C106" s="24"/>
      <c r="D106" s="24"/>
      <c r="E106" s="309"/>
      <c r="F106" s="309"/>
      <c r="G106" s="1980"/>
      <c r="H106" s="1981"/>
      <c r="I106" s="1981"/>
      <c r="J106" s="1981"/>
      <c r="K106" s="266"/>
      <c r="L106" s="1980"/>
      <c r="M106" s="1981"/>
      <c r="N106" s="1981"/>
      <c r="O106" s="1981"/>
      <c r="P106" s="1981"/>
      <c r="Q106" s="24"/>
      <c r="R106" s="266"/>
      <c r="S106" s="1980"/>
      <c r="T106" s="1980"/>
      <c r="U106" s="1981"/>
      <c r="V106" s="24"/>
      <c r="W106" s="266"/>
      <c r="X106" s="266"/>
      <c r="Y106" s="266"/>
      <c r="Z106" s="266"/>
      <c r="AA106" s="266"/>
      <c r="AB106" s="266"/>
      <c r="AC106" s="1980"/>
      <c r="AD106" s="1981"/>
      <c r="AE106" s="1981"/>
      <c r="AF106" s="1981"/>
      <c r="AG106" s="1981"/>
      <c r="AH106" s="1981"/>
      <c r="AI106" s="24"/>
      <c r="AJ106" s="24"/>
      <c r="AK106" s="388"/>
      <c r="AL106" s="266"/>
      <c r="AM106" s="388"/>
      <c r="AN106" s="388"/>
      <c r="AO106" s="266"/>
      <c r="AP106" s="266"/>
      <c r="AQ106" s="1980"/>
      <c r="AR106" s="1981"/>
      <c r="AS106" s="24"/>
      <c r="AT106" s="388"/>
      <c r="AU106" s="388"/>
      <c r="AV106" s="388"/>
      <c r="AW106" s="388"/>
      <c r="AX106" s="388"/>
      <c r="AY106" s="388"/>
      <c r="AZ106" s="388"/>
      <c r="BA106" s="388"/>
      <c r="BB106" s="388"/>
      <c r="BC106" s="266"/>
      <c r="BD106" s="1980"/>
      <c r="BE106" s="266"/>
      <c r="BF106" s="1980"/>
      <c r="BG106" s="1981"/>
      <c r="BH106" s="24"/>
      <c r="BI106" s="266"/>
      <c r="BJ106" s="266"/>
      <c r="BK106" s="2889"/>
      <c r="BL106" s="266"/>
      <c r="BM106" s="1980"/>
      <c r="BN106" s="1981"/>
      <c r="BO106" s="266"/>
      <c r="BP106" s="1980"/>
      <c r="BQ106" s="1981"/>
      <c r="BR106" s="24"/>
      <c r="BS106" s="266"/>
      <c r="BT106" s="1980"/>
      <c r="BU106" s="1981"/>
      <c r="BV106" s="24"/>
      <c r="BW106" s="266"/>
      <c r="BX106" s="1980"/>
      <c r="BY106" s="24"/>
      <c r="BZ106" s="389"/>
      <c r="CA106" s="1980"/>
      <c r="CB106" s="1981"/>
      <c r="CC106" s="389"/>
      <c r="CD106" s="1980"/>
      <c r="CE106" s="1981"/>
      <c r="CF106" s="24"/>
      <c r="CG106" s="389"/>
      <c r="CH106" s="1980"/>
      <c r="CI106" s="1981"/>
      <c r="CJ106" s="24"/>
      <c r="CK106" s="389"/>
      <c r="CL106" s="1980"/>
      <c r="CM106" s="1981"/>
      <c r="CN106" s="24"/>
      <c r="CO106" s="24"/>
      <c r="CP106" s="1980"/>
      <c r="CQ106" s="1981"/>
      <c r="CR106" s="1981"/>
      <c r="CS106" s="1409"/>
      <c r="CT106" s="478">
        <v>825.649</v>
      </c>
      <c r="CU106" s="2022" t="s">
        <v>401</v>
      </c>
      <c r="CV106" s="1981">
        <f>+CT106/R105*100</f>
        <v>18.562519784457333</v>
      </c>
      <c r="CW106" s="478"/>
      <c r="CX106" s="478"/>
      <c r="CY106" s="478"/>
      <c r="CZ106" s="24"/>
      <c r="DA106" s="478">
        <v>377.97</v>
      </c>
      <c r="DB106" s="2022" t="s">
        <v>401</v>
      </c>
      <c r="DC106" s="1981">
        <f>+DA106/W105*100</f>
        <v>16.658579121970313</v>
      </c>
      <c r="DD106" s="1981"/>
      <c r="DE106" s="1981"/>
      <c r="DF106" s="1981"/>
      <c r="DG106" s="1981"/>
      <c r="DH106" s="478">
        <v>-109.833</v>
      </c>
      <c r="DI106" s="2022" t="s">
        <v>401</v>
      </c>
      <c r="DJ106" s="1981">
        <f>+DH106/AP105*100</f>
        <v>-4.7245466249643515</v>
      </c>
      <c r="DK106" s="24"/>
      <c r="DL106" s="2012"/>
      <c r="DM106" s="1980"/>
      <c r="DN106" s="1981"/>
      <c r="DO106" s="24"/>
      <c r="DP106" s="2012"/>
      <c r="DQ106" s="1980"/>
      <c r="DR106" s="1981"/>
      <c r="DS106" s="24"/>
      <c r="DT106" s="2012">
        <f>DT105/BI105</f>
        <v>-2.1830249075425964E-2</v>
      </c>
      <c r="DU106" s="1980"/>
      <c r="DV106" s="1981"/>
      <c r="DW106" s="24"/>
      <c r="DX106" s="266"/>
      <c r="DY106" s="1980"/>
      <c r="DZ106" s="1981"/>
      <c r="EA106" s="2005"/>
      <c r="EB106" s="24"/>
      <c r="EC106" s="24"/>
      <c r="ED106" s="24"/>
      <c r="EE106" s="24"/>
      <c r="EG106" s="2012"/>
      <c r="EH106" s="1980"/>
      <c r="EI106" s="2012"/>
      <c r="EJ106" s="1980"/>
    </row>
    <row r="107" spans="1:140" hidden="1" outlineLevel="1">
      <c r="A107" s="113"/>
      <c r="B107" s="136" t="str">
        <f>+qtrSales!B123</f>
        <v>2005A</v>
      </c>
      <c r="C107" s="24"/>
      <c r="D107" s="24"/>
      <c r="E107" s="141" t="s">
        <v>1008</v>
      </c>
      <c r="F107" s="141"/>
      <c r="G107" s="1980"/>
      <c r="H107" s="1981"/>
      <c r="I107" s="1981"/>
      <c r="J107" s="1981"/>
      <c r="K107" s="24"/>
      <c r="L107" s="1980"/>
      <c r="M107" s="1981"/>
      <c r="N107" s="1981"/>
      <c r="O107" s="1981"/>
      <c r="P107" s="1981"/>
      <c r="Q107" s="24"/>
      <c r="R107" s="24"/>
      <c r="S107" s="1980"/>
      <c r="T107" s="1980"/>
      <c r="U107" s="1981"/>
      <c r="V107" s="24"/>
      <c r="W107" s="387"/>
      <c r="X107" s="387"/>
      <c r="Y107" s="387"/>
      <c r="Z107" s="387"/>
      <c r="AA107" s="387"/>
      <c r="AB107" s="387"/>
      <c r="AC107" s="1980"/>
      <c r="AD107" s="1981"/>
      <c r="AE107" s="1981"/>
      <c r="AF107" s="1981"/>
      <c r="AG107" s="1981"/>
      <c r="AH107" s="1981"/>
      <c r="AI107" s="24"/>
      <c r="AJ107" s="399"/>
      <c r="AK107" s="24"/>
      <c r="AL107" s="1980"/>
      <c r="AM107" s="24"/>
      <c r="AN107" s="24"/>
      <c r="AO107" s="1980"/>
      <c r="AP107" s="24"/>
      <c r="AQ107" s="1980"/>
      <c r="AR107" s="1981"/>
      <c r="AS107" s="24"/>
      <c r="AT107" s="24"/>
      <c r="AU107" s="24"/>
      <c r="AV107" s="24"/>
      <c r="AW107" s="24"/>
      <c r="AX107" s="24"/>
      <c r="AY107" s="24"/>
      <c r="AZ107" s="24"/>
      <c r="BA107" s="24"/>
      <c r="BB107" s="24"/>
      <c r="BC107" s="24"/>
      <c r="BD107" s="1980"/>
      <c r="BE107" s="24"/>
      <c r="BF107" s="1980"/>
      <c r="BG107" s="1981"/>
      <c r="BH107" s="24"/>
      <c r="BI107" s="24"/>
      <c r="BJ107" s="24"/>
      <c r="BK107" s="2889"/>
      <c r="BL107" s="389"/>
      <c r="BM107" s="1988"/>
      <c r="BN107" s="1989"/>
      <c r="BO107" s="389"/>
      <c r="BP107" s="389"/>
      <c r="BQ107" s="389"/>
      <c r="BR107" s="389"/>
      <c r="BS107" s="389"/>
      <c r="BT107" s="389"/>
      <c r="BU107" s="389"/>
      <c r="BV107" s="389"/>
      <c r="BW107" s="266"/>
      <c r="BX107" s="24"/>
      <c r="BY107" s="24"/>
      <c r="BZ107" s="389"/>
      <c r="CA107" s="1988"/>
      <c r="CB107" s="1989"/>
      <c r="CC107" s="389"/>
      <c r="CD107" s="389"/>
      <c r="CE107" s="389"/>
      <c r="CF107" s="389"/>
      <c r="CG107" s="389"/>
      <c r="CH107" s="389"/>
      <c r="CI107" s="389"/>
      <c r="CJ107" s="389"/>
      <c r="CK107" s="389"/>
      <c r="CL107" s="389"/>
      <c r="CM107" s="389"/>
      <c r="CN107" s="389"/>
      <c r="CO107" s="266"/>
      <c r="CP107" s="24"/>
      <c r="CQ107" s="24"/>
      <c r="CR107" s="24"/>
      <c r="CS107" s="24"/>
      <c r="CT107" s="24"/>
      <c r="CU107" s="24"/>
      <c r="CV107" s="24"/>
      <c r="CW107" s="24"/>
      <c r="CX107" s="24"/>
      <c r="CY107" s="24"/>
      <c r="CZ107" s="24"/>
      <c r="DA107" s="24"/>
      <c r="DB107" s="24"/>
      <c r="DC107" s="24"/>
      <c r="DD107" s="24"/>
      <c r="DE107" s="24"/>
      <c r="DF107" s="24"/>
      <c r="DG107" s="24"/>
      <c r="DH107" s="142"/>
      <c r="DI107" s="24"/>
      <c r="DJ107" s="2019"/>
      <c r="DK107" s="24"/>
      <c r="DL107" s="24"/>
      <c r="DM107" s="24"/>
      <c r="DN107" s="24"/>
      <c r="DO107" s="24"/>
      <c r="DP107" s="24"/>
      <c r="DQ107" s="24"/>
      <c r="DR107" s="24"/>
      <c r="DS107" s="24"/>
      <c r="DT107" s="24"/>
      <c r="DU107" s="24"/>
      <c r="DV107" s="24"/>
      <c r="DW107" s="24"/>
      <c r="DX107" s="24"/>
      <c r="DY107" s="24"/>
      <c r="DZ107" s="1981"/>
      <c r="EA107" s="2007"/>
      <c r="EB107" s="24"/>
      <c r="EC107" s="24"/>
      <c r="ED107" s="24"/>
      <c r="EE107" s="24"/>
      <c r="EG107" s="24"/>
      <c r="EH107" s="24"/>
      <c r="EI107" s="24"/>
      <c r="EJ107" s="24"/>
    </row>
    <row r="108" spans="1:140" hidden="1" outlineLevel="1">
      <c r="A108" s="113" t="str">
        <f>+qtrSales!A131</f>
        <v>1Q</v>
      </c>
      <c r="B108" s="24" t="str">
        <f>+qtrSales!B131</f>
        <v>Apr</v>
      </c>
      <c r="C108" s="24"/>
      <c r="D108" s="24"/>
      <c r="E108" s="307">
        <v>668.77700000000004</v>
      </c>
      <c r="F108" s="307"/>
      <c r="G108" s="1980">
        <f>+(E108/E94-1)*100</f>
        <v>3.1108541473943818</v>
      </c>
      <c r="H108" s="1981">
        <f>+E108/$BI108*100</f>
        <v>33.863292508299018</v>
      </c>
      <c r="I108" s="1981"/>
      <c r="J108" s="1981"/>
      <c r="K108" s="388">
        <v>286.39999999999998</v>
      </c>
      <c r="L108" s="1980">
        <f>+(K108/K94-1)*100</f>
        <v>10.026892047637336</v>
      </c>
      <c r="M108" s="1981">
        <f>+K108/BI108*100</f>
        <v>14.501765124065031</v>
      </c>
      <c r="N108" s="1981"/>
      <c r="O108" s="1981"/>
      <c r="P108" s="1981"/>
      <c r="Q108" s="24"/>
      <c r="R108" s="381">
        <f>+E108+K108</f>
        <v>955.17700000000002</v>
      </c>
      <c r="S108" s="1980">
        <f>+(R108/R101-1)*100</f>
        <v>0</v>
      </c>
      <c r="T108" s="1980"/>
      <c r="U108" s="1981">
        <f>+R108/$BI108*100</f>
        <v>48.365057632364049</v>
      </c>
      <c r="V108" s="24"/>
      <c r="W108" s="388">
        <v>363.16199999999998</v>
      </c>
      <c r="X108" s="388"/>
      <c r="Y108" s="388"/>
      <c r="Z108" s="388"/>
      <c r="AA108" s="388"/>
      <c r="AB108" s="388"/>
      <c r="AC108" s="1980">
        <f>+(W108/W94-1)*100</f>
        <v>6.2153601375796619</v>
      </c>
      <c r="AD108" s="1981">
        <f>+W108/$BI108*100</f>
        <v>18.388582492966847</v>
      </c>
      <c r="AE108" s="1981"/>
      <c r="AF108" s="1981"/>
      <c r="AG108" s="1981"/>
      <c r="AH108" s="1981"/>
      <c r="AI108" s="24"/>
      <c r="AJ108" s="24"/>
      <c r="AK108" s="2011">
        <f>0.75*2.1</f>
        <v>1.5750000000000002</v>
      </c>
      <c r="AL108" s="1982">
        <v>371.2</v>
      </c>
      <c r="AM108" s="1982"/>
      <c r="AN108" s="1982"/>
      <c r="AO108" s="1982">
        <v>129.07</v>
      </c>
      <c r="AP108" s="2023">
        <v>500.42700000000002</v>
      </c>
      <c r="AQ108" s="1980">
        <f>+(AP108/AP94-1)*100</f>
        <v>-16.613011267633794</v>
      </c>
      <c r="AR108" s="1981">
        <f>+AP108/$BI108*100</f>
        <v>25.338948378982163</v>
      </c>
      <c r="AS108" s="24"/>
      <c r="AT108" s="1982"/>
      <c r="AU108" s="1982"/>
      <c r="AV108" s="1982"/>
      <c r="AW108" s="1982"/>
      <c r="AX108" s="1982"/>
      <c r="AY108" s="1982"/>
      <c r="AZ108" s="1982"/>
      <c r="BA108" s="1982"/>
      <c r="BB108" s="1982"/>
      <c r="BC108" s="1982"/>
      <c r="BD108" s="1980" t="e">
        <f>+(BC108/BC94-1)*100</f>
        <v>#DIV/0!</v>
      </c>
      <c r="BE108" s="1982">
        <v>156.166</v>
      </c>
      <c r="BF108" s="1980">
        <f>+(BE108/BE94-1)*100</f>
        <v>22.630293607230634</v>
      </c>
      <c r="BG108" s="1981">
        <f>+BE108/$BI108*100</f>
        <v>7.9074114956869401</v>
      </c>
      <c r="BH108" s="24"/>
      <c r="BI108" s="381">
        <f>+R108+W108+AP108+BE108</f>
        <v>1974.932</v>
      </c>
      <c r="BJ108" s="381"/>
      <c r="BK108" s="2889">
        <f>+(BI108/BI94-1)*100</f>
        <v>-0.16535208975013704</v>
      </c>
      <c r="BL108" s="381">
        <f>+E108+K108+W108+AT108+AY108</f>
        <v>1318.3389999999999</v>
      </c>
      <c r="BM108" s="1980">
        <f>+(BL108/BL101-1)*100</f>
        <v>0</v>
      </c>
      <c r="BN108" s="1981">
        <f>+BL108/$BW108*100</f>
        <v>72.428886310394986</v>
      </c>
      <c r="BO108" s="381">
        <f>+AL108+AM108+AN108+AO108+AU108</f>
        <v>500.27</v>
      </c>
      <c r="BP108" s="1980">
        <f>+(BO108/BO101-1)*100</f>
        <v>0</v>
      </c>
      <c r="BQ108" s="1981">
        <f>+BO108/$BW108*100</f>
        <v>27.484583976125489</v>
      </c>
      <c r="BR108" s="389"/>
      <c r="BS108" s="381">
        <f>+AK108+AV108+AW108+AX108</f>
        <v>1.5750000000000002</v>
      </c>
      <c r="BT108" s="1980"/>
      <c r="BU108" s="1981">
        <f>+BS108/$BW108*100</f>
        <v>8.6529713479516365E-2</v>
      </c>
      <c r="BV108" s="389"/>
      <c r="BW108" s="381">
        <f>+BL108+BO108+BS108</f>
        <v>1820.184</v>
      </c>
      <c r="BX108" s="1980">
        <f>+(BW108/BW101-1)*100</f>
        <v>0</v>
      </c>
      <c r="BY108" s="24"/>
      <c r="BZ108" s="390"/>
      <c r="CA108" s="1980"/>
      <c r="CB108" s="1981"/>
      <c r="CC108" s="390"/>
      <c r="CD108" s="1980"/>
      <c r="CE108" s="1981"/>
      <c r="CF108" s="389"/>
      <c r="CG108" s="390"/>
      <c r="CH108" s="1980"/>
      <c r="CI108" s="1981"/>
      <c r="CJ108" s="24"/>
      <c r="CK108" s="390"/>
      <c r="CL108" s="1980"/>
      <c r="CM108" s="1981"/>
      <c r="CN108" s="24"/>
      <c r="CO108" s="165"/>
      <c r="CP108" s="1980"/>
      <c r="CQ108" s="1981"/>
      <c r="CR108" s="1981"/>
      <c r="CS108" s="24"/>
      <c r="CT108" s="1982">
        <v>179.91300000000001</v>
      </c>
      <c r="CU108" s="1980">
        <f>+(CT108/CT94-1)*100</f>
        <v>18.812489268685706</v>
      </c>
      <c r="CV108" s="1981">
        <f>+CT108/R108*100</f>
        <v>18.835566601792127</v>
      </c>
      <c r="CW108" s="1982"/>
      <c r="CX108" s="1982"/>
      <c r="CY108" s="1982"/>
      <c r="CZ108" s="24"/>
      <c r="DA108" s="1982">
        <v>26.117999999999999</v>
      </c>
      <c r="DB108" s="1980">
        <f>+(DA108/DA94-1)*100</f>
        <v>186.75889328063238</v>
      </c>
      <c r="DC108" s="1981">
        <f>+DA108/W108*100</f>
        <v>7.1918317445107141</v>
      </c>
      <c r="DD108" s="1981"/>
      <c r="DE108" s="1981"/>
      <c r="DF108" s="1981"/>
      <c r="DG108" s="1981"/>
      <c r="DH108" s="1982">
        <v>-29.661000000000001</v>
      </c>
      <c r="DI108" s="1980">
        <f>+(DH108/DH94-1)*100</f>
        <v>-377.54280902030507</v>
      </c>
      <c r="DJ108" s="1981">
        <f>+DH108/AP108*100</f>
        <v>-5.9271382239567414</v>
      </c>
      <c r="DK108" s="24"/>
      <c r="DL108" s="1982"/>
      <c r="DM108" s="1980"/>
      <c r="DN108" s="1981"/>
      <c r="DO108" s="24"/>
      <c r="DP108" s="1982"/>
      <c r="DQ108" s="1980"/>
      <c r="DR108" s="1981"/>
      <c r="DS108" s="24"/>
      <c r="DT108" s="1982">
        <v>-57.835999999999999</v>
      </c>
      <c r="DU108" s="1980">
        <f>+(DT108/DT94-1)*100</f>
        <v>11.546992227429653</v>
      </c>
      <c r="DV108" s="1981">
        <f>+DT108/BE108*100</f>
        <v>-37.034949989114146</v>
      </c>
      <c r="DW108" s="24"/>
      <c r="DX108" s="381">
        <f>+'qtrP&amp;L'!BR$60</f>
        <v>118.53399999999999</v>
      </c>
      <c r="DY108" s="1980">
        <f>+(DX108/DX94-1)*100</f>
        <v>-0.70200717086090769</v>
      </c>
      <c r="DZ108" s="1981">
        <f>(+DX108/BI108)*100</f>
        <v>6.0019281676533671</v>
      </c>
      <c r="EA108" s="2005" t="str">
        <f>IF(EB108=DX108," ","no")</f>
        <v xml:space="preserve"> </v>
      </c>
      <c r="EB108" s="91">
        <f>DT108+DH108+DA108+CT108</f>
        <v>118.53400000000001</v>
      </c>
      <c r="EC108" s="24"/>
      <c r="ED108" s="24"/>
      <c r="EE108" s="24"/>
      <c r="EG108" s="1982"/>
      <c r="EH108" s="1980"/>
      <c r="EI108" s="1982"/>
      <c r="EJ108" s="1980"/>
    </row>
    <row r="109" spans="1:140" hidden="1" outlineLevel="1">
      <c r="A109" s="113" t="str">
        <f>+qtrSales!A132</f>
        <v>2Q</v>
      </c>
      <c r="B109" s="24" t="str">
        <f>+qtrSales!B132</f>
        <v>Jul</v>
      </c>
      <c r="C109" s="24"/>
      <c r="D109" s="24"/>
      <c r="E109" s="307">
        <v>762.5</v>
      </c>
      <c r="F109" s="307"/>
      <c r="G109" s="1980">
        <f>+(E109/E95-1)*100</f>
        <v>4.9841663224562849</v>
      </c>
      <c r="H109" s="1981">
        <f>+E109/$BI109*100</f>
        <v>33.283847708827231</v>
      </c>
      <c r="I109" s="1981"/>
      <c r="J109" s="1981"/>
      <c r="K109" s="388">
        <v>319.2</v>
      </c>
      <c r="L109" s="1980">
        <f>+(K109/K95-1)*100</f>
        <v>7.547169811320753</v>
      </c>
      <c r="M109" s="1981">
        <f>+K109/BI109*100</f>
        <v>13.933382542501837</v>
      </c>
      <c r="N109" s="1981"/>
      <c r="O109" s="1981"/>
      <c r="P109" s="1981"/>
      <c r="Q109" s="24"/>
      <c r="R109" s="2024">
        <v>1081.7360000000001</v>
      </c>
      <c r="S109" s="1980">
        <f>+(R109/R102-1)*100</f>
        <v>0</v>
      </c>
      <c r="T109" s="1980"/>
      <c r="U109" s="1981">
        <f>+R109/$BI109*100</f>
        <v>47.218801685450408</v>
      </c>
      <c r="V109" s="24"/>
      <c r="W109" s="388">
        <v>516.51599999999996</v>
      </c>
      <c r="X109" s="388"/>
      <c r="Y109" s="388"/>
      <c r="Z109" s="388"/>
      <c r="AA109" s="388"/>
      <c r="AB109" s="388"/>
      <c r="AC109" s="1980">
        <f>+(W109/W95-1)*100</f>
        <v>9.8140766017157155</v>
      </c>
      <c r="AD109" s="1981">
        <f>+W109/$BI109*100</f>
        <v>22.54641296153784</v>
      </c>
      <c r="AE109" s="1981"/>
      <c r="AF109" s="1981"/>
      <c r="AG109" s="1981"/>
      <c r="AH109" s="1981"/>
      <c r="AI109" s="24"/>
      <c r="AJ109" s="24"/>
      <c r="AK109" s="388"/>
      <c r="AL109" s="388">
        <v>419.7</v>
      </c>
      <c r="AM109" s="388"/>
      <c r="AN109" s="388"/>
      <c r="AO109" s="388">
        <v>121</v>
      </c>
      <c r="AP109" s="2025">
        <v>540.66999999999996</v>
      </c>
      <c r="AQ109" s="1980">
        <f>+(AP109/AP95-1)*100</f>
        <v>-8.7239552558808668</v>
      </c>
      <c r="AR109" s="1981">
        <f>+AP109/$BI109*100</f>
        <v>23.600757955057858</v>
      </c>
      <c r="AS109" s="24"/>
      <c r="AT109" s="388"/>
      <c r="AU109" s="388"/>
      <c r="AV109" s="388"/>
      <c r="AW109" s="388"/>
      <c r="AX109" s="388"/>
      <c r="AY109" s="388"/>
      <c r="AZ109" s="388"/>
      <c r="BA109" s="388"/>
      <c r="BB109" s="388"/>
      <c r="BC109" s="388"/>
      <c r="BD109" s="1980" t="e">
        <f>+(BC109/BC95-1)*100</f>
        <v>#DIV/0!</v>
      </c>
      <c r="BE109" s="388">
        <v>151.97900000000001</v>
      </c>
      <c r="BF109" s="1980">
        <f>+(BE109/BE95-1)*100</f>
        <v>21.580282073230261</v>
      </c>
      <c r="BG109" s="1981">
        <f>+BE109/$BI109*100</f>
        <v>6.6340273979539068</v>
      </c>
      <c r="BH109" s="24"/>
      <c r="BI109" s="266">
        <f>+R109+W109+AP109+BE109</f>
        <v>2290.9009999999998</v>
      </c>
      <c r="BJ109" s="266"/>
      <c r="BK109" s="2889">
        <f>+(BI109/BI95-1)*100</f>
        <v>3.6216682226419605</v>
      </c>
      <c r="BL109" s="266">
        <f>+E109+K109+W109+AT109+AY109</f>
        <v>1598.2159999999999</v>
      </c>
      <c r="BM109" s="1980">
        <f>+(BL109/BL102-1)*100</f>
        <v>0</v>
      </c>
      <c r="BN109" s="1981">
        <f>+BL109/$BW109*100</f>
        <v>74.720839902081224</v>
      </c>
      <c r="BO109" s="266">
        <f>+AL109+AM109+AN109+AO109+AU109</f>
        <v>540.70000000000005</v>
      </c>
      <c r="BP109" s="1980">
        <f>+(BO109/BO102-1)*100</f>
        <v>0</v>
      </c>
      <c r="BQ109" s="1981">
        <f>+BO109/$BW109*100</f>
        <v>25.279160097918759</v>
      </c>
      <c r="BR109" s="389"/>
      <c r="BS109" s="266">
        <f>+AK109+AV109+AW109+AX109</f>
        <v>0</v>
      </c>
      <c r="BT109" s="1980"/>
      <c r="BU109" s="1981">
        <f>+BS109/$BW109*100</f>
        <v>0</v>
      </c>
      <c r="BV109" s="389"/>
      <c r="BW109" s="266">
        <f>+BL109+BO109+BS109</f>
        <v>2138.9160000000002</v>
      </c>
      <c r="BX109" s="1980">
        <f>+(BW109/BW102-1)*100</f>
        <v>0</v>
      </c>
      <c r="BY109" s="24"/>
      <c r="BZ109" s="389"/>
      <c r="CA109" s="1980"/>
      <c r="CB109" s="1981"/>
      <c r="CC109" s="389"/>
      <c r="CD109" s="1980"/>
      <c r="CE109" s="1981"/>
      <c r="CF109" s="389"/>
      <c r="CG109" s="389"/>
      <c r="CH109" s="1980"/>
      <c r="CI109" s="1981"/>
      <c r="CJ109" s="389"/>
      <c r="CK109" s="389"/>
      <c r="CL109" s="1980"/>
      <c r="CM109" s="1981"/>
      <c r="CN109" s="389"/>
      <c r="CO109" s="266"/>
      <c r="CP109" s="1980"/>
      <c r="CQ109" s="1981"/>
      <c r="CR109" s="1981"/>
      <c r="CS109" s="24"/>
      <c r="CT109" s="389">
        <v>199.94300000000001</v>
      </c>
      <c r="CU109" s="1980">
        <f>+(CT109/CT95-1)*100</f>
        <v>5.8992081777495375</v>
      </c>
      <c r="CV109" s="1981">
        <f>+CT109/R109*100</f>
        <v>18.483530177418519</v>
      </c>
      <c r="CW109" s="389"/>
      <c r="CX109" s="389"/>
      <c r="CY109" s="389"/>
      <c r="CZ109" s="24"/>
      <c r="DA109" s="2008">
        <v>75.057000000000002</v>
      </c>
      <c r="DB109" s="1980">
        <f>+(DA109/DA95-1)*100</f>
        <v>-2.2847992501171643</v>
      </c>
      <c r="DC109" s="1981">
        <f>+DA109/W109*100</f>
        <v>14.531398833724415</v>
      </c>
      <c r="DD109" s="1981"/>
      <c r="DE109" s="1981"/>
      <c r="DF109" s="1981"/>
      <c r="DG109" s="1981"/>
      <c r="DH109" s="2008">
        <v>-58.790999999999997</v>
      </c>
      <c r="DI109" s="1980">
        <f>+(DH109/DH95-1)*100</f>
        <v>-472.73188359855442</v>
      </c>
      <c r="DJ109" s="1981">
        <f>+DH109/AP109*100</f>
        <v>-10.873730741487414</v>
      </c>
      <c r="DK109" s="24"/>
      <c r="DL109" s="2008"/>
      <c r="DM109" s="1980"/>
      <c r="DN109" s="1981"/>
      <c r="DO109" s="24"/>
      <c r="DP109" s="2008"/>
      <c r="DQ109" s="1980"/>
      <c r="DR109" s="1981"/>
      <c r="DS109" s="24"/>
      <c r="DT109" s="2008">
        <v>-62.860999999999997</v>
      </c>
      <c r="DU109" s="1980">
        <f>+(DT109/DT95-1)*100</f>
        <v>15.453560343085915</v>
      </c>
      <c r="DV109" s="1981">
        <v>-49.6</v>
      </c>
      <c r="DW109" s="24"/>
      <c r="DX109" s="266">
        <f>+'qtrP&amp;L'!BR$61</f>
        <v>153.34799999999973</v>
      </c>
      <c r="DY109" s="1980">
        <f>+(DX109/DX95-1)*100</f>
        <v>-32.428847772348199</v>
      </c>
      <c r="DZ109" s="1981">
        <f>(+DX109/BI109)*100</f>
        <v>6.6937855455124318</v>
      </c>
      <c r="EA109" s="2005" t="str">
        <f>IF(EB109=DX109," ","no")</f>
        <v xml:space="preserve"> </v>
      </c>
      <c r="EB109" s="91">
        <f>DT109+DH109+DA109+CT109</f>
        <v>153.34800000000001</v>
      </c>
      <c r="EC109" s="24"/>
      <c r="ED109" s="24"/>
      <c r="EE109" s="24"/>
      <c r="EG109" s="2008"/>
      <c r="EH109" s="1980"/>
      <c r="EI109" s="2008"/>
      <c r="EJ109" s="1980"/>
    </row>
    <row r="110" spans="1:140" hidden="1" outlineLevel="1">
      <c r="A110" s="113" t="str">
        <f>+qtrSales!A133</f>
        <v>3Q</v>
      </c>
      <c r="B110" s="24" t="str">
        <f>+qtrSales!B133</f>
        <v>Oct</v>
      </c>
      <c r="C110" s="24"/>
      <c r="D110" s="24"/>
      <c r="E110" s="307">
        <v>627.73599999999999</v>
      </c>
      <c r="F110" s="307"/>
      <c r="G110" s="1980">
        <f>+(E110/E96-1)*100</f>
        <v>-0.68081241822102179</v>
      </c>
      <c r="H110" s="1981">
        <f>+E110/$BI110*100</f>
        <v>33.186311127746492</v>
      </c>
      <c r="I110" s="1981"/>
      <c r="J110" s="1981"/>
      <c r="K110" s="388">
        <v>202.6</v>
      </c>
      <c r="L110" s="1980">
        <f>+(K110/K96-1)*100</f>
        <v>2.3232323232323271</v>
      </c>
      <c r="M110" s="1981">
        <f>+K110/BI110*100</f>
        <v>10.710787073676576</v>
      </c>
      <c r="N110" s="1981"/>
      <c r="O110" s="1981"/>
      <c r="P110" s="1981"/>
      <c r="Q110" s="24"/>
      <c r="R110" s="629">
        <f>+E110+K110</f>
        <v>830.33600000000001</v>
      </c>
      <c r="S110" s="1980">
        <f>+(R110/R103-1)*100</f>
        <v>0</v>
      </c>
      <c r="T110" s="1980"/>
      <c r="U110" s="1981">
        <f>+R110/$BI110*100</f>
        <v>43.89709820142307</v>
      </c>
      <c r="V110" s="24"/>
      <c r="W110" s="388">
        <v>356.22199999999998</v>
      </c>
      <c r="X110" s="388"/>
      <c r="Y110" s="388"/>
      <c r="Z110" s="388"/>
      <c r="AA110" s="388"/>
      <c r="AB110" s="388"/>
      <c r="AC110" s="1980">
        <f>+(W110/W96-1)*100</f>
        <v>1.7823671939288577</v>
      </c>
      <c r="AD110" s="1981">
        <f>+W110/$BI110*100</f>
        <v>18.832270448959608</v>
      </c>
      <c r="AE110" s="1981"/>
      <c r="AF110" s="1981"/>
      <c r="AG110" s="1981"/>
      <c r="AH110" s="1981"/>
      <c r="AI110" s="24"/>
      <c r="AJ110" s="24"/>
      <c r="AK110" s="388"/>
      <c r="AL110" s="388">
        <v>421.48799999999994</v>
      </c>
      <c r="AM110" s="388"/>
      <c r="AN110" s="388"/>
      <c r="AO110" s="388">
        <v>130.6</v>
      </c>
      <c r="AP110" s="388">
        <v>552.08799999999997</v>
      </c>
      <c r="AQ110" s="1980">
        <f>+(AP110/AP96-1)*100</f>
        <v>-5.5370100727351712</v>
      </c>
      <c r="AR110" s="1981">
        <f>+AP110/$BI110*100</f>
        <v>29.187053375774695</v>
      </c>
      <c r="AS110" s="24"/>
      <c r="AT110" s="388"/>
      <c r="AU110" s="388"/>
      <c r="AV110" s="388"/>
      <c r="AW110" s="388"/>
      <c r="AX110" s="388"/>
      <c r="AY110" s="388"/>
      <c r="AZ110" s="388"/>
      <c r="BA110" s="388"/>
      <c r="BB110" s="388"/>
      <c r="BC110" s="388"/>
      <c r="BD110" s="1980" t="e">
        <f>+(BC110/BC96-1)*100</f>
        <v>#DIV/0!</v>
      </c>
      <c r="BE110" s="388">
        <v>152.905</v>
      </c>
      <c r="BF110" s="1980">
        <f>+(BE110/BE96-1)*100</f>
        <v>20.985417342522329</v>
      </c>
      <c r="BG110" s="1981">
        <f>+BE110/$BI110*100</f>
        <v>8.0835779738426297</v>
      </c>
      <c r="BH110" s="24"/>
      <c r="BI110" s="266">
        <f>+R110+W110+AP110+BE110</f>
        <v>1891.5509999999999</v>
      </c>
      <c r="BJ110" s="266"/>
      <c r="BK110" s="2889">
        <f>+(BI110/BI96-1)*100</f>
        <v>3.6808745250183073E-2</v>
      </c>
      <c r="BL110" s="266">
        <f>+E110+K110+W110+AT110+AY110</f>
        <v>1186.558</v>
      </c>
      <c r="BM110" s="1980">
        <f>+(BL110/BL103-1)*100</f>
        <v>0</v>
      </c>
      <c r="BN110" s="1981">
        <f>+BL110/$BW110*100</f>
        <v>68.246094949748255</v>
      </c>
      <c r="BO110" s="266">
        <f>+AL110+AM110+AN110+AO110+AU110</f>
        <v>552.08799999999997</v>
      </c>
      <c r="BP110" s="1980">
        <f>+(BO110/BO103-1)*100</f>
        <v>0</v>
      </c>
      <c r="BQ110" s="1981">
        <f>+BO110/$BW110*100</f>
        <v>31.753905050251745</v>
      </c>
      <c r="BR110" s="24"/>
      <c r="BS110" s="266">
        <f>+AK110+AV110+AW110+AX110</f>
        <v>0</v>
      </c>
      <c r="BT110" s="1980"/>
      <c r="BU110" s="1981">
        <f>+BS110/$BW110*100</f>
        <v>0</v>
      </c>
      <c r="BV110" s="24"/>
      <c r="BW110" s="266">
        <f>+BL110+BO110+BS110</f>
        <v>1738.646</v>
      </c>
      <c r="BX110" s="1980">
        <f>+(BW110/BW103-1)*100</f>
        <v>0</v>
      </c>
      <c r="BY110" s="24"/>
      <c r="BZ110" s="389"/>
      <c r="CA110" s="1980"/>
      <c r="CB110" s="1981"/>
      <c r="CC110" s="389"/>
      <c r="CD110" s="1980"/>
      <c r="CE110" s="1981"/>
      <c r="CF110" s="24"/>
      <c r="CG110" s="389"/>
      <c r="CH110" s="1980"/>
      <c r="CI110" s="1981"/>
      <c r="CJ110" s="24"/>
      <c r="CK110" s="389"/>
      <c r="CL110" s="1980"/>
      <c r="CM110" s="1981"/>
      <c r="CN110" s="24"/>
      <c r="CO110" s="266"/>
      <c r="CP110" s="1980"/>
      <c r="CQ110" s="1981"/>
      <c r="CR110" s="1981"/>
      <c r="CS110" s="24"/>
      <c r="CT110" s="389">
        <v>116.605</v>
      </c>
      <c r="CU110" s="1980">
        <f>+(CT110/CT96-1)*100</f>
        <v>8.8129076809660312</v>
      </c>
      <c r="CV110" s="1981">
        <f>+CT110/R110*100</f>
        <v>14.043110258979496</v>
      </c>
      <c r="CW110" s="389"/>
      <c r="CX110" s="389"/>
      <c r="CY110" s="389"/>
      <c r="CZ110" s="24"/>
      <c r="DA110" s="2008">
        <v>-17.033999999999999</v>
      </c>
      <c r="DB110" s="1980">
        <f>+(DA110/DA96-1)*100</f>
        <v>-465.30130817070551</v>
      </c>
      <c r="DC110" s="1981">
        <f>+DA110/W110*100</f>
        <v>-4.7818495208044425</v>
      </c>
      <c r="DD110" s="1981"/>
      <c r="DE110" s="1981"/>
      <c r="DF110" s="1981"/>
      <c r="DG110" s="1981"/>
      <c r="DH110" s="2008">
        <v>-27.904</v>
      </c>
      <c r="DI110" s="1980">
        <f>+(DH110/DH96-1)*100</f>
        <v>56.755238469748903</v>
      </c>
      <c r="DJ110" s="1981">
        <f>+DH110/AP110*100</f>
        <v>-5.0542667111040274</v>
      </c>
      <c r="DK110" s="24"/>
      <c r="DL110" s="2008"/>
      <c r="DM110" s="1980"/>
      <c r="DN110" s="1981"/>
      <c r="DO110" s="24"/>
      <c r="DP110" s="2008"/>
      <c r="DQ110" s="1980"/>
      <c r="DR110" s="1981"/>
      <c r="DS110" s="24"/>
      <c r="DT110" s="2008">
        <v>-51.371000000000002</v>
      </c>
      <c r="DU110" s="1980">
        <f>+(DT110/DT96-1)*100</f>
        <v>25.669064044229174</v>
      </c>
      <c r="DV110" s="1981">
        <v>-48.6</v>
      </c>
      <c r="DW110" s="24"/>
      <c r="DX110" s="629">
        <f>ROUND('qtrP&amp;L'!BR62,3)</f>
        <v>20.295999999999999</v>
      </c>
      <c r="DY110" s="1980">
        <f>+(DX110/DX96-1)*100</f>
        <v>-61.810142064164062</v>
      </c>
      <c r="DZ110" s="1981">
        <f>(+DX110/BI110)*100</f>
        <v>1.0729819074399791</v>
      </c>
      <c r="EA110" s="2005" t="str">
        <f>IF(EB110=DX110," ","no")</f>
        <v xml:space="preserve"> </v>
      </c>
      <c r="EB110" s="91">
        <f>DT110+DH110+DA110+CT110</f>
        <v>20.296000000000006</v>
      </c>
      <c r="EC110" s="2016"/>
      <c r="ED110" s="24"/>
      <c r="EE110" s="24"/>
      <c r="EG110" s="2008"/>
      <c r="EH110" s="1980"/>
      <c r="EI110" s="2008"/>
      <c r="EJ110" s="1980"/>
    </row>
    <row r="111" spans="1:140" hidden="1" outlineLevel="1">
      <c r="A111" s="113" t="str">
        <f>+qtrSales!A134</f>
        <v>4Q</v>
      </c>
      <c r="B111" s="24" t="str">
        <f>+qtrSales!B134</f>
        <v>Jan</v>
      </c>
      <c r="C111" s="24"/>
      <c r="D111" s="24"/>
      <c r="E111" s="302">
        <v>1163</v>
      </c>
      <c r="F111" s="307"/>
      <c r="G111" s="1980">
        <f>+(E111/E97-1)*100</f>
        <v>5.1537070524412254</v>
      </c>
      <c r="H111" s="1981">
        <f>+E111/$BI111*100</f>
        <v>32.83841354602913</v>
      </c>
      <c r="I111" s="1981"/>
      <c r="J111" s="1981"/>
      <c r="K111" s="302">
        <v>417.4</v>
      </c>
      <c r="L111" s="1980">
        <f>+(K111/K97-1)*100</f>
        <v>14.638520630264672</v>
      </c>
      <c r="M111" s="1981">
        <f>+K111/BI111*100</f>
        <v>11.785686856502627</v>
      </c>
      <c r="N111" s="1981"/>
      <c r="O111" s="1981"/>
      <c r="P111" s="1981"/>
      <c r="Q111" s="24"/>
      <c r="R111" s="2026">
        <v>1580.6869999999999</v>
      </c>
      <c r="S111" s="1980">
        <f>+(R111/R104-1)*100</f>
        <v>0</v>
      </c>
      <c r="T111" s="1980"/>
      <c r="U111" s="1981">
        <f>+R111/$BI111*100</f>
        <v>44.632204121093842</v>
      </c>
      <c r="V111" s="24"/>
      <c r="W111" s="418">
        <v>1048.8520000000001</v>
      </c>
      <c r="X111" s="366"/>
      <c r="Y111" s="366"/>
      <c r="Z111" s="366"/>
      <c r="AA111" s="366"/>
      <c r="AB111" s="366"/>
      <c r="AC111" s="1980">
        <f>+(W111/W97-1)*100</f>
        <v>4.2188248340113477</v>
      </c>
      <c r="AD111" s="1981">
        <f>+W111/$BI111*100</f>
        <v>29.615335962665302</v>
      </c>
      <c r="AE111" s="1981"/>
      <c r="AF111" s="1981"/>
      <c r="AG111" s="1981"/>
      <c r="AH111" s="1981"/>
      <c r="AI111" s="24"/>
      <c r="AJ111" s="24"/>
      <c r="AK111" s="388"/>
      <c r="AL111" s="2009">
        <f>567+14.6</f>
        <v>581.6</v>
      </c>
      <c r="AM111" s="388"/>
      <c r="AN111" s="388"/>
      <c r="AO111" s="2009">
        <v>164.5</v>
      </c>
      <c r="AP111" s="418">
        <v>746.12400000000002</v>
      </c>
      <c r="AQ111" s="1980">
        <f>+(AP111/AP97-1)*100</f>
        <v>4.5995107350889741</v>
      </c>
      <c r="AR111" s="1981">
        <f>+AP111/$BI111*100</f>
        <v>21.067522328991778</v>
      </c>
      <c r="AS111" s="24"/>
      <c r="AT111" s="388"/>
      <c r="AU111" s="388"/>
      <c r="AV111" s="388"/>
      <c r="AW111" s="388"/>
      <c r="AX111" s="388"/>
      <c r="AY111" s="388"/>
      <c r="AZ111" s="388"/>
      <c r="BA111" s="388"/>
      <c r="BB111" s="388"/>
      <c r="BC111" s="302"/>
      <c r="BD111" s="1980" t="e">
        <f>+(BC111/BC97-1)*100</f>
        <v>#DIV/0!</v>
      </c>
      <c r="BE111" s="302">
        <v>165.92099999999999</v>
      </c>
      <c r="BF111" s="1980">
        <f>+(BE111/BE97-1)*100</f>
        <v>19.701757423599698</v>
      </c>
      <c r="BG111" s="1981">
        <f>+BE111/$BI111*100</f>
        <v>4.6849375872490961</v>
      </c>
      <c r="BH111" s="24"/>
      <c r="BI111" s="1022">
        <f>+R111+W111+AP111+BE111</f>
        <v>3541.5839999999994</v>
      </c>
      <c r="BJ111" s="325"/>
      <c r="BK111" s="2889">
        <f>+(BI111/BI97-1)*100</f>
        <v>6.4042960898587742</v>
      </c>
      <c r="BL111" s="1022">
        <f>+E111+K111+W111+AT111+AY111</f>
        <v>2629.2520000000004</v>
      </c>
      <c r="BM111" s="1980">
        <f>+(BL111/BL104-1)*100</f>
        <v>0.6057577405247816</v>
      </c>
      <c r="BN111" s="1981">
        <f>+BL111/$BW111*100</f>
        <v>77.895638736345134</v>
      </c>
      <c r="BO111" s="1022">
        <f>+AL111+AM111+AN111+AO111+AU111</f>
        <v>746.1</v>
      </c>
      <c r="BP111" s="1980">
        <f>+(BO111/BO104-1)*100</f>
        <v>1.9958988380041065</v>
      </c>
      <c r="BQ111" s="1981">
        <f>+BO111/$BW111*100</f>
        <v>22.104361263654869</v>
      </c>
      <c r="BR111" s="24"/>
      <c r="BS111" s="1022">
        <f>+AK111+AV111+AW111+AX111</f>
        <v>0</v>
      </c>
      <c r="BT111" s="1980"/>
      <c r="BU111" s="1981">
        <f>+BS111/$BW111*100</f>
        <v>0</v>
      </c>
      <c r="BV111" s="24"/>
      <c r="BW111" s="1022">
        <f>+BL111+BO111+BS111</f>
        <v>3375.3520000000003</v>
      </c>
      <c r="BX111" s="1980">
        <f>+(BW111/BW104-1)*100</f>
        <v>0.90976737567194377</v>
      </c>
      <c r="BY111" s="24"/>
      <c r="BZ111" s="306"/>
      <c r="CA111" s="1980"/>
      <c r="CB111" s="1981"/>
      <c r="CC111" s="306"/>
      <c r="CD111" s="1980"/>
      <c r="CE111" s="1981"/>
      <c r="CF111" s="24"/>
      <c r="CG111" s="306"/>
      <c r="CH111" s="1980"/>
      <c r="CI111" s="1981"/>
      <c r="CJ111" s="24"/>
      <c r="CK111" s="306"/>
      <c r="CL111" s="1980"/>
      <c r="CM111" s="1981"/>
      <c r="CN111" s="24"/>
      <c r="CO111" s="67"/>
      <c r="CP111" s="1980"/>
      <c r="CQ111" s="1981"/>
      <c r="CR111" s="1981"/>
      <c r="CS111" s="24"/>
      <c r="CT111" s="306">
        <v>389.29700000000003</v>
      </c>
      <c r="CU111" s="1980">
        <f>+(CT111/CT97-1)*100</f>
        <v>10.833148277845162</v>
      </c>
      <c r="CV111" s="1981">
        <f>+CT111/R111*100</f>
        <v>24.628341980417378</v>
      </c>
      <c r="CW111" s="321"/>
      <c r="CX111" s="321"/>
      <c r="CY111" s="321"/>
      <c r="CZ111" s="168"/>
      <c r="DA111" s="2010">
        <v>319.25299999999999</v>
      </c>
      <c r="DB111" s="1980">
        <f>+(DA111/DA97-1)*100</f>
        <v>3.2085682511767466</v>
      </c>
      <c r="DC111" s="1981">
        <f>+DA111/W111*100</f>
        <v>30.438326856410626</v>
      </c>
      <c r="DD111" s="1981"/>
      <c r="DE111" s="1981"/>
      <c r="DF111" s="1981"/>
      <c r="DG111" s="1981"/>
      <c r="DH111" s="2010">
        <v>24.045000000000002</v>
      </c>
      <c r="DI111" s="1980">
        <f>+(DH111/DH97-1)*100</f>
        <v>227.2764393630053</v>
      </c>
      <c r="DJ111" s="1981">
        <f>+DH111/AP111*100</f>
        <v>3.2226546793830515</v>
      </c>
      <c r="DK111" s="168"/>
      <c r="DL111" s="2010"/>
      <c r="DM111" s="1980"/>
      <c r="DN111" s="1981"/>
      <c r="DO111" s="168"/>
      <c r="DP111" s="2010"/>
      <c r="DQ111" s="1980"/>
      <c r="DR111" s="1981"/>
      <c r="DS111" s="168"/>
      <c r="DT111" s="2010">
        <v>-38.991999999999997</v>
      </c>
      <c r="DU111" s="1980">
        <f>+(DT111/DT97-1)*100</f>
        <v>-3.8966800581667682</v>
      </c>
      <c r="DV111" s="1981">
        <f>+DT111/BE111*100</f>
        <v>-23.500340523502146</v>
      </c>
      <c r="DW111" s="168"/>
      <c r="DX111" s="2152">
        <f>+'qtrP&amp;L'!BR$63</f>
        <v>693.60300000000007</v>
      </c>
      <c r="DY111" s="1980">
        <f>+(DX111/DX97-1)*100</f>
        <v>10.56112396947151</v>
      </c>
      <c r="DZ111" s="1981">
        <f>(+DX111/BI111)*100</f>
        <v>19.584541832129357</v>
      </c>
      <c r="EA111" s="2005" t="str">
        <f>IF(EB111=DX111," ","no")</f>
        <v xml:space="preserve"> </v>
      </c>
      <c r="EB111" s="91">
        <f>DT111+DH111+DA111+CT111</f>
        <v>693.60300000000007</v>
      </c>
      <c r="EC111" s="24"/>
      <c r="ED111" s="24"/>
      <c r="EE111" s="24"/>
      <c r="EG111" s="2010"/>
      <c r="EH111" s="1980"/>
      <c r="EI111" s="2010"/>
      <c r="EJ111" s="1980"/>
    </row>
    <row r="112" spans="1:140" hidden="1" outlineLevel="1">
      <c r="A112" s="113"/>
      <c r="B112" s="24" t="str">
        <f>+qtrSales!B135</f>
        <v>Year</v>
      </c>
      <c r="C112" s="24"/>
      <c r="D112" s="24"/>
      <c r="E112" s="309">
        <f>+segqtrSales!S107</f>
        <v>3222.0129999999999</v>
      </c>
      <c r="F112" s="309"/>
      <c r="G112" s="1980">
        <f>+(E112/E98-1)*100</f>
        <v>3.5038913386995274</v>
      </c>
      <c r="H112" s="1981">
        <f>+E112/$BI112*100</f>
        <v>33.221269569099604</v>
      </c>
      <c r="I112" s="1981"/>
      <c r="J112" s="1981"/>
      <c r="K112" s="266">
        <f>+SUM(K108:K111)</f>
        <v>1225.5999999999999</v>
      </c>
      <c r="L112" s="1980">
        <f>+(K112/K98-1)*100</f>
        <v>9.5066927209678909</v>
      </c>
      <c r="M112" s="1981">
        <f>+K112/$BI112*100</f>
        <v>12.636816792448844</v>
      </c>
      <c r="N112" s="1981"/>
      <c r="O112" s="1981"/>
      <c r="P112" s="1981"/>
      <c r="Q112" s="24"/>
      <c r="R112" s="266">
        <f>+SUM(R108:R111)</f>
        <v>4447.9359999999997</v>
      </c>
      <c r="S112" s="1980">
        <f>+(R112/R105-1)*100</f>
        <v>0</v>
      </c>
      <c r="T112" s="1980"/>
      <c r="U112" s="1981">
        <f>+R112/$BI112*100</f>
        <v>45.861416723676349</v>
      </c>
      <c r="V112" s="24"/>
      <c r="W112" s="266">
        <f>+SUM(W108:W111)</f>
        <v>2284.752</v>
      </c>
      <c r="X112" s="266"/>
      <c r="Y112" s="266"/>
      <c r="Z112" s="266"/>
      <c r="AA112" s="266"/>
      <c r="AB112" s="266"/>
      <c r="AC112" s="1980">
        <f>+(W112/W98-1)*100</f>
        <v>5.3539446769501842</v>
      </c>
      <c r="AD112" s="1981">
        <f>+W112/$BI112*100</f>
        <v>23.557435085004144</v>
      </c>
      <c r="AE112" s="1981"/>
      <c r="AF112" s="1981"/>
      <c r="AG112" s="1981"/>
      <c r="AH112" s="1981"/>
      <c r="AI112" s="24"/>
      <c r="AJ112" s="24"/>
      <c r="AK112" s="388"/>
      <c r="AL112" s="266">
        <f>+SUM(AL108:AL111)</f>
        <v>1793.9879999999998</v>
      </c>
      <c r="AM112" s="388"/>
      <c r="AN112" s="388"/>
      <c r="AO112" s="266">
        <f>+SUM(AO108:AO111)</f>
        <v>545.16999999999996</v>
      </c>
      <c r="AP112" s="266">
        <f>+SUM(AP108:AP111)</f>
        <v>2339.3090000000002</v>
      </c>
      <c r="AQ112" s="1980">
        <f>+(AP112/AP98-1)*100</f>
        <v>-6.0607508685923577</v>
      </c>
      <c r="AR112" s="1981">
        <f>+AP112/$BI112*100</f>
        <v>24.119956963060311</v>
      </c>
      <c r="AS112" s="24"/>
      <c r="AT112" s="388"/>
      <c r="AU112" s="388"/>
      <c r="AV112" s="388"/>
      <c r="AW112" s="388"/>
      <c r="AX112" s="388"/>
      <c r="AY112" s="388"/>
      <c r="AZ112" s="388"/>
      <c r="BA112" s="388"/>
      <c r="BB112" s="388"/>
      <c r="BC112" s="266"/>
      <c r="BD112" s="1980" t="e">
        <f>+(BC112/BC98-1)*100</f>
        <v>#DIV/0!</v>
      </c>
      <c r="BE112" s="266">
        <f>+SUM(BE108:BE111)</f>
        <v>626.971</v>
      </c>
      <c r="BF112" s="1980">
        <f>+(BE112/BE98-1)*100</f>
        <v>21.190114913645619</v>
      </c>
      <c r="BG112" s="1981">
        <f>+BE112/$BI112*100</f>
        <v>6.464521590387112</v>
      </c>
      <c r="BH112" s="24"/>
      <c r="BI112" s="266">
        <f>+E112+K112+W112+AP112+BE112</f>
        <v>9698.6449999999986</v>
      </c>
      <c r="BJ112" s="266"/>
      <c r="BK112" s="2889">
        <f>+(BI112/BI98-1)*100</f>
        <v>3.0853394824711611</v>
      </c>
      <c r="BL112" s="2027">
        <f>+E112+K112+W112+AT112+AY112</f>
        <v>6732.3649999999998</v>
      </c>
      <c r="BM112" s="2028">
        <f>+(BL112/BL105-1)*100</f>
        <v>0.23570192602315743</v>
      </c>
      <c r="BN112" s="1981">
        <f>+BL112/$BW112*100</f>
        <v>74.214274714400219</v>
      </c>
      <c r="BO112" s="2027">
        <f>+AL112+AM112+AN112+AO112+AU112</f>
        <v>2339.1579999999999</v>
      </c>
      <c r="BP112" s="2028">
        <f>+(BO112/BO105-1)*100</f>
        <v>0.62807639129673909</v>
      </c>
      <c r="BQ112" s="1981">
        <f>+BO112/$BW112*100</f>
        <v>25.785725285599785</v>
      </c>
      <c r="BR112" s="168"/>
      <c r="BS112" s="2027">
        <f>+AK112+AV112+AW112+AX112</f>
        <v>0</v>
      </c>
      <c r="BT112" s="2028"/>
      <c r="BU112" s="1981">
        <f>+BS112/$BW112*100</f>
        <v>0</v>
      </c>
      <c r="BV112" s="168"/>
      <c r="BW112" s="2027">
        <f>+BL112+BO112+BS112</f>
        <v>9071.5229999999992</v>
      </c>
      <c r="BX112" s="2028">
        <f>+(BW112/BW105-1)*100</f>
        <v>0.3365854478640351</v>
      </c>
      <c r="BY112" s="168"/>
      <c r="BZ112" s="1991"/>
      <c r="CA112" s="2028"/>
      <c r="CB112" s="1981"/>
      <c r="CC112" s="1991"/>
      <c r="CD112" s="2028"/>
      <c r="CE112" s="1981"/>
      <c r="CF112" s="168"/>
      <c r="CG112" s="1991"/>
      <c r="CH112" s="2028"/>
      <c r="CI112" s="1981"/>
      <c r="CJ112" s="168"/>
      <c r="CK112" s="1991"/>
      <c r="CL112" s="2028"/>
      <c r="CM112" s="1981"/>
      <c r="CN112" s="168"/>
      <c r="CO112" s="168"/>
      <c r="CP112" s="2028"/>
      <c r="CQ112" s="1981"/>
      <c r="CR112" s="1981"/>
      <c r="CS112" s="2021" t="s">
        <v>771</v>
      </c>
      <c r="CT112" s="266">
        <f>+SUM(CT108:CT111)</f>
        <v>885.75800000000004</v>
      </c>
      <c r="CU112" s="1980">
        <f>+(CT112/CT98-1)*100</f>
        <v>10.908571843563685</v>
      </c>
      <c r="CV112" s="1981">
        <f>+CT112/R112*100</f>
        <v>19.913910631807656</v>
      </c>
      <c r="CW112" s="266"/>
      <c r="CX112" s="266"/>
      <c r="CY112" s="266"/>
      <c r="CZ112" s="24"/>
      <c r="DA112" s="266">
        <f>+SUM(DA108:DA111)</f>
        <v>403.39400000000001</v>
      </c>
      <c r="DB112" s="1980">
        <f>+(DA112/DA98-1)*100</f>
        <v>0.87094378499217306</v>
      </c>
      <c r="DC112" s="1981">
        <f>+DA112/W112*100</f>
        <v>17.65592064259053</v>
      </c>
      <c r="DD112" s="1981"/>
      <c r="DE112" s="1981"/>
      <c r="DF112" s="1981"/>
      <c r="DG112" s="1981"/>
      <c r="DH112" s="91">
        <f>+SUM(DH108:DH111)</f>
        <v>-92.310999999999993</v>
      </c>
      <c r="DI112" s="2022" t="s">
        <v>886</v>
      </c>
      <c r="DJ112" s="1981">
        <f>+DH112/AP112*100</f>
        <v>-3.9460798039079057</v>
      </c>
      <c r="DK112" s="24"/>
      <c r="DL112" s="91"/>
      <c r="DM112" s="1980"/>
      <c r="DN112" s="1981"/>
      <c r="DO112" s="24"/>
      <c r="DP112" s="91"/>
      <c r="DQ112" s="1980"/>
      <c r="DR112" s="1981"/>
      <c r="DS112" s="24"/>
      <c r="DT112" s="91">
        <f>+SUM(DT108:DT111)</f>
        <v>-211.06</v>
      </c>
      <c r="DU112" s="1980">
        <f>+(DT112/DT105-1)*100</f>
        <v>0</v>
      </c>
      <c r="DV112" s="1981">
        <f>+DT112/BE112*100</f>
        <v>-33.663438978836339</v>
      </c>
      <c r="DW112" s="24"/>
      <c r="DX112" s="266">
        <f>+SUM(DX108:DX111)</f>
        <v>985.78099999999972</v>
      </c>
      <c r="DY112" s="1980">
        <f>+(DX112/DX105-1)*100</f>
        <v>2.5575375729038008</v>
      </c>
      <c r="DZ112" s="1981">
        <f>(+DX112/BI112)*100</f>
        <v>10.164110553587639</v>
      </c>
      <c r="EA112" s="2005"/>
      <c r="EB112" s="24"/>
      <c r="EC112" s="24"/>
      <c r="ED112" s="24"/>
      <c r="EE112" s="24"/>
      <c r="EG112" s="91"/>
      <c r="EH112" s="1980"/>
      <c r="EI112" s="91"/>
      <c r="EJ112" s="1980"/>
    </row>
    <row r="113" spans="1:140" hidden="1" outlineLevel="1">
      <c r="A113" s="113"/>
      <c r="B113" s="24"/>
      <c r="C113" s="24"/>
      <c r="D113" s="24"/>
      <c r="E113" s="309"/>
      <c r="F113" s="309"/>
      <c r="G113" s="1980"/>
      <c r="H113" s="1981"/>
      <c r="I113" s="1981"/>
      <c r="J113" s="1981"/>
      <c r="K113" s="266"/>
      <c r="L113" s="1980"/>
      <c r="M113" s="1981"/>
      <c r="N113" s="2029"/>
      <c r="O113" s="1981"/>
      <c r="P113" s="1981"/>
      <c r="Q113" s="24"/>
      <c r="R113" s="266"/>
      <c r="S113" s="1980"/>
      <c r="T113" s="1980"/>
      <c r="U113" s="1981"/>
      <c r="V113" s="24"/>
      <c r="W113" s="266"/>
      <c r="X113" s="266"/>
      <c r="Y113" s="266"/>
      <c r="Z113" s="266"/>
      <c r="AA113" s="266"/>
      <c r="AB113" s="266"/>
      <c r="AC113" s="1980"/>
      <c r="AD113" s="1981"/>
      <c r="AE113" s="1981"/>
      <c r="AF113" s="1981"/>
      <c r="AG113" s="1981"/>
      <c r="AH113" s="1981"/>
      <c r="AI113" s="24"/>
      <c r="AJ113" s="24"/>
      <c r="AK113" s="388"/>
      <c r="AL113" s="127"/>
      <c r="AM113" s="388"/>
      <c r="AN113" s="388"/>
      <c r="AO113" s="266"/>
      <c r="AP113" s="266"/>
      <c r="AQ113" s="1980"/>
      <c r="AR113" s="1981"/>
      <c r="AS113" s="24"/>
      <c r="AT113" s="388"/>
      <c r="AU113" s="388"/>
      <c r="AV113" s="388"/>
      <c r="AW113" s="388"/>
      <c r="AX113" s="388"/>
      <c r="AY113" s="388"/>
      <c r="AZ113" s="388"/>
      <c r="BA113" s="388"/>
      <c r="BB113" s="388"/>
      <c r="BC113" s="266"/>
      <c r="BD113" s="1980"/>
      <c r="BE113" s="266"/>
      <c r="BF113" s="1980"/>
      <c r="BG113" s="1981"/>
      <c r="BH113" s="24"/>
      <c r="BI113" s="266"/>
      <c r="BJ113" s="266"/>
      <c r="BK113" s="2889"/>
      <c r="BL113" s="2030"/>
      <c r="BM113" s="2031"/>
      <c r="BN113" s="2032"/>
      <c r="BO113" s="2030"/>
      <c r="BP113" s="2031"/>
      <c r="BQ113" s="2032"/>
      <c r="BR113" s="1409"/>
      <c r="BS113" s="2030"/>
      <c r="BT113" s="2031"/>
      <c r="BU113" s="2032"/>
      <c r="BV113" s="1409"/>
      <c r="BW113" s="2030"/>
      <c r="BX113" s="2031"/>
      <c r="BY113" s="1409"/>
      <c r="BZ113" s="2033"/>
      <c r="CA113" s="2031"/>
      <c r="CB113" s="2032"/>
      <c r="CC113" s="2033"/>
      <c r="CD113" s="2031"/>
      <c r="CE113" s="2032"/>
      <c r="CF113" s="1409"/>
      <c r="CG113" s="2033"/>
      <c r="CH113" s="2031"/>
      <c r="CI113" s="2032"/>
      <c r="CJ113" s="1409"/>
      <c r="CK113" s="2033"/>
      <c r="CL113" s="2031"/>
      <c r="CM113" s="2032"/>
      <c r="CN113" s="1409"/>
      <c r="CO113" s="1409"/>
      <c r="CP113" s="2031"/>
      <c r="CQ113" s="2032"/>
      <c r="CR113" s="2032"/>
      <c r="CS113" s="1409"/>
      <c r="CT113" s="478">
        <v>825.67200000000003</v>
      </c>
      <c r="CU113" s="2022" t="s">
        <v>401</v>
      </c>
      <c r="CV113" s="1981">
        <f>+CT113/R112*100</f>
        <v>18.563036878228463</v>
      </c>
      <c r="CW113" s="478"/>
      <c r="CX113" s="478"/>
      <c r="CY113" s="478"/>
      <c r="CZ113" s="24"/>
      <c r="DA113" s="478">
        <v>376.68799999999999</v>
      </c>
      <c r="DB113" s="2022" t="s">
        <v>401</v>
      </c>
      <c r="DC113" s="1981">
        <f>+DA113/W112*100</f>
        <v>16.487041044279639</v>
      </c>
      <c r="DD113" s="1981"/>
      <c r="DE113" s="1981"/>
      <c r="DF113" s="1981"/>
      <c r="DG113" s="1981"/>
      <c r="DH113" s="478">
        <v>-114.4</v>
      </c>
      <c r="DI113" s="2022" t="s">
        <v>401</v>
      </c>
      <c r="DJ113" s="1981">
        <f>+DH113/AP112*100</f>
        <v>-4.8903330000440306</v>
      </c>
      <c r="DK113" s="24"/>
      <c r="DL113" s="266"/>
      <c r="DM113" s="1980"/>
      <c r="DN113" s="1981"/>
      <c r="DO113" s="24"/>
      <c r="DP113" s="266"/>
      <c r="DQ113" s="1980"/>
      <c r="DR113" s="1981"/>
      <c r="DS113" s="24"/>
      <c r="DT113" s="266"/>
      <c r="DU113" s="1980"/>
      <c r="DV113" s="1981"/>
      <c r="DW113" s="24"/>
      <c r="DX113" s="266"/>
      <c r="DY113" s="1980"/>
      <c r="DZ113" s="1981"/>
      <c r="EA113" s="2005"/>
      <c r="EB113" s="24"/>
      <c r="EC113" s="24"/>
      <c r="ED113" s="24"/>
      <c r="EE113" s="24"/>
      <c r="EG113" s="266"/>
      <c r="EH113" s="1980"/>
      <c r="EI113" s="266"/>
      <c r="EJ113" s="1980"/>
    </row>
    <row r="114" spans="1:140" hidden="1" outlineLevel="1" collapsed="1">
      <c r="A114" s="113"/>
      <c r="B114" s="136" t="str">
        <f>+qtrSales!B130</f>
        <v>2006A</v>
      </c>
      <c r="C114" s="24"/>
      <c r="D114" s="24"/>
      <c r="E114" s="24"/>
      <c r="F114" s="24"/>
      <c r="G114" s="1980"/>
      <c r="H114" s="1981"/>
      <c r="I114" s="1981"/>
      <c r="J114" s="1981"/>
      <c r="K114" s="24"/>
      <c r="L114" s="1980"/>
      <c r="M114" s="1981"/>
      <c r="N114" s="1981"/>
      <c r="O114" s="1981"/>
      <c r="P114" s="1981"/>
      <c r="Q114" s="24"/>
      <c r="R114" s="24"/>
      <c r="S114" s="1980"/>
      <c r="T114" s="1980"/>
      <c r="U114" s="1981"/>
      <c r="V114" s="24"/>
      <c r="W114" s="387"/>
      <c r="X114" s="387"/>
      <c r="Y114" s="387"/>
      <c r="Z114" s="387"/>
      <c r="AA114" s="387"/>
      <c r="AB114" s="387"/>
      <c r="AC114" s="1980"/>
      <c r="AD114" s="1981"/>
      <c r="AE114" s="1981"/>
      <c r="AF114" s="1981"/>
      <c r="AG114" s="1981"/>
      <c r="AH114" s="1981"/>
      <c r="AI114" s="24"/>
      <c r="AJ114" s="399"/>
      <c r="AK114" s="24"/>
      <c r="AL114" s="1980"/>
      <c r="AM114" s="24"/>
      <c r="AN114" s="24"/>
      <c r="AO114" s="1980"/>
      <c r="AP114" s="24"/>
      <c r="AQ114" s="1980"/>
      <c r="AR114" s="1981"/>
      <c r="AS114" s="24"/>
      <c r="AT114" s="24"/>
      <c r="AU114" s="24"/>
      <c r="AV114" s="24"/>
      <c r="AW114" s="24"/>
      <c r="AX114" s="24"/>
      <c r="AY114" s="24"/>
      <c r="AZ114" s="24"/>
      <c r="BA114" s="24"/>
      <c r="BB114" s="24"/>
      <c r="BC114" s="30"/>
      <c r="BD114" s="1980"/>
      <c r="BE114" s="24"/>
      <c r="BF114" s="1980"/>
      <c r="BG114" s="1981"/>
      <c r="BH114" s="24"/>
      <c r="BI114" s="24"/>
      <c r="BJ114" s="24"/>
      <c r="BK114" s="2889"/>
      <c r="BL114" s="389"/>
      <c r="BM114" s="1988"/>
      <c r="BN114" s="1989"/>
      <c r="BO114" s="389"/>
      <c r="BP114" s="389"/>
      <c r="BQ114" s="389"/>
      <c r="BR114" s="389"/>
      <c r="BS114" s="389"/>
      <c r="BT114" s="389"/>
      <c r="BU114" s="389"/>
      <c r="BV114" s="389"/>
      <c r="BW114" s="266"/>
      <c r="BX114" s="24"/>
      <c r="BY114" s="24"/>
      <c r="BZ114" s="389"/>
      <c r="CA114" s="1988"/>
      <c r="CB114" s="1989"/>
      <c r="CC114" s="389"/>
      <c r="CD114" s="389"/>
      <c r="CE114" s="389"/>
      <c r="CF114" s="389"/>
      <c r="CG114" s="389"/>
      <c r="CH114" s="389"/>
      <c r="CI114" s="389"/>
      <c r="CJ114" s="389"/>
      <c r="CK114" s="389"/>
      <c r="CL114" s="389"/>
      <c r="CM114" s="389"/>
      <c r="CN114" s="389"/>
      <c r="CO114" s="266"/>
      <c r="CP114" s="24"/>
      <c r="CQ114" s="24"/>
      <c r="CR114" s="24"/>
      <c r="CS114" s="24"/>
      <c r="CT114" s="1409" t="s">
        <v>1127</v>
      </c>
      <c r="CU114" s="1409"/>
      <c r="CV114" s="2034"/>
      <c r="CW114" s="1409"/>
      <c r="CX114" s="1409"/>
      <c r="CY114" s="1409"/>
      <c r="CZ114" s="1409"/>
      <c r="DA114" s="1409"/>
      <c r="DB114" s="1409"/>
      <c r="DC114" s="1409"/>
      <c r="DD114" s="1409"/>
      <c r="DE114" s="1409"/>
      <c r="DF114" s="1409"/>
      <c r="DG114" s="1409"/>
      <c r="DH114" s="142"/>
      <c r="DI114" s="24"/>
      <c r="DJ114" s="2019"/>
      <c r="DK114" s="24"/>
      <c r="DL114" s="24"/>
      <c r="DM114" s="24"/>
      <c r="DN114" s="24"/>
      <c r="DO114" s="24"/>
      <c r="DP114" s="24"/>
      <c r="DQ114" s="24"/>
      <c r="DR114" s="24"/>
      <c r="DS114" s="24"/>
      <c r="DT114" s="24"/>
      <c r="DU114" s="24"/>
      <c r="DV114" s="24"/>
      <c r="DW114" s="24"/>
      <c r="DX114" s="24"/>
      <c r="DY114" s="24"/>
      <c r="DZ114" s="1981"/>
      <c r="EA114" s="2007"/>
      <c r="EB114" s="24"/>
      <c r="EC114" s="24"/>
      <c r="ED114" s="24"/>
      <c r="EE114" s="24"/>
      <c r="EG114" s="24"/>
      <c r="EH114" s="24"/>
      <c r="EI114" s="24"/>
      <c r="EJ114" s="24"/>
    </row>
    <row r="115" spans="1:140" hidden="1" outlineLevel="1">
      <c r="A115" s="113" t="str">
        <f>+qtrSales!A131</f>
        <v>1Q</v>
      </c>
      <c r="B115" s="24" t="str">
        <f>+qtrSales!B131</f>
        <v>Apr</v>
      </c>
      <c r="C115" s="24"/>
      <c r="D115" s="24"/>
      <c r="E115" s="1982">
        <v>736.4</v>
      </c>
      <c r="F115" s="1982"/>
      <c r="G115" s="1980">
        <f>+(E115/E108-1)*100</f>
        <v>10.111442229622124</v>
      </c>
      <c r="H115" s="1981">
        <f>+E115/$BI115*100</f>
        <v>35.453429820840775</v>
      </c>
      <c r="I115" s="1981"/>
      <c r="J115" s="1981"/>
      <c r="K115" s="1982">
        <v>315.5</v>
      </c>
      <c r="L115" s="1980">
        <f>+(K115/K108-1)*100</f>
        <v>10.160614525139678</v>
      </c>
      <c r="M115" s="1981">
        <f>+K115/BI115*100</f>
        <v>15.189512640515026</v>
      </c>
      <c r="N115" s="2035"/>
      <c r="O115" s="1981"/>
      <c r="P115" s="1981"/>
      <c r="Q115" s="24"/>
      <c r="R115" s="1982">
        <v>1051.8399999999999</v>
      </c>
      <c r="S115" s="1980">
        <f>+(R115/R101-1)*100</f>
        <v>10.119904478436981</v>
      </c>
      <c r="T115" s="1980"/>
      <c r="U115" s="1981">
        <f>+R115/$BI115*100</f>
        <v>50.640053806020049</v>
      </c>
      <c r="V115" s="24"/>
      <c r="W115" s="1982">
        <v>386.08300000000003</v>
      </c>
      <c r="X115" s="1982"/>
      <c r="Y115" s="1982"/>
      <c r="Z115" s="1982"/>
      <c r="AA115" s="1982"/>
      <c r="AB115" s="1982"/>
      <c r="AC115" s="1980">
        <f>+(W115/W101-1)*100</f>
        <v>6.3115083626591018</v>
      </c>
      <c r="AD115" s="1981">
        <f>+W115/$BI115*100</f>
        <v>18.587678633242355</v>
      </c>
      <c r="AE115" s="1981"/>
      <c r="AF115" s="1981"/>
      <c r="AG115" s="1981"/>
      <c r="AH115" s="1981"/>
      <c r="AI115" s="24"/>
      <c r="AJ115" s="24"/>
      <c r="AK115" s="2011">
        <f>0.75*2.1</f>
        <v>1.5750000000000002</v>
      </c>
      <c r="AL115" s="1982">
        <v>379.6</v>
      </c>
      <c r="AM115" s="381"/>
      <c r="AN115" s="381"/>
      <c r="AO115" s="1982">
        <v>111.1</v>
      </c>
      <c r="AP115" s="1982">
        <v>490.745</v>
      </c>
      <c r="AQ115" s="1980">
        <f>+(AP115/AP101-1)*100</f>
        <v>-1.9347477254424761</v>
      </c>
      <c r="AR115" s="1981">
        <f>+AP115/$BI115*100</f>
        <v>23.626552712423283</v>
      </c>
      <c r="AS115" s="24"/>
      <c r="AT115" s="1982"/>
      <c r="AU115" s="1982"/>
      <c r="AV115" s="1982"/>
      <c r="AW115" s="1982"/>
      <c r="AX115" s="1982"/>
      <c r="AY115" s="1982"/>
      <c r="AZ115" s="1982"/>
      <c r="BA115" s="1982"/>
      <c r="BB115" s="1982"/>
      <c r="BC115" s="2036"/>
      <c r="BD115" s="1980"/>
      <c r="BE115" s="1982">
        <v>148.423</v>
      </c>
      <c r="BF115" s="1980">
        <f>+(BE115/BE101-1)*100</f>
        <v>-4.9581855205358405</v>
      </c>
      <c r="BG115" s="1981">
        <f>+BE115/$BI115*100</f>
        <v>7.1457148483142996</v>
      </c>
      <c r="BH115" s="24"/>
      <c r="BI115" s="381">
        <f>+R115+W115+AP115+BE115</f>
        <v>2077.0910000000003</v>
      </c>
      <c r="BJ115" s="381"/>
      <c r="BK115" s="2889">
        <f>+(BI115/BI101-1)*100</f>
        <v>5.172785695912574</v>
      </c>
      <c r="BL115" s="381">
        <f>+E115+K115+W115+AT115+AY115</f>
        <v>1437.9830000000002</v>
      </c>
      <c r="BM115" s="1980">
        <f>+(BL115/BL101-1)*100</f>
        <v>9.0753592209591218</v>
      </c>
      <c r="BN115" s="1981">
        <f>+BL115/$BW115*100</f>
        <v>74.496932534407307</v>
      </c>
      <c r="BO115" s="381">
        <f>+AL115+AM115+AN115+AO115+AU115</f>
        <v>490.70000000000005</v>
      </c>
      <c r="BP115" s="1980">
        <f>+(BO115/BO101-1)*100</f>
        <v>-1.9129669978211639</v>
      </c>
      <c r="BQ115" s="1981">
        <f>+BO115/$BW115*100</f>
        <v>25.421472155535685</v>
      </c>
      <c r="BR115" s="389"/>
      <c r="BS115" s="381">
        <f>+AK115+AV115+AW115+AX115</f>
        <v>1.5750000000000002</v>
      </c>
      <c r="BT115" s="1980"/>
      <c r="BU115" s="1981">
        <f>+BS115/$BW115*100</f>
        <v>8.1595310056997564E-2</v>
      </c>
      <c r="BV115" s="389"/>
      <c r="BW115" s="381">
        <f>+BL115+BO115+BS115</f>
        <v>1930.2580000000003</v>
      </c>
      <c r="BX115" s="1980">
        <f>+(BW115/BW101-1)*100</f>
        <v>6.0474105914567033</v>
      </c>
      <c r="BY115" s="24"/>
      <c r="BZ115" s="390"/>
      <c r="CA115" s="1980"/>
      <c r="CB115" s="1981"/>
      <c r="CC115" s="390"/>
      <c r="CD115" s="1980"/>
      <c r="CE115" s="1981"/>
      <c r="CF115" s="389"/>
      <c r="CG115" s="390"/>
      <c r="CH115" s="1980"/>
      <c r="CI115" s="1981"/>
      <c r="CJ115" s="24"/>
      <c r="CK115" s="390"/>
      <c r="CL115" s="1980"/>
      <c r="CM115" s="1981"/>
      <c r="CN115" s="24"/>
      <c r="CO115" s="165"/>
      <c r="CP115" s="1980"/>
      <c r="CQ115" s="1981"/>
      <c r="CR115" s="1981"/>
      <c r="CS115" s="24"/>
      <c r="CT115" s="1982">
        <v>204.148</v>
      </c>
      <c r="CU115" s="2022" t="s">
        <v>401</v>
      </c>
      <c r="CV115" s="1981">
        <f>+CT115/R115*100</f>
        <v>19.408655308792213</v>
      </c>
      <c r="CW115" s="1982"/>
      <c r="CX115" s="1982"/>
      <c r="CY115" s="1982"/>
      <c r="CZ115" s="24"/>
      <c r="DA115" s="1982">
        <v>18.939</v>
      </c>
      <c r="DB115" s="2022" t="s">
        <v>401</v>
      </c>
      <c r="DC115" s="1981">
        <f>+DA115/W115*100</f>
        <v>4.9054218911477578</v>
      </c>
      <c r="DD115" s="1981"/>
      <c r="DE115" s="1981"/>
      <c r="DF115" s="1981"/>
      <c r="DG115" s="1981"/>
      <c r="DH115" s="1982">
        <v>12.102</v>
      </c>
      <c r="DI115" s="2022" t="s">
        <v>401</v>
      </c>
      <c r="DJ115" s="1981">
        <f>+DH115/AP115*100</f>
        <v>2.4660465211056657</v>
      </c>
      <c r="DK115" s="24"/>
      <c r="DL115" s="1982"/>
      <c r="DM115" s="1980"/>
      <c r="DN115" s="1981"/>
      <c r="DO115" s="24"/>
      <c r="DP115" s="1982"/>
      <c r="DQ115" s="1980"/>
      <c r="DR115" s="1981"/>
      <c r="DS115" s="24"/>
      <c r="DT115" s="1982">
        <v>-49.243000000000002</v>
      </c>
      <c r="DU115" s="1980">
        <f>+(DT115/DT108-1)*100</f>
        <v>-14.857528183138523</v>
      </c>
      <c r="DV115" s="1981">
        <f>+DT115/BE115*100</f>
        <v>-33.177472494155218</v>
      </c>
      <c r="DW115" s="24"/>
      <c r="DX115" s="266">
        <f>'qtrP&amp;L'!BV60</f>
        <v>185.94599999999991</v>
      </c>
      <c r="DY115" s="1980">
        <f>+(DX115/DX108-1)*100</f>
        <v>56.871446167344317</v>
      </c>
      <c r="DZ115" s="1981">
        <f>(+DX115/BI115)*100</f>
        <v>8.9522317510402711</v>
      </c>
      <c r="EA115" s="2005" t="str">
        <f>IF(EB115=DX115," ","no")</f>
        <v xml:space="preserve"> </v>
      </c>
      <c r="EB115" s="91">
        <f>DT115+DH115+DA115+CT115</f>
        <v>185.946</v>
      </c>
      <c r="EC115" s="24"/>
      <c r="ED115" s="24"/>
      <c r="EE115" s="24"/>
      <c r="EG115" s="1982">
        <v>21</v>
      </c>
      <c r="EH115" s="2037"/>
      <c r="EI115" s="381">
        <f>2077-EG115</f>
        <v>2056</v>
      </c>
      <c r="EJ115" s="2037"/>
    </row>
    <row r="116" spans="1:140" hidden="1" outlineLevel="1">
      <c r="A116" s="113" t="str">
        <f>+qtrSales!A132</f>
        <v>2Q</v>
      </c>
      <c r="B116" s="24" t="str">
        <f>+qtrSales!B132</f>
        <v>Jul</v>
      </c>
      <c r="C116" s="24"/>
      <c r="D116" s="24"/>
      <c r="E116" s="307">
        <v>869.3</v>
      </c>
      <c r="F116" s="307"/>
      <c r="G116" s="1980">
        <f>+(E116/E109-1)*100</f>
        <v>14.006557377049166</v>
      </c>
      <c r="H116" s="1981">
        <f>+E116/$BI116*100</f>
        <v>35.425934408432127</v>
      </c>
      <c r="I116" s="1981"/>
      <c r="J116" s="1981"/>
      <c r="K116" s="388">
        <v>365.4</v>
      </c>
      <c r="L116" s="1980">
        <f>+(K116/K109-1)*100</f>
        <v>14.473684210526304</v>
      </c>
      <c r="M116" s="1981">
        <f>+K116/BI116*100</f>
        <v>14.890873614219602</v>
      </c>
      <c r="N116" s="307"/>
      <c r="O116" s="1981"/>
      <c r="P116" s="1981"/>
      <c r="Q116" s="24"/>
      <c r="R116" s="388">
        <v>1234.7070000000001</v>
      </c>
      <c r="S116" s="1980">
        <f>+(R116/R102-1)*100</f>
        <v>14.141250730307586</v>
      </c>
      <c r="T116" s="1980"/>
      <c r="U116" s="1981">
        <f>+R116/$BI116*100</f>
        <v>50.317093288429795</v>
      </c>
      <c r="V116" s="24"/>
      <c r="W116" s="388">
        <v>580.51199999999994</v>
      </c>
      <c r="X116" s="388"/>
      <c r="Y116" s="388"/>
      <c r="Z116" s="388"/>
      <c r="AA116" s="388"/>
      <c r="AB116" s="388"/>
      <c r="AC116" s="1980">
        <f>+(W116/W102-1)*100</f>
        <v>12.389935645749595</v>
      </c>
      <c r="AD116" s="1981">
        <f>+W116/$BI116*100</f>
        <v>23.657172478209766</v>
      </c>
      <c r="AE116" s="1981"/>
      <c r="AF116" s="1981"/>
      <c r="AG116" s="1981"/>
      <c r="AH116" s="1981"/>
      <c r="AI116" s="24"/>
      <c r="AJ116" s="24"/>
      <c r="AK116" s="388"/>
      <c r="AL116" s="388">
        <v>370</v>
      </c>
      <c r="AM116" s="388"/>
      <c r="AN116" s="388"/>
      <c r="AO116" s="388">
        <v>108.2</v>
      </c>
      <c r="AP116" s="388">
        <v>478.14499999999998</v>
      </c>
      <c r="AQ116" s="1980">
        <f>+(AP116/AP102-1)*100</f>
        <v>-11.564355336896813</v>
      </c>
      <c r="AR116" s="1981">
        <f>+AP116/$BI116*100</f>
        <v>19.485486492257888</v>
      </c>
      <c r="AS116" s="24"/>
      <c r="AT116" s="388"/>
      <c r="AU116" s="388"/>
      <c r="AV116" s="388"/>
      <c r="AW116" s="388"/>
      <c r="AX116" s="388"/>
      <c r="AY116" s="388"/>
      <c r="AZ116" s="388"/>
      <c r="BA116" s="388"/>
      <c r="BB116" s="388"/>
      <c r="BC116" s="307"/>
      <c r="BD116" s="1980"/>
      <c r="BE116" s="388">
        <v>160.488</v>
      </c>
      <c r="BF116" s="1980">
        <f>+(BE116/BE102-1)*100</f>
        <v>5.5987998341876066</v>
      </c>
      <c r="BG116" s="1981">
        <f>+BE116/$BI116*100</f>
        <v>6.5402477411025606</v>
      </c>
      <c r="BH116" s="24"/>
      <c r="BI116" s="266">
        <f>+R116+W116+AP116+BE116</f>
        <v>2453.8519999999999</v>
      </c>
      <c r="BJ116" s="266"/>
      <c r="BK116" s="2889">
        <f>+(BI116/BI102-1)*100</f>
        <v>7.1129655973785066</v>
      </c>
      <c r="BL116" s="266">
        <f>+E116+K116+W116+AT116+AY116</f>
        <v>1815.2119999999998</v>
      </c>
      <c r="BM116" s="1980">
        <f>+(BL116/BL102-1)*100</f>
        <v>13.577388788499167</v>
      </c>
      <c r="BN116" s="1981">
        <f>+BL116/$BW116*100</f>
        <v>79.148971052737139</v>
      </c>
      <c r="BO116" s="266">
        <f>+AL116+AM116+AN116+AO116+AU116</f>
        <v>478.2</v>
      </c>
      <c r="BP116" s="1980">
        <f>+(BO116/BO102-1)*100</f>
        <v>-11.559090068429823</v>
      </c>
      <c r="BQ116" s="1981">
        <f>+BO116/$BW116*100</f>
        <v>20.851028947262858</v>
      </c>
      <c r="BR116" s="389"/>
      <c r="BS116" s="266">
        <f>+AK116+AV116+AW116+AX116</f>
        <v>0</v>
      </c>
      <c r="BT116" s="1980"/>
      <c r="BU116" s="1981">
        <f>+BS116/$BW116*100</f>
        <v>0</v>
      </c>
      <c r="BV116" s="389"/>
      <c r="BW116" s="266">
        <f>+BL116+BO116+BS116</f>
        <v>2293.4119999999998</v>
      </c>
      <c r="BX116" s="1980">
        <f>+(BW116/BW102-1)*100</f>
        <v>7.2230980552765889</v>
      </c>
      <c r="BY116" s="24"/>
      <c r="BZ116" s="389"/>
      <c r="CA116" s="1980"/>
      <c r="CB116" s="1981"/>
      <c r="CC116" s="389"/>
      <c r="CD116" s="1980"/>
      <c r="CE116" s="1981"/>
      <c r="CF116" s="389"/>
      <c r="CG116" s="389"/>
      <c r="CH116" s="1980"/>
      <c r="CI116" s="1981"/>
      <c r="CJ116" s="389"/>
      <c r="CK116" s="389"/>
      <c r="CL116" s="1980"/>
      <c r="CM116" s="1981"/>
      <c r="CN116" s="389"/>
      <c r="CO116" s="266"/>
      <c r="CP116" s="1980"/>
      <c r="CQ116" s="1981"/>
      <c r="CR116" s="1981"/>
      <c r="CS116" s="24"/>
      <c r="CT116" s="389">
        <v>183.839</v>
      </c>
      <c r="CU116" s="2022" t="s">
        <v>401</v>
      </c>
      <c r="CV116" s="1981">
        <f>+CT116/R116*100</f>
        <v>14.889281424661881</v>
      </c>
      <c r="CW116" s="389"/>
      <c r="CX116" s="389"/>
      <c r="CY116" s="389"/>
      <c r="CZ116" s="24"/>
      <c r="DA116" s="389">
        <v>83.221000000000004</v>
      </c>
      <c r="DB116" s="2022" t="s">
        <v>401</v>
      </c>
      <c r="DC116" s="1981">
        <f>+DA116/W116*100</f>
        <v>14.335793230803153</v>
      </c>
      <c r="DD116" s="1981"/>
      <c r="DE116" s="1981"/>
      <c r="DF116" s="1981"/>
      <c r="DG116" s="1981"/>
      <c r="DH116" s="2008">
        <v>-39.042999999999999</v>
      </c>
      <c r="DI116" s="2022" t="s">
        <v>401</v>
      </c>
      <c r="DJ116" s="1981">
        <f>+DH116/AP116*100</f>
        <v>-8.1655146451390266</v>
      </c>
      <c r="DK116" s="24"/>
      <c r="DL116" s="2008"/>
      <c r="DM116" s="1980"/>
      <c r="DN116" s="1981"/>
      <c r="DO116" s="24"/>
      <c r="DP116" s="2008"/>
      <c r="DQ116" s="1980"/>
      <c r="DR116" s="1981"/>
      <c r="DS116" s="24"/>
      <c r="DT116" s="2008">
        <v>-31.238</v>
      </c>
      <c r="DU116" s="1980">
        <f>+(DT116/DT109-1)*100</f>
        <v>-50.306231208539472</v>
      </c>
      <c r="DV116" s="1981">
        <f>+DT116/BE116*100</f>
        <v>-19.464383629928715</v>
      </c>
      <c r="DW116" s="24"/>
      <c r="DX116" s="266">
        <f>'qtrP&amp;L'!BV61</f>
        <v>196.77999999999975</v>
      </c>
      <c r="DY116" s="1980">
        <f>+(DX116/DX109-1)*100</f>
        <v>28.322508281816571</v>
      </c>
      <c r="DZ116" s="1981">
        <f>(+DX116/BI116)*100</f>
        <v>8.0192285435307333</v>
      </c>
      <c r="EA116" s="2005" t="str">
        <f>IF(ROUND(EB116,2)=ROUND(DX116,2)," ","no")</f>
        <v xml:space="preserve"> </v>
      </c>
      <c r="EB116" s="91">
        <f>DT116+DH116+DA116+CT116</f>
        <v>196.779</v>
      </c>
      <c r="EC116" s="24"/>
      <c r="ED116" s="24"/>
      <c r="EE116" s="24"/>
      <c r="EG116" s="2008">
        <v>26</v>
      </c>
      <c r="EH116" s="2037"/>
      <c r="EI116" s="530">
        <f>2454-EG116</f>
        <v>2428</v>
      </c>
      <c r="EJ116" s="2037"/>
    </row>
    <row r="117" spans="1:140" hidden="1" outlineLevel="1">
      <c r="A117" s="113" t="str">
        <f>+qtrSales!A133</f>
        <v>3Q</v>
      </c>
      <c r="B117" s="24" t="str">
        <f>+qtrSales!B133</f>
        <v>Oct</v>
      </c>
      <c r="C117" s="24"/>
      <c r="D117" s="24"/>
      <c r="E117" s="307">
        <v>745.2</v>
      </c>
      <c r="F117" s="307"/>
      <c r="G117" s="1980">
        <f>+(E117/E110-1)*100</f>
        <v>18.712324926402204</v>
      </c>
      <c r="H117" s="1981">
        <f>+E117/$BI117*100</f>
        <v>35.234808889460481</v>
      </c>
      <c r="I117" s="1981"/>
      <c r="J117" s="1981"/>
      <c r="K117" s="388">
        <v>242.7</v>
      </c>
      <c r="L117" s="1980">
        <f>+(K117/K110-1)*100</f>
        <v>19.792694965449154</v>
      </c>
      <c r="M117" s="1981">
        <f>+K117/BI117*100</f>
        <v>11.4754268887172</v>
      </c>
      <c r="N117" s="307"/>
      <c r="O117" s="1981"/>
      <c r="P117" s="1981"/>
      <c r="Q117" s="24"/>
      <c r="R117" s="388">
        <v>987.93100000000004</v>
      </c>
      <c r="S117" s="1980">
        <f>+(R117/R103-1)*100</f>
        <v>18.979666062895028</v>
      </c>
      <c r="T117" s="1980"/>
      <c r="U117" s="1981">
        <f>+R117/$BI117*100</f>
        <v>46.711701531097127</v>
      </c>
      <c r="V117" s="24"/>
      <c r="W117" s="388">
        <v>414.24599999999998</v>
      </c>
      <c r="X117" s="388"/>
      <c r="Y117" s="388"/>
      <c r="Z117" s="388"/>
      <c r="AA117" s="388"/>
      <c r="AB117" s="388"/>
      <c r="AC117" s="1980">
        <f>+(W117/W103-1)*100</f>
        <v>16.288718832638072</v>
      </c>
      <c r="AD117" s="1981">
        <f>+W117/$BI117*100</f>
        <v>19.586525286129152</v>
      </c>
      <c r="AE117" s="1981"/>
      <c r="AF117" s="1981"/>
      <c r="AG117" s="1981"/>
      <c r="AH117" s="1981"/>
      <c r="AI117" s="24"/>
      <c r="AJ117" s="24"/>
      <c r="AK117" s="388"/>
      <c r="AL117" s="388">
        <v>409.8</v>
      </c>
      <c r="AM117" s="388"/>
      <c r="AN117" s="388"/>
      <c r="AO117" s="388">
        <v>119.2</v>
      </c>
      <c r="AP117" s="388">
        <v>529.04100000000005</v>
      </c>
      <c r="AQ117" s="1980">
        <f>+(AP117/AP103-1)*100</f>
        <v>-4.1745156569242381</v>
      </c>
      <c r="AR117" s="1981">
        <f>+AP117/$BI117*100</f>
        <v>25.01430291155269</v>
      </c>
      <c r="AS117" s="24"/>
      <c r="AT117" s="388"/>
      <c r="AU117" s="388"/>
      <c r="AV117" s="388"/>
      <c r="AW117" s="388"/>
      <c r="AX117" s="388"/>
      <c r="AY117" s="388"/>
      <c r="AZ117" s="388"/>
      <c r="BA117" s="388"/>
      <c r="BB117" s="388"/>
      <c r="BC117" s="307"/>
      <c r="BD117" s="1980"/>
      <c r="BE117" s="388">
        <v>183.73599999999999</v>
      </c>
      <c r="BF117" s="1980">
        <f>+(BE117/BE103-1)*100</f>
        <v>20.163500212550268</v>
      </c>
      <c r="BG117" s="1981">
        <f>+BE117/$BI117*100</f>
        <v>8.6874702712210272</v>
      </c>
      <c r="BH117" s="24"/>
      <c r="BI117" s="266">
        <f>+R117+W117+AP117+BE117</f>
        <v>2114.9540000000002</v>
      </c>
      <c r="BJ117" s="266"/>
      <c r="BK117" s="2889">
        <f>+(BI117/BI103-1)*100</f>
        <v>11.810572382135099</v>
      </c>
      <c r="BL117" s="266">
        <f>+E117+K117+W117+AT117+AY117</f>
        <v>1402.1460000000002</v>
      </c>
      <c r="BM117" s="1980">
        <f>+(BL117/BL103-1)*100</f>
        <v>18.169191897909776</v>
      </c>
      <c r="BN117" s="1981">
        <f>+BL117/$BW117*100</f>
        <v>72.606939092124577</v>
      </c>
      <c r="BO117" s="266">
        <f>+AL117+AM117+AN117+AO117+AU117</f>
        <v>529</v>
      </c>
      <c r="BP117" s="1980">
        <f>+(BO117/BO103-1)*100</f>
        <v>-4.1819420092448993</v>
      </c>
      <c r="BQ117" s="1981">
        <f>+BO117/$BW117*100</f>
        <v>27.393060907875427</v>
      </c>
      <c r="BR117" s="24"/>
      <c r="BS117" s="266">
        <f>+AK117+AV117+AW117+AX117</f>
        <v>0</v>
      </c>
      <c r="BT117" s="1980"/>
      <c r="BU117" s="1981">
        <f>+BS117/$BW117*100</f>
        <v>0</v>
      </c>
      <c r="BV117" s="24"/>
      <c r="BW117" s="266">
        <f>+BL117+BO117+BS117</f>
        <v>1931.1460000000002</v>
      </c>
      <c r="BX117" s="1980">
        <f>+(BW117/BW103-1)*100</f>
        <v>11.071834059377261</v>
      </c>
      <c r="BY117" s="24"/>
      <c r="BZ117" s="389"/>
      <c r="CA117" s="1980"/>
      <c r="CB117" s="1981"/>
      <c r="CC117" s="389"/>
      <c r="CD117" s="1980"/>
      <c r="CE117" s="1981"/>
      <c r="CF117" s="24"/>
      <c r="CG117" s="389"/>
      <c r="CH117" s="1980"/>
      <c r="CI117" s="1981"/>
      <c r="CJ117" s="24"/>
      <c r="CK117" s="389"/>
      <c r="CL117" s="1980"/>
      <c r="CM117" s="1981"/>
      <c r="CN117" s="24"/>
      <c r="CO117" s="266"/>
      <c r="CP117" s="1980"/>
      <c r="CQ117" s="1981"/>
      <c r="CR117" s="1981"/>
      <c r="CS117" s="24"/>
      <c r="CT117" s="389">
        <v>112.822</v>
      </c>
      <c r="CU117" s="2022" t="s">
        <v>401</v>
      </c>
      <c r="CV117" s="1981">
        <f>+CT117/R117*100</f>
        <v>11.420028321815998</v>
      </c>
      <c r="CW117" s="389"/>
      <c r="CX117" s="389"/>
      <c r="CY117" s="389"/>
      <c r="CZ117" s="24"/>
      <c r="DA117" s="2008">
        <v>-7.1580000000000004</v>
      </c>
      <c r="DB117" s="2022" t="s">
        <v>401</v>
      </c>
      <c r="DC117" s="1981">
        <f>+DA117/W117*100</f>
        <v>-1.7279587491490567</v>
      </c>
      <c r="DD117" s="1981"/>
      <c r="DE117" s="1981"/>
      <c r="DF117" s="1981"/>
      <c r="DG117" s="1981"/>
      <c r="DH117" s="2008">
        <v>-7.4619999999999997</v>
      </c>
      <c r="DI117" s="2022" t="s">
        <v>401</v>
      </c>
      <c r="DJ117" s="1981">
        <f>+DH117/AP117*100</f>
        <v>-1.4104766927326993</v>
      </c>
      <c r="DK117" s="24"/>
      <c r="DL117" s="2008"/>
      <c r="DM117" s="1980"/>
      <c r="DN117" s="1981"/>
      <c r="DO117" s="24"/>
      <c r="DP117" s="2008"/>
      <c r="DQ117" s="1980"/>
      <c r="DR117" s="1981"/>
      <c r="DS117" s="24"/>
      <c r="DT117" s="2008">
        <v>-31.663</v>
      </c>
      <c r="DU117" s="1980">
        <f>+(DT117/DT110-1)*100</f>
        <v>-38.364057542193066</v>
      </c>
      <c r="DV117" s="1981">
        <f>+DT117/BE117*100</f>
        <v>-17.232877607001353</v>
      </c>
      <c r="DW117" s="24"/>
      <c r="DX117" s="266">
        <f>ROUND('qtrP&amp;L'!BV62,3)</f>
        <v>66.539000000000001</v>
      </c>
      <c r="DY117" s="1980">
        <f>+(DX117/DX110-1)*100</f>
        <v>227.84292471422941</v>
      </c>
      <c r="DZ117" s="1981">
        <f>(+DX117/BI117)*100</f>
        <v>3.1461204357163322</v>
      </c>
      <c r="EA117" s="2005" t="str">
        <f>IF(EB117=DX117," ","no")</f>
        <v xml:space="preserve"> </v>
      </c>
      <c r="EB117" s="91">
        <f>DT117+DH117+DA117+CT117</f>
        <v>66.539000000000001</v>
      </c>
      <c r="EC117" s="24"/>
      <c r="ED117" s="24"/>
      <c r="EE117" s="24"/>
      <c r="EG117" s="2008">
        <v>19</v>
      </c>
      <c r="EH117" s="2037"/>
      <c r="EI117" s="530">
        <f>2115-EG117</f>
        <v>2096</v>
      </c>
      <c r="EJ117" s="2037"/>
    </row>
    <row r="118" spans="1:140" hidden="1" outlineLevel="1">
      <c r="A118" s="113" t="str">
        <f>+qtrSales!A134</f>
        <v>4Q</v>
      </c>
      <c r="B118" s="24" t="str">
        <f>+qtrSales!B134</f>
        <v>Jan</v>
      </c>
      <c r="C118" s="24"/>
      <c r="D118" s="24"/>
      <c r="E118" s="302">
        <v>1349.1</v>
      </c>
      <c r="F118" s="307"/>
      <c r="G118" s="1980">
        <f>+(E118/E111-1)*100</f>
        <v>16.001719690455719</v>
      </c>
      <c r="H118" s="1981">
        <f>+E118/$BI118*100</f>
        <v>33.520494188141129</v>
      </c>
      <c r="I118" s="1981"/>
      <c r="J118" s="1981"/>
      <c r="K118" s="302">
        <f>+R118-E118-N118</f>
        <v>492.06299999999999</v>
      </c>
      <c r="L118" s="1980">
        <f>+(K118/K111-1)*100</f>
        <v>17.887637757546713</v>
      </c>
      <c r="M118" s="1981">
        <f>+K118/BI118*100</f>
        <v>12.226072886887028</v>
      </c>
      <c r="N118" s="302">
        <v>23.1</v>
      </c>
      <c r="O118" s="1990" t="s">
        <v>520</v>
      </c>
      <c r="P118" s="1981">
        <f>+N118/BI118*100</f>
        <v>0.57395553757768902</v>
      </c>
      <c r="Q118" s="24"/>
      <c r="R118" s="306">
        <v>1864.2629999999999</v>
      </c>
      <c r="S118" s="1980">
        <f>+(R118/R104-1)*100</f>
        <v>17.940047586903663</v>
      </c>
      <c r="T118" s="1980"/>
      <c r="U118" s="1981">
        <f>+R118/$BI118*100</f>
        <v>46.320522612605849</v>
      </c>
      <c r="V118" s="24"/>
      <c r="W118" s="302">
        <v>1174.5640000000001</v>
      </c>
      <c r="X118" s="307"/>
      <c r="Y118" s="307"/>
      <c r="Z118" s="307"/>
      <c r="AA118" s="307"/>
      <c r="AB118" s="307"/>
      <c r="AC118" s="1980">
        <f>+(W118/W104-1)*100</f>
        <v>13.701851172435031</v>
      </c>
      <c r="AD118" s="1981">
        <f>+W118/$BI118*100</f>
        <v>29.183874980060637</v>
      </c>
      <c r="AE118" s="1981"/>
      <c r="AF118" s="1981"/>
      <c r="AG118" s="1981"/>
      <c r="AH118" s="1981"/>
      <c r="AI118" s="24"/>
      <c r="AJ118" s="24"/>
      <c r="AK118" s="388"/>
      <c r="AL118" s="2009">
        <v>589.4</v>
      </c>
      <c r="AM118" s="388"/>
      <c r="AN118" s="388"/>
      <c r="AO118" s="2009">
        <v>154.9</v>
      </c>
      <c r="AP118" s="302">
        <v>744.32299999999998</v>
      </c>
      <c r="AQ118" s="1980">
        <f>+(AP118/AP104-1)*100</f>
        <v>1.7465750615818898</v>
      </c>
      <c r="AR118" s="1981">
        <f>+AP118/$BI118*100</f>
        <v>18.49386612971594</v>
      </c>
      <c r="AS118" s="24"/>
      <c r="AT118" s="388"/>
      <c r="AU118" s="388"/>
      <c r="AV118" s="388"/>
      <c r="AW118" s="388"/>
      <c r="AX118" s="388"/>
      <c r="AY118" s="388"/>
      <c r="AZ118" s="388"/>
      <c r="BA118" s="388"/>
      <c r="BB118" s="388"/>
      <c r="BC118" s="307"/>
      <c r="BD118" s="1980"/>
      <c r="BE118" s="302">
        <v>241.55199999999999</v>
      </c>
      <c r="BF118" s="1980">
        <f>+(BE118/BE104-1)*100</f>
        <v>45.582536267259719</v>
      </c>
      <c r="BG118" s="1981">
        <f>+BE118/$BI118*100</f>
        <v>6.0017362776175718</v>
      </c>
      <c r="BH118" s="24"/>
      <c r="BI118" s="1022">
        <f>+R118+W118+AP118+BE118</f>
        <v>4024.7020000000002</v>
      </c>
      <c r="BJ118" s="325"/>
      <c r="BK118" s="2889">
        <f>+(BI118/BI104-1)*100</f>
        <v>14.625502858729632</v>
      </c>
      <c r="BL118" s="1022">
        <f>+E118+K118+W118+AT118+AY118</f>
        <v>3015.7269999999999</v>
      </c>
      <c r="BM118" s="1980">
        <f>+(BL118/BL104-1)*100</f>
        <v>15.393845844201891</v>
      </c>
      <c r="BN118" s="1981">
        <f>+BL118/$BW118*100</f>
        <v>80.204929379496477</v>
      </c>
      <c r="BO118" s="1022">
        <f>+AL118+AM118+AN118+AO118+AU118</f>
        <v>744.3</v>
      </c>
      <c r="BP118" s="1980">
        <f>+(BO118/BO104-1)*100</f>
        <v>1.749829118250168</v>
      </c>
      <c r="BQ118" s="1981">
        <f>+BO118/$BW118*100</f>
        <v>19.795070620503523</v>
      </c>
      <c r="BR118" s="24"/>
      <c r="BS118" s="1022">
        <f>+AK118+AV118+AW118+AX118</f>
        <v>0</v>
      </c>
      <c r="BT118" s="1980"/>
      <c r="BU118" s="1981">
        <f>+BS118/$BW118*100</f>
        <v>0</v>
      </c>
      <c r="BV118" s="24"/>
      <c r="BW118" s="1022">
        <f>+BL118+BO118+BS118</f>
        <v>3760.027</v>
      </c>
      <c r="BX118" s="1980">
        <f>+(BW118/BW104-1)*100</f>
        <v>12.410038981488647</v>
      </c>
      <c r="BY118" s="24"/>
      <c r="BZ118" s="306"/>
      <c r="CA118" s="1980"/>
      <c r="CB118" s="1981"/>
      <c r="CC118" s="306"/>
      <c r="CD118" s="1980"/>
      <c r="CE118" s="1981"/>
      <c r="CF118" s="24"/>
      <c r="CG118" s="306"/>
      <c r="CH118" s="1980"/>
      <c r="CI118" s="1981"/>
      <c r="CJ118" s="24"/>
      <c r="CK118" s="306"/>
      <c r="CL118" s="1980"/>
      <c r="CM118" s="1981"/>
      <c r="CN118" s="24"/>
      <c r="CO118" s="67"/>
      <c r="CP118" s="1980"/>
      <c r="CQ118" s="1981"/>
      <c r="CR118" s="1981"/>
      <c r="CS118" s="24"/>
      <c r="CT118" s="306">
        <v>377.851</v>
      </c>
      <c r="CU118" s="2022" t="s">
        <v>401</v>
      </c>
      <c r="CV118" s="1981">
        <f>+CT118/R118*100</f>
        <v>20.268116676670619</v>
      </c>
      <c r="CW118" s="321"/>
      <c r="CX118" s="321"/>
      <c r="CY118" s="321"/>
      <c r="CZ118" s="24"/>
      <c r="DA118" s="306">
        <v>324.39400000000001</v>
      </c>
      <c r="DB118" s="2022" t="s">
        <v>401</v>
      </c>
      <c r="DC118" s="1981">
        <f>+DA118/W118*100</f>
        <v>27.618248132924215</v>
      </c>
      <c r="DD118" s="1981"/>
      <c r="DE118" s="1981"/>
      <c r="DF118" s="1981"/>
      <c r="DG118" s="1981"/>
      <c r="DH118" s="2010">
        <v>33.488999999999997</v>
      </c>
      <c r="DI118" s="2022" t="s">
        <v>401</v>
      </c>
      <c r="DJ118" s="1981">
        <f>+DH118/AP118*100</f>
        <v>4.4992563712259326</v>
      </c>
      <c r="DK118" s="24"/>
      <c r="DL118" s="2010"/>
      <c r="DM118" s="1980"/>
      <c r="DN118" s="1981"/>
      <c r="DO118" s="24"/>
      <c r="DP118" s="2010"/>
      <c r="DQ118" s="1980"/>
      <c r="DR118" s="1981"/>
      <c r="DS118" s="24"/>
      <c r="DT118" s="2010">
        <v>-8.9120000000000008</v>
      </c>
      <c r="DU118" s="1980">
        <f>+(DT118/DT111-1)*100</f>
        <v>-77.144029544521956</v>
      </c>
      <c r="DV118" s="1981">
        <f>+DT118/BE118*100</f>
        <v>-3.6894747300788242</v>
      </c>
      <c r="DW118" s="24"/>
      <c r="DX118" s="1022">
        <f>'qtrP&amp;L'!BV63</f>
        <v>726.81999999999994</v>
      </c>
      <c r="DY118" s="1980">
        <f>+(DX118/DX111-1)*100</f>
        <v>4.7890507970697715</v>
      </c>
      <c r="DZ118" s="1981">
        <f>(+DX118/BI118)*100</f>
        <v>18.058976788840514</v>
      </c>
      <c r="EA118" s="2005" t="str">
        <f>IF(ROUND(EB118,2)=ROUND(DX118,2)," ","no")</f>
        <v xml:space="preserve"> </v>
      </c>
      <c r="EB118" s="91">
        <f>DT118+DH118+DA118+CT118</f>
        <v>726.822</v>
      </c>
      <c r="EC118" s="24"/>
      <c r="ED118" s="24"/>
      <c r="EE118" s="24"/>
      <c r="EG118" s="1419">
        <f>EG119-SUM(EG115:EG117)</f>
        <v>34</v>
      </c>
      <c r="EH118" s="2037"/>
      <c r="EI118" s="1419">
        <f>EI119-SUM(EI115:EI117)</f>
        <v>3991</v>
      </c>
      <c r="EJ118" s="2037"/>
    </row>
    <row r="119" spans="1:140" hidden="1" outlineLevel="1">
      <c r="A119" s="113"/>
      <c r="B119" s="24" t="str">
        <f>+qtrSales!B135</f>
        <v>Year</v>
      </c>
      <c r="C119" s="24"/>
      <c r="D119" s="24"/>
      <c r="E119" s="266">
        <f>+SUM(E115:E118)</f>
        <v>3699.9999999999995</v>
      </c>
      <c r="F119" s="266"/>
      <c r="G119" s="1980">
        <f>+(E119/E105-1)*100</f>
        <v>14.835042565005164</v>
      </c>
      <c r="H119" s="1981">
        <f>+E119/$BI119*100</f>
        <v>34.674645458778826</v>
      </c>
      <c r="I119" s="1981"/>
      <c r="J119" s="1981"/>
      <c r="K119" s="266">
        <f>+SUM(K115:K118)</f>
        <v>1415.663</v>
      </c>
      <c r="L119" s="1980">
        <f>+(K119/K105-1)*100</f>
        <v>15.50775130548303</v>
      </c>
      <c r="M119" s="1981">
        <f>+K119/$BI119*100</f>
        <v>13.266922328138167</v>
      </c>
      <c r="N119" s="266">
        <f>+SUM(N115:N118)</f>
        <v>23.1</v>
      </c>
      <c r="O119" s="1990" t="s">
        <v>520</v>
      </c>
      <c r="P119" s="1981">
        <f>+N119/BI119*100</f>
        <v>0.21648224597237598</v>
      </c>
      <c r="Q119" s="24"/>
      <c r="R119" s="266">
        <f>+SUM(R115:R118)</f>
        <v>5138.741</v>
      </c>
      <c r="S119" s="1980">
        <f>+(R119/R105-1)*100</f>
        <v>15.530911415991611</v>
      </c>
      <c r="T119" s="1980"/>
      <c r="U119" s="1981">
        <f>+R119/$BI119*100</f>
        <v>48.15784385932178</v>
      </c>
      <c r="V119" s="24"/>
      <c r="W119" s="266">
        <f>+SUM(W115:W118)</f>
        <v>2555.4049999999997</v>
      </c>
      <c r="X119" s="266"/>
      <c r="Y119" s="266"/>
      <c r="Z119" s="266"/>
      <c r="AA119" s="266"/>
      <c r="AB119" s="266"/>
      <c r="AC119" s="1980">
        <f>+(W119/W105-1)*100</f>
        <v>12.626442260440097</v>
      </c>
      <c r="AD119" s="1981">
        <f>+W119/$BI119*100</f>
        <v>23.948043886105598</v>
      </c>
      <c r="AE119" s="1981"/>
      <c r="AF119" s="1981"/>
      <c r="AG119" s="1981"/>
      <c r="AH119" s="1981"/>
      <c r="AI119" s="24"/>
      <c r="AJ119" s="24"/>
      <c r="AK119" s="388"/>
      <c r="AL119" s="266">
        <f>+SUM(AL115:AL118)</f>
        <v>1748.8000000000002</v>
      </c>
      <c r="AM119" s="388"/>
      <c r="AN119" s="388"/>
      <c r="AO119" s="266">
        <f>+SUM(AO115:AO118)</f>
        <v>493.4</v>
      </c>
      <c r="AP119" s="266">
        <f>+SUM(AP115:AP118)</f>
        <v>2242.2539999999999</v>
      </c>
      <c r="AQ119" s="1980">
        <f>+(AP119/AP105-1)*100</f>
        <v>-3.5478083270709559</v>
      </c>
      <c r="AR119" s="1981">
        <f>+AP119/$BI119*100</f>
        <v>21.013341210413152</v>
      </c>
      <c r="AS119" s="24"/>
      <c r="AT119" s="388"/>
      <c r="AU119" s="388"/>
      <c r="AV119" s="388"/>
      <c r="AW119" s="388"/>
      <c r="AX119" s="388"/>
      <c r="AY119" s="388"/>
      <c r="AZ119" s="388"/>
      <c r="BA119" s="388"/>
      <c r="BB119" s="388"/>
      <c r="BC119" s="325"/>
      <c r="BD119" s="1980"/>
      <c r="BE119" s="266">
        <f>+SUM(BE115:BE118)</f>
        <v>734.19899999999996</v>
      </c>
      <c r="BF119" s="1980">
        <f>+(BE119/BE105-1)*100</f>
        <v>17.10254541278622</v>
      </c>
      <c r="BG119" s="1981">
        <f>+BE119/$BI119*100</f>
        <v>6.8805648705918809</v>
      </c>
      <c r="BH119" s="24"/>
      <c r="BI119" s="266">
        <f>+E119+K119+N119+W119+AP119+BE119</f>
        <v>10670.620999999999</v>
      </c>
      <c r="BJ119" s="266"/>
      <c r="BK119" s="2889">
        <f>+(BI119/BI105-1)*100</f>
        <v>10.367816838562893</v>
      </c>
      <c r="BL119" s="266">
        <f>+E119+K119+W119+AT119+AY119</f>
        <v>7671.0679999999993</v>
      </c>
      <c r="BM119" s="1980">
        <f>+(BL119/BL105-1)*100</f>
        <v>14.211705025240695</v>
      </c>
      <c r="BN119" s="1981">
        <f>+BL119/$BW119*100</f>
        <v>77.381828071227361</v>
      </c>
      <c r="BO119" s="266">
        <f>+AL119+AM119+AN119+AO119+AU119</f>
        <v>2242.2000000000003</v>
      </c>
      <c r="BP119" s="1980">
        <f>+(BO119/BO105-1)*100</f>
        <v>-3.5429531119464341</v>
      </c>
      <c r="BQ119" s="1981">
        <f>+BO119/$BW119*100</f>
        <v>22.618171928772636</v>
      </c>
      <c r="BR119" s="24"/>
      <c r="BS119" s="266">
        <f>+AK119+AV119+AW119+AX119</f>
        <v>0</v>
      </c>
      <c r="BT119" s="1980"/>
      <c r="BU119" s="1981">
        <f>+BS119/$BW119*100</f>
        <v>0</v>
      </c>
      <c r="BV119" s="24"/>
      <c r="BW119" s="266">
        <f>+BL119+BO119+BS119</f>
        <v>9913.268</v>
      </c>
      <c r="BX119" s="1980">
        <f>+(BW119/BW105-1)*100</f>
        <v>9.6467993025621155</v>
      </c>
      <c r="BY119" s="24"/>
      <c r="BZ119" s="389"/>
      <c r="CA119" s="1980"/>
      <c r="CB119" s="1981"/>
      <c r="CC119" s="389"/>
      <c r="CD119" s="1980"/>
      <c r="CE119" s="1981"/>
      <c r="CF119" s="24"/>
      <c r="CG119" s="389"/>
      <c r="CH119" s="1980"/>
      <c r="CI119" s="1981"/>
      <c r="CJ119" s="24"/>
      <c r="CK119" s="389"/>
      <c r="CL119" s="1980"/>
      <c r="CM119" s="1981"/>
      <c r="CN119" s="24"/>
      <c r="CO119" s="24"/>
      <c r="CP119" s="1980"/>
      <c r="CQ119" s="1981"/>
      <c r="CR119" s="1981"/>
      <c r="CS119" s="24"/>
      <c r="CT119" s="266">
        <f>+SUM(CT115:CT118)</f>
        <v>878.66</v>
      </c>
      <c r="CU119" s="1980">
        <f>+(CT119/CT113-1)*100</f>
        <v>6.4175604840662981</v>
      </c>
      <c r="CV119" s="1981">
        <f>+CT119/R119*100</f>
        <v>17.098740722678958</v>
      </c>
      <c r="CW119" s="266"/>
      <c r="CX119" s="266"/>
      <c r="CY119" s="266"/>
      <c r="CZ119" s="24"/>
      <c r="DA119" s="266">
        <f>+SUM(DA115:DA118)</f>
        <v>419.39600000000002</v>
      </c>
      <c r="DB119" s="1980">
        <f>+(DA119/DA113-1)*100</f>
        <v>11.33776494074672</v>
      </c>
      <c r="DC119" s="1981">
        <f>+DA119/W119*100</f>
        <v>16.412114713714658</v>
      </c>
      <c r="DD119" s="1981"/>
      <c r="DE119" s="1981"/>
      <c r="DF119" s="1981"/>
      <c r="DG119" s="1981"/>
      <c r="DH119" s="2008">
        <f>+SUM(DH115:DH118)</f>
        <v>-0.91400000000000148</v>
      </c>
      <c r="DI119" s="1980">
        <f>+(DH119/DH113-1)*100</f>
        <v>-99.201048951048961</v>
      </c>
      <c r="DJ119" s="1981">
        <f>+DH119/AP119*100</f>
        <v>-4.076255410849982E-2</v>
      </c>
      <c r="DK119" s="24"/>
      <c r="DL119" s="91"/>
      <c r="DM119" s="1980"/>
      <c r="DN119" s="1981"/>
      <c r="DO119" s="24"/>
      <c r="DP119" s="91"/>
      <c r="DQ119" s="1980"/>
      <c r="DR119" s="1981"/>
      <c r="DS119" s="24"/>
      <c r="DT119" s="91">
        <f>+SUM(DT115:DT118)</f>
        <v>-121.056</v>
      </c>
      <c r="DU119" s="1980">
        <f>+(DT119/DT105-1)*100</f>
        <v>-42.643797972140632</v>
      </c>
      <c r="DV119" s="1981">
        <f>+DT119/BE119*100</f>
        <v>-16.48817282507876</v>
      </c>
      <c r="DW119" s="24"/>
      <c r="DX119" s="266">
        <f>+SUM(DX115:DX118)</f>
        <v>1176.0849999999996</v>
      </c>
      <c r="DY119" s="1980">
        <f>+(DX119/DX105-1)*100</f>
        <v>22.356163870503252</v>
      </c>
      <c r="DZ119" s="1981">
        <f>(+DX119/BI119)*100</f>
        <v>11.021710920104834</v>
      </c>
      <c r="EA119" s="1981"/>
      <c r="EB119" s="24"/>
      <c r="EC119" s="24"/>
      <c r="ED119" s="24"/>
      <c r="EE119" s="24"/>
      <c r="EG119" s="1982">
        <v>100</v>
      </c>
      <c r="EH119" s="1980"/>
      <c r="EI119" s="381">
        <f>10671-EG119</f>
        <v>10571</v>
      </c>
      <c r="EJ119" s="1980"/>
    </row>
    <row r="120" spans="1:140" hidden="1" outlineLevel="1">
      <c r="A120" s="113"/>
      <c r="B120" s="24"/>
      <c r="C120" s="24"/>
      <c r="D120" s="24"/>
      <c r="E120" s="266"/>
      <c r="F120" s="266"/>
      <c r="G120" s="1980"/>
      <c r="H120" s="1981"/>
      <c r="I120" s="1981"/>
      <c r="J120" s="1981"/>
      <c r="K120" s="266"/>
      <c r="L120" s="1980"/>
      <c r="M120" s="1981"/>
      <c r="N120" s="1981"/>
      <c r="O120" s="1981"/>
      <c r="P120" s="1981"/>
      <c r="Q120" s="24"/>
      <c r="R120" s="266"/>
      <c r="S120" s="1980"/>
      <c r="T120" s="1980"/>
      <c r="U120" s="1981"/>
      <c r="V120" s="24"/>
      <c r="W120" s="266"/>
      <c r="X120" s="266"/>
      <c r="Y120" s="266"/>
      <c r="Z120" s="266"/>
      <c r="AA120" s="266"/>
      <c r="AB120" s="266"/>
      <c r="AC120" s="1980"/>
      <c r="AD120" s="1981"/>
      <c r="AE120" s="1981"/>
      <c r="AF120" s="1981"/>
      <c r="AG120" s="1981"/>
      <c r="AH120" s="1981"/>
      <c r="AI120" s="24"/>
      <c r="AJ120" s="24"/>
      <c r="AK120" s="388"/>
      <c r="AL120" s="428"/>
      <c r="AM120" s="388"/>
      <c r="AN120" s="388"/>
      <c r="AO120" s="428"/>
      <c r="AP120" s="266"/>
      <c r="AQ120" s="1980"/>
      <c r="AR120" s="1981"/>
      <c r="AS120" s="24"/>
      <c r="AT120" s="388"/>
      <c r="AU120" s="388"/>
      <c r="AV120" s="388"/>
      <c r="AW120" s="388"/>
      <c r="AX120" s="388"/>
      <c r="AY120" s="388"/>
      <c r="AZ120" s="388"/>
      <c r="BA120" s="388"/>
      <c r="BB120" s="388"/>
      <c r="BC120" s="325"/>
      <c r="BD120" s="1980"/>
      <c r="BE120" s="266"/>
      <c r="BF120" s="1980"/>
      <c r="BG120" s="1981"/>
      <c r="BH120" s="24"/>
      <c r="BI120" s="266"/>
      <c r="BJ120" s="266"/>
      <c r="BK120" s="2889"/>
      <c r="BL120" s="266"/>
      <c r="BM120" s="1980"/>
      <c r="BN120" s="1981"/>
      <c r="BO120" s="266"/>
      <c r="BP120" s="1980"/>
      <c r="BQ120" s="1981"/>
      <c r="BR120" s="24"/>
      <c r="BS120" s="266"/>
      <c r="BT120" s="1980"/>
      <c r="BU120" s="1981"/>
      <c r="BV120" s="24"/>
      <c r="BW120" s="266"/>
      <c r="BX120" s="1980"/>
      <c r="BY120" s="24"/>
      <c r="BZ120" s="389"/>
      <c r="CA120" s="1980"/>
      <c r="CB120" s="1981"/>
      <c r="CC120" s="389"/>
      <c r="CD120" s="1980"/>
      <c r="CE120" s="1981"/>
      <c r="CF120" s="24"/>
      <c r="CG120" s="389"/>
      <c r="CH120" s="1980"/>
      <c r="CI120" s="1981"/>
      <c r="CJ120" s="24"/>
      <c r="CK120" s="389"/>
      <c r="CL120" s="1980"/>
      <c r="CM120" s="1981"/>
      <c r="CN120" s="24"/>
      <c r="CO120" s="24"/>
      <c r="CP120" s="1980"/>
      <c r="CQ120" s="1981"/>
      <c r="CR120" s="1981"/>
      <c r="CS120" s="24"/>
      <c r="CT120" s="2038"/>
      <c r="CU120" s="1980"/>
      <c r="CV120" s="2039"/>
      <c r="CW120" s="2038"/>
      <c r="CX120" s="2038"/>
      <c r="CY120" s="2038"/>
      <c r="CZ120" s="24"/>
      <c r="DA120" s="428"/>
      <c r="DB120" s="1980"/>
      <c r="DC120" s="2039"/>
      <c r="DD120" s="2039"/>
      <c r="DE120" s="2039"/>
      <c r="DF120" s="2039"/>
      <c r="DG120" s="2039"/>
      <c r="DH120" s="428"/>
      <c r="DI120" s="1980"/>
      <c r="DJ120" s="2039"/>
      <c r="DK120" s="24"/>
      <c r="DL120" s="428"/>
      <c r="DM120" s="1980"/>
      <c r="DN120" s="1981"/>
      <c r="DO120" s="24"/>
      <c r="DP120" s="428"/>
      <c r="DQ120" s="1980"/>
      <c r="DR120" s="1981"/>
      <c r="DS120" s="24"/>
      <c r="DT120" s="428"/>
      <c r="DU120" s="1980"/>
      <c r="DV120" s="1981"/>
      <c r="DW120" s="24"/>
      <c r="DX120" s="266"/>
      <c r="DY120" s="1980"/>
      <c r="DZ120" s="1981"/>
      <c r="EA120" s="1981"/>
      <c r="EB120" s="24"/>
      <c r="EC120" s="24"/>
      <c r="ED120" s="24"/>
      <c r="EE120" s="24"/>
      <c r="EG120" s="428"/>
      <c r="EH120" s="1980"/>
      <c r="EI120" s="428"/>
      <c r="EJ120" s="1980"/>
    </row>
    <row r="121" spans="1:140" hidden="1" outlineLevel="1">
      <c r="A121" s="113"/>
      <c r="B121" s="136" t="str">
        <f>+qtrSales!B137</f>
        <v>2007A</v>
      </c>
      <c r="C121" s="24"/>
      <c r="D121" s="24"/>
      <c r="E121" s="24"/>
      <c r="F121" s="24"/>
      <c r="G121" s="1980"/>
      <c r="H121" s="1981"/>
      <c r="I121" s="1981"/>
      <c r="J121" s="1981"/>
      <c r="K121" s="24"/>
      <c r="L121" s="1980"/>
      <c r="M121" s="1981"/>
      <c r="N121" s="1981"/>
      <c r="O121" s="1981"/>
      <c r="P121" s="1981"/>
      <c r="Q121" s="24"/>
      <c r="R121" s="387"/>
      <c r="S121" s="1980"/>
      <c r="T121" s="1980"/>
      <c r="U121" s="1981"/>
      <c r="V121" s="24"/>
      <c r="W121" s="387"/>
      <c r="X121" s="387"/>
      <c r="Y121" s="387"/>
      <c r="Z121" s="387"/>
      <c r="AA121" s="387"/>
      <c r="AB121" s="387"/>
      <c r="AC121" s="1980"/>
      <c r="AD121" s="1981"/>
      <c r="AE121" s="1981"/>
      <c r="AF121" s="1981"/>
      <c r="AG121" s="1981"/>
      <c r="AH121" s="1981"/>
      <c r="AI121" s="24"/>
      <c r="AJ121" s="399"/>
      <c r="AK121" s="24"/>
      <c r="AL121" s="1980"/>
      <c r="AM121" s="24"/>
      <c r="AN121" s="24"/>
      <c r="AO121" s="1980"/>
      <c r="AP121" s="24"/>
      <c r="AQ121" s="1980"/>
      <c r="AR121" s="1981"/>
      <c r="AS121" s="24"/>
      <c r="AT121" s="24"/>
      <c r="AU121" s="24"/>
      <c r="AV121" s="24"/>
      <c r="AW121" s="24"/>
      <c r="AX121" s="24"/>
      <c r="AY121" s="24"/>
      <c r="AZ121" s="24"/>
      <c r="BA121" s="24"/>
      <c r="BB121" s="24"/>
      <c r="BC121" s="309"/>
      <c r="BD121" s="1980"/>
      <c r="BE121" s="387"/>
      <c r="BF121" s="1980"/>
      <c r="BG121" s="1981"/>
      <c r="BH121" s="24"/>
      <c r="BI121" s="24"/>
      <c r="BJ121" s="24"/>
      <c r="BK121" s="2889"/>
      <c r="BL121" s="389"/>
      <c r="BM121" s="1988"/>
      <c r="BN121" s="1989"/>
      <c r="BO121" s="389"/>
      <c r="BP121" s="389"/>
      <c r="BQ121" s="389"/>
      <c r="BR121" s="389"/>
      <c r="BS121" s="389"/>
      <c r="BT121" s="389"/>
      <c r="BU121" s="389"/>
      <c r="BV121" s="389"/>
      <c r="BW121" s="266"/>
      <c r="BX121" s="24"/>
      <c r="BY121" s="24"/>
      <c r="BZ121" s="389"/>
      <c r="CA121" s="1988"/>
      <c r="CB121" s="1989"/>
      <c r="CC121" s="389"/>
      <c r="CD121" s="389"/>
      <c r="CE121" s="389"/>
      <c r="CF121" s="389"/>
      <c r="CG121" s="389"/>
      <c r="CH121" s="389"/>
      <c r="CI121" s="389"/>
      <c r="CJ121" s="389"/>
      <c r="CK121" s="389"/>
      <c r="CL121" s="389"/>
      <c r="CM121" s="389"/>
      <c r="CN121" s="389"/>
      <c r="CO121" s="266"/>
      <c r="CP121" s="24"/>
      <c r="CQ121" s="24"/>
      <c r="CR121" s="24"/>
      <c r="CS121" s="24"/>
      <c r="CT121" s="168"/>
      <c r="CU121" s="168"/>
      <c r="CV121" s="2040"/>
      <c r="CW121" s="168"/>
      <c r="CX121" s="168"/>
      <c r="CY121" s="168"/>
      <c r="CZ121" s="168"/>
      <c r="DA121" s="168"/>
      <c r="DB121" s="168"/>
      <c r="DC121" s="2040"/>
      <c r="DD121" s="2040"/>
      <c r="DE121" s="2040"/>
      <c r="DF121" s="2040"/>
      <c r="DG121" s="2040"/>
      <c r="DH121" s="142"/>
      <c r="DI121" s="24"/>
      <c r="DJ121" s="2019"/>
      <c r="DK121" s="24"/>
      <c r="DL121" s="24"/>
      <c r="DM121" s="24"/>
      <c r="DN121" s="24"/>
      <c r="DO121" s="24"/>
      <c r="DP121" s="24"/>
      <c r="DQ121" s="24"/>
      <c r="DR121" s="24"/>
      <c r="DS121" s="24"/>
      <c r="DT121" s="24"/>
      <c r="DU121" s="24"/>
      <c r="DV121" s="24"/>
      <c r="DW121" s="24"/>
      <c r="DX121" s="24"/>
      <c r="DY121" s="24"/>
      <c r="DZ121" s="1981"/>
      <c r="EA121" s="24"/>
      <c r="EB121" s="24"/>
      <c r="EC121" s="24"/>
      <c r="ED121" s="24"/>
      <c r="EE121" s="24"/>
      <c r="EG121" s="24"/>
      <c r="EH121" s="24"/>
      <c r="EI121" s="24"/>
      <c r="EJ121" s="24"/>
    </row>
    <row r="122" spans="1:140" hidden="1" outlineLevel="1">
      <c r="A122" s="113" t="str">
        <f>+qtrSales!A138</f>
        <v>1Q</v>
      </c>
      <c r="B122" s="24" t="str">
        <f>+qtrSales!B138</f>
        <v>Apr</v>
      </c>
      <c r="C122" s="24"/>
      <c r="D122" s="24"/>
      <c r="E122" s="1982">
        <v>771.2</v>
      </c>
      <c r="F122" s="1982"/>
      <c r="G122" s="1980">
        <f>+(E122/E115-1)*100</f>
        <v>4.7256925583921916</v>
      </c>
      <c r="H122" s="1981">
        <f>+E122/$BI122*100</f>
        <v>33.372553584542004</v>
      </c>
      <c r="I122" s="1981"/>
      <c r="J122" s="1981"/>
      <c r="K122" s="1982">
        <v>344.3</v>
      </c>
      <c r="L122" s="1980">
        <f>+(K122/K115-1)*100</f>
        <v>9.1283676703645114</v>
      </c>
      <c r="M122" s="1981">
        <f>+K122/BI122*100</f>
        <v>14.899079615090525</v>
      </c>
      <c r="N122" s="2041">
        <v>91.7</v>
      </c>
      <c r="O122" s="1990" t="s">
        <v>520</v>
      </c>
      <c r="P122" s="1981">
        <f>+N122/BI122*100</f>
        <v>3.9681835628922482</v>
      </c>
      <c r="Q122" s="24"/>
      <c r="R122" s="1982">
        <v>1207.162</v>
      </c>
      <c r="S122" s="1980">
        <f>+(R122/R115-1)*100</f>
        <v>14.766694554304859</v>
      </c>
      <c r="T122" s="1980"/>
      <c r="U122" s="1981">
        <f>+R122/$BI122*100</f>
        <v>52.238172368027612</v>
      </c>
      <c r="V122" s="24"/>
      <c r="W122" s="1982">
        <v>421.52600000000001</v>
      </c>
      <c r="X122" s="1982"/>
      <c r="Y122" s="1982"/>
      <c r="Z122" s="1982"/>
      <c r="AA122" s="1982"/>
      <c r="AB122" s="1982"/>
      <c r="AC122" s="1980">
        <f>+(W122/W115-1)*100</f>
        <v>9.1801503821717034</v>
      </c>
      <c r="AD122" s="1981">
        <f>+W122/$BI122*100</f>
        <v>18.240921968721022</v>
      </c>
      <c r="AE122" s="1981"/>
      <c r="AF122" s="1981"/>
      <c r="AG122" s="1981"/>
      <c r="AH122" s="1981"/>
      <c r="AI122" s="24"/>
      <c r="AJ122" s="24"/>
      <c r="AK122" s="2011">
        <f>0.75*2.1</f>
        <v>1.5750000000000002</v>
      </c>
      <c r="AL122" s="1982">
        <v>388.2</v>
      </c>
      <c r="AM122" s="381"/>
      <c r="AN122" s="381"/>
      <c r="AO122" s="1982">
        <v>111</v>
      </c>
      <c r="AP122" s="1982">
        <v>499.22500000000002</v>
      </c>
      <c r="AQ122" s="1980">
        <f>+(AP122/AP115-1)*100</f>
        <v>1.7279850023943277</v>
      </c>
      <c r="AR122" s="1981">
        <f>+AP122/$BI122*100</f>
        <v>21.603232706487269</v>
      </c>
      <c r="AS122" s="24"/>
      <c r="AT122" s="1982"/>
      <c r="AU122" s="1982"/>
      <c r="AV122" s="1982"/>
      <c r="AW122" s="1982"/>
      <c r="AX122" s="1982"/>
      <c r="AY122" s="1982"/>
      <c r="AZ122" s="1982"/>
      <c r="BA122" s="1982"/>
      <c r="BB122" s="1982"/>
      <c r="BC122" s="2036"/>
      <c r="BD122" s="1980"/>
      <c r="BE122" s="1982">
        <v>182.93</v>
      </c>
      <c r="BF122" s="1980">
        <f>+(BE122/BE115-1)*100</f>
        <v>23.249092121840963</v>
      </c>
      <c r="BG122" s="1981">
        <f>+BE122/$BI122*100</f>
        <v>7.9160285622669457</v>
      </c>
      <c r="BH122" s="24"/>
      <c r="BI122" s="381">
        <f>+E122+K122+W122+AP122+BE122+N122</f>
        <v>2310.8809999999999</v>
      </c>
      <c r="BJ122" s="381"/>
      <c r="BK122" s="2889">
        <f>+(BI122/BI115-1)*100</f>
        <v>11.255645515771784</v>
      </c>
      <c r="BL122" s="381">
        <f>+E122+K122+W122+AT122+AY122</f>
        <v>1537.0260000000001</v>
      </c>
      <c r="BM122" s="1980">
        <f>+(BL122/BL108-1)*100</f>
        <v>16.588070291480417</v>
      </c>
      <c r="BN122" s="1981">
        <f>+BL122/$BW122*100</f>
        <v>75.425716250016563</v>
      </c>
      <c r="BO122" s="381">
        <f>+AL122+AM122+AN122+AO122+AU122</f>
        <v>499.2</v>
      </c>
      <c r="BP122" s="1980">
        <f>+(BO122/BO108-1)*100</f>
        <v>-0.21388450236872192</v>
      </c>
      <c r="BQ122" s="1981">
        <f>+BO122/$BW122*100</f>
        <v>24.496994554424102</v>
      </c>
      <c r="BR122" s="389"/>
      <c r="BS122" s="381">
        <f>+AK122+AV122+AW122+AX122</f>
        <v>1.5750000000000002</v>
      </c>
      <c r="BT122" s="1980"/>
      <c r="BU122" s="1981">
        <f>+BS122/$BW122*100</f>
        <v>7.7289195559330878E-2</v>
      </c>
      <c r="BV122" s="389"/>
      <c r="BW122" s="381">
        <f>+BL122+BO122+BS122</f>
        <v>2037.8010000000002</v>
      </c>
      <c r="BX122" s="1980">
        <f>+(BW122/BW108-1)*100</f>
        <v>11.955769306839326</v>
      </c>
      <c r="BY122" s="24"/>
      <c r="BZ122" s="390"/>
      <c r="CA122" s="1980"/>
      <c r="CB122" s="1981"/>
      <c r="CC122" s="390"/>
      <c r="CD122" s="1980"/>
      <c r="CE122" s="1981"/>
      <c r="CF122" s="389"/>
      <c r="CG122" s="390"/>
      <c r="CH122" s="1980"/>
      <c r="CI122" s="1981"/>
      <c r="CJ122" s="24"/>
      <c r="CK122" s="390"/>
      <c r="CL122" s="1980"/>
      <c r="CM122" s="1981"/>
      <c r="CN122" s="24"/>
      <c r="CO122" s="165"/>
      <c r="CP122" s="1980"/>
      <c r="CQ122" s="1981"/>
      <c r="CR122" s="1981"/>
      <c r="CS122" s="24"/>
      <c r="CT122" s="1982">
        <v>132.27199999999999</v>
      </c>
      <c r="CU122" s="1980">
        <f>+(CT122/CT115-1)*100</f>
        <v>-35.207790426553288</v>
      </c>
      <c r="CV122" s="1981">
        <f>+CT122/R122*100</f>
        <v>10.957270026723835</v>
      </c>
      <c r="CW122" s="1982"/>
      <c r="CX122" s="1982"/>
      <c r="CY122" s="1982"/>
      <c r="CZ122" s="24"/>
      <c r="DA122" s="1982">
        <v>-0.84399999999999997</v>
      </c>
      <c r="DB122" s="1980">
        <f>+(DA122/DA115-1)*100</f>
        <v>-104.45641269338401</v>
      </c>
      <c r="DC122" s="1981">
        <f>+DA122/W122*100</f>
        <v>-0.20022489715936856</v>
      </c>
      <c r="DD122" s="1981"/>
      <c r="DE122" s="1981"/>
      <c r="DF122" s="1981"/>
      <c r="DG122" s="1981"/>
      <c r="DH122" s="1982">
        <v>13.026</v>
      </c>
      <c r="DI122" s="1980">
        <f>+(DH122/DH115-1)*100</f>
        <v>7.6351016360932</v>
      </c>
      <c r="DJ122" s="1981">
        <f>+DH122/AP122*100</f>
        <v>2.6092443287094995</v>
      </c>
      <c r="DK122" s="24"/>
      <c r="DL122" s="1982"/>
      <c r="DM122" s="1980"/>
      <c r="DN122" s="1981"/>
      <c r="DO122" s="24"/>
      <c r="DP122" s="1982"/>
      <c r="DQ122" s="1980"/>
      <c r="DR122" s="1981"/>
      <c r="DS122" s="24"/>
      <c r="DT122" s="1982">
        <v>-35.93</v>
      </c>
      <c r="DU122" s="1980">
        <f>+(DT122/DT115-1)*100</f>
        <v>-27.035314664013164</v>
      </c>
      <c r="DV122" s="1981">
        <f>+DT122/BE122*100</f>
        <v>-19.641392882523366</v>
      </c>
      <c r="DW122" s="24"/>
      <c r="DX122" s="266">
        <f>'qtrP&amp;L'!BZ60</f>
        <v>108.52499999999986</v>
      </c>
      <c r="DY122" s="1980">
        <f>+(DX122/DX115-1)*100</f>
        <v>-41.636281501081008</v>
      </c>
      <c r="DZ122" s="1981">
        <f>(+DX122/BI122)*100</f>
        <v>4.6962608632811413</v>
      </c>
      <c r="EA122" s="2005" t="str">
        <f>IF(ROUND(EB122,1)=ROUND(DX122,1)," ","no")</f>
        <v xml:space="preserve"> </v>
      </c>
      <c r="EB122" s="91">
        <f>DT122+DH122+DA122+CT122</f>
        <v>108.52399999999999</v>
      </c>
      <c r="EC122" s="24"/>
      <c r="ED122" s="24"/>
      <c r="EE122" s="24"/>
      <c r="EG122" s="1982">
        <v>119</v>
      </c>
      <c r="EH122" s="2037">
        <f>EG122/EG115-1</f>
        <v>4.666666666666667</v>
      </c>
      <c r="EI122" s="381">
        <f>2311-EG122</f>
        <v>2192</v>
      </c>
      <c r="EJ122" s="2037">
        <f>EI122/EI115-1</f>
        <v>6.6147859922178975E-2</v>
      </c>
    </row>
    <row r="123" spans="1:140" hidden="1" outlineLevel="1">
      <c r="A123" s="113" t="str">
        <f>+qtrSales!A139</f>
        <v>2Q</v>
      </c>
      <c r="B123" s="24" t="str">
        <f>+qtrSales!B139</f>
        <v>Jul</v>
      </c>
      <c r="C123" s="24"/>
      <c r="D123" s="24"/>
      <c r="E123" s="307">
        <v>920.4</v>
      </c>
      <c r="F123" s="307"/>
      <c r="G123" s="1980">
        <f>+(E123/E116-1)*100</f>
        <v>5.8782928793281952</v>
      </c>
      <c r="H123" s="1981">
        <f>+E123/$BI123*100</f>
        <v>35.075377382326572</v>
      </c>
      <c r="I123" s="1981"/>
      <c r="J123" s="1981"/>
      <c r="K123" s="388">
        <v>396.4</v>
      </c>
      <c r="L123" s="1980">
        <f>+(K123/K116-1)*100</f>
        <v>8.4838533114395265</v>
      </c>
      <c r="M123" s="1981">
        <f>+K123/BI123*100</f>
        <v>15.106344626634346</v>
      </c>
      <c r="N123" s="2025">
        <v>113.1</v>
      </c>
      <c r="O123" s="1990" t="s">
        <v>520</v>
      </c>
      <c r="P123" s="1981">
        <f>+N123/BI123*100</f>
        <v>4.3101099325740275</v>
      </c>
      <c r="Q123" s="24"/>
      <c r="R123" s="388">
        <v>1429.896</v>
      </c>
      <c r="S123" s="1980">
        <f>+(R123/R116-1)*100</f>
        <v>15.808527853166776</v>
      </c>
      <c r="T123" s="1980"/>
      <c r="U123" s="1981">
        <f>+R123/$BI123*100</f>
        <v>54.491679506170399</v>
      </c>
      <c r="V123" s="24"/>
      <c r="W123" s="388">
        <v>562.39300000000003</v>
      </c>
      <c r="X123" s="388"/>
      <c r="Y123" s="388"/>
      <c r="Z123" s="388"/>
      <c r="AA123" s="388"/>
      <c r="AB123" s="388"/>
      <c r="AC123" s="1980">
        <f>+(W123/W116-1)*100</f>
        <v>-3.1212102419932553</v>
      </c>
      <c r="AD123" s="1981">
        <f>+W123/$BI123*100</f>
        <v>21.432145493458048</v>
      </c>
      <c r="AE123" s="1981"/>
      <c r="AF123" s="1981"/>
      <c r="AG123" s="1981"/>
      <c r="AH123" s="1981"/>
      <c r="AI123" s="24"/>
      <c r="AJ123" s="24"/>
      <c r="AK123" s="388"/>
      <c r="AL123" s="388">
        <v>270.8</v>
      </c>
      <c r="AM123" s="388"/>
      <c r="AN123" s="388"/>
      <c r="AO123" s="388">
        <v>99.5</v>
      </c>
      <c r="AP123" s="388">
        <v>370.31799999999998</v>
      </c>
      <c r="AQ123" s="2042">
        <f>+(AP123/AP116-1)*100</f>
        <v>-22.551108973219424</v>
      </c>
      <c r="AR123" s="2043">
        <f>+AP123/$BI123*100</f>
        <v>14.112389832103881</v>
      </c>
      <c r="AS123" s="24"/>
      <c r="AT123" s="388"/>
      <c r="AU123" s="388"/>
      <c r="AV123" s="388"/>
      <c r="AW123" s="388"/>
      <c r="AX123" s="388"/>
      <c r="AY123" s="388"/>
      <c r="AZ123" s="388"/>
      <c r="BA123" s="388"/>
      <c r="BB123" s="388"/>
      <c r="BC123" s="307"/>
      <c r="BD123" s="1980"/>
      <c r="BE123" s="388">
        <v>261.47000000000003</v>
      </c>
      <c r="BF123" s="1980">
        <f>+(BE123/BE116-1)*100</f>
        <v>62.921838392901662</v>
      </c>
      <c r="BG123" s="1981">
        <f>+BE123/$BI123*100</f>
        <v>9.9643186920435998</v>
      </c>
      <c r="BH123" s="24"/>
      <c r="BI123" s="266">
        <f>+E123+K123+W123+AL123+AO123+BE123+N123</f>
        <v>2624.0629999999996</v>
      </c>
      <c r="BJ123" s="266"/>
      <c r="BK123" s="2889">
        <f>+(BI123/BI116-1)*100</f>
        <v>6.9364819068142625</v>
      </c>
      <c r="BL123" s="266">
        <f>+E123+K123+W123+AT123+AY123</f>
        <v>1879.193</v>
      </c>
      <c r="BM123" s="1980">
        <f>+(BL123/BL109-1)*100</f>
        <v>17.580664941409687</v>
      </c>
      <c r="BN123" s="1981">
        <f>+BL123/$BW123*100</f>
        <v>83.538512900462464</v>
      </c>
      <c r="BO123" s="266">
        <f>+AL123+AM123+AN123+AO123+AU123</f>
        <v>370.3</v>
      </c>
      <c r="BP123" s="1980">
        <f>+(BO123/BO109-1)*100</f>
        <v>-31.514703162567049</v>
      </c>
      <c r="BQ123" s="1981">
        <f>+BO123/$BW123*100</f>
        <v>16.461487099537543</v>
      </c>
      <c r="BR123" s="389"/>
      <c r="BS123" s="266">
        <f>+AK123+AV123+AW123+AX123</f>
        <v>0</v>
      </c>
      <c r="BT123" s="1980"/>
      <c r="BU123" s="1981">
        <f>+BS123/$BW123*100</f>
        <v>0</v>
      </c>
      <c r="BV123" s="389"/>
      <c r="BW123" s="266">
        <f>+BL123+BO123+BS123</f>
        <v>2249.4929999999999</v>
      </c>
      <c r="BX123" s="1980">
        <f>+(BW123/BW109-1)*100</f>
        <v>5.1697682377428444</v>
      </c>
      <c r="BY123" s="24"/>
      <c r="BZ123" s="389"/>
      <c r="CA123" s="1980"/>
      <c r="CB123" s="1981"/>
      <c r="CC123" s="389"/>
      <c r="CD123" s="1980"/>
      <c r="CE123" s="1981"/>
      <c r="CF123" s="389"/>
      <c r="CG123" s="389"/>
      <c r="CH123" s="1980"/>
      <c r="CI123" s="1981"/>
      <c r="CJ123" s="389"/>
      <c r="CK123" s="389"/>
      <c r="CL123" s="1980"/>
      <c r="CM123" s="1981"/>
      <c r="CN123" s="389"/>
      <c r="CO123" s="266"/>
      <c r="CP123" s="1980"/>
      <c r="CQ123" s="1981"/>
      <c r="CR123" s="1981"/>
      <c r="CS123" s="24"/>
      <c r="CT123" s="389">
        <v>162.316</v>
      </c>
      <c r="CU123" s="1980">
        <f>+(CT123/CT116-1)*100</f>
        <v>-11.707526694553383</v>
      </c>
      <c r="CV123" s="1981">
        <f>+CT123/R123*100</f>
        <v>11.351594801300235</v>
      </c>
      <c r="CW123" s="389"/>
      <c r="CX123" s="389"/>
      <c r="CY123" s="389"/>
      <c r="CZ123" s="24"/>
      <c r="DA123" s="389">
        <v>14.035</v>
      </c>
      <c r="DB123" s="1980">
        <f>+(DA123/DA116-1)*100</f>
        <v>-83.135266339025009</v>
      </c>
      <c r="DC123" s="1981">
        <f>+DA123/W123*100</f>
        <v>2.4955858269928677</v>
      </c>
      <c r="DD123" s="1981"/>
      <c r="DE123" s="1981"/>
      <c r="DF123" s="1981"/>
      <c r="DG123" s="1981"/>
      <c r="DH123" s="389">
        <f>236.616-302.412+72.538</f>
        <v>6.7420000000000329</v>
      </c>
      <c r="DI123" s="1980">
        <f>+(DH123/DH116-1)*100</f>
        <v>-117.26814025561569</v>
      </c>
      <c r="DJ123" s="1981">
        <f>+DH123/AP123*100</f>
        <v>1.8205974324769609</v>
      </c>
      <c r="DK123" s="24"/>
      <c r="DL123" s="2044"/>
      <c r="DM123" s="2022"/>
      <c r="DN123" s="2045"/>
      <c r="DO123" s="24"/>
      <c r="DP123" s="2044"/>
      <c r="DQ123" s="2022"/>
      <c r="DR123" s="2045"/>
      <c r="DS123" s="24"/>
      <c r="DT123" s="2044">
        <f>-93.938-53.271-100-17-6+302.412-72.538</f>
        <v>-40.335000000000022</v>
      </c>
      <c r="DU123" s="2022" t="s">
        <v>886</v>
      </c>
      <c r="DV123" s="2045" t="s">
        <v>886</v>
      </c>
      <c r="DW123" s="24"/>
      <c r="DX123" s="2027">
        <f>'qtrP&amp;L'!BZ61</f>
        <v>142.32900000000018</v>
      </c>
      <c r="DY123" s="2028">
        <f>+(DX123/DX116-1)*100</f>
        <v>-27.671003150726513</v>
      </c>
      <c r="DZ123" s="1981">
        <f>(+DX123/BI123)*100</f>
        <v>5.4239932501620656</v>
      </c>
      <c r="EA123" s="2005" t="str">
        <f>IF(ROUND(EB123,1)=ROUND(DX123,1)," ","no")</f>
        <v>no</v>
      </c>
      <c r="EB123" s="361">
        <f>DT123+DH123+DA123+CT123</f>
        <v>142.75800000000001</v>
      </c>
      <c r="EC123" s="1694"/>
      <c r="ED123" s="24"/>
      <c r="EE123" s="24"/>
      <c r="EG123" s="2008">
        <v>148</v>
      </c>
      <c r="EH123" s="2037">
        <f>EG123/EG116-1</f>
        <v>4.6923076923076925</v>
      </c>
      <c r="EI123" s="530">
        <f>2624-EG123</f>
        <v>2476</v>
      </c>
      <c r="EJ123" s="2037">
        <f>EI123/EI116-1</f>
        <v>1.976935749588149E-2</v>
      </c>
    </row>
    <row r="124" spans="1:140" hidden="1" outlineLevel="1">
      <c r="A124" s="113" t="str">
        <f>+qtrSales!A140</f>
        <v>3Q</v>
      </c>
      <c r="B124" s="24" t="str">
        <f>+qtrSales!B140</f>
        <v>Oct</v>
      </c>
      <c r="C124" s="24"/>
      <c r="D124" s="24"/>
      <c r="E124" s="307">
        <v>734.9</v>
      </c>
      <c r="F124" s="307"/>
      <c r="G124" s="1980">
        <f>+(E124/E117-1)*100</f>
        <v>-1.3821792807300115</v>
      </c>
      <c r="H124" s="1981">
        <f>+E124/$BI124*100</f>
        <v>38.214480526942793</v>
      </c>
      <c r="I124" s="1981"/>
      <c r="J124" s="1981"/>
      <c r="K124" s="388">
        <v>225</v>
      </c>
      <c r="L124" s="1980">
        <f>+(K124/K117-1)*100</f>
        <v>-7.2929542645240986</v>
      </c>
      <c r="M124" s="1981">
        <f>+K124/BI124*100</f>
        <v>11.699902188817703</v>
      </c>
      <c r="N124" s="2025">
        <v>117.3</v>
      </c>
      <c r="O124" s="1990" t="s">
        <v>520</v>
      </c>
      <c r="P124" s="1981">
        <f>+N124/BI124*100</f>
        <v>6.0995490077702952</v>
      </c>
      <c r="Q124" s="24"/>
      <c r="R124" s="388">
        <v>1077.211</v>
      </c>
      <c r="S124" s="1980">
        <f>+(R124/R117-1)*100</f>
        <v>9.0370683782571746</v>
      </c>
      <c r="T124" s="1980"/>
      <c r="U124" s="1981">
        <f>+R124/$BI124*100</f>
        <v>56.014503718748919</v>
      </c>
      <c r="V124" s="24"/>
      <c r="W124" s="388">
        <v>429.95699999999999</v>
      </c>
      <c r="X124" s="388"/>
      <c r="Y124" s="388"/>
      <c r="Z124" s="388"/>
      <c r="AA124" s="388"/>
      <c r="AB124" s="388"/>
      <c r="AC124" s="1980">
        <f>+(W124/W117-1)*100</f>
        <v>3.7926739183963276</v>
      </c>
      <c r="AD124" s="1981">
        <f>+W124/$BI124*100</f>
        <v>22.357577090655521</v>
      </c>
      <c r="AE124" s="1981"/>
      <c r="AF124" s="1981"/>
      <c r="AG124" s="1981"/>
      <c r="AH124" s="1981"/>
      <c r="AI124" s="24"/>
      <c r="AJ124" s="24"/>
      <c r="AK124" s="388"/>
      <c r="AL124" s="2046">
        <f>segqtrSales!S722</f>
        <v>420.85315962777383</v>
      </c>
      <c r="AM124" s="2046"/>
      <c r="AN124" s="2046"/>
      <c r="AO124" s="2046">
        <f>segqtrSales!S821</f>
        <v>116.09390235081374</v>
      </c>
      <c r="AP124" s="2046">
        <f>+AL124+AO124</f>
        <v>536.94706197858761</v>
      </c>
      <c r="AQ124" s="2047">
        <f>+(AP124/AP117-1)*100</f>
        <v>1.4944138504553672</v>
      </c>
      <c r="AR124" s="2048">
        <f>+AP124/$BI124*100</f>
        <v>27.921013803211164</v>
      </c>
      <c r="AS124" s="24"/>
      <c r="AT124" s="388"/>
      <c r="AU124" s="388"/>
      <c r="AV124" s="388"/>
      <c r="AW124" s="388"/>
      <c r="AX124" s="388"/>
      <c r="AY124" s="388"/>
      <c r="AZ124" s="388"/>
      <c r="BA124" s="388"/>
      <c r="BB124" s="388"/>
      <c r="BC124" s="307"/>
      <c r="BD124" s="2049"/>
      <c r="BE124" s="388">
        <v>415.93599999999998</v>
      </c>
      <c r="BF124" s="2049">
        <f>+(BE124/BE117-1)*100</f>
        <v>126.37697566073061</v>
      </c>
      <c r="BG124" s="1981">
        <f>+BE124/$BI124*100</f>
        <v>21.628491185813687</v>
      </c>
      <c r="BH124" s="24"/>
      <c r="BI124" s="266">
        <f>+E124+K124+W124+BE124+N124</f>
        <v>1923.0929999999998</v>
      </c>
      <c r="BJ124" s="266"/>
      <c r="BK124" s="2889">
        <f>+(BI124/BI117-1)*100</f>
        <v>-9.0716393831733573</v>
      </c>
      <c r="BL124" s="266">
        <f>+E124+K124+W124+AT124+AY124</f>
        <v>1389.857</v>
      </c>
      <c r="BM124" s="1980">
        <f>+(BL124/BL110-1)*100</f>
        <v>17.133507169476747</v>
      </c>
      <c r="BN124" s="1981">
        <f>+BL124/$BW124*100</f>
        <v>72.132762610682391</v>
      </c>
      <c r="BO124" s="266">
        <f>+AL124+AM124+AN124+AO124+AU124</f>
        <v>536.94706197858761</v>
      </c>
      <c r="BP124" s="1980">
        <f>+(BO124/BO110-1)*100</f>
        <v>-2.7424863466353866</v>
      </c>
      <c r="BQ124" s="1981">
        <f>+BO124/$BW124*100</f>
        <v>27.867237389317623</v>
      </c>
      <c r="BR124" s="24"/>
      <c r="BS124" s="266">
        <f>+AK124+AV124+AW124+AX124</f>
        <v>0</v>
      </c>
      <c r="BT124" s="1980"/>
      <c r="BU124" s="1981">
        <f>+BS124/$BW124*100</f>
        <v>0</v>
      </c>
      <c r="BV124" s="24"/>
      <c r="BW124" s="266">
        <f>+BL124+BO124+BS124</f>
        <v>1926.8040619785875</v>
      </c>
      <c r="BX124" s="1980">
        <f>+(BW124/BW110-1)*100</f>
        <v>10.822103060576316</v>
      </c>
      <c r="BY124" s="24"/>
      <c r="BZ124" s="389"/>
      <c r="CA124" s="1980"/>
      <c r="CB124" s="1981"/>
      <c r="CC124" s="389"/>
      <c r="CD124" s="1980"/>
      <c r="CE124" s="1981"/>
      <c r="CF124" s="24"/>
      <c r="CG124" s="389"/>
      <c r="CH124" s="1980"/>
      <c r="CI124" s="1981"/>
      <c r="CJ124" s="24"/>
      <c r="CK124" s="389"/>
      <c r="CL124" s="1980"/>
      <c r="CM124" s="1981"/>
      <c r="CN124" s="24"/>
      <c r="CO124" s="266"/>
      <c r="CP124" s="1980"/>
      <c r="CQ124" s="1981"/>
      <c r="CR124" s="1981"/>
      <c r="CS124" s="24"/>
      <c r="CT124" s="389">
        <v>65.866</v>
      </c>
      <c r="CU124" s="1980">
        <f>+(CT124/CT117-1)*100</f>
        <v>-41.619542287851665</v>
      </c>
      <c r="CV124" s="1981">
        <f>+CT124/R124*100</f>
        <v>6.114493817831419</v>
      </c>
      <c r="CW124" s="389"/>
      <c r="CX124" s="389"/>
      <c r="CY124" s="389"/>
      <c r="CZ124" s="24"/>
      <c r="DA124" s="2008">
        <v>-7.2750000000000004</v>
      </c>
      <c r="DB124" s="1980">
        <f>+(DA124/DA117-1)*100</f>
        <v>1.6345347862531501</v>
      </c>
      <c r="DC124" s="1981">
        <f>+DA124/W124*100</f>
        <v>-1.6920296680830875</v>
      </c>
      <c r="DD124" s="1981"/>
      <c r="DE124" s="1981"/>
      <c r="DF124" s="1981"/>
      <c r="DG124" s="1981"/>
      <c r="DH124" s="2050">
        <f>+DJ124/100*AP124</f>
        <v>26.847353098929382</v>
      </c>
      <c r="DI124" s="2047">
        <f>+(DH124/DH117-1)*100</f>
        <v>-459.7876319877966</v>
      </c>
      <c r="DJ124" s="2048">
        <v>5</v>
      </c>
      <c r="DK124" s="24"/>
      <c r="DL124" s="2008"/>
      <c r="DM124" s="1980"/>
      <c r="DN124" s="1981"/>
      <c r="DO124" s="24"/>
      <c r="DP124" s="2008"/>
      <c r="DQ124" s="1980"/>
      <c r="DR124" s="1981"/>
      <c r="DS124" s="24"/>
      <c r="DT124" s="2008">
        <f>2.493-24.5</f>
        <v>-22.007000000000001</v>
      </c>
      <c r="DU124" s="1980">
        <f>+(DT124/DT117-1)*100</f>
        <v>-30.496162713577355</v>
      </c>
      <c r="DV124" s="1981">
        <f>+DT124/BE124*100</f>
        <v>-5.2909582243422069</v>
      </c>
      <c r="DW124" s="24"/>
      <c r="DX124" s="266">
        <f>ROUND('qtrP&amp;L'!BZ62,3)</f>
        <v>36.584000000000003</v>
      </c>
      <c r="DY124" s="1980">
        <f>+(DX124/DX117-1)*100</f>
        <v>-45.018710831241826</v>
      </c>
      <c r="DZ124" s="1981">
        <f>(+DX124/BI124)*100</f>
        <v>1.9023520963364748</v>
      </c>
      <c r="EA124" s="2005" t="str">
        <f>IF(ROUND(EB124,0)=ROUND(DX124,0)," ","no")</f>
        <v xml:space="preserve"> </v>
      </c>
      <c r="EB124" s="91">
        <f>DT124+DA124+CT124</f>
        <v>36.583999999999996</v>
      </c>
      <c r="EC124" s="2051"/>
      <c r="ED124" s="24"/>
      <c r="EE124" s="24"/>
      <c r="EG124" s="2008">
        <v>140</v>
      </c>
      <c r="EH124" s="2037">
        <f>EG124/EG117-1</f>
        <v>6.3684210526315788</v>
      </c>
      <c r="EI124" s="530">
        <f>1923-EG124</f>
        <v>1783</v>
      </c>
      <c r="EJ124" s="2037">
        <f>EI124/EI117-1</f>
        <v>-0.14933206106870234</v>
      </c>
    </row>
    <row r="125" spans="1:140" hidden="1" outlineLevel="1">
      <c r="A125" s="113" t="str">
        <f>+qtrSales!A141</f>
        <v>4Q</v>
      </c>
      <c r="B125" s="24" t="str">
        <f>+qtrSales!B141</f>
        <v>Jan</v>
      </c>
      <c r="C125" s="24"/>
      <c r="D125" s="24"/>
      <c r="E125" s="302">
        <f>1248.3+47.837</f>
        <v>1296.1369999999999</v>
      </c>
      <c r="F125" s="307"/>
      <c r="G125" s="1980">
        <f>+(E125/E118-1)*100</f>
        <v>-3.9258023867763669</v>
      </c>
      <c r="H125" s="1981">
        <f>+E125/$BI125*100</f>
        <v>39.562278668479337</v>
      </c>
      <c r="I125" s="1981"/>
      <c r="J125" s="1981"/>
      <c r="K125" s="302">
        <v>430.7</v>
      </c>
      <c r="L125" s="1980">
        <f>+(K125/K118-1)*100</f>
        <v>-12.470557631847957</v>
      </c>
      <c r="M125" s="1981">
        <f>+K125/BI125*100</f>
        <v>13.146352139097988</v>
      </c>
      <c r="N125" s="418">
        <v>165.9</v>
      </c>
      <c r="O125" s="1990" t="s">
        <v>520</v>
      </c>
      <c r="P125" s="1981">
        <f>+N125/BI125*100</f>
        <v>5.0638026930029172</v>
      </c>
      <c r="Q125" s="24"/>
      <c r="R125" s="306">
        <v>1892.7239999999999</v>
      </c>
      <c r="S125" s="1980">
        <f>+(R125/R118-1)*100</f>
        <v>1.5266622788737472</v>
      </c>
      <c r="T125" s="1980"/>
      <c r="U125" s="1981">
        <f>+R125/$BI125*100</f>
        <v>57.772036698681461</v>
      </c>
      <c r="V125" s="24"/>
      <c r="W125" s="302">
        <v>1080.19</v>
      </c>
      <c r="X125" s="307"/>
      <c r="Y125" s="307"/>
      <c r="Z125" s="307"/>
      <c r="AA125" s="307"/>
      <c r="AB125" s="307"/>
      <c r="AC125" s="1980">
        <f>+(W125/W118-1)*100</f>
        <v>-8.0348112150551145</v>
      </c>
      <c r="AD125" s="1981">
        <f>+W125/$BI125*100</f>
        <v>32.970880234809052</v>
      </c>
      <c r="AE125" s="1981"/>
      <c r="AF125" s="1981"/>
      <c r="AG125" s="1981"/>
      <c r="AH125" s="1981"/>
      <c r="AI125" s="24"/>
      <c r="AJ125" s="24"/>
      <c r="AK125" s="388"/>
      <c r="AL125" s="2052">
        <f>segqtrSales!S723</f>
        <v>598.36061992619921</v>
      </c>
      <c r="AM125" s="2052"/>
      <c r="AN125" s="2052"/>
      <c r="AO125" s="2052">
        <f>segqtrSales!S822</f>
        <v>150.3281380597015</v>
      </c>
      <c r="AP125" s="2053">
        <f>+AL125+AO125</f>
        <v>748.68875798590068</v>
      </c>
      <c r="AQ125" s="2047">
        <f>+(AP125/AP118-1)*100</f>
        <v>0.58654078752109484</v>
      </c>
      <c r="AR125" s="2048">
        <f>+AP125/$BI125*100</f>
        <v>22.852393905425036</v>
      </c>
      <c r="AS125" s="24"/>
      <c r="AT125" s="388"/>
      <c r="AU125" s="388"/>
      <c r="AV125" s="388"/>
      <c r="AW125" s="388"/>
      <c r="AX125" s="388"/>
      <c r="AY125" s="388"/>
      <c r="AZ125" s="388"/>
      <c r="BA125" s="388"/>
      <c r="BB125" s="388"/>
      <c r="BC125" s="307"/>
      <c r="BD125" s="1980"/>
      <c r="BE125" s="302">
        <v>303.267</v>
      </c>
      <c r="BF125" s="1980">
        <f>+(BE125/BE118-1)*100</f>
        <v>25.549364112075246</v>
      </c>
      <c r="BG125" s="1981">
        <f>+BE125/$BI125*100</f>
        <v>9.2566862646107051</v>
      </c>
      <c r="BH125" s="24"/>
      <c r="BI125" s="1022">
        <f>+E125+K125+W125+BE125+N125</f>
        <v>3276.194</v>
      </c>
      <c r="BJ125" s="325"/>
      <c r="BK125" s="2889">
        <f>+(BI125/BI118-1)*100</f>
        <v>-18.597848983601772</v>
      </c>
      <c r="BL125" s="1022">
        <f>+E125+K125+W125+AT125+AY125</f>
        <v>2807.027</v>
      </c>
      <c r="BM125" s="1980">
        <f>+(BL125/BL111-1)*100</f>
        <v>6.7614287257364403</v>
      </c>
      <c r="BN125" s="1981">
        <f>+BL125/$BW125*100</f>
        <v>78.944077396951769</v>
      </c>
      <c r="BO125" s="1022">
        <f>+AL125+AM125+AN125+AO125+AU125</f>
        <v>748.68875798590068</v>
      </c>
      <c r="BP125" s="1980">
        <f>+(BO125/BO111-1)*100</f>
        <v>0.34697198577946509</v>
      </c>
      <c r="BQ125" s="1981">
        <f>+BO125/$BW125*100</f>
        <v>21.05592260304822</v>
      </c>
      <c r="BR125" s="24"/>
      <c r="BS125" s="1022">
        <f>+AK125+AV125+AW125+AX125</f>
        <v>0</v>
      </c>
      <c r="BT125" s="1980"/>
      <c r="BU125" s="1981">
        <f>+BS125/$BW125*100</f>
        <v>0</v>
      </c>
      <c r="BV125" s="24"/>
      <c r="BW125" s="1022">
        <f>+BL125+BO125+BS125</f>
        <v>3555.7157579859008</v>
      </c>
      <c r="BX125" s="1980">
        <f>+(BW125/BW111-1)*100</f>
        <v>5.3435540348354849</v>
      </c>
      <c r="BY125" s="24"/>
      <c r="BZ125" s="306"/>
      <c r="CA125" s="1980"/>
      <c r="CB125" s="1981"/>
      <c r="CC125" s="306"/>
      <c r="CD125" s="1980"/>
      <c r="CE125" s="1981"/>
      <c r="CF125" s="24"/>
      <c r="CG125" s="306"/>
      <c r="CH125" s="1980"/>
      <c r="CI125" s="1981"/>
      <c r="CJ125" s="24"/>
      <c r="CK125" s="306"/>
      <c r="CL125" s="1980"/>
      <c r="CM125" s="1981"/>
      <c r="CN125" s="24"/>
      <c r="CO125" s="67"/>
      <c r="CP125" s="1980"/>
      <c r="CQ125" s="1981"/>
      <c r="CR125" s="1981"/>
      <c r="CS125" s="196"/>
      <c r="CT125" s="306">
        <f>358.038-47.838</f>
        <v>310.2</v>
      </c>
      <c r="CU125" s="1980">
        <f>+(CT125/CT118-1)*100</f>
        <v>-17.904147402018257</v>
      </c>
      <c r="CV125" s="1981">
        <f>+CT125/R125*100</f>
        <v>16.389077329816708</v>
      </c>
      <c r="CW125" s="321"/>
      <c r="CX125" s="321"/>
      <c r="CY125" s="321"/>
      <c r="CZ125" s="24"/>
      <c r="DA125" s="306">
        <v>295.28199999999998</v>
      </c>
      <c r="DB125" s="1980">
        <f>+(DA125/DA118-1)*100</f>
        <v>-8.97427202722616</v>
      </c>
      <c r="DC125" s="1981">
        <f>+DA125/W125*100</f>
        <v>27.336116794267674</v>
      </c>
      <c r="DD125" s="1981"/>
      <c r="DE125" s="1981"/>
      <c r="DF125" s="1981"/>
      <c r="DG125" s="1981"/>
      <c r="DH125" s="2054">
        <f>+DJ125/100*AP125</f>
        <v>44.921325479154042</v>
      </c>
      <c r="DI125" s="2047">
        <f>+(DH125/DH118-1)*100</f>
        <v>34.137554060001918</v>
      </c>
      <c r="DJ125" s="2048">
        <v>6</v>
      </c>
      <c r="DK125" s="24"/>
      <c r="DL125" s="2010"/>
      <c r="DM125" s="2049"/>
      <c r="DN125" s="1981"/>
      <c r="DO125" s="24"/>
      <c r="DP125" s="2010"/>
      <c r="DQ125" s="2049"/>
      <c r="DR125" s="1981"/>
      <c r="DS125" s="24"/>
      <c r="DT125" s="2010">
        <f>-31.881</f>
        <v>-31.881</v>
      </c>
      <c r="DU125" s="2049">
        <f>+(DT125/DT118-1)*100</f>
        <v>257.7311490125673</v>
      </c>
      <c r="DV125" s="1981">
        <f>+DT125/BE125*100</f>
        <v>-10.512518671665562</v>
      </c>
      <c r="DW125" s="24"/>
      <c r="DX125" s="1022">
        <f>ROUND('qtrP&amp;L'!BZ63,3)</f>
        <v>573.60699999999997</v>
      </c>
      <c r="DY125" s="1980">
        <f>+(DX125/DX118-1)*100</f>
        <v>-21.079909743815517</v>
      </c>
      <c r="DZ125" s="1981">
        <f>(+DX125/BI125)*100</f>
        <v>17.508334366035712</v>
      </c>
      <c r="EA125" s="2005" t="str">
        <f>IF(ROUND(EB125,1)=ROUND(DX125,1)," ","no")</f>
        <v xml:space="preserve"> </v>
      </c>
      <c r="EB125" s="91">
        <f>DT125+DA125+CT125</f>
        <v>573.60099999999989</v>
      </c>
      <c r="EC125" s="1694"/>
      <c r="ED125" s="24"/>
      <c r="EE125" s="24"/>
      <c r="EG125" s="1419">
        <f>EG126-SUM(EG122:EG124)</f>
        <v>204</v>
      </c>
      <c r="EH125" s="2037">
        <f>EG125/EG118-1</f>
        <v>5</v>
      </c>
      <c r="EI125" s="1419">
        <f>EI126-SUM(EI122:EI124)</f>
        <v>3072</v>
      </c>
      <c r="EJ125" s="2037">
        <f>EI125/EI118-1</f>
        <v>-0.23026810323227265</v>
      </c>
    </row>
    <row r="126" spans="1:140" hidden="1" outlineLevel="1">
      <c r="A126" s="113"/>
      <c r="B126" s="24" t="str">
        <f>+qtrSales!B142</f>
        <v>Year</v>
      </c>
      <c r="C126" s="24"/>
      <c r="D126" s="24"/>
      <c r="E126" s="266">
        <f>+SUM(E122:E125)</f>
        <v>3722.6369999999997</v>
      </c>
      <c r="F126" s="266"/>
      <c r="G126" s="1980">
        <f>+(E126/E119-1)*100</f>
        <v>0.6118108108108089</v>
      </c>
      <c r="H126" s="1981">
        <f>+E126/$BI126*100</f>
        <v>36.733295303807459</v>
      </c>
      <c r="I126" s="1981"/>
      <c r="J126" s="1981"/>
      <c r="K126" s="266">
        <f>+SUM(K122:K125)</f>
        <v>1396.4</v>
      </c>
      <c r="L126" s="1980">
        <f>+(K126/K119-1)*100</f>
        <v>-1.3607051960812688</v>
      </c>
      <c r="M126" s="1981">
        <f>+K126/$BI126*100</f>
        <v>13.779042534159721</v>
      </c>
      <c r="N126" s="2027">
        <f>+SUM(N122:N125)</f>
        <v>488</v>
      </c>
      <c r="O126" s="2022" t="s">
        <v>401</v>
      </c>
      <c r="P126" s="1981">
        <f>+N126/$BI126*100</f>
        <v>4.8153629022271156</v>
      </c>
      <c r="Q126" s="24"/>
      <c r="R126" s="266">
        <f>+SUM(R122:R125)</f>
        <v>5606.9930000000004</v>
      </c>
      <c r="S126" s="1980">
        <f>+(R126/R119-1)*100</f>
        <v>9.1121930449501232</v>
      </c>
      <c r="T126" s="1980"/>
      <c r="U126" s="1981">
        <f>+R126/$BI126*100</f>
        <v>55.327266568129353</v>
      </c>
      <c r="V126" s="24"/>
      <c r="W126" s="266">
        <f>+SUM(W122:W125)</f>
        <v>2494.0660000000003</v>
      </c>
      <c r="X126" s="266"/>
      <c r="Y126" s="266"/>
      <c r="Z126" s="266"/>
      <c r="AA126" s="266"/>
      <c r="AB126" s="266"/>
      <c r="AC126" s="1980">
        <f>+(W126/W119-1)*100</f>
        <v>-2.4003631518291435</v>
      </c>
      <c r="AD126" s="1981">
        <f>+W126/$BI126*100</f>
        <v>24.610313303495847</v>
      </c>
      <c r="AE126" s="1981"/>
      <c r="AF126" s="1981"/>
      <c r="AG126" s="1981"/>
      <c r="AH126" s="1981"/>
      <c r="AI126" s="24"/>
      <c r="AJ126" s="24"/>
      <c r="AK126" s="388"/>
      <c r="AL126" s="2050">
        <f>+SUM(AL122:AL125)</f>
        <v>1678.2137795539732</v>
      </c>
      <c r="AM126" s="2046"/>
      <c r="AN126" s="2046"/>
      <c r="AO126" s="2050">
        <f>+SUM(AO122:AO125)</f>
        <v>476.92204041051525</v>
      </c>
      <c r="AP126" s="266">
        <f>+SUM(AP122:AP125)</f>
        <v>2155.1788199644884</v>
      </c>
      <c r="AQ126" s="2047">
        <f>+(AP126/AP119-1)*100</f>
        <v>-3.883377174731828</v>
      </c>
      <c r="AR126" s="2048">
        <f>+AP126/$BI126*100</f>
        <v>21.266328150251248</v>
      </c>
      <c r="AS126" s="24"/>
      <c r="AT126" s="388"/>
      <c r="AU126" s="388"/>
      <c r="AV126" s="388"/>
      <c r="AW126" s="388"/>
      <c r="AX126" s="388"/>
      <c r="AY126" s="388"/>
      <c r="AZ126" s="388"/>
      <c r="BA126" s="388"/>
      <c r="BB126" s="388"/>
      <c r="BC126" s="325"/>
      <c r="BD126" s="1980"/>
      <c r="BE126" s="266">
        <f>+SUM(BE122:BE125)</f>
        <v>1163.6030000000001</v>
      </c>
      <c r="BF126" s="1980">
        <f>+(BE126/BE119-1)*100</f>
        <v>58.486050784596564</v>
      </c>
      <c r="BG126" s="1981">
        <f>+BE126/$BI126*100</f>
        <v>11.481907211311841</v>
      </c>
      <c r="BH126" s="24"/>
      <c r="BI126" s="266">
        <f>SUM(BI122:BI125)</f>
        <v>10134.231</v>
      </c>
      <c r="BJ126" s="266"/>
      <c r="BK126" s="2889">
        <f>+(BI126/BI119-1)*100</f>
        <v>-5.0267927236849586</v>
      </c>
      <c r="BL126" s="266">
        <f>+E126+K126+W126+AT126+AY126</f>
        <v>7613.103000000001</v>
      </c>
      <c r="BM126" s="1980">
        <f>+(BL126/BL112-1)*100</f>
        <v>13.082148695146522</v>
      </c>
      <c r="BN126" s="1981">
        <f>+BL126/$BW126*100</f>
        <v>77.937314395305478</v>
      </c>
      <c r="BO126" s="266">
        <f>+AL126+AM126+AN126+AO126+AU126</f>
        <v>2155.1358199644883</v>
      </c>
      <c r="BP126" s="1980">
        <f>+(BO126/BO112-1)*100</f>
        <v>-7.8670265127670618</v>
      </c>
      <c r="BQ126" s="1981">
        <f>+BO126/$BW126*100</f>
        <v>22.062685604694533</v>
      </c>
      <c r="BR126" s="24"/>
      <c r="BS126" s="266">
        <f>+AK126+AV126+AW126+AX126</f>
        <v>0</v>
      </c>
      <c r="BT126" s="1980"/>
      <c r="BU126" s="1981">
        <f>+BS126/$BW126*100</f>
        <v>0</v>
      </c>
      <c r="BV126" s="24"/>
      <c r="BW126" s="266">
        <f>+BL126+BO126+BS126</f>
        <v>9768.2388199644884</v>
      </c>
      <c r="BX126" s="1980">
        <f>+(BW126/BW112-1)*100</f>
        <v>7.6802519264349556</v>
      </c>
      <c r="BY126" s="24"/>
      <c r="BZ126" s="389"/>
      <c r="CA126" s="1980"/>
      <c r="CB126" s="1981"/>
      <c r="CC126" s="389"/>
      <c r="CD126" s="1980"/>
      <c r="CE126" s="1981"/>
      <c r="CF126" s="24"/>
      <c r="CG126" s="389"/>
      <c r="CH126" s="1980"/>
      <c r="CI126" s="1981"/>
      <c r="CJ126" s="24"/>
      <c r="CK126" s="389"/>
      <c r="CL126" s="1980"/>
      <c r="CM126" s="1981"/>
      <c r="CN126" s="24"/>
      <c r="CO126" s="24"/>
      <c r="CP126" s="1980"/>
      <c r="CQ126" s="1981"/>
      <c r="CR126" s="1981"/>
      <c r="CS126" s="24"/>
      <c r="CT126" s="266">
        <f>+SUM(CT122:CT125)</f>
        <v>670.654</v>
      </c>
      <c r="CU126" s="1980">
        <f>+(CT126/CT119-1)*100</f>
        <v>-23.673093119067666</v>
      </c>
      <c r="CV126" s="1981">
        <f>+CT126/R126*100</f>
        <v>11.961027952059151</v>
      </c>
      <c r="CW126" s="266"/>
      <c r="CX126" s="266"/>
      <c r="CY126" s="266"/>
      <c r="CZ126" s="24"/>
      <c r="DA126" s="266">
        <f>+SUM(DA122:DA125)</f>
        <v>301.19799999999998</v>
      </c>
      <c r="DB126" s="1980">
        <f>+(DA126/DA119-1)*100</f>
        <v>-28.182910661999649</v>
      </c>
      <c r="DC126" s="1981">
        <f>+DA126/W126*100</f>
        <v>12.076584982113543</v>
      </c>
      <c r="DD126" s="1981"/>
      <c r="DE126" s="1981"/>
      <c r="DF126" s="1981"/>
      <c r="DG126" s="1981"/>
      <c r="DH126" s="2050">
        <f>+SUM(DH122:DH125)</f>
        <v>91.536678578083468</v>
      </c>
      <c r="DI126" s="2047">
        <f>+(DH126/DH119-1)*100</f>
        <v>-10114.95389256929</v>
      </c>
      <c r="DJ126" s="2048">
        <f>+DH126/AP126*100</f>
        <v>4.2472892611106738</v>
      </c>
      <c r="DK126" s="24"/>
      <c r="DL126" s="91"/>
      <c r="DM126" s="1980"/>
      <c r="DN126" s="1981"/>
      <c r="DO126" s="24"/>
      <c r="DP126" s="91"/>
      <c r="DQ126" s="1980"/>
      <c r="DR126" s="1981"/>
      <c r="DS126" s="24"/>
      <c r="DT126" s="91">
        <f>+SUM(DT122:DT125)</f>
        <v>-130.15300000000002</v>
      </c>
      <c r="DU126" s="1980">
        <f>+(DT126/DT119-1)*100</f>
        <v>7.5147039386730397</v>
      </c>
      <c r="DV126" s="1981">
        <f>+DT126/BE126*100</f>
        <v>-11.185344142289081</v>
      </c>
      <c r="DW126" s="24"/>
      <c r="DX126" s="266">
        <f>+SUM(DX122:DX125)</f>
        <v>861.04500000000007</v>
      </c>
      <c r="DY126" s="1980">
        <f>+(DX126/DX119-1)*100</f>
        <v>-26.787179498080459</v>
      </c>
      <c r="DZ126" s="1981">
        <f>(+DX126/BI126)*100</f>
        <v>8.496401947024891</v>
      </c>
      <c r="EA126" s="1981"/>
      <c r="EB126" s="24"/>
      <c r="EC126" s="24"/>
      <c r="ED126" s="24"/>
      <c r="EE126" s="24"/>
      <c r="EG126" s="1982">
        <v>611</v>
      </c>
      <c r="EH126" s="1980"/>
      <c r="EI126" s="381">
        <f>10134-EG126</f>
        <v>9523</v>
      </c>
      <c r="EJ126" s="2037">
        <f>EI126/EI119-1</f>
        <v>-9.9139154290038833E-2</v>
      </c>
    </row>
    <row r="127" spans="1:140" hidden="1" outlineLevel="2">
      <c r="A127" s="2055" t="s">
        <v>1236</v>
      </c>
      <c r="B127" s="2056"/>
      <c r="C127" s="2056"/>
      <c r="D127" s="2056"/>
      <c r="E127" s="2057"/>
      <c r="F127" s="2057"/>
      <c r="G127" s="2058"/>
      <c r="H127" s="2059"/>
      <c r="I127" s="2059"/>
      <c r="J127" s="2059"/>
      <c r="K127" s="2060"/>
      <c r="L127" s="2058"/>
      <c r="M127" s="2061"/>
      <c r="N127" s="2060"/>
      <c r="O127" s="2062"/>
      <c r="P127" s="2059"/>
      <c r="Q127" s="2056"/>
      <c r="R127" s="2060"/>
      <c r="S127" s="2058"/>
      <c r="T127" s="2058"/>
      <c r="U127" s="2059"/>
      <c r="V127" s="2056"/>
      <c r="W127" s="2060"/>
      <c r="X127" s="2060"/>
      <c r="Y127" s="2060"/>
      <c r="Z127" s="2060"/>
      <c r="AA127" s="2060"/>
      <c r="AB127" s="2060"/>
      <c r="AC127" s="2058"/>
      <c r="AD127" s="2059"/>
      <c r="AE127" s="2059"/>
      <c r="AF127" s="2059"/>
      <c r="AG127" s="2059"/>
      <c r="AH127" s="2059"/>
      <c r="AI127" s="2056"/>
      <c r="AJ127" s="2056"/>
      <c r="AK127" s="2063"/>
      <c r="AL127" s="2064"/>
      <c r="AM127" s="2065"/>
      <c r="AN127" s="2065"/>
      <c r="AO127" s="2066"/>
      <c r="AP127" s="2066"/>
      <c r="AQ127" s="2067"/>
      <c r="AR127" s="2068"/>
      <c r="AS127" s="2056"/>
      <c r="AT127" s="2063"/>
      <c r="AU127" s="2063"/>
      <c r="AV127" s="2063"/>
      <c r="AW127" s="2063"/>
      <c r="AX127" s="2063"/>
      <c r="AY127" s="2063"/>
      <c r="AZ127" s="2063"/>
      <c r="BA127" s="2063"/>
      <c r="BB127" s="2063"/>
      <c r="BC127" s="2060"/>
      <c r="BD127" s="2058"/>
      <c r="BE127" s="2060"/>
      <c r="BF127" s="2058"/>
      <c r="BG127" s="2059"/>
      <c r="BH127" s="2056"/>
      <c r="BI127" s="2060"/>
      <c r="BJ127" s="2060"/>
      <c r="BK127" s="2891"/>
      <c r="BL127" s="2060"/>
      <c r="BM127" s="2058"/>
      <c r="BN127" s="2059"/>
      <c r="BO127" s="2060"/>
      <c r="BP127" s="2058"/>
      <c r="BQ127" s="2059"/>
      <c r="BR127" s="2056"/>
      <c r="BS127" s="2060"/>
      <c r="BT127" s="2058"/>
      <c r="BU127" s="2059"/>
      <c r="BV127" s="2056"/>
      <c r="BW127" s="2060"/>
      <c r="BX127" s="2058"/>
      <c r="BY127" s="2056"/>
      <c r="BZ127" s="2069"/>
      <c r="CA127" s="2058"/>
      <c r="CB127" s="2059"/>
      <c r="CC127" s="2069"/>
      <c r="CD127" s="2058"/>
      <c r="CE127" s="2059"/>
      <c r="CF127" s="2056"/>
      <c r="CG127" s="2069"/>
      <c r="CH127" s="2058"/>
      <c r="CI127" s="2059"/>
      <c r="CJ127" s="2056"/>
      <c r="CK127" s="2069"/>
      <c r="CL127" s="2058"/>
      <c r="CM127" s="2059"/>
      <c r="CN127" s="2056"/>
      <c r="CO127" s="2056"/>
      <c r="CP127" s="2058"/>
      <c r="CQ127" s="2059"/>
      <c r="CR127" s="2059"/>
      <c r="CS127" s="2056"/>
      <c r="CT127" s="2060"/>
      <c r="CU127" s="2058"/>
      <c r="CV127" s="2059"/>
      <c r="CW127" s="2060"/>
      <c r="CX127" s="2060"/>
      <c r="CY127" s="2060"/>
      <c r="CZ127" s="2056"/>
      <c r="DA127" s="2060"/>
      <c r="DB127" s="2058"/>
      <c r="DC127" s="2059"/>
      <c r="DD127" s="2059"/>
      <c r="DE127" s="2059"/>
      <c r="DF127" s="2059"/>
      <c r="DG127" s="2059"/>
      <c r="DH127" s="2066"/>
      <c r="DI127" s="2067"/>
      <c r="DJ127" s="2068"/>
      <c r="DK127" s="2056"/>
      <c r="DL127" s="2060"/>
      <c r="DM127" s="2058"/>
      <c r="DN127" s="2059"/>
      <c r="DO127" s="2056"/>
      <c r="DP127" s="2060"/>
      <c r="DQ127" s="2058"/>
      <c r="DR127" s="2059"/>
      <c r="DS127" s="2056"/>
      <c r="DT127" s="2060"/>
      <c r="DU127" s="2058"/>
      <c r="DV127" s="2059"/>
      <c r="DW127" s="2056"/>
      <c r="DX127" s="2060"/>
      <c r="DY127" s="2058"/>
      <c r="DZ127" s="2059"/>
      <c r="EA127" s="2059"/>
      <c r="EB127" s="2056"/>
      <c r="EC127" s="2056"/>
      <c r="ED127" s="2056"/>
      <c r="EE127" s="2056"/>
      <c r="EF127" s="1895"/>
      <c r="EG127" s="2060"/>
      <c r="EH127" s="2058"/>
      <c r="EI127" s="2060"/>
      <c r="EJ127" s="2058"/>
    </row>
    <row r="128" spans="1:140" hidden="1" outlineLevel="2">
      <c r="A128" s="113"/>
      <c r="B128" s="136" t="str">
        <f>qtrSales!B144</f>
        <v>2008A</v>
      </c>
      <c r="C128" s="24"/>
      <c r="D128" s="24"/>
      <c r="E128" s="24"/>
      <c r="F128" s="24"/>
      <c r="G128" s="1980"/>
      <c r="H128" s="1981"/>
      <c r="I128" s="1981"/>
      <c r="J128" s="1981"/>
      <c r="K128" s="24"/>
      <c r="L128" s="1980"/>
      <c r="M128" s="1981"/>
      <c r="N128" s="1981"/>
      <c r="O128" s="1981"/>
      <c r="P128" s="1981"/>
      <c r="Q128" s="24"/>
      <c r="R128" s="428"/>
      <c r="S128" s="1980"/>
      <c r="T128" s="1980"/>
      <c r="U128" s="1981"/>
      <c r="V128" s="24"/>
      <c r="W128" s="387"/>
      <c r="X128" s="387"/>
      <c r="Y128" s="387"/>
      <c r="Z128" s="387"/>
      <c r="AA128" s="387"/>
      <c r="AB128" s="387"/>
      <c r="AC128" s="1980"/>
      <c r="AD128" s="1981"/>
      <c r="AE128" s="1981"/>
      <c r="AF128" s="1981"/>
      <c r="AG128" s="1981"/>
      <c r="AH128" s="1981"/>
      <c r="AI128" s="24"/>
      <c r="AJ128" s="399"/>
      <c r="AK128" s="24"/>
      <c r="AL128" s="2047"/>
      <c r="AM128" s="1693"/>
      <c r="AN128" s="1693"/>
      <c r="AO128" s="2047"/>
      <c r="AP128" s="1693"/>
      <c r="AQ128" s="2047"/>
      <c r="AR128" s="2048"/>
      <c r="AS128" s="24"/>
      <c r="AT128" s="24"/>
      <c r="AU128" s="24"/>
      <c r="AV128" s="24"/>
      <c r="AW128" s="24"/>
      <c r="AX128" s="24"/>
      <c r="AY128" s="24"/>
      <c r="AZ128" s="24"/>
      <c r="BA128" s="24"/>
      <c r="BB128" s="24"/>
      <c r="BC128" s="381"/>
      <c r="BD128" s="2070"/>
      <c r="BE128" s="381"/>
      <c r="BF128" s="2070"/>
      <c r="BG128" s="1981"/>
      <c r="BH128" s="24"/>
      <c r="BI128" s="24"/>
      <c r="BJ128" s="24"/>
      <c r="BK128" s="2889"/>
      <c r="BL128" s="389"/>
      <c r="BM128" s="1988"/>
      <c r="BN128" s="1989"/>
      <c r="BO128" s="389"/>
      <c r="BP128" s="389"/>
      <c r="BQ128" s="389"/>
      <c r="BR128" s="389"/>
      <c r="BS128" s="389"/>
      <c r="BT128" s="389"/>
      <c r="BU128" s="389"/>
      <c r="BV128" s="389"/>
      <c r="BW128" s="266"/>
      <c r="BX128" s="24"/>
      <c r="BY128" s="24"/>
      <c r="BZ128" s="389"/>
      <c r="CA128" s="1988"/>
      <c r="CB128" s="1989"/>
      <c r="CC128" s="389"/>
      <c r="CD128" s="389"/>
      <c r="CE128" s="389"/>
      <c r="CF128" s="389"/>
      <c r="CG128" s="389"/>
      <c r="CH128" s="389"/>
      <c r="CI128" s="389"/>
      <c r="CJ128" s="389"/>
      <c r="CK128" s="389"/>
      <c r="CL128" s="389"/>
      <c r="CM128" s="389"/>
      <c r="CN128" s="389"/>
      <c r="CO128" s="266"/>
      <c r="CP128" s="24"/>
      <c r="CQ128" s="24"/>
      <c r="CR128" s="24"/>
      <c r="CS128" s="24"/>
      <c r="CT128" s="164"/>
      <c r="CU128" s="24"/>
      <c r="CV128" s="2071"/>
      <c r="CW128" s="164"/>
      <c r="CX128" s="164"/>
      <c r="CY128" s="164"/>
      <c r="CZ128" s="24"/>
      <c r="DA128" s="24"/>
      <c r="DB128" s="24"/>
      <c r="DC128" s="24"/>
      <c r="DD128" s="24"/>
      <c r="DE128" s="24"/>
      <c r="DF128" s="24"/>
      <c r="DG128" s="24"/>
      <c r="DH128" s="2072"/>
      <c r="DI128" s="1693"/>
      <c r="DJ128" s="2073"/>
      <c r="DK128" s="24"/>
      <c r="DL128" s="24"/>
      <c r="DM128" s="24"/>
      <c r="DN128" s="24"/>
      <c r="DO128" s="24"/>
      <c r="DP128" s="24"/>
      <c r="DQ128" s="24"/>
      <c r="DR128" s="24"/>
      <c r="DS128" s="24"/>
      <c r="DT128" s="24"/>
      <c r="DU128" s="24"/>
      <c r="DV128" s="24"/>
      <c r="DW128" s="24"/>
      <c r="DX128" s="266"/>
      <c r="DY128" s="24"/>
      <c r="DZ128" s="1981"/>
      <c r="EA128" s="24"/>
      <c r="EB128" s="24"/>
      <c r="EC128" s="24"/>
      <c r="ED128" s="24"/>
      <c r="EE128" s="24"/>
      <c r="EG128" s="24"/>
      <c r="EH128" s="24"/>
      <c r="EI128" s="24"/>
      <c r="EJ128" s="24"/>
    </row>
    <row r="129" spans="1:140" hidden="1" outlineLevel="2">
      <c r="A129" s="113" t="str">
        <f>+qtrSales!A117</f>
        <v>1Q</v>
      </c>
      <c r="B129" s="24" t="str">
        <f>+qtrSales!B117</f>
        <v>Apr</v>
      </c>
      <c r="C129" s="24"/>
      <c r="D129" s="24"/>
      <c r="E129" s="1982">
        <v>760.7</v>
      </c>
      <c r="F129" s="1982"/>
      <c r="G129" s="1980">
        <f>+(E129/E122-1)*100</f>
        <v>-1.3615145228215719</v>
      </c>
      <c r="H129" s="1981">
        <f>+E129/$BI129*100</f>
        <v>39.515302504782937</v>
      </c>
      <c r="I129" s="1981"/>
      <c r="J129" s="1981"/>
      <c r="K129" s="1982">
        <v>380.9</v>
      </c>
      <c r="L129" s="1980">
        <f>+(K129/K122-1)*100</f>
        <v>10.630264304385694</v>
      </c>
      <c r="M129" s="1981">
        <f>+K129/BI129*100</f>
        <v>19.786221538151462</v>
      </c>
      <c r="N129" s="2041">
        <v>112.1</v>
      </c>
      <c r="O129" s="1980">
        <f>+(N129/N122-1)*100</f>
        <v>22.246455834242074</v>
      </c>
      <c r="P129" s="1981">
        <f>+N129/BI129*100</f>
        <v>5.8231436976287192</v>
      </c>
      <c r="Q129" s="24"/>
      <c r="R129" s="1982">
        <v>1253.704</v>
      </c>
      <c r="S129" s="1980">
        <f>+(R129/R122-1)*100</f>
        <v>3.8554891555565796</v>
      </c>
      <c r="T129" s="1980"/>
      <c r="U129" s="1981">
        <f>+R129/$BI129*100</f>
        <v>65.12487552445954</v>
      </c>
      <c r="V129" s="24"/>
      <c r="W129" s="1982">
        <v>399.02</v>
      </c>
      <c r="X129" s="1982"/>
      <c r="Y129" s="1982"/>
      <c r="Z129" s="1982"/>
      <c r="AA129" s="1982"/>
      <c r="AB129" s="1982"/>
      <c r="AC129" s="1980">
        <f>+(W129/W122-1)*100</f>
        <v>-5.339172435389516</v>
      </c>
      <c r="AD129" s="1981">
        <f>+W129/$BI129*100</f>
        <v>20.72748258900813</v>
      </c>
      <c r="AE129" s="1981"/>
      <c r="AF129" s="1981"/>
      <c r="AG129" s="1981"/>
      <c r="AH129" s="1981"/>
      <c r="AI129" s="24"/>
      <c r="AJ129" s="24"/>
      <c r="AK129" s="2011">
        <f>0.75*2.1</f>
        <v>1.5750000000000002</v>
      </c>
      <c r="AL129" s="2046">
        <v>388.2</v>
      </c>
      <c r="AM129" s="2046"/>
      <c r="AN129" s="2046"/>
      <c r="AO129" s="2046">
        <v>111</v>
      </c>
      <c r="AP129" s="2074">
        <v>499.22500000000002</v>
      </c>
      <c r="AQ129" s="2075">
        <f>+(AP129/AP94-1)*100</f>
        <v>-16.813302539799967</v>
      </c>
      <c r="AR129" s="2076">
        <f>+AP129/$BI129*100</f>
        <v>25.932728924609254</v>
      </c>
      <c r="AS129" s="24"/>
      <c r="AT129" s="1982"/>
      <c r="AU129" s="1982"/>
      <c r="AV129" s="1982"/>
      <c r="AW129" s="1982"/>
      <c r="AX129" s="1982"/>
      <c r="AY129" s="1982"/>
      <c r="AZ129" s="1982"/>
      <c r="BA129" s="1982"/>
      <c r="BB129" s="1982"/>
      <c r="BC129" s="1982"/>
      <c r="BD129" s="1980"/>
      <c r="BE129" s="1982">
        <v>272.35700000000003</v>
      </c>
      <c r="BF129" s="1980">
        <f>+(BE129/BE122-1)*100</f>
        <v>48.885912644180848</v>
      </c>
      <c r="BG129" s="1981">
        <f>+BE129/$BI129*100</f>
        <v>14.147849670428769</v>
      </c>
      <c r="BH129" s="24"/>
      <c r="BI129" s="381">
        <f>+E129+K129+W129+BE129+N129</f>
        <v>1925.0769999999998</v>
      </c>
      <c r="BJ129" s="381"/>
      <c r="BK129" s="2889">
        <f>+(BI129/BI122-1)*100</f>
        <v>-16.695104594308408</v>
      </c>
      <c r="BL129" s="381">
        <f>+E129+K129+W129+AT129+AY129</f>
        <v>1540.62</v>
      </c>
      <c r="BM129" s="1980">
        <f>+(BL129/BL122-1)*100</f>
        <v>0.23382818507948766</v>
      </c>
      <c r="BN129" s="1981">
        <f>+BL129/$BW129*100</f>
        <v>75.468980770502512</v>
      </c>
      <c r="BO129" s="381">
        <f>+AL129+AM129+AN129+AO129+AU129</f>
        <v>499.2</v>
      </c>
      <c r="BP129" s="1980">
        <f>+(BO129/BO122-1)*100</f>
        <v>0</v>
      </c>
      <c r="BQ129" s="1981">
        <f>+BO129/$BW129*100</f>
        <v>24.453866106265568</v>
      </c>
      <c r="BR129" s="389"/>
      <c r="BS129" s="381">
        <f>+AK129+AV129+AW129+AX129</f>
        <v>1.5750000000000002</v>
      </c>
      <c r="BT129" s="1980"/>
      <c r="BU129" s="1981">
        <f>+BS129/$BW129*100</f>
        <v>7.7153123231907594E-2</v>
      </c>
      <c r="BV129" s="389"/>
      <c r="BW129" s="381">
        <f>+BL129+BO129+BS129</f>
        <v>2041.395</v>
      </c>
      <c r="BX129" s="1980">
        <f>+(BW129/BW122-1)*100</f>
        <v>0.17636658339061917</v>
      </c>
      <c r="BY129" s="24"/>
      <c r="BZ129" s="390"/>
      <c r="CA129" s="1980"/>
      <c r="CB129" s="1981"/>
      <c r="CC129" s="390"/>
      <c r="CD129" s="1980"/>
      <c r="CE129" s="1981"/>
      <c r="CF129" s="389"/>
      <c r="CG129" s="390"/>
      <c r="CH129" s="1980"/>
      <c r="CI129" s="1981"/>
      <c r="CJ129" s="24"/>
      <c r="CK129" s="390"/>
      <c r="CL129" s="1980"/>
      <c r="CM129" s="1981"/>
      <c r="CN129" s="24"/>
      <c r="CO129" s="165"/>
      <c r="CP129" s="1980"/>
      <c r="CQ129" s="1981"/>
      <c r="CR129" s="1981"/>
      <c r="CS129" s="24"/>
      <c r="CT129" s="1982">
        <v>149.15899999999999</v>
      </c>
      <c r="CU129" s="1980">
        <f>+(CT129/CT122-1)*100</f>
        <v>12.766874319583899</v>
      </c>
      <c r="CV129" s="1981">
        <f>+CT129/R129*100</f>
        <v>11.897465430436529</v>
      </c>
      <c r="CW129" s="1982"/>
      <c r="CX129" s="1982"/>
      <c r="CY129" s="1982"/>
      <c r="CZ129" s="24"/>
      <c r="DA129" s="381">
        <v>-5.5819999999999999</v>
      </c>
      <c r="DB129" s="1980">
        <f>+(DA129/DA122-1)*100</f>
        <v>561.37440758293837</v>
      </c>
      <c r="DC129" s="1981">
        <f>+DA129/W129*100</f>
        <v>-1.3989273720615509</v>
      </c>
      <c r="DD129" s="1981"/>
      <c r="DE129" s="1981"/>
      <c r="DF129" s="1981"/>
      <c r="DG129" s="1981"/>
      <c r="DH129" s="2077">
        <f>+DJ129/100*AP129</f>
        <v>18.471325000000004</v>
      </c>
      <c r="DI129" s="2078">
        <f>+(DH129/DH94-1)*100</f>
        <v>72.839197155422525</v>
      </c>
      <c r="DJ129" s="2076">
        <v>3.7</v>
      </c>
      <c r="DK129" s="24"/>
      <c r="DL129" s="381"/>
      <c r="DM129" s="1980"/>
      <c r="DN129" s="1981"/>
      <c r="DO129" s="24"/>
      <c r="DP129" s="381"/>
      <c r="DQ129" s="1980"/>
      <c r="DR129" s="1981"/>
      <c r="DS129" s="24"/>
      <c r="DT129" s="381">
        <v>-43.140999999999998</v>
      </c>
      <c r="DU129" s="1980">
        <f>+(DT129/DT122-1)*100</f>
        <v>20.06957973838017</v>
      </c>
      <c r="DV129" s="1981">
        <f>+DT129/BE129*100</f>
        <v>-15.83987193279409</v>
      </c>
      <c r="DW129" s="24"/>
      <c r="DX129" s="266">
        <f>'qtrP&amp;L'!CD60</f>
        <v>100.43799999999999</v>
      </c>
      <c r="DY129" s="1980">
        <f>+(DX129/DX122-1)*100</f>
        <v>-7.451739230591925</v>
      </c>
      <c r="DZ129" s="1981">
        <f>(+DX129/BI129)*100</f>
        <v>5.2173497475685382</v>
      </c>
      <c r="EA129" s="2005" t="str">
        <f>IF(ROUND(EB129,2)=ROUND(DX129,2)," ","no")</f>
        <v xml:space="preserve"> </v>
      </c>
      <c r="EB129" s="91">
        <f>DT129+DA129+CT129</f>
        <v>100.43599999999999</v>
      </c>
      <c r="EC129" s="24"/>
      <c r="ED129" s="24"/>
      <c r="EE129" s="24"/>
      <c r="EG129" s="1982">
        <v>152</v>
      </c>
      <c r="EH129" s="2037">
        <f>EG129/EG122-1</f>
        <v>0.2773109243697478</v>
      </c>
      <c r="EI129" s="381">
        <f>1925-EG129</f>
        <v>1773</v>
      </c>
      <c r="EJ129" s="2037">
        <f>EI129/EI122-1</f>
        <v>-0.1911496350364964</v>
      </c>
    </row>
    <row r="130" spans="1:140" hidden="1" outlineLevel="2">
      <c r="A130" s="113" t="str">
        <f>+qtrSales!A118</f>
        <v>2Q</v>
      </c>
      <c r="B130" s="24" t="str">
        <f>+qtrSales!B118</f>
        <v>Jul</v>
      </c>
      <c r="C130" s="24"/>
      <c r="D130" s="24"/>
      <c r="E130" s="307">
        <v>913.4</v>
      </c>
      <c r="F130" s="307"/>
      <c r="G130" s="1980">
        <f>+(E130/E123-1)*100</f>
        <v>-0.76053889613211245</v>
      </c>
      <c r="H130" s="1981">
        <f>+E130/$BI130*100</f>
        <v>39.985886304199184</v>
      </c>
      <c r="I130" s="1981"/>
      <c r="J130" s="1981"/>
      <c r="K130" s="388">
        <v>423.2</v>
      </c>
      <c r="L130" s="1980">
        <f>+(K130/K123-1)*100</f>
        <v>6.7608476286579178</v>
      </c>
      <c r="M130" s="1981">
        <f>+K130/BI130*100</f>
        <v>18.526414587187535</v>
      </c>
      <c r="N130" s="2025">
        <v>134.5</v>
      </c>
      <c r="O130" s="1980">
        <f>+(N130/N123-1)*100</f>
        <v>18.921308576481</v>
      </c>
      <c r="P130" s="1981">
        <f>+N130/BI130*100</f>
        <v>5.8880027456916899</v>
      </c>
      <c r="Q130" s="24"/>
      <c r="R130" s="388">
        <v>1471.1089999999999</v>
      </c>
      <c r="S130" s="1980">
        <f>+(R130/R123-1)*100</f>
        <v>2.8822375893071905</v>
      </c>
      <c r="T130" s="1980"/>
      <c r="U130" s="1981">
        <f>+R130/$BI130*100</f>
        <v>64.400697629827192</v>
      </c>
      <c r="V130" s="24"/>
      <c r="W130" s="388">
        <v>553.18899999999996</v>
      </c>
      <c r="X130" s="388"/>
      <c r="Y130" s="388"/>
      <c r="Z130" s="388"/>
      <c r="AA130" s="388"/>
      <c r="AB130" s="388"/>
      <c r="AC130" s="1980">
        <f>+(W130/W123-1)*100</f>
        <v>-1.6365779801669089</v>
      </c>
      <c r="AD130" s="1981">
        <f>+W130/$BI130*100</f>
        <v>24.216939411795096</v>
      </c>
      <c r="AE130" s="1981"/>
      <c r="AF130" s="1981"/>
      <c r="AG130" s="1981"/>
      <c r="AH130" s="1981"/>
      <c r="AI130" s="24"/>
      <c r="AJ130" s="24"/>
      <c r="AK130" s="388"/>
      <c r="AL130" s="425"/>
      <c r="AM130" s="2046"/>
      <c r="AN130" s="2046"/>
      <c r="AO130" s="2046">
        <v>99.5</v>
      </c>
      <c r="AP130" s="2074">
        <v>370.31799999999998</v>
      </c>
      <c r="AQ130" s="2075">
        <f>+(AP130/AP95-1)*100</f>
        <v>-37.482822539529273</v>
      </c>
      <c r="AR130" s="2076">
        <f>+AP130/$BI130*100</f>
        <v>16.211400749286657</v>
      </c>
      <c r="AS130" s="24"/>
      <c r="AT130" s="388"/>
      <c r="AU130" s="388"/>
      <c r="AV130" s="388"/>
      <c r="AW130" s="388"/>
      <c r="AX130" s="388"/>
      <c r="AY130" s="388"/>
      <c r="AZ130" s="388"/>
      <c r="BA130" s="388"/>
      <c r="BB130" s="388"/>
      <c r="BC130" s="388"/>
      <c r="BD130" s="1980"/>
      <c r="BE130" s="388">
        <v>260.017</v>
      </c>
      <c r="BF130" s="1980">
        <f>+(BE130/BE123-1)*100</f>
        <v>-0.55570428729874166</v>
      </c>
      <c r="BG130" s="1981">
        <f>+BE130/$BI130*100</f>
        <v>11.382756951126515</v>
      </c>
      <c r="BH130" s="24"/>
      <c r="BI130" s="266">
        <f>+E130+K130+W130+BE130+N130</f>
        <v>2284.3059999999996</v>
      </c>
      <c r="BJ130" s="266"/>
      <c r="BK130" s="2889">
        <f>+(BI130/BI123-1)*100</f>
        <v>-12.947745538121612</v>
      </c>
      <c r="BL130" s="266">
        <f>+E130+K130+W130+AT130+AY130</f>
        <v>1889.7889999999998</v>
      </c>
      <c r="BM130" s="1980">
        <f>+(BL130/BL123-1)*100</f>
        <v>0.56385906077767167</v>
      </c>
      <c r="BN130" s="1981">
        <f>+BL130/$BW130*100</f>
        <v>94.998212929343097</v>
      </c>
      <c r="BO130" s="266">
        <f>+AL130+AM130+AN130+AO130+AU130</f>
        <v>99.5</v>
      </c>
      <c r="BP130" s="1980">
        <f>+(BO130/BO123-1)*100</f>
        <v>-73.129894679989206</v>
      </c>
      <c r="BQ130" s="1981">
        <f>+BO130/$BW130*100</f>
        <v>5.0017870706569036</v>
      </c>
      <c r="BR130" s="389"/>
      <c r="BS130" s="266">
        <f>+AK130+AV130+AW130+AX130</f>
        <v>0</v>
      </c>
      <c r="BT130" s="1980"/>
      <c r="BU130" s="1981">
        <f>+BS130/$BW130*100</f>
        <v>0</v>
      </c>
      <c r="BV130" s="389"/>
      <c r="BW130" s="266">
        <f>+BL130+BO130+BS130</f>
        <v>1989.2889999999998</v>
      </c>
      <c r="BX130" s="1980">
        <f>+(BW130/BW123-1)*100</f>
        <v>-11.567228704423627</v>
      </c>
      <c r="BY130" s="24"/>
      <c r="BZ130" s="389"/>
      <c r="CA130" s="1980"/>
      <c r="CB130" s="1981"/>
      <c r="CC130" s="389"/>
      <c r="CD130" s="1980"/>
      <c r="CE130" s="1981"/>
      <c r="CF130" s="389"/>
      <c r="CG130" s="389"/>
      <c r="CH130" s="1980"/>
      <c r="CI130" s="1981"/>
      <c r="CJ130" s="389"/>
      <c r="CK130" s="389"/>
      <c r="CL130" s="1980"/>
      <c r="CM130" s="1981"/>
      <c r="CN130" s="389"/>
      <c r="CO130" s="266"/>
      <c r="CP130" s="1980"/>
      <c r="CQ130" s="1981"/>
      <c r="CR130" s="1981"/>
      <c r="CS130" s="24"/>
      <c r="CT130" s="389">
        <v>182.36500000000001</v>
      </c>
      <c r="CU130" s="1980">
        <f>+(CT130/CT123-1)*100</f>
        <v>12.351832228492565</v>
      </c>
      <c r="CV130" s="1981">
        <f>+CT130/R130*100</f>
        <v>12.396430176146024</v>
      </c>
      <c r="CW130" s="389"/>
      <c r="CX130" s="389"/>
      <c r="CY130" s="389"/>
      <c r="CZ130" s="24"/>
      <c r="DA130" s="2008">
        <v>40.628999999999998</v>
      </c>
      <c r="DB130" s="1980">
        <f>+(DA130/DA123-1)*100</f>
        <v>189.4834342714642</v>
      </c>
      <c r="DC130" s="1981">
        <f>+DA130/W130*100</f>
        <v>7.3445061272006491</v>
      </c>
      <c r="DD130" s="1981"/>
      <c r="DE130" s="1981"/>
      <c r="DF130" s="1981"/>
      <c r="DG130" s="1981"/>
      <c r="DH130" s="2079">
        <f>+DJ130/100*AP130</f>
        <v>10.739221999999998</v>
      </c>
      <c r="DI130" s="2078">
        <f>+(DH130/DH95-1)*100</f>
        <v>-31.913890826095237</v>
      </c>
      <c r="DJ130" s="2076">
        <v>2.9</v>
      </c>
      <c r="DK130" s="24"/>
      <c r="DL130" s="530"/>
      <c r="DM130" s="1980"/>
      <c r="DN130" s="1981"/>
      <c r="DO130" s="24"/>
      <c r="DP130" s="530"/>
      <c r="DQ130" s="1980"/>
      <c r="DR130" s="1981"/>
      <c r="DS130" s="24"/>
      <c r="DT130" s="530">
        <v>-37.835999999999999</v>
      </c>
      <c r="DU130" s="1980">
        <f>+(DT130/DT123-1)*100</f>
        <v>-6.1956117515805653</v>
      </c>
      <c r="DV130" s="1981">
        <f>+DT130/BE130*100</f>
        <v>-14.551356257475472</v>
      </c>
      <c r="DW130" s="24"/>
      <c r="DX130" s="2027">
        <f>'qtrP&amp;L'!CD61</f>
        <v>185.15899999999976</v>
      </c>
      <c r="DY130" s="2028">
        <f>+(DX130/DX123-1)*100</f>
        <v>30.092251052139439</v>
      </c>
      <c r="DZ130" s="1981">
        <f>(+DX130/BI130)*100</f>
        <v>8.1057003746433178</v>
      </c>
      <c r="EA130" s="2080" t="str">
        <f>IF(EB130=DX130," ","no")</f>
        <v>no</v>
      </c>
      <c r="EB130" s="2081">
        <f>ROUND((DT130+DA130+CT130), 2)</f>
        <v>185.16</v>
      </c>
      <c r="EC130" s="24"/>
      <c r="ED130" s="24"/>
      <c r="EE130" s="24"/>
      <c r="EG130" s="2008">
        <v>179</v>
      </c>
      <c r="EH130" s="2037">
        <f t="shared" ref="EH130:EJ133" si="5">EG130/EG123-1</f>
        <v>0.20945945945945943</v>
      </c>
      <c r="EI130" s="530">
        <f>2284-EG130</f>
        <v>2105</v>
      </c>
      <c r="EJ130" s="2037">
        <f t="shared" si="5"/>
        <v>-0.14983844911147015</v>
      </c>
    </row>
    <row r="131" spans="1:140" hidden="1" outlineLevel="2">
      <c r="A131" s="113" t="str">
        <f>+qtrSales!A119</f>
        <v>3Q</v>
      </c>
      <c r="B131" s="24" t="str">
        <f>+qtrSales!B119</f>
        <v>Oct</v>
      </c>
      <c r="C131" s="24"/>
      <c r="D131" s="24"/>
      <c r="E131" s="307">
        <v>730.8</v>
      </c>
      <c r="F131" s="307"/>
      <c r="G131" s="1980">
        <f>+(E131/E124-1)*100</f>
        <v>-0.55789903388215878</v>
      </c>
      <c r="H131" s="1981">
        <f>+E131/$BI131*100</f>
        <v>39.670196706201146</v>
      </c>
      <c r="I131" s="1981"/>
      <c r="J131" s="1981"/>
      <c r="K131" s="388">
        <v>269.5</v>
      </c>
      <c r="L131" s="1980">
        <f>+(K131/K124-1)*100</f>
        <v>19.777777777777782</v>
      </c>
      <c r="M131" s="1981">
        <f>+K131/BI131*100</f>
        <v>14.629334992229353</v>
      </c>
      <c r="N131" s="2025">
        <v>111.3</v>
      </c>
      <c r="O131" s="1980">
        <f>+(N131/N124-1)*100</f>
        <v>-5.1150895140664954</v>
      </c>
      <c r="P131" s="1981">
        <f>+N131/BI131*100</f>
        <v>6.0417253604271872</v>
      </c>
      <c r="Q131" s="24"/>
      <c r="R131" s="388">
        <v>1111.595</v>
      </c>
      <c r="S131" s="1980">
        <f>+(R131/R124-1)*100</f>
        <v>3.1919466102741323</v>
      </c>
      <c r="T131" s="1980"/>
      <c r="U131" s="1981">
        <f>+R131/$BI131*100</f>
        <v>60.340985642624069</v>
      </c>
      <c r="V131" s="24"/>
      <c r="W131" s="388">
        <v>424.15100000000001</v>
      </c>
      <c r="X131" s="388"/>
      <c r="Y131" s="388"/>
      <c r="Z131" s="388"/>
      <c r="AA131" s="388"/>
      <c r="AB131" s="388"/>
      <c r="AC131" s="1980">
        <f>+(W131/W124-1)*100</f>
        <v>-1.3503675948990157</v>
      </c>
      <c r="AD131" s="1981">
        <f>+W131/$BI131*100</f>
        <v>23.024293381406576</v>
      </c>
      <c r="AE131" s="1981"/>
      <c r="AF131" s="1981"/>
      <c r="AG131" s="1981"/>
      <c r="AH131" s="1981"/>
      <c r="AI131" s="24"/>
      <c r="AJ131" s="24"/>
      <c r="AK131" s="388"/>
      <c r="AL131" s="2046">
        <f>segqtrSales!S701</f>
        <v>449.54899999999998</v>
      </c>
      <c r="AM131" s="2046"/>
      <c r="AN131" s="2046"/>
      <c r="AO131" s="2046">
        <f>segqtrSales!S800</f>
        <v>134.9</v>
      </c>
      <c r="AP131" s="2074">
        <f>+AL131+AO131</f>
        <v>584.44899999999996</v>
      </c>
      <c r="AQ131" s="2075">
        <f>+(AP131/AP96-1)*100</f>
        <v>0</v>
      </c>
      <c r="AR131" s="2076">
        <f>+AP131/$BI131*100</f>
        <v>31.725789264836557</v>
      </c>
      <c r="AS131" s="24"/>
      <c r="AT131" s="388"/>
      <c r="AU131" s="388"/>
      <c r="AV131" s="388"/>
      <c r="AW131" s="388"/>
      <c r="AX131" s="388"/>
      <c r="AY131" s="388"/>
      <c r="AZ131" s="388"/>
      <c r="BA131" s="388"/>
      <c r="BB131" s="388"/>
      <c r="BC131" s="388"/>
      <c r="BD131" s="1980"/>
      <c r="BE131" s="388">
        <v>306.43799999999999</v>
      </c>
      <c r="BF131" s="1980">
        <f>+(BE131/BE124-1)*100</f>
        <v>-26.325684720726262</v>
      </c>
      <c r="BG131" s="1981">
        <f>+BE131/$BI131*100</f>
        <v>16.634449559735724</v>
      </c>
      <c r="BH131" s="24"/>
      <c r="BI131" s="266">
        <f>+E131+K131+W131+BE131+N131</f>
        <v>1842.1890000000001</v>
      </c>
      <c r="BJ131" s="266"/>
      <c r="BK131" s="2889">
        <f>+(BI131/BI124-1)*100</f>
        <v>-4.2069728297071336</v>
      </c>
      <c r="BL131" s="266">
        <f>+E131+K131+W131+AT131+AY131</f>
        <v>1424.451</v>
      </c>
      <c r="BM131" s="1980">
        <f>+(BL131/BL124-1)*100</f>
        <v>2.4890330444067299</v>
      </c>
      <c r="BN131" s="1981">
        <f>+BL131/$BW131*100</f>
        <v>70.907013788640555</v>
      </c>
      <c r="BO131" s="266">
        <f>+AL131+AM131+AN131+AO131+AU131</f>
        <v>584.44899999999996</v>
      </c>
      <c r="BP131" s="1980">
        <f>+(BO131/BO124-1)*100</f>
        <v>8.8466706282688712</v>
      </c>
      <c r="BQ131" s="1981">
        <f>+BO131/$BW131*100</f>
        <v>29.092986211359445</v>
      </c>
      <c r="BR131" s="24"/>
      <c r="BS131" s="266">
        <f>+AK131+AV131+AW131+AX131</f>
        <v>0</v>
      </c>
      <c r="BT131" s="1980"/>
      <c r="BU131" s="1981">
        <f>+BS131/$BW131*100</f>
        <v>0</v>
      </c>
      <c r="BV131" s="24"/>
      <c r="BW131" s="266">
        <f>+BL131+BO131+BS131</f>
        <v>2008.9</v>
      </c>
      <c r="BX131" s="1980">
        <f>+(BW131/BW124-1)*100</f>
        <v>4.2607310022540812</v>
      </c>
      <c r="BY131" s="24"/>
      <c r="BZ131" s="389"/>
      <c r="CA131" s="1980"/>
      <c r="CB131" s="1981"/>
      <c r="CC131" s="389"/>
      <c r="CD131" s="1980"/>
      <c r="CE131" s="1981"/>
      <c r="CF131" s="24"/>
      <c r="CG131" s="389"/>
      <c r="CH131" s="1980"/>
      <c r="CI131" s="1981"/>
      <c r="CJ131" s="24"/>
      <c r="CK131" s="389"/>
      <c r="CL131" s="1980"/>
      <c r="CM131" s="1981"/>
      <c r="CN131" s="24"/>
      <c r="CO131" s="266"/>
      <c r="CP131" s="1980"/>
      <c r="CQ131" s="1981"/>
      <c r="CR131" s="1981"/>
      <c r="CS131" s="24"/>
      <c r="CT131" s="389">
        <v>74.881</v>
      </c>
      <c r="CU131" s="1980">
        <f>+(CT131/CT124-1)*100</f>
        <v>13.68687942185649</v>
      </c>
      <c r="CV131" s="1981">
        <f>+CT131/R131*100</f>
        <v>6.7363563168240228</v>
      </c>
      <c r="CW131" s="389"/>
      <c r="CX131" s="389"/>
      <c r="CY131" s="389"/>
      <c r="CZ131" s="24"/>
      <c r="DA131" s="2008">
        <v>-28.971</v>
      </c>
      <c r="DB131" s="1980">
        <f>+(DA131/DA124-1)*100</f>
        <v>298.2268041237113</v>
      </c>
      <c r="DC131" s="1981">
        <f>+DA131/W131*100</f>
        <v>-6.830350511963899</v>
      </c>
      <c r="DD131" s="1981"/>
      <c r="DE131" s="1981"/>
      <c r="DF131" s="1981"/>
      <c r="DG131" s="1981"/>
      <c r="DH131" s="2079">
        <f>+DJ131/100*AP131</f>
        <v>29.222449999999998</v>
      </c>
      <c r="DI131" s="2078">
        <f>+(DH131/DH96-1)*100</f>
        <v>-264.16184484017754</v>
      </c>
      <c r="DJ131" s="2076">
        <v>5</v>
      </c>
      <c r="DK131" s="24"/>
      <c r="DL131" s="530"/>
      <c r="DM131" s="1980"/>
      <c r="DN131" s="1981"/>
      <c r="DO131" s="24"/>
      <c r="DP131" s="530"/>
      <c r="DQ131" s="1980"/>
      <c r="DR131" s="1981"/>
      <c r="DS131" s="24"/>
      <c r="DT131" s="530">
        <v>-4.6950000000000003</v>
      </c>
      <c r="DU131" s="1980">
        <f>+(DT131/DT124-1)*100</f>
        <v>-78.665879038487745</v>
      </c>
      <c r="DV131" s="1981">
        <f>+DT131/BE131*100</f>
        <v>-1.5321206899927557</v>
      </c>
      <c r="DW131" s="24"/>
      <c r="DX131" s="266">
        <f>'qtrP&amp;L'!CD62</f>
        <v>41.136999999999944</v>
      </c>
      <c r="DY131" s="1980">
        <f>+(DX131/DX124-1)*100</f>
        <v>12.445331292368088</v>
      </c>
      <c r="DZ131" s="1981">
        <f>(+DX131/BI131)*100</f>
        <v>2.2330499205021819</v>
      </c>
      <c r="EA131" s="2005" t="str">
        <f>IF(ROUND(EB131,2)=ROUND(DX131,2)," ","no")</f>
        <v>no</v>
      </c>
      <c r="EB131" s="91">
        <f>DT131+DA131+CT131-'qtrP&amp;L'!CD24</f>
        <v>-5995.0680000000002</v>
      </c>
      <c r="EC131" s="2051"/>
      <c r="ED131" s="24"/>
      <c r="EE131" s="24"/>
      <c r="EG131" s="2008">
        <v>146</v>
      </c>
      <c r="EH131" s="2037">
        <f t="shared" si="5"/>
        <v>4.2857142857142927E-2</v>
      </c>
      <c r="EI131" s="530">
        <f>1843-EG131</f>
        <v>1697</v>
      </c>
      <c r="EJ131" s="2037">
        <f t="shared" si="5"/>
        <v>-4.8233314638250091E-2</v>
      </c>
    </row>
    <row r="132" spans="1:140" hidden="1" outlineLevel="2">
      <c r="A132" s="113" t="str">
        <f>+qtrSales!A120</f>
        <v>4Q</v>
      </c>
      <c r="B132" s="24" t="str">
        <f>+qtrSales!B120</f>
        <v>Jan</v>
      </c>
      <c r="C132" s="24"/>
      <c r="D132" s="24"/>
      <c r="E132" s="302">
        <v>1184.8</v>
      </c>
      <c r="F132" s="307"/>
      <c r="G132" s="1980">
        <f>+(E132/E125-1)*100</f>
        <v>-8.5899098629234398</v>
      </c>
      <c r="H132" s="1981">
        <f>+E132/$BI132*100</f>
        <v>39.611335501793171</v>
      </c>
      <c r="I132" s="1981"/>
      <c r="J132" s="1981"/>
      <c r="K132" s="302">
        <v>449.2</v>
      </c>
      <c r="L132" s="1980">
        <f>+(K132/K125-1)*100</f>
        <v>4.2953331785465565</v>
      </c>
      <c r="M132" s="1981">
        <f>+K132/BI132*100</f>
        <v>15.018072170328741</v>
      </c>
      <c r="N132" s="418">
        <v>133.6</v>
      </c>
      <c r="O132" s="1980">
        <f>+(N132/N125-1)*100</f>
        <v>-19.469559975889094</v>
      </c>
      <c r="P132" s="1981">
        <f>+N132/BI132*100</f>
        <v>4.4666394522616208</v>
      </c>
      <c r="Q132" s="24"/>
      <c r="R132" s="306">
        <v>1767.6389999999999</v>
      </c>
      <c r="S132" s="1980">
        <f>+(R132/R125-1)*100</f>
        <v>-6.6087290064478559</v>
      </c>
      <c r="T132" s="1980"/>
      <c r="U132" s="1981">
        <f>+R132/$BI132*100</f>
        <v>59.097351008654776</v>
      </c>
      <c r="V132" s="24"/>
      <c r="W132" s="302">
        <v>997.25099999999998</v>
      </c>
      <c r="X132" s="307"/>
      <c r="Y132" s="307"/>
      <c r="Z132" s="307"/>
      <c r="AA132" s="307"/>
      <c r="AB132" s="307"/>
      <c r="AC132" s="1980">
        <f>+(W132/W125-1)*100</f>
        <v>-7.6781862450124638</v>
      </c>
      <c r="AD132" s="1981">
        <f>+W132/$BI132*100</f>
        <v>33.341022907240671</v>
      </c>
      <c r="AE132" s="1981"/>
      <c r="AF132" s="1981"/>
      <c r="AG132" s="1981"/>
      <c r="AH132" s="1981"/>
      <c r="AI132" s="24"/>
      <c r="AJ132" s="24"/>
      <c r="AK132" s="388"/>
      <c r="AL132" s="2052">
        <f>segqtrSales!S702</f>
        <v>538.6</v>
      </c>
      <c r="AM132" s="2052"/>
      <c r="AN132" s="2052"/>
      <c r="AO132" s="2052">
        <f>segqtrSales!S801</f>
        <v>174.7</v>
      </c>
      <c r="AP132" s="2082">
        <f>+AL132+AO132</f>
        <v>713.3</v>
      </c>
      <c r="AQ132" s="2075">
        <f>+(AP132/AP97-1)*100</f>
        <v>-2.1028577837367557E-3</v>
      </c>
      <c r="AR132" s="2076">
        <f>+AP132/$BI132*100</f>
        <v>23.847708991753098</v>
      </c>
      <c r="AS132" s="24"/>
      <c r="AT132" s="388"/>
      <c r="AU132" s="388"/>
      <c r="AV132" s="388"/>
      <c r="AW132" s="388"/>
      <c r="AX132" s="388"/>
      <c r="AY132" s="388"/>
      <c r="AZ132" s="388"/>
      <c r="BA132" s="388"/>
      <c r="BB132" s="388"/>
      <c r="BC132" s="302"/>
      <c r="BD132" s="1980"/>
      <c r="BE132" s="302">
        <v>226.21199999999999</v>
      </c>
      <c r="BF132" s="1980">
        <f>+(BE132/BE125-1)*100</f>
        <v>-25.408303574078296</v>
      </c>
      <c r="BG132" s="1981">
        <f>+BE132/$BI132*100</f>
        <v>7.5629299683757907</v>
      </c>
      <c r="BH132" s="24"/>
      <c r="BI132" s="1022">
        <f>+E132+K132+W132+BE132+N132</f>
        <v>2991.0630000000001</v>
      </c>
      <c r="BJ132" s="325"/>
      <c r="BK132" s="2889">
        <f>+(BI132/BI125-1)*100</f>
        <v>-8.7031170925775392</v>
      </c>
      <c r="BL132" s="1022">
        <f>+E132+K132+W132+AT132+AY132</f>
        <v>2631.2510000000002</v>
      </c>
      <c r="BM132" s="1980">
        <f>+(BL132/BL125-1)*100</f>
        <v>-6.2619989048911862</v>
      </c>
      <c r="BN132" s="1981">
        <f>+BL132/$BW132*100</f>
        <v>78.672772518643015</v>
      </c>
      <c r="BO132" s="1022">
        <f>+AL132+AM132+AN132+AO132+AU132</f>
        <v>713.3</v>
      </c>
      <c r="BP132" s="1980">
        <f>+(BO132/BO125-1)*100</f>
        <v>-4.7267649752218084</v>
      </c>
      <c r="BQ132" s="1981">
        <f>+BO132/$BW132*100</f>
        <v>21.327227481356985</v>
      </c>
      <c r="BR132" s="24"/>
      <c r="BS132" s="1022">
        <f>+AK132+AV132+AW132+AX132</f>
        <v>0</v>
      </c>
      <c r="BT132" s="1980"/>
      <c r="BU132" s="1981">
        <f>+BS132/$BW132*100</f>
        <v>0</v>
      </c>
      <c r="BV132" s="24"/>
      <c r="BW132" s="1022">
        <f>+BL132+BO132+BS132</f>
        <v>3344.5510000000004</v>
      </c>
      <c r="BX132" s="1980">
        <f>+(BW132/BW125-1)*100</f>
        <v>-5.93874123688426</v>
      </c>
      <c r="BY132" s="24"/>
      <c r="BZ132" s="306"/>
      <c r="CA132" s="1980"/>
      <c r="CB132" s="1981"/>
      <c r="CC132" s="306"/>
      <c r="CD132" s="1980"/>
      <c r="CE132" s="1981"/>
      <c r="CF132" s="24"/>
      <c r="CG132" s="306"/>
      <c r="CH132" s="1980"/>
      <c r="CI132" s="1981"/>
      <c r="CJ132" s="24"/>
      <c r="CK132" s="306"/>
      <c r="CL132" s="1980"/>
      <c r="CM132" s="1981"/>
      <c r="CN132" s="24"/>
      <c r="CO132" s="67"/>
      <c r="CP132" s="1980"/>
      <c r="CQ132" s="1981"/>
      <c r="CR132" s="1981"/>
      <c r="CS132" s="24"/>
      <c r="CT132" s="306">
        <v>213.411</v>
      </c>
      <c r="CU132" s="1980">
        <f>+(CT132/CT125-1)*100</f>
        <v>-31.202127659574465</v>
      </c>
      <c r="CV132" s="1981">
        <f>+CT132/R132*100</f>
        <v>12.073223095892319</v>
      </c>
      <c r="CW132" s="321"/>
      <c r="CX132" s="321"/>
      <c r="CY132" s="321"/>
      <c r="CZ132" s="24"/>
      <c r="DA132" s="2010">
        <v>209.42</v>
      </c>
      <c r="DB132" s="1980">
        <f>+(DA132/DA125-1)*100</f>
        <v>-29.07796614761482</v>
      </c>
      <c r="DC132" s="1981">
        <f>+DA132/W132*100</f>
        <v>20.999728252967405</v>
      </c>
      <c r="DD132" s="1981"/>
      <c r="DE132" s="1981"/>
      <c r="DF132" s="1981"/>
      <c r="DG132" s="1981"/>
      <c r="DH132" s="2083">
        <f>+DJ132/100*AP132</f>
        <v>71.33</v>
      </c>
      <c r="DI132" s="2078">
        <f>+(DH132/DH97-1)*100</f>
        <v>870.87246495168085</v>
      </c>
      <c r="DJ132" s="2076">
        <v>10</v>
      </c>
      <c r="DK132" s="24"/>
      <c r="DL132" s="2084"/>
      <c r="DM132" s="1980"/>
      <c r="DN132" s="1981"/>
      <c r="DO132" s="24"/>
      <c r="DP132" s="2084"/>
      <c r="DQ132" s="1980"/>
      <c r="DR132" s="1981"/>
      <c r="DS132" s="24"/>
      <c r="DT132" s="2084">
        <v>-32.097000000000001</v>
      </c>
      <c r="DU132" s="1980">
        <f>+(DT132/DT125-1)*100</f>
        <v>0.67751952573633645</v>
      </c>
      <c r="DV132" s="1981">
        <f>+DT132/BE132*100</f>
        <v>-14.188902445493609</v>
      </c>
      <c r="DW132" s="24"/>
      <c r="DX132" s="1022">
        <f>'qtrP&amp;L'!CD63</f>
        <v>390.7349999999999</v>
      </c>
      <c r="DY132" s="1980">
        <f>+(DX132/DX125-1)*100</f>
        <v>-31.881061423587941</v>
      </c>
      <c r="DZ132" s="1981">
        <f>(+DX132/BI132)*100</f>
        <v>13.063415916013801</v>
      </c>
      <c r="EA132" s="2005" t="str">
        <f>IF(ROUND(EB132,1)=ROUND(DX132,1)," ","no")</f>
        <v xml:space="preserve"> </v>
      </c>
      <c r="EB132" s="91">
        <f>DT132+DA132+CT132</f>
        <v>390.73399999999998</v>
      </c>
      <c r="EC132" s="24"/>
      <c r="ED132" s="24"/>
      <c r="EE132" s="24"/>
      <c r="EG132" s="1419">
        <f>EG133-SUM(EG129:EG131)</f>
        <v>178</v>
      </c>
      <c r="EH132" s="2037">
        <f t="shared" si="5"/>
        <v>-0.12745098039215685</v>
      </c>
      <c r="EI132" s="1419">
        <f>EI133-SUM(EI129:EI131)</f>
        <v>2813</v>
      </c>
      <c r="EJ132" s="2037">
        <f t="shared" si="5"/>
        <v>-8.430989583333337E-2</v>
      </c>
    </row>
    <row r="133" spans="1:140" hidden="1" outlineLevel="2">
      <c r="A133" s="113"/>
      <c r="B133" s="24" t="str">
        <f>+qtrSales!B121</f>
        <v>Year</v>
      </c>
      <c r="C133" s="24"/>
      <c r="D133" s="24"/>
      <c r="E133" s="266">
        <f>+SUM(E129:E132)</f>
        <v>3589.7</v>
      </c>
      <c r="F133" s="266"/>
      <c r="G133" s="1980">
        <f>+(E133/E126-1)*100</f>
        <v>-3.5710438595006666</v>
      </c>
      <c r="H133" s="1981">
        <f>+E133/$BI133*100</f>
        <v>39.697499677914678</v>
      </c>
      <c r="I133" s="1981"/>
      <c r="J133" s="1981"/>
      <c r="K133" s="266">
        <f>+SUM(K129:K132)</f>
        <v>1522.8</v>
      </c>
      <c r="L133" s="1980">
        <f>+(K133/K126-1)*100</f>
        <v>9.0518476081351995</v>
      </c>
      <c r="M133" s="1981">
        <f>+K133/$BI133*100</f>
        <v>16.840224116090056</v>
      </c>
      <c r="N133" s="2027">
        <f>+SUM(N129:N132)</f>
        <v>491.5</v>
      </c>
      <c r="O133" s="2022">
        <f>+(N133/N126-1)*100</f>
        <v>0.71721311475410054</v>
      </c>
      <c r="P133" s="1981">
        <f>+N133/$BI133*100</f>
        <v>5.4353625906607972</v>
      </c>
      <c r="Q133" s="24"/>
      <c r="R133" s="266">
        <f>+SUM(R129:R132)</f>
        <v>5604.0470000000005</v>
      </c>
      <c r="S133" s="1980">
        <f>+(R133/R126-1)*100</f>
        <v>-5.2541531619532122E-2</v>
      </c>
      <c r="T133" s="1980"/>
      <c r="U133" s="1981">
        <f>+R133/$BI133*100</f>
        <v>61.973606144669112</v>
      </c>
      <c r="V133" s="24"/>
      <c r="W133" s="266">
        <f>+SUM(W129:W132)</f>
        <v>2373.6109999999999</v>
      </c>
      <c r="X133" s="266"/>
      <c r="Y133" s="266"/>
      <c r="Z133" s="266"/>
      <c r="AA133" s="266"/>
      <c r="AB133" s="266"/>
      <c r="AC133" s="1980">
        <f>+(W133/W126-1)*100</f>
        <v>-4.8296636897339651</v>
      </c>
      <c r="AD133" s="1981">
        <f>+W133/$BI133*100</f>
        <v>26.249107699249162</v>
      </c>
      <c r="AE133" s="1981"/>
      <c r="AF133" s="1981"/>
      <c r="AG133" s="1981"/>
      <c r="AH133" s="1981"/>
      <c r="AI133" s="24"/>
      <c r="AJ133" s="24"/>
      <c r="AK133" s="388"/>
      <c r="AL133" s="2050">
        <f>+SUM(AL129:AL132)</f>
        <v>1376.3490000000002</v>
      </c>
      <c r="AM133" s="2046"/>
      <c r="AN133" s="2046"/>
      <c r="AO133" s="2050">
        <f>+SUM(AO129:AO132)</f>
        <v>520.09999999999991</v>
      </c>
      <c r="AP133" s="2085">
        <f>+SUM(AP129:AP132)</f>
        <v>2167.2919999999999</v>
      </c>
      <c r="AQ133" s="2075">
        <f>+(AP133/AP98-1)*100</f>
        <v>-12.968409419830085</v>
      </c>
      <c r="AR133" s="2076">
        <f>+AP133/$BI133*100</f>
        <v>23.967482929477963</v>
      </c>
      <c r="AS133" s="24"/>
      <c r="AT133" s="388"/>
      <c r="AU133" s="388"/>
      <c r="AV133" s="388"/>
      <c r="AW133" s="388"/>
      <c r="AX133" s="388"/>
      <c r="AY133" s="388"/>
      <c r="AZ133" s="388"/>
      <c r="BA133" s="388"/>
      <c r="BB133" s="388"/>
      <c r="BC133" s="266"/>
      <c r="BD133" s="1980"/>
      <c r="BE133" s="266">
        <f>+SUM(BE129:BE132)</f>
        <v>1065.0239999999999</v>
      </c>
      <c r="BF133" s="1980">
        <f>+(BE133/BE126-1)*100</f>
        <v>-8.4718757170615948</v>
      </c>
      <c r="BG133" s="1981">
        <f>+BE133/$BI133*100</f>
        <v>11.777805916085299</v>
      </c>
      <c r="BH133" s="24"/>
      <c r="BI133" s="266">
        <f>+E133+K133+W133+BE133+N133</f>
        <v>9042.6350000000002</v>
      </c>
      <c r="BJ133" s="266"/>
      <c r="BK133" s="2889">
        <f>+(BI133/BI126-1)*100</f>
        <v>-10.771374759466202</v>
      </c>
      <c r="BL133" s="266">
        <f>+E133+K133+W133+AT133+AY133</f>
        <v>7486.1109999999999</v>
      </c>
      <c r="BM133" s="1980">
        <f>+(BL133/BL126-1)*100</f>
        <v>-1.6680714814971132</v>
      </c>
      <c r="BN133" s="1981">
        <f>+BL133/$BW133*100</f>
        <v>79.787510018587682</v>
      </c>
      <c r="BO133" s="266">
        <f>+AL133+AM133+AN133+AO133+AU133</f>
        <v>1896.4490000000001</v>
      </c>
      <c r="BP133" s="1980">
        <f>+(BO133/BO126-1)*100</f>
        <v>-12.003272256351384</v>
      </c>
      <c r="BQ133" s="1981">
        <f>+BO133/$BW133*100</f>
        <v>20.212489981412325</v>
      </c>
      <c r="BR133" s="24"/>
      <c r="BS133" s="266">
        <f>+AK133+AV133+AW133+AX133</f>
        <v>0</v>
      </c>
      <c r="BT133" s="1980"/>
      <c r="BU133" s="1981">
        <f>+BS133/$BW133*100</f>
        <v>0</v>
      </c>
      <c r="BV133" s="24"/>
      <c r="BW133" s="266">
        <f>+BL133+BO133+BS133</f>
        <v>9382.56</v>
      </c>
      <c r="BX133" s="1980">
        <f>+(BW133/BW126-1)*100</f>
        <v>-3.9482943350671595</v>
      </c>
      <c r="BY133" s="24"/>
      <c r="BZ133" s="389"/>
      <c r="CA133" s="1980"/>
      <c r="CB133" s="1981"/>
      <c r="CC133" s="389"/>
      <c r="CD133" s="1980"/>
      <c r="CE133" s="1981"/>
      <c r="CF133" s="24"/>
      <c r="CG133" s="389"/>
      <c r="CH133" s="1980"/>
      <c r="CI133" s="1981"/>
      <c r="CJ133" s="24"/>
      <c r="CK133" s="389"/>
      <c r="CL133" s="1980"/>
      <c r="CM133" s="1981"/>
      <c r="CN133" s="24"/>
      <c r="CO133" s="24"/>
      <c r="CP133" s="1980"/>
      <c r="CQ133" s="1981"/>
      <c r="CR133" s="1981"/>
      <c r="CS133" s="24"/>
      <c r="CT133" s="266">
        <f>+SUM(CT129:CT132)</f>
        <v>619.81600000000003</v>
      </c>
      <c r="CU133" s="1980">
        <f>+(CT133/CT126-1)*100</f>
        <v>-7.5803618557408132</v>
      </c>
      <c r="CV133" s="1981">
        <f>+CT133/R133*100</f>
        <v>11.060149923796143</v>
      </c>
      <c r="CW133" s="266"/>
      <c r="CX133" s="266"/>
      <c r="CY133" s="266"/>
      <c r="CZ133" s="24"/>
      <c r="DA133" s="266">
        <f>+SUM(DA129:DA132)</f>
        <v>215.49599999999998</v>
      </c>
      <c r="DB133" s="1980">
        <f>+(DA133/DA126-1)*100</f>
        <v>-28.453708191953464</v>
      </c>
      <c r="DC133" s="1981">
        <f>+DA133/W133*100</f>
        <v>9.0788254688742178</v>
      </c>
      <c r="DD133" s="1981"/>
      <c r="DE133" s="1981"/>
      <c r="DF133" s="1981"/>
      <c r="DG133" s="1981"/>
      <c r="DH133" s="2086">
        <f>+SUM(DH129:DH132)</f>
        <v>129.76299699999998</v>
      </c>
      <c r="DI133" s="2078">
        <f>+(DH133/DH98-1)*100</f>
        <v>710.71471323253752</v>
      </c>
      <c r="DJ133" s="2076">
        <f>+DH133/AP133*100</f>
        <v>5.9873333634784789</v>
      </c>
      <c r="DK133" s="24"/>
      <c r="DL133" s="91"/>
      <c r="DM133" s="1980"/>
      <c r="DN133" s="1981"/>
      <c r="DO133" s="24"/>
      <c r="DP133" s="91"/>
      <c r="DQ133" s="1980"/>
      <c r="DR133" s="1981"/>
      <c r="DS133" s="24"/>
      <c r="DT133" s="91">
        <f>+SUM(DT129:DT132)</f>
        <v>-117.76900000000001</v>
      </c>
      <c r="DU133" s="1980">
        <f>+(DT133/DT126-1)*100</f>
        <v>-9.514955475478871</v>
      </c>
      <c r="DV133" s="1981">
        <f>+DT133/BE133*100</f>
        <v>-11.057872874226311</v>
      </c>
      <c r="DW133" s="24"/>
      <c r="DX133" s="266">
        <f>+SUM(DX129:DX132)</f>
        <v>717.4689999999996</v>
      </c>
      <c r="DY133" s="1980">
        <f>+(DX133/DX126-1)*100</f>
        <v>-16.674622116149617</v>
      </c>
      <c r="DZ133" s="1981">
        <f>(+DX133/BI133)*100</f>
        <v>7.93429127682362</v>
      </c>
      <c r="EA133" s="1981"/>
      <c r="EB133" s="24"/>
      <c r="EC133" s="24"/>
      <c r="ED133" s="24"/>
      <c r="EE133" s="24"/>
      <c r="EG133" s="1982">
        <v>655</v>
      </c>
      <c r="EH133" s="2037">
        <f t="shared" si="5"/>
        <v>7.2013093289688968E-2</v>
      </c>
      <c r="EI133" s="381">
        <f>9043-EG133</f>
        <v>8388</v>
      </c>
      <c r="EJ133" s="2037">
        <f t="shared" si="5"/>
        <v>-0.11918513073611259</v>
      </c>
    </row>
    <row r="134" spans="1:140" hidden="1" outlineLevel="2">
      <c r="A134" s="113"/>
      <c r="B134" s="24"/>
      <c r="C134" s="24"/>
      <c r="D134" s="24"/>
      <c r="E134" s="266"/>
      <c r="F134" s="266"/>
      <c r="G134" s="1980"/>
      <c r="H134" s="1981"/>
      <c r="I134" s="1981"/>
      <c r="J134" s="1981"/>
      <c r="K134" s="2012"/>
      <c r="L134" s="2049"/>
      <c r="M134" s="1981"/>
      <c r="N134" s="2027"/>
      <c r="O134" s="2022"/>
      <c r="P134" s="1981"/>
      <c r="Q134" s="24"/>
      <c r="R134" s="266"/>
      <c r="S134" s="1980"/>
      <c r="T134" s="1980"/>
      <c r="U134" s="1981"/>
      <c r="V134" s="24"/>
      <c r="W134" s="266"/>
      <c r="X134" s="266"/>
      <c r="Y134" s="266"/>
      <c r="Z134" s="266"/>
      <c r="AA134" s="266"/>
      <c r="AB134" s="266"/>
      <c r="AC134" s="1980"/>
      <c r="AD134" s="1981"/>
      <c r="AE134" s="1981"/>
      <c r="AF134" s="1981"/>
      <c r="AG134" s="1981"/>
      <c r="AH134" s="1981"/>
      <c r="AI134" s="24"/>
      <c r="AJ134" s="24"/>
      <c r="AK134" s="388"/>
      <c r="AL134" s="2050"/>
      <c r="AM134" s="2046"/>
      <c r="AN134" s="2046"/>
      <c r="AO134" s="2050"/>
      <c r="AP134" s="2085"/>
      <c r="AQ134" s="2075"/>
      <c r="AR134" s="2076"/>
      <c r="AS134" s="24"/>
      <c r="AT134" s="388"/>
      <c r="AU134" s="388"/>
      <c r="AV134" s="388"/>
      <c r="AW134" s="388"/>
      <c r="AX134" s="388"/>
      <c r="AY134" s="388"/>
      <c r="AZ134" s="388"/>
      <c r="BA134" s="388"/>
      <c r="BB134" s="388"/>
      <c r="BC134" s="266"/>
      <c r="BD134" s="1980"/>
      <c r="BE134" s="266"/>
      <c r="BF134" s="1980"/>
      <c r="BG134" s="1981"/>
      <c r="BH134" s="24"/>
      <c r="BI134" s="266"/>
      <c r="BJ134" s="266"/>
      <c r="BK134" s="2889"/>
      <c r="BL134" s="266"/>
      <c r="BM134" s="1980"/>
      <c r="BN134" s="1981"/>
      <c r="BO134" s="266"/>
      <c r="BP134" s="1980"/>
      <c r="BQ134" s="1981"/>
      <c r="BR134" s="24"/>
      <c r="BS134" s="266"/>
      <c r="BT134" s="1980"/>
      <c r="BU134" s="1981"/>
      <c r="BV134" s="24"/>
      <c r="BW134" s="266"/>
      <c r="BX134" s="1980"/>
      <c r="BY134" s="24"/>
      <c r="BZ134" s="389"/>
      <c r="CA134" s="1980"/>
      <c r="CB134" s="1981"/>
      <c r="CC134" s="389"/>
      <c r="CD134" s="1980"/>
      <c r="CE134" s="1981"/>
      <c r="CF134" s="24"/>
      <c r="CG134" s="389"/>
      <c r="CH134" s="1980"/>
      <c r="CI134" s="1981"/>
      <c r="CJ134" s="24"/>
      <c r="CK134" s="389"/>
      <c r="CL134" s="1980"/>
      <c r="CM134" s="1981"/>
      <c r="CN134" s="24"/>
      <c r="CO134" s="24"/>
      <c r="CP134" s="1980"/>
      <c r="CQ134" s="1981"/>
      <c r="CR134" s="1981"/>
      <c r="CS134" s="24"/>
      <c r="CT134" s="428"/>
      <c r="CU134" s="1980"/>
      <c r="CV134" s="1981"/>
      <c r="CW134" s="428"/>
      <c r="CX134" s="428"/>
      <c r="CY134" s="428"/>
      <c r="CZ134" s="24"/>
      <c r="DA134" s="428"/>
      <c r="DB134" s="1980"/>
      <c r="DC134" s="1981"/>
      <c r="DD134" s="1981"/>
      <c r="DE134" s="1981"/>
      <c r="DF134" s="1981"/>
      <c r="DG134" s="1981"/>
      <c r="DH134" s="2086"/>
      <c r="DI134" s="2078"/>
      <c r="DJ134" s="2076"/>
      <c r="DK134" s="24"/>
      <c r="DL134" s="266"/>
      <c r="DM134" s="1980"/>
      <c r="DN134" s="1981"/>
      <c r="DO134" s="24"/>
      <c r="DP134" s="266"/>
      <c r="DQ134" s="1980"/>
      <c r="DR134" s="1981"/>
      <c r="DS134" s="24"/>
      <c r="DT134" s="266"/>
      <c r="DU134" s="1980"/>
      <c r="DV134" s="1981"/>
      <c r="DW134" s="24"/>
      <c r="DX134" s="266"/>
      <c r="DY134" s="1980"/>
      <c r="DZ134" s="1981"/>
      <c r="EA134" s="1981"/>
      <c r="EB134" s="24"/>
      <c r="EC134" s="24"/>
      <c r="ED134" s="24"/>
      <c r="EE134" s="24"/>
      <c r="EG134" s="266"/>
      <c r="EH134" s="1980"/>
      <c r="EI134" s="266"/>
      <c r="EJ134" s="1980"/>
    </row>
    <row r="135" spans="1:140" hidden="1" outlineLevel="2">
      <c r="A135" s="113"/>
      <c r="B135" s="136" t="str">
        <f>qtrSales!B151</f>
        <v>2009A</v>
      </c>
      <c r="C135" s="24"/>
      <c r="D135" s="24"/>
      <c r="E135" s="428"/>
      <c r="F135" s="428"/>
      <c r="G135" s="1980"/>
      <c r="H135" s="1981"/>
      <c r="I135" s="1981"/>
      <c r="J135" s="1981"/>
      <c r="K135" s="24"/>
      <c r="L135" s="2087"/>
      <c r="M135" s="1981"/>
      <c r="N135" s="428"/>
      <c r="O135" s="1981"/>
      <c r="P135" s="1981"/>
      <c r="Q135" s="24"/>
      <c r="R135" s="428"/>
      <c r="S135" s="1980"/>
      <c r="T135" s="1980"/>
      <c r="U135" s="1981"/>
      <c r="V135" s="428"/>
      <c r="W135" s="428"/>
      <c r="X135" s="428"/>
      <c r="Y135" s="428"/>
      <c r="Z135" s="428"/>
      <c r="AA135" s="428"/>
      <c r="AB135" s="428"/>
      <c r="AC135" s="1980"/>
      <c r="AD135" s="1981"/>
      <c r="AE135" s="1981"/>
      <c r="AF135" s="1981"/>
      <c r="AG135" s="1981"/>
      <c r="AH135" s="1981"/>
      <c r="AI135" s="24"/>
      <c r="AJ135" s="399"/>
      <c r="AK135" s="24"/>
      <c r="AL135" s="2088"/>
      <c r="AM135" s="2089"/>
      <c r="AN135" s="2089"/>
      <c r="AO135" s="2088"/>
      <c r="AP135" s="2090"/>
      <c r="AQ135" s="2075"/>
      <c r="AR135" s="2076"/>
      <c r="AS135" s="24"/>
      <c r="AT135" s="24"/>
      <c r="AU135" s="24"/>
      <c r="AV135" s="24"/>
      <c r="AW135" s="24"/>
      <c r="AX135" s="24"/>
      <c r="AY135" s="24"/>
      <c r="AZ135" s="24"/>
      <c r="BA135" s="24"/>
      <c r="BB135" s="24"/>
      <c r="BC135" s="381"/>
      <c r="BD135" s="2070"/>
      <c r="BE135" s="381"/>
      <c r="BF135" s="2070"/>
      <c r="BG135" s="1981"/>
      <c r="BH135" s="24"/>
      <c r="BI135" s="24"/>
      <c r="BJ135" s="24"/>
      <c r="BK135" s="2889"/>
      <c r="BL135" s="389"/>
      <c r="BM135" s="1988"/>
      <c r="BN135" s="1989"/>
      <c r="BO135" s="389"/>
      <c r="BP135" s="389"/>
      <c r="BQ135" s="389"/>
      <c r="BR135" s="389"/>
      <c r="BS135" s="389"/>
      <c r="BT135" s="389"/>
      <c r="BU135" s="389"/>
      <c r="BV135" s="389"/>
      <c r="BW135" s="266"/>
      <c r="BX135" s="24"/>
      <c r="BY135" s="24"/>
      <c r="BZ135" s="389"/>
      <c r="CA135" s="1988"/>
      <c r="CB135" s="1989"/>
      <c r="CC135" s="389"/>
      <c r="CD135" s="389"/>
      <c r="CE135" s="389"/>
      <c r="CF135" s="389"/>
      <c r="CG135" s="389"/>
      <c r="CH135" s="389"/>
      <c r="CI135" s="389"/>
      <c r="CJ135" s="389"/>
      <c r="CK135" s="389"/>
      <c r="CL135" s="389"/>
      <c r="CM135" s="389"/>
      <c r="CN135" s="389"/>
      <c r="CO135" s="266"/>
      <c r="CP135" s="24"/>
      <c r="CQ135" s="24"/>
      <c r="CR135" s="24"/>
      <c r="CS135" s="24"/>
      <c r="CT135" s="164"/>
      <c r="CU135" s="24"/>
      <c r="CV135" s="2071"/>
      <c r="CW135" s="164"/>
      <c r="CX135" s="164"/>
      <c r="CY135" s="164"/>
      <c r="CZ135" s="24"/>
      <c r="DA135" s="24"/>
      <c r="DB135" s="24"/>
      <c r="DC135" s="24"/>
      <c r="DD135" s="24"/>
      <c r="DE135" s="24"/>
      <c r="DF135" s="24"/>
      <c r="DG135" s="24"/>
      <c r="DH135" s="2091"/>
      <c r="DI135" s="2092"/>
      <c r="DJ135" s="2093"/>
      <c r="DK135" s="24"/>
      <c r="DL135" s="24"/>
      <c r="DM135" s="24"/>
      <c r="DN135" s="24"/>
      <c r="DO135" s="24"/>
      <c r="DP135" s="24"/>
      <c r="DQ135" s="24"/>
      <c r="DR135" s="24"/>
      <c r="DS135" s="24"/>
      <c r="DT135" s="24"/>
      <c r="DU135" s="24"/>
      <c r="DV135" s="24"/>
      <c r="DW135" s="24"/>
      <c r="DX135" s="266"/>
      <c r="DY135" s="24"/>
      <c r="DZ135" s="1981"/>
      <c r="EA135" s="24"/>
      <c r="EB135" s="24"/>
      <c r="EC135" s="24"/>
      <c r="ED135" s="24"/>
      <c r="EE135" s="24"/>
      <c r="EG135" s="24"/>
      <c r="EH135" s="24"/>
      <c r="EI135" s="24"/>
      <c r="EJ135" s="24"/>
    </row>
    <row r="136" spans="1:140" hidden="1" outlineLevel="2">
      <c r="A136" s="113" t="str">
        <f>qtrSales!A124</f>
        <v>1Q</v>
      </c>
      <c r="B136" s="24" t="str">
        <f>qtrSales!B124</f>
        <v>Apr</v>
      </c>
      <c r="C136" s="24"/>
      <c r="D136" s="24"/>
      <c r="E136" s="1982">
        <v>726.8</v>
      </c>
      <c r="F136" s="1982"/>
      <c r="G136" s="1980">
        <f>+(E136/E129-1)*100</f>
        <v>-4.4564217168397651</v>
      </c>
      <c r="H136" s="1981">
        <f>+E136/$BI136*100</f>
        <v>42.127667467331932</v>
      </c>
      <c r="I136" s="1981"/>
      <c r="J136" s="1981"/>
      <c r="K136" s="1982">
        <v>317.39999999999998</v>
      </c>
      <c r="L136" s="1980">
        <f>+(K136/K129-1)*100</f>
        <v>-16.671042268311897</v>
      </c>
      <c r="M136" s="1981">
        <f>+K136/BI136*100</f>
        <v>18.39752566611331</v>
      </c>
      <c r="N136" s="2041">
        <v>81</v>
      </c>
      <c r="O136" s="1980">
        <f>+(N136/N129-1)*100</f>
        <v>-27.743086529884032</v>
      </c>
      <c r="P136" s="1981">
        <f>+N136/BI136*100</f>
        <v>4.6950207276470648</v>
      </c>
      <c r="Q136" s="24"/>
      <c r="R136" s="1982">
        <v>1125.2059999999999</v>
      </c>
      <c r="S136" s="1980">
        <f>+(R136/R129-1)*100</f>
        <v>-10.249468774128513</v>
      </c>
      <c r="T136" s="1980"/>
      <c r="U136" s="1981">
        <f>+R136/$BI136*100</f>
        <v>65.220561640405464</v>
      </c>
      <c r="V136" s="24"/>
      <c r="W136" s="1982">
        <v>402.47</v>
      </c>
      <c r="X136" s="1982"/>
      <c r="Y136" s="1982"/>
      <c r="Z136" s="1982"/>
      <c r="AA136" s="1982"/>
      <c r="AB136" s="1982"/>
      <c r="AC136" s="1980">
        <f>+(W136/W129-1)*100</f>
        <v>0.86461831487145702</v>
      </c>
      <c r="AD136" s="1981">
        <f>+W136/$BI136*100</f>
        <v>23.328456694519929</v>
      </c>
      <c r="AE136" s="1981"/>
      <c r="AF136" s="1981"/>
      <c r="AG136" s="1981"/>
      <c r="AH136" s="1981"/>
      <c r="AI136" s="24"/>
      <c r="AJ136" s="24"/>
      <c r="AK136" s="2011">
        <f>0.75*2.1</f>
        <v>1.5750000000000002</v>
      </c>
      <c r="AL136" s="2094">
        <v>388.2</v>
      </c>
      <c r="AM136" s="2094"/>
      <c r="AN136" s="2094"/>
      <c r="AO136" s="2094">
        <v>111</v>
      </c>
      <c r="AP136" s="2074">
        <v>499.22500000000002</v>
      </c>
      <c r="AQ136" s="2075">
        <f>+(AP136/AP129-1)*100</f>
        <v>0</v>
      </c>
      <c r="AR136" s="2076">
        <f>+AP136/$BI136*100</f>
        <v>28.936687935303773</v>
      </c>
      <c r="AS136" s="24"/>
      <c r="AT136" s="1982"/>
      <c r="AU136" s="1982"/>
      <c r="AV136" s="1982"/>
      <c r="AW136" s="1982"/>
      <c r="AX136" s="1982"/>
      <c r="AY136" s="1982"/>
      <c r="AZ136" s="1982"/>
      <c r="BA136" s="1982"/>
      <c r="BB136" s="1982"/>
      <c r="BC136" s="1982"/>
      <c r="BD136" s="1980"/>
      <c r="BE136" s="1982">
        <v>197.56200000000001</v>
      </c>
      <c r="BF136" s="1980">
        <f>+(BE136/BE129-1)*100</f>
        <v>-27.46211773517846</v>
      </c>
      <c r="BG136" s="1981">
        <f>+BE136/$BI136*100</f>
        <v>11.45132944438777</v>
      </c>
      <c r="BH136" s="24"/>
      <c r="BI136" s="381">
        <f>+E136+K136+W136+BE136+N136</f>
        <v>1725.232</v>
      </c>
      <c r="BJ136" s="381"/>
      <c r="BK136" s="2889">
        <f>+(BI136/BI129-1)*100</f>
        <v>-10.3811431958306</v>
      </c>
      <c r="BL136" s="381">
        <f>+E136+K136+W136+AT136+AY136</f>
        <v>1446.6699999999998</v>
      </c>
      <c r="BM136" s="1980">
        <f>+(BL136/BL94-1)*100</f>
        <v>15.658560725801074</v>
      </c>
      <c r="BN136" s="1981">
        <f>+BL136/$BW136*100</f>
        <v>74.285538230861462</v>
      </c>
      <c r="BO136" s="381">
        <f>+AL136+AM136+AN136+AO136+AU136</f>
        <v>499.2</v>
      </c>
      <c r="BP136" s="1980">
        <f>+(BO136/BO94-1)*100</f>
        <v>-16.786131021836969</v>
      </c>
      <c r="BQ136" s="1981">
        <f>+BO136/$BW136*100</f>
        <v>25.633586571122674</v>
      </c>
      <c r="BR136" s="389"/>
      <c r="BS136" s="381">
        <f>+AK136+AV136+AW136+AX136</f>
        <v>1.5750000000000002</v>
      </c>
      <c r="BT136" s="1980"/>
      <c r="BU136" s="1981">
        <f>+BS136/$BW136*100</f>
        <v>8.0875198015861821E-2</v>
      </c>
      <c r="BV136" s="389"/>
      <c r="BW136" s="381">
        <f>+BL136+BO136+BS136</f>
        <v>1947.4449999999999</v>
      </c>
      <c r="BX136" s="1980">
        <f>+(BW136/BW94-1)*100</f>
        <v>5.1373815922594934</v>
      </c>
      <c r="BY136" s="24"/>
      <c r="BZ136" s="390"/>
      <c r="CA136" s="1980"/>
      <c r="CB136" s="1981"/>
      <c r="CC136" s="390"/>
      <c r="CD136" s="1980"/>
      <c r="CE136" s="1981"/>
      <c r="CF136" s="389"/>
      <c r="CG136" s="390"/>
      <c r="CH136" s="1980"/>
      <c r="CI136" s="1981"/>
      <c r="CJ136" s="24"/>
      <c r="CK136" s="390"/>
      <c r="CL136" s="1980"/>
      <c r="CM136" s="1981"/>
      <c r="CN136" s="24"/>
      <c r="CO136" s="165"/>
      <c r="CP136" s="1980"/>
      <c r="CQ136" s="1981"/>
      <c r="CR136" s="1981"/>
      <c r="CS136" s="24"/>
      <c r="CT136" s="2023">
        <v>87.227999999999994</v>
      </c>
      <c r="CU136" s="2028">
        <f>+(CT136/CT129-1)*100</f>
        <v>-41.520122821955098</v>
      </c>
      <c r="CV136" s="1981">
        <f>+CT136/R136*100</f>
        <v>7.7521804896170128</v>
      </c>
      <c r="CW136" s="2023"/>
      <c r="CX136" s="2023"/>
      <c r="CY136" s="2023"/>
      <c r="CZ136" s="168"/>
      <c r="DA136" s="2023">
        <v>3.9550000000000001</v>
      </c>
      <c r="DB136" s="2028">
        <f>+(DA136/DA129-1)*100</f>
        <v>-170.85274095306343</v>
      </c>
      <c r="DC136" s="1981">
        <f>+DA136/W136*100</f>
        <v>0.98268193902651124</v>
      </c>
      <c r="DD136" s="1981"/>
      <c r="DE136" s="1981"/>
      <c r="DF136" s="1981"/>
      <c r="DG136" s="1981"/>
      <c r="DH136" s="2077">
        <f>+DJ136/100*AP136</f>
        <v>18.471325000000004</v>
      </c>
      <c r="DI136" s="2078">
        <f>+(DH136/DH129-1)*100</f>
        <v>0</v>
      </c>
      <c r="DJ136" s="2076">
        <v>3.7</v>
      </c>
      <c r="DK136" s="168"/>
      <c r="DL136" s="1691"/>
      <c r="DM136" s="2028"/>
      <c r="DN136" s="1981"/>
      <c r="DO136" s="168"/>
      <c r="DP136" s="1691"/>
      <c r="DQ136" s="2028"/>
      <c r="DR136" s="1981"/>
      <c r="DS136" s="168"/>
      <c r="DT136" s="1691">
        <v>-25.971</v>
      </c>
      <c r="DU136" s="2028">
        <f>+(DT136/DT129-1)*100</f>
        <v>-39.799726478292108</v>
      </c>
      <c r="DV136" s="1981">
        <f>+DT136/BE136*100</f>
        <v>-13.145746651684028</v>
      </c>
      <c r="DW136" s="168"/>
      <c r="DX136" s="2027">
        <f>'qtrP&amp;L'!CH60</f>
        <v>65.211999999999989</v>
      </c>
      <c r="DY136" s="2028">
        <f>+(DX136/DX129-1)*100</f>
        <v>-35.072382962623713</v>
      </c>
      <c r="DZ136" s="1981">
        <f>(+DX136/BI136)*100</f>
        <v>3.7798974282879052</v>
      </c>
      <c r="EA136" s="2005" t="str">
        <f>IF(ROUND(EB136,2)=ROUND(DX136,2)," ","no")</f>
        <v xml:space="preserve"> </v>
      </c>
      <c r="EB136" s="361">
        <f>DT136+DA136+CT136</f>
        <v>65.211999999999989</v>
      </c>
      <c r="EC136" s="24"/>
      <c r="ED136" s="24"/>
      <c r="EE136" s="24"/>
      <c r="EG136" s="2023">
        <v>113</v>
      </c>
      <c r="EH136" s="2037">
        <f>EG136/EG129-1</f>
        <v>-0.25657894736842102</v>
      </c>
      <c r="EI136" s="1691">
        <f>1725-EG136</f>
        <v>1612</v>
      </c>
      <c r="EJ136" s="2037">
        <f>EI136/EI129-1</f>
        <v>-9.0806542583192318E-2</v>
      </c>
    </row>
    <row r="137" spans="1:140" hidden="1" outlineLevel="2">
      <c r="A137" s="113" t="str">
        <f>qtrSales!A125</f>
        <v>2Q</v>
      </c>
      <c r="B137" s="24" t="str">
        <f>qtrSales!B125</f>
        <v>Jul</v>
      </c>
      <c r="C137" s="24"/>
      <c r="D137" s="24"/>
      <c r="E137" s="307">
        <v>837.7</v>
      </c>
      <c r="F137" s="307"/>
      <c r="G137" s="1980">
        <f>+(E137/E130-1)*100</f>
        <v>-8.2877162250930567</v>
      </c>
      <c r="H137" s="1981">
        <f>+E137/$BI137*100</f>
        <v>40.535041253610387</v>
      </c>
      <c r="I137" s="1981"/>
      <c r="J137" s="1981"/>
      <c r="K137" s="388">
        <v>359.4</v>
      </c>
      <c r="L137" s="1980">
        <f>+(K137/K130-1)*100</f>
        <v>-15.075614366729685</v>
      </c>
      <c r="M137" s="1981">
        <f>+K137/BI137*100</f>
        <v>17.390824670583228</v>
      </c>
      <c r="N137" s="2025">
        <v>109.1</v>
      </c>
      <c r="O137" s="1980">
        <f>+(N137/N130-1)*100</f>
        <v>-18.884758364312269</v>
      </c>
      <c r="P137" s="1981">
        <f>+N137/BI137*100</f>
        <v>5.2791846732349201</v>
      </c>
      <c r="Q137" s="24"/>
      <c r="R137" s="388">
        <v>1306.204</v>
      </c>
      <c r="S137" s="1980">
        <f>+(R137/R130-1)*100</f>
        <v>-11.209570466906261</v>
      </c>
      <c r="T137" s="1980"/>
      <c r="U137" s="1981">
        <f>+R137/$BI137*100</f>
        <v>63.205244151403726</v>
      </c>
      <c r="V137" s="24"/>
      <c r="W137" s="388">
        <v>533.54399999999998</v>
      </c>
      <c r="X137" s="388"/>
      <c r="Y137" s="388"/>
      <c r="Z137" s="388"/>
      <c r="AA137" s="388"/>
      <c r="AB137" s="388"/>
      <c r="AC137" s="1980">
        <f>+(W137/W130-1)*100</f>
        <v>-3.551227518985367</v>
      </c>
      <c r="AD137" s="1981">
        <f>+W137/$BI137*100</f>
        <v>25.817390534339619</v>
      </c>
      <c r="AE137" s="1981"/>
      <c r="AF137" s="1981"/>
      <c r="AG137" s="1981"/>
      <c r="AH137" s="1981"/>
      <c r="AI137" s="24"/>
      <c r="AJ137" s="24"/>
      <c r="AK137" s="388"/>
      <c r="AL137" s="2094">
        <v>270.8</v>
      </c>
      <c r="AM137" s="2094"/>
      <c r="AN137" s="2094"/>
      <c r="AO137" s="2094">
        <v>99.5</v>
      </c>
      <c r="AP137" s="2074">
        <v>370.31799999999998</v>
      </c>
      <c r="AQ137" s="2075">
        <f>+(AP137/AP130-1)*100</f>
        <v>0</v>
      </c>
      <c r="AR137" s="2076">
        <f>+AP137/$BI137*100</f>
        <v>17.919130245857097</v>
      </c>
      <c r="AS137" s="24"/>
      <c r="AT137" s="388"/>
      <c r="AU137" s="388"/>
      <c r="AV137" s="388"/>
      <c r="AW137" s="388"/>
      <c r="AX137" s="388"/>
      <c r="AY137" s="388"/>
      <c r="AZ137" s="388"/>
      <c r="BA137" s="388"/>
      <c r="BB137" s="388"/>
      <c r="BC137" s="388"/>
      <c r="BD137" s="2028"/>
      <c r="BE137" s="388">
        <v>226.863</v>
      </c>
      <c r="BF137" s="2028">
        <f>+(BE137/BE130-1)*100</f>
        <v>-12.750704761611741</v>
      </c>
      <c r="BG137" s="1981">
        <f>+BE137/$BI137*100</f>
        <v>10.97755886823184</v>
      </c>
      <c r="BH137" s="24"/>
      <c r="BI137" s="266">
        <f>+E137+K137+W137+BE137+N137</f>
        <v>2066.607</v>
      </c>
      <c r="BJ137" s="266"/>
      <c r="BK137" s="2889">
        <f>+(BI137/BI130-1)*100</f>
        <v>-9.5302030463519145</v>
      </c>
      <c r="BL137" s="266">
        <f>+E137+K137+W137+AT137+AY137</f>
        <v>1730.6439999999998</v>
      </c>
      <c r="BM137" s="1980">
        <f>+(BL137/BL95-1)*100</f>
        <v>15.881898015005458</v>
      </c>
      <c r="BN137" s="1981">
        <f>+BL137/$BW137*100</f>
        <v>82.374589708245423</v>
      </c>
      <c r="BO137" s="266">
        <f>+AL137+AM137+AN137+AO137+AU137</f>
        <v>370.3</v>
      </c>
      <c r="BP137" s="1980">
        <f>+(BO137/BO95-1)*100</f>
        <v>-37.491559756920999</v>
      </c>
      <c r="BQ137" s="1981">
        <f>+BO137/$BW137*100</f>
        <v>17.625410291754566</v>
      </c>
      <c r="BR137" s="389"/>
      <c r="BS137" s="266">
        <f>+AK137+AV137+AW137+AX137</f>
        <v>0</v>
      </c>
      <c r="BT137" s="1980"/>
      <c r="BU137" s="1981">
        <f>+BS137/$BW137*100</f>
        <v>0</v>
      </c>
      <c r="BV137" s="389"/>
      <c r="BW137" s="266">
        <f>+BL137+BO137+BS137</f>
        <v>2100.944</v>
      </c>
      <c r="BX137" s="1980">
        <f>+(BW137/BW95-1)*100</f>
        <v>0.72339640099623459</v>
      </c>
      <c r="BY137" s="24"/>
      <c r="BZ137" s="389"/>
      <c r="CA137" s="1980"/>
      <c r="CB137" s="1981"/>
      <c r="CC137" s="389"/>
      <c r="CD137" s="1980"/>
      <c r="CE137" s="1981"/>
      <c r="CF137" s="389"/>
      <c r="CG137" s="389"/>
      <c r="CH137" s="1980"/>
      <c r="CI137" s="1981"/>
      <c r="CJ137" s="389"/>
      <c r="CK137" s="389"/>
      <c r="CL137" s="1980"/>
      <c r="CM137" s="1981"/>
      <c r="CN137" s="389"/>
      <c r="CO137" s="266"/>
      <c r="CP137" s="1980"/>
      <c r="CQ137" s="1981"/>
      <c r="CR137" s="1981"/>
      <c r="CS137" s="24"/>
      <c r="CT137" s="1991">
        <v>126.366</v>
      </c>
      <c r="CU137" s="2028">
        <f>+(CT137/CT130-1)*100</f>
        <v>-30.707098401557321</v>
      </c>
      <c r="CV137" s="1981">
        <f>+CT137/R137*100</f>
        <v>9.6742928363410314</v>
      </c>
      <c r="CW137" s="1991"/>
      <c r="CX137" s="1991"/>
      <c r="CY137" s="1991"/>
      <c r="CZ137" s="168"/>
      <c r="DA137" s="2044">
        <v>44.177999999999997</v>
      </c>
      <c r="DB137" s="2028">
        <f>+(DA137/DA130-1)*100</f>
        <v>8.7351399246843329</v>
      </c>
      <c r="DC137" s="1981">
        <f>+DA137/W137*100</f>
        <v>8.2801043587782832</v>
      </c>
      <c r="DD137" s="1981"/>
      <c r="DE137" s="1981"/>
      <c r="DF137" s="1981"/>
      <c r="DG137" s="1981"/>
      <c r="DH137" s="2079">
        <f>+DJ137/100*AP137</f>
        <v>10.739221999999998</v>
      </c>
      <c r="DI137" s="2078">
        <f>+(DH137/DH130-1)*100</f>
        <v>0</v>
      </c>
      <c r="DJ137" s="2076">
        <v>2.9</v>
      </c>
      <c r="DK137" s="168"/>
      <c r="DL137" s="1417"/>
      <c r="DM137" s="2028"/>
      <c r="DN137" s="1981"/>
      <c r="DO137" s="168"/>
      <c r="DP137" s="1417"/>
      <c r="DQ137" s="2028"/>
      <c r="DR137" s="1981"/>
      <c r="DS137" s="168"/>
      <c r="DT137" s="1417">
        <v>-21.9</v>
      </c>
      <c r="DU137" s="2028">
        <f>+(DT137/DT130-1)*100</f>
        <v>-42.118617189977805</v>
      </c>
      <c r="DV137" s="1981">
        <f>+DT137/BE137*100</f>
        <v>-9.653403155208208</v>
      </c>
      <c r="DW137" s="168"/>
      <c r="DX137" s="2027">
        <f>'qtrP&amp;L'!CH61</f>
        <v>148.64300000000003</v>
      </c>
      <c r="DY137" s="2028">
        <f>+(DX137/DX130-1)*100</f>
        <v>-19.721428610005333</v>
      </c>
      <c r="DZ137" s="1981">
        <f>(+DX137/BI137)*100</f>
        <v>7.1926108834432494</v>
      </c>
      <c r="EA137" s="2005" t="str">
        <f>IF(ROUND(EB137,2)=ROUND(DX137,2)," ","no")</f>
        <v xml:space="preserve"> </v>
      </c>
      <c r="EB137" s="361">
        <f>DT137+DA137+CT137</f>
        <v>148.64400000000001</v>
      </c>
      <c r="EC137" s="24"/>
      <c r="ED137" s="24"/>
      <c r="EE137" s="24"/>
      <c r="EG137" s="2044">
        <v>155</v>
      </c>
      <c r="EH137" s="2037">
        <f>EG137/EG130-1</f>
        <v>-0.13407821229050276</v>
      </c>
      <c r="EI137" s="1417">
        <f>2067-EG137</f>
        <v>1912</v>
      </c>
      <c r="EJ137" s="2037">
        <f>EI137/EI130-1</f>
        <v>-9.16864608076009E-2</v>
      </c>
    </row>
    <row r="138" spans="1:140" hidden="1" outlineLevel="2">
      <c r="A138" s="113" t="str">
        <f>qtrSales!A126</f>
        <v>3Q</v>
      </c>
      <c r="B138" s="24" t="str">
        <f>qtrSales!B126</f>
        <v>Oct</v>
      </c>
      <c r="C138" s="24"/>
      <c r="D138" s="24"/>
      <c r="E138" s="307">
        <v>730.2</v>
      </c>
      <c r="F138" s="307"/>
      <c r="G138" s="1980">
        <f>+(E138/E131-1)*100</f>
        <v>-8.2101806239720521E-2</v>
      </c>
      <c r="H138" s="1981">
        <f>+E138/$BI138*100</f>
        <v>41.089276610399153</v>
      </c>
      <c r="I138" s="1981"/>
      <c r="J138" s="1981"/>
      <c r="K138" s="388">
        <v>248.7</v>
      </c>
      <c r="L138" s="1980">
        <f>+(K138/K131-1)*100</f>
        <v>-7.7179962894248666</v>
      </c>
      <c r="M138" s="1981">
        <f>+K138/BI138*100</f>
        <v>13.994663233369309</v>
      </c>
      <c r="N138" s="2025">
        <v>98.8</v>
      </c>
      <c r="O138" s="1980">
        <f>+(N138/N131-1)*100</f>
        <v>-11.230907457322548</v>
      </c>
      <c r="P138" s="1981">
        <f>+N138/BI138*100</f>
        <v>5.5596008341652094</v>
      </c>
      <c r="Q138" s="24"/>
      <c r="R138" s="388">
        <v>1077.884</v>
      </c>
      <c r="S138" s="1980">
        <f>+(R138/R131-1)*100</f>
        <v>-3.0326692725318183</v>
      </c>
      <c r="T138" s="1980"/>
      <c r="U138" s="1981">
        <f>+R138/$BI138*100</f>
        <v>60.653894590418354</v>
      </c>
      <c r="V138" s="24"/>
      <c r="W138" s="388">
        <v>438.834</v>
      </c>
      <c r="X138" s="388"/>
      <c r="Y138" s="388"/>
      <c r="Z138" s="388"/>
      <c r="AA138" s="388"/>
      <c r="AB138" s="388"/>
      <c r="AC138" s="1980">
        <f>+(W138/W131-1)*100</f>
        <v>3.4617388618675804</v>
      </c>
      <c r="AD138" s="1981">
        <f>+W138/$BI138*100</f>
        <v>24.693743648381133</v>
      </c>
      <c r="AE138" s="1981"/>
      <c r="AF138" s="1981"/>
      <c r="AG138" s="1981"/>
      <c r="AH138" s="1981"/>
      <c r="AI138" s="24"/>
      <c r="AJ138" s="24"/>
      <c r="AK138" s="388"/>
      <c r="AL138" s="2094">
        <f>segqtrSales!S708</f>
        <v>421.48799999999994</v>
      </c>
      <c r="AM138" s="2094"/>
      <c r="AN138" s="2094"/>
      <c r="AO138" s="2094">
        <f>segqtrSales!S807</f>
        <v>130.6</v>
      </c>
      <c r="AP138" s="2074">
        <f>+AL138+AO138</f>
        <v>552.08799999999997</v>
      </c>
      <c r="AQ138" s="2075">
        <f>+(AP138/AP131-1)*100</f>
        <v>-5.5370100727351712</v>
      </c>
      <c r="AR138" s="2076">
        <f>+AP138/$BI138*100</f>
        <v>31.066689325228769</v>
      </c>
      <c r="AS138" s="24"/>
      <c r="AT138" s="388"/>
      <c r="AU138" s="388"/>
      <c r="AV138" s="388"/>
      <c r="AW138" s="388"/>
      <c r="AX138" s="388"/>
      <c r="AY138" s="388"/>
      <c r="AZ138" s="388"/>
      <c r="BA138" s="388"/>
      <c r="BB138" s="388"/>
      <c r="BC138" s="2025"/>
      <c r="BD138" s="2028"/>
      <c r="BE138" s="2025">
        <v>260.572</v>
      </c>
      <c r="BF138" s="2028">
        <f>+(BE138/BE131-1)*100</f>
        <v>-14.967464870544767</v>
      </c>
      <c r="BG138" s="1981">
        <f>+BE138/$BI138*100</f>
        <v>14.662715673685195</v>
      </c>
      <c r="BH138" s="24"/>
      <c r="BI138" s="266">
        <f>+E138+K138+W138+BE138+N138</f>
        <v>1777.106</v>
      </c>
      <c r="BJ138" s="266"/>
      <c r="BK138" s="2889">
        <f>+(BI138/BI131-1)*100</f>
        <v>-3.5329165465649903</v>
      </c>
      <c r="BL138" s="266">
        <f>+E138+K138+W138+AT138+AY138</f>
        <v>1417.7340000000002</v>
      </c>
      <c r="BM138" s="1980">
        <f>+(BL138/BL96-1)*100</f>
        <v>20.144607350873688</v>
      </c>
      <c r="BN138" s="1981">
        <f>+BL138/$BW138*100</f>
        <v>71.972696010096342</v>
      </c>
      <c r="BO138" s="266">
        <f>+AL138+AM138+AN138+AO138+AU138</f>
        <v>552.08799999999997</v>
      </c>
      <c r="BP138" s="1980">
        <f>+(BO138/BO96-1)*100</f>
        <v>-5.5370100727351712</v>
      </c>
      <c r="BQ138" s="1981">
        <f>+BO138/$BW138*100</f>
        <v>28.02730398990365</v>
      </c>
      <c r="BR138" s="24"/>
      <c r="BS138" s="266">
        <f>+AK138+AV138+AW138+AX138</f>
        <v>0</v>
      </c>
      <c r="BT138" s="1980"/>
      <c r="BU138" s="1981">
        <f>+BS138/$BW138*100</f>
        <v>0</v>
      </c>
      <c r="BV138" s="24"/>
      <c r="BW138" s="266">
        <f>+BL138+BO138+BS138</f>
        <v>1969.8220000000001</v>
      </c>
      <c r="BX138" s="1980">
        <f>+(BW138/BW96-1)*100</f>
        <v>11.638042428556549</v>
      </c>
      <c r="BY138" s="24"/>
      <c r="BZ138" s="389"/>
      <c r="CA138" s="1980"/>
      <c r="CB138" s="1981"/>
      <c r="CC138" s="389"/>
      <c r="CD138" s="1980"/>
      <c r="CE138" s="1981"/>
      <c r="CF138" s="24"/>
      <c r="CG138" s="389"/>
      <c r="CH138" s="1980"/>
      <c r="CI138" s="1981"/>
      <c r="CJ138" s="24"/>
      <c r="CK138" s="389"/>
      <c r="CL138" s="1980"/>
      <c r="CM138" s="1981"/>
      <c r="CN138" s="24"/>
      <c r="CO138" s="266"/>
      <c r="CP138" s="1980"/>
      <c r="CQ138" s="1981"/>
      <c r="CR138" s="1981"/>
      <c r="CS138" s="24"/>
      <c r="CT138" s="1991">
        <v>53.945</v>
      </c>
      <c r="CU138" s="2028">
        <f>+(CT138/CT131-1)*100</f>
        <v>-27.959028324942238</v>
      </c>
      <c r="CV138" s="1981">
        <f>+CT138/R138*100</f>
        <v>5.0047129375702761</v>
      </c>
      <c r="CW138" s="1991"/>
      <c r="CX138" s="1991"/>
      <c r="CY138" s="1991"/>
      <c r="CZ138" s="168"/>
      <c r="DA138" s="2044">
        <v>15.545</v>
      </c>
      <c r="DB138" s="2028">
        <f>+(DA138/DA131-1)*100</f>
        <v>-153.6571053812433</v>
      </c>
      <c r="DC138" s="1981">
        <f>+DA138/W138*100</f>
        <v>3.5423417510949471</v>
      </c>
      <c r="DD138" s="1981"/>
      <c r="DE138" s="1981"/>
      <c r="DF138" s="1981"/>
      <c r="DG138" s="1981"/>
      <c r="DH138" s="2079">
        <f>+DJ138/100*AP138</f>
        <v>27.604399999999998</v>
      </c>
      <c r="DI138" s="2078">
        <f>+(DH138/DH131-1)*100</f>
        <v>-5.5370100727351712</v>
      </c>
      <c r="DJ138" s="2076">
        <v>5</v>
      </c>
      <c r="DK138" s="168"/>
      <c r="DL138" s="2044"/>
      <c r="DM138" s="2028"/>
      <c r="DN138" s="1981"/>
      <c r="DO138" s="168"/>
      <c r="DP138" s="2044"/>
      <c r="DQ138" s="2028"/>
      <c r="DR138" s="1981"/>
      <c r="DS138" s="168"/>
      <c r="DT138" s="2044">
        <v>-10.603999999999999</v>
      </c>
      <c r="DU138" s="2028">
        <f>+(DT138/DT131-1)*100</f>
        <v>125.85729499467516</v>
      </c>
      <c r="DV138" s="1981">
        <f>+DT138/BE138*100</f>
        <v>-4.0695086194986416</v>
      </c>
      <c r="DW138" s="168"/>
      <c r="DX138" s="2027">
        <f>'qtrP&amp;L'!CH62</f>
        <v>58.885000000000048</v>
      </c>
      <c r="DY138" s="2028">
        <f>+(DX138/DX131-1)*100</f>
        <v>43.143641976809512</v>
      </c>
      <c r="DZ138" s="1981">
        <f>(+DX138/BI138)*100</f>
        <v>3.313533351415169</v>
      </c>
      <c r="EA138" s="2005" t="str">
        <f>IF(ROUND(EB138,1)=ROUND(DX138,1)," ","no")</f>
        <v xml:space="preserve"> </v>
      </c>
      <c r="EB138" s="361">
        <f>DT138+DA138+CT138</f>
        <v>58.886000000000003</v>
      </c>
      <c r="EC138" s="2051"/>
      <c r="ED138" s="24"/>
      <c r="EE138" s="24"/>
      <c r="EG138" s="2044">
        <v>146</v>
      </c>
      <c r="EH138" s="2037">
        <f>EG138/EG131-1</f>
        <v>0</v>
      </c>
      <c r="EI138" s="1417">
        <f>1777-146</f>
        <v>1631</v>
      </c>
      <c r="EJ138" s="2037">
        <f>EI138/EI131-1</f>
        <v>-3.8892162639952876E-2</v>
      </c>
    </row>
    <row r="139" spans="1:140" hidden="1" outlineLevel="2">
      <c r="A139" s="113" t="str">
        <f>qtrSales!A127</f>
        <v>4Q</v>
      </c>
      <c r="B139" s="24" t="str">
        <f>qtrSales!B127</f>
        <v>Jan</v>
      </c>
      <c r="C139" s="24"/>
      <c r="D139" s="24"/>
      <c r="E139" s="302">
        <v>1200.9000000000001</v>
      </c>
      <c r="F139" s="307"/>
      <c r="G139" s="1980">
        <f>+(E139/E132-1)*100</f>
        <v>1.3588791357191266</v>
      </c>
      <c r="H139" s="1981">
        <f>+E139/$BI139*100</f>
        <v>39.201847895916146</v>
      </c>
      <c r="I139" s="1981"/>
      <c r="J139" s="1981"/>
      <c r="K139" s="302">
        <v>462</v>
      </c>
      <c r="L139" s="2001">
        <f>+(K139/K132-1)*100</f>
        <v>2.8495102404274331</v>
      </c>
      <c r="M139" s="1981">
        <f>+K139/BI139*100</f>
        <v>15.081400389635485</v>
      </c>
      <c r="N139" s="418">
        <v>134.5</v>
      </c>
      <c r="O139" s="1980">
        <f>+(N139/N132-1)*100</f>
        <v>0.67365269461079347</v>
      </c>
      <c r="P139" s="1981">
        <f>+N139/BI139*100</f>
        <v>4.3905808493635776</v>
      </c>
      <c r="Q139" s="24"/>
      <c r="R139" s="306">
        <v>1797.376</v>
      </c>
      <c r="S139" s="1980">
        <f>+(R139/R132-1)*100</f>
        <v>1.682300514980728</v>
      </c>
      <c r="T139" s="1980"/>
      <c r="U139" s="1981">
        <f>+R139/$BI139*100</f>
        <v>58.673045685544309</v>
      </c>
      <c r="V139" s="24"/>
      <c r="W139" s="302">
        <v>1007.735</v>
      </c>
      <c r="X139" s="307"/>
      <c r="Y139" s="307"/>
      <c r="Z139" s="307"/>
      <c r="AA139" s="307"/>
      <c r="AB139" s="307"/>
      <c r="AC139" s="1980">
        <f>+(W139/W132-1)*100</f>
        <v>1.051289996199567</v>
      </c>
      <c r="AD139" s="1981">
        <f>+W139/$BI139*100</f>
        <v>32.896222990582935</v>
      </c>
      <c r="AE139" s="1981"/>
      <c r="AF139" s="1981"/>
      <c r="AG139" s="1981"/>
      <c r="AH139" s="1981"/>
      <c r="AI139" s="24"/>
      <c r="AJ139" s="24"/>
      <c r="AK139" s="388"/>
      <c r="AL139" s="2095">
        <f>segqtrSales!S709</f>
        <v>567</v>
      </c>
      <c r="AM139" s="2095"/>
      <c r="AN139" s="2095"/>
      <c r="AO139" s="2095">
        <f>segqtrSales!S808</f>
        <v>164.5</v>
      </c>
      <c r="AP139" s="2082">
        <f>+AL139+AO139</f>
        <v>731.5</v>
      </c>
      <c r="AQ139" s="2075">
        <f>+(AP139/AP132-1)*100</f>
        <v>2.5515210991167825</v>
      </c>
      <c r="AR139" s="2076">
        <f>+AP139/$BI139*100</f>
        <v>23.878883950256185</v>
      </c>
      <c r="AS139" s="24"/>
      <c r="AT139" s="388"/>
      <c r="AU139" s="388"/>
      <c r="AV139" s="388"/>
      <c r="AW139" s="388"/>
      <c r="AX139" s="388"/>
      <c r="AY139" s="388"/>
      <c r="AZ139" s="388"/>
      <c r="BA139" s="388"/>
      <c r="BB139" s="388"/>
      <c r="BC139" s="302"/>
      <c r="BD139" s="1980"/>
      <c r="BE139" s="302">
        <v>258.24099999999999</v>
      </c>
      <c r="BF139" s="1980">
        <f>+(BE139/BE132-1)*100</f>
        <v>14.158842148073481</v>
      </c>
      <c r="BG139" s="1981">
        <f>+BE139/$BI139*100</f>
        <v>8.4299478745018561</v>
      </c>
      <c r="BH139" s="24"/>
      <c r="BI139" s="1022">
        <f>+E139+K139+W139+BE139+N139</f>
        <v>3063.3760000000002</v>
      </c>
      <c r="BJ139" s="325"/>
      <c r="BK139" s="2889">
        <f>+(BI139/BI132-1)*100</f>
        <v>2.4176354693966617</v>
      </c>
      <c r="BL139" s="1022">
        <f>+E139+K139+W139+AT139+AY139</f>
        <v>2670.6350000000002</v>
      </c>
      <c r="BM139" s="1980">
        <f>+(BL139/BL97-1)*100</f>
        <v>7.8393051469920261</v>
      </c>
      <c r="BN139" s="1981">
        <f>+BL139/$BW139*100</f>
        <v>78.498795609227727</v>
      </c>
      <c r="BO139" s="1022">
        <f>+AL139+AM139+AN139+AO139+AU139</f>
        <v>731.5</v>
      </c>
      <c r="BP139" s="1980">
        <f>+(BO139/BO97-1)*100</f>
        <v>2.5515210991167825</v>
      </c>
      <c r="BQ139" s="1981">
        <f>+BO139/$BW139*100</f>
        <v>21.501204390772262</v>
      </c>
      <c r="BR139" s="24"/>
      <c r="BS139" s="1022">
        <f>+AK139+AV139+AW139+AX139</f>
        <v>0</v>
      </c>
      <c r="BT139" s="1980"/>
      <c r="BU139" s="1981">
        <f>+BS139/$BW139*100</f>
        <v>0</v>
      </c>
      <c r="BV139" s="24"/>
      <c r="BW139" s="1022">
        <f>+BL139+BO139+BS139</f>
        <v>3402.1350000000002</v>
      </c>
      <c r="BX139" s="1980">
        <f>+(BW139/BW97-1)*100</f>
        <v>6.6568541238543499</v>
      </c>
      <c r="BY139" s="24"/>
      <c r="BZ139" s="306"/>
      <c r="CA139" s="1980"/>
      <c r="CB139" s="1981"/>
      <c r="CC139" s="306"/>
      <c r="CD139" s="1980"/>
      <c r="CE139" s="1981"/>
      <c r="CF139" s="24"/>
      <c r="CG139" s="306"/>
      <c r="CH139" s="1980"/>
      <c r="CI139" s="1981"/>
      <c r="CJ139" s="24"/>
      <c r="CK139" s="306"/>
      <c r="CL139" s="1980"/>
      <c r="CM139" s="1981"/>
      <c r="CN139" s="24"/>
      <c r="CO139" s="67"/>
      <c r="CP139" s="1980"/>
      <c r="CQ139" s="1981"/>
      <c r="CR139" s="1981"/>
      <c r="CS139" s="24"/>
      <c r="CT139" s="2096">
        <v>311.00599999999997</v>
      </c>
      <c r="CU139" s="2028">
        <f>+(CT139/CT132-1)*100</f>
        <v>45.731007305152957</v>
      </c>
      <c r="CV139" s="1981">
        <f>+CT139/R139*100</f>
        <v>17.303335529126905</v>
      </c>
      <c r="CW139" s="1413"/>
      <c r="CX139" s="1413"/>
      <c r="CY139" s="1413"/>
      <c r="CZ139" s="168"/>
      <c r="DA139" s="2097">
        <v>294.56599999999997</v>
      </c>
      <c r="DB139" s="2028">
        <f>+(DA139/DA132-1)*100</f>
        <v>40.658007831152702</v>
      </c>
      <c r="DC139" s="1981">
        <f>+DA139/W139*100</f>
        <v>29.230502066515502</v>
      </c>
      <c r="DD139" s="1981"/>
      <c r="DE139" s="1981"/>
      <c r="DF139" s="1981"/>
      <c r="DG139" s="1981"/>
      <c r="DH139" s="2083">
        <f>+DJ139/100*AP139</f>
        <v>73.150000000000006</v>
      </c>
      <c r="DI139" s="2078">
        <f>+(DH139/DH132-1)*100</f>
        <v>2.5515210991167825</v>
      </c>
      <c r="DJ139" s="2076">
        <v>10</v>
      </c>
      <c r="DK139" s="168"/>
      <c r="DL139" s="1419"/>
      <c r="DM139" s="2028"/>
      <c r="DN139" s="1981"/>
      <c r="DO139" s="168"/>
      <c r="DP139" s="1419"/>
      <c r="DQ139" s="2028"/>
      <c r="DR139" s="1981"/>
      <c r="DS139" s="168"/>
      <c r="DT139" s="1419">
        <v>-20.027000000000001</v>
      </c>
      <c r="DU139" s="2028">
        <f>+(DT139/DT132-1)*100</f>
        <v>-37.604760569523634</v>
      </c>
      <c r="DV139" s="1981">
        <f>+DT139/BE139*100</f>
        <v>-7.7551589406794434</v>
      </c>
      <c r="DW139" s="168"/>
      <c r="DX139" s="2152">
        <f>'qtrP&amp;L'!CH63</f>
        <v>585.54399999999987</v>
      </c>
      <c r="DY139" s="2028">
        <f>+(DX139/DX132-1)*100</f>
        <v>49.857064250706998</v>
      </c>
      <c r="DZ139" s="1981">
        <f>(+DX139/BI139)*100</f>
        <v>19.114336601187702</v>
      </c>
      <c r="EA139" s="2005" t="str">
        <f>IF(EB139=DX139," ","no")</f>
        <v>no</v>
      </c>
      <c r="EB139" s="361">
        <f>ROUND((DT139+DA139+CT139), 1)</f>
        <v>585.5</v>
      </c>
      <c r="EC139" s="24"/>
      <c r="ED139" s="24"/>
      <c r="EE139" s="24"/>
      <c r="EG139" s="1419">
        <f>EG140-SUM(EG136:EG138)</f>
        <v>224</v>
      </c>
      <c r="EH139" s="2037">
        <f>EG139/EG132-1</f>
        <v>0.2584269662921348</v>
      </c>
      <c r="EI139" s="1419">
        <f>EI140-SUM(EI136:EI138)</f>
        <v>2839</v>
      </c>
      <c r="EJ139" s="2037">
        <f>EI139/EI132-1</f>
        <v>9.2428012797725057E-3</v>
      </c>
    </row>
    <row r="140" spans="1:140" hidden="1" outlineLevel="2">
      <c r="A140" s="113"/>
      <c r="B140" s="24" t="str">
        <f>qtrSales!B128</f>
        <v>Year</v>
      </c>
      <c r="C140" s="24"/>
      <c r="D140" s="24"/>
      <c r="E140" s="266">
        <f>+SUM(E136:E139)</f>
        <v>3495.6</v>
      </c>
      <c r="F140" s="266"/>
      <c r="G140" s="1980">
        <f>+(E140/E133-1)*100</f>
        <v>-2.6213889740089646</v>
      </c>
      <c r="H140" s="1981">
        <f>+E140/$BI140*100</f>
        <v>40.494323600802147</v>
      </c>
      <c r="I140" s="1981"/>
      <c r="J140" s="1981"/>
      <c r="K140" s="266">
        <f>+SUM(K136:K139)</f>
        <v>1387.5</v>
      </c>
      <c r="L140" s="1980">
        <f>+(K140/K133-1)*100</f>
        <v>-8.8849487785657928</v>
      </c>
      <c r="M140" s="1981">
        <f>+K140/$BI140*100</f>
        <v>16.073313307046856</v>
      </c>
      <c r="N140" s="2027">
        <f>+SUM(N136:N139)</f>
        <v>423.4</v>
      </c>
      <c r="O140" s="2022">
        <f>+(N140/N133-1)*100</f>
        <v>-13.855544252288921</v>
      </c>
      <c r="P140" s="1981">
        <f>+N140/$BI140*100</f>
        <v>4.9048222372638826</v>
      </c>
      <c r="Q140" s="24"/>
      <c r="R140" s="266">
        <f>+SUM(R136:R139)</f>
        <v>5306.67</v>
      </c>
      <c r="S140" s="1980">
        <f>+(R140/R133-1)*100</f>
        <v>-5.3064687002089777</v>
      </c>
      <c r="T140" s="1980"/>
      <c r="U140" s="1981">
        <f>+R140/$BI140*100</f>
        <v>61.474428488004563</v>
      </c>
      <c r="V140" s="24"/>
      <c r="W140" s="266">
        <f>+SUM(W136:W139)</f>
        <v>2382.5830000000001</v>
      </c>
      <c r="X140" s="266"/>
      <c r="Y140" s="266"/>
      <c r="Z140" s="266"/>
      <c r="AA140" s="266"/>
      <c r="AB140" s="266"/>
      <c r="AC140" s="1980">
        <f>+(W140/W133-1)*100</f>
        <v>0.3779894852189436</v>
      </c>
      <c r="AD140" s="1981">
        <f>+W140/$BI140*100</f>
        <v>27.600722911022423</v>
      </c>
      <c r="AE140" s="1981"/>
      <c r="AF140" s="1981"/>
      <c r="AG140" s="1981"/>
      <c r="AH140" s="1981"/>
      <c r="AI140" s="24"/>
      <c r="AJ140" s="24"/>
      <c r="AK140" s="388"/>
      <c r="AL140" s="2098">
        <f>+SUM(AL136:AL139)</f>
        <v>1647.4879999999998</v>
      </c>
      <c r="AM140" s="2094"/>
      <c r="AN140" s="2094"/>
      <c r="AO140" s="2098">
        <f>+SUM(AO136:AO139)</f>
        <v>505.6</v>
      </c>
      <c r="AP140" s="2085">
        <f>+SUM(AP136:AP139)</f>
        <v>2153.1309999999999</v>
      </c>
      <c r="AQ140" s="2075">
        <f>+(AP140/AP133-1)*100</f>
        <v>-0.65339603523659751</v>
      </c>
      <c r="AR140" s="2076">
        <f>+AP140/$BI140*100</f>
        <v>24.942666057019888</v>
      </c>
      <c r="AS140" s="24"/>
      <c r="AT140" s="388"/>
      <c r="AU140" s="388"/>
      <c r="AV140" s="388"/>
      <c r="AW140" s="388"/>
      <c r="AX140" s="388"/>
      <c r="AY140" s="388"/>
      <c r="AZ140" s="388"/>
      <c r="BA140" s="388"/>
      <c r="BB140" s="388"/>
      <c r="BC140" s="266"/>
      <c r="BD140" s="1980"/>
      <c r="BE140" s="266">
        <f>+SUM(BE136:BE139)</f>
        <v>943.23800000000006</v>
      </c>
      <c r="BF140" s="1980">
        <f>+(BE140/BE133-1)*100</f>
        <v>-11.435047473108572</v>
      </c>
      <c r="BG140" s="1981">
        <f>+BE140/$BI140*100</f>
        <v>10.926817943864693</v>
      </c>
      <c r="BH140" s="24"/>
      <c r="BI140" s="266">
        <f>+E140+K140+W140+BE140+N140</f>
        <v>8632.3209999999999</v>
      </c>
      <c r="BJ140" s="266"/>
      <c r="BK140" s="2889">
        <f>+(BI140/BI133-1)*100</f>
        <v>-4.5375490661737405</v>
      </c>
      <c r="BL140" s="266">
        <f>+E140+K140+W140+AT140+AY140</f>
        <v>7265.6830000000009</v>
      </c>
      <c r="BM140" s="1980">
        <f>+(BL140/BL98-1)*100</f>
        <v>13.512391607028151</v>
      </c>
      <c r="BN140" s="1981">
        <f>+BL140/$BW140*100</f>
        <v>77.14045707237176</v>
      </c>
      <c r="BO140" s="266">
        <f>+AL140+AM140+AN140+AO140+AU140</f>
        <v>2153.0879999999997</v>
      </c>
      <c r="BP140" s="1980">
        <f>+(BO140/BO98-1)*100</f>
        <v>-13.532303982773042</v>
      </c>
      <c r="BQ140" s="1981">
        <f>+BO140/$BW140*100</f>
        <v>22.85954292762824</v>
      </c>
      <c r="BR140" s="24"/>
      <c r="BS140" s="266">
        <f>+AK140+AV140+AW140+AX140</f>
        <v>0</v>
      </c>
      <c r="BT140" s="1980"/>
      <c r="BU140" s="1981">
        <f>+BS140/$BW140*100</f>
        <v>0</v>
      </c>
      <c r="BV140" s="24"/>
      <c r="BW140" s="266">
        <f>+BL140+BO140+BS140</f>
        <v>9418.7710000000006</v>
      </c>
      <c r="BX140" s="1980">
        <f>+(BW140/BW98-1)*100</f>
        <v>5.9380037843473232</v>
      </c>
      <c r="BY140" s="24"/>
      <c r="BZ140" s="389"/>
      <c r="CA140" s="1980"/>
      <c r="CB140" s="1981"/>
      <c r="CC140" s="389"/>
      <c r="CD140" s="1980"/>
      <c r="CE140" s="1981"/>
      <c r="CF140" s="24"/>
      <c r="CG140" s="389"/>
      <c r="CH140" s="1980"/>
      <c r="CI140" s="1981"/>
      <c r="CJ140" s="24"/>
      <c r="CK140" s="389"/>
      <c r="CL140" s="1980"/>
      <c r="CM140" s="1981"/>
      <c r="CN140" s="24"/>
      <c r="CO140" s="24"/>
      <c r="CP140" s="1980"/>
      <c r="CQ140" s="1981"/>
      <c r="CR140" s="1981"/>
      <c r="CS140" s="24"/>
      <c r="CT140" s="2027">
        <f>+SUM(CT136:CT139)</f>
        <v>578.54499999999996</v>
      </c>
      <c r="CU140" s="2028">
        <f>+(CT140/CT133-1)*100</f>
        <v>-6.6585890006066411</v>
      </c>
      <c r="CV140" s="1981">
        <f>+CT140/R140*100</f>
        <v>10.902223051367429</v>
      </c>
      <c r="CW140" s="2027"/>
      <c r="CX140" s="2027"/>
      <c r="CY140" s="2027"/>
      <c r="CZ140" s="168"/>
      <c r="DA140" s="2027">
        <f>+SUM(DA136:DA139)</f>
        <v>358.24399999999997</v>
      </c>
      <c r="DB140" s="2028">
        <f>+(DA140/DA133-1)*100</f>
        <v>66.24160077217212</v>
      </c>
      <c r="DC140" s="1981">
        <f>+DA140/W140*100</f>
        <v>15.035950478954982</v>
      </c>
      <c r="DD140" s="1981"/>
      <c r="DE140" s="1981"/>
      <c r="DF140" s="1981"/>
      <c r="DG140" s="1981"/>
      <c r="DH140" s="2086">
        <f>+SUM(DH136:DH139)</f>
        <v>129.964947</v>
      </c>
      <c r="DI140" s="2078">
        <f>+(DH140/DH133-1)*100</f>
        <v>0.1556298826852931</v>
      </c>
      <c r="DJ140" s="2076">
        <f>+DH140/AP140*100</f>
        <v>6.0360910227942473</v>
      </c>
      <c r="DK140" s="168"/>
      <c r="DL140" s="361"/>
      <c r="DM140" s="2028"/>
      <c r="DN140" s="1981"/>
      <c r="DO140" s="168"/>
      <c r="DP140" s="361"/>
      <c r="DQ140" s="2028"/>
      <c r="DR140" s="1981"/>
      <c r="DS140" s="168"/>
      <c r="DT140" s="361">
        <f>+SUM(DT136:DT139)</f>
        <v>-78.501999999999995</v>
      </c>
      <c r="DU140" s="2028">
        <f>+(DT140/DT133-1)*100</f>
        <v>-33.342390612130536</v>
      </c>
      <c r="DV140" s="1981">
        <f>+DT140/BE140*100</f>
        <v>-8.322607867791584</v>
      </c>
      <c r="DW140" s="168"/>
      <c r="DX140" s="2027">
        <f>+SUM(DX136:DX139)</f>
        <v>858.28399999999988</v>
      </c>
      <c r="DY140" s="2028">
        <f>+(DX140/DX133-1)*100</f>
        <v>19.626631952042572</v>
      </c>
      <c r="DZ140" s="1981">
        <f>(+DX140/BI140)*100</f>
        <v>9.9426793790453321</v>
      </c>
      <c r="EA140" s="1981"/>
      <c r="EB140" s="168"/>
      <c r="EC140" s="24"/>
      <c r="ED140" s="24"/>
      <c r="EE140" s="24"/>
      <c r="EG140" s="1982">
        <v>638</v>
      </c>
      <c r="EH140" s="2037">
        <f>EG140/EG133-1</f>
        <v>-2.5954198473282397E-2</v>
      </c>
      <c r="EI140" s="381">
        <f>8632-EG140</f>
        <v>7994</v>
      </c>
      <c r="EJ140" s="2037">
        <f>EI140/EI133-1</f>
        <v>-4.6971864568431054E-2</v>
      </c>
    </row>
    <row r="141" spans="1:140" hidden="1" outlineLevel="2">
      <c r="A141" s="113"/>
      <c r="B141" s="24"/>
      <c r="C141" s="24"/>
      <c r="D141" s="24"/>
      <c r="E141" s="266"/>
      <c r="F141" s="266"/>
      <c r="G141" s="2087"/>
      <c r="H141" s="1981"/>
      <c r="I141" s="1981"/>
      <c r="J141" s="1981"/>
      <c r="K141" s="266"/>
      <c r="L141" s="1980"/>
      <c r="M141" s="1981"/>
      <c r="N141" s="2027"/>
      <c r="O141" s="2022"/>
      <c r="P141" s="1981"/>
      <c r="Q141" s="24"/>
      <c r="R141" s="266"/>
      <c r="S141" s="1980"/>
      <c r="T141" s="1980"/>
      <c r="U141" s="1981"/>
      <c r="V141" s="24"/>
      <c r="W141" s="266"/>
      <c r="X141" s="266"/>
      <c r="Y141" s="266"/>
      <c r="Z141" s="266"/>
      <c r="AA141" s="266"/>
      <c r="AB141" s="266"/>
      <c r="AC141" s="1980"/>
      <c r="AD141" s="1981"/>
      <c r="AE141" s="1981"/>
      <c r="AF141" s="1981"/>
      <c r="AG141" s="1981"/>
      <c r="AH141" s="1981"/>
      <c r="AI141" s="24"/>
      <c r="AJ141" s="24"/>
      <c r="AK141" s="388"/>
      <c r="AL141" s="2098"/>
      <c r="AM141" s="2094"/>
      <c r="AN141" s="2094"/>
      <c r="AO141" s="2098"/>
      <c r="AP141" s="2085"/>
      <c r="AQ141" s="2075"/>
      <c r="AR141" s="2076"/>
      <c r="AS141" s="24"/>
      <c r="AT141" s="388"/>
      <c r="AU141" s="388"/>
      <c r="AV141" s="388"/>
      <c r="AW141" s="388"/>
      <c r="AX141" s="388"/>
      <c r="AY141" s="388"/>
      <c r="AZ141" s="388"/>
      <c r="BA141" s="388"/>
      <c r="BB141" s="388"/>
      <c r="BC141" s="266"/>
      <c r="BD141" s="1980"/>
      <c r="BE141" s="266"/>
      <c r="BF141" s="1980"/>
      <c r="BG141" s="1981"/>
      <c r="BH141" s="24"/>
      <c r="BI141" s="266"/>
      <c r="BJ141" s="266"/>
      <c r="BK141" s="2889"/>
      <c r="BL141" s="266"/>
      <c r="BM141" s="1980"/>
      <c r="BN141" s="1981"/>
      <c r="BO141" s="266"/>
      <c r="BP141" s="1980"/>
      <c r="BQ141" s="1981"/>
      <c r="BR141" s="24"/>
      <c r="BS141" s="266"/>
      <c r="BT141" s="1980"/>
      <c r="BU141" s="1981"/>
      <c r="BV141" s="24"/>
      <c r="BW141" s="266"/>
      <c r="BX141" s="1980"/>
      <c r="BY141" s="24"/>
      <c r="BZ141" s="389"/>
      <c r="CA141" s="1980"/>
      <c r="CB141" s="1981"/>
      <c r="CC141" s="389"/>
      <c r="CD141" s="1980"/>
      <c r="CE141" s="1981"/>
      <c r="CF141" s="24"/>
      <c r="CG141" s="389"/>
      <c r="CH141" s="1980"/>
      <c r="CI141" s="1981"/>
      <c r="CJ141" s="24"/>
      <c r="CK141" s="389"/>
      <c r="CL141" s="1980"/>
      <c r="CM141" s="1981"/>
      <c r="CN141" s="24"/>
      <c r="CO141" s="24"/>
      <c r="CP141" s="1980"/>
      <c r="CQ141" s="1981"/>
      <c r="CR141" s="1981"/>
      <c r="CS141" s="24"/>
      <c r="CT141" s="2027"/>
      <c r="CU141" s="2028"/>
      <c r="CV141" s="1981"/>
      <c r="CW141" s="2027"/>
      <c r="CX141" s="2027"/>
      <c r="CY141" s="2027"/>
      <c r="CZ141" s="168"/>
      <c r="DA141" s="2027"/>
      <c r="DB141" s="2028"/>
      <c r="DC141" s="1981"/>
      <c r="DD141" s="1981"/>
      <c r="DE141" s="1981"/>
      <c r="DF141" s="1981"/>
      <c r="DG141" s="1981"/>
      <c r="DH141" s="2086"/>
      <c r="DI141" s="2078"/>
      <c r="DJ141" s="2076"/>
      <c r="DK141" s="168"/>
      <c r="DL141" s="361"/>
      <c r="DM141" s="2028"/>
      <c r="DN141" s="1981"/>
      <c r="DO141" s="168"/>
      <c r="DP141" s="361"/>
      <c r="DQ141" s="2028"/>
      <c r="DR141" s="1981"/>
      <c r="DS141" s="168"/>
      <c r="DT141" s="361"/>
      <c r="DU141" s="2028"/>
      <c r="DV141" s="1981"/>
      <c r="DW141" s="168"/>
      <c r="DX141" s="2027"/>
      <c r="DY141" s="2028"/>
      <c r="DZ141" s="1981"/>
      <c r="EA141" s="1981"/>
      <c r="EB141" s="168"/>
      <c r="EC141" s="24"/>
      <c r="ED141" s="24"/>
      <c r="EE141" s="24"/>
      <c r="EG141" s="361"/>
      <c r="EH141" s="2028"/>
      <c r="EI141" s="361"/>
      <c r="EJ141" s="2028"/>
    </row>
    <row r="142" spans="1:140" hidden="1" outlineLevel="2">
      <c r="A142" s="113"/>
      <c r="B142" s="136" t="str">
        <f>qtrSales!B158</f>
        <v>2010A</v>
      </c>
      <c r="C142" s="24"/>
      <c r="D142" s="24"/>
      <c r="E142" s="428"/>
      <c r="F142" s="428"/>
      <c r="G142" s="1980"/>
      <c r="H142" s="1981"/>
      <c r="I142" s="1981"/>
      <c r="J142" s="1981"/>
      <c r="K142" s="24"/>
      <c r="L142" s="1980"/>
      <c r="M142" s="1981"/>
      <c r="N142" s="428"/>
      <c r="O142" s="1981"/>
      <c r="P142" s="1981"/>
      <c r="Q142" s="24"/>
      <c r="R142" s="428"/>
      <c r="S142" s="1980"/>
      <c r="T142" s="1980"/>
      <c r="U142" s="1981"/>
      <c r="V142" s="428"/>
      <c r="W142" s="428"/>
      <c r="X142" s="428"/>
      <c r="Y142" s="428"/>
      <c r="Z142" s="428"/>
      <c r="AA142" s="428"/>
      <c r="AB142" s="428"/>
      <c r="AC142" s="1980"/>
      <c r="AD142" s="1981"/>
      <c r="AE142" s="1981"/>
      <c r="AF142" s="1981"/>
      <c r="AG142" s="1981"/>
      <c r="AH142" s="1981"/>
      <c r="AI142" s="24"/>
      <c r="AJ142" s="399"/>
      <c r="AK142" s="24"/>
      <c r="AL142" s="2088"/>
      <c r="AM142" s="2089"/>
      <c r="AN142" s="2089"/>
      <c r="AO142" s="2088"/>
      <c r="AP142" s="2090"/>
      <c r="AQ142" s="2075"/>
      <c r="AR142" s="2076"/>
      <c r="AS142" s="24"/>
      <c r="AT142" s="24"/>
      <c r="AU142" s="24"/>
      <c r="AV142" s="24"/>
      <c r="AW142" s="24"/>
      <c r="AX142" s="24"/>
      <c r="AY142" s="24"/>
      <c r="AZ142" s="24"/>
      <c r="BA142" s="24"/>
      <c r="BB142" s="24"/>
      <c r="BC142" s="381"/>
      <c r="BD142" s="2070"/>
      <c r="BE142" s="381"/>
      <c r="BF142" s="2070"/>
      <c r="BG142" s="1981"/>
      <c r="BH142" s="24"/>
      <c r="BI142" s="24"/>
      <c r="BJ142" s="24"/>
      <c r="BK142" s="2889"/>
      <c r="BL142" s="389"/>
      <c r="BM142" s="1988"/>
      <c r="BN142" s="1989"/>
      <c r="BO142" s="389"/>
      <c r="BP142" s="389"/>
      <c r="BQ142" s="389"/>
      <c r="BR142" s="389"/>
      <c r="BS142" s="389"/>
      <c r="BT142" s="389"/>
      <c r="BU142" s="389"/>
      <c r="BV142" s="389"/>
      <c r="BW142" s="266"/>
      <c r="BX142" s="24"/>
      <c r="BY142" s="24"/>
      <c r="BZ142" s="389"/>
      <c r="CA142" s="1988"/>
      <c r="CB142" s="1989"/>
      <c r="CC142" s="389"/>
      <c r="CD142" s="389"/>
      <c r="CE142" s="389"/>
      <c r="CF142" s="389"/>
      <c r="CG142" s="389"/>
      <c r="CH142" s="389"/>
      <c r="CI142" s="389"/>
      <c r="CJ142" s="389"/>
      <c r="CK142" s="389"/>
      <c r="CL142" s="389"/>
      <c r="CM142" s="389"/>
      <c r="CN142" s="389"/>
      <c r="CO142" s="266"/>
      <c r="CP142" s="24"/>
      <c r="CQ142" s="24"/>
      <c r="CR142" s="24"/>
      <c r="CS142" s="24"/>
      <c r="CT142" s="164"/>
      <c r="CU142" s="24"/>
      <c r="CV142" s="2071"/>
      <c r="CW142" s="164"/>
      <c r="CX142" s="164"/>
      <c r="CY142" s="164"/>
      <c r="CZ142" s="24"/>
      <c r="DA142" s="24"/>
      <c r="DB142" s="24"/>
      <c r="DC142" s="24"/>
      <c r="DD142" s="24"/>
      <c r="DE142" s="24"/>
      <c r="DF142" s="24"/>
      <c r="DG142" s="24"/>
      <c r="DH142" s="2091"/>
      <c r="DI142" s="2092"/>
      <c r="DJ142" s="2093"/>
      <c r="DK142" s="24"/>
      <c r="DL142" s="24"/>
      <c r="DM142" s="24"/>
      <c r="DN142" s="24"/>
      <c r="DO142" s="24"/>
      <c r="DP142" s="24"/>
      <c r="DQ142" s="24"/>
      <c r="DR142" s="24"/>
      <c r="DS142" s="24"/>
      <c r="DT142" s="24"/>
      <c r="DU142" s="24"/>
      <c r="DV142" s="24"/>
      <c r="DW142" s="24"/>
      <c r="DX142" s="266"/>
      <c r="DY142" s="24"/>
      <c r="DZ142" s="1981"/>
      <c r="EA142" s="24"/>
      <c r="EB142" s="24"/>
      <c r="EC142" s="24"/>
      <c r="ED142" s="24"/>
      <c r="EE142" s="24"/>
      <c r="EG142" s="24"/>
      <c r="EH142" s="24"/>
      <c r="EI142" s="24"/>
      <c r="EJ142" s="24"/>
    </row>
    <row r="143" spans="1:140" hidden="1" outlineLevel="2">
      <c r="A143" s="113" t="str">
        <f>qtrSales!A131</f>
        <v>1Q</v>
      </c>
      <c r="B143" s="24" t="str">
        <f>qtrSales!B131</f>
        <v>Apr</v>
      </c>
      <c r="C143" s="24"/>
      <c r="D143" s="24"/>
      <c r="E143" s="1982">
        <v>828.1</v>
      </c>
      <c r="F143" s="1982"/>
      <c r="G143" s="1980">
        <f>+(E143/E136-1)*100</f>
        <v>13.937809576224547</v>
      </c>
      <c r="H143" s="1981">
        <f>+E143/$BI143*100</f>
        <v>42.87341444473207</v>
      </c>
      <c r="I143" s="1981"/>
      <c r="J143" s="1981"/>
      <c r="K143" s="1982">
        <v>350.2</v>
      </c>
      <c r="L143" s="1980">
        <f>+(K143/K136-1)*100</f>
        <v>10.333963453056082</v>
      </c>
      <c r="M143" s="1981">
        <f>+K143/BI143*100</f>
        <v>18.130986280093193</v>
      </c>
      <c r="N143" s="2041">
        <v>85.4</v>
      </c>
      <c r="O143" s="1980">
        <f>+(N143/N136-1)*100</f>
        <v>5.432098765432114</v>
      </c>
      <c r="P143" s="1981">
        <f>+N143/BI143*100</f>
        <v>4.421434118560704</v>
      </c>
      <c r="Q143" s="24"/>
      <c r="R143" s="1982">
        <v>1263.7080000000001</v>
      </c>
      <c r="S143" s="1980">
        <f>+(R143/R136-1)*100</f>
        <v>12.309034967819233</v>
      </c>
      <c r="T143" s="1980"/>
      <c r="U143" s="1981">
        <f>+R143/$BI143*100</f>
        <v>65.426249029251878</v>
      </c>
      <c r="V143" s="24"/>
      <c r="W143" s="1982">
        <v>430.3</v>
      </c>
      <c r="X143" s="1982"/>
      <c r="Y143" s="1982"/>
      <c r="Z143" s="1982"/>
      <c r="AA143" s="1982"/>
      <c r="AB143" s="1982"/>
      <c r="AC143" s="1980">
        <f>+(W143/W136-1)*100</f>
        <v>6.9148011031878065</v>
      </c>
      <c r="AD143" s="1981">
        <f>+W143/$BI143*100</f>
        <v>22.278022262490293</v>
      </c>
      <c r="AE143" s="1981"/>
      <c r="AF143" s="1981"/>
      <c r="AG143" s="1981"/>
      <c r="AH143" s="1981"/>
      <c r="AI143" s="24"/>
      <c r="AJ143" s="24"/>
      <c r="AK143" s="2011">
        <f>0.75*2.1</f>
        <v>1.5750000000000002</v>
      </c>
      <c r="AL143" s="2094">
        <v>388.2</v>
      </c>
      <c r="AM143" s="2094"/>
      <c r="AN143" s="2094"/>
      <c r="AO143" s="2094">
        <v>111</v>
      </c>
      <c r="AP143" s="2074">
        <v>499.22500000000002</v>
      </c>
      <c r="AQ143" s="2075">
        <f>+(AP143/AP136-1)*100</f>
        <v>0</v>
      </c>
      <c r="AR143" s="2076">
        <f>+AP143/$BI143*100</f>
        <v>25.8464923634481</v>
      </c>
      <c r="AS143" s="24"/>
      <c r="AT143" s="1982"/>
      <c r="AU143" s="1982"/>
      <c r="AV143" s="1982"/>
      <c r="AW143" s="1982"/>
      <c r="AX143" s="1982"/>
      <c r="AY143" s="1982"/>
      <c r="AZ143" s="1982"/>
      <c r="BA143" s="1982"/>
      <c r="BB143" s="1982"/>
      <c r="BC143" s="1982"/>
      <c r="BD143" s="1980"/>
      <c r="BE143" s="1982">
        <v>237.5</v>
      </c>
      <c r="BF143" s="1980">
        <f>+(BE143/BE136-1)*100</f>
        <v>20.215426043469886</v>
      </c>
      <c r="BG143" s="1981">
        <f>+BE143/$BI143*100</f>
        <v>12.296142894123738</v>
      </c>
      <c r="BH143" s="24"/>
      <c r="BI143" s="381">
        <f>+E143+K143+W143+BE143+N143</f>
        <v>1931.5</v>
      </c>
      <c r="BJ143" s="381"/>
      <c r="BK143" s="2889">
        <f>+(BI143/BI136-1)*100</f>
        <v>11.955957227781532</v>
      </c>
      <c r="BL143" s="381">
        <f>+E143+K143+W143+AT143+AY143</f>
        <v>1608.6</v>
      </c>
      <c r="BM143" s="1980">
        <f>+(BL143/BL129-1)*100</f>
        <v>4.4125092495229223</v>
      </c>
      <c r="BN143" s="1981">
        <f>+BL143/$BW143*100</f>
        <v>76.259555555555565</v>
      </c>
      <c r="BO143" s="381">
        <f>+AL143+AM143+AN143+AO143+AU143</f>
        <v>499.2</v>
      </c>
      <c r="BP143" s="1980">
        <f>+(BO143/BO129-1)*100</f>
        <v>0</v>
      </c>
      <c r="BQ143" s="1981">
        <f>+BO143/$BW143*100</f>
        <v>23.665777777777784</v>
      </c>
      <c r="BR143" s="389"/>
      <c r="BS143" s="381">
        <f>+AK143+AV143+AW143+AX143</f>
        <v>1.5750000000000002</v>
      </c>
      <c r="BT143" s="1980"/>
      <c r="BU143" s="1981">
        <f>+BS143/$BW143*100</f>
        <v>7.4666666666666701E-2</v>
      </c>
      <c r="BV143" s="389"/>
      <c r="BW143" s="381">
        <f>+BL143+BO143+BS143</f>
        <v>2109.3749999999995</v>
      </c>
      <c r="BX143" s="1980">
        <f>+(BW143/BW129-1)*100</f>
        <v>3.3300757570190687</v>
      </c>
      <c r="BY143" s="24"/>
      <c r="BZ143" s="390"/>
      <c r="CA143" s="1980"/>
      <c r="CB143" s="1981"/>
      <c r="CC143" s="390"/>
      <c r="CD143" s="1980"/>
      <c r="CE143" s="1981"/>
      <c r="CF143" s="389"/>
      <c r="CG143" s="390"/>
      <c r="CH143" s="1980"/>
      <c r="CI143" s="1981"/>
      <c r="CJ143" s="24"/>
      <c r="CK143" s="390"/>
      <c r="CL143" s="1980"/>
      <c r="CM143" s="1981"/>
      <c r="CN143" s="24"/>
      <c r="CO143" s="165"/>
      <c r="CP143" s="1980"/>
      <c r="CQ143" s="1981"/>
      <c r="CR143" s="1981"/>
      <c r="CS143" s="24"/>
      <c r="CT143" s="2023">
        <v>167.298</v>
      </c>
      <c r="CU143" s="2028">
        <f>+(CT143/CT136-1)*100</f>
        <v>91.793919383684155</v>
      </c>
      <c r="CV143" s="1981">
        <f>+CT143/R143*100</f>
        <v>13.238659563759983</v>
      </c>
      <c r="CW143" s="2023"/>
      <c r="CX143" s="2023"/>
      <c r="CY143" s="2023"/>
      <c r="CZ143" s="168"/>
      <c r="DA143" s="2023">
        <v>37.731000000000002</v>
      </c>
      <c r="DB143" s="2028">
        <f>+(DA143/DA136-1)*100</f>
        <v>854.00758533501903</v>
      </c>
      <c r="DC143" s="1981">
        <f>+DA143/W143*100</f>
        <v>8.7685335812224032</v>
      </c>
      <c r="DD143" s="1981"/>
      <c r="DE143" s="1981"/>
      <c r="DF143" s="1981"/>
      <c r="DG143" s="1981"/>
      <c r="DH143" s="2077">
        <f>+DJ143/100*AP143</f>
        <v>0</v>
      </c>
      <c r="DI143" s="2078"/>
      <c r="DJ143" s="2078"/>
      <c r="DK143" s="168"/>
      <c r="DL143" s="1691"/>
      <c r="DM143" s="2028"/>
      <c r="DN143" s="1981"/>
      <c r="DO143" s="168"/>
      <c r="DP143" s="1691"/>
      <c r="DQ143" s="2028"/>
      <c r="DR143" s="1981"/>
      <c r="DS143" s="168"/>
      <c r="DT143" s="1691">
        <v>-20.053000000000001</v>
      </c>
      <c r="DU143" s="2028">
        <f>+(DT143/DT136-1)*100</f>
        <v>-22.786954680220241</v>
      </c>
      <c r="DV143" s="1981">
        <f>+DT143/BE143*100</f>
        <v>-8.4433684210526305</v>
      </c>
      <c r="DW143" s="168"/>
      <c r="DX143" s="2027">
        <f>'qtrP&amp;L'!CL60</f>
        <v>184.97600000000006</v>
      </c>
      <c r="DY143" s="2028">
        <f>+(DX143/DX136-1)*100</f>
        <v>183.65331534073496</v>
      </c>
      <c r="DZ143" s="1981">
        <f>(+DX143/BI143)*100</f>
        <v>9.5768055915091921</v>
      </c>
      <c r="EA143" s="2005" t="str">
        <f>IF(ROUND(EB143,2)=ROUND(DX143,2)," ","no")</f>
        <v xml:space="preserve"> </v>
      </c>
      <c r="EB143" s="361">
        <f>DT143+DA143+CT143</f>
        <v>184.976</v>
      </c>
      <c r="EC143" s="24"/>
      <c r="ED143" s="24"/>
      <c r="EE143" s="24"/>
      <c r="EG143" s="2023">
        <v>146</v>
      </c>
      <c r="EH143" s="2037">
        <f>EG143/EG136-1</f>
        <v>0.29203539823008851</v>
      </c>
      <c r="EI143" s="1691">
        <f>+BI143-EG143</f>
        <v>1785.5</v>
      </c>
      <c r="EJ143" s="2037">
        <f>EI143/EI136-1</f>
        <v>0.10763027295285355</v>
      </c>
    </row>
    <row r="144" spans="1:140" hidden="1" outlineLevel="2">
      <c r="A144" s="113" t="str">
        <f>qtrSales!A132</f>
        <v>2Q</v>
      </c>
      <c r="B144" s="24" t="str">
        <f>qtrSales!B132</f>
        <v>Jul</v>
      </c>
      <c r="C144" s="24"/>
      <c r="D144" s="24"/>
      <c r="E144" s="307">
        <v>955.3</v>
      </c>
      <c r="F144" s="307"/>
      <c r="G144" s="1980">
        <f>+(E144/E137-1)*100</f>
        <v>14.038438581831203</v>
      </c>
      <c r="H144" s="1981">
        <f>+E144/$BI144*100</f>
        <v>42.599985997701658</v>
      </c>
      <c r="I144" s="1981"/>
      <c r="J144" s="1981"/>
      <c r="K144" s="2025">
        <v>391</v>
      </c>
      <c r="L144" s="1980">
        <f>+(K144/K137-1)*100</f>
        <v>8.7924318308291625</v>
      </c>
      <c r="M144" s="1981">
        <f>+K144/BI144*100</f>
        <v>17.435982963573064</v>
      </c>
      <c r="N144" s="2025">
        <v>101.8</v>
      </c>
      <c r="O144" s="1980">
        <f>+(N144/N137-1)*100</f>
        <v>-6.6911090742438066</v>
      </c>
      <c r="P144" s="1981">
        <f>+N144/BI144*100</f>
        <v>4.5395986334827061</v>
      </c>
      <c r="Q144" s="24"/>
      <c r="R144" s="388">
        <v>1448.1220000000001</v>
      </c>
      <c r="S144" s="1980">
        <f>+(R144/R137-1)*100</f>
        <v>10.864918496651367</v>
      </c>
      <c r="T144" s="1980"/>
      <c r="U144" s="1981">
        <f>+R144/$BI144*100</f>
        <v>64.576548647507309</v>
      </c>
      <c r="V144" s="24"/>
      <c r="W144" s="388">
        <v>536.46299999999997</v>
      </c>
      <c r="X144" s="388"/>
      <c r="Y144" s="388"/>
      <c r="Z144" s="388"/>
      <c r="AA144" s="388"/>
      <c r="AB144" s="388"/>
      <c r="AC144" s="1980">
        <f>+(W144/W137-1)*100</f>
        <v>0.54709639692320788</v>
      </c>
      <c r="AD144" s="1981">
        <f>+W144/$BI144*100</f>
        <v>23.922659152397177</v>
      </c>
      <c r="AE144" s="1981"/>
      <c r="AF144" s="1981"/>
      <c r="AG144" s="1981"/>
      <c r="AH144" s="1981"/>
      <c r="AI144" s="24"/>
      <c r="AJ144" s="24"/>
      <c r="AK144" s="388"/>
      <c r="AL144" s="2094">
        <v>270.8</v>
      </c>
      <c r="AM144" s="2094"/>
      <c r="AN144" s="2094"/>
      <c r="AO144" s="2094">
        <v>99.5</v>
      </c>
      <c r="AP144" s="2074">
        <v>370.31799999999998</v>
      </c>
      <c r="AQ144" s="2075">
        <f>+(AP144/AP137-1)*100</f>
        <v>0</v>
      </c>
      <c r="AR144" s="2076">
        <f>+AP144/$BI144*100</f>
        <v>16.513704192082994</v>
      </c>
      <c r="AS144" s="24"/>
      <c r="AT144" s="388"/>
      <c r="AU144" s="388"/>
      <c r="AV144" s="388"/>
      <c r="AW144" s="388"/>
      <c r="AX144" s="388"/>
      <c r="AY144" s="388"/>
      <c r="AZ144" s="388"/>
      <c r="BA144" s="388"/>
      <c r="BB144" s="388"/>
      <c r="BC144" s="388"/>
      <c r="BD144" s="1980"/>
      <c r="BE144" s="388">
        <v>257.92599999999999</v>
      </c>
      <c r="BF144" s="1980">
        <f>+(BE144/BE137-1)*100</f>
        <v>13.692404667133907</v>
      </c>
      <c r="BG144" s="1981">
        <f>+BE144/$BI144*100</f>
        <v>11.501773252845386</v>
      </c>
      <c r="BH144" s="24"/>
      <c r="BI144" s="266">
        <f>+E144+K144+W144+BE144+N144</f>
        <v>2242.489</v>
      </c>
      <c r="BJ144" s="266"/>
      <c r="BK144" s="2889">
        <f>+(BI144/BI137-1)*100</f>
        <v>8.5106650659752869</v>
      </c>
      <c r="BL144" s="266">
        <f>+E144+K144+W144+AT144+AY144</f>
        <v>1882.7629999999999</v>
      </c>
      <c r="BM144" s="1980">
        <f>+(BL144/BL130-1)*100</f>
        <v>-0.37178753818547516</v>
      </c>
      <c r="BN144" s="1981">
        <f>+BL144/$BW144*100</f>
        <v>83.564596285146024</v>
      </c>
      <c r="BO144" s="266">
        <f>+AL144+AM144+AN144+AO144+AU144</f>
        <v>370.3</v>
      </c>
      <c r="BP144" s="1980">
        <f>+(BO144/BO130-1)*100</f>
        <v>272.1608040201005</v>
      </c>
      <c r="BQ144" s="1981">
        <f>+BO144/$BW144*100</f>
        <v>16.435403714853955</v>
      </c>
      <c r="BR144" s="389"/>
      <c r="BS144" s="266">
        <f>+AK144+AV144+AW144+AX144</f>
        <v>0</v>
      </c>
      <c r="BT144" s="1980"/>
      <c r="BU144" s="1981">
        <f>+BS144/$BW144*100</f>
        <v>0</v>
      </c>
      <c r="BV144" s="389"/>
      <c r="BW144" s="266">
        <f>+BL144+BO144+BS144</f>
        <v>2253.0630000000001</v>
      </c>
      <c r="BX144" s="1980">
        <f>+(BW144/BW130-1)*100</f>
        <v>13.259712389703072</v>
      </c>
      <c r="BY144" s="24"/>
      <c r="BZ144" s="389"/>
      <c r="CA144" s="1980"/>
      <c r="CB144" s="1981"/>
      <c r="CC144" s="389"/>
      <c r="CD144" s="1980"/>
      <c r="CE144" s="1981"/>
      <c r="CF144" s="389"/>
      <c r="CG144" s="389"/>
      <c r="CH144" s="1980"/>
      <c r="CI144" s="1981"/>
      <c r="CJ144" s="389"/>
      <c r="CK144" s="389"/>
      <c r="CL144" s="1980"/>
      <c r="CM144" s="1981"/>
      <c r="CN144" s="389"/>
      <c r="CO144" s="266"/>
      <c r="CP144" s="1980"/>
      <c r="CQ144" s="1981"/>
      <c r="CR144" s="1981"/>
      <c r="CS144" s="24"/>
      <c r="CT144" s="1991">
        <v>191.66200000000001</v>
      </c>
      <c r="CU144" s="2028">
        <f>+(CT144/CT137-1)*100</f>
        <v>51.672126996185682</v>
      </c>
      <c r="CV144" s="1981">
        <f>+CT144/R144*100</f>
        <v>13.235210845495063</v>
      </c>
      <c r="CW144" s="1991"/>
      <c r="CX144" s="1991"/>
      <c r="CY144" s="1991"/>
      <c r="CZ144" s="168"/>
      <c r="DA144" s="2044">
        <v>64.433000000000007</v>
      </c>
      <c r="DB144" s="2028">
        <f>+(DA144/DA137-1)*100</f>
        <v>45.848612431527023</v>
      </c>
      <c r="DC144" s="1981">
        <f>+DA144/W144*100</f>
        <v>12.01070716899395</v>
      </c>
      <c r="DD144" s="1981"/>
      <c r="DE144" s="1981"/>
      <c r="DF144" s="1981"/>
      <c r="DG144" s="1981"/>
      <c r="DH144" s="2079">
        <f>+DJ144/100*AP144</f>
        <v>0</v>
      </c>
      <c r="DI144" s="2078"/>
      <c r="DJ144" s="2078"/>
      <c r="DK144" s="168"/>
      <c r="DL144" s="1417"/>
      <c r="DM144" s="2028"/>
      <c r="DN144" s="1981"/>
      <c r="DO144" s="168"/>
      <c r="DP144" s="1417"/>
      <c r="DQ144" s="2028"/>
      <c r="DR144" s="1981"/>
      <c r="DS144" s="168"/>
      <c r="DT144" s="1417">
        <v>-19.637</v>
      </c>
      <c r="DU144" s="2028">
        <f>+(DT144/DT137-1)*100</f>
        <v>-10.333333333333329</v>
      </c>
      <c r="DV144" s="1981">
        <f>+DT144/BE144*100</f>
        <v>-7.6134240053348634</v>
      </c>
      <c r="DW144" s="168"/>
      <c r="DX144" s="2027">
        <f>'qtrP&amp;L'!CL61</f>
        <v>236.45700000000033</v>
      </c>
      <c r="DY144" s="2028">
        <f>+(DX144/DX137-1)*100</f>
        <v>59.077117657743905</v>
      </c>
      <c r="DZ144" s="1981">
        <f>(+DX144/BI144)*100</f>
        <v>10.544399548894123</v>
      </c>
      <c r="EA144" s="2005" t="str">
        <f>IF(ROUND(EB144,2)=ROUND(DX144,2)," ","no")</f>
        <v xml:space="preserve"> </v>
      </c>
      <c r="EB144" s="361">
        <f>DT144+DA144+CT144</f>
        <v>236.45800000000003</v>
      </c>
      <c r="EC144" s="24"/>
      <c r="ED144" s="24"/>
      <c r="EE144" s="24"/>
      <c r="EG144" s="2044">
        <v>175</v>
      </c>
      <c r="EH144" s="2037">
        <f>EG144/EG137-1</f>
        <v>0.12903225806451624</v>
      </c>
      <c r="EI144" s="1417">
        <f>+BI144-EG144</f>
        <v>2067.489</v>
      </c>
      <c r="EJ144" s="2037">
        <f>EI144/EI137-1</f>
        <v>8.1322698744769939E-2</v>
      </c>
    </row>
    <row r="145" spans="1:140" hidden="1" outlineLevel="2">
      <c r="A145" s="113" t="str">
        <f>qtrSales!A133</f>
        <v>3Q</v>
      </c>
      <c r="B145" s="24" t="str">
        <f>qtrSales!B133</f>
        <v>Oct</v>
      </c>
      <c r="C145" s="24"/>
      <c r="D145" s="24"/>
      <c r="E145" s="307">
        <v>842</v>
      </c>
      <c r="F145" s="307"/>
      <c r="G145" s="1980">
        <f>+(E145/E138-1)*100</f>
        <v>15.310873733223772</v>
      </c>
      <c r="H145" s="1981">
        <f>+E145/$BI145*100</f>
        <v>42.452397350405718</v>
      </c>
      <c r="I145" s="1981"/>
      <c r="J145" s="1981"/>
      <c r="K145" s="2025">
        <v>257.3</v>
      </c>
      <c r="L145" s="1980">
        <f>+(K145/K138-1)*100</f>
        <v>3.4579815038198625</v>
      </c>
      <c r="M145" s="1981">
        <f>+K145/BI145*100</f>
        <v>12.972686268716618</v>
      </c>
      <c r="N145" s="2025">
        <v>89.8</v>
      </c>
      <c r="O145" s="1980">
        <f>+(N145/N138-1)*100</f>
        <v>-9.109311740890691</v>
      </c>
      <c r="P145" s="1981">
        <f>+N145/BI145*100</f>
        <v>4.5275834703876878</v>
      </c>
      <c r="Q145" s="24"/>
      <c r="R145" s="388">
        <v>1189.0740000000001</v>
      </c>
      <c r="S145" s="1980">
        <f>+(R145/R138-1)*100</f>
        <v>10.315581268485285</v>
      </c>
      <c r="T145" s="1980"/>
      <c r="U145" s="1981">
        <f>+R145/$BI145*100</f>
        <v>59.951356207881631</v>
      </c>
      <c r="V145" s="24"/>
      <c r="W145" s="388">
        <v>467.54700000000003</v>
      </c>
      <c r="X145" s="388"/>
      <c r="Y145" s="388"/>
      <c r="Z145" s="388"/>
      <c r="AA145" s="388"/>
      <c r="AB145" s="388"/>
      <c r="AC145" s="1980">
        <f>+(W145/W138-1)*100</f>
        <v>6.5430208233637321</v>
      </c>
      <c r="AD145" s="1981">
        <f>+W145/$BI145*100</f>
        <v>23.573029719703261</v>
      </c>
      <c r="AE145" s="1981"/>
      <c r="AF145" s="1981"/>
      <c r="AG145" s="1981"/>
      <c r="AH145" s="1981"/>
      <c r="AI145" s="24"/>
      <c r="AJ145" s="24"/>
      <c r="AK145" s="388"/>
      <c r="AL145" s="2094">
        <f>segqtrSales!S715</f>
        <v>409.8</v>
      </c>
      <c r="AM145" s="2094"/>
      <c r="AN145" s="2094"/>
      <c r="AO145" s="2094">
        <f>segqtrSales!S814</f>
        <v>119.2</v>
      </c>
      <c r="AP145" s="2074">
        <f>+AL145+AO145</f>
        <v>529</v>
      </c>
      <c r="AQ145" s="2075">
        <f>+(AP145/AP138-1)*100</f>
        <v>-4.1819420092448993</v>
      </c>
      <c r="AR145" s="2076">
        <f>+AP145/$BI145*100</f>
        <v>26.671399285468677</v>
      </c>
      <c r="AS145" s="24"/>
      <c r="AT145" s="388"/>
      <c r="AU145" s="388"/>
      <c r="AV145" s="388"/>
      <c r="AW145" s="388"/>
      <c r="AX145" s="388"/>
      <c r="AY145" s="388"/>
      <c r="AZ145" s="388"/>
      <c r="BA145" s="388"/>
      <c r="BB145" s="388"/>
      <c r="BC145" s="388"/>
      <c r="BD145" s="1980"/>
      <c r="BE145" s="388">
        <v>326.75099999999998</v>
      </c>
      <c r="BF145" s="1980">
        <f>+(BE145/BE138-1)*100</f>
        <v>25.397586847397257</v>
      </c>
      <c r="BG145" s="1981">
        <f>+BE145/$BI145*100</f>
        <v>16.474303190786721</v>
      </c>
      <c r="BH145" s="24"/>
      <c r="BI145" s="266">
        <f>+E145+K145+W145+BE145+N145</f>
        <v>1983.3979999999999</v>
      </c>
      <c r="BJ145" s="266"/>
      <c r="BK145" s="2889">
        <f>+(BI145/BI138-1)*100</f>
        <v>11.608311490704537</v>
      </c>
      <c r="BL145" s="266">
        <f>+E145+K145+W145+AT145+AY145</f>
        <v>1566.847</v>
      </c>
      <c r="BM145" s="1980">
        <f>+(BL145/BL131-1)*100</f>
        <v>9.996553057985146</v>
      </c>
      <c r="BN145" s="1981">
        <f>+BL145/$BW145*100</f>
        <v>74.759607929395628</v>
      </c>
      <c r="BO145" s="266">
        <f>+AL145+AM145+AN145+AO145+AU145</f>
        <v>529</v>
      </c>
      <c r="BP145" s="1980">
        <f>+(BO145/BO131-1)*100</f>
        <v>-9.4873975316922312</v>
      </c>
      <c r="BQ145" s="1981">
        <f>+BO145/$BW145*100</f>
        <v>25.240392070604393</v>
      </c>
      <c r="BR145" s="24"/>
      <c r="BS145" s="266">
        <f>+AK145+AV145+AW145+AX145</f>
        <v>0</v>
      </c>
      <c r="BT145" s="1980"/>
      <c r="BU145" s="1981">
        <f>+BS145/$BW145*100</f>
        <v>0</v>
      </c>
      <c r="BV145" s="24"/>
      <c r="BW145" s="266">
        <f>+BL145+BO145+BS145</f>
        <v>2095.8469999999998</v>
      </c>
      <c r="BX145" s="1980">
        <f>+(BW145/BW131-1)*100</f>
        <v>4.3280899995022049</v>
      </c>
      <c r="BY145" s="24"/>
      <c r="BZ145" s="389"/>
      <c r="CA145" s="1980"/>
      <c r="CB145" s="1981"/>
      <c r="CC145" s="389"/>
      <c r="CD145" s="1980"/>
      <c r="CE145" s="1981"/>
      <c r="CF145" s="24"/>
      <c r="CG145" s="389"/>
      <c r="CH145" s="1980"/>
      <c r="CI145" s="1981"/>
      <c r="CJ145" s="24"/>
      <c r="CK145" s="389"/>
      <c r="CL145" s="1980"/>
      <c r="CM145" s="1981"/>
      <c r="CN145" s="24"/>
      <c r="CO145" s="266"/>
      <c r="CP145" s="1980"/>
      <c r="CQ145" s="1981"/>
      <c r="CR145" s="1981"/>
      <c r="CS145" s="24"/>
      <c r="CT145" s="1991">
        <v>123.166</v>
      </c>
      <c r="CU145" s="2028">
        <f>+(CT145/CT138-1)*100</f>
        <v>128.31773102233757</v>
      </c>
      <c r="CV145" s="1981">
        <f>+CT145/R145*100</f>
        <v>10.358144236607645</v>
      </c>
      <c r="CW145" s="1991"/>
      <c r="CX145" s="1991"/>
      <c r="CY145" s="1991"/>
      <c r="CZ145" s="168"/>
      <c r="DA145" s="2044">
        <v>31.675999999999998</v>
      </c>
      <c r="DB145" s="2028">
        <f>+(DA145/DA138-1)*100</f>
        <v>103.76970086844644</v>
      </c>
      <c r="DC145" s="1981">
        <f>+DA145/W145*100</f>
        <v>6.7749338569170581</v>
      </c>
      <c r="DD145" s="1981"/>
      <c r="DE145" s="1981"/>
      <c r="DF145" s="1981"/>
      <c r="DG145" s="1981"/>
      <c r="DH145" s="2079">
        <f>+DJ145/100*AP145</f>
        <v>0</v>
      </c>
      <c r="DI145" s="2078"/>
      <c r="DJ145" s="2078"/>
      <c r="DK145" s="168"/>
      <c r="DL145" s="1417"/>
      <c r="DM145" s="2028"/>
      <c r="DN145" s="1981"/>
      <c r="DO145" s="168"/>
      <c r="DP145" s="1417"/>
      <c r="DQ145" s="2028"/>
      <c r="DR145" s="1981"/>
      <c r="DS145" s="168"/>
      <c r="DT145" s="1417">
        <v>-5.7439999999999998</v>
      </c>
      <c r="DU145" s="2028">
        <f>+(DT145/DT138-1)*100</f>
        <v>-45.831761599396451</v>
      </c>
      <c r="DV145" s="1981">
        <f>+DT145/BE145*100</f>
        <v>-1.7579135182447796</v>
      </c>
      <c r="DW145" s="168"/>
      <c r="DX145" s="2027">
        <f>'qtrP&amp;L'!CL62</f>
        <v>149.09800000000018</v>
      </c>
      <c r="DY145" s="2028">
        <f>+(DX145/DX138-1)*100</f>
        <v>153.20200390591842</v>
      </c>
      <c r="DZ145" s="1981">
        <f>(+DX145/BI145)*100</f>
        <v>7.5173011165686461</v>
      </c>
      <c r="EA145" s="2005" t="str">
        <f>IF(ROUND(EB145,1)=ROUND(DX145,1)," ","no")</f>
        <v xml:space="preserve"> </v>
      </c>
      <c r="EB145" s="361">
        <f>DT145+DA145+CT145</f>
        <v>149.09799999999998</v>
      </c>
      <c r="EC145" s="2051"/>
      <c r="ED145" s="24"/>
      <c r="EE145" s="24"/>
      <c r="EG145" s="2044">
        <v>176</v>
      </c>
      <c r="EH145" s="2037">
        <f>EG145/EG138-1</f>
        <v>0.20547945205479445</v>
      </c>
      <c r="EI145" s="1417">
        <f>+BI145-EG145</f>
        <v>1807.3979999999999</v>
      </c>
      <c r="EJ145" s="2037">
        <f>EI145/EI138-1</f>
        <v>0.10815328019619863</v>
      </c>
    </row>
    <row r="146" spans="1:140" hidden="1" outlineLevel="2">
      <c r="A146" s="113" t="str">
        <f>qtrSales!A134</f>
        <v>4Q</v>
      </c>
      <c r="B146" s="24" t="str">
        <f>qtrSales!B134</f>
        <v>Jan</v>
      </c>
      <c r="C146" s="24"/>
      <c r="D146" s="24"/>
      <c r="E146" s="302">
        <v>1393</v>
      </c>
      <c r="F146" s="307"/>
      <c r="G146" s="1980">
        <f>+(E146/E139-1)*100</f>
        <v>15.996336081272378</v>
      </c>
      <c r="H146" s="1981">
        <f>+E146/$BI146*100</f>
        <v>40.304881983081216</v>
      </c>
      <c r="I146" s="1981"/>
      <c r="J146" s="1981"/>
      <c r="K146" s="302">
        <v>503.6</v>
      </c>
      <c r="L146" s="1980">
        <f>+(K146/K139-1)*100</f>
        <v>9.0043290043290156</v>
      </c>
      <c r="M146" s="1981">
        <f>+K146/BI146*100</f>
        <v>14.571097319942355</v>
      </c>
      <c r="N146" s="418">
        <v>121.2</v>
      </c>
      <c r="O146" s="1980">
        <f>+(N146/N139-1)*100</f>
        <v>-9.8884758364312209</v>
      </c>
      <c r="P146" s="1981">
        <f>+N146/BI146*100</f>
        <v>3.5067851373649992</v>
      </c>
      <c r="Q146" s="24"/>
      <c r="R146" s="306">
        <f>+E146+K146+N146</f>
        <v>2017.8</v>
      </c>
      <c r="S146" s="1980">
        <f>+(R146/R139-1)*100</f>
        <v>12.263655462184865</v>
      </c>
      <c r="T146" s="1980"/>
      <c r="U146" s="1981">
        <f>+R146/$BI146*100</f>
        <v>58.38276444038857</v>
      </c>
      <c r="V146" s="24"/>
      <c r="W146" s="302">
        <v>1080.9159999999999</v>
      </c>
      <c r="X146" s="307"/>
      <c r="Y146" s="307"/>
      <c r="Z146" s="307"/>
      <c r="AA146" s="307"/>
      <c r="AB146" s="307"/>
      <c r="AC146" s="1980">
        <f>+(W146/W139-1)*100</f>
        <v>7.2619289793447672</v>
      </c>
      <c r="AD146" s="1981">
        <f>+W146/$BI146*100</f>
        <v>31.275083857590964</v>
      </c>
      <c r="AE146" s="1981"/>
      <c r="AF146" s="1981"/>
      <c r="AG146" s="1981"/>
      <c r="AH146" s="1981"/>
      <c r="AI146" s="24"/>
      <c r="AJ146" s="24"/>
      <c r="AK146" s="388"/>
      <c r="AL146" s="2095">
        <f>segqtrSales!S716</f>
        <v>589.4</v>
      </c>
      <c r="AM146" s="2095"/>
      <c r="AN146" s="2095"/>
      <c r="AO146" s="2095">
        <f>segqtrSales!S815</f>
        <v>154.9</v>
      </c>
      <c r="AP146" s="2082">
        <f>+AL146+AO146</f>
        <v>744.3</v>
      </c>
      <c r="AQ146" s="2075">
        <f>+(AP146/AP139-1)*100</f>
        <v>1.749829118250168</v>
      </c>
      <c r="AR146" s="2076">
        <f>+AP146/$BI146*100</f>
        <v>21.535480014362776</v>
      </c>
      <c r="AS146" s="24"/>
      <c r="AT146" s="388"/>
      <c r="AU146" s="388"/>
      <c r="AV146" s="388"/>
      <c r="AW146" s="388"/>
      <c r="AX146" s="388"/>
      <c r="AY146" s="388"/>
      <c r="AZ146" s="388"/>
      <c r="BA146" s="388"/>
      <c r="BB146" s="388"/>
      <c r="BC146" s="302"/>
      <c r="BD146" s="1980"/>
      <c r="BE146" s="302">
        <v>357.44099999999997</v>
      </c>
      <c r="BF146" s="1980">
        <f>+(BE146/BE139-1)*100</f>
        <v>38.413729810525822</v>
      </c>
      <c r="BG146" s="1981">
        <f>+BE146/$BI146*100</f>
        <v>10.342151702020482</v>
      </c>
      <c r="BH146" s="24"/>
      <c r="BI146" s="1022">
        <f>+E146+K146+W146+BE146+N146</f>
        <v>3456.1569999999992</v>
      </c>
      <c r="BJ146" s="325"/>
      <c r="BK146" s="2889">
        <f>+(BI146/BI139-1)*100</f>
        <v>12.821834472816885</v>
      </c>
      <c r="BL146" s="1022">
        <f>+E146+K146+W146+AT146+AY146</f>
        <v>2977.5159999999996</v>
      </c>
      <c r="BM146" s="1980">
        <f>+(BL146/BL132-1)*100</f>
        <v>13.159709963055576</v>
      </c>
      <c r="BN146" s="1981">
        <f>+BL146/$BW146*100</f>
        <v>80.00169809576829</v>
      </c>
      <c r="BO146" s="1022">
        <f>+AL146+AM146+AN146+AO146+AU146</f>
        <v>744.3</v>
      </c>
      <c r="BP146" s="1980">
        <f>+(BO146/BO132-1)*100</f>
        <v>4.3459974765176046</v>
      </c>
      <c r="BQ146" s="1981">
        <f>+BO146/$BW146*100</f>
        <v>19.998301904231695</v>
      </c>
      <c r="BR146" s="24"/>
      <c r="BS146" s="1022">
        <f>+AK146+AV146+AW146+AX146</f>
        <v>0</v>
      </c>
      <c r="BT146" s="1980"/>
      <c r="BU146" s="1981">
        <f>+BS146/$BW146*100</f>
        <v>0</v>
      </c>
      <c r="BV146" s="24"/>
      <c r="BW146" s="1022">
        <f>+BL146+BO146+BS146</f>
        <v>3721.8159999999998</v>
      </c>
      <c r="BX146" s="1980">
        <f>+(BW146/BW132-1)*100</f>
        <v>11.279989451498862</v>
      </c>
      <c r="BY146" s="24"/>
      <c r="BZ146" s="306"/>
      <c r="CA146" s="1980"/>
      <c r="CB146" s="1981"/>
      <c r="CC146" s="306"/>
      <c r="CD146" s="1980"/>
      <c r="CE146" s="1981"/>
      <c r="CF146" s="24"/>
      <c r="CG146" s="306"/>
      <c r="CH146" s="1980"/>
      <c r="CI146" s="1981"/>
      <c r="CJ146" s="24"/>
      <c r="CK146" s="306"/>
      <c r="CL146" s="1980"/>
      <c r="CM146" s="1981"/>
      <c r="CN146" s="24"/>
      <c r="CO146" s="67"/>
      <c r="CP146" s="1980"/>
      <c r="CQ146" s="1981"/>
      <c r="CR146" s="1981"/>
      <c r="CS146" s="24"/>
      <c r="CT146" s="2096">
        <v>394.81599999999997</v>
      </c>
      <c r="CU146" s="2028">
        <f>+(CT146/CT139-1)*100</f>
        <v>26.948033156916583</v>
      </c>
      <c r="CV146" s="1981">
        <f>+CT146/R146*100</f>
        <v>19.566656754881553</v>
      </c>
      <c r="CW146" s="1413"/>
      <c r="CX146" s="1413"/>
      <c r="CY146" s="1413"/>
      <c r="CZ146" s="168"/>
      <c r="DA146" s="2097">
        <v>330.01499999999999</v>
      </c>
      <c r="DB146" s="2028">
        <f>+(DA146/DA139-1)*100</f>
        <v>12.034314890381115</v>
      </c>
      <c r="DC146" s="1981">
        <f>+DA146/W146*100</f>
        <v>30.531049591272584</v>
      </c>
      <c r="DD146" s="1981"/>
      <c r="DE146" s="1981"/>
      <c r="DF146" s="1981"/>
      <c r="DG146" s="1981"/>
      <c r="DH146" s="2083">
        <f>+CT146+DA146-9</f>
        <v>715.8309999999999</v>
      </c>
      <c r="DI146" s="2078"/>
      <c r="DJ146" s="2078"/>
      <c r="DK146" s="168"/>
      <c r="DL146" s="1419"/>
      <c r="DM146" s="2028"/>
      <c r="DN146" s="1981"/>
      <c r="DO146" s="168"/>
      <c r="DP146" s="1419"/>
      <c r="DQ146" s="2028"/>
      <c r="DR146" s="1981"/>
      <c r="DS146" s="168"/>
      <c r="DT146" s="1419">
        <v>-11.329000000000001</v>
      </c>
      <c r="DU146" s="2028">
        <f>+(DT146/DT139-1)*100</f>
        <v>-43.43136765366755</v>
      </c>
      <c r="DV146" s="1981">
        <f>+DT146/BE146*100</f>
        <v>-3.1694741230021179</v>
      </c>
      <c r="DW146" s="168"/>
      <c r="DX146" s="2152">
        <f>'qtrP&amp;L'!CL63</f>
        <v>713.50200000000018</v>
      </c>
      <c r="DY146" s="2028">
        <f>+(DX146/DX139-1)*100</f>
        <v>21.852841118686261</v>
      </c>
      <c r="DZ146" s="1981">
        <f>(+DX146/BI146)*100</f>
        <v>20.644374662377903</v>
      </c>
      <c r="EA146" s="2005" t="str">
        <f>IF(EB146=DX146," ","no")</f>
        <v xml:space="preserve"> </v>
      </c>
      <c r="EB146" s="361">
        <f>DT146+DA146+CT146</f>
        <v>713.50199999999995</v>
      </c>
      <c r="EC146" s="24"/>
      <c r="ED146" s="24"/>
      <c r="EE146" s="24"/>
      <c r="EG146" s="1419">
        <f>EG147-SUM(EG143:EG145)</f>
        <v>265</v>
      </c>
      <c r="EH146" s="2037">
        <f>EG146/EG139-1</f>
        <v>0.18303571428571419</v>
      </c>
      <c r="EI146" s="1419">
        <f>+BI146-EG146</f>
        <v>3191.1569999999992</v>
      </c>
      <c r="EJ146" s="2037">
        <f>EI146/EI139-1</f>
        <v>0.12404262064107052</v>
      </c>
    </row>
    <row r="147" spans="1:140" hidden="1" outlineLevel="2">
      <c r="A147" s="113"/>
      <c r="B147" s="24" t="str">
        <f>qtrSales!B135</f>
        <v>Year</v>
      </c>
      <c r="C147" s="24"/>
      <c r="D147" s="24"/>
      <c r="E147" s="266">
        <f>+SUM(E143:E146)</f>
        <v>4018.4</v>
      </c>
      <c r="F147" s="266"/>
      <c r="G147" s="1980">
        <f>+(E147/E140-1)*100</f>
        <v>14.9559446160888</v>
      </c>
      <c r="H147" s="1981">
        <f>+E147/$BI147*100</f>
        <v>41.799361400956819</v>
      </c>
      <c r="I147" s="1981"/>
      <c r="J147" s="1981"/>
      <c r="K147" s="266">
        <f>+SUM(K143:K146)</f>
        <v>1502.1</v>
      </c>
      <c r="L147" s="1980">
        <f>+(K147/K140-1)*100</f>
        <v>8.2594594594594497</v>
      </c>
      <c r="M147" s="1981">
        <f>+K147/$BI147*100</f>
        <v>15.624830967643149</v>
      </c>
      <c r="N147" s="2027">
        <f>+SUM(N143:N146)</f>
        <v>398.2</v>
      </c>
      <c r="O147" s="2022">
        <f>+(N147/N140-1)*100</f>
        <v>-5.951818611242321</v>
      </c>
      <c r="P147" s="1981">
        <f>+N147/$BI147*100</f>
        <v>4.142072892161309</v>
      </c>
      <c r="Q147" s="24"/>
      <c r="R147" s="266">
        <f>+SUM(R143:R146)</f>
        <v>5918.7039999999997</v>
      </c>
      <c r="S147" s="1980">
        <f>+(R147/R140-1)*100</f>
        <v>11.533296775567337</v>
      </c>
      <c r="T147" s="1980"/>
      <c r="U147" s="1981">
        <f>+R147/$BI147*100</f>
        <v>61.566306868726038</v>
      </c>
      <c r="V147" s="24"/>
      <c r="W147" s="266">
        <f>+SUM(W143:W146)</f>
        <v>2515.2259999999997</v>
      </c>
      <c r="X147" s="266"/>
      <c r="Y147" s="266"/>
      <c r="Z147" s="266"/>
      <c r="AA147" s="266"/>
      <c r="AB147" s="266"/>
      <c r="AC147" s="1980">
        <f>+(W147/W140-1)*100</f>
        <v>5.5671932520293899</v>
      </c>
      <c r="AD147" s="1981">
        <f>+W147/$BI147*100</f>
        <v>26.163358694774786</v>
      </c>
      <c r="AE147" s="1981"/>
      <c r="AF147" s="1981"/>
      <c r="AG147" s="1981"/>
      <c r="AH147" s="1981"/>
      <c r="AI147" s="24"/>
      <c r="AJ147" s="24"/>
      <c r="AK147" s="388"/>
      <c r="AL147" s="2098">
        <f>+SUM(AL143:AL146)</f>
        <v>1658.1999999999998</v>
      </c>
      <c r="AM147" s="2094"/>
      <c r="AN147" s="2094"/>
      <c r="AO147" s="2098">
        <f>+SUM(AO143:AO146)</f>
        <v>484.6</v>
      </c>
      <c r="AP147" s="2085">
        <f>+SUM(AP143:AP146)</f>
        <v>2142.8429999999998</v>
      </c>
      <c r="AQ147" s="2075">
        <f>+(AP147/AP140-1)*100</f>
        <v>-0.47781579476585678</v>
      </c>
      <c r="AR147" s="2076">
        <f>+AP147/$BI147*100</f>
        <v>22.289834009185373</v>
      </c>
      <c r="AS147" s="24"/>
      <c r="AT147" s="388"/>
      <c r="AU147" s="388"/>
      <c r="AV147" s="388"/>
      <c r="AW147" s="388"/>
      <c r="AX147" s="388"/>
      <c r="AY147" s="388"/>
      <c r="AZ147" s="388"/>
      <c r="BA147" s="388"/>
      <c r="BB147" s="388"/>
      <c r="BC147" s="266"/>
      <c r="BD147" s="1980"/>
      <c r="BE147" s="266">
        <f>+SUM(BE143:BE146)</f>
        <v>1179.6179999999999</v>
      </c>
      <c r="BF147" s="1980">
        <f>+(BE147/BE140-1)*100</f>
        <v>25.060483144232926</v>
      </c>
      <c r="BG147" s="1981">
        <f>+BE147/$BI147*100</f>
        <v>12.270376044463935</v>
      </c>
      <c r="BH147" s="24"/>
      <c r="BI147" s="266">
        <f>+E147+K147+W147+BE147+N147</f>
        <v>9613.5439999999999</v>
      </c>
      <c r="BJ147" s="266"/>
      <c r="BK147" s="2889">
        <f>+(BI147/BI140-1)*100</f>
        <v>11.366850236454361</v>
      </c>
      <c r="BL147" s="266">
        <f>+E147+K147+W147+AT147+AY147</f>
        <v>8035.7259999999997</v>
      </c>
      <c r="BM147" s="1980">
        <f>+(BL147/BL133-1)*100</f>
        <v>7.3417960273364891</v>
      </c>
      <c r="BN147" s="1981">
        <f>+BL147/$BW147*100</f>
        <v>78.947835865428843</v>
      </c>
      <c r="BO147" s="266">
        <f>+AL147+AM147+AN147+AO147+AU147</f>
        <v>2142.7999999999997</v>
      </c>
      <c r="BP147" s="1980">
        <f>+(BO147/BO133-1)*100</f>
        <v>12.990119955769952</v>
      </c>
      <c r="BQ147" s="1981">
        <f>+BO147/$BW147*100</f>
        <v>21.052164134571154</v>
      </c>
      <c r="BR147" s="24"/>
      <c r="BS147" s="266">
        <f>+AK147+AV147+AW147+AX147</f>
        <v>0</v>
      </c>
      <c r="BT147" s="1980"/>
      <c r="BU147" s="1981">
        <f>+BS147/$BW147*100</f>
        <v>0</v>
      </c>
      <c r="BV147" s="24"/>
      <c r="BW147" s="266">
        <f>+BL147+BO147+BS147</f>
        <v>10178.526</v>
      </c>
      <c r="BX147" s="1980">
        <f>+(BW147/BW133-1)*100</f>
        <v>8.4834629354888271</v>
      </c>
      <c r="BY147" s="24"/>
      <c r="BZ147" s="389"/>
      <c r="CA147" s="1980"/>
      <c r="CB147" s="1981"/>
      <c r="CC147" s="389"/>
      <c r="CD147" s="1980"/>
      <c r="CE147" s="1981"/>
      <c r="CF147" s="24"/>
      <c r="CG147" s="389"/>
      <c r="CH147" s="1980"/>
      <c r="CI147" s="1981"/>
      <c r="CJ147" s="24"/>
      <c r="CK147" s="389"/>
      <c r="CL147" s="1980"/>
      <c r="CM147" s="1981"/>
      <c r="CN147" s="24"/>
      <c r="CO147" s="24"/>
      <c r="CP147" s="1980"/>
      <c r="CQ147" s="1981"/>
      <c r="CR147" s="1981"/>
      <c r="CS147" s="24"/>
      <c r="CT147" s="2027">
        <f>+SUM(CT143:CT146)</f>
        <v>876.94200000000001</v>
      </c>
      <c r="CU147" s="2028">
        <f>+(CT147/CT140-1)*100</f>
        <v>51.57714611655102</v>
      </c>
      <c r="CV147" s="1981">
        <f>+CT147/R147*100</f>
        <v>14.816453061345863</v>
      </c>
      <c r="CW147" s="2027"/>
      <c r="CX147" s="2027"/>
      <c r="CY147" s="2027"/>
      <c r="CZ147" s="168"/>
      <c r="DA147" s="2027">
        <f>+SUM(DA143:DA146)</f>
        <v>463.85500000000002</v>
      </c>
      <c r="DB147" s="2028">
        <f>+(DA147/DA140-1)*100</f>
        <v>29.480186688402334</v>
      </c>
      <c r="DC147" s="1981">
        <f>+DA147/W147*100</f>
        <v>18.441881564519456</v>
      </c>
      <c r="DD147" s="1981"/>
      <c r="DE147" s="1981"/>
      <c r="DF147" s="1981"/>
      <c r="DG147" s="1981"/>
      <c r="DH147" s="2076"/>
      <c r="DI147" s="2078"/>
      <c r="DJ147" s="2076"/>
      <c r="DK147" s="168"/>
      <c r="DL147" s="361"/>
      <c r="DM147" s="2028"/>
      <c r="DN147" s="1981"/>
      <c r="DO147" s="168"/>
      <c r="DP147" s="361"/>
      <c r="DQ147" s="2028"/>
      <c r="DR147" s="1981"/>
      <c r="DS147" s="168"/>
      <c r="DT147" s="361">
        <f>+SUM(DT143:DT146)</f>
        <v>-56.762999999999998</v>
      </c>
      <c r="DU147" s="2028">
        <f>+(DT147/DT140-1)*100</f>
        <v>-27.692288094570838</v>
      </c>
      <c r="DV147" s="1981">
        <f>+DT147/BE147*100</f>
        <v>-4.811981505877327</v>
      </c>
      <c r="DW147" s="168"/>
      <c r="DX147" s="2027">
        <f>+SUM(DX143:DX146)</f>
        <v>1284.0330000000008</v>
      </c>
      <c r="DY147" s="2028">
        <f>+(DX147/DX140-1)*100</f>
        <v>49.604676307609253</v>
      </c>
      <c r="DZ147" s="1981">
        <f>(+DX147/BI147)*100</f>
        <v>13.356499954647328</v>
      </c>
      <c r="EA147" s="1981"/>
      <c r="EB147" s="168"/>
      <c r="EC147" s="24"/>
      <c r="ED147" s="24"/>
      <c r="EE147" s="24"/>
      <c r="EG147" s="1982">
        <v>762</v>
      </c>
      <c r="EH147" s="2028"/>
      <c r="EI147" s="1691">
        <f>+BI147-EG147</f>
        <v>8851.5439999999999</v>
      </c>
      <c r="EJ147" s="2037">
        <f>EI147/EI140-1</f>
        <v>0.10727345509131858</v>
      </c>
    </row>
    <row r="148" spans="1:140" hidden="1" outlineLevel="2">
      <c r="A148" s="113"/>
      <c r="B148" s="24"/>
      <c r="C148" s="24"/>
      <c r="D148" s="24"/>
      <c r="E148" s="266"/>
      <c r="F148" s="266"/>
      <c r="G148" s="2087"/>
      <c r="H148" s="1981"/>
      <c r="I148" s="1981"/>
      <c r="J148" s="1981"/>
      <c r="K148" s="266"/>
      <c r="L148" s="1980"/>
      <c r="M148" s="1981"/>
      <c r="N148" s="2027"/>
      <c r="O148" s="2022"/>
      <c r="P148" s="1981"/>
      <c r="Q148" s="24"/>
      <c r="R148" s="266"/>
      <c r="S148" s="1980"/>
      <c r="T148" s="1980"/>
      <c r="U148" s="1981"/>
      <c r="V148" s="24"/>
      <c r="W148" s="266"/>
      <c r="X148" s="266"/>
      <c r="Y148" s="266"/>
      <c r="Z148" s="266"/>
      <c r="AA148" s="266"/>
      <c r="AB148" s="266"/>
      <c r="AC148" s="1980"/>
      <c r="AD148" s="1981"/>
      <c r="AE148" s="1981"/>
      <c r="AF148" s="1981"/>
      <c r="AG148" s="1981"/>
      <c r="AH148" s="1981"/>
      <c r="AI148" s="24"/>
      <c r="AJ148" s="24"/>
      <c r="AK148" s="388"/>
      <c r="AL148" s="2098"/>
      <c r="AM148" s="2094"/>
      <c r="AN148" s="2094"/>
      <c r="AO148" s="2098"/>
      <c r="AP148" s="2085"/>
      <c r="AQ148" s="2075"/>
      <c r="AR148" s="2076"/>
      <c r="AS148" s="24"/>
      <c r="AT148" s="388"/>
      <c r="AU148" s="388"/>
      <c r="AV148" s="388"/>
      <c r="AW148" s="388"/>
      <c r="AX148" s="388"/>
      <c r="AY148" s="388"/>
      <c r="AZ148" s="388"/>
      <c r="BA148" s="388"/>
      <c r="BB148" s="388"/>
      <c r="BC148" s="266"/>
      <c r="BD148" s="1980"/>
      <c r="BE148" s="266"/>
      <c r="BF148" s="1980"/>
      <c r="BG148" s="1981"/>
      <c r="BH148" s="24"/>
      <c r="BI148" s="266"/>
      <c r="BJ148" s="266"/>
      <c r="BK148" s="2889"/>
      <c r="BL148" s="266"/>
      <c r="BM148" s="1980"/>
      <c r="BN148" s="1981"/>
      <c r="BO148" s="266"/>
      <c r="BP148" s="1980"/>
      <c r="BQ148" s="1981"/>
      <c r="BR148" s="24"/>
      <c r="BS148" s="266"/>
      <c r="BT148" s="1980"/>
      <c r="BU148" s="1981"/>
      <c r="BV148" s="24"/>
      <c r="BW148" s="266"/>
      <c r="BX148" s="1980"/>
      <c r="BY148" s="24"/>
      <c r="BZ148" s="389"/>
      <c r="CA148" s="1980"/>
      <c r="CB148" s="1981"/>
      <c r="CC148" s="389"/>
      <c r="CD148" s="1980"/>
      <c r="CE148" s="1981"/>
      <c r="CF148" s="24"/>
      <c r="CG148" s="389"/>
      <c r="CH148" s="1980"/>
      <c r="CI148" s="1981"/>
      <c r="CJ148" s="24"/>
      <c r="CK148" s="389"/>
      <c r="CL148" s="1980"/>
      <c r="CM148" s="1981"/>
      <c r="CN148" s="24"/>
      <c r="CO148" s="24"/>
      <c r="CP148" s="1980"/>
      <c r="CQ148" s="1981"/>
      <c r="CR148" s="1981"/>
      <c r="CS148" s="24"/>
      <c r="CT148" s="2027"/>
      <c r="CU148" s="2028"/>
      <c r="CV148" s="1981"/>
      <c r="CW148" s="2027"/>
      <c r="CX148" s="2027"/>
      <c r="CY148" s="2027"/>
      <c r="CZ148" s="168"/>
      <c r="DA148" s="2027"/>
      <c r="DB148" s="2028"/>
      <c r="DC148" s="1981"/>
      <c r="DD148" s="1981"/>
      <c r="DE148" s="1981"/>
      <c r="DF148" s="1981"/>
      <c r="DG148" s="1981"/>
      <c r="DH148" s="2086"/>
      <c r="DI148" s="2078"/>
      <c r="DJ148" s="2076"/>
      <c r="DK148" s="168"/>
      <c r="DL148" s="361"/>
      <c r="DM148" s="2028"/>
      <c r="DN148" s="1981"/>
      <c r="DO148" s="168"/>
      <c r="DP148" s="361"/>
      <c r="DQ148" s="2028"/>
      <c r="DR148" s="1981"/>
      <c r="DS148" s="168"/>
      <c r="DT148" s="361"/>
      <c r="DU148" s="2028"/>
      <c r="DV148" s="1981"/>
      <c r="DW148" s="168"/>
      <c r="DX148" s="2027"/>
      <c r="DY148" s="2028"/>
      <c r="DZ148" s="1981"/>
      <c r="EA148" s="1981"/>
      <c r="EB148" s="168"/>
      <c r="EC148" s="24"/>
      <c r="ED148" s="24"/>
      <c r="EE148" s="24"/>
      <c r="EG148" s="361"/>
      <c r="EH148" s="2028"/>
      <c r="EI148" s="361"/>
      <c r="EJ148" s="2028"/>
    </row>
    <row r="149" spans="1:140" hidden="1" outlineLevel="2">
      <c r="A149" s="113"/>
      <c r="B149" s="135" t="str">
        <f>qtrSales!B165</f>
        <v>2011A</v>
      </c>
      <c r="C149" s="24"/>
      <c r="D149" s="24"/>
      <c r="E149" s="428"/>
      <c r="F149" s="428"/>
      <c r="G149" s="1980"/>
      <c r="H149" s="1981"/>
      <c r="I149" s="1981"/>
      <c r="J149" s="1981"/>
      <c r="K149" s="24"/>
      <c r="L149" s="1980"/>
      <c r="M149" s="1981"/>
      <c r="N149" s="428"/>
      <c r="O149" s="1981"/>
      <c r="P149" s="1981"/>
      <c r="Q149" s="24"/>
      <c r="R149" s="428"/>
      <c r="S149" s="1980"/>
      <c r="T149" s="1980"/>
      <c r="U149" s="1981"/>
      <c r="V149" s="428"/>
      <c r="W149" s="428"/>
      <c r="X149" s="428"/>
      <c r="Y149" s="428"/>
      <c r="Z149" s="428"/>
      <c r="AA149" s="428"/>
      <c r="AB149" s="428"/>
      <c r="AC149" s="1980"/>
      <c r="AD149" s="1981"/>
      <c r="AE149" s="1981"/>
      <c r="AF149" s="1981"/>
      <c r="AG149" s="1981"/>
      <c r="AH149" s="1981"/>
      <c r="AI149" s="24"/>
      <c r="AJ149" s="399"/>
      <c r="AK149" s="24"/>
      <c r="AL149" s="2088"/>
      <c r="AM149" s="2089"/>
      <c r="AN149" s="2089"/>
      <c r="AO149" s="2088"/>
      <c r="AP149" s="2090"/>
      <c r="AQ149" s="2075"/>
      <c r="AR149" s="2076"/>
      <c r="AS149" s="24"/>
      <c r="AT149" s="24"/>
      <c r="AU149" s="24"/>
      <c r="AV149" s="24"/>
      <c r="AW149" s="24"/>
      <c r="AX149" s="24"/>
      <c r="AY149" s="24"/>
      <c r="AZ149" s="24"/>
      <c r="BA149" s="24"/>
      <c r="BB149" s="24"/>
      <c r="BC149" s="381"/>
      <c r="BD149" s="2070"/>
      <c r="BE149" s="381"/>
      <c r="BF149" s="2070"/>
      <c r="BG149" s="1981"/>
      <c r="BH149" s="24"/>
      <c r="BI149" s="24"/>
      <c r="BJ149" s="24"/>
      <c r="BK149" s="2889"/>
      <c r="BL149" s="389"/>
      <c r="BM149" s="1988"/>
      <c r="BN149" s="1989"/>
      <c r="BO149" s="389"/>
      <c r="BP149" s="389"/>
      <c r="BQ149" s="389"/>
      <c r="BR149" s="389"/>
      <c r="BS149" s="389"/>
      <c r="BT149" s="389"/>
      <c r="BU149" s="389"/>
      <c r="BV149" s="389"/>
      <c r="BW149" s="266"/>
      <c r="BX149" s="24"/>
      <c r="BY149" s="24"/>
      <c r="BZ149" s="389"/>
      <c r="CA149" s="1988"/>
      <c r="CB149" s="1989"/>
      <c r="CC149" s="389"/>
      <c r="CD149" s="389"/>
      <c r="CE149" s="389"/>
      <c r="CF149" s="389"/>
      <c r="CG149" s="389"/>
      <c r="CH149" s="389"/>
      <c r="CI149" s="389"/>
      <c r="CJ149" s="389"/>
      <c r="CK149" s="389"/>
      <c r="CL149" s="389"/>
      <c r="CM149" s="389"/>
      <c r="CN149" s="389"/>
      <c r="CO149" s="266"/>
      <c r="CP149" s="24"/>
      <c r="CQ149" s="24"/>
      <c r="CR149" s="24"/>
      <c r="CS149" s="24"/>
      <c r="CT149" s="164"/>
      <c r="CU149" s="24"/>
      <c r="CV149" s="2071"/>
      <c r="CW149" s="164"/>
      <c r="CX149" s="164"/>
      <c r="CY149" s="164"/>
      <c r="CZ149" s="24"/>
      <c r="DA149" s="24"/>
      <c r="DB149" s="24"/>
      <c r="DC149" s="24"/>
      <c r="DD149" s="24"/>
      <c r="DE149" s="24"/>
      <c r="DF149" s="24"/>
      <c r="DG149" s="24"/>
      <c r="DH149" s="2091"/>
      <c r="DI149" s="2092"/>
      <c r="DJ149" s="2093"/>
      <c r="DK149" s="24"/>
      <c r="DL149" s="24"/>
      <c r="DM149" s="24"/>
      <c r="DN149" s="24"/>
      <c r="DO149" s="24"/>
      <c r="DP149" s="24"/>
      <c r="DQ149" s="24"/>
      <c r="DR149" s="24"/>
      <c r="DS149" s="24"/>
      <c r="DT149" s="24"/>
      <c r="DU149" s="24"/>
      <c r="DV149" s="24"/>
      <c r="DW149" s="24"/>
      <c r="DX149" s="266"/>
      <c r="DY149" s="24"/>
      <c r="DZ149" s="1981"/>
      <c r="EA149" s="24"/>
      <c r="EB149" s="24"/>
      <c r="EC149" s="24"/>
      <c r="ED149" s="24"/>
      <c r="EE149" s="24"/>
      <c r="EG149" s="24"/>
      <c r="EH149" s="24"/>
      <c r="EI149" s="24"/>
      <c r="EJ149" s="24"/>
    </row>
    <row r="150" spans="1:140" hidden="1" outlineLevel="2">
      <c r="A150" s="113" t="str">
        <f>qtrSales!A138</f>
        <v>1Q</v>
      </c>
      <c r="B150" s="24" t="str">
        <f>qtrSales!B138</f>
        <v>Apr</v>
      </c>
      <c r="C150" s="24"/>
      <c r="D150" s="24"/>
      <c r="E150" s="1982">
        <v>986.6</v>
      </c>
      <c r="F150" s="1982"/>
      <c r="G150" s="1980">
        <f>+(E150/E143-1)*100</f>
        <v>19.140200458881786</v>
      </c>
      <c r="H150" s="1981">
        <f>+E150/$BI150*100</f>
        <v>44.50031415435646</v>
      </c>
      <c r="I150" s="1981"/>
      <c r="J150" s="1981"/>
      <c r="K150" s="1982">
        <v>368.9</v>
      </c>
      <c r="L150" s="1980">
        <f>+(K150/K143-1)*100</f>
        <v>5.3398058252427161</v>
      </c>
      <c r="M150" s="1981">
        <f>+K150/BI150*100</f>
        <v>16.639130236714063</v>
      </c>
      <c r="N150" s="2041">
        <v>88.3</v>
      </c>
      <c r="O150" s="1980">
        <f>+(N150/N143-1)*100</f>
        <v>3.3957845433255196</v>
      </c>
      <c r="P150" s="1981">
        <f>+N150/BI150*100</f>
        <v>3.982746543512746</v>
      </c>
      <c r="Q150" s="24"/>
      <c r="R150" s="381">
        <f>+E150+K150+N150</f>
        <v>1443.8</v>
      </c>
      <c r="S150" s="1980">
        <f>+(R150/R143-1)*100</f>
        <v>14.25107698930448</v>
      </c>
      <c r="T150" s="1980"/>
      <c r="U150" s="1981">
        <f>+R150/$BI150*100</f>
        <v>65.122190934583273</v>
      </c>
      <c r="V150" s="24"/>
      <c r="W150" s="1982">
        <v>479.70400000000001</v>
      </c>
      <c r="X150" s="1982"/>
      <c r="Y150" s="1982"/>
      <c r="Z150" s="1982"/>
      <c r="AA150" s="1982"/>
      <c r="AB150" s="1982"/>
      <c r="AC150" s="1980">
        <f>+(W150/W143-1)*100</f>
        <v>11.48129212177551</v>
      </c>
      <c r="AD150" s="1981">
        <f>+W150/$BI150*100</f>
        <v>21.636913339855475</v>
      </c>
      <c r="AE150" s="1981"/>
      <c r="AF150" s="1981"/>
      <c r="AG150" s="1981"/>
      <c r="AH150" s="1981"/>
      <c r="AI150" s="24"/>
      <c r="AJ150" s="24"/>
      <c r="AK150" s="2011">
        <f>0.75*2.1</f>
        <v>1.5750000000000002</v>
      </c>
      <c r="AL150" s="2094">
        <v>388.2</v>
      </c>
      <c r="AM150" s="2094"/>
      <c r="AN150" s="2094"/>
      <c r="AO150" s="2094">
        <v>111</v>
      </c>
      <c r="AP150" s="2074"/>
      <c r="AQ150" s="2075"/>
      <c r="AR150" s="2099"/>
      <c r="AS150" s="24"/>
      <c r="AT150" s="1982"/>
      <c r="AU150" s="1982"/>
      <c r="AV150" s="1982"/>
      <c r="AW150" s="1982"/>
      <c r="AX150" s="1982"/>
      <c r="AY150" s="1982"/>
      <c r="AZ150" s="1982"/>
      <c r="BA150" s="1982"/>
      <c r="BB150" s="1982"/>
      <c r="BC150" s="1982"/>
      <c r="BD150" s="1980"/>
      <c r="BE150" s="1982">
        <f>293.559</f>
        <v>293.55900000000003</v>
      </c>
      <c r="BF150" s="1980">
        <f>+(BE150/BE143-1)*100</f>
        <v>23.603789473684223</v>
      </c>
      <c r="BG150" s="1981">
        <f>+BE150/$BI150*100</f>
        <v>13.24089572556125</v>
      </c>
      <c r="BH150" s="24"/>
      <c r="BI150" s="381">
        <f>+E150+K150+W150+BE150+N150</f>
        <v>2217.0630000000001</v>
      </c>
      <c r="BJ150" s="381"/>
      <c r="BK150" s="2889">
        <f>+(BI150/BI143-1)*100</f>
        <v>14.78451980326172</v>
      </c>
      <c r="BL150" s="381">
        <f>+E150+K150+W150+AT150+AY150</f>
        <v>1835.204</v>
      </c>
      <c r="BM150" s="1980">
        <f>+(BL150/BL136-1)*100</f>
        <v>26.857127057310937</v>
      </c>
      <c r="BN150" s="1981">
        <f>+BL150/$BW150*100</f>
        <v>78.562521324035885</v>
      </c>
      <c r="BO150" s="381">
        <f>+AL150+AM150+AN150+AO150+AU150</f>
        <v>499.2</v>
      </c>
      <c r="BP150" s="1980">
        <f>+(BO150/BO136-1)*100</f>
        <v>0</v>
      </c>
      <c r="BQ150" s="1981">
        <f>+BO150/$BW150*100</f>
        <v>21.370055124639393</v>
      </c>
      <c r="BR150" s="389"/>
      <c r="BS150" s="381">
        <f>+AK150+AV150+AW150+AX150</f>
        <v>1.5750000000000002</v>
      </c>
      <c r="BT150" s="1980"/>
      <c r="BU150" s="1981">
        <f>+BS150/$BW150*100</f>
        <v>6.7423551324733669E-2</v>
      </c>
      <c r="BV150" s="389"/>
      <c r="BW150" s="381">
        <f>+BL150+BO150+BS150</f>
        <v>2335.9789999999998</v>
      </c>
      <c r="BX150" s="1980">
        <f>+(BW150/BW136-1)*100</f>
        <v>19.950961387869736</v>
      </c>
      <c r="BY150" s="24"/>
      <c r="BZ150" s="390"/>
      <c r="CA150" s="1980"/>
      <c r="CB150" s="1981"/>
      <c r="CC150" s="390"/>
      <c r="CD150" s="1980"/>
      <c r="CE150" s="1981"/>
      <c r="CF150" s="389"/>
      <c r="CG150" s="390"/>
      <c r="CH150" s="1980"/>
      <c r="CI150" s="1981"/>
      <c r="CJ150" s="24"/>
      <c r="CK150" s="390"/>
      <c r="CL150" s="1980"/>
      <c r="CM150" s="1981"/>
      <c r="CN150" s="24"/>
      <c r="CO150" s="165"/>
      <c r="CP150" s="1980"/>
      <c r="CQ150" s="1981"/>
      <c r="CR150" s="1981"/>
      <c r="CS150" s="24"/>
      <c r="CT150" s="2023">
        <v>239.67699999999999</v>
      </c>
      <c r="CU150" s="2028">
        <f>+(CT150/CT143-1)*100</f>
        <v>43.263517794594073</v>
      </c>
      <c r="CV150" s="1981">
        <f>+CT150/R150*100</f>
        <v>16.600429422357667</v>
      </c>
      <c r="CW150" s="2023"/>
      <c r="CX150" s="2023"/>
      <c r="CY150" s="2023"/>
      <c r="CZ150" s="168"/>
      <c r="DA150" s="2023">
        <v>54.222999999999999</v>
      </c>
      <c r="DB150" s="2028">
        <f>+(DA150/DA143-1)*100</f>
        <v>43.709416660040802</v>
      </c>
      <c r="DC150" s="1981">
        <f>+DA150/W150*100</f>
        <v>11.303428781081665</v>
      </c>
      <c r="DD150" s="1981"/>
      <c r="DE150" s="1981"/>
      <c r="DF150" s="1981"/>
      <c r="DG150" s="1981"/>
      <c r="DH150" s="2077">
        <f>+DJ150/100*AP150</f>
        <v>0</v>
      </c>
      <c r="DI150" s="2078"/>
      <c r="DJ150" s="2078"/>
      <c r="DK150" s="168"/>
      <c r="DL150" s="1691"/>
      <c r="DM150" s="2028"/>
      <c r="DN150" s="1981"/>
      <c r="DO150" s="168"/>
      <c r="DP150" s="1691"/>
      <c r="DQ150" s="2028"/>
      <c r="DR150" s="1981"/>
      <c r="DS150" s="168"/>
      <c r="DT150" s="1691">
        <v>-27.077000000000002</v>
      </c>
      <c r="DU150" s="2028">
        <f>+(DT150/DT143-1)*100</f>
        <v>35.027177978357351</v>
      </c>
      <c r="DV150" s="1981">
        <f>+DT150/BE150*100</f>
        <v>-9.2236994948204618</v>
      </c>
      <c r="DW150" s="168"/>
      <c r="DX150" s="2027">
        <f>'qtrP&amp;L'!CP60</f>
        <v>266.82299999999987</v>
      </c>
      <c r="DY150" s="2028">
        <f>+(DX150/DX143-1)*100</f>
        <v>44.247361819911646</v>
      </c>
      <c r="DZ150" s="1981">
        <f>(+DX150/BI150)*100</f>
        <v>12.034976002035117</v>
      </c>
      <c r="EA150" s="2005" t="str">
        <f>IF(ROUND(EB150,0)=ROUND(DX150,0)," ","no")</f>
        <v xml:space="preserve"> </v>
      </c>
      <c r="EB150" s="361">
        <f>DT150+DA150+CT150</f>
        <v>266.82299999999998</v>
      </c>
      <c r="EC150" s="24"/>
      <c r="ED150" s="24"/>
      <c r="EE150" s="24"/>
      <c r="EG150" s="2023">
        <v>190</v>
      </c>
      <c r="EH150" s="2037">
        <f>EG150/EG143-1</f>
        <v>0.30136986301369872</v>
      </c>
      <c r="EI150" s="1691">
        <f>+BI150-EG150</f>
        <v>2027.0630000000001</v>
      </c>
      <c r="EJ150" s="2037">
        <f>EI150/EI143-1</f>
        <v>0.13529151498179792</v>
      </c>
    </row>
    <row r="151" spans="1:140" hidden="1" outlineLevel="2">
      <c r="A151" s="113" t="str">
        <f>qtrSales!A139</f>
        <v>2Q</v>
      </c>
      <c r="B151" s="24" t="str">
        <f>qtrSales!B139</f>
        <v>Jul</v>
      </c>
      <c r="C151" s="24"/>
      <c r="D151" s="24"/>
      <c r="E151" s="307">
        <v>1063.5999999999999</v>
      </c>
      <c r="F151" s="307"/>
      <c r="G151" s="1980">
        <f>+(E151/E144-1)*100</f>
        <v>11.336752852507059</v>
      </c>
      <c r="H151" s="1981">
        <f>+E151/$BI151*100</f>
        <v>43.269262062995104</v>
      </c>
      <c r="I151" s="1981"/>
      <c r="J151" s="1981"/>
      <c r="K151" s="307">
        <v>392.9</v>
      </c>
      <c r="L151" s="1980">
        <f>+(K151/K144-1)*100</f>
        <v>0.48593350383632217</v>
      </c>
      <c r="M151" s="1981">
        <f>+K151/BI151*100</f>
        <v>15.983916006535143</v>
      </c>
      <c r="N151" s="2025">
        <v>114.2</v>
      </c>
      <c r="O151" s="1980">
        <f>+(N151/N144-1)*100</f>
        <v>12.180746561886057</v>
      </c>
      <c r="P151" s="1981">
        <f>+N151/BI151*100</f>
        <v>4.6458722523449056</v>
      </c>
      <c r="Q151" s="24"/>
      <c r="R151" s="387">
        <f>+E151+K151+N151</f>
        <v>1570.7</v>
      </c>
      <c r="S151" s="1980">
        <f>+(R151/R144-1)*100</f>
        <v>8.464618312545479</v>
      </c>
      <c r="T151" s="1980"/>
      <c r="U151" s="1981">
        <f>+R151/$BI151*100</f>
        <v>63.899050321875151</v>
      </c>
      <c r="V151" s="24"/>
      <c r="W151" s="307">
        <v>563.024</v>
      </c>
      <c r="X151" s="307"/>
      <c r="Y151" s="307"/>
      <c r="Z151" s="307"/>
      <c r="AA151" s="307"/>
      <c r="AB151" s="307"/>
      <c r="AC151" s="1980">
        <f>+(W151/W144-1)*100</f>
        <v>4.9511336289734809</v>
      </c>
      <c r="AD151" s="1981">
        <f>+W151/$BI151*100</f>
        <v>22.904882478145691</v>
      </c>
      <c r="AE151" s="1981"/>
      <c r="AF151" s="1981"/>
      <c r="AG151" s="1981"/>
      <c r="AH151" s="1981"/>
      <c r="AI151" s="24"/>
      <c r="AJ151" s="24"/>
      <c r="AK151" s="388"/>
      <c r="AL151" s="2094">
        <v>270.8</v>
      </c>
      <c r="AM151" s="2094"/>
      <c r="AN151" s="2094"/>
      <c r="AO151" s="2094">
        <v>99.5</v>
      </c>
      <c r="AP151" s="2074"/>
      <c r="AQ151" s="2075"/>
      <c r="AR151" s="2099"/>
      <c r="AS151" s="24"/>
      <c r="AT151" s="388"/>
      <c r="AU151" s="388"/>
      <c r="AV151" s="388"/>
      <c r="AW151" s="388"/>
      <c r="AX151" s="388"/>
      <c r="AY151" s="388"/>
      <c r="AZ151" s="388"/>
      <c r="BA151" s="388"/>
      <c r="BB151" s="388"/>
      <c r="BC151" s="388"/>
      <c r="BD151" s="1980"/>
      <c r="BE151" s="388">
        <v>324.37200000000001</v>
      </c>
      <c r="BF151" s="1980">
        <f>+(BE151/BE144-1)*100</f>
        <v>25.761652567015346</v>
      </c>
      <c r="BG151" s="1981">
        <f>+BE151/$BI151*100</f>
        <v>13.196067199979176</v>
      </c>
      <c r="BH151" s="24"/>
      <c r="BI151" s="266">
        <f>+E151+K151+W151+BE151+N151</f>
        <v>2458.0959999999995</v>
      </c>
      <c r="BJ151" s="266"/>
      <c r="BK151" s="2889">
        <f>+(BI151/BI144-1)*100</f>
        <v>9.614629101859574</v>
      </c>
      <c r="BL151" s="266">
        <f>+E151+K151+W151+AT151+AY151</f>
        <v>2019.5239999999999</v>
      </c>
      <c r="BM151" s="1980">
        <f>+(BL151/BL137-1)*100</f>
        <v>16.69205220715526</v>
      </c>
      <c r="BN151" s="1981">
        <f>+BL151/$BW151*100</f>
        <v>84.505135106183545</v>
      </c>
      <c r="BO151" s="266">
        <f>+AL151+AM151+AN151+AO151+AU151</f>
        <v>370.3</v>
      </c>
      <c r="BP151" s="1980">
        <f>+(BO151/BO137-1)*100</f>
        <v>0</v>
      </c>
      <c r="BQ151" s="1981">
        <f>+BO151/$BW151*100</f>
        <v>15.494864893816448</v>
      </c>
      <c r="BR151" s="389"/>
      <c r="BS151" s="266">
        <f>+AK151+AV151+AW151+AX151</f>
        <v>0</v>
      </c>
      <c r="BT151" s="1980"/>
      <c r="BU151" s="1981">
        <f>+BS151/$BW151*100</f>
        <v>0</v>
      </c>
      <c r="BV151" s="389"/>
      <c r="BW151" s="266">
        <f>+BL151+BO151+BS151</f>
        <v>2389.8240000000001</v>
      </c>
      <c r="BX151" s="1980">
        <f>+(BW151/BW137-1)*100</f>
        <v>13.75000951953027</v>
      </c>
      <c r="BY151" s="24"/>
      <c r="BZ151" s="389"/>
      <c r="CA151" s="1980"/>
      <c r="CB151" s="1981"/>
      <c r="CC151" s="389"/>
      <c r="CD151" s="1980"/>
      <c r="CE151" s="1981"/>
      <c r="CF151" s="389"/>
      <c r="CG151" s="389"/>
      <c r="CH151" s="1980"/>
      <c r="CI151" s="1981"/>
      <c r="CJ151" s="389"/>
      <c r="CK151" s="389"/>
      <c r="CL151" s="1980"/>
      <c r="CM151" s="1981"/>
      <c r="CN151" s="389"/>
      <c r="CO151" s="266"/>
      <c r="CP151" s="1980"/>
      <c r="CQ151" s="1981"/>
      <c r="CR151" s="1981"/>
      <c r="CS151" s="24"/>
      <c r="CT151" s="1991">
        <v>239</v>
      </c>
      <c r="CU151" s="2028">
        <f>+(CT151/CT144-1)*100</f>
        <v>24.698688315889417</v>
      </c>
      <c r="CV151" s="1981">
        <f>+CT151/R151*100</f>
        <v>15.216145667536768</v>
      </c>
      <c r="CW151" s="1991"/>
      <c r="CX151" s="1991"/>
      <c r="CY151" s="1991"/>
      <c r="CZ151" s="168"/>
      <c r="DA151" s="2044">
        <v>70.099999999999994</v>
      </c>
      <c r="DB151" s="2028">
        <f>+(DA151/DA144-1)*100</f>
        <v>8.7951825927707681</v>
      </c>
      <c r="DC151" s="1981">
        <f>+DA151/W151*100</f>
        <v>12.450623774474977</v>
      </c>
      <c r="DD151" s="1981"/>
      <c r="DE151" s="1981"/>
      <c r="DF151" s="1981"/>
      <c r="DG151" s="1981"/>
      <c r="DH151" s="2079"/>
      <c r="DI151" s="2078"/>
      <c r="DJ151" s="2078"/>
      <c r="DK151" s="168"/>
      <c r="DL151" s="1417"/>
      <c r="DM151" s="2028"/>
      <c r="DN151" s="1981"/>
      <c r="DO151" s="168"/>
      <c r="DP151" s="1417"/>
      <c r="DQ151" s="2028"/>
      <c r="DR151" s="1981"/>
      <c r="DS151" s="168"/>
      <c r="DT151" s="1417">
        <v>-2.2000000000000002</v>
      </c>
      <c r="DU151" s="2028">
        <f>+(DT151/DT144-1)*100</f>
        <v>-88.79665936752049</v>
      </c>
      <c r="DV151" s="1981">
        <f>+DT151/BE151*100</f>
        <v>-0.67823363298928396</v>
      </c>
      <c r="DW151" s="168"/>
      <c r="DX151" s="2027">
        <f>'qtrP&amp;L'!CP61</f>
        <v>306.96100000000013</v>
      </c>
      <c r="DY151" s="2028">
        <f>+(DX151/DX144-1)*100</f>
        <v>29.816837733710443</v>
      </c>
      <c r="DZ151" s="1981">
        <f>(+DX151/BI151)*100</f>
        <v>12.487754750017906</v>
      </c>
      <c r="EA151" s="2005" t="str">
        <f>IF(ROUND(EB151,0)=ROUND(DX151,0)," ","no")</f>
        <v xml:space="preserve"> </v>
      </c>
      <c r="EB151" s="361">
        <f>DT151+DA151+CT151</f>
        <v>306.89999999999998</v>
      </c>
      <c r="EC151" s="24"/>
      <c r="ED151" s="24"/>
      <c r="EE151" s="24"/>
      <c r="EG151" s="2044">
        <v>245</v>
      </c>
      <c r="EH151" s="2037">
        <f>EG151/EG144-1</f>
        <v>0.39999999999999991</v>
      </c>
      <c r="EI151" s="1417">
        <f>+BI151-EG151</f>
        <v>2213.0959999999995</v>
      </c>
      <c r="EJ151" s="2037">
        <f>EI151/EI144-1</f>
        <v>7.0426976878716019E-2</v>
      </c>
    </row>
    <row r="152" spans="1:140" hidden="1" outlineLevel="2">
      <c r="A152" s="113" t="str">
        <f>qtrSales!A140</f>
        <v>3Q</v>
      </c>
      <c r="B152" s="24" t="str">
        <f>qtrSales!B140</f>
        <v>Oct</v>
      </c>
      <c r="C152" s="24"/>
      <c r="D152" s="24"/>
      <c r="E152" s="307">
        <v>941.6</v>
      </c>
      <c r="F152" s="307"/>
      <c r="G152" s="1980">
        <f>+(E152/E145-1)*100</f>
        <v>11.82897862232779</v>
      </c>
      <c r="H152" s="1981">
        <f>+E152/$BI152*100</f>
        <v>43.322608503212159</v>
      </c>
      <c r="I152" s="1981"/>
      <c r="J152" s="1981"/>
      <c r="K152" s="307">
        <v>276.89999999999998</v>
      </c>
      <c r="L152" s="1980">
        <f>+(K152/K145-1)*100</f>
        <v>7.6175670423629827</v>
      </c>
      <c r="M152" s="1981">
        <f>+K152/BI152*100</f>
        <v>12.740049165823542</v>
      </c>
      <c r="N152" s="2025">
        <v>92.9</v>
      </c>
      <c r="O152" s="1980">
        <f>+(N152/N145-1)*100</f>
        <v>3.4521158129175999</v>
      </c>
      <c r="P152" s="1981">
        <f>+N152/BI152*100</f>
        <v>4.2742887956121605</v>
      </c>
      <c r="Q152" s="24"/>
      <c r="R152" s="387">
        <f>+E152+K152+N152</f>
        <v>1311.4</v>
      </c>
      <c r="S152" s="1980">
        <f>+(R152/R145-1)*100</f>
        <v>10.287501030213431</v>
      </c>
      <c r="T152" s="1980"/>
      <c r="U152" s="1981">
        <f>+R152/$BI152*100</f>
        <v>60.336946464647866</v>
      </c>
      <c r="V152" s="24"/>
      <c r="W152" s="307">
        <v>503.714</v>
      </c>
      <c r="X152" s="307"/>
      <c r="Y152" s="307"/>
      <c r="Z152" s="307"/>
      <c r="AA152" s="307"/>
      <c r="AB152" s="307"/>
      <c r="AC152" s="1980">
        <f>+(W152/W145-1)*100</f>
        <v>7.7354789999721785</v>
      </c>
      <c r="AD152" s="1981">
        <f>+W152/$BI152*100</f>
        <v>23.175663147394872</v>
      </c>
      <c r="AE152" s="1981"/>
      <c r="AF152" s="1981"/>
      <c r="AG152" s="1981"/>
      <c r="AH152" s="1981"/>
      <c r="AI152" s="24"/>
      <c r="AJ152" s="24"/>
      <c r="AK152" s="388"/>
      <c r="AL152" s="2094">
        <f>segqtrSales!S722</f>
        <v>420.85315962777383</v>
      </c>
      <c r="AM152" s="2094"/>
      <c r="AN152" s="2094"/>
      <c r="AO152" s="2094">
        <f>segqtrSales!S821</f>
        <v>116.09390235081374</v>
      </c>
      <c r="AP152" s="2094"/>
      <c r="AQ152" s="2088"/>
      <c r="AR152" s="381"/>
      <c r="AS152" s="24"/>
      <c r="AT152" s="388"/>
      <c r="AU152" s="388"/>
      <c r="AV152" s="388"/>
      <c r="AW152" s="388"/>
      <c r="AX152" s="388"/>
      <c r="AY152" s="388"/>
      <c r="AZ152" s="388"/>
      <c r="BA152" s="388"/>
      <c r="BB152" s="388"/>
      <c r="BC152" s="388"/>
      <c r="BD152" s="1980"/>
      <c r="BE152" s="388">
        <v>358.34699999999998</v>
      </c>
      <c r="BF152" s="1980">
        <f>+(BE152/BE145-1)*100</f>
        <v>9.6697485241055148</v>
      </c>
      <c r="BG152" s="1981">
        <f>+BE152/$BI152*100</f>
        <v>16.487390387957273</v>
      </c>
      <c r="BH152" s="24"/>
      <c r="BI152" s="266">
        <f>+E152+K152+W152+BE152+N152</f>
        <v>2173.4609999999998</v>
      </c>
      <c r="BJ152" s="266"/>
      <c r="BK152" s="2889">
        <f>+(BI152/BI145-1)*100</f>
        <v>9.5826959591569505</v>
      </c>
      <c r="BL152" s="266">
        <f>+E152+K152+W152+AT152+AY152</f>
        <v>1722.2139999999999</v>
      </c>
      <c r="BM152" s="1980">
        <f>+(BL152/BL138-1)*100</f>
        <v>21.476525215590492</v>
      </c>
      <c r="BN152" s="1981">
        <f>+BL152/$BW152*100</f>
        <v>76.232457658050919</v>
      </c>
      <c r="BO152" s="266">
        <f>+AL152+AM152+AN152+AO152+AU152</f>
        <v>536.94706197858761</v>
      </c>
      <c r="BP152" s="1980">
        <f>+(BO152/BO138-1)*100</f>
        <v>-2.7424863466353866</v>
      </c>
      <c r="BQ152" s="1981">
        <f>+BO152/$BW152*100</f>
        <v>23.767542341949095</v>
      </c>
      <c r="BR152" s="24"/>
      <c r="BS152" s="266">
        <f>+AK152+AV152+AW152+AX152</f>
        <v>0</v>
      </c>
      <c r="BT152" s="1980"/>
      <c r="BU152" s="1981">
        <f>+BS152/$BW152*100</f>
        <v>0</v>
      </c>
      <c r="BV152" s="24"/>
      <c r="BW152" s="266">
        <f>+BL152+BO152+BS152</f>
        <v>2259.1610619785874</v>
      </c>
      <c r="BX152" s="1980">
        <f>+(BW152/BW138-1)*100</f>
        <v>14.688589221695537</v>
      </c>
      <c r="BY152" s="24"/>
      <c r="BZ152" s="389"/>
      <c r="CA152" s="1980"/>
      <c r="CB152" s="1981"/>
      <c r="CC152" s="389"/>
      <c r="CD152" s="1980"/>
      <c r="CE152" s="1981"/>
      <c r="CF152" s="24"/>
      <c r="CG152" s="389"/>
      <c r="CH152" s="1980"/>
      <c r="CI152" s="1981"/>
      <c r="CJ152" s="24"/>
      <c r="CK152" s="389"/>
      <c r="CL152" s="1980"/>
      <c r="CM152" s="1981"/>
      <c r="CN152" s="24"/>
      <c r="CO152" s="266"/>
      <c r="CP152" s="1980"/>
      <c r="CQ152" s="1981"/>
      <c r="CR152" s="1981"/>
      <c r="CS152" s="24"/>
      <c r="CT152" s="1991">
        <v>148.80000000000001</v>
      </c>
      <c r="CU152" s="2028">
        <f>+(CT152/CT145-1)*100</f>
        <v>20.812561908318862</v>
      </c>
      <c r="CV152" s="1981">
        <f>+CT152/R152*100</f>
        <v>11.346652432514869</v>
      </c>
      <c r="CW152" s="1991"/>
      <c r="CX152" s="1991"/>
      <c r="CY152" s="1991"/>
      <c r="CZ152" s="168"/>
      <c r="DA152" s="2044">
        <v>40.6</v>
      </c>
      <c r="DB152" s="2028">
        <f>+(DA152/DA145-1)*100</f>
        <v>28.172749084480376</v>
      </c>
      <c r="DC152" s="1981">
        <f>+DA152/W152*100</f>
        <v>8.0601293591204541</v>
      </c>
      <c r="DD152" s="1981"/>
      <c r="DE152" s="1981"/>
      <c r="DF152" s="1981"/>
      <c r="DG152" s="1981"/>
      <c r="DH152" s="2079">
        <f>+DJ152/100*AP152</f>
        <v>0</v>
      </c>
      <c r="DI152" s="2078"/>
      <c r="DJ152" s="2078"/>
      <c r="DK152" s="168"/>
      <c r="DL152" s="1417"/>
      <c r="DM152" s="2028"/>
      <c r="DN152" s="1981"/>
      <c r="DO152" s="168"/>
      <c r="DP152" s="1417"/>
      <c r="DQ152" s="2028"/>
      <c r="DR152" s="1981"/>
      <c r="DS152" s="168"/>
      <c r="DT152" s="1417">
        <v>-3.3</v>
      </c>
      <c r="DU152" s="2028">
        <f>+(DT152/DT145-1)*100</f>
        <v>-42.548746518105851</v>
      </c>
      <c r="DV152" s="1981">
        <f>+DT152/BE152*100</f>
        <v>-0.92089511004696567</v>
      </c>
      <c r="DW152" s="168"/>
      <c r="DX152" s="2027">
        <f>'qtrP&amp;L'!CP62</f>
        <v>186.10200000000009</v>
      </c>
      <c r="DY152" s="2028">
        <f>+(DX152/DX145-1)*100</f>
        <v>24.818575701887259</v>
      </c>
      <c r="DZ152" s="1981">
        <f>(+DX152/BI152)*100</f>
        <v>8.5624724805276049</v>
      </c>
      <c r="EA152" s="2005" t="str">
        <f>IF(ROUND(EB152,0)=ROUND(DX152,0)," ","no")</f>
        <v xml:space="preserve"> </v>
      </c>
      <c r="EB152" s="361">
        <f>DT152+DA152+CT152</f>
        <v>186.10000000000002</v>
      </c>
      <c r="EC152" s="2051"/>
      <c r="ED152" s="24"/>
      <c r="EE152" s="24"/>
      <c r="EG152" s="1417"/>
      <c r="EH152" s="2037"/>
      <c r="EI152" s="1417"/>
      <c r="EJ152" s="2037"/>
    </row>
    <row r="153" spans="1:140" hidden="1" outlineLevel="2">
      <c r="A153" s="113" t="str">
        <f>qtrSales!A141</f>
        <v>4Q</v>
      </c>
      <c r="B153" s="24" t="str">
        <f>qtrSales!B141</f>
        <v>Jan</v>
      </c>
      <c r="C153" s="24"/>
      <c r="D153" s="24"/>
      <c r="E153" s="302">
        <v>1572.2</v>
      </c>
      <c r="F153" s="307"/>
      <c r="G153" s="1980">
        <f>+(E153/E146-1)*100</f>
        <v>12.864321608040207</v>
      </c>
      <c r="H153" s="1981">
        <f>+E153/$BI153*100</f>
        <v>44.723853954798244</v>
      </c>
      <c r="I153" s="1981"/>
      <c r="J153" s="1981"/>
      <c r="K153" s="302">
        <v>518.75</v>
      </c>
      <c r="L153" s="2001">
        <f>+(K153/K146-1)*100</f>
        <v>3.0083399523431309</v>
      </c>
      <c r="M153" s="1981">
        <f>+K153/BI153*100</f>
        <v>14.756709858193354</v>
      </c>
      <c r="N153" s="418">
        <v>119.4</v>
      </c>
      <c r="O153" s="1980">
        <f>+(N153/N146-1)*100</f>
        <v>-1.4851485148514865</v>
      </c>
      <c r="P153" s="1981">
        <f>+N153/BI153*100</f>
        <v>3.3965323509750101</v>
      </c>
      <c r="Q153" s="24"/>
      <c r="R153" s="1022">
        <f>+E153+K153+N153</f>
        <v>2210.35</v>
      </c>
      <c r="S153" s="1980">
        <f>+(R153/R146-1)*100</f>
        <v>9.5425711170581842</v>
      </c>
      <c r="T153" s="1980"/>
      <c r="U153" s="1981">
        <f>+R153/$BI153*100</f>
        <v>62.877096163966606</v>
      </c>
      <c r="V153" s="24"/>
      <c r="W153" s="302">
        <v>1127.9000000000001</v>
      </c>
      <c r="X153" s="307"/>
      <c r="Y153" s="307"/>
      <c r="Z153" s="307"/>
      <c r="AA153" s="307"/>
      <c r="AB153" s="307"/>
      <c r="AC153" s="1980">
        <f>+(W153/W146-1)*100</f>
        <v>4.3466837386068935</v>
      </c>
      <c r="AD153" s="1981">
        <f>+W153/$BI153*100</f>
        <v>32.084998648783198</v>
      </c>
      <c r="AE153" s="1981"/>
      <c r="AF153" s="1981"/>
      <c r="AG153" s="1981"/>
      <c r="AH153" s="1981"/>
      <c r="AI153" s="24"/>
      <c r="AJ153" s="24"/>
      <c r="AK153" s="388"/>
      <c r="AL153" s="2095">
        <f>segqtrSales!S723</f>
        <v>598.36061992619921</v>
      </c>
      <c r="AM153" s="2095"/>
      <c r="AN153" s="2095"/>
      <c r="AO153" s="2095">
        <f>segqtrSales!S822</f>
        <v>150.3281380597015</v>
      </c>
      <c r="AP153" s="2100"/>
      <c r="AQ153" s="2088"/>
      <c r="AR153" s="381"/>
      <c r="AS153" s="24"/>
      <c r="AT153" s="388"/>
      <c r="AU153" s="388"/>
      <c r="AV153" s="388"/>
      <c r="AW153" s="388"/>
      <c r="AX153" s="388"/>
      <c r="AY153" s="388"/>
      <c r="AZ153" s="388"/>
      <c r="BA153" s="388"/>
      <c r="BB153" s="388"/>
      <c r="BC153" s="302"/>
      <c r="BD153" s="1980"/>
      <c r="BE153" s="302">
        <v>177.1</v>
      </c>
      <c r="BF153" s="1980">
        <f>+(BE153/BE146-1)*100</f>
        <v>-50.453361533791586</v>
      </c>
      <c r="BG153" s="1981">
        <f>+BE153/$BI153*100</f>
        <v>5.0379051872502023</v>
      </c>
      <c r="BH153" s="24"/>
      <c r="BI153" s="1022">
        <f>+E153+K153+W153+BE153+N153</f>
        <v>3515.35</v>
      </c>
      <c r="BJ153" s="325"/>
      <c r="BK153" s="2889">
        <f>+(BI153/BI146-1)*100</f>
        <v>1.7126826125086536</v>
      </c>
      <c r="BL153" s="1022">
        <f>+E153+K153+W153+AT153+AY153</f>
        <v>3218.85</v>
      </c>
      <c r="BM153" s="1980">
        <f>+(BL153/BL139-1)*100</f>
        <v>20.527514991752895</v>
      </c>
      <c r="BN153" s="1981">
        <f>+BL153/$BW153*100</f>
        <v>81.129642237799629</v>
      </c>
      <c r="BO153" s="1022">
        <f>+AL153+AM153+AN153+AO153+AU153</f>
        <v>748.68875798590068</v>
      </c>
      <c r="BP153" s="1980">
        <f>+(BO153/BO139-1)*100</f>
        <v>2.3497960336159585</v>
      </c>
      <c r="BQ153" s="1981">
        <f>+BO153/$BW153*100</f>
        <v>18.870357762200374</v>
      </c>
      <c r="BR153" s="24"/>
      <c r="BS153" s="1022">
        <f>+AK153+AV153+AW153+AX153</f>
        <v>0</v>
      </c>
      <c r="BT153" s="1980"/>
      <c r="BU153" s="1981">
        <f>+BS153/$BW153*100</f>
        <v>0</v>
      </c>
      <c r="BV153" s="24"/>
      <c r="BW153" s="1022">
        <f>+BL153+BO153+BS153</f>
        <v>3967.5387579859007</v>
      </c>
      <c r="BX153" s="1980">
        <f>+(BW153/BW139-1)*100</f>
        <v>16.619086484983715</v>
      </c>
      <c r="BY153" s="24"/>
      <c r="BZ153" s="306"/>
      <c r="CA153" s="1980"/>
      <c r="CB153" s="1981"/>
      <c r="CC153" s="306"/>
      <c r="CD153" s="1980"/>
      <c r="CE153" s="1981"/>
      <c r="CF153" s="24"/>
      <c r="CG153" s="306"/>
      <c r="CH153" s="1980"/>
      <c r="CI153" s="1981"/>
      <c r="CJ153" s="24"/>
      <c r="CK153" s="306"/>
      <c r="CL153" s="1980"/>
      <c r="CM153" s="1981"/>
      <c r="CN153" s="24"/>
      <c r="CO153" s="67"/>
      <c r="CP153" s="1980"/>
      <c r="CQ153" s="1981"/>
      <c r="CR153" s="1981"/>
      <c r="CS153" s="24"/>
      <c r="CT153" s="2096">
        <v>446.8</v>
      </c>
      <c r="CU153" s="2028">
        <f>+(CT153/CT146-1)*100</f>
        <v>13.166639649862223</v>
      </c>
      <c r="CV153" s="1981">
        <f>+CT153/R153*100</f>
        <v>20.213993258986136</v>
      </c>
      <c r="CW153" s="1413"/>
      <c r="CX153" s="1413"/>
      <c r="CY153" s="1413"/>
      <c r="CZ153" s="168"/>
      <c r="DA153" s="2097">
        <v>348.1</v>
      </c>
      <c r="DB153" s="2028">
        <f>+(DA153/DA146-1)*100</f>
        <v>5.4800539369422641</v>
      </c>
      <c r="DC153" s="1981">
        <f>+DA153/W153*100</f>
        <v>30.8626651298874</v>
      </c>
      <c r="DD153" s="1981"/>
      <c r="DE153" s="1981"/>
      <c r="DF153" s="1981"/>
      <c r="DG153" s="1981"/>
      <c r="DH153" s="2083">
        <f>+DJ153/100*AP153</f>
        <v>0</v>
      </c>
      <c r="DI153" s="2078"/>
      <c r="DJ153" s="2078"/>
      <c r="DK153" s="168"/>
      <c r="DL153" s="2097"/>
      <c r="DM153" s="2028"/>
      <c r="DN153" s="1981"/>
      <c r="DO153" s="168"/>
      <c r="DP153" s="2097"/>
      <c r="DQ153" s="2028"/>
      <c r="DR153" s="1981"/>
      <c r="DS153" s="168"/>
      <c r="DT153" s="2097">
        <v>-8.4</v>
      </c>
      <c r="DU153" s="2028">
        <f>+(DT153/DT146-1)*100</f>
        <v>-25.854003001147497</v>
      </c>
      <c r="DV153" s="1981">
        <f>+DT153/BE153*100</f>
        <v>-4.7430830039525693</v>
      </c>
      <c r="DW153" s="168"/>
      <c r="DX153" s="2152">
        <f>'qtrP&amp;L'!CP63</f>
        <v>786.53899999999987</v>
      </c>
      <c r="DY153" s="2028">
        <f>+(DX153/DX146-1)*100</f>
        <v>10.236411390577693</v>
      </c>
      <c r="DZ153" s="1981">
        <f>(+DX153/BI153)*100</f>
        <v>22.374415065356221</v>
      </c>
      <c r="EA153" s="2005" t="str">
        <f>IF(ROUND(EB153,0)=ROUND(DX153,0)," ","no")</f>
        <v xml:space="preserve"> </v>
      </c>
      <c r="EB153" s="361">
        <f>DT153+DA153+CT153</f>
        <v>786.5</v>
      </c>
      <c r="EC153" s="24"/>
      <c r="ED153" s="24"/>
      <c r="EE153" s="24"/>
      <c r="EG153" s="1419"/>
      <c r="EH153" s="2028"/>
      <c r="EI153" s="1419"/>
      <c r="EJ153" s="2028"/>
    </row>
    <row r="154" spans="1:140" hidden="1" outlineLevel="2">
      <c r="A154" s="113"/>
      <c r="B154" s="24" t="str">
        <f>qtrSales!B142</f>
        <v>Year</v>
      </c>
      <c r="C154" s="24"/>
      <c r="D154" s="24"/>
      <c r="E154" s="266">
        <f>+SUM(E150:E153)</f>
        <v>4564</v>
      </c>
      <c r="F154" s="266"/>
      <c r="G154" s="1980">
        <f>+(E154/E147-1)*100</f>
        <v>13.577543300816242</v>
      </c>
      <c r="H154" s="1981">
        <f>+E154/$BI154*100</f>
        <v>44.037178803103451</v>
      </c>
      <c r="I154" s="1981"/>
      <c r="J154" s="1981"/>
      <c r="K154" s="266">
        <f>+SUM(K150:K153)</f>
        <v>1557.4499999999998</v>
      </c>
      <c r="L154" s="1980">
        <f>+(K154/K147-1)*100</f>
        <v>3.6848412222887816</v>
      </c>
      <c r="M154" s="1981">
        <f>+K154/$BI154*100</f>
        <v>15.027542534376304</v>
      </c>
      <c r="N154" s="2027">
        <f>+SUM(N150:N153)</f>
        <v>414.79999999999995</v>
      </c>
      <c r="O154" s="2022">
        <f>+(N154/N147-1)*100</f>
        <v>4.1687594173781983</v>
      </c>
      <c r="P154" s="1981">
        <f>+N154/$BI154*100</f>
        <v>4.0023272934985341</v>
      </c>
      <c r="Q154" s="24"/>
      <c r="R154" s="266">
        <f>+SUM(R150:R153)</f>
        <v>6536.25</v>
      </c>
      <c r="S154" s="1980">
        <f>+(R154/R147-1)*100</f>
        <v>10.43380442745574</v>
      </c>
      <c r="T154" s="1980"/>
      <c r="U154" s="1981">
        <f>+R154/$BI154*100</f>
        <v>63.067048630978285</v>
      </c>
      <c r="V154" s="24"/>
      <c r="W154" s="266">
        <f>+SUM(W150:W153)</f>
        <v>2674.3420000000001</v>
      </c>
      <c r="X154" s="266"/>
      <c r="Y154" s="266"/>
      <c r="Z154" s="266"/>
      <c r="AA154" s="266"/>
      <c r="AB154" s="266"/>
      <c r="AC154" s="1980">
        <f>+(W154/W147-1)*100</f>
        <v>6.3261114508199379</v>
      </c>
      <c r="AD154" s="1981">
        <f>+W154/$BI154*100</f>
        <v>25.80422367104498</v>
      </c>
      <c r="AE154" s="1981"/>
      <c r="AF154" s="1981"/>
      <c r="AG154" s="1981"/>
      <c r="AH154" s="1981"/>
      <c r="AI154" s="24"/>
      <c r="AJ154" s="24"/>
      <c r="AK154" s="388"/>
      <c r="AL154" s="2098">
        <f>+SUM(AL150:AL153)</f>
        <v>1678.2137795539732</v>
      </c>
      <c r="AM154" s="2094"/>
      <c r="AN154" s="2094"/>
      <c r="AO154" s="2098">
        <f>+SUM(AO150:AO153)</f>
        <v>476.92204041051525</v>
      </c>
      <c r="AP154" s="2098"/>
      <c r="AQ154" s="2088"/>
      <c r="AR154" s="381"/>
      <c r="AS154" s="24"/>
      <c r="AT154" s="388"/>
      <c r="AU154" s="388"/>
      <c r="AV154" s="388"/>
      <c r="AW154" s="388"/>
      <c r="AX154" s="388"/>
      <c r="AY154" s="388"/>
      <c r="AZ154" s="388"/>
      <c r="BA154" s="388"/>
      <c r="BB154" s="388"/>
      <c r="BC154" s="266"/>
      <c r="BD154" s="1980"/>
      <c r="BE154" s="266">
        <f>+SUM(BE150:BE153)</f>
        <v>1153.3779999999999</v>
      </c>
      <c r="BF154" s="1980">
        <f>+(BE154/BE147-1)*100</f>
        <v>-2.2244489317728267</v>
      </c>
      <c r="BG154" s="1981">
        <f>+BE154/$BI154*100</f>
        <v>11.128727697976741</v>
      </c>
      <c r="BH154" s="24"/>
      <c r="BI154" s="266">
        <f>+E154+K154+W154+BE154+N154</f>
        <v>10363.969999999999</v>
      </c>
      <c r="BJ154" s="266"/>
      <c r="BK154" s="2889">
        <f>+(BI154/BI147-1)*100</f>
        <v>7.805924641318529</v>
      </c>
      <c r="BL154" s="266">
        <f>+E154+K154+W154+AT154+AY154</f>
        <v>8795.7919999999995</v>
      </c>
      <c r="BM154" s="1980">
        <f>+(BL154/BL140-1)*100</f>
        <v>21.059396618322033</v>
      </c>
      <c r="BN154" s="1981">
        <f>+BL154/$BW154*100</f>
        <v>80.320061866945295</v>
      </c>
      <c r="BO154" s="266">
        <f>+AL154+AM154+AN154+AO154+AU154</f>
        <v>2155.1358199644883</v>
      </c>
      <c r="BP154" s="1980">
        <f>+(BO154/BO140-1)*100</f>
        <v>9.5110834507861064E-2</v>
      </c>
      <c r="BQ154" s="1981">
        <f>+BO154/$BW154*100</f>
        <v>19.679938133054716</v>
      </c>
      <c r="BR154" s="24"/>
      <c r="BS154" s="266">
        <f>+AK154+AV154+AW154+AX154</f>
        <v>0</v>
      </c>
      <c r="BT154" s="1980"/>
      <c r="BU154" s="1981">
        <f>+BS154/$BW154*100</f>
        <v>0</v>
      </c>
      <c r="BV154" s="24"/>
      <c r="BW154" s="266">
        <f>+BL154+BO154+BS154</f>
        <v>10950.927819964487</v>
      </c>
      <c r="BX154" s="1980">
        <f>+(BW154/BW140-1)*100</f>
        <v>16.267056710100359</v>
      </c>
      <c r="BY154" s="24"/>
      <c r="BZ154" s="389"/>
      <c r="CA154" s="1980"/>
      <c r="CB154" s="1981"/>
      <c r="CC154" s="389"/>
      <c r="CD154" s="1980"/>
      <c r="CE154" s="1981"/>
      <c r="CF154" s="24"/>
      <c r="CG154" s="389"/>
      <c r="CH154" s="1980"/>
      <c r="CI154" s="1981"/>
      <c r="CJ154" s="24"/>
      <c r="CK154" s="389"/>
      <c r="CL154" s="1980"/>
      <c r="CM154" s="1981"/>
      <c r="CN154" s="24"/>
      <c r="CO154" s="24"/>
      <c r="CP154" s="1980"/>
      <c r="CQ154" s="1981"/>
      <c r="CR154" s="1981"/>
      <c r="CS154" s="24"/>
      <c r="CT154" s="2027">
        <f>+SUM(CT150:CT153)</f>
        <v>1074.277</v>
      </c>
      <c r="CU154" s="2028">
        <f>+(CT154/CT147-1)*100</f>
        <v>22.502628452052708</v>
      </c>
      <c r="CV154" s="1981">
        <f>+CT154/R154*100</f>
        <v>16.435677949894817</v>
      </c>
      <c r="CW154" s="2027"/>
      <c r="CX154" s="2027"/>
      <c r="CY154" s="2027"/>
      <c r="CZ154" s="168"/>
      <c r="DA154" s="2027">
        <f>+SUM(DA150:DA153)</f>
        <v>513.02300000000002</v>
      </c>
      <c r="DB154" s="2028">
        <f>+(DA154/DA147-1)*100</f>
        <v>10.599864181694718</v>
      </c>
      <c r="DC154" s="1981">
        <f>+DA154/W154*100</f>
        <v>19.183148602534754</v>
      </c>
      <c r="DD154" s="1981"/>
      <c r="DE154" s="1981"/>
      <c r="DF154" s="1981"/>
      <c r="DG154" s="1981"/>
      <c r="DH154" s="2086">
        <f>+SUM(DH150:DH153)</f>
        <v>0</v>
      </c>
      <c r="DI154" s="2078"/>
      <c r="DJ154" s="2076"/>
      <c r="DK154" s="168"/>
      <c r="DL154" s="361"/>
      <c r="DM154" s="2028"/>
      <c r="DN154" s="1981"/>
      <c r="DO154" s="168"/>
      <c r="DP154" s="361"/>
      <c r="DQ154" s="2028"/>
      <c r="DR154" s="1981"/>
      <c r="DS154" s="168"/>
      <c r="DT154" s="361">
        <f>+SUM(DT150:DT153)</f>
        <v>-40.976999999999997</v>
      </c>
      <c r="DU154" s="2028">
        <f>+(DT154/DT147-1)*100</f>
        <v>-27.810369430791194</v>
      </c>
      <c r="DV154" s="1981">
        <f>+DT154/BE154*100</f>
        <v>-3.5527814818732453</v>
      </c>
      <c r="DW154" s="168"/>
      <c r="DX154" s="2027">
        <f>+SUM(DX150:DX153)</f>
        <v>1546.425</v>
      </c>
      <c r="DY154" s="2028">
        <f>+(DX154/DX147-1)*100</f>
        <v>20.434988820380706</v>
      </c>
      <c r="DZ154" s="1981">
        <f>(+DX154/BI154)*100</f>
        <v>14.921164380058993</v>
      </c>
      <c r="EA154" s="1981"/>
      <c r="EB154" s="168"/>
      <c r="EC154" s="24"/>
      <c r="ED154" s="24"/>
      <c r="EE154" s="24"/>
      <c r="EG154" s="361"/>
      <c r="EH154" s="2028"/>
      <c r="EI154" s="361"/>
      <c r="EJ154" s="2028"/>
    </row>
    <row r="155" spans="1:140" hidden="1" outlineLevel="1">
      <c r="A155" s="2055" t="s">
        <v>1234</v>
      </c>
      <c r="B155" s="2056"/>
      <c r="C155" s="2056"/>
      <c r="D155" s="2056"/>
      <c r="E155" s="2057"/>
      <c r="F155" s="2057"/>
      <c r="G155" s="2058"/>
      <c r="H155" s="2059"/>
      <c r="I155" s="2059"/>
      <c r="J155" s="2059"/>
      <c r="K155" s="2060"/>
      <c r="L155" s="2058"/>
      <c r="M155" s="2061"/>
      <c r="N155" s="2060"/>
      <c r="O155" s="2062"/>
      <c r="P155" s="2059"/>
      <c r="Q155" s="24"/>
      <c r="R155" s="266"/>
      <c r="S155" s="1980"/>
      <c r="T155" s="1980"/>
      <c r="U155" s="1981"/>
      <c r="V155" s="24"/>
      <c r="W155" s="266"/>
      <c r="X155" s="266"/>
      <c r="Y155" s="266"/>
      <c r="Z155" s="266"/>
      <c r="AA155" s="266"/>
      <c r="AB155" s="266"/>
      <c r="AC155" s="1980"/>
      <c r="AD155" s="1981"/>
      <c r="AE155" s="1981"/>
      <c r="AF155" s="1981"/>
      <c r="AG155" s="1981"/>
      <c r="AH155" s="1981"/>
      <c r="AI155" s="24"/>
      <c r="AJ155" s="24"/>
      <c r="AK155" s="388"/>
      <c r="AL155" s="2101"/>
      <c r="AM155" s="2046"/>
      <c r="AN155" s="2046"/>
      <c r="AO155" s="2050"/>
      <c r="AP155" s="2050"/>
      <c r="AQ155" s="2047"/>
      <c r="AR155" s="2048"/>
      <c r="AS155" s="24"/>
      <c r="AT155" s="388"/>
      <c r="AU155" s="388"/>
      <c r="AV155" s="388"/>
      <c r="AW155" s="388"/>
      <c r="AX155" s="388"/>
      <c r="AY155" s="388"/>
      <c r="AZ155" s="388"/>
      <c r="BA155" s="388"/>
      <c r="BB155" s="388"/>
      <c r="BC155" s="266"/>
      <c r="BD155" s="1980"/>
      <c r="BE155" s="266"/>
      <c r="BF155" s="1980"/>
      <c r="BG155" s="1981"/>
      <c r="BH155" s="24"/>
      <c r="BI155" s="266"/>
      <c r="BJ155" s="266"/>
      <c r="BK155" s="2889"/>
      <c r="BL155" s="266"/>
      <c r="BM155" s="1980"/>
      <c r="BN155" s="1981"/>
      <c r="BO155" s="266"/>
      <c r="BP155" s="1980"/>
      <c r="BQ155" s="1981"/>
      <c r="BR155" s="24"/>
      <c r="BS155" s="266"/>
      <c r="BT155" s="1980"/>
      <c r="BU155" s="1981"/>
      <c r="BV155" s="24"/>
      <c r="BW155" s="266"/>
      <c r="BX155" s="1980"/>
      <c r="BY155" s="24"/>
      <c r="BZ155" s="389"/>
      <c r="CA155" s="1980"/>
      <c r="CB155" s="1981"/>
      <c r="CC155" s="389"/>
      <c r="CD155" s="1980"/>
      <c r="CE155" s="1981"/>
      <c r="CF155" s="24"/>
      <c r="CG155" s="389"/>
      <c r="CH155" s="1980"/>
      <c r="CI155" s="1981"/>
      <c r="CJ155" s="24"/>
      <c r="CK155" s="389"/>
      <c r="CL155" s="1980"/>
      <c r="CM155" s="1981"/>
      <c r="CN155" s="24"/>
      <c r="CO155" s="24"/>
      <c r="CP155" s="1980"/>
      <c r="CQ155" s="1981"/>
      <c r="CR155" s="1981"/>
      <c r="CS155" s="24"/>
      <c r="CT155" s="266"/>
      <c r="CU155" s="1980"/>
      <c r="CV155" s="1981"/>
      <c r="CW155" s="266"/>
      <c r="CX155" s="266"/>
      <c r="CY155" s="266"/>
      <c r="CZ155" s="24"/>
      <c r="DA155" s="266"/>
      <c r="DB155" s="1980"/>
      <c r="DC155" s="1981"/>
      <c r="DD155" s="1981"/>
      <c r="DE155" s="1981"/>
      <c r="DF155" s="1981"/>
      <c r="DG155" s="1981"/>
      <c r="DH155" s="2085"/>
      <c r="DI155" s="2075"/>
      <c r="DJ155" s="2076"/>
      <c r="DK155" s="24"/>
      <c r="DL155" s="266"/>
      <c r="DM155" s="1980"/>
      <c r="DN155" s="1981"/>
      <c r="DO155" s="24"/>
      <c r="DP155" s="266"/>
      <c r="DQ155" s="1980"/>
      <c r="DR155" s="1981"/>
      <c r="DS155" s="24"/>
      <c r="DT155" s="266"/>
      <c r="DU155" s="1980"/>
      <c r="DV155" s="1981"/>
      <c r="DW155" s="24"/>
      <c r="DX155" s="266"/>
      <c r="DY155" s="1980"/>
      <c r="DZ155" s="1981"/>
      <c r="EA155" s="1981"/>
      <c r="EB155" s="24"/>
      <c r="EC155" s="24"/>
      <c r="ED155" s="24"/>
      <c r="EE155" s="24"/>
      <c r="EG155" s="266"/>
      <c r="EH155" s="1980"/>
      <c r="EI155" s="266"/>
      <c r="EJ155" s="1980"/>
    </row>
    <row r="156" spans="1:140" hidden="1" outlineLevel="1">
      <c r="A156" s="113"/>
      <c r="B156" s="136" t="str">
        <f>+qtrSales!B144</f>
        <v>2008A</v>
      </c>
      <c r="C156" s="24"/>
      <c r="D156" s="24"/>
      <c r="E156" s="24"/>
      <c r="F156" s="24"/>
      <c r="G156" s="1980"/>
      <c r="H156" s="1981"/>
      <c r="I156" s="1981"/>
      <c r="J156" s="1981"/>
      <c r="K156" s="24"/>
      <c r="L156" s="1980"/>
      <c r="M156" s="1981"/>
      <c r="N156" s="1981"/>
      <c r="O156" s="1981"/>
      <c r="P156" s="1981"/>
      <c r="Q156" s="24"/>
      <c r="R156" s="428"/>
      <c r="S156" s="1980"/>
      <c r="T156" s="1980"/>
      <c r="U156" s="1981"/>
      <c r="V156" s="24"/>
      <c r="W156" s="387"/>
      <c r="X156" s="387"/>
      <c r="Y156" s="387"/>
      <c r="Z156" s="387"/>
      <c r="AA156" s="387"/>
      <c r="AB156" s="387"/>
      <c r="AC156" s="1980"/>
      <c r="AD156" s="1981"/>
      <c r="AE156" s="1981"/>
      <c r="AF156" s="1981"/>
      <c r="AG156" s="1981"/>
      <c r="AH156" s="1981"/>
      <c r="AI156" s="24"/>
      <c r="AJ156" s="399"/>
      <c r="AK156" s="24"/>
      <c r="AL156" s="2047"/>
      <c r="AM156" s="1693"/>
      <c r="AN156" s="1693"/>
      <c r="AO156" s="2047"/>
      <c r="AP156" s="1693"/>
      <c r="AQ156" s="2047"/>
      <c r="AR156" s="2048"/>
      <c r="AS156" s="24"/>
      <c r="AT156" s="24"/>
      <c r="AU156" s="24"/>
      <c r="AV156" s="24"/>
      <c r="AW156" s="24"/>
      <c r="AX156" s="24"/>
      <c r="AY156" s="24"/>
      <c r="AZ156" s="24"/>
      <c r="BA156" s="24"/>
      <c r="BB156" s="24"/>
      <c r="BC156" s="381"/>
      <c r="BD156" s="2070"/>
      <c r="BE156" s="381"/>
      <c r="BF156" s="2070"/>
      <c r="BG156" s="1981"/>
      <c r="BH156" s="24"/>
      <c r="BI156" s="24"/>
      <c r="BJ156" s="24"/>
      <c r="BK156" s="2889"/>
      <c r="BL156" s="389"/>
      <c r="BM156" s="1988"/>
      <c r="BN156" s="1989"/>
      <c r="BO156" s="389"/>
      <c r="BP156" s="389"/>
      <c r="BQ156" s="389"/>
      <c r="BR156" s="389"/>
      <c r="BS156" s="389"/>
      <c r="BT156" s="389"/>
      <c r="BU156" s="389"/>
      <c r="BV156" s="389"/>
      <c r="BW156" s="266"/>
      <c r="BX156" s="24"/>
      <c r="BY156" s="24"/>
      <c r="BZ156" s="389"/>
      <c r="CA156" s="1988"/>
      <c r="CB156" s="1989"/>
      <c r="CC156" s="389"/>
      <c r="CD156" s="389"/>
      <c r="CE156" s="389"/>
      <c r="CF156" s="389"/>
      <c r="CG156" s="389"/>
      <c r="CH156" s="389"/>
      <c r="CI156" s="389"/>
      <c r="CJ156" s="389"/>
      <c r="CK156" s="389"/>
      <c r="CL156" s="389"/>
      <c r="CM156" s="389"/>
      <c r="CN156" s="389"/>
      <c r="CO156" s="266"/>
      <c r="CP156" s="24"/>
      <c r="CQ156" s="24"/>
      <c r="CR156" s="24"/>
      <c r="CS156" s="24"/>
      <c r="CT156" s="164"/>
      <c r="CU156" s="24"/>
      <c r="CV156" s="2071"/>
      <c r="CW156" s="164"/>
      <c r="CX156" s="164"/>
      <c r="CY156" s="164"/>
      <c r="CZ156" s="24"/>
      <c r="DA156" s="24"/>
      <c r="DB156" s="24"/>
      <c r="DC156" s="24"/>
      <c r="DD156" s="24"/>
      <c r="DE156" s="24"/>
      <c r="DF156" s="24"/>
      <c r="DG156" s="24"/>
      <c r="DH156" s="2072"/>
      <c r="DI156" s="1693"/>
      <c r="DJ156" s="2073"/>
      <c r="DK156" s="24"/>
      <c r="DL156" s="24"/>
      <c r="DM156" s="24"/>
      <c r="DN156" s="24"/>
      <c r="DO156" s="24"/>
      <c r="DP156" s="24"/>
      <c r="DQ156" s="24"/>
      <c r="DR156" s="24"/>
      <c r="DS156" s="24"/>
      <c r="DT156" s="24"/>
      <c r="DU156" s="24"/>
      <c r="DV156" s="24"/>
      <c r="DW156" s="24"/>
      <c r="DX156" s="266"/>
      <c r="DY156" s="24"/>
      <c r="DZ156" s="1981"/>
      <c r="EA156" s="24"/>
      <c r="EB156" s="24"/>
      <c r="EC156" s="24"/>
      <c r="ED156" s="24"/>
      <c r="EE156" s="24"/>
      <c r="EG156" s="24"/>
      <c r="EH156" s="24"/>
      <c r="EI156" s="24"/>
      <c r="EJ156" s="24"/>
    </row>
    <row r="157" spans="1:140" hidden="1" outlineLevel="1">
      <c r="A157" s="113" t="str">
        <f>+qtrSales!A145</f>
        <v>1Q</v>
      </c>
      <c r="B157" s="24" t="str">
        <f>+qtrSales!B145</f>
        <v>Apr</v>
      </c>
      <c r="C157" s="24"/>
      <c r="D157" s="24"/>
      <c r="E157" s="1982">
        <v>760.7</v>
      </c>
      <c r="F157" s="1982"/>
      <c r="G157" s="1980">
        <f>+(E157/E122-1)*100</f>
        <v>-1.3615145228215719</v>
      </c>
      <c r="H157" s="1981">
        <f>+E157/$BI157*100</f>
        <v>39.515548825624073</v>
      </c>
      <c r="I157" s="1981"/>
      <c r="J157" s="1981"/>
      <c r="K157" s="1982">
        <v>380.9</v>
      </c>
      <c r="L157" s="1980">
        <f>+(K157/K122-1)*100</f>
        <v>10.630264304385694</v>
      </c>
      <c r="M157" s="1981">
        <f>+K157/BI157*100</f>
        <v>19.786344876666504</v>
      </c>
      <c r="Q157" s="24"/>
      <c r="R157" s="1982">
        <v>1141.615</v>
      </c>
      <c r="S157" s="1980">
        <f>+(R157/(R122-N122)-1)*100</f>
        <v>2.3445890581660356</v>
      </c>
      <c r="T157" s="1980"/>
      <c r="U157" s="1981">
        <f>+R157/$BI157*100</f>
        <v>59.302672896759333</v>
      </c>
      <c r="V157" s="24"/>
      <c r="W157" s="1982">
        <v>399.02</v>
      </c>
      <c r="X157" s="1982"/>
      <c r="Y157" s="1982"/>
      <c r="Z157" s="1982"/>
      <c r="AA157" s="1982"/>
      <c r="AB157" s="1982"/>
      <c r="AC157" s="1980">
        <f>+(W157/W122-1)*100</f>
        <v>-5.339172435389516</v>
      </c>
      <c r="AD157" s="1981">
        <f>+W157/$BI157*100</f>
        <v>20.727611794926407</v>
      </c>
      <c r="AE157" s="1981"/>
      <c r="AF157" s="1981"/>
      <c r="AG157" s="1981"/>
      <c r="AH157" s="1981"/>
      <c r="AI157" s="24"/>
      <c r="AJ157" s="24"/>
      <c r="AK157" s="2011">
        <f>0.75*2.1</f>
        <v>1.5750000000000002</v>
      </c>
      <c r="AL157" s="2046">
        <v>388.2</v>
      </c>
      <c r="AM157" s="2046"/>
      <c r="AN157" s="2046"/>
      <c r="AO157" s="2046">
        <v>111</v>
      </c>
      <c r="AP157" s="2046">
        <v>499.22500000000002</v>
      </c>
      <c r="AQ157" s="2047">
        <f>+(AP157/AP122-1)*100</f>
        <v>0</v>
      </c>
      <c r="AR157" s="2048">
        <f>+AP157/$BI157*100</f>
        <v>25.932890577720759</v>
      </c>
      <c r="AS157" s="24"/>
      <c r="AT157" s="1982"/>
      <c r="AU157" s="1982"/>
      <c r="AV157" s="1982"/>
      <c r="AW157" s="1982"/>
      <c r="AX157" s="1982"/>
      <c r="AY157" s="1982"/>
      <c r="AZ157" s="2041">
        <v>112.1</v>
      </c>
      <c r="BA157" s="1980">
        <f>+(AZ157/N122-1)*100</f>
        <v>22.246455834242074</v>
      </c>
      <c r="BB157" s="1981">
        <f>+AZ157/BI157*100</f>
        <v>5.8231799965195981</v>
      </c>
      <c r="BC157" s="1982">
        <v>272.35700000000003</v>
      </c>
      <c r="BD157" s="1980">
        <f>+(BC157/BE122-1)*100</f>
        <v>48.885912644180848</v>
      </c>
      <c r="BE157" s="1982">
        <v>384.44499999999999</v>
      </c>
      <c r="BF157" s="1980">
        <f>+(BE157/BE122-1)*100</f>
        <v>110.15962389985239</v>
      </c>
      <c r="BG157" s="1981">
        <f>+BE157/$BI157*100</f>
        <v>19.970494502783023</v>
      </c>
      <c r="BH157" s="24"/>
      <c r="BI157" s="381">
        <f>+E157+K157+W157+BE157</f>
        <v>1925.0649999999998</v>
      </c>
      <c r="BJ157" s="381"/>
      <c r="BK157" s="2889">
        <f>+(BI157/BI122-1)*100</f>
        <v>-16.695623876781195</v>
      </c>
      <c r="BL157" s="381">
        <f>+E157+K157+W157+AT157+AY157</f>
        <v>1540.62</v>
      </c>
      <c r="BM157" s="1980">
        <f>+(BL157/BL115-1)*100</f>
        <v>7.137566994880995</v>
      </c>
      <c r="BN157" s="1981">
        <f>+BL157/$BW157*100</f>
        <v>75.468980770502512</v>
      </c>
      <c r="BO157" s="381">
        <f>+AL157+AM157+AN157+AO157+AU157</f>
        <v>499.2</v>
      </c>
      <c r="BP157" s="1980">
        <f>+(BO157/BO115-1)*100</f>
        <v>1.7322192785816037</v>
      </c>
      <c r="BQ157" s="1981">
        <f>+BO157/$BW157*100</f>
        <v>24.453866106265568</v>
      </c>
      <c r="BR157" s="389"/>
      <c r="BS157" s="381">
        <f>+AK157+AV157+AW157+AX157</f>
        <v>1.5750000000000002</v>
      </c>
      <c r="BT157" s="1980"/>
      <c r="BU157" s="1981">
        <f>+BS157/$BW157*100</f>
        <v>7.7153123231907594E-2</v>
      </c>
      <c r="BV157" s="389"/>
      <c r="BW157" s="381">
        <f>+BL157+BO157+BS157</f>
        <v>2041.395</v>
      </c>
      <c r="BX157" s="1980">
        <f>+(BW157/BW115-1)*100</f>
        <v>5.7576241103520776</v>
      </c>
      <c r="BY157" s="24"/>
      <c r="BZ157" s="390"/>
      <c r="CA157" s="1980"/>
      <c r="CB157" s="1981"/>
      <c r="CC157" s="390"/>
      <c r="CD157" s="1980"/>
      <c r="CE157" s="1981"/>
      <c r="CF157" s="389"/>
      <c r="CG157" s="390"/>
      <c r="CH157" s="1980"/>
      <c r="CI157" s="1981"/>
      <c r="CJ157" s="24"/>
      <c r="CK157" s="390"/>
      <c r="CL157" s="1980"/>
      <c r="CM157" s="1981"/>
      <c r="CN157" s="24"/>
      <c r="CO157" s="165"/>
      <c r="CP157" s="1980"/>
      <c r="CQ157" s="1981"/>
      <c r="CR157" s="1981"/>
      <c r="CS157" s="24"/>
      <c r="CT157" s="1982">
        <f>149.159-3.435</f>
        <v>145.72399999999999</v>
      </c>
      <c r="CU157" s="1980">
        <f>+(CT157/CT122-1)*100</f>
        <v>10.169952824482875</v>
      </c>
      <c r="CV157" s="1981">
        <f>+CT157/R157*100</f>
        <v>12.764723659026902</v>
      </c>
      <c r="CW157" s="1982"/>
      <c r="CX157" s="1982"/>
      <c r="CY157" s="1982"/>
      <c r="CZ157" s="24"/>
      <c r="DA157" s="381">
        <v>-5.5819999999999999</v>
      </c>
      <c r="DB157" s="1980">
        <f>+(DA157/DA122-1)*100</f>
        <v>561.37440758293837</v>
      </c>
      <c r="DC157" s="1981">
        <f>+DA157/W157*100</f>
        <v>-1.3989273720615509</v>
      </c>
      <c r="DD157" s="1981"/>
      <c r="DE157" s="1981"/>
      <c r="DF157" s="1981"/>
      <c r="DG157" s="1981"/>
      <c r="DH157" s="2102">
        <f>+DJ157/100*AP157</f>
        <v>18.471325000000004</v>
      </c>
      <c r="DI157" s="2103">
        <f>+(DH157/DH122-1)*100</f>
        <v>41.803508367879651</v>
      </c>
      <c r="DJ157" s="2048">
        <v>3.7</v>
      </c>
      <c r="DK157" s="24"/>
      <c r="DL157" s="381">
        <f>3.435</f>
        <v>3.4350000000000001</v>
      </c>
      <c r="DM157" s="2022" t="s">
        <v>520</v>
      </c>
      <c r="DN157" s="1981">
        <f>+DL157/AZ157*100</f>
        <v>3.0642283675289921</v>
      </c>
      <c r="DO157" s="24"/>
      <c r="DP157" s="381">
        <f>-43.141</f>
        <v>-43.140999999999998</v>
      </c>
      <c r="DQ157" s="1980">
        <f>+(DP157/DT122-1)*100</f>
        <v>20.06957973838017</v>
      </c>
      <c r="DR157" s="1981">
        <f>+DP157/BC157*100</f>
        <v>-15.83987193279409</v>
      </c>
      <c r="DS157" s="24"/>
      <c r="DT157" s="381">
        <f>DL157+DP157</f>
        <v>-39.705999999999996</v>
      </c>
      <c r="DU157" s="1980">
        <f>+(DT157/DT122-1)*100</f>
        <v>10.509323684942927</v>
      </c>
      <c r="DV157" s="1981">
        <f>+DT157/BE157*100</f>
        <v>-10.328135363966236</v>
      </c>
      <c r="DW157" s="24"/>
      <c r="DX157" s="266">
        <f>'qtrP&amp;L'!CD60</f>
        <v>100.43799999999999</v>
      </c>
      <c r="DY157" s="1980">
        <f>+(DX157/DX122-1)*100</f>
        <v>-7.451739230591925</v>
      </c>
      <c r="DZ157" s="1981">
        <f>(+DX157/BI157)*100</f>
        <v>5.2173822702090575</v>
      </c>
      <c r="EA157" s="2005" t="str">
        <f>IF(ROUND(EB157,2)=ROUND(DX157,2)," ","no")</f>
        <v xml:space="preserve"> </v>
      </c>
      <c r="EB157" s="91">
        <f>DT157+DA157+CT157</f>
        <v>100.43599999999999</v>
      </c>
      <c r="EC157" s="24"/>
      <c r="ED157" s="24"/>
      <c r="EE157" s="24"/>
      <c r="EG157" s="1982">
        <v>152</v>
      </c>
      <c r="EH157" s="2037">
        <f>EG157/EG122-1</f>
        <v>0.2773109243697478</v>
      </c>
      <c r="EI157" s="381">
        <f>1925-EG157</f>
        <v>1773</v>
      </c>
      <c r="EJ157" s="2037">
        <f>EI157/EI122-1</f>
        <v>-0.1911496350364964</v>
      </c>
    </row>
    <row r="158" spans="1:140" hidden="1" outlineLevel="1">
      <c r="A158" s="113" t="str">
        <f>+qtrSales!A146</f>
        <v>2Q</v>
      </c>
      <c r="B158" s="24" t="str">
        <f>+qtrSales!B146</f>
        <v>Jul</v>
      </c>
      <c r="C158" s="24"/>
      <c r="D158" s="24"/>
      <c r="E158" s="307">
        <v>913.4</v>
      </c>
      <c r="F158" s="307"/>
      <c r="G158" s="1980">
        <f>+(E158/E123-1)*100</f>
        <v>-0.76053889613211245</v>
      </c>
      <c r="H158" s="1981">
        <f>+E158/$BI158*100</f>
        <v>39.985238644109053</v>
      </c>
      <c r="I158" s="1981"/>
      <c r="J158" s="1981"/>
      <c r="K158" s="388">
        <v>423.2</v>
      </c>
      <c r="L158" s="1980">
        <f>+(K158/K123-1)*100</f>
        <v>6.7608476286579178</v>
      </c>
      <c r="M158" s="1981">
        <f>+K158/BI158*100</f>
        <v>18.526114510824339</v>
      </c>
      <c r="Q158" s="24"/>
      <c r="R158" s="388">
        <v>1336.5709999999999</v>
      </c>
      <c r="S158" s="1980">
        <f>+(R158/(R123-N123)-1)*100</f>
        <v>1.5017512203864491</v>
      </c>
      <c r="T158" s="1980"/>
      <c r="U158" s="1981">
        <f>+R158/$BI158*100</f>
        <v>58.510083643305755</v>
      </c>
      <c r="V158" s="24"/>
      <c r="W158" s="388">
        <v>553.18899999999996</v>
      </c>
      <c r="X158" s="388"/>
      <c r="Y158" s="388"/>
      <c r="Z158" s="388"/>
      <c r="AA158" s="388"/>
      <c r="AB158" s="388"/>
      <c r="AC158" s="1980">
        <f>+(W158/W123-1)*100</f>
        <v>-1.6365779801669089</v>
      </c>
      <c r="AD158" s="1981">
        <f>+W158/$BI158*100</f>
        <v>24.216547164764663</v>
      </c>
      <c r="AE158" s="1981"/>
      <c r="AF158" s="1981"/>
      <c r="AG158" s="1981"/>
      <c r="AH158" s="1981"/>
      <c r="AI158" s="24"/>
      <c r="AJ158" s="24"/>
      <c r="AK158" s="388"/>
      <c r="AL158" s="425"/>
      <c r="AM158" s="2046"/>
      <c r="AN158" s="2046"/>
      <c r="AO158" s="2046">
        <v>99.5</v>
      </c>
      <c r="AP158" s="2046">
        <v>370.31799999999998</v>
      </c>
      <c r="AQ158" s="2047">
        <f>+(AP158/AP123-1)*100</f>
        <v>0</v>
      </c>
      <c r="AR158" s="2048">
        <f>+AP158/$BI158*100</f>
        <v>16.211138169705688</v>
      </c>
      <c r="AS158" s="24"/>
      <c r="AT158" s="388"/>
      <c r="AU158" s="388"/>
      <c r="AV158" s="388"/>
      <c r="AW158" s="388"/>
      <c r="AX158" s="388"/>
      <c r="AY158" s="388"/>
      <c r="AZ158" s="2025">
        <v>134.5</v>
      </c>
      <c r="BA158" s="1980">
        <f>+(AZ158/N123-1)*100</f>
        <v>18.921308576481</v>
      </c>
      <c r="BB158" s="1981">
        <f>+AZ158/BI158*100</f>
        <v>5.8879073764316479</v>
      </c>
      <c r="BC158" s="388">
        <v>260.017</v>
      </c>
      <c r="BD158" s="1980">
        <f>+(BC158/BE123-1)*100</f>
        <v>-0.55570428729874166</v>
      </c>
      <c r="BE158" s="388">
        <v>394.55399999999997</v>
      </c>
      <c r="BF158" s="1980">
        <f>+(BE158/BE123-1)*100</f>
        <v>50.898382223582026</v>
      </c>
      <c r="BG158" s="1981">
        <f>+BE158/$BI158*100</f>
        <v>17.272099680301949</v>
      </c>
      <c r="BH158" s="24"/>
      <c r="BI158" s="266">
        <f>+E158+K158+W158+BE158</f>
        <v>2284.3429999999998</v>
      </c>
      <c r="BJ158" s="266"/>
      <c r="BK158" s="2889">
        <f>+(BI158/BI123-1)*100</f>
        <v>-12.946335510999541</v>
      </c>
      <c r="BL158" s="266">
        <f>+E158+K158+W158+AT158+AY158</f>
        <v>1889.7889999999998</v>
      </c>
      <c r="BM158" s="1980">
        <f>+(BL158/BL116-1)*100</f>
        <v>4.108445735263988</v>
      </c>
      <c r="BN158" s="1981">
        <f>+BL158/$BW158*100</f>
        <v>94.998212929343097</v>
      </c>
      <c r="BO158" s="266">
        <f>+AL158+AM158+AN158+AO158+AU158</f>
        <v>99.5</v>
      </c>
      <c r="BP158" s="1980">
        <f>+(BO158/BO116-1)*100</f>
        <v>-79.192806357172728</v>
      </c>
      <c r="BQ158" s="1981">
        <f>+BO158/$BW158*100</f>
        <v>5.0017870706569036</v>
      </c>
      <c r="BR158" s="389"/>
      <c r="BS158" s="266">
        <f>+AK158+AV158+AW158+AX158</f>
        <v>0</v>
      </c>
      <c r="BT158" s="1980"/>
      <c r="BU158" s="1981">
        <f>+BS158/$BW158*100</f>
        <v>0</v>
      </c>
      <c r="BV158" s="389"/>
      <c r="BW158" s="266">
        <f>+BL158+BO158+BS158</f>
        <v>1989.2889999999998</v>
      </c>
      <c r="BX158" s="1980">
        <f>+(BW158/BW116-1)*100</f>
        <v>-13.260722451962403</v>
      </c>
      <c r="BY158" s="24"/>
      <c r="BZ158" s="389"/>
      <c r="CA158" s="1980"/>
      <c r="CB158" s="1981"/>
      <c r="CC158" s="389"/>
      <c r="CD158" s="1980"/>
      <c r="CE158" s="1981"/>
      <c r="CF158" s="389"/>
      <c r="CG158" s="389"/>
      <c r="CH158" s="1980"/>
      <c r="CI158" s="1981"/>
      <c r="CJ158" s="389"/>
      <c r="CK158" s="389"/>
      <c r="CL158" s="1980"/>
      <c r="CM158" s="1981"/>
      <c r="CN158" s="389"/>
      <c r="CO158" s="266"/>
      <c r="CP158" s="1980"/>
      <c r="CQ158" s="1981"/>
      <c r="CR158" s="1981"/>
      <c r="CS158" s="24"/>
      <c r="CT158" s="389">
        <f>182.365-5.246</f>
        <v>177.119</v>
      </c>
      <c r="CU158" s="1980">
        <f>+(CT158/CT123-1)*100</f>
        <v>9.1198649547795654</v>
      </c>
      <c r="CV158" s="1981">
        <f>+CT158/R158*100</f>
        <v>13.251746446690824</v>
      </c>
      <c r="CW158" s="389"/>
      <c r="CX158" s="389"/>
      <c r="CY158" s="389"/>
      <c r="CZ158" s="24"/>
      <c r="DA158" s="2008">
        <v>40.628999999999998</v>
      </c>
      <c r="DB158" s="1980">
        <f>+(DA158/DA123-1)*100</f>
        <v>189.4834342714642</v>
      </c>
      <c r="DC158" s="1981">
        <f>+DA158/W158*100</f>
        <v>7.3445061272006491</v>
      </c>
      <c r="DD158" s="1981"/>
      <c r="DE158" s="1981"/>
      <c r="DF158" s="1981"/>
      <c r="DG158" s="1981"/>
      <c r="DH158" s="2104">
        <f>+DJ158/100*AP158</f>
        <v>10.739221999999998</v>
      </c>
      <c r="DI158" s="2103">
        <f>+(DH158/DH123-1)*100</f>
        <v>59.288371403143671</v>
      </c>
      <c r="DJ158" s="2048">
        <v>2.9</v>
      </c>
      <c r="DK158" s="24"/>
      <c r="DL158" s="530">
        <f>5.246</f>
        <v>5.2460000000000004</v>
      </c>
      <c r="DM158" s="2022" t="s">
        <v>520</v>
      </c>
      <c r="DN158" s="1981">
        <f>+DL158/AZ158*100</f>
        <v>3.9003717472118962</v>
      </c>
      <c r="DO158" s="24"/>
      <c r="DP158" s="530">
        <f>-37.836</f>
        <v>-37.835999999999999</v>
      </c>
      <c r="DQ158" s="1980">
        <f>+(DP158/DT123-1)*100</f>
        <v>-6.1956117515805653</v>
      </c>
      <c r="DR158" s="1981">
        <f>+DP158/BC158*100</f>
        <v>-14.551356257475472</v>
      </c>
      <c r="DS158" s="24"/>
      <c r="DT158" s="530">
        <f>DL158+DP158</f>
        <v>-32.589999999999996</v>
      </c>
      <c r="DU158" s="1980">
        <f>+(DT158/DT123-1)*100</f>
        <v>-19.201685880748787</v>
      </c>
      <c r="DV158" s="1981">
        <f>+DT158/BE158*100</f>
        <v>-8.2599593465026331</v>
      </c>
      <c r="DW158" s="24"/>
      <c r="DX158" s="2027">
        <f>ROUND('qtrP&amp;L'!CD61,2)</f>
        <v>185.16</v>
      </c>
      <c r="DY158" s="2028">
        <f>+(DX158/DX123-1)*100</f>
        <v>30.092953649642574</v>
      </c>
      <c r="DZ158" s="1981">
        <f>(+DX158/BI158)*100</f>
        <v>8.1056128611158655</v>
      </c>
      <c r="EA158" s="2005" t="str">
        <f>IF(EB158=DX158," ","no")</f>
        <v xml:space="preserve"> </v>
      </c>
      <c r="EB158" s="361">
        <f>ROUND((DT158+DA158+CT158), 2)</f>
        <v>185.16</v>
      </c>
      <c r="EC158" s="24"/>
      <c r="ED158" s="24"/>
      <c r="EE158" s="24"/>
      <c r="EG158" s="2008">
        <v>179</v>
      </c>
      <c r="EH158" s="2037">
        <f>EG158/EG123-1</f>
        <v>0.20945945945945943</v>
      </c>
      <c r="EI158" s="530">
        <f>2284-EG158</f>
        <v>2105</v>
      </c>
      <c r="EJ158" s="2037">
        <f>EI158/EI123-1</f>
        <v>-0.14983844911147015</v>
      </c>
    </row>
    <row r="159" spans="1:140" hidden="1" outlineLevel="1">
      <c r="A159" s="113" t="str">
        <f>+qtrSales!A147</f>
        <v>3Q</v>
      </c>
      <c r="B159" s="24" t="str">
        <f>+qtrSales!B147</f>
        <v>Oct</v>
      </c>
      <c r="C159" s="24"/>
      <c r="D159" s="24"/>
      <c r="E159" s="307">
        <v>730.8</v>
      </c>
      <c r="F159" s="307"/>
      <c r="G159" s="1980">
        <f>+(E159/E124-1)*100</f>
        <v>-0.55789903388215878</v>
      </c>
      <c r="H159" s="1981">
        <f>+E159/$BI159*100</f>
        <v>39.670045966878661</v>
      </c>
      <c r="I159" s="1981"/>
      <c r="J159" s="1981"/>
      <c r="K159" s="388">
        <v>269.5</v>
      </c>
      <c r="L159" s="1980">
        <f>+(K159/K124-1)*100</f>
        <v>19.777777777777782</v>
      </c>
      <c r="M159" s="1981">
        <f>+K159/BI159*100</f>
        <v>14.629279403494525</v>
      </c>
      <c r="Q159" s="24"/>
      <c r="R159" s="388">
        <v>1000.288</v>
      </c>
      <c r="S159" s="1980">
        <f>+(R159/(R124-N124)-1)*100</f>
        <v>4.2063274616084056</v>
      </c>
      <c r="T159" s="1980"/>
      <c r="U159" s="1981">
        <f>+R159/$BI159*100</f>
        <v>54.298673973887688</v>
      </c>
      <c r="V159" s="24"/>
      <c r="W159" s="388">
        <v>424.15100000000001</v>
      </c>
      <c r="X159" s="388"/>
      <c r="Y159" s="388"/>
      <c r="Z159" s="388"/>
      <c r="AA159" s="388"/>
      <c r="AB159" s="388"/>
      <c r="AC159" s="1980">
        <f>+(W159/W124-1)*100</f>
        <v>-1.3503675948990157</v>
      </c>
      <c r="AD159" s="1981">
        <f>+W159/$BI159*100</f>
        <v>23.024205893401138</v>
      </c>
      <c r="AE159" s="1981"/>
      <c r="AF159" s="1981"/>
      <c r="AG159" s="1981"/>
      <c r="AH159" s="1981"/>
      <c r="AI159" s="24"/>
      <c r="AJ159" s="24"/>
      <c r="AK159" s="388"/>
      <c r="AL159" s="2046">
        <f>segqtrSales!S729</f>
        <v>207</v>
      </c>
      <c r="AM159" s="2046"/>
      <c r="AN159" s="2046"/>
      <c r="AO159" s="2046">
        <f>segqtrSales!S828</f>
        <v>0</v>
      </c>
      <c r="AP159" s="2046">
        <f>+AL159+AO159</f>
        <v>207</v>
      </c>
      <c r="AQ159" s="2047">
        <f>+(AP159/AP124-1)*100</f>
        <v>-61.448713540357403</v>
      </c>
      <c r="AR159" s="2048">
        <f>+AP159/$BI159*100</f>
        <v>11.236589374854795</v>
      </c>
      <c r="AS159" s="24"/>
      <c r="AT159" s="388"/>
      <c r="AU159" s="388"/>
      <c r="AV159" s="388"/>
      <c r="AW159" s="388"/>
      <c r="AX159" s="388"/>
      <c r="AY159" s="388"/>
      <c r="AZ159" s="2025">
        <v>111.3</v>
      </c>
      <c r="BA159" s="1980">
        <f>+(AZ159/N124-1)*100</f>
        <v>-5.1150895140664954</v>
      </c>
      <c r="BB159" s="1981">
        <f>+AZ159/BI159*100</f>
        <v>6.0417024030016346</v>
      </c>
      <c r="BC159" s="388">
        <v>306.43799999999999</v>
      </c>
      <c r="BD159" s="1980">
        <f>+(BC159/BE124-1)*100</f>
        <v>-26.325684720726262</v>
      </c>
      <c r="BE159" s="388">
        <v>417.745</v>
      </c>
      <c r="BF159" s="1980">
        <f>+(BE159/BE124-1)*100</f>
        <v>0.43492268041238624</v>
      </c>
      <c r="BG159" s="1981">
        <f>+BE159/$BI159*100</f>
        <v>22.676468736225679</v>
      </c>
      <c r="BH159" s="24"/>
      <c r="BI159" s="266">
        <f>+E159+K159+W159+BE159</f>
        <v>1842.1959999999999</v>
      </c>
      <c r="BJ159" s="266"/>
      <c r="BK159" s="2889">
        <f>+(BI159/BI124-1)*100</f>
        <v>-4.2066088327501578</v>
      </c>
      <c r="BL159" s="266">
        <f>+E159+K159+W159+AT159+AY159</f>
        <v>1424.451</v>
      </c>
      <c r="BM159" s="1980">
        <f>+(BL159/BL117-1)*100</f>
        <v>1.5907758535844252</v>
      </c>
      <c r="BN159" s="1981">
        <f>+BL159/$BW159*100</f>
        <v>87.311908233836007</v>
      </c>
      <c r="BO159" s="266">
        <f>+AL159+AM159+AN159+AO159+AU159</f>
        <v>207</v>
      </c>
      <c r="BP159" s="1980">
        <f>+(BO159/BO117-1)*100</f>
        <v>-60.869565217391312</v>
      </c>
      <c r="BQ159" s="1981">
        <f>+BO159/$BW159*100</f>
        <v>12.688091766163986</v>
      </c>
      <c r="BR159" s="24"/>
      <c r="BS159" s="266">
        <f>+AK159+AV159+AW159+AX159</f>
        <v>0</v>
      </c>
      <c r="BT159" s="1980"/>
      <c r="BU159" s="1981">
        <f>+BS159/$BW159*100</f>
        <v>0</v>
      </c>
      <c r="BV159" s="24"/>
      <c r="BW159" s="266">
        <f>+BL159+BO159+BS159</f>
        <v>1631.451</v>
      </c>
      <c r="BX159" s="1980">
        <f>+(BW159/BW117-1)*100</f>
        <v>-15.519023419254685</v>
      </c>
      <c r="BY159" s="24"/>
      <c r="BZ159" s="389"/>
      <c r="CA159" s="1980"/>
      <c r="CB159" s="1981"/>
      <c r="CC159" s="389"/>
      <c r="CD159" s="1980"/>
      <c r="CE159" s="1981"/>
      <c r="CF159" s="24"/>
      <c r="CG159" s="389"/>
      <c r="CH159" s="1980"/>
      <c r="CI159" s="1981"/>
      <c r="CJ159" s="24"/>
      <c r="CK159" s="389"/>
      <c r="CL159" s="1980"/>
      <c r="CM159" s="1981"/>
      <c r="CN159" s="24"/>
      <c r="CO159" s="266"/>
      <c r="CP159" s="1980"/>
      <c r="CQ159" s="1981"/>
      <c r="CR159" s="1981"/>
      <c r="CS159" s="24"/>
      <c r="CT159" s="389">
        <f>74.881-3.544</f>
        <v>71.337000000000003</v>
      </c>
      <c r="CU159" s="1980">
        <f>+(CT159/CT124-1)*100</f>
        <v>8.3062581605076957</v>
      </c>
      <c r="CV159" s="1981">
        <f>+CT159/R159*100</f>
        <v>7.1316460859272528</v>
      </c>
      <c r="CW159" s="389"/>
      <c r="CX159" s="389"/>
      <c r="CY159" s="389"/>
      <c r="CZ159" s="24"/>
      <c r="DA159" s="2008">
        <v>-28.971</v>
      </c>
      <c r="DB159" s="1980">
        <f>+(DA159/DA124-1)*100</f>
        <v>298.2268041237113</v>
      </c>
      <c r="DC159" s="1981">
        <f>+DA159/W159*100</f>
        <v>-6.830350511963899</v>
      </c>
      <c r="DD159" s="1981"/>
      <c r="DE159" s="1981"/>
      <c r="DF159" s="1981"/>
      <c r="DG159" s="1981"/>
      <c r="DH159" s="2104">
        <f>+DJ159/100*AP159</f>
        <v>10.350000000000001</v>
      </c>
      <c r="DI159" s="2103">
        <f>+(DH159/DH124-1)*100</f>
        <v>-61.448713540357389</v>
      </c>
      <c r="DJ159" s="2048">
        <v>5</v>
      </c>
      <c r="DK159" s="24"/>
      <c r="DL159" s="530">
        <f>3.544</f>
        <v>3.544</v>
      </c>
      <c r="DM159" s="2022" t="s">
        <v>520</v>
      </c>
      <c r="DN159" s="1981">
        <f>+DL159/AZ159*100</f>
        <v>3.1841868823000898</v>
      </c>
      <c r="DO159" s="24"/>
      <c r="DP159" s="530">
        <f>-4.695</f>
        <v>-4.6950000000000003</v>
      </c>
      <c r="DQ159" s="1980">
        <f>+(DP159/DT124-1)*100</f>
        <v>-78.665879038487745</v>
      </c>
      <c r="DR159" s="1981">
        <f>+DP159/BC159*100</f>
        <v>-1.5321206899927557</v>
      </c>
      <c r="DS159" s="24"/>
      <c r="DT159" s="530">
        <f>DL159+DP159</f>
        <v>-1.1510000000000002</v>
      </c>
      <c r="DU159" s="1980">
        <f>+(DT159/DT124-1)*100</f>
        <v>-94.769845958104241</v>
      </c>
      <c r="DV159" s="1981">
        <f>+DT159/BE159*100</f>
        <v>-0.27552693628888442</v>
      </c>
      <c r="DW159" s="24"/>
      <c r="DX159" s="266">
        <f>'qtrP&amp;L'!CD62</f>
        <v>41.136999999999944</v>
      </c>
      <c r="DY159" s="1980">
        <f>+(DX159/DX124-1)*100</f>
        <v>12.445331292368088</v>
      </c>
      <c r="DZ159" s="1981">
        <f>(+DX159/BI159)*100</f>
        <v>2.2330414353304398</v>
      </c>
      <c r="EA159" s="2005" t="str">
        <f>IF(ROUND(EB159,2)=ROUND(DX159,2)," ","no")</f>
        <v xml:space="preserve"> </v>
      </c>
      <c r="EB159" s="91">
        <f>DT159+DA159+CT159-'qtrP&amp;L'!CD52</f>
        <v>41.136000000000003</v>
      </c>
      <c r="EC159" s="2051"/>
      <c r="ED159" s="24"/>
      <c r="EE159" s="24"/>
      <c r="EG159" s="2008">
        <v>146</v>
      </c>
      <c r="EH159" s="2037">
        <f>EG159/EG124-1</f>
        <v>4.2857142857142927E-2</v>
      </c>
      <c r="EI159" s="530">
        <f>1843-EG159</f>
        <v>1697</v>
      </c>
      <c r="EJ159" s="2037">
        <f>EI159/EI124-1</f>
        <v>-4.8233314638250091E-2</v>
      </c>
    </row>
    <row r="160" spans="1:140" hidden="1" outlineLevel="1">
      <c r="A160" s="113" t="str">
        <f>+qtrSales!A148</f>
        <v>4Q</v>
      </c>
      <c r="B160" s="24" t="str">
        <f>+qtrSales!B148</f>
        <v>Jan</v>
      </c>
      <c r="C160" s="24"/>
      <c r="D160" s="24"/>
      <c r="E160" s="302">
        <v>1184.8</v>
      </c>
      <c r="F160" s="307"/>
      <c r="G160" s="1980">
        <f>+(E160/E125-1)*100</f>
        <v>-8.5899098629234398</v>
      </c>
      <c r="H160" s="1981">
        <f>+E160/$BI160*100</f>
        <v>39.610408497382089</v>
      </c>
      <c r="I160" s="1981"/>
      <c r="J160" s="1981"/>
      <c r="K160" s="302">
        <v>449.2</v>
      </c>
      <c r="L160" s="1980">
        <f>+(K160/K125-1)*100</f>
        <v>4.2953331785465565</v>
      </c>
      <c r="M160" s="1981">
        <f>+K160/BI160*100</f>
        <v>15.017720709844728</v>
      </c>
      <c r="Q160" s="24"/>
      <c r="R160" s="306">
        <v>1633.9690000000001</v>
      </c>
      <c r="S160" s="1980">
        <f>+(R160/(R125-N125)-1)*100</f>
        <v>-5.3772127327393999</v>
      </c>
      <c r="T160" s="1980"/>
      <c r="U160" s="1981">
        <f>+R160/$BI160*100</f>
        <v>54.62709281065068</v>
      </c>
      <c r="V160" s="24"/>
      <c r="W160" s="302">
        <v>997.25099999999998</v>
      </c>
      <c r="X160" s="307"/>
      <c r="Y160" s="307"/>
      <c r="Z160" s="307"/>
      <c r="AA160" s="307"/>
      <c r="AB160" s="307"/>
      <c r="AC160" s="1980">
        <f>+(W160/W125-1)*100</f>
        <v>-7.6781862450124638</v>
      </c>
      <c r="AD160" s="1981">
        <f>+W160/$BI160*100</f>
        <v>33.34024264384098</v>
      </c>
      <c r="AE160" s="1981"/>
      <c r="AF160" s="1981"/>
      <c r="AG160" s="1981"/>
      <c r="AH160" s="1981"/>
      <c r="AI160" s="24"/>
      <c r="AJ160" s="24"/>
      <c r="AK160" s="388"/>
      <c r="AL160" s="2052">
        <f>segqtrSales!S730</f>
        <v>204</v>
      </c>
      <c r="AM160" s="2052"/>
      <c r="AN160" s="2052"/>
      <c r="AO160" s="2052">
        <f>segqtrSales!S829</f>
        <v>0</v>
      </c>
      <c r="AP160" s="2053">
        <f>+AL160+AO160</f>
        <v>204</v>
      </c>
      <c r="AQ160" s="2047">
        <f>+(AP160/AP125-1)*100</f>
        <v>-72.752362336948323</v>
      </c>
      <c r="AR160" s="2048">
        <f>+AP160/$BI160*100</f>
        <v>6.820158113998942</v>
      </c>
      <c r="AS160" s="24"/>
      <c r="AT160" s="388"/>
      <c r="AU160" s="388"/>
      <c r="AV160" s="388"/>
      <c r="AW160" s="388"/>
      <c r="AX160" s="388"/>
      <c r="AY160" s="388"/>
      <c r="AZ160" s="418">
        <v>133.6</v>
      </c>
      <c r="BA160" s="1980">
        <f>+(AZ160/N125-1)*100</f>
        <v>-19.469559975889094</v>
      </c>
      <c r="BB160" s="1981">
        <f>+AZ160/BI160*100</f>
        <v>4.4665349217169537</v>
      </c>
      <c r="BC160" s="302">
        <v>226.21199999999999</v>
      </c>
      <c r="BD160" s="1980">
        <f>+(BC160/BE125-1)*100</f>
        <v>-25.408303574078296</v>
      </c>
      <c r="BE160" s="302">
        <v>359.88200000000001</v>
      </c>
      <c r="BF160" s="1980">
        <f>+(BE160/BE125-1)*100</f>
        <v>18.668368137647697</v>
      </c>
      <c r="BG160" s="1981">
        <f>+BE160/$BI160*100</f>
        <v>12.031628148932192</v>
      </c>
      <c r="BH160" s="24"/>
      <c r="BI160" s="1022">
        <f>+E160+K160+W160+BE160</f>
        <v>2991.1330000000003</v>
      </c>
      <c r="BJ160" s="325"/>
      <c r="BK160" s="2889">
        <f>+(BI160/BI125-1)*100</f>
        <v>-8.7009804669686766</v>
      </c>
      <c r="BL160" s="1022">
        <f>+E160+K160+W160+AT160+AY160</f>
        <v>2631.2510000000002</v>
      </c>
      <c r="BM160" s="1980">
        <f>+(BL160/BL118-1)*100</f>
        <v>-12.749031991290982</v>
      </c>
      <c r="BN160" s="1981">
        <f>+BL160/$BW160*100</f>
        <v>92.804869833393937</v>
      </c>
      <c r="BO160" s="1022">
        <f>+AL160+AM160+AN160+AO160+AU160</f>
        <v>204</v>
      </c>
      <c r="BP160" s="1980">
        <f>+(BO160/BO118-1)*100</f>
        <v>-72.591696896412742</v>
      </c>
      <c r="BQ160" s="1981">
        <f>+BO160/$BW160*100</f>
        <v>7.1951301666060603</v>
      </c>
      <c r="BR160" s="24"/>
      <c r="BS160" s="1022">
        <f>+AK160+AV160+AW160+AX160</f>
        <v>0</v>
      </c>
      <c r="BT160" s="1980"/>
      <c r="BU160" s="1981">
        <f>+BS160/$BW160*100</f>
        <v>0</v>
      </c>
      <c r="BV160" s="24"/>
      <c r="BW160" s="1022">
        <f>+BL160+BO160+BS160</f>
        <v>2835.2510000000002</v>
      </c>
      <c r="BX160" s="1980">
        <f>+(BW160/BW118-1)*100</f>
        <v>-24.594929770451113</v>
      </c>
      <c r="BY160" s="24"/>
      <c r="BZ160" s="306"/>
      <c r="CA160" s="1980"/>
      <c r="CB160" s="1981"/>
      <c r="CC160" s="306"/>
      <c r="CD160" s="1980"/>
      <c r="CE160" s="1981"/>
      <c r="CF160" s="24"/>
      <c r="CG160" s="306"/>
      <c r="CH160" s="1980"/>
      <c r="CI160" s="1981"/>
      <c r="CJ160" s="24"/>
      <c r="CK160" s="306"/>
      <c r="CL160" s="1980"/>
      <c r="CM160" s="1981"/>
      <c r="CN160" s="24"/>
      <c r="CO160" s="67"/>
      <c r="CP160" s="1980"/>
      <c r="CQ160" s="1981"/>
      <c r="CR160" s="1981"/>
      <c r="CS160" s="24"/>
      <c r="CT160" s="306">
        <f>213.411-0.444</f>
        <v>212.96700000000001</v>
      </c>
      <c r="CU160" s="1980">
        <f>+(CT160/CT125-1)*100</f>
        <v>-31.345261121856861</v>
      </c>
      <c r="CV160" s="1981">
        <f>+CT160/R160*100</f>
        <v>13.033723406013213</v>
      </c>
      <c r="CW160" s="321"/>
      <c r="CX160" s="321"/>
      <c r="CY160" s="321"/>
      <c r="CZ160" s="24"/>
      <c r="DA160" s="2010">
        <v>209.42</v>
      </c>
      <c r="DB160" s="1980">
        <f>+(DA160/DA125-1)*100</f>
        <v>-29.07796614761482</v>
      </c>
      <c r="DC160" s="1981">
        <f>+DA160/W160*100</f>
        <v>20.999728252967405</v>
      </c>
      <c r="DD160" s="1981"/>
      <c r="DE160" s="1981"/>
      <c r="DF160" s="1981"/>
      <c r="DG160" s="1981"/>
      <c r="DH160" s="2105">
        <f>+DJ160/100*AP160</f>
        <v>20.400000000000002</v>
      </c>
      <c r="DI160" s="2103">
        <f>+(DH160/DH125-1)*100</f>
        <v>-54.587270561580546</v>
      </c>
      <c r="DJ160" s="2048">
        <v>10</v>
      </c>
      <c r="DK160" s="24"/>
      <c r="DL160" s="2084">
        <f>0.444</f>
        <v>0.44400000000000001</v>
      </c>
      <c r="DM160" s="2022" t="s">
        <v>520</v>
      </c>
      <c r="DN160" s="1981">
        <f>+DL160/AZ160*100</f>
        <v>0.33233532934131738</v>
      </c>
      <c r="DO160" s="24"/>
      <c r="DP160" s="2084">
        <f>-32.097</f>
        <v>-32.097000000000001</v>
      </c>
      <c r="DQ160" s="1980">
        <f>+(DP160/DT125-1)*100</f>
        <v>0.67751952573633645</v>
      </c>
      <c r="DR160" s="1981">
        <f>+DP160/BC160*100</f>
        <v>-14.188902445493609</v>
      </c>
      <c r="DS160" s="24"/>
      <c r="DT160" s="2084">
        <f>DL160+DP160</f>
        <v>-31.653000000000002</v>
      </c>
      <c r="DU160" s="1980">
        <f>+(DT160/DT125-1)*100</f>
        <v>-0.71515949938834034</v>
      </c>
      <c r="DV160" s="1981">
        <f>+DT160/BE160*100</f>
        <v>-8.7953829310718525</v>
      </c>
      <c r="DW160" s="24"/>
      <c r="DX160" s="1022">
        <f>'qtrP&amp;L'!CD63</f>
        <v>390.7349999999999</v>
      </c>
      <c r="DY160" s="1980">
        <f>+(DX160/DX125-1)*100</f>
        <v>-31.881061423587941</v>
      </c>
      <c r="DZ160" s="1981">
        <f>(+DX160/BI160)*100</f>
        <v>13.063110199379294</v>
      </c>
      <c r="EA160" s="2005" t="str">
        <f>IF(ROUND(EB160,1)=ROUND(DX160,1)," ","no")</f>
        <v xml:space="preserve"> </v>
      </c>
      <c r="EB160" s="91">
        <f>DT160+DA160+CT160</f>
        <v>390.73400000000004</v>
      </c>
      <c r="EC160" s="24"/>
      <c r="ED160" s="24"/>
      <c r="EE160" s="24"/>
      <c r="EG160" s="1419">
        <f>EG161-SUM(EG157:EG159)</f>
        <v>178</v>
      </c>
      <c r="EH160" s="2037">
        <f>EG160/EG125-1</f>
        <v>-0.12745098039215685</v>
      </c>
      <c r="EI160" s="1419">
        <f>EI161-SUM(EI157:EI159)</f>
        <v>2813</v>
      </c>
      <c r="EJ160" s="2037">
        <f>EI160/EI125-1</f>
        <v>-8.430989583333337E-2</v>
      </c>
    </row>
    <row r="161" spans="1:140" hidden="1" outlineLevel="1">
      <c r="A161" s="113"/>
      <c r="B161" s="24" t="str">
        <f>+qtrSales!B149</f>
        <v>Year</v>
      </c>
      <c r="C161" s="24"/>
      <c r="D161" s="24"/>
      <c r="E161" s="266">
        <f>+SUM(E157:E160)</f>
        <v>3589.7</v>
      </c>
      <c r="F161" s="266"/>
      <c r="G161" s="1980">
        <f>+(E161/E126-1)*100</f>
        <v>-3.5710438595006666</v>
      </c>
      <c r="H161" s="1981">
        <f>+E161/$BI161*100</f>
        <v>39.697051899220334</v>
      </c>
      <c r="I161" s="1981"/>
      <c r="J161" s="1981"/>
      <c r="K161" s="266">
        <f>+SUM(K157:K160)</f>
        <v>1522.8</v>
      </c>
      <c r="L161" s="1980">
        <f>+(K161/K126-1)*100</f>
        <v>9.0518476081351995</v>
      </c>
      <c r="M161" s="1981">
        <f>+K161/$BI161*100</f>
        <v>16.840034162223226</v>
      </c>
      <c r="Q161" s="24"/>
      <c r="R161" s="266">
        <f>+SUM(R157:R160)</f>
        <v>5112.4429999999993</v>
      </c>
      <c r="S161" s="1980">
        <f>+(R161/R126-1)*100</f>
        <v>-8.8202357306313992</v>
      </c>
      <c r="T161" s="1980"/>
      <c r="U161" s="1981">
        <f>+R161/$BI161*100</f>
        <v>56.536455721315335</v>
      </c>
      <c r="V161" s="24"/>
      <c r="W161" s="266">
        <f>+SUM(W157:W160)</f>
        <v>2373.6109999999999</v>
      </c>
      <c r="X161" s="266"/>
      <c r="Y161" s="266"/>
      <c r="Z161" s="266"/>
      <c r="AA161" s="266"/>
      <c r="AB161" s="266"/>
      <c r="AC161" s="1980">
        <f>+(W161/W126-1)*100</f>
        <v>-4.8296636897339651</v>
      </c>
      <c r="AD161" s="1981">
        <f>+W161/$BI161*100</f>
        <v>26.24881161533283</v>
      </c>
      <c r="AE161" s="1981"/>
      <c r="AF161" s="1981"/>
      <c r="AG161" s="1981"/>
      <c r="AH161" s="1981"/>
      <c r="AI161" s="24"/>
      <c r="AJ161" s="24"/>
      <c r="AK161" s="388"/>
      <c r="AL161" s="2050">
        <f>+SUM(AL157:AL160)</f>
        <v>799.2</v>
      </c>
      <c r="AM161" s="2046"/>
      <c r="AN161" s="2046"/>
      <c r="AO161" s="2050">
        <f>+SUM(AO157:AO160)</f>
        <v>210.5</v>
      </c>
      <c r="AP161" s="2050">
        <f>+SUM(AP157:AP160)</f>
        <v>1280.5430000000001</v>
      </c>
      <c r="AQ161" s="2047">
        <f>+(AP161/AP126-1)*100</f>
        <v>-40.582981414920361</v>
      </c>
      <c r="AR161" s="2048">
        <f>+AP161/$BI161*100</f>
        <v>14.16101120711572</v>
      </c>
      <c r="AS161" s="24"/>
      <c r="AT161" s="388"/>
      <c r="AU161" s="388"/>
      <c r="AV161" s="388"/>
      <c r="AW161" s="388"/>
      <c r="AX161" s="388"/>
      <c r="AY161" s="388"/>
      <c r="AZ161" s="2027">
        <f>+SUM(AZ157:AZ160)</f>
        <v>491.5</v>
      </c>
      <c r="BA161" s="2022">
        <f>+(AZ161/N126-1)*100</f>
        <v>0.71721311475410054</v>
      </c>
      <c r="BB161" s="1981">
        <f>+AZ161/$BI161*100</f>
        <v>5.4353012810170185</v>
      </c>
      <c r="BC161" s="266">
        <f>+SUM(BC157:BC160)</f>
        <v>1065.0239999999999</v>
      </c>
      <c r="BD161" s="1980">
        <f>+(BC161/BE126-1)*100</f>
        <v>-8.4718757170615948</v>
      </c>
      <c r="BE161" s="266">
        <f>+SUM(BE157:BE160)</f>
        <v>1556.6260000000002</v>
      </c>
      <c r="BF161" s="1980">
        <f>+(BE161/BE126-1)*100</f>
        <v>33.776382494716863</v>
      </c>
      <c r="BG161" s="1981">
        <f>+BE161/$BI161*100</f>
        <v>17.214102323223599</v>
      </c>
      <c r="BH161" s="24"/>
      <c r="BI161" s="266">
        <f>+E161+K161+W161+BE161</f>
        <v>9042.737000000001</v>
      </c>
      <c r="BJ161" s="266"/>
      <c r="BK161" s="2889">
        <f>+(BI161/BI126-1)*100</f>
        <v>-10.770368269679253</v>
      </c>
      <c r="BL161" s="266">
        <f>+E161+K161+W161+AT161+AY161</f>
        <v>7486.1109999999999</v>
      </c>
      <c r="BM161" s="1980">
        <f>+(BL161/BL119-1)*100</f>
        <v>-2.4110984285369286</v>
      </c>
      <c r="BN161" s="1981">
        <f>+BL161/$BW161*100</f>
        <v>88.115319420359057</v>
      </c>
      <c r="BO161" s="266">
        <f>+AL161+AM161+AN161+AO161+AU161</f>
        <v>1009.7</v>
      </c>
      <c r="BP161" s="1980">
        <f>+(BO161/BO119-1)*100</f>
        <v>-54.968334671304973</v>
      </c>
      <c r="BQ161" s="1981">
        <f>+BO161/$BW161*100</f>
        <v>11.884680579640957</v>
      </c>
      <c r="BR161" s="24"/>
      <c r="BS161" s="266">
        <f>+AK161+AV161+AW161+AX161</f>
        <v>0</v>
      </c>
      <c r="BT161" s="1980"/>
      <c r="BU161" s="1981">
        <f>+BS161/$BW161*100</f>
        <v>0</v>
      </c>
      <c r="BV161" s="24"/>
      <c r="BW161" s="266">
        <f>+BL161+BO161+BS161</f>
        <v>8495.8109999999997</v>
      </c>
      <c r="BX161" s="1980">
        <f>+(BW161/BW119-1)*100</f>
        <v>-14.298584482937414</v>
      </c>
      <c r="BY161" s="24"/>
      <c r="BZ161" s="389"/>
      <c r="CA161" s="1980"/>
      <c r="CB161" s="1981"/>
      <c r="CC161" s="389"/>
      <c r="CD161" s="1980"/>
      <c r="CE161" s="1981"/>
      <c r="CF161" s="24"/>
      <c r="CG161" s="389"/>
      <c r="CH161" s="1980"/>
      <c r="CI161" s="1981"/>
      <c r="CJ161" s="24"/>
      <c r="CK161" s="389"/>
      <c r="CL161" s="1980"/>
      <c r="CM161" s="1981"/>
      <c r="CN161" s="24"/>
      <c r="CO161" s="24"/>
      <c r="CP161" s="1980"/>
      <c r="CQ161" s="1981"/>
      <c r="CR161" s="1981"/>
      <c r="CS161" s="24"/>
      <c r="CT161" s="266">
        <f>+SUM(CT157:CT160)</f>
        <v>607.14699999999993</v>
      </c>
      <c r="CU161" s="1980">
        <f>+(CT161/CT126-1)*100</f>
        <v>-9.4694134382259811</v>
      </c>
      <c r="CV161" s="1981">
        <f>+CT161/R161*100</f>
        <v>11.875868347089641</v>
      </c>
      <c r="CW161" s="266"/>
      <c r="CX161" s="266"/>
      <c r="CY161" s="266"/>
      <c r="CZ161" s="24"/>
      <c r="DA161" s="266">
        <f>+SUM(DA157:DA160)</f>
        <v>215.49599999999998</v>
      </c>
      <c r="DB161" s="1980">
        <f>+(DA161/DA126-1)*100</f>
        <v>-28.453708191953464</v>
      </c>
      <c r="DC161" s="1981">
        <f>+DA161/W161*100</f>
        <v>9.0788254688742178</v>
      </c>
      <c r="DD161" s="1981"/>
      <c r="DE161" s="1981"/>
      <c r="DF161" s="1981"/>
      <c r="DG161" s="1981"/>
      <c r="DH161" s="2106">
        <f>+SUM(DH157:DH160)</f>
        <v>59.960547000000005</v>
      </c>
      <c r="DI161" s="2103">
        <f>+(DH161/DH126-1)*100</f>
        <v>-34.495605552421374</v>
      </c>
      <c r="DJ161" s="2048">
        <f>+DH161/AP161*100</f>
        <v>4.6824313591968405</v>
      </c>
      <c r="DK161" s="24"/>
      <c r="DL161" s="91">
        <f>+SUM(DL157:DL160)</f>
        <v>12.669000000000002</v>
      </c>
      <c r="DM161" s="2022" t="s">
        <v>520</v>
      </c>
      <c r="DN161" s="1981">
        <f>+DL161/AZ161*100</f>
        <v>2.5776195320447615</v>
      </c>
      <c r="DO161" s="24"/>
      <c r="DP161" s="91">
        <f>+SUM(DP157:DP160)</f>
        <v>-117.76900000000001</v>
      </c>
      <c r="DQ161" s="1980">
        <f>+(DP161/DT126-1)*100</f>
        <v>-9.514955475478871</v>
      </c>
      <c r="DR161" s="1981">
        <f>+DP161/BC161*100</f>
        <v>-11.057872874226311</v>
      </c>
      <c r="DS161" s="24"/>
      <c r="DT161" s="91">
        <f>+SUM(DT157:DT160)</f>
        <v>-105.1</v>
      </c>
      <c r="DU161" s="1980">
        <f>+(DT161/DT126-1)*100</f>
        <v>-19.248884005747101</v>
      </c>
      <c r="DV161" s="1981">
        <f>+DT161/BE161*100</f>
        <v>-6.7517823806103703</v>
      </c>
      <c r="DW161" s="24"/>
      <c r="DX161" s="266">
        <f>+SUM(DX157:DX160)</f>
        <v>717.4699999999998</v>
      </c>
      <c r="DY161" s="1980">
        <f>+(DX161/DX126-1)*100</f>
        <v>-16.674505978200937</v>
      </c>
      <c r="DZ161" s="1981">
        <f>(+DX161/BI161)*100</f>
        <v>7.9342128384359709</v>
      </c>
      <c r="EA161" s="1981"/>
      <c r="EB161" s="24"/>
      <c r="EC161" s="24"/>
      <c r="ED161" s="24"/>
      <c r="EE161" s="24"/>
      <c r="EG161" s="1982">
        <v>655</v>
      </c>
      <c r="EH161" s="2037">
        <f>EG161/EG126-1</f>
        <v>7.2013093289688968E-2</v>
      </c>
      <c r="EI161" s="381">
        <f>9043-EG161</f>
        <v>8388</v>
      </c>
      <c r="EJ161" s="2037">
        <f>EI161/EI126-1</f>
        <v>-0.11918513073611259</v>
      </c>
    </row>
    <row r="162" spans="1:140" hidden="1" outlineLevel="1">
      <c r="A162" s="113"/>
      <c r="B162" s="24"/>
      <c r="C162" s="24"/>
      <c r="D162" s="24"/>
      <c r="E162" s="266"/>
      <c r="F162" s="266"/>
      <c r="G162" s="1980"/>
      <c r="H162" s="1981"/>
      <c r="I162" s="1981"/>
      <c r="J162" s="1981"/>
      <c r="K162" s="2012"/>
      <c r="L162" s="2049"/>
      <c r="M162" s="1981"/>
      <c r="Q162" s="24"/>
      <c r="R162" s="266"/>
      <c r="S162" s="1980"/>
      <c r="T162" s="1980"/>
      <c r="U162" s="1981"/>
      <c r="V162" s="24"/>
      <c r="W162" s="266"/>
      <c r="X162" s="266"/>
      <c r="Y162" s="266"/>
      <c r="Z162" s="266"/>
      <c r="AA162" s="266"/>
      <c r="AB162" s="266"/>
      <c r="AC162" s="1980"/>
      <c r="AD162" s="1981"/>
      <c r="AE162" s="1981"/>
      <c r="AF162" s="1981"/>
      <c r="AG162" s="1981"/>
      <c r="AH162" s="1981"/>
      <c r="AI162" s="24"/>
      <c r="AJ162" s="24"/>
      <c r="AK162" s="388"/>
      <c r="AL162" s="2050"/>
      <c r="AM162" s="2046"/>
      <c r="AN162" s="2046"/>
      <c r="AO162" s="2050"/>
      <c r="AP162" s="2050"/>
      <c r="AQ162" s="2047"/>
      <c r="AR162" s="2048"/>
      <c r="AS162" s="24"/>
      <c r="AT162" s="388"/>
      <c r="AU162" s="388"/>
      <c r="AV162" s="388"/>
      <c r="AW162" s="388"/>
      <c r="AX162" s="388"/>
      <c r="AY162" s="388"/>
      <c r="AZ162" s="2027"/>
      <c r="BA162" s="2022"/>
      <c r="BB162" s="1981"/>
      <c r="BC162" s="266"/>
      <c r="BD162" s="1980"/>
      <c r="BE162" s="266"/>
      <c r="BF162" s="1980"/>
      <c r="BG162" s="1981"/>
      <c r="BH162" s="24"/>
      <c r="BI162" s="266"/>
      <c r="BJ162" s="266"/>
      <c r="BK162" s="2889"/>
      <c r="BL162" s="266"/>
      <c r="BM162" s="1980"/>
      <c r="BN162" s="1981"/>
      <c r="BO162" s="266"/>
      <c r="BP162" s="1980"/>
      <c r="BQ162" s="1981"/>
      <c r="BR162" s="24"/>
      <c r="BS162" s="266"/>
      <c r="BT162" s="1980"/>
      <c r="BU162" s="1981"/>
      <c r="BV162" s="24"/>
      <c r="BW162" s="266"/>
      <c r="BX162" s="1980"/>
      <c r="BY162" s="24"/>
      <c r="BZ162" s="389"/>
      <c r="CA162" s="1980"/>
      <c r="CB162" s="1981"/>
      <c r="CC162" s="389"/>
      <c r="CD162" s="1980"/>
      <c r="CE162" s="1981"/>
      <c r="CF162" s="24"/>
      <c r="CG162" s="389"/>
      <c r="CH162" s="1980"/>
      <c r="CI162" s="1981"/>
      <c r="CJ162" s="24"/>
      <c r="CK162" s="389"/>
      <c r="CL162" s="1980"/>
      <c r="CM162" s="1981"/>
      <c r="CN162" s="24"/>
      <c r="CO162" s="24"/>
      <c r="CP162" s="1980"/>
      <c r="CQ162" s="1981"/>
      <c r="CR162" s="1981"/>
      <c r="CS162" s="24"/>
      <c r="CT162" s="428"/>
      <c r="CU162" s="1980"/>
      <c r="CV162" s="1981"/>
      <c r="CW162" s="428"/>
      <c r="CX162" s="428"/>
      <c r="CY162" s="428"/>
      <c r="CZ162" s="24"/>
      <c r="DA162" s="428"/>
      <c r="DB162" s="1980"/>
      <c r="DC162" s="1981"/>
      <c r="DD162" s="1981"/>
      <c r="DE162" s="1981"/>
      <c r="DF162" s="1981"/>
      <c r="DG162" s="1981"/>
      <c r="DH162" s="2106"/>
      <c r="DI162" s="2103"/>
      <c r="DJ162" s="2048"/>
      <c r="DK162" s="24"/>
      <c r="DL162" s="266"/>
      <c r="DM162" s="1980"/>
      <c r="DN162" s="1981"/>
      <c r="DO162" s="24"/>
      <c r="DP162" s="266"/>
      <c r="DQ162" s="1980"/>
      <c r="DR162" s="1981"/>
      <c r="DS162" s="24"/>
      <c r="DT162" s="266"/>
      <c r="DU162" s="1980"/>
      <c r="DV162" s="1981"/>
      <c r="DW162" s="24"/>
      <c r="DX162" s="266"/>
      <c r="DY162" s="1980"/>
      <c r="DZ162" s="1981"/>
      <c r="EA162" s="1981"/>
      <c r="EB162" s="24"/>
      <c r="EC162" s="24"/>
      <c r="ED162" s="24"/>
      <c r="EE162" s="24"/>
      <c r="EG162" s="266"/>
      <c r="EH162" s="1980"/>
      <c r="EI162" s="266"/>
      <c r="EJ162" s="1980"/>
    </row>
    <row r="163" spans="1:140" hidden="1" outlineLevel="1">
      <c r="A163" s="113"/>
      <c r="B163" s="136" t="str">
        <f>qtrSales!B151</f>
        <v>2009A</v>
      </c>
      <c r="C163" s="24"/>
      <c r="D163" s="24"/>
      <c r="E163" s="428"/>
      <c r="F163" s="428"/>
      <c r="G163" s="1980"/>
      <c r="H163" s="1981"/>
      <c r="I163" s="1981"/>
      <c r="J163" s="1981"/>
      <c r="K163" s="24"/>
      <c r="L163" s="2087"/>
      <c r="M163" s="1981"/>
      <c r="Q163" s="24"/>
      <c r="R163" s="428"/>
      <c r="S163" s="1980"/>
      <c r="T163" s="1980"/>
      <c r="U163" s="1981"/>
      <c r="V163" s="428"/>
      <c r="W163" s="428"/>
      <c r="X163" s="428"/>
      <c r="Y163" s="428"/>
      <c r="Z163" s="428"/>
      <c r="AA163" s="428"/>
      <c r="AB163" s="428"/>
      <c r="AC163" s="1980"/>
      <c r="AD163" s="1981"/>
      <c r="AE163" s="1981"/>
      <c r="AF163" s="1981"/>
      <c r="AG163" s="1981"/>
      <c r="AH163" s="1981"/>
      <c r="AI163" s="24"/>
      <c r="AJ163" s="399"/>
      <c r="AK163" s="24"/>
      <c r="AL163" s="2088"/>
      <c r="AM163" s="2089"/>
      <c r="AN163" s="2089"/>
      <c r="AO163" s="2088"/>
      <c r="AP163" s="2089"/>
      <c r="AQ163" s="2088"/>
      <c r="AR163" s="2107"/>
      <c r="AS163" s="24"/>
      <c r="AT163" s="24"/>
      <c r="AU163" s="24"/>
      <c r="AV163" s="24"/>
      <c r="AW163" s="24"/>
      <c r="AX163" s="24"/>
      <c r="AY163" s="24"/>
      <c r="AZ163" s="428"/>
      <c r="BA163" s="1981"/>
      <c r="BB163" s="1981"/>
      <c r="BC163" s="381"/>
      <c r="BD163" s="2070"/>
      <c r="BE163" s="381"/>
      <c r="BF163" s="2070"/>
      <c r="BG163" s="1981"/>
      <c r="BH163" s="24"/>
      <c r="BI163" s="24"/>
      <c r="BJ163" s="24"/>
      <c r="BK163" s="2889"/>
      <c r="BL163" s="389"/>
      <c r="BM163" s="1988"/>
      <c r="BN163" s="1989"/>
      <c r="BO163" s="389"/>
      <c r="BP163" s="389"/>
      <c r="BQ163" s="389"/>
      <c r="BR163" s="389"/>
      <c r="BS163" s="389"/>
      <c r="BT163" s="389"/>
      <c r="BU163" s="389"/>
      <c r="BV163" s="389"/>
      <c r="BW163" s="266"/>
      <c r="BX163" s="24"/>
      <c r="BY163" s="24"/>
      <c r="BZ163" s="389"/>
      <c r="CA163" s="1988"/>
      <c r="CB163" s="1989"/>
      <c r="CC163" s="389"/>
      <c r="CD163" s="389"/>
      <c r="CE163" s="389"/>
      <c r="CF163" s="389"/>
      <c r="CG163" s="389"/>
      <c r="CH163" s="389"/>
      <c r="CI163" s="389"/>
      <c r="CJ163" s="389"/>
      <c r="CK163" s="389"/>
      <c r="CL163" s="389"/>
      <c r="CM163" s="389"/>
      <c r="CN163" s="389"/>
      <c r="CO163" s="266"/>
      <c r="CP163" s="24"/>
      <c r="CQ163" s="24"/>
      <c r="CR163" s="24"/>
      <c r="CS163" s="24"/>
      <c r="CT163" s="164"/>
      <c r="CU163" s="24"/>
      <c r="CV163" s="2071"/>
      <c r="CW163" s="164"/>
      <c r="CX163" s="164"/>
      <c r="CY163" s="164"/>
      <c r="CZ163" s="24"/>
      <c r="DA163" s="24"/>
      <c r="DB163" s="24"/>
      <c r="DC163" s="24"/>
      <c r="DD163" s="24"/>
      <c r="DE163" s="24"/>
      <c r="DF163" s="24"/>
      <c r="DG163" s="24"/>
      <c r="DH163" s="2108"/>
      <c r="DI163" s="1242"/>
      <c r="DJ163" s="2109"/>
      <c r="DK163" s="24"/>
      <c r="DL163" s="24"/>
      <c r="DM163" s="24"/>
      <c r="DN163" s="24"/>
      <c r="DO163" s="24"/>
      <c r="DP163" s="24"/>
      <c r="DQ163" s="24"/>
      <c r="DR163" s="24"/>
      <c r="DS163" s="24"/>
      <c r="DT163" s="24"/>
      <c r="DU163" s="24"/>
      <c r="DV163" s="24"/>
      <c r="DW163" s="24"/>
      <c r="DX163" s="266"/>
      <c r="DY163" s="24"/>
      <c r="DZ163" s="1981"/>
      <c r="EA163" s="24"/>
      <c r="EB163" s="24"/>
      <c r="EC163" s="24"/>
      <c r="ED163" s="24"/>
      <c r="EE163" s="24"/>
      <c r="EG163" s="24"/>
      <c r="EH163" s="24"/>
      <c r="EI163" s="24"/>
      <c r="EJ163" s="24"/>
    </row>
    <row r="164" spans="1:140" hidden="1" outlineLevel="1">
      <c r="A164" s="113" t="str">
        <f>qtrSales!A152</f>
        <v>1Q</v>
      </c>
      <c r="B164" s="24" t="str">
        <f>qtrSales!B152</f>
        <v>Apr</v>
      </c>
      <c r="C164" s="24"/>
      <c r="D164" s="24"/>
      <c r="E164" s="1982">
        <v>726.8</v>
      </c>
      <c r="F164" s="1982"/>
      <c r="G164" s="1980">
        <f>+(E164/E157-1)*100</f>
        <v>-4.4564217168397651</v>
      </c>
      <c r="H164" s="1981">
        <f>+E164/$BI164*100</f>
        <v>42.128009329835422</v>
      </c>
      <c r="I164" s="1981"/>
      <c r="J164" s="1981"/>
      <c r="K164" s="1982">
        <v>317.39999999999998</v>
      </c>
      <c r="L164" s="1980">
        <f>+(K164/K157-1)*100</f>
        <v>-16.671042268311897</v>
      </c>
      <c r="M164" s="1981">
        <f>+K164/BI164*100</f>
        <v>18.397674960497746</v>
      </c>
      <c r="Q164" s="24"/>
      <c r="R164" s="1982">
        <v>1044.2190000000001</v>
      </c>
      <c r="S164" s="1980">
        <f>+(R164/R157-1)*100</f>
        <v>-8.5314225899274287</v>
      </c>
      <c r="T164" s="1980"/>
      <c r="U164" s="1981">
        <f>+R164/$BI164*100</f>
        <v>60.526785600428482</v>
      </c>
      <c r="V164" s="24"/>
      <c r="W164" s="1982">
        <v>402.47</v>
      </c>
      <c r="X164" s="1982"/>
      <c r="Y164" s="1982"/>
      <c r="Z164" s="1982"/>
      <c r="AA164" s="1982"/>
      <c r="AB164" s="1982"/>
      <c r="AC164" s="1980">
        <f>+(W164/W157-1)*100</f>
        <v>0.86461831487145702</v>
      </c>
      <c r="AD164" s="1981">
        <f>+W164/$BI164*100</f>
        <v>23.328646002997885</v>
      </c>
      <c r="AE164" s="1981"/>
      <c r="AF164" s="1981"/>
      <c r="AG164" s="1981"/>
      <c r="AH164" s="1981"/>
      <c r="AI164" s="24"/>
      <c r="AJ164" s="24"/>
      <c r="AK164" s="2011">
        <f>0.75*2.1</f>
        <v>1.5750000000000002</v>
      </c>
      <c r="AL164" s="2094">
        <v>388.2</v>
      </c>
      <c r="AM164" s="2094"/>
      <c r="AN164" s="2094"/>
      <c r="AO164" s="2094">
        <v>111</v>
      </c>
      <c r="AP164" s="2094">
        <v>499.22500000000002</v>
      </c>
      <c r="AQ164" s="2088">
        <f>+(AP164/AP157-1)*100</f>
        <v>0</v>
      </c>
      <c r="AR164" s="2107">
        <f>+AP164/$BI164*100</f>
        <v>28.936922754109919</v>
      </c>
      <c r="AS164" s="24"/>
      <c r="AT164" s="1982"/>
      <c r="AU164" s="1982"/>
      <c r="AV164" s="1982"/>
      <c r="AW164" s="1982"/>
      <c r="AX164" s="1982"/>
      <c r="AY164" s="1982"/>
      <c r="AZ164" s="2041">
        <v>81</v>
      </c>
      <c r="BA164" s="1980">
        <f>+(AZ164/AZ157-1)*100</f>
        <v>-27.743086529884032</v>
      </c>
      <c r="BB164" s="1981">
        <f>+AZ164/BI164*100</f>
        <v>4.6950588273481957</v>
      </c>
      <c r="BC164" s="1982">
        <v>197.56200000000001</v>
      </c>
      <c r="BD164" s="1980">
        <f>+(BC164/BC157-1)*100</f>
        <v>-27.46211773517846</v>
      </c>
      <c r="BE164" s="1982">
        <v>278.548</v>
      </c>
      <c r="BF164" s="1980">
        <f>+(BE164/BE157-1)*100</f>
        <v>-27.545422622221636</v>
      </c>
      <c r="BG164" s="1981">
        <f>+BE164/$BI164*100</f>
        <v>16.145669706668954</v>
      </c>
      <c r="BH164" s="24"/>
      <c r="BI164" s="381">
        <f>+E164+K164+W164+BE164</f>
        <v>1725.2179999999998</v>
      </c>
      <c r="BJ164" s="381"/>
      <c r="BK164" s="2889">
        <f>+(BI164/BI157-1)*100</f>
        <v>-10.381311799861304</v>
      </c>
      <c r="BL164" s="381">
        <f>+E164+K164+W164+AT164+AY164</f>
        <v>1446.6699999999998</v>
      </c>
      <c r="BM164" s="1980">
        <f>+(BL164/BL122-1)*100</f>
        <v>-5.8786253453097181</v>
      </c>
      <c r="BN164" s="1981">
        <f>+BL164/$BW164*100</f>
        <v>74.285538230861462</v>
      </c>
      <c r="BO164" s="381">
        <f>+AL164+AM164+AN164+AO164+AU164</f>
        <v>499.2</v>
      </c>
      <c r="BP164" s="1980">
        <f>+(BO164/BO122-1)*100</f>
        <v>0</v>
      </c>
      <c r="BQ164" s="1981">
        <f>+BO164/$BW164*100</f>
        <v>25.633586571122674</v>
      </c>
      <c r="BR164" s="389"/>
      <c r="BS164" s="381">
        <f>+AK164+AV164+AW164+AX164</f>
        <v>1.5750000000000002</v>
      </c>
      <c r="BT164" s="1980"/>
      <c r="BU164" s="1981">
        <f>+BS164/$BW164*100</f>
        <v>8.0875198015861821E-2</v>
      </c>
      <c r="BV164" s="389"/>
      <c r="BW164" s="381">
        <f>+BL164+BO164+BS164</f>
        <v>1947.4449999999999</v>
      </c>
      <c r="BX164" s="1980">
        <f>+(BW164/BW122-1)*100</f>
        <v>-4.4339952723548626</v>
      </c>
      <c r="BY164" s="24"/>
      <c r="BZ164" s="390"/>
      <c r="CA164" s="1980"/>
      <c r="CB164" s="1981"/>
      <c r="CC164" s="390"/>
      <c r="CD164" s="1980"/>
      <c r="CE164" s="1981"/>
      <c r="CF164" s="389"/>
      <c r="CG164" s="390"/>
      <c r="CH164" s="1980"/>
      <c r="CI164" s="1981"/>
      <c r="CJ164" s="24"/>
      <c r="CK164" s="390"/>
      <c r="CL164" s="1980"/>
      <c r="CM164" s="1981"/>
      <c r="CN164" s="24"/>
      <c r="CO164" s="165"/>
      <c r="CP164" s="1980"/>
      <c r="CQ164" s="1981"/>
      <c r="CR164" s="1981"/>
      <c r="CS164" s="24"/>
      <c r="CT164" s="2023">
        <f>87.228+3.359</f>
        <v>90.586999999999989</v>
      </c>
      <c r="CU164" s="2028">
        <f>+(CT164/CT157-1)*100</f>
        <v>-37.83659520737833</v>
      </c>
      <c r="CV164" s="1981">
        <f>+CT164/R164*100</f>
        <v>8.675095932941268</v>
      </c>
      <c r="CW164" s="2023"/>
      <c r="CX164" s="2023"/>
      <c r="CY164" s="2023"/>
      <c r="CZ164" s="168"/>
      <c r="DA164" s="2023">
        <v>3.9550000000000001</v>
      </c>
      <c r="DB164" s="2028">
        <f>+(DA164/DA157-1)*100</f>
        <v>-170.85274095306343</v>
      </c>
      <c r="DC164" s="1981">
        <f>+DA164/W164*100</f>
        <v>0.98268193902651124</v>
      </c>
      <c r="DD164" s="1981"/>
      <c r="DE164" s="1981"/>
      <c r="DF164" s="1981"/>
      <c r="DG164" s="1981"/>
      <c r="DH164" s="2102">
        <f>+DJ164/100*AP164</f>
        <v>18.471325000000004</v>
      </c>
      <c r="DI164" s="2103">
        <f>+(DH164/DH157-1)*100</f>
        <v>0</v>
      </c>
      <c r="DJ164" s="2048">
        <v>3.7</v>
      </c>
      <c r="DK164" s="168"/>
      <c r="DL164" s="1691">
        <f>-3.359</f>
        <v>-3.359</v>
      </c>
      <c r="DM164" s="2028">
        <f>+(DL164/DL157-1)*100</f>
        <v>-197.78748180494904</v>
      </c>
      <c r="DN164" s="1981">
        <f>+DL164/AZ164*100</f>
        <v>-4.1469135802469133</v>
      </c>
      <c r="DO164" s="168"/>
      <c r="DP164" s="1691">
        <f>-25.971</f>
        <v>-25.971</v>
      </c>
      <c r="DQ164" s="2028">
        <f>+(DP164/DP157-1)*100</f>
        <v>-39.799726478292108</v>
      </c>
      <c r="DR164" s="1981">
        <f>+DP164/BC164*100</f>
        <v>-13.145746651684028</v>
      </c>
      <c r="DS164" s="168"/>
      <c r="DT164" s="1691">
        <f>DL164+DP164</f>
        <v>-29.33</v>
      </c>
      <c r="DU164" s="2028">
        <f>+(DT164/DT157-1)*100</f>
        <v>-26.132070719790455</v>
      </c>
      <c r="DV164" s="1981">
        <f>+DT164/BE164*100</f>
        <v>-10.529603515372573</v>
      </c>
      <c r="DW164" s="168"/>
      <c r="DX164" s="2027">
        <f>'qtrP&amp;L'!CH60</f>
        <v>65.211999999999989</v>
      </c>
      <c r="DY164" s="2028">
        <f>+(DX164/DX157-1)*100</f>
        <v>-35.072382962623713</v>
      </c>
      <c r="DZ164" s="1981">
        <f>(+DX164/BI164)*100</f>
        <v>3.7799281018398827</v>
      </c>
      <c r="EA164" s="2005" t="str">
        <f>IF(ROUND(EB164,2)=ROUND(DX164,2)," ","no")</f>
        <v xml:space="preserve"> </v>
      </c>
      <c r="EB164" s="361">
        <f>DT164+DA164+CT164</f>
        <v>65.211999999999989</v>
      </c>
      <c r="EC164" s="24"/>
      <c r="ED164" s="24"/>
      <c r="EE164" s="24"/>
      <c r="EG164" s="2023">
        <v>113</v>
      </c>
      <c r="EH164" s="2037">
        <f>EG164/EG157-1</f>
        <v>-0.25657894736842102</v>
      </c>
      <c r="EI164" s="1691">
        <f>1725-EG164</f>
        <v>1612</v>
      </c>
      <c r="EJ164" s="2037">
        <f>EI164/EI157-1</f>
        <v>-9.0806542583192318E-2</v>
      </c>
    </row>
    <row r="165" spans="1:140" hidden="1" outlineLevel="1">
      <c r="A165" s="113" t="str">
        <f>qtrSales!A153</f>
        <v>2Q</v>
      </c>
      <c r="B165" s="24" t="str">
        <f>qtrSales!B153</f>
        <v>Jul</v>
      </c>
      <c r="C165" s="24"/>
      <c r="D165" s="24"/>
      <c r="E165" s="307">
        <v>837.7</v>
      </c>
      <c r="F165" s="307"/>
      <c r="G165" s="1980">
        <f>+(E165/E158-1)*100</f>
        <v>-8.2877162250930567</v>
      </c>
      <c r="H165" s="1981">
        <f>+E165/$BI165*100</f>
        <v>40.535257012013972</v>
      </c>
      <c r="I165" s="1981"/>
      <c r="J165" s="1981"/>
      <c r="K165" s="388">
        <v>359.4</v>
      </c>
      <c r="L165" s="1980">
        <f>+(K165/K158-1)*100</f>
        <v>-15.075614366729685</v>
      </c>
      <c r="M165" s="1981">
        <f>+K165/BI165*100</f>
        <v>17.390917237815231</v>
      </c>
      <c r="Q165" s="24"/>
      <c r="R165" s="388">
        <v>1197.114</v>
      </c>
      <c r="S165" s="1980">
        <f>+(R165/R158-1)*100</f>
        <v>-10.433938788137699</v>
      </c>
      <c r="T165" s="1980"/>
      <c r="U165" s="1981">
        <f>+R165/$BI165*100</f>
        <v>57.926851692348201</v>
      </c>
      <c r="V165" s="24"/>
      <c r="W165" s="388">
        <v>533.54399999999998</v>
      </c>
      <c r="X165" s="388"/>
      <c r="Y165" s="388"/>
      <c r="Z165" s="388"/>
      <c r="AA165" s="388"/>
      <c r="AB165" s="388"/>
      <c r="AC165" s="1980">
        <f>+(W165/W158-1)*100</f>
        <v>-3.551227518985367</v>
      </c>
      <c r="AD165" s="1981">
        <f>+W165/$BI165*100</f>
        <v>25.817527954181664</v>
      </c>
      <c r="AE165" s="1981"/>
      <c r="AF165" s="1981"/>
      <c r="AG165" s="1981"/>
      <c r="AH165" s="1981"/>
      <c r="AI165" s="24"/>
      <c r="AJ165" s="24"/>
      <c r="AK165" s="388"/>
      <c r="AL165" s="2094">
        <v>270.8</v>
      </c>
      <c r="AM165" s="2094"/>
      <c r="AN165" s="2094"/>
      <c r="AO165" s="2094">
        <v>99.5</v>
      </c>
      <c r="AP165" s="2094">
        <v>370.31799999999998</v>
      </c>
      <c r="AQ165" s="2088">
        <f>+(AP165/AP158-1)*100</f>
        <v>0</v>
      </c>
      <c r="AR165" s="2107">
        <f>+AP165/$BI165*100</f>
        <v>17.919225625134281</v>
      </c>
      <c r="AS165" s="24"/>
      <c r="AT165" s="388"/>
      <c r="AU165" s="388"/>
      <c r="AV165" s="388"/>
      <c r="AW165" s="388"/>
      <c r="AX165" s="388"/>
      <c r="AY165" s="388"/>
      <c r="AZ165" s="2025">
        <v>109.1</v>
      </c>
      <c r="BA165" s="1980">
        <f>+(AZ165/AZ158-1)*100</f>
        <v>-18.884758364312269</v>
      </c>
      <c r="BB165" s="1981">
        <f>+AZ165/BI165*100</f>
        <v>5.2792127730819187</v>
      </c>
      <c r="BC165" s="388">
        <v>226.863</v>
      </c>
      <c r="BD165" s="2028">
        <f>+(BC165/BC158-1)*100</f>
        <v>-12.750704761611741</v>
      </c>
      <c r="BE165" s="388">
        <v>335.952</v>
      </c>
      <c r="BF165" s="2028">
        <f>+(BE165/BE158-1)*100</f>
        <v>-14.852719779802005</v>
      </c>
      <c r="BG165" s="1981">
        <f>+BE165/$BI165*100</f>
        <v>16.256297795989155</v>
      </c>
      <c r="BH165" s="24"/>
      <c r="BI165" s="266">
        <f>+E165+K165+W165+BE165</f>
        <v>2066.5959999999995</v>
      </c>
      <c r="BJ165" s="266"/>
      <c r="BK165" s="2889">
        <f>+(BI165/BI158-1)*100</f>
        <v>-9.5321499442071698</v>
      </c>
      <c r="BL165" s="266">
        <f>+E165+K165+W165+AT165+AY165</f>
        <v>1730.6439999999998</v>
      </c>
      <c r="BM165" s="1980">
        <f>+(BL165/BL123-1)*100</f>
        <v>-7.9049357889264265</v>
      </c>
      <c r="BN165" s="1981">
        <f>+BL165/$BW165*100</f>
        <v>82.374589708245423</v>
      </c>
      <c r="BO165" s="266">
        <f>+AL165+AM165+AN165+AO165+AU165</f>
        <v>370.3</v>
      </c>
      <c r="BP165" s="1980">
        <f>+(BO165/BO123-1)*100</f>
        <v>0</v>
      </c>
      <c r="BQ165" s="1981">
        <f>+BO165/$BW165*100</f>
        <v>17.625410291754566</v>
      </c>
      <c r="BR165" s="389"/>
      <c r="BS165" s="266">
        <f>+AK165+AV165+AW165+AX165</f>
        <v>0</v>
      </c>
      <c r="BT165" s="1980"/>
      <c r="BU165" s="1981">
        <f>+BS165/$BW165*100</f>
        <v>0</v>
      </c>
      <c r="BV165" s="389"/>
      <c r="BW165" s="266">
        <f>+BL165+BO165+BS165</f>
        <v>2100.944</v>
      </c>
      <c r="BX165" s="1980">
        <f>+(BW165/BW123-1)*100</f>
        <v>-6.6036658038055691</v>
      </c>
      <c r="BY165" s="24"/>
      <c r="BZ165" s="389"/>
      <c r="CA165" s="1980"/>
      <c r="CB165" s="1981"/>
      <c r="CC165" s="389"/>
      <c r="CD165" s="1980"/>
      <c r="CE165" s="1981"/>
      <c r="CF165" s="389"/>
      <c r="CG165" s="389"/>
      <c r="CH165" s="1980"/>
      <c r="CI165" s="1981"/>
      <c r="CJ165" s="389"/>
      <c r="CK165" s="389"/>
      <c r="CL165" s="1980"/>
      <c r="CM165" s="1981"/>
      <c r="CN165" s="389"/>
      <c r="CO165" s="266"/>
      <c r="CP165" s="1980"/>
      <c r="CQ165" s="1981"/>
      <c r="CR165" s="1981"/>
      <c r="CS165" s="24"/>
      <c r="CT165" s="1991">
        <f>126.366-2.552</f>
        <v>123.81399999999999</v>
      </c>
      <c r="CU165" s="2028">
        <f>+(CT165/CT158-1)*100</f>
        <v>-30.095585453847416</v>
      </c>
      <c r="CV165" s="1981">
        <f>+CT165/R165*100</f>
        <v>10.342707544979007</v>
      </c>
      <c r="CW165" s="1991"/>
      <c r="CX165" s="1991"/>
      <c r="CY165" s="1991"/>
      <c r="CZ165" s="168"/>
      <c r="DA165" s="2044">
        <v>44.177999999999997</v>
      </c>
      <c r="DB165" s="2028">
        <f>+(DA165/DA158-1)*100</f>
        <v>8.7351399246843329</v>
      </c>
      <c r="DC165" s="1981">
        <f>+DA165/W165*100</f>
        <v>8.2801043587782832</v>
      </c>
      <c r="DD165" s="1981"/>
      <c r="DE165" s="1981"/>
      <c r="DF165" s="1981"/>
      <c r="DG165" s="1981"/>
      <c r="DH165" s="2104">
        <f>+DJ165/100*AP165</f>
        <v>10.739221999999998</v>
      </c>
      <c r="DI165" s="2103">
        <f>+(DH165/DH158-1)*100</f>
        <v>0</v>
      </c>
      <c r="DJ165" s="2048">
        <v>2.9</v>
      </c>
      <c r="DK165" s="168"/>
      <c r="DL165" s="1417">
        <f>2.552</f>
        <v>2.552</v>
      </c>
      <c r="DM165" s="2028">
        <f>+(DL165/DL158-1)*100</f>
        <v>-51.353412123522688</v>
      </c>
      <c r="DN165" s="1981">
        <f>+DL165/AZ165*100</f>
        <v>2.3391384051329056</v>
      </c>
      <c r="DO165" s="168"/>
      <c r="DP165" s="1417">
        <f>-21.9</f>
        <v>-21.9</v>
      </c>
      <c r="DQ165" s="2028">
        <f>+(DP165/DP158-1)*100</f>
        <v>-42.118617189977805</v>
      </c>
      <c r="DR165" s="1981">
        <f>+DP165/BC165*100</f>
        <v>-9.653403155208208</v>
      </c>
      <c r="DS165" s="168"/>
      <c r="DT165" s="1417">
        <f>DL165+DP165</f>
        <v>-19.347999999999999</v>
      </c>
      <c r="DU165" s="2028">
        <f>+(DT165/DT158-1)*100</f>
        <v>-40.632095734887997</v>
      </c>
      <c r="DV165" s="1981">
        <f>+DT165/BE165*100</f>
        <v>-5.7591560699147495</v>
      </c>
      <c r="DW165" s="168"/>
      <c r="DX165" s="2027">
        <f>'qtrP&amp;L'!CH61</f>
        <v>148.64300000000003</v>
      </c>
      <c r="DY165" s="2028">
        <f>+(DX165/DX158-1)*100</f>
        <v>-19.721862173255545</v>
      </c>
      <c r="DZ165" s="1981">
        <f>(+DX165/BI165)*100</f>
        <v>7.192649168003812</v>
      </c>
      <c r="EA165" s="2005" t="str">
        <f>IF(ROUND(EB165,2)=ROUND(DX165,2)," ","no")</f>
        <v xml:space="preserve"> </v>
      </c>
      <c r="EB165" s="361">
        <f>DT165+DA165+CT165</f>
        <v>148.64400000000001</v>
      </c>
      <c r="EC165" s="24"/>
      <c r="ED165" s="24"/>
      <c r="EE165" s="24"/>
      <c r="EG165" s="2044">
        <v>155</v>
      </c>
      <c r="EH165" s="2037">
        <f>EG165/EG158-1</f>
        <v>-0.13407821229050276</v>
      </c>
      <c r="EI165" s="1417">
        <f>2067-EG165</f>
        <v>1912</v>
      </c>
      <c r="EJ165" s="2037">
        <f>EI165/EI158-1</f>
        <v>-9.16864608076009E-2</v>
      </c>
    </row>
    <row r="166" spans="1:140" hidden="1" outlineLevel="1">
      <c r="A166" s="113" t="str">
        <f>qtrSales!A154</f>
        <v>3Q</v>
      </c>
      <c r="B166" s="24" t="str">
        <f>qtrSales!B154</f>
        <v>Oct</v>
      </c>
      <c r="C166" s="24"/>
      <c r="D166" s="24"/>
      <c r="E166" s="307">
        <v>730.2</v>
      </c>
      <c r="F166" s="307"/>
      <c r="G166" s="1980">
        <f>+(E166/E159-1)*100</f>
        <v>-8.2101806239720521E-2</v>
      </c>
      <c r="H166" s="1981">
        <f>+E166/$BI166*100</f>
        <v>41.085831802414397</v>
      </c>
      <c r="I166" s="1981"/>
      <c r="J166" s="1981"/>
      <c r="K166" s="388">
        <v>248.7</v>
      </c>
      <c r="L166" s="1980">
        <f>+(K166/K159-1)*100</f>
        <v>-7.7179962894248666</v>
      </c>
      <c r="M166" s="1981">
        <f>+K166/BI166*100</f>
        <v>13.993489960641551</v>
      </c>
      <c r="Q166" s="24"/>
      <c r="R166" s="388">
        <v>978.93399999999997</v>
      </c>
      <c r="S166" s="1980">
        <f>+(R166/R159-1)*100</f>
        <v>-2.1347851818676267</v>
      </c>
      <c r="T166" s="1980"/>
      <c r="U166" s="1981">
        <f>+R166/$BI166*100</f>
        <v>55.081234825615901</v>
      </c>
      <c r="V166" s="24"/>
      <c r="W166" s="388">
        <v>438.834</v>
      </c>
      <c r="X166" s="388"/>
      <c r="Y166" s="388"/>
      <c r="Z166" s="388"/>
      <c r="AA166" s="388"/>
      <c r="AB166" s="388"/>
      <c r="AC166" s="1980">
        <f>+(W166/W159-1)*100</f>
        <v>3.4617388618675804</v>
      </c>
      <c r="AD166" s="1981">
        <f>+W166/$BI166*100</f>
        <v>24.691673395207779</v>
      </c>
      <c r="AE166" s="1981"/>
      <c r="AF166" s="1981"/>
      <c r="AG166" s="1981"/>
      <c r="AH166" s="1981"/>
      <c r="AI166" s="24"/>
      <c r="AJ166" s="24"/>
      <c r="AK166" s="388"/>
      <c r="AL166" s="2094">
        <f>segqtrSales!S736</f>
        <v>191</v>
      </c>
      <c r="AM166" s="2094"/>
      <c r="AN166" s="2094"/>
      <c r="AO166" s="2094">
        <f>segqtrSales!S835</f>
        <v>0</v>
      </c>
      <c r="AP166" s="2094">
        <f>+AL166+AO166</f>
        <v>191</v>
      </c>
      <c r="AQ166" s="2088">
        <f>+(AP166/AP159-1)*100</f>
        <v>-7.729468599033817</v>
      </c>
      <c r="AR166" s="2107">
        <f>+AP166/$BI166*100</f>
        <v>10.7469102632993</v>
      </c>
      <c r="AS166" s="24"/>
      <c r="AT166" s="388"/>
      <c r="AU166" s="388"/>
      <c r="AV166" s="388"/>
      <c r="AW166" s="388"/>
      <c r="AX166" s="388"/>
      <c r="AY166" s="388"/>
      <c r="AZ166" s="2025">
        <v>98.8</v>
      </c>
      <c r="BA166" s="1980">
        <f>+(AZ166/AZ159-1)*100</f>
        <v>-11.230907457322548</v>
      </c>
      <c r="BB166" s="1981">
        <f>+AZ166/BI166*100</f>
        <v>5.559134733057439</v>
      </c>
      <c r="BC166" s="2025">
        <v>260.572</v>
      </c>
      <c r="BD166" s="2028">
        <f>+(BC166/BC159-1)*100</f>
        <v>-14.967464870544767</v>
      </c>
      <c r="BE166" s="2025">
        <v>359.52100000000002</v>
      </c>
      <c r="BF166" s="2028">
        <f>+(BE166/BE159-1)*100</f>
        <v>-13.937689260194619</v>
      </c>
      <c r="BG166" s="1981">
        <f>+BE166/$BI166*100</f>
        <v>20.229004841736273</v>
      </c>
      <c r="BH166" s="24"/>
      <c r="BI166" s="266">
        <f>+E166+K166+W166+BE166</f>
        <v>1777.2550000000001</v>
      </c>
      <c r="BJ166" s="266"/>
      <c r="BK166" s="2889">
        <f>+(BI166/BI159-1)*100</f>
        <v>-3.5251949303982788</v>
      </c>
      <c r="BL166" s="266">
        <f>+E166+K166+W166+AT166+AY166</f>
        <v>1417.7340000000002</v>
      </c>
      <c r="BM166" s="1980">
        <f>+(BL166/BL124-1)*100</f>
        <v>2.0057459148675072</v>
      </c>
      <c r="BN166" s="1981">
        <f>+BL166/$BW166*100</f>
        <v>88.127310046284848</v>
      </c>
      <c r="BO166" s="266">
        <f>+AL166+AM166+AN166+AO166+AU166</f>
        <v>191</v>
      </c>
      <c r="BP166" s="1980">
        <f>+(BO166/BO124-1)*100</f>
        <v>-64.428523121779051</v>
      </c>
      <c r="BQ166" s="1981">
        <f>+BO166/$BW166*100</f>
        <v>11.872689953715156</v>
      </c>
      <c r="BR166" s="24"/>
      <c r="BS166" s="266">
        <f>+AK166+AV166+AW166+AX166</f>
        <v>0</v>
      </c>
      <c r="BT166" s="1980"/>
      <c r="BU166" s="1981">
        <f>+BS166/$BW166*100</f>
        <v>0</v>
      </c>
      <c r="BV166" s="24"/>
      <c r="BW166" s="266">
        <f>+BL166+BO166+BS166</f>
        <v>1608.7340000000002</v>
      </c>
      <c r="BX166" s="1980">
        <f>+(BW166/BW124-1)*100</f>
        <v>-16.507649545432713</v>
      </c>
      <c r="BY166" s="24"/>
      <c r="BZ166" s="389"/>
      <c r="CA166" s="1980"/>
      <c r="CB166" s="1981"/>
      <c r="CC166" s="389"/>
      <c r="CD166" s="1980"/>
      <c r="CE166" s="1981"/>
      <c r="CF166" s="24"/>
      <c r="CG166" s="389"/>
      <c r="CH166" s="1980"/>
      <c r="CI166" s="1981"/>
      <c r="CJ166" s="24"/>
      <c r="CK166" s="389"/>
      <c r="CL166" s="1980"/>
      <c r="CM166" s="1981"/>
      <c r="CN166" s="24"/>
      <c r="CO166" s="266"/>
      <c r="CP166" s="1980"/>
      <c r="CQ166" s="1981"/>
      <c r="CR166" s="1981"/>
      <c r="CS166" s="24"/>
      <c r="CT166" s="1991">
        <f>53.945-7.607</f>
        <v>46.338000000000001</v>
      </c>
      <c r="CU166" s="2028">
        <f>+(CT166/CT159-1)*100</f>
        <v>-35.043525800075706</v>
      </c>
      <c r="CV166" s="1981">
        <f>+CT166/R166*100</f>
        <v>4.7335162533939981</v>
      </c>
      <c r="CW166" s="1991"/>
      <c r="CX166" s="1991"/>
      <c r="CY166" s="1991"/>
      <c r="CZ166" s="168"/>
      <c r="DA166" s="2044">
        <v>15.545</v>
      </c>
      <c r="DB166" s="2028">
        <f>+(DA166/DA159-1)*100</f>
        <v>-153.6571053812433</v>
      </c>
      <c r="DC166" s="1981">
        <f>+DA166/W166*100</f>
        <v>3.5423417510949471</v>
      </c>
      <c r="DD166" s="1981"/>
      <c r="DE166" s="1981"/>
      <c r="DF166" s="1981"/>
      <c r="DG166" s="1981"/>
      <c r="DH166" s="2104">
        <f>+DJ166/100*AP166</f>
        <v>9.5500000000000007</v>
      </c>
      <c r="DI166" s="2103">
        <f>+(DH166/DH159-1)*100</f>
        <v>-7.729468599033817</v>
      </c>
      <c r="DJ166" s="2048">
        <v>5</v>
      </c>
      <c r="DK166" s="168"/>
      <c r="DL166" s="2044">
        <f>7.607</f>
        <v>7.6070000000000002</v>
      </c>
      <c r="DM166" s="2028">
        <f>+(DL166/DL159-1)*100</f>
        <v>114.64446952595937</v>
      </c>
      <c r="DN166" s="1981">
        <f>+DL166/AZ166*100</f>
        <v>7.6993927125506083</v>
      </c>
      <c r="DO166" s="168"/>
      <c r="DP166" s="2044">
        <f>-10.604</f>
        <v>-10.603999999999999</v>
      </c>
      <c r="DQ166" s="2028">
        <f>+(DP166/DP159-1)*100</f>
        <v>125.85729499467516</v>
      </c>
      <c r="DR166" s="1981">
        <f>+DP166/BC166*100</f>
        <v>-4.0695086194986416</v>
      </c>
      <c r="DS166" s="168"/>
      <c r="DT166" s="2044">
        <f>DL166+DP166</f>
        <v>-2.996999999999999</v>
      </c>
      <c r="DU166" s="2028">
        <f>+(DT166/DT159-1)*100</f>
        <v>160.3822762814942</v>
      </c>
      <c r="DV166" s="1981">
        <f>+DT166/BE166*100</f>
        <v>-0.83360916330339507</v>
      </c>
      <c r="DW166" s="168"/>
      <c r="DX166" s="2027">
        <f>'qtrP&amp;L'!CH62</f>
        <v>58.885000000000048</v>
      </c>
      <c r="DY166" s="2028">
        <f>+(DX166/DX159-1)*100</f>
        <v>43.143641976809512</v>
      </c>
      <c r="DZ166" s="1981">
        <f>(+DX166/BI166)*100</f>
        <v>3.3132555542114126</v>
      </c>
      <c r="EA166" s="2005" t="str">
        <f>IF(ROUND(EB166,1)=ROUND(DX166,1)," ","no")</f>
        <v xml:space="preserve"> </v>
      </c>
      <c r="EB166" s="361">
        <f>DT166+DA166+CT166</f>
        <v>58.886000000000003</v>
      </c>
      <c r="EC166" s="2051"/>
      <c r="ED166" s="24"/>
      <c r="EE166" s="24"/>
      <c r="EG166" s="2044">
        <v>146</v>
      </c>
      <c r="EH166" s="2037">
        <f>EG166/EG159-1</f>
        <v>0</v>
      </c>
      <c r="EI166" s="1417">
        <f>1777-146</f>
        <v>1631</v>
      </c>
      <c r="EJ166" s="2037">
        <f>EI166/EI159-1</f>
        <v>-3.8892162639952876E-2</v>
      </c>
    </row>
    <row r="167" spans="1:140" hidden="1" outlineLevel="1">
      <c r="A167" s="113" t="str">
        <f>qtrSales!A155</f>
        <v>4Q</v>
      </c>
      <c r="B167" s="24" t="str">
        <f>qtrSales!B155</f>
        <v>Jan</v>
      </c>
      <c r="C167" s="24"/>
      <c r="D167" s="24"/>
      <c r="E167" s="302">
        <v>1200.9000000000001</v>
      </c>
      <c r="F167" s="307"/>
      <c r="G167" s="1980">
        <f>+(E167/E160-1)*100</f>
        <v>1.3588791357191266</v>
      </c>
      <c r="H167" s="1981">
        <f>+E167/$BI167*100</f>
        <v>39.201822302046956</v>
      </c>
      <c r="I167" s="1981"/>
      <c r="J167" s="1981"/>
      <c r="K167" s="302">
        <v>462</v>
      </c>
      <c r="L167" s="1980">
        <f>+(K167/K160-1)*100</f>
        <v>2.8495102404274331</v>
      </c>
      <c r="M167" s="1981">
        <f>+K167/BI167*100</f>
        <v>15.081390543380541</v>
      </c>
      <c r="Q167" s="24"/>
      <c r="R167" s="306">
        <v>1662.875</v>
      </c>
      <c r="S167" s="1980">
        <f>+(R167/R160-1)*100</f>
        <v>1.7690666101988439</v>
      </c>
      <c r="T167" s="1980"/>
      <c r="U167" s="1981">
        <f>+R167/$BI167*100</f>
        <v>54.282396752865623</v>
      </c>
      <c r="V167" s="24"/>
      <c r="W167" s="302">
        <v>1007.735</v>
      </c>
      <c r="X167" s="307"/>
      <c r="Y167" s="307"/>
      <c r="Z167" s="307"/>
      <c r="AA167" s="307"/>
      <c r="AB167" s="307"/>
      <c r="AC167" s="1980">
        <f>+(W167/W160-1)*100</f>
        <v>1.051289996199567</v>
      </c>
      <c r="AD167" s="1981">
        <f>+W167/$BI167*100</f>
        <v>32.89620151349262</v>
      </c>
      <c r="AE167" s="1981"/>
      <c r="AF167" s="1981"/>
      <c r="AG167" s="1981"/>
      <c r="AH167" s="1981"/>
      <c r="AI167" s="24"/>
      <c r="AJ167" s="24"/>
      <c r="AK167" s="388"/>
      <c r="AL167" s="2095">
        <f>segqtrSales!S737</f>
        <v>214</v>
      </c>
      <c r="AM167" s="2095"/>
      <c r="AN167" s="2095"/>
      <c r="AO167" s="2095">
        <f>segqtrSales!S836</f>
        <v>0</v>
      </c>
      <c r="AP167" s="2100">
        <f>+AL167+AO167</f>
        <v>214</v>
      </c>
      <c r="AQ167" s="2088">
        <f>+(AP167/AP160-1)*100</f>
        <v>4.9019607843137303</v>
      </c>
      <c r="AR167" s="2107">
        <f>+AP167/$BI167*100</f>
        <v>6.985752329617827</v>
      </c>
      <c r="AS167" s="24"/>
      <c r="AT167" s="388"/>
      <c r="AU167" s="388"/>
      <c r="AV167" s="388"/>
      <c r="AW167" s="388"/>
      <c r="AX167" s="388"/>
      <c r="AY167" s="388"/>
      <c r="AZ167" s="418">
        <v>134.5</v>
      </c>
      <c r="BA167" s="1980">
        <f>+(AZ167/AZ160-1)*100</f>
        <v>0.67365269461079347</v>
      </c>
      <c r="BB167" s="1981">
        <f>+AZ167/BI167*100</f>
        <v>4.3905779828672786</v>
      </c>
      <c r="BC167" s="302">
        <v>258.24099999999999</v>
      </c>
      <c r="BD167" s="1980">
        <f>+(BC167/BC160-1)*100</f>
        <v>14.158842148073481</v>
      </c>
      <c r="BE167" s="302">
        <v>392.74299999999999</v>
      </c>
      <c r="BF167" s="1980">
        <f>+(BE167/BE160-1)*100</f>
        <v>9.1310485103450532</v>
      </c>
      <c r="BG167" s="1981">
        <f>+BE167/$BI167*100</f>
        <v>12.820585641079878</v>
      </c>
      <c r="BH167" s="24"/>
      <c r="BI167" s="1022">
        <f>+E167+K167+W167+BE167</f>
        <v>3063.3780000000002</v>
      </c>
      <c r="BJ167" s="325"/>
      <c r="BK167" s="2889">
        <f>+(BI167/BI160-1)*100</f>
        <v>2.4153055046365335</v>
      </c>
      <c r="BL167" s="1022">
        <f>+E167+K167+W167+AT167+AY167</f>
        <v>2670.6350000000002</v>
      </c>
      <c r="BM167" s="1980">
        <f>+(BL167/BL125-1)*100</f>
        <v>-4.8589486314167925</v>
      </c>
      <c r="BN167" s="1981">
        <f>+BL167/$BW167*100</f>
        <v>92.581383779923627</v>
      </c>
      <c r="BO167" s="1022">
        <f>+AL167+AM167+AN167+AO167+AU167</f>
        <v>214</v>
      </c>
      <c r="BP167" s="1980">
        <f>+(BO167/BO125-1)*100</f>
        <v>-71.416693824053652</v>
      </c>
      <c r="BQ167" s="1981">
        <f>+BO167/$BW167*100</f>
        <v>7.4186162200763697</v>
      </c>
      <c r="BR167" s="24"/>
      <c r="BS167" s="1022">
        <f>+AK167+AV167+AW167+AX167</f>
        <v>0</v>
      </c>
      <c r="BT167" s="1980"/>
      <c r="BU167" s="1981">
        <f>+BS167/$BW167*100</f>
        <v>0</v>
      </c>
      <c r="BV167" s="24"/>
      <c r="BW167" s="1022">
        <f>+BL167+BO167+BS167</f>
        <v>2884.6350000000002</v>
      </c>
      <c r="BX167" s="1980">
        <f>+(BW167/BW125-1)*100</f>
        <v>-18.87329594551246</v>
      </c>
      <c r="BY167" s="24"/>
      <c r="BZ167" s="306"/>
      <c r="CA167" s="1980"/>
      <c r="CB167" s="1981"/>
      <c r="CC167" s="306"/>
      <c r="CD167" s="1980"/>
      <c r="CE167" s="1981"/>
      <c r="CF167" s="24"/>
      <c r="CG167" s="306"/>
      <c r="CH167" s="1980"/>
      <c r="CI167" s="1981"/>
      <c r="CJ167" s="24"/>
      <c r="CK167" s="306"/>
      <c r="CL167" s="1980"/>
      <c r="CM167" s="1981"/>
      <c r="CN167" s="24"/>
      <c r="CO167" s="67"/>
      <c r="CP167" s="1980"/>
      <c r="CQ167" s="1981"/>
      <c r="CR167" s="1981"/>
      <c r="CS167" s="24"/>
      <c r="CT167" s="2096">
        <f>311.006+6.492</f>
        <v>317.49799999999999</v>
      </c>
      <c r="CU167" s="2028">
        <f>+(CT167/CT160-1)*100</f>
        <v>49.083191292547653</v>
      </c>
      <c r="CV167" s="1981">
        <f>+CT167/R167*100</f>
        <v>19.093317296850334</v>
      </c>
      <c r="CW167" s="1413"/>
      <c r="CX167" s="1413"/>
      <c r="CY167" s="1413"/>
      <c r="CZ167" s="168"/>
      <c r="DA167" s="2097">
        <v>294.56599999999997</v>
      </c>
      <c r="DB167" s="2028">
        <f>+(DA167/DA160-1)*100</f>
        <v>40.658007831152702</v>
      </c>
      <c r="DC167" s="1981">
        <f>+DA167/W167*100</f>
        <v>29.230502066515502</v>
      </c>
      <c r="DD167" s="1981"/>
      <c r="DE167" s="1981"/>
      <c r="DF167" s="1981"/>
      <c r="DG167" s="1981"/>
      <c r="DH167" s="2105">
        <f>+DJ167/100*AP167</f>
        <v>21.400000000000002</v>
      </c>
      <c r="DI167" s="2103">
        <f>+(DH167/DH160-1)*100</f>
        <v>4.9019607843137303</v>
      </c>
      <c r="DJ167" s="2048">
        <v>10</v>
      </c>
      <c r="DK167" s="168"/>
      <c r="DL167" s="1419">
        <f>-6.492</f>
        <v>-6.492</v>
      </c>
      <c r="DM167" s="2028">
        <f>+(DL167/DL160-1)*100</f>
        <v>-1562.1621621621621</v>
      </c>
      <c r="DN167" s="1981">
        <f>+DL167/AZ167*100</f>
        <v>-4.8267657992565054</v>
      </c>
      <c r="DO167" s="168"/>
      <c r="DP167" s="1419">
        <f>-20.027</f>
        <v>-20.027000000000001</v>
      </c>
      <c r="DQ167" s="2028">
        <f>+(DP167/DP160-1)*100</f>
        <v>-37.604760569523634</v>
      </c>
      <c r="DR167" s="1981">
        <f>+DP167/BC167*100</f>
        <v>-7.7551589406794434</v>
      </c>
      <c r="DS167" s="168"/>
      <c r="DT167" s="1419">
        <f>DL167+DP167</f>
        <v>-26.519000000000002</v>
      </c>
      <c r="DU167" s="2028">
        <f>+(DT167/DT160-1)*100</f>
        <v>-16.219631630493158</v>
      </c>
      <c r="DV167" s="1981">
        <f>+DT167/BE167*100</f>
        <v>-6.7522527454340366</v>
      </c>
      <c r="DW167" s="168"/>
      <c r="DX167" s="2152">
        <f>ROUND('qtrP&amp;L'!CH63,1)</f>
        <v>585.5</v>
      </c>
      <c r="DY167" s="2028">
        <f>+(DX167/DX160-1)*100</f>
        <v>49.845803421756465</v>
      </c>
      <c r="DZ167" s="1981">
        <f>(+DX167/BI167)*100</f>
        <v>19.112887799024474</v>
      </c>
      <c r="EA167" s="2005" t="str">
        <f>IF(EB167=DX167," ","no")</f>
        <v xml:space="preserve"> </v>
      </c>
      <c r="EB167" s="361">
        <f>ROUND((DT167+DA167+CT167), 1)</f>
        <v>585.5</v>
      </c>
      <c r="EC167" s="24"/>
      <c r="ED167" s="24"/>
      <c r="EE167" s="24"/>
      <c r="EG167" s="1419">
        <f>EG168-SUM(EG164:EG166)</f>
        <v>224</v>
      </c>
      <c r="EH167" s="2037">
        <f>EG167/EG160-1</f>
        <v>0.2584269662921348</v>
      </c>
      <c r="EI167" s="1419">
        <f>EI168-SUM(EI164:EI166)</f>
        <v>2839</v>
      </c>
      <c r="EJ167" s="2037">
        <f>EI167/EI160-1</f>
        <v>9.2428012797725057E-3</v>
      </c>
    </row>
    <row r="168" spans="1:140" hidden="1" outlineLevel="1">
      <c r="A168" s="113"/>
      <c r="B168" s="24" t="str">
        <f>qtrSales!B156</f>
        <v>Year</v>
      </c>
      <c r="C168" s="24"/>
      <c r="D168" s="24"/>
      <c r="E168" s="266">
        <f>+SUM(E164:E167)</f>
        <v>3495.6</v>
      </c>
      <c r="F168" s="266"/>
      <c r="G168" s="1980">
        <f>+(E168/E161-1)*100</f>
        <v>-2.6213889740089646</v>
      </c>
      <c r="H168" s="1981">
        <f>+E168/$BI168*100</f>
        <v>40.493732541885286</v>
      </c>
      <c r="I168" s="1981"/>
      <c r="J168" s="1981"/>
      <c r="K168" s="266">
        <f>+SUM(K164:K167)</f>
        <v>1387.5</v>
      </c>
      <c r="L168" s="1980">
        <f>+(K168/K161-1)*100</f>
        <v>-8.8849487785657928</v>
      </c>
      <c r="M168" s="1981">
        <f>+K168/$BI168*100</f>
        <v>16.073078699469569</v>
      </c>
      <c r="Q168" s="24"/>
      <c r="R168" s="266">
        <f>+SUM(R164:R167)</f>
        <v>4883.1419999999998</v>
      </c>
      <c r="S168" s="1980">
        <f>+(R168/R161-1)*100</f>
        <v>-4.4851551401159817</v>
      </c>
      <c r="T168" s="1980"/>
      <c r="U168" s="1981">
        <f>+R168/$BI168*100</f>
        <v>56.567297777791161</v>
      </c>
      <c r="V168" s="24"/>
      <c r="W168" s="266">
        <f>+SUM(W164:W167)</f>
        <v>2382.5830000000001</v>
      </c>
      <c r="X168" s="266"/>
      <c r="Y168" s="266"/>
      <c r="Z168" s="266"/>
      <c r="AA168" s="266"/>
      <c r="AB168" s="266"/>
      <c r="AC168" s="1980">
        <f>+(W168/W161-1)*100</f>
        <v>0.3779894852189436</v>
      </c>
      <c r="AD168" s="1981">
        <f>+W168/$BI168*100</f>
        <v>27.600320048301484</v>
      </c>
      <c r="AE168" s="1981"/>
      <c r="AF168" s="1981"/>
      <c r="AG168" s="1981"/>
      <c r="AH168" s="1981"/>
      <c r="AI168" s="24"/>
      <c r="AJ168" s="24"/>
      <c r="AK168" s="388"/>
      <c r="AL168" s="2098">
        <f>+SUM(AL164:AL167)</f>
        <v>1064</v>
      </c>
      <c r="AM168" s="2094"/>
      <c r="AN168" s="2094"/>
      <c r="AO168" s="2098">
        <f>+SUM(AO164:AO167)</f>
        <v>210.5</v>
      </c>
      <c r="AP168" s="2098">
        <f>+SUM(AP164:AP167)</f>
        <v>1274.5430000000001</v>
      </c>
      <c r="AQ168" s="2088">
        <f>+(AP168/AP161-1)*100</f>
        <v>-0.46855123178214386</v>
      </c>
      <c r="AR168" s="2107">
        <f>+AP168/$BI168*100</f>
        <v>14.764562122420214</v>
      </c>
      <c r="AS168" s="24"/>
      <c r="AT168" s="388"/>
      <c r="AU168" s="388"/>
      <c r="AV168" s="388"/>
      <c r="AW168" s="388"/>
      <c r="AX168" s="388"/>
      <c r="AY168" s="388"/>
      <c r="AZ168" s="2027">
        <f>+SUM(AZ164:AZ167)</f>
        <v>423.4</v>
      </c>
      <c r="BA168" s="2022">
        <f>+(AZ168/AZ161-1)*100</f>
        <v>-13.855544252288921</v>
      </c>
      <c r="BB168" s="1981">
        <f>+AZ168/$BI168*100</f>
        <v>4.9047506460219212</v>
      </c>
      <c r="BC168" s="266">
        <f>+SUM(BC164:BC167)</f>
        <v>943.23800000000006</v>
      </c>
      <c r="BD168" s="1980">
        <f>+(BC168/BC161-1)*100</f>
        <v>-11.435047473108572</v>
      </c>
      <c r="BE168" s="266">
        <f>+SUM(BE164:BE167)</f>
        <v>1366.7639999999999</v>
      </c>
      <c r="BF168" s="1980">
        <f>+(BE168/BE161-1)*100</f>
        <v>-12.197020992839658</v>
      </c>
      <c r="BG168" s="1981">
        <f>+BE168/$BI168*100</f>
        <v>15.832868710343659</v>
      </c>
      <c r="BH168" s="24"/>
      <c r="BI168" s="266">
        <f>+E168+K168+W168+BE168</f>
        <v>8632.4470000000001</v>
      </c>
      <c r="BJ168" s="266"/>
      <c r="BK168" s="2889">
        <f>+(BI168/BI161-1)*100</f>
        <v>-4.5372324772908978</v>
      </c>
      <c r="BL168" s="266">
        <f>+E168+K168+W168+AT168+AY168</f>
        <v>7265.6830000000009</v>
      </c>
      <c r="BM168" s="1980">
        <f>+(BL168/BL126-1)*100</f>
        <v>-4.5634480447722776</v>
      </c>
      <c r="BN168" s="1981">
        <f>+BL168/$BW168*100</f>
        <v>85.076432202916493</v>
      </c>
      <c r="BO168" s="266">
        <f>+AL168+AM168+AN168+AO168+AU168</f>
        <v>1274.5</v>
      </c>
      <c r="BP168" s="1980">
        <f>+(BO168/BO126-1)*100</f>
        <v>-40.86219586749754</v>
      </c>
      <c r="BQ168" s="1981">
        <f>+BO168/$BW168*100</f>
        <v>14.923567797083503</v>
      </c>
      <c r="BR168" s="24"/>
      <c r="BS168" s="266">
        <f>+AK168+AV168+AW168+AX168</f>
        <v>0</v>
      </c>
      <c r="BT168" s="1980"/>
      <c r="BU168" s="1981">
        <f>+BS168/$BW168*100</f>
        <v>0</v>
      </c>
      <c r="BV168" s="24"/>
      <c r="BW168" s="266">
        <f>+BL168+BO168+BS168</f>
        <v>8540.1830000000009</v>
      </c>
      <c r="BX168" s="1980">
        <f>+(BW168/BW126-1)*100</f>
        <v>-12.571926655341048</v>
      </c>
      <c r="BY168" s="24"/>
      <c r="BZ168" s="389"/>
      <c r="CA168" s="1980"/>
      <c r="CB168" s="1981"/>
      <c r="CC168" s="389"/>
      <c r="CD168" s="1980"/>
      <c r="CE168" s="1981"/>
      <c r="CF168" s="24"/>
      <c r="CG168" s="389"/>
      <c r="CH168" s="1980"/>
      <c r="CI168" s="1981"/>
      <c r="CJ168" s="24"/>
      <c r="CK168" s="389"/>
      <c r="CL168" s="1980"/>
      <c r="CM168" s="1981"/>
      <c r="CN168" s="24"/>
      <c r="CO168" s="24"/>
      <c r="CP168" s="1980"/>
      <c r="CQ168" s="1981"/>
      <c r="CR168" s="1981"/>
      <c r="CS168" s="24"/>
      <c r="CT168" s="2027">
        <f>+SUM(CT164:CT167)</f>
        <v>578.23699999999997</v>
      </c>
      <c r="CU168" s="2028">
        <f>+(CT168/CT161-1)*100</f>
        <v>-4.7616145678064719</v>
      </c>
      <c r="CV168" s="1981">
        <f>+CT168/R168*100</f>
        <v>11.841494676992804</v>
      </c>
      <c r="CW168" s="2027"/>
      <c r="CX168" s="2027"/>
      <c r="CY168" s="2027"/>
      <c r="CZ168" s="168"/>
      <c r="DA168" s="2027">
        <f>+SUM(DA164:DA167)</f>
        <v>358.24399999999997</v>
      </c>
      <c r="DB168" s="2028">
        <f>+(DA168/DA161-1)*100</f>
        <v>66.24160077217212</v>
      </c>
      <c r="DC168" s="1981">
        <f>+DA168/W168*100</f>
        <v>15.035950478954982</v>
      </c>
      <c r="DD168" s="1981"/>
      <c r="DE168" s="1981"/>
      <c r="DF168" s="1981"/>
      <c r="DG168" s="1981"/>
      <c r="DH168" s="2106">
        <f>+SUM(DH164:DH167)</f>
        <v>60.160547000000008</v>
      </c>
      <c r="DI168" s="2103">
        <f>+(DH168/DH161-1)*100</f>
        <v>0.3335526608855055</v>
      </c>
      <c r="DJ168" s="2048">
        <f>+DH168/AP168*100</f>
        <v>4.7201661301344879</v>
      </c>
      <c r="DK168" s="168"/>
      <c r="DL168" s="361">
        <f>+SUM(DL164:DL167)</f>
        <v>0.30800000000000072</v>
      </c>
      <c r="DM168" s="2028">
        <f>+(DL168/DL161-1)*100</f>
        <v>-97.568868892572411</v>
      </c>
      <c r="DN168" s="1981">
        <f>+DL168/AZ168*100</f>
        <v>7.2744449692961913E-2</v>
      </c>
      <c r="DO168" s="168"/>
      <c r="DP168" s="361">
        <f>+SUM(DP164:DP167)</f>
        <v>-78.501999999999995</v>
      </c>
      <c r="DQ168" s="2028">
        <f>+(DP168/DP161-1)*100</f>
        <v>-33.342390612130536</v>
      </c>
      <c r="DR168" s="1981">
        <f>+DP168/BC168*100</f>
        <v>-8.322607867791584</v>
      </c>
      <c r="DS168" s="168"/>
      <c r="DT168" s="361">
        <f>+SUM(DT164:DT167)</f>
        <v>-78.194000000000003</v>
      </c>
      <c r="DU168" s="2028">
        <f>+(DT168/DT161-1)*100</f>
        <v>-25.600380589914362</v>
      </c>
      <c r="DV168" s="1981">
        <f>+DT168/BE168*100</f>
        <v>-5.7211047408330922</v>
      </c>
      <c r="DW168" s="168"/>
      <c r="DX168" s="2027">
        <f>+SUM(DX164:DX167)</f>
        <v>858.24</v>
      </c>
      <c r="DY168" s="2028">
        <f>+(DX168/DX161-1)*100</f>
        <v>19.620332557458873</v>
      </c>
      <c r="DZ168" s="1981">
        <f>(+DX168/BI168)*100</f>
        <v>9.9420245499335245</v>
      </c>
      <c r="EA168" s="1981"/>
      <c r="EB168" s="168"/>
      <c r="EC168" s="24"/>
      <c r="ED168" s="24"/>
      <c r="EE168" s="24"/>
      <c r="EG168" s="1982">
        <v>638</v>
      </c>
      <c r="EH168" s="2037">
        <f>EG168/EG161-1</f>
        <v>-2.5954198473282397E-2</v>
      </c>
      <c r="EI168" s="381">
        <f>8632-EG168</f>
        <v>7994</v>
      </c>
      <c r="EJ168" s="2037">
        <f>EI168/EI161-1</f>
        <v>-4.6971864568431054E-2</v>
      </c>
    </row>
    <row r="169" spans="1:140" hidden="1" outlineLevel="1">
      <c r="A169" s="113"/>
      <c r="B169" s="24"/>
      <c r="C169" s="24"/>
      <c r="D169" s="24"/>
      <c r="E169" s="266"/>
      <c r="F169" s="266"/>
      <c r="G169" s="2087"/>
      <c r="H169" s="1981"/>
      <c r="I169" s="1981"/>
      <c r="J169" s="1981"/>
      <c r="K169" s="266"/>
      <c r="L169" s="1980"/>
      <c r="M169" s="1981"/>
      <c r="Q169" s="24"/>
      <c r="R169" s="266"/>
      <c r="S169" s="1980"/>
      <c r="T169" s="1980"/>
      <c r="U169" s="1981"/>
      <c r="V169" s="24"/>
      <c r="W169" s="266"/>
      <c r="X169" s="266"/>
      <c r="Y169" s="266"/>
      <c r="Z169" s="266"/>
      <c r="AA169" s="266"/>
      <c r="AB169" s="266"/>
      <c r="AC169" s="1980"/>
      <c r="AD169" s="1981"/>
      <c r="AE169" s="1981"/>
      <c r="AF169" s="1981"/>
      <c r="AG169" s="1981"/>
      <c r="AH169" s="1981"/>
      <c r="AI169" s="24"/>
      <c r="AJ169" s="24"/>
      <c r="AK169" s="388"/>
      <c r="AL169" s="2098"/>
      <c r="AM169" s="2094"/>
      <c r="AN169" s="2094"/>
      <c r="AO169" s="2098"/>
      <c r="AP169" s="2098"/>
      <c r="AQ169" s="2088"/>
      <c r="AR169" s="2107"/>
      <c r="AS169" s="24"/>
      <c r="AT169" s="388"/>
      <c r="AU169" s="388"/>
      <c r="AV169" s="388"/>
      <c r="AW169" s="388"/>
      <c r="AX169" s="388"/>
      <c r="AY169" s="388"/>
      <c r="AZ169" s="2027"/>
      <c r="BA169" s="2022"/>
      <c r="BB169" s="1981"/>
      <c r="BC169" s="266"/>
      <c r="BD169" s="1980"/>
      <c r="BE169" s="266"/>
      <c r="BF169" s="1980"/>
      <c r="BG169" s="1981"/>
      <c r="BH169" s="24"/>
      <c r="BI169" s="266"/>
      <c r="BJ169" s="266"/>
      <c r="BK169" s="2889"/>
      <c r="BL169" s="266"/>
      <c r="BM169" s="1980"/>
      <c r="BN169" s="1981"/>
      <c r="BO169" s="266"/>
      <c r="BP169" s="1980"/>
      <c r="BQ169" s="1981"/>
      <c r="BR169" s="24"/>
      <c r="BS169" s="266"/>
      <c r="BT169" s="1980"/>
      <c r="BU169" s="1981"/>
      <c r="BV169" s="24"/>
      <c r="BW169" s="266"/>
      <c r="BX169" s="1980"/>
      <c r="BY169" s="24"/>
      <c r="BZ169" s="389"/>
      <c r="CA169" s="1980"/>
      <c r="CB169" s="1981"/>
      <c r="CC169" s="389"/>
      <c r="CD169" s="1980"/>
      <c r="CE169" s="1981"/>
      <c r="CF169" s="24"/>
      <c r="CG169" s="389"/>
      <c r="CH169" s="1980"/>
      <c r="CI169" s="1981"/>
      <c r="CJ169" s="24"/>
      <c r="CK169" s="389"/>
      <c r="CL169" s="1980"/>
      <c r="CM169" s="1981"/>
      <c r="CN169" s="24"/>
      <c r="CO169" s="24"/>
      <c r="CP169" s="1980"/>
      <c r="CQ169" s="1981"/>
      <c r="CR169" s="1981"/>
      <c r="CS169" s="24"/>
      <c r="CT169" s="2027"/>
      <c r="CU169" s="2028"/>
      <c r="CV169" s="1981"/>
      <c r="CW169" s="2027"/>
      <c r="CX169" s="2027"/>
      <c r="CY169" s="2027"/>
      <c r="CZ169" s="168"/>
      <c r="DA169" s="2027"/>
      <c r="DB169" s="2028"/>
      <c r="DC169" s="1981"/>
      <c r="DD169" s="1981"/>
      <c r="DE169" s="1981"/>
      <c r="DF169" s="1981"/>
      <c r="DG169" s="1981"/>
      <c r="DH169" s="2106"/>
      <c r="DI169" s="2103"/>
      <c r="DJ169" s="2048"/>
      <c r="DK169" s="168"/>
      <c r="DL169" s="361"/>
      <c r="DM169" s="2028"/>
      <c r="DN169" s="1981"/>
      <c r="DO169" s="168"/>
      <c r="DP169" s="361"/>
      <c r="DQ169" s="2028"/>
      <c r="DR169" s="1981"/>
      <c r="DS169" s="168"/>
      <c r="DT169" s="361"/>
      <c r="DU169" s="2028"/>
      <c r="DV169" s="1981"/>
      <c r="DW169" s="168"/>
      <c r="DX169" s="2027"/>
      <c r="DY169" s="2028"/>
      <c r="DZ169" s="1981"/>
      <c r="EA169" s="1981"/>
      <c r="EB169" s="168"/>
      <c r="EC169" s="24"/>
      <c r="ED169" s="24"/>
      <c r="EE169" s="24"/>
      <c r="EG169" s="361"/>
      <c r="EH169" s="2028"/>
      <c r="EI169" s="361"/>
      <c r="EJ169" s="2028"/>
    </row>
    <row r="170" spans="1:140" hidden="1" outlineLevel="1">
      <c r="A170" s="113"/>
      <c r="B170" s="136" t="str">
        <f>qtrSales!B158</f>
        <v>2010A</v>
      </c>
      <c r="C170" s="24"/>
      <c r="D170" s="24"/>
      <c r="E170" s="428"/>
      <c r="F170" s="428"/>
      <c r="G170" s="1980"/>
      <c r="H170" s="1981"/>
      <c r="I170" s="1981"/>
      <c r="J170" s="1981"/>
      <c r="K170" s="24"/>
      <c r="L170" s="1980"/>
      <c r="M170" s="1981"/>
      <c r="Q170" s="24"/>
      <c r="R170" s="428"/>
      <c r="S170" s="1980"/>
      <c r="T170" s="1980"/>
      <c r="U170" s="1981"/>
      <c r="V170" s="428"/>
      <c r="W170" s="428"/>
      <c r="X170" s="428"/>
      <c r="Y170" s="428"/>
      <c r="Z170" s="428"/>
      <c r="AA170" s="428"/>
      <c r="AB170" s="428"/>
      <c r="AC170" s="1980"/>
      <c r="AD170" s="1981"/>
      <c r="AE170" s="1981"/>
      <c r="AF170" s="1981"/>
      <c r="AG170" s="1981"/>
      <c r="AH170" s="1981"/>
      <c r="AI170" s="24"/>
      <c r="AJ170" s="399"/>
      <c r="AK170" s="24"/>
      <c r="AL170" s="2088"/>
      <c r="AM170" s="2089"/>
      <c r="AN170" s="2089"/>
      <c r="AO170" s="2088"/>
      <c r="AP170" s="2089"/>
      <c r="AQ170" s="2088"/>
      <c r="AR170" s="2107"/>
      <c r="AS170" s="24"/>
      <c r="AT170" s="24"/>
      <c r="AU170" s="24"/>
      <c r="AV170" s="24"/>
      <c r="AW170" s="24"/>
      <c r="AX170" s="24"/>
      <c r="AY170" s="24"/>
      <c r="AZ170" s="428"/>
      <c r="BA170" s="1981"/>
      <c r="BB170" s="1981"/>
      <c r="BC170" s="381"/>
      <c r="BD170" s="2070"/>
      <c r="BE170" s="381"/>
      <c r="BF170" s="2070"/>
      <c r="BG170" s="1981"/>
      <c r="BH170" s="24"/>
      <c r="BI170" s="24"/>
      <c r="BJ170" s="24"/>
      <c r="BK170" s="2889"/>
      <c r="BL170" s="389"/>
      <c r="BM170" s="1988"/>
      <c r="BN170" s="1989"/>
      <c r="BO170" s="389"/>
      <c r="BP170" s="389"/>
      <c r="BQ170" s="389"/>
      <c r="BR170" s="389"/>
      <c r="BS170" s="389"/>
      <c r="BT170" s="389"/>
      <c r="BU170" s="389"/>
      <c r="BV170" s="389"/>
      <c r="BW170" s="266"/>
      <c r="BX170" s="24"/>
      <c r="BY170" s="24"/>
      <c r="BZ170" s="389"/>
      <c r="CA170" s="1988"/>
      <c r="CB170" s="1989"/>
      <c r="CC170" s="389"/>
      <c r="CD170" s="389"/>
      <c r="CE170" s="389"/>
      <c r="CF170" s="389"/>
      <c r="CG170" s="389"/>
      <c r="CH170" s="389"/>
      <c r="CI170" s="389"/>
      <c r="CJ170" s="389"/>
      <c r="CK170" s="389"/>
      <c r="CL170" s="389"/>
      <c r="CM170" s="389"/>
      <c r="CN170" s="389"/>
      <c r="CO170" s="266"/>
      <c r="CP170" s="24"/>
      <c r="CQ170" s="24"/>
      <c r="CR170" s="24"/>
      <c r="CS170" s="24"/>
      <c r="CT170" s="164"/>
      <c r="CU170" s="24"/>
      <c r="CV170" s="2071"/>
      <c r="CW170" s="164"/>
      <c r="CX170" s="164"/>
      <c r="CY170" s="164"/>
      <c r="CZ170" s="24"/>
      <c r="DA170" s="24"/>
      <c r="DB170" s="24"/>
      <c r="DC170" s="24"/>
      <c r="DD170" s="24"/>
      <c r="DE170" s="24"/>
      <c r="DF170" s="24"/>
      <c r="DG170" s="24"/>
      <c r="DH170" s="2108"/>
      <c r="DI170" s="1242"/>
      <c r="DJ170" s="2109"/>
      <c r="DK170" s="24"/>
      <c r="DL170" s="24"/>
      <c r="DM170" s="24"/>
      <c r="DN170" s="24"/>
      <c r="DO170" s="24"/>
      <c r="DP170" s="24"/>
      <c r="DQ170" s="24"/>
      <c r="DR170" s="24"/>
      <c r="DS170" s="24"/>
      <c r="DT170" s="24"/>
      <c r="DU170" s="24"/>
      <c r="DV170" s="24"/>
      <c r="DW170" s="24"/>
      <c r="DX170" s="266"/>
      <c r="DY170" s="24"/>
      <c r="DZ170" s="1981"/>
      <c r="EA170" s="24"/>
      <c r="EB170" s="24"/>
      <c r="EC170" s="24"/>
      <c r="ED170" s="24"/>
      <c r="EE170" s="24"/>
      <c r="EG170" s="24"/>
      <c r="EH170" s="24"/>
      <c r="EI170" s="24"/>
      <c r="EJ170" s="24"/>
    </row>
    <row r="171" spans="1:140" hidden="1" outlineLevel="1">
      <c r="A171" s="113" t="str">
        <f>qtrSales!A159</f>
        <v>1Q</v>
      </c>
      <c r="B171" s="24" t="str">
        <f>qtrSales!B159</f>
        <v>Apr</v>
      </c>
      <c r="C171" s="24"/>
      <c r="D171" s="24"/>
      <c r="E171" s="1982">
        <v>828.1</v>
      </c>
      <c r="F171" s="1982"/>
      <c r="G171" s="1980">
        <f>+(E171/E164-1)*100</f>
        <v>13.937809576224547</v>
      </c>
      <c r="H171" s="1981">
        <f>+E171/$BI171*100</f>
        <v>42.87383619098506</v>
      </c>
      <c r="I171" s="1981"/>
      <c r="J171" s="1981"/>
      <c r="K171" s="1982">
        <v>350.2</v>
      </c>
      <c r="L171" s="1980">
        <f>+(K171/K164-1)*100</f>
        <v>10.333963453056082</v>
      </c>
      <c r="M171" s="1981">
        <f>+K171/BI171*100</f>
        <v>18.131164634806144</v>
      </c>
      <c r="Q171" s="24"/>
      <c r="R171" s="1982">
        <v>1178.348</v>
      </c>
      <c r="S171" s="1980">
        <f>+(R171/R164-1)*100</f>
        <v>12.844910885551775</v>
      </c>
      <c r="T171" s="1980"/>
      <c r="U171" s="1981">
        <f>+R171/$BI171*100</f>
        <v>61.00748596543275</v>
      </c>
      <c r="V171" s="24"/>
      <c r="W171" s="1982">
        <v>430.3</v>
      </c>
      <c r="X171" s="1982"/>
      <c r="Y171" s="1982"/>
      <c r="Z171" s="1982"/>
      <c r="AA171" s="1982"/>
      <c r="AB171" s="1982"/>
      <c r="AC171" s="1980">
        <f>+(W171/W164-1)*100</f>
        <v>6.9148011031878065</v>
      </c>
      <c r="AD171" s="1981">
        <f>+W171/$BI171*100</f>
        <v>22.278241411642156</v>
      </c>
      <c r="AE171" s="1981"/>
      <c r="AF171" s="1981"/>
      <c r="AG171" s="1981"/>
      <c r="AH171" s="1981"/>
      <c r="AI171" s="24"/>
      <c r="AJ171" s="24"/>
      <c r="AK171" s="2011">
        <f>0.75*2.1</f>
        <v>1.5750000000000002</v>
      </c>
      <c r="AL171" s="2094">
        <v>388.2</v>
      </c>
      <c r="AM171" s="2094"/>
      <c r="AN171" s="2094"/>
      <c r="AO171" s="2094">
        <v>111</v>
      </c>
      <c r="AP171" s="2094">
        <v>499.22500000000002</v>
      </c>
      <c r="AQ171" s="2088">
        <f>+(AP171/AP164-1)*100</f>
        <v>0</v>
      </c>
      <c r="AR171" s="2107">
        <f>+AP171/$BI171*100</f>
        <v>25.846746615679887</v>
      </c>
      <c r="AS171" s="24"/>
      <c r="AT171" s="1982"/>
      <c r="AU171" s="1982"/>
      <c r="AV171" s="1982"/>
      <c r="AW171" s="1982"/>
      <c r="AX171" s="1982"/>
      <c r="AY171" s="1982"/>
      <c r="AZ171" s="2041">
        <v>85.4</v>
      </c>
      <c r="BA171" s="1980">
        <f>+(AZ171/AZ164-1)*100</f>
        <v>5.432098765432114</v>
      </c>
      <c r="BB171" s="1981">
        <f>+AZ171/BI171*100</f>
        <v>4.4214776122571235</v>
      </c>
      <c r="BC171" s="1982">
        <v>237.5</v>
      </c>
      <c r="BD171" s="1980">
        <f>+(BC171/BC164-1)*100</f>
        <v>20.215426043469886</v>
      </c>
      <c r="BE171" s="1982">
        <v>322.88099999999997</v>
      </c>
      <c r="BF171" s="1980">
        <f>+(BE171/BE164-1)*100</f>
        <v>15.915748811694929</v>
      </c>
      <c r="BG171" s="1981">
        <f>+BE171/$BI171*100</f>
        <v>16.716757762566655</v>
      </c>
      <c r="BH171" s="24"/>
      <c r="BI171" s="381">
        <f>+E171+K171+W171+BE171</f>
        <v>1931.4809999999998</v>
      </c>
      <c r="BJ171" s="381"/>
      <c r="BK171" s="2889">
        <f>+(BI171/BI164-1)*100</f>
        <v>11.955764430929893</v>
      </c>
      <c r="BL171" s="381">
        <f>+E171+K171+W171+AT171+AY171</f>
        <v>1608.6</v>
      </c>
      <c r="BM171" s="1980">
        <f>+(BL171/BL157-1)*100</f>
        <v>4.4125092495229223</v>
      </c>
      <c r="BN171" s="1981">
        <f>+BL171/$BW171*100</f>
        <v>76.259555555555565</v>
      </c>
      <c r="BO171" s="381">
        <f>+AL171+AM171+AN171+AO171+AU171</f>
        <v>499.2</v>
      </c>
      <c r="BP171" s="1980">
        <f>+(BO171/BO157-1)*100</f>
        <v>0</v>
      </c>
      <c r="BQ171" s="1981">
        <f>+BO171/$BW171*100</f>
        <v>23.665777777777784</v>
      </c>
      <c r="BR171" s="389"/>
      <c r="BS171" s="381">
        <f>+AK171+AV171+AW171+AX171</f>
        <v>1.5750000000000002</v>
      </c>
      <c r="BT171" s="1980"/>
      <c r="BU171" s="1981">
        <f>+BS171/$BW171*100</f>
        <v>7.4666666666666701E-2</v>
      </c>
      <c r="BV171" s="389"/>
      <c r="BW171" s="381">
        <f>+BL171+BO171+BS171</f>
        <v>2109.3749999999995</v>
      </c>
      <c r="BX171" s="1980">
        <f>+(BW171/BW157-1)*100</f>
        <v>3.3300757570190687</v>
      </c>
      <c r="BY171" s="24"/>
      <c r="BZ171" s="390"/>
      <c r="CA171" s="1980"/>
      <c r="CB171" s="1981"/>
      <c r="CC171" s="390"/>
      <c r="CD171" s="1980"/>
      <c r="CE171" s="1981"/>
      <c r="CF171" s="389"/>
      <c r="CG171" s="390"/>
      <c r="CH171" s="1980"/>
      <c r="CI171" s="1981"/>
      <c r="CJ171" s="24"/>
      <c r="CK171" s="390"/>
      <c r="CL171" s="1980"/>
      <c r="CM171" s="1981"/>
      <c r="CN171" s="24"/>
      <c r="CO171" s="165"/>
      <c r="CP171" s="1980"/>
      <c r="CQ171" s="1981"/>
      <c r="CR171" s="1981"/>
      <c r="CS171" s="24"/>
      <c r="CT171" s="2023">
        <f>167.298+8.14</f>
        <v>175.43799999999999</v>
      </c>
      <c r="CU171" s="2028">
        <f>+(CT171/CT164-1)*100</f>
        <v>93.667965602128362</v>
      </c>
      <c r="CV171" s="1981">
        <f>+CT171/R171*100</f>
        <v>14.888470978013284</v>
      </c>
      <c r="CW171" s="2023"/>
      <c r="CX171" s="2023"/>
      <c r="CY171" s="2023"/>
      <c r="CZ171" s="168"/>
      <c r="DA171" s="2023">
        <v>37.731000000000002</v>
      </c>
      <c r="DB171" s="2028">
        <f>+(DA171/DA164-1)*100</f>
        <v>854.00758533501903</v>
      </c>
      <c r="DC171" s="1981">
        <f>+DA171/W171*100</f>
        <v>8.7685335812224032</v>
      </c>
      <c r="DD171" s="1981"/>
      <c r="DE171" s="1981"/>
      <c r="DF171" s="1981"/>
      <c r="DG171" s="1981"/>
      <c r="DH171" s="2102">
        <f>+DJ171/100*AP171</f>
        <v>0</v>
      </c>
      <c r="DI171" s="2028"/>
      <c r="DJ171" s="2028"/>
      <c r="DK171" s="168"/>
      <c r="DL171" s="1691">
        <f>-8.14</f>
        <v>-8.14</v>
      </c>
      <c r="DM171" s="2028">
        <f>+(DL171/DL164-1)*100</f>
        <v>142.33402798451925</v>
      </c>
      <c r="DN171" s="1981">
        <f>+DL171/AZ171*100</f>
        <v>-9.5316159250585475</v>
      </c>
      <c r="DO171" s="168"/>
      <c r="DP171" s="1691">
        <f>-20.053</f>
        <v>-20.053000000000001</v>
      </c>
      <c r="DQ171" s="2028">
        <f>+(DP171/DP164-1)*100</f>
        <v>-22.786954680220241</v>
      </c>
      <c r="DR171" s="1981">
        <f>+DP171/BC171*100</f>
        <v>-8.4433684210526305</v>
      </c>
      <c r="DS171" s="168"/>
      <c r="DT171" s="1691">
        <f>DL171+DP171</f>
        <v>-28.193000000000001</v>
      </c>
      <c r="DU171" s="2028">
        <f>+(DT171/DT164-1)*100</f>
        <v>-3.876576883736782</v>
      </c>
      <c r="DV171" s="1981">
        <f>+DT171/BE171*100</f>
        <v>-8.7316999142098801</v>
      </c>
      <c r="DW171" s="168"/>
      <c r="DX171" s="2027">
        <f>'qtrP&amp;L'!CL60</f>
        <v>184.97600000000006</v>
      </c>
      <c r="DY171" s="2028">
        <f>+(DX171/DX164-1)*100</f>
        <v>183.65331534073496</v>
      </c>
      <c r="DZ171" s="1981">
        <f>(+DX171/BI171)*100</f>
        <v>9.5768997986519189</v>
      </c>
      <c r="EA171" s="2005" t="str">
        <f>IF(ROUND(EB171,2)=ROUND(DX171,2)," ","no")</f>
        <v xml:space="preserve"> </v>
      </c>
      <c r="EB171" s="361">
        <f>DT171+DA171+CT171</f>
        <v>184.976</v>
      </c>
      <c r="EC171" s="24"/>
      <c r="ED171" s="24"/>
      <c r="EE171" s="24"/>
      <c r="EG171" s="2023">
        <v>146</v>
      </c>
      <c r="EH171" s="2037">
        <f>EG171/EG164-1</f>
        <v>0.29203539823008851</v>
      </c>
      <c r="EI171" s="1691">
        <f>+BI171-EG171</f>
        <v>1785.4809999999998</v>
      </c>
      <c r="EJ171" s="2037">
        <f>EI171/EI164-1</f>
        <v>0.10761848635235727</v>
      </c>
    </row>
    <row r="172" spans="1:140" hidden="1" outlineLevel="1">
      <c r="A172" s="113" t="str">
        <f>qtrSales!A160</f>
        <v>2Q</v>
      </c>
      <c r="B172" s="24" t="str">
        <f>qtrSales!B160</f>
        <v>Jul</v>
      </c>
      <c r="C172" s="24"/>
      <c r="D172" s="24"/>
      <c r="E172" s="307">
        <v>955.3</v>
      </c>
      <c r="F172" s="307"/>
      <c r="G172" s="1980">
        <f>+(E172/E165-1)*100</f>
        <v>14.038438581831203</v>
      </c>
      <c r="H172" s="1981">
        <f>+E172/$BI172*100</f>
        <v>42.599739041481342</v>
      </c>
      <c r="I172" s="1981"/>
      <c r="J172" s="1981"/>
      <c r="K172" s="2025">
        <v>391</v>
      </c>
      <c r="L172" s="1980">
        <f>+(K172/K165-1)*100</f>
        <v>8.7924318308291625</v>
      </c>
      <c r="M172" s="1981">
        <f>+K172/BI172*100</f>
        <v>17.435881885501107</v>
      </c>
      <c r="Q172" s="24"/>
      <c r="R172" s="388">
        <v>1346.308</v>
      </c>
      <c r="S172" s="1980">
        <f>+(R172/R165-1)*100</f>
        <v>12.462806382683688</v>
      </c>
      <c r="T172" s="1980"/>
      <c r="U172" s="1981">
        <f>+R172/$BI172*100</f>
        <v>60.035977671368855</v>
      </c>
      <c r="V172" s="24"/>
      <c r="W172" s="388">
        <v>536.46299999999997</v>
      </c>
      <c r="X172" s="388"/>
      <c r="Y172" s="388"/>
      <c r="Z172" s="388"/>
      <c r="AA172" s="388"/>
      <c r="AB172" s="388"/>
      <c r="AC172" s="1980">
        <f>+(W172/W165-1)*100</f>
        <v>0.54709639692320788</v>
      </c>
      <c r="AD172" s="1981">
        <f>+W172/$BI172*100</f>
        <v>23.922520470438823</v>
      </c>
      <c r="AE172" s="1981"/>
      <c r="AF172" s="1981"/>
      <c r="AG172" s="1981"/>
      <c r="AH172" s="1981"/>
      <c r="AI172" s="24"/>
      <c r="AJ172" s="24"/>
      <c r="AK172" s="388"/>
      <c r="AL172" s="2094">
        <v>270.8</v>
      </c>
      <c r="AM172" s="2094"/>
      <c r="AN172" s="2094"/>
      <c r="AO172" s="2094">
        <v>99.5</v>
      </c>
      <c r="AP172" s="2094">
        <v>370.31799999999998</v>
      </c>
      <c r="AQ172" s="2088">
        <f>+(AP172/AP165-1)*100</f>
        <v>0</v>
      </c>
      <c r="AR172" s="2107">
        <f>+AP172/$BI172*100</f>
        <v>16.513608460549868</v>
      </c>
      <c r="AS172" s="24"/>
      <c r="AT172" s="388"/>
      <c r="AU172" s="388"/>
      <c r="AV172" s="388"/>
      <c r="AW172" s="388"/>
      <c r="AX172" s="388"/>
      <c r="AY172" s="388"/>
      <c r="AZ172" s="2025">
        <v>101.8</v>
      </c>
      <c r="BA172" s="1980">
        <f>+(AZ172/AZ165-1)*100</f>
        <v>-6.6911090742438066</v>
      </c>
      <c r="BB172" s="1981">
        <f>+AZ172/BI172*100</f>
        <v>4.5395723169923592</v>
      </c>
      <c r="BC172" s="388">
        <v>257.92599999999999</v>
      </c>
      <c r="BD172" s="1980">
        <f>+(BC172/BC165-1)*100</f>
        <v>13.692404667133907</v>
      </c>
      <c r="BE172" s="388">
        <v>359.73899999999998</v>
      </c>
      <c r="BF172" s="1980">
        <f>+(BE172/BE165-1)*100</f>
        <v>7.0804757822545916</v>
      </c>
      <c r="BG172" s="1981">
        <f>+BE172/$BI172*100</f>
        <v>16.041858602578728</v>
      </c>
      <c r="BH172" s="24"/>
      <c r="BI172" s="266">
        <f>+E172+K172+W172+BE172</f>
        <v>2242.502</v>
      </c>
      <c r="BJ172" s="266"/>
      <c r="BK172" s="2889">
        <f>+(BI172/BI165-1)*100</f>
        <v>8.511871696258023</v>
      </c>
      <c r="BL172" s="266">
        <f>+E172+K172+W172+AT172+AY172</f>
        <v>1882.7629999999999</v>
      </c>
      <c r="BM172" s="1980">
        <f>+(BL172/BL158-1)*100</f>
        <v>-0.37178753818547516</v>
      </c>
      <c r="BN172" s="1981">
        <f>+BL172/$BW172*100</f>
        <v>83.564596285146024</v>
      </c>
      <c r="BO172" s="266">
        <f>+AL172+AM172+AN172+AO172+AU172</f>
        <v>370.3</v>
      </c>
      <c r="BP172" s="1980">
        <f>+(BO172/BO158-1)*100</f>
        <v>272.1608040201005</v>
      </c>
      <c r="BQ172" s="1981">
        <f>+BO172/$BW172*100</f>
        <v>16.435403714853955</v>
      </c>
      <c r="BR172" s="389"/>
      <c r="BS172" s="266">
        <f>+AK172+AV172+AW172+AX172</f>
        <v>0</v>
      </c>
      <c r="BT172" s="1980"/>
      <c r="BU172" s="1981">
        <f>+BS172/$BW172*100</f>
        <v>0</v>
      </c>
      <c r="BV172" s="389"/>
      <c r="BW172" s="266">
        <f>+BL172+BO172+BS172</f>
        <v>2253.0630000000001</v>
      </c>
      <c r="BX172" s="1980">
        <f>+(BW172/BW158-1)*100</f>
        <v>13.259712389703072</v>
      </c>
      <c r="BY172" s="24"/>
      <c r="BZ172" s="389"/>
      <c r="CA172" s="1980"/>
      <c r="CB172" s="1981"/>
      <c r="CC172" s="389"/>
      <c r="CD172" s="1980"/>
      <c r="CE172" s="1981"/>
      <c r="CF172" s="389"/>
      <c r="CG172" s="389"/>
      <c r="CH172" s="1980"/>
      <c r="CI172" s="1981"/>
      <c r="CJ172" s="389"/>
      <c r="CK172" s="389"/>
      <c r="CL172" s="1980"/>
      <c r="CM172" s="1981"/>
      <c r="CN172" s="389"/>
      <c r="CO172" s="266"/>
      <c r="CP172" s="1980"/>
      <c r="CQ172" s="1981"/>
      <c r="CR172" s="1981"/>
      <c r="CS172" s="24"/>
      <c r="CT172" s="1991">
        <f>191.662-0.306</f>
        <v>191.35599999999999</v>
      </c>
      <c r="CU172" s="2028">
        <f>+(CT172/CT165-1)*100</f>
        <v>54.551181611126374</v>
      </c>
      <c r="CV172" s="1981">
        <f>+CT172/R172*100</f>
        <v>14.213389506710202</v>
      </c>
      <c r="CW172" s="1991"/>
      <c r="CX172" s="1991"/>
      <c r="CY172" s="1991"/>
      <c r="CZ172" s="168"/>
      <c r="DA172" s="2044">
        <v>64.433000000000007</v>
      </c>
      <c r="DB172" s="2028">
        <f>+(DA172/DA165-1)*100</f>
        <v>45.848612431527023</v>
      </c>
      <c r="DC172" s="1981">
        <f>+DA172/W172*100</f>
        <v>12.01070716899395</v>
      </c>
      <c r="DD172" s="1981"/>
      <c r="DE172" s="1981"/>
      <c r="DF172" s="1981"/>
      <c r="DG172" s="1981"/>
      <c r="DH172" s="2104">
        <f>+DJ172/100*AP172</f>
        <v>0</v>
      </c>
      <c r="DI172" s="2028"/>
      <c r="DJ172" s="2028"/>
      <c r="DK172" s="168"/>
      <c r="DL172" s="1417">
        <f>0.306</f>
        <v>0.30599999999999999</v>
      </c>
      <c r="DM172" s="2028">
        <f>+(DL172/DL165-1)*100</f>
        <v>-88.009404388714728</v>
      </c>
      <c r="DN172" s="1981">
        <f>+DL172/AZ172*100</f>
        <v>0.3005893909626719</v>
      </c>
      <c r="DO172" s="168"/>
      <c r="DP172" s="1417">
        <f>-19.637</f>
        <v>-19.637</v>
      </c>
      <c r="DQ172" s="2028">
        <f>+(DP172/DP165-1)*100</f>
        <v>-10.333333333333329</v>
      </c>
      <c r="DR172" s="1981">
        <f>+DP172/BC172*100</f>
        <v>-7.6134240053348634</v>
      </c>
      <c r="DS172" s="168"/>
      <c r="DT172" s="1417">
        <f>DL172+DP172</f>
        <v>-19.331</v>
      </c>
      <c r="DU172" s="2028">
        <f>+(DT172/DT165-1)*100</f>
        <v>-8.7864378747160021E-2</v>
      </c>
      <c r="DV172" s="1981">
        <f>+DT172/BE172*100</f>
        <v>-5.373618095341345</v>
      </c>
      <c r="DW172" s="168"/>
      <c r="DX172" s="2027">
        <f>'qtrP&amp;L'!CL61</f>
        <v>236.45700000000033</v>
      </c>
      <c r="DY172" s="2028">
        <f>+(DX172/DX165-1)*100</f>
        <v>59.077117657743905</v>
      </c>
      <c r="DZ172" s="1981">
        <f>(+DX172/BI172)*100</f>
        <v>10.544338421994734</v>
      </c>
      <c r="EA172" s="2005" t="str">
        <f>IF(ROUND(EB172,2)=ROUND(DX172,2)," ","no")</f>
        <v xml:space="preserve"> </v>
      </c>
      <c r="EB172" s="361">
        <f>DT172+DA172+CT172</f>
        <v>236.458</v>
      </c>
      <c r="EC172" s="24"/>
      <c r="ED172" s="24"/>
      <c r="EE172" s="24"/>
      <c r="EG172" s="2044">
        <v>175</v>
      </c>
      <c r="EH172" s="2037">
        <f>EG172/EG165-1</f>
        <v>0.12903225806451624</v>
      </c>
      <c r="EI172" s="1417">
        <f>+BI172-EG172</f>
        <v>2067.502</v>
      </c>
      <c r="EJ172" s="2037">
        <f>EI172/EI165-1</f>
        <v>8.1329497907949744E-2</v>
      </c>
    </row>
    <row r="173" spans="1:140" hidden="1" outlineLevel="1">
      <c r="A173" s="113" t="str">
        <f>qtrSales!A161</f>
        <v>3Q</v>
      </c>
      <c r="B173" s="24" t="str">
        <f>qtrSales!B161</f>
        <v>Oct</v>
      </c>
      <c r="C173" s="24"/>
      <c r="D173" s="24"/>
      <c r="E173" s="307">
        <v>842</v>
      </c>
      <c r="F173" s="307"/>
      <c r="G173" s="1980">
        <f>+(E173/E166-1)*100</f>
        <v>15.310873733223772</v>
      </c>
      <c r="H173" s="1981">
        <f>+E173/$BI173*100</f>
        <v>42.453146499153206</v>
      </c>
      <c r="I173" s="1981"/>
      <c r="J173" s="1981"/>
      <c r="K173" s="2025">
        <v>257.3</v>
      </c>
      <c r="L173" s="1980">
        <f>+(K173/K166-1)*100</f>
        <v>3.4579815038198625</v>
      </c>
      <c r="M173" s="1981">
        <f>+K173/BI173*100</f>
        <v>12.972915195050025</v>
      </c>
      <c r="Q173" s="24"/>
      <c r="R173" s="388">
        <v>1099.309</v>
      </c>
      <c r="S173" s="1980">
        <f>+(R173/R166-1)*100</f>
        <v>12.296538888219221</v>
      </c>
      <c r="T173" s="1980"/>
      <c r="U173" s="1981">
        <f>+R173/$BI173*100</f>
        <v>55.426515468928272</v>
      </c>
      <c r="V173" s="24"/>
      <c r="W173" s="388">
        <v>467.54700000000003</v>
      </c>
      <c r="X173" s="388"/>
      <c r="Y173" s="388"/>
      <c r="Z173" s="388"/>
      <c r="AA173" s="388"/>
      <c r="AB173" s="388"/>
      <c r="AC173" s="1980">
        <f>+(W173/W166-1)*100</f>
        <v>6.5430208233637321</v>
      </c>
      <c r="AD173" s="1981">
        <f>+W173/$BI173*100</f>
        <v>23.573445708123021</v>
      </c>
      <c r="AE173" s="1981"/>
      <c r="AF173" s="1981"/>
      <c r="AG173" s="1981"/>
      <c r="AH173" s="1981"/>
      <c r="AI173" s="24"/>
      <c r="AJ173" s="24"/>
      <c r="AK173" s="388"/>
      <c r="AL173" s="2094">
        <f>segqtrSales!S743</f>
        <v>205</v>
      </c>
      <c r="AM173" s="2094"/>
      <c r="AN173" s="2094"/>
      <c r="AO173" s="2094">
        <f>segqtrSales!S842</f>
        <v>0</v>
      </c>
      <c r="AP173" s="2094">
        <f>+AL173+AO173</f>
        <v>205</v>
      </c>
      <c r="AQ173" s="2088">
        <f>+(AP173/AP166-1)*100</f>
        <v>7.3298429319371694</v>
      </c>
      <c r="AR173" s="2107">
        <f>+AP173/$BI173*100</f>
        <v>10.335979848368654</v>
      </c>
      <c r="AS173" s="24"/>
      <c r="AT173" s="388"/>
      <c r="AU173" s="388"/>
      <c r="AV173" s="388"/>
      <c r="AW173" s="388"/>
      <c r="AX173" s="388"/>
      <c r="AY173" s="388"/>
      <c r="AZ173" s="2025">
        <v>89.8</v>
      </c>
      <c r="BA173" s="1980">
        <f>+(AZ173/AZ166-1)*100</f>
        <v>-9.109311740890691</v>
      </c>
      <c r="BB173" s="1981">
        <f>+AZ173/BI173*100</f>
        <v>4.5276633677244149</v>
      </c>
      <c r="BC173" s="388">
        <v>326.75099999999998</v>
      </c>
      <c r="BD173" s="1980">
        <f>+(BC173/BC166-1)*100</f>
        <v>25.397586847397257</v>
      </c>
      <c r="BE173" s="388">
        <v>416.51600000000002</v>
      </c>
      <c r="BF173" s="1980">
        <f>+(BE173/BE166-1)*100</f>
        <v>15.853037791950953</v>
      </c>
      <c r="BG173" s="1981">
        <f>+BE173/$BI173*100</f>
        <v>21.000492597673752</v>
      </c>
      <c r="BH173" s="24"/>
      <c r="BI173" s="266">
        <f>+E173+K173+W173+BE173</f>
        <v>1983.3630000000001</v>
      </c>
      <c r="BJ173" s="266"/>
      <c r="BK173" s="2889">
        <f>+(BI173/BI166-1)*100</f>
        <v>11.59698523847168</v>
      </c>
      <c r="BL173" s="266">
        <f>+E173+K173+W173+AT173+AY173</f>
        <v>1566.847</v>
      </c>
      <c r="BM173" s="1980">
        <f>+(BL173/BL159-1)*100</f>
        <v>9.996553057985146</v>
      </c>
      <c r="BN173" s="1981">
        <f>+BL173/$BW173*100</f>
        <v>88.430152264840018</v>
      </c>
      <c r="BO173" s="266">
        <f>+AL173+AM173+AN173+AO173+AU173</f>
        <v>205</v>
      </c>
      <c r="BP173" s="1980">
        <f>+(BO173/BO159-1)*100</f>
        <v>-0.96618357487923134</v>
      </c>
      <c r="BQ173" s="1981">
        <f>+BO173/$BW173*100</f>
        <v>11.569847735159977</v>
      </c>
      <c r="BR173" s="24"/>
      <c r="BS173" s="266">
        <f>+AK173+AV173+AW173+AX173</f>
        <v>0</v>
      </c>
      <c r="BT173" s="1980"/>
      <c r="BU173" s="1981">
        <f>+BS173/$BW173*100</f>
        <v>0</v>
      </c>
      <c r="BV173" s="24"/>
      <c r="BW173" s="266">
        <f>+BL173+BO173+BS173</f>
        <v>1771.847</v>
      </c>
      <c r="BX173" s="1980">
        <f>+(BW173/BW159-1)*100</f>
        <v>8.6055909739244374</v>
      </c>
      <c r="BY173" s="24"/>
      <c r="BZ173" s="389"/>
      <c r="CA173" s="1980"/>
      <c r="CB173" s="1981"/>
      <c r="CC173" s="389"/>
      <c r="CD173" s="1980"/>
      <c r="CE173" s="1981"/>
      <c r="CF173" s="24"/>
      <c r="CG173" s="389"/>
      <c r="CH173" s="1980"/>
      <c r="CI173" s="1981"/>
      <c r="CJ173" s="24"/>
      <c r="CK173" s="389"/>
      <c r="CL173" s="1980"/>
      <c r="CM173" s="1981"/>
      <c r="CN173" s="24"/>
      <c r="CO173" s="266"/>
      <c r="CP173" s="1980"/>
      <c r="CQ173" s="1981"/>
      <c r="CR173" s="1981"/>
      <c r="CS173" s="24"/>
      <c r="CT173" s="1991">
        <f>123.166+0.731</f>
        <v>123.89699999999999</v>
      </c>
      <c r="CU173" s="2028">
        <f>+(CT173/CT166-1)*100</f>
        <v>167.37666709827784</v>
      </c>
      <c r="CV173" s="1981">
        <f>+CT173/R173*100</f>
        <v>11.2704435240683</v>
      </c>
      <c r="CW173" s="1991"/>
      <c r="CX173" s="1991"/>
      <c r="CY173" s="1991"/>
      <c r="CZ173" s="168"/>
      <c r="DA173" s="2044">
        <v>31.675999999999998</v>
      </c>
      <c r="DB173" s="2028">
        <f>+(DA173/DA166-1)*100</f>
        <v>103.76970086844644</v>
      </c>
      <c r="DC173" s="1981">
        <f>+DA173/W173*100</f>
        <v>6.7749338569170581</v>
      </c>
      <c r="DD173" s="1981"/>
      <c r="DE173" s="1981"/>
      <c r="DF173" s="1981"/>
      <c r="DG173" s="1981"/>
      <c r="DH173" s="2104">
        <f>+DJ173/100*AP173</f>
        <v>0</v>
      </c>
      <c r="DI173" s="2028"/>
      <c r="DJ173" s="2028"/>
      <c r="DK173" s="168"/>
      <c r="DL173" s="1417">
        <f>-0.731</f>
        <v>-0.73099999999999998</v>
      </c>
      <c r="DM173" s="2028">
        <f>+(DL173/DL166-1)*100</f>
        <v>-109.60957013277243</v>
      </c>
      <c r="DN173" s="1981">
        <f>+DL173/AZ173*100</f>
        <v>-0.81403118040089084</v>
      </c>
      <c r="DO173" s="168"/>
      <c r="DP173" s="1417">
        <f>-5.744</f>
        <v>-5.7439999999999998</v>
      </c>
      <c r="DQ173" s="2028">
        <f>+(DP173/DP166-1)*100</f>
        <v>-45.831761599396451</v>
      </c>
      <c r="DR173" s="1981">
        <f>+DP173/BC173*100</f>
        <v>-1.7579135182447796</v>
      </c>
      <c r="DS173" s="168"/>
      <c r="DT173" s="1417">
        <f>DL173+DP173</f>
        <v>-6.4749999999999996</v>
      </c>
      <c r="DU173" s="2028">
        <f>+(DT173/DT166-1)*100</f>
        <v>116.04938271604945</v>
      </c>
      <c r="DV173" s="1981">
        <f>+DT173/BE173*100</f>
        <v>-1.554562129666087</v>
      </c>
      <c r="DW173" s="168"/>
      <c r="DX173" s="2027">
        <f>'qtrP&amp;L'!CL62</f>
        <v>149.09800000000018</v>
      </c>
      <c r="DY173" s="2028">
        <f>+(DX173/DX166-1)*100</f>
        <v>153.20200390591842</v>
      </c>
      <c r="DZ173" s="1981">
        <f>(+DX173/BI173)*100</f>
        <v>7.5174337728393725</v>
      </c>
      <c r="EA173" s="2005" t="str">
        <f>IF(ROUND(EB173,1)=ROUND(DX173,1)," ","no")</f>
        <v xml:space="preserve"> </v>
      </c>
      <c r="EB173" s="361">
        <f>DT173+DA173+CT173</f>
        <v>149.09799999999998</v>
      </c>
      <c r="EC173" s="2051"/>
      <c r="ED173" s="24"/>
      <c r="EE173" s="24"/>
      <c r="EG173" s="2044">
        <v>176</v>
      </c>
      <c r="EH173" s="2037">
        <f>EG173/EG166-1</f>
        <v>0.20547945205479445</v>
      </c>
      <c r="EI173" s="1417">
        <f>+BI173-EG173</f>
        <v>1807.3630000000001</v>
      </c>
      <c r="EJ173" s="2037">
        <f>EI173/EI166-1</f>
        <v>0.10813182096873097</v>
      </c>
    </row>
    <row r="174" spans="1:140" hidden="1" outlineLevel="1">
      <c r="A174" s="113" t="str">
        <f>qtrSales!A162</f>
        <v>4Q</v>
      </c>
      <c r="B174" s="24" t="str">
        <f>qtrSales!B162</f>
        <v>Jan</v>
      </c>
      <c r="C174" s="24"/>
      <c r="D174" s="24"/>
      <c r="E174" s="302">
        <v>1393</v>
      </c>
      <c r="F174" s="307"/>
      <c r="G174" s="1980">
        <f>+(E174/E167-1)*100</f>
        <v>15.996336081272378</v>
      </c>
      <c r="H174" s="1981">
        <f>+E174/$BI174*100</f>
        <v>40.304357210602852</v>
      </c>
      <c r="I174" s="1981"/>
      <c r="J174" s="1981"/>
      <c r="K174" s="302">
        <v>503.6</v>
      </c>
      <c r="L174" s="1980">
        <f>+(K174/K167-1)*100</f>
        <v>9.0043290043290156</v>
      </c>
      <c r="M174" s="1981">
        <f>+K174/BI174*100</f>
        <v>14.570907603201436</v>
      </c>
      <c r="Q174" s="24"/>
      <c r="R174" s="306">
        <v>1896.2570000000001</v>
      </c>
      <c r="S174" s="1980">
        <f>+(R174/R167-1)*100</f>
        <v>14.034849282116824</v>
      </c>
      <c r="T174" s="1980"/>
      <c r="U174" s="1981">
        <f>+R174/$BI174*100</f>
        <v>54.865340625345397</v>
      </c>
      <c r="V174" s="24"/>
      <c r="W174" s="302">
        <v>1080.9159999999999</v>
      </c>
      <c r="X174" s="307"/>
      <c r="Y174" s="307"/>
      <c r="Z174" s="307"/>
      <c r="AA174" s="307"/>
      <c r="AB174" s="307"/>
      <c r="AC174" s="1980">
        <f>+(W174/W167-1)*100</f>
        <v>7.2619289793447672</v>
      </c>
      <c r="AD174" s="1981">
        <f>+W174/$BI174*100</f>
        <v>31.274676653737256</v>
      </c>
      <c r="AE174" s="1981"/>
      <c r="AF174" s="1981"/>
      <c r="AG174" s="1981"/>
      <c r="AH174" s="1981"/>
      <c r="AI174" s="24"/>
      <c r="AJ174" s="24"/>
      <c r="AK174" s="388"/>
      <c r="AL174" s="2095">
        <f>segqtrSales!S744</f>
        <v>211</v>
      </c>
      <c r="AM174" s="2095"/>
      <c r="AN174" s="2095"/>
      <c r="AO174" s="2095">
        <f>segqtrSales!S843</f>
        <v>0</v>
      </c>
      <c r="AP174" s="2100">
        <f>+AL174+AO174</f>
        <v>211</v>
      </c>
      <c r="AQ174" s="2088">
        <f>+(AP174/AP167-1)*100</f>
        <v>-1.4018691588784993</v>
      </c>
      <c r="AR174" s="2107">
        <f>+AP174/$BI174*100</f>
        <v>6.1049672443913874</v>
      </c>
      <c r="AS174" s="24"/>
      <c r="AT174" s="388"/>
      <c r="AU174" s="388"/>
      <c r="AV174" s="388"/>
      <c r="AW174" s="388"/>
      <c r="AX174" s="388"/>
      <c r="AY174" s="388"/>
      <c r="AZ174" s="418">
        <v>121.2</v>
      </c>
      <c r="BA174" s="1980">
        <f>+(AZ174/AZ167-1)*100</f>
        <v>-9.8884758364312209</v>
      </c>
      <c r="BB174" s="1981">
        <f>+AZ174/BI174*100</f>
        <v>3.5067394787688917</v>
      </c>
      <c r="BC174" s="302">
        <v>357.44099999999997</v>
      </c>
      <c r="BD174" s="1980">
        <f>+(BC174/BC167-1)*100</f>
        <v>38.413729810525822</v>
      </c>
      <c r="BE174" s="302">
        <v>478.68599999999998</v>
      </c>
      <c r="BF174" s="1980">
        <f>+(BE174/BE167-1)*100</f>
        <v>21.882757935851171</v>
      </c>
      <c r="BG174" s="1981">
        <f>+BE174/$BI174*100</f>
        <v>13.850058532458462</v>
      </c>
      <c r="BH174" s="24"/>
      <c r="BI174" s="1022">
        <f>+E174+K174+W174+BE174</f>
        <v>3456.2019999999998</v>
      </c>
      <c r="BJ174" s="325"/>
      <c r="BK174" s="2889">
        <f>+(BI174/BI167-1)*100</f>
        <v>12.823229780980338</v>
      </c>
      <c r="BL174" s="1022">
        <f>+E174+K174+W174+AT174+AY174</f>
        <v>2977.5159999999996</v>
      </c>
      <c r="BM174" s="1980">
        <f>+(BL174/BL160-1)*100</f>
        <v>13.159709963055576</v>
      </c>
      <c r="BN174" s="1981">
        <f>+BL174/$BW174*100</f>
        <v>93.382501452086174</v>
      </c>
      <c r="BO174" s="1022">
        <f>+AL174+AM174+AN174+AO174+AU174</f>
        <v>211</v>
      </c>
      <c r="BP174" s="1980">
        <f>+(BO174/BO160-1)*100</f>
        <v>3.4313725490196179</v>
      </c>
      <c r="BQ174" s="1981">
        <f>+BO174/$BW174*100</f>
        <v>6.6174985479138266</v>
      </c>
      <c r="BR174" s="24"/>
      <c r="BS174" s="1022">
        <f>+AK174+AV174+AW174+AX174</f>
        <v>0</v>
      </c>
      <c r="BT174" s="1980"/>
      <c r="BU174" s="1981">
        <f>+BS174/$BW174*100</f>
        <v>0</v>
      </c>
      <c r="BV174" s="24"/>
      <c r="BW174" s="1022">
        <f>+BL174+BO174+BS174</f>
        <v>3188.5159999999996</v>
      </c>
      <c r="BX174" s="1980">
        <f>+(BW174/BW160-1)*100</f>
        <v>12.459743423069035</v>
      </c>
      <c r="BY174" s="24"/>
      <c r="BZ174" s="306"/>
      <c r="CA174" s="1980"/>
      <c r="CB174" s="1981"/>
      <c r="CC174" s="306"/>
      <c r="CD174" s="1980"/>
      <c r="CE174" s="1981"/>
      <c r="CF174" s="24"/>
      <c r="CG174" s="306"/>
      <c r="CH174" s="1980"/>
      <c r="CI174" s="1981"/>
      <c r="CJ174" s="24"/>
      <c r="CK174" s="306"/>
      <c r="CL174" s="1980"/>
      <c r="CM174" s="1981"/>
      <c r="CN174" s="24"/>
      <c r="CO174" s="67"/>
      <c r="CP174" s="1980"/>
      <c r="CQ174" s="1981"/>
      <c r="CR174" s="1981"/>
      <c r="CS174" s="24"/>
      <c r="CT174" s="2096">
        <f>394.816+2.944</f>
        <v>397.76</v>
      </c>
      <c r="CU174" s="2028">
        <f>+(CT174/CT167-1)*100</f>
        <v>25.279529319869741</v>
      </c>
      <c r="CV174" s="1981">
        <f>+CT174/R174*100</f>
        <v>20.976059679674218</v>
      </c>
      <c r="CW174" s="1413"/>
      <c r="CX174" s="1413"/>
      <c r="CY174" s="1413"/>
      <c r="CZ174" s="168"/>
      <c r="DA174" s="2097">
        <v>330.01499999999999</v>
      </c>
      <c r="DB174" s="2028">
        <f>+(DA174/DA167-1)*100</f>
        <v>12.034314890381115</v>
      </c>
      <c r="DC174" s="1981">
        <f>+DA174/W174*100</f>
        <v>30.531049591272584</v>
      </c>
      <c r="DD174" s="1981"/>
      <c r="DE174" s="1981"/>
      <c r="DF174" s="1981"/>
      <c r="DG174" s="1981"/>
      <c r="DH174" s="2105">
        <f>+CT174+DA174-9</f>
        <v>718.77499999999998</v>
      </c>
      <c r="DI174" s="2028"/>
      <c r="DJ174" s="2028"/>
      <c r="DK174" s="168"/>
      <c r="DL174" s="1419">
        <f>-2.944</f>
        <v>-2.944</v>
      </c>
      <c r="DM174" s="2028">
        <f>+(DL174/DL167-1)*100</f>
        <v>-54.651879235982747</v>
      </c>
      <c r="DN174" s="1981">
        <f>+DL174/AZ174*100</f>
        <v>-2.4290429042904291</v>
      </c>
      <c r="DO174" s="168"/>
      <c r="DP174" s="1419">
        <f>-11.329</f>
        <v>-11.329000000000001</v>
      </c>
      <c r="DQ174" s="2028">
        <f>+(DP174/DP167-1)*100</f>
        <v>-43.43136765366755</v>
      </c>
      <c r="DR174" s="1981">
        <f>+DP174/BC174*100</f>
        <v>-3.1694741230021179</v>
      </c>
      <c r="DS174" s="168"/>
      <c r="DT174" s="1419">
        <f>DL174+DP174</f>
        <v>-14.273</v>
      </c>
      <c r="DU174" s="2028">
        <f>+(DT174/DT167-1)*100</f>
        <v>-46.178211848108909</v>
      </c>
      <c r="DV174" s="1981">
        <f>+DT174/BE174*100</f>
        <v>-2.9817040815900193</v>
      </c>
      <c r="DW174" s="168"/>
      <c r="DX174" s="2152">
        <f>'qtrP&amp;L'!CL63</f>
        <v>713.50200000000018</v>
      </c>
      <c r="DY174" s="2028">
        <f>+(DX174/DX167-1)*100</f>
        <v>21.861998292058104</v>
      </c>
      <c r="DZ174" s="1981">
        <f>(+DX174/BI174)*100</f>
        <v>20.644105871126754</v>
      </c>
      <c r="EA174" s="2005" t="str">
        <f>IF(EB174=DX174," ","no")</f>
        <v xml:space="preserve"> </v>
      </c>
      <c r="EB174" s="361">
        <f>DT174+DA174+CT174</f>
        <v>713.50199999999995</v>
      </c>
      <c r="EC174" s="24"/>
      <c r="ED174" s="24"/>
      <c r="EE174" s="24"/>
      <c r="EG174" s="1419">
        <f>EG175-SUM(EG171:EG173)</f>
        <v>265</v>
      </c>
      <c r="EH174" s="2037">
        <f>EG174/EG167-1</f>
        <v>0.18303571428571419</v>
      </c>
      <c r="EI174" s="1419">
        <f>+BI174-EG174</f>
        <v>3191.2019999999998</v>
      </c>
      <c r="EJ174" s="2037">
        <f>EI174/EI167-1</f>
        <v>0.12405847129270864</v>
      </c>
    </row>
    <row r="175" spans="1:140" hidden="1" outlineLevel="1">
      <c r="A175" s="113"/>
      <c r="B175" s="24" t="str">
        <f>qtrSales!B163</f>
        <v>Year</v>
      </c>
      <c r="C175" s="24"/>
      <c r="D175" s="24"/>
      <c r="E175" s="266">
        <f>+SUM(E171:E174)</f>
        <v>4018.4</v>
      </c>
      <c r="F175" s="266"/>
      <c r="G175" s="1980">
        <f>+(E175/E168-1)*100</f>
        <v>14.9559446160888</v>
      </c>
      <c r="H175" s="1981">
        <f>+E175/$BI175*100</f>
        <v>41.799344009100494</v>
      </c>
      <c r="I175" s="1981"/>
      <c r="J175" s="1981"/>
      <c r="K175" s="266">
        <f>+SUM(K171:K174)</f>
        <v>1502.1</v>
      </c>
      <c r="L175" s="1980">
        <f>+(K175/K168-1)*100</f>
        <v>8.2594594594594497</v>
      </c>
      <c r="M175" s="1981">
        <f>+K175/$BI175*100</f>
        <v>15.624824466471694</v>
      </c>
      <c r="Q175" s="24"/>
      <c r="R175" s="266">
        <f>+SUM(R171:R174)</f>
        <v>5520.2219999999998</v>
      </c>
      <c r="S175" s="1980">
        <f>+(R175/R168-1)*100</f>
        <v>13.046518000090934</v>
      </c>
      <c r="T175" s="1980"/>
      <c r="U175" s="1981">
        <f>+R175/$BI175*100</f>
        <v>57.421276723224359</v>
      </c>
      <c r="V175" s="24"/>
      <c r="W175" s="266">
        <f>+SUM(W171:W174)</f>
        <v>2515.2259999999997</v>
      </c>
      <c r="X175" s="266"/>
      <c r="Y175" s="266"/>
      <c r="Z175" s="266"/>
      <c r="AA175" s="266"/>
      <c r="AB175" s="266"/>
      <c r="AC175" s="1980">
        <f>+(W175/W168-1)*100</f>
        <v>5.5671932520293899</v>
      </c>
      <c r="AD175" s="1981">
        <f>+W175/$BI175*100</f>
        <v>26.163347808738251</v>
      </c>
      <c r="AE175" s="1981"/>
      <c r="AF175" s="1981"/>
      <c r="AG175" s="1981"/>
      <c r="AH175" s="1981"/>
      <c r="AI175" s="24"/>
      <c r="AJ175" s="24"/>
      <c r="AK175" s="388"/>
      <c r="AL175" s="2098">
        <f>+SUM(AL171:AL174)</f>
        <v>1075</v>
      </c>
      <c r="AM175" s="2094"/>
      <c r="AN175" s="2094"/>
      <c r="AO175" s="2098">
        <f>+SUM(AO171:AO174)</f>
        <v>210.5</v>
      </c>
      <c r="AP175" s="2098">
        <f>+SUM(AP171:AP174)</f>
        <v>1285.5430000000001</v>
      </c>
      <c r="AQ175" s="2088">
        <f>+(AP175/AP168-1)*100</f>
        <v>0.86305444382810403</v>
      </c>
      <c r="AR175" s="2107">
        <f>+AP175/$BI175*100</f>
        <v>13.372201397444524</v>
      </c>
      <c r="AS175" s="24"/>
      <c r="AT175" s="388"/>
      <c r="AU175" s="388"/>
      <c r="AV175" s="388"/>
      <c r="AW175" s="388"/>
      <c r="AX175" s="388"/>
      <c r="AY175" s="388"/>
      <c r="AZ175" s="2027">
        <f>+SUM(AZ171:AZ174)</f>
        <v>398.2</v>
      </c>
      <c r="BA175" s="2022">
        <f>+(AZ175/AZ168-1)*100</f>
        <v>-5.951818611242321</v>
      </c>
      <c r="BB175" s="1981">
        <f>+AZ175/$BI175*100</f>
        <v>4.1420711687297977</v>
      </c>
      <c r="BC175" s="266">
        <f>+SUM(BC171:BC174)</f>
        <v>1179.6179999999999</v>
      </c>
      <c r="BD175" s="1980">
        <f>+(BC175/BC168-1)*100</f>
        <v>25.060483144232926</v>
      </c>
      <c r="BE175" s="266">
        <f>+SUM(BE171:BE174)</f>
        <v>1577.8219999999999</v>
      </c>
      <c r="BF175" s="1980">
        <f>+(BE175/BE168-1)*100</f>
        <v>15.442168508974486</v>
      </c>
      <c r="BG175" s="1981">
        <f>+BE175/$BI175*100</f>
        <v>16.412483715689564</v>
      </c>
      <c r="BH175" s="24"/>
      <c r="BI175" s="266">
        <f>+E175+K175+W175+BE175</f>
        <v>9613.5479999999989</v>
      </c>
      <c r="BJ175" s="266"/>
      <c r="BK175" s="2889">
        <f>+(BI175/BI168-1)*100</f>
        <v>11.365271052344706</v>
      </c>
      <c r="BL175" s="266">
        <f>+E175+K175+W175+AT175+AY175</f>
        <v>8035.7259999999997</v>
      </c>
      <c r="BM175" s="1980">
        <f>+(BL175/BL161-1)*100</f>
        <v>7.3417960273364891</v>
      </c>
      <c r="BN175" s="1981">
        <f>+BL175/$BW175*100</f>
        <v>86.208895696767797</v>
      </c>
      <c r="BO175" s="266">
        <f>+AL175+AM175+AN175+AO175+AU175</f>
        <v>1285.5</v>
      </c>
      <c r="BP175" s="1980">
        <f>+(BO175/BO161-1)*100</f>
        <v>27.315044072496786</v>
      </c>
      <c r="BQ175" s="1981">
        <f>+BO175/$BW175*100</f>
        <v>13.791104303232215</v>
      </c>
      <c r="BR175" s="24"/>
      <c r="BS175" s="266">
        <f>+AK175+AV175+AW175+AX175</f>
        <v>0</v>
      </c>
      <c r="BT175" s="1980"/>
      <c r="BU175" s="1981">
        <f>+BS175/$BW175*100</f>
        <v>0</v>
      </c>
      <c r="BV175" s="24"/>
      <c r="BW175" s="266">
        <f>+BL175+BO175+BS175</f>
        <v>9321.2259999999987</v>
      </c>
      <c r="BX175" s="1980">
        <f>+(BW175/BW161-1)*100</f>
        <v>9.7155527588831614</v>
      </c>
      <c r="BY175" s="24"/>
      <c r="BZ175" s="389"/>
      <c r="CA175" s="1980"/>
      <c r="CB175" s="1981"/>
      <c r="CC175" s="389"/>
      <c r="CD175" s="1980"/>
      <c r="CE175" s="1981"/>
      <c r="CF175" s="24"/>
      <c r="CG175" s="389"/>
      <c r="CH175" s="1980"/>
      <c r="CI175" s="1981"/>
      <c r="CJ175" s="24"/>
      <c r="CK175" s="389"/>
      <c r="CL175" s="1980"/>
      <c r="CM175" s="1981"/>
      <c r="CN175" s="24"/>
      <c r="CO175" s="24"/>
      <c r="CP175" s="1980"/>
      <c r="CQ175" s="1981"/>
      <c r="CR175" s="1981"/>
      <c r="CS175" s="24"/>
      <c r="CT175" s="2027">
        <f>+SUM(CT171:CT174)</f>
        <v>888.45100000000002</v>
      </c>
      <c r="CU175" s="2028">
        <f>+(CT175/CT168-1)*100</f>
        <v>53.648244577915307</v>
      </c>
      <c r="CV175" s="1981">
        <f>+CT175/R175*100</f>
        <v>16.094479533612962</v>
      </c>
      <c r="CW175" s="2027"/>
      <c r="CX175" s="2027"/>
      <c r="CY175" s="2027"/>
      <c r="CZ175" s="168"/>
      <c r="DA175" s="2027">
        <f>+SUM(DA171:DA174)</f>
        <v>463.85500000000002</v>
      </c>
      <c r="DB175" s="2028">
        <f>+(DA175/DA168-1)*100</f>
        <v>29.480186688402334</v>
      </c>
      <c r="DC175" s="1981">
        <f>+DA175/W175*100</f>
        <v>18.441881564519456</v>
      </c>
      <c r="DD175" s="1981"/>
      <c r="DE175" s="1981"/>
      <c r="DF175" s="1981"/>
      <c r="DG175" s="1981"/>
      <c r="DH175" s="1981"/>
      <c r="DI175" s="2103"/>
      <c r="DJ175" s="2048"/>
      <c r="DK175" s="168"/>
      <c r="DL175" s="361">
        <f>+SUM(DL171:DL174)</f>
        <v>-11.509</v>
      </c>
      <c r="DM175" s="2028">
        <f>+(DL175/DL168-1)*100</f>
        <v>-3836.6883116883032</v>
      </c>
      <c r="DN175" s="1981">
        <f>+DL175/AZ175*100</f>
        <v>-2.8902561526870922</v>
      </c>
      <c r="DO175" s="168"/>
      <c r="DP175" s="361">
        <f>+SUM(DP171:DP174)</f>
        <v>-56.762999999999998</v>
      </c>
      <c r="DQ175" s="2028">
        <f>+(DP175/DP168-1)*100</f>
        <v>-27.692288094570838</v>
      </c>
      <c r="DR175" s="1981">
        <f>+DP175/BC175*100</f>
        <v>-4.811981505877327</v>
      </c>
      <c r="DS175" s="168"/>
      <c r="DT175" s="361">
        <f>+SUM(DT171:DT174)</f>
        <v>-68.272000000000006</v>
      </c>
      <c r="DU175" s="2028">
        <f>+(DT175/DT168-1)*100</f>
        <v>-12.688953116607404</v>
      </c>
      <c r="DV175" s="1981">
        <f>+DT175/BE175*100</f>
        <v>-4.3269773142978112</v>
      </c>
      <c r="DW175" s="168"/>
      <c r="DX175" s="2027">
        <f>+SUM(DX171:DX174)</f>
        <v>1284.0330000000008</v>
      </c>
      <c r="DY175" s="2028">
        <f>+(DX175/DX168-1)*100</f>
        <v>49.612346196868096</v>
      </c>
      <c r="DZ175" s="1981">
        <f>(+DX175/BI175)*100</f>
        <v>13.356494397281846</v>
      </c>
      <c r="EA175" s="1981"/>
      <c r="EB175" s="168"/>
      <c r="EC175" s="24"/>
      <c r="ED175" s="24"/>
      <c r="EE175" s="24"/>
      <c r="EG175" s="1982">
        <v>762</v>
      </c>
      <c r="EH175" s="2028"/>
      <c r="EI175" s="1691">
        <f>+BI175-EG175</f>
        <v>8851.5479999999989</v>
      </c>
      <c r="EJ175" s="2037">
        <f>EI175/EI168-1</f>
        <v>0.10727395546659979</v>
      </c>
    </row>
    <row r="176" spans="1:140" hidden="1" outlineLevel="1">
      <c r="A176" s="113"/>
      <c r="B176" s="24"/>
      <c r="C176" s="24"/>
      <c r="D176" s="24"/>
      <c r="E176" s="266"/>
      <c r="F176" s="266"/>
      <c r="G176" s="2087"/>
      <c r="H176" s="1981"/>
      <c r="I176" s="1981"/>
      <c r="J176" s="1981"/>
      <c r="K176" s="266"/>
      <c r="L176" s="1980"/>
      <c r="M176" s="1981"/>
      <c r="Q176" s="24"/>
      <c r="R176" s="266"/>
      <c r="S176" s="1980"/>
      <c r="T176" s="1980"/>
      <c r="U176" s="1981"/>
      <c r="V176" s="24"/>
      <c r="W176" s="266"/>
      <c r="X176" s="266"/>
      <c r="Y176" s="266"/>
      <c r="Z176" s="266"/>
      <c r="AA176" s="266"/>
      <c r="AB176" s="266"/>
      <c r="AC176" s="1980"/>
      <c r="AD176" s="1981"/>
      <c r="AE176" s="1981"/>
      <c r="AF176" s="1981"/>
      <c r="AG176" s="1981"/>
      <c r="AH176" s="1981"/>
      <c r="AI176" s="24"/>
      <c r="AJ176" s="24"/>
      <c r="AK176" s="388"/>
      <c r="AL176" s="2098"/>
      <c r="AM176" s="2094"/>
      <c r="AN176" s="2094"/>
      <c r="AO176" s="2098"/>
      <c r="AP176" s="2110"/>
      <c r="AQ176" s="2088"/>
      <c r="AR176" s="2107"/>
      <c r="AS176" s="24"/>
      <c r="AT176" s="388"/>
      <c r="AU176" s="388"/>
      <c r="AV176" s="388"/>
      <c r="AW176" s="388"/>
      <c r="AX176" s="388"/>
      <c r="AY176" s="388"/>
      <c r="AZ176" s="2027"/>
      <c r="BA176" s="2022"/>
      <c r="BB176" s="1981"/>
      <c r="BC176" s="266"/>
      <c r="BD176" s="1980"/>
      <c r="BE176" s="266"/>
      <c r="BF176" s="1980"/>
      <c r="BG176" s="1981"/>
      <c r="BH176" s="24"/>
      <c r="BI176" s="266"/>
      <c r="BJ176" s="266"/>
      <c r="BK176" s="2889"/>
      <c r="BL176" s="266"/>
      <c r="BM176" s="1980"/>
      <c r="BN176" s="1981"/>
      <c r="BO176" s="266"/>
      <c r="BP176" s="1980"/>
      <c r="BQ176" s="1981"/>
      <c r="BR176" s="24"/>
      <c r="BS176" s="266"/>
      <c r="BT176" s="1980"/>
      <c r="BU176" s="1981"/>
      <c r="BV176" s="24"/>
      <c r="BW176" s="266"/>
      <c r="BX176" s="1980"/>
      <c r="BY176" s="24"/>
      <c r="BZ176" s="389"/>
      <c r="CA176" s="1980"/>
      <c r="CB176" s="1981"/>
      <c r="CC176" s="389"/>
      <c r="CD176" s="1980"/>
      <c r="CE176" s="1981"/>
      <c r="CF176" s="24"/>
      <c r="CG176" s="389"/>
      <c r="CH176" s="1980"/>
      <c r="CI176" s="1981"/>
      <c r="CJ176" s="24"/>
      <c r="CK176" s="389"/>
      <c r="CL176" s="1980"/>
      <c r="CM176" s="1981"/>
      <c r="CN176" s="24"/>
      <c r="CO176" s="24"/>
      <c r="CP176" s="1980"/>
      <c r="CQ176" s="1981"/>
      <c r="CR176" s="1981"/>
      <c r="CS176" s="24"/>
      <c r="CT176" s="2027"/>
      <c r="CU176" s="2028"/>
      <c r="CV176" s="1981"/>
      <c r="CW176" s="2027"/>
      <c r="CX176" s="2027"/>
      <c r="CY176" s="2027"/>
      <c r="CZ176" s="168"/>
      <c r="DA176" s="2027"/>
      <c r="DB176" s="2028"/>
      <c r="DC176" s="1981"/>
      <c r="DD176" s="1981"/>
      <c r="DE176" s="1981"/>
      <c r="DF176" s="1981"/>
      <c r="DG176" s="1981"/>
      <c r="DH176" s="2106"/>
      <c r="DI176" s="2103"/>
      <c r="DJ176" s="2048"/>
      <c r="DK176" s="168"/>
      <c r="DL176" s="361"/>
      <c r="DM176" s="2028"/>
      <c r="DN176" s="1981"/>
      <c r="DO176" s="168"/>
      <c r="DP176" s="361"/>
      <c r="DQ176" s="2028"/>
      <c r="DR176" s="1981"/>
      <c r="DS176" s="168"/>
      <c r="DT176" s="361"/>
      <c r="DU176" s="2028"/>
      <c r="DV176" s="1981"/>
      <c r="DW176" s="168"/>
      <c r="DX176" s="2027"/>
      <c r="DY176" s="2028"/>
      <c r="DZ176" s="1981"/>
      <c r="EA176" s="1981"/>
      <c r="EB176" s="168"/>
      <c r="EC176" s="24"/>
      <c r="ED176" s="24"/>
      <c r="EE176" s="24"/>
      <c r="EG176" s="361"/>
      <c r="EH176" s="2028"/>
      <c r="EI176" s="361"/>
      <c r="EJ176" s="2028"/>
    </row>
    <row r="177" spans="1:140" hidden="1" outlineLevel="1">
      <c r="A177" s="113"/>
      <c r="B177" s="136" t="str">
        <f>qtrSales!B165</f>
        <v>2011A</v>
      </c>
      <c r="C177" s="24"/>
      <c r="D177" s="24"/>
      <c r="E177" s="428"/>
      <c r="F177" s="428"/>
      <c r="G177" s="1980"/>
      <c r="H177" s="1981"/>
      <c r="I177" s="1981"/>
      <c r="J177" s="1981"/>
      <c r="K177" s="24"/>
      <c r="L177" s="1980"/>
      <c r="M177" s="1981"/>
      <c r="Q177" s="24"/>
      <c r="R177" s="428"/>
      <c r="S177" s="1980"/>
      <c r="T177" s="1980"/>
      <c r="U177" s="1981"/>
      <c r="V177" s="428"/>
      <c r="W177" s="428"/>
      <c r="X177" s="428"/>
      <c r="Y177" s="428"/>
      <c r="Z177" s="428"/>
      <c r="AA177" s="428"/>
      <c r="AB177" s="428"/>
      <c r="AC177" s="1980"/>
      <c r="AD177" s="1981"/>
      <c r="AE177" s="1981"/>
      <c r="AF177" s="1981"/>
      <c r="AG177" s="1981"/>
      <c r="AH177" s="1981"/>
      <c r="AI177" s="24"/>
      <c r="AJ177" s="399"/>
      <c r="AK177" s="24"/>
      <c r="AL177" s="2088"/>
      <c r="AM177" s="2089"/>
      <c r="AN177" s="2089"/>
      <c r="AO177" s="2088"/>
      <c r="AP177" s="2089"/>
      <c r="AQ177" s="2088"/>
      <c r="AR177" s="2107"/>
      <c r="AS177" s="24"/>
      <c r="AT177" s="24"/>
      <c r="AU177" s="24"/>
      <c r="AV177" s="24"/>
      <c r="AW177" s="24"/>
      <c r="AX177" s="24"/>
      <c r="AY177" s="24"/>
      <c r="AZ177" s="428"/>
      <c r="BA177" s="1981"/>
      <c r="BB177" s="1981"/>
      <c r="BC177" s="381"/>
      <c r="BD177" s="2070"/>
      <c r="BE177" s="381"/>
      <c r="BF177" s="2070"/>
      <c r="BG177" s="1981"/>
      <c r="BH177" s="24"/>
      <c r="BI177" s="24"/>
      <c r="BJ177" s="24"/>
      <c r="BK177" s="2889"/>
      <c r="BL177" s="389"/>
      <c r="BM177" s="1988"/>
      <c r="BN177" s="1989"/>
      <c r="BO177" s="389"/>
      <c r="BP177" s="389"/>
      <c r="BQ177" s="389"/>
      <c r="BR177" s="389"/>
      <c r="BS177" s="389"/>
      <c r="BT177" s="389"/>
      <c r="BU177" s="389"/>
      <c r="BV177" s="389"/>
      <c r="BW177" s="266"/>
      <c r="BX177" s="24"/>
      <c r="BY177" s="24"/>
      <c r="BZ177" s="389"/>
      <c r="CA177" s="1988"/>
      <c r="CB177" s="1989"/>
      <c r="CC177" s="389"/>
      <c r="CD177" s="389"/>
      <c r="CE177" s="389"/>
      <c r="CF177" s="389"/>
      <c r="CG177" s="389"/>
      <c r="CH177" s="389"/>
      <c r="CI177" s="389"/>
      <c r="CJ177" s="389"/>
      <c r="CK177" s="389"/>
      <c r="CL177" s="389"/>
      <c r="CM177" s="389"/>
      <c r="CN177" s="389"/>
      <c r="CO177" s="266"/>
      <c r="CP177" s="24"/>
      <c r="CQ177" s="24"/>
      <c r="CR177" s="24"/>
      <c r="CS177" s="24"/>
      <c r="CT177" s="164"/>
      <c r="CU177" s="24"/>
      <c r="CV177" s="2071"/>
      <c r="CW177" s="164"/>
      <c r="CX177" s="164"/>
      <c r="CY177" s="164"/>
      <c r="CZ177" s="24"/>
      <c r="DA177" s="24"/>
      <c r="DB177" s="24"/>
      <c r="DC177" s="24"/>
      <c r="DD177" s="24"/>
      <c r="DE177" s="24"/>
      <c r="DF177" s="24"/>
      <c r="DG177" s="24"/>
      <c r="DH177" s="2108"/>
      <c r="DI177" s="1242"/>
      <c r="DJ177" s="2109"/>
      <c r="DK177" s="24"/>
      <c r="DL177" s="24"/>
      <c r="DM177" s="24"/>
      <c r="DN177" s="24"/>
      <c r="DO177" s="24"/>
      <c r="DP177" s="24"/>
      <c r="DQ177" s="24"/>
      <c r="DR177" s="24"/>
      <c r="DS177" s="24"/>
      <c r="DT177" s="24"/>
      <c r="DU177" s="24"/>
      <c r="DV177" s="24"/>
      <c r="DW177" s="24"/>
      <c r="DX177" s="266"/>
      <c r="DY177" s="24"/>
      <c r="DZ177" s="1981"/>
      <c r="EA177" s="24"/>
      <c r="EB177" s="24"/>
      <c r="EC177" s="24"/>
      <c r="ED177" s="24"/>
      <c r="EE177" s="24"/>
      <c r="EG177" s="24"/>
      <c r="EH177" s="24"/>
      <c r="EI177" s="24"/>
      <c r="EJ177" s="24"/>
    </row>
    <row r="178" spans="1:140" hidden="1" outlineLevel="1">
      <c r="A178" s="113" t="str">
        <f>qtrSales!A166</f>
        <v>1Q</v>
      </c>
      <c r="B178" s="24" t="str">
        <f>qtrSales!B166</f>
        <v>Apr</v>
      </c>
      <c r="C178" s="24"/>
      <c r="D178" s="24"/>
      <c r="E178" s="1982">
        <v>986.6</v>
      </c>
      <c r="F178" s="2385">
        <f>segmthSales!CN14</f>
        <v>19</v>
      </c>
      <c r="G178" s="1980">
        <f>+(E178/E171-1)*100</f>
        <v>19.140200458881786</v>
      </c>
      <c r="H178" s="1981">
        <f>+E178/$BI178*100</f>
        <v>44.501096966022921</v>
      </c>
      <c r="I178" s="1981"/>
      <c r="J178" s="1981"/>
      <c r="K178" s="1982">
        <v>368.9</v>
      </c>
      <c r="L178" s="1980">
        <f>+(K178/K171-1)*100</f>
        <v>5.3398058252427161</v>
      </c>
      <c r="M178" s="1981">
        <f>+K178/BI178*100</f>
        <v>16.639422938136889</v>
      </c>
      <c r="Q178" s="24"/>
      <c r="R178" s="1982">
        <v>1355.4929999999999</v>
      </c>
      <c r="S178" s="1980">
        <f>+(R178/R171-1)*100</f>
        <v>15.033334804319276</v>
      </c>
      <c r="T178" s="1980"/>
      <c r="U178" s="1981">
        <f>+R178/$BI178*100</f>
        <v>61.14020416558413</v>
      </c>
      <c r="V178" s="24"/>
      <c r="W178" s="1982">
        <v>479.70400000000001</v>
      </c>
      <c r="X178" s="1982"/>
      <c r="Y178" s="1982"/>
      <c r="Z178" s="1982"/>
      <c r="AA178" s="2385">
        <f>segmthSales!CN37</f>
        <v>11</v>
      </c>
      <c r="AB178" s="2385"/>
      <c r="AC178" s="1980">
        <f>+(W178/W171-1)*100</f>
        <v>11.48129212177551</v>
      </c>
      <c r="AD178" s="1981">
        <f>+W178/$BI178*100</f>
        <v>21.637293958026618</v>
      </c>
      <c r="AE178" s="1981"/>
      <c r="AF178" s="1981"/>
      <c r="AG178" s="1981"/>
      <c r="AH178" s="1981"/>
      <c r="AI178" s="24"/>
      <c r="AJ178" s="24"/>
      <c r="AK178" s="2011">
        <f>0.75*2.1</f>
        <v>1.5750000000000002</v>
      </c>
      <c r="AL178" s="2094">
        <v>388.2</v>
      </c>
      <c r="AM178" s="2094"/>
      <c r="AN178" s="2094"/>
      <c r="AO178" s="2094">
        <v>111</v>
      </c>
      <c r="AP178" s="2094"/>
      <c r="AQ178" s="2088"/>
      <c r="AR178" s="381"/>
      <c r="AS178" s="24"/>
      <c r="AT178" s="1982"/>
      <c r="AU178" s="1982"/>
      <c r="AV178" s="1982"/>
      <c r="AW178" s="1982"/>
      <c r="AX178" s="1982"/>
      <c r="AY178" s="1982"/>
      <c r="AZ178" s="2041">
        <v>88.3</v>
      </c>
      <c r="BA178" s="1980">
        <v>3.3957845433255196</v>
      </c>
      <c r="BB178" s="1981">
        <v>3.9828166046014837</v>
      </c>
      <c r="BC178" s="1982">
        <v>293.55900000000003</v>
      </c>
      <c r="BD178" s="1980">
        <v>23.603789473684223</v>
      </c>
      <c r="BE178" s="1982">
        <v>381.82</v>
      </c>
      <c r="BF178" s="1980">
        <f>+(BE178/BE171-1)*100</f>
        <v>18.254093613436527</v>
      </c>
      <c r="BG178" s="1981">
        <f>+BE178/$BI178*100</f>
        <v>17.222186137813576</v>
      </c>
      <c r="BH178" s="24"/>
      <c r="BI178" s="381">
        <f>+E178+K178+W178+BE178</f>
        <v>2217.0239999999999</v>
      </c>
      <c r="BJ178" s="2385">
        <f>'qtrP&amp;L'!CR10</f>
        <v>15</v>
      </c>
      <c r="BK178" s="2889">
        <f>+(BI178/BI171-1)*100</f>
        <v>14.783629763896201</v>
      </c>
      <c r="BL178" s="381">
        <f>+E178+K178+W178+AT178+AY178</f>
        <v>1835.204</v>
      </c>
      <c r="BM178" s="1980">
        <f>+(BL178/BL164-1)*100</f>
        <v>26.857127057310937</v>
      </c>
      <c r="BN178" s="1981">
        <f>+BL178/$BW178*100</f>
        <v>78.562521324035885</v>
      </c>
      <c r="BO178" s="381">
        <f>+AL178+AM178+AN178+AO178+AU178</f>
        <v>499.2</v>
      </c>
      <c r="BP178" s="1980">
        <f>+(BO178/BO164-1)*100</f>
        <v>0</v>
      </c>
      <c r="BQ178" s="1981">
        <f>+BO178/$BW178*100</f>
        <v>21.370055124639393</v>
      </c>
      <c r="BR178" s="389"/>
      <c r="BS178" s="381">
        <f>+AK178+AV178+AW178+AX178</f>
        <v>1.5750000000000002</v>
      </c>
      <c r="BT178" s="1980"/>
      <c r="BU178" s="1981">
        <f>+BS178/$BW178*100</f>
        <v>6.7423551324733669E-2</v>
      </c>
      <c r="BV178" s="389"/>
      <c r="BW178" s="381">
        <f>+BL178+BO178+BS178</f>
        <v>2335.9789999999998</v>
      </c>
      <c r="BX178" s="1980">
        <f>+(BW178/BW164-1)*100</f>
        <v>19.950961387869736</v>
      </c>
      <c r="BY178" s="24"/>
      <c r="BZ178" s="390"/>
      <c r="CA178" s="1980"/>
      <c r="CB178" s="1981"/>
      <c r="CC178" s="390"/>
      <c r="CD178" s="1980"/>
      <c r="CE178" s="1981"/>
      <c r="CF178" s="389"/>
      <c r="CG178" s="390"/>
      <c r="CH178" s="1980"/>
      <c r="CI178" s="1981"/>
      <c r="CJ178" s="24"/>
      <c r="CK178" s="390"/>
      <c r="CL178" s="1980"/>
      <c r="CM178" s="1981"/>
      <c r="CN178" s="24"/>
      <c r="CO178" s="165"/>
      <c r="CP178" s="1980"/>
      <c r="CQ178" s="1981"/>
      <c r="CR178" s="1981"/>
      <c r="CS178" s="24"/>
      <c r="CT178" s="2023">
        <f>239.677+5.364</f>
        <v>245.041</v>
      </c>
      <c r="CU178" s="2028">
        <f>+(CT178/CT171-1)*100</f>
        <v>39.67384489107264</v>
      </c>
      <c r="CV178" s="1981">
        <f>+CT178/R178*100</f>
        <v>18.07762932010715</v>
      </c>
      <c r="CW178" s="2023"/>
      <c r="CX178" s="2023"/>
      <c r="CY178" s="2023"/>
      <c r="CZ178" s="168"/>
      <c r="DA178" s="2023">
        <v>54.222999999999999</v>
      </c>
      <c r="DB178" s="2028">
        <f>+(DA178/DA171-1)*100</f>
        <v>43.709416660040802</v>
      </c>
      <c r="DC178" s="1981">
        <f>+DA178/W178*100</f>
        <v>11.303428781081665</v>
      </c>
      <c r="DD178" s="1981"/>
      <c r="DE178" s="1981"/>
      <c r="DF178" s="1981"/>
      <c r="DG178" s="1981"/>
      <c r="DH178" s="2102">
        <f>+DJ178/100*AP178</f>
        <v>0</v>
      </c>
      <c r="DI178" s="2028"/>
      <c r="DJ178" s="2028"/>
      <c r="DK178" s="168"/>
      <c r="DL178" s="1691">
        <f>-5.364</f>
        <v>-5.3639999999999999</v>
      </c>
      <c r="DM178" s="2028">
        <f>+(DL178/DL171-1)*100</f>
        <v>-34.103194103194113</v>
      </c>
      <c r="DN178" s="1981">
        <f>+DL178/AZ178*100</f>
        <v>-6.0747451868629669</v>
      </c>
      <c r="DO178" s="168"/>
      <c r="DP178" s="1691">
        <f>-27.077</f>
        <v>-27.077000000000002</v>
      </c>
      <c r="DQ178" s="2028">
        <f>+(DP178/DP171-1)*100</f>
        <v>35.027177978357351</v>
      </c>
      <c r="DR178" s="1981">
        <f>+DP178/BC178*100</f>
        <v>-9.2236994948204618</v>
      </c>
      <c r="DS178" s="168"/>
      <c r="DT178" s="1691">
        <f>DL178+DP178</f>
        <v>-32.441000000000003</v>
      </c>
      <c r="DU178" s="2028">
        <f>+(DT178/DT171-1)*100</f>
        <v>15.067569964175508</v>
      </c>
      <c r="DV178" s="1981">
        <f>+DT178/BE178*100</f>
        <v>-8.4964119218479919</v>
      </c>
      <c r="DW178" s="168"/>
      <c r="DX178" s="2027">
        <f>'qtrP&amp;L'!CP60</f>
        <v>266.82299999999987</v>
      </c>
      <c r="DY178" s="2028">
        <f>+(DX178/DX171-1)*100</f>
        <v>44.247361819911646</v>
      </c>
      <c r="DZ178" s="1981">
        <f>(+DX178/BI178)*100</f>
        <v>12.035187711093785</v>
      </c>
      <c r="EA178" s="2005" t="str">
        <f>IF(ROUND(EB178,0)=ROUND(DX178,0)," ","no")</f>
        <v xml:space="preserve"> </v>
      </c>
      <c r="EB178" s="361">
        <f>DT178+DA178+CT178</f>
        <v>266.82299999999998</v>
      </c>
      <c r="EC178" s="24"/>
      <c r="ED178" s="24"/>
      <c r="EE178" s="24"/>
      <c r="EG178" s="2023">
        <v>190</v>
      </c>
      <c r="EH178" s="2037">
        <f>EG178/EG171-1</f>
        <v>0.30136986301369872</v>
      </c>
      <c r="EI178" s="1691">
        <f>+BI178-EG178</f>
        <v>2027.0239999999999</v>
      </c>
      <c r="EJ178" s="2037">
        <f>EI178/EI171-1</f>
        <v>0.13528175320823932</v>
      </c>
    </row>
    <row r="179" spans="1:140" hidden="1" outlineLevel="1">
      <c r="A179" s="113" t="str">
        <f>qtrSales!A167</f>
        <v>2Q</v>
      </c>
      <c r="B179" s="24" t="str">
        <f>qtrSales!B167</f>
        <v>Jul</v>
      </c>
      <c r="C179" s="24"/>
      <c r="D179" s="24"/>
      <c r="E179" s="307">
        <v>1063.5999999999999</v>
      </c>
      <c r="F179" s="2385">
        <f>segmthSales!CN19</f>
        <v>12</v>
      </c>
      <c r="G179" s="1980">
        <f>+(E179/E172-1)*100</f>
        <v>11.336752852507059</v>
      </c>
      <c r="H179" s="1981">
        <f>+E179/$BI179*100</f>
        <v>43.26834673908975</v>
      </c>
      <c r="I179" s="1981"/>
      <c r="J179" s="1981"/>
      <c r="K179" s="307">
        <v>392.9</v>
      </c>
      <c r="L179" s="1980">
        <f>+(K179/K172-1)*100</f>
        <v>0.48593350383632217</v>
      </c>
      <c r="M179" s="1981">
        <f>+K179/BI179*100</f>
        <v>15.983577880583265</v>
      </c>
      <c r="Q179" s="24"/>
      <c r="R179" s="388">
        <v>1456.4870000000001</v>
      </c>
      <c r="S179" s="1980">
        <f>+(R179/R172-1)*100</f>
        <v>8.1837885535850816</v>
      </c>
      <c r="T179" s="1980"/>
      <c r="U179" s="1981">
        <f>+R179/$BI179*100</f>
        <v>59.251395766243533</v>
      </c>
      <c r="V179" s="24"/>
      <c r="W179" s="307">
        <v>563.024</v>
      </c>
      <c r="X179" s="307"/>
      <c r="Y179" s="307"/>
      <c r="Z179" s="307"/>
      <c r="AA179" s="2385">
        <f>segmthSales!CN42</f>
        <v>4</v>
      </c>
      <c r="AB179" s="2385"/>
      <c r="AC179" s="1980">
        <f>+(W179/W172-1)*100</f>
        <v>4.9511336289734809</v>
      </c>
      <c r="AD179" s="1981">
        <f>+W179/$BI179*100</f>
        <v>22.904397945119658</v>
      </c>
      <c r="AE179" s="1981"/>
      <c r="AF179" s="1981"/>
      <c r="AG179" s="1981"/>
      <c r="AH179" s="1981"/>
      <c r="AI179" s="24"/>
      <c r="AJ179" s="24"/>
      <c r="AK179" s="388"/>
      <c r="AL179" s="2094">
        <v>270.8</v>
      </c>
      <c r="AM179" s="2094"/>
      <c r="AN179" s="2094"/>
      <c r="AO179" s="2094">
        <v>99.5</v>
      </c>
      <c r="AP179" s="2094"/>
      <c r="AQ179" s="2088"/>
      <c r="AR179" s="381"/>
      <c r="AS179" s="24"/>
      <c r="AT179" s="388"/>
      <c r="AU179" s="388"/>
      <c r="AV179" s="388"/>
      <c r="AW179" s="388"/>
      <c r="AX179" s="388"/>
      <c r="AY179" s="388"/>
      <c r="AZ179" s="2025">
        <v>114.2</v>
      </c>
      <c r="BA179" s="1980">
        <v>12.180746561886057</v>
      </c>
      <c r="BB179" s="1981">
        <v>4.6457739729259586</v>
      </c>
      <c r="BC179" s="388">
        <v>324.37200000000001</v>
      </c>
      <c r="BD179" s="1980">
        <v>25.761652567015346</v>
      </c>
      <c r="BE179" s="388">
        <v>438.62400000000002</v>
      </c>
      <c r="BF179" s="1980">
        <f>+(BE179/BE172-1)*100</f>
        <v>21.928398088614266</v>
      </c>
      <c r="BG179" s="1981">
        <f>+BE179/$BI179*100</f>
        <v>17.843677435207319</v>
      </c>
      <c r="BH179" s="24"/>
      <c r="BI179" s="266">
        <f>+E179+K179+W179+BE179</f>
        <v>2458.1480000000001</v>
      </c>
      <c r="BJ179" s="2385">
        <f>'qtrP&amp;L'!CR11</f>
        <v>9</v>
      </c>
      <c r="BK179" s="2889">
        <f>+(BI179/BI172-1)*100</f>
        <v>9.6163124938127176</v>
      </c>
      <c r="BL179" s="266">
        <f>+E179+K179+W179+AT179+AY179</f>
        <v>2019.5239999999999</v>
      </c>
      <c r="BM179" s="1980">
        <f>+(BL179/BL165-1)*100</f>
        <v>16.69205220715526</v>
      </c>
      <c r="BN179" s="1981">
        <f>+BL179/$BW179*100</f>
        <v>84.505135106183545</v>
      </c>
      <c r="BO179" s="266">
        <f>+AL179+AM179+AN179+AO179+AU179</f>
        <v>370.3</v>
      </c>
      <c r="BP179" s="1980">
        <f>+(BO179/BO165-1)*100</f>
        <v>0</v>
      </c>
      <c r="BQ179" s="1981">
        <f>+BO179/$BW179*100</f>
        <v>15.494864893816448</v>
      </c>
      <c r="BR179" s="389"/>
      <c r="BS179" s="266">
        <f>+AK179+AV179+AW179+AX179</f>
        <v>0</v>
      </c>
      <c r="BT179" s="1980"/>
      <c r="BU179" s="1981">
        <f>+BS179/$BW179*100</f>
        <v>0</v>
      </c>
      <c r="BV179" s="389"/>
      <c r="BW179" s="266">
        <f>+BL179+BO179+BS179</f>
        <v>2389.8240000000001</v>
      </c>
      <c r="BX179" s="1980">
        <f>+(BW179/BW165-1)*100</f>
        <v>13.75000951953027</v>
      </c>
      <c r="BY179" s="24"/>
      <c r="BZ179" s="389"/>
      <c r="CA179" s="1980"/>
      <c r="CB179" s="1981"/>
      <c r="CC179" s="389"/>
      <c r="CD179" s="1980"/>
      <c r="CE179" s="1981"/>
      <c r="CF179" s="389"/>
      <c r="CG179" s="389"/>
      <c r="CH179" s="1980"/>
      <c r="CI179" s="1981"/>
      <c r="CJ179" s="389"/>
      <c r="CK179" s="389"/>
      <c r="CL179" s="1980"/>
      <c r="CM179" s="1981"/>
      <c r="CN179" s="389"/>
      <c r="CO179" s="266"/>
      <c r="CP179" s="1980"/>
      <c r="CQ179" s="1981"/>
      <c r="CR179" s="1981"/>
      <c r="CS179" s="24"/>
      <c r="CT179" s="1991">
        <f>239.035-0.519</f>
        <v>238.51599999999999</v>
      </c>
      <c r="CU179" s="2028">
        <f>+(CT179/CT172-1)*100</f>
        <v>24.645163987541551</v>
      </c>
      <c r="CV179" s="1981">
        <f>+CT179/R179*100</f>
        <v>16.376115955720852</v>
      </c>
      <c r="CW179" s="1991"/>
      <c r="CX179" s="1991"/>
      <c r="CY179" s="1991"/>
      <c r="CZ179" s="168"/>
      <c r="DA179" s="2044">
        <v>70.102000000000004</v>
      </c>
      <c r="DB179" s="2028">
        <f>+(DA179/DA172-1)*100</f>
        <v>8.7982865922741293</v>
      </c>
      <c r="DC179" s="1981">
        <f>+DA179/W179*100</f>
        <v>12.450978999119043</v>
      </c>
      <c r="DD179" s="1981"/>
      <c r="DE179" s="1981"/>
      <c r="DF179" s="1981"/>
      <c r="DG179" s="1981"/>
      <c r="DH179" s="2104"/>
      <c r="DI179" s="2028"/>
      <c r="DJ179" s="2028"/>
      <c r="DK179" s="168"/>
      <c r="DL179" s="1417">
        <f>0.519</f>
        <v>0.51900000000000002</v>
      </c>
      <c r="DM179" s="2028">
        <f>+(DL179/DL172-1)*100</f>
        <v>69.607843137254918</v>
      </c>
      <c r="DN179" s="1981">
        <f>+DL179/AZ179*100</f>
        <v>0.45446584938704027</v>
      </c>
      <c r="DO179" s="168"/>
      <c r="DP179" s="1417">
        <v>-2.1760000000000002</v>
      </c>
      <c r="DQ179" s="2028">
        <f>+(DP179/DP172-1)*100</f>
        <v>-88.918877628965731</v>
      </c>
      <c r="DR179" s="1981">
        <f>+DP179/BC179*100</f>
        <v>-0.67083472062940086</v>
      </c>
      <c r="DS179" s="168"/>
      <c r="DT179" s="1417">
        <f>DL179+DP179</f>
        <v>-1.657</v>
      </c>
      <c r="DU179" s="2028">
        <f>+(DT179/DT172-1)*100</f>
        <v>-91.428275826392834</v>
      </c>
      <c r="DV179" s="1981">
        <f>+DT179/BE179*100</f>
        <v>-0.37777230612096008</v>
      </c>
      <c r="DW179" s="168"/>
      <c r="DX179" s="2027">
        <f>'qtrP&amp;L'!CP61</f>
        <v>306.96100000000013</v>
      </c>
      <c r="DY179" s="2028">
        <f>+(DX179/DX172-1)*100</f>
        <v>29.816837733710443</v>
      </c>
      <c r="DZ179" s="1981">
        <f>(+DX179/BI179)*100</f>
        <v>12.487490582340856</v>
      </c>
      <c r="EA179" s="2005" t="str">
        <f>IF(ROUND(EB179,0)=ROUND(DX179,0)," ","no")</f>
        <v xml:space="preserve"> </v>
      </c>
      <c r="EB179" s="361">
        <f>DT179+DA179+CT179</f>
        <v>306.96100000000001</v>
      </c>
      <c r="EC179" s="24"/>
      <c r="ED179" s="24"/>
      <c r="EE179" s="24"/>
      <c r="EG179" s="2044">
        <v>245</v>
      </c>
      <c r="EH179" s="2037">
        <f>EG179/EG172-1</f>
        <v>0.39999999999999991</v>
      </c>
      <c r="EI179" s="1417">
        <f>+BI179-EG179</f>
        <v>2213.1480000000001</v>
      </c>
      <c r="EJ179" s="2037">
        <f>EI179/EI172-1</f>
        <v>7.0445397392602471E-2</v>
      </c>
    </row>
    <row r="180" spans="1:140" hidden="1" outlineLevel="1">
      <c r="A180" s="113" t="str">
        <f>qtrSales!A168</f>
        <v>3Q</v>
      </c>
      <c r="B180" s="24" t="str">
        <f>qtrSales!B168</f>
        <v>Oct</v>
      </c>
      <c r="C180" s="24"/>
      <c r="D180" s="24"/>
      <c r="E180" s="307">
        <v>941.6</v>
      </c>
      <c r="F180" s="2385">
        <f>segmthSales!CN24</f>
        <v>13</v>
      </c>
      <c r="G180" s="1980">
        <f>+(E180/E173-1)*100</f>
        <v>11.82897862232779</v>
      </c>
      <c r="H180" s="1981">
        <f>+E180/$BI180*100</f>
        <v>43.322508840718008</v>
      </c>
      <c r="I180" s="1981"/>
      <c r="J180" s="1981"/>
      <c r="K180" s="307">
        <v>276.89999999999998</v>
      </c>
      <c r="L180" s="1980">
        <f>+(K180/K173-1)*100</f>
        <v>7.6175670423629827</v>
      </c>
      <c r="M180" s="1981">
        <f>+K180/BI180*100</f>
        <v>12.740019857683535</v>
      </c>
      <c r="Q180" s="24"/>
      <c r="R180" s="388">
        <v>1218.454</v>
      </c>
      <c r="S180" s="1980">
        <f>+(R180/R173-1)*100</f>
        <v>10.838171978943144</v>
      </c>
      <c r="T180" s="1980"/>
      <c r="U180" s="1981">
        <f>+R180/$BI180*100</f>
        <v>56.060412263177803</v>
      </c>
      <c r="V180" s="24"/>
      <c r="W180" s="307">
        <v>503.714</v>
      </c>
      <c r="X180" s="307"/>
      <c r="Y180" s="307"/>
      <c r="Z180" s="307"/>
      <c r="AA180" s="2385">
        <f>segmthSales!CN47</f>
        <v>9</v>
      </c>
      <c r="AB180" s="2385"/>
      <c r="AC180" s="1980">
        <f>+(W180/W173-1)*100</f>
        <v>7.7354789999721785</v>
      </c>
      <c r="AD180" s="1981">
        <f>+W180/$BI180*100</f>
        <v>23.175609832405936</v>
      </c>
      <c r="AE180" s="1981"/>
      <c r="AF180" s="1981"/>
      <c r="AG180" s="1981"/>
      <c r="AH180" s="1981"/>
      <c r="AI180" s="24"/>
      <c r="AJ180" s="24"/>
      <c r="AK180" s="388"/>
      <c r="AL180" s="2094">
        <f>segqtrSales!S750</f>
        <v>175</v>
      </c>
      <c r="AM180" s="2094"/>
      <c r="AN180" s="2094"/>
      <c r="AO180" s="2094">
        <f>segqtrSales!S849</f>
        <v>0</v>
      </c>
      <c r="AP180" s="2094"/>
      <c r="AQ180" s="2088"/>
      <c r="AR180" s="381"/>
      <c r="AS180" s="24"/>
      <c r="AT180" s="388"/>
      <c r="AU180" s="388"/>
      <c r="AV180" s="388"/>
      <c r="AW180" s="388"/>
      <c r="AX180" s="388"/>
      <c r="AY180" s="388"/>
      <c r="AZ180" s="2025">
        <v>92.9</v>
      </c>
      <c r="BA180" s="1980">
        <v>3.4521158129175999</v>
      </c>
      <c r="BB180" s="1981">
        <v>4.2742789627258952</v>
      </c>
      <c r="BC180" s="388">
        <v>358.34699999999998</v>
      </c>
      <c r="BD180" s="1980">
        <v>9.6697485241055148</v>
      </c>
      <c r="BE180" s="388">
        <v>451.25200000000001</v>
      </c>
      <c r="BF180" s="1980">
        <f>+(BE180/BE173-1)*100</f>
        <v>8.3396556194720084</v>
      </c>
      <c r="BG180" s="1981">
        <f>+BE180/$BI180*100</f>
        <v>20.761861469192528</v>
      </c>
      <c r="BH180" s="24"/>
      <c r="BI180" s="266">
        <f>+E180+K180+W180+BE180</f>
        <v>2173.4659999999999</v>
      </c>
      <c r="BJ180" s="2385">
        <f>'qtrP&amp;L'!CR12</f>
        <v>9</v>
      </c>
      <c r="BK180" s="2889">
        <f>+(BI180/BI173-1)*100</f>
        <v>9.5848818395825486</v>
      </c>
      <c r="BL180" s="266">
        <f>+E180+K180+W180+AT180+AY180</f>
        <v>1722.2139999999999</v>
      </c>
      <c r="BM180" s="1980">
        <f>+(BL180/BL166-1)*100</f>
        <v>21.476525215590492</v>
      </c>
      <c r="BN180" s="1981">
        <f>+BL180/$BW180*100</f>
        <v>90.775948311576869</v>
      </c>
      <c r="BO180" s="266">
        <f>+AL180+AM180+AN180+AO180+AU180</f>
        <v>175</v>
      </c>
      <c r="BP180" s="1980">
        <f>+(BO180/BO166-1)*100</f>
        <v>-8.3769633507853385</v>
      </c>
      <c r="BQ180" s="1981">
        <f>+BO180/$BW180*100</f>
        <v>9.2240516884231312</v>
      </c>
      <c r="BR180" s="24"/>
      <c r="BS180" s="266">
        <f>+AK180+AV180+AW180+AX180</f>
        <v>0</v>
      </c>
      <c r="BT180" s="1980"/>
      <c r="BU180" s="1981">
        <f>+BS180/$BW180*100</f>
        <v>0</v>
      </c>
      <c r="BV180" s="24"/>
      <c r="BW180" s="266">
        <f>+BL180+BO180+BS180</f>
        <v>1897.2139999999999</v>
      </c>
      <c r="BX180" s="1980">
        <f>+(BW180/BW166-1)*100</f>
        <v>17.932113077736901</v>
      </c>
      <c r="BY180" s="24"/>
      <c r="BZ180" s="389"/>
      <c r="CA180" s="1980"/>
      <c r="CB180" s="1981"/>
      <c r="CC180" s="389"/>
      <c r="CD180" s="1980"/>
      <c r="CE180" s="1981"/>
      <c r="CF180" s="24"/>
      <c r="CG180" s="389"/>
      <c r="CH180" s="1980"/>
      <c r="CI180" s="1981"/>
      <c r="CJ180" s="24"/>
      <c r="CK180" s="389"/>
      <c r="CL180" s="1980"/>
      <c r="CM180" s="1981"/>
      <c r="CN180" s="24"/>
      <c r="CO180" s="266"/>
      <c r="CP180" s="1980"/>
      <c r="CQ180" s="1981"/>
      <c r="CR180" s="1981"/>
      <c r="CS180" s="24"/>
      <c r="CT180" s="1991">
        <f>148.775+1.682</f>
        <v>150.45699999999999</v>
      </c>
      <c r="CU180" s="2028">
        <f>+(CT180/CT173-1)*100</f>
        <v>21.437161513192414</v>
      </c>
      <c r="CV180" s="1981">
        <f>+CT180/R180*100</f>
        <v>12.348188770359817</v>
      </c>
      <c r="CW180" s="1991"/>
      <c r="CX180" s="1991"/>
      <c r="CY180" s="1991"/>
      <c r="CZ180" s="168"/>
      <c r="DA180" s="2044">
        <v>40.603999999999999</v>
      </c>
      <c r="DB180" s="2028">
        <f>+(DA180/DA173-1)*100</f>
        <v>28.185376941533026</v>
      </c>
      <c r="DC180" s="1981">
        <f>+DA180/W180*100</f>
        <v>8.060923460535145</v>
      </c>
      <c r="DD180" s="1981"/>
      <c r="DE180" s="1981"/>
      <c r="DF180" s="1981"/>
      <c r="DG180" s="1981"/>
      <c r="DH180" s="2104">
        <f>+DJ180/100*AP180</f>
        <v>0</v>
      </c>
      <c r="DI180" s="2028"/>
      <c r="DJ180" s="2028"/>
      <c r="DK180" s="168"/>
      <c r="DL180" s="1417">
        <f>-1.682</f>
        <v>-1.6819999999999999</v>
      </c>
      <c r="DM180" s="2028">
        <f>+(DL180/DL173-1)*100</f>
        <v>130.09575923392612</v>
      </c>
      <c r="DN180" s="1981">
        <f>+DL180/AZ180*100</f>
        <v>-1.8105489773950483</v>
      </c>
      <c r="DO180" s="168"/>
      <c r="DP180" s="1417">
        <v>-3.2770000000000001</v>
      </c>
      <c r="DQ180" s="2028">
        <f>+(DP180/DP173-1)*100</f>
        <v>-42.949164345403887</v>
      </c>
      <c r="DR180" s="1981">
        <f>+DP180/BC180*100</f>
        <v>-0.9144767501890626</v>
      </c>
      <c r="DS180" s="168"/>
      <c r="DT180" s="1417">
        <f>DL180+DP180</f>
        <v>-4.9589999999999996</v>
      </c>
      <c r="DU180" s="2028">
        <f>+(DT180/DT173-1)*100</f>
        <v>-23.413127413127409</v>
      </c>
      <c r="DV180" s="1981">
        <f>+DT180/BE180*100</f>
        <v>-1.0989424977617825</v>
      </c>
      <c r="DW180" s="168"/>
      <c r="DX180" s="2027">
        <f>'qtrP&amp;L'!CP62</f>
        <v>186.10200000000009</v>
      </c>
      <c r="DY180" s="2028">
        <f>+(DX180/DX173-1)*100</f>
        <v>24.818575701887259</v>
      </c>
      <c r="DZ180" s="1981">
        <f>(+DX180/BI180)*100</f>
        <v>8.5624527827902579</v>
      </c>
      <c r="EA180" s="2005" t="str">
        <f>IF(ROUND(EB180,0)=ROUND(DX180,0)," ","no")</f>
        <v xml:space="preserve"> </v>
      </c>
      <c r="EB180" s="361">
        <f>DT180+DA180+CT180</f>
        <v>186.10199999999998</v>
      </c>
      <c r="EC180" s="2051"/>
      <c r="ED180" s="24"/>
      <c r="EE180" s="24"/>
      <c r="EG180" s="1417"/>
      <c r="EH180" s="2037"/>
      <c r="EI180" s="1417"/>
      <c r="EJ180" s="2037"/>
    </row>
    <row r="181" spans="1:140" hidden="1" outlineLevel="1">
      <c r="A181" s="113" t="str">
        <f>qtrSales!A169</f>
        <v>4Q</v>
      </c>
      <c r="B181" s="24" t="str">
        <f>qtrSales!B169</f>
        <v>Jan</v>
      </c>
      <c r="C181" s="24"/>
      <c r="D181" s="24"/>
      <c r="E181" s="302">
        <v>1572.2</v>
      </c>
      <c r="F181" s="2385">
        <f>segmthSales!CN29</f>
        <v>12</v>
      </c>
      <c r="G181" s="1980">
        <f>+(E181/E174-1)*100</f>
        <v>12.864321608040207</v>
      </c>
      <c r="H181" s="1981">
        <f>+E181/$BI181*100</f>
        <v>44.722530859456569</v>
      </c>
      <c r="I181" s="1981"/>
      <c r="J181" s="1981"/>
      <c r="K181" s="302">
        <v>518.75</v>
      </c>
      <c r="L181" s="1980">
        <f>+(K181/K174-1)*100</f>
        <v>3.0083399523431309</v>
      </c>
      <c r="M181" s="1981">
        <f>+K181/BI181*100</f>
        <v>14.756273300688902</v>
      </c>
      <c r="Q181" s="24"/>
      <c r="R181" s="306">
        <v>2090.9560000000001</v>
      </c>
      <c r="S181" s="1980">
        <f>+(R181/R174-1)*100</f>
        <v>10.267542848886002</v>
      </c>
      <c r="T181" s="1980"/>
      <c r="U181" s="1981">
        <f>+R181/$BI181*100</f>
        <v>59.47897483511376</v>
      </c>
      <c r="V181" s="24"/>
      <c r="W181" s="302">
        <v>1127.9000000000001</v>
      </c>
      <c r="X181" s="307"/>
      <c r="Y181" s="307"/>
      <c r="Z181" s="307"/>
      <c r="AA181" s="2385">
        <f>segmthSales!CN52</f>
        <v>3</v>
      </c>
      <c r="AB181" s="2385"/>
      <c r="AC181" s="1980">
        <f>+(W181/W174-1)*100</f>
        <v>4.3466837386068935</v>
      </c>
      <c r="AD181" s="1981">
        <f>+W181/$BI181*100</f>
        <v>32.084049457054483</v>
      </c>
      <c r="AE181" s="1981"/>
      <c r="AF181" s="1981"/>
      <c r="AG181" s="1981"/>
      <c r="AH181" s="1981"/>
      <c r="AI181" s="24"/>
      <c r="AJ181" s="24"/>
      <c r="AK181" s="388"/>
      <c r="AL181" s="2095">
        <f>segqtrSales!S751</f>
        <v>177</v>
      </c>
      <c r="AM181" s="2095"/>
      <c r="AN181" s="2095"/>
      <c r="AO181" s="2095">
        <f>segqtrSales!S850</f>
        <v>0</v>
      </c>
      <c r="AP181" s="2100"/>
      <c r="AQ181" s="2088"/>
      <c r="AR181" s="381"/>
      <c r="AS181" s="24"/>
      <c r="AT181" s="388"/>
      <c r="AU181" s="388"/>
      <c r="AV181" s="388"/>
      <c r="AW181" s="388"/>
      <c r="AX181" s="388"/>
      <c r="AY181" s="388"/>
      <c r="AZ181" s="418">
        <v>119.4</v>
      </c>
      <c r="BA181" s="1980">
        <v>-1.4851485148514865</v>
      </c>
      <c r="BB181" s="1981">
        <v>3.3964318691127806</v>
      </c>
      <c r="BC181" s="302">
        <v>177.1</v>
      </c>
      <c r="BD181" s="1980">
        <v>-50.453361533791586</v>
      </c>
      <c r="BE181" s="302">
        <v>296.60399999999998</v>
      </c>
      <c r="BF181" s="1980">
        <f>+(BE181/BE174-1)*100</f>
        <v>-38.037878692921879</v>
      </c>
      <c r="BG181" s="1981">
        <f>+BE181/$BI181*100</f>
        <v>8.4371463828000586</v>
      </c>
      <c r="BH181" s="24"/>
      <c r="BI181" s="1022">
        <f>+E181+K181+W181+BE181</f>
        <v>3515.4539999999997</v>
      </c>
      <c r="BJ181" s="2385">
        <f>'qtrP&amp;L'!CR13</f>
        <v>7.1</v>
      </c>
      <c r="BK181" s="2889">
        <f>+(BI181/BI174-1)*100</f>
        <v>1.7143673894060685</v>
      </c>
      <c r="BL181" s="1022">
        <f>+E181+K181+W181+AT181+AY181</f>
        <v>3218.85</v>
      </c>
      <c r="BM181" s="1980">
        <f>+(BL181/BL167-1)*100</f>
        <v>20.527514991752895</v>
      </c>
      <c r="BN181" s="1981">
        <f>+BL181/$BW181*100</f>
        <v>94.787755642917091</v>
      </c>
      <c r="BO181" s="1022">
        <f>+AL181+AM181+AN181+AO181+AU181</f>
        <v>177</v>
      </c>
      <c r="BP181" s="1980">
        <f>+(BO181/BO167-1)*100</f>
        <v>-17.289719626168221</v>
      </c>
      <c r="BQ181" s="1981">
        <f>+BO181/$BW181*100</f>
        <v>5.21224435708291</v>
      </c>
      <c r="BR181" s="24"/>
      <c r="BS181" s="1022">
        <f>+AK181+AV181+AW181+AX181</f>
        <v>0</v>
      </c>
      <c r="BT181" s="1980"/>
      <c r="BU181" s="1981">
        <f>+BS181/$BW181*100</f>
        <v>0</v>
      </c>
      <c r="BV181" s="24"/>
      <c r="BW181" s="1022">
        <f>+BL181+BO181+BS181</f>
        <v>3395.85</v>
      </c>
      <c r="BX181" s="1980">
        <f>+(BW181/BW167-1)*100</f>
        <v>17.721999490403451</v>
      </c>
      <c r="BY181" s="24"/>
      <c r="BZ181" s="306"/>
      <c r="CA181" s="1980"/>
      <c r="CB181" s="1981"/>
      <c r="CC181" s="306"/>
      <c r="CD181" s="1980"/>
      <c r="CE181" s="1981"/>
      <c r="CF181" s="24"/>
      <c r="CG181" s="306"/>
      <c r="CH181" s="1980"/>
      <c r="CI181" s="1981"/>
      <c r="CJ181" s="24"/>
      <c r="CK181" s="306"/>
      <c r="CL181" s="1980"/>
      <c r="CM181" s="1981"/>
      <c r="CN181" s="24"/>
      <c r="CO181" s="67"/>
      <c r="CP181" s="1980"/>
      <c r="CQ181" s="1981"/>
      <c r="CR181" s="1981"/>
      <c r="CS181" s="24"/>
      <c r="CT181" s="2096">
        <f>447.49-0.673</f>
        <v>446.81700000000001</v>
      </c>
      <c r="CU181" s="2028">
        <f>+(CT181/CT174-1)*100</f>
        <v>12.333316572807718</v>
      </c>
      <c r="CV181" s="1981">
        <f>+CT181/R181*100</f>
        <v>21.369029286125578</v>
      </c>
      <c r="CW181" s="1413"/>
      <c r="CX181" s="1413"/>
      <c r="CY181" s="1413"/>
      <c r="CZ181" s="168"/>
      <c r="DA181" s="2097">
        <v>348.084</v>
      </c>
      <c r="DB181" s="2028">
        <f>+(DA181/DA174-1)*100</f>
        <v>5.4752056724694409</v>
      </c>
      <c r="DC181" s="1981">
        <f>+DA181/W181*100</f>
        <v>30.861246564411736</v>
      </c>
      <c r="DD181" s="1981"/>
      <c r="DE181" s="1981"/>
      <c r="DF181" s="1981"/>
      <c r="DG181" s="1981"/>
      <c r="DH181" s="2105">
        <f>+DJ181/100*AP181</f>
        <v>0</v>
      </c>
      <c r="DI181" s="2028"/>
      <c r="DJ181" s="2028"/>
      <c r="DK181" s="168"/>
      <c r="DL181" s="2097">
        <f>0.673</f>
        <v>0.67300000000000004</v>
      </c>
      <c r="DM181" s="2028">
        <f>+(DL181/DL174-1)*100</f>
        <v>-122.86005434782609</v>
      </c>
      <c r="DN181" s="1981">
        <f>+DL181/AZ181*100</f>
        <v>0.56365159128978226</v>
      </c>
      <c r="DO181" s="168"/>
      <c r="DP181" s="2097">
        <v>-9.0359999999999996</v>
      </c>
      <c r="DQ181" s="2028">
        <f>+(DP181/DP174-1)*100</f>
        <v>-20.240091799805814</v>
      </c>
      <c r="DR181" s="1981">
        <f>+DP181/BC181*100</f>
        <v>-5.1022021456804065</v>
      </c>
      <c r="DS181" s="168"/>
      <c r="DT181" s="2097">
        <f>DL181+DP181</f>
        <v>-8.3629999999999995</v>
      </c>
      <c r="DU181" s="2028">
        <f>+(DT181/DT174-1)*100</f>
        <v>-41.406852098367551</v>
      </c>
      <c r="DV181" s="1981">
        <f>+DT181/BE181*100</f>
        <v>-2.8195843616404361</v>
      </c>
      <c r="DW181" s="168"/>
      <c r="DX181" s="2152">
        <f>'qtrP&amp;L'!CP63</f>
        <v>786.53899999999987</v>
      </c>
      <c r="DY181" s="2028">
        <f>+(DX181/DX174-1)*100</f>
        <v>10.236411390577693</v>
      </c>
      <c r="DZ181" s="1981">
        <f>(+DX181/BI181)*100</f>
        <v>22.373753148242017</v>
      </c>
      <c r="EA181" s="2005" t="str">
        <f>IF(ROUND(EB181,0)=ROUND(DX181,0)," ","no")</f>
        <v xml:space="preserve"> </v>
      </c>
      <c r="EB181" s="361">
        <f>DT181+DA181+CT181</f>
        <v>786.53800000000001</v>
      </c>
      <c r="EC181" s="24"/>
      <c r="ED181" s="24"/>
      <c r="EE181" s="24"/>
      <c r="EG181" s="1419"/>
      <c r="EH181" s="2028"/>
      <c r="EI181" s="1419"/>
      <c r="EJ181" s="2028"/>
    </row>
    <row r="182" spans="1:140" hidden="1" outlineLevel="1">
      <c r="A182" s="113"/>
      <c r="B182" s="24" t="str">
        <f>qtrSales!B170</f>
        <v>Year</v>
      </c>
      <c r="C182" s="24"/>
      <c r="D182" s="24"/>
      <c r="E182" s="266">
        <f>+SUM(E178:E181)</f>
        <v>4564</v>
      </c>
      <c r="F182" s="2385">
        <f>segmthSales!CN30</f>
        <v>14</v>
      </c>
      <c r="G182" s="1980">
        <f>+(E182/E175-1)*100</f>
        <v>13.577543300816242</v>
      </c>
      <c r="H182" s="1981">
        <f>+E182/$BI182*100</f>
        <v>44.036660423315425</v>
      </c>
      <c r="I182" s="1981"/>
      <c r="J182" s="1981"/>
      <c r="K182" s="266">
        <f>+SUM(K178:K181)</f>
        <v>1557.4499999999998</v>
      </c>
      <c r="L182" s="1980">
        <f>+(K182/K175-1)*100</f>
        <v>3.6848412222887816</v>
      </c>
      <c r="M182" s="1981">
        <f>+K182/$BI182*100</f>
        <v>15.027365638977347</v>
      </c>
      <c r="Q182" s="24"/>
      <c r="R182" s="266">
        <f>+SUM(R178:R181)</f>
        <v>6121.39</v>
      </c>
      <c r="S182" s="1980">
        <f>+(R182/R175-1)*100</f>
        <v>10.890286658761195</v>
      </c>
      <c r="T182" s="1980"/>
      <c r="U182" s="1981">
        <f>+R182/$BI182*100</f>
        <v>59.06344714037661</v>
      </c>
      <c r="V182" s="24"/>
      <c r="W182" s="266">
        <f>+SUM(W178:W181)</f>
        <v>2674.3420000000001</v>
      </c>
      <c r="X182" s="266"/>
      <c r="Y182" s="266"/>
      <c r="Z182" s="266"/>
      <c r="AA182" s="2385">
        <f>segmthSales!CN53</f>
        <v>6</v>
      </c>
      <c r="AB182" s="2385"/>
      <c r="AC182" s="1980">
        <f>+(W182/W175-1)*100</f>
        <v>6.3261114508199379</v>
      </c>
      <c r="AD182" s="1981">
        <f>+W182/$BI182*100</f>
        <v>25.803919918889186</v>
      </c>
      <c r="AE182" s="1981"/>
      <c r="AF182" s="1981"/>
      <c r="AG182" s="1981"/>
      <c r="AH182" s="1981"/>
      <c r="AI182" s="24"/>
      <c r="AJ182" s="24"/>
      <c r="AK182" s="388"/>
      <c r="AL182" s="2098">
        <f>+SUM(AL178:AL181)</f>
        <v>1011</v>
      </c>
      <c r="AM182" s="2094"/>
      <c r="AN182" s="2094"/>
      <c r="AO182" s="2098">
        <f>+SUM(AO178:AO181)</f>
        <v>210.5</v>
      </c>
      <c r="AP182" s="2098"/>
      <c r="AQ182" s="2088"/>
      <c r="AR182" s="381"/>
      <c r="AS182" s="24"/>
      <c r="AT182" s="388"/>
      <c r="AU182" s="388"/>
      <c r="AV182" s="388"/>
      <c r="AW182" s="388"/>
      <c r="AX182" s="388"/>
      <c r="AY182" s="388"/>
      <c r="AZ182" s="2027">
        <v>414.8</v>
      </c>
      <c r="BA182" s="2022">
        <v>4.1687594173781983</v>
      </c>
      <c r="BB182" s="1981">
        <v>4.0022801804538215</v>
      </c>
      <c r="BC182" s="266">
        <v>1153.3779999999999</v>
      </c>
      <c r="BD182" s="1980">
        <v>-2.2244489317728267</v>
      </c>
      <c r="BE182" s="266">
        <f>+SUM(BE178:BE181)</f>
        <v>1568.3</v>
      </c>
      <c r="BF182" s="1980">
        <f>+(BE182/BE175-1)*100</f>
        <v>-0.60349012753022624</v>
      </c>
      <c r="BG182" s="1981">
        <f>+BE182/$BI182*100</f>
        <v>15.132054018818049</v>
      </c>
      <c r="BH182" s="24"/>
      <c r="BI182" s="266">
        <f>+E182+K182+W182+BE182</f>
        <v>10364.091999999999</v>
      </c>
      <c r="BJ182" s="2385">
        <f>'qtrP&amp;L'!CR14</f>
        <v>9.5188161934013529</v>
      </c>
      <c r="BK182" s="2889">
        <f>+(BI182/BI175-1)*100</f>
        <v>7.8071488278833145</v>
      </c>
      <c r="BL182" s="266">
        <f>+E182+K182+W182+AT182+AY182</f>
        <v>8795.7919999999995</v>
      </c>
      <c r="BM182" s="1980">
        <f>+(BL182/BL168-1)*100</f>
        <v>21.059396618322033</v>
      </c>
      <c r="BN182" s="1981">
        <f>+BL182/$BW182*100</f>
        <v>87.806085716578892</v>
      </c>
      <c r="BO182" s="266">
        <f>+AL182+AM182+AN182+AO182+AU182</f>
        <v>1221.5</v>
      </c>
      <c r="BP182" s="1980">
        <f>+(BO182/BO168-1)*100</f>
        <v>-4.1584935268732863</v>
      </c>
      <c r="BQ182" s="1981">
        <f>+BO182/$BW182*100</f>
        <v>12.193914283421108</v>
      </c>
      <c r="BR182" s="24"/>
      <c r="BS182" s="266">
        <f>+AK182+AV182+AW182+AX182</f>
        <v>0</v>
      </c>
      <c r="BT182" s="1980"/>
      <c r="BU182" s="1981">
        <f>+BS182/$BW182*100</f>
        <v>0</v>
      </c>
      <c r="BV182" s="24"/>
      <c r="BW182" s="266">
        <f>+BL182+BO182+BS182</f>
        <v>10017.291999999999</v>
      </c>
      <c r="BX182" s="1980">
        <f>+(BW182/BW168-1)*100</f>
        <v>17.295987685509772</v>
      </c>
      <c r="BY182" s="24"/>
      <c r="BZ182" s="389"/>
      <c r="CA182" s="1980"/>
      <c r="CB182" s="1981"/>
      <c r="CC182" s="389"/>
      <c r="CD182" s="1980"/>
      <c r="CE182" s="1981"/>
      <c r="CF182" s="24"/>
      <c r="CG182" s="389"/>
      <c r="CH182" s="1980"/>
      <c r="CI182" s="1981"/>
      <c r="CJ182" s="24"/>
      <c r="CK182" s="389"/>
      <c r="CL182" s="1980"/>
      <c r="CM182" s="1981"/>
      <c r="CN182" s="24"/>
      <c r="CO182" s="24"/>
      <c r="CP182" s="1980"/>
      <c r="CQ182" s="1981"/>
      <c r="CR182" s="1981"/>
      <c r="CS182" s="24"/>
      <c r="CT182" s="2027">
        <f>+SUM(CT178:CT181)</f>
        <v>1080.8310000000001</v>
      </c>
      <c r="CU182" s="2028">
        <f>+(CT182/CT175-1)*100</f>
        <v>21.653417014556808</v>
      </c>
      <c r="CV182" s="1981">
        <f>+CT182/R182*100</f>
        <v>17.656627007918139</v>
      </c>
      <c r="CW182" s="2027"/>
      <c r="CX182" s="2027"/>
      <c r="CY182" s="2027"/>
      <c r="CZ182" s="168"/>
      <c r="DA182" s="2027">
        <f>+SUM(DA178:DA181)</f>
        <v>513.01300000000003</v>
      </c>
      <c r="DB182" s="2028">
        <f>+(DA182/DA175-1)*100</f>
        <v>10.597708335579004</v>
      </c>
      <c r="DC182" s="1981">
        <f>+DA182/W182*100</f>
        <v>19.182774678780802</v>
      </c>
      <c r="DD182" s="1981"/>
      <c r="DE182" s="1981"/>
      <c r="DF182" s="1981"/>
      <c r="DG182" s="1981"/>
      <c r="DH182" s="2106">
        <f>+SUM(DH178:DH181)</f>
        <v>0</v>
      </c>
      <c r="DI182" s="2103"/>
      <c r="DJ182" s="2048"/>
      <c r="DK182" s="168"/>
      <c r="DL182" s="361">
        <f>+SUM(DL178:DL181)</f>
        <v>-5.8539999999999992</v>
      </c>
      <c r="DM182" s="2028">
        <f>+(DL182/DL175-1)*100</f>
        <v>-49.135459205838913</v>
      </c>
      <c r="DN182" s="1981">
        <f>+DL182/AZ182*100</f>
        <v>-1.4112825458052072</v>
      </c>
      <c r="DO182" s="168"/>
      <c r="DP182" s="361">
        <f>+SUM(DP178:DP181)</f>
        <v>-41.566000000000003</v>
      </c>
      <c r="DQ182" s="2028">
        <f>+(DP182/DP175-1)*100</f>
        <v>-26.77272166728326</v>
      </c>
      <c r="DR182" s="1981">
        <f>+DP182/BC182*100</f>
        <v>-3.6038488682808243</v>
      </c>
      <c r="DS182" s="168"/>
      <c r="DT182" s="361">
        <f>+SUM(DT178:DT181)</f>
        <v>-47.42</v>
      </c>
      <c r="DU182" s="2028">
        <f>+(DT182/DT175-1)*100</f>
        <v>-30.542535739395362</v>
      </c>
      <c r="DV182" s="1981">
        <f>+DT182/BE182*100</f>
        <v>-3.0236561882292934</v>
      </c>
      <c r="DW182" s="168"/>
      <c r="DX182" s="2027">
        <f>+SUM(DX178:DX181)</f>
        <v>1546.425</v>
      </c>
      <c r="DY182" s="2028">
        <f>+(DX182/DX175-1)*100</f>
        <v>20.434988820380706</v>
      </c>
      <c r="DZ182" s="1981">
        <f>(+DX182/BI182)*100</f>
        <v>14.920988736881149</v>
      </c>
      <c r="EA182" s="1981"/>
      <c r="EB182" s="168"/>
      <c r="EC182" s="24"/>
      <c r="ED182" s="24"/>
      <c r="EE182" s="24"/>
      <c r="EG182" s="361"/>
      <c r="EH182" s="2028"/>
      <c r="EI182" s="361"/>
      <c r="EJ182" s="2028"/>
    </row>
    <row r="183" spans="1:140" s="161" customFormat="1" ht="11.25" customHeight="1" collapsed="1">
      <c r="A183" s="224"/>
      <c r="B183" s="424"/>
      <c r="C183" s="424"/>
      <c r="D183" s="424"/>
      <c r="E183" s="2111"/>
      <c r="F183" s="2111"/>
      <c r="G183" s="2112"/>
      <c r="H183" s="2113"/>
      <c r="I183" s="2113"/>
      <c r="J183" s="2113"/>
      <c r="K183" s="2111"/>
      <c r="L183" s="2112"/>
      <c r="M183" s="2113"/>
      <c r="Q183" s="168"/>
      <c r="R183" s="2027"/>
      <c r="S183" s="2028"/>
      <c r="T183" s="2028"/>
      <c r="U183" s="1981"/>
      <c r="V183" s="168"/>
      <c r="W183" s="2027"/>
      <c r="X183" s="2027"/>
      <c r="Y183" s="2027"/>
      <c r="Z183" s="2027"/>
      <c r="AA183" s="2027"/>
      <c r="AB183" s="2027"/>
      <c r="AC183" s="2028"/>
      <c r="AD183" s="1981"/>
      <c r="AE183" s="1981"/>
      <c r="AF183" s="1981"/>
      <c r="AG183" s="1981"/>
      <c r="AH183" s="1981"/>
      <c r="AI183" s="168"/>
      <c r="AJ183" s="168"/>
      <c r="AK183" s="2025"/>
      <c r="AL183" s="2114"/>
      <c r="AM183" s="2115"/>
      <c r="AN183" s="2115"/>
      <c r="AO183" s="2114"/>
      <c r="AP183" s="2114"/>
      <c r="AQ183" s="2116"/>
      <c r="AR183" s="1691"/>
      <c r="AS183" s="168"/>
      <c r="AT183" s="2025"/>
      <c r="AU183" s="2025"/>
      <c r="AV183" s="2025"/>
      <c r="AW183" s="2025"/>
      <c r="AX183" s="2025"/>
      <c r="AY183" s="2025"/>
      <c r="AZ183" s="2027"/>
      <c r="BA183" s="2117"/>
      <c r="BB183" s="1981"/>
      <c r="BC183" s="2027"/>
      <c r="BD183" s="2028"/>
      <c r="BE183" s="2027"/>
      <c r="BF183" s="2028"/>
      <c r="BG183" s="1981"/>
      <c r="BH183" s="168"/>
      <c r="BI183" s="2027"/>
      <c r="BJ183" s="2027"/>
      <c r="BK183" s="2892"/>
      <c r="BL183" s="2027"/>
      <c r="BM183" s="2028"/>
      <c r="BN183" s="1981"/>
      <c r="BO183" s="2027"/>
      <c r="BP183" s="2028"/>
      <c r="BQ183" s="1981"/>
      <c r="BR183" s="168"/>
      <c r="BS183" s="2027"/>
      <c r="BT183" s="2028"/>
      <c r="BU183" s="1981"/>
      <c r="BV183" s="168"/>
      <c r="BW183" s="2027"/>
      <c r="BX183" s="2028"/>
      <c r="BY183" s="168"/>
      <c r="BZ183" s="1991"/>
      <c r="CA183" s="2028"/>
      <c r="CB183" s="1981"/>
      <c r="CC183" s="1991"/>
      <c r="CD183" s="2028"/>
      <c r="CE183" s="1981"/>
      <c r="CF183" s="168"/>
      <c r="CG183" s="1991"/>
      <c r="CH183" s="2028"/>
      <c r="CI183" s="1981"/>
      <c r="CJ183" s="168"/>
      <c r="CK183" s="1991"/>
      <c r="CL183" s="2028"/>
      <c r="CM183" s="1981"/>
      <c r="CN183" s="168"/>
      <c r="CO183" s="168"/>
      <c r="CP183" s="2028"/>
      <c r="CQ183" s="1981"/>
      <c r="CR183" s="1981"/>
      <c r="CS183" s="168"/>
      <c r="CT183" s="2027"/>
      <c r="CU183" s="2028"/>
      <c r="CV183" s="1981"/>
      <c r="CW183" s="2027"/>
      <c r="CX183" s="2027"/>
      <c r="CY183" s="2027"/>
      <c r="CZ183" s="168"/>
      <c r="DA183" s="2027"/>
      <c r="DB183" s="2028"/>
      <c r="DC183" s="1981"/>
      <c r="DD183" s="1981"/>
      <c r="DE183" s="1981"/>
      <c r="DF183" s="1981"/>
      <c r="DG183" s="1981"/>
      <c r="DH183" s="2106"/>
      <c r="DI183" s="2103"/>
      <c r="DJ183" s="2048"/>
      <c r="DK183" s="168"/>
      <c r="DL183" s="361"/>
      <c r="DM183" s="2028"/>
      <c r="DN183" s="1981"/>
      <c r="DO183" s="168"/>
      <c r="DP183" s="361"/>
      <c r="DQ183" s="2028"/>
      <c r="DR183" s="1981"/>
      <c r="DS183" s="168"/>
      <c r="DT183" s="361"/>
      <c r="DU183" s="2028"/>
      <c r="DV183" s="1981"/>
      <c r="DW183" s="168"/>
      <c r="DX183" s="2027"/>
      <c r="DY183" s="2028"/>
      <c r="DZ183" s="1981"/>
      <c r="EA183" s="1981"/>
      <c r="EB183" s="361"/>
      <c r="EC183" s="168"/>
      <c r="ED183" s="168"/>
      <c r="EE183" s="168"/>
      <c r="EG183" s="361"/>
      <c r="EH183" s="2028"/>
      <c r="EI183" s="361"/>
      <c r="EJ183" s="2028"/>
    </row>
    <row r="184" spans="1:140" s="624" customFormat="1" hidden="1" outlineLevel="1">
      <c r="A184" s="2118"/>
      <c r="B184" s="2119" t="s">
        <v>166</v>
      </c>
      <c r="C184" s="2119"/>
      <c r="D184" s="2119"/>
      <c r="E184" s="2120"/>
      <c r="F184" s="2120"/>
      <c r="G184" s="2121"/>
      <c r="H184" s="2122"/>
      <c r="I184" s="2122"/>
      <c r="J184" s="2122"/>
      <c r="K184" s="2120"/>
      <c r="L184" s="2121"/>
      <c r="M184" s="2122"/>
      <c r="Q184" s="1409"/>
      <c r="R184" s="2030"/>
      <c r="S184" s="2031"/>
      <c r="T184" s="2031"/>
      <c r="U184" s="2032"/>
      <c r="V184" s="1409"/>
      <c r="W184" s="2030"/>
      <c r="X184" s="2030"/>
      <c r="Y184" s="2030"/>
      <c r="Z184" s="2030"/>
      <c r="AA184" s="2030"/>
      <c r="AB184" s="2030"/>
      <c r="AC184" s="2031"/>
      <c r="AD184" s="2032"/>
      <c r="AE184" s="2032"/>
      <c r="AF184" s="2032"/>
      <c r="AG184" s="2032"/>
      <c r="AH184" s="2032"/>
      <c r="AI184" s="1409"/>
      <c r="AJ184" s="1409"/>
      <c r="AK184" s="2123"/>
      <c r="AL184" s="2124"/>
      <c r="AM184" s="2125"/>
      <c r="AN184" s="2125"/>
      <c r="AO184" s="2124"/>
      <c r="AP184" s="2124"/>
      <c r="AQ184" s="2126"/>
      <c r="AR184" s="2127"/>
      <c r="AS184" s="1409"/>
      <c r="AT184" s="2123"/>
      <c r="AU184" s="2123"/>
      <c r="AV184" s="2123"/>
      <c r="AW184" s="2123"/>
      <c r="AX184" s="2123"/>
      <c r="AY184" s="2123"/>
      <c r="AZ184" s="2030"/>
      <c r="BA184" s="2128"/>
      <c r="BB184" s="2032"/>
      <c r="BC184" s="2030"/>
      <c r="BD184" s="2031"/>
      <c r="BE184" s="2030"/>
      <c r="BF184" s="2031"/>
      <c r="BG184" s="2032"/>
      <c r="BH184" s="1409"/>
      <c r="BI184" s="2030"/>
      <c r="BJ184" s="2030"/>
      <c r="BK184" s="2893"/>
      <c r="BL184" s="2030"/>
      <c r="BM184" s="2031"/>
      <c r="BN184" s="2032"/>
      <c r="BO184" s="2030"/>
      <c r="BP184" s="2031"/>
      <c r="BQ184" s="2032"/>
      <c r="BR184" s="1409"/>
      <c r="BS184" s="2030"/>
      <c r="BT184" s="2031"/>
      <c r="BU184" s="2032"/>
      <c r="BV184" s="1409"/>
      <c r="BW184" s="2030"/>
      <c r="BX184" s="2031"/>
      <c r="BY184" s="1409"/>
      <c r="BZ184" s="2033"/>
      <c r="CA184" s="2031"/>
      <c r="CB184" s="2032"/>
      <c r="CC184" s="2033"/>
      <c r="CD184" s="2031"/>
      <c r="CE184" s="2032"/>
      <c r="CF184" s="1409"/>
      <c r="CG184" s="2033"/>
      <c r="CH184" s="2031"/>
      <c r="CI184" s="2032"/>
      <c r="CJ184" s="1409"/>
      <c r="CK184" s="2033"/>
      <c r="CL184" s="2031"/>
      <c r="CM184" s="2032"/>
      <c r="CN184" s="1409"/>
      <c r="CO184" s="1409"/>
      <c r="CP184" s="2031"/>
      <c r="CQ184" s="2032"/>
      <c r="CR184" s="2032"/>
      <c r="CS184" s="1409"/>
      <c r="CT184" s="2030"/>
      <c r="CU184" s="2031"/>
      <c r="CV184" s="2032"/>
      <c r="CW184" s="2030"/>
      <c r="CX184" s="2030"/>
      <c r="CY184" s="2030"/>
      <c r="CZ184" s="1409"/>
      <c r="DA184" s="2030"/>
      <c r="DB184" s="2031"/>
      <c r="DC184" s="2032"/>
      <c r="DD184" s="2032"/>
      <c r="DE184" s="2032"/>
      <c r="DF184" s="2032"/>
      <c r="DG184" s="2032"/>
      <c r="DH184" s="2129"/>
      <c r="DI184" s="2130"/>
      <c r="DJ184" s="2131"/>
      <c r="DK184" s="1409"/>
      <c r="DL184" s="2081"/>
      <c r="DM184" s="2031"/>
      <c r="DN184" s="2032"/>
      <c r="DO184" s="1409"/>
      <c r="DP184" s="2081"/>
      <c r="DQ184" s="2031"/>
      <c r="DR184" s="2032"/>
      <c r="DS184" s="1409"/>
      <c r="DT184" s="2081"/>
      <c r="DU184" s="2031"/>
      <c r="DV184" s="2032"/>
      <c r="DW184" s="1409"/>
      <c r="DX184" s="2030"/>
      <c r="DY184" s="2031"/>
      <c r="DZ184" s="2032"/>
      <c r="EA184" s="2032"/>
      <c r="EB184" s="2081"/>
      <c r="EC184" s="1409"/>
      <c r="ED184" s="1409"/>
      <c r="EE184" s="1409"/>
      <c r="EG184" s="2081"/>
      <c r="EH184" s="2031"/>
      <c r="EI184" s="2081"/>
      <c r="EJ184" s="2031"/>
    </row>
    <row r="185" spans="1:140" s="161" customFormat="1" hidden="1" outlineLevel="1">
      <c r="A185" s="113"/>
      <c r="B185" s="136" t="s">
        <v>201</v>
      </c>
      <c r="C185" s="24"/>
      <c r="D185" s="24"/>
      <c r="E185" s="428"/>
      <c r="F185" s="428"/>
      <c r="G185" s="1980"/>
      <c r="H185" s="1981"/>
      <c r="I185" s="1981"/>
      <c r="J185" s="1981"/>
      <c r="K185" s="24"/>
      <c r="L185" s="1980"/>
      <c r="M185" s="1981"/>
      <c r="N185" s="23"/>
      <c r="O185" s="23"/>
      <c r="P185" s="23"/>
      <c r="Q185" s="24"/>
      <c r="R185" s="428"/>
      <c r="S185" s="1980"/>
      <c r="T185" s="1980"/>
      <c r="U185" s="1981"/>
      <c r="V185" s="428"/>
      <c r="W185" s="428"/>
      <c r="X185" s="428"/>
      <c r="Y185" s="428"/>
      <c r="Z185" s="428"/>
      <c r="AA185" s="428"/>
      <c r="AB185" s="428"/>
      <c r="AC185" s="1980"/>
      <c r="AD185" s="1981"/>
      <c r="AE185" s="24"/>
      <c r="AF185" s="399"/>
      <c r="AG185" s="24"/>
      <c r="AH185" s="2088"/>
      <c r="AI185" s="2089"/>
      <c r="AJ185" s="2089"/>
      <c r="AK185" s="2088"/>
      <c r="AL185" s="2089"/>
      <c r="AM185" s="2088"/>
      <c r="AN185" s="2107"/>
      <c r="AO185" s="24"/>
      <c r="AP185" s="24"/>
      <c r="AQ185" s="24"/>
      <c r="AR185" s="24"/>
      <c r="AS185" s="24"/>
      <c r="AT185" s="24"/>
      <c r="AU185" s="24"/>
      <c r="AV185" s="428"/>
      <c r="AW185" s="1981"/>
      <c r="AX185" s="1981"/>
      <c r="AY185" s="381"/>
      <c r="AZ185" s="2070"/>
      <c r="BA185" s="381"/>
      <c r="BB185" s="2070"/>
      <c r="BC185" s="1981"/>
      <c r="BD185" s="24"/>
      <c r="BE185" s="24"/>
      <c r="BF185" s="1980"/>
      <c r="BG185" s="389"/>
      <c r="BH185" s="1988"/>
      <c r="BI185" s="1989"/>
      <c r="BJ185" s="1989"/>
      <c r="BK185" s="2894"/>
      <c r="BL185" s="389"/>
      <c r="BM185" s="389"/>
      <c r="BN185" s="389"/>
      <c r="BO185" s="389"/>
      <c r="BP185" s="389"/>
      <c r="BQ185" s="389"/>
      <c r="BR185" s="389"/>
      <c r="BS185" s="266"/>
      <c r="BT185" s="24"/>
      <c r="BU185" s="24"/>
      <c r="BV185" s="389"/>
      <c r="BW185" s="1988"/>
      <c r="BX185" s="1989"/>
      <c r="BY185" s="389"/>
      <c r="BZ185" s="389"/>
      <c r="CA185" s="389"/>
      <c r="CB185" s="389"/>
      <c r="CC185" s="389"/>
      <c r="CD185" s="389"/>
      <c r="CE185" s="389"/>
      <c r="CF185" s="389"/>
      <c r="CG185" s="389"/>
      <c r="CH185" s="389"/>
      <c r="CI185" s="389"/>
      <c r="CJ185" s="389"/>
      <c r="CK185" s="266"/>
      <c r="CL185" s="24"/>
      <c r="CM185" s="24"/>
      <c r="CN185" s="168"/>
      <c r="CO185" s="164"/>
      <c r="CP185" s="24"/>
      <c r="CQ185" s="2071"/>
      <c r="CR185" s="2071"/>
      <c r="CS185" s="24"/>
      <c r="CT185" s="24"/>
      <c r="CU185" s="24"/>
      <c r="CV185" s="24"/>
      <c r="CW185" s="24"/>
      <c r="CX185" s="24"/>
      <c r="CY185" s="24"/>
      <c r="CZ185" s="2108"/>
      <c r="DA185" s="1242"/>
      <c r="DB185" s="2109"/>
      <c r="DC185" s="24"/>
      <c r="DD185" s="24"/>
      <c r="DE185" s="24"/>
      <c r="DF185" s="24"/>
      <c r="DG185" s="24"/>
      <c r="DH185" s="24"/>
      <c r="DI185" s="24"/>
      <c r="DJ185" s="24"/>
      <c r="DK185" s="24"/>
      <c r="DL185" s="24"/>
      <c r="DM185" s="24"/>
      <c r="DN185" s="24"/>
      <c r="DO185" s="24"/>
      <c r="DP185" s="24"/>
      <c r="DQ185" s="24"/>
      <c r="DR185" s="24"/>
      <c r="DS185" s="266"/>
      <c r="DT185" s="24"/>
      <c r="DU185" s="1981"/>
      <c r="DV185" s="24"/>
      <c r="DW185" s="24"/>
      <c r="DX185" s="2027"/>
      <c r="DY185" s="2028"/>
      <c r="DZ185" s="1981"/>
      <c r="EA185" s="1981"/>
      <c r="EB185" s="361"/>
      <c r="EC185" s="168"/>
      <c r="ED185" s="168"/>
      <c r="EE185" s="168"/>
      <c r="EG185" s="361"/>
      <c r="EH185" s="2028"/>
      <c r="EI185" s="361"/>
      <c r="EJ185" s="2028"/>
    </row>
    <row r="186" spans="1:140" s="161" customFormat="1" hidden="1" outlineLevel="1">
      <c r="A186" s="113" t="s">
        <v>119</v>
      </c>
      <c r="B186" s="24" t="s">
        <v>830</v>
      </c>
      <c r="C186" s="24"/>
      <c r="D186" s="24"/>
      <c r="E186" s="2023">
        <f>R186-K186</f>
        <v>1087.7750000000001</v>
      </c>
      <c r="F186" s="2023"/>
      <c r="G186" s="1980">
        <v>10.257449827691056</v>
      </c>
      <c r="H186" s="1981">
        <v>50.505214647162248</v>
      </c>
      <c r="I186" s="1981"/>
      <c r="J186" s="1981"/>
      <c r="K186" s="1982">
        <v>382</v>
      </c>
      <c r="L186" s="1980">
        <v>3.5510978584982533</v>
      </c>
      <c r="M186" s="1981">
        <v>17.735789662820352</v>
      </c>
      <c r="N186" s="23"/>
      <c r="O186" s="23"/>
      <c r="P186" s="23"/>
      <c r="Q186" s="24"/>
      <c r="R186" s="321">
        <v>1469.7750000000001</v>
      </c>
      <c r="S186" s="1980">
        <v>8.432872762898814</v>
      </c>
      <c r="T186" s="1980"/>
      <c r="U186" s="1981">
        <v>68.2410043099826</v>
      </c>
      <c r="V186" s="24"/>
      <c r="W186" s="2023">
        <v>505.03699999999998</v>
      </c>
      <c r="X186" s="2023"/>
      <c r="Y186" s="2023"/>
      <c r="Z186" s="2023"/>
      <c r="AA186" s="2023"/>
      <c r="AB186" s="2023"/>
      <c r="AC186" s="1980">
        <v>5.2809649283724891</v>
      </c>
      <c r="AD186" s="1981">
        <v>23.448246083617281</v>
      </c>
      <c r="AE186" s="24"/>
      <c r="AF186" s="24"/>
      <c r="AG186" s="2011"/>
      <c r="AH186" s="2094"/>
      <c r="AI186" s="2094"/>
      <c r="AJ186" s="2094"/>
      <c r="AK186" s="2094"/>
      <c r="AL186" s="2094"/>
      <c r="AM186" s="2088"/>
      <c r="AN186" s="381"/>
      <c r="AO186" s="24"/>
      <c r="AP186" s="1982"/>
      <c r="AQ186" s="1982"/>
      <c r="AR186" s="1982"/>
      <c r="AS186" s="1982"/>
      <c r="AT186" s="1982"/>
      <c r="AU186" s="1982"/>
      <c r="AZ186" s="2041">
        <v>75.3</v>
      </c>
      <c r="BA186" s="1980">
        <v>-14.722536806342013</v>
      </c>
      <c r="BB186" s="1981">
        <v>3.4960862869381479</v>
      </c>
      <c r="BC186" s="1982">
        <v>103.7</v>
      </c>
      <c r="BD186" s="2028">
        <v>-64.674903511730179</v>
      </c>
      <c r="BE186" s="2023">
        <v>179</v>
      </c>
      <c r="BF186" s="1980">
        <v>-53.11927086061494</v>
      </c>
      <c r="BG186" s="1981">
        <v>8.3107496064001118</v>
      </c>
      <c r="BH186" s="24"/>
      <c r="BI186" s="1691">
        <v>2153.837</v>
      </c>
      <c r="BJ186" s="1691"/>
      <c r="BK186" s="2889">
        <v>-2.850081911607627</v>
      </c>
      <c r="BL186" s="381">
        <v>1974.837</v>
      </c>
      <c r="BM186" s="1980">
        <v>22.767437523312207</v>
      </c>
      <c r="BN186" s="1981">
        <v>100</v>
      </c>
      <c r="BO186" s="381">
        <v>0</v>
      </c>
      <c r="BP186" s="1980">
        <v>-100</v>
      </c>
      <c r="BQ186" s="1981">
        <v>0</v>
      </c>
      <c r="BR186" s="389"/>
      <c r="BS186" s="381">
        <v>0</v>
      </c>
      <c r="BT186" s="1980"/>
      <c r="BU186" s="1981">
        <v>0</v>
      </c>
      <c r="BV186" s="389"/>
      <c r="BW186" s="381">
        <v>1974.837</v>
      </c>
      <c r="BX186" s="1980">
        <v>-6.3780977777777581</v>
      </c>
      <c r="BY186" s="24"/>
      <c r="BZ186" s="390"/>
      <c r="CA186" s="1980"/>
      <c r="CB186" s="1981"/>
      <c r="CC186" s="390"/>
      <c r="CD186" s="1980"/>
      <c r="CE186" s="1981"/>
      <c r="CF186" s="389"/>
      <c r="CG186" s="390"/>
      <c r="CH186" s="1980"/>
      <c r="CI186" s="1981"/>
      <c r="CJ186" s="24"/>
      <c r="CK186" s="390"/>
      <c r="CL186" s="1980"/>
      <c r="CM186" s="1981"/>
      <c r="CN186" s="24"/>
      <c r="CO186" s="165"/>
      <c r="CP186" s="1980"/>
      <c r="CQ186" s="1981"/>
      <c r="CR186" s="1981"/>
      <c r="CS186" s="168"/>
      <c r="CT186" s="2023">
        <v>277.827</v>
      </c>
      <c r="CU186" s="2028">
        <v>13.379801747462672</v>
      </c>
      <c r="CV186" s="1981">
        <v>18.902367669070621</v>
      </c>
      <c r="CW186" s="2023"/>
      <c r="CX186" s="2023"/>
      <c r="CY186" s="2023"/>
      <c r="CZ186" s="168"/>
      <c r="DA186" s="2023">
        <v>60.167999999999999</v>
      </c>
      <c r="DB186" s="2028">
        <v>10.963982074027623</v>
      </c>
      <c r="DC186" s="1981">
        <v>11.913582569197899</v>
      </c>
      <c r="DD186" s="1981"/>
      <c r="DE186" s="1981"/>
      <c r="DF186" s="1981"/>
      <c r="DG186" s="2102">
        <v>0</v>
      </c>
      <c r="DH186" s="2028"/>
      <c r="DI186" s="2028"/>
      <c r="DJ186" s="168"/>
      <c r="DL186" s="2023">
        <v>-11.4</v>
      </c>
      <c r="DM186" s="2028">
        <v>112.52796420581657</v>
      </c>
      <c r="DN186" s="1981">
        <v>-15.139442231075698</v>
      </c>
      <c r="DO186" s="168"/>
      <c r="DP186" s="1691">
        <v>-33.368000000000002</v>
      </c>
      <c r="DQ186" s="2028">
        <v>23.233740813236324</v>
      </c>
      <c r="DR186" s="1981">
        <v>-32.177434908389586</v>
      </c>
      <c r="DS186" s="168"/>
      <c r="DT186" s="1691">
        <v>-44.768000000000001</v>
      </c>
      <c r="DU186" s="2028">
        <v>37.99821213895995</v>
      </c>
      <c r="DV186" s="1981">
        <v>-25.010055865921789</v>
      </c>
      <c r="DW186" s="168"/>
      <c r="DX186" s="381">
        <v>293.2270000000002</v>
      </c>
      <c r="DY186" s="2028">
        <v>9.8956986466685279</v>
      </c>
      <c r="DZ186" s="1981">
        <v>13.614168574502166</v>
      </c>
      <c r="EA186" s="2005" t="s">
        <v>533</v>
      </c>
      <c r="EB186" s="361">
        <v>293.22699999999998</v>
      </c>
      <c r="EC186" s="2027"/>
      <c r="ED186" s="2028"/>
      <c r="EE186" s="1981"/>
      <c r="EF186" s="1981"/>
      <c r="EG186" s="361"/>
    </row>
    <row r="187" spans="1:140" s="161" customFormat="1" hidden="1" outlineLevel="1">
      <c r="A187" s="113" t="s">
        <v>120</v>
      </c>
      <c r="B187" s="24" t="s">
        <v>653</v>
      </c>
      <c r="C187" s="24"/>
      <c r="D187" s="24"/>
      <c r="E187" s="366">
        <f>R187-K187</f>
        <v>1170.1460000000002</v>
      </c>
      <c r="F187" s="366"/>
      <c r="G187" s="1980">
        <v>10.013162843174129</v>
      </c>
      <c r="H187" s="1981">
        <v>48.772375020007459</v>
      </c>
      <c r="I187" s="1981"/>
      <c r="J187" s="1981"/>
      <c r="K187" s="366">
        <v>406.6</v>
      </c>
      <c r="L187" s="1980">
        <v>3.4868923390175777</v>
      </c>
      <c r="M187" s="1981">
        <v>16.947993917729285</v>
      </c>
      <c r="N187" s="23"/>
      <c r="O187" s="23"/>
      <c r="P187" s="23"/>
      <c r="Q187" s="24"/>
      <c r="R187" s="321">
        <v>1576.7460000000001</v>
      </c>
      <c r="S187" s="1980">
        <v>8.2536267059026169</v>
      </c>
      <c r="T187" s="1980"/>
      <c r="U187" s="1981">
        <v>65.720368937736737</v>
      </c>
      <c r="V187" s="24"/>
      <c r="W187" s="2025">
        <v>609.10400000000004</v>
      </c>
      <c r="X187" s="2025"/>
      <c r="Y187" s="2025"/>
      <c r="Z187" s="2025"/>
      <c r="AA187" s="2025"/>
      <c r="AB187" s="2025"/>
      <c r="AC187" s="1980">
        <v>8.1843757992554611</v>
      </c>
      <c r="AD187" s="1981">
        <v>25.388811823080616</v>
      </c>
      <c r="AE187" s="24"/>
      <c r="AF187" s="24"/>
      <c r="AG187" s="388"/>
      <c r="AH187" s="2094"/>
      <c r="AI187" s="2094"/>
      <c r="AJ187" s="2094"/>
      <c r="AK187" s="2094"/>
      <c r="AL187" s="2094"/>
      <c r="AM187" s="2088"/>
      <c r="AN187" s="381"/>
      <c r="AO187" s="24"/>
      <c r="AP187" s="388"/>
      <c r="AQ187" s="388"/>
      <c r="AR187" s="388"/>
      <c r="AS187" s="388"/>
      <c r="AT187" s="388"/>
      <c r="AU187" s="388"/>
      <c r="AZ187" s="2025">
        <v>94.9</v>
      </c>
      <c r="BA187" s="1980">
        <v>-16.900175131348504</v>
      </c>
      <c r="BB187" s="1981">
        <v>3.9556434402176808</v>
      </c>
      <c r="BC187" s="2025">
        <v>118.4</v>
      </c>
      <c r="BD187" s="2028">
        <v>-63.498699024576723</v>
      </c>
      <c r="BE187" s="2025">
        <v>213.3</v>
      </c>
      <c r="BF187" s="1980">
        <v>-51.370650032829943</v>
      </c>
      <c r="BG187" s="1981">
        <v>8.890819239182628</v>
      </c>
      <c r="BH187" s="24"/>
      <c r="BI187" s="266">
        <v>2399.1040000000003</v>
      </c>
      <c r="BJ187" s="266"/>
      <c r="BK187" s="2889">
        <v>-2.4019709146886115</v>
      </c>
      <c r="BL187" s="266">
        <v>2185.8040000000001</v>
      </c>
      <c r="BM187" s="1980">
        <v>16.095546810724471</v>
      </c>
      <c r="BN187" s="1981">
        <v>100</v>
      </c>
      <c r="BO187" s="266">
        <v>0</v>
      </c>
      <c r="BP187" s="1980">
        <v>-100</v>
      </c>
      <c r="BQ187" s="1981">
        <v>0</v>
      </c>
      <c r="BR187" s="389"/>
      <c r="BS187" s="266">
        <v>0</v>
      </c>
      <c r="BT187" s="1980"/>
      <c r="BU187" s="1981">
        <v>0</v>
      </c>
      <c r="BV187" s="389"/>
      <c r="BW187" s="266">
        <v>2185.8040000000001</v>
      </c>
      <c r="BX187" s="1980">
        <v>-2.9852250025853677</v>
      </c>
      <c r="BY187" s="24"/>
      <c r="BZ187" s="389"/>
      <c r="CA187" s="1980"/>
      <c r="CB187" s="1981"/>
      <c r="CC187" s="389"/>
      <c r="CD187" s="1980"/>
      <c r="CE187" s="1981"/>
      <c r="CF187" s="389"/>
      <c r="CG187" s="389"/>
      <c r="CH187" s="1980"/>
      <c r="CI187" s="1981"/>
      <c r="CJ187" s="389"/>
      <c r="CK187" s="389"/>
      <c r="CL187" s="1980"/>
      <c r="CM187" s="1981"/>
      <c r="CN187" s="389"/>
      <c r="CO187" s="266"/>
      <c r="CP187" s="1980"/>
      <c r="CQ187" s="1981"/>
      <c r="CR187" s="1981"/>
      <c r="CS187" s="168"/>
      <c r="CT187" s="1991">
        <v>256.57100000000003</v>
      </c>
      <c r="CU187" s="2028">
        <v>7.5697227858927851</v>
      </c>
      <c r="CV187" s="1981">
        <v>16.272658083338623</v>
      </c>
      <c r="CW187" s="1991"/>
      <c r="CX187" s="1991"/>
      <c r="CY187" s="1991"/>
      <c r="CZ187" s="168"/>
      <c r="DA187" s="2044">
        <v>87.893000000000001</v>
      </c>
      <c r="DB187" s="2028">
        <v>25.37873384496876</v>
      </c>
      <c r="DC187" s="1981">
        <v>14.429883895032702</v>
      </c>
      <c r="DD187" s="1981"/>
      <c r="DE187" s="1981"/>
      <c r="DF187" s="1981"/>
      <c r="DG187" s="2104"/>
      <c r="DH187" s="2028"/>
      <c r="DI187" s="2028"/>
      <c r="DJ187" s="168"/>
      <c r="DL187" s="1417">
        <v>-5</v>
      </c>
      <c r="DM187" s="2028">
        <v>-1063.3911368015413</v>
      </c>
      <c r="DN187" s="1981">
        <v>-5.2687038988408847</v>
      </c>
      <c r="DO187" s="168"/>
      <c r="DP187" s="1417">
        <v>-30.526000000000003</v>
      </c>
      <c r="DQ187" s="2028">
        <v>1302.8492647058824</v>
      </c>
      <c r="DR187" s="1981">
        <v>-25.782094594594597</v>
      </c>
      <c r="DS187" s="168"/>
      <c r="DT187" s="1417">
        <v>-35.526000000000003</v>
      </c>
      <c r="DU187" s="2028">
        <v>2043.9951719975863</v>
      </c>
      <c r="DV187" s="1981">
        <v>-16.655414908579466</v>
      </c>
      <c r="DW187" s="168"/>
      <c r="DX187" s="2027">
        <v>308.87900000000002</v>
      </c>
      <c r="DY187" s="2028">
        <v>0.62483507676867056</v>
      </c>
      <c r="DZ187" s="1981">
        <v>12.8747649122339</v>
      </c>
      <c r="EA187" s="2005" t="s">
        <v>533</v>
      </c>
      <c r="EB187" s="361">
        <v>308.93800000000005</v>
      </c>
      <c r="EC187" s="2027"/>
      <c r="ED187" s="2028"/>
      <c r="EE187" s="1981"/>
      <c r="EF187" s="1981"/>
      <c r="EG187" s="361"/>
    </row>
    <row r="188" spans="1:140" s="161" customFormat="1" hidden="1" outlineLevel="1">
      <c r="A188" s="113" t="s">
        <v>1018</v>
      </c>
      <c r="B188" s="24" t="s">
        <v>598</v>
      </c>
      <c r="C188" s="24"/>
      <c r="D188" s="24"/>
      <c r="E188" s="307">
        <f>R188-K188</f>
        <v>1009.2099999999999</v>
      </c>
      <c r="F188" s="307"/>
      <c r="G188" s="1980">
        <v>7.1792693288020404</v>
      </c>
      <c r="H188" s="1981">
        <v>49.224465905765285</v>
      </c>
      <c r="I188" s="1981"/>
      <c r="J188" s="1981"/>
      <c r="K188" s="307">
        <v>270.60000000000002</v>
      </c>
      <c r="L188" s="1980">
        <v>-2.2751895991332427</v>
      </c>
      <c r="M188" s="1981">
        <v>13.198712320749195</v>
      </c>
      <c r="N188" s="23"/>
      <c r="O188" s="23"/>
      <c r="P188" s="23"/>
      <c r="Q188" s="24"/>
      <c r="R188" s="321">
        <v>1279.81</v>
      </c>
      <c r="S188" s="1980">
        <v>5.0347407452394854</v>
      </c>
      <c r="T188" s="1980"/>
      <c r="U188" s="1981">
        <v>62.423178226514487</v>
      </c>
      <c r="V188" s="24"/>
      <c r="W188" s="388">
        <v>538.42700000000002</v>
      </c>
      <c r="X188" s="388"/>
      <c r="Y188" s="388"/>
      <c r="Z188" s="388"/>
      <c r="AA188" s="388"/>
      <c r="AB188" s="388"/>
      <c r="AC188" s="1980">
        <v>6.8860504174988124</v>
      </c>
      <c r="AD188" s="1981">
        <v>26.260852599746361</v>
      </c>
      <c r="AE188" s="24"/>
      <c r="AF188" s="24"/>
      <c r="AG188" s="388"/>
      <c r="AH188" s="2094"/>
      <c r="AI188" s="2094"/>
      <c r="AJ188" s="2094"/>
      <c r="AK188" s="2094"/>
      <c r="AL188" s="2094"/>
      <c r="AM188" s="2088"/>
      <c r="AN188" s="381"/>
      <c r="AO188" s="24"/>
      <c r="AP188" s="388"/>
      <c r="AQ188" s="388"/>
      <c r="AR188" s="388"/>
      <c r="AS188" s="388"/>
      <c r="AT188" s="388"/>
      <c r="AU188" s="388"/>
      <c r="AZ188" s="2025">
        <v>82.9</v>
      </c>
      <c r="BA188" s="1980">
        <v>-10.764262648008616</v>
      </c>
      <c r="BB188" s="1981">
        <v>4.0435079504438587</v>
      </c>
      <c r="BC188" s="2025">
        <v>149.1</v>
      </c>
      <c r="BD188" s="2028">
        <v>-58.392284573332553</v>
      </c>
      <c r="BE188" s="2025">
        <v>232</v>
      </c>
      <c r="BF188" s="1980">
        <v>-48.587485484828875</v>
      </c>
      <c r="BG188" s="1981">
        <v>11.315969173739147</v>
      </c>
      <c r="BH188" s="24"/>
      <c r="BI188" s="266">
        <v>2050.2000000000003</v>
      </c>
      <c r="BJ188" s="266"/>
      <c r="BK188" s="2889">
        <v>-5.6714022671622066</v>
      </c>
      <c r="BL188" s="266">
        <v>1818.2000000000003</v>
      </c>
      <c r="BM188" s="1980">
        <v>16.041961978419096</v>
      </c>
      <c r="BN188" s="1981">
        <v>100</v>
      </c>
      <c r="BO188" s="266">
        <v>0</v>
      </c>
      <c r="BP188" s="1980">
        <v>-100</v>
      </c>
      <c r="BQ188" s="1981">
        <v>0</v>
      </c>
      <c r="BR188" s="24"/>
      <c r="BS188" s="266">
        <v>0</v>
      </c>
      <c r="BT188" s="1980"/>
      <c r="BU188" s="1981">
        <v>0</v>
      </c>
      <c r="BV188" s="24"/>
      <c r="BW188" s="266">
        <v>1818.2000000000003</v>
      </c>
      <c r="BX188" s="1980">
        <v>2.6160836686237809</v>
      </c>
      <c r="BY188" s="24"/>
      <c r="BZ188" s="389"/>
      <c r="CA188" s="1980"/>
      <c r="CB188" s="1981"/>
      <c r="CC188" s="389"/>
      <c r="CD188" s="1980"/>
      <c r="CE188" s="1981"/>
      <c r="CF188" s="24"/>
      <c r="CG188" s="389"/>
      <c r="CH188" s="1980"/>
      <c r="CI188" s="1981"/>
      <c r="CJ188" s="24"/>
      <c r="CK188" s="389"/>
      <c r="CL188" s="1980"/>
      <c r="CM188" s="1981"/>
      <c r="CN188" s="24"/>
      <c r="CO188" s="266"/>
      <c r="CP188" s="1980"/>
      <c r="CQ188" s="1981"/>
      <c r="CR188" s="1981"/>
      <c r="CS188" s="168"/>
      <c r="CT188" s="1991">
        <v>157.95099999999999</v>
      </c>
      <c r="CU188" s="2028">
        <v>4.9808250862372727</v>
      </c>
      <c r="CV188" s="1981">
        <v>12.341850289107672</v>
      </c>
      <c r="CW188" s="1991"/>
      <c r="CX188" s="1991"/>
      <c r="CY188" s="1991"/>
      <c r="CZ188" s="168"/>
      <c r="DA188" s="2044">
        <v>57.725000000000001</v>
      </c>
      <c r="DB188" s="2028">
        <v>42.16579647325387</v>
      </c>
      <c r="DC188" s="1981">
        <v>10.721582466567609</v>
      </c>
      <c r="DD188" s="1981"/>
      <c r="DE188" s="1981"/>
      <c r="DF188" s="1981"/>
      <c r="DG188" s="2104">
        <v>0</v>
      </c>
      <c r="DH188" s="2028"/>
      <c r="DI188" s="2028"/>
      <c r="DJ188" s="168"/>
      <c r="DL188" s="1417">
        <v>-4</v>
      </c>
      <c r="DM188" s="2028">
        <v>137.81212841854935</v>
      </c>
      <c r="DN188" s="1981">
        <v>-4.8250904704463204</v>
      </c>
      <c r="DO188" s="168"/>
      <c r="DP188" s="1417">
        <v>-14.291</v>
      </c>
      <c r="DQ188" s="2028">
        <v>336.1000915471468</v>
      </c>
      <c r="DR188" s="1981">
        <v>-9.5848423876592896</v>
      </c>
      <c r="DS188" s="168"/>
      <c r="DT188" s="1417">
        <v>-18.291</v>
      </c>
      <c r="DU188" s="2028">
        <v>268.84452510586817</v>
      </c>
      <c r="DV188" s="1981">
        <v>-7.8840517241379322</v>
      </c>
      <c r="DW188" s="168"/>
      <c r="DX188" s="2027">
        <v>197.38499999999965</v>
      </c>
      <c r="DY188" s="2028">
        <v>6.0628042686266426</v>
      </c>
      <c r="DZ188" s="1981">
        <v>9.6275973075797303</v>
      </c>
      <c r="EA188" s="2005" t="s">
        <v>533</v>
      </c>
      <c r="EB188" s="361">
        <v>197.38499999999999</v>
      </c>
      <c r="EC188" s="2027"/>
      <c r="ED188" s="2028"/>
      <c r="EE188" s="1981"/>
      <c r="EF188" s="1981"/>
      <c r="EG188" s="361"/>
    </row>
    <row r="189" spans="1:140" s="161" customFormat="1" hidden="1" outlineLevel="1">
      <c r="A189" s="113" t="s">
        <v>1019</v>
      </c>
      <c r="B189" s="24" t="s">
        <v>601</v>
      </c>
      <c r="C189" s="24"/>
      <c r="D189" s="24"/>
      <c r="E189" s="302">
        <f>R189-K189</f>
        <v>1713.4409999999998</v>
      </c>
      <c r="F189" s="307"/>
      <c r="G189" s="1980">
        <v>8.9556036127719008</v>
      </c>
      <c r="H189" s="1981">
        <v>44.431187425429272</v>
      </c>
      <c r="I189" s="1981"/>
      <c r="J189" s="1981"/>
      <c r="K189" s="302">
        <v>534</v>
      </c>
      <c r="L189" s="1980">
        <v>2.9397590361445847</v>
      </c>
      <c r="M189" s="1981">
        <v>13.850702910203868</v>
      </c>
      <c r="N189" s="23"/>
      <c r="O189" s="23"/>
      <c r="P189" s="23"/>
      <c r="Q189" s="24"/>
      <c r="R189" s="306">
        <v>2247.4409999999998</v>
      </c>
      <c r="S189" s="1980">
        <v>7.4628064866022914</v>
      </c>
      <c r="T189" s="1980"/>
      <c r="U189" s="1981">
        <v>58.281890335633136</v>
      </c>
      <c r="V189" s="24"/>
      <c r="W189" s="302">
        <v>1249.6400000000001</v>
      </c>
      <c r="X189" s="307"/>
      <c r="Y189" s="307"/>
      <c r="Z189" s="307"/>
      <c r="AA189" s="307"/>
      <c r="AB189" s="307"/>
      <c r="AC189" s="1980">
        <v>10.825427786151254</v>
      </c>
      <c r="AD189" s="1981">
        <v>32.422057374072729</v>
      </c>
      <c r="AE189" s="24"/>
      <c r="AF189" s="24"/>
      <c r="AG189" s="388"/>
      <c r="AH189" s="2095"/>
      <c r="AI189" s="2095"/>
      <c r="AJ189" s="2095"/>
      <c r="AK189" s="2095"/>
      <c r="AL189" s="2100"/>
      <c r="AM189" s="2088"/>
      <c r="AN189" s="381"/>
      <c r="AO189" s="24"/>
      <c r="AP189" s="388"/>
      <c r="AQ189" s="388"/>
      <c r="AR189" s="388"/>
      <c r="AS189" s="388"/>
      <c r="AT189" s="388"/>
      <c r="AU189" s="388"/>
      <c r="AZ189" s="418">
        <v>102.4</v>
      </c>
      <c r="BA189" s="1980">
        <v>-14.237855946398659</v>
      </c>
      <c r="BB189" s="1981">
        <v>2.656014940084038</v>
      </c>
      <c r="BC189" s="302">
        <v>256</v>
      </c>
      <c r="BD189" s="2028">
        <v>44.551101072840218</v>
      </c>
      <c r="BE189" s="302">
        <v>358.4</v>
      </c>
      <c r="BF189" s="1980">
        <v>20.834513357877849</v>
      </c>
      <c r="BG189" s="1981">
        <v>9.2960522902941314</v>
      </c>
      <c r="BH189" s="24"/>
      <c r="BI189" s="1022">
        <v>3855.4</v>
      </c>
      <c r="BJ189" s="325"/>
      <c r="BK189" s="2889">
        <v>9.6700454621224008</v>
      </c>
      <c r="BL189" s="1022">
        <v>3497</v>
      </c>
      <c r="BM189" s="1980">
        <v>17.446891973040636</v>
      </c>
      <c r="BN189" s="1981">
        <v>100</v>
      </c>
      <c r="BO189" s="1022">
        <v>0</v>
      </c>
      <c r="BP189" s="1980">
        <v>-100</v>
      </c>
      <c r="BQ189" s="1981">
        <v>0</v>
      </c>
      <c r="BR189" s="24"/>
      <c r="BS189" s="1022">
        <v>0</v>
      </c>
      <c r="BT189" s="1980"/>
      <c r="BU189" s="1981">
        <v>0</v>
      </c>
      <c r="BV189" s="24"/>
      <c r="BW189" s="1022">
        <v>3497</v>
      </c>
      <c r="BX189" s="1980">
        <v>9.6748456021547469</v>
      </c>
      <c r="BY189" s="24"/>
      <c r="BZ189" s="306"/>
      <c r="CA189" s="1980"/>
      <c r="CB189" s="1981"/>
      <c r="CC189" s="306"/>
      <c r="CD189" s="1980"/>
      <c r="CE189" s="1981"/>
      <c r="CF189" s="24"/>
      <c r="CG189" s="306"/>
      <c r="CH189" s="1980"/>
      <c r="CI189" s="1981"/>
      <c r="CJ189" s="24"/>
      <c r="CK189" s="306"/>
      <c r="CL189" s="1980"/>
      <c r="CM189" s="1981"/>
      <c r="CN189" s="24"/>
      <c r="CO189" s="67"/>
      <c r="CP189" s="1980"/>
      <c r="CQ189" s="1981"/>
      <c r="CR189" s="1981"/>
      <c r="CS189" s="168"/>
      <c r="CT189" s="2096">
        <v>495.93400000000003</v>
      </c>
      <c r="CU189" s="2028">
        <v>10.992643520725487</v>
      </c>
      <c r="CV189" s="1981">
        <v>22.070939029817534</v>
      </c>
      <c r="CW189" s="1413"/>
      <c r="CX189" s="1413"/>
      <c r="CY189" s="1413"/>
      <c r="CZ189" s="168"/>
      <c r="DA189" s="2097">
        <v>398.52699999999999</v>
      </c>
      <c r="DB189" s="2028">
        <v>14.491616966019683</v>
      </c>
      <c r="DC189" s="1981">
        <v>31.882159999999999</v>
      </c>
      <c r="DD189" s="1981"/>
      <c r="DE189" s="1981"/>
      <c r="DF189" s="1981"/>
      <c r="DG189" s="2105">
        <v>0</v>
      </c>
      <c r="DH189" s="2028"/>
      <c r="DI189" s="2028"/>
      <c r="DJ189" s="168"/>
      <c r="DL189" s="1419">
        <v>-5</v>
      </c>
      <c r="DM189" s="2028">
        <v>-842.9420505200593</v>
      </c>
      <c r="DN189" s="1981">
        <v>-4.8828125</v>
      </c>
      <c r="DO189" s="168"/>
      <c r="DP189" s="1419">
        <v>18.378</v>
      </c>
      <c r="DQ189" s="2028">
        <v>-303.38645418326695</v>
      </c>
      <c r="DR189" s="1981">
        <v>7.1789062499999998</v>
      </c>
      <c r="DS189" s="168"/>
      <c r="DT189" s="2097">
        <v>13.378</v>
      </c>
      <c r="DU189" s="2028">
        <v>-259.96651919167766</v>
      </c>
      <c r="DV189" s="1981">
        <v>3.7327008928571428</v>
      </c>
      <c r="DW189" s="168"/>
      <c r="DX189" s="2152">
        <v>907.83900000000017</v>
      </c>
      <c r="DY189" s="2028">
        <v>15.42199433213105</v>
      </c>
      <c r="DZ189" s="1981">
        <v>23.547206515536654</v>
      </c>
      <c r="EA189" s="2005" t="s">
        <v>533</v>
      </c>
      <c r="EB189" s="361">
        <v>907.83899999999994</v>
      </c>
      <c r="EC189" s="2027"/>
      <c r="ED189" s="2028"/>
      <c r="EE189" s="1981"/>
      <c r="EF189" s="1981"/>
      <c r="EG189" s="361"/>
    </row>
    <row r="190" spans="1:140" s="161" customFormat="1" hidden="1" outlineLevel="1">
      <c r="A190" s="113"/>
      <c r="B190" s="24" t="s">
        <v>1020</v>
      </c>
      <c r="C190" s="24"/>
      <c r="D190" s="24"/>
      <c r="E190" s="266">
        <f>SUM(E186:E189)</f>
        <v>4980.5720000000001</v>
      </c>
      <c r="F190" s="266"/>
      <c r="G190" s="1980">
        <v>9.1170026292725517</v>
      </c>
      <c r="H190" s="1981">
        <v>47.6175405345736</v>
      </c>
      <c r="I190" s="1981"/>
      <c r="J190" s="1981"/>
      <c r="K190" s="266">
        <v>1593.2</v>
      </c>
      <c r="L190" s="1980">
        <v>2.2954187935407377</v>
      </c>
      <c r="M190" s="1981">
        <v>15.233482375792187</v>
      </c>
      <c r="N190" s="23"/>
      <c r="O190" s="23"/>
      <c r="P190" s="23"/>
      <c r="Q190" s="24"/>
      <c r="R190" s="266">
        <f>SUM(R186:R189)</f>
        <v>6573.7719999999999</v>
      </c>
      <c r="S190" s="1980">
        <v>7.3824735885150261</v>
      </c>
      <c r="T190" s="1980"/>
      <c r="U190" s="1981">
        <v>62.851022910365792</v>
      </c>
      <c r="V190" s="24"/>
      <c r="W190" s="266">
        <f>SUM(W186:W189)</f>
        <v>2902.2080000000005</v>
      </c>
      <c r="X190" s="266"/>
      <c r="Y190" s="266"/>
      <c r="Z190" s="266"/>
      <c r="AA190" s="266"/>
      <c r="AB190" s="266"/>
      <c r="AC190" s="1980">
        <v>8.5329026728817823</v>
      </c>
      <c r="AD190" s="1981">
        <v>27.752829003586637</v>
      </c>
      <c r="AE190" s="24"/>
      <c r="AF190" s="24"/>
      <c r="AG190" s="388"/>
      <c r="AH190" s="2098"/>
      <c r="AI190" s="2094"/>
      <c r="AJ190" s="2094"/>
      <c r="AK190" s="2098"/>
      <c r="AL190" s="2098"/>
      <c r="AM190" s="2088"/>
      <c r="AN190" s="381"/>
      <c r="AO190" s="24"/>
      <c r="AP190" s="388"/>
      <c r="AQ190" s="388"/>
      <c r="AR190" s="388"/>
      <c r="AS190" s="388"/>
      <c r="AT190" s="388"/>
      <c r="AU190" s="388"/>
      <c r="AZ190" s="2027">
        <v>355.5</v>
      </c>
      <c r="BA190" s="2022">
        <v>-14.296046287367393</v>
      </c>
      <c r="BB190" s="1981">
        <v>3.3991356920625924</v>
      </c>
      <c r="BC190" s="266">
        <v>627.20000000000005</v>
      </c>
      <c r="BD190" s="1980">
        <v>-45.620603132711032</v>
      </c>
      <c r="BE190" s="266">
        <v>982.69999999999993</v>
      </c>
      <c r="BF190" s="1980">
        <v>-37.339794682139903</v>
      </c>
      <c r="BG190" s="1981">
        <v>9.3961480860475657</v>
      </c>
      <c r="BH190" s="24"/>
      <c r="BI190" s="266">
        <v>10458.541000000001</v>
      </c>
      <c r="BJ190" s="266"/>
      <c r="BK190" s="2889">
        <v>0.91130993433869989</v>
      </c>
      <c r="BL190" s="266">
        <v>9475.8410000000003</v>
      </c>
      <c r="BM190" s="1980">
        <v>17.921404985685196</v>
      </c>
      <c r="BN190" s="1981">
        <v>100</v>
      </c>
      <c r="BO190" s="266">
        <v>0</v>
      </c>
      <c r="BP190" s="1980">
        <v>-100</v>
      </c>
      <c r="BQ190" s="1981">
        <v>0</v>
      </c>
      <c r="BR190" s="24"/>
      <c r="BS190" s="266">
        <v>0</v>
      </c>
      <c r="BT190" s="1980"/>
      <c r="BU190" s="1981">
        <v>0</v>
      </c>
      <c r="BV190" s="24"/>
      <c r="BW190" s="266">
        <v>9475.8410000000003</v>
      </c>
      <c r="BX190" s="1980">
        <v>1.6587410282724813</v>
      </c>
      <c r="BY190" s="24"/>
      <c r="BZ190" s="389"/>
      <c r="CA190" s="1980"/>
      <c r="CB190" s="1981"/>
      <c r="CC190" s="389"/>
      <c r="CD190" s="1980"/>
      <c r="CE190" s="1981"/>
      <c r="CF190" s="24"/>
      <c r="CG190" s="389"/>
      <c r="CH190" s="1980"/>
      <c r="CI190" s="1981"/>
      <c r="CJ190" s="24"/>
      <c r="CK190" s="389"/>
      <c r="CL190" s="1980"/>
      <c r="CM190" s="1981"/>
      <c r="CN190" s="24"/>
      <c r="CO190" s="24"/>
      <c r="CP190" s="1980"/>
      <c r="CQ190" s="1981"/>
      <c r="CR190" s="1981"/>
      <c r="CS190" s="168"/>
      <c r="CT190" s="2027">
        <f>SUM(CT186:CT189)</f>
        <v>1188.2830000000001</v>
      </c>
      <c r="CU190" s="2028">
        <v>9.9416097428737693</v>
      </c>
      <c r="CV190" s="1981">
        <v>18.077419256689943</v>
      </c>
      <c r="CW190" s="2027"/>
      <c r="CX190" s="2027"/>
      <c r="CY190" s="2027"/>
      <c r="CZ190" s="168"/>
      <c r="DA190" s="2027">
        <f>SUM(DA186:DA189)</f>
        <v>604.31299999999999</v>
      </c>
      <c r="DB190" s="2028">
        <v>17.796819963626653</v>
      </c>
      <c r="DC190" s="1981">
        <v>20.820136563101087</v>
      </c>
      <c r="DD190" s="1981"/>
      <c r="DE190" s="1981"/>
      <c r="DF190" s="1981"/>
      <c r="DG190" s="2106"/>
      <c r="DH190" s="2103"/>
      <c r="DI190" s="2048"/>
      <c r="DJ190" s="168"/>
      <c r="DL190" s="361">
        <v>-25.4</v>
      </c>
      <c r="DM190" s="2028">
        <v>333.89135633754705</v>
      </c>
      <c r="DN190" s="1981">
        <v>-7.1448663853727137</v>
      </c>
      <c r="DO190" s="168"/>
      <c r="DP190" s="361">
        <v>-59.807000000000002</v>
      </c>
      <c r="DQ190" s="2028">
        <v>43.884424770244898</v>
      </c>
      <c r="DR190" s="1981">
        <v>-9.5355548469387745</v>
      </c>
      <c r="DS190" s="168"/>
      <c r="DT190" s="361">
        <v>-85.207000000000008</v>
      </c>
      <c r="DU190" s="2028">
        <v>79.685786587937585</v>
      </c>
      <c r="DV190" s="1981">
        <v>-8.6707031647501793</v>
      </c>
      <c r="DW190" s="168"/>
      <c r="DX190" s="2027">
        <v>1707.33</v>
      </c>
      <c r="DY190" s="2028">
        <v>10.404966293224692</v>
      </c>
      <c r="DZ190" s="1981">
        <v>16.324743575609634</v>
      </c>
      <c r="EA190" s="1981"/>
      <c r="EB190" s="361"/>
      <c r="EC190" s="2027"/>
      <c r="ED190" s="2028"/>
      <c r="EE190" s="1981"/>
      <c r="EF190" s="1981"/>
      <c r="EG190" s="361"/>
    </row>
    <row r="191" spans="1:140" s="161" customFormat="1" hidden="1" outlineLevel="1">
      <c r="A191" s="113"/>
      <c r="B191" s="24"/>
      <c r="C191" s="24"/>
      <c r="D191" s="24"/>
      <c r="E191" s="266"/>
      <c r="F191" s="266"/>
      <c r="G191" s="1980"/>
      <c r="H191" s="1981"/>
      <c r="I191" s="1981"/>
      <c r="J191" s="1981"/>
      <c r="K191" s="266"/>
      <c r="L191" s="1980"/>
      <c r="M191" s="1981"/>
      <c r="N191" s="23"/>
      <c r="O191" s="23"/>
      <c r="P191" s="23"/>
      <c r="Q191" s="24"/>
      <c r="R191" s="266">
        <f>R190-R206</f>
        <v>-166.45400000000063</v>
      </c>
      <c r="S191" s="1980"/>
      <c r="T191" s="1980"/>
      <c r="U191" s="1981"/>
      <c r="V191" s="24"/>
      <c r="W191" s="266">
        <f>W190-W206</f>
        <v>-172.23099999999977</v>
      </c>
      <c r="X191" s="266"/>
      <c r="Y191" s="266"/>
      <c r="Z191" s="266"/>
      <c r="AA191" s="266"/>
      <c r="AB191" s="266"/>
      <c r="AC191" s="1980"/>
      <c r="AD191" s="1981"/>
      <c r="AE191" s="24"/>
      <c r="AF191" s="24"/>
      <c r="AG191" s="388"/>
      <c r="AH191" s="2098"/>
      <c r="AI191" s="2094"/>
      <c r="AJ191" s="2094"/>
      <c r="AK191" s="2098"/>
      <c r="AL191" s="2098"/>
      <c r="AM191" s="2088"/>
      <c r="AN191" s="381"/>
      <c r="AO191" s="24"/>
      <c r="AP191" s="388"/>
      <c r="AQ191" s="388"/>
      <c r="AR191" s="388"/>
      <c r="AS191" s="388"/>
      <c r="AT191" s="388"/>
      <c r="AU191" s="388"/>
      <c r="AZ191" s="2027"/>
      <c r="BA191" s="2022"/>
      <c r="BB191" s="1981"/>
      <c r="BC191" s="266"/>
      <c r="BD191" s="1980"/>
      <c r="BE191" s="266"/>
      <c r="BF191" s="1980"/>
      <c r="BG191" s="1981"/>
      <c r="BH191" s="24"/>
      <c r="BI191" s="266"/>
      <c r="BJ191" s="266"/>
      <c r="BK191" s="2889"/>
      <c r="BL191" s="266"/>
      <c r="BM191" s="1980"/>
      <c r="BN191" s="1981"/>
      <c r="BO191" s="266"/>
      <c r="BP191" s="1980"/>
      <c r="BQ191" s="1981"/>
      <c r="BR191" s="24"/>
      <c r="BS191" s="266"/>
      <c r="BT191" s="1980"/>
      <c r="BU191" s="1981"/>
      <c r="BV191" s="24"/>
      <c r="BW191" s="266"/>
      <c r="BX191" s="1980"/>
      <c r="BY191" s="24"/>
      <c r="BZ191" s="389"/>
      <c r="CA191" s="1980"/>
      <c r="CB191" s="1981"/>
      <c r="CC191" s="389"/>
      <c r="CD191" s="1980"/>
      <c r="CE191" s="1981"/>
      <c r="CF191" s="24"/>
      <c r="CG191" s="389"/>
      <c r="CH191" s="1980"/>
      <c r="CI191" s="1981"/>
      <c r="CJ191" s="24"/>
      <c r="CK191" s="389"/>
      <c r="CL191" s="1980"/>
      <c r="CM191" s="1981"/>
      <c r="CN191" s="24"/>
      <c r="CO191" s="24"/>
      <c r="CP191" s="1980"/>
      <c r="CQ191" s="1981"/>
      <c r="CR191" s="1981"/>
      <c r="CS191" s="168"/>
      <c r="CT191" s="2027"/>
      <c r="CU191" s="2028"/>
      <c r="CV191" s="1981"/>
      <c r="CW191" s="2027"/>
      <c r="CX191" s="2027"/>
      <c r="CY191" s="2027"/>
      <c r="CZ191" s="168"/>
      <c r="DA191" s="2027"/>
      <c r="DB191" s="2028"/>
      <c r="DC191" s="1981"/>
      <c r="DD191" s="1981"/>
      <c r="DE191" s="1981"/>
      <c r="DF191" s="1981"/>
      <c r="DG191" s="2106"/>
      <c r="DH191" s="2103"/>
      <c r="DI191" s="2048"/>
      <c r="DJ191" s="168"/>
      <c r="DL191" s="361"/>
      <c r="DM191" s="2028"/>
      <c r="DN191" s="1981"/>
      <c r="DO191" s="168"/>
      <c r="DP191" s="361"/>
      <c r="DQ191" s="2028"/>
      <c r="DR191" s="1981"/>
      <c r="DS191" s="168"/>
      <c r="DT191" s="361"/>
      <c r="DU191" s="2028"/>
      <c r="DV191" s="1981"/>
      <c r="DW191" s="168"/>
      <c r="DX191" s="2027"/>
      <c r="DY191" s="2028"/>
      <c r="DZ191" s="1981"/>
      <c r="EA191" s="1981"/>
      <c r="EB191" s="361"/>
      <c r="EC191" s="2027"/>
      <c r="ED191" s="2028"/>
      <c r="EE191" s="1981"/>
      <c r="EF191" s="1981"/>
      <c r="EG191" s="361"/>
    </row>
    <row r="192" spans="1:140" s="161" customFormat="1" hidden="1" outlineLevel="1">
      <c r="A192" s="113"/>
      <c r="B192" s="136" t="s">
        <v>853</v>
      </c>
      <c r="C192" s="24"/>
      <c r="D192" s="24"/>
      <c r="E192" s="266"/>
      <c r="F192" s="266"/>
      <c r="G192" s="1980"/>
      <c r="H192" s="1981"/>
      <c r="I192" s="1981"/>
      <c r="J192" s="1981"/>
      <c r="K192" s="266"/>
      <c r="L192" s="1980"/>
      <c r="M192" s="1981"/>
      <c r="N192" s="23"/>
      <c r="O192" s="23"/>
      <c r="P192" s="23"/>
      <c r="Q192" s="24"/>
      <c r="R192" s="266"/>
      <c r="S192" s="1980"/>
      <c r="T192" s="1980"/>
      <c r="U192" s="1981"/>
      <c r="V192" s="24"/>
      <c r="W192" s="266">
        <v>350</v>
      </c>
      <c r="X192" s="266"/>
      <c r="Y192" s="266"/>
      <c r="Z192" s="266"/>
      <c r="AA192" s="266"/>
      <c r="AB192" s="266"/>
      <c r="AC192" s="1980"/>
      <c r="AD192" s="1981"/>
      <c r="AE192" s="24"/>
      <c r="AF192" s="24"/>
      <c r="AG192" s="388"/>
      <c r="AH192" s="2098"/>
      <c r="AI192" s="2094"/>
      <c r="AJ192" s="2094"/>
      <c r="AK192" s="2098"/>
      <c r="AL192" s="2098"/>
      <c r="AM192" s="2088"/>
      <c r="AN192" s="381"/>
      <c r="AO192" s="24"/>
      <c r="AP192" s="388"/>
      <c r="AQ192" s="388"/>
      <c r="AR192" s="388"/>
      <c r="AS192" s="388"/>
      <c r="AT192" s="388"/>
      <c r="AU192" s="388"/>
      <c r="AZ192" s="2027"/>
      <c r="BA192" s="2022"/>
      <c r="BB192" s="1981"/>
      <c r="BC192" s="266"/>
      <c r="BD192" s="1980"/>
      <c r="BE192" s="266"/>
      <c r="BF192" s="1980"/>
      <c r="BG192" s="1981"/>
      <c r="BH192" s="24"/>
      <c r="BI192" s="266"/>
      <c r="BJ192" s="266"/>
      <c r="BK192" s="2889"/>
      <c r="BL192" s="266"/>
      <c r="BM192" s="1980"/>
      <c r="BN192" s="1981"/>
      <c r="BO192" s="266"/>
      <c r="BP192" s="1980"/>
      <c r="BQ192" s="1981"/>
      <c r="BR192" s="24"/>
      <c r="BS192" s="266"/>
      <c r="BT192" s="1980"/>
      <c r="BU192" s="1981"/>
      <c r="BV192" s="24"/>
      <c r="BW192" s="266"/>
      <c r="BX192" s="1980"/>
      <c r="BY192" s="24"/>
      <c r="BZ192" s="389"/>
      <c r="CA192" s="1980"/>
      <c r="CB192" s="1981"/>
      <c r="CC192" s="389"/>
      <c r="CD192" s="1980"/>
      <c r="CE192" s="1981"/>
      <c r="CF192" s="24"/>
      <c r="CG192" s="389"/>
      <c r="CH192" s="1980"/>
      <c r="CI192" s="1981"/>
      <c r="CJ192" s="24"/>
      <c r="CK192" s="389"/>
      <c r="CL192" s="1980"/>
      <c r="CM192" s="1981"/>
      <c r="CN192" s="24"/>
      <c r="CO192" s="24"/>
      <c r="CP192" s="1980"/>
      <c r="CQ192" s="1981"/>
      <c r="CR192" s="1981"/>
      <c r="CS192" s="168"/>
      <c r="CT192" s="2027"/>
      <c r="CU192" s="2028"/>
      <c r="CV192" s="1981"/>
      <c r="CW192" s="2027"/>
      <c r="CX192" s="2027"/>
      <c r="CY192" s="2027"/>
      <c r="CZ192" s="168"/>
      <c r="DA192" s="2027"/>
      <c r="DB192" s="2028"/>
      <c r="DC192" s="1981"/>
      <c r="DD192" s="1981"/>
      <c r="DE192" s="1981"/>
      <c r="DF192" s="1981"/>
      <c r="DG192" s="2106"/>
      <c r="DH192" s="2103"/>
      <c r="DI192" s="2048"/>
      <c r="DJ192" s="168"/>
      <c r="DL192" s="361"/>
      <c r="DM192" s="2028"/>
      <c r="DN192" s="1981"/>
      <c r="DO192" s="168"/>
      <c r="DP192" s="361"/>
      <c r="DQ192" s="2028"/>
      <c r="DR192" s="1981"/>
      <c r="DS192" s="168"/>
      <c r="DT192" s="361"/>
      <c r="DU192" s="2028"/>
      <c r="DV192" s="1981"/>
      <c r="DW192" s="168"/>
      <c r="DX192" s="2027"/>
      <c r="DY192" s="2028"/>
      <c r="DZ192" s="1981"/>
      <c r="EA192" s="1981"/>
      <c r="EB192" s="361"/>
      <c r="EC192" s="2027"/>
      <c r="ED192" s="2028"/>
      <c r="EE192" s="1981"/>
      <c r="EF192" s="1981"/>
      <c r="EG192" s="361"/>
    </row>
    <row r="193" spans="1:144" s="161" customFormat="1" hidden="1" outlineLevel="1">
      <c r="A193" s="113" t="s">
        <v>119</v>
      </c>
      <c r="B193" s="24" t="s">
        <v>830</v>
      </c>
      <c r="C193" s="24"/>
      <c r="D193" s="24"/>
      <c r="E193" s="2023">
        <f>R193-K193</f>
        <v>1145.5309999999999</v>
      </c>
      <c r="F193" s="2023"/>
      <c r="G193" s="1980">
        <v>5.3134767420481621</v>
      </c>
      <c r="H193" s="1981">
        <v>50.51182018920769</v>
      </c>
      <c r="I193" s="1981"/>
      <c r="J193" s="1981"/>
      <c r="K193" s="1982">
        <v>359.1</v>
      </c>
      <c r="L193" s="1980">
        <v>-5.9947643979057492</v>
      </c>
      <c r="M193" s="1981">
        <v>15.833445033121931</v>
      </c>
      <c r="N193" s="23"/>
      <c r="O193" s="23"/>
      <c r="P193" s="23"/>
      <c r="Q193" s="24"/>
      <c r="R193" s="1982">
        <v>1504.6310000000001</v>
      </c>
      <c r="S193" s="1980">
        <v>2.3744727173764968</v>
      </c>
      <c r="T193" s="1980"/>
      <c r="U193" s="1981">
        <v>66.345265222329616</v>
      </c>
      <c r="V193" s="24"/>
      <c r="W193" s="1982">
        <v>530.08399999999995</v>
      </c>
      <c r="X193" s="1982"/>
      <c r="Y193" s="1982"/>
      <c r="Z193" s="1982"/>
      <c r="AA193" s="1982"/>
      <c r="AB193" s="1982"/>
      <c r="AC193" s="1980">
        <v>4.9594386153885672</v>
      </c>
      <c r="AD193" s="1981">
        <v>23.37247529083098</v>
      </c>
      <c r="AE193" s="24"/>
      <c r="AF193" s="24"/>
      <c r="AG193" s="388"/>
      <c r="AH193" s="2098"/>
      <c r="AI193" s="2094"/>
      <c r="AJ193" s="2094"/>
      <c r="AK193" s="2098"/>
      <c r="AL193" s="2098"/>
      <c r="AM193" s="2088"/>
      <c r="AN193" s="381"/>
      <c r="AO193" s="24"/>
      <c r="AP193" s="388"/>
      <c r="AQ193" s="388"/>
      <c r="AR193" s="388"/>
      <c r="AS193" s="388"/>
      <c r="AT193" s="388"/>
      <c r="AU193" s="388"/>
      <c r="AZ193" s="1982">
        <v>72.8</v>
      </c>
      <c r="BA193" s="1980">
        <v>-3.3200531208499307</v>
      </c>
      <c r="BB193" s="1981">
        <v>3.209899188001327</v>
      </c>
      <c r="BC193" s="1982">
        <v>160.4</v>
      </c>
      <c r="BD193" s="1980">
        <v>54.676952748312438</v>
      </c>
      <c r="BE193" s="1982">
        <v>233.2</v>
      </c>
      <c r="BF193" s="1980">
        <v>30.279329608938532</v>
      </c>
      <c r="BG193" s="1981">
        <v>10.282259486839415</v>
      </c>
      <c r="BH193" s="24"/>
      <c r="BI193" s="381">
        <v>2267.9839999999995</v>
      </c>
      <c r="BJ193" s="381"/>
      <c r="BK193" s="2889">
        <v>5.2997046666019454</v>
      </c>
      <c r="BL193" s="266"/>
      <c r="BM193" s="1980"/>
      <c r="BN193" s="1981"/>
      <c r="BO193" s="266"/>
      <c r="BP193" s="1980"/>
      <c r="BQ193" s="1981"/>
      <c r="BR193" s="24"/>
      <c r="BS193" s="266"/>
      <c r="BT193" s="1980"/>
      <c r="BU193" s="1981"/>
      <c r="BV193" s="24"/>
      <c r="BW193" s="266"/>
      <c r="BX193" s="1980"/>
      <c r="BY193" s="24"/>
      <c r="BZ193" s="389"/>
      <c r="CA193" s="1980"/>
      <c r="CB193" s="1981"/>
      <c r="CC193" s="389"/>
      <c r="CD193" s="1980"/>
      <c r="CE193" s="1981"/>
      <c r="CF193" s="24"/>
      <c r="CG193" s="389"/>
      <c r="CH193" s="1980"/>
      <c r="CI193" s="1981"/>
      <c r="CJ193" s="24"/>
      <c r="CK193" s="389"/>
      <c r="CL193" s="1980"/>
      <c r="CM193" s="1981"/>
      <c r="CN193" s="24"/>
      <c r="CO193" s="24"/>
      <c r="CP193" s="1980"/>
      <c r="CQ193" s="1981"/>
      <c r="CR193" s="1981"/>
      <c r="CS193" s="168"/>
      <c r="CT193" s="2023">
        <v>259.52699999999999</v>
      </c>
      <c r="CU193" s="2028">
        <v>-6.5868328132254961</v>
      </c>
      <c r="CV193" s="1981">
        <v>17.247757027978999</v>
      </c>
      <c r="CW193" s="2023"/>
      <c r="CX193" s="2023"/>
      <c r="CY193" s="2023"/>
      <c r="CZ193" s="168"/>
      <c r="DA193" s="2023">
        <v>72.567999999999998</v>
      </c>
      <c r="DB193" s="2028">
        <v>20.608961574258732</v>
      </c>
      <c r="DC193" s="1981">
        <v>13.689905750786668</v>
      </c>
      <c r="DD193" s="1981"/>
      <c r="DE193" s="1981"/>
      <c r="DF193" s="1981"/>
      <c r="DG193" s="2106"/>
      <c r="DH193" s="2103"/>
      <c r="DI193" s="2048"/>
      <c r="DJ193" s="168"/>
      <c r="DL193" s="2023">
        <v>-6.8000000000000007</v>
      </c>
      <c r="DM193" s="2028">
        <v>-40.350877192982452</v>
      </c>
      <c r="DN193" s="1981">
        <v>-9.340659340659343</v>
      </c>
      <c r="DO193" s="168"/>
      <c r="DP193" s="1691">
        <v>-14.114000000000001</v>
      </c>
      <c r="DQ193" s="2028">
        <v>-57.701989930472308</v>
      </c>
      <c r="DR193" s="1981">
        <v>-8.7992518703241895</v>
      </c>
      <c r="DS193" s="168"/>
      <c r="DT193" s="2023">
        <v>-20.914000000000001</v>
      </c>
      <c r="DU193" s="2028">
        <v>-53.283595425303787</v>
      </c>
      <c r="DV193" s="1981">
        <v>-8.9682675814751303</v>
      </c>
      <c r="DW193" s="168"/>
      <c r="DX193" s="381">
        <v>311.18100000000004</v>
      </c>
      <c r="DY193" s="2028">
        <v>6.1229013699283685</v>
      </c>
      <c r="DZ193" s="1981">
        <v>13.720599439854961</v>
      </c>
      <c r="EA193" s="1981"/>
      <c r="EB193" s="361">
        <v>311.18099999999998</v>
      </c>
      <c r="EC193" s="2027"/>
      <c r="ED193" s="2028"/>
      <c r="EE193" s="1981"/>
      <c r="EF193" s="1981"/>
      <c r="EG193" s="361"/>
    </row>
    <row r="194" spans="1:144" s="161" customFormat="1" hidden="1" outlineLevel="1">
      <c r="A194" s="113" t="s">
        <v>120</v>
      </c>
      <c r="B194" s="24" t="s">
        <v>653</v>
      </c>
      <c r="C194" s="24"/>
      <c r="D194" s="24"/>
      <c r="E194" s="366">
        <f>R194-K194</f>
        <v>1236.817</v>
      </c>
      <c r="F194" s="366"/>
      <c r="G194" s="1980">
        <v>5.7003674899581247</v>
      </c>
      <c r="H194" s="1981">
        <v>49.157314535271006</v>
      </c>
      <c r="I194" s="1981"/>
      <c r="J194" s="1981"/>
      <c r="K194" s="388">
        <v>383.7</v>
      </c>
      <c r="L194" s="1980">
        <v>-5.6320708312838192</v>
      </c>
      <c r="M194" s="1981">
        <v>15.250373210853402</v>
      </c>
      <c r="N194" s="23"/>
      <c r="O194" s="23"/>
      <c r="P194" s="23"/>
      <c r="Q194" s="24"/>
      <c r="R194" s="2132">
        <v>1620.5170000000001</v>
      </c>
      <c r="S194" s="1980">
        <v>2.7779539544618537</v>
      </c>
      <c r="T194" s="1980"/>
      <c r="U194" s="1981">
        <v>64.40768774612441</v>
      </c>
      <c r="V194" s="24"/>
      <c r="W194" s="388">
        <v>630.30399999999997</v>
      </c>
      <c r="X194" s="388"/>
      <c r="Y194" s="388"/>
      <c r="Z194" s="388"/>
      <c r="AA194" s="388"/>
      <c r="AB194" s="388"/>
      <c r="AC194" s="1980">
        <v>3.4805222096718991</v>
      </c>
      <c r="AD194" s="1981">
        <v>25.051788470924528</v>
      </c>
      <c r="AE194" s="24"/>
      <c r="AF194" s="24"/>
      <c r="AG194" s="388"/>
      <c r="AH194" s="2098"/>
      <c r="AI194" s="2094"/>
      <c r="AJ194" s="2094"/>
      <c r="AK194" s="2098"/>
      <c r="AL194" s="2098"/>
      <c r="AM194" s="2088"/>
      <c r="AN194" s="381"/>
      <c r="AO194" s="24"/>
      <c r="AP194" s="388"/>
      <c r="AQ194" s="388"/>
      <c r="AR194" s="388"/>
      <c r="AS194" s="388"/>
      <c r="AT194" s="388"/>
      <c r="AU194" s="388"/>
      <c r="AZ194" s="2025">
        <v>86.1</v>
      </c>
      <c r="BA194" s="1980">
        <v>-9.2729188619599672</v>
      </c>
      <c r="BB194" s="1981">
        <v>3.4220931286277763</v>
      </c>
      <c r="BC194" s="2025">
        <v>179.1</v>
      </c>
      <c r="BD194" s="1980">
        <v>51.266891891891888</v>
      </c>
      <c r="BE194" s="2025">
        <v>265.2</v>
      </c>
      <c r="BF194" s="1980">
        <v>24.331926863572416</v>
      </c>
      <c r="BG194" s="1981">
        <v>10.540523782951059</v>
      </c>
      <c r="BH194" s="24"/>
      <c r="BI194" s="266">
        <v>2516.0039999999999</v>
      </c>
      <c r="BJ194" s="266"/>
      <c r="BK194" s="2889">
        <v>4.8726524569172369</v>
      </c>
      <c r="BL194" s="266"/>
      <c r="BM194" s="1980"/>
      <c r="BN194" s="1981"/>
      <c r="BO194" s="266"/>
      <c r="BP194" s="1980"/>
      <c r="BQ194" s="1981"/>
      <c r="BR194" s="24"/>
      <c r="BS194" s="266"/>
      <c r="BT194" s="1980"/>
      <c r="BU194" s="1981"/>
      <c r="BV194" s="24"/>
      <c r="BW194" s="266"/>
      <c r="BX194" s="1980"/>
      <c r="BY194" s="24"/>
      <c r="BZ194" s="389"/>
      <c r="CA194" s="1980"/>
      <c r="CB194" s="1981"/>
      <c r="CC194" s="389"/>
      <c r="CD194" s="1980"/>
      <c r="CE194" s="1981"/>
      <c r="CF194" s="24"/>
      <c r="CG194" s="389"/>
      <c r="CH194" s="1980"/>
      <c r="CI194" s="1981"/>
      <c r="CJ194" s="24"/>
      <c r="CK194" s="389"/>
      <c r="CL194" s="1980"/>
      <c r="CM194" s="1981"/>
      <c r="CN194" s="24"/>
      <c r="CO194" s="24"/>
      <c r="CP194" s="1980"/>
      <c r="CQ194" s="1981"/>
      <c r="CR194" s="1981"/>
      <c r="CS194" s="168"/>
      <c r="CT194" s="1991">
        <v>271.214</v>
      </c>
      <c r="CU194" s="2028">
        <v>5.7071921612341203</v>
      </c>
      <c r="CV194" s="1981">
        <v>16.736439370564639</v>
      </c>
      <c r="CW194" s="1991"/>
      <c r="CX194" s="1991"/>
      <c r="CY194" s="1991"/>
      <c r="CZ194" s="168"/>
      <c r="DA194" s="2044">
        <v>102.26</v>
      </c>
      <c r="DB194" s="2028">
        <v>16.346011627774693</v>
      </c>
      <c r="DC194" s="1981">
        <v>16.223917347819466</v>
      </c>
      <c r="DD194" s="1981"/>
      <c r="DE194" s="1981"/>
      <c r="DF194" s="1981"/>
      <c r="DG194" s="2106"/>
      <c r="DH194" s="2103"/>
      <c r="DI194" s="2048"/>
      <c r="DJ194" s="168"/>
      <c r="DL194" s="1417">
        <v>-3</v>
      </c>
      <c r="DM194" s="2028">
        <v>-40</v>
      </c>
      <c r="DN194" s="1981">
        <v>-3.4843205574912899</v>
      </c>
      <c r="DO194" s="168"/>
      <c r="DP194" s="1417">
        <v>-12.669</v>
      </c>
      <c r="DQ194" s="2028">
        <v>-58.497674113870147</v>
      </c>
      <c r="DR194" s="1981">
        <v>-7.0737018425460638</v>
      </c>
      <c r="DS194" s="168"/>
      <c r="DT194" s="1417">
        <v>-15.669</v>
      </c>
      <c r="DU194" s="2028">
        <v>-55.894274615774364</v>
      </c>
      <c r="DV194" s="1981">
        <v>-5.9083710407239822</v>
      </c>
      <c r="DW194" s="168"/>
      <c r="DX194" s="2027">
        <v>357.80600000000004</v>
      </c>
      <c r="DY194" s="2028">
        <v>15.840183372777039</v>
      </c>
      <c r="DZ194" s="1981">
        <v>14.221201556118354</v>
      </c>
      <c r="EA194" s="1981"/>
      <c r="EB194" s="361">
        <v>357.80500000000001</v>
      </c>
      <c r="EC194" s="2027"/>
      <c r="ED194" s="2028"/>
      <c r="EE194" s="1981"/>
      <c r="EF194" s="1981"/>
      <c r="EG194" s="361"/>
    </row>
    <row r="195" spans="1:144" s="161" customFormat="1" hidden="1" outlineLevel="1">
      <c r="A195" s="113" t="s">
        <v>1018</v>
      </c>
      <c r="B195" s="24" t="s">
        <v>598</v>
      </c>
      <c r="C195" s="24"/>
      <c r="D195" s="24"/>
      <c r="E195" s="307">
        <f>R195-K195</f>
        <v>1058.5129999999999</v>
      </c>
      <c r="F195" s="307"/>
      <c r="G195" s="1980">
        <v>4.8850574712643535</v>
      </c>
      <c r="H195" s="1981">
        <v>48.755143241551451</v>
      </c>
      <c r="I195" s="1981"/>
      <c r="J195" s="1981"/>
      <c r="K195" s="388">
        <v>268.89999999999998</v>
      </c>
      <c r="L195" s="1980">
        <v>-0.6282335550628404</v>
      </c>
      <c r="M195" s="1981">
        <v>12.385694867882084</v>
      </c>
      <c r="N195" s="23"/>
      <c r="O195" s="23"/>
      <c r="P195" s="23"/>
      <c r="Q195" s="24"/>
      <c r="R195" s="2132">
        <v>1327.413</v>
      </c>
      <c r="S195" s="1980">
        <v>3.7193311454914779</v>
      </c>
      <c r="T195" s="1980"/>
      <c r="U195" s="1981">
        <v>61.140838109433538</v>
      </c>
      <c r="V195" s="24"/>
      <c r="W195" s="388">
        <v>566.553</v>
      </c>
      <c r="X195" s="388"/>
      <c r="Y195" s="388"/>
      <c r="Z195" s="388"/>
      <c r="AA195" s="388"/>
      <c r="AB195" s="388"/>
      <c r="AC195" s="1980">
        <v>5.2290118870728097</v>
      </c>
      <c r="AD195" s="1981">
        <v>26.095770117081436</v>
      </c>
      <c r="AE195" s="24"/>
      <c r="AF195" s="24"/>
      <c r="AG195" s="388"/>
      <c r="AH195" s="2098"/>
      <c r="AI195" s="2094"/>
      <c r="AJ195" s="2094"/>
      <c r="AK195" s="2098"/>
      <c r="AL195" s="2098"/>
      <c r="AM195" s="2088"/>
      <c r="AN195" s="381"/>
      <c r="AO195" s="24"/>
      <c r="AP195" s="388"/>
      <c r="AQ195" s="388"/>
      <c r="AR195" s="388"/>
      <c r="AS195" s="388"/>
      <c r="AT195" s="388"/>
      <c r="AU195" s="388"/>
      <c r="AZ195" s="2025">
        <v>75.099999999999994</v>
      </c>
      <c r="BA195" s="1980">
        <v>-9.4089264173703331</v>
      </c>
      <c r="BB195" s="1981">
        <v>3.4591509281440849</v>
      </c>
      <c r="BC195" s="2025">
        <v>202</v>
      </c>
      <c r="BD195" s="1980">
        <v>35.47954393024817</v>
      </c>
      <c r="BE195" s="2025">
        <v>277.10000000000002</v>
      </c>
      <c r="BF195" s="1980">
        <v>19.439655172413794</v>
      </c>
      <c r="BG195" s="1981">
        <v>12.763391773485033</v>
      </c>
      <c r="BH195" s="24"/>
      <c r="BI195" s="266">
        <v>2171.0529999999999</v>
      </c>
      <c r="BJ195" s="266"/>
      <c r="BK195" s="2889">
        <v>5.8946932006633368</v>
      </c>
      <c r="BL195" s="266"/>
      <c r="BM195" s="1980"/>
      <c r="BN195" s="1981"/>
      <c r="BO195" s="266"/>
      <c r="BP195" s="1980"/>
      <c r="BQ195" s="1981"/>
      <c r="BR195" s="24"/>
      <c r="BS195" s="266"/>
      <c r="BT195" s="1980"/>
      <c r="BU195" s="1981"/>
      <c r="BV195" s="24"/>
      <c r="BW195" s="266"/>
      <c r="BX195" s="1980"/>
      <c r="BY195" s="24"/>
      <c r="BZ195" s="389"/>
      <c r="CA195" s="1980"/>
      <c r="CB195" s="1981"/>
      <c r="CC195" s="389"/>
      <c r="CD195" s="1980"/>
      <c r="CE195" s="1981"/>
      <c r="CF195" s="24"/>
      <c r="CG195" s="389"/>
      <c r="CH195" s="1980"/>
      <c r="CI195" s="1981"/>
      <c r="CJ195" s="24"/>
      <c r="CK195" s="389"/>
      <c r="CL195" s="1980"/>
      <c r="CM195" s="1981"/>
      <c r="CN195" s="24"/>
      <c r="CO195" s="24"/>
      <c r="CP195" s="1980"/>
      <c r="CQ195" s="1981"/>
      <c r="CR195" s="1981"/>
      <c r="CS195" s="168"/>
      <c r="CT195" s="1991">
        <v>147.72300000000001</v>
      </c>
      <c r="CU195" s="2028">
        <v>-6.4754259232293387</v>
      </c>
      <c r="CV195" s="1981">
        <v>11.12874792828085</v>
      </c>
      <c r="CW195" s="1991"/>
      <c r="CX195" s="1991"/>
      <c r="CY195" s="1991"/>
      <c r="CZ195" s="168"/>
      <c r="DA195" s="2044">
        <v>66.653000000000006</v>
      </c>
      <c r="DB195" s="2028">
        <v>15.466435686444346</v>
      </c>
      <c r="DC195" s="1981">
        <v>11.764653968825513</v>
      </c>
      <c r="DD195" s="1981"/>
      <c r="DE195" s="1981"/>
      <c r="DF195" s="1981"/>
      <c r="DG195" s="2106"/>
      <c r="DH195" s="2103"/>
      <c r="DI195" s="2048"/>
      <c r="DJ195" s="168"/>
      <c r="DL195" s="1417">
        <v>-10</v>
      </c>
      <c r="DM195" s="2028">
        <v>150</v>
      </c>
      <c r="DN195" s="1981">
        <v>-13.315579227696405</v>
      </c>
      <c r="DO195" s="168"/>
      <c r="DP195" s="1417">
        <v>6.65</v>
      </c>
      <c r="DQ195" s="2028">
        <v>-146.53278287033797</v>
      </c>
      <c r="DR195" s="1981">
        <v>3.2920792079207923</v>
      </c>
      <c r="DS195" s="168"/>
      <c r="DT195" s="1417">
        <v>-3.35</v>
      </c>
      <c r="DU195" s="2028">
        <v>-81.684981684981679</v>
      </c>
      <c r="DV195" s="1981">
        <v>-1.2089498376037531</v>
      </c>
      <c r="DW195" s="168"/>
      <c r="DX195" s="2027">
        <v>211.02600000000007</v>
      </c>
      <c r="DY195" s="2028">
        <v>6.9108594878032559</v>
      </c>
      <c r="DZ195" s="1981">
        <v>9.719983805093662</v>
      </c>
      <c r="EA195" s="1981"/>
      <c r="EB195" s="361">
        <v>211.02600000000001</v>
      </c>
      <c r="EC195" s="2027"/>
      <c r="ED195" s="2028"/>
      <c r="EE195" s="1981"/>
      <c r="EF195" s="1981"/>
      <c r="EG195" s="361"/>
    </row>
    <row r="196" spans="1:144" s="161" customFormat="1" hidden="1" outlineLevel="1">
      <c r="A196" s="113" t="s">
        <v>1019</v>
      </c>
      <c r="B196" s="24" t="s">
        <v>601</v>
      </c>
      <c r="C196" s="24"/>
      <c r="D196" s="24"/>
      <c r="E196" s="302">
        <f>R196-K196</f>
        <v>1724.1570000000002</v>
      </c>
      <c r="F196" s="307"/>
      <c r="G196" s="1980">
        <v>0.65382370110915744</v>
      </c>
      <c r="H196" s="1981">
        <v>45.157404012361852</v>
      </c>
      <c r="I196" s="1981"/>
      <c r="J196" s="1981"/>
      <c r="K196" s="302">
        <v>504.5</v>
      </c>
      <c r="L196" s="1980">
        <v>-5.5243445692883864</v>
      </c>
      <c r="M196" s="1981">
        <v>13.213032318893719</v>
      </c>
      <c r="N196" s="23"/>
      <c r="O196" s="23"/>
      <c r="P196" s="23"/>
      <c r="Q196" s="24"/>
      <c r="R196" s="2133">
        <v>2228.6570000000002</v>
      </c>
      <c r="S196" s="1980">
        <v>-0.81441922563418867</v>
      </c>
      <c r="T196" s="1980"/>
      <c r="U196" s="1981">
        <v>58.370436331255561</v>
      </c>
      <c r="V196" s="24"/>
      <c r="W196" s="302">
        <v>1205.3610000000001</v>
      </c>
      <c r="X196" s="307"/>
      <c r="Y196" s="307"/>
      <c r="Z196" s="307"/>
      <c r="AA196" s="307"/>
      <c r="AB196" s="307"/>
      <c r="AC196" s="1980">
        <v>-3.5679999999999934</v>
      </c>
      <c r="AD196" s="1981">
        <v>31.569849667382538</v>
      </c>
      <c r="AE196" s="24"/>
      <c r="AF196" s="24"/>
      <c r="AG196" s="388"/>
      <c r="AH196" s="2098"/>
      <c r="AI196" s="2094"/>
      <c r="AJ196" s="2094"/>
      <c r="AK196" s="2098"/>
      <c r="AL196" s="2098"/>
      <c r="AM196" s="2088"/>
      <c r="AN196" s="381"/>
      <c r="AO196" s="24"/>
      <c r="AP196" s="388"/>
      <c r="AQ196" s="388"/>
      <c r="AR196" s="388"/>
      <c r="AS196" s="388"/>
      <c r="AT196" s="388"/>
      <c r="AU196" s="388"/>
      <c r="AZ196" s="418">
        <v>92.8</v>
      </c>
      <c r="BA196" s="1980">
        <v>-9.3750000000000107</v>
      </c>
      <c r="BB196" s="1981">
        <v>2.4304646168351578</v>
      </c>
      <c r="BC196" s="302">
        <v>291.3</v>
      </c>
      <c r="BD196" s="1980">
        <v>13.789062500000004</v>
      </c>
      <c r="BE196" s="302">
        <v>384.1</v>
      </c>
      <c r="BF196" s="1980">
        <v>7.1707589285714413</v>
      </c>
      <c r="BG196" s="1981">
        <v>10.0597140013619</v>
      </c>
      <c r="BH196" s="24"/>
      <c r="BI196" s="1022">
        <v>3818.2</v>
      </c>
      <c r="BJ196" s="325"/>
      <c r="BK196" s="2889">
        <v>-0.9648804274524081</v>
      </c>
      <c r="BL196" s="266"/>
      <c r="BM196" s="1980"/>
      <c r="BN196" s="1981"/>
      <c r="BO196" s="266"/>
      <c r="BP196" s="1980"/>
      <c r="BQ196" s="1981"/>
      <c r="BR196" s="24"/>
      <c r="BS196" s="266"/>
      <c r="BT196" s="1980"/>
      <c r="BU196" s="1981"/>
      <c r="BV196" s="24"/>
      <c r="BW196" s="266"/>
      <c r="BX196" s="1980"/>
      <c r="BY196" s="24"/>
      <c r="BZ196" s="389"/>
      <c r="CA196" s="1980"/>
      <c r="CB196" s="1981"/>
      <c r="CC196" s="389"/>
      <c r="CD196" s="1980"/>
      <c r="CE196" s="1981"/>
      <c r="CF196" s="24"/>
      <c r="CG196" s="389"/>
      <c r="CH196" s="1980"/>
      <c r="CI196" s="1981"/>
      <c r="CJ196" s="24"/>
      <c r="CK196" s="389"/>
      <c r="CL196" s="1980"/>
      <c r="CM196" s="1981"/>
      <c r="CN196" s="24"/>
      <c r="CO196" s="24"/>
      <c r="CP196" s="1980"/>
      <c r="CQ196" s="1981"/>
      <c r="CR196" s="1981"/>
      <c r="CS196" s="168"/>
      <c r="CT196" s="2096">
        <v>453.32799999999997</v>
      </c>
      <c r="CU196" s="2028">
        <v>-8.5910625204160382</v>
      </c>
      <c r="CV196" s="1981">
        <v>20.340467537129271</v>
      </c>
      <c r="CW196" s="1413"/>
      <c r="CX196" s="1413"/>
      <c r="CY196" s="1413"/>
      <c r="CZ196" s="168"/>
      <c r="DA196" s="2097">
        <v>377.12400000000002</v>
      </c>
      <c r="DB196" s="2028">
        <v>-5.370526965550626</v>
      </c>
      <c r="DC196" s="1981">
        <v>31.286212045793928</v>
      </c>
      <c r="DD196" s="1981"/>
      <c r="DE196" s="1981"/>
      <c r="DF196" s="1981"/>
      <c r="DG196" s="2106"/>
      <c r="DH196" s="2103"/>
      <c r="DI196" s="2048"/>
      <c r="DJ196" s="168"/>
      <c r="DL196" s="1419">
        <v>-15</v>
      </c>
      <c r="DM196" s="2028">
        <v>200</v>
      </c>
      <c r="DN196" s="1981">
        <v>-16.163793103448278</v>
      </c>
      <c r="DO196" s="168"/>
      <c r="DP196" s="1419">
        <v>48.009</v>
      </c>
      <c r="DQ196" s="2028">
        <v>161.23081945804768</v>
      </c>
      <c r="DR196" s="1981">
        <v>16.48094747682801</v>
      </c>
      <c r="DS196" s="168"/>
      <c r="DT196" s="2097">
        <v>33.009</v>
      </c>
      <c r="DU196" s="2028">
        <v>146.74091792495142</v>
      </c>
      <c r="DV196" s="1981">
        <v>8.5938557667274136</v>
      </c>
      <c r="DW196" s="168"/>
      <c r="DX196" s="2152">
        <v>863.46100000000024</v>
      </c>
      <c r="DY196" s="2028">
        <v>-4.8883116940338418</v>
      </c>
      <c r="DZ196" s="1981">
        <v>22.614347074537747</v>
      </c>
      <c r="EA196" s="1981"/>
      <c r="EB196" s="361">
        <v>863.46100000000001</v>
      </c>
      <c r="EC196" s="2027"/>
      <c r="ED196" s="2028"/>
      <c r="EE196" s="1981"/>
      <c r="EF196" s="1981"/>
      <c r="EG196" s="361"/>
    </row>
    <row r="197" spans="1:144" s="161" customFormat="1" hidden="1" outlineLevel="1">
      <c r="A197" s="113"/>
      <c r="B197" s="24" t="s">
        <v>1020</v>
      </c>
      <c r="C197" s="24"/>
      <c r="D197" s="24"/>
      <c r="E197" s="266">
        <f>SUM(E193:E196)</f>
        <v>5165.018</v>
      </c>
      <c r="F197" s="266"/>
      <c r="G197" s="1980">
        <v>3.714784843677843</v>
      </c>
      <c r="H197" s="1981">
        <v>47.943789617256307</v>
      </c>
      <c r="I197" s="1981"/>
      <c r="J197" s="1981"/>
      <c r="K197" s="266">
        <v>1516.1999999999998</v>
      </c>
      <c r="L197" s="1980">
        <v>-4.8330404217926333</v>
      </c>
      <c r="M197" s="1981">
        <v>14.073759233641944</v>
      </c>
      <c r="N197" s="2027"/>
      <c r="O197" s="2022"/>
      <c r="P197" s="1981"/>
      <c r="Q197" s="24"/>
      <c r="R197" s="266">
        <f>SUM(R193:R196)</f>
        <v>6681.2179999999998</v>
      </c>
      <c r="S197" s="1980">
        <v>1.6430103600931112</v>
      </c>
      <c r="T197" s="1980"/>
      <c r="U197" s="1981">
        <v>62.017548850898265</v>
      </c>
      <c r="V197" s="24"/>
      <c r="W197" s="266">
        <f>SUM(W193:W196)</f>
        <v>2932.3019999999997</v>
      </c>
      <c r="X197" s="266"/>
      <c r="Y197" s="266"/>
      <c r="Z197" s="266"/>
      <c r="AA197" s="266"/>
      <c r="AB197" s="266"/>
      <c r="AC197" s="1980">
        <v>1.0266866170021371</v>
      </c>
      <c r="AD197" s="1981">
        <v>27.218745036892795</v>
      </c>
      <c r="AE197" s="24"/>
      <c r="AF197" s="24"/>
      <c r="AG197" s="388"/>
      <c r="AH197" s="2134"/>
      <c r="AI197" s="388"/>
      <c r="AJ197" s="388"/>
      <c r="AK197" s="2134"/>
      <c r="AL197" s="2134"/>
      <c r="AM197" s="1980"/>
      <c r="AN197" s="1981"/>
      <c r="AO197" s="24"/>
      <c r="AP197" s="388"/>
      <c r="AQ197" s="388"/>
      <c r="AR197" s="388"/>
      <c r="AS197" s="388"/>
      <c r="AT197" s="388"/>
      <c r="AU197" s="388"/>
      <c r="AZ197" s="2027">
        <v>326.79999999999995</v>
      </c>
      <c r="BA197" s="2022">
        <v>-8.0731364275668192</v>
      </c>
      <c r="BB197" s="1981">
        <v>3.0334418398325997</v>
      </c>
      <c r="BC197" s="266">
        <v>832.8</v>
      </c>
      <c r="BD197" s="1980">
        <v>32.780612244897945</v>
      </c>
      <c r="BE197" s="266">
        <v>1159.5999999999999</v>
      </c>
      <c r="BF197" s="1980">
        <v>18.001424646382414</v>
      </c>
      <c r="BG197" s="1981">
        <v>10.763706112208943</v>
      </c>
      <c r="BH197" s="24"/>
      <c r="BI197" s="266">
        <v>10773.241</v>
      </c>
      <c r="BJ197" s="266"/>
      <c r="BK197" s="2889">
        <v>3.0090239164334509</v>
      </c>
      <c r="BL197" s="266"/>
      <c r="BM197" s="1980"/>
      <c r="BN197" s="1981"/>
      <c r="BO197" s="266"/>
      <c r="BP197" s="1980"/>
      <c r="BQ197" s="1981"/>
      <c r="BR197" s="24"/>
      <c r="BS197" s="266"/>
      <c r="BT197" s="1980"/>
      <c r="BU197" s="1981"/>
      <c r="BV197" s="24"/>
      <c r="BW197" s="266"/>
      <c r="BX197" s="1980"/>
      <c r="BY197" s="24"/>
      <c r="BZ197" s="389"/>
      <c r="CA197" s="1980"/>
      <c r="CB197" s="1981"/>
      <c r="CC197" s="389"/>
      <c r="CD197" s="1980"/>
      <c r="CE197" s="1981"/>
      <c r="CF197" s="24"/>
      <c r="CG197" s="389"/>
      <c r="CH197" s="1980"/>
      <c r="CI197" s="1981"/>
      <c r="CJ197" s="24"/>
      <c r="CK197" s="389"/>
      <c r="CL197" s="1980"/>
      <c r="CM197" s="1981"/>
      <c r="CN197" s="24"/>
      <c r="CO197" s="24"/>
      <c r="CP197" s="1980"/>
      <c r="CQ197" s="1981"/>
      <c r="CR197" s="1981"/>
      <c r="CS197" s="168"/>
      <c r="CT197" s="2027">
        <f>SUM(CT193:CT196)</f>
        <v>1131.7919999999999</v>
      </c>
      <c r="CU197" s="2028">
        <v>-4.7540022031788869</v>
      </c>
      <c r="CV197" s="1981">
        <v>16.93969736428539</v>
      </c>
      <c r="CW197" s="2027"/>
      <c r="CX197" s="2027"/>
      <c r="CY197" s="2027"/>
      <c r="CZ197" s="24"/>
      <c r="DA197" s="2027">
        <f>SUM(DA193:DA196)</f>
        <v>618.60500000000002</v>
      </c>
      <c r="DB197" s="2028">
        <v>2.3649995945809632</v>
      </c>
      <c r="DC197" s="1981">
        <v>21.09594347997044</v>
      </c>
      <c r="DD197" s="1981"/>
      <c r="DE197" s="1981"/>
      <c r="DF197" s="1981"/>
      <c r="DG197" s="2134"/>
      <c r="DH197" s="2135"/>
      <c r="DI197" s="2136"/>
      <c r="DJ197" s="24"/>
      <c r="DL197" s="361">
        <v>-34.799999999999997</v>
      </c>
      <c r="DM197" s="2028">
        <v>37.00787401574803</v>
      </c>
      <c r="DN197" s="1981">
        <v>-10.648714810281518</v>
      </c>
      <c r="DO197" s="24"/>
      <c r="DP197" s="361">
        <v>27.875999999999998</v>
      </c>
      <c r="DQ197" s="2028">
        <v>-146.60992860367514</v>
      </c>
      <c r="DR197" s="1981">
        <v>3.3472622478386165</v>
      </c>
      <c r="DS197" s="24"/>
      <c r="DT197" s="361">
        <v>-6.9239999999999995</v>
      </c>
      <c r="DU197" s="2028">
        <v>-91.873907073362517</v>
      </c>
      <c r="DV197" s="1981">
        <v>-0.59710244912038635</v>
      </c>
      <c r="DW197" s="24"/>
      <c r="DX197" s="2027">
        <v>1743.4740000000004</v>
      </c>
      <c r="DY197" s="2028">
        <v>2.1169896856495507</v>
      </c>
      <c r="DZ197" s="1981">
        <v>16.183375086475838</v>
      </c>
      <c r="EA197" s="1981"/>
      <c r="EB197" s="24"/>
      <c r="EC197" s="2027"/>
      <c r="ED197" s="2028"/>
      <c r="EE197" s="1981"/>
      <c r="EF197" s="1981"/>
      <c r="EG197" s="361"/>
    </row>
    <row r="198" spans="1:144" s="161" customFormat="1" hidden="1" outlineLevel="1">
      <c r="A198" s="224"/>
      <c r="B198" s="424"/>
      <c r="C198" s="424"/>
      <c r="D198" s="424"/>
      <c r="E198" s="2111"/>
      <c r="F198" s="2111"/>
      <c r="G198" s="2112"/>
      <c r="H198" s="2113"/>
      <c r="I198" s="2113"/>
      <c r="J198" s="2113"/>
      <c r="K198" s="2111"/>
      <c r="L198" s="2112"/>
      <c r="M198" s="2113"/>
      <c r="Q198" s="168"/>
      <c r="R198" s="2027"/>
      <c r="S198" s="2028"/>
      <c r="T198" s="2028"/>
      <c r="U198" s="1981"/>
      <c r="V198" s="168"/>
      <c r="W198" s="2027"/>
      <c r="X198" s="2027"/>
      <c r="Y198" s="2027"/>
      <c r="Z198" s="2027"/>
      <c r="AA198" s="2027"/>
      <c r="AB198" s="2027"/>
      <c r="AC198" s="2028"/>
      <c r="AD198" s="1981"/>
      <c r="AE198" s="1981"/>
      <c r="AF198" s="1981"/>
      <c r="AG198" s="1981"/>
      <c r="AH198" s="1981"/>
      <c r="AI198" s="168"/>
      <c r="AJ198" s="168"/>
      <c r="AK198" s="2025"/>
      <c r="AL198" s="2114"/>
      <c r="AM198" s="2115"/>
      <c r="AN198" s="2115"/>
      <c r="AO198" s="2114"/>
      <c r="AP198" s="2114"/>
      <c r="AQ198" s="2116"/>
      <c r="AR198" s="1691"/>
      <c r="AS198" s="168"/>
      <c r="AT198" s="2025"/>
      <c r="AU198" s="2025"/>
      <c r="AZ198" s="2025"/>
      <c r="BA198" s="2025"/>
      <c r="BB198" s="2025"/>
      <c r="BC198" s="2025"/>
      <c r="BD198" s="2027"/>
      <c r="BE198" s="2117"/>
      <c r="BF198" s="1981"/>
      <c r="BG198" s="2027"/>
      <c r="BH198" s="2028"/>
      <c r="BI198" s="2027"/>
      <c r="BJ198" s="2027"/>
      <c r="BK198" s="2892"/>
      <c r="BL198" s="1981"/>
      <c r="BM198" s="168"/>
      <c r="BN198" s="2027"/>
      <c r="BO198" s="2028"/>
      <c r="BP198" s="2027"/>
      <c r="BQ198" s="2028"/>
      <c r="BR198" s="1981"/>
      <c r="BS198" s="2027"/>
      <c r="BT198" s="2028"/>
      <c r="BU198" s="1981"/>
      <c r="BV198" s="168"/>
      <c r="BW198" s="2027"/>
      <c r="BX198" s="2028"/>
      <c r="BY198" s="1981"/>
      <c r="BZ198" s="168"/>
      <c r="CA198" s="2027"/>
      <c r="CB198" s="2028"/>
      <c r="CC198" s="168"/>
      <c r="CD198" s="1991"/>
      <c r="CE198" s="2028"/>
      <c r="CF198" s="1981"/>
      <c r="CG198" s="1991"/>
      <c r="CH198" s="2028"/>
      <c r="CI198" s="1981"/>
      <c r="CJ198" s="168"/>
      <c r="CK198" s="1991"/>
      <c r="CL198" s="2028"/>
      <c r="CM198" s="1981"/>
      <c r="CN198" s="168"/>
      <c r="CO198" s="1991"/>
      <c r="CP198" s="2028"/>
      <c r="CQ198" s="1981"/>
      <c r="CR198" s="1981"/>
      <c r="CS198" s="168"/>
      <c r="CT198" s="168"/>
      <c r="CU198" s="2028"/>
      <c r="CV198" s="1981"/>
      <c r="CW198" s="168"/>
      <c r="CX198" s="168"/>
      <c r="CY198" s="168"/>
      <c r="CZ198" s="168"/>
      <c r="DA198" s="2027"/>
      <c r="DB198" s="2028"/>
      <c r="DC198" s="1981"/>
      <c r="DD198" s="1981"/>
      <c r="DE198" s="1981"/>
      <c r="DF198" s="1981"/>
      <c r="DG198" s="168"/>
      <c r="DH198" s="2027"/>
      <c r="DI198" s="2028"/>
      <c r="DJ198" s="1981"/>
      <c r="DK198" s="1981"/>
      <c r="DL198" s="2106"/>
      <c r="DM198" s="2103"/>
      <c r="DN198" s="2048"/>
      <c r="DO198" s="168"/>
      <c r="DP198" s="361"/>
      <c r="DQ198" s="2028"/>
      <c r="DR198" s="1981"/>
      <c r="DS198" s="168"/>
      <c r="DT198" s="361"/>
      <c r="DU198" s="2028"/>
      <c r="DV198" s="1981"/>
      <c r="DW198" s="168"/>
      <c r="DX198" s="361"/>
      <c r="DY198" s="2028"/>
      <c r="DZ198" s="1981"/>
      <c r="EA198" s="168"/>
      <c r="EB198" s="2027"/>
      <c r="EC198" s="2028"/>
      <c r="ED198" s="1981"/>
      <c r="EE198" s="1981"/>
      <c r="EF198" s="361"/>
      <c r="EG198" s="168"/>
      <c r="EH198" s="168"/>
      <c r="EI198" s="168"/>
      <c r="EK198" s="361"/>
      <c r="EL198" s="2028"/>
      <c r="EM198" s="361"/>
      <c r="EN198" s="2028"/>
    </row>
    <row r="199" spans="1:144" s="161" customFormat="1" hidden="1" outlineLevel="1">
      <c r="A199" s="224"/>
      <c r="B199" s="424"/>
      <c r="C199" s="424"/>
      <c r="D199" s="424"/>
      <c r="E199" s="2111"/>
      <c r="F199" s="2111"/>
      <c r="G199" s="2112"/>
      <c r="H199" s="2113"/>
      <c r="I199" s="2113"/>
      <c r="J199" s="2113"/>
      <c r="K199" s="2111"/>
      <c r="L199" s="2112"/>
      <c r="M199" s="2113"/>
      <c r="Q199" s="168"/>
      <c r="R199" s="2027"/>
      <c r="S199" s="2028"/>
      <c r="T199" s="2028"/>
      <c r="U199" s="1981"/>
      <c r="V199" s="168"/>
      <c r="W199" s="2027"/>
      <c r="X199" s="2027"/>
      <c r="Y199" s="2027"/>
      <c r="Z199" s="2027"/>
      <c r="AA199" s="2027"/>
      <c r="AB199" s="2027"/>
      <c r="AC199" s="2028"/>
      <c r="AD199" s="1981"/>
      <c r="AE199" s="1981"/>
      <c r="AF199" s="1981"/>
      <c r="AG199" s="1981"/>
      <c r="AH199" s="1981"/>
      <c r="AI199" s="168"/>
      <c r="AJ199" s="168"/>
      <c r="AK199" s="2025"/>
      <c r="AL199" s="2114"/>
      <c r="AM199" s="2115"/>
      <c r="AN199" s="2115"/>
      <c r="AO199" s="2114"/>
      <c r="AP199" s="2114"/>
      <c r="AQ199" s="2116"/>
      <c r="AR199" s="1691"/>
      <c r="AS199" s="168"/>
      <c r="AT199" s="2025"/>
      <c r="AU199" s="2025"/>
      <c r="AV199" s="2025"/>
      <c r="AW199" s="2025"/>
      <c r="AX199" s="2025"/>
      <c r="AY199" s="2025"/>
      <c r="AZ199" s="2027"/>
      <c r="BA199" s="2117"/>
      <c r="BB199" s="1981"/>
      <c r="BC199" s="2027"/>
      <c r="BD199" s="2028"/>
      <c r="BE199" s="2027"/>
      <c r="BF199" s="2028"/>
      <c r="BG199" s="1981"/>
      <c r="BH199" s="168"/>
      <c r="BI199" s="2027"/>
      <c r="BJ199" s="2027"/>
      <c r="BK199" s="2892"/>
      <c r="BL199" s="2027"/>
      <c r="BM199" s="2028"/>
      <c r="BN199" s="1981"/>
      <c r="BO199" s="2027"/>
      <c r="BP199" s="2028"/>
      <c r="BQ199" s="1981"/>
      <c r="BR199" s="168"/>
      <c r="BS199" s="2027"/>
      <c r="BT199" s="2028"/>
      <c r="BU199" s="1981"/>
      <c r="BV199" s="168"/>
      <c r="BW199" s="2027"/>
      <c r="BX199" s="2028"/>
      <c r="BY199" s="168"/>
      <c r="BZ199" s="1991"/>
      <c r="CA199" s="2028"/>
      <c r="CB199" s="1981"/>
      <c r="CC199" s="1991"/>
      <c r="CD199" s="2028"/>
      <c r="CE199" s="1981"/>
      <c r="CF199" s="168"/>
      <c r="CG199" s="1991"/>
      <c r="CH199" s="2028"/>
      <c r="CI199" s="1981"/>
      <c r="CJ199" s="168"/>
      <c r="CK199" s="1991"/>
      <c r="CL199" s="2028"/>
      <c r="CM199" s="1981"/>
      <c r="CN199" s="168"/>
      <c r="CO199" s="168"/>
      <c r="CP199" s="2028"/>
      <c r="CQ199" s="1981"/>
      <c r="CR199" s="1981"/>
      <c r="CS199" s="168"/>
      <c r="CT199" s="2027"/>
      <c r="CU199" s="2028"/>
      <c r="CV199" s="1981"/>
      <c r="CW199" s="2027"/>
      <c r="CX199" s="2027"/>
      <c r="CY199" s="2027"/>
      <c r="CZ199" s="168"/>
      <c r="DA199" s="2027"/>
      <c r="DB199" s="2028"/>
      <c r="DC199" s="1981"/>
      <c r="DD199" s="1981"/>
      <c r="DE199" s="1981"/>
      <c r="DF199" s="1981"/>
      <c r="DG199" s="1981"/>
      <c r="DH199" s="2106"/>
      <c r="DI199" s="2103"/>
      <c r="DJ199" s="2048"/>
      <c r="DK199" s="168"/>
      <c r="DL199" s="361"/>
      <c r="DM199" s="2028"/>
      <c r="DN199" s="1981"/>
      <c r="DO199" s="168"/>
      <c r="DP199" s="361"/>
      <c r="DQ199" s="2028"/>
      <c r="DR199" s="1981"/>
      <c r="DS199" s="168"/>
      <c r="DT199" s="361"/>
      <c r="DU199" s="2028"/>
      <c r="DV199" s="1981"/>
      <c r="DW199" s="168"/>
      <c r="DX199" s="2027"/>
      <c r="DY199" s="2028"/>
      <c r="DZ199" s="1981"/>
      <c r="EA199" s="1981"/>
      <c r="EB199" s="361"/>
      <c r="EC199" s="168"/>
      <c r="ED199" s="168"/>
      <c r="EE199" s="168"/>
      <c r="EG199" s="361"/>
      <c r="EH199" s="2028"/>
      <c r="EI199" s="361"/>
      <c r="EJ199" s="2028"/>
    </row>
    <row r="200" spans="1:144" s="624" customFormat="1" collapsed="1">
      <c r="A200" s="2118"/>
      <c r="B200" s="2119" t="s">
        <v>1016</v>
      </c>
      <c r="C200" s="2119"/>
      <c r="D200" s="2119"/>
      <c r="E200" s="2120"/>
      <c r="F200" s="2120"/>
      <c r="G200" s="2121"/>
      <c r="H200" s="2122"/>
      <c r="I200" s="2122"/>
      <c r="J200" s="2122"/>
      <c r="K200" s="2120"/>
      <c r="L200" s="2121"/>
      <c r="M200" s="2122"/>
      <c r="Q200" s="1409"/>
      <c r="R200" s="2030"/>
      <c r="S200" s="2031"/>
      <c r="T200" s="2031"/>
      <c r="U200" s="2032"/>
      <c r="V200" s="1409"/>
      <c r="W200" s="2030"/>
      <c r="X200" s="2030"/>
      <c r="Y200" s="2030"/>
      <c r="Z200" s="2030"/>
      <c r="AA200" s="2030"/>
      <c r="AB200" s="2030"/>
      <c r="AC200" s="2031"/>
      <c r="AD200" s="2032"/>
      <c r="AE200" s="2032"/>
      <c r="AF200" s="2032"/>
      <c r="AG200" s="2032"/>
      <c r="AH200" s="2032"/>
      <c r="AI200" s="1409"/>
      <c r="AJ200" s="1409"/>
      <c r="AK200" s="2123"/>
      <c r="AL200" s="2124"/>
      <c r="AM200" s="2125"/>
      <c r="AN200" s="2125"/>
      <c r="AO200" s="2124"/>
      <c r="AP200" s="2124"/>
      <c r="AQ200" s="2126"/>
      <c r="AR200" s="2127"/>
      <c r="AS200" s="1409"/>
      <c r="AT200" s="2123"/>
      <c r="AU200" s="2123"/>
      <c r="AV200" s="2123"/>
      <c r="AW200" s="2123"/>
      <c r="AX200" s="2123"/>
      <c r="AY200" s="2123"/>
      <c r="AZ200" s="2030"/>
      <c r="BA200" s="2128"/>
      <c r="BB200" s="2032"/>
      <c r="BC200" s="2030"/>
      <c r="BD200" s="2031"/>
      <c r="BE200" s="2030"/>
      <c r="BF200" s="2031"/>
      <c r="BG200" s="2032"/>
      <c r="BH200" s="1409"/>
      <c r="BI200" s="2030"/>
      <c r="BJ200" s="2030"/>
      <c r="BK200" s="2893"/>
      <c r="BL200" s="2030"/>
      <c r="BM200" s="2031"/>
      <c r="BN200" s="2032"/>
      <c r="BO200" s="2030"/>
      <c r="BP200" s="2031"/>
      <c r="BQ200" s="2032"/>
      <c r="BR200" s="1409"/>
      <c r="BS200" s="2030"/>
      <c r="BT200" s="2031"/>
      <c r="BU200" s="2032"/>
      <c r="BV200" s="1409"/>
      <c r="BW200" s="2030"/>
      <c r="BX200" s="2031"/>
      <c r="BY200" s="1409"/>
      <c r="BZ200" s="2033"/>
      <c r="CA200" s="2031"/>
      <c r="CB200" s="2032"/>
      <c r="CC200" s="2033"/>
      <c r="CD200" s="2031"/>
      <c r="CE200" s="2032"/>
      <c r="CF200" s="1409"/>
      <c r="CG200" s="2033"/>
      <c r="CH200" s="2031"/>
      <c r="CI200" s="2032"/>
      <c r="CJ200" s="1409"/>
      <c r="CK200" s="2033"/>
      <c r="CL200" s="2031"/>
      <c r="CM200" s="2032"/>
      <c r="CN200" s="1409"/>
      <c r="CO200" s="1409"/>
      <c r="CP200" s="2031"/>
      <c r="CQ200" s="2032"/>
      <c r="CR200" s="2032"/>
      <c r="CS200" s="1409"/>
      <c r="CT200" s="2030"/>
      <c r="CU200" s="2031"/>
      <c r="CV200" s="2032"/>
      <c r="CW200" s="2030"/>
      <c r="CX200" s="2030"/>
      <c r="CY200" s="2030"/>
      <c r="CZ200" s="1409"/>
      <c r="DA200" s="2030"/>
      <c r="DB200" s="2031"/>
      <c r="DC200" s="2032"/>
      <c r="DD200" s="2032"/>
      <c r="DE200" s="2032"/>
      <c r="DF200" s="2032"/>
      <c r="DG200" s="2032"/>
      <c r="DH200" s="2129"/>
      <c r="DI200" s="2130"/>
      <c r="DJ200" s="2131"/>
      <c r="DK200" s="1409"/>
      <c r="DL200" s="2081"/>
      <c r="DM200" s="2031"/>
      <c r="DN200" s="2032"/>
      <c r="DO200" s="1409"/>
      <c r="DP200" s="2081"/>
      <c r="DQ200" s="2031"/>
      <c r="DR200" s="2032"/>
      <c r="DS200" s="1409"/>
      <c r="DT200" s="2081"/>
      <c r="DU200" s="2031"/>
      <c r="DV200" s="2032"/>
      <c r="DW200" s="1409"/>
      <c r="DX200" s="2030"/>
      <c r="DY200" s="2031"/>
      <c r="DZ200" s="2032"/>
      <c r="EA200" s="2032"/>
      <c r="EB200" s="2081"/>
      <c r="EC200" s="1409"/>
      <c r="ED200" s="1409"/>
      <c r="EE200" s="1409"/>
      <c r="EG200" s="2081"/>
      <c r="EH200" s="2031"/>
      <c r="EI200" s="2081"/>
      <c r="EJ200" s="2031"/>
    </row>
    <row r="201" spans="1:144">
      <c r="A201" s="113"/>
      <c r="B201" s="136" t="str">
        <f>qtrSales!B172</f>
        <v>2012A</v>
      </c>
      <c r="C201" s="24"/>
      <c r="D201" s="24"/>
      <c r="E201" s="428"/>
      <c r="F201" s="428"/>
      <c r="G201" s="1980"/>
      <c r="H201" s="1981"/>
      <c r="I201" s="1981"/>
      <c r="J201" s="1981"/>
      <c r="K201" s="24"/>
      <c r="L201" s="1980"/>
      <c r="M201" s="1981"/>
      <c r="Q201" s="24"/>
      <c r="R201" s="428"/>
      <c r="S201" s="1980"/>
      <c r="T201" s="1980"/>
      <c r="U201" s="1981"/>
      <c r="V201" s="428"/>
      <c r="W201" s="428"/>
      <c r="X201" s="428"/>
      <c r="Y201" s="428"/>
      <c r="Z201" s="428"/>
      <c r="AA201" s="428"/>
      <c r="AB201" s="428"/>
      <c r="AC201" s="1980"/>
      <c r="AD201" s="1981"/>
      <c r="AE201" s="1981"/>
      <c r="AF201" s="1981"/>
      <c r="AG201" s="1981"/>
      <c r="AH201" s="1981"/>
      <c r="AI201" s="24"/>
      <c r="AJ201" s="399"/>
      <c r="AK201" s="24"/>
      <c r="AL201" s="2088"/>
      <c r="AM201" s="2089"/>
      <c r="AN201" s="2089"/>
      <c r="AO201" s="2088"/>
      <c r="AP201" s="2089"/>
      <c r="AQ201" s="2088"/>
      <c r="AR201" s="2107"/>
      <c r="AS201" s="24"/>
      <c r="AT201" s="24"/>
      <c r="AU201" s="24"/>
      <c r="AV201" s="24"/>
      <c r="AW201" s="24"/>
      <c r="AX201" s="24"/>
      <c r="AY201" s="24"/>
      <c r="AZ201" s="428"/>
      <c r="BA201" s="1981"/>
      <c r="BB201" s="1981"/>
      <c r="BC201" s="381"/>
      <c r="BD201" s="2070"/>
      <c r="BE201" s="381"/>
      <c r="BF201" s="2070"/>
      <c r="BG201" s="1981"/>
      <c r="BH201" s="24"/>
      <c r="BI201" s="24"/>
      <c r="BJ201" s="24"/>
      <c r="BK201" s="2889"/>
      <c r="BL201" s="389"/>
      <c r="BM201" s="1988"/>
      <c r="BN201" s="1989"/>
      <c r="BO201" s="389"/>
      <c r="BP201" s="389"/>
      <c r="BQ201" s="389"/>
      <c r="BR201" s="389"/>
      <c r="BS201" s="389"/>
      <c r="BT201" s="389"/>
      <c r="BU201" s="389"/>
      <c r="BV201" s="389"/>
      <c r="BW201" s="266"/>
      <c r="BX201" s="24"/>
      <c r="BY201" s="24"/>
      <c r="BZ201" s="389"/>
      <c r="CA201" s="1988"/>
      <c r="CB201" s="1989"/>
      <c r="CC201" s="389"/>
      <c r="CD201" s="389"/>
      <c r="CE201" s="389"/>
      <c r="CF201" s="389"/>
      <c r="CG201" s="389"/>
      <c r="CH201" s="389"/>
      <c r="CI201" s="389"/>
      <c r="CJ201" s="389"/>
      <c r="CK201" s="389"/>
      <c r="CL201" s="389"/>
      <c r="CM201" s="389"/>
      <c r="CN201" s="389"/>
      <c r="CO201" s="266"/>
      <c r="CP201" s="24"/>
      <c r="CQ201" s="24"/>
      <c r="CR201" s="2886"/>
      <c r="CS201" s="136" t="s">
        <v>201</v>
      </c>
      <c r="CT201" s="164"/>
      <c r="CU201" s="24"/>
      <c r="CV201" s="2071"/>
      <c r="CW201" s="164"/>
      <c r="CX201" s="164"/>
      <c r="CY201" s="164"/>
      <c r="CZ201" s="24"/>
      <c r="DA201" s="24"/>
      <c r="DB201" s="24"/>
      <c r="DC201" s="24"/>
      <c r="DD201" s="24"/>
      <c r="DE201" s="24"/>
      <c r="DF201" s="24"/>
      <c r="DG201" s="24"/>
      <c r="DH201" s="2108"/>
      <c r="DI201" s="1242"/>
      <c r="DJ201" s="2109"/>
      <c r="DK201" s="24"/>
      <c r="DL201" s="24"/>
      <c r="DM201" s="24"/>
      <c r="DN201" s="24"/>
      <c r="DO201" s="24"/>
      <c r="DP201" s="24"/>
      <c r="DQ201" s="24"/>
      <c r="DR201" s="24"/>
      <c r="DS201" s="24"/>
      <c r="DT201" s="24"/>
      <c r="DU201" s="24"/>
      <c r="DV201" s="24"/>
      <c r="DW201" s="24"/>
      <c r="DX201" s="266"/>
      <c r="DY201" s="24"/>
      <c r="DZ201" s="1981"/>
      <c r="EA201" s="24"/>
      <c r="EB201" s="24"/>
      <c r="EC201" s="24"/>
      <c r="ED201" s="24"/>
      <c r="EE201" s="24"/>
      <c r="EG201" s="24"/>
      <c r="EH201" s="24"/>
      <c r="EI201" s="24"/>
      <c r="EJ201" s="24"/>
    </row>
    <row r="202" spans="1:144">
      <c r="A202" s="113" t="str">
        <f>qtrSales!A173</f>
        <v>1Q</v>
      </c>
      <c r="B202" s="24" t="str">
        <f>qtrSales!B173</f>
        <v>Apr</v>
      </c>
      <c r="C202" s="24"/>
      <c r="D202" s="24"/>
      <c r="E202" s="366">
        <f>R202-K202</f>
        <v>1117.271</v>
      </c>
      <c r="F202" s="2385">
        <f>segmthSales!CR14</f>
        <v>9</v>
      </c>
      <c r="G202" s="2028">
        <f>+(E202/E178-1)*100</f>
        <v>13.244577336306506</v>
      </c>
      <c r="H202" s="1981">
        <f>+E202/$BI202*100</f>
        <v>51.874793386894879</v>
      </c>
      <c r="I202" s="2137">
        <f>E202-E186</f>
        <v>29.495999999999867</v>
      </c>
      <c r="J202" s="2137"/>
      <c r="K202" s="2023">
        <v>382</v>
      </c>
      <c r="L202" s="2028">
        <f>+(K202/K178-1)*100</f>
        <v>3.5510978584982533</v>
      </c>
      <c r="M202" s="1981">
        <f>+K202/BI202*100</f>
        <v>17.736226102524672</v>
      </c>
      <c r="N202" s="1895"/>
      <c r="O202" s="1895"/>
      <c r="P202" s="1895"/>
      <c r="Q202" s="2056"/>
      <c r="R202" s="1413">
        <v>1499.271</v>
      </c>
      <c r="S202" s="1980">
        <f>+(R202/R178-1)*100</f>
        <v>10.607063260378325</v>
      </c>
      <c r="T202" s="1980"/>
      <c r="U202" s="1981">
        <f>+R202/$BI202*100</f>
        <v>69.611019489419547</v>
      </c>
      <c r="V202" s="24"/>
      <c r="W202" s="2023">
        <v>533.62599999999998</v>
      </c>
      <c r="X202" s="2137">
        <f>W202-W186</f>
        <v>28.588999999999999</v>
      </c>
      <c r="Y202" s="2023"/>
      <c r="Z202" s="2023"/>
      <c r="AA202" s="2385">
        <f>segmthSales!CR37</f>
        <v>6</v>
      </c>
      <c r="AB202" s="2385"/>
      <c r="AC202" s="1980">
        <f>+(W202/W178-1)*100</f>
        <v>11.240681753748127</v>
      </c>
      <c r="AD202" s="1981">
        <f>+W202/$BI202*100</f>
        <v>24.776207827711598</v>
      </c>
      <c r="AE202" s="1981"/>
      <c r="AF202" s="1981"/>
      <c r="AG202" s="138">
        <v>18.71</v>
      </c>
      <c r="AH202" s="1976" t="s">
        <v>520</v>
      </c>
      <c r="AI202" s="1981">
        <f>+AG202/$BI202*100</f>
        <v>0.86870363973360376</v>
      </c>
      <c r="AJ202" s="24"/>
      <c r="AK202" s="2011"/>
      <c r="AL202" s="2094"/>
      <c r="AM202" s="2094"/>
      <c r="AN202" s="2094"/>
      <c r="AO202" s="2094"/>
      <c r="AP202" s="2094"/>
      <c r="AQ202" s="2088"/>
      <c r="AR202" s="381"/>
      <c r="AS202" s="24"/>
      <c r="AT202" s="1982"/>
      <c r="AU202" s="1982"/>
      <c r="AV202" s="1982"/>
      <c r="AW202" s="1982"/>
      <c r="AX202" s="1982"/>
      <c r="AY202" s="1982"/>
      <c r="AZ202" s="2041">
        <v>75.3</v>
      </c>
      <c r="BA202" s="1980">
        <f>(AZ202/AZ178-1)*100</f>
        <v>-14.722536806342013</v>
      </c>
      <c r="BB202" s="1981">
        <f>(AZ202/BI202)*100</f>
        <v>3.4961723181154656</v>
      </c>
      <c r="BC202" s="42">
        <f>BE202-AZ202</f>
        <v>26.87700000000001</v>
      </c>
      <c r="BD202" s="2138"/>
      <c r="BE202" s="2023">
        <v>102.17700000000001</v>
      </c>
      <c r="BF202" s="1980">
        <f>+(BE202/BE178-1)*100</f>
        <v>-73.23948457388299</v>
      </c>
      <c r="BG202" s="1981">
        <f>+BE202/$BI202*100</f>
        <v>4.7440690431352444</v>
      </c>
      <c r="BH202" s="24"/>
      <c r="BI202" s="1691">
        <f>+E202+K202+W202+BE202+AG202</f>
        <v>2153.7840000000001</v>
      </c>
      <c r="BJ202" s="2385">
        <f>'qtrP&amp;L'!CV10</f>
        <v>7</v>
      </c>
      <c r="BK202" s="2889">
        <f>+(BI202/BI178-1)*100</f>
        <v>-2.8524725036806031</v>
      </c>
      <c r="BL202" s="381">
        <f>+E202+K202+W202+AT202+AY202</f>
        <v>2032.8969999999999</v>
      </c>
      <c r="BM202" s="1980">
        <f>+(BL202/BL171-1)*100</f>
        <v>26.376787268432178</v>
      </c>
      <c r="BN202" s="1981">
        <f>+BL202/$BW202*100</f>
        <v>100</v>
      </c>
      <c r="BO202" s="381">
        <f>+AL202+AM202+AN202+AO202+AU202</f>
        <v>0</v>
      </c>
      <c r="BP202" s="1980">
        <f>+(BO202/BO171-1)*100</f>
        <v>-100</v>
      </c>
      <c r="BQ202" s="1981">
        <f>+BO202/$BW202*100</f>
        <v>0</v>
      </c>
      <c r="BR202" s="389"/>
      <c r="BS202" s="381">
        <f>+AK202+AV202+AW202+AX202</f>
        <v>0</v>
      </c>
      <c r="BT202" s="1980"/>
      <c r="BU202" s="1981">
        <f>+BS202/$BW202*100</f>
        <v>0</v>
      </c>
      <c r="BV202" s="389"/>
      <c r="BW202" s="381">
        <f>+BL202+BO202+BS202</f>
        <v>2032.8969999999999</v>
      </c>
      <c r="BX202" s="1980">
        <f>+(BW202/BW171-1)*100</f>
        <v>-3.6256237037036843</v>
      </c>
      <c r="BY202" s="24"/>
      <c r="BZ202" s="390"/>
      <c r="CA202" s="1980"/>
      <c r="CB202" s="1981"/>
      <c r="CC202" s="390"/>
      <c r="CD202" s="1980"/>
      <c r="CE202" s="1981"/>
      <c r="CF202" s="389"/>
      <c r="CG202" s="390"/>
      <c r="CH202" s="1980"/>
      <c r="CI202" s="1981"/>
      <c r="CJ202" s="24"/>
      <c r="CK202" s="390"/>
      <c r="CL202" s="1980"/>
      <c r="CM202" s="1981"/>
      <c r="CN202" s="24"/>
      <c r="CO202" s="165"/>
      <c r="CP202" s="1980"/>
      <c r="CQ202" s="1981"/>
      <c r="CR202" s="2886" t="s">
        <v>119</v>
      </c>
      <c r="CS202" s="24" t="s">
        <v>830</v>
      </c>
      <c r="CT202" s="2023">
        <v>279.68400000000003</v>
      </c>
      <c r="CU202" s="2028">
        <f>+(CT202/CT178-1)*100</f>
        <v>14.13763411021014</v>
      </c>
      <c r="CV202" s="1981">
        <f>+CT202/R202*100</f>
        <v>18.654666167757533</v>
      </c>
      <c r="CW202" s="2137">
        <f>CT202-CT186</f>
        <v>1.8570000000000277</v>
      </c>
      <c r="CX202" s="2137"/>
      <c r="CY202" s="1981">
        <f>(CW202/I202)*100</f>
        <v>6.2957689178194869</v>
      </c>
      <c r="CZ202" s="168"/>
      <c r="DA202" s="2023">
        <v>61.036999999999999</v>
      </c>
      <c r="DB202" s="2028">
        <f>+(DA202/DA178-1)*100</f>
        <v>12.566623019751777</v>
      </c>
      <c r="DC202" s="1981">
        <f>+DA202/W202*100</f>
        <v>11.438160809255921</v>
      </c>
      <c r="DD202" s="2137">
        <f>DA202-DA186</f>
        <v>0.86899999999999977</v>
      </c>
      <c r="DE202" s="2137"/>
      <c r="DF202" s="1981">
        <f>(DD202/X202)*100</f>
        <v>3.0396306271642932</v>
      </c>
      <c r="DG202" s="1981"/>
      <c r="DH202" s="365">
        <v>-3.6349999999999998</v>
      </c>
      <c r="DI202" s="2139" t="s">
        <v>520</v>
      </c>
      <c r="DJ202" s="1981">
        <f>+DH202/AG202*100</f>
        <v>-19.428113308391232</v>
      </c>
      <c r="DK202" s="168"/>
      <c r="DL202" s="2023">
        <v>-11.4</v>
      </c>
      <c r="DM202" s="2028">
        <f>+(DL202/DL178-1)*100</f>
        <v>112.52796420581657</v>
      </c>
      <c r="DN202" s="1981">
        <f>+DL202/AZ202*100</f>
        <v>-15.139442231075698</v>
      </c>
      <c r="DO202" s="168"/>
      <c r="DP202" s="1691">
        <v>-33.368000000000002</v>
      </c>
      <c r="DQ202" s="2028">
        <f>+(DP202/DP178-1)*100</f>
        <v>23.233740813236324</v>
      </c>
      <c r="DR202" s="1981">
        <v>-32.177434908389586</v>
      </c>
      <c r="DS202" s="168"/>
      <c r="DT202" s="1691">
        <v>-43.859000000000002</v>
      </c>
      <c r="DU202" s="2117" t="s">
        <v>886</v>
      </c>
      <c r="DV202" s="1981">
        <f>+DT202/BE202*100</f>
        <v>-42.924532918367149</v>
      </c>
      <c r="DW202" s="168"/>
      <c r="DX202" s="381">
        <f>+'qtrP&amp;L'!CT60</f>
        <v>293.2270000000002</v>
      </c>
      <c r="DY202" s="2028">
        <f>+(DX202/DX178-1)*100</f>
        <v>9.8956986466685279</v>
      </c>
      <c r="DZ202" s="1981">
        <f>(+DX202/BI202)*100</f>
        <v>13.614503589960748</v>
      </c>
      <c r="EA202" s="2005" t="str">
        <f>IF(ROUND(EB202,0)=ROUND(DX202,0)," ","no")</f>
        <v xml:space="preserve"> </v>
      </c>
      <c r="EB202" s="361">
        <f>DT202+DA202+DH202+CT202</f>
        <v>293.22700000000003</v>
      </c>
      <c r="EC202" s="24"/>
      <c r="ED202" s="24"/>
      <c r="EE202" s="24"/>
      <c r="EG202" s="2023"/>
      <c r="EH202" s="2037"/>
      <c r="EI202" s="1691"/>
      <c r="EJ202" s="2037"/>
    </row>
    <row r="203" spans="1:144">
      <c r="A203" s="113" t="str">
        <f>qtrSales!A174</f>
        <v>2Q</v>
      </c>
      <c r="B203" s="24" t="str">
        <f>qtrSales!B174</f>
        <v>Jul</v>
      </c>
      <c r="C203" s="24"/>
      <c r="D203" s="24"/>
      <c r="E203" s="366">
        <f>R203-K203</f>
        <v>1205.768</v>
      </c>
      <c r="F203" s="2385">
        <f>segmthSales!CR19</f>
        <v>11</v>
      </c>
      <c r="G203" s="2028">
        <f>+(E203/E179-1)*100</f>
        <v>13.366679202707799</v>
      </c>
      <c r="H203" s="1981">
        <f>+E203/$BI203*100</f>
        <v>50.259264322894957</v>
      </c>
      <c r="I203" s="2140">
        <f>E203-E187</f>
        <v>35.621999999999844</v>
      </c>
      <c r="J203" s="2140"/>
      <c r="K203" s="366">
        <v>406.6</v>
      </c>
      <c r="L203" s="2028">
        <f>+(K203/K179-1)*100</f>
        <v>3.4868923390175777</v>
      </c>
      <c r="M203" s="1981">
        <f>+K203/BI203*100</f>
        <v>16.948050432329513</v>
      </c>
      <c r="N203" s="1895"/>
      <c r="O203" s="1895"/>
      <c r="P203" s="1895"/>
      <c r="Q203" s="2056"/>
      <c r="R203" s="1413">
        <v>1612.3679999999999</v>
      </c>
      <c r="S203" s="1980">
        <f>+(R203/R179-1)*100</f>
        <v>10.702532875336335</v>
      </c>
      <c r="T203" s="1980"/>
      <c r="U203" s="1981">
        <f>+R203/$BI203*100</f>
        <v>67.207314755224473</v>
      </c>
      <c r="V203" s="24"/>
      <c r="W203" s="2025">
        <v>642.87</v>
      </c>
      <c r="X203" s="2140">
        <f t="shared" ref="X203:X213" si="6">W203-W187</f>
        <v>33.765999999999963</v>
      </c>
      <c r="Y203" s="2025"/>
      <c r="Z203" s="2025"/>
      <c r="AA203" s="2385">
        <f>segmthSales!CR42</f>
        <v>7.465575366721465</v>
      </c>
      <c r="AB203" s="2385"/>
      <c r="AC203" s="1980">
        <f>+(W203/W179-1)*100</f>
        <v>14.181633465003273</v>
      </c>
      <c r="AD203" s="1981">
        <f>+W203/$BI203*100</f>
        <v>26.796343289305639</v>
      </c>
      <c r="AE203" s="1981"/>
      <c r="AF203" s="1981"/>
      <c r="AG203" s="174">
        <v>21.565000000000001</v>
      </c>
      <c r="AH203" s="1976" t="s">
        <v>520</v>
      </c>
      <c r="AI203" s="1981">
        <f>+AG203/$BI203*100</f>
        <v>0.89888024489224272</v>
      </c>
      <c r="AJ203" s="24"/>
      <c r="AK203" s="388"/>
      <c r="AL203" s="2094"/>
      <c r="AM203" s="2094"/>
      <c r="AN203" s="2094"/>
      <c r="AO203" s="2094"/>
      <c r="AP203" s="2094"/>
      <c r="AQ203" s="2088"/>
      <c r="AR203" s="381"/>
      <c r="AS203" s="24"/>
      <c r="AT203" s="388"/>
      <c r="AU203" s="388"/>
      <c r="AV203" s="388"/>
      <c r="AW203" s="388"/>
      <c r="AX203" s="388"/>
      <c r="AY203" s="388"/>
      <c r="AZ203" s="2025">
        <v>94.9</v>
      </c>
      <c r="BA203" s="1980">
        <f>(AZ203/AZ179-1)*100</f>
        <v>-16.900175131348504</v>
      </c>
      <c r="BB203" s="1981">
        <f t="shared" ref="BB203:BB213" si="7">(AZ203/BI203)*100</f>
        <v>3.9556566306642171</v>
      </c>
      <c r="BC203" s="405">
        <f>BE203-AZ203</f>
        <v>27.393000000000001</v>
      </c>
      <c r="BD203" s="2138"/>
      <c r="BE203" s="2025">
        <v>122.29300000000001</v>
      </c>
      <c r="BF203" s="1980">
        <f>+(BE203/BE179-1)*100</f>
        <v>-72.118944699788429</v>
      </c>
      <c r="BG203" s="1981">
        <f>+BE203/$BI203*100</f>
        <v>5.097461710577651</v>
      </c>
      <c r="BH203" s="24"/>
      <c r="BI203" s="266">
        <f>+E203+K203+W203+BE203+AG203</f>
        <v>2399.096</v>
      </c>
      <c r="BJ203" s="2385">
        <f>'qtrP&amp;L'!CV11</f>
        <v>8</v>
      </c>
      <c r="BK203" s="2889">
        <f>+(BI203/BI179-1)*100</f>
        <v>-2.402296362952927</v>
      </c>
      <c r="BL203" s="266">
        <f>+E203+K203+W203+AT203+AY203</f>
        <v>2255.2379999999998</v>
      </c>
      <c r="BM203" s="1980">
        <f>+(BL203/BL172-1)*100</f>
        <v>19.783424679579966</v>
      </c>
      <c r="BN203" s="1981">
        <f>+BL203/$BW203*100</f>
        <v>100</v>
      </c>
      <c r="BO203" s="266">
        <f>+AL203+AM203+AN203+AO203+AU203</f>
        <v>0</v>
      </c>
      <c r="BP203" s="1980">
        <f>+(BO203/BO172-1)*100</f>
        <v>-100</v>
      </c>
      <c r="BQ203" s="1981">
        <f>+BO203/$BW203*100</f>
        <v>0</v>
      </c>
      <c r="BR203" s="389"/>
      <c r="BS203" s="266">
        <f>+AK203+AV203+AW203+AX203</f>
        <v>0</v>
      </c>
      <c r="BT203" s="1980"/>
      <c r="BU203" s="1981">
        <f>+BS203/$BW203*100</f>
        <v>0</v>
      </c>
      <c r="BV203" s="389"/>
      <c r="BW203" s="266">
        <f>+BL203+BO203+BS203</f>
        <v>2255.2379999999998</v>
      </c>
      <c r="BX203" s="1980">
        <f>+(BW203/BW172-1)*100</f>
        <v>9.6535250012963481E-2</v>
      </c>
      <c r="BY203" s="24"/>
      <c r="BZ203" s="389"/>
      <c r="CA203" s="1980"/>
      <c r="CB203" s="1981"/>
      <c r="CC203" s="389"/>
      <c r="CD203" s="1980"/>
      <c r="CE203" s="1981"/>
      <c r="CF203" s="389"/>
      <c r="CG203" s="389"/>
      <c r="CH203" s="1980"/>
      <c r="CI203" s="1981"/>
      <c r="CJ203" s="389"/>
      <c r="CK203" s="389"/>
      <c r="CL203" s="1980"/>
      <c r="CM203" s="1981"/>
      <c r="CN203" s="389"/>
      <c r="CO203" s="266"/>
      <c r="CP203" s="1980"/>
      <c r="CQ203" s="1981"/>
      <c r="CR203" s="2886" t="s">
        <v>120</v>
      </c>
      <c r="CS203" s="24" t="s">
        <v>653</v>
      </c>
      <c r="CT203" s="1991">
        <v>259.88299999999998</v>
      </c>
      <c r="CU203" s="2028">
        <f>+(CT203/CT179-1)*100</f>
        <v>8.9583088765533567</v>
      </c>
      <c r="CV203" s="1981">
        <f>+CT203/R203*100</f>
        <v>16.118094628521529</v>
      </c>
      <c r="CW203" s="2140">
        <f>CT203-CT187</f>
        <v>3.311999999999955</v>
      </c>
      <c r="CX203" s="2140"/>
      <c r="CY203" s="1981">
        <f>(CW203/I203)*100</f>
        <v>9.2976250631631281</v>
      </c>
      <c r="CZ203" s="168"/>
      <c r="DA203" s="2044">
        <v>90.525999999999996</v>
      </c>
      <c r="DB203" s="2028">
        <f>+(DA203/DA179-1)*100</f>
        <v>29.134689452512031</v>
      </c>
      <c r="DC203" s="1981">
        <f>+DA203/W203*100</f>
        <v>14.081540591410393</v>
      </c>
      <c r="DD203" s="2140">
        <f>DA203-DA187</f>
        <v>2.6329999999999956</v>
      </c>
      <c r="DE203" s="2140"/>
      <c r="DF203" s="1981">
        <f>(DD203/X203)*100</f>
        <v>7.7977847538944465</v>
      </c>
      <c r="DG203" s="1981"/>
      <c r="DH203" s="2141">
        <v>-2.0499999999999998</v>
      </c>
      <c r="DI203" s="2139" t="s">
        <v>520</v>
      </c>
      <c r="DJ203" s="1981">
        <f>+DH203/AG203*100</f>
        <v>-9.5061442151634576</v>
      </c>
      <c r="DK203" s="168"/>
      <c r="DL203" s="1417">
        <v>-5</v>
      </c>
      <c r="DM203" s="2028">
        <f>+(DL203/DL179-1)*100</f>
        <v>-1063.3911368015413</v>
      </c>
      <c r="DN203" s="1981">
        <f>+DL203/AZ203*100</f>
        <v>-5.2687038988408847</v>
      </c>
      <c r="DO203" s="168"/>
      <c r="DP203" s="1417">
        <v>-30.526000000000003</v>
      </c>
      <c r="DQ203" s="2028">
        <f>+(DP203/DP179-1)*100</f>
        <v>1302.8492647058824</v>
      </c>
      <c r="DR203" s="1981">
        <v>-25.782094594594597</v>
      </c>
      <c r="DS203" s="168"/>
      <c r="DT203" s="1417">
        <v>-39.420999999999999</v>
      </c>
      <c r="DU203" s="2117" t="s">
        <v>886</v>
      </c>
      <c r="DV203" s="1981">
        <f>+DT203/BE203*100</f>
        <v>-32.234878529433409</v>
      </c>
      <c r="DW203" s="168"/>
      <c r="DX203" s="2027">
        <f>+'qtrP&amp;L'!CT61</f>
        <v>308.87900000000002</v>
      </c>
      <c r="DY203" s="2028">
        <f>+(DX203/DX179-1)*100</f>
        <v>0.62483507676867056</v>
      </c>
      <c r="DZ203" s="1981">
        <f>(+DX203/BI203)*100</f>
        <v>12.874807844288016</v>
      </c>
      <c r="EA203" s="2005" t="str">
        <f>IF(ROUND(EB203,0)=ROUND(DX203,0)," ","no")</f>
        <v xml:space="preserve"> </v>
      </c>
      <c r="EB203" s="361">
        <f>DT203+DA203+DH203+CT203</f>
        <v>308.93799999999999</v>
      </c>
      <c r="EC203" s="24"/>
      <c r="ED203" s="24"/>
      <c r="EE203" s="24"/>
      <c r="EG203" s="2044"/>
      <c r="EH203" s="2037"/>
      <c r="EI203" s="1417"/>
      <c r="EJ203" s="2037"/>
    </row>
    <row r="204" spans="1:144">
      <c r="A204" s="113" t="str">
        <f>qtrSales!A175</f>
        <v>3Q</v>
      </c>
      <c r="B204" s="24" t="str">
        <f>qtrSales!B175</f>
        <v>Oct</v>
      </c>
      <c r="C204" s="24"/>
      <c r="D204" s="24"/>
      <c r="E204" s="366">
        <f>R204-K204</f>
        <v>1046.1120000000001</v>
      </c>
      <c r="F204" s="2385">
        <f>segmthSales!CR24</f>
        <v>6</v>
      </c>
      <c r="G204" s="2028">
        <f>+(E204/E180-1)*100</f>
        <v>11.099405267629582</v>
      </c>
      <c r="H204" s="1981">
        <f>+E204/$BI204*100</f>
        <v>51.025149388666115</v>
      </c>
      <c r="I204" s="2140">
        <f>E204-E188</f>
        <v>36.902000000000157</v>
      </c>
      <c r="J204" s="2140"/>
      <c r="K204" s="366">
        <v>270.60000000000002</v>
      </c>
      <c r="L204" s="2028">
        <f>+(K204/K180-1)*100</f>
        <v>-2.2751895991332427</v>
      </c>
      <c r="M204" s="1981">
        <f>+K204/BI204*100</f>
        <v>13.198783136579115</v>
      </c>
      <c r="N204" s="1895"/>
      <c r="O204" s="1895"/>
      <c r="P204" s="1895"/>
      <c r="Q204" s="2056"/>
      <c r="R204" s="1413">
        <v>1316.712</v>
      </c>
      <c r="S204" s="1980">
        <f>+(R204/R180-1)*100</f>
        <v>8.064153427211874</v>
      </c>
      <c r="T204" s="1980"/>
      <c r="U204" s="1981">
        <f>+R204/$BI204*100</f>
        <v>64.223932525245218</v>
      </c>
      <c r="V204" s="24"/>
      <c r="W204" s="388">
        <v>574.04499999999996</v>
      </c>
      <c r="X204" s="2140">
        <f t="shared" si="6"/>
        <v>35.617999999999938</v>
      </c>
      <c r="Y204" s="388"/>
      <c r="Z204" s="388"/>
      <c r="AA204" s="2385">
        <f>segmthSales!CR47</f>
        <v>5</v>
      </c>
      <c r="AB204" s="2385"/>
      <c r="AC204" s="1980">
        <f>+(W204/W180-1)*100</f>
        <v>13.962486649169946</v>
      </c>
      <c r="AD204" s="1981">
        <f>+W204/$BI204*100</f>
        <v>27.999613694152092</v>
      </c>
      <c r="AE204" s="1981"/>
      <c r="AF204" s="1981"/>
      <c r="AG204" s="174">
        <v>38.463999999999999</v>
      </c>
      <c r="AH204" s="1976" t="s">
        <v>520</v>
      </c>
      <c r="AI204" s="1981">
        <f>+AG204/$BI204*100</f>
        <v>1.8761197138410162</v>
      </c>
      <c r="AJ204" s="24"/>
      <c r="AK204" s="388"/>
      <c r="AL204" s="2094"/>
      <c r="AM204" s="2094"/>
      <c r="AN204" s="2094"/>
      <c r="AO204" s="2094"/>
      <c r="AP204" s="2094"/>
      <c r="AQ204" s="2088"/>
      <c r="AR204" s="381"/>
      <c r="AS204" s="24"/>
      <c r="AT204" s="388"/>
      <c r="AU204" s="388"/>
      <c r="AV204" s="388"/>
      <c r="AW204" s="388"/>
      <c r="AX204" s="388"/>
      <c r="AY204" s="388"/>
      <c r="AZ204" s="2025">
        <v>82.9</v>
      </c>
      <c r="BA204" s="1980">
        <f>(AZ204/AZ180-1)*100</f>
        <v>-10.764262648008616</v>
      </c>
      <c r="BB204" s="1981">
        <f t="shared" si="7"/>
        <v>4.0435296453156262</v>
      </c>
      <c r="BC204" s="405">
        <f>BE204-AZ204</f>
        <v>38.067999999999998</v>
      </c>
      <c r="BD204" s="2138"/>
      <c r="BE204" s="2025">
        <v>120.968</v>
      </c>
      <c r="BF204" s="1980">
        <f>+(BE204/BE180-1)*100</f>
        <v>-73.192805793658536</v>
      </c>
      <c r="BG204" s="1981">
        <f>+BE204/$BI204*100</f>
        <v>5.9003340667616495</v>
      </c>
      <c r="BH204" s="24"/>
      <c r="BI204" s="266">
        <f>+E204+K204+W204+BE204+AG204</f>
        <v>2050.1890000000003</v>
      </c>
      <c r="BJ204" s="2385">
        <f>'qtrP&amp;L'!CV12</f>
        <v>5</v>
      </c>
      <c r="BK204" s="2889">
        <f>+(BI204/BI180-1)*100</f>
        <v>-5.6719083712374445</v>
      </c>
      <c r="BL204" s="266">
        <f>+E204+K204+W204+AT204+AY204</f>
        <v>1890.7570000000001</v>
      </c>
      <c r="BM204" s="1980">
        <f>+(BL204/BL173-1)*100</f>
        <v>20.67272682016814</v>
      </c>
      <c r="BN204" s="1981">
        <f>+BL204/$BW204*100</f>
        <v>100</v>
      </c>
      <c r="BO204" s="266">
        <f>+AL204+AM204+AN204+AO204+AU204</f>
        <v>0</v>
      </c>
      <c r="BP204" s="1980">
        <f>+(BO204/BO173-1)*100</f>
        <v>-100</v>
      </c>
      <c r="BQ204" s="1981">
        <f>+BO204/$BW204*100</f>
        <v>0</v>
      </c>
      <c r="BR204" s="24"/>
      <c r="BS204" s="266">
        <f>+AK204+AV204+AW204+AX204</f>
        <v>0</v>
      </c>
      <c r="BT204" s="1980"/>
      <c r="BU204" s="1981">
        <f>+BS204/$BW204*100</f>
        <v>0</v>
      </c>
      <c r="BV204" s="24"/>
      <c r="BW204" s="266">
        <f>+BL204+BO204+BS204</f>
        <v>1890.7570000000001</v>
      </c>
      <c r="BX204" s="1980">
        <f>+(BW204/BW173-1)*100</f>
        <v>6.711076069209132</v>
      </c>
      <c r="BY204" s="24"/>
      <c r="BZ204" s="389"/>
      <c r="CA204" s="1980"/>
      <c r="CB204" s="1981"/>
      <c r="CC204" s="389"/>
      <c r="CD204" s="1980"/>
      <c r="CE204" s="1981"/>
      <c r="CF204" s="24"/>
      <c r="CG204" s="389"/>
      <c r="CH204" s="1980"/>
      <c r="CI204" s="1981"/>
      <c r="CJ204" s="24"/>
      <c r="CK204" s="389"/>
      <c r="CL204" s="1980"/>
      <c r="CM204" s="1981"/>
      <c r="CN204" s="24"/>
      <c r="CO204" s="266"/>
      <c r="CP204" s="1980"/>
      <c r="CQ204" s="1981"/>
      <c r="CR204" s="2886" t="s">
        <v>1018</v>
      </c>
      <c r="CS204" s="24" t="s">
        <v>598</v>
      </c>
      <c r="CT204" s="1991">
        <v>160.59399999999999</v>
      </c>
      <c r="CU204" s="2028">
        <f>+(CT204/CT180-1)*100</f>
        <v>6.7374731650903685</v>
      </c>
      <c r="CV204" s="1981">
        <f>+CT204/R204*100</f>
        <v>12.196592724908712</v>
      </c>
      <c r="CW204" s="2140">
        <f>CT204-CT188</f>
        <v>2.6430000000000007</v>
      </c>
      <c r="CX204" s="2140"/>
      <c r="CY204" s="1981">
        <f>(CW204/I204)*100</f>
        <v>7.1622134301663571</v>
      </c>
      <c r="CZ204" s="168"/>
      <c r="DA204" s="2044">
        <v>62.036999999999999</v>
      </c>
      <c r="DB204" s="2028">
        <f>+(DA204/DA180-1)*100</f>
        <v>52.785439858142055</v>
      </c>
      <c r="DC204" s="1981">
        <f>+DA204/W204*100</f>
        <v>10.806992483167695</v>
      </c>
      <c r="DD204" s="2140">
        <f>DA204-DA188</f>
        <v>4.3119999999999976</v>
      </c>
      <c r="DE204" s="2140"/>
      <c r="DF204" s="1981">
        <f>(DD204/X204)*100</f>
        <v>12.106238418777037</v>
      </c>
      <c r="DG204" s="1981"/>
      <c r="DH204" s="2141">
        <v>0.78600000000000003</v>
      </c>
      <c r="DI204" s="2139" t="s">
        <v>520</v>
      </c>
      <c r="DJ204" s="1981">
        <f>+DH204/AG204*100</f>
        <v>2.04346921797005</v>
      </c>
      <c r="DK204" s="168"/>
      <c r="DL204" s="1417">
        <v>-4</v>
      </c>
      <c r="DM204" s="2028">
        <f>+(DL204/DL180-1)*100</f>
        <v>137.81212841854935</v>
      </c>
      <c r="DN204" s="1981">
        <f>+DL204/AZ204*100</f>
        <v>-4.8250904704463204</v>
      </c>
      <c r="DO204" s="168"/>
      <c r="DP204" s="1417">
        <v>-14.291</v>
      </c>
      <c r="DQ204" s="2028">
        <f>+(DP204/DP180-1)*100</f>
        <v>336.1000915471468</v>
      </c>
      <c r="DR204" s="1981">
        <v>-9.5848423876592896</v>
      </c>
      <c r="DS204" s="168"/>
      <c r="DT204" s="1417">
        <v>-26.033000000000001</v>
      </c>
      <c r="DU204" s="2117" t="s">
        <v>886</v>
      </c>
      <c r="DV204" s="1981">
        <f>+DT204/BE204*100</f>
        <v>-21.520567422789501</v>
      </c>
      <c r="DW204" s="168"/>
      <c r="DX204" s="2027">
        <f>+'qtrP&amp;L'!CT62</f>
        <v>197.38499999999965</v>
      </c>
      <c r="DY204" s="2028">
        <f>+(DX204/DX180-1)*100</f>
        <v>6.0628042686266426</v>
      </c>
      <c r="DZ204" s="1981">
        <f>(+DX204/BI204)*100</f>
        <v>9.627648963095579</v>
      </c>
      <c r="EA204" s="2005" t="str">
        <f>IF(ROUND(EB204,0)=ROUND(DX204,0)," ","no")</f>
        <v xml:space="preserve"> </v>
      </c>
      <c r="EB204" s="361">
        <f>DT204+DA204+DH204+CT204</f>
        <v>197.38399999999999</v>
      </c>
      <c r="EC204" s="2051"/>
      <c r="ED204" s="24"/>
      <c r="EE204" s="24"/>
      <c r="EG204" s="1417"/>
      <c r="EH204" s="2037"/>
      <c r="EI204" s="1417"/>
      <c r="EJ204" s="2037"/>
    </row>
    <row r="205" spans="1:144">
      <c r="A205" s="113" t="str">
        <f>qtrSales!A176</f>
        <v>4Q</v>
      </c>
      <c r="B205" s="24" t="str">
        <f>qtrSales!B176</f>
        <v>Jan</v>
      </c>
      <c r="C205" s="24"/>
      <c r="D205" s="24"/>
      <c r="E205" s="418">
        <f>R205-K205</f>
        <v>1777.875</v>
      </c>
      <c r="F205" s="2385">
        <f>segmthSales!CR29</f>
        <v>3</v>
      </c>
      <c r="G205" s="2028">
        <f>+(E205/E181-1)*100</f>
        <v>13.081987024551589</v>
      </c>
      <c r="H205" s="1981">
        <f>+E205/$BI205*100</f>
        <v>46.111703470007001</v>
      </c>
      <c r="I205" s="2142">
        <f>E205-E189</f>
        <v>64.434000000000196</v>
      </c>
      <c r="J205" s="2142"/>
      <c r="K205" s="418">
        <v>534</v>
      </c>
      <c r="L205" s="2028">
        <f>+(K205/K181-1)*100</f>
        <v>2.9397590361445847</v>
      </c>
      <c r="M205" s="1981">
        <f>+K205/BI205*100</f>
        <v>13.850045505439773</v>
      </c>
      <c r="N205" s="1895"/>
      <c r="O205" s="1895"/>
      <c r="P205" s="1895"/>
      <c r="Q205" s="2056"/>
      <c r="R205" s="2096">
        <v>2311.875</v>
      </c>
      <c r="S205" s="1980">
        <f>+(R205/R181-1)*100</f>
        <v>10.565454270678099</v>
      </c>
      <c r="T205" s="1980"/>
      <c r="U205" s="1981">
        <f>+R205/$BI205*100</f>
        <v>59.961748975446774</v>
      </c>
      <c r="V205" s="24"/>
      <c r="W205" s="302">
        <v>1323.8979999999999</v>
      </c>
      <c r="X205" s="2142">
        <f t="shared" si="6"/>
        <v>74.257999999999811</v>
      </c>
      <c r="Y205" s="307"/>
      <c r="Z205" s="307"/>
      <c r="AA205" s="2385">
        <f>segmthSales!CR52</f>
        <v>7</v>
      </c>
      <c r="AB205" s="2385"/>
      <c r="AC205" s="1980">
        <f>+(W205/W181-1)*100</f>
        <v>17.377249756184042</v>
      </c>
      <c r="AD205" s="1981">
        <f>+W205/$BI205*100</f>
        <v>34.337167686443266</v>
      </c>
      <c r="AE205" s="1981"/>
      <c r="AF205" s="1981"/>
      <c r="AG205" s="175">
        <v>53.264000000000003</v>
      </c>
      <c r="AH205" s="1976" t="s">
        <v>520</v>
      </c>
      <c r="AI205" s="1981">
        <f>+AG205/$BI205*100</f>
        <v>1.3814771981306069</v>
      </c>
      <c r="AJ205" s="24"/>
      <c r="AK205" s="388"/>
      <c r="AL205" s="2095"/>
      <c r="AM205" s="2095"/>
      <c r="AN205" s="2095"/>
      <c r="AO205" s="2095"/>
      <c r="AP205" s="2100"/>
      <c r="AQ205" s="2088"/>
      <c r="AR205" s="381"/>
      <c r="AS205" s="24"/>
      <c r="AT205" s="388"/>
      <c r="AU205" s="388"/>
      <c r="AV205" s="388"/>
      <c r="AW205" s="388"/>
      <c r="AX205" s="388"/>
      <c r="AY205" s="388"/>
      <c r="AZ205" s="418">
        <v>102.4</v>
      </c>
      <c r="BA205" s="1980">
        <f>(AZ205/AZ181-1)*100</f>
        <v>-14.237855946398659</v>
      </c>
      <c r="BB205" s="1981">
        <f t="shared" si="7"/>
        <v>2.6558888759494996</v>
      </c>
      <c r="BC205" s="2143">
        <f>BE205-AZ205</f>
        <v>64.145999999999987</v>
      </c>
      <c r="BD205" s="2138"/>
      <c r="BE205" s="302">
        <v>166.54599999999999</v>
      </c>
      <c r="BF205" s="1980">
        <f>+(BE205/BE181-1)*100</f>
        <v>-43.849037774271416</v>
      </c>
      <c r="BG205" s="1981">
        <f>+BE205/$BI205*100</f>
        <v>4.3196061399793493</v>
      </c>
      <c r="BH205" s="24"/>
      <c r="BI205" s="1022">
        <f>+E205+K205+W205+BE205+AG205</f>
        <v>3855.5830000000001</v>
      </c>
      <c r="BJ205" s="2385">
        <f>'qtrP&amp;L'!CV13</f>
        <v>5</v>
      </c>
      <c r="BK205" s="2889">
        <f>+(BI205/BI181-1)*100</f>
        <v>9.6752510486554542</v>
      </c>
      <c r="BL205" s="1022">
        <f>+E205+K205+W205+AT205+AY205</f>
        <v>3635.7730000000001</v>
      </c>
      <c r="BM205" s="1980">
        <f>+(BL205/BL174-1)*100</f>
        <v>22.1075890104369</v>
      </c>
      <c r="BN205" s="1981">
        <f>+BL205/$BW205*100</f>
        <v>100</v>
      </c>
      <c r="BO205" s="1022">
        <f>+AL205+AM205+AN205+AO205+AU205</f>
        <v>0</v>
      </c>
      <c r="BP205" s="1980">
        <f>+(BO205/BO174-1)*100</f>
        <v>-100</v>
      </c>
      <c r="BQ205" s="1981">
        <f>+BO205/$BW205*100</f>
        <v>0</v>
      </c>
      <c r="BR205" s="24"/>
      <c r="BS205" s="1022">
        <f>+AK205+AV205+AW205+AX205</f>
        <v>0</v>
      </c>
      <c r="BT205" s="1980"/>
      <c r="BU205" s="1981">
        <f>+BS205/$BW205*100</f>
        <v>0</v>
      </c>
      <c r="BV205" s="24"/>
      <c r="BW205" s="1022">
        <f>+BL205+BO205+BS205</f>
        <v>3635.7730000000001</v>
      </c>
      <c r="BX205" s="1980">
        <f>+(BW205/BW174-1)*100</f>
        <v>14.027121080778659</v>
      </c>
      <c r="BY205" s="24"/>
      <c r="BZ205" s="306"/>
      <c r="CA205" s="1980"/>
      <c r="CB205" s="1981"/>
      <c r="CC205" s="306"/>
      <c r="CD205" s="1980"/>
      <c r="CE205" s="1981"/>
      <c r="CF205" s="24"/>
      <c r="CG205" s="306"/>
      <c r="CH205" s="1980"/>
      <c r="CI205" s="1981"/>
      <c r="CJ205" s="24"/>
      <c r="CK205" s="306"/>
      <c r="CL205" s="1980"/>
      <c r="CM205" s="1981"/>
      <c r="CN205" s="24"/>
      <c r="CO205" s="67"/>
      <c r="CP205" s="1980"/>
      <c r="CQ205" s="1981"/>
      <c r="CR205" s="2886" t="s">
        <v>1019</v>
      </c>
      <c r="CS205" s="24" t="s">
        <v>601</v>
      </c>
      <c r="CT205" s="2096">
        <v>506.44</v>
      </c>
      <c r="CU205" s="2028">
        <f>+(CT205/CT181-1)*100</f>
        <v>13.343941703202876</v>
      </c>
      <c r="CV205" s="1981">
        <f>+CT205/R205*100</f>
        <v>21.90602865639362</v>
      </c>
      <c r="CW205" s="2142">
        <f>CT205-CT189</f>
        <v>10.505999999999972</v>
      </c>
      <c r="CX205" s="2142"/>
      <c r="CY205" s="1981">
        <f>(CW205/I205)*100</f>
        <v>16.305056336716547</v>
      </c>
      <c r="CZ205" s="168"/>
      <c r="DA205" s="2097">
        <v>416.06</v>
      </c>
      <c r="DB205" s="2028">
        <f>+(DA205/DA181-1)*100</f>
        <v>19.528619528619529</v>
      </c>
      <c r="DC205" s="1981">
        <f>+DA205/W205*100</f>
        <v>31.4268924040976</v>
      </c>
      <c r="DD205" s="2142">
        <f>DA205-DA189</f>
        <v>17.533000000000015</v>
      </c>
      <c r="DE205" s="2142"/>
      <c r="DF205" s="1981">
        <f>(DD205/X205)*100</f>
        <v>23.610924075520565</v>
      </c>
      <c r="DG205" s="1981"/>
      <c r="DH205" s="1698">
        <v>8.6020000000000003</v>
      </c>
      <c r="DI205" s="2139" t="s">
        <v>520</v>
      </c>
      <c r="DJ205" s="1981">
        <f>+DH205/AG205*100</f>
        <v>16.14974466806849</v>
      </c>
      <c r="DK205" s="168"/>
      <c r="DL205" s="1419">
        <v>-5</v>
      </c>
      <c r="DM205" s="2028">
        <f>+(DL205/DL181-1)*100</f>
        <v>-842.9420505200593</v>
      </c>
      <c r="DN205" s="1981">
        <f>+DL205/AZ205*100</f>
        <v>-4.8828125</v>
      </c>
      <c r="DO205" s="168"/>
      <c r="DP205" s="1419">
        <v>18.378</v>
      </c>
      <c r="DQ205" s="2028">
        <f>+(DP205/DP181-1)*100</f>
        <v>-303.38645418326695</v>
      </c>
      <c r="DR205" s="1981">
        <v>7.1789062499999998</v>
      </c>
      <c r="DS205" s="168"/>
      <c r="DT205" s="2097">
        <v>-23.263000000000002</v>
      </c>
      <c r="DU205" s="2117" t="s">
        <v>886</v>
      </c>
      <c r="DV205" s="1981">
        <f>+DT205/BE205*100</f>
        <v>-13.967912768844645</v>
      </c>
      <c r="DW205" s="168"/>
      <c r="DX205" s="2152">
        <f>+'qtrP&amp;L'!CT63</f>
        <v>907.83900000000017</v>
      </c>
      <c r="DY205" s="2028">
        <f>+(DX205/DX181-1)*100</f>
        <v>15.42199433213105</v>
      </c>
      <c r="DZ205" s="1981">
        <f>(+DX205/BI205)*100</f>
        <v>23.546088879424985</v>
      </c>
      <c r="EA205" s="2005" t="str">
        <f>IF(ROUND(EB205,0)=ROUND(DX205,0)," ","no")</f>
        <v xml:space="preserve"> </v>
      </c>
      <c r="EB205" s="361">
        <f>DT205+DA205+DH205+CT205</f>
        <v>907.83899999999994</v>
      </c>
      <c r="EC205" s="24"/>
      <c r="ED205" s="24"/>
      <c r="EE205" s="24"/>
      <c r="EG205" s="1419"/>
      <c r="EH205" s="2028"/>
      <c r="EI205" s="1419"/>
      <c r="EJ205" s="2028"/>
    </row>
    <row r="206" spans="1:144">
      <c r="A206" s="113"/>
      <c r="B206" s="24" t="str">
        <f>qtrSales!B177</f>
        <v>Year</v>
      </c>
      <c r="C206" s="24"/>
      <c r="D206" s="24"/>
      <c r="E206" s="2027">
        <f>+SUM(E202:E205)</f>
        <v>5147.0259999999998</v>
      </c>
      <c r="F206" s="2385">
        <f>segmthSales!CR30</f>
        <v>7</v>
      </c>
      <c r="G206" s="2028">
        <f>+(E206/E182-1)*100</f>
        <v>12.774452234881672</v>
      </c>
      <c r="H206" s="1981">
        <f>+E206/$BI206*100</f>
        <v>49.213091706273417</v>
      </c>
      <c r="I206" s="2144">
        <f>SUM(I202:I205)</f>
        <v>166.45400000000006</v>
      </c>
      <c r="J206" s="2144"/>
      <c r="K206" s="2027">
        <f>+SUM(K202:K205)</f>
        <v>1593.2</v>
      </c>
      <c r="L206" s="2028">
        <f>+(K206/K182-1)*100</f>
        <v>2.2954187935407377</v>
      </c>
      <c r="M206" s="1981">
        <f>+K206/$BI206*100</f>
        <v>15.233320699455339</v>
      </c>
      <c r="N206" s="1895"/>
      <c r="O206" s="1895"/>
      <c r="P206" s="1895"/>
      <c r="Q206" s="2056"/>
      <c r="R206" s="2027">
        <f>+SUM(R202:R205)</f>
        <v>6740.2260000000006</v>
      </c>
      <c r="S206" s="1980">
        <f>+(R206/R182-1)*100</f>
        <v>10.109403256449934</v>
      </c>
      <c r="T206" s="1980"/>
      <c r="U206" s="1981">
        <f>+R206/$BI206*100</f>
        <v>64.446412405728765</v>
      </c>
      <c r="V206" s="24"/>
      <c r="W206" s="266">
        <f>+SUM(W202:W205)</f>
        <v>3074.4390000000003</v>
      </c>
      <c r="X206" s="2144">
        <f>W206-W190</f>
        <v>172.23099999999977</v>
      </c>
      <c r="Y206" s="266"/>
      <c r="Z206" s="266"/>
      <c r="AA206" s="2385">
        <f>segmthSales!CR53</f>
        <v>7</v>
      </c>
      <c r="AB206" s="2385"/>
      <c r="AC206" s="1980">
        <f>+(W206/W182-1)*100</f>
        <v>14.960577218620518</v>
      </c>
      <c r="AD206" s="1981">
        <f>+W206/$BI206*100</f>
        <v>29.39613059120812</v>
      </c>
      <c r="AE206" s="1981"/>
      <c r="AF206" s="1981"/>
      <c r="AG206" s="42">
        <f>SUM(AG202:AG205)</f>
        <v>132.00300000000001</v>
      </c>
      <c r="AH206" s="1976" t="s">
        <v>520</v>
      </c>
      <c r="AI206" s="1981">
        <f>+AG206/$BI206*100</f>
        <v>1.2621416220751964</v>
      </c>
      <c r="AJ206" s="24"/>
      <c r="AK206" s="388"/>
      <c r="AL206" s="2098"/>
      <c r="AM206" s="2094"/>
      <c r="AN206" s="2094"/>
      <c r="AO206" s="2098"/>
      <c r="AP206" s="2098"/>
      <c r="AQ206" s="2088"/>
      <c r="AR206" s="381"/>
      <c r="AS206" s="24"/>
      <c r="AT206" s="388"/>
      <c r="AU206" s="388"/>
      <c r="AV206" s="388"/>
      <c r="AW206" s="388"/>
      <c r="AX206" s="388"/>
      <c r="AY206" s="388"/>
      <c r="AZ206" s="2027">
        <f>SUM(AZ202:AZ205)</f>
        <v>355.5</v>
      </c>
      <c r="BA206" s="1980">
        <f>(AZ206/AZ182-1)*100</f>
        <v>-14.296046287367403</v>
      </c>
      <c r="BB206" s="1981">
        <f t="shared" si="7"/>
        <v>3.3990996162794205</v>
      </c>
      <c r="BC206" s="266">
        <f>SUM(BC202:BC205)</f>
        <v>156.48399999999998</v>
      </c>
      <c r="BD206" s="2138"/>
      <c r="BE206" s="266">
        <f>+SUM(BE202:BE205)</f>
        <v>511.98400000000004</v>
      </c>
      <c r="BF206" s="1980">
        <f>+(BE206/BE182-1)*100</f>
        <v>-67.354205190333488</v>
      </c>
      <c r="BG206" s="1981">
        <f>+BE206/$BI206*100</f>
        <v>4.8953153809879124</v>
      </c>
      <c r="BH206" s="24"/>
      <c r="BI206" s="266">
        <f>+E206+K206+W206+BE206+AG206</f>
        <v>10458.652000000002</v>
      </c>
      <c r="BJ206" s="2385">
        <f>'qtrP&amp;L'!CV14</f>
        <v>6</v>
      </c>
      <c r="BK206" s="2889">
        <f>+(BI206/BI182-1)*100</f>
        <v>0.9123809398836169</v>
      </c>
      <c r="BL206" s="266">
        <f>+E206+K206+W206+AT206+AY206</f>
        <v>9814.6650000000009</v>
      </c>
      <c r="BM206" s="1980">
        <f>+(BL206/BL175-1)*100</f>
        <v>22.137875283452946</v>
      </c>
      <c r="BN206" s="1981">
        <f>+BL206/$BW206*100</f>
        <v>100</v>
      </c>
      <c r="BO206" s="266">
        <f>+AL206+AM206+AN206+AO206+AU206</f>
        <v>0</v>
      </c>
      <c r="BP206" s="1980">
        <f>+(BO206/BO175-1)*100</f>
        <v>-100</v>
      </c>
      <c r="BQ206" s="1981">
        <f>+BO206/$BW206*100</f>
        <v>0</v>
      </c>
      <c r="BR206" s="24"/>
      <c r="BS206" s="266">
        <f>+AK206+AV206+AW206+AX206</f>
        <v>0</v>
      </c>
      <c r="BT206" s="1980"/>
      <c r="BU206" s="1981">
        <f>+BS206/$BW206*100</f>
        <v>0</v>
      </c>
      <c r="BV206" s="24"/>
      <c r="BW206" s="266">
        <f>+BL206+BO206+BS206</f>
        <v>9814.6650000000009</v>
      </c>
      <c r="BX206" s="1980">
        <f>+(BW206/BW175-1)*100</f>
        <v>5.2937135093602761</v>
      </c>
      <c r="BY206" s="24"/>
      <c r="BZ206" s="389"/>
      <c r="CA206" s="1980"/>
      <c r="CB206" s="1981"/>
      <c r="CC206" s="389"/>
      <c r="CD206" s="1980"/>
      <c r="CE206" s="1981"/>
      <c r="CF206" s="24"/>
      <c r="CG206" s="389"/>
      <c r="CH206" s="1980"/>
      <c r="CI206" s="1981"/>
      <c r="CJ206" s="24"/>
      <c r="CK206" s="389"/>
      <c r="CL206" s="1980"/>
      <c r="CM206" s="1981"/>
      <c r="CN206" s="24"/>
      <c r="CO206" s="24"/>
      <c r="CP206" s="1980"/>
      <c r="CQ206" s="1981"/>
      <c r="CR206" s="2886"/>
      <c r="CS206" s="24" t="s">
        <v>1020</v>
      </c>
      <c r="CT206" s="2027">
        <f>+SUM(CT202:CT205)</f>
        <v>1206.6010000000001</v>
      </c>
      <c r="CU206" s="2028">
        <f>+(CT206/CT182-1)*100</f>
        <v>11.63641679411489</v>
      </c>
      <c r="CV206" s="1981">
        <f>+CT206/R206*100</f>
        <v>17.901491730395986</v>
      </c>
      <c r="CW206" s="2144">
        <f>SUM(CW202:CW205)</f>
        <v>18.317999999999955</v>
      </c>
      <c r="CX206" s="2144"/>
      <c r="CY206" s="1981">
        <f>(CW206/I206)*100</f>
        <v>11.004842178619887</v>
      </c>
      <c r="CZ206" s="168"/>
      <c r="DA206" s="2027">
        <f>+SUM(DA202:DA205)</f>
        <v>629.66</v>
      </c>
      <c r="DB206" s="2028">
        <f>+(DA206/DA182-1)*100</f>
        <v>22.737630430417923</v>
      </c>
      <c r="DC206" s="1981">
        <f>+DA206/W206*100</f>
        <v>20.480484407073938</v>
      </c>
      <c r="DD206" s="2144">
        <f>SUM(DD202:DD205)</f>
        <v>25.347000000000008</v>
      </c>
      <c r="DE206" s="2144"/>
      <c r="DF206" s="1981">
        <f>(DD206/X206)*100</f>
        <v>14.716862817959624</v>
      </c>
      <c r="DG206" s="1981"/>
      <c r="DH206" s="365">
        <f>SUM(DH202:DH205)</f>
        <v>3.7030000000000012</v>
      </c>
      <c r="DI206" s="2139" t="s">
        <v>520</v>
      </c>
      <c r="DJ206" s="1981">
        <f>+DH206/AG206*100</f>
        <v>2.8052392748649657</v>
      </c>
      <c r="DK206" s="168"/>
      <c r="DL206" s="361">
        <f>SUM(DL202:DL205)</f>
        <v>-25.4</v>
      </c>
      <c r="DM206" s="2028">
        <f>+(DL206/DL182-1)*100</f>
        <v>333.89135633754705</v>
      </c>
      <c r="DN206" s="1981">
        <f>+DL206/AZ206*100</f>
        <v>-7.1448663853727137</v>
      </c>
      <c r="DO206" s="168"/>
      <c r="DP206" s="361">
        <v>-59.807000000000002</v>
      </c>
      <c r="DQ206" s="2028">
        <f>+(DP206/DP182-1)*100</f>
        <v>43.884424770244898</v>
      </c>
      <c r="DR206" s="1981">
        <v>-9.5355548469387745</v>
      </c>
      <c r="DS206" s="168"/>
      <c r="DT206" s="361">
        <f>+SUM(DT202:DT205)</f>
        <v>-132.57599999999999</v>
      </c>
      <c r="DU206" s="2117" t="s">
        <v>886</v>
      </c>
      <c r="DV206" s="1981">
        <f>+DT206/BE206*100</f>
        <v>-25.894559204975153</v>
      </c>
      <c r="DW206" s="168"/>
      <c r="DX206" s="2027">
        <f>+SUM(DX202:DX205)</f>
        <v>1707.33</v>
      </c>
      <c r="DY206" s="2028">
        <f>+(DX206/DX182-1)*100</f>
        <v>10.404966293224692</v>
      </c>
      <c r="DZ206" s="1981">
        <f>(+DX206/BI206)*100</f>
        <v>16.324570317474947</v>
      </c>
      <c r="EA206" s="1981"/>
      <c r="EB206" s="361">
        <f>DT206+DA206+DH206+CT206</f>
        <v>1707.3879999999999</v>
      </c>
      <c r="EC206" s="24"/>
      <c r="ED206" s="24"/>
      <c r="EE206" s="24"/>
      <c r="EG206" s="361"/>
      <c r="EH206" s="2028"/>
      <c r="EI206" s="361"/>
      <c r="EJ206" s="2028"/>
    </row>
    <row r="207" spans="1:144" ht="4.5" customHeight="1">
      <c r="A207" s="113"/>
      <c r="B207" s="24"/>
      <c r="C207" s="24"/>
      <c r="D207" s="24"/>
      <c r="E207" s="2027"/>
      <c r="F207" s="2027"/>
      <c r="G207" s="2028"/>
      <c r="H207" s="1981"/>
      <c r="I207" s="1981"/>
      <c r="J207" s="1981"/>
      <c r="K207" s="2027"/>
      <c r="L207" s="2028"/>
      <c r="M207" s="1981"/>
      <c r="N207" s="1895"/>
      <c r="O207" s="1895"/>
      <c r="P207" s="1895"/>
      <c r="Q207" s="2056"/>
      <c r="R207" s="2027"/>
      <c r="S207" s="1980"/>
      <c r="T207" s="1980"/>
      <c r="U207" s="1981"/>
      <c r="V207" s="24"/>
      <c r="W207" s="266"/>
      <c r="X207" s="1981"/>
      <c r="Y207" s="266"/>
      <c r="Z207" s="266"/>
      <c r="AA207" s="2027"/>
      <c r="AB207" s="2027"/>
      <c r="AC207" s="1980"/>
      <c r="AD207" s="1981"/>
      <c r="AE207" s="1981"/>
      <c r="AF207" s="1981"/>
      <c r="AG207" s="1981"/>
      <c r="AH207" s="1981"/>
      <c r="AI207" s="24"/>
      <c r="AJ207" s="24"/>
      <c r="AK207" s="388"/>
      <c r="AL207" s="2098"/>
      <c r="AM207" s="2094"/>
      <c r="AN207" s="2094"/>
      <c r="AO207" s="2098"/>
      <c r="AP207" s="2098"/>
      <c r="AQ207" s="2088"/>
      <c r="AR207" s="381"/>
      <c r="AS207" s="24"/>
      <c r="AT207" s="388"/>
      <c r="AU207" s="388"/>
      <c r="AV207" s="388"/>
      <c r="AW207" s="388"/>
      <c r="AX207" s="388"/>
      <c r="AY207" s="388"/>
      <c r="AZ207" s="2027"/>
      <c r="BA207" s="1980"/>
      <c r="BB207" s="1981"/>
      <c r="BC207" s="1021"/>
      <c r="BD207" s="2138"/>
      <c r="BE207" s="266"/>
      <c r="BF207" s="1980"/>
      <c r="BG207" s="1981"/>
      <c r="BH207" s="24"/>
      <c r="BI207" s="266"/>
      <c r="BJ207" s="2027"/>
      <c r="BK207" s="2889"/>
      <c r="BL207" s="266"/>
      <c r="BM207" s="1980"/>
      <c r="BN207" s="1981"/>
      <c r="BO207" s="266"/>
      <c r="BP207" s="1980"/>
      <c r="BQ207" s="1981"/>
      <c r="BR207" s="24"/>
      <c r="BS207" s="266"/>
      <c r="BT207" s="1980"/>
      <c r="BU207" s="1981"/>
      <c r="BV207" s="24"/>
      <c r="BW207" s="266"/>
      <c r="BX207" s="1980"/>
      <c r="BY207" s="24"/>
      <c r="BZ207" s="389"/>
      <c r="CA207" s="1980"/>
      <c r="CB207" s="1981"/>
      <c r="CC207" s="389"/>
      <c r="CD207" s="1980"/>
      <c r="CE207" s="1981"/>
      <c r="CF207" s="24"/>
      <c r="CG207" s="389"/>
      <c r="CH207" s="1980"/>
      <c r="CI207" s="1981"/>
      <c r="CJ207" s="24"/>
      <c r="CK207" s="389"/>
      <c r="CL207" s="1980"/>
      <c r="CM207" s="1981"/>
      <c r="CN207" s="24"/>
      <c r="CO207" s="24"/>
      <c r="CP207" s="1980"/>
      <c r="CQ207" s="1981"/>
      <c r="CR207" s="2886"/>
      <c r="CS207" s="24"/>
      <c r="CT207" s="2027"/>
      <c r="CU207" s="2028"/>
      <c r="CV207" s="1981"/>
      <c r="CW207" s="1981"/>
      <c r="CX207" s="1981"/>
      <c r="CY207" s="1981"/>
      <c r="CZ207" s="168"/>
      <c r="DA207" s="2027"/>
      <c r="DB207" s="2028"/>
      <c r="DC207" s="1981"/>
      <c r="DD207" s="1981"/>
      <c r="DE207" s="1981"/>
      <c r="DF207" s="1981"/>
      <c r="DG207" s="1981"/>
      <c r="DH207" s="1991"/>
      <c r="DI207" s="2103"/>
      <c r="DJ207" s="1981"/>
      <c r="DK207" s="168"/>
      <c r="DL207" s="361"/>
      <c r="DM207" s="2028"/>
      <c r="DN207" s="1981"/>
      <c r="DO207" s="168"/>
      <c r="DP207" s="361"/>
      <c r="DQ207" s="2028"/>
      <c r="DR207" s="1981"/>
      <c r="DS207" s="168"/>
      <c r="DT207" s="361"/>
      <c r="DU207" s="2028"/>
      <c r="DV207" s="1981"/>
      <c r="DW207" s="168"/>
      <c r="DX207" s="2027"/>
      <c r="DY207" s="2028"/>
      <c r="DZ207" s="1981"/>
      <c r="EA207" s="1981"/>
      <c r="EB207" s="361"/>
      <c r="EC207" s="24"/>
      <c r="ED207" s="24"/>
      <c r="EE207" s="24"/>
      <c r="EG207" s="361"/>
      <c r="EH207" s="2028"/>
      <c r="EI207" s="361"/>
      <c r="EJ207" s="2028"/>
    </row>
    <row r="208" spans="1:144">
      <c r="A208" s="113"/>
      <c r="B208" s="136" t="str">
        <f>qtrSales!B179</f>
        <v>2013A</v>
      </c>
      <c r="C208" s="24"/>
      <c r="D208" s="24"/>
      <c r="E208" s="2027"/>
      <c r="F208" s="2027"/>
      <c r="G208" s="2028"/>
      <c r="H208" s="1981"/>
      <c r="I208" s="1981"/>
      <c r="J208" s="1981"/>
      <c r="K208" s="2027"/>
      <c r="L208" s="2028"/>
      <c r="M208" s="1981"/>
      <c r="N208" s="1895"/>
      <c r="O208" s="1895"/>
      <c r="P208" s="1895"/>
      <c r="Q208" s="2056"/>
      <c r="R208" s="2027"/>
      <c r="S208" s="1980"/>
      <c r="T208" s="1980"/>
      <c r="U208" s="1981"/>
      <c r="V208" s="24"/>
      <c r="W208" s="266"/>
      <c r="X208" s="1981"/>
      <c r="Y208" s="266"/>
      <c r="Z208" s="266"/>
      <c r="AA208" s="2027"/>
      <c r="AB208" s="2027"/>
      <c r="AC208" s="1980"/>
      <c r="AD208" s="1981"/>
      <c r="AE208" s="1981"/>
      <c r="AF208" s="1981"/>
      <c r="AG208" s="1981"/>
      <c r="AH208" s="1981"/>
      <c r="AI208" s="24"/>
      <c r="AJ208" s="24"/>
      <c r="AK208" s="388"/>
      <c r="AL208" s="2098"/>
      <c r="AM208" s="2094"/>
      <c r="AN208" s="2094"/>
      <c r="AO208" s="2098"/>
      <c r="AP208" s="2098"/>
      <c r="AQ208" s="2088"/>
      <c r="AR208" s="381"/>
      <c r="AS208" s="24"/>
      <c r="AT208" s="388"/>
      <c r="AU208" s="388"/>
      <c r="AV208" s="388"/>
      <c r="AW208" s="388"/>
      <c r="AX208" s="388"/>
      <c r="AY208" s="388"/>
      <c r="AZ208" s="2027"/>
      <c r="BA208" s="1980"/>
      <c r="BB208" s="1981"/>
      <c r="BC208" s="1021"/>
      <c r="BD208" s="2138"/>
      <c r="BE208" s="266"/>
      <c r="BF208" s="1980"/>
      <c r="BG208" s="1981"/>
      <c r="BH208" s="24"/>
      <c r="BI208" s="266"/>
      <c r="BJ208" s="2027"/>
      <c r="BK208" s="2889"/>
      <c r="BL208" s="266"/>
      <c r="BM208" s="1980"/>
      <c r="BN208" s="1981"/>
      <c r="BO208" s="266"/>
      <c r="BP208" s="1980"/>
      <c r="BQ208" s="1981"/>
      <c r="BR208" s="24"/>
      <c r="BS208" s="266"/>
      <c r="BT208" s="1980"/>
      <c r="BU208" s="1981"/>
      <c r="BV208" s="24"/>
      <c r="BW208" s="266"/>
      <c r="BX208" s="1980"/>
      <c r="BY208" s="24"/>
      <c r="BZ208" s="389"/>
      <c r="CA208" s="1980"/>
      <c r="CB208" s="1981"/>
      <c r="CC208" s="389"/>
      <c r="CD208" s="1980"/>
      <c r="CE208" s="1981"/>
      <c r="CF208" s="24"/>
      <c r="CG208" s="389"/>
      <c r="CH208" s="1980"/>
      <c r="CI208" s="1981"/>
      <c r="CJ208" s="24"/>
      <c r="CK208" s="389"/>
      <c r="CL208" s="1980"/>
      <c r="CM208" s="1981"/>
      <c r="CN208" s="24"/>
      <c r="CO208" s="24"/>
      <c r="CP208" s="1980"/>
      <c r="CQ208" s="1981"/>
      <c r="CR208" s="2886"/>
      <c r="CS208" s="136" t="s">
        <v>853</v>
      </c>
      <c r="CT208" s="2027"/>
      <c r="CU208" s="2028"/>
      <c r="CV208" s="1981"/>
      <c r="CW208" s="1981"/>
      <c r="CX208" s="1981"/>
      <c r="CY208" s="1981"/>
      <c r="CZ208" s="168"/>
      <c r="DA208" s="2027"/>
      <c r="DB208" s="2028"/>
      <c r="DC208" s="1981"/>
      <c r="DD208" s="1981"/>
      <c r="DE208" s="1981"/>
      <c r="DF208" s="1981"/>
      <c r="DG208" s="1981"/>
      <c r="DH208" s="1991"/>
      <c r="DI208" s="2103"/>
      <c r="DJ208" s="1981"/>
      <c r="DK208" s="168"/>
      <c r="DL208" s="361"/>
      <c r="DM208" s="2028"/>
      <c r="DN208" s="1981"/>
      <c r="DO208" s="168"/>
      <c r="DP208" s="361"/>
      <c r="DQ208" s="2028"/>
      <c r="DR208" s="1981"/>
      <c r="DS208" s="168"/>
      <c r="DT208" s="361"/>
      <c r="DU208" s="2028"/>
      <c r="DV208" s="1981"/>
      <c r="DW208" s="168"/>
      <c r="DX208" s="2027"/>
      <c r="DY208" s="2028"/>
      <c r="DZ208" s="1981"/>
      <c r="EA208" s="1981"/>
      <c r="EB208" s="361"/>
      <c r="EC208" s="24"/>
      <c r="ED208" s="24"/>
      <c r="EE208" s="24"/>
      <c r="EG208" s="361"/>
      <c r="EH208" s="2028"/>
      <c r="EI208" s="361"/>
      <c r="EJ208" s="2028"/>
    </row>
    <row r="209" spans="1:140">
      <c r="A209" s="113" t="str">
        <f>qtrSales!A180</f>
        <v>1Q</v>
      </c>
      <c r="B209" s="24" t="str">
        <f>qtrSales!B180</f>
        <v>Apr</v>
      </c>
      <c r="C209" s="24"/>
      <c r="D209" s="24"/>
      <c r="E209" s="2023">
        <v>1184.5999999999999</v>
      </c>
      <c r="F209" s="2385">
        <f>segmthSales!CV14</f>
        <v>3</v>
      </c>
      <c r="G209" s="2028">
        <f>+(E209/E202-1)*100</f>
        <v>6.0262013423779903</v>
      </c>
      <c r="H209" s="1981">
        <f>+E209/$BI209*100</f>
        <v>52.231754490471424</v>
      </c>
      <c r="I209" s="2137">
        <f>E209-E193</f>
        <v>39.06899999999996</v>
      </c>
      <c r="J209" s="2028">
        <f>+(I209/I202-1)*100</f>
        <v>32.455248169243745</v>
      </c>
      <c r="K209" s="2023">
        <v>359.1</v>
      </c>
      <c r="L209" s="2028">
        <f>+(K209/K202-1)*100</f>
        <v>-5.9947643979057492</v>
      </c>
      <c r="M209" s="1981">
        <f>+K209/BI209*100</f>
        <v>15.833549753105093</v>
      </c>
      <c r="N209" s="1895"/>
      <c r="O209" s="1895"/>
      <c r="P209" s="1895"/>
      <c r="Q209" s="2056"/>
      <c r="R209" s="2023">
        <v>1543.6880000000001</v>
      </c>
      <c r="S209" s="1980">
        <f>+(R209/R202-1)*100</f>
        <v>2.9625731438812641</v>
      </c>
      <c r="T209" s="1980"/>
      <c r="U209" s="1981">
        <f>+R209/$BI209*100</f>
        <v>68.064775135815353</v>
      </c>
      <c r="V209" s="24"/>
      <c r="W209" s="1982">
        <v>560.85299999999995</v>
      </c>
      <c r="X209" s="2137">
        <f>W209-W193</f>
        <v>30.769000000000005</v>
      </c>
      <c r="Y209" s="2028">
        <f>+(X209/X202-1)*100</f>
        <v>7.6253104340830546</v>
      </c>
      <c r="Z209" s="2028"/>
      <c r="AA209" s="2385">
        <f>segmthSales!CV37</f>
        <v>3</v>
      </c>
      <c r="AB209" s="2385"/>
      <c r="AC209" s="1980">
        <f>+(W209/W202-1)*100</f>
        <v>5.1022626333799392</v>
      </c>
      <c r="AD209" s="1981">
        <f>+W209/$BI209*100</f>
        <v>24.729306264768166</v>
      </c>
      <c r="AE209" s="1981"/>
      <c r="AF209" s="1981"/>
      <c r="AG209" s="138">
        <v>40.4</v>
      </c>
      <c r="AH209" s="1980">
        <f>+(AG209/AG202-1)*100</f>
        <v>115.9273115980759</v>
      </c>
      <c r="AI209" s="1981">
        <f>+AG209/$BI209*100</f>
        <v>1.7813294626161116</v>
      </c>
      <c r="AJ209" s="24"/>
      <c r="AK209" s="388"/>
      <c r="AL209" s="2098"/>
      <c r="AM209" s="2094"/>
      <c r="AN209" s="2094"/>
      <c r="AO209" s="2098"/>
      <c r="AP209" s="2098"/>
      <c r="AQ209" s="2088"/>
      <c r="AR209" s="381"/>
      <c r="AS209" s="24"/>
      <c r="AT209" s="388"/>
      <c r="AU209" s="388"/>
      <c r="AV209" s="388"/>
      <c r="AW209" s="388"/>
      <c r="AX209" s="388"/>
      <c r="AY209" s="388"/>
      <c r="AZ209" s="1982">
        <v>72.8</v>
      </c>
      <c r="BA209" s="1980">
        <f>(AZ209/AZ202-1)*100</f>
        <v>-3.3200531208499307</v>
      </c>
      <c r="BB209" s="1981">
        <f t="shared" si="7"/>
        <v>3.2099204177834877</v>
      </c>
      <c r="BC209" s="42">
        <f>BE209-AZ209</f>
        <v>50.216000000000008</v>
      </c>
      <c r="BD209" s="2138">
        <f>(BC209/BC202-1)*100</f>
        <v>86.836328459277425</v>
      </c>
      <c r="BE209" s="1982">
        <v>123.01600000000001</v>
      </c>
      <c r="BF209" s="1980">
        <f>+(BE209/BE202-1)*100</f>
        <v>20.395000831889764</v>
      </c>
      <c r="BG209" s="1981">
        <f>+BE209/$BI209*100</f>
        <v>5.4240600290391976</v>
      </c>
      <c r="BH209" s="24"/>
      <c r="BI209" s="381">
        <f>+E209+K209+W209+BE209+AG209</f>
        <v>2267.9690000000001</v>
      </c>
      <c r="BJ209" s="2385">
        <f>'qtrP&amp;L'!CZ10</f>
        <v>3</v>
      </c>
      <c r="BK209" s="2889">
        <f>+(BI209/BI202-1)*100</f>
        <v>5.3015994175831915</v>
      </c>
      <c r="BL209" s="266"/>
      <c r="BM209" s="1980"/>
      <c r="BN209" s="1981"/>
      <c r="BO209" s="266"/>
      <c r="BP209" s="1980"/>
      <c r="BQ209" s="1981"/>
      <c r="BR209" s="24"/>
      <c r="BS209" s="266"/>
      <c r="BT209" s="1980"/>
      <c r="BU209" s="1981"/>
      <c r="BV209" s="24"/>
      <c r="BW209" s="266"/>
      <c r="BX209" s="1980"/>
      <c r="BY209" s="24"/>
      <c r="BZ209" s="389"/>
      <c r="CA209" s="1980"/>
      <c r="CB209" s="1981"/>
      <c r="CC209" s="389"/>
      <c r="CD209" s="1980"/>
      <c r="CE209" s="1981"/>
      <c r="CF209" s="24"/>
      <c r="CG209" s="389"/>
      <c r="CH209" s="1980"/>
      <c r="CI209" s="1981"/>
      <c r="CJ209" s="24"/>
      <c r="CK209" s="389"/>
      <c r="CL209" s="1980"/>
      <c r="CM209" s="1981"/>
      <c r="CN209" s="24"/>
      <c r="CO209" s="24"/>
      <c r="CP209" s="1980"/>
      <c r="CQ209" s="1981"/>
      <c r="CR209" s="2886" t="s">
        <v>119</v>
      </c>
      <c r="CS209" s="24" t="s">
        <v>830</v>
      </c>
      <c r="CT209" s="2023">
        <v>264.04700000000003</v>
      </c>
      <c r="CU209" s="2028">
        <f>+(CT209/CT202-1)*100</f>
        <v>-5.5909526465582555</v>
      </c>
      <c r="CV209" s="1981">
        <f>+CT209/R209*100</f>
        <v>17.104946077186582</v>
      </c>
      <c r="CW209" s="2137">
        <f>CT209-CT193</f>
        <v>4.5200000000000387</v>
      </c>
      <c r="CX209" s="2028">
        <f>+(CW209/CW202-1)*100</f>
        <v>143.4033387183614</v>
      </c>
      <c r="CY209" s="1981">
        <f>(CW209/I209)*100</f>
        <v>11.5692748726613</v>
      </c>
      <c r="CZ209" s="168"/>
      <c r="DA209" s="2023">
        <v>73.650999999999996</v>
      </c>
      <c r="DB209" s="2028">
        <f>+(DA209/DA202-1)*100</f>
        <v>20.666153316840607</v>
      </c>
      <c r="DC209" s="1981">
        <f>+DA209/W209*100</f>
        <v>13.131961494366617</v>
      </c>
      <c r="DD209" s="2137">
        <f>DA209-DA193</f>
        <v>1.0829999999999984</v>
      </c>
      <c r="DE209" s="2028">
        <f>+(DD209/DD202-1)*100</f>
        <v>24.626006904487774</v>
      </c>
      <c r="DF209" s="1981">
        <f>(DD209/X209)*100</f>
        <v>3.5197763983229815</v>
      </c>
      <c r="DG209" s="1981"/>
      <c r="DH209" s="365">
        <v>4.4219999999999997</v>
      </c>
      <c r="DI209" s="2139" t="s">
        <v>520</v>
      </c>
      <c r="DJ209" s="1981">
        <f>+DH209/AG209*100</f>
        <v>10.945544554455445</v>
      </c>
      <c r="DK209" s="168"/>
      <c r="DL209" s="2023">
        <v>-6.8</v>
      </c>
      <c r="DM209" s="2028">
        <f>+(DL209/DL202-1)*100</f>
        <v>-40.350877192982459</v>
      </c>
      <c r="DN209" s="1981">
        <f>+DL209/AZ209*100</f>
        <v>-9.3406593406593412</v>
      </c>
      <c r="DO209" s="168"/>
      <c r="DP209" s="1691">
        <v>-14.114000000000001</v>
      </c>
      <c r="DQ209" s="2028">
        <f>+(DP209/DP202-1)*100</f>
        <v>-57.701989930472308</v>
      </c>
      <c r="DR209" s="1981">
        <v>-8.7992518703241895</v>
      </c>
      <c r="DS209" s="168"/>
      <c r="DT209" s="2023">
        <v>-30.939</v>
      </c>
      <c r="DU209" s="2117" t="s">
        <v>886</v>
      </c>
      <c r="DV209" s="1981">
        <f>+DT209/BE209*100</f>
        <v>-25.150386941536055</v>
      </c>
      <c r="DW209" s="168"/>
      <c r="DX209" s="381">
        <f>+'qtrP&amp;L'!CX60</f>
        <v>311.18100000000004</v>
      </c>
      <c r="DY209" s="2028">
        <f>+(DX209/DX202-1)*100</f>
        <v>6.1229013699283685</v>
      </c>
      <c r="DZ209" s="1981">
        <f>(+DX209/BI209)*100</f>
        <v>13.720690185800603</v>
      </c>
      <c r="EA209" s="1981"/>
      <c r="EB209" s="361">
        <f>DT209+DA209+DH209+CT209</f>
        <v>311.18100000000004</v>
      </c>
      <c r="EC209" s="24"/>
      <c r="ED209" s="24"/>
      <c r="EE209" s="24"/>
      <c r="EG209" s="361"/>
      <c r="EH209" s="2028"/>
      <c r="EI209" s="361"/>
      <c r="EJ209" s="2028"/>
    </row>
    <row r="210" spans="1:140">
      <c r="A210" s="113" t="str">
        <f>qtrSales!A181</f>
        <v>2Q</v>
      </c>
      <c r="B210" s="24" t="str">
        <f>qtrSales!B181</f>
        <v>Jul</v>
      </c>
      <c r="C210" s="24"/>
      <c r="D210" s="24"/>
      <c r="E210" s="366">
        <f>R210-K210</f>
        <v>1281.635</v>
      </c>
      <c r="F210" s="2385">
        <f>segmthSales!CV19</f>
        <v>1</v>
      </c>
      <c r="G210" s="2028">
        <f>+(E210/E203-1)*100</f>
        <v>6.2920064224627037</v>
      </c>
      <c r="H210" s="1981">
        <f>+E210/$BI210*100</f>
        <v>50.94035975249129</v>
      </c>
      <c r="I210" s="2140">
        <f>E210-E194</f>
        <v>44.817999999999984</v>
      </c>
      <c r="J210" s="2028">
        <f>+(I210/I203-1)*100</f>
        <v>25.815507270788231</v>
      </c>
      <c r="K210" s="2025">
        <v>383.7</v>
      </c>
      <c r="L210" s="2028">
        <f>+(K210/K203-1)*100</f>
        <v>-5.6320708312838192</v>
      </c>
      <c r="M210" s="1981">
        <f>+K210/BI210*100</f>
        <v>15.250688407409996</v>
      </c>
      <c r="N210" s="1895"/>
      <c r="O210" s="1895"/>
      <c r="P210" s="1895"/>
      <c r="Q210" s="2056"/>
      <c r="R210" s="2024">
        <v>1665.335</v>
      </c>
      <c r="S210" s="1980">
        <f>+(R210/R203-1)*100</f>
        <v>3.2850441090371385</v>
      </c>
      <c r="T210" s="1980"/>
      <c r="U210" s="1981">
        <f>+R210/$BI210*100</f>
        <v>66.1910481599013</v>
      </c>
      <c r="V210" s="24"/>
      <c r="W210" s="388">
        <v>667.89400000000001</v>
      </c>
      <c r="X210" s="2140">
        <f t="shared" si="6"/>
        <v>37.590000000000032</v>
      </c>
      <c r="Y210" s="2028">
        <f>+(X210/X203-1)*100</f>
        <v>11.325001480779706</v>
      </c>
      <c r="Z210" s="2028"/>
      <c r="AA210" s="2385">
        <f>segmthSales!CV42</f>
        <v>3</v>
      </c>
      <c r="AB210" s="2385"/>
      <c r="AC210" s="1980">
        <f>+(W210/W203-1)*100</f>
        <v>3.892544371334794</v>
      </c>
      <c r="AD210" s="1981">
        <f>+W210/$BI210*100</f>
        <v>26.546372903775588</v>
      </c>
      <c r="AE210" s="1981"/>
      <c r="AF210" s="1981"/>
      <c r="AG210" s="174">
        <v>46.286999999999999</v>
      </c>
      <c r="AH210" s="1980">
        <f>+(AG210/AG203-1)*100</f>
        <v>114.6394620913517</v>
      </c>
      <c r="AI210" s="1981">
        <f>+AG210/$BI210*100</f>
        <v>1.83974098075003</v>
      </c>
      <c r="AJ210" s="24"/>
      <c r="AK210" s="388"/>
      <c r="AL210" s="2098"/>
      <c r="AM210" s="2094"/>
      <c r="AN210" s="2094"/>
      <c r="AO210" s="2098"/>
      <c r="AP210" s="2098"/>
      <c r="AQ210" s="2088"/>
      <c r="AR210" s="381"/>
      <c r="AS210" s="24"/>
      <c r="AT210" s="388"/>
      <c r="AU210" s="388"/>
      <c r="AV210" s="388"/>
      <c r="AW210" s="388"/>
      <c r="AX210" s="388"/>
      <c r="AY210" s="388"/>
      <c r="AZ210" s="2025">
        <v>86.1</v>
      </c>
      <c r="BA210" s="1980">
        <f>(AZ210/AZ203-1)*100</f>
        <v>-9.2729188619599672</v>
      </c>
      <c r="BB210" s="1981">
        <f t="shared" si="7"/>
        <v>3.4221638568621335</v>
      </c>
      <c r="BC210" s="405">
        <f>BE210-AZ210</f>
        <v>50.336000000000013</v>
      </c>
      <c r="BD210" s="2138">
        <f>(BC210/BC203-1)*100</f>
        <v>83.75497389844125</v>
      </c>
      <c r="BE210" s="2025">
        <v>136.43600000000001</v>
      </c>
      <c r="BF210" s="1980">
        <f>+(BE210/BE203-1)*100</f>
        <v>11.564848355997492</v>
      </c>
      <c r="BG210" s="1981">
        <f>+BE210/$BI210*100</f>
        <v>5.4228379555730788</v>
      </c>
      <c r="BH210" s="24"/>
      <c r="BI210" s="266">
        <f>+E210+K210+W210+BE210+AG210</f>
        <v>2515.9520000000002</v>
      </c>
      <c r="BJ210" s="2385">
        <f>'qtrP&amp;L'!CZ11</f>
        <v>2</v>
      </c>
      <c r="BK210" s="2889">
        <f>+(BI210/BI203-1)*100</f>
        <v>4.8708346810632186</v>
      </c>
      <c r="BL210" s="266"/>
      <c r="BM210" s="1980"/>
      <c r="BN210" s="1981"/>
      <c r="BO210" s="266"/>
      <c r="BP210" s="1980"/>
      <c r="BQ210" s="1981"/>
      <c r="BR210" s="24"/>
      <c r="BS210" s="266"/>
      <c r="BT210" s="1980"/>
      <c r="BU210" s="1981"/>
      <c r="BV210" s="24"/>
      <c r="BW210" s="266"/>
      <c r="BX210" s="1980"/>
      <c r="BY210" s="24"/>
      <c r="BZ210" s="389"/>
      <c r="CA210" s="1980"/>
      <c r="CB210" s="1981"/>
      <c r="CC210" s="389"/>
      <c r="CD210" s="1980"/>
      <c r="CE210" s="1981"/>
      <c r="CF210" s="24"/>
      <c r="CG210" s="389"/>
      <c r="CH210" s="1980"/>
      <c r="CI210" s="1981"/>
      <c r="CJ210" s="24"/>
      <c r="CK210" s="389"/>
      <c r="CL210" s="1980"/>
      <c r="CM210" s="1981"/>
      <c r="CN210" s="24"/>
      <c r="CO210" s="24"/>
      <c r="CP210" s="1980"/>
      <c r="CQ210" s="1981"/>
      <c r="CR210" s="2886" t="s">
        <v>120</v>
      </c>
      <c r="CS210" s="24" t="s">
        <v>653</v>
      </c>
      <c r="CT210" s="1991">
        <v>275.13200000000001</v>
      </c>
      <c r="CU210" s="2028">
        <f>+(CT210/CT203-1)*100</f>
        <v>5.867640438197208</v>
      </c>
      <c r="CV210" s="1981">
        <f>+CT210/R210*100</f>
        <v>16.52112037517977</v>
      </c>
      <c r="CW210" s="2140">
        <f>CT210-CT194</f>
        <v>3.9180000000000064</v>
      </c>
      <c r="CX210" s="2028">
        <f>+(CW210/CW203-1)*100</f>
        <v>18.297101449277164</v>
      </c>
      <c r="CY210" s="1981">
        <f>(CW210/I210)*100</f>
        <v>8.7420232942121636</v>
      </c>
      <c r="CZ210" s="168"/>
      <c r="DA210" s="2044">
        <v>106.262</v>
      </c>
      <c r="DB210" s="2028">
        <f>+(DA210/DA203-1)*100</f>
        <v>17.382851335527928</v>
      </c>
      <c r="DC210" s="1981">
        <f>+DA210/W210*100</f>
        <v>15.910009672193492</v>
      </c>
      <c r="DD210" s="2140">
        <f>DA210-DA194</f>
        <v>4.0019999999999953</v>
      </c>
      <c r="DE210" s="2028">
        <f>+(DD210/DD203-1)*100</f>
        <v>51.99392328142811</v>
      </c>
      <c r="DF210" s="1981">
        <f>(DD210/X210)*100</f>
        <v>10.646448523543475</v>
      </c>
      <c r="DG210" s="1981"/>
      <c r="DH210" s="2141">
        <v>7.2629999999999999</v>
      </c>
      <c r="DI210" s="2139" t="s">
        <v>520</v>
      </c>
      <c r="DJ210" s="1981">
        <f>+DH210/AG210*100</f>
        <v>15.691230799144467</v>
      </c>
      <c r="DK210" s="168"/>
      <c r="DL210" s="1417">
        <v>-3</v>
      </c>
      <c r="DM210" s="2028">
        <f>+(DL210/DL203-1)*100</f>
        <v>-40</v>
      </c>
      <c r="DN210" s="1981">
        <f>+DL210/AZ210*100</f>
        <v>-3.4843205574912899</v>
      </c>
      <c r="DO210" s="168"/>
      <c r="DP210" s="1417">
        <v>-12.669</v>
      </c>
      <c r="DQ210" s="2028">
        <f>+(DP210/DP203-1)*100</f>
        <v>-58.497674113870147</v>
      </c>
      <c r="DR210" s="1981">
        <v>-7.0737018425460638</v>
      </c>
      <c r="DS210" s="168"/>
      <c r="DT210" s="1417">
        <v>-30.852</v>
      </c>
      <c r="DU210" s="2117" t="s">
        <v>886</v>
      </c>
      <c r="DV210" s="1981">
        <f>+DT210/BE210*100</f>
        <v>-22.612800140725319</v>
      </c>
      <c r="DW210" s="168"/>
      <c r="DX210" s="2027">
        <f>+'qtrP&amp;L'!CX61</f>
        <v>357.80600000000004</v>
      </c>
      <c r="DY210" s="2028">
        <f>+(DX210/DX203-1)*100</f>
        <v>15.840183372777039</v>
      </c>
      <c r="DZ210" s="1981">
        <f>(+DX210/BI210)*100</f>
        <v>14.221495481630811</v>
      </c>
      <c r="EA210" s="1981"/>
      <c r="EB210" s="361">
        <f>DT210+DA210+DH210+CT210</f>
        <v>357.80500000000001</v>
      </c>
      <c r="EC210" s="24"/>
      <c r="ED210" s="24"/>
      <c r="EE210" s="24"/>
      <c r="EG210" s="361"/>
      <c r="EH210" s="2028"/>
      <c r="EI210" s="361"/>
      <c r="EJ210" s="2028"/>
    </row>
    <row r="211" spans="1:140">
      <c r="A211" s="113" t="str">
        <f>qtrSales!A182</f>
        <v>3Q</v>
      </c>
      <c r="B211" s="24" t="str">
        <f>qtrSales!B182</f>
        <v>Oct</v>
      </c>
      <c r="C211" s="24"/>
      <c r="D211" s="24"/>
      <c r="E211" s="366">
        <f>R211-K211</f>
        <v>1104.08</v>
      </c>
      <c r="F211" s="2385">
        <f>segmthSales!CV24</f>
        <v>4</v>
      </c>
      <c r="G211" s="2028">
        <f>+(E211/E204-1)*100</f>
        <v>5.5412804747483779</v>
      </c>
      <c r="H211" s="1981">
        <f>+E211/$BI211*100</f>
        <v>50.853788908505273</v>
      </c>
      <c r="I211" s="2140">
        <f>E211-E195</f>
        <v>45.567000000000007</v>
      </c>
      <c r="J211" s="2028">
        <f>+(I211/I204-1)*100</f>
        <v>23.481112134843141</v>
      </c>
      <c r="K211" s="2025">
        <v>268.89999999999998</v>
      </c>
      <c r="L211" s="2028">
        <f>+(K211/K204-1)*100</f>
        <v>-0.6282335550628404</v>
      </c>
      <c r="M211" s="1981">
        <f>+K211/BI211*100</f>
        <v>12.385500903464484</v>
      </c>
      <c r="N211" s="1895"/>
      <c r="O211" s="1895"/>
      <c r="P211" s="1895"/>
      <c r="Q211" s="2056"/>
      <c r="R211" s="2024">
        <v>1372.98</v>
      </c>
      <c r="S211" s="1980">
        <f>+(R211/R204-1)*100</f>
        <v>4.2733718535260534</v>
      </c>
      <c r="T211" s="1980"/>
      <c r="U211" s="1981">
        <f>+R211/$BI211*100</f>
        <v>63.239289811969769</v>
      </c>
      <c r="V211" s="24"/>
      <c r="W211" s="388">
        <v>606.71299999999997</v>
      </c>
      <c r="X211" s="2140">
        <f t="shared" si="6"/>
        <v>40.159999999999968</v>
      </c>
      <c r="Y211" s="2028">
        <f>+(X211/X204-1)*100</f>
        <v>12.751979336290752</v>
      </c>
      <c r="Z211" s="2028"/>
      <c r="AA211" s="2385">
        <f>segmthSales!CV47</f>
        <v>3</v>
      </c>
      <c r="AB211" s="2385"/>
      <c r="AC211" s="1980">
        <f>+(W211/W204-1)*100</f>
        <v>5.6908430523739506</v>
      </c>
      <c r="AD211" s="1981">
        <f>+W211/$BI211*100</f>
        <v>27.945126105034017</v>
      </c>
      <c r="AE211" s="1981"/>
      <c r="AF211" s="1981"/>
      <c r="AG211" s="174">
        <v>59.816000000000003</v>
      </c>
      <c r="AH211" s="1980">
        <f>+(AG211/AG204-1)*100</f>
        <v>55.511647254575713</v>
      </c>
      <c r="AI211" s="1981">
        <f>+AG211/$BI211*100</f>
        <v>2.7551175977747553</v>
      </c>
      <c r="AJ211" s="24"/>
      <c r="AK211" s="388"/>
      <c r="AL211" s="2098"/>
      <c r="AM211" s="2094"/>
      <c r="AN211" s="2094"/>
      <c r="AO211" s="2098"/>
      <c r="AP211" s="2098"/>
      <c r="AQ211" s="2088"/>
      <c r="AR211" s="381"/>
      <c r="AS211" s="24"/>
      <c r="AT211" s="388"/>
      <c r="AU211" s="388"/>
      <c r="AV211" s="388"/>
      <c r="AW211" s="388"/>
      <c r="AX211" s="388"/>
      <c r="AY211" s="388"/>
      <c r="AZ211" s="2025">
        <v>75.099999999999994</v>
      </c>
      <c r="BA211" s="1980">
        <f>(AZ211/AZ204-1)*100</f>
        <v>-9.4089264173703331</v>
      </c>
      <c r="BB211" s="1981">
        <f t="shared" si="7"/>
        <v>3.4590967566016468</v>
      </c>
      <c r="BC211" s="405">
        <f>BE211-AZ211</f>
        <v>56.478000000000009</v>
      </c>
      <c r="BD211" s="2138">
        <f>(BC211/BC204-1)*100</f>
        <v>48.360827992014308</v>
      </c>
      <c r="BE211" s="2025">
        <v>131.578</v>
      </c>
      <c r="BF211" s="1980">
        <f>+(BE211/BE204-1)*100</f>
        <v>8.7709146220487977</v>
      </c>
      <c r="BG211" s="1981">
        <f>+BE211/$BI211*100</f>
        <v>6.0604664852214585</v>
      </c>
      <c r="BH211" s="24"/>
      <c r="BI211" s="266">
        <f>+E211+K211+W211+BE211+AG211</f>
        <v>2171.087</v>
      </c>
      <c r="BJ211" s="2385">
        <f>'qtrP&amp;L'!CZ12</f>
        <v>3</v>
      </c>
      <c r="BK211" s="2889">
        <f>+(BI211/BI204-1)*100</f>
        <v>5.8969197473988766</v>
      </c>
      <c r="BL211" s="266"/>
      <c r="BM211" s="1980"/>
      <c r="BN211" s="1981"/>
      <c r="BO211" s="266"/>
      <c r="BP211" s="1980"/>
      <c r="BQ211" s="1981"/>
      <c r="BR211" s="24"/>
      <c r="BS211" s="266"/>
      <c r="BT211" s="1980"/>
      <c r="BU211" s="1981"/>
      <c r="BV211" s="24"/>
      <c r="BW211" s="266"/>
      <c r="BX211" s="1980"/>
      <c r="BY211" s="24"/>
      <c r="BZ211" s="389"/>
      <c r="CA211" s="1980"/>
      <c r="CB211" s="1981"/>
      <c r="CC211" s="389"/>
      <c r="CD211" s="1980"/>
      <c r="CE211" s="1981"/>
      <c r="CF211" s="24"/>
      <c r="CG211" s="389"/>
      <c r="CH211" s="1980"/>
      <c r="CI211" s="1981"/>
      <c r="CJ211" s="24"/>
      <c r="CK211" s="389"/>
      <c r="CL211" s="1980"/>
      <c r="CM211" s="1981"/>
      <c r="CN211" s="24"/>
      <c r="CO211" s="24"/>
      <c r="CP211" s="1980"/>
      <c r="CQ211" s="1981"/>
      <c r="CR211" s="2886" t="s">
        <v>1018</v>
      </c>
      <c r="CS211" s="24" t="s">
        <v>598</v>
      </c>
      <c r="CT211" s="1991">
        <v>150.87700000000001</v>
      </c>
      <c r="CU211" s="2028">
        <f>+(CT211/CT204-1)*100</f>
        <v>-6.0506619176307836</v>
      </c>
      <c r="CV211" s="1981">
        <f>+CT211/R211*100</f>
        <v>10.989016591647365</v>
      </c>
      <c r="CW211" s="2140">
        <f>CT211-CT195</f>
        <v>3.1539999999999964</v>
      </c>
      <c r="CX211" s="2028">
        <f>+(CW211/CW204-1)*100</f>
        <v>19.334090049186358</v>
      </c>
      <c r="CY211" s="1981">
        <f>(CW211/I211)*100</f>
        <v>6.9216757741347816</v>
      </c>
      <c r="CZ211" s="168"/>
      <c r="DA211" s="2044">
        <v>71.697999999999993</v>
      </c>
      <c r="DB211" s="2028">
        <f>+(DA211/DA204-1)*100</f>
        <v>15.57296452117285</v>
      </c>
      <c r="DC211" s="1981">
        <f>+DA211/W211*100</f>
        <v>11.817449106908867</v>
      </c>
      <c r="DD211" s="2140">
        <f>DA211-DA195</f>
        <v>5.0449999999999875</v>
      </c>
      <c r="DE211" s="2028">
        <f>+(DD211/DD204-1)*100</f>
        <v>16.999072356214985</v>
      </c>
      <c r="DF211" s="1981">
        <f>(DD211/X211)*100</f>
        <v>12.562250996015914</v>
      </c>
      <c r="DG211" s="1981"/>
      <c r="DH211" s="2141">
        <v>10.045999999999999</v>
      </c>
      <c r="DI211" s="2028">
        <f>+(DH211/DH204-1)*100</f>
        <v>1178.1170483460558</v>
      </c>
      <c r="DJ211" s="1981">
        <f>+DH211/AG211*100</f>
        <v>16.794837501671793</v>
      </c>
      <c r="DK211" s="168"/>
      <c r="DL211" s="1417">
        <v>-10</v>
      </c>
      <c r="DM211" s="2028">
        <f>+(DL211/DL204-1)*100</f>
        <v>150</v>
      </c>
      <c r="DN211" s="1981">
        <f>+DL211/AZ211*100</f>
        <v>-13.315579227696405</v>
      </c>
      <c r="DO211" s="168"/>
      <c r="DP211" s="1417">
        <v>6.65</v>
      </c>
      <c r="DQ211" s="2028">
        <f>+(DP211/DP204-1)*100</f>
        <v>-146.53278287033797</v>
      </c>
      <c r="DR211" s="1981">
        <v>3.2920792079207923</v>
      </c>
      <c r="DS211" s="168"/>
      <c r="DT211" s="1417">
        <v>-21.594999999999999</v>
      </c>
      <c r="DU211" s="2117" t="s">
        <v>886</v>
      </c>
      <c r="DV211" s="1981">
        <f>+DT211/BE211*100</f>
        <v>-16.412318168690813</v>
      </c>
      <c r="DW211" s="168"/>
      <c r="DX211" s="2027">
        <f>+'qtrP&amp;L'!CX62</f>
        <v>211.02600000000007</v>
      </c>
      <c r="DY211" s="2028">
        <f>+(DX211/DX204-1)*100</f>
        <v>6.9108594878032559</v>
      </c>
      <c r="DZ211" s="1981">
        <f>(+DX211/BI211)*100</f>
        <v>9.7198315866660376</v>
      </c>
      <c r="EA211" s="1981"/>
      <c r="EB211" s="361">
        <f>DT211+DA211+DH211+CT211</f>
        <v>211.02600000000001</v>
      </c>
      <c r="EC211" s="24"/>
      <c r="ED211" s="24"/>
      <c r="EE211" s="24"/>
      <c r="EG211" s="361"/>
      <c r="EH211" s="2028"/>
      <c r="EI211" s="361"/>
      <c r="EJ211" s="2028"/>
    </row>
    <row r="212" spans="1:140">
      <c r="A212" s="113" t="str">
        <f>qtrSales!A183</f>
        <v>4Q</v>
      </c>
      <c r="B212" s="24" t="str">
        <f>qtrSales!B183</f>
        <v>Jan</v>
      </c>
      <c r="C212" s="24"/>
      <c r="D212" s="24"/>
      <c r="E212" s="418">
        <f>R212-K212</f>
        <v>1797.681</v>
      </c>
      <c r="F212" s="2385">
        <f>segmthSales!CV29</f>
        <v>2</v>
      </c>
      <c r="G212" s="2028">
        <f>+(E212/E205-1)*100</f>
        <v>1.1140265766715896</v>
      </c>
      <c r="H212" s="1981">
        <f>+E212/$BI212*100</f>
        <v>47.081860236346785</v>
      </c>
      <c r="I212" s="2142">
        <f>E212-E196</f>
        <v>73.523999999999887</v>
      </c>
      <c r="J212" s="2028">
        <f>+(I212/I205-1)*100</f>
        <v>14.107458795045581</v>
      </c>
      <c r="K212" s="418">
        <v>504.5</v>
      </c>
      <c r="L212" s="2028">
        <f>+(K212/K205-1)*100</f>
        <v>-5.5243445692883864</v>
      </c>
      <c r="M212" s="1981">
        <f>+K212/BI212*100</f>
        <v>13.213021937283061</v>
      </c>
      <c r="N212" s="1895"/>
      <c r="O212" s="1895"/>
      <c r="P212" s="1895"/>
      <c r="Q212" s="2056"/>
      <c r="R212" s="2026">
        <v>2302.181</v>
      </c>
      <c r="S212" s="1980">
        <f>+(R212/R205-1)*100</f>
        <v>-0.4193133279264627</v>
      </c>
      <c r="T212" s="1980"/>
      <c r="U212" s="1981">
        <f>+R212/$BI212*100</f>
        <v>60.294882173629851</v>
      </c>
      <c r="V212" s="24"/>
      <c r="W212" s="302">
        <v>1282.404</v>
      </c>
      <c r="X212" s="2142">
        <f t="shared" si="6"/>
        <v>77.042999999999893</v>
      </c>
      <c r="Y212" s="2028">
        <f>+(X212/X205-1)*100</f>
        <v>3.7504376632821801</v>
      </c>
      <c r="Z212" s="2028"/>
      <c r="AA212" s="2385">
        <f>segmthSales!CV52</f>
        <v>-1</v>
      </c>
      <c r="AB212" s="2385"/>
      <c r="AC212" s="1980">
        <f>+(W212/W205-1)*100</f>
        <v>-3.1342293741662863</v>
      </c>
      <c r="AD212" s="1981">
        <f>+W212/$BI212*100</f>
        <v>33.586585102992167</v>
      </c>
      <c r="AE212" s="1981"/>
      <c r="AF212" s="1981"/>
      <c r="AG212" s="175">
        <v>75.293000000000006</v>
      </c>
      <c r="AH212" s="1980">
        <f>+(AG212/AG205-1)*100</f>
        <v>41.358140582757599</v>
      </c>
      <c r="AI212" s="1981">
        <f>+AG212/$BI212*100</f>
        <v>1.9719485841899975</v>
      </c>
      <c r="AJ212" s="24"/>
      <c r="AK212" s="388"/>
      <c r="AL212" s="2098"/>
      <c r="AM212" s="2094"/>
      <c r="AN212" s="2094"/>
      <c r="AO212" s="2098"/>
      <c r="AP212" s="2098"/>
      <c r="AQ212" s="2088"/>
      <c r="AR212" s="381"/>
      <c r="AS212" s="24"/>
      <c r="AT212" s="388"/>
      <c r="AU212" s="388"/>
      <c r="AV212" s="388"/>
      <c r="AW212" s="388"/>
      <c r="AX212" s="388"/>
      <c r="AY212" s="388"/>
      <c r="AZ212" s="418">
        <v>92.8</v>
      </c>
      <c r="BA212" s="1980">
        <f>(AZ212/AZ205-1)*100</f>
        <v>-9.3750000000000107</v>
      </c>
      <c r="BB212" s="1981">
        <f t="shared" si="7"/>
        <v>2.4304627071949811</v>
      </c>
      <c r="BC212" s="2143">
        <f>BE212-AZ212</f>
        <v>65.524999999999991</v>
      </c>
      <c r="BD212" s="2138">
        <f>(BC212/BC205-1)*100</f>
        <v>2.1497833068313099</v>
      </c>
      <c r="BE212" s="302">
        <v>158.32499999999999</v>
      </c>
      <c r="BF212" s="1980">
        <f>+(BE212/BE205-1)*100</f>
        <v>-4.9361737898238385</v>
      </c>
      <c r="BG212" s="1981">
        <f>+BE212/$BI212*100</f>
        <v>4.146584139187989</v>
      </c>
      <c r="BH212" s="24"/>
      <c r="BI212" s="1022">
        <f>+E212+K212+W212+BE212+AG212</f>
        <v>3818.203</v>
      </c>
      <c r="BJ212" s="2385">
        <f>'qtrP&amp;L'!CZ13</f>
        <v>1</v>
      </c>
      <c r="BK212" s="2889">
        <f>+(BI212/BI205-1)*100</f>
        <v>-0.96950318538078228</v>
      </c>
      <c r="BL212" s="266"/>
      <c r="BM212" s="1980"/>
      <c r="BN212" s="1981"/>
      <c r="BO212" s="266"/>
      <c r="BP212" s="1980"/>
      <c r="BQ212" s="1981"/>
      <c r="BR212" s="24"/>
      <c r="BS212" s="266"/>
      <c r="BT212" s="1980"/>
      <c r="BU212" s="1981"/>
      <c r="BV212" s="24"/>
      <c r="BW212" s="266"/>
      <c r="BX212" s="1980"/>
      <c r="BY212" s="24"/>
      <c r="BZ212" s="389"/>
      <c r="CA212" s="1980"/>
      <c r="CB212" s="1981"/>
      <c r="CC212" s="389"/>
      <c r="CD212" s="1980"/>
      <c r="CE212" s="1981"/>
      <c r="CF212" s="24"/>
      <c r="CG212" s="389"/>
      <c r="CH212" s="1980"/>
      <c r="CI212" s="1981"/>
      <c r="CJ212" s="24"/>
      <c r="CK212" s="389"/>
      <c r="CL212" s="1980"/>
      <c r="CM212" s="1981"/>
      <c r="CN212" s="24"/>
      <c r="CO212" s="24"/>
      <c r="CP212" s="1980"/>
      <c r="CQ212" s="1981"/>
      <c r="CR212" s="2886" t="s">
        <v>1019</v>
      </c>
      <c r="CS212" s="24" t="s">
        <v>601</v>
      </c>
      <c r="CT212" s="2096">
        <v>463.452</v>
      </c>
      <c r="CU212" s="2028">
        <f>+(CT212/CT205-1)*100</f>
        <v>-8.4882710686359673</v>
      </c>
      <c r="CV212" s="1981">
        <f>+CT212/R212*100</f>
        <v>20.130997519308863</v>
      </c>
      <c r="CW212" s="2142">
        <f>CT212-CT196</f>
        <v>10.124000000000024</v>
      </c>
      <c r="CX212" s="2028">
        <f>+(CW212/CW205-1)*100</f>
        <v>-3.6360175138011486</v>
      </c>
      <c r="CY212" s="1981">
        <f>(CW212/I212)*100</f>
        <v>13.769653446493715</v>
      </c>
      <c r="CZ212" s="168"/>
      <c r="DA212" s="2097">
        <v>395.99799999999999</v>
      </c>
      <c r="DB212" s="2028">
        <f>+(DA212/DA205-1)*100</f>
        <v>-4.8219006874008592</v>
      </c>
      <c r="DC212" s="1981">
        <f>+DA212/W212*100</f>
        <v>30.879348473647926</v>
      </c>
      <c r="DD212" s="2142">
        <f>DA212-DA196</f>
        <v>18.873999999999967</v>
      </c>
      <c r="DE212" s="2028">
        <f>+(DD212/DD205-1)*100</f>
        <v>7.6484343808814748</v>
      </c>
      <c r="DF212" s="1981">
        <f>(DD212/X212)*100</f>
        <v>24.498007606142018</v>
      </c>
      <c r="DG212" s="1981"/>
      <c r="DH212" s="1698">
        <v>16.736000000000001</v>
      </c>
      <c r="DI212" s="2028">
        <f>+(DH212/DH205-1)*100</f>
        <v>94.559404789583823</v>
      </c>
      <c r="DJ212" s="1981">
        <f>+DH212/AG212*100</f>
        <v>22.227829944350734</v>
      </c>
      <c r="DK212" s="168"/>
      <c r="DL212" s="1419">
        <v>-15</v>
      </c>
      <c r="DM212" s="2028">
        <f>+(DL212/DL205-1)*100</f>
        <v>200</v>
      </c>
      <c r="DN212" s="1981">
        <f>+DL212/AZ212*100</f>
        <v>-16.163793103448278</v>
      </c>
      <c r="DO212" s="168"/>
      <c r="DP212" s="1419">
        <v>39.969000000000001</v>
      </c>
      <c r="DQ212" s="2028">
        <f>+(DP212/DP205-1)*100</f>
        <v>117.48285994123408</v>
      </c>
      <c r="DR212" s="1981">
        <v>13.720906282183314</v>
      </c>
      <c r="DS212" s="168"/>
      <c r="DT212" s="2097">
        <v>-12.724</v>
      </c>
      <c r="DU212" s="2117" t="s">
        <v>886</v>
      </c>
      <c r="DV212" s="1981">
        <f>+DT212/BE212*100</f>
        <v>-8.0366335070266857</v>
      </c>
      <c r="DW212" s="168"/>
      <c r="DX212" s="2152">
        <f>+'qtrP&amp;L'!CX63</f>
        <v>863.46100000000024</v>
      </c>
      <c r="DY212" s="2028">
        <f>+(DX212/DX205-1)*100</f>
        <v>-4.8883116940338418</v>
      </c>
      <c r="DZ212" s="1981">
        <f>(+DX212/BI212)*100</f>
        <v>22.61432930622076</v>
      </c>
      <c r="EA212" s="1981"/>
      <c r="EB212" s="361">
        <f>DT212+DA212+DH212+CT212</f>
        <v>863.46199999999999</v>
      </c>
      <c r="EC212" s="24"/>
      <c r="ED212" s="24"/>
      <c r="EE212" s="24"/>
      <c r="EG212" s="361"/>
      <c r="EH212" s="2028"/>
      <c r="EI212" s="361"/>
      <c r="EJ212" s="2028"/>
    </row>
    <row r="213" spans="1:140">
      <c r="A213" s="113"/>
      <c r="B213" s="24" t="str">
        <f>qtrSales!B184</f>
        <v>Year</v>
      </c>
      <c r="C213" s="24"/>
      <c r="D213" s="24"/>
      <c r="E213" s="2027">
        <f>+SUM(E209:E212)</f>
        <v>5367.9959999999992</v>
      </c>
      <c r="F213" s="2385">
        <f>segmthSales!CV30</f>
        <v>2</v>
      </c>
      <c r="G213" s="1980">
        <f>+(E213/E206-1)*100</f>
        <v>4.293158806658437</v>
      </c>
      <c r="H213" s="1981">
        <f>+E213/$BI213*100</f>
        <v>49.827261342973792</v>
      </c>
      <c r="I213" s="2144">
        <f>E213-E197</f>
        <v>202.97799999999916</v>
      </c>
      <c r="J213" s="2028">
        <f>+(I213/I206-1)*100</f>
        <v>21.942398500486071</v>
      </c>
      <c r="K213" s="2027">
        <f>+SUM(K209:K212)</f>
        <v>1516.1999999999998</v>
      </c>
      <c r="L213" s="2028">
        <f>+(K213/K206-1)*100</f>
        <v>-4.8330404217926333</v>
      </c>
      <c r="M213" s="1981">
        <f>+K213/$BI213*100</f>
        <v>14.073798424629391</v>
      </c>
      <c r="N213" s="2027"/>
      <c r="O213" s="2022"/>
      <c r="P213" s="1981"/>
      <c r="Q213" s="24"/>
      <c r="R213" s="266">
        <f>+SUM(R209:R212)</f>
        <v>6884.1840000000011</v>
      </c>
      <c r="S213" s="1980">
        <f>+(R213/R206-1)*100</f>
        <v>2.1358037549482844</v>
      </c>
      <c r="T213" s="1980"/>
      <c r="U213" s="1981">
        <f>+R213/$BI213*100</f>
        <v>63.900948380199765</v>
      </c>
      <c r="V213" s="24"/>
      <c r="W213" s="266">
        <f>+SUM(W209:W212)</f>
        <v>3117.8639999999996</v>
      </c>
      <c r="X213" s="2144">
        <f t="shared" si="6"/>
        <v>185.5619999999999</v>
      </c>
      <c r="Y213" s="2028">
        <f>+(X213/X206-1)*100</f>
        <v>7.7401861453513909</v>
      </c>
      <c r="Z213" s="2028"/>
      <c r="AA213" s="2385">
        <f>segmthSales!CV53</f>
        <v>1</v>
      </c>
      <c r="AB213" s="2385"/>
      <c r="AC213" s="1980">
        <f>+(W213/W206-1)*100</f>
        <v>1.4124528084635601</v>
      </c>
      <c r="AD213" s="1981">
        <f>+W213/$BI213*100</f>
        <v>28.940897936557636</v>
      </c>
      <c r="AE213" s="1981"/>
      <c r="AF213" s="1981"/>
      <c r="AG213" s="266">
        <f>SUM(AG209:AG212)</f>
        <v>221.79599999999999</v>
      </c>
      <c r="AH213" s="1980">
        <f>+(AG213/AG206-1)*100</f>
        <v>68.023454012408791</v>
      </c>
      <c r="AI213" s="1981">
        <f>+AG213/$BI213*100</f>
        <v>2.0587733777793829</v>
      </c>
      <c r="AJ213" s="24"/>
      <c r="AK213" s="388"/>
      <c r="AL213" s="2134"/>
      <c r="AM213" s="388"/>
      <c r="AN213" s="388"/>
      <c r="AO213" s="2134"/>
      <c r="AP213" s="2134"/>
      <c r="AQ213" s="1980"/>
      <c r="AR213" s="1981"/>
      <c r="AS213" s="24"/>
      <c r="AT213" s="388"/>
      <c r="AU213" s="388"/>
      <c r="AV213" s="388"/>
      <c r="AW213" s="388"/>
      <c r="AX213" s="388"/>
      <c r="AY213" s="388"/>
      <c r="AZ213" s="2027">
        <f>SUM(AZ209:AZ212)</f>
        <v>326.79999999999995</v>
      </c>
      <c r="BA213" s="1980">
        <f>(AZ213/AZ206-1)*100</f>
        <v>-8.0731364275668192</v>
      </c>
      <c r="BB213" s="1981">
        <f t="shared" si="7"/>
        <v>3.033450287012851</v>
      </c>
      <c r="BC213" s="266">
        <f>SUM(BC209:BC212)</f>
        <v>222.55500000000001</v>
      </c>
      <c r="BD213" s="2138">
        <f>(BC213/BC206-1)*100</f>
        <v>42.22220802126737</v>
      </c>
      <c r="BE213" s="266">
        <f>+SUM(BE209:BE212)</f>
        <v>549.35500000000002</v>
      </c>
      <c r="BF213" s="1980">
        <f>+(BE213/BE206-1)*100</f>
        <v>7.2992515391105961</v>
      </c>
      <c r="BG213" s="1981">
        <f>+BE213/$BI213*100</f>
        <v>5.0992689180598072</v>
      </c>
      <c r="BH213" s="24"/>
      <c r="BI213" s="266">
        <f>+E213+K213+W213+BE213+AG213</f>
        <v>10773.210999999998</v>
      </c>
      <c r="BJ213" s="2385">
        <f>'qtrP&amp;L'!CZ14</f>
        <v>2</v>
      </c>
      <c r="BK213" s="2889">
        <f>+(BI213/BI206-1)*100</f>
        <v>3.0076438149007734</v>
      </c>
      <c r="BL213" s="266"/>
      <c r="BM213" s="1980"/>
      <c r="BN213" s="1981"/>
      <c r="BO213" s="266"/>
      <c r="BP213" s="1980"/>
      <c r="BQ213" s="1981"/>
      <c r="BR213" s="24"/>
      <c r="BS213" s="266"/>
      <c r="BT213" s="1980"/>
      <c r="BU213" s="1981"/>
      <c r="BV213" s="24"/>
      <c r="BW213" s="266"/>
      <c r="BX213" s="1980"/>
      <c r="BY213" s="24"/>
      <c r="BZ213" s="389"/>
      <c r="CA213" s="1980"/>
      <c r="CB213" s="1981"/>
      <c r="CC213" s="389"/>
      <c r="CD213" s="1980"/>
      <c r="CE213" s="1981"/>
      <c r="CF213" s="24"/>
      <c r="CG213" s="389"/>
      <c r="CH213" s="1980"/>
      <c r="CI213" s="1981"/>
      <c r="CJ213" s="24"/>
      <c r="CK213" s="389"/>
      <c r="CL213" s="1980"/>
      <c r="CM213" s="1981"/>
      <c r="CN213" s="24"/>
      <c r="CO213" s="24"/>
      <c r="CP213" s="1980"/>
      <c r="CQ213" s="1981"/>
      <c r="CR213" s="2886"/>
      <c r="CS213" s="24" t="s">
        <v>1020</v>
      </c>
      <c r="CT213" s="2027">
        <f>+SUM(CT209:CT212)</f>
        <v>1153.508</v>
      </c>
      <c r="CU213" s="2028">
        <f>+(CT213/CT206-1)*100</f>
        <v>-4.4002118347324481</v>
      </c>
      <c r="CV213" s="1981">
        <f>+CT213/R213*100</f>
        <v>16.755914716980254</v>
      </c>
      <c r="CW213" s="2144">
        <f>CT213-CT197</f>
        <v>21.716000000000122</v>
      </c>
      <c r="CX213" s="2028">
        <f>+(CW213/CW206-1)*100</f>
        <v>18.550060050224772</v>
      </c>
      <c r="CY213" s="1981">
        <f>(CW213/I213)*100</f>
        <v>10.698696410448527</v>
      </c>
      <c r="CZ213" s="24"/>
      <c r="DA213" s="2027">
        <f>+SUM(DA209:DA212)</f>
        <v>647.60899999999992</v>
      </c>
      <c r="DB213" s="2028">
        <f>+(DA213/DA206-1)*100</f>
        <v>2.8505860305561681</v>
      </c>
      <c r="DC213" s="1981">
        <f>+DA213/W213*100</f>
        <v>20.770918808517628</v>
      </c>
      <c r="DD213" s="2144">
        <f>DA213-DA197</f>
        <v>29.003999999999905</v>
      </c>
      <c r="DE213" s="2028">
        <f>+(DD213/DD206-1)*100</f>
        <v>14.427742928156761</v>
      </c>
      <c r="DF213" s="1981">
        <f>(DD213/X213)*100</f>
        <v>15.630355352927818</v>
      </c>
      <c r="DG213" s="1981"/>
      <c r="DH213" s="1142">
        <f>SUM(DH209:DH212)</f>
        <v>38.466999999999999</v>
      </c>
      <c r="DI213" s="2028">
        <f>+(DH213/DH206-1)*100</f>
        <v>938.80637321090978</v>
      </c>
      <c r="DJ213" s="1981">
        <f>+DH213/AG213*100</f>
        <v>17.343414669335786</v>
      </c>
      <c r="DK213" s="24"/>
      <c r="DL213" s="361">
        <f>SUM(DL209:DL212)</f>
        <v>-34.799999999999997</v>
      </c>
      <c r="DM213" s="2028">
        <f>+(DL213/DL206-1)*100</f>
        <v>37.00787401574803</v>
      </c>
      <c r="DN213" s="1981">
        <f>+DL213/AZ213*100</f>
        <v>-10.648714810281518</v>
      </c>
      <c r="DO213" s="24"/>
      <c r="DP213" s="361">
        <v>19.835999999999999</v>
      </c>
      <c r="DQ213" s="2028">
        <f>+(DP213/DP206-1)*100</f>
        <v>-133.16668617385926</v>
      </c>
      <c r="DR213" s="1981">
        <v>2.3818443804034581</v>
      </c>
      <c r="DS213" s="24"/>
      <c r="DT213" s="361">
        <f>+SUM(DT209:DT212)</f>
        <v>-96.11</v>
      </c>
      <c r="DU213" s="2117" t="s">
        <v>886</v>
      </c>
      <c r="DV213" s="1981">
        <f>+DT213/BE213*100</f>
        <v>-17.495062391349855</v>
      </c>
      <c r="DW213" s="24"/>
      <c r="DX213" s="2027">
        <f>+SUM(DX209:DX212)</f>
        <v>1743.4740000000004</v>
      </c>
      <c r="DY213" s="2028">
        <f>+(DX213/DX206-1)*100</f>
        <v>2.1169896856495507</v>
      </c>
      <c r="DZ213" s="1981">
        <f>(+DX213/BI213)*100</f>
        <v>16.183420152079087</v>
      </c>
      <c r="EA213" s="1981"/>
      <c r="EB213" s="361">
        <f>DT213+DA213+DH213+CT213</f>
        <v>1743.4739999999999</v>
      </c>
      <c r="EC213" s="24"/>
      <c r="ED213" s="24"/>
      <c r="EE213" s="24"/>
      <c r="EG213" s="266"/>
      <c r="EH213" s="1980"/>
      <c r="EI213" s="266"/>
      <c r="EJ213" s="1980"/>
    </row>
    <row r="214" spans="1:140" ht="6" customHeight="1">
      <c r="A214" s="113"/>
      <c r="B214" s="24"/>
      <c r="C214" s="24"/>
      <c r="D214" s="24"/>
      <c r="E214" s="266"/>
      <c r="F214" s="266"/>
      <c r="G214" s="1980"/>
      <c r="H214" s="1981"/>
      <c r="I214" s="1981"/>
      <c r="J214" s="1981"/>
      <c r="K214" s="2365"/>
      <c r="L214" s="2049"/>
      <c r="M214" s="1981"/>
      <c r="N214" s="2027"/>
      <c r="O214" s="2022"/>
      <c r="P214" s="1981"/>
      <c r="Q214" s="24"/>
      <c r="R214" s="266"/>
      <c r="S214" s="1980"/>
      <c r="T214" s="1980"/>
      <c r="U214" s="1981"/>
      <c r="V214" s="24"/>
      <c r="W214" s="1695"/>
      <c r="X214" s="266"/>
      <c r="Y214" s="266"/>
      <c r="Z214" s="266"/>
      <c r="AA214" s="266"/>
      <c r="AB214" s="266"/>
      <c r="AC214" s="1980"/>
      <c r="AD214" s="1981"/>
      <c r="AE214" s="1981"/>
      <c r="AF214" s="1981"/>
      <c r="AG214" s="1981"/>
      <c r="AH214" s="1981"/>
      <c r="AI214" s="24"/>
      <c r="AJ214" s="24"/>
      <c r="AK214" s="388"/>
      <c r="AL214" s="2134"/>
      <c r="AM214" s="388"/>
      <c r="AN214" s="388"/>
      <c r="AO214" s="2134"/>
      <c r="AP214" s="2134"/>
      <c r="AQ214" s="1980"/>
      <c r="AR214" s="1981"/>
      <c r="AS214" s="24"/>
      <c r="AT214" s="388"/>
      <c r="AU214" s="388"/>
      <c r="AV214" s="388"/>
      <c r="AW214" s="388"/>
      <c r="AX214" s="388"/>
      <c r="AY214" s="388"/>
      <c r="AZ214" s="388"/>
      <c r="BA214" s="388"/>
      <c r="BB214" s="388"/>
      <c r="BC214" s="266"/>
      <c r="BD214" s="1980"/>
      <c r="BE214" s="266"/>
      <c r="BF214" s="1980"/>
      <c r="BG214" s="1981"/>
      <c r="BH214" s="24"/>
      <c r="BI214" s="266"/>
      <c r="BJ214" s="266"/>
      <c r="BK214" s="2889"/>
      <c r="BL214" s="266"/>
      <c r="BM214" s="1980"/>
      <c r="BN214" s="1981"/>
      <c r="BO214" s="266"/>
      <c r="BP214" s="1980"/>
      <c r="BQ214" s="1981"/>
      <c r="BR214" s="24"/>
      <c r="BS214" s="266"/>
      <c r="BT214" s="1980"/>
      <c r="BU214" s="1981"/>
      <c r="BV214" s="24"/>
      <c r="BW214" s="266"/>
      <c r="BX214" s="1980"/>
      <c r="BY214" s="24"/>
      <c r="BZ214" s="389"/>
      <c r="CA214" s="1980"/>
      <c r="CB214" s="1981"/>
      <c r="CC214" s="389"/>
      <c r="CD214" s="1980"/>
      <c r="CE214" s="1981"/>
      <c r="CF214" s="24"/>
      <c r="CG214" s="389"/>
      <c r="CH214" s="1980"/>
      <c r="CI214" s="1981"/>
      <c r="CJ214" s="24"/>
      <c r="CK214" s="389"/>
      <c r="CL214" s="1980"/>
      <c r="CM214" s="1981"/>
      <c r="CN214" s="24"/>
      <c r="CO214" s="24"/>
      <c r="CP214" s="1980"/>
      <c r="CQ214" s="1981"/>
      <c r="CR214" s="2886"/>
      <c r="CS214" s="24"/>
      <c r="CT214" s="266"/>
      <c r="CU214" s="1980"/>
      <c r="CV214" s="1981"/>
      <c r="CW214" s="266"/>
      <c r="CX214" s="266"/>
      <c r="CY214" s="266"/>
      <c r="CZ214" s="24"/>
      <c r="DA214" s="266"/>
      <c r="DB214" s="1980"/>
      <c r="DC214" s="1981"/>
      <c r="DD214" s="1981"/>
      <c r="DE214" s="2028"/>
      <c r="DF214" s="1981"/>
      <c r="DG214" s="1981"/>
      <c r="DH214" s="2371"/>
      <c r="DI214" s="2135"/>
      <c r="DJ214" s="2136"/>
      <c r="DK214" s="24"/>
      <c r="DL214" s="266"/>
      <c r="DM214" s="1980"/>
      <c r="DN214" s="1981"/>
      <c r="DO214" s="24"/>
      <c r="DP214" s="266"/>
      <c r="DQ214" s="1980"/>
      <c r="DR214" s="1981"/>
      <c r="DS214" s="24"/>
      <c r="DU214" s="1980"/>
      <c r="DV214" s="1981"/>
      <c r="DW214" s="24"/>
      <c r="DX214" s="266"/>
      <c r="DY214" s="1980"/>
      <c r="DZ214" s="1981"/>
      <c r="EA214" s="1981"/>
      <c r="EB214" s="361"/>
      <c r="EC214" s="24"/>
      <c r="ED214" s="24"/>
      <c r="EE214" s="24"/>
      <c r="EG214" s="266"/>
      <c r="EH214" s="1980"/>
      <c r="EI214" s="266"/>
      <c r="EJ214" s="1980"/>
    </row>
    <row r="215" spans="1:140">
      <c r="A215" s="113"/>
      <c r="B215" s="136" t="str">
        <f>qtrSales!B186</f>
        <v>2014A</v>
      </c>
      <c r="C215" s="24"/>
      <c r="D215" s="24"/>
      <c r="E215" s="266"/>
      <c r="F215" s="266"/>
      <c r="G215" s="1980"/>
      <c r="H215" s="1981"/>
      <c r="I215" s="1981"/>
      <c r="J215" s="1981"/>
      <c r="K215" s="266"/>
      <c r="L215" s="1980"/>
      <c r="M215" s="1981"/>
      <c r="Q215" s="24"/>
      <c r="R215" s="266"/>
      <c r="S215" s="1980"/>
      <c r="T215" s="1980"/>
      <c r="U215" s="1981"/>
      <c r="V215" s="24"/>
      <c r="W215" s="266"/>
      <c r="X215" s="266"/>
      <c r="Y215" s="266"/>
      <c r="Z215" s="266"/>
      <c r="AA215" s="266"/>
      <c r="AB215" s="266"/>
      <c r="AC215" s="1980"/>
      <c r="AD215" s="1981"/>
      <c r="AE215" s="1981"/>
      <c r="AF215" s="1981"/>
      <c r="AG215" s="1981"/>
      <c r="AH215" s="1981"/>
      <c r="AI215" s="24"/>
      <c r="AJ215" s="24"/>
      <c r="AK215" s="388"/>
      <c r="AL215" s="2098"/>
      <c r="AM215" s="2094"/>
      <c r="AN215" s="2094"/>
      <c r="AO215" s="2098"/>
      <c r="AP215" s="2098"/>
      <c r="AQ215" s="2088"/>
      <c r="AR215" s="381"/>
      <c r="AS215" s="24"/>
      <c r="AT215" s="388"/>
      <c r="AU215" s="388"/>
      <c r="AV215" s="388"/>
      <c r="AW215" s="388"/>
      <c r="AX215" s="388"/>
      <c r="AY215" s="388"/>
      <c r="AZ215" s="2027"/>
      <c r="BA215" s="2022"/>
      <c r="BB215" s="1981"/>
      <c r="BC215" s="266"/>
      <c r="BD215" s="1980"/>
      <c r="BE215" s="266"/>
      <c r="BF215" s="1980"/>
      <c r="BG215" s="1981"/>
      <c r="BH215" s="24"/>
      <c r="BI215" s="266"/>
      <c r="BJ215" s="266"/>
      <c r="BK215" s="2889"/>
      <c r="BL215" s="266"/>
      <c r="BM215" s="1980"/>
      <c r="BN215" s="1981"/>
      <c r="BO215" s="266"/>
      <c r="BP215" s="1980"/>
      <c r="BQ215" s="1981"/>
      <c r="BR215" s="24"/>
      <c r="BS215" s="266"/>
      <c r="BT215" s="1980"/>
      <c r="BU215" s="1981"/>
      <c r="BV215" s="24"/>
      <c r="BW215" s="266"/>
      <c r="BX215" s="1980"/>
      <c r="BY215" s="24"/>
      <c r="BZ215" s="389"/>
      <c r="CA215" s="1980"/>
      <c r="CB215" s="1981"/>
      <c r="CC215" s="389"/>
      <c r="CD215" s="1980"/>
      <c r="CE215" s="1981"/>
      <c r="CF215" s="24"/>
      <c r="CG215" s="389"/>
      <c r="CH215" s="1980"/>
      <c r="CI215" s="1981"/>
      <c r="CJ215" s="24"/>
      <c r="CK215" s="389"/>
      <c r="CL215" s="1980"/>
      <c r="CM215" s="1981"/>
      <c r="CN215" s="24"/>
      <c r="CO215" s="24"/>
      <c r="CP215" s="1980"/>
      <c r="CQ215" s="1981"/>
      <c r="CR215" s="2886"/>
      <c r="CS215" s="136" t="s">
        <v>335</v>
      </c>
      <c r="CT215" s="2027"/>
      <c r="CU215" s="2028"/>
      <c r="CV215" s="1981"/>
      <c r="CW215" s="2027"/>
      <c r="CX215" s="2027"/>
      <c r="CY215" s="2027"/>
      <c r="CZ215" s="168"/>
      <c r="DA215" s="2027"/>
      <c r="DB215" s="2028"/>
      <c r="DC215" s="1981"/>
      <c r="DD215" s="1981"/>
      <c r="DE215" s="1981"/>
      <c r="DF215" s="1981"/>
      <c r="DG215" s="1981"/>
      <c r="DH215" s="650"/>
      <c r="DI215" s="2103"/>
      <c r="DJ215" s="2048"/>
      <c r="DK215" s="168"/>
      <c r="DL215" s="361"/>
      <c r="DM215" s="2028"/>
      <c r="DN215" s="1981"/>
      <c r="DO215" s="168"/>
      <c r="DP215" s="361"/>
      <c r="DQ215" s="2028"/>
      <c r="DR215" s="1981"/>
      <c r="DS215" s="168"/>
      <c r="DT215" s="361"/>
      <c r="DU215" s="2028"/>
      <c r="DV215" s="1981"/>
      <c r="DW215" s="168"/>
      <c r="DX215" s="2027"/>
      <c r="DY215" s="2028"/>
      <c r="DZ215" s="1981"/>
      <c r="EA215" s="1981"/>
      <c r="EB215" s="361"/>
      <c r="EC215" s="24"/>
      <c r="ED215" s="24"/>
      <c r="EE215" s="24"/>
      <c r="EG215" s="361"/>
      <c r="EH215" s="2028"/>
      <c r="EI215" s="361"/>
      <c r="EJ215" s="2028"/>
    </row>
    <row r="216" spans="1:140">
      <c r="A216" s="113" t="str">
        <f>qtrSales!A187</f>
        <v>1Q</v>
      </c>
      <c r="B216" s="24" t="str">
        <f>qtrSales!B187</f>
        <v>Apr</v>
      </c>
      <c r="C216" s="24"/>
      <c r="D216" s="24"/>
      <c r="E216" s="1982">
        <v>1245.3</v>
      </c>
      <c r="F216" s="2385">
        <f>segmthSales!CZ14</f>
        <v>2</v>
      </c>
      <c r="G216" s="1980">
        <f>+(E216/E209-1)*100</f>
        <v>5.1240925206820886</v>
      </c>
      <c r="H216" s="1981">
        <f>+E216/$BI216*100</f>
        <v>52.078432553348719</v>
      </c>
      <c r="I216" s="1981"/>
      <c r="J216" s="1981"/>
      <c r="K216" s="1982">
        <v>358.3</v>
      </c>
      <c r="L216" s="1980">
        <f>+(K216/K209-1)*100</f>
        <v>-0.22277917014759119</v>
      </c>
      <c r="M216" s="1981">
        <f>+K216/BI216*100</f>
        <v>14.984102131104832</v>
      </c>
      <c r="Q216" s="24"/>
      <c r="R216" s="1982">
        <v>1603.6289999999999</v>
      </c>
      <c r="S216" s="1980">
        <f>+(R216/R209-1)*100</f>
        <v>3.8829737615373006</v>
      </c>
      <c r="T216" s="1980"/>
      <c r="U216" s="1981">
        <f>+R216/$BI216*100</f>
        <v>67.063747464140405</v>
      </c>
      <c r="V216" s="24"/>
      <c r="W216" s="1982">
        <f>530.2+51.414</f>
        <v>581.61400000000003</v>
      </c>
      <c r="X216" s="381"/>
      <c r="Y216" s="381"/>
      <c r="Z216" s="381"/>
      <c r="AA216" s="2385">
        <f>segmthSales!CZ37</f>
        <v>2</v>
      </c>
      <c r="AB216" s="2385"/>
      <c r="AC216" s="1980">
        <f>+(W216/W209-1)*100</f>
        <v>3.7016829721870259</v>
      </c>
      <c r="AD216" s="1981">
        <f>+W216/$BI216*100</f>
        <v>24.323091199777856</v>
      </c>
      <c r="AE216" s="1981"/>
      <c r="AF216" s="1981"/>
      <c r="AG216" s="138">
        <v>70.998999999999995</v>
      </c>
      <c r="AH216" s="1980">
        <f>+(AG216/AG209-1)*100</f>
        <v>75.740099009900973</v>
      </c>
      <c r="AI216" s="1981">
        <f>+AG216/$BI216*100</f>
        <v>2.9691774133583921</v>
      </c>
      <c r="AJ216" s="2145"/>
      <c r="AK216" s="2146"/>
      <c r="AL216" s="2147"/>
      <c r="AM216" s="2148"/>
      <c r="AN216" s="2148"/>
      <c r="AO216" s="2147"/>
      <c r="AP216" s="2147"/>
      <c r="AQ216" s="2149"/>
      <c r="AR216" s="2150"/>
      <c r="AS216" s="2145"/>
      <c r="AT216" s="2146"/>
      <c r="AU216" s="2146"/>
      <c r="AV216" s="2146"/>
      <c r="AW216" s="2146"/>
      <c r="AX216" s="2146"/>
      <c r="AY216" s="2146"/>
      <c r="AZ216" s="138">
        <v>55</v>
      </c>
      <c r="BA216" s="1980">
        <f>(AZ216/AZ209-1)*100</f>
        <v>-24.450549450549453</v>
      </c>
      <c r="BB216" s="1981">
        <f>(AZ216/BI216)*100</f>
        <v>2.3000994061143336</v>
      </c>
      <c r="BC216" s="42">
        <f>BE216-AZ216</f>
        <v>79.988</v>
      </c>
      <c r="BD216" s="2138">
        <f>(BC216/BC209-1)*100</f>
        <v>59.287876374064005</v>
      </c>
      <c r="BE216" s="138">
        <v>134.988</v>
      </c>
      <c r="BF216" s="1980">
        <f>+(BE216/BE209-1)*100</f>
        <v>9.7320673733497962</v>
      </c>
      <c r="BG216" s="1981">
        <f>+BE216/$BI216*100</f>
        <v>5.6451967024102121</v>
      </c>
      <c r="BH216" s="24"/>
      <c r="BI216" s="381">
        <f>+E216+K216+W216+AG216+BE216</f>
        <v>2391.2009999999996</v>
      </c>
      <c r="BJ216" s="2385">
        <f>'qtrP&amp;L'!DD10</f>
        <v>2</v>
      </c>
      <c r="BK216" s="2889">
        <f>+(BI216/BI209-1)*100</f>
        <v>5.4335839687402965</v>
      </c>
      <c r="BL216" s="266"/>
      <c r="BM216" s="1980"/>
      <c r="BN216" s="1981"/>
      <c r="BO216" s="266"/>
      <c r="BP216" s="1980"/>
      <c r="BQ216" s="1981"/>
      <c r="BR216" s="24"/>
      <c r="BS216" s="266"/>
      <c r="BT216" s="1980"/>
      <c r="BU216" s="1981"/>
      <c r="BV216" s="24"/>
      <c r="BW216" s="266"/>
      <c r="BX216" s="1980"/>
      <c r="BY216" s="24"/>
      <c r="BZ216" s="389"/>
      <c r="CA216" s="1980"/>
      <c r="CB216" s="1981"/>
      <c r="CC216" s="389"/>
      <c r="CD216" s="1980"/>
      <c r="CE216" s="1981"/>
      <c r="CF216" s="24"/>
      <c r="CG216" s="389"/>
      <c r="CH216" s="1980"/>
      <c r="CI216" s="1981"/>
      <c r="CJ216" s="24"/>
      <c r="CK216" s="389"/>
      <c r="CL216" s="1980"/>
      <c r="CM216" s="1981"/>
      <c r="CN216" s="24"/>
      <c r="CO216" s="24"/>
      <c r="CP216" s="1980"/>
      <c r="CQ216" s="1981"/>
      <c r="CR216" s="2886" t="s">
        <v>119</v>
      </c>
      <c r="CS216" s="24" t="s">
        <v>830</v>
      </c>
      <c r="CT216" s="1982">
        <v>278.04700000000003</v>
      </c>
      <c r="CU216" s="2028">
        <f>+(CT216/CT209-1)*100</f>
        <v>5.3020863709869914</v>
      </c>
      <c r="CV216" s="1981">
        <f>+CT216/R216*100</f>
        <v>17.338611362104331</v>
      </c>
      <c r="CW216" s="381"/>
      <c r="CX216" s="381"/>
      <c r="CY216" s="381"/>
      <c r="CZ216" s="168"/>
      <c r="DA216" s="1982">
        <v>79.912000000000006</v>
      </c>
      <c r="DB216" s="2028">
        <f>+(DA216/DA209-1)*100</f>
        <v>8.5009029069530673</v>
      </c>
      <c r="DC216" s="1981">
        <f>+DA216/W216*100</f>
        <v>13.73969677483692</v>
      </c>
      <c r="DD216" s="1998"/>
      <c r="DE216" s="1998"/>
      <c r="DF216" s="1998"/>
      <c r="DG216" s="1998"/>
      <c r="DH216" s="138">
        <v>15.528</v>
      </c>
      <c r="DI216" s="2028">
        <f>+(DH216/DH209-1)*100</f>
        <v>251.15332428765268</v>
      </c>
      <c r="DJ216" s="1981">
        <f>+DH216/AG216*100</f>
        <v>21.870730573670052</v>
      </c>
      <c r="DK216" s="168"/>
      <c r="DL216" s="2023">
        <v>-14</v>
      </c>
      <c r="DM216" s="2028">
        <f>+(DL216/DL209-1)*100</f>
        <v>105.88235294117649</v>
      </c>
      <c r="DN216" s="1981"/>
      <c r="DO216" s="168"/>
      <c r="DP216" s="1691">
        <f>DT216-DL216</f>
        <v>-23.375999999999998</v>
      </c>
      <c r="DQ216" s="2028">
        <f>+(DP216/DP209-1)*100</f>
        <v>65.622785886353952</v>
      </c>
      <c r="DR216" s="1981">
        <v>-7.5563434572060428</v>
      </c>
      <c r="DS216" s="168"/>
      <c r="DT216" s="1691">
        <v>-37.375999999999998</v>
      </c>
      <c r="DU216" s="2117" t="s">
        <v>886</v>
      </c>
      <c r="DV216" s="1981">
        <f>+DT216/BE216*100</f>
        <v>-27.688387115891782</v>
      </c>
      <c r="DW216" s="168"/>
      <c r="DX216" s="381">
        <f>'qtrP&amp;L'!DB60</f>
        <v>336.1110000000001</v>
      </c>
      <c r="DY216" s="2028">
        <f>+(DX216/DX209-1)*100</f>
        <v>8.0114145786535964</v>
      </c>
      <c r="DZ216" s="1981">
        <f>(+DX216/BI216)*100</f>
        <v>14.05615839069991</v>
      </c>
      <c r="EA216" s="1981"/>
      <c r="EB216" s="361">
        <f>DT216+DA216+DH216+CT216</f>
        <v>336.11100000000005</v>
      </c>
      <c r="EC216" s="24"/>
      <c r="ED216" s="24"/>
      <c r="EE216" s="24"/>
      <c r="EG216" s="361"/>
      <c r="EH216" s="2028"/>
      <c r="EI216" s="361"/>
      <c r="EJ216" s="2028"/>
    </row>
    <row r="217" spans="1:140">
      <c r="A217" s="113" t="str">
        <f>qtrSales!A188</f>
        <v>2Q</v>
      </c>
      <c r="B217" s="24" t="str">
        <f>qtrSales!B188</f>
        <v>Jul</v>
      </c>
      <c r="C217" s="24"/>
      <c r="D217" s="24"/>
      <c r="E217" s="307">
        <v>1363</v>
      </c>
      <c r="F217" s="2385">
        <f>segmthSales!CZ19</f>
        <v>3</v>
      </c>
      <c r="G217" s="1980">
        <f>+(E217/E210-1)*100</f>
        <v>6.348531368135224</v>
      </c>
      <c r="H217" s="1981">
        <f>+E217/$BI217*100</f>
        <v>50.947900071842888</v>
      </c>
      <c r="I217" s="1981"/>
      <c r="J217" s="1981"/>
      <c r="K217" s="388">
        <v>382.4</v>
      </c>
      <c r="L217" s="1980">
        <f>+(K217/K210-1)*100</f>
        <v>-0.33880635913474677</v>
      </c>
      <c r="M217" s="1981">
        <f>+K217/BI217*100</f>
        <v>14.293820240258782</v>
      </c>
      <c r="Q217" s="24"/>
      <c r="R217" s="2132">
        <v>1745.4290000000001</v>
      </c>
      <c r="S217" s="1980">
        <f>+(R217/R210-1)*100</f>
        <v>4.8094827767386272</v>
      </c>
      <c r="T217" s="1980"/>
      <c r="U217" s="1981">
        <f>+R217/$BI217*100</f>
        <v>65.24280430997554</v>
      </c>
      <c r="V217" s="24"/>
      <c r="W217" s="388">
        <v>704.65099999999995</v>
      </c>
      <c r="X217" s="387"/>
      <c r="Y217" s="387"/>
      <c r="Z217" s="387"/>
      <c r="AA217" s="2385">
        <f>segmthSales!CZ42</f>
        <v>3</v>
      </c>
      <c r="AB217" s="2385"/>
      <c r="AC217" s="1980">
        <f>+(W217/W210-1)*100</f>
        <v>5.5034182070807569</v>
      </c>
      <c r="AD217" s="1981">
        <f>+W217/$BI217*100</f>
        <v>26.339316752402176</v>
      </c>
      <c r="AE217" s="1981"/>
      <c r="AF217" s="1981"/>
      <c r="AG217" s="174">
        <v>79.34</v>
      </c>
      <c r="AH217" s="1980">
        <f>+(AG217/AG210-1)*100</f>
        <v>71.408818890833288</v>
      </c>
      <c r="AI217" s="1981">
        <f>+AG217/$BI217*100</f>
        <v>2.965668665957458</v>
      </c>
      <c r="AJ217" s="2145"/>
      <c r="AK217" s="2146"/>
      <c r="AL217" s="2147"/>
      <c r="AM217" s="2148"/>
      <c r="AN217" s="2148"/>
      <c r="AO217" s="2147"/>
      <c r="AP217" s="2147"/>
      <c r="AQ217" s="2149"/>
      <c r="AR217" s="2150"/>
      <c r="AS217" s="2145"/>
      <c r="AT217" s="2146"/>
      <c r="AU217" s="2146"/>
      <c r="AV217" s="2146"/>
      <c r="AW217" s="2146"/>
      <c r="AX217" s="2146"/>
      <c r="AY217" s="2146"/>
      <c r="AZ217" s="174">
        <v>71.7</v>
      </c>
      <c r="BA217" s="1980">
        <f>(AZ217/AZ210-1)*100</f>
        <v>-16.724738675958186</v>
      </c>
      <c r="BB217" s="1981">
        <f>(AZ217/BI217)*100</f>
        <v>2.6800912950485216</v>
      </c>
      <c r="BC217" s="164">
        <f>BE217-AZ217</f>
        <v>74.190999999999988</v>
      </c>
      <c r="BD217" s="2138">
        <f>(BC217/BC210-1)*100</f>
        <v>47.391528925619774</v>
      </c>
      <c r="BE217" s="174">
        <v>145.89099999999999</v>
      </c>
      <c r="BF217" s="1980">
        <f>+(BE217/BE210-1)*100</f>
        <v>6.9299891524231105</v>
      </c>
      <c r="BG217" s="1981">
        <f>+BE217/$BI217*100</f>
        <v>5.453294269538687</v>
      </c>
      <c r="BH217" s="24"/>
      <c r="BI217" s="266">
        <f>+E217+K217+W217+AG217+BE217</f>
        <v>2675.2820000000002</v>
      </c>
      <c r="BJ217" s="2385">
        <f>'qtrP&amp;L'!DD11</f>
        <v>3</v>
      </c>
      <c r="BK217" s="2889">
        <f>+(BI217/BI210-1)*100</f>
        <v>6.3327917225765695</v>
      </c>
      <c r="BL217" s="266"/>
      <c r="BM217" s="1980"/>
      <c r="BN217" s="1981"/>
      <c r="BO217" s="266"/>
      <c r="BP217" s="1980"/>
      <c r="BQ217" s="1981"/>
      <c r="BR217" s="24"/>
      <c r="BS217" s="266"/>
      <c r="BT217" s="1980"/>
      <c r="BU217" s="1981"/>
      <c r="BV217" s="24"/>
      <c r="BW217" s="266"/>
      <c r="BX217" s="1980"/>
      <c r="BY217" s="24"/>
      <c r="BZ217" s="389"/>
      <c r="CA217" s="1980"/>
      <c r="CB217" s="1981"/>
      <c r="CC217" s="389"/>
      <c r="CD217" s="1980"/>
      <c r="CE217" s="1981"/>
      <c r="CF217" s="24"/>
      <c r="CG217" s="389"/>
      <c r="CH217" s="1980"/>
      <c r="CI217" s="1981"/>
      <c r="CJ217" s="24"/>
      <c r="CK217" s="389"/>
      <c r="CL217" s="1980"/>
      <c r="CM217" s="1981"/>
      <c r="CN217" s="24"/>
      <c r="CO217" s="24"/>
      <c r="CP217" s="1980"/>
      <c r="CQ217" s="1981"/>
      <c r="CR217" s="2886" t="s">
        <v>120</v>
      </c>
      <c r="CS217" s="24" t="s">
        <v>653</v>
      </c>
      <c r="CT217" s="1991">
        <v>292.66199999999998</v>
      </c>
      <c r="CU217" s="2028">
        <f>+(CT217/CT210-1)*100</f>
        <v>6.3714871407178908</v>
      </c>
      <c r="CV217" s="1981">
        <f>+CT217/R217*100</f>
        <v>16.767339146994807</v>
      </c>
      <c r="CW217" s="2027"/>
      <c r="CX217" s="2027"/>
      <c r="CY217" s="2027"/>
      <c r="CZ217" s="168"/>
      <c r="DA217" s="2044">
        <v>114.991</v>
      </c>
      <c r="DB217" s="2028">
        <f>+(DA217/DA210-1)*100</f>
        <v>8.2146016449906831</v>
      </c>
      <c r="DC217" s="1981">
        <f>+DA217/W217*100</f>
        <v>16.318858555511877</v>
      </c>
      <c r="DD217" s="1998"/>
      <c r="DE217" s="1998"/>
      <c r="DF217" s="1998"/>
      <c r="DG217" s="1998"/>
      <c r="DH217" s="1697">
        <v>16.920999999999999</v>
      </c>
      <c r="DI217" s="2028">
        <f>+(DH217/DH210-1)*100</f>
        <v>132.97535453669283</v>
      </c>
      <c r="DJ217" s="1981">
        <f>+DH217/AG217*100</f>
        <v>21.327199395008822</v>
      </c>
      <c r="DK217" s="168"/>
      <c r="DL217" s="1417">
        <f>DL210-8.2</f>
        <v>-11.2</v>
      </c>
      <c r="DM217" s="2028">
        <f>+(DL217/DL210-1)*100</f>
        <v>273.33333333333331</v>
      </c>
      <c r="DN217" s="1981"/>
      <c r="DO217" s="168"/>
      <c r="DP217" s="1417">
        <f>DT217-DL217</f>
        <v>-37.432000000000002</v>
      </c>
      <c r="DQ217" s="2028">
        <f>+(DP217/DP210-1)*100</f>
        <v>195.4613623806141</v>
      </c>
      <c r="DR217" s="1981">
        <v>-10.655839784787988</v>
      </c>
      <c r="DS217" s="168"/>
      <c r="DT217" s="1417">
        <v>-48.631999999999998</v>
      </c>
      <c r="DU217" s="2117" t="s">
        <v>886</v>
      </c>
      <c r="DV217" s="1981">
        <f>+DT217/BE217*100</f>
        <v>-33.334475738736451</v>
      </c>
      <c r="DW217" s="168"/>
      <c r="DX217" s="2027">
        <f>'qtrP&amp;L'!DB61</f>
        <v>375.94200000000012</v>
      </c>
      <c r="DY217" s="2028">
        <f>+(DX217/DX210-1)*100</f>
        <v>5.0686684963360262</v>
      </c>
      <c r="DZ217" s="1981">
        <f>(+DX217/BI217)*100</f>
        <v>14.052425127519271</v>
      </c>
      <c r="EA217" s="1981"/>
      <c r="EB217" s="361">
        <f>DT217+DA217+DH217+CT217</f>
        <v>375.94200000000001</v>
      </c>
      <c r="EC217" s="24"/>
      <c r="ED217" s="24"/>
      <c r="EE217" s="24"/>
      <c r="EG217" s="361"/>
      <c r="EH217" s="2028"/>
      <c r="EI217" s="361"/>
      <c r="EJ217" s="2028"/>
    </row>
    <row r="218" spans="1:140">
      <c r="A218" s="113" t="str">
        <f>qtrSales!A189</f>
        <v>3Q</v>
      </c>
      <c r="B218" s="24" t="str">
        <f>qtrSales!B189</f>
        <v>Oct</v>
      </c>
      <c r="C218" s="24"/>
      <c r="D218" s="24"/>
      <c r="E218" s="366">
        <v>1177.5999999999999</v>
      </c>
      <c r="F218" s="2385">
        <f>segmthSales!CZ24</f>
        <v>3</v>
      </c>
      <c r="G218" s="2028">
        <f>+(E218/E211-1)*100</f>
        <v>6.6589377581334652</v>
      </c>
      <c r="H218" s="1981">
        <f>+E218/$BI218*100</f>
        <v>50.782786291407625</v>
      </c>
      <c r="I218" s="2140"/>
      <c r="J218" s="2028"/>
      <c r="K218" s="2025">
        <v>274.7</v>
      </c>
      <c r="L218" s="2028">
        <f>+(K218/K211-1)*100</f>
        <v>2.1569356638155401</v>
      </c>
      <c r="M218" s="1981">
        <f>+K218/BI218*100</f>
        <v>11.846154376910391</v>
      </c>
      <c r="N218" s="1895"/>
      <c r="O218" s="1895"/>
      <c r="P218" s="1895"/>
      <c r="Q218" s="2056"/>
      <c r="R218" s="2024">
        <v>1452.2550000000001</v>
      </c>
      <c r="S218" s="1980">
        <f>+(R218/R211-1)*100</f>
        <v>5.773936983787098</v>
      </c>
      <c r="T218" s="1980"/>
      <c r="U218" s="1981">
        <f>+R218/$BI218*100</f>
        <v>62.627000089697859</v>
      </c>
      <c r="V218" s="24"/>
      <c r="W218" s="388">
        <v>659.35400000000004</v>
      </c>
      <c r="X218" s="2140"/>
      <c r="Y218" s="2028"/>
      <c r="Z218" s="2028"/>
      <c r="AA218" s="2385">
        <f>segmthSales!CZ47</f>
        <v>7</v>
      </c>
      <c r="AB218" s="2385"/>
      <c r="AC218" s="1980">
        <f>+(W218/W211-1)*100</f>
        <v>8.6764252620266991</v>
      </c>
      <c r="AD218" s="1981">
        <f>+W218/$BI218*100</f>
        <v>28.433961678315889</v>
      </c>
      <c r="AE218" s="1981"/>
      <c r="AF218" s="1981"/>
      <c r="AG218" s="174">
        <v>80.010000000000005</v>
      </c>
      <c r="AH218" s="1980">
        <f>+(AG218/AG211-1)*100</f>
        <v>33.760197940350409</v>
      </c>
      <c r="AI218" s="1981">
        <f>+AG218/$BI218*100</f>
        <v>3.4503487866639988</v>
      </c>
      <c r="AJ218" s="24"/>
      <c r="AK218" s="388"/>
      <c r="AL218" s="2098"/>
      <c r="AM218" s="2094"/>
      <c r="AN218" s="2094"/>
      <c r="AO218" s="2098"/>
      <c r="AP218" s="2098"/>
      <c r="AQ218" s="2088"/>
      <c r="AR218" s="381"/>
      <c r="AS218" s="24"/>
      <c r="AT218" s="388"/>
      <c r="AU218" s="388"/>
      <c r="AV218" s="388"/>
      <c r="AW218" s="388"/>
      <c r="AX218" s="388"/>
      <c r="AY218" s="388"/>
      <c r="AZ218" s="2025">
        <v>61</v>
      </c>
      <c r="BA218" s="1980">
        <f>(AZ218/AZ211-1)*100</f>
        <v>-18.77496671105192</v>
      </c>
      <c r="BB218" s="1981">
        <f>(AZ218/BI218)*100</f>
        <v>2.6305621295651034</v>
      </c>
      <c r="BC218" s="405">
        <f>BE218-AZ218</f>
        <v>66.231999999999999</v>
      </c>
      <c r="BD218" s="2138">
        <f>(BC218/BC211-1)*100</f>
        <v>17.270441587874895</v>
      </c>
      <c r="BE218" s="2025">
        <v>127.232</v>
      </c>
      <c r="BF218" s="1980">
        <f>+(BE218/BE211-1)*100</f>
        <v>-3.3029837814832264</v>
      </c>
      <c r="BG218" s="1981">
        <f>+BE218/$BI218*100</f>
        <v>5.4867488667020856</v>
      </c>
      <c r="BH218" s="24"/>
      <c r="BI218" s="266">
        <f>+E218+K218+W218+AG218+BE218</f>
        <v>2318.8960000000002</v>
      </c>
      <c r="BJ218" s="2385">
        <f>'qtrP&amp;L'!DD12</f>
        <v>5</v>
      </c>
      <c r="BK218" s="2889">
        <f>+(BI218/BI211-1)*100</f>
        <v>6.8080643474904612</v>
      </c>
      <c r="BL218" s="266"/>
      <c r="BM218" s="1980"/>
      <c r="BN218" s="1981"/>
      <c r="BO218" s="266"/>
      <c r="BP218" s="1980"/>
      <c r="BQ218" s="1981"/>
      <c r="BR218" s="24"/>
      <c r="BS218" s="266"/>
      <c r="BT218" s="1980"/>
      <c r="BU218" s="1981"/>
      <c r="BV218" s="24"/>
      <c r="BW218" s="266"/>
      <c r="BX218" s="1980"/>
      <c r="BY218" s="24"/>
      <c r="BZ218" s="389"/>
      <c r="CA218" s="1980"/>
      <c r="CB218" s="1981"/>
      <c r="CC218" s="389"/>
      <c r="CD218" s="1980"/>
      <c r="CE218" s="1981"/>
      <c r="CF218" s="24"/>
      <c r="CG218" s="389"/>
      <c r="CH218" s="1980"/>
      <c r="CI218" s="1981"/>
      <c r="CJ218" s="24"/>
      <c r="CK218" s="389"/>
      <c r="CL218" s="1980"/>
      <c r="CM218" s="1981"/>
      <c r="CN218" s="24"/>
      <c r="CO218" s="24"/>
      <c r="CP218" s="1980"/>
      <c r="CQ218" s="1981"/>
      <c r="CR218" s="2886" t="s">
        <v>1018</v>
      </c>
      <c r="CS218" s="24" t="s">
        <v>598</v>
      </c>
      <c r="CT218" s="1991">
        <v>191.56399999999999</v>
      </c>
      <c r="CU218" s="2028">
        <f>+(CT218/CT211-1)*100</f>
        <v>26.966999608952968</v>
      </c>
      <c r="CV218" s="1981">
        <f>+CT218/R218*100</f>
        <v>13.19079638217806</v>
      </c>
      <c r="CW218" s="2027"/>
      <c r="CX218" s="2027"/>
      <c r="CY218" s="2027"/>
      <c r="CZ218" s="168"/>
      <c r="DA218" s="2044">
        <v>93.347999999999999</v>
      </c>
      <c r="DB218" s="2028">
        <f>+(DA218/DA211-1)*100</f>
        <v>30.196100309632069</v>
      </c>
      <c r="DC218" s="1981">
        <f>+DA218/W218*100</f>
        <v>14.157493546713903</v>
      </c>
      <c r="DD218" s="1998"/>
      <c r="DE218" s="1998"/>
      <c r="DF218" s="1998"/>
      <c r="DG218" s="1998"/>
      <c r="DH218" s="1697">
        <v>16.050999999999998</v>
      </c>
      <c r="DI218" s="2028">
        <f>+(DH218/DH211-1)*100</f>
        <v>59.775034839737209</v>
      </c>
      <c r="DJ218" s="1981">
        <f>+DH218/AG218*100</f>
        <v>20.061242344706908</v>
      </c>
      <c r="DK218" s="168"/>
      <c r="DL218" s="1417">
        <v>-6</v>
      </c>
      <c r="DM218" s="2028">
        <f>+(DL218/DL211-1)*100</f>
        <v>-40</v>
      </c>
      <c r="DN218" s="1981"/>
      <c r="DO218" s="168"/>
      <c r="DP218" s="1417">
        <f>DT218-DL218</f>
        <v>-10.849</v>
      </c>
      <c r="DQ218" s="2028">
        <f>+(DP218/DP211-1)*100</f>
        <v>-263.14285714285717</v>
      </c>
      <c r="DR218" s="1981">
        <v>2.7017384488971894</v>
      </c>
      <c r="DS218" s="168"/>
      <c r="DT218" s="1417">
        <v>-16.849</v>
      </c>
      <c r="DU218" s="2117" t="s">
        <v>886</v>
      </c>
      <c r="DV218" s="1981">
        <f>+DT218/BE218*100</f>
        <v>-13.242737676056338</v>
      </c>
      <c r="DW218" s="168"/>
      <c r="DX218" s="2027">
        <f>'qtrP&amp;L'!DB62</f>
        <v>284.11300000000017</v>
      </c>
      <c r="DY218" s="2028">
        <f>+(DX218/DX211-1)*100</f>
        <v>34.634120914010637</v>
      </c>
      <c r="DZ218" s="1981">
        <f>(+DX218/BI218)*100</f>
        <v>12.252080300280829</v>
      </c>
      <c r="EA218" s="1981"/>
      <c r="EB218" s="361">
        <f>DT218+DA218+DH218+CT218</f>
        <v>284.11399999999998</v>
      </c>
      <c r="EC218" s="24"/>
      <c r="ED218" s="24"/>
      <c r="EE218" s="24"/>
      <c r="EG218" s="361"/>
      <c r="EH218" s="2028"/>
      <c r="EI218" s="361"/>
      <c r="EJ218" s="2028"/>
    </row>
    <row r="219" spans="1:140">
      <c r="A219" s="113" t="str">
        <f>qtrSales!A190</f>
        <v>4Q</v>
      </c>
      <c r="B219" s="24" t="str">
        <f>qtrSales!B190</f>
        <v>Jan</v>
      </c>
      <c r="C219" s="24"/>
      <c r="D219" s="24"/>
      <c r="E219" s="2357">
        <v>1914.2</v>
      </c>
      <c r="F219" s="2385">
        <f>segmthSales!CZ29</f>
        <v>4</v>
      </c>
      <c r="G219" s="1980">
        <f>+(E219/E212-1)*100</f>
        <v>6.4816282755394417</v>
      </c>
      <c r="H219" s="1981">
        <f>+E219/$BI219*100</f>
        <v>47.047188019901299</v>
      </c>
      <c r="I219" s="1981"/>
      <c r="J219" s="1981"/>
      <c r="K219" s="2357">
        <v>492.1</v>
      </c>
      <c r="L219" s="1980">
        <f>segmthSales!CZ98</f>
        <v>-2</v>
      </c>
      <c r="M219" s="1981">
        <f>+K219/BI219*100</f>
        <v>12.094828766374166</v>
      </c>
      <c r="Q219" s="24"/>
      <c r="R219" s="2358">
        <f>+E219+K219</f>
        <v>2406.3000000000002</v>
      </c>
      <c r="S219" s="1980">
        <f>+(R219/R212-1)*100</f>
        <v>4.5226244157170914</v>
      </c>
      <c r="T219" s="1980"/>
      <c r="U219" s="1981">
        <f>+R219/$BI219*100</f>
        <v>59.142016786275462</v>
      </c>
      <c r="V219" s="24"/>
      <c r="W219" s="2357">
        <v>1403.99</v>
      </c>
      <c r="X219" s="309"/>
      <c r="Y219" s="309"/>
      <c r="Z219" s="309"/>
      <c r="AA219" s="2385">
        <f>segmthSales!CZ52</f>
        <v>8</v>
      </c>
      <c r="AB219" s="2385"/>
      <c r="AC219" s="1980">
        <f>+(W219/W212-1)*100</f>
        <v>9.4810995598890955</v>
      </c>
      <c r="AD219" s="1981">
        <f>+W219/$BI219*100</f>
        <v>34.507251858771923</v>
      </c>
      <c r="AE219" s="1981"/>
      <c r="AF219" s="1981"/>
      <c r="AG219" s="2359">
        <v>105.53700000000001</v>
      </c>
      <c r="AH219" s="1980">
        <f>+(AG219/AG212-1)*100</f>
        <v>40.168408749817374</v>
      </c>
      <c r="AI219" s="1981">
        <f>+AG219/$BI219*100</f>
        <v>2.5938873064759815</v>
      </c>
      <c r="AJ219" s="2145"/>
      <c r="AK219" s="2146"/>
      <c r="AL219" s="2147"/>
      <c r="AM219" s="2148"/>
      <c r="AN219" s="2148"/>
      <c r="AO219" s="2147"/>
      <c r="AP219" s="2147"/>
      <c r="AQ219" s="2149"/>
      <c r="AR219" s="2150"/>
      <c r="AS219" s="2145"/>
      <c r="AT219" s="2146"/>
      <c r="AU219" s="2146"/>
      <c r="AV219" s="2146"/>
      <c r="AW219" s="2146"/>
      <c r="AX219" s="2146"/>
      <c r="AY219" s="2146"/>
      <c r="AZ219" s="2359">
        <v>72</v>
      </c>
      <c r="BA219" s="1980">
        <f>(AZ219/AZ212-1)*100</f>
        <v>-22.413793103448278</v>
      </c>
      <c r="BB219" s="1981">
        <f>(AZ219/BI219)*100</f>
        <v>1.7696152635215199</v>
      </c>
      <c r="BC219" s="2143">
        <f>BE219-AZ219</f>
        <v>80.854000000000013</v>
      </c>
      <c r="BD219" s="2138">
        <f>(BC219/BC212-1)*100</f>
        <v>23.394124380007675</v>
      </c>
      <c r="BE219" s="2359">
        <v>152.85400000000001</v>
      </c>
      <c r="BF219" s="1980">
        <f>+(BE219/BE212-1)*100</f>
        <v>-3.4555502921206238</v>
      </c>
      <c r="BG219" s="1981">
        <f>+BE219/$BI219*100</f>
        <v>3.7568440484766445</v>
      </c>
      <c r="BH219" s="24"/>
      <c r="BI219" s="1022">
        <f>+E219+K219+W219+AG219+BE219</f>
        <v>4068.6809999999996</v>
      </c>
      <c r="BJ219" s="2385">
        <f>'qtrP&amp;L'!DD13</f>
        <v>6</v>
      </c>
      <c r="BK219" s="2889">
        <f>+(BI219/BI212-1)*100</f>
        <v>6.5601017022929309</v>
      </c>
      <c r="BL219" s="266"/>
      <c r="BM219" s="1980"/>
      <c r="BN219" s="1981"/>
      <c r="BO219" s="266"/>
      <c r="BP219" s="1980"/>
      <c r="BQ219" s="1981"/>
      <c r="BR219" s="24"/>
      <c r="BS219" s="266"/>
      <c r="BT219" s="1980"/>
      <c r="BU219" s="1981"/>
      <c r="BV219" s="24"/>
      <c r="BW219" s="266"/>
      <c r="BX219" s="1980"/>
      <c r="BY219" s="24"/>
      <c r="BZ219" s="389"/>
      <c r="CA219" s="1980"/>
      <c r="CB219" s="1981"/>
      <c r="CC219" s="389"/>
      <c r="CD219" s="1980"/>
      <c r="CE219" s="1981"/>
      <c r="CF219" s="24"/>
      <c r="CG219" s="389"/>
      <c r="CH219" s="1980"/>
      <c r="CI219" s="1981"/>
      <c r="CJ219" s="24"/>
      <c r="CK219" s="389"/>
      <c r="CL219" s="1980"/>
      <c r="CM219" s="1981"/>
      <c r="CN219" s="24"/>
      <c r="CO219" s="24"/>
      <c r="CP219" s="1980"/>
      <c r="CQ219" s="1981"/>
      <c r="CR219" s="2886" t="s">
        <v>1019</v>
      </c>
      <c r="CS219" s="24" t="s">
        <v>601</v>
      </c>
      <c r="CT219" s="2096">
        <v>509.15699999999998</v>
      </c>
      <c r="CU219" s="2028">
        <f>+(CT219/CT212-1)*100</f>
        <v>9.8618627171745956</v>
      </c>
      <c r="CV219" s="1981">
        <f>+CT219/R219*100</f>
        <v>21.159331754145366</v>
      </c>
      <c r="CW219" s="1021"/>
      <c r="CX219" s="1021"/>
      <c r="CY219" s="1021"/>
      <c r="CZ219" s="168"/>
      <c r="DA219" s="2097">
        <v>449.053</v>
      </c>
      <c r="DB219" s="2028">
        <f>+(DA219/DA212-1)*100</f>
        <v>13.397794938358288</v>
      </c>
      <c r="DC219" s="1981">
        <f>+DA219/W219*100</f>
        <v>31.984059715525039</v>
      </c>
      <c r="DD219" s="1998"/>
      <c r="DE219" s="1998"/>
      <c r="DF219" s="1998"/>
      <c r="DG219" s="1998"/>
      <c r="DH219" s="1698">
        <v>29.484000000000002</v>
      </c>
      <c r="DI219" s="2028">
        <f>+(DH219/DH212-1)*100</f>
        <v>76.17112810707458</v>
      </c>
      <c r="DJ219" s="1981">
        <f>+DH219/AG219*100</f>
        <v>27.937121578214274</v>
      </c>
      <c r="DK219" s="168"/>
      <c r="DL219" s="1419">
        <v>-7.5</v>
      </c>
      <c r="DM219" s="2028">
        <f>+(DL219/DL212-1)*100</f>
        <v>-50</v>
      </c>
      <c r="DN219" s="1981"/>
      <c r="DO219" s="168"/>
      <c r="DP219" s="1419">
        <f>DT219-DL219</f>
        <v>-23.24</v>
      </c>
      <c r="DQ219" s="2028">
        <f>+(DP219/DP212-1)*100</f>
        <v>-158.14506242337811</v>
      </c>
      <c r="DR219" s="1981">
        <v>-1.0993244236704816</v>
      </c>
      <c r="DS219" s="168"/>
      <c r="DT219" s="1419">
        <v>-30.74</v>
      </c>
      <c r="DU219" s="2117" t="s">
        <v>886</v>
      </c>
      <c r="DV219" s="1981">
        <f>+DT219/BE219*100</f>
        <v>-20.110693864733665</v>
      </c>
      <c r="DW219" s="168"/>
      <c r="DX219" s="2152">
        <f>'qtrP&amp;L'!DB63</f>
        <v>956.95299999999975</v>
      </c>
      <c r="DY219" s="2028">
        <f>+(DX219/DX212-1)*100</f>
        <v>10.827588043930113</v>
      </c>
      <c r="DZ219" s="1981">
        <f>(+DX219/BI219)*100</f>
        <v>23.519981045454287</v>
      </c>
      <c r="EA219" s="1981"/>
      <c r="EB219" s="361">
        <f>DT219+DA219+DH219+CT219</f>
        <v>956.95399999999995</v>
      </c>
      <c r="EC219" s="24"/>
      <c r="ED219" s="24"/>
      <c r="EE219" s="24"/>
      <c r="EG219" s="361"/>
      <c r="EH219" s="2028"/>
      <c r="EI219" s="361"/>
      <c r="EJ219" s="2028"/>
    </row>
    <row r="220" spans="1:140">
      <c r="A220" s="113"/>
      <c r="B220" s="24" t="str">
        <f>qtrSales!B191</f>
        <v>Year</v>
      </c>
      <c r="C220" s="24"/>
      <c r="D220" s="24"/>
      <c r="E220" s="266">
        <f>+SUM(E216:E219)</f>
        <v>5700.1</v>
      </c>
      <c r="F220" s="2385">
        <f>segmthSales!CZ30</f>
        <v>3</v>
      </c>
      <c r="G220" s="1980">
        <f>+(E220/E213-1)*100</f>
        <v>6.186740824695125</v>
      </c>
      <c r="H220" s="1981">
        <f>+E220/$BI220*100</f>
        <v>49.764886861078075</v>
      </c>
      <c r="I220" s="1981"/>
      <c r="J220" s="1981"/>
      <c r="K220" s="266">
        <f>+SUM(K216:K219)</f>
        <v>1507.5</v>
      </c>
      <c r="L220" s="1980">
        <f>+(K220/K213-1)*100</f>
        <v>-0.57380292837355684</v>
      </c>
      <c r="M220" s="1981">
        <f>+K220/$BI220*100</f>
        <v>13.161272072959282</v>
      </c>
      <c r="N220" s="2027"/>
      <c r="O220" s="2022"/>
      <c r="P220" s="1981"/>
      <c r="Q220" s="24"/>
      <c r="R220" s="266">
        <f>+SUM(R216:R219)</f>
        <v>7207.6130000000003</v>
      </c>
      <c r="S220" s="1980">
        <f>+(R220/R213-1)*100</f>
        <v>4.6981457787879988</v>
      </c>
      <c r="T220" s="1980"/>
      <c r="U220" s="1981">
        <f>+R220/$BI220*100</f>
        <v>62.926272430910956</v>
      </c>
      <c r="V220" s="24"/>
      <c r="W220" s="266">
        <f>+SUM(W216:W219)</f>
        <v>3349.6089999999999</v>
      </c>
      <c r="X220" s="266"/>
      <c r="Y220" s="266"/>
      <c r="Z220" s="266"/>
      <c r="AA220" s="2385">
        <f>segmthSales!CZ53</f>
        <v>6</v>
      </c>
      <c r="AB220" s="2385"/>
      <c r="AC220" s="1980">
        <f>+(W220/W213-1)*100</f>
        <v>7.4328129770894646</v>
      </c>
      <c r="AD220" s="1981">
        <f>+W220/$BI220*100</f>
        <v>29.243857636506178</v>
      </c>
      <c r="AE220" s="1981"/>
      <c r="AF220" s="1981"/>
      <c r="AG220" s="266">
        <f>SUM(AG216:AG219)</f>
        <v>335.88599999999997</v>
      </c>
      <c r="AH220" s="1980">
        <f>+(AG220/AG213-1)*100</f>
        <v>51.43916030947355</v>
      </c>
      <c r="AI220" s="1981">
        <f>+AG220/$BI220*100</f>
        <v>2.9324623757864021</v>
      </c>
      <c r="AJ220" s="2145"/>
      <c r="AK220" s="2146"/>
      <c r="AL220" s="2153"/>
      <c r="AM220" s="2146"/>
      <c r="AN220" s="2146"/>
      <c r="AO220" s="2153"/>
      <c r="AP220" s="2153"/>
      <c r="AQ220" s="2154"/>
      <c r="AR220" s="2155"/>
      <c r="AS220" s="2145"/>
      <c r="AT220" s="2146"/>
      <c r="AU220" s="2146"/>
      <c r="AV220" s="2146"/>
      <c r="AW220" s="2146"/>
      <c r="AX220" s="2146"/>
      <c r="AY220" s="2146"/>
      <c r="AZ220" s="266">
        <f>SUM(AZ216:AZ219)</f>
        <v>259.7</v>
      </c>
      <c r="BA220" s="1980">
        <f>(AZ220/AZ213-1)*100</f>
        <v>-20.532435740514067</v>
      </c>
      <c r="BB220" s="1981">
        <f>(AZ220/BI220)*100</f>
        <v>2.2673183133316916</v>
      </c>
      <c r="BC220" s="266">
        <f>SUM(BC216:BC219)</f>
        <v>301.26499999999999</v>
      </c>
      <c r="BD220" s="2156">
        <f>BC220/BC213-1</f>
        <v>0.35366538608433862</v>
      </c>
      <c r="BE220" s="266">
        <f>SUM(BE216:BE219)</f>
        <v>560.96500000000003</v>
      </c>
      <c r="BF220" s="1980">
        <f>+(BE220/BE213-1)*100</f>
        <v>2.1133875180894046</v>
      </c>
      <c r="BG220" s="1981">
        <f>+BE220/$BI220*100</f>
        <v>4.8975210536700526</v>
      </c>
      <c r="BH220" s="24"/>
      <c r="BI220" s="266">
        <f>+E220+K220+W220+AG220+BE220</f>
        <v>11454.060000000001</v>
      </c>
      <c r="BJ220" s="2385">
        <f>'qtrP&amp;L'!DD14</f>
        <v>4</v>
      </c>
      <c r="BK220" s="2889">
        <f>+(BI220/BI213-1)*100</f>
        <v>6.3198335203868528</v>
      </c>
      <c r="BL220" s="266"/>
      <c r="BM220" s="1980"/>
      <c r="BN220" s="1981"/>
      <c r="BO220" s="266"/>
      <c r="BP220" s="1980"/>
      <c r="BQ220" s="1981"/>
      <c r="BR220" s="24"/>
      <c r="BS220" s="266"/>
      <c r="BT220" s="1980"/>
      <c r="BU220" s="1981"/>
      <c r="BV220" s="24"/>
      <c r="BW220" s="266"/>
      <c r="BX220" s="1980"/>
      <c r="BY220" s="24"/>
      <c r="BZ220" s="389"/>
      <c r="CA220" s="1980"/>
      <c r="CB220" s="1981"/>
      <c r="CC220" s="389"/>
      <c r="CD220" s="1980"/>
      <c r="CE220" s="1981"/>
      <c r="CF220" s="24"/>
      <c r="CG220" s="389"/>
      <c r="CH220" s="1980"/>
      <c r="CI220" s="1981"/>
      <c r="CJ220" s="24"/>
      <c r="CK220" s="389"/>
      <c r="CL220" s="1980"/>
      <c r="CM220" s="1981"/>
      <c r="CN220" s="24"/>
      <c r="CO220" s="24"/>
      <c r="CP220" s="1980"/>
      <c r="CQ220" s="1981"/>
      <c r="CR220" s="2886"/>
      <c r="CS220" s="24" t="s">
        <v>1020</v>
      </c>
      <c r="CT220" s="2027">
        <f>+SUM(CT216:CT219)</f>
        <v>1271.43</v>
      </c>
      <c r="CU220" s="2028">
        <f>+(CT220/CT213-1)*100</f>
        <v>10.222902658672496</v>
      </c>
      <c r="CV220" s="1981">
        <f>+CT220/R220*100</f>
        <v>17.640098046329626</v>
      </c>
      <c r="CW220" s="2027"/>
      <c r="CX220" s="2027"/>
      <c r="CY220" s="2027"/>
      <c r="CZ220" s="24"/>
      <c r="DA220" s="2027">
        <f>+SUM(DA216:DA219)</f>
        <v>737.30400000000009</v>
      </c>
      <c r="DB220" s="2028">
        <f>+(DA220/DA213-1)*100</f>
        <v>13.850178116734035</v>
      </c>
      <c r="DC220" s="1981">
        <f>+DA220/W220*100</f>
        <v>22.011643747076153</v>
      </c>
      <c r="DD220" s="1981"/>
      <c r="DE220" s="1981"/>
      <c r="DF220" s="1981"/>
      <c r="DG220" s="1981"/>
      <c r="DH220" s="1142">
        <f>SUM(DH216:DH219)</f>
        <v>77.984000000000009</v>
      </c>
      <c r="DI220" s="2028">
        <f>+(DH220/DH213-1)*100</f>
        <v>102.72961239503995</v>
      </c>
      <c r="DJ220" s="1981">
        <f>+DH220/AG220*100</f>
        <v>23.217401142054154</v>
      </c>
      <c r="DK220" s="24"/>
      <c r="DL220" s="361">
        <f>SUM(DL216:DL219)</f>
        <v>-38.700000000000003</v>
      </c>
      <c r="DM220" s="2028">
        <f>+(DL220/DL213-1)*100</f>
        <v>11.206896551724155</v>
      </c>
      <c r="DN220" s="1981"/>
      <c r="DO220" s="24"/>
      <c r="DP220" s="361">
        <f>DT220-DL220</f>
        <v>-94.897000000000006</v>
      </c>
      <c r="DQ220" s="2028">
        <f>+(DP220/DP213-1)*100</f>
        <v>-578.40794515023197</v>
      </c>
      <c r="DR220" s="1981">
        <v>-3.4762012895405334</v>
      </c>
      <c r="DS220" s="24"/>
      <c r="DT220" s="361">
        <f>+SUM(DT216:DT219)</f>
        <v>-133.59700000000001</v>
      </c>
      <c r="DU220" s="2117" t="s">
        <v>886</v>
      </c>
      <c r="DV220" s="1981">
        <f>+DT220/BE220*100</f>
        <v>-23.815567816173917</v>
      </c>
      <c r="DW220" s="24"/>
      <c r="DX220" s="2027">
        <f>+SUM(DX216:DX219)</f>
        <v>1953.1190000000001</v>
      </c>
      <c r="DY220" s="2028">
        <f>+(DX220/DX213-1)*100</f>
        <v>12.024555571233053</v>
      </c>
      <c r="DZ220" s="1981">
        <f>(+DX220/BI220)*100</f>
        <v>17.051761558783525</v>
      </c>
      <c r="EA220" s="1981"/>
      <c r="EB220" s="361">
        <f>DT220+DA220+DH220+CT220</f>
        <v>1953.1210000000001</v>
      </c>
      <c r="EC220" s="24"/>
      <c r="ED220" s="24"/>
      <c r="EE220" s="24"/>
      <c r="EG220" s="266"/>
      <c r="EH220" s="1980"/>
      <c r="EI220" s="266"/>
      <c r="EJ220" s="1980"/>
    </row>
    <row r="221" spans="1:140" ht="6" customHeight="1">
      <c r="A221" s="113"/>
      <c r="B221" s="24"/>
      <c r="C221" s="24"/>
      <c r="D221" s="24"/>
      <c r="E221" s="127"/>
      <c r="F221" s="164"/>
      <c r="G221" s="1980"/>
      <c r="H221" s="1981"/>
      <c r="I221" s="1981"/>
      <c r="J221" s="1981"/>
      <c r="K221" s="127"/>
      <c r="L221" s="2087"/>
      <c r="M221" s="1981"/>
      <c r="N221" s="2027"/>
      <c r="O221" s="2022"/>
      <c r="P221" s="1981"/>
      <c r="Q221" s="24"/>
      <c r="R221" s="266"/>
      <c r="S221" s="1980"/>
      <c r="T221" s="1980"/>
      <c r="U221" s="1981"/>
      <c r="V221" s="168"/>
      <c r="W221" s="292"/>
      <c r="X221" s="2027"/>
      <c r="Y221" s="2027"/>
      <c r="Z221" s="2027"/>
      <c r="AA221" s="164"/>
      <c r="AB221" s="164"/>
      <c r="AC221" s="2028"/>
      <c r="AD221" s="1981"/>
      <c r="AE221" s="1981"/>
      <c r="AF221" s="1981"/>
      <c r="AG221" s="1981"/>
      <c r="AH221" s="1981"/>
      <c r="AI221" s="24"/>
      <c r="AJ221" s="24"/>
      <c r="AK221" s="388"/>
      <c r="AL221" s="2134"/>
      <c r="AM221" s="388"/>
      <c r="AN221" s="388"/>
      <c r="AO221" s="2134"/>
      <c r="AP221" s="2134"/>
      <c r="AQ221" s="1980"/>
      <c r="AR221" s="1981"/>
      <c r="AS221" s="24"/>
      <c r="AT221" s="388"/>
      <c r="AU221" s="388"/>
      <c r="AV221" s="388"/>
      <c r="AW221" s="388"/>
      <c r="AX221" s="388"/>
      <c r="AY221" s="388"/>
      <c r="AZ221" s="388"/>
      <c r="BA221" s="388"/>
      <c r="BB221" s="388"/>
      <c r="BC221" s="266"/>
      <c r="BD221" s="1980"/>
      <c r="BE221" s="266"/>
      <c r="BF221" s="1980"/>
      <c r="BG221" s="1981"/>
      <c r="BH221" s="24"/>
      <c r="BI221" s="266"/>
      <c r="BJ221" s="164"/>
      <c r="BK221" s="2889"/>
      <c r="BL221" s="266"/>
      <c r="BM221" s="1980"/>
      <c r="BN221" s="1981"/>
      <c r="BO221" s="266"/>
      <c r="BP221" s="1980"/>
      <c r="BQ221" s="1981"/>
      <c r="BR221" s="24"/>
      <c r="BS221" s="266"/>
      <c r="BT221" s="1980"/>
      <c r="BU221" s="1981"/>
      <c r="BV221" s="24"/>
      <c r="BW221" s="266"/>
      <c r="BX221" s="1980"/>
      <c r="BY221" s="24"/>
      <c r="BZ221" s="389"/>
      <c r="CA221" s="1980"/>
      <c r="CB221" s="1981"/>
      <c r="CC221" s="389"/>
      <c r="CD221" s="1980"/>
      <c r="CE221" s="1981"/>
      <c r="CF221" s="24"/>
      <c r="CG221" s="389"/>
      <c r="CH221" s="1980"/>
      <c r="CI221" s="1981"/>
      <c r="CJ221" s="24"/>
      <c r="CK221" s="389"/>
      <c r="CL221" s="1980"/>
      <c r="CM221" s="1981"/>
      <c r="CN221" s="24"/>
      <c r="CO221" s="24"/>
      <c r="CP221" s="1980"/>
      <c r="CQ221" s="1981"/>
      <c r="CR221" s="2886"/>
      <c r="CS221" s="24"/>
      <c r="CT221" s="266"/>
      <c r="CU221" s="1980"/>
      <c r="CV221"/>
      <c r="CW221" s="266"/>
      <c r="CX221" s="266"/>
      <c r="CY221" s="266"/>
      <c r="CZ221" s="24"/>
      <c r="DA221" s="428"/>
      <c r="DB221" s="1980"/>
      <c r="DC221" s="1981"/>
      <c r="DD221" s="1981"/>
      <c r="DE221" s="1981"/>
      <c r="DF221" s="1981"/>
      <c r="DG221" s="1981"/>
      <c r="DH221" s="2366"/>
      <c r="DI221" s="2135"/>
      <c r="DJ221" s="2136"/>
      <c r="DK221" s="24"/>
      <c r="DL221" s="266"/>
      <c r="DM221" s="1980"/>
      <c r="DN221" s="1981"/>
      <c r="DO221" s="24"/>
      <c r="DP221" s="266"/>
      <c r="DQ221" s="1980"/>
      <c r="DR221" s="1981"/>
      <c r="DS221" s="24"/>
      <c r="DU221" s="1980"/>
      <c r="DV221" s="1981"/>
      <c r="DW221" s="24"/>
      <c r="DX221" s="266"/>
      <c r="DY221" s="1980"/>
      <c r="DZ221" s="1981"/>
      <c r="EA221" s="1981"/>
      <c r="EB221" s="24"/>
      <c r="EC221" s="24"/>
      <c r="ED221" s="24"/>
      <c r="EE221" s="24"/>
      <c r="EG221" s="266"/>
      <c r="EH221" s="1980"/>
      <c r="EI221" s="266"/>
      <c r="EJ221" s="1980"/>
    </row>
    <row r="222" spans="1:140" s="161" customFormat="1">
      <c r="A222" s="224"/>
      <c r="B222" s="136" t="str">
        <f>qtrSales!B193</f>
        <v>2015A</v>
      </c>
      <c r="C222" s="168"/>
      <c r="D222" s="168"/>
      <c r="E222" s="1142"/>
      <c r="F222" s="1142"/>
      <c r="G222" s="2028"/>
      <c r="H222" s="1981"/>
      <c r="I222" s="1981"/>
      <c r="J222" s="1981"/>
      <c r="K222" s="2027"/>
      <c r="L222" s="2370"/>
      <c r="M222" s="1981"/>
      <c r="Q222" s="168"/>
      <c r="R222" s="292"/>
      <c r="S222" s="2028"/>
      <c r="T222" s="2028"/>
      <c r="U222" s="1981"/>
      <c r="V222" s="168"/>
      <c r="W222" s="292"/>
      <c r="X222" s="2027"/>
      <c r="Y222" s="2027"/>
      <c r="Z222" s="2027"/>
      <c r="AA222" s="1142"/>
      <c r="AB222" s="1142"/>
      <c r="AC222" s="2028"/>
      <c r="AD222" s="1981"/>
      <c r="AE222" s="1981"/>
      <c r="AF222" s="1981"/>
      <c r="AG222" s="1981"/>
      <c r="AH222" s="1981"/>
      <c r="AI222" s="168"/>
      <c r="AJ222" s="168"/>
      <c r="AK222" s="2025"/>
      <c r="AL222" s="2114"/>
      <c r="AM222" s="2115"/>
      <c r="AN222" s="2115"/>
      <c r="AO222" s="2114"/>
      <c r="AP222" s="2114"/>
      <c r="AQ222" s="2116"/>
      <c r="AR222" s="1691"/>
      <c r="AS222" s="168"/>
      <c r="AT222" s="2025"/>
      <c r="AU222" s="2025"/>
      <c r="AV222" s="2025"/>
      <c r="AW222" s="2025"/>
      <c r="AX222" s="2025"/>
      <c r="AY222" s="2025"/>
      <c r="AZ222" s="2027"/>
      <c r="BA222" s="2117"/>
      <c r="BB222" s="1981"/>
      <c r="BC222" s="2027"/>
      <c r="BD222" s="2028"/>
      <c r="BE222" s="2027"/>
      <c r="BF222" s="2028"/>
      <c r="BG222" s="1981"/>
      <c r="BH222" s="168"/>
      <c r="BI222" s="2027"/>
      <c r="BJ222" s="1142"/>
      <c r="BK222" s="2892"/>
      <c r="BL222" s="2027"/>
      <c r="BM222" s="2028"/>
      <c r="BN222" s="1981"/>
      <c r="BO222" s="2027"/>
      <c r="BP222" s="2028"/>
      <c r="BQ222" s="1981"/>
      <c r="BR222" s="168"/>
      <c r="BS222" s="2027"/>
      <c r="BT222" s="2028"/>
      <c r="BU222" s="1981"/>
      <c r="BV222" s="168"/>
      <c r="BW222" s="2027"/>
      <c r="BX222" s="2028"/>
      <c r="BY222" s="168"/>
      <c r="BZ222" s="1991"/>
      <c r="CA222" s="2028"/>
      <c r="CB222" s="1981"/>
      <c r="CC222" s="1991"/>
      <c r="CD222" s="2028"/>
      <c r="CE222" s="1981"/>
      <c r="CF222" s="168"/>
      <c r="CG222" s="1991"/>
      <c r="CH222" s="2028"/>
      <c r="CI222" s="1981"/>
      <c r="CJ222" s="168"/>
      <c r="CK222" s="1991"/>
      <c r="CL222" s="2028"/>
      <c r="CM222" s="1981"/>
      <c r="CN222" s="168"/>
      <c r="CO222" s="168"/>
      <c r="CP222" s="2028"/>
      <c r="CQ222" s="1981"/>
      <c r="CR222" s="2887"/>
      <c r="CS222" s="136" t="s">
        <v>1266</v>
      </c>
      <c r="CT222" s="1142"/>
      <c r="CU222" s="2028"/>
      <c r="CV222" s="1981"/>
      <c r="CW222" s="2027"/>
      <c r="CX222" s="2027"/>
      <c r="CY222" s="2027"/>
      <c r="CZ222" s="168"/>
      <c r="DA222" s="2027"/>
      <c r="DB222" s="2028"/>
      <c r="DC222" s="1981"/>
      <c r="DD222" s="1981"/>
      <c r="DE222" s="1981"/>
      <c r="DF222" s="1981"/>
      <c r="DG222" s="1981"/>
      <c r="DH222" s="2366"/>
      <c r="DI222" s="2103"/>
      <c r="DJ222" s="2048"/>
      <c r="DK222" s="168"/>
      <c r="DL222" s="361"/>
      <c r="DM222" s="2028"/>
      <c r="DN222" s="1981"/>
      <c r="DO222" s="168"/>
      <c r="DP222" s="361"/>
      <c r="DQ222" s="2028"/>
      <c r="DR222" s="1981"/>
      <c r="DS222" s="168"/>
      <c r="DT222" s="361"/>
      <c r="DU222" s="2028"/>
      <c r="DV222" s="1981"/>
      <c r="DW222" s="168"/>
      <c r="DX222" s="2027"/>
      <c r="DY222" s="2028"/>
      <c r="DZ222" s="1981"/>
      <c r="EA222" s="1981"/>
      <c r="EB222" s="361"/>
      <c r="EC222" s="168"/>
      <c r="ED222" s="168"/>
      <c r="EE222" s="168"/>
      <c r="EG222" s="361"/>
      <c r="EH222" s="2028"/>
      <c r="EI222" s="361"/>
      <c r="EJ222" s="2028"/>
    </row>
    <row r="223" spans="1:140">
      <c r="A223" s="113" t="str">
        <f>qtrSales!A194</f>
        <v>1Q</v>
      </c>
      <c r="B223" s="24" t="str">
        <f>qtrSales!B194</f>
        <v>Apr</v>
      </c>
      <c r="C223" s="24"/>
      <c r="D223" s="24"/>
      <c r="E223" s="2376">
        <v>1345.6</v>
      </c>
      <c r="F223" s="2385">
        <f>segmthSales!DD14</f>
        <v>5</v>
      </c>
      <c r="G223" s="1980">
        <f>+(E223/E216-1)*100</f>
        <v>8.0542841082469998</v>
      </c>
      <c r="H223" s="1981">
        <f>+E223/$BI223*100</f>
        <v>53.567966547091515</v>
      </c>
      <c r="I223" s="1981"/>
      <c r="J223" s="1981"/>
      <c r="K223" s="2376">
        <v>338.3</v>
      </c>
      <c r="L223" s="1980">
        <f>segmthSales!DD83</f>
        <v>-6</v>
      </c>
      <c r="M223" s="1981">
        <f>+K223/BI223*100</f>
        <v>13.467630115101858</v>
      </c>
      <c r="Q223" s="24"/>
      <c r="R223" s="2376">
        <v>1683.89</v>
      </c>
      <c r="S223" s="1980">
        <f>+(R223/R216-1)*100</f>
        <v>5.0049606236854061</v>
      </c>
      <c r="T223" s="2385">
        <f>segmthSales!DE14</f>
        <v>3</v>
      </c>
      <c r="U223" s="1981">
        <f>+R223/$BI223*100</f>
        <v>67.035198564939023</v>
      </c>
      <c r="V223" s="24"/>
      <c r="W223" s="2376">
        <f>554+59.327</f>
        <v>613.327</v>
      </c>
      <c r="X223" s="381"/>
      <c r="Y223" s="381"/>
      <c r="Z223" s="381"/>
      <c r="AA223" s="2385">
        <f>segmthSales!DD37</f>
        <v>4</v>
      </c>
      <c r="AB223" s="2385">
        <f>segmthSales!DE37</f>
        <v>5</v>
      </c>
      <c r="AC223" s="1980">
        <f>+(W223/W216-1)*100</f>
        <v>5.4525853916858935</v>
      </c>
      <c r="AD223" s="1981">
        <f>+W223/$BI223*100</f>
        <v>24.416379472672414</v>
      </c>
      <c r="AE223" s="1981"/>
      <c r="AF223" s="1981"/>
      <c r="AG223" s="2377">
        <v>91.462000000000003</v>
      </c>
      <c r="AH223" s="1980">
        <f>+(AG223/AG216-1)*100</f>
        <v>28.821532697643647</v>
      </c>
      <c r="AI223" s="1981">
        <f>+AG223/$BI223*100</f>
        <v>3.641077107855295</v>
      </c>
      <c r="AJ223" s="2145"/>
      <c r="AK223" s="2158"/>
      <c r="AM223" s="2158"/>
      <c r="AN223" s="2158"/>
      <c r="AQ223" s="2154"/>
      <c r="AR223" s="2150"/>
      <c r="AS223" s="2145"/>
      <c r="AT223" s="2158"/>
      <c r="AU223" s="2158"/>
      <c r="AV223" s="2158"/>
      <c r="AW223" s="2158"/>
      <c r="AX223" s="2158"/>
      <c r="AY223" s="2158"/>
      <c r="AZ223" s="2376">
        <v>48</v>
      </c>
      <c r="BA223" s="1980">
        <f>(AZ223/AZ216-1)*100</f>
        <v>-12.727272727272732</v>
      </c>
      <c r="BB223" s="1981">
        <f>(AZ223/BI223)*100</f>
        <v>1.9108668209426225</v>
      </c>
      <c r="BC223" s="42">
        <f>BE223-AZ223</f>
        <v>75.260000000000005</v>
      </c>
      <c r="BD223" s="2138">
        <f>(BC223/BC216-1)*100</f>
        <v>-5.9108866329949379</v>
      </c>
      <c r="BE223" s="2377">
        <v>123.26</v>
      </c>
      <c r="BF223" s="1980">
        <f>+(BE223/BE216-1)*100</f>
        <v>-8.6881796900465158</v>
      </c>
      <c r="BG223" s="1981">
        <f>+BE223/$BI223*100</f>
        <v>4.9069467572789103</v>
      </c>
      <c r="BH223" s="24"/>
      <c r="BI223" s="381">
        <f>+E223+K223+W223+AG223+BE223</f>
        <v>2511.9490000000001</v>
      </c>
      <c r="BJ223" s="2385">
        <f>'qtrP&amp;L'!DH10</f>
        <v>5</v>
      </c>
      <c r="BK223" s="2889">
        <f>+(BI223/BI216-1)*100</f>
        <v>5.049680056172634</v>
      </c>
      <c r="BL223" s="266"/>
      <c r="BM223" s="1980"/>
      <c r="BN223" s="1981"/>
      <c r="BO223" s="266"/>
      <c r="BP223" s="1980"/>
      <c r="BQ223" s="1981"/>
      <c r="BR223" s="24"/>
      <c r="BS223" s="266"/>
      <c r="BT223" s="1980"/>
      <c r="BU223" s="1981"/>
      <c r="BV223" s="24"/>
      <c r="BW223" s="266"/>
      <c r="BX223" s="1980"/>
      <c r="BY223" s="24"/>
      <c r="BZ223" s="266"/>
      <c r="CA223" s="1980"/>
      <c r="CB223" s="1981"/>
      <c r="CC223" s="266"/>
      <c r="CD223" s="1980"/>
      <c r="CE223" s="1981"/>
      <c r="CF223" s="24"/>
      <c r="CG223" s="266"/>
      <c r="CH223" s="1980"/>
      <c r="CI223" s="1981"/>
      <c r="CJ223" s="24"/>
      <c r="CK223" s="266"/>
      <c r="CL223" s="1980"/>
      <c r="CM223" s="1981"/>
      <c r="CN223" s="24"/>
      <c r="CO223" s="24"/>
      <c r="CP223" s="1980"/>
      <c r="CQ223" s="1981"/>
      <c r="CR223" s="2886" t="s">
        <v>119</v>
      </c>
      <c r="CS223" s="24" t="s">
        <v>830</v>
      </c>
      <c r="CT223" s="1982">
        <v>288.64299999999997</v>
      </c>
      <c r="CU223" s="2028">
        <f>+(CT223/CT216-1)*100</f>
        <v>3.8108665081802551</v>
      </c>
      <c r="CV223" s="1981">
        <f>+CT223/R223*100</f>
        <v>17.141440355367628</v>
      </c>
      <c r="CW223" s="381"/>
      <c r="CX223" s="381"/>
      <c r="CY223" s="381"/>
      <c r="CZ223" s="168"/>
      <c r="DA223" s="1982">
        <v>97.167000000000002</v>
      </c>
      <c r="DB223" s="2028">
        <f>+(DA223/DA216-1)*100</f>
        <v>21.592501751927106</v>
      </c>
      <c r="DC223" s="1981">
        <f>+DA223/W223*100</f>
        <v>15.842609244334588</v>
      </c>
      <c r="DD223" s="1998"/>
      <c r="DE223" s="1998"/>
      <c r="DF223" s="1998"/>
      <c r="DG223" s="1998"/>
      <c r="DH223" s="138">
        <v>21.486999999999998</v>
      </c>
      <c r="DI223" s="2028">
        <f>+(DH223/DH216-1)*100</f>
        <v>38.375837197320962</v>
      </c>
      <c r="DJ223" s="1981">
        <f>+DH223/AG223*100</f>
        <v>23.49281668889812</v>
      </c>
      <c r="DK223" s="168"/>
      <c r="DL223" s="2023">
        <v>-12</v>
      </c>
      <c r="DM223" s="2028">
        <f>+(DL223/DL216-1)*100</f>
        <v>-14.28571428571429</v>
      </c>
      <c r="DN223" s="1981"/>
      <c r="DO223" s="168"/>
      <c r="DP223" s="1691">
        <f>DT223-DL223</f>
        <v>-23.456000000000003</v>
      </c>
      <c r="DQ223" s="2028">
        <f>+(DP223/DP216-1)*100</f>
        <v>0.34223134839153069</v>
      </c>
      <c r="DR223" s="1981">
        <v>-7.5563434572060428</v>
      </c>
      <c r="DS223" s="168"/>
      <c r="DT223" s="1691">
        <v>-35.456000000000003</v>
      </c>
      <c r="DU223" s="2117" t="s">
        <v>886</v>
      </c>
      <c r="DV223" s="1981">
        <f>+DT223/BE223*100</f>
        <v>-28.765211747525559</v>
      </c>
      <c r="DW223" s="168"/>
      <c r="DX223" s="2027">
        <f>'qtrP&amp;L'!DF60</f>
        <v>371.84299999999985</v>
      </c>
      <c r="DY223" s="2028">
        <f>+(DX223/DX216-1)*100</f>
        <v>10.631011778846799</v>
      </c>
      <c r="DZ223" s="1981">
        <f>(+DX223/BI223)*100</f>
        <v>14.802967735411817</v>
      </c>
      <c r="EA223" s="1981"/>
      <c r="EB223" s="361">
        <f>DT223+DA223+DH223+CT223</f>
        <v>371.84099999999995</v>
      </c>
      <c r="EC223" s="24"/>
      <c r="ED223" s="24"/>
      <c r="EE223" s="24"/>
      <c r="EG223" s="361"/>
      <c r="EH223" s="2028"/>
      <c r="EI223" s="361"/>
      <c r="EJ223" s="2028"/>
    </row>
    <row r="224" spans="1:140" s="161" customFormat="1">
      <c r="A224" s="224" t="str">
        <f>qtrSales!A195</f>
        <v>2Q</v>
      </c>
      <c r="B224" s="168" t="str">
        <f>qtrSales!B195</f>
        <v>Jul</v>
      </c>
      <c r="C224" s="168"/>
      <c r="D224" s="168"/>
      <c r="E224" s="2388">
        <v>1437.5</v>
      </c>
      <c r="F224" s="2385">
        <f>segmthSales!DD19</f>
        <v>3</v>
      </c>
      <c r="G224" s="2028">
        <f>+(E224/E217-1)*100</f>
        <v>5.4658840792369823</v>
      </c>
      <c r="H224" s="1981">
        <f>+E224/$BI224*100</f>
        <v>51.984901053295459</v>
      </c>
      <c r="I224" s="1981"/>
      <c r="J224" s="1981"/>
      <c r="K224" s="2389">
        <v>368.9</v>
      </c>
      <c r="L224" s="2028">
        <f>segmthSales!DD88</f>
        <v>-4</v>
      </c>
      <c r="M224" s="1981">
        <f>+K224/BI224*100</f>
        <v>13.340681738129179</v>
      </c>
      <c r="Q224" s="168"/>
      <c r="R224" s="2389">
        <v>1806.4110000000001</v>
      </c>
      <c r="S224" s="2028">
        <f>+(R224/R217-1)*100</f>
        <v>3.4938115500544598</v>
      </c>
      <c r="T224" s="2385">
        <f>segmthSales!DE19</f>
        <v>1</v>
      </c>
      <c r="U224" s="1981">
        <f>+R224/$BI224*100</f>
        <v>65.32598058892836</v>
      </c>
      <c r="V224" s="168"/>
      <c r="W224" s="388">
        <f>671.965+76.2</f>
        <v>748.16500000000008</v>
      </c>
      <c r="X224" s="2159"/>
      <c r="Y224" s="2159"/>
      <c r="Z224" s="2159"/>
      <c r="AA224" s="2385">
        <f>segmthSales!DD42</f>
        <v>5</v>
      </c>
      <c r="AB224" s="2385">
        <f>segmthSales!DE42</f>
        <v>6</v>
      </c>
      <c r="AC224" s="2028">
        <f>+(W224/W217-1)*100</f>
        <v>6.1752555520392605</v>
      </c>
      <c r="AD224" s="1981">
        <f>+W224/$BI224*100</f>
        <v>27.056197214983513</v>
      </c>
      <c r="AE224" s="1981"/>
      <c r="AF224" s="1981"/>
      <c r="AG224" s="174">
        <v>88.694999999999993</v>
      </c>
      <c r="AH224" s="1980">
        <f>+(AG224/AG217-1)*100</f>
        <v>11.791025964204671</v>
      </c>
      <c r="AI224" s="1981">
        <f>+AG224/$BI224*100</f>
        <v>3.2075135992501149</v>
      </c>
      <c r="AJ224"/>
      <c r="AK224" s="229"/>
      <c r="AL224" s="1954"/>
      <c r="AM224" s="1954"/>
      <c r="AN224" s="1954"/>
      <c r="AO224" s="1954"/>
      <c r="AP224" s="1954"/>
      <c r="AQ224" s="1954"/>
      <c r="AR224" s="1954"/>
      <c r="AS224"/>
      <c r="AT224" s="229"/>
      <c r="AU224" s="229"/>
      <c r="AV224" s="229"/>
      <c r="AW224" s="229"/>
      <c r="AX224" s="229"/>
      <c r="AY224" s="229"/>
      <c r="AZ224" s="1982">
        <v>57.5</v>
      </c>
      <c r="BA224" s="1980">
        <f>(AZ224/AZ217-1)*100</f>
        <v>-19.804741980474205</v>
      </c>
      <c r="BB224" s="1981">
        <f>(AZ224/BI224)*100</f>
        <v>2.0793960421318185</v>
      </c>
      <c r="BC224" s="164">
        <f>BE224-AZ224</f>
        <v>64.465999999999994</v>
      </c>
      <c r="BD224" s="2138">
        <f>(BC224/BC217-1)*100</f>
        <v>-13.108058928980604</v>
      </c>
      <c r="BE224" s="2390">
        <v>121.96599999999999</v>
      </c>
      <c r="BF224" s="2028">
        <f>+(BE224/BE217-1)*100</f>
        <v>-16.399229561796137</v>
      </c>
      <c r="BG224" s="1981">
        <f>+BE224/$BI224*100</f>
        <v>4.4107063943417275</v>
      </c>
      <c r="BH224" s="168"/>
      <c r="BI224" s="2027">
        <f>+E224+K224+W224+AG224+BE224</f>
        <v>2765.2260000000001</v>
      </c>
      <c r="BJ224" s="2385">
        <f>'qtrP&amp;L'!DH11</f>
        <v>4</v>
      </c>
      <c r="BK224" s="2892">
        <f>+(BI224/BI217-1)*100</f>
        <v>3.3620380954232143</v>
      </c>
      <c r="BL224" s="2027"/>
      <c r="BM224" s="2028"/>
      <c r="BN224" s="1981"/>
      <c r="BO224" s="2027"/>
      <c r="BP224" s="2028"/>
      <c r="BQ224" s="1981"/>
      <c r="BR224" s="168"/>
      <c r="BS224" s="2027"/>
      <c r="BT224" s="2028"/>
      <c r="BU224" s="1981"/>
      <c r="BV224" s="168"/>
      <c r="BW224" s="2027"/>
      <c r="BX224" s="2028"/>
      <c r="BY224" s="168"/>
      <c r="BZ224" s="1991"/>
      <c r="CA224" s="2028"/>
      <c r="CB224" s="1981"/>
      <c r="CC224" s="1991"/>
      <c r="CD224" s="2028"/>
      <c r="CE224" s="1981"/>
      <c r="CF224" s="168"/>
      <c r="CG224" s="1991"/>
      <c r="CH224" s="2028"/>
      <c r="CI224" s="1981"/>
      <c r="CJ224" s="168"/>
      <c r="CK224" s="1991"/>
      <c r="CL224" s="2028"/>
      <c r="CM224" s="1981"/>
      <c r="CN224" s="168"/>
      <c r="CO224" s="168"/>
      <c r="CP224" s="2028"/>
      <c r="CQ224" s="1981"/>
      <c r="CR224" s="2887" t="s">
        <v>120</v>
      </c>
      <c r="CS224" s="168" t="s">
        <v>653</v>
      </c>
      <c r="CT224" s="2412">
        <v>297.64999999999998</v>
      </c>
      <c r="CU224" s="2028">
        <f>+(CT224/CT217-1)*100</f>
        <v>1.7043551947297564</v>
      </c>
      <c r="CV224" s="1981">
        <f>+CT224/R224*100</f>
        <v>16.477424019229286</v>
      </c>
      <c r="CW224" s="2027"/>
      <c r="CX224" s="2027"/>
      <c r="CY224" s="2027"/>
      <c r="CZ224" s="168"/>
      <c r="DA224" s="2413">
        <v>137.52199999999999</v>
      </c>
      <c r="DB224" s="2028">
        <f>+(DA224/DA217-1)*100</f>
        <v>19.593707333617406</v>
      </c>
      <c r="DC224" s="1981">
        <f>+DA224/W224*100</f>
        <v>18.381239432478129</v>
      </c>
      <c r="DD224" s="1998"/>
      <c r="DE224" s="1998"/>
      <c r="DF224" s="1998"/>
      <c r="DG224" s="1998"/>
      <c r="DH224" s="2414">
        <v>20.184000000000001</v>
      </c>
      <c r="DI224" s="2028">
        <f>+(DH224/DH217-1)*100</f>
        <v>19.283730275988418</v>
      </c>
      <c r="DJ224" s="1981">
        <f>+DH224/AG224*100</f>
        <v>22.756637916455272</v>
      </c>
      <c r="DK224" s="168"/>
      <c r="DL224" s="1417">
        <v>-7</v>
      </c>
      <c r="DM224" s="2028">
        <f>+(DL224/DL217-1)*100</f>
        <v>-37.5</v>
      </c>
      <c r="DN224" s="1981"/>
      <c r="DO224" s="168"/>
      <c r="DP224" s="1691">
        <f>DT224-DL224</f>
        <v>-45.43</v>
      </c>
      <c r="DQ224" s="2028">
        <f>+(DP224/DP217-1)*100</f>
        <v>21.36674503098952</v>
      </c>
      <c r="DR224" s="1981">
        <v>-10.655839784787988</v>
      </c>
      <c r="DS224" s="168"/>
      <c r="DT224" s="1417">
        <v>-52.43</v>
      </c>
      <c r="DU224" s="2117" t="s">
        <v>886</v>
      </c>
      <c r="DV224" s="1981">
        <f>+DT224/BE224*100</f>
        <v>-42.987389928340683</v>
      </c>
      <c r="DW224" s="168"/>
      <c r="DX224" s="2027">
        <f>'qtrP&amp;L'!DF61</f>
        <v>402.92600000000004</v>
      </c>
      <c r="DY224" s="2028">
        <f>+(DX224/DX217-1)*100</f>
        <v>7.1777029435391437</v>
      </c>
      <c r="DZ224" s="1981">
        <f>(+DX224/BI224)*100</f>
        <v>14.571177907339219</v>
      </c>
      <c r="EA224" s="1981"/>
      <c r="EB224" s="361">
        <f>DT224+DA224+DH224+CT224</f>
        <v>402.92599999999993</v>
      </c>
      <c r="EC224" s="168"/>
      <c r="ED224" s="168"/>
      <c r="EE224" s="168"/>
      <c r="EG224" s="361"/>
      <c r="EH224" s="2028"/>
      <c r="EI224" s="361"/>
      <c r="EJ224" s="2028"/>
    </row>
    <row r="225" spans="1:140" s="161" customFormat="1">
      <c r="A225" s="224" t="str">
        <f>qtrSales!A196</f>
        <v>3Q</v>
      </c>
      <c r="B225" s="168" t="str">
        <f>qtrSales!B196</f>
        <v>Oct</v>
      </c>
      <c r="C225" s="168"/>
      <c r="D225" s="168"/>
      <c r="E225" s="366">
        <v>1282.0999999999999</v>
      </c>
      <c r="F225" s="2385">
        <f>segmthSales!DD24</f>
        <v>7</v>
      </c>
      <c r="G225" s="2028">
        <f>+(E225/E218-1)*100</f>
        <v>8.8739809782608638</v>
      </c>
      <c r="H225" s="1981">
        <f>+E225/$BI225*100</f>
        <v>51.664165596122501</v>
      </c>
      <c r="I225" s="1981"/>
      <c r="J225" s="1981"/>
      <c r="K225" s="366">
        <v>285.39999999999998</v>
      </c>
      <c r="L225" s="2028">
        <f>segmthSales!DD93</f>
        <v>4</v>
      </c>
      <c r="M225" s="1981">
        <f>+K225/BI225*100</f>
        <v>11.500626207888121</v>
      </c>
      <c r="Q225" s="168"/>
      <c r="R225" s="366">
        <v>1567.471</v>
      </c>
      <c r="S225" s="2028">
        <f>+(R225/R218-1)*100</f>
        <v>7.933592929616351</v>
      </c>
      <c r="T225" s="2385">
        <f>segmthSales!DE24</f>
        <v>6</v>
      </c>
      <c r="U225" s="1981">
        <f>+R225/$BI225*100</f>
        <v>63.163623204991602</v>
      </c>
      <c r="V225" s="168"/>
      <c r="W225" s="366">
        <v>705.49599999999998</v>
      </c>
      <c r="X225" s="2159"/>
      <c r="Y225" s="2159"/>
      <c r="Z225" s="2159"/>
      <c r="AA225" s="2385">
        <f>segmthSales!DD47</f>
        <v>6</v>
      </c>
      <c r="AB225" s="2385">
        <f>segmthSales!DE47</f>
        <v>7</v>
      </c>
      <c r="AC225" s="2028">
        <f>+(W225/W218-1)*100</f>
        <v>6.9980617392174649</v>
      </c>
      <c r="AD225" s="1981">
        <f>+W225/$BI225*100</f>
        <v>28.429032190470355</v>
      </c>
      <c r="AE225" s="1981"/>
      <c r="AF225" s="1981"/>
      <c r="AG225" s="174">
        <v>92.81</v>
      </c>
      <c r="AH225" s="1980">
        <f>+(AG225/AG218-1)*100</f>
        <v>15.998000249968758</v>
      </c>
      <c r="AI225" s="1981">
        <f>+AG225/$BI225*100</f>
        <v>3.7399198260479909</v>
      </c>
      <c r="AJ225"/>
      <c r="AK225" s="229"/>
      <c r="AL225" s="1954"/>
      <c r="AM225" s="1954"/>
      <c r="AN225" s="1954"/>
      <c r="AO225" s="1954"/>
      <c r="AP225" s="1954"/>
      <c r="AQ225" s="1954"/>
      <c r="AR225" s="1954"/>
      <c r="AS225"/>
      <c r="AT225" s="229"/>
      <c r="AU225" s="229"/>
      <c r="AV225" s="229"/>
      <c r="AW225" s="229"/>
      <c r="AX225" s="229"/>
      <c r="AY225" s="229"/>
      <c r="AZ225" s="2025">
        <v>47</v>
      </c>
      <c r="BA225" s="1980">
        <f>(AZ225/AZ218-1)*100</f>
        <v>-22.95081967213115</v>
      </c>
      <c r="BB225" s="1981">
        <f>(AZ225/BI225)*100</f>
        <v>1.8939363411728865</v>
      </c>
      <c r="BC225" s="164">
        <f>BE225-AZ225</f>
        <v>68.798000000000002</v>
      </c>
      <c r="BD225" s="2138">
        <f>(BC225/BC218-1)*100</f>
        <v>3.8742601763497975</v>
      </c>
      <c r="BE225" s="227">
        <v>115.798</v>
      </c>
      <c r="BF225" s="2028">
        <f>+(BE225/BE218-1)*100</f>
        <v>-8.986732897384309</v>
      </c>
      <c r="BG225" s="1981">
        <f>+BE225/$BI225*100</f>
        <v>4.6662561794710191</v>
      </c>
      <c r="BH225" s="168"/>
      <c r="BI225" s="2027">
        <f>+E225+K225+W225+AG225+BE225</f>
        <v>2481.6040000000003</v>
      </c>
      <c r="BJ225" s="2385">
        <f>'qtrP&amp;L'!DH12</f>
        <v>7</v>
      </c>
      <c r="BK225" s="2892">
        <f>+(BI225/BI218-1)*100</f>
        <v>7.016614802906207</v>
      </c>
      <c r="BL225" s="2027"/>
      <c r="BM225" s="2028"/>
      <c r="BN225" s="1981"/>
      <c r="BO225" s="2027"/>
      <c r="BP225" s="2028"/>
      <c r="BQ225" s="1981"/>
      <c r="BR225" s="168"/>
      <c r="BS225" s="2027"/>
      <c r="BT225" s="2028"/>
      <c r="BU225" s="1981"/>
      <c r="BV225" s="168"/>
      <c r="BW225" s="2027"/>
      <c r="BX225" s="2028"/>
      <c r="BY225" s="168"/>
      <c r="BZ225" s="1991"/>
      <c r="CA225" s="2028"/>
      <c r="CB225" s="1981"/>
      <c r="CC225" s="1991"/>
      <c r="CD225" s="2028"/>
      <c r="CE225" s="1981"/>
      <c r="CF225" s="168"/>
      <c r="CG225" s="1991"/>
      <c r="CH225" s="2028"/>
      <c r="CI225" s="1981"/>
      <c r="CJ225" s="168"/>
      <c r="CK225" s="1991"/>
      <c r="CL225" s="2028"/>
      <c r="CM225" s="1981"/>
      <c r="CN225" s="168"/>
      <c r="CO225" s="168"/>
      <c r="CP225" s="2028"/>
      <c r="CQ225" s="1981"/>
      <c r="CR225" s="2887" t="s">
        <v>1018</v>
      </c>
      <c r="CS225" s="168" t="s">
        <v>598</v>
      </c>
      <c r="CT225" s="1991">
        <v>210.899</v>
      </c>
      <c r="CU225" s="2028">
        <f>+(CT225/CT218-1)*100</f>
        <v>10.093232548913168</v>
      </c>
      <c r="CV225" s="1981">
        <f>+CT225/R225*100</f>
        <v>13.454730581937401</v>
      </c>
      <c r="CW225" s="2027"/>
      <c r="CX225" s="2027"/>
      <c r="CY225" s="2027"/>
      <c r="CZ225" s="168"/>
      <c r="DA225" s="1991">
        <v>136.45400000000001</v>
      </c>
      <c r="DB225" s="2028">
        <f>+(DA225/DA218-1)*100</f>
        <v>46.177743497450408</v>
      </c>
      <c r="DC225" s="1981">
        <f>+DA225/W225*100</f>
        <v>19.34156961910486</v>
      </c>
      <c r="DD225" s="1998"/>
      <c r="DE225" s="1998"/>
      <c r="DF225" s="1998"/>
      <c r="DG225" s="1998"/>
      <c r="DH225" s="2414">
        <v>18.175000000000001</v>
      </c>
      <c r="DI225" s="2028">
        <f>+(DH225/DH218-1)*100</f>
        <v>13.232820385022759</v>
      </c>
      <c r="DJ225" s="1981">
        <f>+DH225/AG225*100</f>
        <v>19.583019071220775</v>
      </c>
      <c r="DK225" s="168"/>
      <c r="DL225" s="1417">
        <v>-10</v>
      </c>
      <c r="DM225" s="2028">
        <f>+(DL225/DL218-1)*100</f>
        <v>66.666666666666671</v>
      </c>
      <c r="DN225" s="1981"/>
      <c r="DO225" s="168"/>
      <c r="DP225" s="1417">
        <f>DT225-DL225</f>
        <v>-16.8</v>
      </c>
      <c r="DQ225" s="2028">
        <f>+(DP225/DP218-1)*100</f>
        <v>54.8529818416444</v>
      </c>
      <c r="DR225" s="1981">
        <v>2.7017384488971894</v>
      </c>
      <c r="DS225" s="168"/>
      <c r="DT225" s="1417">
        <v>-26.8</v>
      </c>
      <c r="DU225" s="2117" t="s">
        <v>886</v>
      </c>
      <c r="DV225" s="1981">
        <f>+DT225/BE225*100</f>
        <v>-23.143750323839789</v>
      </c>
      <c r="DW225" s="168"/>
      <c r="DX225" s="2027">
        <f>'qtrP&amp;L'!DF62</f>
        <v>338.7639999999999</v>
      </c>
      <c r="DY225" s="2028">
        <f>+(DX225/DX218-1)*100</f>
        <v>19.235656235371025</v>
      </c>
      <c r="DZ225" s="1981">
        <f>(+DX225/BI225)*100</f>
        <v>13.651009588959392</v>
      </c>
      <c r="EA225" s="1981"/>
      <c r="EB225" s="361">
        <f>DT225+DA225+DH225+CT225</f>
        <v>338.72800000000001</v>
      </c>
      <c r="EC225" s="168"/>
      <c r="ED225" s="168"/>
      <c r="EE225" s="168"/>
      <c r="EG225" s="361"/>
      <c r="EH225" s="2028"/>
      <c r="EI225" s="361"/>
      <c r="EJ225" s="2028"/>
    </row>
    <row r="226" spans="1:140" s="161" customFormat="1">
      <c r="A226" s="224" t="str">
        <f>qtrSales!A197</f>
        <v>4Q</v>
      </c>
      <c r="B226" s="168" t="str">
        <f>qtrSales!B197</f>
        <v>Jan</v>
      </c>
      <c r="C226" s="168"/>
      <c r="D226" s="168"/>
      <c r="E226" s="418">
        <v>2047.2</v>
      </c>
      <c r="F226" s="2385">
        <f>segmthSales!DD29</f>
        <v>5</v>
      </c>
      <c r="G226" s="2028">
        <f>+(E226/E219-1)*100</f>
        <v>6.9480723017448565</v>
      </c>
      <c r="H226" s="1981">
        <f>+E226/$BI226*100</f>
        <v>46.580130589098047</v>
      </c>
      <c r="I226" s="1981"/>
      <c r="J226" s="1981"/>
      <c r="K226" s="418">
        <v>567.1</v>
      </c>
      <c r="L226" s="2028">
        <f>segmthSales!DD98</f>
        <v>15</v>
      </c>
      <c r="M226" s="1981">
        <f>+K226/BI226*100</f>
        <v>12.903278652343445</v>
      </c>
      <c r="Q226" s="168"/>
      <c r="R226" s="418">
        <v>2614.3310000000001</v>
      </c>
      <c r="S226" s="2028">
        <f>+(R226/R219-1)*100</f>
        <v>8.6452645139841309</v>
      </c>
      <c r="T226" s="2385">
        <f>segmthSales!DE29</f>
        <v>7</v>
      </c>
      <c r="U226" s="1981">
        <f>+R226/$BI226*100</f>
        <v>59.484114587303281</v>
      </c>
      <c r="V226" s="168"/>
      <c r="W226" s="418">
        <f>1361.8+157.773</f>
        <v>1519.5729999999999</v>
      </c>
      <c r="X226" s="1096"/>
      <c r="Y226" s="1096"/>
      <c r="Z226" s="1096"/>
      <c r="AA226" s="2385">
        <f>segmthSales!DD52</f>
        <v>6</v>
      </c>
      <c r="AB226" s="2385">
        <f>segmthSales!DE52</f>
        <v>7</v>
      </c>
      <c r="AC226" s="2028">
        <f>+(W226/W219-1)*100</f>
        <v>8.232466043205422</v>
      </c>
      <c r="AD226" s="1981">
        <f>+W226/$BI226*100</f>
        <v>34.574984749739876</v>
      </c>
      <c r="AE226" s="1981"/>
      <c r="AF226" s="1981"/>
      <c r="AG226" s="2537">
        <v>112.27200000000001</v>
      </c>
      <c r="AH226" s="2028">
        <f>+(AG226/AG219-1)*100</f>
        <v>6.3816481423576654</v>
      </c>
      <c r="AI226" s="1981">
        <f>+AG226/$BI226*100</f>
        <v>2.5545351804900429</v>
      </c>
      <c r="AJ226" s="253"/>
      <c r="AK226" s="366"/>
      <c r="AL226" s="23"/>
      <c r="AM226" s="23"/>
      <c r="AN226" s="23"/>
      <c r="AO226" s="23"/>
      <c r="AP226" s="23"/>
      <c r="AQ226" s="23"/>
      <c r="AR226" s="23"/>
      <c r="AS226" s="253"/>
      <c r="AT226" s="366"/>
      <c r="AU226" s="366"/>
      <c r="AV226" s="366"/>
      <c r="AW226" s="366"/>
      <c r="AX226" s="366"/>
      <c r="AY226" s="366"/>
      <c r="AZ226" s="418">
        <v>62</v>
      </c>
      <c r="BA226" s="1980">
        <f>(AZ226/AZ219-1)*100</f>
        <v>-13.888888888888884</v>
      </c>
      <c r="BB226" s="1981">
        <f>(AZ226/BI226)*100</f>
        <v>1.4106917235854233</v>
      </c>
      <c r="BC226" s="2143">
        <f>BE226-AZ226</f>
        <v>86.861999999999995</v>
      </c>
      <c r="BD226" s="2138">
        <f>(BC226/BC219-1)*100</f>
        <v>7.4306775175006612</v>
      </c>
      <c r="BE226" s="2537">
        <v>148.86199999999999</v>
      </c>
      <c r="BF226" s="2028">
        <f>+(BE226/BE219-1)*100</f>
        <v>-2.6116424823688034</v>
      </c>
      <c r="BG226" s="1981">
        <f>+BE226/$BI226*100</f>
        <v>3.3870708283286013</v>
      </c>
      <c r="BH226" s="168"/>
      <c r="BI226" s="2152">
        <f>+E226+K226+W226+AG226+BE226</f>
        <v>4395.0069999999996</v>
      </c>
      <c r="BJ226" s="2385">
        <f>'qtrP&amp;L'!DH13</f>
        <v>6</v>
      </c>
      <c r="BK226" s="2892">
        <f>+(BI226/BI219-1)*100</f>
        <v>8.0204370900544895</v>
      </c>
      <c r="BL226" s="2027"/>
      <c r="BM226" s="2028"/>
      <c r="BN226" s="1981"/>
      <c r="BO226" s="2027"/>
      <c r="BP226" s="2028"/>
      <c r="BQ226" s="1981"/>
      <c r="BR226" s="168"/>
      <c r="BS226" s="2027"/>
      <c r="BT226" s="2028"/>
      <c r="BU226" s="1981"/>
      <c r="BV226" s="168"/>
      <c r="BW226" s="2027"/>
      <c r="BX226" s="2028"/>
      <c r="BY226" s="168"/>
      <c r="BZ226" s="1991"/>
      <c r="CA226" s="2028"/>
      <c r="CB226" s="1981"/>
      <c r="CC226" s="1991"/>
      <c r="CD226" s="2028"/>
      <c r="CE226" s="1981"/>
      <c r="CF226" s="168"/>
      <c r="CG226" s="1991"/>
      <c r="CH226" s="2028"/>
      <c r="CI226" s="1981"/>
      <c r="CJ226" s="168"/>
      <c r="CK226" s="1991"/>
      <c r="CL226" s="2028"/>
      <c r="CM226" s="1981"/>
      <c r="CN226" s="168"/>
      <c r="CO226" s="168"/>
      <c r="CP226" s="2028"/>
      <c r="CQ226" s="1981"/>
      <c r="CR226" s="2887" t="s">
        <v>1019</v>
      </c>
      <c r="CS226" s="168" t="s">
        <v>601</v>
      </c>
      <c r="CT226" s="2096">
        <v>593.60199999999998</v>
      </c>
      <c r="CU226" s="2028">
        <f>+(CT226/CT219-1)*100</f>
        <v>16.585257592451839</v>
      </c>
      <c r="CV226" s="1981">
        <f>+CT226/R226*100</f>
        <v>22.705694114478998</v>
      </c>
      <c r="CW226" s="1021"/>
      <c r="CX226" s="1021"/>
      <c r="CY226" s="1021"/>
      <c r="CZ226" s="168"/>
      <c r="DA226" s="2097">
        <v>487.17599999999999</v>
      </c>
      <c r="DB226" s="2028">
        <f>+(DA226/DA219-1)*100</f>
        <v>8.489643761426823</v>
      </c>
      <c r="DC226" s="1981">
        <f>+DA226/W226*100</f>
        <v>32.060058977094222</v>
      </c>
      <c r="DD226" s="1998"/>
      <c r="DE226" s="1998"/>
      <c r="DF226" s="1998"/>
      <c r="DG226" s="1998"/>
      <c r="DH226" s="1698">
        <v>28.084</v>
      </c>
      <c r="DI226" s="2028">
        <f>+(DH226/DH219-1)*100</f>
        <v>-4.748338081671422</v>
      </c>
      <c r="DJ226" s="1981">
        <f>+DH226/AG226*100</f>
        <v>25.014251104460595</v>
      </c>
      <c r="DK226" s="168"/>
      <c r="DL226" s="1419">
        <v>-5</v>
      </c>
      <c r="DM226" s="2028">
        <f>+(DL226/DL219-1)*100</f>
        <v>-33.333333333333336</v>
      </c>
      <c r="DN226" s="1981"/>
      <c r="DO226" s="168"/>
      <c r="DP226" s="1419">
        <f>DT226-DL226</f>
        <v>-25.9</v>
      </c>
      <c r="DQ226" s="2028">
        <f>+(DP226/DP219-1)*100</f>
        <v>11.44578313253013</v>
      </c>
      <c r="DR226" s="1981">
        <v>-1.0993244236704816</v>
      </c>
      <c r="DS226" s="168"/>
      <c r="DT226" s="1419">
        <v>-30.9</v>
      </c>
      <c r="DU226" s="2117" t="s">
        <v>886</v>
      </c>
      <c r="DV226" s="1981">
        <f>+DT226/BE226*100</f>
        <v>-20.757480082223804</v>
      </c>
      <c r="DW226" s="168"/>
      <c r="DX226" s="2152">
        <f>'qtrP&amp;L'!DF63</f>
        <v>1077.9779999999996</v>
      </c>
      <c r="DY226" s="2028">
        <f>+(DX226/DX219-1)*100</f>
        <v>12.646911603809151</v>
      </c>
      <c r="DZ226" s="1981">
        <f>(+DX226/BI226)*100</f>
        <v>24.527332948502693</v>
      </c>
      <c r="EA226" s="1981"/>
      <c r="EB226" s="361">
        <f>DT226+DA226+DH226+CT226</f>
        <v>1077.962</v>
      </c>
      <c r="EC226" s="168"/>
      <c r="ED226" s="168"/>
      <c r="EE226" s="168"/>
      <c r="EG226" s="361"/>
      <c r="EH226" s="2028"/>
      <c r="EI226" s="361"/>
      <c r="EJ226" s="2028"/>
    </row>
    <row r="227" spans="1:140" s="161" customFormat="1">
      <c r="A227" s="224"/>
      <c r="B227" s="168" t="str">
        <f>qtrSales!B198</f>
        <v>Year</v>
      </c>
      <c r="C227" s="168"/>
      <c r="D227" s="168"/>
      <c r="E227" s="2027">
        <f>+SUM(E223:E226)</f>
        <v>6112.4</v>
      </c>
      <c r="F227" s="2385">
        <f>segmthSales!DD30</f>
        <v>5</v>
      </c>
      <c r="G227" s="2028">
        <f>+(E227/E220-1)*100</f>
        <v>7.2332064349748038</v>
      </c>
      <c r="H227" s="1981">
        <f>+E227/$BI227*100</f>
        <v>50.292147648477602</v>
      </c>
      <c r="I227" s="1981"/>
      <c r="J227" s="1981"/>
      <c r="K227" s="2027">
        <f>+SUM(K223:K226)</f>
        <v>1559.7</v>
      </c>
      <c r="L227" s="2028">
        <f>+(K227/K220-1)*100</f>
        <v>3.4626865671641749</v>
      </c>
      <c r="M227" s="1981">
        <f>+K227/$BI227*100</f>
        <v>12.833038198961214</v>
      </c>
      <c r="N227" s="2027"/>
      <c r="O227" s="2117"/>
      <c r="P227" s="1981"/>
      <c r="Q227" s="168"/>
      <c r="R227" s="2027">
        <f>+SUM(R223:R226)</f>
        <v>7672.103000000001</v>
      </c>
      <c r="S227" s="2028">
        <f>+(R227/R220-1)*100</f>
        <v>6.444435904091983</v>
      </c>
      <c r="T227" s="2385">
        <f>segmthSales!DE30</f>
        <v>5</v>
      </c>
      <c r="U227" s="1981">
        <f>+R227/$BI227*100</f>
        <v>63.125210531105289</v>
      </c>
      <c r="V227" s="168"/>
      <c r="W227" s="2027">
        <f>+SUM(W223:W226)</f>
        <v>3586.5610000000001</v>
      </c>
      <c r="X227" s="2027"/>
      <c r="Y227" s="2027"/>
      <c r="Z227" s="2027"/>
      <c r="AA227" s="2385">
        <f>segmthSales!DD53</f>
        <v>5</v>
      </c>
      <c r="AB227" s="2385">
        <f>segmthSales!DE53</f>
        <v>7</v>
      </c>
      <c r="AC227" s="2028">
        <f>+(W227/W220-1)*100</f>
        <v>7.0740196840885172</v>
      </c>
      <c r="AD227" s="1981">
        <f>+W227/$BI227*100</f>
        <v>29.50982516888153</v>
      </c>
      <c r="AE227" s="1981"/>
      <c r="AF227" s="1981"/>
      <c r="AG227" s="1142">
        <f>SUM(AG223:AG226)</f>
        <v>385.23899999999998</v>
      </c>
      <c r="AH227" s="2028">
        <f>+(AG227/AG220-1)*100</f>
        <v>14.693378110430322</v>
      </c>
      <c r="AI227" s="1981">
        <f>+AG227/$BI227*100</f>
        <v>3.1697036627105333</v>
      </c>
      <c r="AJ227" s="253"/>
      <c r="AK227" s="366"/>
      <c r="AL227" s="23"/>
      <c r="AM227" s="366"/>
      <c r="AN227" s="366"/>
      <c r="AO227" s="23"/>
      <c r="AP227" s="23"/>
      <c r="AQ227" s="2138"/>
      <c r="AR227" s="2003"/>
      <c r="AS227" s="253"/>
      <c r="AT227" s="366"/>
      <c r="AU227" s="366"/>
      <c r="AV227" s="366"/>
      <c r="AW227" s="366"/>
      <c r="AX227" s="366"/>
      <c r="AY227" s="366"/>
      <c r="AZ227" s="2027">
        <f>SUM(AZ223:AZ226)</f>
        <v>214.5</v>
      </c>
      <c r="BA227" s="1980">
        <f>(AZ227/AZ220-1)*100</f>
        <v>-17.404697728147855</v>
      </c>
      <c r="BB227" s="1981">
        <f>(AZ227/BI227)*100</f>
        <v>1.7648821527711613</v>
      </c>
      <c r="BC227" s="2027">
        <f>SUM(BC223:BC226)</f>
        <v>295.38599999999997</v>
      </c>
      <c r="BD227" s="2156">
        <f>BC227/BC220-1</f>
        <v>-1.9514381026670913E-2</v>
      </c>
      <c r="BE227" s="1142">
        <f>SUM(BE223:BE226)</f>
        <v>509.88599999999997</v>
      </c>
      <c r="BF227" s="2028">
        <f>+(BE227/BE220-1)*100</f>
        <v>-9.1055591703582355</v>
      </c>
      <c r="BG227" s="1981">
        <f>+BE227/$BI227*100</f>
        <v>4.1952853209691199</v>
      </c>
      <c r="BH227" s="168"/>
      <c r="BI227" s="2027">
        <f>+E227+K227+W227+AG227+BE227</f>
        <v>12153.786</v>
      </c>
      <c r="BJ227" s="2385">
        <f>'qtrP&amp;L'!DH14</f>
        <v>5</v>
      </c>
      <c r="BK227" s="2892">
        <f>+(BI227/BI220-1)*100</f>
        <v>6.1089779519227116</v>
      </c>
      <c r="BL227" s="2027"/>
      <c r="BM227" s="2028"/>
      <c r="BN227" s="1981"/>
      <c r="BO227" s="2027"/>
      <c r="BP227" s="2028"/>
      <c r="BQ227" s="1981"/>
      <c r="BR227" s="168"/>
      <c r="BS227" s="2027"/>
      <c r="BT227" s="2028"/>
      <c r="BU227" s="1981"/>
      <c r="BV227" s="168"/>
      <c r="BW227" s="2027"/>
      <c r="BX227" s="2028"/>
      <c r="BY227" s="168"/>
      <c r="BZ227" s="1991"/>
      <c r="CA227" s="2028"/>
      <c r="CB227" s="1981"/>
      <c r="CC227" s="1991"/>
      <c r="CD227" s="2028"/>
      <c r="CE227" s="1981"/>
      <c r="CF227" s="168"/>
      <c r="CG227" s="1991"/>
      <c r="CH227" s="2028"/>
      <c r="CI227" s="1981"/>
      <c r="CJ227" s="168"/>
      <c r="CK227" s="1991"/>
      <c r="CL227" s="2028"/>
      <c r="CM227" s="1981"/>
      <c r="CN227" s="168"/>
      <c r="CO227" s="168"/>
      <c r="CP227" s="2028"/>
      <c r="CQ227" s="1981"/>
      <c r="CR227" s="2887"/>
      <c r="CS227" s="168" t="s">
        <v>1020</v>
      </c>
      <c r="CT227" s="2027">
        <f>+SUM(CT223:CT226)</f>
        <v>1390.7939999999999</v>
      </c>
      <c r="CU227" s="2028">
        <f>+(CT227/CT220-1)*100</f>
        <v>9.3881692267761441</v>
      </c>
      <c r="CV227" s="1981">
        <f>+CT227/R227*100</f>
        <v>18.127937020657825</v>
      </c>
      <c r="CW227" s="2027"/>
      <c r="CX227" s="2027"/>
      <c r="CY227" s="2027"/>
      <c r="CZ227" s="168"/>
      <c r="DA227" s="2027">
        <f>+SUM(DA223:DA226)</f>
        <v>858.31899999999996</v>
      </c>
      <c r="DB227" s="2028">
        <f>+(DA227/DA220-1)*100</f>
        <v>16.413175569371631</v>
      </c>
      <c r="DC227" s="1981">
        <f>+DA227/W227*100</f>
        <v>23.931532183615445</v>
      </c>
      <c r="DD227" s="1981"/>
      <c r="DE227" s="1981"/>
      <c r="DF227" s="1981"/>
      <c r="DG227" s="1981"/>
      <c r="DH227" s="1142">
        <f>SUM(DH223:DH226)</f>
        <v>87.93</v>
      </c>
      <c r="DI227" s="2028">
        <f>+(DH227/DH220-1)*100</f>
        <v>12.753898235535498</v>
      </c>
      <c r="DJ227" s="1981">
        <f>+DH227/AG227*100</f>
        <v>22.824791882441811</v>
      </c>
      <c r="DK227" s="168"/>
      <c r="DL227" s="361">
        <f>SUM(DL223:DL226)</f>
        <v>-34</v>
      </c>
      <c r="DM227" s="2028">
        <f>+(DL227/DL220-1)*100</f>
        <v>-12.144702842377264</v>
      </c>
      <c r="DN227" s="1981"/>
      <c r="DO227" s="168"/>
      <c r="DP227" s="361">
        <f>DT227-DL227</f>
        <v>-111.58599999999998</v>
      </c>
      <c r="DQ227" s="2028">
        <f>+(DP227/DP220-1)*100</f>
        <v>17.586435819888901</v>
      </c>
      <c r="DR227" s="1981">
        <v>-3.4762012895405334</v>
      </c>
      <c r="DS227" s="168"/>
      <c r="DT227" s="361">
        <f>+SUM(DT223:DT226)</f>
        <v>-145.58599999999998</v>
      </c>
      <c r="DU227" s="2117" t="s">
        <v>886</v>
      </c>
      <c r="DV227" s="1981">
        <f>+DT227/BE227*100</f>
        <v>-28.552656868398035</v>
      </c>
      <c r="DW227" s="168"/>
      <c r="DX227" s="2027">
        <f>+SUM(DX223:DX226)</f>
        <v>2191.5109999999995</v>
      </c>
      <c r="DY227" s="2028">
        <f>+(DX227/DX220-1)*100</f>
        <v>12.205707895934626</v>
      </c>
      <c r="DZ227" s="1981">
        <f>(+DX227/BI227)*100</f>
        <v>18.031508864809695</v>
      </c>
      <c r="EA227" s="1981"/>
      <c r="EB227" s="361">
        <f>DT227+DA227+DH227+CT227</f>
        <v>2191.4569999999999</v>
      </c>
      <c r="EC227" s="168"/>
      <c r="ED227" s="168"/>
      <c r="EE227" s="168"/>
      <c r="EG227" s="2027"/>
      <c r="EH227" s="2028"/>
      <c r="EI227" s="2027"/>
      <c r="EJ227" s="2028"/>
    </row>
    <row r="228" spans="1:140" ht="4.5" customHeight="1">
      <c r="A228" s="113"/>
      <c r="B228" s="24"/>
      <c r="C228" s="24"/>
      <c r="D228" s="24"/>
      <c r="E228" s="127"/>
      <c r="F228" s="164"/>
      <c r="G228" s="1980"/>
      <c r="H228" s="1981"/>
      <c r="I228" s="1981"/>
      <c r="J228" s="1981"/>
      <c r="K228" s="127"/>
      <c r="L228" s="2087"/>
      <c r="M228" s="1981"/>
      <c r="N228" s="2027"/>
      <c r="O228" s="2022"/>
      <c r="P228" s="1981"/>
      <c r="Q228" s="24"/>
      <c r="R228" s="266"/>
      <c r="S228" s="1980"/>
      <c r="T228" s="2028"/>
      <c r="U228" s="1981"/>
      <c r="V228" s="168"/>
      <c r="W228" s="292"/>
      <c r="X228" s="2027"/>
      <c r="Y228" s="2027"/>
      <c r="Z228" s="2027"/>
      <c r="AA228" s="164"/>
      <c r="AB228" s="164"/>
      <c r="AC228" s="2028"/>
      <c r="AD228" s="1981"/>
      <c r="AE228" s="1981"/>
      <c r="AF228" s="1981"/>
      <c r="AG228" s="1981"/>
      <c r="AH228" s="2028"/>
      <c r="AI228" s="24"/>
      <c r="AJ228" s="24"/>
      <c r="AK228" s="388"/>
      <c r="AL228" s="2134"/>
      <c r="AM228" s="388"/>
      <c r="AN228" s="388"/>
      <c r="AO228" s="2134"/>
      <c r="AP228" s="2134"/>
      <c r="AQ228" s="1980"/>
      <c r="AR228" s="1981"/>
      <c r="AS228" s="24"/>
      <c r="AT228" s="388"/>
      <c r="AU228" s="388"/>
      <c r="AV228" s="388"/>
      <c r="AW228" s="388"/>
      <c r="AX228" s="388"/>
      <c r="AY228" s="388"/>
      <c r="AZ228" s="388"/>
      <c r="BA228" s="388"/>
      <c r="BB228" s="388"/>
      <c r="BC228" s="266"/>
      <c r="BD228" s="1980"/>
      <c r="BE228" s="266"/>
      <c r="BF228" s="1980"/>
      <c r="BG228" s="1981"/>
      <c r="BH228" s="24"/>
      <c r="BI228" s="266"/>
      <c r="BJ228" s="164"/>
      <c r="BK228" s="2889"/>
      <c r="BL228" s="266"/>
      <c r="BM228" s="1980"/>
      <c r="BN228" s="1981"/>
      <c r="BO228" s="266"/>
      <c r="BP228" s="1980"/>
      <c r="BQ228" s="1981"/>
      <c r="BR228" s="24"/>
      <c r="BS228" s="266"/>
      <c r="BT228" s="1980"/>
      <c r="BU228" s="1981"/>
      <c r="BV228" s="24"/>
      <c r="BW228" s="266"/>
      <c r="BX228" s="1980"/>
      <c r="BY228" s="24"/>
      <c r="BZ228" s="389"/>
      <c r="CA228" s="1980"/>
      <c r="CB228" s="1981"/>
      <c r="CC228" s="389"/>
      <c r="CD228" s="1980"/>
      <c r="CE228" s="1981"/>
      <c r="CF228" s="24"/>
      <c r="CG228" s="389"/>
      <c r="CH228" s="1980"/>
      <c r="CI228" s="1981"/>
      <c r="CJ228" s="24"/>
      <c r="CK228" s="389"/>
      <c r="CL228" s="1980"/>
      <c r="CM228" s="1981"/>
      <c r="CN228" s="24"/>
      <c r="CO228" s="24"/>
      <c r="CP228" s="1980"/>
      <c r="CQ228" s="1981"/>
      <c r="CR228" s="2886"/>
      <c r="CS228" s="24"/>
      <c r="CT228" s="266"/>
      <c r="CU228" s="1980"/>
      <c r="CV228"/>
      <c r="CW228" s="266"/>
      <c r="CX228" s="266"/>
      <c r="CY228" s="266"/>
      <c r="CZ228" s="24"/>
      <c r="DA228" s="428"/>
      <c r="DB228" s="1980"/>
      <c r="DC228" s="1981"/>
      <c r="DD228" s="1981"/>
      <c r="DE228" s="1981"/>
      <c r="DF228" s="1981"/>
      <c r="DG228" s="1981"/>
      <c r="DH228"/>
      <c r="DI228" s="2135"/>
      <c r="DJ228" s="1981"/>
      <c r="DK228" s="24"/>
      <c r="DL228" s="266"/>
      <c r="DM228" s="1980"/>
      <c r="DN228" s="1981"/>
      <c r="DO228" s="24"/>
      <c r="DP228" s="266"/>
      <c r="DQ228" s="1980"/>
      <c r="DR228" s="1981"/>
      <c r="DS228" s="24"/>
      <c r="DU228" s="1980"/>
      <c r="DV228" s="1981"/>
      <c r="DW228" s="24"/>
      <c r="DX228" s="266"/>
      <c r="DY228" s="1980"/>
      <c r="DZ228" s="1981"/>
      <c r="EA228" s="1981"/>
      <c r="EB228" s="24"/>
      <c r="EC228" s="24"/>
      <c r="ED228" s="24"/>
      <c r="EE228" s="24"/>
      <c r="EG228" s="266"/>
      <c r="EH228" s="1980"/>
      <c r="EI228" s="266"/>
      <c r="EJ228" s="1980"/>
    </row>
    <row r="229" spans="1:140" s="161" customFormat="1">
      <c r="A229" s="224"/>
      <c r="B229" s="136" t="s">
        <v>1308</v>
      </c>
      <c r="C229" s="168"/>
      <c r="D229" s="168"/>
      <c r="E229" s="1142"/>
      <c r="F229" s="1142"/>
      <c r="G229" s="2028"/>
      <c r="H229" s="1981"/>
      <c r="I229" s="1981"/>
      <c r="J229" s="1981"/>
      <c r="K229" s="2027"/>
      <c r="L229" s="2370"/>
      <c r="M229" s="1981"/>
      <c r="Q229" s="168"/>
      <c r="R229" s="292"/>
      <c r="S229" s="2028"/>
      <c r="T229" s="2028"/>
      <c r="U229" s="1981"/>
      <c r="V229" s="168"/>
      <c r="W229" s="292"/>
      <c r="X229" s="2027"/>
      <c r="Y229" s="2027"/>
      <c r="Z229" s="2027"/>
      <c r="AA229" s="1142"/>
      <c r="AB229" s="1142"/>
      <c r="AC229" s="2028"/>
      <c r="AD229" s="1981"/>
      <c r="AE229" s="1981"/>
      <c r="AF229" s="1981"/>
      <c r="AG229" s="2039"/>
      <c r="AH229" s="1981"/>
      <c r="AI229" s="168"/>
      <c r="AJ229" s="168"/>
      <c r="AK229" s="2025"/>
      <c r="AL229" s="2114"/>
      <c r="AM229" s="2115"/>
      <c r="AN229" s="2115"/>
      <c r="AO229" s="2114"/>
      <c r="AP229" s="2114"/>
      <c r="AQ229" s="2116"/>
      <c r="AR229" s="1691"/>
      <c r="AS229" s="168"/>
      <c r="AT229" s="2025"/>
      <c r="AU229" s="2025"/>
      <c r="AV229" s="2025"/>
      <c r="AW229" s="2025"/>
      <c r="AX229" s="2025"/>
      <c r="AY229" s="2025"/>
      <c r="AZ229" s="2027"/>
      <c r="BA229" s="2117"/>
      <c r="BB229" s="1981"/>
      <c r="BC229" s="2027"/>
      <c r="BD229" s="2028"/>
      <c r="BE229" s="2027"/>
      <c r="BF229" s="2028"/>
      <c r="BG229" s="1981"/>
      <c r="BH229" s="168"/>
      <c r="BI229" s="2027"/>
      <c r="BJ229" s="1142"/>
      <c r="BK229" s="2892"/>
      <c r="BL229" s="2027"/>
      <c r="BM229" s="2028"/>
      <c r="BN229" s="1981"/>
      <c r="BO229" s="2027"/>
      <c r="BP229" s="2028"/>
      <c r="BQ229" s="1981"/>
      <c r="BR229" s="168"/>
      <c r="BS229" s="2027"/>
      <c r="BT229" s="2028"/>
      <c r="BU229" s="1981"/>
      <c r="BV229" s="168"/>
      <c r="BW229" s="2027"/>
      <c r="BX229" s="2028"/>
      <c r="BY229" s="168"/>
      <c r="BZ229" s="1991"/>
      <c r="CA229" s="2028"/>
      <c r="CB229" s="1981"/>
      <c r="CC229" s="1991"/>
      <c r="CD229" s="2028"/>
      <c r="CE229" s="1981"/>
      <c r="CF229" s="168"/>
      <c r="CG229" s="1991"/>
      <c r="CH229" s="2028"/>
      <c r="CI229" s="1981"/>
      <c r="CJ229" s="168"/>
      <c r="CK229" s="1991"/>
      <c r="CL229" s="2028"/>
      <c r="CM229" s="1981"/>
      <c r="CN229" s="168"/>
      <c r="CO229" s="168"/>
      <c r="CP229" s="2028"/>
      <c r="CQ229" s="1981"/>
      <c r="CR229" s="2887"/>
      <c r="CS229" s="136" t="s">
        <v>1308</v>
      </c>
      <c r="CT229" s="1142"/>
      <c r="CU229" s="2028"/>
      <c r="CV229" s="1981"/>
      <c r="CW229" s="2027"/>
      <c r="CX229" s="2027"/>
      <c r="CY229" s="2027"/>
      <c r="CZ229" s="168"/>
      <c r="DA229" s="2027"/>
      <c r="DB229" s="2028"/>
      <c r="DC229" s="1981"/>
      <c r="DD229" s="1981"/>
      <c r="DE229" s="1981"/>
      <c r="DF229" s="1981"/>
      <c r="DG229" s="1981"/>
      <c r="DH229" s="2366"/>
      <c r="DI229" s="2103"/>
      <c r="DJ229" s="1981"/>
      <c r="DK229" s="168"/>
      <c r="DL229" s="361"/>
      <c r="DM229" s="2028"/>
      <c r="DN229" s="1981"/>
      <c r="DO229" s="168"/>
      <c r="DP229" s="361"/>
      <c r="DQ229" s="2028"/>
      <c r="DR229" s="1981"/>
      <c r="DS229" s="168"/>
      <c r="DT229" s="361"/>
      <c r="DU229" s="2028"/>
      <c r="DV229" s="1981"/>
      <c r="DW229" s="168"/>
      <c r="DX229" s="2027"/>
      <c r="DY229" s="2028"/>
      <c r="DZ229" s="1981"/>
      <c r="EA229" s="1981"/>
      <c r="EB229" s="361"/>
      <c r="EC229" s="168"/>
      <c r="ED229" s="168"/>
      <c r="EE229" s="168"/>
      <c r="EG229" s="361"/>
      <c r="EH229" s="2028"/>
      <c r="EI229" s="361"/>
      <c r="EJ229" s="2028"/>
    </row>
    <row r="230" spans="1:140">
      <c r="A230" s="113" t="str">
        <f>qtrSales!A201</f>
        <v>1Q</v>
      </c>
      <c r="B230" s="24" t="str">
        <f>qtrSales!B201</f>
        <v>Apr</v>
      </c>
      <c r="C230" s="24"/>
      <c r="D230" s="24"/>
      <c r="E230" s="2376">
        <v>1381.2</v>
      </c>
      <c r="F230" s="2385">
        <f>segmthSales!DI14</f>
        <v>1</v>
      </c>
      <c r="G230" s="1980">
        <f>+(E230/E223-1)*100</f>
        <v>2.6456599286563742</v>
      </c>
      <c r="H230" s="1981">
        <f>+E230/$BI230*100</f>
        <v>52.841593817548812</v>
      </c>
      <c r="I230" s="1981"/>
      <c r="J230" s="1981"/>
      <c r="K230" s="2376">
        <v>359.7</v>
      </c>
      <c r="L230" s="1980">
        <f>(K230/K223-1)*100</f>
        <v>6.3257463789535784</v>
      </c>
      <c r="M230" s="1981">
        <f>+K230/BI230*100</f>
        <v>13.761309945100136</v>
      </c>
      <c r="Q230" s="24"/>
      <c r="R230" s="2376">
        <v>1740.865</v>
      </c>
      <c r="S230" s="1980">
        <f>+(R230/R223-1)*100</f>
        <v>3.3835345539197981</v>
      </c>
      <c r="T230" s="2385">
        <f>segmthSales!DJ14</f>
        <v>2</v>
      </c>
      <c r="U230" s="1981">
        <f>+R230/$BI230*100</f>
        <v>66.601564741664589</v>
      </c>
      <c r="V230" s="24"/>
      <c r="W230" s="2376">
        <f>586.7+73.542</f>
        <v>660.24200000000008</v>
      </c>
      <c r="X230" s="381"/>
      <c r="Y230" s="381"/>
      <c r="Z230" s="381"/>
      <c r="AA230" s="2385">
        <f>segmthSales!DI37</f>
        <v>4</v>
      </c>
      <c r="AB230" s="2385">
        <f>segmthSales!DJ37</f>
        <v>6</v>
      </c>
      <c r="AC230" s="1980">
        <f>+(W230/W223-1)*100</f>
        <v>7.6492637695715571</v>
      </c>
      <c r="AD230" s="1981">
        <f>+W230/$BI230*100</f>
        <v>25.259368364672802</v>
      </c>
      <c r="AE230" s="1981"/>
      <c r="AF230" s="1981"/>
      <c r="AG230" s="2377">
        <v>95.207999999999998</v>
      </c>
      <c r="AH230" s="1980">
        <f>+(AG230/AG223-1)*100</f>
        <v>4.0956900133388707</v>
      </c>
      <c r="AI230" s="1981">
        <f>+AG230/$BI230*100</f>
        <v>3.6424431394303416</v>
      </c>
      <c r="AJ230" s="2145"/>
      <c r="AK230" s="2158"/>
      <c r="AM230" s="2158"/>
      <c r="AN230" s="2158"/>
      <c r="AQ230" s="2154"/>
      <c r="AR230" s="2150"/>
      <c r="AS230" s="2145"/>
      <c r="AT230" s="2158"/>
      <c r="AU230" s="2158"/>
      <c r="AV230" s="2158"/>
      <c r="AW230" s="2158"/>
      <c r="AX230" s="2158"/>
      <c r="AY230" s="2158"/>
      <c r="AZ230" s="2376">
        <v>45</v>
      </c>
      <c r="BA230" s="1980">
        <f>(AZ230/AZ223-1)*100</f>
        <v>-6.25</v>
      </c>
      <c r="BB230" s="1981">
        <f>(AZ230/BI230)*100</f>
        <v>1.7215984084779157</v>
      </c>
      <c r="BC230" s="42">
        <f>BE230-AZ230</f>
        <v>72.5</v>
      </c>
      <c r="BD230" s="2138">
        <f>(BC230/BC223-1)*100</f>
        <v>-3.6672867393037545</v>
      </c>
      <c r="BE230" s="2376">
        <v>117.5</v>
      </c>
      <c r="BF230" s="1980">
        <f>+(BE230/BE223-1)*100</f>
        <v>-4.6730488398507237</v>
      </c>
      <c r="BG230" s="1981">
        <f>+BE230/$BI230*100</f>
        <v>4.4952847332478907</v>
      </c>
      <c r="BH230" s="24"/>
      <c r="BI230" s="381">
        <f>+E230+K230+W230+AG230+BE230</f>
        <v>2613.8500000000004</v>
      </c>
      <c r="BJ230" s="2385">
        <f>'qtrP&amp;L'!DL10</f>
        <v>3</v>
      </c>
      <c r="BK230" s="2889">
        <f>+(BI230/BI223-1)*100</f>
        <v>4.0566508316848937</v>
      </c>
      <c r="BL230" s="266"/>
      <c r="BM230" s="1980"/>
      <c r="BN230" s="1981"/>
      <c r="BO230" s="266"/>
      <c r="BP230" s="1980"/>
      <c r="BQ230" s="1981"/>
      <c r="BR230" s="24"/>
      <c r="BS230" s="266"/>
      <c r="BT230" s="1980"/>
      <c r="BU230" s="1981"/>
      <c r="BV230" s="24"/>
      <c r="BW230" s="266"/>
      <c r="BX230" s="1980"/>
      <c r="BY230" s="24"/>
      <c r="BZ230" s="266"/>
      <c r="CA230" s="1980"/>
      <c r="CB230" s="1981"/>
      <c r="CC230" s="266"/>
      <c r="CD230" s="1980"/>
      <c r="CE230" s="1981"/>
      <c r="CF230" s="24"/>
      <c r="CG230" s="266"/>
      <c r="CH230" s="1980"/>
      <c r="CI230" s="1981"/>
      <c r="CJ230" s="24"/>
      <c r="CK230" s="266"/>
      <c r="CL230" s="1980"/>
      <c r="CM230" s="1981"/>
      <c r="CN230" s="24"/>
      <c r="CO230" s="24"/>
      <c r="CP230" s="1980"/>
      <c r="CQ230" s="1981"/>
      <c r="CR230" s="2886" t="s">
        <v>119</v>
      </c>
      <c r="CS230" s="24" t="s">
        <v>830</v>
      </c>
      <c r="CT230" s="1982">
        <v>268.25900000000001</v>
      </c>
      <c r="CU230" s="2028">
        <f>+(CT230/CT223-1)*100</f>
        <v>-7.0620108577031049</v>
      </c>
      <c r="CV230" s="1981">
        <f>+CT230/R230*100</f>
        <v>15.409523426572422</v>
      </c>
      <c r="CW230" s="381"/>
      <c r="CX230" s="381"/>
      <c r="CY230" s="381"/>
      <c r="CZ230" s="168"/>
      <c r="DA230" s="1982">
        <v>111.684</v>
      </c>
      <c r="DB230" s="2028">
        <f>+(DA230/DA223-1)*100</f>
        <v>14.940257494828479</v>
      </c>
      <c r="DC230" s="1981">
        <f>+DA230/W230*100</f>
        <v>16.915615789362079</v>
      </c>
      <c r="DD230" s="1998"/>
      <c r="DE230" s="1998"/>
      <c r="DF230" s="1998"/>
      <c r="DG230" s="1998"/>
      <c r="DH230" s="138">
        <v>13.065</v>
      </c>
      <c r="DI230" s="2028">
        <f>+(DH230/DH223-1)*100</f>
        <v>-39.195792804951822</v>
      </c>
      <c r="DJ230" s="1981">
        <f>+DH230/AG230*100</f>
        <v>13.72258633728258</v>
      </c>
      <c r="DK230" s="168"/>
      <c r="DL230" s="2023">
        <v>-9</v>
      </c>
      <c r="DM230" s="2028">
        <f>+(DL230/DL223-1)*100</f>
        <v>-25</v>
      </c>
      <c r="DN230" s="1981"/>
      <c r="DO230" s="168"/>
      <c r="DP230" s="1691">
        <f>DT230-DL230</f>
        <v>-26.076000000000001</v>
      </c>
      <c r="DQ230" s="2028">
        <f>+(DP230/DP223-1)*100</f>
        <v>11.169849931787157</v>
      </c>
      <c r="DR230" s="1981">
        <v>-7.5563434572060428</v>
      </c>
      <c r="DS230" s="168"/>
      <c r="DT230" s="1691">
        <v>-35.076000000000001</v>
      </c>
      <c r="DU230" s="2117" t="s">
        <v>886</v>
      </c>
      <c r="DV230" s="1981">
        <f>+DT230/BE230*100</f>
        <v>-29.851914893617021</v>
      </c>
      <c r="DW230" s="168"/>
      <c r="DX230" s="2027">
        <f>'qtrP&amp;L'!DJ60</f>
        <v>357.93299999999999</v>
      </c>
      <c r="DY230" s="2028">
        <f>+(DX230/DX223-1)*100</f>
        <v>-3.7408261013384347</v>
      </c>
      <c r="DZ230" s="1981">
        <f>(+DX230/BI230)*100</f>
        <v>13.693708514260571</v>
      </c>
      <c r="EA230" s="1981"/>
      <c r="EB230" s="361">
        <f>DT230+DA230+DH230+CT230</f>
        <v>357.93200000000002</v>
      </c>
      <c r="EC230" s="24"/>
      <c r="ED230" s="24"/>
      <c r="EE230" s="24"/>
      <c r="EG230" s="361"/>
      <c r="EH230" s="2028"/>
      <c r="EI230" s="361"/>
      <c r="EJ230" s="2028"/>
    </row>
    <row r="231" spans="1:140" s="161" customFormat="1">
      <c r="A231" s="224" t="str">
        <f>qtrSales!A202</f>
        <v>2Q</v>
      </c>
      <c r="B231" s="168" t="str">
        <f>qtrSales!B202</f>
        <v>Jul</v>
      </c>
      <c r="C231" s="168"/>
      <c r="D231" s="168"/>
      <c r="E231" s="2388">
        <v>1469.1</v>
      </c>
      <c r="F231" s="2385">
        <f>segmthSales!DI19</f>
        <v>1</v>
      </c>
      <c r="G231" s="2028">
        <f>+(E231/E224-1)*100</f>
        <v>2.1982608695652051</v>
      </c>
      <c r="H231" s="1981">
        <f>+E231/$BI231*100</f>
        <v>50.837744854110099</v>
      </c>
      <c r="I231" s="1981"/>
      <c r="J231" s="1981"/>
      <c r="K231" s="2389">
        <v>398.3</v>
      </c>
      <c r="L231" s="1980">
        <f>(K231/K224-1)*100</f>
        <v>7.9696394686907146</v>
      </c>
      <c r="M231" s="1981">
        <f>+K231/BI231*100</f>
        <v>13.783046610436362</v>
      </c>
      <c r="Q231" s="168"/>
      <c r="R231" s="2389">
        <v>1867.3789999999999</v>
      </c>
      <c r="S231" s="2028">
        <f>+(R231/R224-1)*100</f>
        <v>3.3750901649735265</v>
      </c>
      <c r="T231" s="2385">
        <f>segmthSales!DJ19</f>
        <v>2</v>
      </c>
      <c r="U231" s="1981">
        <f>+R231/$BI231*100</f>
        <v>64.620064766131151</v>
      </c>
      <c r="V231" s="168"/>
      <c r="W231" s="388">
        <f>709.1+92.3</f>
        <v>801.4</v>
      </c>
      <c r="X231" s="2159"/>
      <c r="Y231" s="2159"/>
      <c r="Z231" s="2159"/>
      <c r="AA231" s="2385">
        <f>segmthSales!DI42</f>
        <v>3</v>
      </c>
      <c r="AB231" s="2385">
        <f>segmthSales!DJ42</f>
        <v>5</v>
      </c>
      <c r="AC231" s="2028">
        <f>+(W231/W224-1)*100</f>
        <v>7.1154090341034149</v>
      </c>
      <c r="AD231" s="1981">
        <f>+W231/$BI231*100</f>
        <v>27.732195715801399</v>
      </c>
      <c r="AE231" s="1981"/>
      <c r="AF231" s="1981"/>
      <c r="AG231" s="174">
        <v>99.709000000000003</v>
      </c>
      <c r="AH231" s="1980">
        <f>+(AG231/AG224-1)*100</f>
        <v>12.417836405659855</v>
      </c>
      <c r="AI231" s="1981">
        <f>+AG231/$BI231*100</f>
        <v>3.450398680592516</v>
      </c>
      <c r="AJ231"/>
      <c r="AK231" s="229"/>
      <c r="AL231" s="1954"/>
      <c r="AM231" s="1954"/>
      <c r="AN231" s="1954"/>
      <c r="AO231" s="1954"/>
      <c r="AP231" s="1954"/>
      <c r="AQ231" s="1954"/>
      <c r="AR231" s="1954"/>
      <c r="AS231"/>
      <c r="AT231" s="229"/>
      <c r="AU231" s="229"/>
      <c r="AV231" s="229"/>
      <c r="AW231" s="229"/>
      <c r="AX231" s="229"/>
      <c r="AY231" s="229"/>
      <c r="AZ231" s="388">
        <v>55</v>
      </c>
      <c r="BA231" s="1980">
        <f>(AZ231/AZ224-1)*100</f>
        <v>-4.3478260869565188</v>
      </c>
      <c r="BB231" s="1981">
        <f>(AZ231/BI231)*100</f>
        <v>1.903257754391162</v>
      </c>
      <c r="BC231" s="226">
        <f>BE231-AZ231</f>
        <v>66.272999999999996</v>
      </c>
      <c r="BD231" s="2138">
        <f>(BC231/BC224-1)*100</f>
        <v>2.8030279527192725</v>
      </c>
      <c r="BE231" s="2552">
        <v>121.273</v>
      </c>
      <c r="BF231" s="2028">
        <f>+(BE231/BE224-1)*100</f>
        <v>-0.56819113523440823</v>
      </c>
      <c r="BG231" s="1981">
        <f>+BE231/$BI231*100</f>
        <v>4.1966141390596245</v>
      </c>
      <c r="BH231" s="168"/>
      <c r="BI231" s="2027">
        <f>+E231+K231+W231+AG231+BE231</f>
        <v>2889.7819999999997</v>
      </c>
      <c r="BJ231" s="2385">
        <f>'qtrP&amp;L'!DL11</f>
        <v>3</v>
      </c>
      <c r="BK231" s="2892">
        <f>+(BI231/BI224-1)*100</f>
        <v>4.5043696247612175</v>
      </c>
      <c r="BL231" s="2027"/>
      <c r="BM231" s="2028"/>
      <c r="BN231" s="1981"/>
      <c r="BO231" s="2027"/>
      <c r="BP231" s="2028"/>
      <c r="BQ231" s="1981"/>
      <c r="BR231" s="168"/>
      <c r="BS231" s="2027"/>
      <c r="BT231" s="2028"/>
      <c r="BU231" s="1981"/>
      <c r="BV231" s="168"/>
      <c r="BW231" s="2027"/>
      <c r="BX231" s="2028"/>
      <c r="BY231" s="168"/>
      <c r="BZ231" s="1991"/>
      <c r="CA231" s="2028"/>
      <c r="CB231" s="1981"/>
      <c r="CC231" s="1991"/>
      <c r="CD231" s="2028"/>
      <c r="CE231" s="1981"/>
      <c r="CF231" s="168"/>
      <c r="CG231" s="1991"/>
      <c r="CH231" s="2028"/>
      <c r="CI231" s="1981"/>
      <c r="CJ231" s="168"/>
      <c r="CK231" s="1991"/>
      <c r="CL231" s="2028"/>
      <c r="CM231" s="1981"/>
      <c r="CN231" s="168"/>
      <c r="CO231" s="168"/>
      <c r="CP231" s="2028"/>
      <c r="CQ231" s="1981"/>
      <c r="CR231" s="2887" t="s">
        <v>120</v>
      </c>
      <c r="CS231" s="168" t="s">
        <v>653</v>
      </c>
      <c r="CT231" s="2412">
        <v>280.64499999999998</v>
      </c>
      <c r="CU231" s="2028">
        <f>+(CT231/CT224-1)*100</f>
        <v>-5.7130858390727397</v>
      </c>
      <c r="CV231" s="1981">
        <f>+CT231/R231*100</f>
        <v>15.028818466952879</v>
      </c>
      <c r="CW231" s="2027"/>
      <c r="CX231" s="2027"/>
      <c r="CY231" s="2027"/>
      <c r="CZ231" s="168"/>
      <c r="DA231" s="2413">
        <v>148.333</v>
      </c>
      <c r="DB231" s="2028">
        <f>+(DA231/DA224-1)*100</f>
        <v>7.8612876485216976</v>
      </c>
      <c r="DC231" s="1981">
        <f>+DA231/W231*100</f>
        <v>18.509233840778638</v>
      </c>
      <c r="DD231" s="1998"/>
      <c r="DE231" s="1998"/>
      <c r="DF231" s="1998"/>
      <c r="DG231" s="1998"/>
      <c r="DH231" s="2414">
        <v>7.609</v>
      </c>
      <c r="DI231" s="2028">
        <f>+(DH231/DH224-1)*100</f>
        <v>-62.301823226317879</v>
      </c>
      <c r="DJ231" s="1981">
        <f>+DH231/AG231*100</f>
        <v>7.6312068118224028</v>
      </c>
      <c r="DK231" s="168"/>
      <c r="DL231" s="1417">
        <v>-5</v>
      </c>
      <c r="DM231" s="2028">
        <f>+(DL231/DL224-1)*100</f>
        <v>-28.571428571428569</v>
      </c>
      <c r="DN231" s="1981"/>
      <c r="DO231" s="168"/>
      <c r="DP231" s="1691">
        <f>DT231-DL231</f>
        <v>-23.370999999999718</v>
      </c>
      <c r="DQ231" s="2028">
        <f>+(DP231/DP224-1)*100</f>
        <v>-48.556020250936129</v>
      </c>
      <c r="DR231" s="1981">
        <v>-10.655839784787988</v>
      </c>
      <c r="DS231" s="168"/>
      <c r="DT231" s="1417">
        <f>+DX231-DA231-CT231-DH231</f>
        <v>-28.370999999999718</v>
      </c>
      <c r="DU231" s="2117" t="s">
        <v>886</v>
      </c>
      <c r="DV231" s="1981">
        <f>+DT231/BE231*100</f>
        <v>-23.394325200167984</v>
      </c>
      <c r="DW231" s="168"/>
      <c r="DX231" s="2027">
        <f>'qtrP&amp;L'!DJ61</f>
        <v>408.21600000000024</v>
      </c>
      <c r="DY231" s="2028">
        <f>+(DX231/DX224-1)*100</f>
        <v>1.3128961645563209</v>
      </c>
      <c r="DZ231" s="1981">
        <f>(+DX231/BI231)*100</f>
        <v>14.126186681209873</v>
      </c>
      <c r="EA231" s="1981"/>
      <c r="EB231" s="361">
        <f>DT231+DA231+DH231+CT231</f>
        <v>408.21600000000024</v>
      </c>
      <c r="EC231" s="168"/>
      <c r="ED231" s="168"/>
      <c r="EE231" s="168"/>
      <c r="EG231" s="361"/>
      <c r="EH231" s="2028"/>
      <c r="EI231" s="361"/>
      <c r="EJ231" s="2028"/>
    </row>
    <row r="232" spans="1:140" s="161" customFormat="1">
      <c r="A232" s="224" t="str">
        <f>qtrSales!A203</f>
        <v>3Q</v>
      </c>
      <c r="B232" s="168" t="str">
        <f>qtrSales!B203</f>
        <v>Oct</v>
      </c>
      <c r="C232" s="168"/>
      <c r="D232" s="168"/>
      <c r="E232" s="2552">
        <v>1285.9000000000001</v>
      </c>
      <c r="F232" s="2385">
        <f>segmthSales!DI24</f>
        <v>-2</v>
      </c>
      <c r="G232" s="2028">
        <f>+(E232/E225-1)*100</f>
        <v>0.29638873722799275</v>
      </c>
      <c r="H232" s="1981">
        <f>+E232/$BI232*100</f>
        <v>49.821465655385317</v>
      </c>
      <c r="I232" s="1981"/>
      <c r="J232" s="1981"/>
      <c r="K232" s="2552">
        <v>298.2</v>
      </c>
      <c r="L232" s="1980">
        <f>(K232/K225-1)*100</f>
        <v>4.4849334267694552</v>
      </c>
      <c r="M232" s="1981">
        <f>+K232/BI232*100</f>
        <v>11.553589749153044</v>
      </c>
      <c r="Q232" s="168"/>
      <c r="R232" s="2552">
        <v>1584.0630000000001</v>
      </c>
      <c r="S232" s="2028">
        <f>+(R232/R225-1)*100</f>
        <v>1.0585203809193366</v>
      </c>
      <c r="T232" s="2385">
        <f>segmthSales!DJ24</f>
        <v>-1</v>
      </c>
      <c r="U232" s="1981">
        <f>+R232/$BI232*100</f>
        <v>61.373621860538627</v>
      </c>
      <c r="V232" s="168"/>
      <c r="W232" s="2552">
        <v>770.17399999999998</v>
      </c>
      <c r="X232" s="2159"/>
      <c r="Y232" s="2159"/>
      <c r="Z232" s="2159"/>
      <c r="AA232" s="2385">
        <f>segmthSales!DI47</f>
        <v>5</v>
      </c>
      <c r="AB232" s="2385">
        <f>segmthSales!DJ47</f>
        <v>7</v>
      </c>
      <c r="AC232" s="2028">
        <f>+(W232/W225-1)*100</f>
        <v>9.1677344733350772</v>
      </c>
      <c r="AD232" s="1981">
        <f>+W232/$BI232*100</f>
        <v>29.83995449853855</v>
      </c>
      <c r="AE232" s="1981"/>
      <c r="AF232" s="1981"/>
      <c r="AG232" s="2552">
        <v>103.761</v>
      </c>
      <c r="AH232" s="2028">
        <f>+(AG232/AG225-1)*100</f>
        <v>11.799375067341877</v>
      </c>
      <c r="AI232" s="1981">
        <f>+AG232/$BI232*100</f>
        <v>4.0201610528567038</v>
      </c>
      <c r="AJ232" s="253"/>
      <c r="AK232" s="366"/>
      <c r="AL232" s="23"/>
      <c r="AM232" s="23"/>
      <c r="AN232" s="23"/>
      <c r="AO232" s="23"/>
      <c r="AP232" s="23"/>
      <c r="AQ232" s="23"/>
      <c r="AR232" s="23"/>
      <c r="AS232" s="253"/>
      <c r="AT232" s="366"/>
      <c r="AU232" s="366"/>
      <c r="AV232" s="366"/>
      <c r="AW232" s="366"/>
      <c r="AX232" s="366"/>
      <c r="AY232" s="366"/>
      <c r="AZ232" s="2552">
        <v>48</v>
      </c>
      <c r="BA232" s="1980">
        <f>(AZ232/AZ225-1)*100</f>
        <v>2.1276595744680771</v>
      </c>
      <c r="BB232" s="1981">
        <f>(AZ232/BI232)*100</f>
        <v>1.8597327564029047</v>
      </c>
      <c r="BC232" s="226">
        <f>BE232-AZ232</f>
        <v>74.980999999999995</v>
      </c>
      <c r="BD232" s="2138">
        <f>(BC232/BC225-1)*100</f>
        <v>8.987179859879646</v>
      </c>
      <c r="BE232" s="2552">
        <v>122.98099999999999</v>
      </c>
      <c r="BF232" s="2028">
        <f>+(BE232/BE225-1)*100</f>
        <v>6.2030432304530203</v>
      </c>
      <c r="BG232" s="1981">
        <f>+BE232/$BI232*100</f>
        <v>4.7648290440663672</v>
      </c>
      <c r="BH232" s="168"/>
      <c r="BI232" s="2027">
        <f>+E232+K232+W232+AG232+BE232</f>
        <v>2581.0160000000005</v>
      </c>
      <c r="BJ232" s="2385">
        <f>'qtrP&amp;L'!DL12</f>
        <v>2</v>
      </c>
      <c r="BK232" s="2892">
        <f>+(BI232/BI225-1)*100</f>
        <v>4.0059574372059537</v>
      </c>
      <c r="BL232" s="2027"/>
      <c r="BM232" s="2028"/>
      <c r="BN232" s="1981"/>
      <c r="BO232" s="2027"/>
      <c r="BP232" s="2028"/>
      <c r="BQ232" s="1981"/>
      <c r="BR232" s="168"/>
      <c r="BS232" s="2027"/>
      <c r="BT232" s="2028"/>
      <c r="BU232" s="1981"/>
      <c r="BV232" s="168"/>
      <c r="BW232" s="2027"/>
      <c r="BX232" s="2028"/>
      <c r="BY232" s="168"/>
      <c r="BZ232" s="1991"/>
      <c r="CA232" s="2028"/>
      <c r="CB232" s="1981"/>
      <c r="CC232" s="1991"/>
      <c r="CD232" s="2028"/>
      <c r="CE232" s="1981"/>
      <c r="CF232" s="168"/>
      <c r="CG232" s="1991"/>
      <c r="CH232" s="2028"/>
      <c r="CI232" s="1981"/>
      <c r="CJ232" s="168"/>
      <c r="CK232" s="1991"/>
      <c r="CL232" s="2028"/>
      <c r="CM232" s="1981"/>
      <c r="CN232" s="168"/>
      <c r="CO232" s="168"/>
      <c r="CP232" s="2028"/>
      <c r="CQ232" s="1981"/>
      <c r="CR232" s="2887" t="s">
        <v>1018</v>
      </c>
      <c r="CS232" s="168" t="s">
        <v>598</v>
      </c>
      <c r="CT232" s="2412">
        <v>163.88399999999999</v>
      </c>
      <c r="CU232" s="2028">
        <f>+(CT232/CT225-1)*100</f>
        <v>-22.292661416128102</v>
      </c>
      <c r="CV232" s="1981">
        <f>+CT232/R232*100</f>
        <v>10.345800640504827</v>
      </c>
      <c r="CW232" s="2027"/>
      <c r="CX232" s="2027"/>
      <c r="CY232" s="2027"/>
      <c r="CZ232" s="168"/>
      <c r="DA232" s="2413">
        <v>145.404</v>
      </c>
      <c r="DB232" s="2028">
        <f>+(DA232/DA225-1)*100</f>
        <v>6.5589869113400701</v>
      </c>
      <c r="DC232" s="1981">
        <f>+DA232/W232*100</f>
        <v>18.879370116363315</v>
      </c>
      <c r="DD232" s="1998"/>
      <c r="DE232" s="1998"/>
      <c r="DF232" s="1998"/>
      <c r="DG232" s="1998"/>
      <c r="DH232" s="2414">
        <v>8.8840000000000003</v>
      </c>
      <c r="DI232" s="2028">
        <f>+(DH232/DH225-1)*100</f>
        <v>-51.119669876203574</v>
      </c>
      <c r="DJ232" s="1981">
        <f>+DH232/AG232*100</f>
        <v>8.561983789670494</v>
      </c>
      <c r="DK232" s="168"/>
      <c r="DL232" s="1417">
        <v>-9</v>
      </c>
      <c r="DM232" s="2028">
        <f>+(DL232/DL225-1)*100</f>
        <v>-9.9999999999999982</v>
      </c>
      <c r="DN232" s="1981"/>
      <c r="DO232" s="168"/>
      <c r="DP232" s="1417">
        <f>DT232-DL232</f>
        <v>-25.592000000000169</v>
      </c>
      <c r="DQ232" s="2028">
        <f>+(DP232/DP225-1)*100</f>
        <v>52.333333333334345</v>
      </c>
      <c r="DR232" s="1981">
        <v>2.7017384488971894</v>
      </c>
      <c r="DS232" s="168"/>
      <c r="DT232" s="1417">
        <f>+DX232-DA232-CT232-DH232</f>
        <v>-34.592000000000169</v>
      </c>
      <c r="DU232" s="2117" t="s">
        <v>886</v>
      </c>
      <c r="DV232" s="1981">
        <f>+DT232/BE232*100</f>
        <v>-28.127922199364271</v>
      </c>
      <c r="DW232" s="168"/>
      <c r="DX232" s="2027">
        <f>'qtrP&amp;L'!DJ62</f>
        <v>283.57999999999981</v>
      </c>
      <c r="DY232" s="2028">
        <f>+(DX232/DX225-1)*100</f>
        <v>-16.289806472942846</v>
      </c>
      <c r="DZ232" s="1981">
        <f>(+DX232/BI232)*100</f>
        <v>10.987146147098652</v>
      </c>
      <c r="EA232" s="1981"/>
      <c r="EB232" s="361">
        <f>DT232+DA232+DH232+CT232</f>
        <v>283.57999999999981</v>
      </c>
      <c r="EC232" s="168"/>
      <c r="ED232" s="168"/>
      <c r="EE232" s="168"/>
      <c r="EG232" s="361"/>
      <c r="EH232" s="2028"/>
      <c r="EI232" s="361"/>
      <c r="EJ232" s="2028"/>
    </row>
    <row r="233" spans="1:140" s="161" customFormat="1">
      <c r="A233" s="224" t="str">
        <f>qtrSales!A204</f>
        <v>4Q</v>
      </c>
      <c r="B233" s="168" t="str">
        <f>qtrSales!B204</f>
        <v>Jan</v>
      </c>
      <c r="C233" s="168"/>
      <c r="D233" s="168"/>
      <c r="E233" s="2563">
        <v>2062.6999999999998</v>
      </c>
      <c r="F233" s="2385">
        <f>segmthSales!DI29</f>
        <v>-2</v>
      </c>
      <c r="G233" s="2028">
        <f>+(E233/E226-1)*100</f>
        <v>0.75713169206719222</v>
      </c>
      <c r="H233" s="1981">
        <f>+E233/$BI233*100</f>
        <v>45.945044140831904</v>
      </c>
      <c r="I233" s="1981"/>
      <c r="J233" s="1981"/>
      <c r="K233" s="2563">
        <v>526.1</v>
      </c>
      <c r="L233" s="1980">
        <f>(K233/K226-1)*100</f>
        <v>-7.2297654734614696</v>
      </c>
      <c r="M233" s="1981">
        <f>+K233/BI233*100</f>
        <v>11.71846983201225</v>
      </c>
      <c r="Q233" s="168"/>
      <c r="R233" s="2563">
        <v>2588.7820000000002</v>
      </c>
      <c r="S233" s="2028">
        <f>+(R233/R226-1)*100</f>
        <v>-0.97726722438742364</v>
      </c>
      <c r="T233" s="2385">
        <f>segmthSales!DJ29</f>
        <v>-3</v>
      </c>
      <c r="U233" s="1981">
        <f>+R233/$BI233*100</f>
        <v>57.663113036792126</v>
      </c>
      <c r="V233" s="168"/>
      <c r="W233" s="2563">
        <f>1422.1+197.8</f>
        <v>1619.8999999999999</v>
      </c>
      <c r="X233" s="2159"/>
      <c r="Y233" s="2159"/>
      <c r="Z233" s="2159"/>
      <c r="AA233" s="2385">
        <f>segmthSales!DI52</f>
        <v>2</v>
      </c>
      <c r="AB233" s="2385">
        <f>segmthSales!DJ52</f>
        <v>5</v>
      </c>
      <c r="AC233" s="2028">
        <f>+(W233/W226-1)*100</f>
        <v>6.6023152556672127</v>
      </c>
      <c r="AD233" s="1981">
        <f>+W233/$BI233*100</f>
        <v>36.082017260742525</v>
      </c>
      <c r="AE233" s="1981"/>
      <c r="AF233" s="1981"/>
      <c r="AG233" s="2563">
        <v>124.05500000000001</v>
      </c>
      <c r="AH233" s="2028">
        <f>+(AG233/AG226-1)*100</f>
        <v>10.495047741199937</v>
      </c>
      <c r="AI233" s="1981">
        <f>+AG233/$BI233*100</f>
        <v>2.7632289964080585</v>
      </c>
      <c r="AJ233" s="253"/>
      <c r="AK233" s="366"/>
      <c r="AL233" s="23"/>
      <c r="AM233" s="23"/>
      <c r="AN233" s="23"/>
      <c r="AO233" s="23"/>
      <c r="AP233" s="23"/>
      <c r="AQ233" s="23"/>
      <c r="AR233" s="23"/>
      <c r="AS233" s="253"/>
      <c r="AT233" s="366"/>
      <c r="AU233" s="366"/>
      <c r="AV233" s="366"/>
      <c r="AW233" s="366"/>
      <c r="AX233" s="366"/>
      <c r="AY233" s="366"/>
      <c r="AZ233" s="2563">
        <v>68</v>
      </c>
      <c r="BA233" s="1980">
        <f>(AZ233/AZ226-1)*100</f>
        <v>9.6774193548387011</v>
      </c>
      <c r="BB233" s="1981">
        <f>(AZ233/BI233)*100</f>
        <v>1.5146473076921363</v>
      </c>
      <c r="BC233" s="206">
        <f>BE233-AZ233</f>
        <v>88.739000000000004</v>
      </c>
      <c r="BD233" s="2138">
        <f>(BC233/BC226-1)*100</f>
        <v>2.16089889710116</v>
      </c>
      <c r="BE233" s="2563">
        <v>156.739</v>
      </c>
      <c r="BF233" s="2028">
        <f>+(BE233/BE226-1)*100</f>
        <v>5.2914780131934291</v>
      </c>
      <c r="BG233" s="1981">
        <f>+BE233/$BI233*100</f>
        <v>3.491239770005262</v>
      </c>
      <c r="BH233" s="168"/>
      <c r="BI233" s="2027">
        <f>+E233+K233+W233+AG233+BE233</f>
        <v>4489.4939999999997</v>
      </c>
      <c r="BJ233" s="2385">
        <f>'qtrP&amp;L'!DL13</f>
        <v>0</v>
      </c>
      <c r="BK233" s="2892">
        <f>+(BI233/BI226-1)*100</f>
        <v>2.1498714336518621</v>
      </c>
      <c r="BL233" s="2027"/>
      <c r="BM233" s="2028"/>
      <c r="BN233" s="1981"/>
      <c r="BO233" s="2027"/>
      <c r="BP233" s="2028"/>
      <c r="BQ233" s="1981"/>
      <c r="BR233" s="168"/>
      <c r="BS233" s="2027"/>
      <c r="BT233" s="2028"/>
      <c r="BU233" s="1981"/>
      <c r="BV233" s="168"/>
      <c r="BW233" s="2027"/>
      <c r="BX233" s="2028"/>
      <c r="BY233" s="168"/>
      <c r="BZ233" s="1991"/>
      <c r="CA233" s="2028"/>
      <c r="CB233" s="1981"/>
      <c r="CC233" s="1991"/>
      <c r="CD233" s="2028"/>
      <c r="CE233" s="1981"/>
      <c r="CF233" s="168"/>
      <c r="CG233" s="1991"/>
      <c r="CH233" s="2028"/>
      <c r="CI233" s="1981"/>
      <c r="CJ233" s="168"/>
      <c r="CK233" s="1991"/>
      <c r="CL233" s="2028"/>
      <c r="CM233" s="1981"/>
      <c r="CN233" s="168"/>
      <c r="CO233" s="168"/>
      <c r="CP233" s="2028"/>
      <c r="CQ233" s="1981"/>
      <c r="CR233" s="2887" t="s">
        <v>1019</v>
      </c>
      <c r="CS233" s="168" t="s">
        <v>601</v>
      </c>
      <c r="CT233" s="2564">
        <v>493.69299999999998</v>
      </c>
      <c r="CU233" s="2028">
        <f>+(CT233/CT226-1)*100</f>
        <v>-16.830974289170186</v>
      </c>
      <c r="CV233" s="1981">
        <f>+CT233/R233*100</f>
        <v>19.070474068500165</v>
      </c>
      <c r="CW233" s="2027"/>
      <c r="CX233" s="2027"/>
      <c r="CY233" s="2027"/>
      <c r="CZ233" s="168"/>
      <c r="DA233" s="2565">
        <v>501.79700000000003</v>
      </c>
      <c r="DB233" s="2028">
        <f>+(DA233/DA226-1)*100</f>
        <v>3.0011741136673376</v>
      </c>
      <c r="DC233" s="1981">
        <f>+DA233/W233*100</f>
        <v>30.977035619482692</v>
      </c>
      <c r="DD233" s="1998"/>
      <c r="DE233" s="1998"/>
      <c r="DF233" s="1998"/>
      <c r="DG233" s="1998"/>
      <c r="DH233" s="2566">
        <v>10.337999999999999</v>
      </c>
      <c r="DI233" s="2028">
        <f>+(DH233/DH226-1)*100</f>
        <v>-63.189004415325456</v>
      </c>
      <c r="DJ233" s="1981">
        <f>+DH233/AG233*100</f>
        <v>8.333400507839265</v>
      </c>
      <c r="DK233" s="168"/>
      <c r="DL233" s="1419">
        <v>-8</v>
      </c>
      <c r="DM233" s="2028">
        <f>+(DL233/DL226-1)*100</f>
        <v>60.000000000000007</v>
      </c>
      <c r="DN233" s="1981"/>
      <c r="DO233" s="168"/>
      <c r="DP233" s="1419">
        <f>DT233-DL233</f>
        <v>-10.275999999999875</v>
      </c>
      <c r="DQ233" s="2028">
        <f>+(DP233/DP226-1)*100</f>
        <v>-60.324324324324799</v>
      </c>
      <c r="DR233" s="1981">
        <v>-1.0993244236704816</v>
      </c>
      <c r="DS233" s="168"/>
      <c r="DT233" s="1419">
        <f>+DX233-DA233-CT233-DH233</f>
        <v>-18.275999999999875</v>
      </c>
      <c r="DU233" s="2117" t="s">
        <v>886</v>
      </c>
      <c r="DV233" s="1981">
        <f>+DT233/BE233*100</f>
        <v>-11.66014839956863</v>
      </c>
      <c r="DW233" s="168"/>
      <c r="DX233" s="2152">
        <f>'qtrP&amp;L'!DJ63</f>
        <v>987.55200000000013</v>
      </c>
      <c r="DY233" s="2028">
        <f>+(DX233/DX226-1)*100</f>
        <v>-8.3884828818398418</v>
      </c>
      <c r="DZ233" s="1981">
        <f>(+DX233/BI233)*100</f>
        <v>21.996955558911544</v>
      </c>
      <c r="EA233" s="1981"/>
      <c r="EB233" s="361">
        <f>DT233+DA233+DH233+CT233</f>
        <v>987.55200000000013</v>
      </c>
      <c r="EC233" s="168"/>
      <c r="ED233" s="168"/>
      <c r="EE233" s="168"/>
      <c r="EG233" s="361"/>
      <c r="EH233" s="2028"/>
      <c r="EI233" s="361"/>
      <c r="EJ233" s="2028"/>
    </row>
    <row r="234" spans="1:140" s="161" customFormat="1">
      <c r="A234" s="224"/>
      <c r="B234" s="168" t="str">
        <f>qtrSales!B205</f>
        <v>Year</v>
      </c>
      <c r="C234" s="168"/>
      <c r="D234" s="168"/>
      <c r="E234" s="2027">
        <f>+SUM(E230:E233)</f>
        <v>6198.9000000000005</v>
      </c>
      <c r="F234" s="2385">
        <f>segmthSales!DI30</f>
        <v>-1</v>
      </c>
      <c r="G234" s="2028">
        <f>+(E234/E227-1)*100</f>
        <v>1.4151560761730408</v>
      </c>
      <c r="H234" s="1981">
        <f>+E234/$BI234*100</f>
        <v>49.298791122288897</v>
      </c>
      <c r="I234" s="1981"/>
      <c r="J234" s="1981"/>
      <c r="K234" s="2027">
        <f>+SUM(K230:K233)</f>
        <v>1582.3000000000002</v>
      </c>
      <c r="L234" s="2028">
        <f>+(K234/K227-1)*100</f>
        <v>1.4489966019106237</v>
      </c>
      <c r="M234" s="1981">
        <f>+K234/$BI234*100</f>
        <v>12.583761182273909</v>
      </c>
      <c r="N234" s="2027"/>
      <c r="O234" s="2117"/>
      <c r="P234" s="1981"/>
      <c r="Q234" s="168"/>
      <c r="R234" s="2027">
        <f>+SUM(R230:R233)</f>
        <v>7781.0889999999999</v>
      </c>
      <c r="S234" s="2028">
        <f>+(R234/R227-1)*100</f>
        <v>1.4205492288098753</v>
      </c>
      <c r="T234" s="2385">
        <f>segmthSales!DJ30</f>
        <v>0</v>
      </c>
      <c r="U234" s="1981">
        <f>+R234/$BI234*100</f>
        <v>61.881669540553929</v>
      </c>
      <c r="V234" s="168"/>
      <c r="W234" s="2027">
        <f>+SUM(W230:W233)</f>
        <v>3851.7159999999994</v>
      </c>
      <c r="X234" s="2027"/>
      <c r="Y234" s="2027"/>
      <c r="Z234" s="2027"/>
      <c r="AA234" s="2385">
        <f>segmthSales!DI53</f>
        <v>3</v>
      </c>
      <c r="AB234" s="2385">
        <f>segmthSales!DJ53</f>
        <v>6</v>
      </c>
      <c r="AC234" s="2028">
        <f>+(W234/W227-1)*100</f>
        <v>7.3930152031430385</v>
      </c>
      <c r="AD234" s="1981">
        <f>+W234/$BI234*100</f>
        <v>30.632038352994574</v>
      </c>
      <c r="AE234" s="1981"/>
      <c r="AF234" s="1981"/>
      <c r="AG234" s="2027">
        <f>SUM(AG230:AG233)</f>
        <v>422.733</v>
      </c>
      <c r="AH234" s="2028">
        <f>+(AG234/AG227-1)*100</f>
        <v>9.7326594659419285</v>
      </c>
      <c r="AI234" s="1981">
        <f>+AG234/$BI234*100</f>
        <v>3.3619232230716016</v>
      </c>
      <c r="AJ234" s="253"/>
      <c r="AK234" s="366"/>
      <c r="AL234" s="23"/>
      <c r="AM234" s="366"/>
      <c r="AN234" s="366"/>
      <c r="AO234" s="23"/>
      <c r="AP234" s="23"/>
      <c r="AQ234" s="2138"/>
      <c r="AR234" s="2003"/>
      <c r="AS234" s="253"/>
      <c r="AT234" s="366"/>
      <c r="AU234" s="366"/>
      <c r="AV234" s="366"/>
      <c r="AW234" s="366"/>
      <c r="AX234" s="366"/>
      <c r="AY234" s="366"/>
      <c r="AZ234" s="2027">
        <f>SUM(AZ230:AZ233)</f>
        <v>216</v>
      </c>
      <c r="BA234" s="1980">
        <f>(AZ234/AZ227-1)*100</f>
        <v>0.69930069930070893</v>
      </c>
      <c r="BB234" s="1981">
        <f>(AZ234/BI234)*100</f>
        <v>1.7178110442843735</v>
      </c>
      <c r="BC234" s="2027">
        <f>SUM(BC230:BC233)</f>
        <v>302.49299999999999</v>
      </c>
      <c r="BD234" s="2156">
        <f>BC234/BC227-1</f>
        <v>2.4060043468546288E-2</v>
      </c>
      <c r="BE234" s="2027">
        <f>SUM(BE230:BE233)</f>
        <v>518.49300000000005</v>
      </c>
      <c r="BF234" s="2028">
        <f>+(BE234/BE227-1)*100</f>
        <v>1.688024381920683</v>
      </c>
      <c r="BG234" s="1981">
        <f>+BE234/$BI234*100</f>
        <v>4.1234861193710071</v>
      </c>
      <c r="BH234" s="168"/>
      <c r="BI234" s="2027">
        <f>+E234+K234+W234+AG234+BE234</f>
        <v>12574.142000000002</v>
      </c>
      <c r="BJ234" s="2385">
        <f>'qtrP&amp;L'!DL14</f>
        <v>2.0243884366354767</v>
      </c>
      <c r="BK234" s="2892">
        <f>+(BI234/BI227-1)*100</f>
        <v>3.4586424345467437</v>
      </c>
      <c r="BL234" s="2027"/>
      <c r="BM234" s="2028"/>
      <c r="BN234" s="1981"/>
      <c r="BO234" s="2027"/>
      <c r="BP234" s="2028"/>
      <c r="BQ234" s="1981"/>
      <c r="BR234" s="168"/>
      <c r="BS234" s="2027"/>
      <c r="BT234" s="2028"/>
      <c r="BU234" s="1981"/>
      <c r="BV234" s="168"/>
      <c r="BW234" s="2027"/>
      <c r="BX234" s="2028"/>
      <c r="BY234" s="168"/>
      <c r="BZ234" s="1991"/>
      <c r="CA234" s="2028"/>
      <c r="CB234" s="1981"/>
      <c r="CC234" s="1991"/>
      <c r="CD234" s="2028"/>
      <c r="CE234" s="1981"/>
      <c r="CF234" s="168"/>
      <c r="CG234" s="1991"/>
      <c r="CH234" s="2028"/>
      <c r="CI234" s="1981"/>
      <c r="CJ234" s="168"/>
      <c r="CK234" s="1991"/>
      <c r="CL234" s="2028"/>
      <c r="CM234" s="1981"/>
      <c r="CN234" s="168"/>
      <c r="CO234" s="168"/>
      <c r="CP234" s="2028"/>
      <c r="CQ234" s="1981"/>
      <c r="CR234" s="2887"/>
      <c r="CS234" s="168" t="s">
        <v>1020</v>
      </c>
      <c r="CT234" s="2027">
        <f>+SUM(CT230:CT233)</f>
        <v>1206.481</v>
      </c>
      <c r="CU234" s="2028">
        <f>+(CT234/CT227-1)*100</f>
        <v>-13.252358005570908</v>
      </c>
      <c r="CV234" s="1981">
        <f>+CT234/R234*100</f>
        <v>15.505297523264417</v>
      </c>
      <c r="CW234" s="2027"/>
      <c r="CX234" s="2027"/>
      <c r="CY234" s="2027"/>
      <c r="CZ234" s="168"/>
      <c r="DA234" s="2027">
        <f>+SUM(DA230:DA233)</f>
        <v>907.21800000000007</v>
      </c>
      <c r="DB234" s="2028">
        <f>+(DA234/DA227-1)*100</f>
        <v>5.6970660092576342</v>
      </c>
      <c r="DC234" s="1981">
        <f>+DA234/W234*100</f>
        <v>23.553605717555506</v>
      </c>
      <c r="DD234" s="1981"/>
      <c r="DE234" s="1981"/>
      <c r="DF234" s="1981"/>
      <c r="DG234" s="1981"/>
      <c r="DH234" s="1142">
        <f>SUM(DH230:DH233)</f>
        <v>39.896000000000001</v>
      </c>
      <c r="DI234" s="2028">
        <f>+(DH234/DH227-1)*100</f>
        <v>-54.627544637780055</v>
      </c>
      <c r="DJ234" s="1981">
        <f>+DH234/AG234*100</f>
        <v>9.4376355761201509</v>
      </c>
      <c r="DK234" s="168"/>
      <c r="DL234" s="361">
        <f>SUM(DL230:DL233)</f>
        <v>-31</v>
      </c>
      <c r="DM234" s="2028">
        <f>+(DL234/DL227-1)*100</f>
        <v>-8.8235294117647083</v>
      </c>
      <c r="DN234" s="1981"/>
      <c r="DO234" s="168"/>
      <c r="DP234" s="361">
        <f>DT234-DL234</f>
        <v>-85.31499999999977</v>
      </c>
      <c r="DQ234" s="2028">
        <f>+(DP234/DP227-1)*100</f>
        <v>-23.543276038212881</v>
      </c>
      <c r="DR234" s="1981">
        <v>-3.4762012895405334</v>
      </c>
      <c r="DS234" s="168"/>
      <c r="DT234" s="361">
        <f>+SUM(DT230:DT233)</f>
        <v>-116.31499999999977</v>
      </c>
      <c r="DU234" s="2117" t="s">
        <v>886</v>
      </c>
      <c r="DV234" s="1981">
        <f>+DT234/BE234*100</f>
        <v>-22.433282609408373</v>
      </c>
      <c r="DW234" s="168"/>
      <c r="DX234" s="2027">
        <f>+SUM(DX230:DX233)</f>
        <v>2037.2810000000002</v>
      </c>
      <c r="DY234" s="2028">
        <f>+(DX234/DX227-1)*100</f>
        <v>-7.0376101237912714</v>
      </c>
      <c r="DZ234" s="1981">
        <f>(+DX234/BI234)*100</f>
        <v>16.202147231994037</v>
      </c>
      <c r="EA234" s="1981"/>
      <c r="EB234" s="361">
        <f>DT234+DA234+DH234+CT234</f>
        <v>2037.2800000000002</v>
      </c>
      <c r="EC234" s="168"/>
      <c r="ED234" s="168"/>
      <c r="EE234" s="168"/>
      <c r="EG234" s="2027"/>
      <c r="EH234" s="2028"/>
      <c r="EI234" s="2027"/>
      <c r="EJ234" s="2028"/>
    </row>
    <row r="235" spans="1:140" ht="4.5" customHeight="1">
      <c r="A235" s="113"/>
      <c r="B235" s="24"/>
      <c r="C235" s="24"/>
      <c r="D235" s="24"/>
      <c r="E235" s="127"/>
      <c r="F235" s="164"/>
      <c r="G235" s="1980"/>
      <c r="H235" s="1981"/>
      <c r="I235" s="1981"/>
      <c r="J235" s="1981"/>
      <c r="K235" s="127"/>
      <c r="L235" s="2087"/>
      <c r="M235" s="1981"/>
      <c r="N235" s="2027"/>
      <c r="O235" s="2022"/>
      <c r="P235" s="1981"/>
      <c r="Q235" s="24"/>
      <c r="R235" s="266"/>
      <c r="S235" s="1980"/>
      <c r="T235" s="2028"/>
      <c r="U235" s="1981"/>
      <c r="V235" s="168"/>
      <c r="W235" s="292"/>
      <c r="X235" s="2027"/>
      <c r="Y235" s="2027"/>
      <c r="Z235" s="2027"/>
      <c r="AA235" s="164"/>
      <c r="AB235" s="164"/>
      <c r="AC235" s="2028"/>
      <c r="AD235" s="1981"/>
      <c r="AE235" s="1981"/>
      <c r="AF235" s="1981"/>
      <c r="AG235" s="1981"/>
      <c r="AH235" s="2028"/>
      <c r="AI235" s="24"/>
      <c r="AJ235" s="24"/>
      <c r="AK235" s="388"/>
      <c r="AL235" s="2134"/>
      <c r="AM235" s="388"/>
      <c r="AN235" s="388"/>
      <c r="AO235" s="2134"/>
      <c r="AP235" s="2134"/>
      <c r="AQ235" s="1980"/>
      <c r="AR235" s="1981"/>
      <c r="AS235" s="24"/>
      <c r="AT235" s="388"/>
      <c r="AU235" s="388"/>
      <c r="AV235" s="388"/>
      <c r="AW235" s="388"/>
      <c r="AX235" s="388"/>
      <c r="AY235" s="388"/>
      <c r="AZ235" s="388"/>
      <c r="BA235" s="388"/>
      <c r="BB235" s="388"/>
      <c r="BC235" s="266"/>
      <c r="BD235" s="1980"/>
      <c r="BE235" s="266"/>
      <c r="BF235" s="1980"/>
      <c r="BG235" s="1981"/>
      <c r="BH235" s="24"/>
      <c r="BI235" s="266"/>
      <c r="BJ235" s="164"/>
      <c r="BK235" s="2889"/>
      <c r="BL235" s="266"/>
      <c r="BM235" s="1980"/>
      <c r="BN235" s="1981"/>
      <c r="BO235" s="266"/>
      <c r="BP235" s="1980"/>
      <c r="BQ235" s="1981"/>
      <c r="BR235" s="24"/>
      <c r="BS235" s="266"/>
      <c r="BT235" s="1980"/>
      <c r="BU235" s="1981"/>
      <c r="BV235" s="24"/>
      <c r="BW235" s="266"/>
      <c r="BX235" s="1980"/>
      <c r="BY235" s="24"/>
      <c r="BZ235" s="389"/>
      <c r="CA235" s="1980"/>
      <c r="CB235" s="1981"/>
      <c r="CC235" s="389"/>
      <c r="CD235" s="1980"/>
      <c r="CE235" s="1981"/>
      <c r="CF235" s="24"/>
      <c r="CG235" s="389"/>
      <c r="CH235" s="1980"/>
      <c r="CI235" s="1981"/>
      <c r="CJ235" s="24"/>
      <c r="CK235" s="389"/>
      <c r="CL235" s="1980"/>
      <c r="CM235" s="1981"/>
      <c r="CN235" s="24"/>
      <c r="CO235" s="24"/>
      <c r="CP235" s="1980"/>
      <c r="CQ235" s="1981"/>
      <c r="CR235" s="2886"/>
      <c r="CS235" s="24"/>
      <c r="CT235" s="266"/>
      <c r="CU235" s="1980"/>
      <c r="CV235"/>
      <c r="CW235" s="266"/>
      <c r="CX235" s="266"/>
      <c r="CY235" s="266"/>
      <c r="CZ235" s="24"/>
      <c r="DA235" s="428"/>
      <c r="DB235" s="1980"/>
      <c r="DC235" s="1981"/>
      <c r="DD235" s="1981"/>
      <c r="DE235" s="1981"/>
      <c r="DF235" s="1981"/>
      <c r="DG235" s="1981"/>
      <c r="DH235"/>
      <c r="DI235" s="2135"/>
      <c r="DJ235" s="1981"/>
      <c r="DK235" s="24"/>
      <c r="DL235" s="266"/>
      <c r="DM235" s="1980"/>
      <c r="DN235" s="1981"/>
      <c r="DO235" s="24"/>
      <c r="DP235" s="266"/>
      <c r="DQ235" s="1980"/>
      <c r="DR235" s="1981"/>
      <c r="DS235" s="24"/>
      <c r="DU235" s="1980"/>
      <c r="DV235" s="1981"/>
      <c r="DW235" s="24"/>
      <c r="DX235" s="266"/>
      <c r="DY235" s="1980"/>
      <c r="DZ235" s="1981"/>
      <c r="EA235" s="1981"/>
      <c r="EB235" s="24"/>
      <c r="EC235" s="24"/>
      <c r="ED235" s="24"/>
      <c r="EE235" s="24"/>
      <c r="EG235" s="266"/>
      <c r="EH235" s="1980"/>
      <c r="EI235" s="266"/>
      <c r="EJ235" s="1980"/>
    </row>
    <row r="236" spans="1:140" s="161" customFormat="1">
      <c r="A236" s="224"/>
      <c r="B236" s="136" t="s">
        <v>1332</v>
      </c>
      <c r="C236" s="168"/>
      <c r="D236" s="168"/>
      <c r="E236" s="1142"/>
      <c r="F236" s="1142"/>
      <c r="G236" s="2028"/>
      <c r="H236" s="1981"/>
      <c r="I236" s="1981"/>
      <c r="J236" s="1981"/>
      <c r="K236" s="2607"/>
      <c r="L236" s="2370"/>
      <c r="M236" s="1981"/>
      <c r="Q236" s="168"/>
      <c r="R236" s="2027"/>
      <c r="S236" s="2027"/>
      <c r="T236" s="2028"/>
      <c r="U236" s="1981"/>
      <c r="V236" s="168"/>
      <c r="W236" s="292"/>
      <c r="X236" s="2027"/>
      <c r="Y236" s="2027"/>
      <c r="Z236" s="2027"/>
      <c r="AA236" s="1142"/>
      <c r="AB236" s="650"/>
      <c r="AC236" s="2037"/>
      <c r="AD236" s="1981"/>
      <c r="AE236" s="1981"/>
      <c r="AF236" s="1981"/>
      <c r="AG236" s="2039"/>
      <c r="AH236" s="1981"/>
      <c r="AI236" s="750"/>
      <c r="AJ236" s="168"/>
      <c r="AK236" s="2025"/>
      <c r="AL236" s="2114"/>
      <c r="AM236" s="2115"/>
      <c r="AN236" s="2115"/>
      <c r="AO236" s="2114"/>
      <c r="AP236" s="2114"/>
      <c r="AQ236" s="2116"/>
      <c r="AR236" s="1691"/>
      <c r="AS236" s="168"/>
      <c r="AT236" s="2025"/>
      <c r="AU236" s="2025"/>
      <c r="AV236" s="2025"/>
      <c r="AW236" s="2025"/>
      <c r="AX236" s="2025"/>
      <c r="AY236" s="2025"/>
      <c r="AZ236" s="2027"/>
      <c r="BA236" s="2117"/>
      <c r="BB236" s="1981"/>
      <c r="BC236" s="2027"/>
      <c r="BD236" s="2028"/>
      <c r="BE236" s="2027"/>
      <c r="BF236" s="2028"/>
      <c r="BG236" s="1981"/>
      <c r="BH236" s="168"/>
      <c r="BI236" s="2027"/>
      <c r="BJ236" s="1142"/>
      <c r="BK236" s="2892"/>
      <c r="BL236" s="2027"/>
      <c r="BM236" s="2028"/>
      <c r="BN236" s="1981"/>
      <c r="BO236" s="2027"/>
      <c r="BP236" s="2028"/>
      <c r="BQ236" s="1981"/>
      <c r="BR236" s="168"/>
      <c r="BS236" s="2027"/>
      <c r="BT236" s="2028"/>
      <c r="BU236" s="1981"/>
      <c r="BV236" s="168"/>
      <c r="BW236" s="2027"/>
      <c r="BX236" s="2028"/>
      <c r="BY236" s="168"/>
      <c r="BZ236" s="1991"/>
      <c r="CA236" s="2028"/>
      <c r="CB236" s="1981"/>
      <c r="CC236" s="1991"/>
      <c r="CD236" s="2028"/>
      <c r="CE236" s="1981"/>
      <c r="CF236" s="168"/>
      <c r="CG236" s="1991"/>
      <c r="CH236" s="2028"/>
      <c r="CI236" s="1981"/>
      <c r="CJ236" s="168"/>
      <c r="CK236" s="1991"/>
      <c r="CL236" s="2028"/>
      <c r="CM236" s="1981"/>
      <c r="CN236" s="168"/>
      <c r="CO236" s="168"/>
      <c r="CP236" s="2028"/>
      <c r="CQ236" s="1981"/>
      <c r="CR236" s="2887"/>
      <c r="CS236" s="136" t="s">
        <v>1332</v>
      </c>
      <c r="CT236" s="963"/>
      <c r="CU236" s="2028"/>
      <c r="CV236" s="1981"/>
      <c r="CW236" s="2027"/>
      <c r="CX236" s="2027"/>
      <c r="CY236" s="2027"/>
      <c r="CZ236" s="168"/>
      <c r="DA236" s="2027"/>
      <c r="DB236" s="2028"/>
      <c r="DC236" s="1981"/>
      <c r="DD236" s="1981"/>
      <c r="DE236" s="1981"/>
      <c r="DF236" s="1981"/>
      <c r="DG236" s="1981"/>
      <c r="DH236" s="2366"/>
      <c r="DI236" s="2606"/>
      <c r="DJ236" s="1981"/>
      <c r="DK236" s="168"/>
      <c r="DL236" s="361"/>
      <c r="DM236" s="2028"/>
      <c r="DN236" s="1981"/>
      <c r="DO236" s="168"/>
      <c r="DP236" s="361"/>
      <c r="DQ236" s="2028"/>
      <c r="DR236" s="1981"/>
      <c r="DS236" s="168"/>
      <c r="DT236" s="361"/>
      <c r="DU236" s="2028"/>
      <c r="DV236" s="1981"/>
      <c r="DW236" s="168"/>
      <c r="DX236" s="2027"/>
      <c r="DY236" s="2028"/>
      <c r="DZ236" s="1981"/>
      <c r="EA236" s="1981"/>
      <c r="EB236" s="361"/>
      <c r="EC236" s="168"/>
      <c r="ED236" s="168"/>
      <c r="EE236" s="168"/>
      <c r="EG236" s="361"/>
      <c r="EH236" s="2028"/>
      <c r="EI236" s="361"/>
      <c r="EJ236" s="2028"/>
    </row>
    <row r="237" spans="1:140">
      <c r="A237" s="24" t="str">
        <f>qtrSales!A208</f>
        <v>1Q</v>
      </c>
      <c r="B237" s="24" t="str">
        <f>qtrSales!B208</f>
        <v>Apr</v>
      </c>
      <c r="C237" s="24"/>
      <c r="D237" s="24"/>
      <c r="E237" s="2598">
        <v>1246.5</v>
      </c>
      <c r="F237" s="2385">
        <f>segmthSales!DO14</f>
        <v>-12</v>
      </c>
      <c r="G237" s="1980">
        <f>+(E237/E230-1)*100</f>
        <v>-9.7523892267593393</v>
      </c>
      <c r="H237" s="1981">
        <f>+E237/$BI237*100</f>
        <v>51.160940868787897</v>
      </c>
      <c r="I237" s="1981"/>
      <c r="J237" s="1981"/>
      <c r="K237" s="2598">
        <v>286.5</v>
      </c>
      <c r="L237" s="1980">
        <f>(K237/K230-1)*100</f>
        <v>-20.350291909924934</v>
      </c>
      <c r="M237" s="1981">
        <f>+K237/BI237*100</f>
        <v>11.759012883199143</v>
      </c>
      <c r="Q237" s="24"/>
      <c r="R237" s="2598">
        <v>1533.049</v>
      </c>
      <c r="S237" s="1980">
        <f>+(R237/R230-1)*100</f>
        <v>-11.937513822151635</v>
      </c>
      <c r="T237" s="2385">
        <f>segmthSales!DP14</f>
        <v>-14</v>
      </c>
      <c r="U237" s="1981">
        <f>+R237/$BI237*100</f>
        <v>62.921964892061297</v>
      </c>
      <c r="V237" s="24"/>
      <c r="W237" s="2598">
        <f>588.4+89.6</f>
        <v>678</v>
      </c>
      <c r="X237" s="381"/>
      <c r="Y237" s="381"/>
      <c r="Z237" s="381"/>
      <c r="AA237" s="2385">
        <f>segmthSales!DI44</f>
        <v>5</v>
      </c>
      <c r="AB237" s="2385">
        <f>segmthSales!DP37</f>
        <v>2</v>
      </c>
      <c r="AC237" s="1980">
        <f>+(W237/W230-1)*100</f>
        <v>2.6896198666549465</v>
      </c>
      <c r="AD237" s="1981">
        <f>+W237/$BI237*100</f>
        <v>27.827611639822052</v>
      </c>
      <c r="AE237" s="1981"/>
      <c r="AF237" s="1981"/>
      <c r="AG237" s="2598">
        <v>103.307</v>
      </c>
      <c r="AH237" s="1980">
        <f>+(AG237/AG230-1)*100</f>
        <v>8.5066380976388523</v>
      </c>
      <c r="AI237" s="1981">
        <f>+AG237/$BI237*100</f>
        <v>4.2400989316741846</v>
      </c>
      <c r="AJ237" s="2145"/>
      <c r="AK237" s="2158"/>
      <c r="AM237" s="2158"/>
      <c r="AN237" s="2158"/>
      <c r="AQ237" s="2154"/>
      <c r="AR237" s="2150"/>
      <c r="AS237" s="2145"/>
      <c r="AT237" s="2158"/>
      <c r="AU237" s="2158"/>
      <c r="AV237" s="2158"/>
      <c r="AW237" s="2158"/>
      <c r="AX237" s="2158"/>
      <c r="AY237" s="2158"/>
      <c r="AZ237" s="2598">
        <v>43</v>
      </c>
      <c r="BA237" s="1980">
        <f>(AZ237/AZ230-1)*100</f>
        <v>-4.4444444444444393</v>
      </c>
      <c r="BB237" s="1981">
        <f>(AZ237/BI237)*100</f>
        <v>1.7648780243544961</v>
      </c>
      <c r="BC237" s="42">
        <f>BE237-AZ237</f>
        <v>79.122</v>
      </c>
      <c r="BD237" s="2138">
        <f>(BC237/BC230-1)*100</f>
        <v>9.1337931034482835</v>
      </c>
      <c r="BE237" s="2598">
        <v>122.122</v>
      </c>
      <c r="BF237" s="1980">
        <f>+(BE237/BE230-1)*100</f>
        <v>3.933617021276592</v>
      </c>
      <c r="BG237" s="1981">
        <f>+BE237/$BI237*100</f>
        <v>5.0123356765167388</v>
      </c>
      <c r="BH237" s="24"/>
      <c r="BI237" s="381">
        <f>+E237+K237+W237+AG237+BE237</f>
        <v>2436.4289999999996</v>
      </c>
      <c r="BJ237" s="2385">
        <f>'qtrP&amp;L'!DP10</f>
        <v>-9</v>
      </c>
      <c r="BK237" s="2889">
        <f>+(BI237/BI230-1)*100</f>
        <v>-6.7877269162347043</v>
      </c>
      <c r="BL237" s="266"/>
      <c r="BM237" s="1980"/>
      <c r="BN237" s="1981"/>
      <c r="BO237" s="266"/>
      <c r="BP237" s="1980"/>
      <c r="BQ237" s="1981"/>
      <c r="BR237" s="24"/>
      <c r="BS237" s="266"/>
      <c r="BT237" s="1980"/>
      <c r="BU237" s="1981"/>
      <c r="BV237" s="24"/>
      <c r="BW237" s="266"/>
      <c r="BX237" s="1980"/>
      <c r="BY237" s="24"/>
      <c r="BZ237" s="266"/>
      <c r="CA237" s="1980"/>
      <c r="CB237" s="1981"/>
      <c r="CC237" s="266"/>
      <c r="CD237" s="1980"/>
      <c r="CE237" s="1981"/>
      <c r="CF237" s="24"/>
      <c r="CG237" s="266"/>
      <c r="CH237" s="1980"/>
      <c r="CI237" s="1981"/>
      <c r="CJ237" s="24"/>
      <c r="CK237" s="266"/>
      <c r="CL237" s="1980"/>
      <c r="CM237" s="1981"/>
      <c r="CN237" s="24"/>
      <c r="CO237" s="24"/>
      <c r="CP237" s="1980"/>
      <c r="CQ237" s="1981"/>
      <c r="CR237" s="146" t="s">
        <v>119</v>
      </c>
      <c r="CS237" s="24" t="s">
        <v>830</v>
      </c>
      <c r="CT237" s="2598">
        <v>158.73500000000001</v>
      </c>
      <c r="CU237" s="2028">
        <f>+(CT237/CT230-1)*100</f>
        <v>-40.827707551284384</v>
      </c>
      <c r="CV237" s="1981">
        <f>+CT237/R237*100</f>
        <v>10.35420263801092</v>
      </c>
      <c r="CW237" s="381"/>
      <c r="CX237" s="381"/>
      <c r="CY237" s="381"/>
      <c r="CZ237" s="168"/>
      <c r="DA237" s="2598">
        <v>101.82899999999999</v>
      </c>
      <c r="DB237" s="2028">
        <f>+(DA237/DA230-1)*100</f>
        <v>-8.8240034382722765</v>
      </c>
      <c r="DC237" s="1981">
        <f>+DA237/W237*100</f>
        <v>15.019026548672565</v>
      </c>
      <c r="DD237" s="1998"/>
      <c r="DE237" s="1998"/>
      <c r="DF237" s="1998"/>
      <c r="DG237" s="1998"/>
      <c r="DH237" s="42">
        <v>-0.56599999999999995</v>
      </c>
      <c r="DI237" s="2028">
        <f>+(DH237/DH230-1)*100</f>
        <v>-104.33218522770761</v>
      </c>
      <c r="DJ237" s="1981">
        <f>+DH237/AG237*100</f>
        <v>-0.54788155691289064</v>
      </c>
      <c r="DK237" s="168"/>
      <c r="DL237" s="2023">
        <f>DL230</f>
        <v>-9</v>
      </c>
      <c r="DM237" s="2028">
        <f>+(DL237/DL230-1)*100</f>
        <v>0</v>
      </c>
      <c r="DN237" s="1981"/>
      <c r="DO237" s="168"/>
      <c r="DP237" s="1691">
        <f>DT237-DL237</f>
        <v>-41.805999999999997</v>
      </c>
      <c r="DQ237" s="2028">
        <f>+(DP237/DP230-1)*100</f>
        <v>60.323669274428582</v>
      </c>
      <c r="DR237" s="1981">
        <v>-7.5563434572060428</v>
      </c>
      <c r="DS237" s="168"/>
      <c r="DT237" s="1417">
        <v>-50.805999999999997</v>
      </c>
      <c r="DU237" s="2117" t="s">
        <v>886</v>
      </c>
      <c r="DV237" s="1981">
        <f>+DT237/BE237*100</f>
        <v>-41.602659635446521</v>
      </c>
      <c r="DW237" s="168"/>
      <c r="DX237" s="2027">
        <f>'qtrP&amp;L'!DN60</f>
        <v>209.19200000000012</v>
      </c>
      <c r="DY237" s="2028">
        <f>+(DX237/DX230-1)*100</f>
        <v>-41.555542517733734</v>
      </c>
      <c r="DZ237" s="1981">
        <f>(+DX237/BI237)*100</f>
        <v>8.5860084574596733</v>
      </c>
      <c r="EA237" s="1981"/>
      <c r="EB237" s="361">
        <f>DT237+DA237+DH237+CT237</f>
        <v>209.19200000000001</v>
      </c>
      <c r="EC237" s="24"/>
      <c r="ED237" s="24"/>
      <c r="EE237" s="24"/>
      <c r="EG237" s="361"/>
      <c r="EH237" s="2028"/>
      <c r="EI237" s="361"/>
      <c r="EJ237" s="2028"/>
    </row>
    <row r="238" spans="1:140" s="161" customFormat="1">
      <c r="A238" s="24" t="str">
        <f>qtrSales!A209</f>
        <v>2Q</v>
      </c>
      <c r="B238" s="24" t="str">
        <f>qtrSales!B209</f>
        <v>Jul</v>
      </c>
      <c r="C238" s="168"/>
      <c r="D238" s="168"/>
      <c r="E238" s="2693">
        <v>1351</v>
      </c>
      <c r="F238" s="2385">
        <f>segmthSales!DO19</f>
        <v>-11</v>
      </c>
      <c r="G238" s="2028">
        <f>+(E238/E231-1)*100</f>
        <v>-8.0389354026274553</v>
      </c>
      <c r="H238" s="1981">
        <f>+E238/$BI238*100</f>
        <v>49.037560738880984</v>
      </c>
      <c r="I238" s="1981"/>
      <c r="J238" s="1981"/>
      <c r="K238" s="2693">
        <v>295.3</v>
      </c>
      <c r="L238" s="1980">
        <f>(K238/K231-1)*100</f>
        <v>-25.859904594526739</v>
      </c>
      <c r="M238" s="1981">
        <f>+K238/BI238*100</f>
        <v>10.718572676677686</v>
      </c>
      <c r="Q238" s="168"/>
      <c r="R238" s="2693">
        <v>1646.288</v>
      </c>
      <c r="S238" s="2028">
        <f>+(R238/R231-1)*100</f>
        <v>-11.839642622092239</v>
      </c>
      <c r="T238" s="2385">
        <f>segmthSales!DP19</f>
        <v>-14</v>
      </c>
      <c r="U238" s="1981">
        <f>+R238/$BI238*100</f>
        <v>59.755697848771938</v>
      </c>
      <c r="V238" s="168"/>
      <c r="W238" s="2693">
        <f>753+107.337</f>
        <v>860.33699999999999</v>
      </c>
      <c r="X238" s="2159"/>
      <c r="Y238" s="2159"/>
      <c r="Z238" s="2159"/>
      <c r="AA238" s="2385">
        <f>segmthSales!DI49</f>
        <v>2</v>
      </c>
      <c r="AB238" s="2385">
        <f>segmthSales!DP42</f>
        <v>6</v>
      </c>
      <c r="AC238" s="2028">
        <f>+(W238/W231-1)*100</f>
        <v>7.3542550536561002</v>
      </c>
      <c r="AD238" s="1981">
        <f>+W238/$BI238*100</f>
        <v>31.227851882610398</v>
      </c>
      <c r="AE238" s="1981"/>
      <c r="AF238" s="1981"/>
      <c r="AG238" s="2693">
        <v>113.94</v>
      </c>
      <c r="AH238" s="2028">
        <f>+(AG238/AG231-1)*100</f>
        <v>14.272533071237303</v>
      </c>
      <c r="AI238" s="1981">
        <f>+AG238/$BI238*100</f>
        <v>4.1357066399615832</v>
      </c>
      <c r="AJ238" s="253"/>
      <c r="AK238" s="366"/>
      <c r="AL238" s="23"/>
      <c r="AM238" s="23"/>
      <c r="AN238" s="23"/>
      <c r="AO238" s="23"/>
      <c r="AP238" s="23"/>
      <c r="AQ238" s="23"/>
      <c r="AR238" s="23"/>
      <c r="AS238" s="253"/>
      <c r="AT238" s="366"/>
      <c r="AU238" s="366"/>
      <c r="AV238" s="366"/>
      <c r="AW238" s="366"/>
      <c r="AX238" s="366"/>
      <c r="AY238" s="366"/>
      <c r="AZ238" s="2693">
        <v>55</v>
      </c>
      <c r="BA238" s="1980">
        <f>(AZ238/AZ231-1)*100</f>
        <v>0</v>
      </c>
      <c r="BB238" s="1981">
        <f>(AZ238/BI238)*100</f>
        <v>1.9963477724933041</v>
      </c>
      <c r="BC238" s="226">
        <f>BE238-AZ238</f>
        <v>79.454000000000008</v>
      </c>
      <c r="BD238" s="2138">
        <f>(BC238/BC231-1)*100</f>
        <v>19.888944215593085</v>
      </c>
      <c r="BE238" s="2693">
        <v>134.45400000000001</v>
      </c>
      <c r="BF238" s="2028">
        <f>+(BE238/BE231-1)*100</f>
        <v>10.868866111995267</v>
      </c>
      <c r="BG238" s="1981">
        <f>+BE238/$BI238*100</f>
        <v>4.8803080618693588</v>
      </c>
      <c r="BH238" s="168"/>
      <c r="BI238" s="2027">
        <f>+E238+K238+W238+AG238+BE238</f>
        <v>2755.0309999999999</v>
      </c>
      <c r="BJ238" s="2385">
        <f>'qtrP&amp;L'!DP11</f>
        <v>-8</v>
      </c>
      <c r="BK238" s="2892">
        <f>+(BI238/BI231-1)*100</f>
        <v>-4.6630161029447841</v>
      </c>
      <c r="BL238" s="2027"/>
      <c r="BM238" s="2028"/>
      <c r="BN238" s="1981"/>
      <c r="BO238" s="2027"/>
      <c r="BP238" s="2028"/>
      <c r="BQ238" s="1981"/>
      <c r="BR238" s="168"/>
      <c r="BS238" s="2027"/>
      <c r="BT238" s="2028"/>
      <c r="BU238" s="1981"/>
      <c r="BV238" s="168"/>
      <c r="BW238" s="2027"/>
      <c r="BX238" s="2028"/>
      <c r="BY238" s="168"/>
      <c r="BZ238" s="1991"/>
      <c r="CA238" s="2028"/>
      <c r="CB238" s="1981"/>
      <c r="CC238" s="1991"/>
      <c r="CD238" s="2028"/>
      <c r="CE238" s="1981"/>
      <c r="CF238" s="168"/>
      <c r="CG238" s="1991"/>
      <c r="CH238" s="2028"/>
      <c r="CI238" s="1981"/>
      <c r="CJ238" s="168"/>
      <c r="CK238" s="1991"/>
      <c r="CL238" s="2028"/>
      <c r="CM238" s="1981"/>
      <c r="CN238" s="168"/>
      <c r="CO238" s="168"/>
      <c r="CP238" s="2028"/>
      <c r="CQ238" s="1981"/>
      <c r="CR238" s="146" t="s">
        <v>120</v>
      </c>
      <c r="CS238" s="24" t="s">
        <v>653</v>
      </c>
      <c r="CT238" s="2699">
        <v>183.1</v>
      </c>
      <c r="CU238" s="2028">
        <f>+(CT238/CT231-1)*100</f>
        <v>-34.757433768640098</v>
      </c>
      <c r="CV238" s="1981">
        <f>+CT238/R238*100</f>
        <v>11.121990805982913</v>
      </c>
      <c r="CW238" s="2027"/>
      <c r="CX238" s="2027"/>
      <c r="CY238" s="2027"/>
      <c r="CZ238" s="168"/>
      <c r="DA238" s="2699">
        <v>156.30000000000001</v>
      </c>
      <c r="DB238" s="2028">
        <f>+(DA238/DA231-1)*100</f>
        <v>5.3710233056703638</v>
      </c>
      <c r="DC238" s="1981">
        <f>+DA238/W238*100</f>
        <v>18.167299558196383</v>
      </c>
      <c r="DD238" s="1998"/>
      <c r="DE238" s="1998"/>
      <c r="DF238" s="1998"/>
      <c r="DG238" s="1998"/>
      <c r="DH238" s="2700">
        <v>1.7</v>
      </c>
      <c r="DI238" s="2028">
        <f>+(DH238/DH231-1)*100</f>
        <v>-77.658036535681433</v>
      </c>
      <c r="DJ238" s="1981">
        <f>+DH238/AG238*100</f>
        <v>1.4920133403545726</v>
      </c>
      <c r="DK238" s="168"/>
      <c r="DL238" s="1417">
        <v>-7</v>
      </c>
      <c r="DM238" s="2028">
        <f>+(DL238/DL231-1)*100</f>
        <v>39.999999999999993</v>
      </c>
      <c r="DN238" s="1981"/>
      <c r="DO238" s="168"/>
      <c r="DP238" s="1691">
        <f>DT238-DL238</f>
        <v>-33.200000000000003</v>
      </c>
      <c r="DQ238" s="2028">
        <f>+(DP238/DP231-1)*100</f>
        <v>42.056394677165734</v>
      </c>
      <c r="DR238" s="1981">
        <v>-10.655839784787988</v>
      </c>
      <c r="DS238" s="168"/>
      <c r="DT238" s="1417">
        <v>-40.200000000000003</v>
      </c>
      <c r="DU238" s="2117" t="s">
        <v>886</v>
      </c>
      <c r="DV238" s="1981">
        <f>+DT238/BE238*100</f>
        <v>-29.898701414610201</v>
      </c>
      <c r="DW238" s="168"/>
      <c r="DX238" s="2027">
        <f>'qtrP&amp;L'!DN61</f>
        <v>300.8950000000001</v>
      </c>
      <c r="DY238" s="2028">
        <f>+(DX238/DX231-1)*100</f>
        <v>-26.290248299919671</v>
      </c>
      <c r="DZ238" s="1981">
        <f>(+DX238/BI238)*100</f>
        <v>10.921655690988599</v>
      </c>
      <c r="EA238" s="1981"/>
      <c r="EB238" s="361">
        <f>DT238+DA238+DH238+CT238</f>
        <v>300.89999999999998</v>
      </c>
      <c r="EC238" s="168"/>
      <c r="ED238" s="168"/>
      <c r="EE238" s="168"/>
      <c r="EG238" s="361"/>
      <c r="EH238" s="2028"/>
      <c r="EI238" s="361"/>
      <c r="EJ238" s="2028"/>
    </row>
    <row r="239" spans="1:140" s="161" customFormat="1">
      <c r="A239" s="24" t="str">
        <f>qtrSales!A210</f>
        <v>3Q</v>
      </c>
      <c r="B239" s="24" t="str">
        <f>qtrSales!B210</f>
        <v>Oct</v>
      </c>
      <c r="C239" s="168"/>
      <c r="D239" s="168"/>
      <c r="E239" s="2693">
        <v>1243</v>
      </c>
      <c r="F239" s="2385">
        <f>segmthSales!DO24</f>
        <v>-5</v>
      </c>
      <c r="G239" s="2028">
        <f>+(E239/E232-1)*100</f>
        <v>-3.3361847733105243</v>
      </c>
      <c r="H239" s="1981">
        <f>+E239/$BI239*100</f>
        <v>47.483634763368762</v>
      </c>
      <c r="I239" s="1981"/>
      <c r="J239" s="1981"/>
      <c r="K239" s="2693">
        <v>295.89999999999998</v>
      </c>
      <c r="L239" s="1980">
        <f>(K239/K232-1)*100</f>
        <v>-0.77129443326626745</v>
      </c>
      <c r="M239" s="1981">
        <f>+K239/BI239*100</f>
        <v>11.303626328624953</v>
      </c>
      <c r="Q239" s="168"/>
      <c r="R239" s="2693">
        <v>1538.94</v>
      </c>
      <c r="S239" s="2028">
        <f>+(R239/R232-1)*100</f>
        <v>-2.8485609473865692</v>
      </c>
      <c r="T239" s="2385">
        <f>segmthSales!DP24</f>
        <v>-4</v>
      </c>
      <c r="U239" s="1981">
        <f>+R239/$BI239*100</f>
        <v>58.788789125292617</v>
      </c>
      <c r="V239" s="168"/>
      <c r="W239" s="2693">
        <v>815.79100000000005</v>
      </c>
      <c r="X239" s="2159"/>
      <c r="Y239" s="2159"/>
      <c r="Z239" s="2159"/>
      <c r="AA239" s="2385">
        <f>segmthSales!DI54</f>
        <v>0</v>
      </c>
      <c r="AB239" s="2385">
        <f>segmthSales!DP47</f>
        <v>4</v>
      </c>
      <c r="AC239" s="2028">
        <f>+(W239/W232-1)*100</f>
        <v>5.9229472820427675</v>
      </c>
      <c r="AD239" s="1981">
        <f>+W239/$BI239*100</f>
        <v>31.163895323606894</v>
      </c>
      <c r="AE239" s="1981"/>
      <c r="AF239" s="1981"/>
      <c r="AG239" s="2693">
        <v>114.9</v>
      </c>
      <c r="AH239" s="2028">
        <f>+(AG239/AG232-1)*100</f>
        <v>10.735247347269205</v>
      </c>
      <c r="AI239" s="1981">
        <f>+AG239/$BI239*100</f>
        <v>4.3892756510949882</v>
      </c>
      <c r="AJ239" s="253"/>
      <c r="AK239" s="366"/>
      <c r="AL239" s="23"/>
      <c r="AM239" s="23"/>
      <c r="AN239" s="23"/>
      <c r="AO239" s="23"/>
      <c r="AP239" s="23"/>
      <c r="AQ239" s="23"/>
      <c r="AR239" s="23"/>
      <c r="AS239" s="253"/>
      <c r="AT239" s="366"/>
      <c r="AU239" s="366"/>
      <c r="AV239" s="366"/>
      <c r="AW239" s="366"/>
      <c r="AX239" s="366"/>
      <c r="AY239" s="366"/>
      <c r="AZ239" s="2693">
        <v>55</v>
      </c>
      <c r="BA239" s="1980">
        <f>(AZ239/AZ232-1)*100</f>
        <v>14.583333333333325</v>
      </c>
      <c r="BB239" s="1981">
        <f>(AZ239/BI239)*100</f>
        <v>2.101045785989768</v>
      </c>
      <c r="BC239" s="226">
        <f>BE239-AZ239</f>
        <v>93.152999999999992</v>
      </c>
      <c r="BD239" s="2138">
        <f>(BC239/BC232-1)*100</f>
        <v>24.235472986489913</v>
      </c>
      <c r="BE239" s="2693">
        <v>148.15299999999999</v>
      </c>
      <c r="BF239" s="2028">
        <f>+(BE239/BE232-1)*100</f>
        <v>20.468202405249581</v>
      </c>
      <c r="BG239" s="1981">
        <f>+BE239/$BI239*100</f>
        <v>5.6595679333044018</v>
      </c>
      <c r="BH239" s="168"/>
      <c r="BI239" s="2027">
        <f>+E239+K239+W239+AG239+BE239</f>
        <v>2617.7440000000001</v>
      </c>
      <c r="BJ239" s="2385">
        <f>'qtrP&amp;L'!DP12</f>
        <v>-1</v>
      </c>
      <c r="BK239" s="2892">
        <f>+(BI239/BI232-1)*100</f>
        <v>1.4230055141076114</v>
      </c>
      <c r="BL239" s="2027"/>
      <c r="BM239" s="2028"/>
      <c r="BN239" s="1981"/>
      <c r="BO239" s="2027"/>
      <c r="BP239" s="2028"/>
      <c r="BQ239" s="1981"/>
      <c r="BR239" s="168"/>
      <c r="BS239" s="2027"/>
      <c r="BT239" s="2028"/>
      <c r="BU239" s="1981"/>
      <c r="BV239" s="168"/>
      <c r="BW239" s="2027"/>
      <c r="BX239" s="2028"/>
      <c r="BY239" s="168"/>
      <c r="BZ239" s="1991"/>
      <c r="CA239" s="2028"/>
      <c r="CB239" s="1981"/>
      <c r="CC239" s="1991"/>
      <c r="CD239" s="2028"/>
      <c r="CE239" s="1981"/>
      <c r="CF239" s="168"/>
      <c r="CG239" s="1991"/>
      <c r="CH239" s="2028"/>
      <c r="CI239" s="1981"/>
      <c r="CJ239" s="168"/>
      <c r="CK239" s="1991"/>
      <c r="CL239" s="2028"/>
      <c r="CM239" s="1981"/>
      <c r="CN239" s="168"/>
      <c r="CO239" s="168"/>
      <c r="CP239" s="2028"/>
      <c r="CQ239" s="1981"/>
      <c r="CR239" s="146" t="s">
        <v>1018</v>
      </c>
      <c r="CS239" s="24" t="s">
        <v>598</v>
      </c>
      <c r="CT239" s="2699">
        <v>134.09299999999999</v>
      </c>
      <c r="CU239" s="2028">
        <f>+(CT239/CT232-1)*100</f>
        <v>-18.178101584047258</v>
      </c>
      <c r="CV239" s="1981">
        <f>+CT239/R239*100</f>
        <v>8.7133351527674883</v>
      </c>
      <c r="CW239" s="2027"/>
      <c r="CX239" s="2027"/>
      <c r="CY239" s="2027"/>
      <c r="CZ239" s="168"/>
      <c r="DA239" s="2699">
        <v>137.52000000000001</v>
      </c>
      <c r="DB239" s="2028">
        <f>+(DA239/DA232-1)*100</f>
        <v>-5.4221341916315779</v>
      </c>
      <c r="DC239" s="1981">
        <f>+DA239/W239*100</f>
        <v>16.857258783193245</v>
      </c>
      <c r="DD239" s="1998"/>
      <c r="DE239" s="1998"/>
      <c r="DF239" s="1998"/>
      <c r="DG239" s="1998"/>
      <c r="DH239" s="2700">
        <v>-7.0000000000000007E-2</v>
      </c>
      <c r="DI239" s="2028">
        <f>+(DH239/DH232-1)*100</f>
        <v>-100.78793336334984</v>
      </c>
      <c r="DJ239" s="1981">
        <f>+DH239/AG239*100</f>
        <v>-6.0922541340295913E-2</v>
      </c>
      <c r="DK239" s="168"/>
      <c r="DL239" s="1417">
        <v>-7</v>
      </c>
      <c r="DM239" s="2028">
        <f>+(DL239/DL232-1)*100</f>
        <v>-22.222222222222221</v>
      </c>
      <c r="DN239" s="1981"/>
      <c r="DO239" s="168"/>
      <c r="DP239" s="1417">
        <f>DT239-DL239</f>
        <v>-32.880000000000003</v>
      </c>
      <c r="DQ239" s="2028">
        <f>+(DP239/DP232-1)*100</f>
        <v>28.4776492653946</v>
      </c>
      <c r="DR239" s="1981">
        <v>2.7017384488971894</v>
      </c>
      <c r="DS239" s="168"/>
      <c r="DT239" s="1417">
        <v>-39.880000000000003</v>
      </c>
      <c r="DU239" s="2117" t="s">
        <v>886</v>
      </c>
      <c r="DV239" s="1981">
        <f>+DT239/BE239*100</f>
        <v>-26.91811843162137</v>
      </c>
      <c r="DW239" s="168"/>
      <c r="DX239" s="2027">
        <f>'qtrP&amp;L'!DN62</f>
        <v>231.66300000000024</v>
      </c>
      <c r="DY239" s="2028">
        <f>+(DX239/DX232-1)*100</f>
        <v>-18.307708583115733</v>
      </c>
      <c r="DZ239" s="1981">
        <f>(+DX239/BI239)*100</f>
        <v>8.8497194530863297</v>
      </c>
      <c r="EA239" s="1981"/>
      <c r="EB239" s="361">
        <f>DT239+DA239+DH239+CT239</f>
        <v>231.66300000000001</v>
      </c>
      <c r="EC239" s="168"/>
      <c r="ED239" s="168"/>
      <c r="EE239" s="168"/>
      <c r="EG239" s="361"/>
      <c r="EH239" s="2028"/>
      <c r="EI239" s="361"/>
      <c r="EJ239" s="2028"/>
    </row>
    <row r="240" spans="1:140" s="161" customFormat="1">
      <c r="A240" s="24" t="str">
        <f>qtrSales!A211</f>
        <v>4Q</v>
      </c>
      <c r="B240" s="24" t="str">
        <f>qtrSales!B211</f>
        <v>Jan</v>
      </c>
      <c r="C240" s="168"/>
      <c r="D240" s="168"/>
      <c r="E240" s="2733">
        <v>2038.3</v>
      </c>
      <c r="F240" s="2385">
        <f>segmthSales!DO29</f>
        <v>-6</v>
      </c>
      <c r="G240" s="2028">
        <f>+(E240/E233-1)*100</f>
        <v>-1.1829155960634052</v>
      </c>
      <c r="H240" s="1981">
        <f>+E240/$BI240*100</f>
        <v>42.261201302067128</v>
      </c>
      <c r="I240" s="1981"/>
      <c r="J240" s="1981"/>
      <c r="K240" s="2733">
        <v>630.6</v>
      </c>
      <c r="L240" s="1980">
        <f>(K240/K233-1)*100</f>
        <v>19.863143888994482</v>
      </c>
      <c r="M240" s="1981">
        <f>+K240/BI240*100</f>
        <v>13.07457859053306</v>
      </c>
      <c r="Q240" s="168"/>
      <c r="R240" s="2733">
        <v>2668.9</v>
      </c>
      <c r="S240" s="2028">
        <f>+(R240/R233-1)*100</f>
        <v>3.0948144725975402</v>
      </c>
      <c r="T240" s="2385">
        <f>segmthSales!DP29</f>
        <v>-1</v>
      </c>
      <c r="U240" s="1981">
        <f>+R240/$BI240*100</f>
        <v>55.335779892600186</v>
      </c>
      <c r="V240" s="168"/>
      <c r="W240" s="2733">
        <f>1544.6+249.1</f>
        <v>1793.6999999999998</v>
      </c>
      <c r="X240" s="1096"/>
      <c r="Y240" s="1096"/>
      <c r="Z240" s="1096"/>
      <c r="AA240" s="2385">
        <f>segmthSales!DI59</f>
        <v>4</v>
      </c>
      <c r="AB240" s="2385">
        <f>segmthSales!DP52</f>
        <v>6</v>
      </c>
      <c r="AC240" s="2028">
        <f>+(W240/W233-1)*100</f>
        <v>10.729057349219095</v>
      </c>
      <c r="AD240" s="1981">
        <f>+W240/$BI240*100</f>
        <v>37.189774211606633</v>
      </c>
      <c r="AE240" s="1981"/>
      <c r="AF240" s="1981"/>
      <c r="AG240" s="2733">
        <v>170.3</v>
      </c>
      <c r="AH240" s="2028">
        <f>+(AG240/AG233-1)*100</f>
        <v>37.277820321631538</v>
      </c>
      <c r="AI240" s="1981">
        <f>+AG240/$BI240*100</f>
        <v>3.5309240944620681</v>
      </c>
      <c r="AJ240" s="253"/>
      <c r="AK240" s="366"/>
      <c r="AL240" s="23"/>
      <c r="AM240" s="23"/>
      <c r="AN240" s="23"/>
      <c r="AO240" s="23"/>
      <c r="AP240" s="23"/>
      <c r="AQ240" s="23"/>
      <c r="AR240" s="23"/>
      <c r="AS240" s="253"/>
      <c r="AT240" s="366"/>
      <c r="AU240" s="366"/>
      <c r="AV240" s="366"/>
      <c r="AW240" s="366"/>
      <c r="AX240" s="366"/>
      <c r="AY240" s="366"/>
      <c r="AZ240" s="2733">
        <v>75</v>
      </c>
      <c r="BA240" s="1980">
        <f>(AZ240/AZ233-1)*100</f>
        <v>10.294117647058831</v>
      </c>
      <c r="BB240" s="1981">
        <f>(AZ240/BI240)*100</f>
        <v>1.5550164831747215</v>
      </c>
      <c r="BC240" s="206">
        <f>BE240-AZ240</f>
        <v>115.19999999999999</v>
      </c>
      <c r="BD240" s="2138">
        <f>(BC240/BC233-1)*100</f>
        <v>29.818907132151562</v>
      </c>
      <c r="BE240" s="2733">
        <v>190.2</v>
      </c>
      <c r="BF240" s="2028">
        <f>+(BE240/BE233-1)*100</f>
        <v>21.34822858382406</v>
      </c>
      <c r="BG240" s="1981">
        <f>+BE240/$BI240*100</f>
        <v>3.9435218013310935</v>
      </c>
      <c r="BH240" s="168"/>
      <c r="BI240" s="2152">
        <f>+E240+K240+W240+AG240+BE240</f>
        <v>4823.1000000000004</v>
      </c>
      <c r="BJ240" s="2385">
        <f>'qtrP&amp;L'!DP13</f>
        <v>2</v>
      </c>
      <c r="BK240" s="2892">
        <f>+(BI240/BI233-1)*100</f>
        <v>7.4308151430874103</v>
      </c>
      <c r="BL240" s="2027"/>
      <c r="BM240" s="2028"/>
      <c r="BN240" s="1981"/>
      <c r="BO240" s="2027"/>
      <c r="BP240" s="2028"/>
      <c r="BQ240" s="1981"/>
      <c r="BR240" s="168"/>
      <c r="BS240" s="2027"/>
      <c r="BT240" s="2028"/>
      <c r="BU240" s="1981"/>
      <c r="BV240" s="168"/>
      <c r="BW240" s="2027"/>
      <c r="BX240" s="2028"/>
      <c r="BY240" s="168"/>
      <c r="BZ240" s="1991"/>
      <c r="CA240" s="2028"/>
      <c r="CB240" s="1981"/>
      <c r="CC240" s="1991"/>
      <c r="CD240" s="2028"/>
      <c r="CE240" s="1981"/>
      <c r="CF240" s="168"/>
      <c r="CG240" s="1991"/>
      <c r="CH240" s="2028"/>
      <c r="CI240" s="1981"/>
      <c r="CJ240" s="168"/>
      <c r="CK240" s="1991"/>
      <c r="CL240" s="2028"/>
      <c r="CM240" s="1981"/>
      <c r="CN240" s="168"/>
      <c r="CO240" s="168"/>
      <c r="CP240" s="2028"/>
      <c r="CQ240" s="1981"/>
      <c r="CR240" s="146" t="s">
        <v>1019</v>
      </c>
      <c r="CS240" s="24" t="s">
        <v>601</v>
      </c>
      <c r="CT240" s="2871">
        <v>456.46800000000002</v>
      </c>
      <c r="CU240" s="2028">
        <f>+(CT240/CT233-1)*100</f>
        <v>-7.5401109596449523</v>
      </c>
      <c r="CV240" s="1981">
        <f>+CT240/R240*100</f>
        <v>17.103226048184645</v>
      </c>
      <c r="CW240" s="1021"/>
      <c r="CX240" s="1021"/>
      <c r="CY240" s="1021"/>
      <c r="CZ240" s="168"/>
      <c r="DA240" s="2871">
        <v>556.81299999999999</v>
      </c>
      <c r="DB240" s="2028">
        <f>+(DA240/DA233-1)*100</f>
        <v>10.963796116756374</v>
      </c>
      <c r="DC240" s="1981">
        <f>+DA240/W240*100</f>
        <v>31.042705023136534</v>
      </c>
      <c r="DD240" s="1998"/>
      <c r="DE240" s="1998"/>
      <c r="DF240" s="1998"/>
      <c r="DG240" s="1998"/>
      <c r="DH240" s="2872">
        <v>3.976</v>
      </c>
      <c r="DI240" s="2028">
        <f>+(DH240/DH233-1)*100</f>
        <v>-61.539949700135423</v>
      </c>
      <c r="DJ240" s="1981">
        <f>+DH240/AG240*100</f>
        <v>2.3347034644744564</v>
      </c>
      <c r="DK240" s="168"/>
      <c r="DL240" s="1419">
        <v>-8</v>
      </c>
      <c r="DM240" s="2028">
        <f>+(DL240/DL233-1)*100</f>
        <v>0</v>
      </c>
      <c r="DN240" s="1981"/>
      <c r="DO240" s="168"/>
      <c r="DP240" s="1419">
        <f>DT240-DL240</f>
        <v>-22.617999999999999</v>
      </c>
      <c r="DQ240" s="2028">
        <f>+(DP240/DP233-1)*100</f>
        <v>120.10509926041526</v>
      </c>
      <c r="DR240" s="1981">
        <v>-1.0993244236704816</v>
      </c>
      <c r="DS240" s="168"/>
      <c r="DT240" s="1419">
        <v>-30.617999999999999</v>
      </c>
      <c r="DU240" s="2117" t="s">
        <v>886</v>
      </c>
      <c r="DV240" s="1981">
        <f>+DT240/BE240*100</f>
        <v>-16.097791798107256</v>
      </c>
      <c r="DW240" s="168"/>
      <c r="DX240" s="2152">
        <f>'qtrP&amp;L'!DN63</f>
        <v>986.6340000000007</v>
      </c>
      <c r="DY240" s="2028">
        <f>+(DX240/DX233-1)*100</f>
        <v>-9.2957130358650719E-2</v>
      </c>
      <c r="DZ240" s="1981">
        <f>(+DX240/BI240)*100</f>
        <v>20.456428438141458</v>
      </c>
      <c r="EA240" s="1981"/>
      <c r="EB240" s="361">
        <f>DT240+DA240+DH240+CT240</f>
        <v>986.6389999999999</v>
      </c>
      <c r="EC240" s="168"/>
      <c r="ED240" s="168"/>
      <c r="EE240" s="168"/>
      <c r="EG240" s="361"/>
      <c r="EH240" s="2028"/>
      <c r="EI240" s="361"/>
      <c r="EJ240" s="2028"/>
    </row>
    <row r="241" spans="1:140" s="161" customFormat="1">
      <c r="A241" s="24"/>
      <c r="B241" s="24" t="str">
        <f>qtrSales!B212</f>
        <v>Year</v>
      </c>
      <c r="C241" s="168"/>
      <c r="D241" s="168"/>
      <c r="E241" s="2027">
        <f>+SUM(E237:E240)</f>
        <v>5878.8</v>
      </c>
      <c r="F241" s="2385">
        <f>segmthSales!DO30</f>
        <v>-8</v>
      </c>
      <c r="G241" s="2028">
        <f>+(E241/E234-1)*100</f>
        <v>-5.163819387310653</v>
      </c>
      <c r="H241" s="1981">
        <f>+E241/$BI241*100</f>
        <v>46.537828728630977</v>
      </c>
      <c r="I241" s="1981"/>
      <c r="J241" s="1981"/>
      <c r="K241" s="2027">
        <f>+SUM(K237:K240)</f>
        <v>1508.3</v>
      </c>
      <c r="L241" s="1980">
        <f>(K241/K234-1)*100</f>
        <v>-4.6767363963850279</v>
      </c>
      <c r="M241" s="1981">
        <f>+K241/$BI241*100</f>
        <v>11.940022976014509</v>
      </c>
      <c r="N241" s="2027"/>
      <c r="O241" s="2117"/>
      <c r="P241" s="1981"/>
      <c r="Q241" s="168"/>
      <c r="R241" s="2027">
        <f>+SUM(R237:R240)</f>
        <v>7387.1769999999997</v>
      </c>
      <c r="S241" s="2028">
        <f>+(R241/R234-1)*100</f>
        <v>-5.0624276370569765</v>
      </c>
      <c r="T241" s="2385">
        <f>segmthSales!DP30</f>
        <v>-8</v>
      </c>
      <c r="U241" s="1981">
        <f>+R241/$BI241*100</f>
        <v>58.478461252990741</v>
      </c>
      <c r="V241" s="168"/>
      <c r="W241" s="2027">
        <f>+SUM(W237:W240)</f>
        <v>4147.8279999999995</v>
      </c>
      <c r="X241" s="2027"/>
      <c r="Y241" s="2027"/>
      <c r="Z241" s="2027"/>
      <c r="AA241" s="2385">
        <f>segmthSales!DI60</f>
        <v>0</v>
      </c>
      <c r="AB241" s="2385">
        <f>segmthSales!DP53</f>
        <v>5</v>
      </c>
      <c r="AC241" s="2028">
        <f>+(W241/W234-1)*100</f>
        <v>7.6877942195115123</v>
      </c>
      <c r="AD241" s="1981">
        <f>+W241/$BI241*100</f>
        <v>32.835086932676724</v>
      </c>
      <c r="AE241" s="1981"/>
      <c r="AF241" s="1981"/>
      <c r="AG241" s="2027">
        <f>SUM(AG237:AG240)</f>
        <v>502.44700000000006</v>
      </c>
      <c r="AH241" s="2028">
        <f>+(AG241/AG234-1)*100</f>
        <v>18.856819789323296</v>
      </c>
      <c r="AI241" s="1981">
        <f>+AG241/$BI241*100</f>
        <v>3.9774771094805832</v>
      </c>
      <c r="AJ241" s="253"/>
      <c r="AK241" s="366"/>
      <c r="AL241" s="23"/>
      <c r="AM241" s="366"/>
      <c r="AN241" s="366"/>
      <c r="AO241" s="23"/>
      <c r="AP241" s="23"/>
      <c r="AQ241" s="2138"/>
      <c r="AR241" s="2003"/>
      <c r="AS241" s="253"/>
      <c r="AT241" s="366"/>
      <c r="AU241" s="366"/>
      <c r="AV241" s="366"/>
      <c r="AW241" s="366"/>
      <c r="AX241" s="366"/>
      <c r="AY241" s="366"/>
      <c r="AZ241" s="2027">
        <f>SUM(AZ237:AZ240)</f>
        <v>228</v>
      </c>
      <c r="BA241" s="1980">
        <f>(AZ241/AZ234-1)*100</f>
        <v>5.555555555555558</v>
      </c>
      <c r="BB241" s="1981">
        <f>(AZ241/BI241)*100</f>
        <v>1.8048963989467006</v>
      </c>
      <c r="BC241" s="2027">
        <f>SUM(BC237:BC240)</f>
        <v>366.92899999999997</v>
      </c>
      <c r="BD241" s="2156">
        <f>BC241/BC234-1</f>
        <v>0.21301649955536162</v>
      </c>
      <c r="BE241" s="2027">
        <f>SUM(BE237:BE240)</f>
        <v>594.92900000000009</v>
      </c>
      <c r="BF241" s="2028">
        <f>+(BE241/BE234-1)*100</f>
        <v>14.741954086168963</v>
      </c>
      <c r="BG241" s="1981">
        <f>+BE241/$BI241*100</f>
        <v>4.7095842531972005</v>
      </c>
      <c r="BH241" s="168"/>
      <c r="BI241" s="2027">
        <f>+E241+K241+W241+AG241+BE241</f>
        <v>12632.304</v>
      </c>
      <c r="BJ241" s="2385">
        <f>'qtrP&amp;L'!DP14</f>
        <v>-3</v>
      </c>
      <c r="BK241" s="2892">
        <f>+(BI241/BI234-1)*100</f>
        <v>0.46255243498918297</v>
      </c>
      <c r="BL241" s="2027"/>
      <c r="BM241" s="2028"/>
      <c r="BN241" s="1981"/>
      <c r="BO241" s="2027"/>
      <c r="BP241" s="2028"/>
      <c r="BQ241" s="1981"/>
      <c r="BR241" s="168"/>
      <c r="BS241" s="2027"/>
      <c r="BT241" s="2028"/>
      <c r="BU241" s="1981"/>
      <c r="BV241" s="168"/>
      <c r="BW241" s="2027"/>
      <c r="BX241" s="2028"/>
      <c r="BY241" s="168"/>
      <c r="BZ241" s="1991"/>
      <c r="CA241" s="2028"/>
      <c r="CB241" s="1981"/>
      <c r="CC241" s="1991"/>
      <c r="CD241" s="2028"/>
      <c r="CE241" s="1981"/>
      <c r="CF241" s="168"/>
      <c r="CG241" s="1991"/>
      <c r="CH241" s="2028"/>
      <c r="CI241" s="1981"/>
      <c r="CJ241" s="168"/>
      <c r="CK241" s="1991"/>
      <c r="CL241" s="2028"/>
      <c r="CM241" s="1981"/>
      <c r="CN241" s="168"/>
      <c r="CO241" s="168"/>
      <c r="CP241" s="2028"/>
      <c r="CQ241" s="1981"/>
      <c r="CR241" s="146"/>
      <c r="CS241" s="24" t="s">
        <v>1020</v>
      </c>
      <c r="CT241" s="2027">
        <f>+SUM(CT237:CT240)</f>
        <v>932.39599999999996</v>
      </c>
      <c r="CU241" s="2028">
        <f>+(CT241/CT234-1)*100</f>
        <v>-22.717722036235966</v>
      </c>
      <c r="CV241" s="1981">
        <f>+CT241/R241*100</f>
        <v>12.621817508907665</v>
      </c>
      <c r="CW241" s="2027"/>
      <c r="CX241" s="2027"/>
      <c r="CY241" s="2027"/>
      <c r="CZ241" s="168"/>
      <c r="DA241" s="2027">
        <f>+SUM(DA237:DA240)</f>
        <v>952.46199999999999</v>
      </c>
      <c r="DB241" s="2028">
        <f>+(DA241/DA234-1)*100</f>
        <v>4.9871144531964617</v>
      </c>
      <c r="DC241" s="1981">
        <f>+DA241/W241*100</f>
        <v>22.962909744569931</v>
      </c>
      <c r="DD241" s="1981"/>
      <c r="DE241" s="1981"/>
      <c r="DF241" s="1981"/>
      <c r="DG241" s="1981"/>
      <c r="DH241" s="1142">
        <f>SUM(DH237:DH240)</f>
        <v>5.04</v>
      </c>
      <c r="DI241" s="2028">
        <f>+(DH241/DH234-1)*100</f>
        <v>-87.367154601965112</v>
      </c>
      <c r="DJ241" s="1981">
        <f>+DH241/AG241*100</f>
        <v>1.0030908732662349</v>
      </c>
      <c r="DK241" s="168"/>
      <c r="DL241" s="361">
        <f>SUM(DL237:DL240)</f>
        <v>-31</v>
      </c>
      <c r="DM241" s="2028">
        <f>+(DL241/DL234-1)*100</f>
        <v>0</v>
      </c>
      <c r="DN241" s="1981"/>
      <c r="DO241" s="168"/>
      <c r="DP241" s="361">
        <f>DT241-DL241</f>
        <v>-130.50399999999999</v>
      </c>
      <c r="DQ241" s="2028">
        <f>+(DP241/DP234-1)*100</f>
        <v>52.967239055266191</v>
      </c>
      <c r="DR241" s="1981">
        <v>-3.4762012895405334</v>
      </c>
      <c r="DS241" s="168"/>
      <c r="DT241" s="361">
        <f>+SUM(DT237:DT240)</f>
        <v>-161.50399999999999</v>
      </c>
      <c r="DU241" s="2117" t="s">
        <v>886</v>
      </c>
      <c r="DV241" s="1981">
        <f>+DT241/BE241*100</f>
        <v>-27.146768774089004</v>
      </c>
      <c r="DW241" s="168"/>
      <c r="DX241" s="2027">
        <f>'qtrP&amp;L'!DN64</f>
        <v>1728.3840000000012</v>
      </c>
      <c r="DY241" s="2028">
        <f>+(DX241/DX234-1)*100</f>
        <v>-15.162218663012073</v>
      </c>
      <c r="DZ241" s="1981">
        <f>(+DX241/BI241)*100</f>
        <v>13.682254638583755</v>
      </c>
      <c r="EA241" s="1981"/>
      <c r="EB241" s="361">
        <f>DT241+DA241+DH241+CT241</f>
        <v>1728.3939999999998</v>
      </c>
      <c r="EC241" s="168"/>
      <c r="ED241" s="168"/>
      <c r="EE241" s="168"/>
      <c r="EG241" s="2027"/>
      <c r="EH241" s="2028"/>
      <c r="EI241" s="2027"/>
      <c r="EJ241" s="2028"/>
    </row>
    <row r="242" spans="1:140" ht="4.5" customHeight="1">
      <c r="A242" s="113"/>
      <c r="B242" s="24"/>
      <c r="C242" s="24"/>
      <c r="D242" s="24"/>
      <c r="E242" s="127"/>
      <c r="F242" s="164"/>
      <c r="G242" s="1980"/>
      <c r="H242" s="1981"/>
      <c r="I242" s="1981"/>
      <c r="J242" s="1981"/>
      <c r="K242" s="127"/>
      <c r="L242" s="2087"/>
      <c r="M242" s="1981"/>
      <c r="N242" s="2027"/>
      <c r="O242" s="2022"/>
      <c r="P242" s="1981"/>
      <c r="Q242" s="24"/>
      <c r="R242" s="266"/>
      <c r="S242" s="1980"/>
      <c r="T242" s="2028"/>
      <c r="U242" s="1981"/>
      <c r="V242" s="168"/>
      <c r="W242" s="292"/>
      <c r="X242" s="2027"/>
      <c r="Y242" s="2027"/>
      <c r="Z242" s="2027"/>
      <c r="AA242" s="164"/>
      <c r="AB242" s="164"/>
      <c r="AC242" s="2028"/>
      <c r="AD242" s="1981"/>
      <c r="AE242" s="1981"/>
      <c r="AF242" s="1981"/>
      <c r="AG242" s="1981"/>
      <c r="AH242" s="2028"/>
      <c r="AI242" s="24"/>
      <c r="AJ242" s="24"/>
      <c r="AK242" s="388"/>
      <c r="AL242" s="2134"/>
      <c r="AM242" s="388"/>
      <c r="AN242" s="388"/>
      <c r="AO242" s="2134"/>
      <c r="AP242" s="2134"/>
      <c r="AQ242" s="1980"/>
      <c r="AR242" s="1981"/>
      <c r="AS242" s="24"/>
      <c r="AT242" s="388"/>
      <c r="AU242" s="388"/>
      <c r="AV242" s="388"/>
      <c r="AW242" s="388"/>
      <c r="AX242" s="388"/>
      <c r="AY242" s="388"/>
      <c r="AZ242" s="388"/>
      <c r="BA242" s="388"/>
      <c r="BB242" s="388"/>
      <c r="BC242" s="266"/>
      <c r="BD242" s="1980"/>
      <c r="BE242" s="266"/>
      <c r="BF242" s="1980"/>
      <c r="BG242" s="1981"/>
      <c r="BH242" s="24"/>
      <c r="BI242" s="266"/>
      <c r="BJ242" s="164"/>
      <c r="BK242" s="2889"/>
      <c r="BL242" s="266"/>
      <c r="BM242" s="1980"/>
      <c r="BN242" s="1981"/>
      <c r="BO242" s="266"/>
      <c r="BP242" s="1980"/>
      <c r="BQ242" s="1981"/>
      <c r="BR242" s="24"/>
      <c r="BS242" s="266"/>
      <c r="BT242" s="1980"/>
      <c r="BU242" s="1981"/>
      <c r="BV242" s="24"/>
      <c r="BW242" s="266"/>
      <c r="BX242" s="1980"/>
      <c r="BY242" s="24"/>
      <c r="BZ242" s="389"/>
      <c r="CA242" s="1980"/>
      <c r="CB242" s="1981"/>
      <c r="CC242" s="389"/>
      <c r="CD242" s="1980"/>
      <c r="CE242" s="1981"/>
      <c r="CF242" s="24"/>
      <c r="CG242" s="389"/>
      <c r="CH242" s="1980"/>
      <c r="CI242" s="1981"/>
      <c r="CJ242" s="24"/>
      <c r="CK242" s="389"/>
      <c r="CL242" s="1980"/>
      <c r="CM242" s="1981"/>
      <c r="CN242" s="24"/>
      <c r="CO242" s="24"/>
      <c r="CP242" s="1980"/>
      <c r="CQ242" s="1981"/>
      <c r="CR242" s="2886"/>
      <c r="CS242" s="24"/>
      <c r="CT242" s="266"/>
      <c r="CU242" s="1980"/>
      <c r="CV242" s="2702"/>
      <c r="CW242" s="266"/>
      <c r="CX242" s="266"/>
      <c r="CY242" s="266"/>
      <c r="CZ242" s="24"/>
      <c r="DA242" s="428"/>
      <c r="DB242" s="1980"/>
      <c r="DC242" s="1981"/>
      <c r="DD242" s="1981"/>
      <c r="DE242" s="1981"/>
      <c r="DF242" s="1981"/>
      <c r="DG242" s="1981"/>
      <c r="DH242" s="2702"/>
      <c r="DI242" s="2135"/>
      <c r="DJ242" s="1981"/>
      <c r="DK242" s="24"/>
      <c r="DL242" s="266"/>
      <c r="DM242" s="1980"/>
      <c r="DN242" s="1981"/>
      <c r="DO242" s="24"/>
      <c r="DP242" s="266"/>
      <c r="DQ242" s="1980"/>
      <c r="DR242" s="1981"/>
      <c r="DS242" s="24"/>
      <c r="DU242" s="1980"/>
      <c r="DV242" s="1981"/>
      <c r="DW242" s="24"/>
      <c r="DX242" s="266"/>
      <c r="DY242" s="1980"/>
      <c r="DZ242" s="1981"/>
      <c r="EA242" s="1981"/>
      <c r="EB242" s="24"/>
      <c r="EC242" s="24"/>
      <c r="ED242" s="24"/>
      <c r="EE242" s="24"/>
      <c r="EG242" s="266"/>
      <c r="EH242" s="1980"/>
      <c r="EI242" s="266"/>
      <c r="EJ242" s="1980"/>
    </row>
    <row r="243" spans="1:140" s="161" customFormat="1">
      <c r="A243" s="224"/>
      <c r="B243" s="1147">
        <f>qtrSales!B214</f>
        <v>2018</v>
      </c>
      <c r="C243" s="168"/>
      <c r="D243" s="168"/>
      <c r="E243" s="1142"/>
      <c r="F243" s="1142"/>
      <c r="G243" s="2028"/>
      <c r="H243" s="1981"/>
      <c r="I243" s="1981"/>
      <c r="J243" s="1981"/>
      <c r="K243" s="2607"/>
      <c r="L243" s="2370"/>
      <c r="M243" s="1981"/>
      <c r="Q243" s="168"/>
      <c r="R243" s="960"/>
      <c r="S243" s="2027"/>
      <c r="T243" s="2028"/>
      <c r="U243" s="1981"/>
      <c r="V243" s="168"/>
      <c r="W243" s="2911"/>
      <c r="X243" s="2027"/>
      <c r="Y243" s="2027"/>
      <c r="Z243" s="2027"/>
      <c r="AA243" s="1142"/>
      <c r="AB243" s="650"/>
      <c r="AC243" s="2037"/>
      <c r="AD243" s="1981"/>
      <c r="AE243" s="1981"/>
      <c r="AF243" s="1981"/>
      <c r="AG243" s="2039"/>
      <c r="AH243" s="1981"/>
      <c r="AI243" s="750"/>
      <c r="AJ243" s="168"/>
      <c r="AK243" s="2025"/>
      <c r="AL243" s="2114"/>
      <c r="AM243" s="2115"/>
      <c r="AN243" s="2115"/>
      <c r="AO243" s="2114"/>
      <c r="AP243" s="2114"/>
      <c r="AQ243" s="2116"/>
      <c r="AR243" s="1691"/>
      <c r="AS243" s="168"/>
      <c r="AT243" s="2025"/>
      <c r="AU243" s="2025"/>
      <c r="AV243" s="2025"/>
      <c r="AW243" s="2025"/>
      <c r="AX243" s="2025"/>
      <c r="AY243" s="2025"/>
      <c r="AZ243" s="2027"/>
      <c r="BA243" s="2117"/>
      <c r="BB243" s="1981"/>
      <c r="BC243" s="2027"/>
      <c r="BD243" s="2028"/>
      <c r="BE243" s="2027"/>
      <c r="BF243" s="2028"/>
      <c r="BG243" s="1981"/>
      <c r="BH243" s="168"/>
      <c r="BI243" s="2027"/>
      <c r="BJ243" s="1142"/>
      <c r="BK243" s="2892"/>
      <c r="BL243" s="2027"/>
      <c r="BM243" s="2028"/>
      <c r="BN243" s="1981"/>
      <c r="BO243" s="2027"/>
      <c r="BP243" s="2028"/>
      <c r="BQ243" s="1981"/>
      <c r="BR243" s="168"/>
      <c r="BS243" s="2027"/>
      <c r="BT243" s="2028"/>
      <c r="BU243" s="1981"/>
      <c r="BV243" s="168"/>
      <c r="BW243" s="2027"/>
      <c r="BX243" s="2028"/>
      <c r="BY243" s="168"/>
      <c r="BZ243" s="1991"/>
      <c r="CA243" s="2028"/>
      <c r="CB243" s="1981"/>
      <c r="CC243" s="1991"/>
      <c r="CD243" s="2028"/>
      <c r="CE243" s="1981"/>
      <c r="CF243" s="168"/>
      <c r="CG243" s="1991"/>
      <c r="CH243" s="2028"/>
      <c r="CI243" s="1981"/>
      <c r="CJ243" s="168"/>
      <c r="CK243" s="1991"/>
      <c r="CL243" s="2028"/>
      <c r="CM243" s="1981"/>
      <c r="CN243" s="168"/>
      <c r="CO243" s="168"/>
      <c r="CP243" s="2028"/>
      <c r="CQ243" s="1981"/>
      <c r="CR243" s="2887"/>
      <c r="CS243" s="1147">
        <v>2018</v>
      </c>
      <c r="CT243" s="963"/>
      <c r="CU243" s="2028"/>
      <c r="CV243" s="1981"/>
      <c r="CW243" s="2027"/>
      <c r="CX243" s="2027"/>
      <c r="CY243" s="2027"/>
      <c r="CZ243" s="168"/>
      <c r="DA243" s="2027"/>
      <c r="DB243" s="2028"/>
      <c r="DC243" s="1981"/>
      <c r="DD243" s="1981"/>
      <c r="DE243" s="1981"/>
      <c r="DF243" s="1981"/>
      <c r="DG243" s="1981"/>
      <c r="DH243" s="2366"/>
      <c r="DI243" s="2606"/>
      <c r="DJ243" s="1981"/>
      <c r="DK243" s="168"/>
      <c r="DL243" s="361"/>
      <c r="DM243" s="2028"/>
      <c r="DN243" s="1981"/>
      <c r="DO243" s="168"/>
      <c r="DP243" s="361"/>
      <c r="DQ243" s="2028"/>
      <c r="DR243" s="1981"/>
      <c r="DS243" s="168"/>
      <c r="DT243" s="361"/>
      <c r="DU243" s="2028"/>
      <c r="DV243" s="1981"/>
      <c r="DW243" s="168"/>
      <c r="DX243" s="2027"/>
      <c r="DY243" s="2028"/>
      <c r="DZ243" s="1981"/>
      <c r="EA243" s="1981"/>
      <c r="EB243" s="361"/>
      <c r="EC243" s="168"/>
      <c r="ED243" s="168"/>
      <c r="EE243" s="168"/>
      <c r="EG243" s="361"/>
      <c r="EH243" s="2028"/>
      <c r="EI243" s="361"/>
      <c r="EJ243" s="2028"/>
    </row>
    <row r="244" spans="1:140">
      <c r="A244" s="24" t="str">
        <f>qtrSales!A215</f>
        <v>1Q</v>
      </c>
      <c r="B244" s="24" t="str">
        <f>qtrSales!B215</f>
        <v>Apr</v>
      </c>
      <c r="C244" s="24"/>
      <c r="D244" s="24"/>
      <c r="E244" s="381">
        <f>segqtrSales!S194</f>
        <v>1251.1743749999998</v>
      </c>
      <c r="F244" s="2385">
        <f>segmthSales!DU14</f>
        <v>-4.625</v>
      </c>
      <c r="G244" s="1980">
        <f>+(E244/E237-1)*100</f>
        <v>0.37499999999999201</v>
      </c>
      <c r="H244" s="1981">
        <f>+E244/$BI244*100</f>
        <v>48.044038210776471</v>
      </c>
      <c r="I244" s="1981"/>
      <c r="J244" s="1981"/>
      <c r="K244" s="1096">
        <f t="shared" ref="K244:K245" si="8">+K237*(1+L244/100)</f>
        <v>337.65786386410042</v>
      </c>
      <c r="L244" s="2028">
        <f>segmthSales!DU83</f>
        <v>17.856147945584794</v>
      </c>
      <c r="M244" s="1981">
        <f>+K244/BI244*100</f>
        <v>12.965776503899388</v>
      </c>
      <c r="Q244" s="24"/>
      <c r="R244" s="381">
        <f t="shared" ref="R244:R245" si="9">+E244+K244</f>
        <v>1588.8322388641002</v>
      </c>
      <c r="S244" s="1980">
        <f>+(R244/R237-1)*100</f>
        <v>3.6387120610039458</v>
      </c>
      <c r="T244" s="2385">
        <f>segmthSales!DV14</f>
        <v>-0.1287704108830412</v>
      </c>
      <c r="U244" s="1981">
        <f>+R244/$BI244*100</f>
        <v>61.009814714675848</v>
      </c>
      <c r="V244" s="24"/>
      <c r="W244" s="381">
        <f>segqtrSales!S377</f>
        <v>747.05752393705563</v>
      </c>
      <c r="X244" s="381"/>
      <c r="Y244" s="381"/>
      <c r="Z244" s="381"/>
      <c r="AA244" s="2385">
        <f>segmthSales!DI51</f>
        <v>11</v>
      </c>
      <c r="AB244" s="2385">
        <f>segmthSales!DV37</f>
        <v>6.6854755069403504</v>
      </c>
      <c r="AC244" s="1980">
        <f>+(W244/W237-1)*100</f>
        <v>10.185475506940357</v>
      </c>
      <c r="AD244" s="1981">
        <f>+W244/$BI244*100</f>
        <v>28.686377329043331</v>
      </c>
      <c r="AE244" s="1981"/>
      <c r="AF244" s="1981"/>
      <c r="AG244" s="381">
        <f>segqtrSales!S492</f>
        <v>144.62979999999999</v>
      </c>
      <c r="AH244" s="1980">
        <f>+(AG244/AG237-1)*100</f>
        <v>39.999999999999993</v>
      </c>
      <c r="AI244" s="1981">
        <f>+AG244/$BI244*100</f>
        <v>5.553662044602663</v>
      </c>
      <c r="AJ244" s="2145"/>
      <c r="AK244" s="2158"/>
      <c r="AM244" s="2158"/>
      <c r="AN244" s="2158"/>
      <c r="AQ244" s="2154"/>
      <c r="AR244" s="2150"/>
      <c r="AS244" s="2145"/>
      <c r="AT244" s="2158"/>
      <c r="AU244" s="2158"/>
      <c r="AV244" s="2158"/>
      <c r="AW244" s="2158"/>
      <c r="AX244" s="2158"/>
      <c r="AY244" s="2158"/>
      <c r="AZ244" s="1096">
        <f t="shared" ref="AZ244:AZ245" si="10">AZ237*(1+BA244)</f>
        <v>43</v>
      </c>
      <c r="BA244" s="2151">
        <v>0</v>
      </c>
      <c r="BB244" s="1981">
        <f>(AZ244/BI244)*100</f>
        <v>1.6511636462051009</v>
      </c>
      <c r="BC244" s="226">
        <f t="shared" ref="BC244:BC245" si="11">BC237*(1+BD244)</f>
        <v>80.704440000000005</v>
      </c>
      <c r="BD244" s="2151">
        <v>0.02</v>
      </c>
      <c r="BE244" s="381">
        <f t="shared" ref="BE244:BE245" si="12">BC244+AZ244</f>
        <v>123.70444000000001</v>
      </c>
      <c r="BF244" s="1980">
        <f>+(BE244/BE237-1)*100</f>
        <v>1.295786181032077</v>
      </c>
      <c r="BG244" s="1981">
        <f>+BE244/$BI244*100</f>
        <v>4.7501459116781426</v>
      </c>
      <c r="BH244" s="24"/>
      <c r="BI244" s="381">
        <f>+E244+K244+W244+AG244+BE244</f>
        <v>2604.2240028011561</v>
      </c>
      <c r="BJ244" s="2385">
        <f>'qtrP&amp;L'!DT10</f>
        <v>2.3243581195333798</v>
      </c>
      <c r="BK244" s="2889">
        <f>+(BI244/BI237-1)*100</f>
        <v>6.8869235590758526</v>
      </c>
      <c r="BL244" s="266"/>
      <c r="BM244" s="1980"/>
      <c r="BN244" s="1981"/>
      <c r="BO244" s="266"/>
      <c r="BP244" s="1980"/>
      <c r="BQ244" s="1981"/>
      <c r="BR244" s="24"/>
      <c r="BS244" s="266"/>
      <c r="BT244" s="1980"/>
      <c r="BU244" s="1981"/>
      <c r="BV244" s="24"/>
      <c r="BW244" s="266"/>
      <c r="BX244" s="1980"/>
      <c r="BY244" s="24"/>
      <c r="BZ244" s="266"/>
      <c r="CA244" s="1980"/>
      <c r="CB244" s="1981"/>
      <c r="CC244" s="266"/>
      <c r="CD244" s="1980"/>
      <c r="CE244" s="1981"/>
      <c r="CF244" s="24"/>
      <c r="CG244" s="266"/>
      <c r="CH244" s="1980"/>
      <c r="CI244" s="1981"/>
      <c r="CJ244" s="24"/>
      <c r="CK244" s="266"/>
      <c r="CL244" s="1980"/>
      <c r="CM244" s="1981"/>
      <c r="CN244" s="24"/>
      <c r="CO244" s="24"/>
      <c r="CP244" s="1980"/>
      <c r="CQ244" s="1981"/>
      <c r="CR244" s="146" t="s">
        <v>119</v>
      </c>
      <c r="CS244" s="24" t="s">
        <v>830</v>
      </c>
      <c r="CT244" s="2027">
        <f t="shared" ref="CT244:CT245" si="13">+CV244/100*R244</f>
        <v>158.88322388641004</v>
      </c>
      <c r="CU244" s="2028">
        <f t="shared" ref="CU244:CU245" si="14">+(CT244/CT237-1)*100</f>
        <v>9.3378200403204659E-2</v>
      </c>
      <c r="CV244" s="1998">
        <v>10</v>
      </c>
      <c r="CW244" s="381"/>
      <c r="CX244" s="381"/>
      <c r="CY244" s="381"/>
      <c r="CZ244" s="168"/>
      <c r="DA244" s="2027">
        <f t="shared" ref="DA244:DA245" si="15">+DC244/100*W244</f>
        <v>110.56451354268425</v>
      </c>
      <c r="DB244" s="2028">
        <f>+(DA244/DA237-1)*100</f>
        <v>8.5786107520296362</v>
      </c>
      <c r="DC244" s="1998">
        <v>14.8</v>
      </c>
      <c r="DD244" s="1998"/>
      <c r="DE244" s="1998"/>
      <c r="DF244" s="1998"/>
      <c r="DG244" s="1998"/>
      <c r="DH244" s="1142">
        <f>DH237</f>
        <v>-0.56599999999999995</v>
      </c>
      <c r="DI244" s="2028">
        <f>+(DH244/DH237-1)*100</f>
        <v>0</v>
      </c>
      <c r="DJ244" s="1981">
        <f>+DH244/AG244*100</f>
        <v>-0.39134396922349335</v>
      </c>
      <c r="DK244" s="168"/>
      <c r="DL244" s="2023">
        <f>DL237</f>
        <v>-9</v>
      </c>
      <c r="DM244" s="2028">
        <f>+(DL244/DL237-1)*100</f>
        <v>0</v>
      </c>
      <c r="DN244" s="1981"/>
      <c r="DO244" s="168"/>
      <c r="DP244" s="1691">
        <f>DT244-DL244</f>
        <v>-94.51351325122117</v>
      </c>
      <c r="DQ244" s="2028">
        <f>+(DP244/DP237-1)*100</f>
        <v>126.07643221360854</v>
      </c>
      <c r="DR244" s="1981">
        <v>-7.5563434572060428</v>
      </c>
      <c r="DS244" s="168"/>
      <c r="DT244" s="1417">
        <f t="shared" ref="DT244:DT245" si="16">+DX244-DA244-CT244-DH244</f>
        <v>-103.51351325122117</v>
      </c>
      <c r="DU244" s="2117" t="s">
        <v>886</v>
      </c>
      <c r="DV244" s="1981">
        <f>+DT244/BE244*100</f>
        <v>-83.678090496364703</v>
      </c>
      <c r="DW244" s="168"/>
      <c r="DX244" s="2027">
        <f>'qtrP&amp;L'!DR60</f>
        <v>165.36822417787312</v>
      </c>
      <c r="DY244" s="2028">
        <f>+(DX244/DX237-1)*100</f>
        <v>-20.949068713013396</v>
      </c>
      <c r="DZ244" s="1981">
        <f>(+DX244/BI244)*100</f>
        <v>6.349999999999989</v>
      </c>
      <c r="EA244" s="1981"/>
      <c r="EB244" s="361">
        <f>DT244+DA244+DH244+CT244</f>
        <v>165.36822417787312</v>
      </c>
      <c r="EC244" s="24"/>
      <c r="ED244" s="24"/>
      <c r="EE244" s="24"/>
      <c r="EG244" s="361"/>
      <c r="EH244" s="2028"/>
      <c r="EI244" s="361"/>
      <c r="EJ244" s="2028"/>
    </row>
    <row r="245" spans="1:140" s="161" customFormat="1">
      <c r="A245" s="24" t="str">
        <f>qtrSales!A216</f>
        <v>2Q</v>
      </c>
      <c r="B245" s="24" t="str">
        <f>qtrSales!B216</f>
        <v>Jul</v>
      </c>
      <c r="C245" s="168"/>
      <c r="D245" s="168"/>
      <c r="E245" s="1096">
        <f>segqtrSales!S195</f>
        <v>1389.2333000000001</v>
      </c>
      <c r="F245" s="2385">
        <f>segmthSales!DU19</f>
        <v>-0.16999999999999998</v>
      </c>
      <c r="G245" s="2028">
        <f>+(E245/E238-1)*100</f>
        <v>2.8299999999999992</v>
      </c>
      <c r="H245" s="1981">
        <f>+E245/$BI245*100</f>
        <v>47.826956454102834</v>
      </c>
      <c r="I245" s="1981"/>
      <c r="J245" s="1981"/>
      <c r="K245" s="1096">
        <f t="shared" si="8"/>
        <v>324.83000000000004</v>
      </c>
      <c r="L245" s="2028">
        <f>segmthSales!DU88</f>
        <v>10</v>
      </c>
      <c r="M245" s="1981">
        <f>+K245/BI245*100</f>
        <v>11.182880704764438</v>
      </c>
      <c r="Q245" s="168"/>
      <c r="R245" s="1096">
        <f t="shared" si="9"/>
        <v>1714.0633000000003</v>
      </c>
      <c r="S245" s="2028">
        <f>+(R245/R238-1)*100</f>
        <v>4.1168556170001924</v>
      </c>
      <c r="T245" s="2385">
        <f>segmthSales!DV19</f>
        <v>1.8640000000000001</v>
      </c>
      <c r="U245" s="1981">
        <f>+R245/$BI245*100</f>
        <v>59.009837158867285</v>
      </c>
      <c r="V245" s="168"/>
      <c r="W245" s="1096">
        <f>segqtrSales!S378</f>
        <v>895.08534760373811</v>
      </c>
      <c r="X245" s="2159"/>
      <c r="Y245" s="2159"/>
      <c r="Z245" s="2159"/>
      <c r="AA245" s="2385">
        <f>segmthSales!DI56</f>
        <v>0</v>
      </c>
      <c r="AB245" s="2385">
        <f>segmthSales!DV42</f>
        <v>2.538922841135284</v>
      </c>
      <c r="AC245" s="2028">
        <f>+(W245/W238-1)*100</f>
        <v>4.0389228411352951</v>
      </c>
      <c r="AD245" s="1981">
        <f>+W245/$BI245*100</f>
        <v>30.814988341086757</v>
      </c>
      <c r="AE245" s="1981"/>
      <c r="AF245" s="1981"/>
      <c r="AG245" s="1096">
        <f>segqtrSales!S493</f>
        <v>159.51599999999999</v>
      </c>
      <c r="AH245" s="2028">
        <f>+(AG245/AG238-1)*100</f>
        <v>39.999999999999993</v>
      </c>
      <c r="AI245" s="1981">
        <f>+AG245/$BI245*100</f>
        <v>5.4916368515876108</v>
      </c>
      <c r="AJ245" s="253"/>
      <c r="AK245" s="366"/>
      <c r="AL245" s="23"/>
      <c r="AM245" s="23"/>
      <c r="AN245" s="23"/>
      <c r="AO245" s="23"/>
      <c r="AP245" s="23"/>
      <c r="AQ245" s="23"/>
      <c r="AR245" s="23"/>
      <c r="AS245" s="253"/>
      <c r="AT245" s="366"/>
      <c r="AU245" s="366"/>
      <c r="AV245" s="366"/>
      <c r="AW245" s="366"/>
      <c r="AX245" s="366"/>
      <c r="AY245" s="366"/>
      <c r="AZ245" s="1096">
        <f t="shared" si="10"/>
        <v>55</v>
      </c>
      <c r="BA245" s="2151">
        <v>0</v>
      </c>
      <c r="BB245" s="1981">
        <f>(AZ245/BI245)*100</f>
        <v>1.8934779384971956</v>
      </c>
      <c r="BC245" s="226">
        <f t="shared" si="11"/>
        <v>81.043080000000003</v>
      </c>
      <c r="BD245" s="2151">
        <v>0.02</v>
      </c>
      <c r="BE245" s="1096">
        <f t="shared" si="12"/>
        <v>136.04308</v>
      </c>
      <c r="BF245" s="2028">
        <f>+(BE245/BE238-1)*100</f>
        <v>1.1818763294509704</v>
      </c>
      <c r="BG245" s="1981">
        <f>+BE245/$BI245*100</f>
        <v>4.683537648458346</v>
      </c>
      <c r="BH245" s="168"/>
      <c r="BI245" s="2027">
        <f>+E245+K245+W245+AG245+BE245</f>
        <v>2904.7077276037385</v>
      </c>
      <c r="BJ245" s="2385">
        <f>'qtrP&amp;L'!DT11</f>
        <v>2.106972222808702</v>
      </c>
      <c r="BK245" s="2892">
        <f>+(BI245/BI238-1)*100</f>
        <v>5.4328509408329229</v>
      </c>
      <c r="BL245" s="2027"/>
      <c r="BM245" s="2028"/>
      <c r="BN245" s="1981"/>
      <c r="BO245" s="2027"/>
      <c r="BP245" s="2028"/>
      <c r="BQ245" s="1981"/>
      <c r="BR245" s="168"/>
      <c r="BS245" s="2027"/>
      <c r="BT245" s="2028"/>
      <c r="BU245" s="1981"/>
      <c r="BV245" s="168"/>
      <c r="BW245" s="2027"/>
      <c r="BX245" s="2028"/>
      <c r="BY245" s="168"/>
      <c r="BZ245" s="1991"/>
      <c r="CA245" s="2028"/>
      <c r="CB245" s="1981"/>
      <c r="CC245" s="1991"/>
      <c r="CD245" s="2028"/>
      <c r="CE245" s="1981"/>
      <c r="CF245" s="168"/>
      <c r="CG245" s="1991"/>
      <c r="CH245" s="2028"/>
      <c r="CI245" s="1981"/>
      <c r="CJ245" s="168"/>
      <c r="CK245" s="1991"/>
      <c r="CL245" s="2028"/>
      <c r="CM245" s="1981"/>
      <c r="CN245" s="168"/>
      <c r="CO245" s="168"/>
      <c r="CP245" s="2028"/>
      <c r="CQ245" s="1981"/>
      <c r="CR245" s="146" t="s">
        <v>120</v>
      </c>
      <c r="CS245" s="24" t="s">
        <v>653</v>
      </c>
      <c r="CT245" s="2027">
        <f t="shared" si="13"/>
        <v>183.40477310000003</v>
      </c>
      <c r="CU245" s="2028">
        <f t="shared" si="14"/>
        <v>0.16645172037139666</v>
      </c>
      <c r="CV245" s="1998">
        <v>10.7</v>
      </c>
      <c r="CW245" s="2027"/>
      <c r="CX245" s="2027"/>
      <c r="CY245" s="2027"/>
      <c r="CZ245" s="168"/>
      <c r="DA245" s="2027">
        <f t="shared" si="15"/>
        <v>157.53502117825792</v>
      </c>
      <c r="DB245" s="2028">
        <f>+(DA245/DA238-1)*100</f>
        <v>0.79016070266020311</v>
      </c>
      <c r="DC245" s="1998">
        <v>17.600000000000001</v>
      </c>
      <c r="DD245" s="1998"/>
      <c r="DE245" s="1998"/>
      <c r="DF245" s="1998"/>
      <c r="DG245" s="1998"/>
      <c r="DH245" s="1142">
        <f>DH238</f>
        <v>1.7</v>
      </c>
      <c r="DI245" s="2028">
        <f>+(DH245/DH238-1)*100</f>
        <v>0</v>
      </c>
      <c r="DJ245" s="1981">
        <f>+DH245/AG245*100</f>
        <v>1.0657238145389805</v>
      </c>
      <c r="DK245" s="168"/>
      <c r="DL245" s="1417">
        <v>-7</v>
      </c>
      <c r="DM245" s="2028">
        <f>+(DL245/DL238-1)*100</f>
        <v>0</v>
      </c>
      <c r="DN245" s="1981"/>
      <c r="DO245" s="168"/>
      <c r="DP245" s="1691">
        <f>DT245-DL245</f>
        <v>-49.526083109289672</v>
      </c>
      <c r="DQ245" s="2028">
        <f>+(DP245/DP238-1)*100</f>
        <v>49.174949124366464</v>
      </c>
      <c r="DR245" s="1981">
        <v>-10.655839784787988</v>
      </c>
      <c r="DS245" s="168"/>
      <c r="DT245" s="1417">
        <f t="shared" si="16"/>
        <v>-56.526083109289672</v>
      </c>
      <c r="DU245" s="2117" t="s">
        <v>886</v>
      </c>
      <c r="DV245" s="1981">
        <f>+DT245/BE245*100</f>
        <v>-41.550134787664078</v>
      </c>
      <c r="DW245" s="168"/>
      <c r="DX245" s="2027">
        <f>'qtrP&amp;L'!DR61</f>
        <v>286.11371116896828</v>
      </c>
      <c r="DY245" s="2028">
        <f>+(DX245/DX238-1)*100</f>
        <v>-4.9124408285388004</v>
      </c>
      <c r="DZ245" s="1981">
        <f>(+DX245/BI245)*100</f>
        <v>9.8500000000000014</v>
      </c>
      <c r="EA245" s="1981"/>
      <c r="EB245" s="361">
        <f>DT245+DA245+DH245+CT245</f>
        <v>286.11371116896828</v>
      </c>
      <c r="EC245" s="168"/>
      <c r="ED245" s="168"/>
      <c r="EE245" s="168"/>
      <c r="EG245" s="361"/>
      <c r="EH245" s="2028"/>
      <c r="EI245" s="361"/>
      <c r="EJ245" s="2028"/>
    </row>
    <row r="246" spans="1:140" s="161" customFormat="1">
      <c r="A246" s="24" t="str">
        <f>qtrSales!A217</f>
        <v>3Q</v>
      </c>
      <c r="B246" s="24" t="str">
        <f>qtrSales!B217</f>
        <v>Oct</v>
      </c>
      <c r="C246" s="168"/>
      <c r="D246" s="168"/>
      <c r="E246" s="1096">
        <f>segqtrSales!S196</f>
        <v>1280.29</v>
      </c>
      <c r="F246" s="2385">
        <f>segmthSales!DU24</f>
        <v>0</v>
      </c>
      <c r="G246" s="2028">
        <f>+(E246/E239-1)*100</f>
        <v>3.0000000000000027</v>
      </c>
      <c r="H246" s="1981">
        <f>+E246/$BI246*100</f>
        <v>46.221755763933736</v>
      </c>
      <c r="I246" s="1981"/>
      <c r="J246" s="1981"/>
      <c r="K246" s="1096">
        <f>+K239*(1+L246/100)</f>
        <v>325.49</v>
      </c>
      <c r="L246" s="2028">
        <f>segmthSales!DU93</f>
        <v>10</v>
      </c>
      <c r="M246" s="1981">
        <f>+K246/BI246*100</f>
        <v>11.751024598804015</v>
      </c>
      <c r="Q246" s="168"/>
      <c r="R246" s="1096">
        <f>+E246+K246</f>
        <v>1605.78</v>
      </c>
      <c r="S246" s="2028">
        <f>+(R246/R239-1)*100</f>
        <v>4.3432492494833941</v>
      </c>
      <c r="T246" s="2385">
        <f>segmthSales!DV24</f>
        <v>2</v>
      </c>
      <c r="U246" s="1981">
        <f>+R246/$BI246*100</f>
        <v>57.972780362737751</v>
      </c>
      <c r="V246" s="168"/>
      <c r="W246" s="1096">
        <f>segqtrSales!S379</f>
        <v>855.52806578623529</v>
      </c>
      <c r="X246" s="2159"/>
      <c r="Y246" s="2159"/>
      <c r="Z246" s="2159"/>
      <c r="AA246" s="2385">
        <f>segmthSales!DI61</f>
        <v>0</v>
      </c>
      <c r="AB246" s="2385">
        <f>segmthSales!DV47</f>
        <v>3.370986047435593</v>
      </c>
      <c r="AC246" s="2028">
        <f>+(W246/W239-1)*100</f>
        <v>4.8709860474355882</v>
      </c>
      <c r="AD246" s="1981">
        <f>+W246/$BI246*100</f>
        <v>30.886759488836123</v>
      </c>
      <c r="AE246" s="1981"/>
      <c r="AF246" s="1981"/>
      <c r="AG246" s="1096">
        <f>segqtrSales!S494</f>
        <v>158.56199999999998</v>
      </c>
      <c r="AH246" s="2028">
        <f>+(AG246/AG239-1)*100</f>
        <v>37.999999999999986</v>
      </c>
      <c r="AI246" s="1981">
        <f>+AG246/$BI246*100</f>
        <v>5.724495260793149</v>
      </c>
      <c r="AJ246" s="253"/>
      <c r="AK246" s="366"/>
      <c r="AL246" s="23"/>
      <c r="AM246" s="23"/>
      <c r="AN246" s="23"/>
      <c r="AO246" s="23"/>
      <c r="AP246" s="23"/>
      <c r="AQ246" s="23"/>
      <c r="AR246" s="23"/>
      <c r="AS246" s="253"/>
      <c r="AT246" s="366"/>
      <c r="AU246" s="366"/>
      <c r="AV246" s="366"/>
      <c r="AW246" s="366"/>
      <c r="AX246" s="366"/>
      <c r="AY246" s="366"/>
      <c r="AZ246" s="1096">
        <f>AZ239*(1+BA246)</f>
        <v>55</v>
      </c>
      <c r="BA246" s="2151">
        <v>0</v>
      </c>
      <c r="BB246" s="1981">
        <f>(AZ246/BI246)*100</f>
        <v>1.9856411961480254</v>
      </c>
      <c r="BC246" s="226">
        <f>BC239*(1+BD246)</f>
        <v>95.016059999999996</v>
      </c>
      <c r="BD246" s="2151">
        <v>0.02</v>
      </c>
      <c r="BE246" s="1096">
        <f>BC246+AZ246</f>
        <v>150.01605999999998</v>
      </c>
      <c r="BF246" s="2028">
        <f>+(BE246/BE239-1)*100</f>
        <v>1.2575243160786398</v>
      </c>
      <c r="BG246" s="1981">
        <f>+BE246/$BI246*100</f>
        <v>5.4159648876329802</v>
      </c>
      <c r="BH246" s="168"/>
      <c r="BI246" s="2027">
        <f>+E246+K246+W246+AG246+BE246</f>
        <v>2769.886125786235</v>
      </c>
      <c r="BJ246" s="2385">
        <f>'qtrP&amp;L'!DT12</f>
        <v>2.4935549770768137</v>
      </c>
      <c r="BK246" s="2892">
        <f>+(BI246/BI239-1)*100</f>
        <v>5.8119558591762432</v>
      </c>
      <c r="BL246" s="2027"/>
      <c r="BM246" s="2028"/>
      <c r="BN246" s="1981"/>
      <c r="BO246" s="2027"/>
      <c r="BP246" s="2028"/>
      <c r="BQ246" s="1981"/>
      <c r="BR246" s="168"/>
      <c r="BS246" s="2027"/>
      <c r="BT246" s="2028"/>
      <c r="BU246" s="1981"/>
      <c r="BV246" s="168"/>
      <c r="BW246" s="2027"/>
      <c r="BX246" s="2028"/>
      <c r="BY246" s="168"/>
      <c r="BZ246" s="1991"/>
      <c r="CA246" s="2028"/>
      <c r="CB246" s="1981"/>
      <c r="CC246" s="1991"/>
      <c r="CD246" s="2028"/>
      <c r="CE246" s="1981"/>
      <c r="CF246" s="168"/>
      <c r="CG246" s="1991"/>
      <c r="CH246" s="2028"/>
      <c r="CI246" s="1981"/>
      <c r="CJ246" s="168"/>
      <c r="CK246" s="1991"/>
      <c r="CL246" s="2028"/>
      <c r="CM246" s="1981"/>
      <c r="CN246" s="168"/>
      <c r="CO246" s="168"/>
      <c r="CP246" s="2028"/>
      <c r="CQ246" s="1981"/>
      <c r="CR246" s="146" t="s">
        <v>1018</v>
      </c>
      <c r="CS246" s="24" t="s">
        <v>598</v>
      </c>
      <c r="CT246" s="2027">
        <f>+CV246/100*R246</f>
        <v>136.4913</v>
      </c>
      <c r="CU246" s="2028">
        <f>+(CT246/CT239-1)*100</f>
        <v>1.7885348228468434</v>
      </c>
      <c r="CV246" s="1998">
        <v>8.5</v>
      </c>
      <c r="CW246" s="2027"/>
      <c r="CX246" s="2027"/>
      <c r="CY246" s="2027"/>
      <c r="CZ246" s="168"/>
      <c r="DA246" s="2027">
        <f>+DC246/100*W246</f>
        <v>144.58424311787374</v>
      </c>
      <c r="DB246" s="2028">
        <f>+(DA246/DA239-1)*100</f>
        <v>5.1368841753008487</v>
      </c>
      <c r="DC246" s="1998">
        <v>16.899999999999999</v>
      </c>
      <c r="DD246" s="1998"/>
      <c r="DE246" s="1998"/>
      <c r="DF246" s="1998"/>
      <c r="DG246" s="1998"/>
      <c r="DH246" s="1142">
        <f>DH239+2</f>
        <v>1.93</v>
      </c>
      <c r="DI246" s="2028">
        <f>+(DH246/DH239-1)*100</f>
        <v>-2857.1428571428569</v>
      </c>
      <c r="DJ246" s="1981">
        <f>+DH246/AG246*100</f>
        <v>1.2171894905462848</v>
      </c>
      <c r="DK246" s="168"/>
      <c r="DL246" s="1417">
        <v>-7</v>
      </c>
      <c r="DM246" s="2028">
        <f>+(DL246/DL239-1)*100</f>
        <v>0</v>
      </c>
      <c r="DN246" s="1981"/>
      <c r="DO246" s="168"/>
      <c r="DP246" s="1417">
        <f>DT246-DL246</f>
        <v>-48.320903578245115</v>
      </c>
      <c r="DQ246" s="2028">
        <f>+(DP246/DP239-1)*100</f>
        <v>46.961385578604364</v>
      </c>
      <c r="DR246" s="1981">
        <v>2.7017384488971894</v>
      </c>
      <c r="DS246" s="168"/>
      <c r="DT246" s="1417">
        <f>+DX246-DA246-CT246-DH246</f>
        <v>-55.320903578245115</v>
      </c>
      <c r="DU246" s="2117" t="s">
        <v>886</v>
      </c>
      <c r="DV246" s="1981">
        <f>+DT246/BE246*100</f>
        <v>-36.876654125061762</v>
      </c>
      <c r="DW246" s="168"/>
      <c r="DX246" s="2027">
        <f>'qtrP&amp;L'!DR62</f>
        <v>227.68463953962862</v>
      </c>
      <c r="DY246" s="2028">
        <f>+(DX246/DX239-1)*100</f>
        <v>-1.717305076931408</v>
      </c>
      <c r="DZ246" s="1981">
        <f>(+DX246/BI246)*100</f>
        <v>8.2200000000000042</v>
      </c>
      <c r="EA246" s="1981"/>
      <c r="EB246" s="361">
        <f>DT246+DA246+DH246+CT246</f>
        <v>227.68463953962862</v>
      </c>
      <c r="EC246" s="168"/>
      <c r="ED246" s="168"/>
      <c r="EE246" s="168"/>
      <c r="EG246" s="361"/>
      <c r="EH246" s="2028"/>
      <c r="EI246" s="361"/>
      <c r="EJ246" s="2028"/>
    </row>
    <row r="247" spans="1:140" s="161" customFormat="1">
      <c r="A247" s="24" t="str">
        <f>qtrSales!A218</f>
        <v>4Q</v>
      </c>
      <c r="B247" s="24" t="str">
        <f>qtrSales!B218</f>
        <v>Jan</v>
      </c>
      <c r="C247" s="168"/>
      <c r="D247" s="168"/>
      <c r="E247" s="2160">
        <f>segqtrSales!S197</f>
        <v>2017.9169999999999</v>
      </c>
      <c r="F247" s="2385">
        <f>segmthSales!DU29</f>
        <v>0</v>
      </c>
      <c r="G247" s="2028">
        <f>+(E247/E240-1)*100</f>
        <v>-1.0000000000000009</v>
      </c>
      <c r="H247" s="1981">
        <f>+E247/$BI247*100</f>
        <v>41.458192636376566</v>
      </c>
      <c r="I247" s="1981"/>
      <c r="J247" s="1981"/>
      <c r="K247" s="2160">
        <f>+K240*(1+L247/100)</f>
        <v>693.66000000000008</v>
      </c>
      <c r="L247" s="2028">
        <f>segmthSales!DU98</f>
        <v>10</v>
      </c>
      <c r="M247" s="1981">
        <f>+K247/BI247*100</f>
        <v>14.251274905830606</v>
      </c>
      <c r="Q247" s="168"/>
      <c r="R247" s="2160">
        <f>+E247+K247</f>
        <v>2711.5770000000002</v>
      </c>
      <c r="S247" s="2028">
        <f>+(R247/R240-1)*100</f>
        <v>1.5990482970512199</v>
      </c>
      <c r="T247" s="2385">
        <f>segmthSales!DV29</f>
        <v>2</v>
      </c>
      <c r="U247" s="1981">
        <f>+R247/$BI247*100</f>
        <v>55.709467542207179</v>
      </c>
      <c r="V247" s="168"/>
      <c r="W247" s="2160">
        <f>segqtrSales!S380</f>
        <v>1773.5320057542774</v>
      </c>
      <c r="X247" s="1096"/>
      <c r="Y247" s="1096"/>
      <c r="Z247" s="1096"/>
      <c r="AA247" s="2385">
        <f>segmthSales!DI66</f>
        <v>0</v>
      </c>
      <c r="AB247" s="2385">
        <f>segmthSales!DV52</f>
        <v>1.8756205471526788</v>
      </c>
      <c r="AC247" s="2028">
        <f>+(W247/W240-1)*100</f>
        <v>-1.1243794528473239</v>
      </c>
      <c r="AD247" s="1981">
        <f>+W247/$BI247*100</f>
        <v>36.437292287710619</v>
      </c>
      <c r="AE247" s="1981"/>
      <c r="AF247" s="1981"/>
      <c r="AG247" s="2160">
        <f>segqtrSales!S495</f>
        <v>199.251</v>
      </c>
      <c r="AH247" s="2028">
        <f>+(AG247/AG240-1)*100</f>
        <v>16.999999999999993</v>
      </c>
      <c r="AI247" s="1981">
        <f>+AG247/$BI247*100</f>
        <v>4.0936204715013895</v>
      </c>
      <c r="AJ247" s="253"/>
      <c r="AK247" s="366"/>
      <c r="AL247" s="23"/>
      <c r="AM247" s="23"/>
      <c r="AN247" s="23"/>
      <c r="AO247" s="23"/>
      <c r="AP247" s="23"/>
      <c r="AQ247" s="23"/>
      <c r="AR247" s="23"/>
      <c r="AS247" s="253"/>
      <c r="AT247" s="366"/>
      <c r="AU247" s="366"/>
      <c r="AV247" s="366"/>
      <c r="AW247" s="366"/>
      <c r="AX247" s="366"/>
      <c r="AY247" s="366"/>
      <c r="AZ247" s="2160">
        <f>AZ240*(1+BA247)</f>
        <v>71.25</v>
      </c>
      <c r="BA247" s="2151">
        <v>-0.05</v>
      </c>
      <c r="BB247" s="1981">
        <f>(AZ247/BI247)*100</f>
        <v>1.4638343526229427</v>
      </c>
      <c r="BC247" s="206">
        <f>BC240*(1+BD247)</f>
        <v>111.74399999999999</v>
      </c>
      <c r="BD247" s="2151">
        <v>-0.03</v>
      </c>
      <c r="BE247" s="2160">
        <f>BC247+AZ247</f>
        <v>182.99399999999997</v>
      </c>
      <c r="BF247" s="2028">
        <f>+(BE247/BE240-1)*100</f>
        <v>-3.7886435331230373</v>
      </c>
      <c r="BG247" s="1981">
        <f>+BE247/$BI247*100</f>
        <v>3.7596196985808099</v>
      </c>
      <c r="BH247" s="168"/>
      <c r="BI247" s="2152">
        <f>+E247+K247+W247+AG247+BE247</f>
        <v>4867.3540057542778</v>
      </c>
      <c r="BJ247" s="2385">
        <f>'qtrP&amp;L'!DT13</f>
        <v>1.9552233969749644</v>
      </c>
      <c r="BK247" s="2892">
        <f>+(BI247/BI240-1)*100</f>
        <v>0.91754277859212863</v>
      </c>
      <c r="BL247" s="2027"/>
      <c r="BM247" s="2028"/>
      <c r="BN247" s="1981"/>
      <c r="BO247" s="2027"/>
      <c r="BP247" s="2028"/>
      <c r="BQ247" s="1981"/>
      <c r="BR247" s="168"/>
      <c r="BS247" s="2027"/>
      <c r="BT247" s="2028"/>
      <c r="BU247" s="1981"/>
      <c r="BV247" s="168"/>
      <c r="BW247" s="2027"/>
      <c r="BX247" s="2028"/>
      <c r="BY247" s="168"/>
      <c r="BZ247" s="1991"/>
      <c r="CA247" s="2028"/>
      <c r="CB247" s="1981"/>
      <c r="CC247" s="1991"/>
      <c r="CD247" s="2028"/>
      <c r="CE247" s="1981"/>
      <c r="CF247" s="168"/>
      <c r="CG247" s="1991"/>
      <c r="CH247" s="2028"/>
      <c r="CI247" s="1981"/>
      <c r="CJ247" s="168"/>
      <c r="CK247" s="1991"/>
      <c r="CL247" s="2028"/>
      <c r="CM247" s="1981"/>
      <c r="CN247" s="168"/>
      <c r="CO247" s="168"/>
      <c r="CP247" s="2028"/>
      <c r="CQ247" s="1981"/>
      <c r="CR247" s="146" t="s">
        <v>1019</v>
      </c>
      <c r="CS247" s="24" t="s">
        <v>601</v>
      </c>
      <c r="CT247" s="2152">
        <f>+CV247/100*R247</f>
        <v>447.41020500000008</v>
      </c>
      <c r="CU247" s="2028">
        <f>+(CT247/CT240-1)*100</f>
        <v>-1.9843220116196436</v>
      </c>
      <c r="CV247" s="1998">
        <v>16.5</v>
      </c>
      <c r="CW247" s="1021"/>
      <c r="CX247" s="1021"/>
      <c r="CY247" s="1021"/>
      <c r="CZ247" s="168"/>
      <c r="DA247" s="2152">
        <f>+DC247/100*W247</f>
        <v>532.05960172628318</v>
      </c>
      <c r="DB247" s="2028">
        <f>+(DA247/DA240-1)*100</f>
        <v>-4.4455496322314385</v>
      </c>
      <c r="DC247" s="1998">
        <v>30</v>
      </c>
      <c r="DD247" s="1998"/>
      <c r="DE247" s="1998"/>
      <c r="DF247" s="1998"/>
      <c r="DG247" s="1998"/>
      <c r="DH247" s="2544">
        <f>DH240+2</f>
        <v>5.976</v>
      </c>
      <c r="DI247" s="2028">
        <f>+(DH247/DH240-1)*100</f>
        <v>50.301810865191143</v>
      </c>
      <c r="DJ247" s="1981">
        <f>+DH247/AG247*100</f>
        <v>2.9992321243055242</v>
      </c>
      <c r="DK247" s="168"/>
      <c r="DL247" s="1419">
        <v>-8</v>
      </c>
      <c r="DM247" s="2028">
        <f>+(DL247/DL240-1)*100</f>
        <v>0</v>
      </c>
      <c r="DN247" s="1981"/>
      <c r="DO247" s="168"/>
      <c r="DP247" s="1419">
        <f>DT247-DL247</f>
        <v>-35.612806612830752</v>
      </c>
      <c r="DQ247" s="2028">
        <f>+(DP247/DP240-1)*100</f>
        <v>57.453384971397803</v>
      </c>
      <c r="DR247" s="1981">
        <v>-1.0993244236704816</v>
      </c>
      <c r="DS247" s="168"/>
      <c r="DT247" s="1419">
        <f>+DX247-DA247-CT247-DH247</f>
        <v>-43.612806612830752</v>
      </c>
      <c r="DU247" s="2117" t="s">
        <v>886</v>
      </c>
      <c r="DV247" s="1981">
        <f>+DT247/BE247*100</f>
        <v>-23.832916168197187</v>
      </c>
      <c r="DW247" s="168"/>
      <c r="DX247" s="2152">
        <f>'qtrP&amp;L'!DR63</f>
        <v>941.8330001134525</v>
      </c>
      <c r="DY247" s="2028">
        <f>+(DX247/DX240-1)*100</f>
        <v>-4.5407922174330313</v>
      </c>
      <c r="DZ247" s="1981">
        <f>(+DX247/BI247)*100</f>
        <v>19.349999999999994</v>
      </c>
      <c r="EA247" s="1981"/>
      <c r="EB247" s="361">
        <f>DT247+DA247+DH247+CT247</f>
        <v>941.8330001134525</v>
      </c>
      <c r="EC247" s="168"/>
      <c r="ED247" s="168"/>
      <c r="EE247" s="168"/>
      <c r="EG247" s="361"/>
      <c r="EH247" s="2028"/>
      <c r="EI247" s="361"/>
      <c r="EJ247" s="2028"/>
    </row>
    <row r="248" spans="1:140" s="161" customFormat="1">
      <c r="A248" s="24"/>
      <c r="B248" s="24" t="str">
        <f>qtrSales!B219</f>
        <v>Year</v>
      </c>
      <c r="C248" s="168"/>
      <c r="D248" s="168"/>
      <c r="E248" s="2027">
        <f>+SUM(E244:E247)</f>
        <v>5938.6146749999998</v>
      </c>
      <c r="F248" s="2385">
        <f>segmthSales!DU30</f>
        <v>-1.0141845320811287</v>
      </c>
      <c r="G248" s="2028">
        <f>+(E248/E241-1)*100</f>
        <v>1.0174640232700538</v>
      </c>
      <c r="H248" s="1981">
        <f>+E248/$BI248*100</f>
        <v>45.173718534676055</v>
      </c>
      <c r="I248" s="1981"/>
      <c r="J248" s="1981"/>
      <c r="K248" s="2027">
        <f>+SUM(K244:K247)</f>
        <v>1681.6378638641006</v>
      </c>
      <c r="L248" s="2028">
        <f>+(K248/K241-1)*100</f>
        <v>11.492267046615435</v>
      </c>
      <c r="M248" s="1981">
        <f>+K248/$BI248*100</f>
        <v>12.791844512028518</v>
      </c>
      <c r="N248" s="2027"/>
      <c r="O248" s="2117"/>
      <c r="P248" s="1981"/>
      <c r="Q248" s="168"/>
      <c r="R248" s="2027">
        <f>+SUM(R244:R247)</f>
        <v>7620.2525388641006</v>
      </c>
      <c r="S248" s="2028">
        <f>+(R248/R241-1)*100</f>
        <v>3.1551367845132239</v>
      </c>
      <c r="T248" s="2385">
        <f>segmthSales!DV30</f>
        <v>1.4871057836581842</v>
      </c>
      <c r="U248" s="1981">
        <f>+R248/$BI248*100</f>
        <v>57.965563046704574</v>
      </c>
      <c r="V248" s="168"/>
      <c r="W248" s="2027">
        <f>+SUM(W244:W247)</f>
        <v>4271.2029430813063</v>
      </c>
      <c r="X248" s="2027"/>
      <c r="Y248" s="2027"/>
      <c r="Z248" s="2027"/>
      <c r="AA248" s="2385">
        <f>segmthSales!DI67</f>
        <v>-3</v>
      </c>
      <c r="AB248" s="2385">
        <f>segmthSales!DV53</f>
        <v>3.1554187042704904</v>
      </c>
      <c r="AC248" s="2028">
        <f>+(W248/W241-1)*100</f>
        <v>2.9744469414186625</v>
      </c>
      <c r="AD248" s="1981">
        <f>+W248/$BI248*100</f>
        <v>32.490089038355549</v>
      </c>
      <c r="AE248" s="1981"/>
      <c r="AF248" s="1981"/>
      <c r="AG248" s="2769">
        <f>segqtrSales!S496</f>
        <v>661.9588</v>
      </c>
      <c r="AH248" s="2028">
        <f>+(AG248/AG241-1)*100</f>
        <v>31.746990229815264</v>
      </c>
      <c r="AI248" s="1981">
        <f>+AG248/$BI248*100</f>
        <v>5.0353730877061693</v>
      </c>
      <c r="AJ248" s="253"/>
      <c r="AK248" s="366"/>
      <c r="AL248" s="23"/>
      <c r="AM248" s="366"/>
      <c r="AN248" s="366"/>
      <c r="AO248" s="23"/>
      <c r="AP248" s="23"/>
      <c r="AQ248" s="2138"/>
      <c r="AR248" s="2003"/>
      <c r="AS248" s="253"/>
      <c r="AT248" s="366"/>
      <c r="AU248" s="366"/>
      <c r="AV248" s="366"/>
      <c r="AW248" s="366"/>
      <c r="AX248" s="366"/>
      <c r="AY248" s="366"/>
      <c r="AZ248" s="2027">
        <f>SUM(AZ244:AZ247)</f>
        <v>224.25</v>
      </c>
      <c r="BA248" s="1980">
        <f>(AZ248/AZ241-1)*100</f>
        <v>-1.6447368421052655</v>
      </c>
      <c r="BB248" s="1981">
        <f>(AZ248/BI248)*100</f>
        <v>1.7058197805031194</v>
      </c>
      <c r="BC248" s="2027">
        <f>SUM(BC244:BC247)</f>
        <v>368.50757999999996</v>
      </c>
      <c r="BD248" s="2156">
        <f>BC248/BC241-1</f>
        <v>4.3021401960596783E-3</v>
      </c>
      <c r="BE248" s="2027">
        <f>SUM(BE244:BE247)</f>
        <v>592.75757999999996</v>
      </c>
      <c r="BF248" s="2028">
        <f>+(BE248/BE241-1)*100</f>
        <v>-0.36498809101592755</v>
      </c>
      <c r="BG248" s="1981">
        <f>+BE248/$BI248*100</f>
        <v>4.5089748272337138</v>
      </c>
      <c r="BH248" s="168"/>
      <c r="BI248" s="2027">
        <f>+E248+K248+W248+AG248+BE248</f>
        <v>13146.171861945406</v>
      </c>
      <c r="BJ248" s="2385">
        <f>'qtrP&amp;L'!DT14</f>
        <v>2.1757017117429367</v>
      </c>
      <c r="BK248" s="2892">
        <f>+(BI248/BI241-1)*100</f>
        <v>4.0678870770162412</v>
      </c>
      <c r="BL248" s="2027"/>
      <c r="BM248" s="2028"/>
      <c r="BN248" s="1981"/>
      <c r="BO248" s="2027"/>
      <c r="BP248" s="2028"/>
      <c r="BQ248" s="1981"/>
      <c r="BR248" s="168"/>
      <c r="BS248" s="2027"/>
      <c r="BT248" s="2028"/>
      <c r="BU248" s="1981"/>
      <c r="BV248" s="168"/>
      <c r="BW248" s="2027"/>
      <c r="BX248" s="2028"/>
      <c r="BY248" s="168"/>
      <c r="BZ248" s="1991"/>
      <c r="CA248" s="2028"/>
      <c r="CB248" s="1981"/>
      <c r="CC248" s="1991"/>
      <c r="CD248" s="2028"/>
      <c r="CE248" s="1981"/>
      <c r="CF248" s="168"/>
      <c r="CG248" s="1991"/>
      <c r="CH248" s="2028"/>
      <c r="CI248" s="1981"/>
      <c r="CJ248" s="168"/>
      <c r="CK248" s="1991"/>
      <c r="CL248" s="2028"/>
      <c r="CM248" s="1981"/>
      <c r="CN248" s="168"/>
      <c r="CO248" s="168"/>
      <c r="CP248" s="2028"/>
      <c r="CQ248" s="1981"/>
      <c r="CR248" s="146"/>
      <c r="CS248" s="24" t="s">
        <v>1020</v>
      </c>
      <c r="CT248" s="2027">
        <f>+SUM(CT244:CT247)</f>
        <v>926.18950198641005</v>
      </c>
      <c r="CU248" s="2028">
        <f>+(CT248/CT241-1)*100</f>
        <v>-0.66565043324831041</v>
      </c>
      <c r="CV248" s="1981">
        <f>+CT248/R248*100</f>
        <v>12.154315060593396</v>
      </c>
      <c r="CW248" s="2027"/>
      <c r="CX248" s="2027"/>
      <c r="CY248" s="2027"/>
      <c r="CZ248" s="168"/>
      <c r="DA248" s="2027">
        <f>+SUM(DA244:DA247)</f>
        <v>944.74337956509908</v>
      </c>
      <c r="DB248" s="2028">
        <f>+(DA248/DA241-1)*100</f>
        <v>-0.81038618180052646</v>
      </c>
      <c r="DC248" s="1981">
        <f>+DA248/W248*100</f>
        <v>22.118906363263267</v>
      </c>
      <c r="DD248" s="1981"/>
      <c r="DE248" s="1981"/>
      <c r="DF248" s="1981"/>
      <c r="DG248" s="1981"/>
      <c r="DH248" s="1142">
        <f>SUM(DH244:DH247)</f>
        <v>9.0399999999999991</v>
      </c>
      <c r="DI248" s="2028">
        <f>+(DH248/DH241-1)*100</f>
        <v>79.365079365079353</v>
      </c>
      <c r="DJ248" s="1981">
        <f>+DH248/AG248*100</f>
        <v>1.3656439041221295</v>
      </c>
      <c r="DK248" s="168"/>
      <c r="DL248" s="361">
        <f>SUM(DL244:DL247)</f>
        <v>-31</v>
      </c>
      <c r="DM248" s="2028">
        <f>+(DL248/DL241-1)*100</f>
        <v>0</v>
      </c>
      <c r="DN248" s="1981"/>
      <c r="DO248" s="168"/>
      <c r="DP248" s="361">
        <f>DT248-DL248</f>
        <v>-227.97330655158669</v>
      </c>
      <c r="DQ248" s="2028">
        <f>+(DP248/DP241-1)*100</f>
        <v>74.68683454268583</v>
      </c>
      <c r="DR248" s="1981">
        <v>-3.4762012895405334</v>
      </c>
      <c r="DS248" s="168"/>
      <c r="DT248" s="361">
        <f>+SUM(DT244:DT247)</f>
        <v>-258.97330655158669</v>
      </c>
      <c r="DU248" s="2117" t="s">
        <v>886</v>
      </c>
      <c r="DV248" s="1981">
        <f>+DT248/BE248*100</f>
        <v>-43.689581591109587</v>
      </c>
      <c r="DW248" s="168"/>
      <c r="DX248" s="2027">
        <f>'qtrP&amp;L'!DR64</f>
        <v>1620.9995749999225</v>
      </c>
      <c r="DY248" s="2028">
        <f>+(DX248/DX241-1)*100</f>
        <v>-6.2129957810346914</v>
      </c>
      <c r="DZ248" s="1981">
        <f>(+DX248/BI248)*100</f>
        <v>12.330582560633301</v>
      </c>
      <c r="EA248" s="1981"/>
      <c r="EB248" s="361">
        <f>DT248+DA248+DH248+CT248</f>
        <v>1620.9995749999225</v>
      </c>
      <c r="EC248" s="168"/>
      <c r="ED248" s="168"/>
      <c r="EE248" s="168"/>
      <c r="EG248" s="2027"/>
      <c r="EH248" s="2028"/>
      <c r="EI248" s="2027"/>
      <c r="EJ248" s="2028"/>
    </row>
    <row r="249" spans="1:140">
      <c r="A249" s="113"/>
      <c r="B249" s="24"/>
      <c r="C249" s="24"/>
      <c r="D249" s="24"/>
      <c r="E249" s="266"/>
      <c r="F249" s="266"/>
      <c r="G249" s="1980"/>
      <c r="H249" s="1981"/>
      <c r="I249" s="1981"/>
      <c r="J249" s="1981"/>
      <c r="K249" s="428"/>
      <c r="L249" s="2049"/>
      <c r="M249" s="1981"/>
      <c r="N249" s="2027"/>
      <c r="O249" s="2022"/>
      <c r="P249" s="1981"/>
      <c r="Q249" s="24"/>
      <c r="R249" s="2365"/>
      <c r="S249" s="1980"/>
      <c r="T249" s="1980"/>
      <c r="U249" s="1981"/>
      <c r="V249" s="168"/>
      <c r="W249" s="2027"/>
      <c r="X249" s="2027"/>
      <c r="Y249" s="2027"/>
      <c r="Z249" s="2027"/>
      <c r="AA249" s="2027"/>
      <c r="AB249" s="2027"/>
      <c r="AC249" s="2028"/>
      <c r="AD249" s="1981"/>
      <c r="AE249" s="1981"/>
      <c r="AF249" s="1981"/>
      <c r="AG249" s="1981"/>
      <c r="AH249" s="1981"/>
      <c r="AI249" s="24"/>
      <c r="AJ249" s="24"/>
      <c r="AK249" s="388"/>
      <c r="AL249" s="2134"/>
      <c r="AM249" s="388"/>
      <c r="AN249" s="388"/>
      <c r="AO249" s="2134"/>
      <c r="AP249" s="2134"/>
      <c r="AQ249" s="1980"/>
      <c r="AR249" s="1981"/>
      <c r="AS249" s="24"/>
      <c r="AT249" s="388"/>
      <c r="AU249" s="388"/>
      <c r="AV249" s="388"/>
      <c r="AW249" s="388"/>
      <c r="AX249" s="388"/>
      <c r="AY249" s="388"/>
      <c r="AZ249" s="388"/>
      <c r="BA249" s="2049"/>
      <c r="BB249" s="388"/>
      <c r="BC249" s="266"/>
      <c r="BD249" s="1980"/>
      <c r="BE249" s="2027"/>
      <c r="BF249" s="2028"/>
      <c r="BG249" s="1981"/>
      <c r="BH249" s="168"/>
      <c r="BI249" s="2027"/>
      <c r="BJ249" s="2027"/>
      <c r="BK249" s="2892"/>
      <c r="BL249" s="2027"/>
      <c r="BM249" s="2028"/>
      <c r="BN249" s="1981"/>
      <c r="BO249" s="2027"/>
      <c r="BP249" s="2028"/>
      <c r="BQ249" s="1981"/>
      <c r="BR249" s="168"/>
      <c r="BS249" s="2027"/>
      <c r="BT249" s="2028"/>
      <c r="BU249" s="1981"/>
      <c r="BV249" s="168"/>
      <c r="BW249" s="2027"/>
      <c r="BX249" s="2028"/>
      <c r="BY249" s="168"/>
      <c r="BZ249" s="1991"/>
      <c r="CA249" s="2028"/>
      <c r="CB249" s="1981"/>
      <c r="CC249" s="1991"/>
      <c r="CD249" s="2028"/>
      <c r="CE249" s="1981"/>
      <c r="CF249" s="168"/>
      <c r="CG249" s="1991"/>
      <c r="CH249" s="2028"/>
      <c r="CI249" s="1981"/>
      <c r="CJ249" s="168"/>
      <c r="CK249" s="1991"/>
      <c r="CL249" s="2028"/>
      <c r="CM249" s="1981"/>
      <c r="CN249" s="168"/>
      <c r="CO249" s="168"/>
      <c r="CP249" s="2028"/>
      <c r="CQ249" s="1981"/>
      <c r="CR249" s="1981"/>
      <c r="CS249" s="168"/>
      <c r="CT249" s="2027"/>
      <c r="CU249" s="2028"/>
      <c r="CV249" s="1981"/>
      <c r="CW249" s="2027"/>
      <c r="CX249" s="2027"/>
      <c r="CY249" s="2027"/>
      <c r="CZ249" s="168"/>
      <c r="DA249" s="428"/>
      <c r="DB249" s="1980"/>
      <c r="DC249" s="1981"/>
      <c r="DD249" s="1981"/>
      <c r="DE249" s="1981"/>
      <c r="DF249" s="1981"/>
      <c r="DG249" s="1981"/>
      <c r="DH249" s="2134"/>
      <c r="DI249" s="2135"/>
      <c r="DJ249" s="2136"/>
      <c r="DK249" s="24"/>
      <c r="DL249" s="266"/>
      <c r="DM249" s="1980"/>
      <c r="DN249" s="1981"/>
      <c r="DO249" s="24"/>
      <c r="DP249" s="266"/>
      <c r="DQ249" s="1980"/>
      <c r="DR249" s="1981"/>
      <c r="DS249" s="24"/>
      <c r="DU249" s="1980"/>
      <c r="DV249" s="1981"/>
      <c r="DW249" s="24"/>
      <c r="DX249" s="266"/>
      <c r="DY249" s="1980"/>
      <c r="DZ249" s="1981"/>
      <c r="EA249" s="1981"/>
      <c r="EB249" s="24"/>
      <c r="EC249" s="24"/>
      <c r="ED249" s="24"/>
      <c r="EE249" s="24"/>
      <c r="EG249" s="266"/>
      <c r="EH249" s="1980"/>
      <c r="EI249" s="266"/>
      <c r="EJ249" s="1980"/>
    </row>
    <row r="250" spans="1:140">
      <c r="A250" s="113"/>
      <c r="B250" s="24"/>
      <c r="C250" s="24"/>
      <c r="D250" s="24"/>
      <c r="E250" s="127"/>
      <c r="F250" s="266"/>
      <c r="G250" s="1980"/>
      <c r="H250" s="1981"/>
      <c r="I250" s="1981"/>
      <c r="J250" s="1981"/>
      <c r="K250" s="2157"/>
      <c r="L250" s="2049"/>
      <c r="M250" s="1981"/>
      <c r="N250" s="2027"/>
      <c r="O250" s="2022"/>
      <c r="P250" s="1981"/>
      <c r="Q250" s="24"/>
      <c r="R250" s="423"/>
      <c r="S250" s="1980"/>
      <c r="T250" s="1980"/>
      <c r="U250" s="1981"/>
      <c r="V250" s="24"/>
      <c r="W250" s="266"/>
      <c r="X250" s="266"/>
      <c r="Y250" s="266"/>
      <c r="Z250" s="266"/>
      <c r="AA250" s="266"/>
      <c r="AB250" s="266"/>
      <c r="AC250" s="1980"/>
      <c r="AD250" s="1981"/>
      <c r="AE250" s="1981"/>
      <c r="AF250" s="1981"/>
      <c r="AG250" s="442"/>
      <c r="AH250" s="1981"/>
      <c r="AI250" s="24"/>
      <c r="AJ250" s="24"/>
      <c r="AK250" s="388"/>
      <c r="AL250" s="2134"/>
      <c r="AM250" s="388"/>
      <c r="AN250" s="388"/>
      <c r="AO250" s="2134"/>
      <c r="AP250" s="2134"/>
      <c r="AQ250" s="1980"/>
      <c r="AR250" s="1981"/>
      <c r="AS250" s="24"/>
      <c r="AT250" s="388"/>
      <c r="AU250" s="388"/>
      <c r="AV250" s="388"/>
      <c r="AW250" s="388"/>
      <c r="AX250" s="388"/>
      <c r="AY250" s="388"/>
      <c r="AZ250" s="388"/>
      <c r="BA250" s="2049"/>
      <c r="BB250" s="388"/>
      <c r="BC250" s="266"/>
      <c r="BD250" s="1980"/>
      <c r="BE250" s="266"/>
      <c r="BF250" s="1980"/>
      <c r="BG250" s="1981"/>
      <c r="BH250" s="24"/>
      <c r="BI250" s="266"/>
      <c r="BJ250" s="266"/>
      <c r="BK250" s="2889"/>
      <c r="BL250" s="266"/>
      <c r="BM250" s="1980"/>
      <c r="BN250" s="1981"/>
      <c r="BO250" s="266"/>
      <c r="BP250" s="1980"/>
      <c r="BQ250" s="1981"/>
      <c r="BR250" s="24"/>
      <c r="BS250" s="266"/>
      <c r="BT250" s="1980"/>
      <c r="BU250" s="1981"/>
      <c r="BV250" s="24"/>
      <c r="BW250" s="266"/>
      <c r="BX250" s="1980"/>
      <c r="BY250" s="24"/>
      <c r="BZ250" s="389"/>
      <c r="CA250" s="1980"/>
      <c r="CB250" s="1981"/>
      <c r="CC250" s="389"/>
      <c r="CD250" s="1980"/>
      <c r="CE250" s="1981"/>
      <c r="CF250" s="24"/>
      <c r="CG250" s="389"/>
      <c r="CH250" s="1980"/>
      <c r="CI250" s="1981"/>
      <c r="CJ250" s="24"/>
      <c r="CK250" s="389"/>
      <c r="CL250" s="1980"/>
      <c r="CM250" s="1981"/>
      <c r="CN250" s="24"/>
      <c r="CO250" s="24"/>
      <c r="CP250" s="1980"/>
      <c r="CQ250" s="1981"/>
      <c r="CR250" s="1981"/>
      <c r="CS250" s="24"/>
      <c r="CT250" s="428"/>
      <c r="CU250" s="1980"/>
      <c r="CV250" s="1981"/>
      <c r="CW250" s="266"/>
      <c r="CX250" s="266"/>
      <c r="CY250" s="266"/>
      <c r="CZ250" s="24"/>
      <c r="DA250" s="428"/>
      <c r="DB250" s="1980"/>
      <c r="DC250" s="1981"/>
      <c r="DD250" s="1981"/>
      <c r="DE250" s="1981"/>
      <c r="DF250" s="1981"/>
      <c r="DG250" s="1981"/>
      <c r="DH250" s="2366"/>
      <c r="DI250" s="2135"/>
      <c r="DJ250" s="2136"/>
      <c r="DK250" s="24"/>
      <c r="DL250" s="266"/>
      <c r="DM250" s="1980"/>
      <c r="DN250" s="1981"/>
      <c r="DO250" s="24"/>
      <c r="DP250" s="266"/>
      <c r="DQ250" s="1980"/>
      <c r="DR250" s="1981"/>
      <c r="DS250" s="24"/>
      <c r="DU250" s="1980"/>
      <c r="DV250" s="1981"/>
      <c r="DW250" s="24"/>
      <c r="DX250" s="266"/>
      <c r="DY250" s="1980"/>
      <c r="DZ250" s="1981"/>
      <c r="EA250" s="1981"/>
      <c r="EB250" s="24"/>
      <c r="EC250" s="24"/>
      <c r="ED250" s="24"/>
      <c r="EE250" s="24"/>
      <c r="EG250" s="266"/>
      <c r="EH250" s="1980"/>
      <c r="EI250" s="266"/>
      <c r="EJ250" s="1980"/>
    </row>
    <row r="251" spans="1:140">
      <c r="A251" s="113"/>
      <c r="B251" s="24"/>
      <c r="C251" s="24"/>
      <c r="D251" s="24"/>
      <c r="E251" s="127"/>
      <c r="F251" s="266"/>
      <c r="G251" s="1980"/>
      <c r="H251" s="1981"/>
      <c r="I251" s="1981"/>
      <c r="J251" s="1981"/>
      <c r="K251" s="2157"/>
      <c r="L251" s="2049"/>
      <c r="M251" s="1981"/>
      <c r="N251" s="2027"/>
      <c r="O251" s="2022"/>
      <c r="P251" s="1981"/>
      <c r="Q251" s="24"/>
      <c r="R251" s="2895"/>
      <c r="S251" s="1980"/>
      <c r="T251" s="1980"/>
      <c r="U251" s="1981"/>
      <c r="V251" s="24"/>
      <c r="W251" s="545"/>
      <c r="X251" s="545"/>
      <c r="Y251" s="545"/>
      <c r="Z251" s="545"/>
      <c r="AA251" s="545"/>
      <c r="AB251" s="266"/>
      <c r="AC251" s="1980"/>
      <c r="AD251" s="1981"/>
      <c r="AE251" s="1981"/>
      <c r="AF251" s="1981"/>
      <c r="AG251" s="1981"/>
      <c r="AH251" s="1981"/>
      <c r="AI251" s="24"/>
      <c r="AJ251" s="24"/>
      <c r="AK251" s="388"/>
      <c r="AL251" s="2134"/>
      <c r="AM251" s="388"/>
      <c r="AN251" s="388"/>
      <c r="AO251" s="2134"/>
      <c r="AP251" s="2134"/>
      <c r="AQ251" s="1980"/>
      <c r="AR251" s="1981"/>
      <c r="AS251" s="24"/>
      <c r="AT251" s="388"/>
      <c r="AU251" s="388"/>
      <c r="AV251" s="388"/>
      <c r="AW251" s="388"/>
      <c r="AX251" s="388"/>
      <c r="AY251" s="388"/>
      <c r="AZ251" s="388"/>
      <c r="BA251" s="2049"/>
      <c r="BB251" s="388"/>
      <c r="BC251" s="266"/>
      <c r="BD251" s="1980"/>
      <c r="BE251" s="266"/>
      <c r="BF251" s="1980"/>
      <c r="BG251" s="1981"/>
      <c r="BH251" s="24"/>
      <c r="BI251" s="266"/>
      <c r="BJ251" s="266"/>
      <c r="BK251" s="2889"/>
      <c r="BL251" s="266"/>
      <c r="BM251" s="1980"/>
      <c r="BN251" s="1981"/>
      <c r="BO251" s="266"/>
      <c r="BP251" s="1980"/>
      <c r="BQ251" s="1981"/>
      <c r="BR251" s="24"/>
      <c r="BS251" s="266"/>
      <c r="BT251" s="1980"/>
      <c r="BU251" s="1981"/>
      <c r="BV251" s="24"/>
      <c r="BW251" s="266"/>
      <c r="BX251" s="1980"/>
      <c r="BY251" s="24"/>
      <c r="BZ251" s="389"/>
      <c r="CA251" s="1980"/>
      <c r="CB251" s="1981"/>
      <c r="CC251" s="389"/>
      <c r="CD251" s="1980"/>
      <c r="CE251" s="1981"/>
      <c r="CF251" s="24"/>
      <c r="CG251" s="389"/>
      <c r="CH251" s="1980"/>
      <c r="CI251" s="1981"/>
      <c r="CJ251" s="24"/>
      <c r="CK251" s="389"/>
      <c r="CL251" s="1980"/>
      <c r="CM251" s="1981"/>
      <c r="CN251" s="24"/>
      <c r="CO251" s="24"/>
      <c r="CP251" s="1980"/>
      <c r="CQ251" s="1981"/>
      <c r="CR251" s="1981"/>
      <c r="CS251" s="24"/>
      <c r="CT251" s="428"/>
      <c r="CU251" s="1980"/>
      <c r="CV251"/>
      <c r="CW251" s="266"/>
      <c r="CX251" s="266"/>
      <c r="CY251" s="266"/>
      <c r="CZ251" s="24"/>
      <c r="DA251" s="2365"/>
      <c r="DB251" s="1980"/>
      <c r="DC251" s="1981"/>
      <c r="DD251" s="1981"/>
      <c r="DE251" s="1981"/>
      <c r="DF251" s="1981"/>
      <c r="DG251" s="1981"/>
      <c r="DH251" s="2134"/>
      <c r="DI251" s="2135"/>
      <c r="DJ251" s="2136"/>
      <c r="DK251" s="24"/>
      <c r="DL251" s="266"/>
      <c r="DM251" s="1980"/>
      <c r="DN251" s="1981"/>
      <c r="DO251" s="24"/>
      <c r="DP251" s="266"/>
      <c r="DQ251" s="1980"/>
      <c r="DR251" s="1981"/>
      <c r="DS251" s="24"/>
      <c r="DU251" s="1980"/>
      <c r="DV251" s="1981"/>
      <c r="DW251" s="24"/>
      <c r="DX251" s="266"/>
      <c r="DY251" s="1980"/>
      <c r="DZ251" s="1981"/>
      <c r="EA251" s="1981"/>
      <c r="EB251" s="24"/>
      <c r="EC251" s="24"/>
      <c r="ED251" s="24"/>
      <c r="EE251" s="24"/>
      <c r="EG251" s="266"/>
      <c r="EH251" s="1980"/>
      <c r="EI251" s="266"/>
      <c r="EJ251" s="1980"/>
    </row>
    <row r="252" spans="1:140">
      <c r="A252" s="113"/>
      <c r="B252" s="24"/>
      <c r="C252" s="24"/>
      <c r="D252" s="24"/>
      <c r="E252" s="266"/>
      <c r="F252" s="266"/>
      <c r="G252" s="1980"/>
      <c r="H252" s="1981"/>
      <c r="I252" s="1981"/>
      <c r="J252" s="1981"/>
      <c r="K252" s="127"/>
      <c r="L252" s="2049"/>
      <c r="M252" s="1981"/>
      <c r="N252" s="2027"/>
      <c r="O252" s="2022"/>
      <c r="P252" s="1981"/>
      <c r="Q252" s="24"/>
      <c r="R252" s="127"/>
      <c r="S252" s="1980"/>
      <c r="T252" s="1980"/>
      <c r="U252" s="1981"/>
      <c r="V252" s="24"/>
      <c r="W252" s="2365"/>
      <c r="X252" s="266"/>
      <c r="Y252" s="266"/>
      <c r="Z252" s="266"/>
      <c r="AA252" s="266"/>
      <c r="AB252" s="266"/>
      <c r="AC252" s="1980"/>
      <c r="AD252" s="1981"/>
      <c r="AE252" s="1981"/>
      <c r="AF252" s="1981"/>
      <c r="AG252" s="1981"/>
      <c r="AH252" s="1981"/>
      <c r="AI252" s="24"/>
      <c r="AJ252" s="24"/>
      <c r="AK252" s="388"/>
      <c r="AL252" s="2134"/>
      <c r="AM252" s="388"/>
      <c r="AN252" s="388"/>
      <c r="AO252" s="2134"/>
      <c r="AP252" s="2134"/>
      <c r="AQ252" s="1980"/>
      <c r="AR252" s="1981"/>
      <c r="AS252" s="24"/>
      <c r="AT252" s="388"/>
      <c r="AU252" s="388"/>
      <c r="AV252" s="388"/>
      <c r="AW252" s="388"/>
      <c r="AX252" s="388"/>
      <c r="AY252" s="388"/>
      <c r="AZ252" s="388"/>
      <c r="BA252" s="2049"/>
      <c r="BB252" s="388"/>
      <c r="BC252" s="266"/>
      <c r="BD252" s="1980"/>
      <c r="BE252" s="266"/>
      <c r="BF252" s="1980"/>
      <c r="BG252" s="1981"/>
      <c r="BH252" s="24"/>
      <c r="BI252" s="266"/>
      <c r="BJ252" s="266"/>
      <c r="BK252" s="2889"/>
      <c r="BL252" s="266"/>
      <c r="BM252" s="1980"/>
      <c r="BN252" s="1981"/>
      <c r="BO252" s="266"/>
      <c r="BP252" s="1980"/>
      <c r="BQ252" s="1981"/>
      <c r="BR252" s="24"/>
      <c r="BS252" s="266"/>
      <c r="BT252" s="1980"/>
      <c r="BU252" s="1981"/>
      <c r="BV252" s="24"/>
      <c r="BW252" s="266"/>
      <c r="BX252" s="1980"/>
      <c r="BY252" s="24"/>
      <c r="BZ252" s="389"/>
      <c r="CA252" s="1980"/>
      <c r="CB252" s="1981"/>
      <c r="CC252" s="389"/>
      <c r="CD252" s="1980"/>
      <c r="CE252" s="1981"/>
      <c r="CF252" s="24"/>
      <c r="CG252" s="389"/>
      <c r="CH252" s="1980"/>
      <c r="CI252" s="1981"/>
      <c r="CJ252" s="24"/>
      <c r="CK252" s="389"/>
      <c r="CL252" s="1980"/>
      <c r="CM252" s="1981"/>
      <c r="CN252" s="24"/>
      <c r="CO252" s="24"/>
      <c r="CP252" s="1980"/>
      <c r="CQ252" s="1981"/>
      <c r="CR252" s="1981"/>
      <c r="CS252" s="24"/>
      <c r="CT252" s="127"/>
      <c r="CU252" s="1980"/>
      <c r="CV252" s="1981"/>
      <c r="CW252" s="266"/>
      <c r="CX252" s="266"/>
      <c r="CY252" s="266"/>
      <c r="CZ252" s="24"/>
      <c r="DA252" s="2365"/>
      <c r="DB252" s="1980"/>
      <c r="DC252" s="1981"/>
      <c r="DD252" s="1981"/>
      <c r="DE252" s="1981"/>
      <c r="DF252" s="1981"/>
      <c r="DG252" s="1981"/>
      <c r="DH252" s="2134"/>
      <c r="DI252" s="2135"/>
      <c r="DJ252" s="2136"/>
      <c r="DK252" s="24"/>
      <c r="DL252" s="266"/>
      <c r="DM252" s="1980"/>
      <c r="DN252" s="1981"/>
      <c r="DO252" s="24"/>
      <c r="DP252" s="266"/>
      <c r="DQ252" s="1980"/>
      <c r="DR252" s="1981"/>
      <c r="DS252" s="24"/>
      <c r="DU252" s="1980"/>
      <c r="DV252" s="1981"/>
      <c r="DW252" s="24"/>
      <c r="DX252" s="266"/>
      <c r="DY252" s="1980"/>
      <c r="DZ252" s="1981"/>
      <c r="EA252" s="1981"/>
      <c r="EB252" s="24"/>
      <c r="EC252" s="24"/>
      <c r="ED252" s="24"/>
      <c r="EE252" s="24"/>
      <c r="EG252" s="266"/>
      <c r="EH252" s="1980"/>
      <c r="EI252" s="266"/>
      <c r="EJ252" s="1980"/>
    </row>
    <row r="253" spans="1:140">
      <c r="A253" s="113"/>
      <c r="B253" s="24"/>
      <c r="C253" s="24"/>
      <c r="D253" s="24"/>
      <c r="E253" s="266"/>
      <c r="F253" s="266"/>
      <c r="G253" s="1980"/>
      <c r="H253" s="1981"/>
      <c r="I253" s="1981"/>
      <c r="J253" s="1981"/>
      <c r="K253" s="2157"/>
      <c r="L253" s="2049"/>
      <c r="M253" s="1981"/>
      <c r="N253" s="2027"/>
      <c r="O253" s="2022"/>
      <c r="P253" s="1981"/>
      <c r="Q253" s="24"/>
      <c r="R253" s="127"/>
      <c r="S253" s="1980"/>
      <c r="T253" s="1980"/>
      <c r="U253" s="1981"/>
      <c r="V253" s="24"/>
      <c r="W253" s="266"/>
      <c r="X253" s="266"/>
      <c r="Y253" s="266"/>
      <c r="Z253" s="266"/>
      <c r="AA253" s="266"/>
      <c r="AB253" s="266"/>
      <c r="AC253" s="1980"/>
      <c r="AD253" s="1981"/>
      <c r="AE253" s="1981"/>
      <c r="AF253" s="1981"/>
      <c r="AG253" s="2039"/>
      <c r="AH253" s="2039"/>
      <c r="AI253" s="24"/>
      <c r="AJ253" s="24"/>
      <c r="AK253" s="388"/>
      <c r="AL253" s="2134"/>
      <c r="AM253" s="388"/>
      <c r="AN253" s="388"/>
      <c r="AO253" s="2134"/>
      <c r="AP253" s="2134"/>
      <c r="AQ253" s="1980"/>
      <c r="AR253" s="1981"/>
      <c r="AS253" s="24"/>
      <c r="AT253" s="388"/>
      <c r="AU253" s="388"/>
      <c r="AV253" s="388"/>
      <c r="AW253" s="388"/>
      <c r="AX253" s="388"/>
      <c r="AY253" s="388"/>
      <c r="AZ253" s="388"/>
      <c r="BA253" s="388"/>
      <c r="BB253" s="388"/>
      <c r="BC253" s="266"/>
      <c r="BD253" s="1980"/>
      <c r="BE253" s="266"/>
      <c r="BF253" s="1980"/>
      <c r="BG253" s="1981"/>
      <c r="BH253" s="24"/>
      <c r="BI253" s="266"/>
      <c r="BJ253" s="266"/>
      <c r="BK253" s="2889"/>
      <c r="BL253" s="266"/>
      <c r="BM253" s="1980"/>
      <c r="BN253" s="1981"/>
      <c r="BO253" s="266"/>
      <c r="BP253" s="1980"/>
      <c r="BQ253" s="1981"/>
      <c r="BR253" s="24"/>
      <c r="BS253" s="266"/>
      <c r="BT253" s="1980"/>
      <c r="BU253" s="1981"/>
      <c r="BV253" s="24"/>
      <c r="BW253" s="266"/>
      <c r="BX253" s="1980"/>
      <c r="BY253" s="24"/>
      <c r="BZ253" s="389"/>
      <c r="CA253" s="1980"/>
      <c r="CB253" s="1981"/>
      <c r="CC253" s="389"/>
      <c r="CD253" s="1980"/>
      <c r="CE253" s="1981"/>
      <c r="CF253" s="24"/>
      <c r="CG253" s="389"/>
      <c r="CH253" s="1980"/>
      <c r="CI253" s="1981"/>
      <c r="CJ253" s="24"/>
      <c r="CK253" s="389"/>
      <c r="CL253" s="1980"/>
      <c r="CM253" s="1981"/>
      <c r="CN253" s="24"/>
      <c r="CO253" s="24"/>
      <c r="CP253" s="1980"/>
      <c r="CQ253" s="1981"/>
      <c r="CR253" s="1981"/>
      <c r="CS253" s="24"/>
      <c r="CT253" s="266"/>
      <c r="CU253" s="1980"/>
      <c r="CV253" s="1981"/>
      <c r="CW253" s="266"/>
      <c r="CX253" s="266"/>
      <c r="CY253" s="266"/>
      <c r="CZ253" s="24"/>
      <c r="DA253" s="428"/>
      <c r="DB253" s="1980"/>
      <c r="DC253" s="1981"/>
      <c r="DD253" s="1981"/>
      <c r="DE253" s="1981"/>
      <c r="DF253" s="1981"/>
      <c r="DG253" s="1981"/>
      <c r="DH253" s="2134"/>
      <c r="DI253" s="2135"/>
      <c r="DJ253" s="2136"/>
      <c r="DK253" s="24"/>
      <c r="DL253" s="266"/>
      <c r="DM253" s="1980"/>
      <c r="DN253" s="1981"/>
      <c r="DO253" s="24"/>
      <c r="DP253" s="266"/>
      <c r="DQ253" s="1980"/>
      <c r="DR253" s="1981"/>
      <c r="DS253" s="24"/>
      <c r="DU253" s="1980"/>
      <c r="DV253" s="1981"/>
      <c r="DW253" s="24"/>
      <c r="DX253" s="266"/>
      <c r="DY253" s="1980"/>
      <c r="DZ253" s="1981"/>
      <c r="EA253" s="1981"/>
      <c r="EB253" s="24"/>
      <c r="EC253" s="24"/>
      <c r="ED253" s="24"/>
      <c r="EE253" s="24"/>
      <c r="EG253" s="266"/>
      <c r="EH253" s="1980"/>
      <c r="EI253" s="266"/>
      <c r="EJ253" s="1980"/>
    </row>
    <row r="254" spans="1:140">
      <c r="A254" s="113"/>
      <c r="B254" s="24"/>
      <c r="C254" s="24"/>
      <c r="D254" s="24"/>
      <c r="E254" s="266"/>
      <c r="F254" s="266"/>
      <c r="G254" s="1980"/>
      <c r="H254" s="1981"/>
      <c r="I254" s="1981"/>
      <c r="J254" s="1981"/>
      <c r="K254" s="2365"/>
      <c r="L254" s="2049"/>
      <c r="M254" s="1981"/>
      <c r="N254" s="2027"/>
      <c r="O254" s="2022"/>
      <c r="P254" s="1981"/>
      <c r="Q254" s="24"/>
      <c r="R254" s="266"/>
      <c r="S254" s="1980"/>
      <c r="T254" s="1980"/>
      <c r="U254" s="1981"/>
      <c r="V254" s="24"/>
      <c r="W254" s="2365"/>
      <c r="X254" s="266"/>
      <c r="Y254" s="266"/>
      <c r="Z254" s="266"/>
      <c r="AA254" s="266"/>
      <c r="AB254" s="266"/>
      <c r="AC254" s="2049"/>
      <c r="AD254" s="1981"/>
      <c r="AE254" s="1981"/>
      <c r="AF254" s="1981"/>
      <c r="AG254" s="1981"/>
      <c r="AH254" s="1981"/>
      <c r="AI254" s="24"/>
      <c r="AJ254" s="24"/>
      <c r="AK254" s="388"/>
      <c r="AL254" s="2134"/>
      <c r="AM254" s="388"/>
      <c r="AN254" s="388"/>
      <c r="AO254" s="2134"/>
      <c r="AP254" s="2134"/>
      <c r="AQ254" s="1980"/>
      <c r="AR254" s="1981"/>
      <c r="AS254" s="24"/>
      <c r="AT254" s="388"/>
      <c r="AU254" s="388"/>
      <c r="AV254" s="388"/>
      <c r="AW254" s="388"/>
      <c r="AX254" s="388"/>
      <c r="AY254" s="388"/>
      <c r="AZ254" s="388"/>
      <c r="BA254" s="388"/>
      <c r="BB254" s="388"/>
      <c r="BC254" s="266"/>
      <c r="BD254" s="1980"/>
      <c r="BE254" s="266"/>
      <c r="BF254" s="1980"/>
      <c r="BG254" s="1981"/>
      <c r="BH254" s="24"/>
      <c r="BI254" s="266"/>
      <c r="BJ254" s="266"/>
      <c r="BK254" s="2889"/>
      <c r="BL254" s="266"/>
      <c r="BM254" s="1980"/>
      <c r="BN254" s="1981"/>
      <c r="BO254" s="266"/>
      <c r="BP254" s="1980"/>
      <c r="BQ254" s="1981"/>
      <c r="BR254" s="24"/>
      <c r="BS254" s="266"/>
      <c r="BT254" s="1980"/>
      <c r="BU254" s="1981"/>
      <c r="BV254" s="24"/>
      <c r="BW254" s="266"/>
      <c r="BX254" s="1980"/>
      <c r="BY254" s="24"/>
      <c r="BZ254" s="389"/>
      <c r="CA254" s="1980"/>
      <c r="CB254" s="1981"/>
      <c r="CC254" s="389"/>
      <c r="CD254" s="1980"/>
      <c r="CE254" s="1981"/>
      <c r="CF254" s="24"/>
      <c r="CG254" s="389"/>
      <c r="CH254" s="1980"/>
      <c r="CI254" s="1981"/>
      <c r="CJ254" s="24"/>
      <c r="CK254" s="389"/>
      <c r="CL254" s="1980"/>
      <c r="CM254" s="1981"/>
      <c r="CN254" s="24"/>
      <c r="CO254" s="24"/>
      <c r="CP254" s="1980"/>
      <c r="CQ254" s="1981"/>
      <c r="CR254" s="1981"/>
      <c r="CS254" s="24"/>
      <c r="CT254" s="428"/>
      <c r="CU254" s="1980"/>
      <c r="CV254"/>
      <c r="CW254" s="266"/>
      <c r="CX254" s="266"/>
      <c r="CY254" s="266"/>
      <c r="CZ254" s="24"/>
      <c r="DA254" s="428"/>
      <c r="DB254" s="1980"/>
      <c r="DC254" s="1981"/>
      <c r="DD254" s="1981"/>
      <c r="DE254" s="1981"/>
      <c r="DF254" s="1981"/>
      <c r="DG254" s="1981"/>
      <c r="DH254" s="2134"/>
      <c r="DI254" s="2135"/>
      <c r="DJ254" s="2136"/>
      <c r="DK254" s="24"/>
      <c r="DL254" s="266"/>
      <c r="DM254" s="1980"/>
      <c r="DN254" s="1981"/>
      <c r="DO254" s="24"/>
      <c r="DP254" s="266"/>
      <c r="DQ254" s="1980"/>
      <c r="DR254" s="1981"/>
      <c r="DS254" s="24"/>
      <c r="DU254" s="1980"/>
      <c r="DV254" s="1981"/>
      <c r="DW254" s="24"/>
      <c r="DX254" s="266"/>
      <c r="DY254" s="1980"/>
      <c r="DZ254" s="1981"/>
      <c r="EA254" s="1981"/>
      <c r="EB254" s="24"/>
      <c r="EC254" s="24"/>
      <c r="ED254" s="24"/>
      <c r="EE254" s="24"/>
      <c r="EG254" s="266"/>
      <c r="EH254" s="1980"/>
      <c r="EI254" s="266"/>
      <c r="EJ254" s="1980"/>
    </row>
    <row r="255" spans="1:140">
      <c r="A255" s="24" t="s">
        <v>549</v>
      </c>
      <c r="B255" s="24"/>
      <c r="C255" s="24"/>
      <c r="D255" s="24"/>
      <c r="E255" s="24"/>
      <c r="F255" s="24"/>
      <c r="G255" s="24"/>
      <c r="H255" s="24"/>
      <c r="I255" s="24"/>
      <c r="J255" s="24"/>
      <c r="K255" s="24"/>
      <c r="L255" s="24"/>
      <c r="M255" s="24"/>
      <c r="N255" s="24"/>
      <c r="O255" s="24"/>
      <c r="P255" s="24"/>
      <c r="Q255" s="24"/>
      <c r="R255" s="24"/>
      <c r="S255" s="24"/>
      <c r="T255" s="24"/>
      <c r="U255" s="24"/>
      <c r="V255" s="24"/>
      <c r="W255" s="24"/>
      <c r="X255" s="24"/>
      <c r="Y255" s="24"/>
      <c r="Z255" s="24"/>
      <c r="AA255" s="24"/>
      <c r="AB255" s="24"/>
      <c r="AC255" s="24"/>
      <c r="AD255" s="24"/>
      <c r="AE255" s="24"/>
      <c r="AF255" s="24"/>
      <c r="AG255" s="2885"/>
      <c r="AH255" s="24"/>
      <c r="AI255" s="24"/>
      <c r="AJ255" s="24"/>
      <c r="AK255" s="24"/>
      <c r="AL255" s="2161"/>
      <c r="AM255" s="24"/>
      <c r="AN255" s="24"/>
      <c r="AO255" s="127"/>
      <c r="AP255" s="24"/>
      <c r="AQ255" s="24"/>
      <c r="AR255" s="24"/>
      <c r="AS255" s="24"/>
      <c r="AT255" s="24"/>
      <c r="AU255" s="24"/>
      <c r="AV255" s="24"/>
      <c r="AW255" s="24"/>
      <c r="AX255" s="24"/>
      <c r="AY255" s="24"/>
      <c r="AZ255" s="24"/>
      <c r="BA255" s="24"/>
      <c r="BB255" s="24"/>
      <c r="BC255" s="266"/>
      <c r="BD255" s="24"/>
      <c r="BE255" s="266"/>
      <c r="BF255" s="24"/>
      <c r="BG255" s="24"/>
      <c r="BH255" s="24"/>
      <c r="BI255" s="2071"/>
      <c r="BJ255" s="2071"/>
      <c r="BK255" s="78"/>
      <c r="BL255" s="24"/>
      <c r="BM255" s="24"/>
      <c r="BN255" s="24"/>
      <c r="BO255" s="24"/>
      <c r="BP255" s="24"/>
      <c r="BQ255" s="24"/>
      <c r="BR255" s="24"/>
      <c r="BS255" s="24"/>
      <c r="BT255" s="24"/>
      <c r="BU255" s="24"/>
      <c r="BV255" s="24"/>
      <c r="BW255" s="24"/>
      <c r="BX255" s="24"/>
      <c r="BY255" s="24"/>
      <c r="BZ255" s="24"/>
      <c r="CA255" s="24"/>
      <c r="CB255" s="24"/>
      <c r="CC255" s="24"/>
      <c r="CD255" s="24"/>
      <c r="CE255" s="24"/>
      <c r="CF255" s="24"/>
      <c r="CG255" s="24"/>
      <c r="CH255" s="24"/>
      <c r="CI255" s="24"/>
      <c r="CJ255" s="24"/>
      <c r="CK255" s="24"/>
      <c r="CL255" s="24"/>
      <c r="CM255" s="24"/>
      <c r="CN255" s="24"/>
      <c r="CO255" s="24"/>
      <c r="CP255" s="24"/>
      <c r="CQ255" s="24"/>
      <c r="CR255" s="24"/>
      <c r="CS255" s="24"/>
      <c r="CT255" s="428"/>
      <c r="CU255" s="1980"/>
      <c r="CV255"/>
      <c r="CW255" s="2071"/>
      <c r="CX255" s="2071"/>
      <c r="CY255" s="2071"/>
      <c r="CZ255" s="24"/>
      <c r="DA255" s="24"/>
      <c r="DB255" s="24"/>
      <c r="DC255" s="1981"/>
      <c r="DD255" s="1981"/>
      <c r="DE255" s="1981"/>
      <c r="DF255" s="1981"/>
      <c r="DG255" s="1981"/>
      <c r="DH255" s="164"/>
      <c r="DI255" s="24"/>
      <c r="DJ255" s="24"/>
      <c r="DK255" s="24"/>
      <c r="DL255" s="266"/>
      <c r="DM255" s="24"/>
      <c r="DN255" s="24"/>
      <c r="DO255" s="24"/>
      <c r="DP255" s="266"/>
      <c r="DQ255" s="24"/>
      <c r="DR255" s="24"/>
      <c r="DS255" s="24"/>
      <c r="DT255" s="1898"/>
      <c r="DU255" s="24"/>
      <c r="DV255" s="24"/>
      <c r="DW255" s="24"/>
      <c r="DX255" s="24"/>
      <c r="DY255" s="24"/>
      <c r="DZ255" s="24"/>
      <c r="EA255" s="24"/>
      <c r="EB255" s="24"/>
      <c r="EC255" s="24"/>
      <c r="ED255" s="24"/>
      <c r="EE255" s="24"/>
      <c r="EG255" s="24"/>
      <c r="EH255" s="24"/>
      <c r="EI255" s="24"/>
      <c r="EJ255" s="24"/>
    </row>
    <row r="256" spans="1:140">
      <c r="A256" s="24" t="s">
        <v>1017</v>
      </c>
      <c r="B256" s="24"/>
      <c r="C256" s="24"/>
      <c r="D256" s="24"/>
      <c r="E256" s="24"/>
      <c r="F256" s="24"/>
      <c r="G256" s="24"/>
      <c r="H256" s="24"/>
      <c r="I256" s="24"/>
      <c r="J256" s="24"/>
      <c r="K256" s="24"/>
      <c r="L256" s="24"/>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4"/>
      <c r="AK256" s="24"/>
      <c r="AL256" s="24"/>
      <c r="AM256" s="24"/>
      <c r="AN256" s="24"/>
      <c r="AO256" s="127"/>
      <c r="AP256" s="24"/>
      <c r="AQ256" s="24"/>
      <c r="AR256" s="24"/>
      <c r="AS256" s="24"/>
      <c r="AT256" s="24"/>
      <c r="AU256" s="24"/>
      <c r="AV256" s="24"/>
      <c r="AW256" s="24"/>
      <c r="AX256" s="24"/>
      <c r="AY256" s="24"/>
      <c r="AZ256" s="24"/>
      <c r="BA256" s="24"/>
      <c r="BB256" s="24"/>
      <c r="BC256" s="387"/>
      <c r="BD256" s="24"/>
      <c r="BE256" s="387"/>
      <c r="BF256" s="24"/>
      <c r="BG256" s="24"/>
      <c r="BH256" s="24"/>
      <c r="BI256" s="24"/>
      <c r="BJ256" s="24"/>
      <c r="BK256" s="78"/>
      <c r="BL256" s="24"/>
      <c r="BM256" s="24"/>
      <c r="BN256" s="24"/>
      <c r="BO256" s="24"/>
      <c r="BP256" s="24"/>
      <c r="BQ256" s="24"/>
      <c r="BR256" s="24"/>
      <c r="BS256" s="24"/>
      <c r="BT256" s="24"/>
      <c r="BU256" s="24"/>
      <c r="BV256" s="24"/>
      <c r="BW256" s="24"/>
      <c r="BX256" s="24"/>
      <c r="BY256" s="24"/>
      <c r="BZ256" s="24"/>
      <c r="CA256" s="24"/>
      <c r="CB256" s="24"/>
      <c r="CC256" s="24"/>
      <c r="CD256" s="24"/>
      <c r="CE256" s="24"/>
      <c r="CF256" s="24"/>
      <c r="CG256" s="24"/>
      <c r="CH256" s="24"/>
      <c r="CI256" s="24"/>
      <c r="CJ256" s="24"/>
      <c r="CK256" s="24"/>
      <c r="CL256" s="24"/>
      <c r="CM256" s="24"/>
      <c r="CN256" s="24"/>
      <c r="CO256" s="24"/>
      <c r="CP256" s="24"/>
      <c r="CQ256" s="24"/>
      <c r="CR256" s="24"/>
      <c r="CS256" s="24"/>
      <c r="CT256" s="127"/>
      <c r="CU256" s="1980"/>
      <c r="CV256" s="1981"/>
      <c r="CW256" s="127"/>
      <c r="CX256" s="127"/>
      <c r="CY256" s="127"/>
      <c r="CZ256" s="24"/>
      <c r="DA256" s="24"/>
      <c r="DB256" s="24"/>
      <c r="DC256" s="1981"/>
      <c r="DD256" s="1981"/>
      <c r="DE256" s="1981"/>
      <c r="DF256" s="1981"/>
      <c r="DG256" s="1981"/>
      <c r="DH256" s="164"/>
      <c r="DI256" s="24"/>
      <c r="DJ256" s="24"/>
      <c r="DK256" s="24"/>
      <c r="DL256" s="266"/>
      <c r="DM256" s="24"/>
      <c r="DN256" s="24"/>
      <c r="DO256" s="24"/>
      <c r="DP256" s="266"/>
      <c r="DQ256" s="24"/>
      <c r="DR256" s="24"/>
      <c r="DS256" s="24"/>
      <c r="DU256" s="24"/>
      <c r="DV256" s="24"/>
      <c r="DW256" s="24"/>
      <c r="DX256" s="24"/>
      <c r="DY256" s="24"/>
      <c r="DZ256" s="24"/>
      <c r="EA256" s="24"/>
      <c r="EB256" s="24"/>
      <c r="EC256" s="24"/>
      <c r="ED256" s="24"/>
      <c r="EE256" s="24"/>
      <c r="EG256" s="24"/>
      <c r="EH256" s="24"/>
      <c r="EI256" s="24"/>
      <c r="EJ256" s="24"/>
    </row>
    <row r="257" spans="1:140">
      <c r="A257" s="24"/>
      <c r="B257" s="2162"/>
      <c r="C257" s="24"/>
      <c r="D257" s="24"/>
      <c r="E257" s="24"/>
      <c r="F257" s="24"/>
      <c r="G257" s="24"/>
      <c r="H257" s="24"/>
      <c r="I257" s="24"/>
      <c r="J257" s="24"/>
      <c r="K257" s="24"/>
      <c r="L257" s="24"/>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127"/>
      <c r="AP257" s="24"/>
      <c r="AQ257" s="24"/>
      <c r="AR257" s="24"/>
      <c r="AS257" s="24"/>
      <c r="AT257" s="24"/>
      <c r="AU257" s="24"/>
      <c r="AV257" s="24"/>
      <c r="AW257" s="24"/>
      <c r="AX257" s="24"/>
      <c r="AY257" s="24"/>
      <c r="AZ257" s="24"/>
      <c r="BA257" s="24"/>
      <c r="BB257" s="24"/>
      <c r="BC257" s="24"/>
      <c r="BD257" s="24"/>
      <c r="BE257" s="24"/>
      <c r="BF257" s="24"/>
      <c r="BG257" s="24"/>
      <c r="BH257" s="24"/>
      <c r="BI257" s="24"/>
      <c r="BJ257" s="24"/>
      <c r="BK257" s="78"/>
      <c r="BL257" s="24"/>
      <c r="BM257" s="24"/>
      <c r="BN257" s="24"/>
      <c r="BO257" s="24"/>
      <c r="BP257" s="24"/>
      <c r="BQ257" s="24"/>
      <c r="BR257" s="24"/>
      <c r="BS257" s="24"/>
      <c r="BT257" s="24"/>
      <c r="BU257" s="24"/>
      <c r="BV257" s="24"/>
      <c r="BW257" s="24"/>
      <c r="BX257" s="24"/>
      <c r="BY257" s="24"/>
      <c r="BZ257" s="24"/>
      <c r="CA257" s="24"/>
      <c r="CB257" s="24"/>
      <c r="CC257" s="24"/>
      <c r="CD257" s="24"/>
      <c r="CE257" s="24"/>
      <c r="CF257" s="24"/>
      <c r="CG257" s="24"/>
      <c r="CH257" s="24"/>
      <c r="CI257" s="24"/>
      <c r="CJ257" s="24"/>
      <c r="CK257" s="24"/>
      <c r="CL257" s="24"/>
      <c r="CM257" s="24"/>
      <c r="CN257" s="24"/>
      <c r="CO257" s="24"/>
      <c r="CP257" s="24"/>
      <c r="CQ257" s="24"/>
      <c r="CR257" s="24"/>
      <c r="CS257" s="24"/>
      <c r="CT257" s="24"/>
      <c r="CU257" s="24"/>
      <c r="CV257" s="24"/>
      <c r="CW257" s="24"/>
      <c r="CX257" s="24"/>
      <c r="CY257" s="24"/>
      <c r="CZ257" s="24"/>
      <c r="DA257" s="24"/>
      <c r="DB257" s="24"/>
      <c r="DC257" s="24"/>
      <c r="DD257" s="24"/>
      <c r="DE257" s="24"/>
      <c r="DF257" s="24"/>
      <c r="DG257" s="24"/>
      <c r="DH257" s="24"/>
      <c r="DI257" s="24"/>
      <c r="DJ257" s="24"/>
      <c r="DK257" s="24"/>
      <c r="DL257" s="381"/>
      <c r="DM257" s="24"/>
      <c r="DN257" s="24"/>
      <c r="DO257" s="24"/>
      <c r="DP257" s="381"/>
      <c r="DQ257" s="24"/>
      <c r="DR257" s="24"/>
      <c r="DS257" s="24"/>
      <c r="DT257" s="381"/>
      <c r="DU257" s="24"/>
      <c r="DV257" s="24"/>
      <c r="DW257" s="24"/>
      <c r="DX257" s="266"/>
      <c r="DY257" s="24"/>
      <c r="DZ257" s="24"/>
      <c r="EA257" s="24"/>
      <c r="EB257" s="24"/>
      <c r="EC257" s="1690"/>
      <c r="ED257" s="24"/>
      <c r="EE257" s="24"/>
      <c r="EG257" s="381"/>
      <c r="EH257" s="24"/>
      <c r="EI257" s="381"/>
      <c r="EJ257" s="24"/>
    </row>
    <row r="258" spans="1:140">
      <c r="A258" s="24"/>
      <c r="B258" s="24"/>
      <c r="C258" s="24"/>
      <c r="D258" s="24"/>
      <c r="E258" s="24"/>
      <c r="F258" s="24"/>
      <c r="G258" s="24"/>
      <c r="H258" s="24"/>
      <c r="I258" s="24"/>
      <c r="J258" s="24"/>
      <c r="K258" s="428"/>
      <c r="L258" s="1692"/>
      <c r="M258" s="266"/>
      <c r="N258" s="381"/>
      <c r="O258" s="24"/>
      <c r="P258" s="24"/>
      <c r="Q258" s="24"/>
      <c r="R258" s="24"/>
      <c r="S258" s="24"/>
      <c r="T258" s="24"/>
      <c r="U258" s="24"/>
      <c r="V258" s="24"/>
      <c r="W258" s="24"/>
      <c r="X258" s="24"/>
      <c r="Y258" s="24"/>
      <c r="Z258" s="24"/>
      <c r="AA258" s="24"/>
      <c r="AB258" s="24"/>
      <c r="AC258" s="24"/>
      <c r="AD258" s="24"/>
      <c r="AE258" s="24"/>
      <c r="AF258" s="24"/>
      <c r="AG258" s="24"/>
      <c r="AH258" s="24"/>
      <c r="AI258" s="24"/>
      <c r="AJ258" s="24"/>
      <c r="AK258" s="24"/>
      <c r="AL258" s="24"/>
      <c r="AM258" s="24"/>
      <c r="AN258" s="24"/>
      <c r="AO258" s="24"/>
      <c r="AP258" s="24"/>
      <c r="AQ258" s="24"/>
      <c r="AR258" s="24"/>
      <c r="AS258" s="24"/>
      <c r="AT258" s="24"/>
      <c r="AU258" s="24"/>
      <c r="AV258" s="24"/>
      <c r="AW258" s="24"/>
      <c r="AX258" s="24"/>
      <c r="AY258" s="24"/>
      <c r="AZ258" s="24"/>
      <c r="BA258" s="24"/>
      <c r="BB258" s="24"/>
      <c r="BC258" s="24"/>
      <c r="BD258" s="24"/>
      <c r="BE258" s="24"/>
      <c r="BF258" s="24"/>
      <c r="BG258" s="24"/>
      <c r="BH258" s="24"/>
      <c r="BI258" s="24"/>
      <c r="BJ258" s="24"/>
      <c r="BK258" s="78"/>
      <c r="BL258" s="24"/>
      <c r="BM258" s="24"/>
      <c r="BN258" s="24"/>
      <c r="BO258" s="24"/>
      <c r="BP258" s="24"/>
      <c r="BQ258" s="24"/>
      <c r="BR258" s="24"/>
      <c r="BS258" s="24"/>
      <c r="BT258" s="24"/>
      <c r="BU258" s="24"/>
      <c r="BV258" s="24"/>
      <c r="BW258" s="24"/>
      <c r="BX258" s="24"/>
      <c r="BY258" s="24"/>
      <c r="BZ258" s="24"/>
      <c r="CA258" s="24"/>
      <c r="CB258" s="24"/>
      <c r="CC258" s="24"/>
      <c r="CD258" s="24"/>
      <c r="CE258" s="24"/>
      <c r="CF258" s="24"/>
      <c r="CG258" s="24"/>
      <c r="CH258" s="24"/>
      <c r="CI258" s="24"/>
      <c r="CJ258" s="24"/>
      <c r="CK258" s="24"/>
      <c r="CL258" s="24"/>
      <c r="CM258" s="24"/>
      <c r="CN258" s="24"/>
      <c r="CO258" s="24"/>
      <c r="CP258" s="24"/>
      <c r="CQ258" s="24"/>
      <c r="CR258" s="24"/>
      <c r="CS258" s="24"/>
      <c r="CT258" s="24"/>
      <c r="CU258" s="24"/>
      <c r="CV258" s="24"/>
      <c r="CW258" s="24"/>
      <c r="CX258" s="24"/>
      <c r="CY258" s="24"/>
      <c r="CZ258" s="24"/>
      <c r="DA258" s="24"/>
      <c r="DB258" s="24"/>
      <c r="DC258" s="24"/>
      <c r="DD258" s="24"/>
      <c r="DE258" s="24"/>
      <c r="DF258" s="24"/>
      <c r="DG258" s="24"/>
      <c r="DH258" s="24"/>
      <c r="DI258" s="91"/>
      <c r="DJ258" s="24"/>
      <c r="DK258" s="24"/>
      <c r="DL258" s="24"/>
      <c r="DM258" s="91"/>
      <c r="DN258" s="24"/>
      <c r="DO258" s="24"/>
      <c r="DP258" s="24"/>
      <c r="DQ258" s="91"/>
      <c r="DR258" s="24"/>
      <c r="DS258" s="24"/>
      <c r="DT258" s="24"/>
      <c r="DU258" s="24"/>
      <c r="DV258" s="24"/>
      <c r="DW258" s="24"/>
      <c r="DX258" s="24"/>
      <c r="DY258" s="24"/>
      <c r="DZ258" s="2163"/>
      <c r="EA258" s="24"/>
      <c r="EB258" s="24"/>
      <c r="ED258" s="91"/>
      <c r="EE258" s="24"/>
      <c r="EF258" s="91"/>
      <c r="EG258" s="24"/>
    </row>
    <row r="259" spans="1:140">
      <c r="A259" s="24"/>
      <c r="B259" s="24"/>
      <c r="C259" s="24"/>
      <c r="D259" s="24"/>
      <c r="E259" s="266"/>
      <c r="F259" s="266"/>
      <c r="G259" s="24"/>
      <c r="H259" s="24"/>
      <c r="I259" s="24"/>
      <c r="J259" s="24"/>
      <c r="K259" s="428"/>
      <c r="L259" s="1692"/>
      <c r="M259" s="24"/>
      <c r="N259" s="428"/>
      <c r="O259" s="24"/>
      <c r="P259" s="24"/>
      <c r="Q259" s="24"/>
      <c r="R259" s="24"/>
      <c r="S259" s="24"/>
      <c r="T259" s="24"/>
      <c r="U259" s="24"/>
      <c r="V259" s="24"/>
      <c r="W259" s="24"/>
      <c r="X259" s="24"/>
      <c r="Y259" s="24"/>
      <c r="Z259" s="24"/>
      <c r="AA259" s="24"/>
      <c r="AB259" s="24"/>
      <c r="AC259" s="24"/>
      <c r="AD259" s="24"/>
      <c r="AE259" s="24"/>
      <c r="AF259" s="24"/>
      <c r="AG259" s="24"/>
      <c r="AH259" s="24"/>
      <c r="AI259" s="24"/>
      <c r="AJ259" s="24"/>
      <c r="AK259" s="24"/>
      <c r="AL259" s="24"/>
      <c r="AM259" s="24"/>
      <c r="AN259" s="24"/>
      <c r="AO259" s="24"/>
      <c r="AP259" s="24"/>
      <c r="AQ259" s="24"/>
      <c r="AR259" s="24" t="s">
        <v>412</v>
      </c>
      <c r="AS259" s="24"/>
      <c r="AT259" s="24"/>
      <c r="AU259" s="24"/>
      <c r="AV259" s="24"/>
      <c r="AW259" s="24"/>
      <c r="AX259" s="24"/>
      <c r="AY259" s="24"/>
      <c r="AZ259" s="24"/>
      <c r="BA259" s="24"/>
      <c r="BB259" s="24"/>
      <c r="BC259" s="24"/>
      <c r="BD259" s="24"/>
      <c r="BE259" s="24"/>
      <c r="BF259" s="24"/>
      <c r="BG259" s="24"/>
      <c r="BH259" s="24"/>
      <c r="BI259" s="24"/>
      <c r="BJ259" s="24"/>
      <c r="BK259" s="78"/>
      <c r="BL259" s="24"/>
      <c r="BM259" s="24"/>
      <c r="BN259" s="24"/>
      <c r="BO259" s="24"/>
      <c r="BP259" s="24"/>
      <c r="BQ259" s="24"/>
      <c r="BR259" s="24"/>
      <c r="BS259" s="24"/>
      <c r="BT259" s="24"/>
      <c r="BU259" s="24"/>
      <c r="BV259" s="24"/>
      <c r="BW259" s="24"/>
      <c r="BX259" s="24"/>
      <c r="BY259" s="24"/>
      <c r="BZ259" s="24"/>
      <c r="CA259" s="24"/>
      <c r="CB259" s="24"/>
      <c r="CC259" s="24"/>
      <c r="CD259" s="24"/>
      <c r="CE259" s="24"/>
      <c r="CF259" s="24"/>
      <c r="CG259" s="24"/>
      <c r="CH259" s="24"/>
      <c r="CI259" s="24"/>
      <c r="CJ259" s="24"/>
      <c r="CK259" s="24"/>
      <c r="CL259" s="24"/>
      <c r="CM259" s="24"/>
      <c r="CN259" s="24"/>
      <c r="CO259" s="24"/>
      <c r="CP259" s="24"/>
      <c r="CQ259" s="24"/>
      <c r="CR259" s="24"/>
      <c r="CS259" s="24"/>
      <c r="CT259" s="24"/>
      <c r="CU259" s="24"/>
      <c r="CV259" s="24"/>
      <c r="CW259" s="24"/>
      <c r="CX259" s="24"/>
      <c r="CY259" s="24"/>
      <c r="CZ259" s="24"/>
      <c r="DA259" s="24"/>
      <c r="DB259" s="24"/>
      <c r="DC259" s="24"/>
      <c r="DD259" s="24"/>
      <c r="DE259" s="24"/>
      <c r="DF259" s="24"/>
      <c r="DG259" s="24"/>
      <c r="DH259" s="24"/>
      <c r="DI259" s="91"/>
      <c r="DJ259" s="24"/>
      <c r="DK259" s="24"/>
      <c r="DL259" s="24"/>
      <c r="DM259" s="91"/>
      <c r="DN259" s="24"/>
      <c r="DO259" s="24"/>
      <c r="DP259" s="24"/>
      <c r="DQ259" s="91"/>
      <c r="DR259" s="24"/>
      <c r="DS259" s="24"/>
      <c r="DT259" s="43"/>
      <c r="DU259" s="266"/>
      <c r="DV259" s="24"/>
      <c r="DW259" s="24"/>
      <c r="DX259" s="24"/>
      <c r="DY259" s="24"/>
      <c r="DZ259" s="2163"/>
      <c r="EA259" s="24"/>
      <c r="EB259" s="24"/>
      <c r="ED259" s="91"/>
      <c r="EE259" s="24"/>
      <c r="EF259" s="91"/>
      <c r="EG259" s="24"/>
    </row>
    <row r="260" spans="1:140">
      <c r="A260" s="24"/>
      <c r="B260" s="24"/>
      <c r="C260" s="24"/>
      <c r="D260" s="24"/>
      <c r="E260" s="266"/>
      <c r="F260" s="266"/>
      <c r="G260" s="24"/>
      <c r="H260" s="24"/>
      <c r="I260" s="24"/>
      <c r="J260" s="24"/>
      <c r="K260" s="428"/>
      <c r="L260" s="1692"/>
      <c r="M260" s="24"/>
      <c r="N260" s="428"/>
      <c r="O260" s="24"/>
      <c r="P260" s="24"/>
      <c r="Q260" s="24"/>
      <c r="R260" s="24"/>
      <c r="S260" s="24"/>
      <c r="T260" s="24"/>
      <c r="U260" s="24"/>
      <c r="V260" s="24"/>
      <c r="W260" s="24"/>
      <c r="X260" s="24"/>
      <c r="Y260" s="24"/>
      <c r="Z260" s="24"/>
      <c r="AA260" s="24"/>
      <c r="AB260" s="24"/>
      <c r="AC260" s="24"/>
      <c r="AD260" s="24"/>
      <c r="AE260" s="24"/>
      <c r="AF260" s="24"/>
      <c r="AG260" s="24"/>
      <c r="AH260" s="24"/>
      <c r="AI260" s="24"/>
      <c r="AJ260" s="24"/>
      <c r="AK260" s="24"/>
      <c r="AL260" s="24"/>
      <c r="AM260" s="24"/>
      <c r="AN260" s="24"/>
      <c r="AO260" s="24"/>
      <c r="AP260" s="24"/>
      <c r="AQ260" s="24"/>
      <c r="AR260" s="24" t="s">
        <v>97</v>
      </c>
      <c r="AS260" s="24"/>
      <c r="AT260" s="24"/>
      <c r="AU260" s="24"/>
      <c r="AV260" s="24"/>
      <c r="AW260" s="24"/>
      <c r="AX260" s="24"/>
      <c r="AY260" s="24"/>
      <c r="AZ260" s="24"/>
      <c r="BA260" s="24"/>
      <c r="BB260" s="24"/>
      <c r="BC260" s="24"/>
      <c r="BD260" s="24"/>
      <c r="BE260" s="24"/>
      <c r="BF260" s="24"/>
      <c r="BG260" s="24"/>
      <c r="BH260" s="24"/>
      <c r="BI260" s="24"/>
      <c r="BJ260" s="24"/>
      <c r="BK260" s="78"/>
      <c r="BL260" s="24"/>
      <c r="BM260" s="24"/>
      <c r="BN260" s="24"/>
      <c r="BO260" s="24"/>
      <c r="BP260" s="24"/>
      <c r="BQ260" s="24"/>
      <c r="BR260" s="24"/>
      <c r="BS260" s="24"/>
      <c r="BT260" s="24"/>
      <c r="BU260" s="24"/>
      <c r="BV260" s="24"/>
      <c r="BW260" s="24"/>
      <c r="BX260" s="24"/>
      <c r="BY260" s="24"/>
      <c r="BZ260" s="24"/>
      <c r="CA260" s="24"/>
      <c r="CB260" s="24"/>
      <c r="CC260" s="24"/>
      <c r="CD260" s="24"/>
      <c r="CE260" s="24"/>
      <c r="CF260" s="24"/>
      <c r="CG260" s="24"/>
      <c r="CH260" s="24"/>
      <c r="CI260" s="24"/>
      <c r="CJ260" s="24"/>
      <c r="CK260" s="24"/>
      <c r="CL260" s="24"/>
      <c r="CM260" s="24"/>
      <c r="CN260" s="24"/>
      <c r="CO260" s="24"/>
      <c r="CP260" s="24"/>
      <c r="CQ260" s="24"/>
      <c r="CR260" s="24"/>
      <c r="CS260" s="24"/>
      <c r="CT260" s="24"/>
      <c r="CU260" s="24"/>
      <c r="CV260" s="24"/>
      <c r="CW260" s="24"/>
      <c r="CX260" s="24"/>
      <c r="CY260" s="24"/>
      <c r="CZ260" s="24"/>
      <c r="DA260" s="24"/>
      <c r="DB260" s="24"/>
      <c r="DC260" s="24"/>
      <c r="DD260" s="24"/>
      <c r="DE260" s="24"/>
      <c r="DF260" s="24"/>
      <c r="DG260" s="24"/>
      <c r="DH260" s="24"/>
      <c r="DI260" s="91"/>
      <c r="DJ260" s="24"/>
      <c r="DK260" s="24"/>
      <c r="DL260" s="24"/>
      <c r="DM260" s="91"/>
      <c r="DN260" s="24"/>
      <c r="DO260" s="24"/>
      <c r="DP260" s="24"/>
      <c r="DQ260" s="91"/>
      <c r="DR260" s="24"/>
      <c r="DS260" s="24"/>
      <c r="DT260" s="24"/>
      <c r="DU260" s="24"/>
      <c r="DV260" s="24"/>
      <c r="DW260" s="24"/>
      <c r="DX260" s="24"/>
      <c r="DY260" s="24"/>
      <c r="DZ260" s="2163"/>
      <c r="EA260" s="24"/>
      <c r="EB260" s="24"/>
      <c r="ED260" s="91"/>
      <c r="EE260" s="24"/>
      <c r="EF260" s="91"/>
      <c r="EG260" s="24"/>
    </row>
    <row r="261" spans="1:140">
      <c r="A261" s="24"/>
      <c r="B261" s="24"/>
      <c r="C261" s="24"/>
      <c r="D261" s="24"/>
      <c r="E261" s="266"/>
      <c r="F261" s="266"/>
      <c r="G261" s="24"/>
      <c r="H261" s="24"/>
      <c r="I261" s="24"/>
      <c r="J261" s="24"/>
      <c r="K261" s="428"/>
      <c r="L261" s="1692"/>
      <c r="M261" s="24"/>
      <c r="N261" s="428"/>
      <c r="O261" s="24"/>
      <c r="P261" s="24"/>
      <c r="Q261" s="24"/>
      <c r="R261" s="24"/>
      <c r="S261" s="24"/>
      <c r="T261" s="24"/>
      <c r="U261" s="24"/>
      <c r="V261" s="24"/>
      <c r="W261" s="24"/>
      <c r="X261" s="24"/>
      <c r="Y261" s="24"/>
      <c r="Z261" s="24"/>
      <c r="AA261" s="24"/>
      <c r="AB261" s="24"/>
      <c r="AC261" s="24"/>
      <c r="AD261" s="24"/>
      <c r="AE261" s="24"/>
      <c r="AF261" s="24"/>
      <c r="AG261" s="24"/>
      <c r="AH261" s="24"/>
      <c r="AI261" s="24"/>
      <c r="AJ261" s="24"/>
      <c r="AK261" s="24"/>
      <c r="AL261" s="24"/>
      <c r="AM261" s="24"/>
      <c r="AN261" s="24"/>
      <c r="AO261" s="24"/>
      <c r="AP261" s="24"/>
      <c r="AQ261" s="24"/>
      <c r="AR261" s="24" t="s">
        <v>98</v>
      </c>
      <c r="AS261" s="24"/>
      <c r="AT261" s="24"/>
      <c r="AU261" s="24"/>
      <c r="AV261" s="24"/>
      <c r="AW261" s="24"/>
      <c r="AX261" s="24"/>
      <c r="AY261" s="24"/>
      <c r="AZ261" s="24"/>
      <c r="BA261" s="24"/>
      <c r="BB261" s="24"/>
      <c r="BC261" s="24"/>
      <c r="BD261" s="24"/>
      <c r="BE261" s="24"/>
      <c r="BF261" s="24"/>
      <c r="BG261" s="24"/>
      <c r="BH261" s="24"/>
      <c r="BI261" s="24"/>
      <c r="BJ261" s="24"/>
      <c r="BK261" s="78"/>
      <c r="BL261" s="24"/>
      <c r="BM261" s="24"/>
      <c r="BN261" s="24"/>
      <c r="BO261" s="24"/>
      <c r="BP261" s="24"/>
      <c r="BQ261" s="24"/>
      <c r="BR261" s="24"/>
      <c r="BS261" s="24"/>
      <c r="BT261" s="24"/>
      <c r="BU261" s="24"/>
      <c r="BV261" s="24"/>
      <c r="BW261" s="24"/>
      <c r="BX261" s="24"/>
      <c r="BY261" s="24"/>
      <c r="BZ261" s="24"/>
      <c r="CA261" s="24"/>
      <c r="CB261" s="24"/>
      <c r="CC261" s="24"/>
      <c r="CD261" s="24"/>
      <c r="CE261" s="24"/>
      <c r="CF261" s="24"/>
      <c r="CG261" s="24"/>
      <c r="CH261" s="24"/>
      <c r="CI261" s="24"/>
      <c r="CJ261" s="24"/>
      <c r="CK261" s="24"/>
      <c r="CL261" s="24"/>
      <c r="CM261" s="24"/>
      <c r="CN261" s="24"/>
      <c r="CO261" s="24"/>
      <c r="CP261" s="24"/>
      <c r="CQ261" s="24"/>
      <c r="CR261" s="24"/>
      <c r="CS261" s="24"/>
      <c r="CT261" s="24"/>
      <c r="CU261" s="24"/>
      <c r="CV261" s="24"/>
      <c r="CW261" s="24"/>
      <c r="CX261" s="24"/>
      <c r="CY261" s="24"/>
      <c r="CZ261" s="24"/>
      <c r="DA261" s="24"/>
      <c r="DB261" s="24"/>
      <c r="DC261" s="24"/>
      <c r="DD261" s="24"/>
      <c r="DE261" s="24"/>
      <c r="DF261" s="24"/>
      <c r="DG261" s="24"/>
      <c r="DH261" s="24"/>
      <c r="DI261" s="91"/>
      <c r="DJ261" s="24"/>
      <c r="DK261" s="24"/>
      <c r="DL261" s="24"/>
      <c r="DM261" s="91"/>
      <c r="DN261" s="24"/>
      <c r="DO261" s="24"/>
      <c r="DP261" s="24"/>
      <c r="DQ261" s="91"/>
      <c r="DR261" s="24"/>
      <c r="DS261" s="24"/>
      <c r="DT261" s="24"/>
      <c r="DU261" s="24"/>
      <c r="DV261" s="24"/>
      <c r="DW261" s="24"/>
      <c r="DX261" s="24"/>
      <c r="DY261" s="24"/>
      <c r="DZ261" s="2164"/>
      <c r="EA261" s="24"/>
      <c r="EB261" s="24"/>
      <c r="ED261" s="91"/>
      <c r="EE261" s="24"/>
      <c r="EF261" s="91"/>
      <c r="EG261" s="24"/>
    </row>
    <row r="262" spans="1:140">
      <c r="L262" s="1692"/>
      <c r="AR262" s="24" t="s">
        <v>99</v>
      </c>
      <c r="BC262" s="24"/>
      <c r="BD262" s="24"/>
    </row>
    <row r="263" spans="1:140">
      <c r="BC263" s="24"/>
      <c r="BD263" s="24"/>
    </row>
    <row r="264" spans="1:140">
      <c r="BC264" s="24"/>
      <c r="BD264" s="24"/>
      <c r="BE264" s="24"/>
      <c r="BF264" s="24"/>
    </row>
    <row r="265" spans="1:140">
      <c r="BC265" s="24"/>
      <c r="BD265" s="356"/>
      <c r="BE265" s="24"/>
      <c r="BF265" s="356"/>
    </row>
  </sheetData>
  <phoneticPr fontId="0" type="noConversion"/>
  <printOptions horizontalCentered="1"/>
  <pageMargins left="0" right="0" top="0.5" bottom="0.25" header="0.5" footer="0.5"/>
  <pageSetup scale="56" orientation="landscape" r:id="rId1"/>
  <headerFooter alignWithMargins="0">
    <oddFooter>&amp;R&amp;8&amp;D/&amp;T
&amp;F/&amp;A</oddFooter>
  </headerFooter>
  <colBreaks count="1" manualBreakCount="1">
    <brk id="96" max="1048575" man="1"/>
  </colBreaks>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BF122"/>
  <sheetViews>
    <sheetView topLeftCell="C1" zoomScaleNormal="100" workbookViewId="0">
      <selection activeCell="K47" sqref="K47"/>
    </sheetView>
  </sheetViews>
  <sheetFormatPr defaultRowHeight="12.75" outlineLevelRow="1"/>
  <cols>
    <col min="1" max="1" width="3" bestFit="1" customWidth="1"/>
    <col min="2" max="2" width="5.5703125" bestFit="1" customWidth="1"/>
    <col min="3" max="3" width="11" customWidth="1"/>
    <col min="4" max="4" width="6.85546875" customWidth="1"/>
    <col min="5" max="5" width="9.7109375" customWidth="1"/>
    <col min="6" max="6" width="7.85546875" customWidth="1"/>
    <col min="7" max="7" width="8.140625" customWidth="1"/>
    <col min="8" max="8" width="5.85546875" customWidth="1"/>
    <col min="9" max="9" width="17.7109375" customWidth="1"/>
    <col min="10" max="10" width="10" customWidth="1"/>
    <col min="11" max="11" width="7.140625" customWidth="1"/>
    <col min="12" max="12" width="7.42578125" customWidth="1"/>
    <col min="13" max="13" width="6.85546875" customWidth="1"/>
    <col min="14" max="14" width="7.7109375" customWidth="1"/>
    <col min="15" max="15" width="6.28515625" bestFit="1" customWidth="1"/>
    <col min="16" max="17" width="7.5703125" customWidth="1"/>
    <col min="18" max="19" width="6.7109375" customWidth="1"/>
    <col min="20" max="20" width="7.140625" bestFit="1" customWidth="1"/>
    <col min="21" max="21" width="6.28515625" customWidth="1"/>
    <col min="22" max="22" width="2.7109375" customWidth="1"/>
    <col min="23" max="23" width="8.85546875" customWidth="1"/>
    <col min="24" max="24" width="5.85546875" customWidth="1"/>
    <col min="25" max="25" width="9.7109375" customWidth="1"/>
    <col min="26" max="26" width="5.7109375" customWidth="1"/>
    <col min="27" max="27" width="8.85546875" customWidth="1"/>
    <col min="28" max="28" width="5.28515625" customWidth="1"/>
    <col min="29" max="29" width="8.140625" bestFit="1" customWidth="1"/>
    <col min="30" max="30" width="7.5703125" customWidth="1"/>
    <col min="31" max="31" width="2.7109375" customWidth="1"/>
    <col min="32" max="32" width="7.85546875" customWidth="1"/>
    <col min="33" max="33" width="6.140625" customWidth="1"/>
    <col min="34" max="34" width="6.5703125" customWidth="1"/>
    <col min="35" max="35" width="1.42578125" customWidth="1"/>
    <col min="36" max="36" width="6.7109375" customWidth="1"/>
    <col min="37" max="37" width="1.85546875" customWidth="1"/>
    <col min="38" max="38" width="6.85546875" customWidth="1"/>
    <col min="39" max="39" width="1.85546875" customWidth="1"/>
    <col min="40" max="40" width="8.7109375" customWidth="1"/>
    <col min="41" max="41" width="9" customWidth="1"/>
  </cols>
  <sheetData>
    <row r="1" spans="1:58" ht="13.5" customHeight="1" thickBot="1"/>
    <row r="2" spans="1:58">
      <c r="A2" s="1283"/>
      <c r="B2" s="1284"/>
      <c r="C2" s="2924" t="s">
        <v>74</v>
      </c>
      <c r="D2" s="2924"/>
      <c r="E2" s="2924"/>
      <c r="F2" s="2924"/>
      <c r="G2" s="2924"/>
      <c r="H2" s="2924"/>
      <c r="I2" s="2924"/>
      <c r="J2" s="2924"/>
      <c r="K2" s="2924"/>
      <c r="L2" s="2924"/>
      <c r="M2" s="2924"/>
      <c r="N2" s="2924"/>
      <c r="O2" s="2924"/>
      <c r="P2" s="2924"/>
      <c r="Q2" s="2924"/>
      <c r="R2" s="1285"/>
      <c r="S2" s="1285"/>
      <c r="T2" s="1285"/>
      <c r="U2" s="1285"/>
      <c r="V2" s="2923" t="s">
        <v>1240</v>
      </c>
      <c r="W2" s="2924"/>
      <c r="X2" s="2924"/>
      <c r="Y2" s="2924"/>
      <c r="Z2" s="2924"/>
      <c r="AA2" s="2924"/>
      <c r="AB2" s="2924"/>
      <c r="AC2" s="2924"/>
      <c r="AD2" s="2924"/>
      <c r="AE2" s="2924"/>
      <c r="AF2" s="2924"/>
      <c r="AG2" s="2924"/>
      <c r="AH2" s="2924"/>
      <c r="AI2" s="2924"/>
      <c r="AJ2" s="2924"/>
      <c r="AK2" s="2924"/>
      <c r="AL2" s="2924"/>
      <c r="AM2" s="2924"/>
      <c r="AN2" s="2924"/>
      <c r="AO2" s="1299"/>
      <c r="AP2" s="1280"/>
      <c r="AQ2" s="1280"/>
      <c r="AR2" s="1280"/>
      <c r="AS2" s="1280"/>
      <c r="AT2" s="1280"/>
      <c r="AU2" s="1280"/>
      <c r="AV2" s="1280"/>
      <c r="AW2" s="1280"/>
      <c r="AX2" s="1280"/>
      <c r="AY2" s="1280"/>
      <c r="AZ2" s="1280"/>
      <c r="BA2" s="1280"/>
      <c r="BB2" s="1280"/>
      <c r="BC2" s="1280"/>
      <c r="BD2" s="1280"/>
      <c r="BE2" s="1280"/>
      <c r="BF2" s="1280"/>
    </row>
    <row r="3" spans="1:58">
      <c r="A3" s="1286"/>
      <c r="B3" s="129"/>
      <c r="C3" s="2926" t="s">
        <v>77</v>
      </c>
      <c r="D3" s="2926"/>
      <c r="E3" s="2926"/>
      <c r="F3" s="2926"/>
      <c r="G3" s="2926"/>
      <c r="H3" s="2926"/>
      <c r="I3" s="2926"/>
      <c r="J3" s="2926"/>
      <c r="K3" s="2926"/>
      <c r="L3" s="1344"/>
      <c r="M3" s="2926" t="s">
        <v>76</v>
      </c>
      <c r="N3" s="2927"/>
      <c r="O3" s="2927"/>
      <c r="P3" s="2927"/>
      <c r="Q3" s="2927"/>
      <c r="R3" s="2927"/>
      <c r="S3" s="2927"/>
      <c r="T3" s="129"/>
      <c r="U3" s="1287"/>
      <c r="V3" s="2925" t="s">
        <v>1241</v>
      </c>
      <c r="W3" s="2926"/>
      <c r="X3" s="2926"/>
      <c r="Y3" s="2926"/>
      <c r="Z3" s="2926"/>
      <c r="AA3" s="2926"/>
      <c r="AB3" s="2926"/>
      <c r="AC3" s="2926"/>
      <c r="AD3" s="2926"/>
      <c r="AE3" s="2926" t="s">
        <v>76</v>
      </c>
      <c r="AF3" s="2926"/>
      <c r="AG3" s="2927"/>
      <c r="AH3" s="2927"/>
      <c r="AI3" s="2927"/>
      <c r="AJ3" s="2927"/>
      <c r="AK3" s="2927"/>
      <c r="AL3" s="2927"/>
      <c r="AM3" s="2927"/>
      <c r="AN3" s="2927"/>
      <c r="AO3" s="1287"/>
    </row>
    <row r="4" spans="1:58">
      <c r="A4" s="1286"/>
      <c r="B4" s="129"/>
      <c r="C4" s="1382" t="s">
        <v>79</v>
      </c>
      <c r="D4" s="1383" t="s">
        <v>1084</v>
      </c>
      <c r="E4" s="1380" t="s">
        <v>80</v>
      </c>
      <c r="F4" s="1383" t="s">
        <v>1084</v>
      </c>
      <c r="G4" s="1380" t="s">
        <v>1256</v>
      </c>
      <c r="H4" s="1383" t="s">
        <v>1084</v>
      </c>
      <c r="I4" s="1380" t="s">
        <v>889</v>
      </c>
      <c r="J4" s="1269" t="s">
        <v>78</v>
      </c>
      <c r="K4" s="1304"/>
      <c r="L4" s="1288" t="s">
        <v>1084</v>
      </c>
      <c r="M4" s="1388"/>
      <c r="N4" s="1313" t="s">
        <v>1129</v>
      </c>
      <c r="O4" s="1260" t="s">
        <v>1084</v>
      </c>
      <c r="P4" s="1277" t="s">
        <v>399</v>
      </c>
      <c r="Q4" s="1260" t="s">
        <v>1084</v>
      </c>
      <c r="R4" s="1277" t="s">
        <v>0</v>
      </c>
      <c r="S4" s="1260" t="s">
        <v>1084</v>
      </c>
      <c r="T4" s="1271" t="s">
        <v>72</v>
      </c>
      <c r="U4" s="1355"/>
      <c r="W4" s="1300" t="s">
        <v>1253</v>
      </c>
      <c r="X4" s="1260" t="s">
        <v>1084</v>
      </c>
      <c r="Y4" s="1275" t="s">
        <v>80</v>
      </c>
      <c r="Z4" s="1260" t="s">
        <v>1084</v>
      </c>
      <c r="AA4" s="1380" t="s">
        <v>1256</v>
      </c>
      <c r="AB4" s="1260" t="s">
        <v>1084</v>
      </c>
      <c r="AC4" s="1275" t="s">
        <v>83</v>
      </c>
      <c r="AD4" s="1269" t="s">
        <v>78</v>
      </c>
      <c r="AE4" s="748"/>
      <c r="AF4" s="1313" t="s">
        <v>1129</v>
      </c>
      <c r="AG4" s="1260" t="s">
        <v>1084</v>
      </c>
      <c r="AH4" s="1277" t="s">
        <v>399</v>
      </c>
      <c r="AI4" s="1260"/>
      <c r="AJ4" s="1277" t="s">
        <v>0</v>
      </c>
      <c r="AK4" s="1260"/>
      <c r="AL4" s="1277" t="s">
        <v>1285</v>
      </c>
      <c r="AM4" s="1260"/>
      <c r="AN4" s="1318" t="s">
        <v>1244</v>
      </c>
      <c r="AO4" s="1393" t="s">
        <v>72</v>
      </c>
      <c r="AP4" s="1286"/>
    </row>
    <row r="5" spans="1:58">
      <c r="A5" s="1286"/>
      <c r="B5" s="129"/>
      <c r="C5" s="1384" t="s">
        <v>558</v>
      </c>
      <c r="D5" s="1385" t="s">
        <v>528</v>
      </c>
      <c r="E5" s="230" t="s">
        <v>81</v>
      </c>
      <c r="F5" s="1385" t="s">
        <v>528</v>
      </c>
      <c r="G5" s="230" t="s">
        <v>41</v>
      </c>
      <c r="H5" s="1385" t="s">
        <v>528</v>
      </c>
      <c r="I5" s="1381"/>
      <c r="J5" s="1270" t="s">
        <v>82</v>
      </c>
      <c r="K5" s="1262" t="s">
        <v>73</v>
      </c>
      <c r="L5" s="1289" t="s">
        <v>528</v>
      </c>
      <c r="M5" s="473"/>
      <c r="N5" s="1278" t="s">
        <v>71</v>
      </c>
      <c r="O5" s="1261" t="s">
        <v>528</v>
      </c>
      <c r="P5" s="1279" t="s">
        <v>400</v>
      </c>
      <c r="Q5" s="1261" t="s">
        <v>528</v>
      </c>
      <c r="R5" s="1279" t="s">
        <v>69</v>
      </c>
      <c r="S5" s="1261" t="s">
        <v>528</v>
      </c>
      <c r="T5" s="1263" t="s">
        <v>83</v>
      </c>
      <c r="U5" s="1290" t="s">
        <v>73</v>
      </c>
      <c r="W5" s="1301" t="s">
        <v>1254</v>
      </c>
      <c r="X5" s="1261" t="s">
        <v>1242</v>
      </c>
      <c r="Y5" s="1276" t="s">
        <v>1243</v>
      </c>
      <c r="Z5" s="1261" t="s">
        <v>1242</v>
      </c>
      <c r="AA5" s="230" t="s">
        <v>41</v>
      </c>
      <c r="AB5" s="1261" t="s">
        <v>1242</v>
      </c>
      <c r="AC5" s="1276"/>
      <c r="AD5" s="1270" t="s">
        <v>82</v>
      </c>
      <c r="AE5" s="748"/>
      <c r="AF5" s="1278" t="s">
        <v>71</v>
      </c>
      <c r="AG5" s="1261" t="s">
        <v>1242</v>
      </c>
      <c r="AH5" s="1279" t="s">
        <v>400</v>
      </c>
      <c r="AI5" s="1261"/>
      <c r="AJ5" s="1279" t="s">
        <v>69</v>
      </c>
      <c r="AK5" s="1261"/>
      <c r="AL5" s="1279" t="s">
        <v>70</v>
      </c>
      <c r="AM5" s="1261"/>
      <c r="AN5" s="1279" t="s">
        <v>1245</v>
      </c>
      <c r="AO5" s="1394" t="s">
        <v>83</v>
      </c>
      <c r="AP5" s="1286"/>
    </row>
    <row r="6" spans="1:58">
      <c r="A6" s="1291"/>
      <c r="B6" s="1292"/>
      <c r="C6" s="2931" t="s">
        <v>1331</v>
      </c>
      <c r="D6" s="2931"/>
      <c r="E6" s="2931"/>
      <c r="F6" s="2931"/>
      <c r="G6" s="2931"/>
      <c r="H6" s="2931"/>
      <c r="I6" s="2931"/>
      <c r="J6" s="2931"/>
      <c r="K6" s="1304"/>
      <c r="L6" s="1304"/>
      <c r="M6" s="473"/>
      <c r="N6" s="2931" t="s">
        <v>1331</v>
      </c>
      <c r="O6" s="2931"/>
      <c r="P6" s="2931"/>
      <c r="Q6" s="2931"/>
      <c r="R6" s="2931"/>
      <c r="S6" s="2931"/>
      <c r="T6" s="2931"/>
      <c r="U6" s="1355"/>
      <c r="W6" s="1286"/>
      <c r="X6" s="30"/>
      <c r="Y6" s="30"/>
      <c r="Z6" s="30"/>
      <c r="AA6" s="30"/>
      <c r="AB6" s="30"/>
      <c r="AC6" s="30"/>
      <c r="AD6" s="30"/>
      <c r="AE6" s="30"/>
      <c r="AF6" s="30"/>
      <c r="AG6" s="30"/>
      <c r="AH6" s="129"/>
      <c r="AI6" s="129"/>
      <c r="AJ6" s="129"/>
      <c r="AK6" s="129"/>
      <c r="AL6" s="129"/>
      <c r="AM6" s="129"/>
      <c r="AN6" s="129"/>
      <c r="AO6" s="129"/>
      <c r="AP6" s="1286"/>
    </row>
    <row r="7" spans="1:58">
      <c r="A7" s="1293"/>
      <c r="B7" s="1294" t="s">
        <v>201</v>
      </c>
      <c r="C7" s="1304"/>
      <c r="D7" s="1304"/>
      <c r="E7" s="1304"/>
      <c r="F7" s="473"/>
      <c r="G7" s="473"/>
      <c r="H7" s="473"/>
      <c r="I7" s="473"/>
      <c r="J7" s="1304"/>
      <c r="K7" s="1304"/>
      <c r="L7" s="1304"/>
      <c r="M7" s="473"/>
      <c r="N7" s="1307"/>
      <c r="O7" s="1304"/>
      <c r="P7" s="1304"/>
      <c r="Q7" s="1304"/>
      <c r="R7" s="1304"/>
      <c r="S7" s="1304"/>
      <c r="T7" s="1304"/>
      <c r="U7" s="1355"/>
      <c r="W7" s="1303"/>
      <c r="X7" s="1304"/>
      <c r="Y7" s="1304"/>
      <c r="Z7" s="1304"/>
      <c r="AA7" s="1304"/>
      <c r="AB7" s="1304"/>
      <c r="AC7" s="1304"/>
      <c r="AD7" s="1304"/>
      <c r="AE7" s="129"/>
      <c r="AF7" s="1304"/>
      <c r="AG7" s="1304"/>
      <c r="AH7" s="1304"/>
      <c r="AI7" s="1304"/>
      <c r="AJ7" s="1304"/>
      <c r="AK7" s="1304"/>
      <c r="AL7" s="1304"/>
      <c r="AM7" s="1304"/>
      <c r="AN7" s="1304"/>
      <c r="AO7" s="1304"/>
      <c r="AP7" s="1286"/>
    </row>
    <row r="8" spans="1:58">
      <c r="A8" s="1293" t="s">
        <v>119</v>
      </c>
      <c r="B8" s="668" t="s">
        <v>830</v>
      </c>
      <c r="C8" s="1305">
        <v>0</v>
      </c>
      <c r="D8" s="1304"/>
      <c r="E8" s="1346">
        <f>$E$12*K61</f>
        <v>7.2388799999999991</v>
      </c>
      <c r="F8" s="1387"/>
      <c r="G8" s="1305">
        <f>$G$12*K61</f>
        <v>3.1600799999999998</v>
      </c>
      <c r="H8" s="1387"/>
      <c r="I8" s="1305">
        <f>$I$12*K61</f>
        <v>8.8000000000000007</v>
      </c>
      <c r="J8" s="1309">
        <f>C8+E8+G8+I8</f>
        <v>19.19896</v>
      </c>
      <c r="K8" s="1310">
        <f>'segSales&amp;OM'!AG202</f>
        <v>18.71</v>
      </c>
      <c r="L8" s="1304"/>
      <c r="M8" s="473"/>
      <c r="N8" s="1305">
        <f>((($C$54*(2/3))*$J$56)+($D$54*$K$56)+($E$54*$L$56)+($F$54*$M$56))*K61</f>
        <v>27.978664999999999</v>
      </c>
      <c r="O8" s="1304"/>
      <c r="P8" s="1314">
        <f>'segSales&amp;OM'!AZ202</f>
        <v>75.3</v>
      </c>
      <c r="Q8" s="1268">
        <f>'segSales&amp;OM'!BA202/100</f>
        <v>-0.14722536806342013</v>
      </c>
      <c r="R8" s="1314">
        <f>$K61*$R$12</f>
        <v>16.5</v>
      </c>
      <c r="S8" s="1304"/>
      <c r="T8" s="1309">
        <f>N8+P8+R8</f>
        <v>119.77866499999999</v>
      </c>
      <c r="U8" s="1356">
        <f>'segSales&amp;OM'!BE202</f>
        <v>102.17700000000001</v>
      </c>
      <c r="W8" s="1390">
        <f>AD8-Y8-AC8-AA8</f>
        <v>-11.747878399999999</v>
      </c>
      <c r="X8" s="1268"/>
      <c r="Y8" s="1305">
        <f>E8*$Z$50</f>
        <v>4.7776607999999996</v>
      </c>
      <c r="Z8" s="1305"/>
      <c r="AA8" s="1305">
        <f>G8*$Z$53</f>
        <v>0.69521759999999999</v>
      </c>
      <c r="AB8" s="1305"/>
      <c r="AC8" s="1305">
        <f>I8*$Z$52</f>
        <v>2.64</v>
      </c>
      <c r="AD8" s="1306">
        <f>'segSales&amp;OM'!DH202</f>
        <v>-3.6349999999999998</v>
      </c>
      <c r="AE8" s="1302"/>
      <c r="AF8" s="1314">
        <f>$AF$12*K61</f>
        <v>1.473863556</v>
      </c>
      <c r="AG8" s="1268"/>
      <c r="AH8" s="1314">
        <f>'segSales&amp;OM'!DL202</f>
        <v>-11.4</v>
      </c>
      <c r="AI8" s="533"/>
      <c r="AJ8" s="1314">
        <f>$AJ$12*K61</f>
        <v>-8.36</v>
      </c>
      <c r="AK8" s="533"/>
      <c r="AL8" s="1314">
        <f>AO8-AF8-AH8-AJ8-AN8</f>
        <v>19.427136443999999</v>
      </c>
      <c r="AM8" s="533"/>
      <c r="AN8" s="1314">
        <f>$AN$12/4</f>
        <v>-45</v>
      </c>
      <c r="AO8" s="1332">
        <f>'segSales&amp;OM'!DT202</f>
        <v>-43.859000000000002</v>
      </c>
      <c r="AP8" s="1395"/>
    </row>
    <row r="9" spans="1:58">
      <c r="A9" s="1293" t="s">
        <v>120</v>
      </c>
      <c r="B9" s="668" t="s">
        <v>653</v>
      </c>
      <c r="C9" s="1307">
        <v>0</v>
      </c>
      <c r="D9" s="1304"/>
      <c r="E9" s="1307">
        <f>$E$12*K62</f>
        <v>7.8969599999999991</v>
      </c>
      <c r="F9" s="473"/>
      <c r="G9" s="1307">
        <f>$G$12*K62</f>
        <v>3.4473599999999998</v>
      </c>
      <c r="H9" s="473"/>
      <c r="I9" s="1307">
        <f>$I$12*K62</f>
        <v>9.6</v>
      </c>
      <c r="J9" s="1335">
        <f>C9+E9+G9+I9</f>
        <v>20.944319999999998</v>
      </c>
      <c r="K9" s="1351">
        <f>'segSales&amp;OM'!AG203</f>
        <v>21.565000000000001</v>
      </c>
      <c r="L9" s="1304"/>
      <c r="M9" s="473"/>
      <c r="N9" s="1307">
        <f>(($C$54*(2/3)*$J$56)+($D$54*$K$56)+($E$54*$L$56)+($F$54*$M$56))*K62</f>
        <v>30.522179999999999</v>
      </c>
      <c r="O9" s="1304"/>
      <c r="P9" s="1315">
        <f>'segSales&amp;OM'!AZ203</f>
        <v>94.9</v>
      </c>
      <c r="Q9" s="1268">
        <f>'segSales&amp;OM'!BA203/100</f>
        <v>-0.16900175131348505</v>
      </c>
      <c r="R9" s="1315">
        <f>$K62*$R$12</f>
        <v>18</v>
      </c>
      <c r="S9" s="1304"/>
      <c r="T9" s="1309">
        <f>N9+P9+R9</f>
        <v>143.42218</v>
      </c>
      <c r="U9" s="1357">
        <f>'segSales&amp;OM'!BE203</f>
        <v>122.29300000000001</v>
      </c>
      <c r="W9" s="1396">
        <f>AD9-Y9-AC9-AA9</f>
        <v>-10.9004128</v>
      </c>
      <c r="X9" s="1304"/>
      <c r="Y9" s="1307">
        <f>E9*$Z$50</f>
        <v>5.2119935999999996</v>
      </c>
      <c r="Z9" s="1307"/>
      <c r="AA9" s="1307">
        <f>G9*$Z$53</f>
        <v>0.75841919999999996</v>
      </c>
      <c r="AB9" s="1307"/>
      <c r="AC9" s="1307">
        <f>I9*$Z$52</f>
        <v>2.88</v>
      </c>
      <c r="AD9" s="1398">
        <f>'segSales&amp;OM'!DH203</f>
        <v>-2.0499999999999998</v>
      </c>
      <c r="AE9" s="1302"/>
      <c r="AF9" s="1315">
        <f>$AF$12*K62</f>
        <v>1.6078511519999998</v>
      </c>
      <c r="AG9" s="1304"/>
      <c r="AH9" s="1320">
        <f>'segSales&amp;OM'!DL203</f>
        <v>-5</v>
      </c>
      <c r="AI9" s="1329"/>
      <c r="AJ9" s="1320">
        <f>$AJ$12*K62</f>
        <v>-9.1199999999999992</v>
      </c>
      <c r="AK9" s="1329"/>
      <c r="AL9" s="1315">
        <f>AO9-AF9-AH9-AJ9-AN9</f>
        <v>18.091148847999996</v>
      </c>
      <c r="AM9" s="1329"/>
      <c r="AN9" s="1321">
        <f>$AN$12/4</f>
        <v>-45</v>
      </c>
      <c r="AO9" s="1322">
        <f>'segSales&amp;OM'!DT203</f>
        <v>-39.420999999999999</v>
      </c>
      <c r="AP9" s="1286"/>
    </row>
    <row r="10" spans="1:58">
      <c r="A10" s="1293" t="s">
        <v>1018</v>
      </c>
      <c r="B10" s="668" t="s">
        <v>598</v>
      </c>
      <c r="C10" s="1307">
        <f>(55+$R$52)*K63</f>
        <v>16.8</v>
      </c>
      <c r="D10" s="1304"/>
      <c r="E10" s="1307">
        <f>$E$12*K63</f>
        <v>7.8969599999999991</v>
      </c>
      <c r="F10" s="473"/>
      <c r="G10" s="1307">
        <f>$G$12*K63</f>
        <v>3.4473599999999998</v>
      </c>
      <c r="H10" s="473"/>
      <c r="I10" s="1307">
        <f>$I$12*K63</f>
        <v>9.6</v>
      </c>
      <c r="J10" s="1335">
        <f>C10+E10+G10+I10</f>
        <v>37.744320000000002</v>
      </c>
      <c r="K10" s="1351">
        <f>'segSales&amp;OM'!AG204</f>
        <v>38.463999999999999</v>
      </c>
      <c r="L10" s="1304"/>
      <c r="M10" s="473"/>
      <c r="N10" s="1307">
        <f>(($C$54*(2/3)*$J$56)+($D$54*$K$56)+($E$54*$L$56))*K63</f>
        <v>15.002759999999999</v>
      </c>
      <c r="O10" s="1304"/>
      <c r="P10" s="1315">
        <f>'segSales&amp;OM'!AZ204</f>
        <v>82.9</v>
      </c>
      <c r="Q10" s="1268">
        <f>'segSales&amp;OM'!BA204/100</f>
        <v>-0.10764262648008616</v>
      </c>
      <c r="R10" s="1315">
        <f>$K63*$R$12</f>
        <v>18</v>
      </c>
      <c r="S10" s="1304"/>
      <c r="T10" s="1335">
        <f>N10+P10+R10</f>
        <v>115.90276</v>
      </c>
      <c r="U10" s="1357">
        <f>'segSales&amp;OM'!BE204</f>
        <v>120.968</v>
      </c>
      <c r="W10" s="1396">
        <f>AD10-Y10-AC10-AA10</f>
        <v>-8.0644127999999995</v>
      </c>
      <c r="X10" s="1304"/>
      <c r="Y10" s="1307">
        <f>E10*$Z$50</f>
        <v>5.2119935999999996</v>
      </c>
      <c r="Z10" s="1307"/>
      <c r="AA10" s="1307">
        <f>G10*$Z$53</f>
        <v>0.75841919999999996</v>
      </c>
      <c r="AB10" s="1307"/>
      <c r="AC10" s="1307">
        <f>I10*$Z$52</f>
        <v>2.88</v>
      </c>
      <c r="AD10" s="1398">
        <f>'segSales&amp;OM'!DH204</f>
        <v>0.78600000000000003</v>
      </c>
      <c r="AE10" s="1302"/>
      <c r="AF10" s="1315">
        <f>$AF$12*K63</f>
        <v>1.6078511519999998</v>
      </c>
      <c r="AG10" s="1304"/>
      <c r="AH10" s="1320">
        <f>'segSales&amp;OM'!DL204</f>
        <v>-4</v>
      </c>
      <c r="AI10" s="1329"/>
      <c r="AJ10" s="1320">
        <f>$AJ$12*K63</f>
        <v>-9.1199999999999992</v>
      </c>
      <c r="AK10" s="1329"/>
      <c r="AL10" s="1315">
        <f>AO10-AF10-AH10-AJ10-AN10</f>
        <v>30.479148848000001</v>
      </c>
      <c r="AM10" s="1329"/>
      <c r="AN10" s="1321">
        <f>$AN$12/4</f>
        <v>-45</v>
      </c>
      <c r="AO10" s="1322">
        <f>'segSales&amp;OM'!DT204</f>
        <v>-26.033000000000001</v>
      </c>
      <c r="AP10" s="1286"/>
    </row>
    <row r="11" spans="1:58">
      <c r="A11" s="1293" t="s">
        <v>1019</v>
      </c>
      <c r="B11" s="668" t="s">
        <v>601</v>
      </c>
      <c r="C11" s="1311">
        <f>(55+$R$52)*K64</f>
        <v>21</v>
      </c>
      <c r="D11" s="1304"/>
      <c r="E11" s="1311">
        <f>$E$12*K64</f>
        <v>9.8711999999999982</v>
      </c>
      <c r="F11" s="473"/>
      <c r="G11" s="1311">
        <f>$G$12*K64</f>
        <v>4.3091999999999997</v>
      </c>
      <c r="H11" s="473"/>
      <c r="I11" s="1311">
        <f>$I$12*K64</f>
        <v>12</v>
      </c>
      <c r="J11" s="1336">
        <f>C11+E11+G11+I11</f>
        <v>47.180399999999999</v>
      </c>
      <c r="K11" s="1352">
        <f>'segSales&amp;OM'!AG205</f>
        <v>53.264000000000003</v>
      </c>
      <c r="L11" s="1304"/>
      <c r="M11" s="473"/>
      <c r="N11" s="1311">
        <f>(($C$54*(2/3)*$J$56)+($D$54*$K$56)+($E$54*$L$56)+($F$54*$M$56))*K64</f>
        <v>38.152724999999997</v>
      </c>
      <c r="O11" s="1304"/>
      <c r="P11" s="1316">
        <f>'segSales&amp;OM'!AZ205</f>
        <v>102.4</v>
      </c>
      <c r="Q11" s="1268">
        <f>'segSales&amp;OM'!BA205/100</f>
        <v>-0.14237855946398659</v>
      </c>
      <c r="R11" s="1316">
        <f>$K64*$R$12</f>
        <v>22.5</v>
      </c>
      <c r="S11" s="1304"/>
      <c r="T11" s="1336">
        <f>N11+P11+R11</f>
        <v>163.05272500000001</v>
      </c>
      <c r="U11" s="1358">
        <f>'segSales&amp;OM'!BE205</f>
        <v>166.54599999999999</v>
      </c>
      <c r="W11" s="1397">
        <f t="shared" ref="W11:W19" si="0">AD11-Y11-AC11-AA11</f>
        <v>-2.461015999999999</v>
      </c>
      <c r="X11" s="1304"/>
      <c r="Y11" s="1308">
        <f>E11*$Z$50</f>
        <v>6.5149919999999995</v>
      </c>
      <c r="Z11" s="1304"/>
      <c r="AA11" s="1308">
        <f>G11*$Z$53</f>
        <v>0.94802399999999998</v>
      </c>
      <c r="AB11" s="1304"/>
      <c r="AC11" s="1308">
        <f>I11*$Z$52</f>
        <v>3.5999999999999996</v>
      </c>
      <c r="AD11" s="1399">
        <f>'segSales&amp;OM'!DH205</f>
        <v>8.6020000000000003</v>
      </c>
      <c r="AE11" s="1281"/>
      <c r="AF11" s="1316">
        <f>$AF$12*K64</f>
        <v>2.0098139399999999</v>
      </c>
      <c r="AG11" s="1304"/>
      <c r="AH11" s="1339">
        <f>'segSales&amp;OM'!DL205</f>
        <v>-5</v>
      </c>
      <c r="AI11" s="1329"/>
      <c r="AJ11" s="1339">
        <f>$AJ$12*K64</f>
        <v>-11.4</v>
      </c>
      <c r="AK11" s="1329"/>
      <c r="AL11" s="1316">
        <f>AO11-AF11-AH11-AJ11-AN11</f>
        <v>36.12718606</v>
      </c>
      <c r="AM11" s="1329"/>
      <c r="AN11" s="1323">
        <f>$AN$12/4</f>
        <v>-45</v>
      </c>
      <c r="AO11" s="1324">
        <f>'segSales&amp;OM'!DT205</f>
        <v>-23.263000000000002</v>
      </c>
      <c r="AP11" s="1286"/>
    </row>
    <row r="12" spans="1:58">
      <c r="A12" s="1293"/>
      <c r="B12" s="668" t="s">
        <v>1020</v>
      </c>
      <c r="C12" s="1305">
        <f>SUM(C8:C11)</f>
        <v>37.799999999999997</v>
      </c>
      <c r="D12" s="1304"/>
      <c r="E12" s="1305">
        <f>(((2/3)*C54*$J$58)+(D54*$K$58)+(E54*$L$58))</f>
        <v>32.903999999999996</v>
      </c>
      <c r="F12" s="473"/>
      <c r="G12" s="1305">
        <f>((1/3)*C54)*$J$51*$J$52*(1+$J$55)</f>
        <v>14.363999999999999</v>
      </c>
      <c r="H12" s="473"/>
      <c r="I12" s="1305">
        <v>40</v>
      </c>
      <c r="J12" s="1309">
        <f>C12+E12+G12+I12</f>
        <v>125.068</v>
      </c>
      <c r="K12" s="1309">
        <f>'segSales&amp;OM'!AG206</f>
        <v>132.00300000000001</v>
      </c>
      <c r="L12" s="1304"/>
      <c r="M12" s="473"/>
      <c r="N12" s="1305">
        <f>SUM(N8:N11)</f>
        <v>111.65633</v>
      </c>
      <c r="O12" s="1304"/>
      <c r="P12" s="1305">
        <f>'segSales&amp;OM'!AZ206</f>
        <v>355.5</v>
      </c>
      <c r="Q12" s="1268">
        <f>'segSales&amp;OM'!BA206/100</f>
        <v>-0.14296046287367403</v>
      </c>
      <c r="R12" s="1305">
        <v>75</v>
      </c>
      <c r="S12" s="1305"/>
      <c r="T12" s="1309">
        <f>N12+P12+R12</f>
        <v>542.15633000000003</v>
      </c>
      <c r="U12" s="1338">
        <f>'segSales&amp;OM'!BE206</f>
        <v>511.98400000000004</v>
      </c>
      <c r="W12" s="1390">
        <f t="shared" si="0"/>
        <v>-33.173719999999996</v>
      </c>
      <c r="X12" s="1272">
        <f>(W12/C12)</f>
        <v>-0.87761164021164018</v>
      </c>
      <c r="Y12" s="1305">
        <f>E12*$Z$50</f>
        <v>21.716639999999998</v>
      </c>
      <c r="Z12" s="1272">
        <f>(Y12/E12)</f>
        <v>0.66</v>
      </c>
      <c r="AA12" s="1305">
        <f>G12*$Z$53</f>
        <v>3.1600799999999998</v>
      </c>
      <c r="AB12" s="1272">
        <f>(AA12/G12)</f>
        <v>0.22</v>
      </c>
      <c r="AC12" s="1305">
        <f>I12*$Z$52</f>
        <v>12</v>
      </c>
      <c r="AD12" s="1309">
        <f>'segSales&amp;OM'!DH206</f>
        <v>3.7030000000000012</v>
      </c>
      <c r="AE12" s="1282"/>
      <c r="AF12" s="1305">
        <f>N12*$Z$51</f>
        <v>6.6993798</v>
      </c>
      <c r="AG12" s="1272">
        <f>(AF12/N12)</f>
        <v>6.0000000000000005E-2</v>
      </c>
      <c r="AH12" s="1330">
        <f>'segSales&amp;OM'!DL206</f>
        <v>-25.4</v>
      </c>
      <c r="AI12" s="1329"/>
      <c r="AJ12" s="1330">
        <v>-38</v>
      </c>
      <c r="AK12" s="1329"/>
      <c r="AL12" s="1305">
        <f>AO12-AF12-AH12-AJ12-AN12</f>
        <v>104.12462020000001</v>
      </c>
      <c r="AM12" s="1329"/>
      <c r="AN12" s="1325">
        <v>-180</v>
      </c>
      <c r="AO12" s="1326">
        <f>'segSales&amp;OM'!DT206</f>
        <v>-132.57599999999999</v>
      </c>
      <c r="AP12" s="1286"/>
    </row>
    <row r="13" spans="1:58">
      <c r="A13" s="1293"/>
      <c r="B13" s="668"/>
      <c r="C13" s="1304"/>
      <c r="D13" s="1304"/>
      <c r="E13" s="1304"/>
      <c r="F13" s="473"/>
      <c r="G13" s="1386"/>
      <c r="H13" s="473"/>
      <c r="I13" s="473"/>
      <c r="J13" s="158"/>
      <c r="K13" s="1353"/>
      <c r="L13" s="1304"/>
      <c r="M13" s="473"/>
      <c r="N13" s="1365"/>
      <c r="O13" s="1304"/>
      <c r="P13" s="1359"/>
      <c r="Q13" s="1304"/>
      <c r="R13" s="1317"/>
      <c r="S13" s="1304"/>
      <c r="T13" s="158"/>
      <c r="U13" s="1360"/>
      <c r="W13" s="1303"/>
      <c r="X13" s="1304"/>
      <c r="Y13" s="1304"/>
      <c r="Z13" s="1304"/>
      <c r="AA13" s="1304"/>
      <c r="AB13" s="1304"/>
      <c r="AC13" s="1304"/>
      <c r="AD13" s="1309"/>
      <c r="AE13" s="1282"/>
      <c r="AF13" s="1333"/>
      <c r="AG13" s="1304"/>
      <c r="AH13" s="1327"/>
      <c r="AI13" s="1329"/>
      <c r="AJ13" s="1327"/>
      <c r="AK13" s="1329"/>
      <c r="AL13" s="1333"/>
      <c r="AM13" s="1329"/>
      <c r="AN13" s="1329"/>
      <c r="AO13" s="1328"/>
      <c r="AP13" s="1286"/>
    </row>
    <row r="14" spans="1:58">
      <c r="A14" s="1293"/>
      <c r="B14" s="1294" t="s">
        <v>853</v>
      </c>
      <c r="C14" s="1304"/>
      <c r="D14" s="1304"/>
      <c r="E14" s="145"/>
      <c r="F14" s="473"/>
      <c r="G14" s="473"/>
      <c r="H14" s="473"/>
      <c r="I14" s="473"/>
      <c r="J14" s="158"/>
      <c r="K14" s="1353"/>
      <c r="L14" s="145"/>
      <c r="M14" s="473"/>
      <c r="N14" s="1304"/>
      <c r="O14" s="1304"/>
      <c r="P14" s="1359"/>
      <c r="Q14" s="1304"/>
      <c r="R14" s="1304"/>
      <c r="S14" s="1304"/>
      <c r="T14" s="158"/>
      <c r="U14" s="1360"/>
      <c r="W14" s="1391"/>
      <c r="X14" s="1304"/>
      <c r="Y14" s="145"/>
      <c r="Z14" s="1304"/>
      <c r="AA14" s="145"/>
      <c r="AB14" s="1304"/>
      <c r="AC14" s="145"/>
      <c r="AD14" s="1309"/>
      <c r="AE14" s="1282"/>
      <c r="AF14" s="533"/>
      <c r="AG14" s="1304"/>
      <c r="AH14" s="1327"/>
      <c r="AI14" s="1329"/>
      <c r="AJ14" s="1327"/>
      <c r="AK14" s="1329"/>
      <c r="AL14" s="533"/>
      <c r="AM14" s="1329"/>
      <c r="AN14" s="1329"/>
      <c r="AO14" s="1328"/>
      <c r="AP14" s="1286"/>
    </row>
    <row r="15" spans="1:58">
      <c r="A15" s="1293" t="s">
        <v>119</v>
      </c>
      <c r="B15" s="668" t="s">
        <v>830</v>
      </c>
      <c r="C15" s="1305">
        <f>($R$51+((D94-1)*$R$52))*K61</f>
        <v>20.9</v>
      </c>
      <c r="D15" s="1268"/>
      <c r="E15" s="1305">
        <f>(((2/3)*C56*$J$58)+(D56*$K$58)+(E56*$L$58))*K61</f>
        <v>8.0757599999999989</v>
      </c>
      <c r="F15" s="1268">
        <f>(E15/E8)-1</f>
        <v>0.11560904449307063</v>
      </c>
      <c r="G15" s="1305">
        <f>(((1/3)*C56)*$J$51*$J$52*(1+$J$55))*K61</f>
        <v>3.68676</v>
      </c>
      <c r="H15" s="1268">
        <f>(G15/G8)-1</f>
        <v>0.16666666666666674</v>
      </c>
      <c r="I15" s="1305">
        <f>I8</f>
        <v>8.8000000000000007</v>
      </c>
      <c r="J15" s="1309">
        <f>C15+E15+G15+I15</f>
        <v>41.462519999999998</v>
      </c>
      <c r="K15" s="1310">
        <f>'segSales&amp;OM'!AG209</f>
        <v>40.4</v>
      </c>
      <c r="L15" s="1268">
        <f>(K15/K8)-1</f>
        <v>1.159273115980759</v>
      </c>
      <c r="M15" s="473"/>
      <c r="N15" s="1305">
        <f>((C56*(2/3)*$J$56)+(D56*$K$56)+(E56*$L$56)+(F56*$M$56))*K61</f>
        <v>29.675249999999998</v>
      </c>
      <c r="O15" s="1268">
        <f>N15/N8-1</f>
        <v>6.0638525819584288E-2</v>
      </c>
      <c r="P15" s="1361">
        <f>'segSales&amp;OM'!AZ209</f>
        <v>72.8</v>
      </c>
      <c r="Q15" s="1268">
        <f>P15/P8-1</f>
        <v>-3.3200531208499307E-2</v>
      </c>
      <c r="R15" s="1314">
        <f>K61*$R$19</f>
        <v>18.7</v>
      </c>
      <c r="S15" s="1268">
        <f>R15/R8-1</f>
        <v>0.1333333333333333</v>
      </c>
      <c r="T15" s="1309">
        <f>N15+P15+R15</f>
        <v>121.17524999999999</v>
      </c>
      <c r="U15" s="1362">
        <f>'segSales&amp;OM'!BE209</f>
        <v>123.01600000000001</v>
      </c>
      <c r="W15" s="1390">
        <f t="shared" si="0"/>
        <v>-4.1578415999999994</v>
      </c>
      <c r="X15" s="1268">
        <f>(W15/C15)</f>
        <v>-0.19893978947368418</v>
      </c>
      <c r="Y15" s="1305">
        <f>E15*$Z$50</f>
        <v>5.3300015999999992</v>
      </c>
      <c r="Z15" s="1268">
        <f>(Y15/E15)</f>
        <v>0.66</v>
      </c>
      <c r="AA15" s="1305">
        <f>(((1/3)*C56)*$J$51*$J$52*$Z$53)*K61</f>
        <v>0.60983999999999994</v>
      </c>
      <c r="AB15" s="1268">
        <f>(AA15/G15)</f>
        <v>0.16541353383458646</v>
      </c>
      <c r="AC15" s="1305">
        <f>I15*$Z$52</f>
        <v>2.64</v>
      </c>
      <c r="AD15" s="1310">
        <f>'segSales&amp;OM'!DH209</f>
        <v>4.4219999999999997</v>
      </c>
      <c r="AE15" s="1281"/>
      <c r="AF15" s="1305">
        <f>N15*$Z$51</f>
        <v>1.7805149999999998</v>
      </c>
      <c r="AG15" s="1268">
        <f t="shared" ref="AG15:AG26" si="1">(AF15/N15)</f>
        <v>0.06</v>
      </c>
      <c r="AH15" s="1319">
        <f>'segSales&amp;OM'!DL209</f>
        <v>-6.8</v>
      </c>
      <c r="AI15" s="1329"/>
      <c r="AJ15" s="1319">
        <v>-8</v>
      </c>
      <c r="AK15" s="1329"/>
      <c r="AL15" s="1314">
        <f>AO15-AF15-AH15-AJ15-AN15</f>
        <v>24.580484999999999</v>
      </c>
      <c r="AM15" s="1329"/>
      <c r="AN15" s="1314">
        <f>$AN$19/4</f>
        <v>-42.5</v>
      </c>
      <c r="AO15" s="1332">
        <f>'segSales&amp;OM'!DT209</f>
        <v>-30.939</v>
      </c>
      <c r="AP15" s="1286"/>
    </row>
    <row r="16" spans="1:58">
      <c r="A16" s="1293" t="s">
        <v>120</v>
      </c>
      <c r="B16" s="668" t="s">
        <v>653</v>
      </c>
      <c r="C16" s="1307">
        <f>($R$51+((D95-1)*$R$52))*K62</f>
        <v>22.8</v>
      </c>
      <c r="D16" s="1268"/>
      <c r="E16" s="1307">
        <f>(((2/3)*C57*$J$58)+(D57*$K$58)+(E57*$L$58))*K62</f>
        <v>9.4761599999999984</v>
      </c>
      <c r="F16" s="1268">
        <f>(E16/E9)-1</f>
        <v>0.19997568684658384</v>
      </c>
      <c r="G16" s="1307">
        <f>(((1/3)*C57)*$J$51*$J$52*(1+$J$55))*K62</f>
        <v>4.5645599999999993</v>
      </c>
      <c r="H16" s="1268">
        <f>(G16/G9)-1</f>
        <v>0.32407407407407396</v>
      </c>
      <c r="I16" s="1307">
        <f>I9</f>
        <v>9.6</v>
      </c>
      <c r="J16" s="1335">
        <f>C16+E16+G16+I16</f>
        <v>46.440719999999999</v>
      </c>
      <c r="K16" s="1351">
        <f>'segSales&amp;OM'!AG210</f>
        <v>46.286999999999999</v>
      </c>
      <c r="L16" s="1268">
        <f t="shared" ref="L16:L26" si="2">(K16/K9)-1</f>
        <v>1.146394620913517</v>
      </c>
      <c r="M16" s="473"/>
      <c r="N16" s="1307">
        <f>((C57*(2/3)*$J$56)+(D57*$K$56)+(E57*$L$56)+(F57*$M$56))*K62</f>
        <v>33.452100000000002</v>
      </c>
      <c r="O16" s="1268">
        <f>N16/N9-1</f>
        <v>9.5993143346903897E-2</v>
      </c>
      <c r="P16" s="1315">
        <f>'segSales&amp;OM'!AZ210</f>
        <v>86.1</v>
      </c>
      <c r="Q16" s="1268">
        <f>P16/P9-1</f>
        <v>-9.2729188619599667E-2</v>
      </c>
      <c r="R16" s="1315">
        <f>K62*$R$19</f>
        <v>20.399999999999999</v>
      </c>
      <c r="S16" s="1268">
        <f>R16/R9-1</f>
        <v>0.1333333333333333</v>
      </c>
      <c r="T16" s="1335">
        <f>N16+P16+R16</f>
        <v>139.9521</v>
      </c>
      <c r="U16" s="1357">
        <f>'segSales&amp;OM'!BE210</f>
        <v>136.43600000000001</v>
      </c>
      <c r="W16" s="1396">
        <f t="shared" si="0"/>
        <v>-2.6263055999999994</v>
      </c>
      <c r="X16" s="1268">
        <f>(W16/C16)</f>
        <v>-0.11518884210526313</v>
      </c>
      <c r="Y16" s="1307">
        <f>E16*$Z$50</f>
        <v>6.2542655999999992</v>
      </c>
      <c r="Z16" s="1268">
        <f>(Y16/E16)</f>
        <v>0.66</v>
      </c>
      <c r="AA16" s="1307">
        <f>(((1/3)*C57)*$J$51*$J$52*$Z$53)*K62</f>
        <v>0.75503999999999993</v>
      </c>
      <c r="AB16" s="1268">
        <f>(AA16/G16)</f>
        <v>0.16541353383458648</v>
      </c>
      <c r="AC16" s="1307">
        <f>I16*$Z$52</f>
        <v>2.88</v>
      </c>
      <c r="AD16" s="1398">
        <f>'segSales&amp;OM'!DH210</f>
        <v>7.2629999999999999</v>
      </c>
      <c r="AE16" s="1302"/>
      <c r="AF16" s="1307">
        <f t="shared" ref="AF16:AF24" si="3">N16*$Z$51</f>
        <v>2.007126</v>
      </c>
      <c r="AG16" s="1268">
        <f t="shared" si="1"/>
        <v>0.06</v>
      </c>
      <c r="AH16" s="1320">
        <f>'segSales&amp;OM'!DL210</f>
        <v>-3</v>
      </c>
      <c r="AI16" s="1329"/>
      <c r="AJ16" s="1320">
        <v>-8</v>
      </c>
      <c r="AK16" s="1329"/>
      <c r="AL16" s="1315">
        <f>AO16-AF16-AH16-AJ16-AN16</f>
        <v>20.640873999999997</v>
      </c>
      <c r="AM16" s="1329"/>
      <c r="AN16" s="1321">
        <f>$AN$19/4</f>
        <v>-42.5</v>
      </c>
      <c r="AO16" s="1322">
        <f>'segSales&amp;OM'!DT210</f>
        <v>-30.852</v>
      </c>
      <c r="AP16" s="1286"/>
    </row>
    <row r="17" spans="1:44">
      <c r="A17" s="1293" t="s">
        <v>1018</v>
      </c>
      <c r="B17" s="668" t="s">
        <v>598</v>
      </c>
      <c r="C17" s="1307">
        <f>($R$51+((D96-1)*$R$52))*K63</f>
        <v>33.6</v>
      </c>
      <c r="D17" s="1268">
        <f>(C17/C10)-1</f>
        <v>1</v>
      </c>
      <c r="E17" s="1307">
        <f>(((2/3)*C58*$J$58)+(D58*$K$58)+(E58*$L$58))*K63</f>
        <v>10.798079999999999</v>
      </c>
      <c r="F17" s="1268">
        <f>(E17/E10)-1</f>
        <v>0.36737174811573059</v>
      </c>
      <c r="G17" s="1307">
        <f>(((1/3)*C58)*$J$51*$J$52*(1+$J$55))*K63</f>
        <v>5.0752799999999993</v>
      </c>
      <c r="H17" s="1268">
        <f>(G17/G10)-1</f>
        <v>0.4722222222222221</v>
      </c>
      <c r="I17" s="1307">
        <f>I10</f>
        <v>9.6</v>
      </c>
      <c r="J17" s="1335">
        <f>C17+E17+G17+I17</f>
        <v>59.073360000000001</v>
      </c>
      <c r="K17" s="1351">
        <f>'segSales&amp;OM'!AG211</f>
        <v>59.816000000000003</v>
      </c>
      <c r="L17" s="1268">
        <f>(K17/K10)-1</f>
        <v>0.55511647254575713</v>
      </c>
      <c r="M17" s="473"/>
      <c r="N17" s="1307">
        <f>((C58*(2/3)*$J$56)+(D58*$K$56)+(E58*$L$56)+(F58*$M$56))*K63</f>
        <v>35.643000000000001</v>
      </c>
      <c r="O17" s="1268">
        <f>N17/N10-1</f>
        <v>1.3757628596338276</v>
      </c>
      <c r="P17" s="1315">
        <f>'segSales&amp;OM'!AZ211</f>
        <v>75.099999999999994</v>
      </c>
      <c r="Q17" s="1268">
        <f>P17/P10-1</f>
        <v>-9.4089264173703335E-2</v>
      </c>
      <c r="R17" s="1315">
        <f>K63*$R$19</f>
        <v>20.399999999999999</v>
      </c>
      <c r="S17" s="1268">
        <f>R17/R10-1</f>
        <v>0.1333333333333333</v>
      </c>
      <c r="T17" s="1335">
        <f>N17+P17+R17</f>
        <v>131.143</v>
      </c>
      <c r="U17" s="1357">
        <f>'segSales&amp;OM'!BE211</f>
        <v>131.578</v>
      </c>
      <c r="W17" s="1396">
        <f t="shared" si="0"/>
        <v>-0.80025279999999965</v>
      </c>
      <c r="X17" s="1268">
        <f>(W17/C17)</f>
        <v>-2.3817047619047609E-2</v>
      </c>
      <c r="Y17" s="1307">
        <f>E17*$Z$50</f>
        <v>7.1267327999999992</v>
      </c>
      <c r="Z17" s="1268">
        <f>(Y17/E17)</f>
        <v>0.66</v>
      </c>
      <c r="AA17" s="1307">
        <f>(((1/3)*C58)*$J$51*$J$52*$Z$53)*K63</f>
        <v>0.83951999999999993</v>
      </c>
      <c r="AB17" s="1268">
        <f>(AA17/G17)</f>
        <v>0.16541353383458648</v>
      </c>
      <c r="AC17" s="1307">
        <f>I17*$Z$52</f>
        <v>2.88</v>
      </c>
      <c r="AD17" s="1398">
        <f>'segSales&amp;OM'!DH211</f>
        <v>10.045999999999999</v>
      </c>
      <c r="AE17" s="1302"/>
      <c r="AF17" s="1307">
        <f t="shared" si="3"/>
        <v>2.1385800000000001</v>
      </c>
      <c r="AG17" s="1268">
        <f t="shared" si="1"/>
        <v>6.0000000000000005E-2</v>
      </c>
      <c r="AH17" s="1320">
        <f>'segSales&amp;OM'!DL211</f>
        <v>-10</v>
      </c>
      <c r="AI17" s="1329"/>
      <c r="AJ17" s="1320">
        <v>-8</v>
      </c>
      <c r="AK17" s="1329"/>
      <c r="AL17" s="1315">
        <f>AO17-AF17-AH17-AJ17-AN17</f>
        <v>36.766419999999997</v>
      </c>
      <c r="AM17" s="1329"/>
      <c r="AN17" s="1321">
        <f>$AN$19/4</f>
        <v>-42.5</v>
      </c>
      <c r="AO17" s="1322">
        <f>'segSales&amp;OM'!DT211</f>
        <v>-21.594999999999999</v>
      </c>
      <c r="AP17" s="1286"/>
    </row>
    <row r="18" spans="1:44">
      <c r="A18" s="1293" t="s">
        <v>1019</v>
      </c>
      <c r="B18" s="668" t="s">
        <v>601</v>
      </c>
      <c r="C18" s="1311">
        <f>($R$51+((D97-1)*$R$52))*K64</f>
        <v>42</v>
      </c>
      <c r="D18" s="1264">
        <f>(C18/C11)-1</f>
        <v>1</v>
      </c>
      <c r="E18" s="1311">
        <f>(((2/3)*C59*$J$58)+(D59*$K$58)+(E59*$L$58))*K64</f>
        <v>15.6252</v>
      </c>
      <c r="F18" s="1264">
        <f>(E18/E11)-1</f>
        <v>0.58290785314855365</v>
      </c>
      <c r="G18" s="1311">
        <f>(((1/3)*C59)*$J$51*$J$52*(1+$J$55))*K64</f>
        <v>7.9002000000000008</v>
      </c>
      <c r="H18" s="1264">
        <f>(G18/G11)-1</f>
        <v>0.8333333333333337</v>
      </c>
      <c r="I18" s="1311">
        <f>I11</f>
        <v>12</v>
      </c>
      <c r="J18" s="1336">
        <f>C18+E18+G18+I18</f>
        <v>77.525400000000005</v>
      </c>
      <c r="K18" s="1352">
        <f>'segSales&amp;OM'!AG212</f>
        <v>75.293000000000006</v>
      </c>
      <c r="L18" s="1264">
        <f t="shared" si="2"/>
        <v>0.41358140582757597</v>
      </c>
      <c r="M18" s="473"/>
      <c r="N18" s="1311">
        <f>((C59*(2/3)*$J$56)+(D59*$K$56)+(E59*$L$56)+(F59*$M$56))*$K$64</f>
        <v>48.363300000000002</v>
      </c>
      <c r="O18" s="1268">
        <f>N18/N11-1</f>
        <v>0.2676237411613458</v>
      </c>
      <c r="P18" s="1316">
        <f>'segSales&amp;OM'!AZ212</f>
        <v>92.8</v>
      </c>
      <c r="Q18" s="1268">
        <f>P18/P11-1</f>
        <v>-9.3750000000000111E-2</v>
      </c>
      <c r="R18" s="1316">
        <f>R19-SUM(R15:R17)</f>
        <v>25.500000000000007</v>
      </c>
      <c r="S18" s="1268">
        <f>R18/R11-1</f>
        <v>0.13333333333333375</v>
      </c>
      <c r="T18" s="1336">
        <f>N18+P18+R18</f>
        <v>166.66329999999999</v>
      </c>
      <c r="U18" s="1358">
        <f>'segSales&amp;OM'!BE212</f>
        <v>158.32499999999999</v>
      </c>
      <c r="W18" s="1397">
        <f t="shared" si="0"/>
        <v>1.5165680000000004</v>
      </c>
      <c r="X18" s="1264">
        <f>(W18/C18)</f>
        <v>3.6108761904761914E-2</v>
      </c>
      <c r="Y18" s="1311">
        <f>E18*$Z$50</f>
        <v>10.312632000000001</v>
      </c>
      <c r="Z18" s="1264">
        <f>(Y18/E18)</f>
        <v>0.66</v>
      </c>
      <c r="AA18" s="1311">
        <f>(((1/3)*C59)*$J$51*$J$52*$Z$53)*K64</f>
        <v>1.3068</v>
      </c>
      <c r="AB18" s="1264">
        <f>(AA18/G18)</f>
        <v>0.16541353383458646</v>
      </c>
      <c r="AC18" s="1311">
        <f>I18*$Z$52</f>
        <v>3.5999999999999996</v>
      </c>
      <c r="AD18" s="1399">
        <f>'segSales&amp;OM'!DH212</f>
        <v>16.736000000000001</v>
      </c>
      <c r="AE18" s="1281"/>
      <c r="AF18" s="1311">
        <f t="shared" si="3"/>
        <v>2.9017979999999999</v>
      </c>
      <c r="AG18" s="1264">
        <f t="shared" si="1"/>
        <v>0.06</v>
      </c>
      <c r="AH18" s="1339">
        <f>'segSales&amp;OM'!DL212</f>
        <v>-15</v>
      </c>
      <c r="AI18" s="1329"/>
      <c r="AJ18" s="1339">
        <v>-9</v>
      </c>
      <c r="AK18" s="1329"/>
      <c r="AL18" s="1316">
        <f>AO18-AF18-AH18-AJ18-AN18</f>
        <v>50.874201999999997</v>
      </c>
      <c r="AM18" s="1329"/>
      <c r="AN18" s="1323">
        <f>$AN$19/4</f>
        <v>-42.5</v>
      </c>
      <c r="AO18" s="1324">
        <f>'segSales&amp;OM'!DT212</f>
        <v>-12.724</v>
      </c>
      <c r="AP18" s="1286"/>
    </row>
    <row r="19" spans="1:44">
      <c r="A19" s="1293"/>
      <c r="B19" s="668" t="s">
        <v>1020</v>
      </c>
      <c r="C19" s="1305">
        <f>SUM(C15:C18)</f>
        <v>119.30000000000001</v>
      </c>
      <c r="D19" s="1272">
        <f>(C19/C12)-1</f>
        <v>2.1560846560846567</v>
      </c>
      <c r="E19" s="1305">
        <f>SUM(E15:E18)</f>
        <v>43.975199999999994</v>
      </c>
      <c r="F19" s="1272">
        <f>(E19/E12)-1</f>
        <v>0.33646973012399695</v>
      </c>
      <c r="G19" s="1305">
        <f>SUM(G15:G18)</f>
        <v>21.226800000000001</v>
      </c>
      <c r="H19" s="1272">
        <f>(G19/G12)-1</f>
        <v>0.47777777777777786</v>
      </c>
      <c r="I19" s="1305">
        <f>I12</f>
        <v>40</v>
      </c>
      <c r="J19" s="1309">
        <f>C19+E19+G19+I19</f>
        <v>224.50200000000001</v>
      </c>
      <c r="K19" s="1309">
        <f>'segSales&amp;OM'!AG213</f>
        <v>221.79599999999999</v>
      </c>
      <c r="L19" s="1268">
        <f t="shared" si="2"/>
        <v>0.68023454012408791</v>
      </c>
      <c r="M19" s="473"/>
      <c r="N19" s="1305">
        <f>SUM(N15:N18)</f>
        <v>147.13365000000002</v>
      </c>
      <c r="O19" s="1268">
        <f>N19/N12-1</f>
        <v>0.31773675527397338</v>
      </c>
      <c r="P19" s="1305">
        <f>'segSales&amp;OM'!AZ213</f>
        <v>326.79999999999995</v>
      </c>
      <c r="Q19" s="1268">
        <f>P19/P12-1</f>
        <v>-8.0731364275668183E-2</v>
      </c>
      <c r="R19" s="1305">
        <v>85</v>
      </c>
      <c r="S19" s="1268">
        <f>R19/R12-1</f>
        <v>0.1333333333333333</v>
      </c>
      <c r="T19" s="1309">
        <f>N19+P19+R19</f>
        <v>558.93364999999994</v>
      </c>
      <c r="U19" s="1338">
        <f>'segSales&amp;OM'!BE213</f>
        <v>549.35500000000002</v>
      </c>
      <c r="W19" s="1390">
        <f t="shared" si="0"/>
        <v>-6.0678319999999966</v>
      </c>
      <c r="X19" s="1272">
        <f>(W19/C19)</f>
        <v>-5.0861961441743472E-2</v>
      </c>
      <c r="Y19" s="1346">
        <f>E19*$Z$50</f>
        <v>29.023631999999996</v>
      </c>
      <c r="Z19" s="1272">
        <f>(Y19/E19)</f>
        <v>0.66</v>
      </c>
      <c r="AA19" s="1305">
        <f>SUM(AA15:AA18)</f>
        <v>3.5111999999999997</v>
      </c>
      <c r="AB19" s="1272">
        <f>(AA19/G19)</f>
        <v>0.16541353383458646</v>
      </c>
      <c r="AC19" s="1305">
        <f>I19*$Z$52</f>
        <v>12</v>
      </c>
      <c r="AD19" s="1309">
        <f>'segSales&amp;OM'!DH213</f>
        <v>38.466999999999999</v>
      </c>
      <c r="AE19" s="1282"/>
      <c r="AF19" s="1305">
        <f t="shared" si="3"/>
        <v>8.8280190000000012</v>
      </c>
      <c r="AG19" s="1272">
        <f t="shared" si="1"/>
        <v>0.06</v>
      </c>
      <c r="AH19" s="1330">
        <f>'segSales&amp;OM'!DL213</f>
        <v>-34.799999999999997</v>
      </c>
      <c r="AI19" s="1329"/>
      <c r="AJ19" s="1330">
        <f>SUM(AJ15:AJ18)</f>
        <v>-33</v>
      </c>
      <c r="AK19" s="1329"/>
      <c r="AL19" s="1305">
        <f>AO19-AF19-AH19-AJ19-AN19</f>
        <v>132.86198100000001</v>
      </c>
      <c r="AM19" s="1329"/>
      <c r="AN19" s="1325">
        <v>-170</v>
      </c>
      <c r="AO19" s="1326">
        <f>'segSales&amp;OM'!DT213</f>
        <v>-96.11</v>
      </c>
      <c r="AP19" s="1286"/>
      <c r="AR19" s="23"/>
    </row>
    <row r="20" spans="1:44">
      <c r="A20" s="1291"/>
      <c r="B20" s="1292"/>
      <c r="C20" s="1304"/>
      <c r="D20" s="1304"/>
      <c r="E20" s="1268"/>
      <c r="F20" s="473"/>
      <c r="G20" s="473"/>
      <c r="H20" s="473"/>
      <c r="I20" s="473"/>
      <c r="J20" s="158"/>
      <c r="K20" s="1353"/>
      <c r="L20" s="1268"/>
      <c r="M20" s="473"/>
      <c r="N20" s="1363"/>
      <c r="O20" s="1363"/>
      <c r="P20" s="1363"/>
      <c r="Q20" s="1363"/>
      <c r="R20" s="1363"/>
      <c r="S20" s="1304"/>
      <c r="T20" s="158"/>
      <c r="U20" s="1360"/>
      <c r="W20" s="1392"/>
      <c r="X20" s="1304"/>
      <c r="Y20" s="1268"/>
      <c r="Z20" s="1304"/>
      <c r="AA20" s="1268"/>
      <c r="AB20" s="1304"/>
      <c r="AC20" s="1268"/>
      <c r="AD20" s="1309"/>
      <c r="AE20" s="1282"/>
      <c r="AF20" s="1268"/>
      <c r="AG20" s="1304"/>
      <c r="AH20" s="1333"/>
      <c r="AI20" s="533"/>
      <c r="AJ20" s="1333"/>
      <c r="AK20" s="533"/>
      <c r="AL20" s="533"/>
      <c r="AM20" s="533"/>
      <c r="AN20" s="533"/>
      <c r="AO20" s="1334"/>
      <c r="AP20" s="1286"/>
    </row>
    <row r="21" spans="1:44">
      <c r="A21" s="1293"/>
      <c r="B21" s="1294" t="s">
        <v>335</v>
      </c>
      <c r="C21" s="1304"/>
      <c r="D21" s="1304"/>
      <c r="E21" s="1268"/>
      <c r="F21" s="473"/>
      <c r="G21" s="473"/>
      <c r="H21" s="473"/>
      <c r="I21" s="473"/>
      <c r="J21" s="158"/>
      <c r="K21" s="1353"/>
      <c r="L21" s="1268"/>
      <c r="M21" s="473"/>
      <c r="N21" s="1304"/>
      <c r="O21" s="1304"/>
      <c r="P21" s="1359"/>
      <c r="Q21" s="1304"/>
      <c r="R21" s="1304"/>
      <c r="S21" s="1304"/>
      <c r="T21" s="158"/>
      <c r="U21" s="1360"/>
      <c r="W21" s="1392"/>
      <c r="X21" s="1304"/>
      <c r="Y21" s="1268"/>
      <c r="Z21" s="1304"/>
      <c r="AA21" s="1268"/>
      <c r="AB21" s="1304"/>
      <c r="AC21" s="1268"/>
      <c r="AD21" s="1309"/>
      <c r="AE21" s="1282"/>
      <c r="AF21" s="1268"/>
      <c r="AG21" s="1304"/>
      <c r="AH21" s="1333"/>
      <c r="AI21" s="533"/>
      <c r="AJ21" s="1333"/>
      <c r="AK21" s="533"/>
      <c r="AL21" s="533"/>
      <c r="AM21" s="533"/>
      <c r="AN21" s="533"/>
      <c r="AO21" s="1334"/>
      <c r="AP21" s="1286"/>
    </row>
    <row r="22" spans="1:44">
      <c r="A22" s="1293" t="s">
        <v>119</v>
      </c>
      <c r="B22" s="668" t="s">
        <v>830</v>
      </c>
      <c r="C22" s="1305">
        <f>($R$51+((D99-1)*$R$53))*K61</f>
        <v>37.4</v>
      </c>
      <c r="D22" s="1268">
        <f>(C22/C15)-1</f>
        <v>0.78947368421052633</v>
      </c>
      <c r="E22" s="1305">
        <f>(((2/3)*C61*$J$58)+(D61*$K$58)+(E61*$L$58))*K61</f>
        <v>13.15864</v>
      </c>
      <c r="F22" s="1268">
        <f>(E22/E15)-1</f>
        <v>0.62939958592132528</v>
      </c>
      <c r="G22" s="1305">
        <f>(((1/3)*C61)*$J$51*$J$52*(1+$J$55))*K61</f>
        <v>6.1153399999999989</v>
      </c>
      <c r="H22" s="1268">
        <f>(G22/G15)-1</f>
        <v>0.65873015873015839</v>
      </c>
      <c r="I22" s="1305">
        <f>I15</f>
        <v>8.8000000000000007</v>
      </c>
      <c r="J22" s="1309">
        <f>C22+E22+G22+I22</f>
        <v>65.473979999999997</v>
      </c>
      <c r="K22" s="1310">
        <f>'segSales&amp;OM'!AG216</f>
        <v>70.998999999999995</v>
      </c>
      <c r="L22" s="1268">
        <f t="shared" si="2"/>
        <v>0.75740099009900974</v>
      </c>
      <c r="M22" s="473"/>
      <c r="N22" s="1305">
        <f>((C61*(2/3)*$J$56)+(D61*$K$56)+(E61*$L$56)+(F61*$M$56))*$K$61</f>
        <v>38.385984999999998</v>
      </c>
      <c r="O22" s="1268">
        <f>N22/N15-1</f>
        <v>0.29353535353535354</v>
      </c>
      <c r="P22" s="1305">
        <f>'segSales&amp;OM'!AZ216</f>
        <v>55</v>
      </c>
      <c r="Q22" s="1268">
        <f>P22/P15-1</f>
        <v>-0.24450549450549453</v>
      </c>
      <c r="R22" s="1314">
        <v>18.5</v>
      </c>
      <c r="S22" s="1268">
        <f>R22/R15-1</f>
        <v>-1.0695187165775333E-2</v>
      </c>
      <c r="T22" s="1309">
        <f>N22+P22+R22</f>
        <v>111.88598500000001</v>
      </c>
      <c r="U22" s="1337">
        <f>'segSales&amp;OM'!BE216</f>
        <v>134.988</v>
      </c>
      <c r="W22" s="1390">
        <f>AD22-Y22-AC22-AA22</f>
        <v>3.1917375999999993</v>
      </c>
      <c r="X22" s="1268">
        <f>(W22/C22)</f>
        <v>8.5340577540106932E-2</v>
      </c>
      <c r="Y22" s="1305">
        <f>E22*$Z$50</f>
        <v>8.6847024000000008</v>
      </c>
      <c r="Z22" s="1268">
        <f>(Y22/E22)</f>
        <v>0.66</v>
      </c>
      <c r="AA22" s="1305">
        <f>(((1/3)*C61)*$J$51*$J$52*$Z$53)*K61</f>
        <v>1.0115599999999998</v>
      </c>
      <c r="AB22" s="1268">
        <f>(AA22/G22)</f>
        <v>0.16541353383458646</v>
      </c>
      <c r="AC22" s="1305">
        <f>I22*$Z$52</f>
        <v>2.64</v>
      </c>
      <c r="AD22" s="1310">
        <f>'segSales&amp;OM'!DH216</f>
        <v>15.528</v>
      </c>
      <c r="AE22" s="1281"/>
      <c r="AF22" s="1305">
        <f t="shared" si="3"/>
        <v>2.3031590999999998</v>
      </c>
      <c r="AG22" s="1268">
        <f t="shared" si="1"/>
        <v>0.06</v>
      </c>
      <c r="AH22" s="1314">
        <f>'segSales&amp;OM'!DL216</f>
        <v>-14</v>
      </c>
      <c r="AI22" s="533"/>
      <c r="AJ22" s="1319">
        <f>AJ15</f>
        <v>-8</v>
      </c>
      <c r="AK22" s="533"/>
      <c r="AL22" s="1314">
        <f>AO22-AF22-AH22-AJ22-AN22</f>
        <v>21.3208409</v>
      </c>
      <c r="AM22" s="533"/>
      <c r="AN22" s="1319">
        <v>-39</v>
      </c>
      <c r="AO22" s="1332">
        <f>'segSales&amp;OM'!DT216</f>
        <v>-37.375999999999998</v>
      </c>
      <c r="AP22" s="1286"/>
    </row>
    <row r="23" spans="1:44">
      <c r="A23" s="1293" t="s">
        <v>120</v>
      </c>
      <c r="B23" s="668" t="s">
        <v>653</v>
      </c>
      <c r="C23" s="1307">
        <f>($R$51+((D100-1)*$R$53))*K62</f>
        <v>40.799999999999997</v>
      </c>
      <c r="D23" s="1268">
        <f>(C23/C16)-1</f>
        <v>0.78947368421052611</v>
      </c>
      <c r="E23" s="1307">
        <f>(((2/3)*C62*$J$58)+(D62*$K$58)+(E62*$L$58))*K62</f>
        <v>16.732799999999997</v>
      </c>
      <c r="F23" s="1268">
        <f>(E23/E16)-1</f>
        <v>0.76577854320737515</v>
      </c>
      <c r="G23" s="1307">
        <f>(((1/3)*C62)*$J$51*$J$52*(1+$J$55))*K62</f>
        <v>7.3415999999999988</v>
      </c>
      <c r="H23" s="1268">
        <f>(G23/G16)-1</f>
        <v>0.60839160839160833</v>
      </c>
      <c r="I23" s="1307">
        <f>I16</f>
        <v>9.6</v>
      </c>
      <c r="J23" s="1335">
        <f>C23+E23+G23+I23</f>
        <v>74.474399999999989</v>
      </c>
      <c r="K23" s="1368">
        <f>'segSales&amp;OM'!AG217</f>
        <v>79.34</v>
      </c>
      <c r="L23" s="1268">
        <f>(K23/K16)-1</f>
        <v>0.71408818890833281</v>
      </c>
      <c r="M23" s="473"/>
      <c r="N23" s="1307">
        <f>((C62*(2/3)*$J$56)+(D62*$K$56)+(E62*$L$56)+(F62*$M$56))*$K$62</f>
        <v>45.250259999999997</v>
      </c>
      <c r="O23" s="1268">
        <f>N23/N16-1</f>
        <v>0.35268817204301062</v>
      </c>
      <c r="P23" s="1370">
        <f>'segSales&amp;OM'!AZ217</f>
        <v>71.7</v>
      </c>
      <c r="Q23" s="1268">
        <f>P23/P16-1</f>
        <v>-0.16724738675958184</v>
      </c>
      <c r="R23" s="1315">
        <v>21.5</v>
      </c>
      <c r="S23" s="1268">
        <f>R23/R16-1</f>
        <v>5.3921568627451011E-2</v>
      </c>
      <c r="T23" s="1335">
        <f>N23+P23+R23</f>
        <v>138.45026000000001</v>
      </c>
      <c r="U23" s="1369">
        <f>'segSales&amp;OM'!BE217</f>
        <v>145.89099999999999</v>
      </c>
      <c r="W23" s="2368">
        <f>AD23-Y23-AC23-AA23</f>
        <v>1.7829520000000003</v>
      </c>
      <c r="X23" s="1268">
        <f>(W23/C23)</f>
        <v>4.3699803921568636E-2</v>
      </c>
      <c r="Y23" s="1307">
        <f>E23*$Z$50</f>
        <v>11.043647999999999</v>
      </c>
      <c r="Z23" s="1268">
        <f>(Y23/E23)</f>
        <v>0.66</v>
      </c>
      <c r="AA23" s="1307">
        <f>(((1/3)*C62)*$J$51*$J$52*$Z$53)*K62</f>
        <v>1.2143999999999999</v>
      </c>
      <c r="AB23" s="1268">
        <f>(AA23/G23)</f>
        <v>0.16541353383458648</v>
      </c>
      <c r="AC23" s="1307">
        <f>I23*$Z$52</f>
        <v>2.88</v>
      </c>
      <c r="AD23" s="1398">
        <f>'segSales&amp;OM'!DH217</f>
        <v>16.920999999999999</v>
      </c>
      <c r="AE23" s="1282"/>
      <c r="AF23" s="1307">
        <f t="shared" si="3"/>
        <v>2.7150155999999996</v>
      </c>
      <c r="AG23" s="1268">
        <f t="shared" si="1"/>
        <v>0.06</v>
      </c>
      <c r="AH23" s="1320">
        <f>'segSales&amp;OM'!DL217</f>
        <v>-11.2</v>
      </c>
      <c r="AI23" s="533"/>
      <c r="AJ23" s="1320">
        <f>AJ16</f>
        <v>-8</v>
      </c>
      <c r="AK23" s="533"/>
      <c r="AL23" s="1315">
        <f>AO23-AF23-AH23-AJ23-AN23</f>
        <v>19.852984399999997</v>
      </c>
      <c r="AM23" s="533"/>
      <c r="AN23" s="1321">
        <f>AN16-9.5</f>
        <v>-52</v>
      </c>
      <c r="AO23" s="1322">
        <f>'segSales&amp;OM'!DT217</f>
        <v>-48.631999999999998</v>
      </c>
      <c r="AP23" s="1286"/>
    </row>
    <row r="24" spans="1:44">
      <c r="A24" s="1293" t="s">
        <v>1018</v>
      </c>
      <c r="B24" s="668" t="s">
        <v>598</v>
      </c>
      <c r="C24" s="1307">
        <f>($R$51+((D101-1)*$R$53))*K63</f>
        <v>48</v>
      </c>
      <c r="D24" s="1268">
        <f>(C24/C17)-1</f>
        <v>0.4285714285714286</v>
      </c>
      <c r="E24" s="1307">
        <f>(((2/3)*C63*$J$58)+(D63*$K$58)+(E63*$L$58))*K63</f>
        <v>17.265599999999999</v>
      </c>
      <c r="F24" s="1268">
        <f>(E24/E17)-1</f>
        <v>0.59895092460881938</v>
      </c>
      <c r="G24" s="1307">
        <f>(((1/3)*C63)*$J$51*$J$52*(1+$J$55))*K63</f>
        <v>7.8203999999999985</v>
      </c>
      <c r="H24" s="1268">
        <f>(G24/G17)-1</f>
        <v>0.54088050314465397</v>
      </c>
      <c r="I24" s="1307">
        <f>I17</f>
        <v>9.6</v>
      </c>
      <c r="J24" s="1335">
        <f>C24+E24+G24+I24</f>
        <v>82.685999999999993</v>
      </c>
      <c r="K24" s="1368">
        <f>'segSales&amp;OM'!AG218</f>
        <v>80.010000000000005</v>
      </c>
      <c r="L24" s="1268">
        <f t="shared" si="2"/>
        <v>0.33760197940350412</v>
      </c>
      <c r="M24" s="473"/>
      <c r="N24" s="1307">
        <f>((C63*(2/3)*$J$56)+(D63*$K$56)+(E63*$L$56)+(F63*$M$56))*$K$63</f>
        <v>44.413139999999999</v>
      </c>
      <c r="O24" s="1268">
        <f>N24/N17-1</f>
        <v>0.24605504587155957</v>
      </c>
      <c r="P24" s="1307">
        <f>'segSales&amp;OM'!AZ218</f>
        <v>61</v>
      </c>
      <c r="Q24" s="1268">
        <f>P24/P17-1</f>
        <v>-0.18774966711051921</v>
      </c>
      <c r="R24" s="1315">
        <v>17</v>
      </c>
      <c r="S24" s="1268">
        <f>R24/R17-1</f>
        <v>-0.16666666666666663</v>
      </c>
      <c r="T24" s="1335">
        <f>N24+P24+R24</f>
        <v>122.41314</v>
      </c>
      <c r="U24" s="1369">
        <f>'segSales&amp;OM'!BE218</f>
        <v>127.232</v>
      </c>
      <c r="W24" s="1396">
        <f>AD24-Y24-AC24-AA24</f>
        <v>0.48210399999999853</v>
      </c>
      <c r="X24" s="1268">
        <f>(W24/C24)</f>
        <v>1.0043833333333302E-2</v>
      </c>
      <c r="Y24" s="1307">
        <f>E24*$Z$50</f>
        <v>11.395296</v>
      </c>
      <c r="Z24" s="1268">
        <f>(Y24/E24)</f>
        <v>0.66</v>
      </c>
      <c r="AA24" s="1307">
        <f>(((1/3)*C63)*$J$51*$J$52*$Z$53)*K63</f>
        <v>1.2935999999999999</v>
      </c>
      <c r="AB24" s="1268">
        <f>(AA24/G24)</f>
        <v>0.16541353383458648</v>
      </c>
      <c r="AC24" s="1307">
        <f>I24*$Z$52</f>
        <v>2.88</v>
      </c>
      <c r="AD24" s="1416">
        <f>'segSales&amp;OM'!DH218</f>
        <v>16.050999999999998</v>
      </c>
      <c r="AE24" s="1282"/>
      <c r="AF24" s="1307">
        <f t="shared" si="3"/>
        <v>2.6647883999999999</v>
      </c>
      <c r="AG24" s="1268">
        <f t="shared" si="1"/>
        <v>0.06</v>
      </c>
      <c r="AH24" s="1320">
        <f>'segSales&amp;OM'!DL218</f>
        <v>-6</v>
      </c>
      <c r="AI24" s="533"/>
      <c r="AJ24" s="1320">
        <v>-7</v>
      </c>
      <c r="AK24" s="533"/>
      <c r="AL24" s="1315">
        <f>AO24-AF24-AH24-AJ24-AN24</f>
        <v>35.986211600000004</v>
      </c>
      <c r="AM24" s="533"/>
      <c r="AN24" s="1321">
        <f>AN17</f>
        <v>-42.5</v>
      </c>
      <c r="AO24" s="1322">
        <f>'segSales&amp;OM'!DT218</f>
        <v>-16.849</v>
      </c>
      <c r="AP24" s="1286"/>
    </row>
    <row r="25" spans="1:44">
      <c r="A25" s="1293" t="s">
        <v>1019</v>
      </c>
      <c r="B25" s="668" t="s">
        <v>601</v>
      </c>
      <c r="C25" s="1311">
        <f>($R$51+((D102-1)*$R$53))*K64</f>
        <v>64.5</v>
      </c>
      <c r="D25" s="1264">
        <f>(C25/C18)-1</f>
        <v>0.53571428571428581</v>
      </c>
      <c r="E25" s="1311">
        <f>(((2/3)*C64*$J$58)+(D64*$K$58)+(E64*$L$58))*K64</f>
        <v>29.088000000000001</v>
      </c>
      <c r="F25" s="1264">
        <f>(E25/E18)-1</f>
        <v>0.86160817141540602</v>
      </c>
      <c r="G25" s="1311">
        <f>(((1/3)*C64)*$J$51*$J$52*(1+$J$55))*K64</f>
        <v>11.571</v>
      </c>
      <c r="H25" s="1264">
        <f>(G25/G18)-1</f>
        <v>0.46464646464646453</v>
      </c>
      <c r="I25" s="1311">
        <f>I18</f>
        <v>12</v>
      </c>
      <c r="J25" s="1336">
        <f>C25+E25+G25+I25</f>
        <v>117.15899999999999</v>
      </c>
      <c r="K25" s="2360">
        <f>'segSales&amp;OM'!AG219</f>
        <v>105.53700000000001</v>
      </c>
      <c r="L25" s="1264">
        <f t="shared" si="2"/>
        <v>0.40168408749817375</v>
      </c>
      <c r="M25" s="473"/>
      <c r="N25" s="1311">
        <f>((C64*(2/3)*$J$56)+(D64*$K$56)+(E64*$L$56)+(F64*$M$56))*$K$64</f>
        <v>68.849849999999989</v>
      </c>
      <c r="O25" s="1268">
        <f>N25/N18-1</f>
        <v>0.42359702501690299</v>
      </c>
      <c r="P25" s="1311">
        <f>'segSales&amp;OM'!AZ219</f>
        <v>72</v>
      </c>
      <c r="Q25" s="1268">
        <f>P25/P18-1</f>
        <v>-0.22413793103448276</v>
      </c>
      <c r="R25" s="1316">
        <v>28</v>
      </c>
      <c r="S25" s="1268">
        <f>R25/R18-1</f>
        <v>9.8039215686274161E-2</v>
      </c>
      <c r="T25" s="1336">
        <f>N25+P25+R25</f>
        <v>168.84985</v>
      </c>
      <c r="U25" s="2361">
        <f>'segSales&amp;OM'!BE219</f>
        <v>152.85400000000001</v>
      </c>
      <c r="W25" s="2369">
        <f>AD25-Y25-AC25-AA25</f>
        <v>4.7719200000000015</v>
      </c>
      <c r="X25" s="1264">
        <f>(W25/C25)</f>
        <v>7.3983255813953513E-2</v>
      </c>
      <c r="Y25" s="1311">
        <f>E25*$Z$50</f>
        <v>19.198080000000001</v>
      </c>
      <c r="Z25" s="1264">
        <f>(Y25/E25)</f>
        <v>0.66</v>
      </c>
      <c r="AA25" s="1311">
        <f>(((1/3)*C64)*$J$51*$J$52*$Z$53)*K64</f>
        <v>1.9139999999999997</v>
      </c>
      <c r="AB25" s="1264">
        <f>(AA25/G25)</f>
        <v>0.16541353383458646</v>
      </c>
      <c r="AC25" s="1311">
        <f>I25*$Z$52</f>
        <v>3.5999999999999996</v>
      </c>
      <c r="AD25" s="2367">
        <f>'segSales&amp;OM'!DH219</f>
        <v>29.484000000000002</v>
      </c>
      <c r="AF25" s="1311">
        <f>N25*$Z$51</f>
        <v>4.130990999999999</v>
      </c>
      <c r="AG25" s="1264">
        <f t="shared" si="1"/>
        <v>0.06</v>
      </c>
      <c r="AH25" s="1339">
        <f>'segSales&amp;OM'!DL219</f>
        <v>-7.5</v>
      </c>
      <c r="AI25" s="548"/>
      <c r="AJ25" s="1339">
        <v>-8</v>
      </c>
      <c r="AK25" s="548"/>
      <c r="AL25" s="1316">
        <f>AO25-AF25-AH25-AJ25-AN25</f>
        <v>45.629009000000003</v>
      </c>
      <c r="AM25" s="548"/>
      <c r="AN25" s="1323">
        <v>-65</v>
      </c>
      <c r="AO25" s="1324">
        <f>'segSales&amp;OM'!DT219</f>
        <v>-30.74</v>
      </c>
      <c r="AP25" s="1286"/>
    </row>
    <row r="26" spans="1:44" s="129" customFormat="1">
      <c r="A26" s="1401"/>
      <c r="B26" s="668" t="s">
        <v>1020</v>
      </c>
      <c r="C26" s="1305">
        <f>SUM(C22:C25)</f>
        <v>190.7</v>
      </c>
      <c r="D26" s="1268">
        <f>(C26/C19)-1</f>
        <v>0.59849119865884304</v>
      </c>
      <c r="E26" s="1305">
        <f>SUM(E22:E25)</f>
        <v>76.245039999999989</v>
      </c>
      <c r="F26" s="1268">
        <f>(E26/E19)-1</f>
        <v>0.73381906165293165</v>
      </c>
      <c r="G26" s="1305">
        <f>SUM(G22:G25)</f>
        <v>32.848339999999993</v>
      </c>
      <c r="H26" s="1268">
        <f>(G26/G19)-1</f>
        <v>0.54749373433583925</v>
      </c>
      <c r="I26" s="1305">
        <f>I19</f>
        <v>40</v>
      </c>
      <c r="J26" s="1309">
        <f>C26+E26+G26+I26</f>
        <v>339.79337999999996</v>
      </c>
      <c r="K26" s="1309">
        <f>'segSales&amp;OM'!AG220</f>
        <v>335.88599999999997</v>
      </c>
      <c r="L26" s="1268">
        <f t="shared" si="2"/>
        <v>0.51439160309473553</v>
      </c>
      <c r="M26" s="1304"/>
      <c r="N26" s="1305">
        <f>SUM(N22:N25)</f>
        <v>196.89923499999998</v>
      </c>
      <c r="O26" s="1268">
        <f>N26/N19-1</f>
        <v>0.33823387783827807</v>
      </c>
      <c r="P26" s="1305">
        <f>'segSales&amp;OM'!AZ220</f>
        <v>259.7</v>
      </c>
      <c r="Q26" s="1268">
        <f>P26/P19-1</f>
        <v>-0.20532435740514066</v>
      </c>
      <c r="R26" s="1305">
        <f>SUM(R22:R25)</f>
        <v>85</v>
      </c>
      <c r="S26" s="1268">
        <f>R26/R19-1</f>
        <v>0</v>
      </c>
      <c r="T26" s="1309">
        <f>N26+P26+R26</f>
        <v>541.59923499999991</v>
      </c>
      <c r="U26" s="1338">
        <f>'segSales&amp;OM'!BE220</f>
        <v>560.96500000000003</v>
      </c>
      <c r="W26" s="1390">
        <f>AD26-Y26-AC26-AA26</f>
        <v>10.228713600000013</v>
      </c>
      <c r="X26" s="1268">
        <f>(W26/C26)</f>
        <v>5.3637722076560111E-2</v>
      </c>
      <c r="Y26" s="1305">
        <f>E26*$Z$50</f>
        <v>50.321726399999996</v>
      </c>
      <c r="Z26" s="1268">
        <f>(Y26/E26)</f>
        <v>0.66</v>
      </c>
      <c r="AA26" s="1305">
        <f>SUM(AA22:AA25)</f>
        <v>5.4335599999999991</v>
      </c>
      <c r="AB26" s="1268">
        <f>(AA26/G26)</f>
        <v>0.16541353383458648</v>
      </c>
      <c r="AC26" s="1305">
        <f>I26*$Z$52</f>
        <v>12</v>
      </c>
      <c r="AD26" s="1309">
        <f>'segSales&amp;OM'!DH220</f>
        <v>77.984000000000009</v>
      </c>
      <c r="AE26" s="1282"/>
      <c r="AF26" s="1346">
        <f>N26*$Z$51</f>
        <v>11.813954099999998</v>
      </c>
      <c r="AG26" s="1268">
        <f t="shared" si="1"/>
        <v>0.06</v>
      </c>
      <c r="AH26" s="1361">
        <f>'segSales&amp;OM'!DL220</f>
        <v>-38.700000000000003</v>
      </c>
      <c r="AI26" s="533"/>
      <c r="AJ26" s="1330">
        <f>SUM(AJ22:AJ25)</f>
        <v>-31</v>
      </c>
      <c r="AK26" s="533"/>
      <c r="AL26" s="1305">
        <f>AO26-AF26-AH26-AJ26-AN26</f>
        <v>122.7890459</v>
      </c>
      <c r="AM26" s="533"/>
      <c r="AN26" s="1325">
        <f>SUM(AN22:AN25)</f>
        <v>-198.5</v>
      </c>
      <c r="AO26" s="2362">
        <f>'segSales&amp;OM'!DT220</f>
        <v>-133.59700000000001</v>
      </c>
    </row>
    <row r="27" spans="1:44">
      <c r="A27" s="1401"/>
      <c r="B27" s="668"/>
      <c r="C27" s="1305"/>
      <c r="D27" s="1268"/>
      <c r="E27" s="1305"/>
      <c r="F27" s="1268"/>
      <c r="G27" s="1305"/>
      <c r="H27" s="1268"/>
      <c r="I27" s="1305"/>
      <c r="J27" s="1309"/>
      <c r="K27" s="1309"/>
      <c r="L27" s="1268"/>
      <c r="M27" s="1304"/>
      <c r="N27" s="1305"/>
      <c r="O27" s="1268"/>
      <c r="P27" s="1305"/>
      <c r="Q27" s="1268"/>
      <c r="R27" s="1305"/>
      <c r="S27" s="1268"/>
      <c r="T27" s="1309"/>
      <c r="U27" s="1338"/>
      <c r="W27" s="1390"/>
      <c r="X27" s="1268"/>
      <c r="Y27" s="1305"/>
      <c r="Z27" s="1268"/>
      <c r="AA27" s="1305"/>
      <c r="AB27" s="1268"/>
      <c r="AC27" s="1305"/>
      <c r="AD27" s="1309"/>
      <c r="AE27" s="1282"/>
      <c r="AF27" s="1305"/>
      <c r="AG27" s="1268"/>
      <c r="AH27" s="1361"/>
      <c r="AI27" s="533"/>
      <c r="AJ27" s="1330"/>
      <c r="AK27" s="533"/>
      <c r="AL27" s="1305"/>
      <c r="AM27" s="533"/>
      <c r="AN27" s="1325"/>
      <c r="AO27" s="1338"/>
      <c r="AP27" s="129"/>
    </row>
    <row r="28" spans="1:44">
      <c r="A28" s="1293"/>
      <c r="B28" s="1294" t="s">
        <v>1266</v>
      </c>
      <c r="C28" s="1304"/>
      <c r="D28" s="1304"/>
      <c r="E28" s="1268"/>
      <c r="F28" s="473"/>
      <c r="G28" s="473"/>
      <c r="H28" s="473"/>
      <c r="I28" s="473"/>
      <c r="J28" s="158"/>
      <c r="K28" s="1353"/>
      <c r="L28" s="1268"/>
      <c r="M28" s="473"/>
      <c r="N28" s="1304"/>
      <c r="O28" s="1304"/>
      <c r="P28" s="1359"/>
      <c r="Q28" s="1304"/>
      <c r="R28" s="1304"/>
      <c r="S28" s="1304"/>
      <c r="T28" s="158"/>
      <c r="U28" s="1360"/>
      <c r="W28" s="1392"/>
      <c r="X28" s="1304"/>
      <c r="Y28" s="1268"/>
      <c r="Z28" s="1304"/>
      <c r="AA28" s="1268"/>
      <c r="AB28" s="1304"/>
      <c r="AC28" s="1268"/>
      <c r="AD28" s="1309"/>
      <c r="AE28" s="1282"/>
      <c r="AF28" s="1268"/>
      <c r="AG28" s="1304"/>
      <c r="AH28" s="1333"/>
      <c r="AI28" s="533"/>
      <c r="AJ28" s="1333"/>
      <c r="AK28" s="533"/>
      <c r="AL28" s="533"/>
      <c r="AM28" s="533"/>
      <c r="AN28" s="533"/>
      <c r="AO28" s="1360"/>
      <c r="AP28" s="129"/>
    </row>
    <row r="29" spans="1:44">
      <c r="A29" s="1293" t="s">
        <v>119</v>
      </c>
      <c r="B29" s="668" t="s">
        <v>830</v>
      </c>
      <c r="C29" s="1305">
        <f>($R$51+((D104-1)*$R$53))*K61</f>
        <v>47.3</v>
      </c>
      <c r="D29" s="1268">
        <f>(C29/C22)-1</f>
        <v>0.26470588235294112</v>
      </c>
      <c r="E29" s="1305">
        <f>(((2/3)*C66*$J$58)+(D66*$K$58)+(E66*$L$58))*K61</f>
        <v>23.01464</v>
      </c>
      <c r="F29" s="1268">
        <f>(E29/E22)-1</f>
        <v>0.74901357587106254</v>
      </c>
      <c r="G29" s="1305">
        <f>(((1/3)*C66)*$J$51*$J$52*(1+$J$55))*K61</f>
        <v>8.8950399999999998</v>
      </c>
      <c r="H29" s="1268">
        <f>(G29/G22)-1</f>
        <v>0.45454545454545481</v>
      </c>
      <c r="I29" s="1305">
        <f>I22</f>
        <v>8.8000000000000007</v>
      </c>
      <c r="J29" s="1309">
        <f>C29+E29+G29+I29</f>
        <v>88.009679999999989</v>
      </c>
      <c r="K29" s="2379">
        <f>'segSales&amp;OM'!AG223</f>
        <v>91.462000000000003</v>
      </c>
      <c r="L29" s="1268">
        <f>(K29/K22)-1</f>
        <v>0.28821532697643648</v>
      </c>
      <c r="M29" s="473"/>
      <c r="N29" s="1305">
        <f>((C66*(2/3)*$J$56)+(D66*$K$56)+(E66*$L$56)+(F66*$M$56))*$K$61</f>
        <v>53.769155000000005</v>
      </c>
      <c r="O29" s="1268">
        <f>N29/N22-1</f>
        <v>0.40074964860221796</v>
      </c>
      <c r="P29" s="1305">
        <f>'segSales&amp;OM'!AZ223</f>
        <v>48</v>
      </c>
      <c r="Q29" s="1268">
        <f>P29/P22-1</f>
        <v>-0.12727272727272732</v>
      </c>
      <c r="R29" s="1314">
        <f>R22</f>
        <v>18.5</v>
      </c>
      <c r="S29" s="1268">
        <f>R29/R22-1</f>
        <v>0</v>
      </c>
      <c r="T29" s="2604">
        <f>N29+P29+R29</f>
        <v>120.26915500000001</v>
      </c>
      <c r="U29" s="2380">
        <f>'segSales&amp;OM'!BE223</f>
        <v>123.26</v>
      </c>
      <c r="W29" s="1390">
        <f>AD29-Y29-AC29-AA29</f>
        <v>2.1859775999999966</v>
      </c>
      <c r="X29" s="1268">
        <f>(W29/C29)</f>
        <v>4.6215171247357224E-2</v>
      </c>
      <c r="Y29" s="1305">
        <f>E29*$Z$50</f>
        <v>15.189662400000001</v>
      </c>
      <c r="Z29" s="1268">
        <f>(Y29/E29)</f>
        <v>0.66</v>
      </c>
      <c r="AA29" s="1305">
        <f>(((1/3)*C66)*$J$51*$J$52*$Z$53)*K61</f>
        <v>1.47136</v>
      </c>
      <c r="AB29" s="1268">
        <f>(AA29/G29)</f>
        <v>0.16541353383458646</v>
      </c>
      <c r="AC29" s="1305">
        <f>I29*$Z$52</f>
        <v>2.64</v>
      </c>
      <c r="AD29" s="1310">
        <f>'segSales&amp;OM'!DH223</f>
        <v>21.486999999999998</v>
      </c>
      <c r="AE29" s="1281"/>
      <c r="AF29" s="1305">
        <f>N29*$Z$51</f>
        <v>3.2261493000000003</v>
      </c>
      <c r="AG29" s="1268">
        <f>(AF29/N29)</f>
        <v>0.06</v>
      </c>
      <c r="AH29" s="1314">
        <f>'segSales&amp;OM'!DL223</f>
        <v>-12</v>
      </c>
      <c r="AI29" s="533"/>
      <c r="AJ29" s="1319">
        <v>-7</v>
      </c>
      <c r="AK29" s="533"/>
      <c r="AL29" s="1314">
        <f>AO29-AF29-AH29-AJ29-AN29</f>
        <v>22.317850699999994</v>
      </c>
      <c r="AM29" s="533"/>
      <c r="AN29" s="1319">
        <v>-42</v>
      </c>
      <c r="AO29" s="1332">
        <f>'segSales&amp;OM'!DT223</f>
        <v>-35.456000000000003</v>
      </c>
      <c r="AP29" s="1395"/>
    </row>
    <row r="30" spans="1:44">
      <c r="A30" s="1293" t="s">
        <v>120</v>
      </c>
      <c r="B30" s="668" t="s">
        <v>653</v>
      </c>
      <c r="C30" s="1307">
        <f>($R$51+((D105-1)*$R$53))*K62</f>
        <v>51.6</v>
      </c>
      <c r="D30" s="1268">
        <f>(C30/C23)-1</f>
        <v>0.26470588235294135</v>
      </c>
      <c r="E30" s="1307">
        <f>(((2/3)*C67*$J$58)+(D67*$K$58)+(E67*$L$58))*K62</f>
        <v>27.700800000000001</v>
      </c>
      <c r="F30" s="1268">
        <f>(E30/E23)-1</f>
        <v>0.65547905909351734</v>
      </c>
      <c r="G30" s="1307">
        <f>(((1/3)*C67)*$J$51*$J$52*(1+$J$55))*K62</f>
        <v>10.374000000000001</v>
      </c>
      <c r="H30" s="1268">
        <f>(G30/G23)-1</f>
        <v>0.41304347826086985</v>
      </c>
      <c r="I30" s="1307">
        <f>I23</f>
        <v>9.6</v>
      </c>
      <c r="J30" s="1335">
        <f>C30+E30+G30+I30</f>
        <v>99.274799999999999</v>
      </c>
      <c r="K30" s="1368">
        <f>'segSales&amp;OM'!AG224</f>
        <v>88.694999999999993</v>
      </c>
      <c r="L30" s="1268">
        <f>(K30/K23)-1</f>
        <v>0.11791025964204671</v>
      </c>
      <c r="M30" s="473"/>
      <c r="N30" s="1307">
        <f>((C67*(2/3)*$J$56)+(D67*$K$56)+(E67*$L$56)+(F67*$M$56))*$K$61</f>
        <v>56.808619999999998</v>
      </c>
      <c r="O30" s="1268">
        <f>N30/N23-1</f>
        <v>0.25543190249072611</v>
      </c>
      <c r="P30" s="1307">
        <f>'segSales&amp;OM'!AZ224</f>
        <v>57.5</v>
      </c>
      <c r="Q30" s="1268">
        <f>P30/P23-1</f>
        <v>-0.19804741980474205</v>
      </c>
      <c r="R30" s="1315">
        <v>21.5</v>
      </c>
      <c r="S30" s="1268">
        <f>R30/R23-1</f>
        <v>0</v>
      </c>
      <c r="T30" s="1335">
        <f>N30+P30+R30</f>
        <v>135.80861999999999</v>
      </c>
      <c r="U30" s="1369">
        <f>'segSales&amp;OM'!BE224</f>
        <v>121.96599999999999</v>
      </c>
      <c r="W30" s="2368">
        <f>AD30-Y30-AC30-AA30</f>
        <v>-2.6945280000000018</v>
      </c>
      <c r="X30" s="1268">
        <f>(W30/C30)</f>
        <v>-5.2219534883720962E-2</v>
      </c>
      <c r="Y30" s="1307">
        <f>E30*$Z$50</f>
        <v>18.282528000000003</v>
      </c>
      <c r="Z30" s="1268">
        <f>(Y30/E30)</f>
        <v>0.66</v>
      </c>
      <c r="AA30" s="1307">
        <f>(((1/3)*C67)*$J$51*$J$52*$Z$53)*K62</f>
        <v>1.716</v>
      </c>
      <c r="AB30" s="1268">
        <f>(AA30/G30)</f>
        <v>0.16541353383458646</v>
      </c>
      <c r="AC30" s="1307">
        <f>I30*$Z$52</f>
        <v>2.88</v>
      </c>
      <c r="AD30" s="1398">
        <f>'segSales&amp;OM'!DH224</f>
        <v>20.184000000000001</v>
      </c>
      <c r="AE30" s="1282"/>
      <c r="AF30" s="1307">
        <f>N30*$Z$51</f>
        <v>3.4085171999999999</v>
      </c>
      <c r="AG30" s="1268">
        <f>(AF30/N30)</f>
        <v>0.06</v>
      </c>
      <c r="AH30" s="1320">
        <f>'segSales&amp;OM'!DL224</f>
        <v>-7</v>
      </c>
      <c r="AI30" s="533"/>
      <c r="AJ30" s="1320">
        <v>-6</v>
      </c>
      <c r="AK30" s="533"/>
      <c r="AL30" s="1315">
        <f>AO30-AF30-AH30-AJ30-AN30</f>
        <v>37.161482800000002</v>
      </c>
      <c r="AM30" s="533"/>
      <c r="AN30" s="1321">
        <v>-80</v>
      </c>
      <c r="AO30" s="2568">
        <f>'segSales&amp;OM'!DT224</f>
        <v>-52.43</v>
      </c>
      <c r="AQ30" s="23"/>
      <c r="AR30" s="23"/>
    </row>
    <row r="31" spans="1:44">
      <c r="A31" s="1293" t="s">
        <v>1018</v>
      </c>
      <c r="B31" s="668" t="s">
        <v>598</v>
      </c>
      <c r="C31" s="1307">
        <f>($R$51+((D106-1)*$R$53))*K63</f>
        <v>51.6</v>
      </c>
      <c r="D31" s="1268">
        <f>(C31/C24)-1</f>
        <v>7.4999999999999956E-2</v>
      </c>
      <c r="E31" s="1307">
        <f>(((2/3)*C68*$J$58)+(D68*$K$58)+(E68*$L$58))*K63</f>
        <v>29.485439999999997</v>
      </c>
      <c r="F31" s="1268">
        <f>(E31/E24)-1</f>
        <v>0.70775646371976642</v>
      </c>
      <c r="G31" s="1307">
        <f>(((1/3)*C68)*$J$51*$J$52*(1+$J$55))*K63</f>
        <v>10.916639999999999</v>
      </c>
      <c r="H31" s="1268">
        <f>(G31/G24)-1</f>
        <v>0.39591836734693886</v>
      </c>
      <c r="I31" s="1307">
        <f>I24</f>
        <v>9.6</v>
      </c>
      <c r="J31" s="1335">
        <f>C31+E31+G31+I31</f>
        <v>101.60208</v>
      </c>
      <c r="K31" s="1368">
        <f>'segSales&amp;OM'!AG225</f>
        <v>92.81</v>
      </c>
      <c r="L31" s="1268">
        <f>(K31/K24)-1</f>
        <v>0.15998000249968758</v>
      </c>
      <c r="M31" s="473"/>
      <c r="N31" s="1307">
        <f>((C68*(2/3)*$J$56)+(D68*$K$56)+(E68*$L$56)+(F68*$M$56))*$K$61</f>
        <v>59.890050000000002</v>
      </c>
      <c r="O31" s="1268">
        <f>N31/N24-1</f>
        <v>0.34847592401708161</v>
      </c>
      <c r="P31" s="1307">
        <f>'segSales&amp;OM'!AZ225</f>
        <v>47</v>
      </c>
      <c r="Q31" s="1268">
        <f>P31/P24-1</f>
        <v>-0.22950819672131151</v>
      </c>
      <c r="R31" s="1315">
        <v>20</v>
      </c>
      <c r="S31" s="1268">
        <f>R31/R24-1</f>
        <v>0.17647058823529416</v>
      </c>
      <c r="T31" s="1335">
        <f>N31+P31+R31</f>
        <v>126.89005</v>
      </c>
      <c r="U31" s="1369">
        <f>'segSales&amp;OM'!BE225</f>
        <v>115.798</v>
      </c>
      <c r="W31" s="2368">
        <f>AD31-Y31-AC31-AA31</f>
        <v>-5.9711503999999973</v>
      </c>
      <c r="X31" s="1268">
        <f>(W31/C31)</f>
        <v>-0.11571996899224801</v>
      </c>
      <c r="Y31" s="1307">
        <f>E31*$Z$50</f>
        <v>19.460390399999998</v>
      </c>
      <c r="Z31" s="1268">
        <f>(Y31/E31)</f>
        <v>0.66</v>
      </c>
      <c r="AA31" s="1307">
        <f>(((1/3)*C68)*$J$51*$J$52*$Z$53)*K63</f>
        <v>1.8057599999999998</v>
      </c>
      <c r="AB31" s="1268">
        <f>(AA31/G31)</f>
        <v>0.16541353383458646</v>
      </c>
      <c r="AC31" s="1307">
        <f>I31*$Z$52</f>
        <v>2.88</v>
      </c>
      <c r="AD31" s="1398">
        <f>'segSales&amp;OM'!DH225</f>
        <v>18.175000000000001</v>
      </c>
      <c r="AE31" s="1282"/>
      <c r="AF31" s="1307">
        <f>N31*$Z$51</f>
        <v>3.5934029999999999</v>
      </c>
      <c r="AG31" s="1268">
        <f>(AF31/N31)</f>
        <v>0.06</v>
      </c>
      <c r="AH31" s="1320">
        <f>'segSales&amp;OM'!DL225</f>
        <v>-10</v>
      </c>
      <c r="AI31" s="533"/>
      <c r="AJ31" s="1320">
        <v>-7</v>
      </c>
      <c r="AK31" s="533"/>
      <c r="AL31" s="1315">
        <f>AO31-AF31-AH31-AJ31-AN31</f>
        <v>36.606597000000001</v>
      </c>
      <c r="AM31" s="533"/>
      <c r="AN31" s="1321">
        <v>-50</v>
      </c>
      <c r="AO31" s="1322">
        <f>'segSales&amp;OM'!DT225</f>
        <v>-26.8</v>
      </c>
      <c r="AP31" s="1286"/>
    </row>
    <row r="32" spans="1:44">
      <c r="A32" s="1293" t="s">
        <v>1019</v>
      </c>
      <c r="B32" s="668" t="s">
        <v>601</v>
      </c>
      <c r="C32" s="1311">
        <f>($R$51+((D107-1)*$R$53))*K64</f>
        <v>82.5</v>
      </c>
      <c r="D32" s="1264">
        <f>(C32/C25)-1</f>
        <v>0.27906976744186052</v>
      </c>
      <c r="E32" s="1311">
        <f>(((2/3)*C69*$J$58)+(D69*$K$58)+(E69*$L$58))*K64</f>
        <v>40.165200000000006</v>
      </c>
      <c r="F32" s="1264">
        <f>(E32/E25)-1</f>
        <v>0.38081683168316838</v>
      </c>
      <c r="G32" s="1311">
        <f>(((1/3)*C69)*$J$51*$J$52*(1+$J$55))*K64</f>
        <v>14.8827</v>
      </c>
      <c r="H32" s="1264">
        <f>(G32/G25)-1</f>
        <v>0.28620689655172415</v>
      </c>
      <c r="I32" s="1311">
        <f>I25</f>
        <v>12</v>
      </c>
      <c r="J32" s="1336">
        <f>C32+E32+G32+I32</f>
        <v>149.5479</v>
      </c>
      <c r="K32" s="2360">
        <f>'segSales&amp;OM'!AG226</f>
        <v>112.27200000000001</v>
      </c>
      <c r="L32" s="1264">
        <f>(K32/K25)-1</f>
        <v>6.3816481423576654E-2</v>
      </c>
      <c r="M32" s="473"/>
      <c r="N32" s="1311">
        <f>((C69*(2/3)*$J$56)+(D69*$K$56)+(E69*$L$56)+(F69*$M$56))*$K$61</f>
        <v>64.122520000000009</v>
      </c>
      <c r="O32" s="1268">
        <f>N32/N25-1</f>
        <v>-6.866144225441273E-2</v>
      </c>
      <c r="P32" s="1311">
        <f>'segSales&amp;OM'!AZ226</f>
        <v>62</v>
      </c>
      <c r="Q32" s="1268">
        <f>P32/P25-1</f>
        <v>-0.13888888888888884</v>
      </c>
      <c r="R32" s="1316">
        <v>35</v>
      </c>
      <c r="S32" s="1268">
        <f>R32/R25-1</f>
        <v>0.25</v>
      </c>
      <c r="T32" s="1336">
        <f>N32+P32+R32</f>
        <v>161.12252000000001</v>
      </c>
      <c r="U32" s="2361">
        <f>'segSales&amp;OM'!BE226</f>
        <v>148.86199999999999</v>
      </c>
      <c r="W32" s="2369">
        <f>AD32-Y32-AC32-AA32</f>
        <v>-4.486832000000005</v>
      </c>
      <c r="X32" s="1264">
        <f>(W32/C32)</f>
        <v>-5.4385842424242485E-2</v>
      </c>
      <c r="Y32" s="1311">
        <f>E32*$Z$50</f>
        <v>26.509032000000005</v>
      </c>
      <c r="Z32" s="1264">
        <f>(Y32/E32)</f>
        <v>0.66</v>
      </c>
      <c r="AA32" s="1311">
        <f>(((1/3)*C69)*$J$51*$J$52*$Z$53)*K64</f>
        <v>2.4617999999999998</v>
      </c>
      <c r="AB32" s="1264">
        <f>(AA32/G32)</f>
        <v>0.16541353383458646</v>
      </c>
      <c r="AC32" s="1311">
        <f>I32*$Z$52</f>
        <v>3.5999999999999996</v>
      </c>
      <c r="AD32" s="2812">
        <f>'segSales&amp;OM'!DH226</f>
        <v>28.084</v>
      </c>
      <c r="AF32" s="1311">
        <f>N32*$Z$51</f>
        <v>3.8473512000000003</v>
      </c>
      <c r="AG32" s="1264">
        <f>(AF32/N32)</f>
        <v>0.06</v>
      </c>
      <c r="AH32" s="1339">
        <f>'segSales&amp;OM'!DL226</f>
        <v>-5</v>
      </c>
      <c r="AI32" s="533"/>
      <c r="AJ32" s="1339">
        <v>-6</v>
      </c>
      <c r="AK32" s="533"/>
      <c r="AL32" s="1316">
        <f>AO32-AF32-AH32-AJ32-AN32</f>
        <v>44.252648800000003</v>
      </c>
      <c r="AM32" s="533"/>
      <c r="AN32" s="1323">
        <v>-68</v>
      </c>
      <c r="AO32" s="1324">
        <f>'segSales&amp;OM'!DT226</f>
        <v>-30.9</v>
      </c>
      <c r="AP32" s="1286"/>
    </row>
    <row r="33" spans="1:42" s="129" customFormat="1">
      <c r="A33" s="1293"/>
      <c r="B33" s="668" t="s">
        <v>1020</v>
      </c>
      <c r="C33" s="2511">
        <f>SUM(C29:C32)</f>
        <v>233</v>
      </c>
      <c r="D33" s="1272">
        <f>(C33/C26)-1</f>
        <v>0.22181436811746202</v>
      </c>
      <c r="E33" s="2511">
        <f>SUM(E29:E32)</f>
        <v>120.36608000000001</v>
      </c>
      <c r="F33" s="1272">
        <f>(E33/E26)-1</f>
        <v>0.57867423244843241</v>
      </c>
      <c r="G33" s="2511">
        <f>SUM(G29:G32)</f>
        <v>45.068379999999998</v>
      </c>
      <c r="H33" s="1272">
        <f>(G33/G26)-1</f>
        <v>0.37201392825330015</v>
      </c>
      <c r="I33" s="2511">
        <f>I26</f>
        <v>40</v>
      </c>
      <c r="J33" s="1309">
        <f>C33+E33+G33+I33</f>
        <v>438.43446</v>
      </c>
      <c r="K33" s="1309">
        <f>'segSales&amp;OM'!AG227</f>
        <v>385.23899999999998</v>
      </c>
      <c r="L33" s="1268">
        <f>(K33/K26)-1</f>
        <v>0.14693378110430322</v>
      </c>
      <c r="M33" s="1304"/>
      <c r="N33" s="1305">
        <f>SUM(N29:N32)</f>
        <v>234.59034500000001</v>
      </c>
      <c r="O33" s="1268">
        <f>N33/N26-1</f>
        <v>0.19142334402670502</v>
      </c>
      <c r="P33" s="1305">
        <f>'segSales&amp;OM'!AZ227</f>
        <v>214.5</v>
      </c>
      <c r="Q33" s="1268">
        <f>P33/P26-1</f>
        <v>-0.17404697728147855</v>
      </c>
      <c r="R33" s="1305">
        <f>R26</f>
        <v>85</v>
      </c>
      <c r="S33" s="1268">
        <f>R33/R26-1</f>
        <v>0</v>
      </c>
      <c r="T33" s="1309">
        <f>N33+P33+R33</f>
        <v>534.09034500000007</v>
      </c>
      <c r="U33" s="2512">
        <f>'segSales&amp;OM'!BE227</f>
        <v>509.88599999999997</v>
      </c>
      <c r="W33" s="1390">
        <f>AD33-Y33-AC33-AA33</f>
        <v>-10.966532800000008</v>
      </c>
      <c r="X33" s="1272">
        <f>(W33/C33)</f>
        <v>-4.7066664377682442E-2</v>
      </c>
      <c r="Y33" s="1305">
        <f>E33*$Z$50</f>
        <v>79.441612800000016</v>
      </c>
      <c r="Z33" s="1272">
        <f>(Y33/E33)</f>
        <v>0.66</v>
      </c>
      <c r="AA33" s="2511">
        <f>SUM(AA29:AA32)</f>
        <v>7.4549199999999995</v>
      </c>
      <c r="AB33" s="1272">
        <f>(AA33/G33)</f>
        <v>0.16541353383458646</v>
      </c>
      <c r="AC33" s="1305">
        <f>I33*$Z$52</f>
        <v>12</v>
      </c>
      <c r="AD33" s="1309">
        <f>'segSales&amp;OM'!DH227</f>
        <v>87.93</v>
      </c>
      <c r="AE33" s="1282"/>
      <c r="AF33" s="1305">
        <f>N33*$Z$51</f>
        <v>14.0754207</v>
      </c>
      <c r="AG33" s="1272">
        <f>(AF33/N33)</f>
        <v>0.06</v>
      </c>
      <c r="AH33" s="2513">
        <f>SUM(AH29:AH32)</f>
        <v>-34</v>
      </c>
      <c r="AI33" s="533"/>
      <c r="AJ33" s="2513">
        <f>SUM(AJ29:AJ32)</f>
        <v>-26</v>
      </c>
      <c r="AK33" s="533"/>
      <c r="AL33" s="1305">
        <f>AO33-AF33-AH33-AJ33-AN33</f>
        <v>140.33857930000002</v>
      </c>
      <c r="AM33" s="533"/>
      <c r="AN33" s="2514">
        <f>SUM(AN29:AN32)</f>
        <v>-240</v>
      </c>
      <c r="AO33" s="2362">
        <f>'segSales&amp;OM'!DT227</f>
        <v>-145.58599999999998</v>
      </c>
      <c r="AP33" s="1286"/>
    </row>
    <row r="34" spans="1:42">
      <c r="A34" s="1401"/>
      <c r="B34" s="668"/>
      <c r="C34" s="1305"/>
      <c r="D34" s="1268"/>
      <c r="E34" s="1305"/>
      <c r="F34" s="1268"/>
      <c r="G34" s="1305"/>
      <c r="H34" s="1268"/>
      <c r="I34" s="1305"/>
      <c r="J34" s="1309"/>
      <c r="K34" s="1309"/>
      <c r="L34" s="1268"/>
      <c r="M34" s="1304"/>
      <c r="N34" s="1305"/>
      <c r="O34" s="1268"/>
      <c r="P34" s="1305"/>
      <c r="Q34" s="1268"/>
      <c r="R34" s="1305"/>
      <c r="S34" s="1268"/>
      <c r="T34" s="1309"/>
      <c r="U34" s="1338"/>
      <c r="W34" s="1390"/>
      <c r="X34" s="1268"/>
      <c r="Y34" s="1305"/>
      <c r="Z34" s="1268"/>
      <c r="AA34" s="1305"/>
      <c r="AB34" s="1268"/>
      <c r="AC34" s="1305"/>
      <c r="AD34" s="1309"/>
      <c r="AE34" s="1282"/>
      <c r="AF34" s="1305"/>
      <c r="AG34" s="1268"/>
      <c r="AH34" s="1361"/>
      <c r="AI34" s="533"/>
      <c r="AJ34" s="1330"/>
      <c r="AK34" s="533"/>
      <c r="AL34" s="1305"/>
      <c r="AM34" s="533"/>
      <c r="AN34" s="1325"/>
      <c r="AO34" s="1338"/>
      <c r="AP34" s="129"/>
    </row>
    <row r="35" spans="1:42">
      <c r="A35" s="1293"/>
      <c r="B35" s="1294" t="s">
        <v>1308</v>
      </c>
      <c r="C35" s="1304"/>
      <c r="D35" s="1304"/>
      <c r="E35" s="1268"/>
      <c r="F35" s="473"/>
      <c r="G35" s="473"/>
      <c r="H35" s="473"/>
      <c r="I35" s="473"/>
      <c r="J35" s="158"/>
      <c r="K35" s="1353"/>
      <c r="L35" s="1268"/>
      <c r="M35" s="473"/>
      <c r="N35" s="1304"/>
      <c r="O35" s="1304"/>
      <c r="P35" s="1359"/>
      <c r="Q35" s="1304"/>
      <c r="R35" s="1304"/>
      <c r="S35" s="1304"/>
      <c r="T35" s="158"/>
      <c r="U35" s="1360"/>
      <c r="W35" s="1392"/>
      <c r="X35" s="1304"/>
      <c r="Y35" s="1268"/>
      <c r="Z35" s="1304"/>
      <c r="AA35" s="1268"/>
      <c r="AB35" s="1304"/>
      <c r="AC35" s="1268"/>
      <c r="AD35" s="1309"/>
      <c r="AE35" s="1282"/>
      <c r="AF35" s="1268"/>
      <c r="AG35" s="1304"/>
      <c r="AH35" s="1333"/>
      <c r="AI35" s="533"/>
      <c r="AJ35" s="1333"/>
      <c r="AK35" s="533"/>
      <c r="AL35" s="533"/>
      <c r="AM35" s="533"/>
      <c r="AN35" s="533"/>
      <c r="AO35" s="1360"/>
      <c r="AP35" s="129"/>
    </row>
    <row r="36" spans="1:42">
      <c r="A36" s="1293" t="s">
        <v>119</v>
      </c>
      <c r="B36" s="668" t="s">
        <v>830</v>
      </c>
      <c r="C36" s="1305">
        <f>($R$51+((E109-1)*$R$53))*K61</f>
        <v>63.8</v>
      </c>
      <c r="D36" s="1268">
        <f>(C36/C29)-1</f>
        <v>0.34883720930232553</v>
      </c>
      <c r="E36" s="1305">
        <f>(((2/3)*C71*$J$58)+(D71*$K$58)+(E71*$L$58))*K61</f>
        <v>29.934959999999997</v>
      </c>
      <c r="F36" s="1268">
        <f>(E36/E29)-1</f>
        <v>0.30069208121439206</v>
      </c>
      <c r="G36" s="1305">
        <f>(((1/3)*C71)*$J$51*$J$52*(1+$J$55))*K61</f>
        <v>10.416559999999999</v>
      </c>
      <c r="H36" s="1268">
        <f>(G36/G29)-1</f>
        <v>0.17105263157894735</v>
      </c>
      <c r="I36" s="1305">
        <f>I29</f>
        <v>8.8000000000000007</v>
      </c>
      <c r="J36" s="1309">
        <f>C36+E36+G36+I36</f>
        <v>112.95152</v>
      </c>
      <c r="K36" s="2379">
        <f>'segSales&amp;OM'!AG230</f>
        <v>95.207999999999998</v>
      </c>
      <c r="L36" s="1374">
        <f>(K36/K29)-1</f>
        <v>4.0956900133388707E-2</v>
      </c>
      <c r="M36" s="473"/>
      <c r="N36" s="1305">
        <f>((C71*(2/3)*$J$56)+(D71*$K$56)+(E71*$L$56)+(F71*$M$56))*$K$61</f>
        <v>64.997789999999995</v>
      </c>
      <c r="O36" s="1268">
        <f>N36/N29-1</f>
        <v>0.2088304158769092</v>
      </c>
      <c r="P36" s="1305">
        <f>'segSales&amp;OM'!AZ230</f>
        <v>45</v>
      </c>
      <c r="Q36" s="1268">
        <f>P36/P29-1</f>
        <v>-6.25E-2</v>
      </c>
      <c r="R36" s="1314">
        <f>R29</f>
        <v>18.5</v>
      </c>
      <c r="S36" s="1268">
        <f>R36/R29-1</f>
        <v>0</v>
      </c>
      <c r="T36" s="2604">
        <f>N36+P36+R36</f>
        <v>128.49779000000001</v>
      </c>
      <c r="U36" s="2380">
        <f>'segSales&amp;OM'!BE230</f>
        <v>117.5</v>
      </c>
      <c r="W36" s="1390">
        <f>AD36-Y36-AC36-AA36</f>
        <v>-11.055113599999999</v>
      </c>
      <c r="X36" s="1268">
        <f>(W36/C36)</f>
        <v>-0.17327764263322881</v>
      </c>
      <c r="Y36" s="1305">
        <f>E36*$Z$50</f>
        <v>19.757073599999998</v>
      </c>
      <c r="Z36" s="1268">
        <f>(Y36/E36)</f>
        <v>0.66</v>
      </c>
      <c r="AA36" s="1305">
        <f>(((1/3)*C71)*$J$51*$J$52*$Z$53)*K61</f>
        <v>1.7230399999999997</v>
      </c>
      <c r="AB36" s="1268">
        <f>(AA36/G36)</f>
        <v>0.16541353383458646</v>
      </c>
      <c r="AC36" s="1305">
        <f>I36*$Z$52</f>
        <v>2.64</v>
      </c>
      <c r="AD36" s="1310">
        <f>'segSales&amp;OM'!DH230</f>
        <v>13.065</v>
      </c>
      <c r="AE36" s="1281"/>
      <c r="AF36" s="1305">
        <f>N36*$Z$51</f>
        <v>3.8998673999999998</v>
      </c>
      <c r="AG36" s="1268">
        <f>(AF36/N36)</f>
        <v>0.06</v>
      </c>
      <c r="AH36" s="1314">
        <f>'segSales&amp;OM'!DL230</f>
        <v>-9</v>
      </c>
      <c r="AI36" s="533"/>
      <c r="AJ36" s="1319">
        <v>-7</v>
      </c>
      <c r="AK36" s="533"/>
      <c r="AL36" s="1314">
        <f>AO36-AF36-AH36-AJ36-AN36</f>
        <v>19.024132600000002</v>
      </c>
      <c r="AM36" s="533"/>
      <c r="AN36" s="1319">
        <v>-42</v>
      </c>
      <c r="AO36" s="1332">
        <f>'segSales&amp;OM'!DT230</f>
        <v>-35.076000000000001</v>
      </c>
      <c r="AP36" s="1395"/>
    </row>
    <row r="37" spans="1:42">
      <c r="A37" s="1293" t="s">
        <v>120</v>
      </c>
      <c r="B37" s="668" t="s">
        <v>653</v>
      </c>
      <c r="C37" s="1307">
        <f>($R$51+((E110-1)*$R$53))*K62</f>
        <v>73.2</v>
      </c>
      <c r="D37" s="1268">
        <f>(C37/C30)-1</f>
        <v>0.41860465116279078</v>
      </c>
      <c r="E37" s="1307">
        <f>(((2/3)*C72*$J$58)+(D72*$K$58)+(E72*$L$58))*K62</f>
        <v>34.809599999999996</v>
      </c>
      <c r="F37" s="1268">
        <f>(E37/E30)-1</f>
        <v>0.25662796742332339</v>
      </c>
      <c r="G37" s="1307">
        <f>(((1/3)*C72)*$J$51*$J$52*(1+$J$55))*K62</f>
        <v>11.650799999999998</v>
      </c>
      <c r="H37" s="1268">
        <f>(G37/G30)-1</f>
        <v>0.12307692307692286</v>
      </c>
      <c r="I37" s="1307">
        <f>I30</f>
        <v>9.6</v>
      </c>
      <c r="J37" s="1335">
        <f>C37+E37+G37+I37</f>
        <v>129.2604</v>
      </c>
      <c r="K37" s="1368">
        <f>'segSales&amp;OM'!AG231</f>
        <v>99.709000000000003</v>
      </c>
      <c r="L37" s="1374">
        <f>(K37/K30)-1</f>
        <v>0.12417836405659854</v>
      </c>
      <c r="M37" s="473"/>
      <c r="N37" s="1307">
        <f>((C72*(2/3)*$J$56)+(D72*$K$56)+(E72*$L$56)+(F72*$M$56))*$K$61</f>
        <v>68.528845000000004</v>
      </c>
      <c r="O37" s="1268">
        <f>N37/N30-1</f>
        <v>0.2063106796116505</v>
      </c>
      <c r="P37" s="1307">
        <f>'segSales&amp;OM'!AZ231</f>
        <v>55</v>
      </c>
      <c r="Q37" s="1268">
        <f>P37/P30-1</f>
        <v>-4.3478260869565188E-2</v>
      </c>
      <c r="R37" s="1315">
        <v>23</v>
      </c>
      <c r="S37" s="1268">
        <f>R37/R30-1</f>
        <v>6.9767441860465018E-2</v>
      </c>
      <c r="T37" s="1335">
        <f>N37+P37+R37</f>
        <v>146.52884499999999</v>
      </c>
      <c r="U37" s="2380">
        <f>'segSales&amp;OM'!BE231</f>
        <v>121.273</v>
      </c>
      <c r="W37" s="1390">
        <f>AD37-Y37-AC37-AA37</f>
        <v>-20.172535999999997</v>
      </c>
      <c r="X37" s="1268">
        <f>(W37/C37)</f>
        <v>-0.27558109289617483</v>
      </c>
      <c r="Y37" s="1307">
        <f>E37*$Z$50</f>
        <v>22.974335999999997</v>
      </c>
      <c r="Z37" s="1268">
        <f>(Y37/E37)</f>
        <v>0.66</v>
      </c>
      <c r="AA37" s="1307">
        <f>(((1/3)*C72)*$J$51*$J$52*$Z$53)*K62</f>
        <v>1.9271999999999998</v>
      </c>
      <c r="AB37" s="1268">
        <f>(AA37/G37)</f>
        <v>0.16541353383458646</v>
      </c>
      <c r="AC37" s="1307">
        <f>I37*$Z$52</f>
        <v>2.88</v>
      </c>
      <c r="AD37" s="1398">
        <f>'segSales&amp;OM'!DH231</f>
        <v>7.609</v>
      </c>
      <c r="AE37" s="1282"/>
      <c r="AF37" s="1307">
        <f>N37*$Z$51</f>
        <v>4.1117306999999998</v>
      </c>
      <c r="AG37" s="1268">
        <f>(AF37/N37)</f>
        <v>5.9999999999999991E-2</v>
      </c>
      <c r="AH37" s="1314">
        <f>'segSales&amp;OM'!DL231</f>
        <v>-5</v>
      </c>
      <c r="AI37" s="533"/>
      <c r="AJ37" s="1320">
        <v>-7</v>
      </c>
      <c r="AK37" s="533"/>
      <c r="AL37" s="1315">
        <f>AO37-AF37-AH37-AJ37-AN37</f>
        <v>42.517269300000279</v>
      </c>
      <c r="AM37" s="533"/>
      <c r="AN37" s="1321">
        <v>-63</v>
      </c>
      <c r="AO37" s="1322">
        <f>'segSales&amp;OM'!DT231</f>
        <v>-28.370999999999718</v>
      </c>
      <c r="AP37" s="2418"/>
    </row>
    <row r="38" spans="1:42">
      <c r="A38" s="1293" t="s">
        <v>1018</v>
      </c>
      <c r="B38" s="668" t="s">
        <v>598</v>
      </c>
      <c r="C38" s="1307">
        <f>($R$51+((E111-1)*$R$53))*K63</f>
        <v>80.399999999999991</v>
      </c>
      <c r="D38" s="1268">
        <f>(C38/C31)-1</f>
        <v>0.55813953488372081</v>
      </c>
      <c r="E38" s="1307">
        <f>(((2/3)*C73*$J$58)+(D73*$K$58)+(E73*$L$58))*K63</f>
        <v>38.478720000000003</v>
      </c>
      <c r="F38" s="1268">
        <f>(E38/E31)-1</f>
        <v>0.30500748844175307</v>
      </c>
      <c r="G38" s="1307">
        <f>(((1/3)*C73)*$J$51*$J$52*(1+$J$55))*K63</f>
        <v>12.161519999999999</v>
      </c>
      <c r="H38" s="1268">
        <f>(G38/G31)-1</f>
        <v>0.11403508771929838</v>
      </c>
      <c r="I38" s="1307">
        <f>I31</f>
        <v>9.6</v>
      </c>
      <c r="J38" s="1335">
        <f>C38+E38+G38+I38</f>
        <v>140.64023999999998</v>
      </c>
      <c r="K38" s="1368">
        <f>'segSales&amp;OM'!AG232</f>
        <v>103.761</v>
      </c>
      <c r="L38" s="1374">
        <f>(K38/K31)-1</f>
        <v>0.11799375067341877</v>
      </c>
      <c r="M38" s="473"/>
      <c r="N38" s="1307">
        <f>((C73*(2/3)*$J$56)+(D73*$K$56)+(E73*$L$56)+(F73*$M$56))*$K$61</f>
        <v>74.379964999999999</v>
      </c>
      <c r="O38" s="1268">
        <f>N38/N31-1</f>
        <v>0.24194194194194196</v>
      </c>
      <c r="P38" s="1307">
        <f>'segSales&amp;OM'!AZ232</f>
        <v>48</v>
      </c>
      <c r="Q38" s="1268">
        <f>P38/P31-1</f>
        <v>2.1276595744680771E-2</v>
      </c>
      <c r="R38" s="1315">
        <f>R31</f>
        <v>20</v>
      </c>
      <c r="S38" s="1268">
        <f>R38/R31-1</f>
        <v>0</v>
      </c>
      <c r="T38" s="1335">
        <f>N38+P38+R38</f>
        <v>142.379965</v>
      </c>
      <c r="U38" s="2380">
        <f>'segSales&amp;OM'!BE232</f>
        <v>122.98099999999999</v>
      </c>
      <c r="W38" s="2368">
        <f>AD38-Y38-AC38-AA38</f>
        <v>-21.4036352</v>
      </c>
      <c r="X38" s="1268">
        <f>(W38/C38)</f>
        <v>-0.26621436815920402</v>
      </c>
      <c r="Y38" s="1307">
        <f>E38*$Z$50</f>
        <v>25.395955200000003</v>
      </c>
      <c r="Z38" s="1268">
        <f>(Y38/E38)</f>
        <v>0.66</v>
      </c>
      <c r="AA38" s="1307">
        <f>(((1/3)*C73)*$J$51*$J$52*$Z$53)*K63</f>
        <v>2.0116799999999997</v>
      </c>
      <c r="AB38" s="1268">
        <f>(AA38/G38)</f>
        <v>0.16541353383458646</v>
      </c>
      <c r="AC38" s="1307">
        <f>I38*$Z$52</f>
        <v>2.88</v>
      </c>
      <c r="AD38" s="1398">
        <f>'segSales&amp;OM'!DH232</f>
        <v>8.8840000000000003</v>
      </c>
      <c r="AE38" s="1282"/>
      <c r="AF38" s="1307">
        <f>N38*$Z$51</f>
        <v>4.4627979</v>
      </c>
      <c r="AG38" s="1268">
        <f>(AF38/N38)</f>
        <v>0.06</v>
      </c>
      <c r="AH38" s="1314">
        <f>'segSales&amp;OM'!DL232</f>
        <v>-9</v>
      </c>
      <c r="AI38" s="533"/>
      <c r="AJ38" s="1320">
        <v>-6</v>
      </c>
      <c r="AK38" s="533"/>
      <c r="AL38" s="1315">
        <f>AO38-AF38-AH38-AJ38-AN38</f>
        <v>31.945202099999833</v>
      </c>
      <c r="AM38" s="533"/>
      <c r="AN38" s="1321">
        <v>-56</v>
      </c>
      <c r="AO38" s="1322">
        <f>'segSales&amp;OM'!DT232</f>
        <v>-34.592000000000169</v>
      </c>
      <c r="AP38" s="1286"/>
    </row>
    <row r="39" spans="1:42">
      <c r="A39" s="1293" t="s">
        <v>1019</v>
      </c>
      <c r="B39" s="668" t="s">
        <v>601</v>
      </c>
      <c r="C39" s="1311">
        <f>($R$51+((E112-1)*$R$53))*K64</f>
        <v>100.5</v>
      </c>
      <c r="D39" s="1264">
        <f>(C39/C32)-1</f>
        <v>0.21818181818181825</v>
      </c>
      <c r="E39" s="1311">
        <f>(((2/3)*C74*$J$58)+(D74*$K$58)+(E74*$L$58))*K64</f>
        <v>50.828399999999995</v>
      </c>
      <c r="F39" s="1264">
        <f>(E39/E32)-1</f>
        <v>0.26548355292641368</v>
      </c>
      <c r="G39" s="1311">
        <f>(((1/3)*C74)*$J$51*$J$52*(1+$J$55))*K64</f>
        <v>15.600899999999998</v>
      </c>
      <c r="H39" s="1264">
        <f>(G39/G32)-1</f>
        <v>4.8257372654155306E-2</v>
      </c>
      <c r="I39" s="1311">
        <f>I32</f>
        <v>12</v>
      </c>
      <c r="J39" s="1336">
        <f>C39+E39+G39+I39</f>
        <v>178.92929999999998</v>
      </c>
      <c r="K39" s="2360">
        <f>'segSales&amp;OM'!AG233</f>
        <v>124.05500000000001</v>
      </c>
      <c r="L39" s="1264">
        <f>(K39/K32)-1</f>
        <v>0.10495047741199937</v>
      </c>
      <c r="M39" s="473"/>
      <c r="N39" s="1311">
        <f>((C74*(2/3)*$J$56)+(D74*$K$56)+(E74*$L$56)+(F74*$M$56))*$K$61</f>
        <v>77.958980000000011</v>
      </c>
      <c r="O39" s="1268">
        <f>N39/N32-1</f>
        <v>0.21578160059835461</v>
      </c>
      <c r="P39" s="1311">
        <f>'segSales&amp;OM'!AZ233</f>
        <v>68</v>
      </c>
      <c r="Q39" s="1268">
        <f>P39/P32-1</f>
        <v>9.6774193548387011E-2</v>
      </c>
      <c r="R39" s="1316">
        <v>33</v>
      </c>
      <c r="S39" s="1268">
        <f>R39/R32-1</f>
        <v>-5.7142857142857162E-2</v>
      </c>
      <c r="T39" s="1336">
        <f>N39+P39+R39</f>
        <v>178.95898</v>
      </c>
      <c r="U39" s="2380">
        <f>'segSales&amp;OM'!BE233</f>
        <v>156.739</v>
      </c>
      <c r="W39" s="2369">
        <f>AD39-Y39-AC39-AA39</f>
        <v>-29.389343999999998</v>
      </c>
      <c r="X39" s="1264">
        <f>(W39/C39)</f>
        <v>-0.29243128358208953</v>
      </c>
      <c r="Y39" s="1311">
        <f>E39*$Z$50</f>
        <v>33.546743999999997</v>
      </c>
      <c r="Z39" s="1264">
        <f>(Y39/E39)</f>
        <v>0.66</v>
      </c>
      <c r="AA39" s="1311">
        <f>(((1/3)*C74)*$J$51*$J$52*$Z$53)*K64</f>
        <v>2.5805999999999996</v>
      </c>
      <c r="AB39" s="1264">
        <f>(AA39/G39)</f>
        <v>0.16541353383458646</v>
      </c>
      <c r="AC39" s="1311">
        <f>I39*$Z$52</f>
        <v>3.5999999999999996</v>
      </c>
      <c r="AD39" s="2812">
        <f>'segSales&amp;OM'!DH233</f>
        <v>10.337999999999999</v>
      </c>
      <c r="AF39" s="1311">
        <f>N39*$Z$51</f>
        <v>4.6775388000000007</v>
      </c>
      <c r="AG39" s="1264">
        <f>(AF39/N39)</f>
        <v>0.06</v>
      </c>
      <c r="AH39" s="1339">
        <f>'segSales&amp;OM'!DL233</f>
        <v>-8</v>
      </c>
      <c r="AI39" s="533"/>
      <c r="AJ39" s="1339">
        <v>-6</v>
      </c>
      <c r="AK39" s="533"/>
      <c r="AL39" s="1316">
        <f>AO39-AF39-AH39-AJ39-AN39</f>
        <v>44.046461200000124</v>
      </c>
      <c r="AM39" s="533"/>
      <c r="AN39" s="1323">
        <f>AN32+15</f>
        <v>-53</v>
      </c>
      <c r="AO39" s="1324">
        <f>'segSales&amp;OM'!DT233</f>
        <v>-18.275999999999875</v>
      </c>
      <c r="AP39" s="1286"/>
    </row>
    <row r="40" spans="1:42" s="129" customFormat="1">
      <c r="A40" s="1293"/>
      <c r="B40" s="668" t="s">
        <v>1020</v>
      </c>
      <c r="C40" s="2511">
        <f>SUM(C36:C39)</f>
        <v>317.89999999999998</v>
      </c>
      <c r="D40" s="1272">
        <f>(C40/C33)-1</f>
        <v>0.36437768240343349</v>
      </c>
      <c r="E40" s="2511">
        <f>SUM(E36:E39)</f>
        <v>154.05167999999998</v>
      </c>
      <c r="F40" s="1272">
        <f>(E40/E33)-1</f>
        <v>0.27985957505636105</v>
      </c>
      <c r="G40" s="2511">
        <f>SUM(G36:G39)</f>
        <v>49.829779999999992</v>
      </c>
      <c r="H40" s="1272">
        <f>(G40/G33)-1</f>
        <v>0.10564835035117737</v>
      </c>
      <c r="I40" s="2511">
        <f>I33</f>
        <v>40</v>
      </c>
      <c r="J40" s="1309">
        <f>C40+E40+G40+I40</f>
        <v>561.78145999999992</v>
      </c>
      <c r="K40" s="1309">
        <f>'segSales&amp;OM'!AG234</f>
        <v>422.733</v>
      </c>
      <c r="L40" s="1272">
        <f>(K40/K33)-1</f>
        <v>9.7326594659419285E-2</v>
      </c>
      <c r="M40" s="1304"/>
      <c r="N40" s="2511">
        <f>SUM(N36:N39)</f>
        <v>285.86558000000002</v>
      </c>
      <c r="O40" s="1268">
        <f>N40/N33-1</f>
        <v>0.21857350949375176</v>
      </c>
      <c r="P40" s="1305">
        <f>'segSales&amp;OM'!AZ234</f>
        <v>216</v>
      </c>
      <c r="Q40" s="1268">
        <f>P40/P33-1</f>
        <v>6.9930069930070893E-3</v>
      </c>
      <c r="R40" s="1305">
        <f>R33</f>
        <v>85</v>
      </c>
      <c r="S40" s="1268">
        <f>R40/R33-1</f>
        <v>0</v>
      </c>
      <c r="T40" s="2556">
        <f>N40+P40+R40</f>
        <v>586.86558000000002</v>
      </c>
      <c r="U40" s="2512">
        <f>'segSales&amp;OM'!BE234</f>
        <v>518.49300000000005</v>
      </c>
      <c r="W40" s="1390">
        <f>AD40-Y40-AC40-AA40</f>
        <v>-82.020628799999983</v>
      </c>
      <c r="X40" s="1272">
        <f>(W40/C40)</f>
        <v>-0.25800764013840827</v>
      </c>
      <c r="Y40" s="1305">
        <f>E40*$Z$50</f>
        <v>101.67410879999998</v>
      </c>
      <c r="Z40" s="1272">
        <f>(Y40/E40)</f>
        <v>0.66</v>
      </c>
      <c r="AA40" s="2511">
        <f>SUM(AA36:AA39)</f>
        <v>8.242519999999999</v>
      </c>
      <c r="AB40" s="1272">
        <f>(AA40/G40)</f>
        <v>0.16541353383458646</v>
      </c>
      <c r="AC40" s="1305">
        <f>I40*$Z$52</f>
        <v>12</v>
      </c>
      <c r="AD40" s="1309">
        <f>'segSales&amp;OM'!DH234</f>
        <v>39.896000000000001</v>
      </c>
      <c r="AE40" s="1282"/>
      <c r="AF40" s="1305">
        <f>N40*$Z$51</f>
        <v>17.151934799999999</v>
      </c>
      <c r="AG40" s="1272">
        <f>(AF40/N40)</f>
        <v>5.9999999999999991E-2</v>
      </c>
      <c r="AH40" s="2513">
        <f>'segSales&amp;OM'!DL234</f>
        <v>-31</v>
      </c>
      <c r="AI40" s="533"/>
      <c r="AJ40" s="2513">
        <f>SUM(AJ36:AJ39)</f>
        <v>-26</v>
      </c>
      <c r="AK40" s="533"/>
      <c r="AL40" s="1305">
        <f>AO40-AF40-AH40-AJ40-AN40</f>
        <v>137.53306520000024</v>
      </c>
      <c r="AM40" s="533"/>
      <c r="AN40" s="2514">
        <f>SUM(AN36:AN39)</f>
        <v>-214</v>
      </c>
      <c r="AO40" s="2362">
        <f>'segSales&amp;OM'!DT234</f>
        <v>-116.31499999999977</v>
      </c>
      <c r="AP40" s="1286"/>
    </row>
    <row r="41" spans="1:42">
      <c r="A41" s="1401"/>
      <c r="B41" s="668"/>
      <c r="C41" s="1305"/>
      <c r="D41" s="1268"/>
      <c r="E41" s="1305"/>
      <c r="F41" s="1268"/>
      <c r="G41" s="1305"/>
      <c r="H41" s="1268"/>
      <c r="I41" s="1305"/>
      <c r="J41" s="1309"/>
      <c r="K41" s="1309"/>
      <c r="L41" s="1268"/>
      <c r="M41" s="1304"/>
      <c r="N41" s="1305"/>
      <c r="O41" s="1268"/>
      <c r="P41" s="1305"/>
      <c r="Q41" s="1268"/>
      <c r="R41" s="1305"/>
      <c r="S41" s="1268"/>
      <c r="T41" s="1309"/>
      <c r="U41" s="1338"/>
      <c r="W41" s="1390"/>
      <c r="X41" s="1268"/>
      <c r="Y41" s="1305"/>
      <c r="Z41" s="1268"/>
      <c r="AA41" s="1305"/>
      <c r="AB41" s="1268"/>
      <c r="AC41" s="1305"/>
      <c r="AD41" s="1309"/>
      <c r="AE41" s="1282"/>
      <c r="AF41" s="1305"/>
      <c r="AG41" s="1268"/>
      <c r="AH41" s="1361"/>
      <c r="AI41" s="533"/>
      <c r="AJ41" s="1330"/>
      <c r="AK41" s="533"/>
      <c r="AL41" s="1305"/>
      <c r="AM41" s="533"/>
      <c r="AN41" s="1325"/>
      <c r="AO41" s="1338"/>
      <c r="AP41" s="129"/>
    </row>
    <row r="42" spans="1:42">
      <c r="A42" s="1293"/>
      <c r="B42" s="1294" t="s">
        <v>1332</v>
      </c>
      <c r="C42" s="1304"/>
      <c r="D42" s="1304"/>
      <c r="E42" s="1268"/>
      <c r="F42" s="473"/>
      <c r="G42" s="473"/>
      <c r="H42" s="473"/>
      <c r="I42" s="473"/>
      <c r="J42" s="158"/>
      <c r="K42" s="1353"/>
      <c r="L42" s="1268"/>
      <c r="M42" s="473"/>
      <c r="N42" s="1304"/>
      <c r="O42" s="1304"/>
      <c r="P42" s="1359"/>
      <c r="Q42" s="1304"/>
      <c r="R42" s="1304"/>
      <c r="S42" s="1304"/>
      <c r="T42" s="158"/>
      <c r="U42" s="1360"/>
      <c r="W42" s="1392"/>
      <c r="X42" s="1304"/>
      <c r="Y42" s="1268"/>
      <c r="Z42" s="1304"/>
      <c r="AA42" s="1268"/>
      <c r="AB42" s="1304"/>
      <c r="AC42" s="1268"/>
      <c r="AD42" s="1309"/>
      <c r="AE42" s="1282"/>
      <c r="AF42" s="1268"/>
      <c r="AG42" s="1304"/>
      <c r="AH42" s="1333"/>
      <c r="AI42" s="533"/>
      <c r="AJ42" s="1333"/>
      <c r="AK42" s="533"/>
      <c r="AL42" s="533"/>
      <c r="AM42" s="533"/>
      <c r="AN42" s="533"/>
      <c r="AO42" s="1360"/>
      <c r="AP42" s="129"/>
    </row>
    <row r="43" spans="1:42">
      <c r="A43" s="1293" t="s">
        <v>119</v>
      </c>
      <c r="B43" s="668" t="s">
        <v>830</v>
      </c>
      <c r="C43" s="1305">
        <f>($R$51+((E114-1)*$R$53))*K61</f>
        <v>73.7</v>
      </c>
      <c r="D43" s="1268">
        <f>(C43/C36)-1</f>
        <v>0.15517241379310365</v>
      </c>
      <c r="E43" s="1305">
        <f>(((2/3)*C76*$J$58)+(D76*$K$58)+(E76*$L$58))*K61</f>
        <v>38.937359999999998</v>
      </c>
      <c r="F43" s="1268">
        <f>(E43/E36)-1</f>
        <v>0.30073198694770276</v>
      </c>
      <c r="G43" s="1305">
        <f>(((1/3)*C76)*$J$51*$J$52*(1+$J$55))*K61</f>
        <v>11.586960000000001</v>
      </c>
      <c r="H43" s="1268">
        <f>(G43/G36)-1</f>
        <v>0.11235955056179803</v>
      </c>
      <c r="I43" s="1305">
        <f>I36</f>
        <v>8.8000000000000007</v>
      </c>
      <c r="J43" s="1309">
        <f>C43+E43+G43+I43</f>
        <v>133.02432000000002</v>
      </c>
      <c r="K43" s="2599">
        <f>'segSales&amp;OM'!AG237</f>
        <v>103.307</v>
      </c>
      <c r="L43" s="1374">
        <f>(K43/K36)-1</f>
        <v>8.5066380976388523E-2</v>
      </c>
      <c r="M43" s="473"/>
      <c r="N43" s="1305">
        <f>((C76*(2/3)*$J$56)+(D76*$K$56)+(E76*$L$56)+(F76*$M$56))*$K$61</f>
        <v>80.848570000000009</v>
      </c>
      <c r="O43" s="1268">
        <f>N43/N36-1</f>
        <v>0.24386644530529455</v>
      </c>
      <c r="P43" s="1305">
        <f>'segSales&amp;OM'!AZ237</f>
        <v>43</v>
      </c>
      <c r="Q43" s="1268">
        <f>P43/P36-1</f>
        <v>-4.4444444444444398E-2</v>
      </c>
      <c r="R43" s="1314">
        <f>R36</f>
        <v>18.5</v>
      </c>
      <c r="S43" s="1268">
        <f>R43/R36-1</f>
        <v>0</v>
      </c>
      <c r="T43" s="2604">
        <f>N43+P43+R43</f>
        <v>142.34857</v>
      </c>
      <c r="U43" s="2600">
        <f>'segSales&amp;OM'!BE237</f>
        <v>122.122</v>
      </c>
      <c r="W43" s="1390">
        <f>AD43-Y43-AC43-AA43</f>
        <v>-30.821297600000001</v>
      </c>
      <c r="X43" s="1268">
        <f>(W43/C43)</f>
        <v>-0.41819942469470828</v>
      </c>
      <c r="Y43" s="1305">
        <f>E43*$Z$50</f>
        <v>25.698657600000001</v>
      </c>
      <c r="Z43" s="1268">
        <f>(Y43/E43)</f>
        <v>0.66</v>
      </c>
      <c r="AA43" s="1305">
        <f>(((1/3)*C76)*$J$51*$J$52*$Z$53)*K61</f>
        <v>1.9166399999999999</v>
      </c>
      <c r="AB43" s="1268">
        <f>(AA43/G43)</f>
        <v>0.16541353383458643</v>
      </c>
      <c r="AC43" s="1305">
        <f>I43*$Z$52</f>
        <v>2.64</v>
      </c>
      <c r="AD43" s="1309">
        <f>'segSales&amp;OM'!DH237</f>
        <v>-0.56599999999999995</v>
      </c>
      <c r="AE43" s="1281"/>
      <c r="AF43" s="1305">
        <f>N43*$Z$51</f>
        <v>4.8509142000000001</v>
      </c>
      <c r="AG43" s="1268">
        <f>(AF43/N43)</f>
        <v>5.9999999999999991E-2</v>
      </c>
      <c r="AH43" s="1314">
        <f>'segSales&amp;OM'!DL237</f>
        <v>-9</v>
      </c>
      <c r="AI43" s="533"/>
      <c r="AJ43" s="1319">
        <v>-7</v>
      </c>
      <c r="AK43" s="533"/>
      <c r="AL43" s="1314">
        <f>AO43-AF43-AH43-AJ43-AN43</f>
        <v>-0.65691419999999567</v>
      </c>
      <c r="AM43" s="533"/>
      <c r="AN43" s="1319">
        <v>-39</v>
      </c>
      <c r="AO43" s="1332">
        <f>'segSales&amp;OM'!DT237</f>
        <v>-50.805999999999997</v>
      </c>
      <c r="AP43" s="1395"/>
    </row>
    <row r="44" spans="1:42">
      <c r="A44" s="1293" t="s">
        <v>120</v>
      </c>
      <c r="B44" s="668" t="s">
        <v>653</v>
      </c>
      <c r="C44" s="1307">
        <f>($R$51+((E115-1)*$R$53))*K62</f>
        <v>84</v>
      </c>
      <c r="D44" s="1268">
        <f>(C44/C37)-1</f>
        <v>0.14754098360655732</v>
      </c>
      <c r="E44" s="1307">
        <f>(((2/3)*C77*$J$58)+(D77*$K$58)+(E77*$L$58))*K62</f>
        <v>44.128319999999995</v>
      </c>
      <c r="F44" s="1268">
        <f>(E44/E37)-1</f>
        <v>0.26770546056260347</v>
      </c>
      <c r="G44" s="1307">
        <f>(((1/3)*C77)*$J$51*$J$52*(1+$J$55))*K62</f>
        <v>12.480719999999998</v>
      </c>
      <c r="H44" s="1268">
        <f>(G44/G37)-1</f>
        <v>7.1232876712328697E-2</v>
      </c>
      <c r="I44" s="1307">
        <f>I37</f>
        <v>9.6</v>
      </c>
      <c r="J44" s="1335">
        <f>C44+E44+G44+I44</f>
        <v>150.20903999999999</v>
      </c>
      <c r="K44" s="2694">
        <f>'segSales&amp;OM'!AG238</f>
        <v>113.94</v>
      </c>
      <c r="L44" s="1374">
        <f>(K44/K37)-1</f>
        <v>0.14272533071237303</v>
      </c>
      <c r="M44" s="473"/>
      <c r="N44" s="1307">
        <f>((C77*(2/3)*$J$56)+(D77*$K$56)+(E77*$L$56)+(F77*$M$56))*$K$61</f>
        <v>83.684204999999992</v>
      </c>
      <c r="O44" s="1268">
        <f>N44/N37-1</f>
        <v>0.22115300498644008</v>
      </c>
      <c r="P44" s="1307">
        <f>'segSales&amp;OM'!AZ238</f>
        <v>55</v>
      </c>
      <c r="Q44" s="1268">
        <f>P44/P37-1</f>
        <v>0</v>
      </c>
      <c r="R44" s="1315">
        <v>22.5</v>
      </c>
      <c r="S44" s="1268">
        <f>R44/R37-1</f>
        <v>-2.1739130434782594E-2</v>
      </c>
      <c r="T44" s="1335">
        <f>N44+P44+R44</f>
        <v>161.18420499999999</v>
      </c>
      <c r="U44" s="2600">
        <f>'segSales&amp;OM'!BE238</f>
        <v>134.45400000000001</v>
      </c>
      <c r="W44" s="1390">
        <f>AD44-Y44-AC44-AA44</f>
        <v>-32.369171199999997</v>
      </c>
      <c r="X44" s="1268">
        <f>(W44/C44)</f>
        <v>-0.38534727619047615</v>
      </c>
      <c r="Y44" s="1307">
        <f>E44*$Z$50</f>
        <v>29.124691199999997</v>
      </c>
      <c r="Z44" s="1268">
        <f>(Y44/E44)</f>
        <v>0.66</v>
      </c>
      <c r="AA44" s="1307">
        <f>(((1/3)*C77)*$J$51*$J$52*$Z$53)*K62</f>
        <v>2.0644799999999996</v>
      </c>
      <c r="AB44" s="1268">
        <f>(AA44/G44)</f>
        <v>0.16541353383458646</v>
      </c>
      <c r="AC44" s="1307">
        <f>I44*$Z$52</f>
        <v>2.88</v>
      </c>
      <c r="AD44" s="1400">
        <f>'segSales&amp;OM'!DH238</f>
        <v>1.7</v>
      </c>
      <c r="AE44" s="1282"/>
      <c r="AF44" s="1307">
        <f>N44*$Z$51</f>
        <v>5.0210522999999991</v>
      </c>
      <c r="AG44" s="1268">
        <f>(AF44/N44)</f>
        <v>0.06</v>
      </c>
      <c r="AH44" s="1314">
        <f>'segSales&amp;OM'!DL238</f>
        <v>-7</v>
      </c>
      <c r="AI44" s="533"/>
      <c r="AJ44" s="1320">
        <v>-9</v>
      </c>
      <c r="AK44" s="533"/>
      <c r="AL44" s="1315">
        <f>AO44-AF44-AH44-AJ44-AN44</f>
        <v>37.778947699999996</v>
      </c>
      <c r="AM44" s="533"/>
      <c r="AN44" s="1321">
        <v>-67</v>
      </c>
      <c r="AO44" s="1322">
        <f>'segSales&amp;OM'!DT238</f>
        <v>-40.200000000000003</v>
      </c>
      <c r="AP44" s="2418"/>
    </row>
    <row r="45" spans="1:42">
      <c r="A45" s="1293" t="s">
        <v>1018</v>
      </c>
      <c r="B45" s="668" t="s">
        <v>598</v>
      </c>
      <c r="C45" s="1307">
        <f>($R$51+((E116-1)*$R$53))*K63</f>
        <v>87.6</v>
      </c>
      <c r="D45" s="1268">
        <f>(C45/C38)-1</f>
        <v>8.9552238805970186E-2</v>
      </c>
      <c r="E45" s="1307">
        <f>(((2/3)*C78*$J$58)+(D78*$K$58)+(E78*$L$58))*K63</f>
        <v>46.402559999999994</v>
      </c>
      <c r="F45" s="1268">
        <f>(E45/E38)-1</f>
        <v>0.20592784791178054</v>
      </c>
      <c r="G45" s="1307">
        <f>(((1/3)*C78)*$J$51*$J$52*(1+$J$55))*K63</f>
        <v>12.704159999999998</v>
      </c>
      <c r="H45" s="1268">
        <f>(G45/G38)-1</f>
        <v>4.4619422572178324E-2</v>
      </c>
      <c r="I45" s="1307">
        <f>I38</f>
        <v>9.6</v>
      </c>
      <c r="J45" s="1335">
        <f>C45+E45+G45+I45</f>
        <v>156.30671999999998</v>
      </c>
      <c r="K45" s="2694">
        <f>'segSales&amp;OM'!AG239</f>
        <v>114.9</v>
      </c>
      <c r="L45" s="1374">
        <f>(K45/K38)-1</f>
        <v>0.10735247347269206</v>
      </c>
      <c r="M45" s="473"/>
      <c r="N45" s="1307">
        <f>((C78*(2/3)*$J$56)+(D78*$K$56)+(E78*$L$56)+(F78*$M$56))*$K$61</f>
        <v>87.179289999999995</v>
      </c>
      <c r="O45" s="1268">
        <f>N45/N38-1</f>
        <v>0.17208027726283537</v>
      </c>
      <c r="P45" s="1307">
        <f>'segSales&amp;OM'!AZ239</f>
        <v>55</v>
      </c>
      <c r="Q45" s="1268">
        <f>P45/P38-1</f>
        <v>0.14583333333333326</v>
      </c>
      <c r="R45" s="1315">
        <v>19</v>
      </c>
      <c r="S45" s="1268">
        <f>R45/R38-1</f>
        <v>-5.0000000000000044E-2</v>
      </c>
      <c r="T45" s="1335">
        <f>N45+P45+R45</f>
        <v>161.17928999999998</v>
      </c>
      <c r="U45" s="2600">
        <f>'segSales&amp;OM'!BE239</f>
        <v>148.15299999999999</v>
      </c>
      <c r="W45" s="2368">
        <f>AD45-Y45-AC45-AA45</f>
        <v>-35.677129600000001</v>
      </c>
      <c r="X45" s="1268">
        <f>(W45/C45)</f>
        <v>-0.40727316894977172</v>
      </c>
      <c r="Y45" s="1307">
        <f>E45*$Z$50</f>
        <v>30.625689599999998</v>
      </c>
      <c r="Z45" s="1268">
        <f>(Y45/E45)</f>
        <v>0.66</v>
      </c>
      <c r="AA45" s="1307">
        <f>(((1/3)*C78)*$J$51*$J$52*$Z$53)*K63</f>
        <v>2.1014400000000002</v>
      </c>
      <c r="AB45" s="1268">
        <f>(AA45/G45)</f>
        <v>0.16541353383458651</v>
      </c>
      <c r="AC45" s="1307">
        <f>I45*$Z$52</f>
        <v>2.88</v>
      </c>
      <c r="AD45" s="1400">
        <f>'segSales&amp;OM'!DH239</f>
        <v>-7.0000000000000007E-2</v>
      </c>
      <c r="AE45" s="1282"/>
      <c r="AF45" s="1307">
        <f>N45*$Z$51</f>
        <v>5.2307573999999999</v>
      </c>
      <c r="AG45" s="1268">
        <f>(AF45/N45)</f>
        <v>6.0000000000000005E-2</v>
      </c>
      <c r="AH45" s="1314">
        <f>'segSales&amp;OM'!DL239</f>
        <v>-7</v>
      </c>
      <c r="AI45" s="533"/>
      <c r="AJ45" s="1320">
        <v>-9</v>
      </c>
      <c r="AK45" s="533"/>
      <c r="AL45" s="1315">
        <f>AO45-AF45-AH45-AJ45-AN45</f>
        <v>26.889242599999996</v>
      </c>
      <c r="AM45" s="533"/>
      <c r="AN45" s="1321">
        <f>AN38</f>
        <v>-56</v>
      </c>
      <c r="AO45" s="1322">
        <f>'segSales&amp;OM'!DT239</f>
        <v>-39.880000000000003</v>
      </c>
      <c r="AP45" s="1286"/>
    </row>
    <row r="46" spans="1:42">
      <c r="A46" s="1293" t="s">
        <v>1019</v>
      </c>
      <c r="B46" s="668" t="s">
        <v>601</v>
      </c>
      <c r="C46" s="1311">
        <f>($R$51+((E117-1)*$R$53))*K64</f>
        <v>123</v>
      </c>
      <c r="D46" s="1264">
        <f>(C46/C39)-1</f>
        <v>0.22388059701492535</v>
      </c>
      <c r="E46" s="1311">
        <f>(((2/3)*C79*$J$58)+(D79*$K$58)+(E79*$L$58))*K64</f>
        <v>60.3108</v>
      </c>
      <c r="F46" s="1264">
        <f>(E46/E39)-1</f>
        <v>0.18655712160917926</v>
      </c>
      <c r="G46" s="1311">
        <f>(((1/3)*C79)*$J$51*$J$52*(1+$J$55))*K64</f>
        <v>15.840299999999997</v>
      </c>
      <c r="H46" s="1264">
        <f>(G46/G39)-1</f>
        <v>1.5345268542199531E-2</v>
      </c>
      <c r="I46" s="1311">
        <f>I39</f>
        <v>12</v>
      </c>
      <c r="J46" s="1336">
        <f>C46+E46+G46+I46</f>
        <v>211.15109999999999</v>
      </c>
      <c r="K46" s="1336">
        <f>'segSales&amp;OM'!AG240</f>
        <v>170.3</v>
      </c>
      <c r="L46" s="1264">
        <f>(K46/K39)-1</f>
        <v>0.37277820321631538</v>
      </c>
      <c r="M46" s="473"/>
      <c r="N46" s="1311">
        <f>((C79*(2/3)*$J$56)+(D79*$K$56)+(E79*$L$56)+(F79*$M$56))*$K$61</f>
        <v>90.398604999999989</v>
      </c>
      <c r="O46" s="1268">
        <f>N46/N39-1</f>
        <v>0.15956628729621625</v>
      </c>
      <c r="P46" s="1311">
        <f>'segSales&amp;OM'!AZ240</f>
        <v>75</v>
      </c>
      <c r="Q46" s="1268">
        <f>P46/P39-1</f>
        <v>0.10294117647058831</v>
      </c>
      <c r="R46" s="1316">
        <v>35</v>
      </c>
      <c r="S46" s="1268">
        <f>R46/R39-1</f>
        <v>6.0606060606060552E-2</v>
      </c>
      <c r="T46" s="1336">
        <f>N46+P46+R46</f>
        <v>200.39860499999998</v>
      </c>
      <c r="U46" s="2883">
        <f>'segSales&amp;OM'!BE240</f>
        <v>190.2</v>
      </c>
      <c r="W46" s="2369">
        <f>AD46-Y46-AC46-AA46</f>
        <v>-42.049328000000003</v>
      </c>
      <c r="X46" s="1264">
        <f>(W46/C46)</f>
        <v>-0.34186445528455289</v>
      </c>
      <c r="Y46" s="1311">
        <f>E46*$Z$50</f>
        <v>39.805128000000003</v>
      </c>
      <c r="Z46" s="1264">
        <f>(Y46/E46)</f>
        <v>0.66</v>
      </c>
      <c r="AA46" s="1311">
        <f>(((1/3)*C79)*$J$51*$J$52*$Z$53)*K64</f>
        <v>2.6202000000000001</v>
      </c>
      <c r="AB46" s="1264">
        <f>(AA46/G46)</f>
        <v>0.16541353383458651</v>
      </c>
      <c r="AC46" s="1311">
        <f>I46*$Z$52</f>
        <v>3.5999999999999996</v>
      </c>
      <c r="AD46" s="1402">
        <f>'segSales&amp;OM'!DH240</f>
        <v>3.976</v>
      </c>
      <c r="AF46" s="1311">
        <f>N46*$Z$51</f>
        <v>5.4239162999999992</v>
      </c>
      <c r="AG46" s="1264">
        <f>(AF46/N46)</f>
        <v>0.06</v>
      </c>
      <c r="AH46" s="1339">
        <f>'segSales&amp;OM'!DL240</f>
        <v>-8</v>
      </c>
      <c r="AI46" s="533"/>
      <c r="AJ46" s="1339">
        <v>-8</v>
      </c>
      <c r="AK46" s="533"/>
      <c r="AL46" s="1316">
        <f>AO46-AF46-AH46-AJ46-AN46</f>
        <v>34.958083700000003</v>
      </c>
      <c r="AM46" s="533"/>
      <c r="AN46" s="1323">
        <v>-55</v>
      </c>
      <c r="AO46" s="1324">
        <f>'segSales&amp;OM'!DT240</f>
        <v>-30.617999999999999</v>
      </c>
      <c r="AP46" s="1286"/>
    </row>
    <row r="47" spans="1:42" ht="13.5" thickBot="1">
      <c r="A47" s="1295"/>
      <c r="B47" s="1296" t="s">
        <v>1020</v>
      </c>
      <c r="C47" s="1354">
        <f>SUM(C43:C46)</f>
        <v>368.29999999999995</v>
      </c>
      <c r="D47" s="1297">
        <f>(C47/C40)-1</f>
        <v>0.15854042151620007</v>
      </c>
      <c r="E47" s="1354">
        <f>SUM(E43:E46)</f>
        <v>189.77903999999998</v>
      </c>
      <c r="F47" s="1297">
        <f>(E47/E40)-1</f>
        <v>0.23191801608395313</v>
      </c>
      <c r="G47" s="1354">
        <f>SUM(G43:G46)</f>
        <v>52.612139999999997</v>
      </c>
      <c r="H47" s="1297">
        <f>(G47/G40)-1</f>
        <v>5.5837292478513989E-2</v>
      </c>
      <c r="I47" s="1354">
        <f>I40</f>
        <v>40</v>
      </c>
      <c r="J47" s="1354">
        <f>C47+E47+G47+I47</f>
        <v>650.69117999999992</v>
      </c>
      <c r="K47" s="1354">
        <f>'segSales&amp;OM'!AG241</f>
        <v>502.44700000000006</v>
      </c>
      <c r="L47" s="1297">
        <f>(K47/K40)-1</f>
        <v>0.18856819789323298</v>
      </c>
      <c r="M47" s="1331"/>
      <c r="N47" s="1354">
        <f>SUM(N43:N46)</f>
        <v>342.11066999999997</v>
      </c>
      <c r="O47" s="1298">
        <f>N47/N40-1</f>
        <v>0.19675362805133778</v>
      </c>
      <c r="P47" s="2526">
        <f>'segSales&amp;OM'!AZ241</f>
        <v>228</v>
      </c>
      <c r="Q47" s="1298">
        <f>P47/P40-1</f>
        <v>5.555555555555558E-2</v>
      </c>
      <c r="R47" s="2526">
        <f>R40</f>
        <v>85</v>
      </c>
      <c r="S47" s="1298">
        <f>R47/R40-1</f>
        <v>0</v>
      </c>
      <c r="T47" s="2527">
        <f>N47+P47+R47</f>
        <v>655.11067000000003</v>
      </c>
      <c r="U47" s="2528">
        <f>'segSales&amp;OM'!BE241</f>
        <v>594.92900000000009</v>
      </c>
      <c r="W47" s="2529">
        <f>AD47-Y47-AC47-AA47</f>
        <v>-140.91692639999999</v>
      </c>
      <c r="X47" s="1297">
        <f>(W47/C47)</f>
        <v>-0.38261451642682598</v>
      </c>
      <c r="Y47" s="2526">
        <f>E47*$Z$50</f>
        <v>125.25416639999999</v>
      </c>
      <c r="Z47" s="1297">
        <f>(Y47/E47)</f>
        <v>0.66</v>
      </c>
      <c r="AA47" s="1354">
        <f>SUM(AA43:AA46)</f>
        <v>8.7027599999999996</v>
      </c>
      <c r="AB47" s="1297">
        <f>(AA47/G47)</f>
        <v>0.16541353383458646</v>
      </c>
      <c r="AC47" s="2526">
        <f>I47*$Z$52</f>
        <v>12</v>
      </c>
      <c r="AD47" s="1312">
        <f>'segSales&amp;OM'!DH241</f>
        <v>5.04</v>
      </c>
      <c r="AE47" s="2530"/>
      <c r="AF47" s="2526">
        <f>N47*$Z$51</f>
        <v>20.526640199999999</v>
      </c>
      <c r="AG47" s="1297">
        <f>(AF47/N47)</f>
        <v>6.0000000000000005E-2</v>
      </c>
      <c r="AH47" s="2531">
        <f>'segSales&amp;OM'!DL241</f>
        <v>-31</v>
      </c>
      <c r="AI47" s="2532"/>
      <c r="AJ47" s="2531">
        <f>SUM(AJ43:AJ46)</f>
        <v>-33</v>
      </c>
      <c r="AK47" s="2532"/>
      <c r="AL47" s="2526">
        <f>AO47-AF47-AH47-AJ47-AN47</f>
        <v>98.969359800000007</v>
      </c>
      <c r="AM47" s="2532"/>
      <c r="AN47" s="2533">
        <f>SUM(AN43:AN46)</f>
        <v>-217</v>
      </c>
      <c r="AO47" s="2533">
        <f>'segSales&amp;OM'!DT241</f>
        <v>-161.50399999999999</v>
      </c>
      <c r="AP47" s="1286"/>
    </row>
    <row r="48" spans="1:42">
      <c r="K48" s="2372"/>
      <c r="T48" s="2372"/>
      <c r="AF48" s="1374"/>
      <c r="AN48" s="2567"/>
    </row>
    <row r="49" spans="2:28">
      <c r="B49" s="2914" t="s">
        <v>57</v>
      </c>
      <c r="C49" s="2915"/>
      <c r="D49" s="2915"/>
      <c r="E49" s="2915"/>
      <c r="F49" s="2915"/>
      <c r="G49" s="2916"/>
      <c r="H49" s="953"/>
      <c r="I49" s="2928" t="s">
        <v>1250</v>
      </c>
      <c r="J49" s="2929"/>
      <c r="K49" s="2929"/>
      <c r="L49" s="2929"/>
      <c r="M49" s="2930"/>
      <c r="P49" s="2917" t="s">
        <v>65</v>
      </c>
      <c r="Q49" s="2918"/>
      <c r="R49" s="2919"/>
      <c r="X49" s="2920" t="s">
        <v>1246</v>
      </c>
      <c r="Y49" s="2921"/>
      <c r="Z49" s="2922"/>
      <c r="AA49" s="225"/>
      <c r="AB49" s="225"/>
    </row>
    <row r="50" spans="2:28">
      <c r="B50" s="146"/>
      <c r="C50" s="70"/>
      <c r="D50" s="70"/>
      <c r="E50" s="70"/>
      <c r="F50" s="70"/>
      <c r="G50" s="385"/>
      <c r="H50" s="70"/>
      <c r="I50" s="146"/>
      <c r="J50" s="70" t="s">
        <v>41</v>
      </c>
      <c r="K50" s="70" t="s">
        <v>40</v>
      </c>
      <c r="L50" s="70" t="s">
        <v>51</v>
      </c>
      <c r="M50" s="385" t="s">
        <v>1252</v>
      </c>
      <c r="P50" s="1343"/>
      <c r="R50" s="147"/>
      <c r="X50" s="1347" t="s">
        <v>1247</v>
      </c>
      <c r="Y50" s="1176"/>
      <c r="Z50" s="1348">
        <v>0.66</v>
      </c>
      <c r="AA50" s="1389"/>
      <c r="AB50" s="1389"/>
    </row>
    <row r="51" spans="2:28">
      <c r="B51" s="146"/>
      <c r="C51" s="70" t="s">
        <v>41</v>
      </c>
      <c r="D51" s="70" t="s">
        <v>40</v>
      </c>
      <c r="E51" s="70" t="s">
        <v>51</v>
      </c>
      <c r="F51" s="70" t="s">
        <v>954</v>
      </c>
      <c r="G51" s="385" t="s">
        <v>360</v>
      </c>
      <c r="H51" s="70"/>
      <c r="I51" s="146" t="s">
        <v>68</v>
      </c>
      <c r="J51" s="145">
        <v>1.2</v>
      </c>
      <c r="K51" s="1256">
        <v>16</v>
      </c>
      <c r="L51" s="145">
        <v>2.5</v>
      </c>
      <c r="M51" s="651">
        <v>0.7</v>
      </c>
      <c r="P51" s="146" t="s">
        <v>1237</v>
      </c>
      <c r="R51" s="1274">
        <v>80</v>
      </c>
      <c r="X51" s="397" t="s">
        <v>1249</v>
      </c>
      <c r="Y51" s="129"/>
      <c r="Z51" s="1349">
        <v>0.06</v>
      </c>
      <c r="AA51" s="1389"/>
      <c r="AB51" s="1389"/>
    </row>
    <row r="52" spans="2:28">
      <c r="B52" s="384" t="s">
        <v>64</v>
      </c>
      <c r="C52" s="145">
        <v>18</v>
      </c>
      <c r="D52" s="145">
        <v>0</v>
      </c>
      <c r="E52" s="145">
        <v>6</v>
      </c>
      <c r="F52" s="145">
        <v>463</v>
      </c>
      <c r="G52" s="385">
        <f>SUM(C52:F52)</f>
        <v>487</v>
      </c>
      <c r="H52" s="70"/>
      <c r="I52" s="146" t="s">
        <v>1174</v>
      </c>
      <c r="J52" s="1364">
        <v>0.25</v>
      </c>
      <c r="K52" s="1255">
        <v>0.25</v>
      </c>
      <c r="L52" s="1255">
        <v>0.25</v>
      </c>
      <c r="M52" s="1340">
        <v>0.25</v>
      </c>
      <c r="P52" s="146" t="s">
        <v>1238</v>
      </c>
      <c r="R52" s="1274">
        <v>15</v>
      </c>
      <c r="X52" s="397" t="s">
        <v>1248</v>
      </c>
      <c r="Y52" s="129"/>
      <c r="Z52" s="1349">
        <v>0.3</v>
      </c>
      <c r="AA52" s="1389"/>
      <c r="AB52" s="1389"/>
    </row>
    <row r="53" spans="2:28">
      <c r="B53" s="384" t="s">
        <v>62</v>
      </c>
      <c r="C53" s="145">
        <v>57</v>
      </c>
      <c r="D53" s="145">
        <v>0</v>
      </c>
      <c r="E53" s="145">
        <v>18</v>
      </c>
      <c r="F53" s="145">
        <v>349</v>
      </c>
      <c r="G53" s="385">
        <f>SUM(C53:F53)</f>
        <v>424</v>
      </c>
      <c r="H53" s="70"/>
      <c r="I53" s="146" t="s">
        <v>66</v>
      </c>
      <c r="J53" s="1364">
        <v>0.09</v>
      </c>
      <c r="K53" s="1255">
        <v>0.09</v>
      </c>
      <c r="L53" s="1255">
        <v>0.09</v>
      </c>
      <c r="M53" s="1340">
        <v>0.09</v>
      </c>
      <c r="P53" s="146" t="s">
        <v>1239</v>
      </c>
      <c r="R53" s="1274">
        <v>15</v>
      </c>
      <c r="X53" s="648" t="s">
        <v>1258</v>
      </c>
      <c r="Y53" s="95"/>
      <c r="Z53" s="1350">
        <v>0.22</v>
      </c>
    </row>
    <row r="54" spans="2:28">
      <c r="B54" s="384" t="s">
        <v>63</v>
      </c>
      <c r="C54" s="145">
        <v>108</v>
      </c>
      <c r="D54" s="145">
        <v>3</v>
      </c>
      <c r="E54" s="145">
        <v>38</v>
      </c>
      <c r="F54" s="145">
        <v>339</v>
      </c>
      <c r="G54" s="385">
        <f>SUM(C54:F54)</f>
        <v>488</v>
      </c>
      <c r="H54" s="70"/>
      <c r="I54" s="146" t="s">
        <v>67</v>
      </c>
      <c r="J54" s="1255">
        <v>0.16</v>
      </c>
      <c r="K54" s="1255">
        <v>0.16</v>
      </c>
      <c r="L54" s="1255">
        <v>0.12</v>
      </c>
      <c r="M54" s="1341">
        <v>0.08</v>
      </c>
      <c r="P54" s="539"/>
      <c r="Q54" s="95"/>
      <c r="R54" s="413"/>
    </row>
    <row r="55" spans="2:28">
      <c r="B55" s="384"/>
      <c r="C55" s="145"/>
      <c r="D55" s="145"/>
      <c r="E55" s="145"/>
      <c r="F55" s="145"/>
      <c r="G55" s="385"/>
      <c r="H55" s="70"/>
      <c r="I55" s="146" t="s">
        <v>1257</v>
      </c>
      <c r="J55" s="1255">
        <v>0.33</v>
      </c>
      <c r="K55" s="1255"/>
      <c r="L55" s="1255"/>
      <c r="M55" s="1341"/>
    </row>
    <row r="56" spans="2:28">
      <c r="B56" s="384" t="s">
        <v>1150</v>
      </c>
      <c r="C56" s="145">
        <v>126</v>
      </c>
      <c r="D56" s="145">
        <v>3</v>
      </c>
      <c r="E56" s="145">
        <v>43</v>
      </c>
      <c r="F56" s="145">
        <v>341</v>
      </c>
      <c r="G56" s="385">
        <f>SUM(C56:F56)</f>
        <v>513</v>
      </c>
      <c r="H56" s="70"/>
      <c r="I56" s="649" t="s">
        <v>1255</v>
      </c>
      <c r="J56" s="1265">
        <f>J51*J52*(1+J53)</f>
        <v>0.32700000000000001</v>
      </c>
      <c r="K56" s="1265">
        <f>K51*K52*(1+K53)</f>
        <v>4.3600000000000003</v>
      </c>
      <c r="L56" s="1265">
        <f>L51*L52*(1+L53)</f>
        <v>0.68125000000000002</v>
      </c>
      <c r="M56" s="1273">
        <f>M51*M52*(1+M53)</f>
        <v>0.19075</v>
      </c>
    </row>
    <row r="57" spans="2:28">
      <c r="B57" s="384" t="s">
        <v>1151</v>
      </c>
      <c r="C57" s="652">
        <v>143</v>
      </c>
      <c r="D57" s="652">
        <v>3</v>
      </c>
      <c r="E57" s="652">
        <v>45</v>
      </c>
      <c r="F57" s="652">
        <v>338</v>
      </c>
      <c r="G57" s="385">
        <f>SUM(C57:F57)</f>
        <v>529</v>
      </c>
      <c r="H57" s="70"/>
      <c r="I57" s="649" t="s">
        <v>1251</v>
      </c>
      <c r="J57" s="1265">
        <f>J51*J52*$Z$51</f>
        <v>1.7999999999999999E-2</v>
      </c>
      <c r="K57" s="1265">
        <f>K51*K52*$Z$51</f>
        <v>0.24</v>
      </c>
      <c r="L57" s="1265">
        <f>L51*L52*$Z$51</f>
        <v>3.7499999999999999E-2</v>
      </c>
      <c r="M57" s="1273">
        <f>M51*M52*$Z$51</f>
        <v>1.0499999999999999E-2</v>
      </c>
    </row>
    <row r="58" spans="2:28">
      <c r="B58" s="384" t="s">
        <v>1152</v>
      </c>
      <c r="C58" s="652">
        <v>159</v>
      </c>
      <c r="D58" s="652">
        <v>4</v>
      </c>
      <c r="E58" s="652">
        <v>48</v>
      </c>
      <c r="F58" s="652">
        <v>334</v>
      </c>
      <c r="G58" s="385">
        <f>SUM(C58:F58)</f>
        <v>545</v>
      </c>
      <c r="H58" s="70"/>
      <c r="I58" s="648" t="s">
        <v>75</v>
      </c>
      <c r="J58" s="1266">
        <f>J51*J54</f>
        <v>0.192</v>
      </c>
      <c r="K58" s="544">
        <f>K51*K54</f>
        <v>2.56</v>
      </c>
      <c r="L58" s="144">
        <f>L51*L54</f>
        <v>0.3</v>
      </c>
      <c r="M58" s="1267">
        <f>M51*M54</f>
        <v>5.5999999999999994E-2</v>
      </c>
      <c r="S58" s="1345"/>
    </row>
    <row r="59" spans="2:28">
      <c r="B59" s="384" t="s">
        <v>1153</v>
      </c>
      <c r="C59" s="145">
        <v>198</v>
      </c>
      <c r="D59" s="145">
        <v>4</v>
      </c>
      <c r="E59" s="145">
        <v>55</v>
      </c>
      <c r="F59" s="145">
        <v>331</v>
      </c>
      <c r="G59" s="385">
        <f>SUM(C59:F59)</f>
        <v>588</v>
      </c>
      <c r="H59" s="70"/>
      <c r="L59" s="1345"/>
      <c r="M59" s="1375"/>
      <c r="S59" s="1345"/>
    </row>
    <row r="60" spans="2:28">
      <c r="B60" s="384"/>
      <c r="C60" s="145"/>
      <c r="D60" s="145"/>
      <c r="E60" s="145"/>
      <c r="F60" s="145"/>
      <c r="G60" s="385"/>
      <c r="H60" s="70"/>
      <c r="J60" s="24" t="s">
        <v>84</v>
      </c>
      <c r="S60" s="1345"/>
    </row>
    <row r="61" spans="2:28">
      <c r="B61" s="384" t="s">
        <v>54</v>
      </c>
      <c r="C61" s="145">
        <v>209</v>
      </c>
      <c r="D61" s="145">
        <v>6</v>
      </c>
      <c r="E61" s="145">
        <v>59</v>
      </c>
      <c r="F61" s="145">
        <v>328</v>
      </c>
      <c r="G61" s="385">
        <f>SUM(C61:F61)</f>
        <v>602</v>
      </c>
      <c r="H61" s="70"/>
      <c r="J61" s="113" t="s">
        <v>119</v>
      </c>
      <c r="K61" s="423">
        <v>0.22</v>
      </c>
      <c r="P61" s="2877"/>
      <c r="S61" s="1345"/>
    </row>
    <row r="62" spans="2:28">
      <c r="B62" s="384" t="s">
        <v>52</v>
      </c>
      <c r="C62" s="652">
        <v>230</v>
      </c>
      <c r="D62" s="652">
        <v>8</v>
      </c>
      <c r="E62" s="652">
        <v>66</v>
      </c>
      <c r="F62" s="652">
        <v>307</v>
      </c>
      <c r="G62" s="385">
        <f>SUM(C62:F62)</f>
        <v>611</v>
      </c>
      <c r="H62" s="70"/>
      <c r="J62" s="113" t="s">
        <v>120</v>
      </c>
      <c r="K62" s="423">
        <v>0.24</v>
      </c>
      <c r="P62" s="2881" t="s">
        <v>1420</v>
      </c>
    </row>
    <row r="63" spans="2:28">
      <c r="B63" s="384" t="s">
        <v>55</v>
      </c>
      <c r="C63" s="652">
        <v>245</v>
      </c>
      <c r="D63" s="652">
        <v>8</v>
      </c>
      <c r="E63" s="652">
        <v>67</v>
      </c>
      <c r="F63" s="652">
        <v>268</v>
      </c>
      <c r="G63" s="385">
        <f>SUM(C63:F63)</f>
        <v>588</v>
      </c>
      <c r="H63" s="420"/>
      <c r="J63" s="278" t="s">
        <v>1018</v>
      </c>
      <c r="K63" s="423">
        <v>0.24</v>
      </c>
      <c r="P63" s="2877" t="s">
        <v>1421</v>
      </c>
    </row>
    <row r="64" spans="2:28">
      <c r="B64" s="384" t="s">
        <v>53</v>
      </c>
      <c r="C64" s="145">
        <v>290</v>
      </c>
      <c r="D64" s="145">
        <v>14</v>
      </c>
      <c r="E64" s="145">
        <v>80</v>
      </c>
      <c r="F64" s="145">
        <v>266</v>
      </c>
      <c r="G64" s="385">
        <f>SUM(C64:F64)</f>
        <v>650</v>
      </c>
      <c r="J64" s="278" t="s">
        <v>1019</v>
      </c>
      <c r="K64" s="423">
        <v>0.3</v>
      </c>
      <c r="P64" s="2877"/>
    </row>
    <row r="65" spans="2:16">
      <c r="B65" s="384"/>
      <c r="C65" s="145"/>
      <c r="D65" s="145"/>
      <c r="E65" s="145"/>
      <c r="F65" s="145"/>
      <c r="G65" s="1274"/>
      <c r="H65" s="145"/>
      <c r="J65" s="278"/>
      <c r="K65" s="423"/>
      <c r="P65" s="2877"/>
    </row>
    <row r="66" spans="2:16">
      <c r="B66" s="384" t="s">
        <v>1259</v>
      </c>
      <c r="C66" s="143">
        <v>304</v>
      </c>
      <c r="D66" s="143">
        <v>15</v>
      </c>
      <c r="E66" s="143">
        <v>91</v>
      </c>
      <c r="F66" s="143">
        <v>266</v>
      </c>
      <c r="G66" s="385">
        <f>SUM(C66:F66)</f>
        <v>676</v>
      </c>
      <c r="H66" s="145"/>
      <c r="J66" s="278"/>
      <c r="K66" s="423"/>
      <c r="P66" s="2877"/>
    </row>
    <row r="67" spans="2:16">
      <c r="B67" s="384" t="s">
        <v>1260</v>
      </c>
      <c r="C67" s="143">
        <v>325</v>
      </c>
      <c r="D67" s="143">
        <f>14+3</f>
        <v>17</v>
      </c>
      <c r="E67" s="143">
        <v>101</v>
      </c>
      <c r="F67" s="143">
        <v>233</v>
      </c>
      <c r="G67" s="385">
        <f>SUM(C67:F67)</f>
        <v>676</v>
      </c>
      <c r="H67" s="145"/>
      <c r="J67" s="278"/>
      <c r="K67" s="423"/>
    </row>
    <row r="68" spans="2:16">
      <c r="B68" s="384" t="s">
        <v>1261</v>
      </c>
      <c r="C68" s="143">
        <v>342</v>
      </c>
      <c r="D68" s="143">
        <v>18</v>
      </c>
      <c r="E68" s="143">
        <v>110</v>
      </c>
      <c r="F68" s="143">
        <v>232</v>
      </c>
      <c r="G68" s="385">
        <f>SUM(C68:F68)</f>
        <v>702</v>
      </c>
      <c r="H68" s="145"/>
      <c r="J68" s="278"/>
      <c r="K68" s="423"/>
    </row>
    <row r="69" spans="2:16">
      <c r="B69" s="384" t="s">
        <v>1262</v>
      </c>
      <c r="C69" s="145">
        <v>373</v>
      </c>
      <c r="D69" s="145">
        <v>19</v>
      </c>
      <c r="E69" s="145">
        <v>125</v>
      </c>
      <c r="F69" s="145">
        <v>221</v>
      </c>
      <c r="G69" s="385">
        <f>SUM(C69:F69)</f>
        <v>738</v>
      </c>
      <c r="H69" s="145"/>
      <c r="J69" s="278"/>
      <c r="K69" s="423"/>
    </row>
    <row r="70" spans="2:16">
      <c r="B70" s="384"/>
      <c r="C70" s="145"/>
      <c r="D70" s="145"/>
      <c r="E70" s="145"/>
      <c r="F70" s="145"/>
      <c r="G70" s="1274"/>
      <c r="K70" s="1237"/>
    </row>
    <row r="71" spans="2:16">
      <c r="B71" s="384" t="s">
        <v>1289</v>
      </c>
      <c r="C71" s="143">
        <v>356</v>
      </c>
      <c r="D71" s="143">
        <f>17+3</f>
        <v>20</v>
      </c>
      <c r="E71" s="143">
        <v>131</v>
      </c>
      <c r="F71" s="143">
        <v>217</v>
      </c>
      <c r="G71" s="385">
        <f>SUM(C71:F71)</f>
        <v>724</v>
      </c>
      <c r="H71" s="953"/>
    </row>
    <row r="72" spans="2:16">
      <c r="B72" s="384" t="s">
        <v>1290</v>
      </c>
      <c r="C72" s="143">
        <v>365</v>
      </c>
      <c r="D72" s="143">
        <f>18+4</f>
        <v>22</v>
      </c>
      <c r="E72" s="143">
        <v>140</v>
      </c>
      <c r="F72" s="143">
        <v>213</v>
      </c>
      <c r="G72" s="385">
        <f>SUM(C72:F72)</f>
        <v>740</v>
      </c>
      <c r="H72" s="953"/>
    </row>
    <row r="73" spans="2:16">
      <c r="B73" s="384" t="s">
        <v>1291</v>
      </c>
      <c r="C73" s="143">
        <v>381</v>
      </c>
      <c r="D73" s="143">
        <f>21+5</f>
        <v>26</v>
      </c>
      <c r="E73" s="143">
        <v>150</v>
      </c>
      <c r="F73" s="143">
        <v>207</v>
      </c>
      <c r="G73" s="385">
        <f>SUM(C73:F73)</f>
        <v>764</v>
      </c>
      <c r="H73" s="1253"/>
    </row>
    <row r="74" spans="2:16">
      <c r="B74" s="384" t="s">
        <v>1292</v>
      </c>
      <c r="C74" s="143">
        <v>391</v>
      </c>
      <c r="D74" s="143">
        <f>23+5</f>
        <v>28</v>
      </c>
      <c r="E74" s="143">
        <v>159</v>
      </c>
      <c r="F74" s="143">
        <v>203</v>
      </c>
      <c r="G74" s="385">
        <f>SUM(C74:F74)</f>
        <v>781</v>
      </c>
      <c r="H74" s="1253"/>
    </row>
    <row r="75" spans="2:16">
      <c r="B75" s="384"/>
      <c r="C75" s="145"/>
      <c r="D75" s="145"/>
      <c r="E75" s="145"/>
      <c r="F75" s="145"/>
      <c r="G75" s="1274"/>
      <c r="H75" s="1253"/>
    </row>
    <row r="76" spans="2:16">
      <c r="B76" s="384" t="s">
        <v>1319</v>
      </c>
      <c r="C76" s="145">
        <f>240+156</f>
        <v>396</v>
      </c>
      <c r="D76" s="145">
        <v>30</v>
      </c>
      <c r="E76" s="145">
        <f>156+9</f>
        <v>165</v>
      </c>
      <c r="F76" s="145">
        <v>199</v>
      </c>
      <c r="G76" s="385">
        <f>SUM(C76:F76)</f>
        <v>790</v>
      </c>
      <c r="H76" s="1253"/>
    </row>
    <row r="77" spans="2:16">
      <c r="B77" s="384" t="s">
        <v>1320</v>
      </c>
      <c r="C77" s="145">
        <f>155+236</f>
        <v>391</v>
      </c>
      <c r="D77" s="145">
        <f>27+5</f>
        <v>32</v>
      </c>
      <c r="E77" s="145">
        <f>163+10</f>
        <v>173</v>
      </c>
      <c r="F77" s="145">
        <v>198</v>
      </c>
      <c r="G77" s="385">
        <f>SUM(C77:F77)</f>
        <v>794</v>
      </c>
      <c r="H77" s="1253"/>
    </row>
    <row r="78" spans="2:16">
      <c r="B78" s="384" t="s">
        <v>1321</v>
      </c>
      <c r="C78" s="145">
        <f>154+244</f>
        <v>398</v>
      </c>
      <c r="D78" s="145">
        <f>30+5</f>
        <v>35</v>
      </c>
      <c r="E78" s="145">
        <f>166+10</f>
        <v>176</v>
      </c>
      <c r="F78" s="145">
        <v>194</v>
      </c>
      <c r="G78" s="385">
        <f>SUM(C78:F78)</f>
        <v>803</v>
      </c>
      <c r="H78" s="1253"/>
    </row>
    <row r="79" spans="2:16">
      <c r="B79" s="384" t="s">
        <v>1322</v>
      </c>
      <c r="C79" s="145">
        <f>241+156</f>
        <v>397</v>
      </c>
      <c r="D79" s="652">
        <f>32+5</f>
        <v>37</v>
      </c>
      <c r="E79" s="652">
        <f>176+9</f>
        <v>185</v>
      </c>
      <c r="F79" s="652">
        <v>194</v>
      </c>
      <c r="G79" s="385">
        <f>SUM(C79:F79)</f>
        <v>813</v>
      </c>
      <c r="H79" s="1253"/>
    </row>
    <row r="80" spans="2:16" s="2868" customFormat="1">
      <c r="B80" s="384"/>
      <c r="C80" s="145"/>
      <c r="D80" s="652"/>
      <c r="E80" s="652"/>
      <c r="F80" s="652"/>
      <c r="G80" s="385"/>
      <c r="H80" s="1253"/>
    </row>
    <row r="81" spans="2:8" s="2868" customFormat="1">
      <c r="B81" s="384" t="s">
        <v>1416</v>
      </c>
      <c r="C81" s="145">
        <f>+C79+5</f>
        <v>402</v>
      </c>
      <c r="D81" s="145">
        <f>+D79+8</f>
        <v>45</v>
      </c>
      <c r="E81" s="145">
        <f>+E79+12</f>
        <v>197</v>
      </c>
      <c r="F81" s="145">
        <f>+F79-1</f>
        <v>193</v>
      </c>
      <c r="G81" s="385">
        <f>SUM(C81:F81)</f>
        <v>837</v>
      </c>
      <c r="H81" s="1253"/>
    </row>
    <row r="82" spans="2:8" s="2868" customFormat="1">
      <c r="B82" s="384" t="s">
        <v>1417</v>
      </c>
      <c r="C82" s="145">
        <f>+C81+5</f>
        <v>407</v>
      </c>
      <c r="D82" s="145">
        <f>+D81+8</f>
        <v>53</v>
      </c>
      <c r="E82" s="145">
        <f>+E81+15</f>
        <v>212</v>
      </c>
      <c r="F82" s="145">
        <f>+F81-3</f>
        <v>190</v>
      </c>
      <c r="G82" s="385">
        <f>SUM(C82:F82)</f>
        <v>862</v>
      </c>
      <c r="H82" s="1253"/>
    </row>
    <row r="83" spans="2:8" s="2868" customFormat="1">
      <c r="B83" s="384" t="s">
        <v>1418</v>
      </c>
      <c r="C83" s="145">
        <f>+C82+5</f>
        <v>412</v>
      </c>
      <c r="D83" s="145">
        <f>+D82+8</f>
        <v>61</v>
      </c>
      <c r="E83" s="145">
        <f>+E82+12</f>
        <v>224</v>
      </c>
      <c r="F83" s="145">
        <f>+F82-3</f>
        <v>187</v>
      </c>
      <c r="G83" s="385">
        <f>SUM(C83:F83)</f>
        <v>884</v>
      </c>
      <c r="H83" s="1253"/>
    </row>
    <row r="84" spans="2:8" s="2868" customFormat="1">
      <c r="B84" s="398" t="s">
        <v>1419</v>
      </c>
      <c r="C84" s="144">
        <f>+C83</f>
        <v>412</v>
      </c>
      <c r="D84" s="144">
        <f>+D83+2</f>
        <v>63</v>
      </c>
      <c r="E84" s="144">
        <f>+E83+10</f>
        <v>234</v>
      </c>
      <c r="F84" s="144">
        <f t="shared" ref="F84" si="4">+F83</f>
        <v>187</v>
      </c>
      <c r="G84" s="386">
        <f>SUM(C84:F84)</f>
        <v>896</v>
      </c>
      <c r="H84" s="1253"/>
    </row>
    <row r="85" spans="2:8">
      <c r="C85" s="473"/>
      <c r="D85" s="473"/>
      <c r="E85" s="473"/>
      <c r="F85" s="473"/>
      <c r="H85" s="1253"/>
    </row>
    <row r="86" spans="2:8">
      <c r="B86" s="2914" t="s">
        <v>58</v>
      </c>
      <c r="C86" s="2915"/>
      <c r="D86" s="2915"/>
      <c r="E86" s="2915"/>
      <c r="F86" s="2915"/>
      <c r="G86" s="2916"/>
      <c r="H86" s="1253"/>
    </row>
    <row r="87" spans="2:8" hidden="1" outlineLevel="1">
      <c r="B87" s="1258"/>
      <c r="C87" s="953"/>
      <c r="D87" s="953"/>
      <c r="E87" s="953"/>
      <c r="F87" s="953"/>
      <c r="G87" s="1259"/>
      <c r="H87" s="1253"/>
    </row>
    <row r="88" spans="2:8" hidden="1" outlineLevel="1">
      <c r="B88" s="1251"/>
      <c r="C88" s="1253"/>
      <c r="D88" s="1250" t="s">
        <v>40</v>
      </c>
      <c r="E88" s="1253"/>
      <c r="F88" s="1253"/>
      <c r="G88" s="1254"/>
      <c r="H88" s="1253"/>
    </row>
    <row r="89" spans="2:8" hidden="1" outlineLevel="1">
      <c r="B89" s="1257" t="s">
        <v>59</v>
      </c>
      <c r="C89" s="1253"/>
      <c r="D89" s="1249">
        <v>0</v>
      </c>
      <c r="E89" s="1253"/>
      <c r="F89" s="1253"/>
      <c r="G89" s="1254"/>
      <c r="H89" s="1253"/>
    </row>
    <row r="90" spans="2:8" hidden="1" outlineLevel="1">
      <c r="B90" s="1257" t="s">
        <v>60</v>
      </c>
      <c r="C90" s="1253"/>
      <c r="D90" s="1249">
        <v>0</v>
      </c>
      <c r="E90" s="1253"/>
      <c r="F90" s="1253"/>
      <c r="G90" s="1254"/>
      <c r="H90" s="1253"/>
    </row>
    <row r="91" spans="2:8" hidden="1" outlineLevel="1">
      <c r="B91" s="1257" t="s">
        <v>61</v>
      </c>
      <c r="C91" s="1253"/>
      <c r="D91" s="1249">
        <v>2</v>
      </c>
      <c r="E91" s="1253"/>
      <c r="F91" s="1253"/>
      <c r="G91" s="1254"/>
      <c r="H91" s="1253"/>
    </row>
    <row r="92" spans="2:8" hidden="1" outlineLevel="1">
      <c r="B92" s="1257" t="s">
        <v>56</v>
      </c>
      <c r="C92" s="1253"/>
      <c r="D92" s="1249">
        <v>2</v>
      </c>
      <c r="E92" s="1253"/>
      <c r="F92" s="1253"/>
      <c r="G92" s="1254"/>
      <c r="H92" s="1253"/>
    </row>
    <row r="93" spans="2:8" hidden="1" outlineLevel="1">
      <c r="B93" s="1257"/>
      <c r="C93" s="1253"/>
      <c r="D93" s="1252"/>
      <c r="E93" s="1253"/>
      <c r="F93" s="1253"/>
      <c r="G93" s="1254"/>
    </row>
    <row r="94" spans="2:8" hidden="1" outlineLevel="1">
      <c r="B94" s="1257" t="s">
        <v>1150</v>
      </c>
      <c r="C94" s="1253"/>
      <c r="D94" s="1249">
        <v>2</v>
      </c>
      <c r="E94" s="1253"/>
      <c r="F94" s="1253"/>
      <c r="G94" s="1254"/>
    </row>
    <row r="95" spans="2:8" hidden="1" outlineLevel="1">
      <c r="B95" s="1257" t="s">
        <v>1151</v>
      </c>
      <c r="C95" s="1253"/>
      <c r="D95" s="1249">
        <v>2</v>
      </c>
      <c r="E95" s="1253"/>
      <c r="F95" s="1253"/>
      <c r="G95" s="1254"/>
    </row>
    <row r="96" spans="2:8" hidden="1" outlineLevel="1">
      <c r="B96" s="1257" t="s">
        <v>1152</v>
      </c>
      <c r="C96" s="1253"/>
      <c r="D96" s="1249">
        <v>5</v>
      </c>
      <c r="E96" s="1253"/>
      <c r="F96" s="1253"/>
      <c r="G96" s="1254"/>
    </row>
    <row r="97" spans="2:7" hidden="1" outlineLevel="1">
      <c r="B97" s="1257" t="s">
        <v>1153</v>
      </c>
      <c r="C97" s="1253"/>
      <c r="D97" s="1249">
        <v>5</v>
      </c>
      <c r="E97" s="1253"/>
      <c r="F97" s="1253"/>
      <c r="G97" s="1254"/>
    </row>
    <row r="98" spans="2:7" hidden="1" outlineLevel="1">
      <c r="B98" s="1257"/>
      <c r="C98" s="1253"/>
      <c r="D98" s="1252"/>
      <c r="E98" s="1253"/>
      <c r="F98" s="1253"/>
      <c r="G98" s="1254"/>
    </row>
    <row r="99" spans="2:7" collapsed="1">
      <c r="B99" s="1257" t="s">
        <v>54</v>
      </c>
      <c r="C99" s="1253"/>
      <c r="D99" s="1249">
        <v>7</v>
      </c>
      <c r="E99" s="1253"/>
      <c r="F99" s="1253"/>
      <c r="G99" s="1254"/>
    </row>
    <row r="100" spans="2:7">
      <c r="B100" s="1257" t="s">
        <v>52</v>
      </c>
      <c r="C100" s="1253"/>
      <c r="D100" s="1249">
        <v>7</v>
      </c>
      <c r="E100" s="1253"/>
      <c r="F100" s="1253"/>
      <c r="G100" s="1254"/>
    </row>
    <row r="101" spans="2:7">
      <c r="B101" s="1257" t="s">
        <v>55</v>
      </c>
      <c r="C101" s="1253"/>
      <c r="D101" s="1249">
        <v>9</v>
      </c>
      <c r="E101" s="1253"/>
      <c r="F101" s="1253"/>
      <c r="G101" s="1254"/>
    </row>
    <row r="102" spans="2:7">
      <c r="B102" s="1257" t="s">
        <v>53</v>
      </c>
      <c r="C102" s="1253"/>
      <c r="D102" s="1249">
        <v>10</v>
      </c>
      <c r="E102" s="1253"/>
      <c r="F102" s="1253"/>
      <c r="G102" s="1254"/>
    </row>
    <row r="103" spans="2:7">
      <c r="B103" s="476"/>
      <c r="C103" s="129"/>
      <c r="D103" s="129"/>
      <c r="E103" s="129"/>
      <c r="F103" s="129"/>
      <c r="G103" s="412"/>
    </row>
    <row r="104" spans="2:7">
      <c r="B104" s="1257" t="s">
        <v>1259</v>
      </c>
      <c r="C104" s="129"/>
      <c r="D104" s="1403">
        <v>10</v>
      </c>
      <c r="E104" s="129"/>
      <c r="F104" s="129"/>
      <c r="G104" s="412"/>
    </row>
    <row r="105" spans="2:7">
      <c r="B105" s="1257" t="s">
        <v>1260</v>
      </c>
      <c r="C105" s="129"/>
      <c r="D105" s="1403">
        <v>10</v>
      </c>
      <c r="E105" s="129"/>
      <c r="F105" s="129"/>
      <c r="G105" s="412"/>
    </row>
    <row r="106" spans="2:7">
      <c r="B106" s="1257" t="s">
        <v>1261</v>
      </c>
      <c r="C106" s="129"/>
      <c r="D106" s="1252">
        <v>10</v>
      </c>
      <c r="E106" s="129"/>
      <c r="F106" s="129"/>
      <c r="G106" s="412"/>
    </row>
    <row r="107" spans="2:7">
      <c r="B107" s="1257" t="s">
        <v>1262</v>
      </c>
      <c r="C107" s="129"/>
      <c r="D107" s="1304">
        <v>14</v>
      </c>
      <c r="E107" s="129"/>
      <c r="F107" s="129"/>
      <c r="G107" s="412"/>
    </row>
    <row r="108" spans="2:7">
      <c r="B108" s="476"/>
      <c r="C108" s="129"/>
      <c r="D108" s="129"/>
      <c r="E108" s="158" t="s">
        <v>1307</v>
      </c>
      <c r="F108" s="129"/>
      <c r="G108" s="412"/>
    </row>
    <row r="109" spans="2:7">
      <c r="B109" s="1257" t="s">
        <v>1289</v>
      </c>
      <c r="C109" s="129"/>
      <c r="D109" s="1403">
        <f>'store&amp;sf'!X173</f>
        <v>42</v>
      </c>
      <c r="E109" s="1304">
        <f>12+3</f>
        <v>15</v>
      </c>
      <c r="F109" s="129"/>
      <c r="G109" s="412"/>
    </row>
    <row r="110" spans="2:7">
      <c r="B110" s="1257" t="s">
        <v>1290</v>
      </c>
      <c r="C110" s="129"/>
      <c r="D110" s="1403">
        <f>'store&amp;sf'!X174</f>
        <v>44</v>
      </c>
      <c r="E110" s="1304">
        <v>16</v>
      </c>
      <c r="F110" s="129"/>
      <c r="G110" s="412"/>
    </row>
    <row r="111" spans="2:7">
      <c r="B111" s="1257" t="s">
        <v>1291</v>
      </c>
      <c r="C111" s="129"/>
      <c r="D111" s="1403">
        <f>'store&amp;sf'!X175</f>
        <v>46</v>
      </c>
      <c r="E111" s="1304">
        <v>18</v>
      </c>
      <c r="F111" s="129"/>
      <c r="G111" s="412"/>
    </row>
    <row r="112" spans="2:7">
      <c r="B112" s="1257" t="s">
        <v>1292</v>
      </c>
      <c r="C112" s="129"/>
      <c r="D112" s="1304">
        <f>'store&amp;sf'!X176</f>
        <v>49</v>
      </c>
      <c r="E112" s="1304">
        <v>18</v>
      </c>
      <c r="F112" s="129"/>
      <c r="G112" s="412"/>
    </row>
    <row r="113" spans="2:7">
      <c r="B113" s="476"/>
      <c r="C113" s="129"/>
      <c r="D113" s="129"/>
      <c r="E113" s="158"/>
      <c r="F113" s="129"/>
      <c r="G113" s="412"/>
    </row>
    <row r="114" spans="2:7">
      <c r="B114" s="1257" t="s">
        <v>1319</v>
      </c>
      <c r="C114" s="129"/>
      <c r="D114" s="1252">
        <v>51</v>
      </c>
      <c r="E114" s="1304">
        <v>18</v>
      </c>
      <c r="F114" s="129"/>
      <c r="G114" s="412"/>
    </row>
    <row r="115" spans="2:7">
      <c r="B115" s="1257" t="s">
        <v>1320</v>
      </c>
      <c r="C115" s="129"/>
      <c r="D115" s="1252">
        <v>51</v>
      </c>
      <c r="E115" s="1304">
        <v>19</v>
      </c>
      <c r="F115" s="129"/>
      <c r="G115" s="412"/>
    </row>
    <row r="116" spans="2:7">
      <c r="B116" s="1257" t="s">
        <v>1321</v>
      </c>
      <c r="C116" s="129"/>
      <c r="D116" s="1252">
        <f>16+4+29+2</f>
        <v>51</v>
      </c>
      <c r="E116" s="1304">
        <f>16+4</f>
        <v>20</v>
      </c>
      <c r="F116" s="129"/>
      <c r="G116" s="412"/>
    </row>
    <row r="117" spans="2:7">
      <c r="B117" s="1257" t="s">
        <v>1322</v>
      </c>
      <c r="C117" s="129"/>
      <c r="D117" s="1252">
        <v>60</v>
      </c>
      <c r="E117" s="1304">
        <v>23</v>
      </c>
      <c r="F117" s="129"/>
      <c r="G117" s="412"/>
    </row>
    <row r="118" spans="2:7">
      <c r="B118" s="476"/>
      <c r="C118" s="129"/>
      <c r="D118" s="129"/>
      <c r="E118" s="129"/>
      <c r="F118" s="129"/>
      <c r="G118" s="412"/>
    </row>
    <row r="119" spans="2:7">
      <c r="B119" s="2879" t="s">
        <v>1416</v>
      </c>
      <c r="C119" s="129"/>
      <c r="D119" s="1252">
        <f>+D117+3</f>
        <v>63</v>
      </c>
      <c r="E119" s="1252">
        <f>+E117+1</f>
        <v>24</v>
      </c>
      <c r="F119" s="129"/>
      <c r="G119" s="412"/>
    </row>
    <row r="120" spans="2:7">
      <c r="B120" s="2879" t="s">
        <v>1417</v>
      </c>
      <c r="C120" s="129"/>
      <c r="D120" s="1252">
        <f>+D119+5</f>
        <v>68</v>
      </c>
      <c r="E120" s="1252">
        <f>+E119+1</f>
        <v>25</v>
      </c>
      <c r="F120" s="129"/>
      <c r="G120" s="412"/>
    </row>
    <row r="121" spans="2:7">
      <c r="B121" s="2879" t="s">
        <v>1418</v>
      </c>
      <c r="C121" s="129"/>
      <c r="D121" s="1252">
        <f>+D120+5</f>
        <v>73</v>
      </c>
      <c r="E121" s="1252">
        <f>+E120+1</f>
        <v>26</v>
      </c>
      <c r="F121" s="129"/>
      <c r="G121" s="412"/>
    </row>
    <row r="122" spans="2:7">
      <c r="B122" s="2880" t="s">
        <v>1419</v>
      </c>
      <c r="C122" s="95"/>
      <c r="D122" s="2569">
        <f>+D121+3</f>
        <v>76</v>
      </c>
      <c r="E122" s="2569">
        <f>+E121</f>
        <v>26</v>
      </c>
      <c r="F122" s="95"/>
      <c r="G122" s="413"/>
    </row>
  </sheetData>
  <mergeCells count="13">
    <mergeCell ref="B86:G86"/>
    <mergeCell ref="P49:R49"/>
    <mergeCell ref="X49:Z49"/>
    <mergeCell ref="V2:AN2"/>
    <mergeCell ref="V3:AD3"/>
    <mergeCell ref="AE3:AN3"/>
    <mergeCell ref="C3:K3"/>
    <mergeCell ref="M3:S3"/>
    <mergeCell ref="I49:M49"/>
    <mergeCell ref="C2:Q2"/>
    <mergeCell ref="B49:G49"/>
    <mergeCell ref="C6:J6"/>
    <mergeCell ref="N6:T6"/>
  </mergeCells>
  <phoneticPr fontId="0" type="noConversion"/>
  <pageMargins left="0.7" right="0.7" top="0.75" bottom="0.75" header="0.3" footer="0.3"/>
  <pageSetup orientation="portrait" horizontalDpi="90" verticalDpi="90" r:id="rId1"/>
  <ignoredErrors>
    <ignoredError sqref="D26 D19" formula="1"/>
  </ignoredErrors>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H267"/>
  <sheetViews>
    <sheetView showGridLines="0" zoomScale="85" zoomScaleNormal="85" zoomScaleSheetLayoutView="100" workbookViewId="0">
      <pane ySplit="9090" topLeftCell="A134"/>
      <selection activeCell="DT10" sqref="DT10"/>
      <selection pane="bottomLeft" activeCell="DZ138" sqref="DZ138"/>
    </sheetView>
  </sheetViews>
  <sheetFormatPr defaultRowHeight="12.75" outlineLevelRow="2" outlineLevelCol="1"/>
  <cols>
    <col min="1" max="1" width="3" style="23" customWidth="1"/>
    <col min="2" max="2" width="5.140625" style="23" customWidth="1"/>
    <col min="3" max="3" width="1.85546875" style="23" hidden="1" customWidth="1" outlineLevel="1"/>
    <col min="4" max="4" width="9.140625" style="23" hidden="1" customWidth="1" outlineLevel="1"/>
    <col min="5" max="5" width="5.7109375" style="23" hidden="1" customWidth="1" outlineLevel="1"/>
    <col min="6" max="6" width="9.140625" style="23" hidden="1" customWidth="1" outlineLevel="1"/>
    <col min="7" max="8" width="5.7109375" style="23" hidden="1" customWidth="1" outlineLevel="1"/>
    <col min="9" max="9" width="2.42578125" style="23" hidden="1" customWidth="1" outlineLevel="1"/>
    <col min="10" max="10" width="9.140625" style="23" hidden="1" customWidth="1" outlineLevel="1"/>
    <col min="11" max="12" width="5.7109375" style="23" hidden="1" customWidth="1" outlineLevel="1"/>
    <col min="13" max="13" width="2.42578125" style="23" hidden="1" customWidth="1" outlineLevel="1"/>
    <col min="14" max="14" width="9.140625" style="23" hidden="1" customWidth="1" outlineLevel="1"/>
    <col min="15" max="16" width="5.7109375" style="23" hidden="1" customWidth="1" outlineLevel="1"/>
    <col min="17" max="17" width="2.42578125" style="23" hidden="1" customWidth="1" outlineLevel="1"/>
    <col min="18" max="18" width="9.140625" style="23" hidden="1" customWidth="1" outlineLevel="1"/>
    <col min="19" max="20" width="5.7109375" style="23" hidden="1" customWidth="1" outlineLevel="1"/>
    <col min="21" max="21" width="2.42578125" style="23" hidden="1" customWidth="1" outlineLevel="1"/>
    <col min="22" max="22" width="9.140625" style="23" hidden="1" customWidth="1" outlineLevel="1"/>
    <col min="23" max="24" width="5.7109375" style="23" hidden="1" customWidth="1" outlineLevel="1"/>
    <col min="25" max="25" width="2.42578125" style="23" hidden="1" customWidth="1" outlineLevel="1"/>
    <col min="26" max="26" width="9.140625" style="23" hidden="1" customWidth="1" outlineLevel="1"/>
    <col min="27" max="28" width="5.7109375" style="23" hidden="1" customWidth="1" outlineLevel="1"/>
    <col min="29" max="29" width="2.42578125" style="23" hidden="1" customWidth="1" outlineLevel="1"/>
    <col min="30" max="30" width="9.140625" style="23" hidden="1" customWidth="1" outlineLevel="1"/>
    <col min="31" max="32" width="5.7109375" style="23" hidden="1" customWidth="1" outlineLevel="1"/>
    <col min="33" max="33" width="2.42578125" style="23" hidden="1" customWidth="1" outlineLevel="1"/>
    <col min="34" max="34" width="9.140625" style="23" hidden="1" customWidth="1" outlineLevel="1" collapsed="1"/>
    <col min="35" max="36" width="5.7109375" style="23" hidden="1" customWidth="1" outlineLevel="1"/>
    <col min="37" max="37" width="2.42578125" style="23" hidden="1" customWidth="1" outlineLevel="1"/>
    <col min="38" max="38" width="9.140625" style="23" hidden="1" customWidth="1" outlineLevel="1"/>
    <col min="39" max="39" width="6.5703125" style="23" hidden="1" customWidth="1" outlineLevel="1"/>
    <col min="40" max="40" width="6.42578125" style="23" hidden="1" customWidth="1" outlineLevel="1"/>
    <col min="41" max="41" width="2.42578125" style="23" hidden="1" customWidth="1" outlineLevel="1"/>
    <col min="42" max="42" width="9.140625" style="23" hidden="1" customWidth="1" outlineLevel="1"/>
    <col min="43" max="43" width="6.28515625" style="23" hidden="1" customWidth="1" outlineLevel="1"/>
    <col min="44" max="44" width="6.42578125" style="23" hidden="1" customWidth="1" outlineLevel="1"/>
    <col min="45" max="45" width="2.42578125" style="23" hidden="1" customWidth="1" outlineLevel="1"/>
    <col min="46" max="46" width="9.140625" style="23" hidden="1" customWidth="1" outlineLevel="1" collapsed="1"/>
    <col min="47" max="48" width="5.7109375" style="23" hidden="1" customWidth="1" outlineLevel="1"/>
    <col min="49" max="49" width="2.42578125" style="23" hidden="1" customWidth="1" outlineLevel="1"/>
    <col min="50" max="50" width="9.140625" style="23" hidden="1" customWidth="1" outlineLevel="1" collapsed="1"/>
    <col min="51" max="51" width="6.140625" style="23" hidden="1" customWidth="1" outlineLevel="1"/>
    <col min="52" max="52" width="5.7109375" style="23" hidden="1" customWidth="1" outlineLevel="1"/>
    <col min="53" max="53" width="2.42578125" style="23" hidden="1" customWidth="1" outlineLevel="1"/>
    <col min="54" max="54" width="9.140625" style="23" hidden="1" customWidth="1" outlineLevel="1" collapsed="1"/>
    <col min="55" max="55" width="6.28515625" style="23" hidden="1" customWidth="1" outlineLevel="1"/>
    <col min="56" max="56" width="5.7109375" style="23" hidden="1" customWidth="1" outlineLevel="1"/>
    <col min="57" max="57" width="2.42578125" style="23" hidden="1" customWidth="1" outlineLevel="1"/>
    <col min="58" max="58" width="9.28515625" style="23" hidden="1" customWidth="1" outlineLevel="1"/>
    <col min="59" max="59" width="6.28515625" style="23" hidden="1" customWidth="1" outlineLevel="1"/>
    <col min="60" max="60" width="5.7109375" style="23" hidden="1" customWidth="1" outlineLevel="1"/>
    <col min="61" max="61" width="2.42578125" style="23" hidden="1" customWidth="1" outlineLevel="1"/>
    <col min="62" max="62" width="9.28515625" style="23" hidden="1" customWidth="1" outlineLevel="1"/>
    <col min="63" max="63" width="6.28515625" style="23" hidden="1" customWidth="1" outlineLevel="1"/>
    <col min="64" max="64" width="6.140625" style="23" hidden="1" customWidth="1" outlineLevel="1"/>
    <col min="65" max="65" width="2.42578125" style="23" hidden="1" customWidth="1" outlineLevel="1"/>
    <col min="66" max="66" width="9.140625" style="23" hidden="1" customWidth="1" outlineLevel="1"/>
    <col min="67" max="67" width="6.28515625" style="23" hidden="1" customWidth="1" outlineLevel="1"/>
    <col min="68" max="68" width="7.7109375" style="23" hidden="1" customWidth="1" outlineLevel="1"/>
    <col min="69" max="69" width="2.42578125" style="23" hidden="1" customWidth="1" outlineLevel="1" collapsed="1"/>
    <col min="70" max="70" width="9.140625" style="23" hidden="1" customWidth="1" outlineLevel="1"/>
    <col min="71" max="71" width="6.28515625" style="23" hidden="1" customWidth="1" outlineLevel="1"/>
    <col min="72" max="72" width="6.140625" style="23" hidden="1" customWidth="1" outlineLevel="1"/>
    <col min="73" max="73" width="2.42578125" style="23" hidden="1" customWidth="1" outlineLevel="1"/>
    <col min="74" max="74" width="9.140625" style="23" hidden="1" customWidth="1" outlineLevel="1"/>
    <col min="75" max="75" width="6.28515625" style="23" hidden="1" customWidth="1" outlineLevel="1"/>
    <col min="76" max="76" width="6.140625" style="23" hidden="1" customWidth="1" outlineLevel="1"/>
    <col min="77" max="77" width="1.140625" style="23" hidden="1" customWidth="1" outlineLevel="1"/>
    <col min="78" max="78" width="9.28515625" style="23" hidden="1" customWidth="1" outlineLevel="1"/>
    <col min="79" max="79" width="6.28515625" style="23" hidden="1" customWidth="1" outlineLevel="1"/>
    <col min="80" max="80" width="6.140625" style="23" hidden="1" customWidth="1" outlineLevel="1"/>
    <col min="81" max="81" width="1.5703125" style="23" hidden="1" customWidth="1" outlineLevel="1"/>
    <col min="82" max="82" width="9.140625" style="23" hidden="1" customWidth="1" outlineLevel="1"/>
    <col min="83" max="83" width="6.5703125" style="23" hidden="1" customWidth="1" outlineLevel="1"/>
    <col min="84" max="84" width="6.140625" style="23" hidden="1" customWidth="1" outlineLevel="1"/>
    <col min="85" max="85" width="1.140625" style="23" hidden="1" customWidth="1" outlineLevel="1"/>
    <col min="86" max="86" width="9.140625" style="23" hidden="1" customWidth="1" outlineLevel="1"/>
    <col min="87" max="87" width="6.5703125" style="23" hidden="1" customWidth="1" outlineLevel="1"/>
    <col min="88" max="88" width="6.140625" style="23" hidden="1" customWidth="1" outlineLevel="1"/>
    <col min="89" max="89" width="1.28515625" style="23" hidden="1" customWidth="1" outlineLevel="1"/>
    <col min="90" max="90" width="9.42578125" style="23" hidden="1" customWidth="1" outlineLevel="1"/>
    <col min="91" max="91" width="8" style="23" hidden="1" customWidth="1" outlineLevel="1"/>
    <col min="92" max="92" width="7.7109375" style="23" hidden="1" customWidth="1" outlineLevel="1"/>
    <col min="93" max="93" width="1.28515625" style="23" hidden="1" customWidth="1" outlineLevel="1"/>
    <col min="94" max="94" width="9.7109375" style="23" hidden="1" customWidth="1" outlineLevel="1"/>
    <col min="95" max="95" width="6.5703125" style="23" hidden="1" customWidth="1" outlineLevel="1"/>
    <col min="96" max="96" width="6.85546875" style="23" hidden="1" customWidth="1" outlineLevel="1"/>
    <col min="97" max="97" width="1.28515625" style="23" hidden="1" customWidth="1" outlineLevel="1"/>
    <col min="98" max="98" width="9.5703125" style="23" bestFit="1" customWidth="1" collapsed="1"/>
    <col min="99" max="99" width="6.5703125" style="23" customWidth="1"/>
    <col min="100" max="100" width="7.42578125" style="23" bestFit="1" customWidth="1"/>
    <col min="101" max="101" width="1.28515625" style="23" customWidth="1"/>
    <col min="102" max="102" width="9.28515625" style="23" customWidth="1"/>
    <col min="103" max="103" width="6.5703125" style="23" customWidth="1"/>
    <col min="104" max="104" width="7.140625" style="23" customWidth="1"/>
    <col min="105" max="105" width="1.28515625" style="23" customWidth="1"/>
    <col min="106" max="106" width="9.28515625" style="23" customWidth="1"/>
    <col min="107" max="107" width="6.5703125" style="23" customWidth="1"/>
    <col min="108" max="108" width="7.28515625" style="23" customWidth="1"/>
    <col min="109" max="109" width="1.28515625" style="23" customWidth="1"/>
    <col min="110" max="110" width="9.28515625" style="23" customWidth="1"/>
    <col min="111" max="111" width="6.5703125" style="23" customWidth="1"/>
    <col min="112" max="112" width="7.140625" style="23" customWidth="1"/>
    <col min="113" max="113" width="1.28515625" style="23" customWidth="1"/>
    <col min="114" max="114" width="10.5703125" style="23" bestFit="1" customWidth="1"/>
    <col min="115" max="115" width="8.28515625" style="23" customWidth="1"/>
    <col min="116" max="116" width="7.140625" style="23" customWidth="1"/>
    <col min="117" max="117" width="1.28515625" style="23" customWidth="1"/>
    <col min="118" max="118" width="9.28515625" style="23" customWidth="1"/>
    <col min="119" max="119" width="8.28515625" style="23" customWidth="1"/>
    <col min="120" max="120" width="7.140625" style="23" customWidth="1"/>
    <col min="121" max="121" width="2.42578125" style="23" customWidth="1"/>
    <col min="122" max="122" width="9.28515625" style="23" customWidth="1"/>
    <col min="123" max="123" width="8.28515625" style="23" customWidth="1"/>
    <col min="124" max="124" width="7.140625" style="23" customWidth="1"/>
    <col min="125" max="125" width="6.42578125" style="23" customWidth="1"/>
    <col min="126" max="126" width="9.85546875" style="23" customWidth="1"/>
    <col min="127" max="127" width="7" style="23" customWidth="1"/>
    <col min="128" max="128" width="7.42578125" style="23" customWidth="1"/>
    <col min="129" max="129" width="0.7109375" style="23" customWidth="1"/>
    <col min="130" max="130" width="9" style="23" customWidth="1"/>
    <col min="131" max="131" width="9.28515625" style="23" customWidth="1"/>
    <col min="132" max="132" width="10.28515625" style="23" customWidth="1"/>
    <col min="133" max="133" width="1" style="23" customWidth="1"/>
    <col min="134" max="136" width="9.140625" style="23"/>
    <col min="137" max="137" width="0.85546875" style="23" customWidth="1"/>
    <col min="138" max="16384" width="9.140625" style="23"/>
  </cols>
  <sheetData>
    <row r="1" spans="1:138">
      <c r="A1" s="25" t="str">
        <f>sumry!A1</f>
        <v>L Brands Inc.</v>
      </c>
      <c r="B1" s="25"/>
      <c r="C1" s="25"/>
      <c r="D1" s="44"/>
      <c r="E1" s="25"/>
      <c r="F1" s="44"/>
      <c r="G1" s="25"/>
      <c r="H1" s="25"/>
      <c r="I1" s="25"/>
      <c r="J1" s="44"/>
      <c r="K1" s="25"/>
      <c r="L1" s="25"/>
      <c r="M1" s="25"/>
      <c r="N1" s="44"/>
      <c r="O1" s="25"/>
      <c r="P1" s="25"/>
      <c r="Q1" s="25"/>
      <c r="R1" s="44"/>
      <c r="S1" s="25"/>
      <c r="T1" s="25"/>
      <c r="U1" s="25"/>
      <c r="V1" s="44"/>
      <c r="W1" s="25"/>
      <c r="X1" s="25"/>
      <c r="Y1" s="25"/>
      <c r="Z1" s="44"/>
      <c r="AA1" s="25"/>
      <c r="AB1" s="25"/>
      <c r="AC1" s="25"/>
      <c r="AD1" s="44"/>
      <c r="AE1" s="25"/>
      <c r="AF1" s="25"/>
      <c r="AG1" s="25"/>
      <c r="AH1" s="44"/>
      <c r="AI1" s="25"/>
      <c r="AJ1" s="25"/>
      <c r="AK1" s="44"/>
      <c r="AL1" s="44"/>
      <c r="AM1" s="25"/>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15"/>
      <c r="BO1" s="215"/>
      <c r="BP1" s="215"/>
      <c r="BQ1" s="25"/>
      <c r="BR1" s="215"/>
      <c r="BS1" s="215"/>
      <c r="BT1" s="215"/>
      <c r="BU1" s="25"/>
      <c r="BV1" s="215"/>
      <c r="BW1" s="215"/>
      <c r="BX1" s="215"/>
      <c r="BY1" s="25"/>
      <c r="BZ1" s="215"/>
      <c r="CA1" s="215"/>
      <c r="CB1" s="215"/>
      <c r="CC1" s="25"/>
      <c r="CD1" s="215"/>
      <c r="CE1" s="215"/>
      <c r="CF1" s="215"/>
      <c r="CG1" s="25"/>
      <c r="CH1" s="215"/>
      <c r="CI1" s="215"/>
      <c r="CJ1" s="215"/>
      <c r="CK1" s="25"/>
      <c r="CL1" s="215"/>
      <c r="CM1" s="215"/>
      <c r="CN1" s="215"/>
      <c r="CO1" s="25"/>
      <c r="CP1" s="215"/>
      <c r="CQ1" s="215"/>
      <c r="CR1" s="215"/>
      <c r="CS1" s="25"/>
      <c r="CT1" s="215"/>
      <c r="CU1" s="215"/>
      <c r="CV1" s="215"/>
      <c r="CW1" s="215"/>
      <c r="CX1" s="215"/>
      <c r="CY1" s="215"/>
      <c r="CZ1" s="215"/>
      <c r="DA1" s="215"/>
      <c r="DB1" s="215"/>
      <c r="DC1" s="215"/>
      <c r="DD1" s="215"/>
      <c r="DE1" s="215"/>
      <c r="DF1" s="215"/>
      <c r="DG1" s="215"/>
      <c r="DH1" s="215"/>
      <c r="DI1" s="215"/>
      <c r="DJ1" s="215"/>
      <c r="DK1" s="215"/>
      <c r="DL1" s="215"/>
      <c r="DM1" s="215"/>
      <c r="DN1" s="215"/>
      <c r="DO1" s="215"/>
      <c r="DP1" s="215"/>
      <c r="DQ1" s="215"/>
      <c r="DR1" s="215"/>
      <c r="DS1" s="215"/>
      <c r="DT1" s="215"/>
      <c r="DU1" s="25"/>
      <c r="DV1" s="25"/>
      <c r="DW1" s="25"/>
      <c r="DX1" s="25"/>
      <c r="DY1" s="25"/>
      <c r="DZ1" s="25"/>
      <c r="EA1" s="25"/>
      <c r="EB1" s="25"/>
      <c r="EC1" s="25"/>
      <c r="ED1" s="25"/>
      <c r="EE1" s="25"/>
      <c r="EF1" s="25"/>
      <c r="EG1" s="25"/>
      <c r="EH1" s="25"/>
    </row>
    <row r="2" spans="1:138">
      <c r="A2" s="26" t="s">
        <v>1135</v>
      </c>
      <c r="B2" s="26"/>
      <c r="C2" s="26"/>
      <c r="D2" s="45"/>
      <c r="E2" s="26"/>
      <c r="F2" s="45"/>
      <c r="G2" s="26"/>
      <c r="H2" s="26"/>
      <c r="I2" s="26"/>
      <c r="J2" s="45"/>
      <c r="K2" s="26"/>
      <c r="L2" s="26"/>
      <c r="M2" s="26"/>
      <c r="N2" s="45"/>
      <c r="O2" s="26"/>
      <c r="P2" s="26"/>
      <c r="Q2" s="26"/>
      <c r="R2" s="45"/>
      <c r="S2" s="26"/>
      <c r="T2" s="26"/>
      <c r="U2" s="26"/>
      <c r="V2" s="45"/>
      <c r="W2" s="26"/>
      <c r="X2" s="26"/>
      <c r="Y2" s="26"/>
      <c r="Z2" s="45"/>
      <c r="AA2" s="26"/>
      <c r="AB2" s="26"/>
      <c r="AC2" s="26"/>
      <c r="AD2" s="45"/>
      <c r="AE2" s="26"/>
      <c r="AF2" s="26"/>
      <c r="AG2" s="26"/>
      <c r="AH2" s="45"/>
      <c r="AI2" s="26"/>
      <c r="AJ2" s="26"/>
      <c r="AK2" s="45"/>
      <c r="AL2" s="45"/>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20"/>
      <c r="BO2" s="220"/>
      <c r="BP2" s="220"/>
      <c r="BQ2" s="26"/>
      <c r="BR2" s="220"/>
      <c r="BS2" s="220"/>
      <c r="BT2" s="220"/>
      <c r="BU2" s="26"/>
      <c r="BV2" s="220"/>
      <c r="BW2" s="220"/>
      <c r="BX2" s="220"/>
      <c r="BY2" s="26"/>
      <c r="BZ2" s="220"/>
      <c r="CA2" s="220"/>
      <c r="CB2" s="220"/>
      <c r="CC2" s="26"/>
      <c r="CD2" s="220"/>
      <c r="CE2" s="220"/>
      <c r="CF2" s="220"/>
      <c r="CG2" s="26"/>
      <c r="CH2" s="220"/>
      <c r="CI2" s="220"/>
      <c r="CJ2" s="220"/>
      <c r="CK2" s="26"/>
      <c r="CL2" s="220"/>
      <c r="CM2" s="220"/>
      <c r="CN2" s="220"/>
      <c r="CO2" s="26"/>
      <c r="CP2" s="220"/>
      <c r="CQ2" s="220"/>
      <c r="CR2" s="220"/>
      <c r="CS2" s="26"/>
      <c r="CT2" s="220"/>
      <c r="CU2" s="220"/>
      <c r="CV2" s="220"/>
      <c r="CW2" s="220"/>
      <c r="CX2" s="220"/>
      <c r="CY2" s="220"/>
      <c r="CZ2" s="220"/>
      <c r="DA2" s="220"/>
      <c r="DB2" s="220"/>
      <c r="DC2" s="220"/>
      <c r="DD2" s="220"/>
      <c r="DE2" s="220"/>
      <c r="DF2" s="220"/>
      <c r="DG2" s="220"/>
      <c r="DH2" s="220"/>
      <c r="DI2" s="220"/>
      <c r="DJ2" s="220"/>
      <c r="DK2" s="220"/>
      <c r="DL2" s="220"/>
      <c r="DM2" s="220"/>
      <c r="DN2" s="220"/>
      <c r="DO2" s="220"/>
      <c r="DP2" s="220"/>
      <c r="DQ2" s="220"/>
      <c r="DR2" s="220"/>
      <c r="DS2" s="220"/>
      <c r="DT2" s="220"/>
      <c r="DU2" s="48"/>
      <c r="DV2" s="25"/>
      <c r="DW2" s="25"/>
      <c r="DX2" s="25"/>
      <c r="DY2" s="25"/>
      <c r="DZ2" s="25"/>
      <c r="EA2" s="25"/>
      <c r="EB2" s="25"/>
      <c r="EC2" s="25"/>
      <c r="ED2" s="25"/>
      <c r="EE2" s="25"/>
      <c r="EF2" s="25"/>
      <c r="EG2" s="25"/>
      <c r="EH2" s="25"/>
    </row>
    <row r="3" spans="1:138">
      <c r="A3" s="1822" t="s">
        <v>521</v>
      </c>
      <c r="BN3" s="161"/>
      <c r="BO3" s="161"/>
      <c r="BP3" s="161"/>
      <c r="BR3" s="161"/>
      <c r="BS3" s="161"/>
      <c r="BT3" s="161"/>
      <c r="BV3" s="161"/>
      <c r="BW3" s="161"/>
      <c r="BX3" s="161"/>
      <c r="BZ3" s="161"/>
      <c r="CA3" s="161"/>
      <c r="CB3" s="161"/>
      <c r="CD3" s="161"/>
      <c r="CE3" s="161"/>
      <c r="CF3" s="161"/>
      <c r="CH3" s="161"/>
      <c r="CI3" s="161"/>
      <c r="CJ3" s="161"/>
      <c r="CL3" s="161"/>
      <c r="CM3" s="161"/>
      <c r="CN3" s="161"/>
      <c r="CP3" s="161"/>
      <c r="CQ3" s="161"/>
      <c r="CR3" s="161"/>
      <c r="CT3" s="161"/>
      <c r="CU3" s="161"/>
      <c r="CV3" s="161"/>
      <c r="CW3" s="161"/>
      <c r="CX3" s="161"/>
      <c r="CY3" s="161"/>
      <c r="CZ3" s="161"/>
      <c r="DA3" s="161"/>
      <c r="DB3" s="161"/>
      <c r="DC3" s="161"/>
      <c r="DD3" s="161"/>
      <c r="DE3" s="161"/>
      <c r="DF3" s="161"/>
      <c r="DG3" s="161"/>
      <c r="DH3" s="161"/>
      <c r="DI3" s="161"/>
      <c r="DJ3" s="161"/>
      <c r="DK3" s="161"/>
      <c r="DL3" s="161"/>
      <c r="DM3" s="161"/>
      <c r="DN3" s="161"/>
      <c r="DO3" s="161"/>
      <c r="DP3" s="161"/>
      <c r="DQ3" s="161"/>
      <c r="DR3" s="161"/>
      <c r="DS3" s="161"/>
      <c r="DT3" s="161"/>
    </row>
    <row r="4" spans="1:138">
      <c r="A4" s="1822" t="s">
        <v>118</v>
      </c>
      <c r="BN4" s="161"/>
      <c r="BO4" s="161"/>
      <c r="BP4" s="161"/>
      <c r="BR4" s="161"/>
      <c r="BS4" s="161"/>
      <c r="BT4" s="161"/>
      <c r="BV4" s="161"/>
      <c r="BW4" s="161"/>
      <c r="BX4" s="161"/>
      <c r="BZ4" s="161"/>
      <c r="CA4" s="161"/>
      <c r="CB4" s="161"/>
      <c r="CD4" s="161"/>
      <c r="CE4" s="161"/>
      <c r="CF4" s="161"/>
      <c r="CH4" s="161"/>
      <c r="CI4" s="161"/>
      <c r="CJ4" s="161"/>
      <c r="CL4" s="161"/>
      <c r="CM4" s="161"/>
      <c r="CN4" s="161"/>
      <c r="CP4" s="161"/>
      <c r="CQ4" s="161"/>
      <c r="CR4" s="161"/>
      <c r="CT4" s="161"/>
      <c r="CU4" s="161"/>
      <c r="CV4" s="161"/>
      <c r="CW4" s="161"/>
      <c r="CX4" s="161"/>
      <c r="CY4" s="161"/>
      <c r="CZ4" s="161"/>
      <c r="DA4" s="161"/>
      <c r="DB4" s="161"/>
      <c r="DC4" s="161"/>
      <c r="DD4" s="161"/>
      <c r="DE4" s="161"/>
      <c r="DF4" s="161"/>
      <c r="DG4" s="161"/>
      <c r="DH4" s="161"/>
      <c r="DI4" s="161"/>
      <c r="DJ4" s="161"/>
      <c r="DK4" s="161"/>
      <c r="DL4" s="161"/>
      <c r="DM4" s="161"/>
      <c r="DN4" s="161"/>
      <c r="DO4" s="161"/>
      <c r="DP4" s="161"/>
      <c r="DQ4" s="161"/>
      <c r="DR4" s="161"/>
      <c r="DS4" s="161"/>
      <c r="DT4" s="161"/>
    </row>
    <row r="5" spans="1:138">
      <c r="A5" s="1822"/>
      <c r="BN5" s="624" t="s">
        <v>1114</v>
      </c>
      <c r="BO5" s="624"/>
      <c r="BP5" s="624"/>
      <c r="BR5" s="624" t="s">
        <v>847</v>
      </c>
      <c r="BS5" s="624"/>
      <c r="BT5" s="624"/>
      <c r="BV5" s="624" t="s">
        <v>1115</v>
      </c>
      <c r="BW5" s="624"/>
      <c r="BX5" s="624"/>
      <c r="BY5" s="624"/>
      <c r="BZ5" s="161"/>
      <c r="CA5" s="161"/>
      <c r="CB5" s="161"/>
      <c r="CC5" s="161"/>
      <c r="CD5" s="161"/>
      <c r="CE5" s="161"/>
      <c r="CF5" s="161"/>
      <c r="CG5" s="161"/>
      <c r="CH5" s="161"/>
      <c r="CI5" s="161"/>
      <c r="CJ5" s="161"/>
      <c r="CK5" s="161"/>
      <c r="CL5" s="161"/>
      <c r="CM5" s="161"/>
      <c r="CN5" s="161"/>
      <c r="CO5" s="161"/>
      <c r="CP5" s="161"/>
      <c r="CQ5" s="161"/>
      <c r="CR5" s="161"/>
      <c r="CS5" s="161"/>
      <c r="CT5" s="161"/>
      <c r="CU5" s="161"/>
      <c r="CV5" s="161"/>
      <c r="CW5" s="2168"/>
      <c r="CX5" s="2168"/>
      <c r="CY5" s="2168"/>
      <c r="CZ5" s="2168"/>
      <c r="DA5" s="2168"/>
      <c r="DB5" s="2168"/>
      <c r="DC5" s="2168"/>
      <c r="DD5" s="2168"/>
      <c r="DE5" s="2168"/>
      <c r="DF5" s="2168"/>
      <c r="DG5" s="2168"/>
      <c r="DH5" s="2168"/>
      <c r="DI5" s="2168"/>
      <c r="DJ5" s="2168"/>
      <c r="DK5" s="2168"/>
      <c r="DL5" s="2168"/>
      <c r="DM5" s="2168"/>
      <c r="DN5" s="2168"/>
      <c r="DO5" s="2168"/>
      <c r="DP5" s="2168"/>
      <c r="DQ5" s="2168"/>
      <c r="DR5" s="2168"/>
      <c r="DS5" s="2168"/>
      <c r="DT5" s="2168"/>
    </row>
    <row r="6" spans="1:138">
      <c r="A6" s="1822"/>
      <c r="D6" s="2169">
        <v>1989</v>
      </c>
      <c r="F6" s="2169">
        <v>1990</v>
      </c>
      <c r="G6" s="1827"/>
      <c r="H6" s="2170"/>
      <c r="J6" s="2169">
        <v>1991</v>
      </c>
      <c r="K6" s="1827"/>
      <c r="L6" s="2170"/>
      <c r="N6" s="2169">
        <v>1992</v>
      </c>
      <c r="O6" s="1827"/>
      <c r="P6" s="2170"/>
      <c r="R6" s="2169">
        <v>1993</v>
      </c>
      <c r="S6" s="1827"/>
      <c r="T6" s="2170"/>
      <c r="V6" s="2169">
        <v>1994</v>
      </c>
      <c r="W6" s="1827"/>
      <c r="X6" s="2170"/>
      <c r="Z6" s="2169">
        <v>1995</v>
      </c>
      <c r="AA6" s="1827"/>
      <c r="AB6" s="2170"/>
      <c r="AD6" s="2170">
        <f>Z6+1</f>
        <v>1996</v>
      </c>
      <c r="AE6" s="1827"/>
      <c r="AF6" s="2170"/>
      <c r="AH6" s="2170">
        <f>AD6+1</f>
        <v>1997</v>
      </c>
      <c r="AI6" s="1827"/>
      <c r="AJ6" s="2170"/>
      <c r="AL6" s="2170">
        <f>AH6+1</f>
        <v>1998</v>
      </c>
      <c r="AM6" s="1827"/>
      <c r="AN6" s="2170"/>
      <c r="AP6" s="2170">
        <f>AL6+1</f>
        <v>1999</v>
      </c>
      <c r="AQ6" s="1827"/>
      <c r="AR6" s="2170"/>
      <c r="AT6" s="2170">
        <f>AP6+1</f>
        <v>2000</v>
      </c>
      <c r="AU6" s="1827"/>
      <c r="AV6" s="2170"/>
      <c r="AX6" s="2170">
        <f>AT6+1</f>
        <v>2001</v>
      </c>
      <c r="AY6" s="1827"/>
      <c r="AZ6" s="2170"/>
      <c r="BB6" s="2170">
        <f>AX6+1</f>
        <v>2002</v>
      </c>
      <c r="BC6" s="1827"/>
      <c r="BD6" s="2170"/>
      <c r="BF6" s="2170">
        <f>BB6+1</f>
        <v>2003</v>
      </c>
      <c r="BG6" s="1827"/>
      <c r="BH6" s="2170"/>
      <c r="BJ6" s="2170">
        <f>BF6+1</f>
        <v>2004</v>
      </c>
      <c r="BK6" s="1827"/>
      <c r="BL6" s="2170"/>
      <c r="BN6" s="2171">
        <f>BJ6+1</f>
        <v>2005</v>
      </c>
      <c r="BO6" s="1828"/>
      <c r="BP6" s="2172"/>
      <c r="BR6" s="2171">
        <f>BN6</f>
        <v>2005</v>
      </c>
      <c r="BS6" s="1828"/>
      <c r="BT6" s="2172"/>
      <c r="BV6" s="2171">
        <f>BN6+1</f>
        <v>2006</v>
      </c>
      <c r="BW6" s="1828"/>
      <c r="BX6" s="2172"/>
      <c r="BZ6" s="2171">
        <f>BV6+1</f>
        <v>2007</v>
      </c>
      <c r="CA6" s="1828"/>
      <c r="CB6" s="2172"/>
      <c r="CD6" s="2171">
        <f>BZ6+1</f>
        <v>2008</v>
      </c>
      <c r="CE6" s="1828"/>
      <c r="CF6" s="2172"/>
      <c r="CH6" s="2171">
        <f>CD6+1</f>
        <v>2009</v>
      </c>
      <c r="CI6" s="1828"/>
      <c r="CJ6" s="2172"/>
      <c r="CL6" s="2171">
        <f>CH6+1</f>
        <v>2010</v>
      </c>
      <c r="CM6" s="1828"/>
      <c r="CN6" s="2172"/>
      <c r="CP6" s="2171">
        <f>CL6+1</f>
        <v>2011</v>
      </c>
      <c r="CQ6" s="1828"/>
      <c r="CR6" s="2172"/>
      <c r="CT6" s="2172">
        <f>CP6+1</f>
        <v>2012</v>
      </c>
      <c r="CU6" s="1828"/>
      <c r="CV6" s="2172"/>
      <c r="CW6" s="2168"/>
      <c r="CX6" s="2172">
        <f>CT6+1</f>
        <v>2013</v>
      </c>
      <c r="CY6" s="1828"/>
      <c r="CZ6" s="2172"/>
      <c r="DA6" s="2168"/>
      <c r="DB6" s="2172">
        <f>CX6+1</f>
        <v>2014</v>
      </c>
      <c r="DC6" s="1828"/>
      <c r="DD6" s="2172"/>
      <c r="DE6" s="2168"/>
      <c r="DF6" s="2172">
        <f>DB6+1</f>
        <v>2015</v>
      </c>
      <c r="DG6" s="1828"/>
      <c r="DH6" s="2172"/>
      <c r="DI6" s="2168"/>
      <c r="DJ6" s="2172">
        <f>DF6+1</f>
        <v>2016</v>
      </c>
      <c r="DK6" s="1828"/>
      <c r="DL6" s="2172"/>
      <c r="DM6" s="2168"/>
      <c r="DN6" s="2172">
        <f>DJ6+1</f>
        <v>2017</v>
      </c>
      <c r="DO6" s="2884"/>
      <c r="DP6" s="2172"/>
      <c r="DQ6" s="2168"/>
      <c r="DR6" s="2173">
        <f>DN6+1</f>
        <v>2018</v>
      </c>
      <c r="DS6" s="1828"/>
      <c r="DT6" s="2172"/>
    </row>
    <row r="7" spans="1:138">
      <c r="BN7" s="161"/>
      <c r="BO7" s="161"/>
      <c r="BP7" s="161"/>
      <c r="BR7" s="161"/>
      <c r="BS7" s="161"/>
      <c r="BT7" s="161"/>
      <c r="BV7" s="161"/>
      <c r="BW7" s="161"/>
      <c r="BX7" s="161"/>
      <c r="BZ7" s="161"/>
      <c r="CA7" s="161"/>
      <c r="CB7" s="161"/>
      <c r="CD7" s="161"/>
      <c r="CE7" s="161"/>
      <c r="CF7" s="161"/>
      <c r="CH7" s="161"/>
      <c r="CI7" s="161"/>
      <c r="CJ7" s="161"/>
      <c r="CL7" s="161"/>
      <c r="CM7" s="161"/>
      <c r="CN7" s="161"/>
      <c r="CP7" s="161"/>
      <c r="CQ7" s="161"/>
      <c r="CR7" s="161"/>
      <c r="CT7" s="161"/>
      <c r="CU7" s="161"/>
      <c r="CV7" s="161"/>
      <c r="CW7" s="2168"/>
      <c r="CX7" s="2168"/>
      <c r="CY7" s="2168"/>
      <c r="CZ7" s="2168"/>
      <c r="DA7" s="2168"/>
      <c r="DB7" s="2168"/>
      <c r="DC7" s="2168"/>
      <c r="DD7" s="2168"/>
      <c r="DE7" s="2168"/>
      <c r="DF7" s="2168"/>
      <c r="DG7" s="2168"/>
      <c r="DH7" s="2168"/>
      <c r="DI7" s="2168"/>
      <c r="DJ7" s="2168"/>
      <c r="DK7" s="2168"/>
      <c r="DL7" s="2168"/>
      <c r="DM7" s="2168"/>
      <c r="DN7" s="2168"/>
      <c r="DO7" s="2168"/>
      <c r="DP7" s="2168"/>
      <c r="DQ7" s="2168"/>
      <c r="DR7" s="2168"/>
      <c r="DS7" s="2168"/>
      <c r="DT7" s="2168"/>
      <c r="DV7" s="1957"/>
      <c r="DX7" s="2174"/>
      <c r="DY7" s="2174"/>
      <c r="DZ7" s="2174"/>
    </row>
    <row r="8" spans="1:138">
      <c r="C8" s="1936"/>
      <c r="D8" s="2175"/>
      <c r="E8" s="1936">
        <f>AH8</f>
        <v>0</v>
      </c>
      <c r="F8" s="2175"/>
      <c r="J8" s="2175"/>
      <c r="N8" s="2175"/>
      <c r="R8" s="2175"/>
      <c r="V8" s="2175"/>
      <c r="Z8" s="2176"/>
      <c r="AA8" s="2177"/>
      <c r="AB8" s="2177"/>
      <c r="AC8" s="2177"/>
      <c r="AD8" s="2176"/>
      <c r="AE8" s="2177"/>
      <c r="AF8" s="2177"/>
      <c r="AG8" s="2177"/>
      <c r="AH8" s="2176"/>
      <c r="AI8" s="2177"/>
      <c r="AJ8" s="2177"/>
      <c r="AK8" s="2177"/>
      <c r="AM8" s="2177"/>
      <c r="AN8" s="2177"/>
      <c r="AO8" s="2177"/>
      <c r="AQ8" s="2177"/>
      <c r="AR8" s="2177"/>
      <c r="AS8" s="2177"/>
      <c r="AU8" s="2177"/>
      <c r="AV8" s="2177"/>
      <c r="AW8" s="2177"/>
      <c r="AY8" s="2177"/>
      <c r="AZ8" s="2177"/>
      <c r="BA8" s="2177"/>
      <c r="BB8" s="2176"/>
      <c r="BC8" s="2177"/>
      <c r="BD8" s="2177"/>
      <c r="BE8" s="2177"/>
      <c r="BF8" s="2176"/>
      <c r="BG8" s="2177"/>
      <c r="BH8" s="2177"/>
      <c r="BI8" s="2177"/>
      <c r="BJ8" s="2176" t="s">
        <v>1273</v>
      </c>
      <c r="BK8" s="2177"/>
      <c r="BL8" s="2177"/>
      <c r="BM8" s="2177"/>
      <c r="BN8" s="2178"/>
      <c r="BO8" s="2179"/>
      <c r="BP8" s="2179"/>
      <c r="BQ8" s="2177"/>
      <c r="BR8" s="2178"/>
      <c r="BS8" s="2179"/>
      <c r="BT8" s="2179"/>
      <c r="BU8" s="2177"/>
      <c r="BW8" s="2179"/>
      <c r="BX8" s="2179"/>
      <c r="BY8" s="2177"/>
      <c r="BZ8" s="2176" t="s">
        <v>1273</v>
      </c>
      <c r="CA8" s="2179"/>
      <c r="CB8" s="2179"/>
      <c r="CC8" s="2177"/>
      <c r="CE8" s="2179"/>
      <c r="CF8" s="2179"/>
      <c r="CG8" s="2177"/>
      <c r="CH8" s="2178"/>
      <c r="CI8" s="2179"/>
      <c r="CM8" s="2179"/>
      <c r="CN8" s="2179"/>
      <c r="CO8" s="2177"/>
      <c r="CP8" s="2178"/>
      <c r="CR8" s="2179"/>
      <c r="CS8" s="2177"/>
      <c r="CT8" s="2176"/>
      <c r="CU8" s="2179"/>
      <c r="CV8" s="2179"/>
      <c r="CW8" s="2168"/>
      <c r="CX8" s="2180" t="s">
        <v>316</v>
      </c>
      <c r="CY8" s="2168"/>
      <c r="CZ8" s="2168"/>
      <c r="DA8" s="2168"/>
      <c r="DB8" s="2168"/>
      <c r="DC8" s="2168"/>
      <c r="DD8" s="2168"/>
      <c r="DE8" s="2168"/>
      <c r="DF8" s="2168"/>
      <c r="DG8" s="2168"/>
      <c r="DH8" s="2168"/>
      <c r="DI8" s="2168"/>
      <c r="DJ8" s="2168"/>
      <c r="DK8" s="2168"/>
      <c r="DL8" s="2168"/>
      <c r="DM8" s="2168"/>
      <c r="DN8" s="2168"/>
      <c r="DO8" s="2168"/>
      <c r="DP8" s="2168"/>
      <c r="DQ8" s="2168"/>
      <c r="DR8" s="2168"/>
      <c r="DS8" s="2168"/>
      <c r="DT8" s="2168"/>
      <c r="DV8" s="2181"/>
      <c r="DW8" s="2177"/>
      <c r="DX8" s="112"/>
      <c r="DZ8" s="112"/>
    </row>
    <row r="9" spans="1:138">
      <c r="BN9" s="161"/>
      <c r="BO9" s="161"/>
      <c r="BP9" s="161"/>
      <c r="BR9" s="161"/>
      <c r="BS9" s="161"/>
      <c r="BT9" s="161"/>
      <c r="BV9" s="161"/>
      <c r="BW9" s="161"/>
      <c r="BX9" s="161"/>
      <c r="BZ9" s="161"/>
      <c r="CA9" s="161"/>
      <c r="CB9" s="161"/>
      <c r="CD9" s="2182"/>
      <c r="CE9" s="161"/>
      <c r="CF9" s="161"/>
      <c r="CH9" s="2182"/>
      <c r="CI9" s="161"/>
      <c r="CJ9" s="161"/>
      <c r="CL9" s="2182"/>
      <c r="CM9" s="161"/>
      <c r="CN9" s="161"/>
      <c r="CP9" s="1957"/>
      <c r="CQ9" s="161"/>
      <c r="CR9" s="161"/>
      <c r="CT9" s="1957"/>
      <c r="CU9" s="161"/>
      <c r="CV9" s="161"/>
      <c r="CW9" s="161"/>
      <c r="CX9" s="161"/>
      <c r="CY9" s="161"/>
      <c r="CZ9" s="161"/>
      <c r="DA9" s="161"/>
      <c r="DB9" s="161"/>
      <c r="DC9" s="161"/>
      <c r="DD9" s="161"/>
      <c r="DE9" s="161"/>
      <c r="DF9" s="161"/>
      <c r="DG9" s="161"/>
      <c r="DH9" s="161"/>
      <c r="DI9" s="161"/>
      <c r="DJ9" s="161"/>
      <c r="DK9" s="161"/>
      <c r="DL9" s="161"/>
      <c r="DM9" s="161"/>
      <c r="DN9" s="161"/>
      <c r="DO9" s="161"/>
      <c r="DP9" s="161"/>
      <c r="DQ9" s="161"/>
      <c r="DR9" s="161"/>
      <c r="DS9" s="161"/>
      <c r="DT9" s="161"/>
      <c r="DV9" s="112"/>
      <c r="DW9" s="112"/>
      <c r="DX9" s="112"/>
      <c r="DZ9" s="112"/>
    </row>
    <row r="10" spans="1:138">
      <c r="A10" s="23" t="s">
        <v>119</v>
      </c>
      <c r="B10" s="23" t="s">
        <v>830</v>
      </c>
      <c r="D10" s="2183">
        <v>964.61699999999996</v>
      </c>
      <c r="E10" s="2184">
        <v>14</v>
      </c>
      <c r="F10" s="2183">
        <v>1107.345</v>
      </c>
      <c r="G10" s="2185">
        <f>(F10/D10-1)*100</f>
        <v>14.796338857805758</v>
      </c>
      <c r="H10" s="2184">
        <v>11</v>
      </c>
      <c r="J10" s="2183">
        <v>1284.482</v>
      </c>
      <c r="K10" s="2185">
        <f t="shared" ref="K10:K16" si="0">(J10/F10-1)*100</f>
        <v>15.996550307266478</v>
      </c>
      <c r="L10" s="2184">
        <v>1</v>
      </c>
      <c r="N10" s="2183">
        <v>1415.625</v>
      </c>
      <c r="O10" s="2185">
        <f t="shared" ref="O10:O16" si="1">(N10/J10-1)*100</f>
        <v>10.209796633973856</v>
      </c>
      <c r="P10" s="2184">
        <v>0</v>
      </c>
      <c r="R10" s="2186">
        <v>1518.5609999999999</v>
      </c>
      <c r="S10" s="2187">
        <f t="shared" ref="S10:S16" si="2">(R10/N10-1)*100</f>
        <v>7.2714172185430304</v>
      </c>
      <c r="T10" s="2184">
        <v>-3</v>
      </c>
      <c r="U10" s="161"/>
      <c r="V10" s="2186">
        <v>1481.6279999999999</v>
      </c>
      <c r="W10" s="2185">
        <f t="shared" ref="W10:W16" si="3">(V10/R10-1)*100</f>
        <v>-2.4321051311076758</v>
      </c>
      <c r="X10" s="2184">
        <v>0</v>
      </c>
      <c r="Z10" s="2183">
        <v>1588.134</v>
      </c>
      <c r="AA10" s="2185">
        <f t="shared" ref="AA10:AA16" si="4">(Z10/V10-1)*100</f>
        <v>7.1884440628821933</v>
      </c>
      <c r="AB10" s="2184">
        <v>-1</v>
      </c>
      <c r="AD10" s="2183">
        <v>1787.943</v>
      </c>
      <c r="AE10" s="2185">
        <f t="shared" ref="AE10:AE16" si="5">(AD10/Z10-1)*100</f>
        <v>12.581369078427883</v>
      </c>
      <c r="AF10" s="2184">
        <v>4</v>
      </c>
      <c r="AH10" s="2183">
        <v>1697.2539999999999</v>
      </c>
      <c r="AI10" s="2188" t="s">
        <v>886</v>
      </c>
      <c r="AJ10" s="2184">
        <v>-4</v>
      </c>
      <c r="AL10" s="2183">
        <v>1805.8440000000001</v>
      </c>
      <c r="AM10" s="2185">
        <f t="shared" ref="AM10:AM16" si="6">(AL10/AH10-1)*100</f>
        <v>6.3979816809976775</v>
      </c>
      <c r="AN10" s="2184">
        <v>8</v>
      </c>
      <c r="AP10" s="2183">
        <v>1568.739</v>
      </c>
      <c r="AQ10" s="2188" t="s">
        <v>886</v>
      </c>
      <c r="AR10" s="2184">
        <v>11</v>
      </c>
      <c r="AT10" s="2183">
        <v>1690.23</v>
      </c>
      <c r="AU10" s="2185">
        <f t="shared" ref="AU10:AU16" si="7">(AT10/AP10-1)*100</f>
        <v>7.7445005192068317</v>
      </c>
      <c r="AV10" s="2184">
        <v>9</v>
      </c>
      <c r="AX10" s="2183">
        <v>1661.8579999999999</v>
      </c>
      <c r="AY10" s="2185">
        <f t="shared" ref="AY10:AY16" si="8">(AX10/AT10-1)*100</f>
        <v>-1.6785881211432763</v>
      </c>
      <c r="AZ10" s="2184">
        <v>-3</v>
      </c>
      <c r="BB10" s="2183">
        <v>1798.7070000000001</v>
      </c>
      <c r="BC10" s="2185">
        <f t="shared" ref="BC10:BC16" si="9">(BB10/AX10-1)*100</f>
        <v>8.234698752841707</v>
      </c>
      <c r="BD10" s="2184">
        <v>4</v>
      </c>
      <c r="BF10" s="2183">
        <v>1842.297</v>
      </c>
      <c r="BG10" s="2185">
        <f t="shared" ref="BG10:BG16" si="10">(BF10/BB10-1)*100</f>
        <v>2.4234074810405515</v>
      </c>
      <c r="BH10" s="2184">
        <v>-1</v>
      </c>
      <c r="BJ10" s="2183">
        <v>1978.203</v>
      </c>
      <c r="BK10" s="2185">
        <f t="shared" ref="BK10:BK16" si="11">(BJ10/BF10-1)*100</f>
        <v>7.3769864468106849</v>
      </c>
      <c r="BL10" s="2184">
        <v>8</v>
      </c>
      <c r="BN10" s="2186">
        <v>1974.932</v>
      </c>
      <c r="BO10" s="2187">
        <f t="shared" ref="BO10:BO16" si="12">(BN10/BJ10-1)*100</f>
        <v>-0.16535208975013704</v>
      </c>
      <c r="BP10" s="2189">
        <v>-5</v>
      </c>
      <c r="BR10" s="2186">
        <v>1974.932</v>
      </c>
      <c r="BS10" s="2187">
        <f>(BR10/BJ10-1)*100</f>
        <v>-0.16535208975013704</v>
      </c>
      <c r="BT10" s="2189">
        <v>-5</v>
      </c>
      <c r="BV10" s="2186">
        <v>2077.0909999999999</v>
      </c>
      <c r="BW10" s="2187">
        <f t="shared" ref="BW10:BW16" si="13">(BV10/BN10-1)*100</f>
        <v>5.1727856959125518</v>
      </c>
      <c r="BX10" s="2189">
        <v>5</v>
      </c>
      <c r="BZ10" s="2186">
        <v>2310.8429999999998</v>
      </c>
      <c r="CA10" s="2187">
        <f>(BZ10/BV10-1)*100</f>
        <v>11.253816034059172</v>
      </c>
      <c r="CB10" s="2189">
        <v>4</v>
      </c>
      <c r="CD10" s="2186">
        <v>1925.0809999999999</v>
      </c>
      <c r="CE10" s="2187">
        <f>(CD10/BZ10-1)*100</f>
        <v>-16.693561613662201</v>
      </c>
      <c r="CF10" s="2189">
        <v>-8</v>
      </c>
      <c r="CH10" s="2186">
        <v>1725.2370000000001</v>
      </c>
      <c r="CI10" s="2187">
        <f>(CH10/CD10-1)*100</f>
        <v>-10.381069679665423</v>
      </c>
      <c r="CJ10" s="2189">
        <v>-7</v>
      </c>
      <c r="CL10" s="2186">
        <v>1931.5360000000001</v>
      </c>
      <c r="CM10" s="2187">
        <f>(CL10/CH10-1)*100</f>
        <v>11.957719432170766</v>
      </c>
      <c r="CN10" s="2189">
        <v>10</v>
      </c>
      <c r="CP10" s="2186">
        <v>2217.0169999999998</v>
      </c>
      <c r="CQ10" s="2187">
        <f>(CP10/CL10-1)*100</f>
        <v>14.779998923136816</v>
      </c>
      <c r="CR10" s="2189">
        <v>15</v>
      </c>
      <c r="CT10" s="2186">
        <v>2153.7840000000001</v>
      </c>
      <c r="CU10" s="2187">
        <f>(CT10/CP10-1)*100</f>
        <v>-2.8521657704924985</v>
      </c>
      <c r="CV10" s="2189">
        <v>7</v>
      </c>
      <c r="CW10" s="2168"/>
      <c r="CX10" s="2186">
        <v>2267.9560000000001</v>
      </c>
      <c r="CY10" s="2187">
        <f>(CX10/CT10-1)*100</f>
        <v>5.3009958287367764</v>
      </c>
      <c r="CZ10" s="2189">
        <v>3</v>
      </c>
      <c r="DA10" s="2168"/>
      <c r="DB10" s="2186">
        <v>2391.23</v>
      </c>
      <c r="DC10" s="2187">
        <f>(DB10/CX10-1)*100</f>
        <v>5.4354670020053231</v>
      </c>
      <c r="DD10" s="2189">
        <v>2</v>
      </c>
      <c r="DE10" s="2168"/>
      <c r="DF10" s="2378">
        <v>2511.9389999999999</v>
      </c>
      <c r="DG10" s="2187">
        <f>(DF10/DB10-1)*100</f>
        <v>5.0479878556224156</v>
      </c>
      <c r="DH10" s="2386">
        <v>5</v>
      </c>
      <c r="DI10" s="2168"/>
      <c r="DJ10" s="2378">
        <v>2613.8150000000001</v>
      </c>
      <c r="DK10" s="2187">
        <f>(DJ10/DF10-1)*100</f>
        <v>4.0556717340668014</v>
      </c>
      <c r="DL10" s="2386">
        <f>mthSales!HA13</f>
        <v>3</v>
      </c>
      <c r="DM10" s="2168"/>
      <c r="DN10" s="2602">
        <v>2436.5230000000001</v>
      </c>
      <c r="DO10" s="2187">
        <f>(DN10/DJ10-1)*100</f>
        <v>-6.7828824916836066</v>
      </c>
      <c r="DP10" s="2601">
        <v>-9</v>
      </c>
      <c r="DQ10" s="2168"/>
      <c r="DR10" s="2774">
        <f>'segSales&amp;OM'!BI244</f>
        <v>2604.2240028011561</v>
      </c>
      <c r="DS10" s="2187">
        <f>(DR10/DN10-1)*100</f>
        <v>6.8827999079489777</v>
      </c>
      <c r="DT10" s="2773">
        <f>mthSales!HM13</f>
        <v>2.3243581195333798</v>
      </c>
      <c r="DU10" s="988"/>
      <c r="DV10"/>
      <c r="DW10" s="2191"/>
      <c r="DX10" s="2192"/>
      <c r="DZ10" s="2192"/>
      <c r="EA10" s="112"/>
      <c r="EB10" s="2193"/>
    </row>
    <row r="11" spans="1:138">
      <c r="A11" s="23" t="s">
        <v>120</v>
      </c>
      <c r="B11" s="23" t="s">
        <v>653</v>
      </c>
      <c r="D11" s="2194">
        <v>990.28399999999999</v>
      </c>
      <c r="E11" s="2184">
        <v>12</v>
      </c>
      <c r="F11" s="2194">
        <v>1154.5619999999999</v>
      </c>
      <c r="G11" s="2185">
        <f t="shared" ref="G11:G16" si="14">(F11/D11-1)*100</f>
        <v>16.588978515254205</v>
      </c>
      <c r="H11" s="2184">
        <v>5</v>
      </c>
      <c r="J11" s="2194">
        <v>1375.1849999999999</v>
      </c>
      <c r="K11" s="2185">
        <f t="shared" si="0"/>
        <v>19.108804897441622</v>
      </c>
      <c r="L11" s="2184">
        <v>6</v>
      </c>
      <c r="N11" s="2194">
        <v>1489.393</v>
      </c>
      <c r="O11" s="2185">
        <f t="shared" si="1"/>
        <v>8.3049189745379781</v>
      </c>
      <c r="P11" s="2184">
        <v>-4</v>
      </c>
      <c r="R11" s="2194">
        <v>1689.0550000000001</v>
      </c>
      <c r="S11" s="2185">
        <f t="shared" si="2"/>
        <v>13.405595433844519</v>
      </c>
      <c r="T11" s="2184">
        <v>4</v>
      </c>
      <c r="V11" s="2194">
        <v>1585.3920000000001</v>
      </c>
      <c r="W11" s="2185">
        <f t="shared" si="3"/>
        <v>-6.137337150063205</v>
      </c>
      <c r="X11" s="2184">
        <v>-6</v>
      </c>
      <c r="Z11" s="2194">
        <v>1718.643</v>
      </c>
      <c r="AA11" s="2185">
        <f t="shared" si="4"/>
        <v>8.40492446032275</v>
      </c>
      <c r="AB11" s="2184">
        <v>0</v>
      </c>
      <c r="AD11" s="2194">
        <v>1895.6010000000001</v>
      </c>
      <c r="AE11" s="2185">
        <f t="shared" si="5"/>
        <v>10.296379178223747</v>
      </c>
      <c r="AF11" s="2184">
        <v>3</v>
      </c>
      <c r="AH11" s="2194">
        <v>1890.979</v>
      </c>
      <c r="AI11" s="2188" t="s">
        <v>886</v>
      </c>
      <c r="AJ11" s="2184">
        <v>0</v>
      </c>
      <c r="AL11" s="2194">
        <v>2000.576</v>
      </c>
      <c r="AM11" s="2185">
        <f t="shared" si="6"/>
        <v>5.7957809155998019</v>
      </c>
      <c r="AN11" s="2184">
        <v>6</v>
      </c>
      <c r="AP11" s="2194">
        <v>1750.606</v>
      </c>
      <c r="AQ11" s="2188" t="s">
        <v>886</v>
      </c>
      <c r="AR11" s="2184">
        <v>10</v>
      </c>
      <c r="AT11" s="2194">
        <v>1842.4359999999999</v>
      </c>
      <c r="AU11" s="2185">
        <f t="shared" si="7"/>
        <v>5.2456120908987991</v>
      </c>
      <c r="AV11" s="2184">
        <v>7</v>
      </c>
      <c r="AX11" s="2194">
        <v>1767.2950000000001</v>
      </c>
      <c r="AY11" s="2185">
        <f t="shared" si="8"/>
        <v>-4.0783506184203899</v>
      </c>
      <c r="AZ11" s="2184">
        <v>-5</v>
      </c>
      <c r="BB11" s="2194">
        <v>1912.4159999999999</v>
      </c>
      <c r="BC11" s="2185">
        <f t="shared" si="9"/>
        <v>8.2114757298583427</v>
      </c>
      <c r="BD11" s="2184">
        <v>4</v>
      </c>
      <c r="BF11" s="2194">
        <v>2014.106</v>
      </c>
      <c r="BG11" s="2185">
        <f t="shared" si="10"/>
        <v>5.3173577296989905</v>
      </c>
      <c r="BH11" s="2184">
        <v>3</v>
      </c>
      <c r="BJ11" s="2194">
        <v>2210.8319999999999</v>
      </c>
      <c r="BK11" s="2185">
        <f t="shared" si="11"/>
        <v>9.7674104540674591</v>
      </c>
      <c r="BL11" s="2184">
        <v>9</v>
      </c>
      <c r="BN11" s="2195">
        <v>2290.9009999999998</v>
      </c>
      <c r="BO11" s="2187">
        <f t="shared" si="12"/>
        <v>3.6216682226419827</v>
      </c>
      <c r="BP11" s="2189">
        <v>0</v>
      </c>
      <c r="BR11" s="2195">
        <v>2290.9009999999998</v>
      </c>
      <c r="BS11" s="2187">
        <f t="shared" ref="BS11:BS16" si="15">(BR11/BJ11-1)*100</f>
        <v>3.6216682226419827</v>
      </c>
      <c r="BT11" s="2189">
        <v>0</v>
      </c>
      <c r="BV11" s="2195">
        <v>2453.8519999999999</v>
      </c>
      <c r="BW11" s="2187">
        <f t="shared" si="13"/>
        <v>7.1129655973785066</v>
      </c>
      <c r="BX11" s="2189">
        <v>5</v>
      </c>
      <c r="BZ11" s="2195">
        <v>2624.0770000000002</v>
      </c>
      <c r="CA11" s="2187">
        <f>(BZ11/BV11-1)*100</f>
        <v>6.9370524383703724</v>
      </c>
      <c r="CB11" s="2189">
        <v>2</v>
      </c>
      <c r="CD11" s="2195">
        <v>2284.3139999999999</v>
      </c>
      <c r="CE11" s="2187">
        <f>(CD11/BZ11-1)*100</f>
        <v>-12.947905111016189</v>
      </c>
      <c r="CF11" s="2189">
        <v>-7</v>
      </c>
      <c r="CH11" s="2195">
        <v>2066.61</v>
      </c>
      <c r="CI11" s="2187">
        <f>(CH11/CD11-1)*100</f>
        <v>-9.5303885542880611</v>
      </c>
      <c r="CJ11" s="2189">
        <v>-9</v>
      </c>
      <c r="CL11" s="2195">
        <v>2242.5100000000002</v>
      </c>
      <c r="CM11" s="2187">
        <f>(CL11/CH11-1)*100</f>
        <v>8.5115237030692903</v>
      </c>
      <c r="CN11" s="2189">
        <v>7</v>
      </c>
      <c r="CP11" s="2195">
        <v>2458.1350000000002</v>
      </c>
      <c r="CQ11" s="2187">
        <f>(CP11/CL11-1)*100</f>
        <v>9.6153417376065207</v>
      </c>
      <c r="CR11" s="2189">
        <v>9</v>
      </c>
      <c r="CT11" s="2195">
        <v>2399.1</v>
      </c>
      <c r="CU11" s="2187">
        <f>(CT11/CP11-1)*100</f>
        <v>-2.4016174864277318</v>
      </c>
      <c r="CV11" s="2189">
        <v>8</v>
      </c>
      <c r="CW11" s="2168"/>
      <c r="CX11" s="2195">
        <v>2515.953</v>
      </c>
      <c r="CY11" s="2187">
        <f>(CX11/CT11-1)*100</f>
        <v>4.8707015130674103</v>
      </c>
      <c r="CZ11" s="2189">
        <v>2</v>
      </c>
      <c r="DA11" s="2168"/>
      <c r="DB11" s="2195">
        <v>2675.3110000000001</v>
      </c>
      <c r="DC11" s="2187">
        <f>(DB11/CX11-1)*100</f>
        <v>6.3339021038946397</v>
      </c>
      <c r="DD11" s="2189">
        <v>3</v>
      </c>
      <c r="DE11" s="2168"/>
      <c r="DF11" s="2195">
        <v>2765.2370000000001</v>
      </c>
      <c r="DG11" s="2187">
        <f>(DF11/DB11-1)*100</f>
        <v>3.3613288324235935</v>
      </c>
      <c r="DH11" s="2386">
        <f>mthSales!GT18</f>
        <v>4</v>
      </c>
      <c r="DI11" s="2168"/>
      <c r="DJ11" s="2195">
        <v>2889.7440000000001</v>
      </c>
      <c r="DK11" s="2187">
        <f>(DJ11/DF11-1)*100</f>
        <v>4.5025797065495698</v>
      </c>
      <c r="DL11" s="2386">
        <f>mthSales!HA18</f>
        <v>3</v>
      </c>
      <c r="DM11" s="2168"/>
      <c r="DN11" s="2692">
        <v>2755.02</v>
      </c>
      <c r="DO11" s="2187">
        <f>(DN11/DJ11-1)*100</f>
        <v>-4.6621430825706467</v>
      </c>
      <c r="DP11" s="2601">
        <v>-8</v>
      </c>
      <c r="DQ11" s="2168"/>
      <c r="DR11" s="2775">
        <f>'segSales&amp;OM'!BI245</f>
        <v>2904.7077276037385</v>
      </c>
      <c r="DS11" s="2187">
        <f>(DR11/DN11-1)*100</f>
        <v>5.4332719037879507</v>
      </c>
      <c r="DT11" s="2773">
        <f>mthSales!HM18</f>
        <v>2.106972222808702</v>
      </c>
      <c r="DU11" s="988"/>
      <c r="DV11"/>
      <c r="DW11" s="2191"/>
      <c r="DZ11" s="2192"/>
      <c r="EA11" s="112"/>
      <c r="EB11" s="2193"/>
    </row>
    <row r="12" spans="1:138">
      <c r="A12" s="23" t="s">
        <v>1018</v>
      </c>
      <c r="B12" s="23" t="s">
        <v>598</v>
      </c>
      <c r="D12" s="2194">
        <v>1110.4490000000001</v>
      </c>
      <c r="E12" s="2184">
        <v>6</v>
      </c>
      <c r="F12" s="2194">
        <v>1247.893</v>
      </c>
      <c r="G12" s="2185">
        <f t="shared" si="14"/>
        <v>12.377335654316401</v>
      </c>
      <c r="H12" s="2184">
        <v>-1</v>
      </c>
      <c r="J12" s="2194">
        <v>1433.412</v>
      </c>
      <c r="K12" s="2185">
        <f t="shared" si="0"/>
        <v>14.86657910574063</v>
      </c>
      <c r="L12" s="2184">
        <v>2</v>
      </c>
      <c r="N12" s="2194">
        <v>1611.32</v>
      </c>
      <c r="O12" s="2185">
        <f t="shared" si="1"/>
        <v>12.411504856942734</v>
      </c>
      <c r="P12" s="2184">
        <v>2</v>
      </c>
      <c r="R12" s="2194">
        <v>1616.6669999999999</v>
      </c>
      <c r="S12" s="2185">
        <f t="shared" si="2"/>
        <v>0.33183973388277721</v>
      </c>
      <c r="T12" s="2184">
        <v>1</v>
      </c>
      <c r="V12" s="2194">
        <v>1715.1759999999999</v>
      </c>
      <c r="W12" s="2185">
        <f t="shared" si="3"/>
        <v>6.0933389498270207</v>
      </c>
      <c r="X12" s="2184">
        <v>-2</v>
      </c>
      <c r="Z12" s="2194">
        <v>1803.2950000000001</v>
      </c>
      <c r="AA12" s="2185">
        <f t="shared" si="4"/>
        <v>5.1376068694991117</v>
      </c>
      <c r="AB12" s="2184">
        <v>-3</v>
      </c>
      <c r="AD12" s="2194">
        <v>1994.9860000000001</v>
      </c>
      <c r="AE12" s="2185">
        <f t="shared" si="5"/>
        <v>10.630041119173516</v>
      </c>
      <c r="AF12" s="2184">
        <v>4</v>
      </c>
      <c r="AH12" s="2194">
        <v>1835.0550000000001</v>
      </c>
      <c r="AI12" s="2188" t="s">
        <v>886</v>
      </c>
      <c r="AJ12" s="2184">
        <v>-2</v>
      </c>
      <c r="AL12" s="2194">
        <v>1902.59</v>
      </c>
      <c r="AM12" s="2185">
        <f t="shared" si="6"/>
        <v>3.6802711635345986</v>
      </c>
      <c r="AN12" s="2184">
        <v>5</v>
      </c>
      <c r="AP12" s="2194">
        <v>1582.3869999999999</v>
      </c>
      <c r="AQ12" s="2188" t="s">
        <v>886</v>
      </c>
      <c r="AR12" s="2184">
        <v>9</v>
      </c>
      <c r="AT12" s="2194">
        <v>1715.9559999999999</v>
      </c>
      <c r="AU12" s="2185">
        <f t="shared" si="7"/>
        <v>8.440981883698484</v>
      </c>
      <c r="AV12" s="2184">
        <v>8</v>
      </c>
      <c r="AX12" s="2194">
        <v>1659.335</v>
      </c>
      <c r="AY12" s="2185">
        <f t="shared" si="8"/>
        <v>-3.2996766816864698</v>
      </c>
      <c r="AZ12" s="2184">
        <v>-7</v>
      </c>
      <c r="BB12" s="2194">
        <v>1767.5650000000001</v>
      </c>
      <c r="BC12" s="2185">
        <f t="shared" si="9"/>
        <v>6.5224924442623067</v>
      </c>
      <c r="BD12" s="2184">
        <v>4</v>
      </c>
      <c r="BF12" s="2194">
        <v>1846.77</v>
      </c>
      <c r="BG12" s="2185">
        <f t="shared" si="10"/>
        <v>4.481023328703615</v>
      </c>
      <c r="BH12" s="2184">
        <v>2</v>
      </c>
      <c r="BJ12" s="2194">
        <v>1890.855</v>
      </c>
      <c r="BK12" s="2187">
        <f>(BJ12/BF12-1)*100</f>
        <v>2.3871407917607446</v>
      </c>
      <c r="BL12" s="2184">
        <v>1</v>
      </c>
      <c r="BN12" s="2195">
        <v>1891.5509999999999</v>
      </c>
      <c r="BO12" s="2187">
        <f t="shared" si="12"/>
        <v>3.6808745250160868E-2</v>
      </c>
      <c r="BP12" s="2189">
        <v>-3</v>
      </c>
      <c r="BR12" s="2195">
        <v>1891.5509999999999</v>
      </c>
      <c r="BS12" s="2187">
        <f t="shared" si="15"/>
        <v>3.6808745250160868E-2</v>
      </c>
      <c r="BT12" s="2189">
        <v>-3</v>
      </c>
      <c r="BV12" s="2195">
        <v>2114.9540000000002</v>
      </c>
      <c r="BW12" s="2187">
        <f t="shared" si="13"/>
        <v>11.810572382135099</v>
      </c>
      <c r="BX12" s="2189">
        <v>10</v>
      </c>
      <c r="BZ12" s="2195">
        <v>1923.104</v>
      </c>
      <c r="CA12" s="2187">
        <f>(BZ12/BV12-1)*100</f>
        <v>-9.0711192772987115</v>
      </c>
      <c r="CB12" s="2189">
        <v>-3</v>
      </c>
      <c r="CD12" s="2195">
        <v>1842.184</v>
      </c>
      <c r="CE12" s="2187">
        <f>(CD12/BZ12-1)*100</f>
        <v>-4.2077807544469774</v>
      </c>
      <c r="CF12" s="2189">
        <v>-7</v>
      </c>
      <c r="CH12" s="2195">
        <v>1777.289</v>
      </c>
      <c r="CI12" s="2187">
        <f>(CH12/CD12-1)*100</f>
        <v>-3.522720857417061</v>
      </c>
      <c r="CJ12" s="2189">
        <v>-2</v>
      </c>
      <c r="CL12" s="2195">
        <v>1983.3720000000001</v>
      </c>
      <c r="CM12" s="2187">
        <f>(CL12/CH12-1)*100</f>
        <v>11.595356748396025</v>
      </c>
      <c r="CN12" s="2189">
        <v>10</v>
      </c>
      <c r="CP12" s="2195">
        <v>2173.42</v>
      </c>
      <c r="CQ12" s="2187">
        <f>(CP12/CL12-1)*100</f>
        <v>9.5820652908279449</v>
      </c>
      <c r="CR12" s="2189">
        <v>9</v>
      </c>
      <c r="CT12" s="2195">
        <v>2050.1889999999999</v>
      </c>
      <c r="CU12" s="2187">
        <f>(CT12/CP12-1)*100</f>
        <v>-5.6699119360271055</v>
      </c>
      <c r="CV12" s="2189">
        <v>5</v>
      </c>
      <c r="CW12" s="2168"/>
      <c r="CX12" s="2195">
        <v>2171.087</v>
      </c>
      <c r="CY12" s="2187">
        <f>(CX12/CT12-1)*100</f>
        <v>5.8969197473988988</v>
      </c>
      <c r="CZ12" s="2189">
        <v>3</v>
      </c>
      <c r="DA12" s="2168"/>
      <c r="DB12" s="2195">
        <v>2318.8510000000001</v>
      </c>
      <c r="DC12" s="2187">
        <f>(DB12/CX12-1)*100</f>
        <v>6.8059916530291087</v>
      </c>
      <c r="DD12" s="2189">
        <v>5</v>
      </c>
      <c r="DE12" s="2168"/>
      <c r="DF12" s="2195">
        <v>2481.5749999999998</v>
      </c>
      <c r="DG12" s="2187">
        <f>(DF12/DB12-1)*100</f>
        <v>7.0174409653746439</v>
      </c>
      <c r="DH12" s="2517">
        <f>mthSales!GT23</f>
        <v>7</v>
      </c>
      <c r="DI12" s="2168"/>
      <c r="DJ12" s="2195">
        <v>2580.9789999999998</v>
      </c>
      <c r="DK12" s="2187">
        <f>(DJ12/DF12-1)*100</f>
        <v>4.0056818754218515</v>
      </c>
      <c r="DL12" s="2551">
        <f>mthSales!HA23</f>
        <v>2</v>
      </c>
      <c r="DM12" s="2168"/>
      <c r="DN12" s="2692">
        <v>2617.7840000000001</v>
      </c>
      <c r="DO12" s="2187">
        <f>(DN12/DJ12-1)*100</f>
        <v>1.4260092778747957</v>
      </c>
      <c r="DP12" s="2601">
        <v>-1</v>
      </c>
      <c r="DQ12" s="2168"/>
      <c r="DR12" s="2775">
        <f>'segSales&amp;OM'!BI246</f>
        <v>2769.886125786235</v>
      </c>
      <c r="DS12" s="2187">
        <f>(DR12/DN12-1)*100</f>
        <v>5.8103390419620204</v>
      </c>
      <c r="DT12" s="2773">
        <f>mthSales!HM23</f>
        <v>2.4935549770768137</v>
      </c>
      <c r="DU12" s="2882"/>
      <c r="DV12" s="2351"/>
      <c r="DW12" s="2191"/>
      <c r="DX12" s="2192"/>
      <c r="DZ12" s="2192"/>
      <c r="EA12" s="112"/>
      <c r="EB12" s="2193"/>
    </row>
    <row r="13" spans="1:138">
      <c r="A13" s="23" t="s">
        <v>1019</v>
      </c>
      <c r="B13" s="23" t="s">
        <v>601</v>
      </c>
      <c r="C13" s="139"/>
      <c r="D13" s="2197">
        <f>4647.916-D12-D11-D10</f>
        <v>1582.566</v>
      </c>
      <c r="E13" s="2184">
        <v>7</v>
      </c>
      <c r="F13" s="2197">
        <v>1743.7090000000001</v>
      </c>
      <c r="G13" s="2185">
        <f t="shared" si="14"/>
        <v>10.182387338032029</v>
      </c>
      <c r="H13" s="2184">
        <v>-1</v>
      </c>
      <c r="J13" s="2197">
        <f>6149.218-J12-J11-J10</f>
        <v>2056.1389999999997</v>
      </c>
      <c r="K13" s="2185">
        <f t="shared" si="0"/>
        <v>17.917553903776362</v>
      </c>
      <c r="L13" s="2184">
        <v>3</v>
      </c>
      <c r="N13" s="2197">
        <f>6944.296-N12-N11-N10</f>
        <v>2427.9580000000005</v>
      </c>
      <c r="O13" s="2185">
        <f t="shared" si="1"/>
        <v>18.083359150329859</v>
      </c>
      <c r="P13" s="2184">
        <v>8</v>
      </c>
      <c r="R13" s="2197">
        <f>7245.088-R12-R11-R10</f>
        <v>2420.8050000000003</v>
      </c>
      <c r="S13" s="2185">
        <f t="shared" si="2"/>
        <v>-0.29460970906417527</v>
      </c>
      <c r="T13" s="2184">
        <v>-4</v>
      </c>
      <c r="V13" s="2197">
        <f>7320.792-V12-V11-V10</f>
        <v>2538.5960000000005</v>
      </c>
      <c r="W13" s="2185">
        <f t="shared" si="3"/>
        <v>4.8657781192619876</v>
      </c>
      <c r="X13" s="2184">
        <v>-4</v>
      </c>
      <c r="Z13" s="2197">
        <v>2771.3649999999998</v>
      </c>
      <c r="AA13" s="2185">
        <f t="shared" si="4"/>
        <v>9.1692021889264517</v>
      </c>
      <c r="AB13" s="2184">
        <v>-4</v>
      </c>
      <c r="AD13" s="2197">
        <v>2966.261</v>
      </c>
      <c r="AE13" s="2185">
        <f t="shared" si="5"/>
        <v>7.0324912092055714</v>
      </c>
      <c r="AF13" s="2184">
        <v>3</v>
      </c>
      <c r="AH13" s="2197">
        <v>2943.4470000000001</v>
      </c>
      <c r="AI13" s="2188" t="s">
        <v>886</v>
      </c>
      <c r="AJ13" s="2184">
        <v>5</v>
      </c>
      <c r="AL13" s="2197">
        <v>3127.5709999999999</v>
      </c>
      <c r="AM13" s="2185">
        <f t="shared" si="6"/>
        <v>6.2553869663696915</v>
      </c>
      <c r="AN13" s="2184">
        <v>6</v>
      </c>
      <c r="AP13" s="2197">
        <v>2718.904</v>
      </c>
      <c r="AQ13" s="2188" t="s">
        <v>886</v>
      </c>
      <c r="AR13" s="2184">
        <v>5</v>
      </c>
      <c r="AT13" s="2197">
        <v>2901.1509999999998</v>
      </c>
      <c r="AU13" s="2185">
        <f t="shared" si="7"/>
        <v>6.7029582508245866</v>
      </c>
      <c r="AV13" s="2184">
        <v>1</v>
      </c>
      <c r="AX13" s="2197">
        <v>2838.9450000000002</v>
      </c>
      <c r="AY13" s="2185">
        <f t="shared" si="8"/>
        <v>-2.1441834637355939</v>
      </c>
      <c r="AZ13" s="2184">
        <v>-1</v>
      </c>
      <c r="BB13" s="2197">
        <v>2965.9659999999999</v>
      </c>
      <c r="BC13" s="2185">
        <f t="shared" si="9"/>
        <v>4.474232505384923</v>
      </c>
      <c r="BD13" s="2189">
        <v>0</v>
      </c>
      <c r="BF13" s="2197">
        <v>3230.9180000000001</v>
      </c>
      <c r="BG13" s="2185">
        <f t="shared" si="10"/>
        <v>8.9330761040416604</v>
      </c>
      <c r="BH13" s="2189">
        <v>8</v>
      </c>
      <c r="BJ13" s="2197">
        <v>3328.422</v>
      </c>
      <c r="BK13" s="2185">
        <f t="shared" si="11"/>
        <v>3.0178419879427487</v>
      </c>
      <c r="BL13" s="2184">
        <v>2</v>
      </c>
      <c r="BN13" s="2198">
        <v>3511.1750000000002</v>
      </c>
      <c r="BO13" s="2187">
        <f t="shared" si="12"/>
        <v>5.4906799678646534</v>
      </c>
      <c r="BP13" s="2189">
        <v>3</v>
      </c>
      <c r="BR13" s="2198">
        <f>3511.175+30.409</f>
        <v>3541.5840000000003</v>
      </c>
      <c r="BS13" s="2187">
        <f t="shared" si="15"/>
        <v>6.4042960898587964</v>
      </c>
      <c r="BT13" s="2189">
        <v>3</v>
      </c>
      <c r="BV13" s="2198">
        <v>4024.7020000000002</v>
      </c>
      <c r="BW13" s="2187">
        <f t="shared" si="13"/>
        <v>14.625502858729632</v>
      </c>
      <c r="BX13" s="2189">
        <v>8</v>
      </c>
      <c r="BZ13" s="2198">
        <f>3276.181-47.837</f>
        <v>3228.3440000000001</v>
      </c>
      <c r="CA13" s="2187">
        <f>(BZ13/BV13-1)*100</f>
        <v>-19.786756882869838</v>
      </c>
      <c r="CB13" s="2189">
        <v>-8</v>
      </c>
      <c r="CD13" s="2198">
        <v>2991.1019999999999</v>
      </c>
      <c r="CE13" s="2187">
        <f>(CD13/BZ13-1)*100</f>
        <v>-7.3487212019537012</v>
      </c>
      <c r="CF13" s="2189">
        <v>-10</v>
      </c>
      <c r="CH13" s="2198">
        <v>3063.3519999999999</v>
      </c>
      <c r="CI13" s="2187">
        <f>(CH13/CD13-1)*100</f>
        <v>2.415497699510083</v>
      </c>
      <c r="CJ13" s="2189">
        <v>1</v>
      </c>
      <c r="CL13" s="2198">
        <v>3455.86</v>
      </c>
      <c r="CM13" s="2187">
        <f>(CL13/CH13-1)*100</f>
        <v>12.813023119772083</v>
      </c>
      <c r="CN13" s="2189">
        <v>10</v>
      </c>
      <c r="CP13" s="2198">
        <v>3515.4259999999999</v>
      </c>
      <c r="CQ13" s="2187">
        <f>(CP13/CL13-1)*100</f>
        <v>1.7236230634342764</v>
      </c>
      <c r="CR13" s="2189">
        <v>7.1</v>
      </c>
      <c r="CT13" s="2198">
        <v>3855.5830000000001</v>
      </c>
      <c r="CU13" s="2187">
        <f>(CT13/CP13-1)*100</f>
        <v>9.6761246005462773</v>
      </c>
      <c r="CV13" s="2189">
        <f>mthSales!GC28</f>
        <v>5</v>
      </c>
      <c r="CW13" s="2168"/>
      <c r="CX13" s="2198">
        <v>3818.2020000000002</v>
      </c>
      <c r="CY13" s="2187">
        <f>(CX13/CT13-1)*100</f>
        <v>-0.96952912179558703</v>
      </c>
      <c r="CZ13" s="2189">
        <v>1</v>
      </c>
      <c r="DA13" s="2168"/>
      <c r="DB13" s="2354">
        <v>4068.6849999999999</v>
      </c>
      <c r="DC13" s="2187">
        <f>(DB13/CX13-1)*100</f>
        <v>6.5602343720944978</v>
      </c>
      <c r="DD13" s="2386">
        <v>6</v>
      </c>
      <c r="DE13" s="2168"/>
      <c r="DF13" s="2536">
        <v>4395.0389999999998</v>
      </c>
      <c r="DG13" s="2187">
        <f>(DF13/DB13-1)*100</f>
        <v>8.0211173880504241</v>
      </c>
      <c r="DH13" s="2517">
        <f>mthSales!GT28</f>
        <v>6</v>
      </c>
      <c r="DI13" s="2168"/>
      <c r="DJ13" s="2536">
        <v>4489.4830000000002</v>
      </c>
      <c r="DK13" s="2187">
        <f>(DJ13/DF13-1)*100</f>
        <v>2.1488774047283776</v>
      </c>
      <c r="DL13" s="2517">
        <f>mthSales!HA28</f>
        <v>0</v>
      </c>
      <c r="DM13" s="2168"/>
      <c r="DN13" s="2865">
        <v>4823.1000000000004</v>
      </c>
      <c r="DO13" s="2187">
        <f>(DN13/DJ13-1)*100</f>
        <v>7.4310783669299996</v>
      </c>
      <c r="DP13" s="2601">
        <v>2</v>
      </c>
      <c r="DQ13" s="2168"/>
      <c r="DR13" s="2776">
        <f>'segSales&amp;OM'!BI247</f>
        <v>4867.3540057542778</v>
      </c>
      <c r="DS13" s="2187">
        <f>(DR13/DN13-1)*100</f>
        <v>0.91754277859212863</v>
      </c>
      <c r="DT13" s="2773">
        <f>mthSales!HM28</f>
        <v>1.9552233969749644</v>
      </c>
      <c r="DU13" s="2882"/>
      <c r="DV13" s="2351"/>
      <c r="DW13" s="2191"/>
      <c r="DX13" s="2192"/>
      <c r="DZ13" s="2192"/>
      <c r="EA13" s="112"/>
      <c r="EB13" s="2193"/>
    </row>
    <row r="14" spans="1:138">
      <c r="B14" s="23" t="s">
        <v>1020</v>
      </c>
      <c r="D14" s="1854">
        <f>SUM(D10:D13)</f>
        <v>4647.9160000000002</v>
      </c>
      <c r="E14" s="2184">
        <v>9</v>
      </c>
      <c r="F14" s="1854">
        <f>SUM(F10:F13)</f>
        <v>5253.509</v>
      </c>
      <c r="G14" s="2185">
        <f t="shared" si="14"/>
        <v>13.029344764406247</v>
      </c>
      <c r="H14" s="2184">
        <v>3</v>
      </c>
      <c r="J14" s="1854">
        <f>SUM(J10:J13)</f>
        <v>6149.2179999999989</v>
      </c>
      <c r="K14" s="2185">
        <f t="shared" si="0"/>
        <v>17.049728096021145</v>
      </c>
      <c r="L14" s="2184">
        <v>3</v>
      </c>
      <c r="N14" s="1854">
        <f>SUM(N10:N13)</f>
        <v>6944.2960000000003</v>
      </c>
      <c r="O14" s="2185">
        <f t="shared" si="1"/>
        <v>12.929741635440495</v>
      </c>
      <c r="P14" s="2184">
        <v>2</v>
      </c>
      <c r="R14" s="1854">
        <f>SUM(R10:R13)</f>
        <v>7245.0879999999997</v>
      </c>
      <c r="S14" s="2185">
        <f t="shared" si="2"/>
        <v>4.3314973900882014</v>
      </c>
      <c r="T14" s="2184">
        <v>-1</v>
      </c>
      <c r="V14" s="1854">
        <f>SUM(V10:V13)</f>
        <v>7320.7920000000004</v>
      </c>
      <c r="W14" s="2185">
        <f t="shared" si="3"/>
        <v>1.0449010419197213</v>
      </c>
      <c r="X14" s="2184">
        <v>-3</v>
      </c>
      <c r="Z14" s="1854">
        <f>SUM(Z10:Z13)</f>
        <v>7881.4369999999999</v>
      </c>
      <c r="AA14" s="2185">
        <f t="shared" si="4"/>
        <v>7.6582561012524364</v>
      </c>
      <c r="AB14" s="2184">
        <v>-2</v>
      </c>
      <c r="AD14" s="1854">
        <f>SUM(AD10:AD13)</f>
        <v>8644.7909999999993</v>
      </c>
      <c r="AE14" s="2185">
        <f t="shared" si="5"/>
        <v>9.6854672567959312</v>
      </c>
      <c r="AF14" s="2184">
        <v>3</v>
      </c>
      <c r="AH14" s="1854">
        <f>SUM(AH10:AH13)</f>
        <v>8366.7350000000006</v>
      </c>
      <c r="AI14" s="2188" t="s">
        <v>886</v>
      </c>
      <c r="AJ14" s="2184">
        <v>0</v>
      </c>
      <c r="AL14" s="1854">
        <f>SUM(AL10:AL13)</f>
        <v>8836.5810000000001</v>
      </c>
      <c r="AM14" s="2185">
        <f t="shared" si="6"/>
        <v>5.6156433782114545</v>
      </c>
      <c r="AN14" s="2184">
        <v>6</v>
      </c>
      <c r="AP14" s="1854">
        <f>SUM(AP10:AP13)</f>
        <v>7620.6360000000004</v>
      </c>
      <c r="AQ14" s="2188" t="s">
        <v>886</v>
      </c>
      <c r="AR14" s="2184">
        <v>8</v>
      </c>
      <c r="AT14" s="1854">
        <f>SUM(AT10:AT13)</f>
        <v>8149.7730000000001</v>
      </c>
      <c r="AU14" s="2185">
        <f t="shared" si="7"/>
        <v>6.9434755839276274</v>
      </c>
      <c r="AV14" s="2184">
        <v>5</v>
      </c>
      <c r="AX14" s="1854">
        <f>SUM(AX10:AX13)</f>
        <v>7927.4330000000009</v>
      </c>
      <c r="AY14" s="2185">
        <f t="shared" si="8"/>
        <v>-2.7281741466909426</v>
      </c>
      <c r="AZ14" s="2184">
        <v>-3</v>
      </c>
      <c r="BB14" s="1854">
        <f>SUM(BB10:BB13)</f>
        <v>8444.6540000000005</v>
      </c>
      <c r="BC14" s="2185">
        <f t="shared" si="9"/>
        <v>6.5244449243531788</v>
      </c>
      <c r="BD14" s="2184">
        <v>3</v>
      </c>
      <c r="BF14" s="1854">
        <f>SUM(BF10:BF13)</f>
        <v>8934.0910000000003</v>
      </c>
      <c r="BG14" s="2185">
        <f t="shared" si="10"/>
        <v>5.7958206458192274</v>
      </c>
      <c r="BH14" s="2184">
        <v>4</v>
      </c>
      <c r="BJ14" s="1854">
        <f>SUM(BJ10:BJ13)</f>
        <v>9408.3119999999999</v>
      </c>
      <c r="BK14" s="2185">
        <f t="shared" si="11"/>
        <v>5.3079938406716431</v>
      </c>
      <c r="BL14" s="2184">
        <v>4</v>
      </c>
      <c r="BN14" s="1855">
        <f>SUM(BN10:BN13)</f>
        <v>9668.5590000000011</v>
      </c>
      <c r="BO14" s="2187">
        <f t="shared" si="12"/>
        <v>2.7661391331410101</v>
      </c>
      <c r="BP14" s="2200">
        <f>+qtrSales!F128</f>
        <v>-1</v>
      </c>
      <c r="BR14" s="1855">
        <f>SUM(BR10:BR13)</f>
        <v>9698.9680000000008</v>
      </c>
      <c r="BS14" s="2187">
        <f t="shared" si="15"/>
        <v>3.0893533292688513</v>
      </c>
      <c r="BT14" s="2189">
        <v>-1</v>
      </c>
      <c r="BV14" s="1855">
        <f>SUM(BV10:BV13)</f>
        <v>10670.598999999998</v>
      </c>
      <c r="BW14" s="2187">
        <f t="shared" si="13"/>
        <v>10.363902211280895</v>
      </c>
      <c r="BX14" s="2189">
        <v>7</v>
      </c>
      <c r="BZ14" s="1855">
        <f>SUM(BZ10:BZ13)</f>
        <v>10086.368</v>
      </c>
      <c r="CA14" s="2187">
        <f>(BZ14/BV14-1)*100</f>
        <v>-5.4751471777732208</v>
      </c>
      <c r="CB14" s="2189">
        <v>-2</v>
      </c>
      <c r="CD14" s="1855">
        <f>SUM(CD10:CD13)</f>
        <v>9042.6810000000005</v>
      </c>
      <c r="CE14" s="2187">
        <f>(CD14/BZ14-1)*100</f>
        <v>-10.347500705903256</v>
      </c>
      <c r="CF14" s="2189">
        <v>-9</v>
      </c>
      <c r="CH14" s="1855">
        <f>SUM(CH10:CH13)</f>
        <v>8632.4880000000012</v>
      </c>
      <c r="CI14" s="2187">
        <f>(CH14/CD14-1)*100</f>
        <v>-4.5361878849867532</v>
      </c>
      <c r="CJ14" s="2189">
        <v>-4</v>
      </c>
      <c r="CL14" s="1855">
        <f>SUM(CL10:CL13)</f>
        <v>9613.2780000000002</v>
      </c>
      <c r="CM14" s="2187">
        <f>(CL14/CH14-1)*100</f>
        <v>11.361614403634256</v>
      </c>
      <c r="CN14" s="2189">
        <v>9</v>
      </c>
      <c r="CP14" s="1855">
        <f>SUM(CP10:CP13)</f>
        <v>10363.998</v>
      </c>
      <c r="CQ14" s="2187">
        <f>(CP14/CL14-1)*100</f>
        <v>7.8091989017689878</v>
      </c>
      <c r="CR14" s="2200">
        <f>qtrSales!F170</f>
        <v>9.5188161934013529</v>
      </c>
      <c r="CT14" s="2196">
        <f>'segSales&amp;OM'!BI206</f>
        <v>10458.652000000002</v>
      </c>
      <c r="CU14" s="2187">
        <f>(CT14/CP14-1)*100</f>
        <v>0.91329620094486863</v>
      </c>
      <c r="CV14" s="2189">
        <v>6</v>
      </c>
      <c r="CW14" s="2168"/>
      <c r="CX14" s="2196">
        <f>+'segSales&amp;OM'!BI213</f>
        <v>10773.210999999998</v>
      </c>
      <c r="CY14" s="2187">
        <f>(CX14/CT14-1)*100</f>
        <v>3.0076438149007734</v>
      </c>
      <c r="CZ14" s="2189">
        <v>2</v>
      </c>
      <c r="DA14" s="2168"/>
      <c r="DB14" s="1770">
        <f>+'segSales&amp;OM'!BI220</f>
        <v>11454.060000000001</v>
      </c>
      <c r="DC14" s="2187">
        <f>(DB14/CX14-1)*100</f>
        <v>6.3198335203868528</v>
      </c>
      <c r="DD14" s="2386">
        <v>4</v>
      </c>
      <c r="DE14" s="2168"/>
      <c r="DF14" s="1770">
        <f>'segSales&amp;OM'!BI227</f>
        <v>12153.786</v>
      </c>
      <c r="DG14" s="2187">
        <f>(DF14/DB14-1)*100</f>
        <v>6.1089779519227116</v>
      </c>
      <c r="DH14" s="2386">
        <v>5</v>
      </c>
      <c r="DI14" s="2168"/>
      <c r="DJ14" s="1770">
        <f>'segSales&amp;OM'!BI234</f>
        <v>12574.142000000002</v>
      </c>
      <c r="DK14" s="2187">
        <f>(DJ14/DF14-1)*100</f>
        <v>3.4586424345467437</v>
      </c>
      <c r="DL14" s="2386">
        <f>qtrSales!F205</f>
        <v>2.0243884366354767</v>
      </c>
      <c r="DM14" s="2168"/>
      <c r="DN14" s="1770">
        <f>'segSales&amp;OM'!BI241</f>
        <v>12632.304</v>
      </c>
      <c r="DO14" s="2187">
        <f>(DN14/DJ14-1)*100</f>
        <v>0.46255243498918297</v>
      </c>
      <c r="DP14" s="2601">
        <v>-3</v>
      </c>
      <c r="DQ14" s="2168"/>
      <c r="DR14" s="2777">
        <f>'segSales&amp;OM'!BI248</f>
        <v>13146.171861945406</v>
      </c>
      <c r="DS14" s="2187">
        <f>(DR14/DN14-1)*100</f>
        <v>4.0678870770162412</v>
      </c>
      <c r="DT14" s="2773">
        <f>qtrSales!F219</f>
        <v>2.1757017117429367</v>
      </c>
      <c r="DU14"/>
      <c r="DV14" s="2190"/>
      <c r="EA14" s="2219"/>
      <c r="EB14" s="1854"/>
      <c r="ED14" s="2219"/>
      <c r="EE14" s="18"/>
    </row>
    <row r="15" spans="1:138" hidden="1" outlineLevel="1">
      <c r="A15" s="1881" t="s">
        <v>1021</v>
      </c>
      <c r="B15" s="1881"/>
      <c r="D15" s="1899">
        <f>SUM(D10:D11)</f>
        <v>1954.9009999999998</v>
      </c>
      <c r="E15" s="2201">
        <f>((D10/D15)*E10)+((D11/D15)*E11)</f>
        <v>12.986870434871127</v>
      </c>
      <c r="F15" s="1899">
        <f>SUM(F10:F11)</f>
        <v>2261.9070000000002</v>
      </c>
      <c r="G15" s="2185">
        <f t="shared" si="14"/>
        <v>15.70442697609753</v>
      </c>
      <c r="H15" s="2201">
        <f>((F10/F15)*H10)+((F11/F15)*H11)</f>
        <v>7.9373754093338036</v>
      </c>
      <c r="J15" s="1899">
        <f>SUM(J10:J11)</f>
        <v>2659.6669999999999</v>
      </c>
      <c r="K15" s="2185">
        <f t="shared" si="0"/>
        <v>17.58516154731382</v>
      </c>
      <c r="L15" s="2201">
        <f>((J10/J15)*L10)+((J11/J15)*L11)</f>
        <v>3.5852578537087543</v>
      </c>
      <c r="N15" s="1899">
        <f>SUM(N10:N11)</f>
        <v>2905.018</v>
      </c>
      <c r="O15" s="2185">
        <f t="shared" si="1"/>
        <v>9.2248766480916622</v>
      </c>
      <c r="P15" s="2201">
        <f>((N10/N15)*P10)+((N11/N15)*P11)</f>
        <v>-2.0507866044203511</v>
      </c>
      <c r="R15" s="1899">
        <f>SUM(R10:R11)</f>
        <v>3207.616</v>
      </c>
      <c r="S15" s="2185">
        <f t="shared" si="2"/>
        <v>10.416389846809903</v>
      </c>
      <c r="T15" s="2201">
        <f>((R10/R15)*T10)+((R11/R15)*T11)</f>
        <v>0.68603504908318191</v>
      </c>
      <c r="V15" s="1899">
        <f>SUM(V10:V11)</f>
        <v>3067.02</v>
      </c>
      <c r="W15" s="2185">
        <f t="shared" si="3"/>
        <v>-4.3831930006584363</v>
      </c>
      <c r="X15" s="2201">
        <f>((V10/V15)*X10)+((V11/V15)*X11)</f>
        <v>-3.1014965666999239</v>
      </c>
      <c r="Z15" s="1899">
        <f>SUM(Z10:Z11)</f>
        <v>3306.777</v>
      </c>
      <c r="AA15" s="2185">
        <f t="shared" si="4"/>
        <v>7.8172623589021217</v>
      </c>
      <c r="AB15" s="2201">
        <f>((Z10/Z15)*AB10)+((Z11/Z15)*AB11)</f>
        <v>-0.48026643465827906</v>
      </c>
      <c r="AD15" s="1899">
        <f>SUM(AD10:AD11)</f>
        <v>3683.5439999999999</v>
      </c>
      <c r="AE15" s="2185">
        <f t="shared" si="5"/>
        <v>11.393783130824975</v>
      </c>
      <c r="AF15" s="2201">
        <f>((AD10/AD15)*AF10)+((AD11/AD15)*AF11)</f>
        <v>3.4853866276607528</v>
      </c>
      <c r="AH15" s="1899">
        <f>SUM(AH10:AH11)</f>
        <v>3588.2330000000002</v>
      </c>
      <c r="AI15" s="2188" t="s">
        <v>886</v>
      </c>
      <c r="AJ15" s="2201">
        <f>((AH10/AH15)*AJ10)+((AH11/AH15)*AJ11)</f>
        <v>-1.8920220621124657</v>
      </c>
      <c r="AL15" s="1899">
        <f>SUM(AL10:AL11)</f>
        <v>3806.42</v>
      </c>
      <c r="AM15" s="2185">
        <f t="shared" si="6"/>
        <v>6.0806251990882298</v>
      </c>
      <c r="AN15" s="2201">
        <f>((AL10/AL15)*AN10)+((AL11/AL15)*AN11)</f>
        <v>6.9488411683419056</v>
      </c>
      <c r="AP15" s="1899">
        <f>SUM(AP10:AP11)</f>
        <v>3319.3450000000003</v>
      </c>
      <c r="AQ15" s="2188" t="s">
        <v>886</v>
      </c>
      <c r="AR15" s="2201">
        <f>((AP10/AP15)*AR10)+((AP11/AP15)*AR11)</f>
        <v>10.47260498682722</v>
      </c>
      <c r="AT15" s="1899">
        <f>SUM(AT10:AT11)</f>
        <v>3532.6660000000002</v>
      </c>
      <c r="AU15" s="2185">
        <f t="shared" si="7"/>
        <v>6.4265992236420155</v>
      </c>
      <c r="AV15" s="2201">
        <f>((AT10/AT15)*AV10)+((AT11/AT15)*AV11)</f>
        <v>7.9569146927561221</v>
      </c>
      <c r="AX15" s="1899">
        <f>SUM(AX10:AX11)</f>
        <v>3429.1530000000002</v>
      </c>
      <c r="AY15" s="2185">
        <f t="shared" si="8"/>
        <v>-2.9301666220355904</v>
      </c>
      <c r="AZ15" s="2201">
        <f>((AX10/AX15)*AZ10)+((AX11/AX15)*AZ11)</f>
        <v>-4.0307472428322679</v>
      </c>
      <c r="BB15" s="1899">
        <f>SUM(BB10:BB11)</f>
        <v>3711.123</v>
      </c>
      <c r="BC15" s="2185">
        <f t="shared" si="9"/>
        <v>8.2227302193865306</v>
      </c>
      <c r="BD15" s="2201">
        <f>((BB10/BB15)*BD10)+((BB11/BB15)*BD11)</f>
        <v>4</v>
      </c>
      <c r="BF15" s="1899">
        <f>SUM(BF10:BF11)</f>
        <v>3856.4030000000002</v>
      </c>
      <c r="BG15" s="2185">
        <f t="shared" si="10"/>
        <v>3.9147179977597091</v>
      </c>
      <c r="BH15" s="2201">
        <f>((BF10/BF15)*BH10)+((BF11/BF15)*BH11)</f>
        <v>1.0891032394695261</v>
      </c>
      <c r="BJ15" s="1899">
        <f>SUM(BJ10:BJ11)</f>
        <v>4189.0349999999999</v>
      </c>
      <c r="BK15" s="2185">
        <f t="shared" si="11"/>
        <v>8.6254470811271347</v>
      </c>
      <c r="BL15" s="2201">
        <f>((BJ10/BJ15)*BL10)+((BJ11/BJ15)*BL11)</f>
        <v>8.5277664187575422</v>
      </c>
      <c r="BN15" s="2202">
        <f>SUM(BN10:BN11)</f>
        <v>4265.8329999999996</v>
      </c>
      <c r="BO15" s="2187">
        <f t="shared" si="12"/>
        <v>1.8333100582831108</v>
      </c>
      <c r="BP15" s="2200">
        <f>((BN10/BN15)*BP10)+((BN11/BN15)*BP11)</f>
        <v>-2.3148257327466877</v>
      </c>
      <c r="BR15" s="2202">
        <f>SUM(BR10:BR11)</f>
        <v>4265.8329999999996</v>
      </c>
      <c r="BS15" s="2187">
        <f t="shared" si="15"/>
        <v>1.8333100582831108</v>
      </c>
      <c r="BT15" s="2200">
        <f>((BR10/BR15)*BT10)+((BR11/BR15)*BT11)</f>
        <v>-2.3148257327466877</v>
      </c>
      <c r="BV15" s="2202">
        <f>SUM(BV10:BV11)</f>
        <v>4530.9429999999993</v>
      </c>
      <c r="BW15" s="2187">
        <f t="shared" si="13"/>
        <v>6.2147299249642352</v>
      </c>
      <c r="BX15" s="2200">
        <f>((BV10/BV15)*BX10)+((BV11/BV15)*BX11)</f>
        <v>5.0000000000000009</v>
      </c>
      <c r="BZ15" s="2202">
        <f>SUM(BZ10:BZ11)</f>
        <v>4934.92</v>
      </c>
      <c r="CA15" s="2187">
        <f>(BZ15/BR15-1)*100</f>
        <v>15.684791223660199</v>
      </c>
      <c r="CB15" s="2200">
        <f>((BZ10/BZ15)*CB10)+((BZ11/BZ15)*CB11)</f>
        <v>2.9365270358992648</v>
      </c>
      <c r="CD15" s="2202">
        <f>SUM(CD10:CD11)</f>
        <v>4209.3949999999995</v>
      </c>
      <c r="CE15" s="2187">
        <f>(CD15/BV15-1)*100</f>
        <v>-7.0967125386481307</v>
      </c>
      <c r="CF15" s="2200">
        <f>((CD10/CD15)*CF10)+((CD11/CD15)*CF11)</f>
        <v>-7.4573296162512674</v>
      </c>
      <c r="CH15" s="2202">
        <f>SUM(CH10:CH11)</f>
        <v>3791.8470000000002</v>
      </c>
      <c r="CI15" s="2187">
        <f>(CH15/BZ15-1)*100</f>
        <v>-23.162948943447915</v>
      </c>
      <c r="CJ15" s="2200">
        <f>((CH10/CH15)*CJ10)+((CH11/CH15)*CJ11)</f>
        <v>-8.090028157781683</v>
      </c>
      <c r="CL15" s="2202">
        <f>SUM(CL10:CL11)</f>
        <v>4174.0460000000003</v>
      </c>
      <c r="CM15" s="2187">
        <f>(CL15/CD15-1)*100</f>
        <v>-0.83976438419296473</v>
      </c>
      <c r="CN15" s="2200">
        <f>((CL10/CL15)*CN10)+((CL11/CL15)*CN11)</f>
        <v>8.388247278539815</v>
      </c>
      <c r="CP15" s="2202">
        <f>SUM(CP10:CP11)</f>
        <v>4675.152</v>
      </c>
      <c r="CQ15" s="2187">
        <f>(CP15/CH15-1)*100</f>
        <v>23.294848130739453</v>
      </c>
      <c r="CR15" s="2200">
        <f>((CP10/CP15)*CR10)+((CP11/CP15)*CR11)</f>
        <v>11.845276902226921</v>
      </c>
      <c r="CT15" s="2196">
        <f>SUM(CT10:CT11)</f>
        <v>4552.884</v>
      </c>
      <c r="CU15" s="2187">
        <f>(CT15/CL15-1)*100</f>
        <v>9.0760379737070416</v>
      </c>
      <c r="CV15" s="2200">
        <f>((CT10/CT15)*CV10)+((CT11/CT15)*CV11)</f>
        <v>7.5269407259222945</v>
      </c>
      <c r="CW15" s="2200"/>
      <c r="CX15" s="2196">
        <f>SUM(CX10:CX11)</f>
        <v>4783.9089999999997</v>
      </c>
      <c r="CY15" s="2187">
        <f>(CX15/CP15-1)*100</f>
        <v>2.3262773060640507</v>
      </c>
      <c r="CZ15" s="2200">
        <f>((CX10/CX15)*CZ10)+((CX11/CX15)*CZ11)</f>
        <v>2.4740800880618758</v>
      </c>
      <c r="DA15" s="2200"/>
      <c r="DB15" s="2196">
        <f>SUM(DB10:DB11)</f>
        <v>5066.5410000000002</v>
      </c>
      <c r="DC15" s="2187">
        <f>(DB15/CT15-1)*100</f>
        <v>11.282013774126476</v>
      </c>
      <c r="DD15" s="2200">
        <f>((DB10/DB15)*DD10)+((DB11/DB15)*DD11)</f>
        <v>2.5280350045524158</v>
      </c>
      <c r="DE15" s="2200"/>
      <c r="DF15" s="2196">
        <f>SUM(DF10:DF11)</f>
        <v>5277.1759999999995</v>
      </c>
      <c r="DG15" s="2187">
        <f>(DF15/CX15-1)*100</f>
        <v>10.310961182581014</v>
      </c>
      <c r="DH15" s="2200">
        <f>((DF10/DF15)*DH10)+((DF11/DF15)*DH11)</f>
        <v>4.4760006109328181</v>
      </c>
      <c r="DI15" s="2200"/>
      <c r="DJ15" s="2196">
        <f>SUM(DJ10:DJ11)</f>
        <v>5503.5590000000002</v>
      </c>
      <c r="DK15" s="2187">
        <f>(DJ15/DB15-1)*100</f>
        <v>8.6255691999729258</v>
      </c>
      <c r="DL15" s="2200">
        <f>((DJ10/DJ15)*DL10)+((DJ11/DJ15)*DL11)</f>
        <v>3</v>
      </c>
      <c r="DM15" s="2200"/>
      <c r="DN15" s="2196">
        <f>SUM(DN10:DN11)</f>
        <v>5191.5429999999997</v>
      </c>
      <c r="DO15" s="2187">
        <f>(DN15/DF15-1)*100</f>
        <v>-1.6227050225347761</v>
      </c>
      <c r="DP15" s="2200">
        <f>((DN10/DN15)*DP10)+((DN11/DN15)*DP11)</f>
        <v>-8.4693254009453458</v>
      </c>
      <c r="DQ15" s="2200"/>
      <c r="DR15" s="2767">
        <f>'segSales&amp;OM'!BI249</f>
        <v>0</v>
      </c>
      <c r="DS15" s="2187">
        <f>(DR15/DJ15-1)*100</f>
        <v>-100</v>
      </c>
      <c r="DT15" s="2200" t="e">
        <f>((DR10/DR15)*DT10)+((DR11/DR15)*DT11)</f>
        <v>#DIV/0!</v>
      </c>
      <c r="DU15"/>
      <c r="ED15" s="2219">
        <f t="shared" ref="ED15:ED16" si="16">+EA15-EB15</f>
        <v>0</v>
      </c>
      <c r="EE15" s="18" t="e">
        <f t="shared" ref="EE15:EE16" si="17">+ED15/EA15</f>
        <v>#DIV/0!</v>
      </c>
    </row>
    <row r="16" spans="1:138" hidden="1" outlineLevel="1">
      <c r="A16" s="1881" t="s">
        <v>1022</v>
      </c>
      <c r="B16" s="1881"/>
      <c r="D16" s="1899">
        <f>SUM(D10:D12)</f>
        <v>3065.35</v>
      </c>
      <c r="E16" s="2201">
        <f>((D11/D16)*E11)+((D12/D16)*E12)</f>
        <v>6.0502396137472072</v>
      </c>
      <c r="F16" s="1899">
        <f>SUM(F10:F12)</f>
        <v>3509.8</v>
      </c>
      <c r="G16" s="2185">
        <f t="shared" si="14"/>
        <v>14.499159965419949</v>
      </c>
      <c r="H16" s="2201">
        <f>((F12/F16)*H12)+((F15/F16)*H15)</f>
        <v>4.7597333181377843</v>
      </c>
      <c r="J16" s="1899">
        <f>SUM(J10:J12)</f>
        <v>4093.0789999999997</v>
      </c>
      <c r="K16" s="2185">
        <f t="shared" si="0"/>
        <v>16.618582255399161</v>
      </c>
      <c r="L16" s="2201">
        <f>((J12/J16)*L12)+((J15/J16)*L15)</f>
        <v>3.0300944594521635</v>
      </c>
      <c r="N16" s="1899">
        <f>SUM(N10:N12)</f>
        <v>4516.3379999999997</v>
      </c>
      <c r="O16" s="2185">
        <f t="shared" si="1"/>
        <v>10.340846096544931</v>
      </c>
      <c r="P16" s="2201">
        <f>((N12/N16)*P12)+((N15/N16)*P15)</f>
        <v>-0.60556406539988816</v>
      </c>
      <c r="R16" s="1899">
        <f>SUM(R10:R12)</f>
        <v>4824.2829999999994</v>
      </c>
      <c r="S16" s="2185">
        <f t="shared" si="2"/>
        <v>6.8184666426649221</v>
      </c>
      <c r="T16" s="2201">
        <f>((R12/R16)*T12)+((R15/R16)*T15)</f>
        <v>0.79124794295857015</v>
      </c>
      <c r="V16" s="1899">
        <f>SUM(V10:V12)</f>
        <v>4782.1959999999999</v>
      </c>
      <c r="W16" s="2185">
        <f t="shared" si="3"/>
        <v>-0.8723990694575634</v>
      </c>
      <c r="X16" s="2201">
        <f>((V12/V16)*X12)+((V15/V16)*X15)</f>
        <v>-2.7064352862157888</v>
      </c>
      <c r="Z16" s="1899">
        <f>SUM(Z10:Z12)</f>
        <v>5110.0720000000001</v>
      </c>
      <c r="AA16" s="2185">
        <f t="shared" si="4"/>
        <v>6.8561807169760458</v>
      </c>
      <c r="AB16" s="2201">
        <f>((Z12/Z16)*AB12)+((Z15/Z16)*AB15)</f>
        <v>-1.3694560468032544</v>
      </c>
      <c r="AD16" s="1899">
        <f>SUM(AD10:AD12)</f>
        <v>5678.53</v>
      </c>
      <c r="AE16" s="2185">
        <f t="shared" si="5"/>
        <v>11.12426595946201</v>
      </c>
      <c r="AF16" s="2201">
        <f>((AD12/AD16)*AF12)+((AD15/AD16)*AF15)</f>
        <v>3.6661810362893217</v>
      </c>
      <c r="AH16" s="1899">
        <f>SUM(AH10:AH12)</f>
        <v>5423.2880000000005</v>
      </c>
      <c r="AI16" s="2188" t="s">
        <v>886</v>
      </c>
      <c r="AJ16" s="2201">
        <f>((AH12/AH16)*AJ12)+((AH15/AH16)*AJ15)</f>
        <v>-1.9285580998095619</v>
      </c>
      <c r="AL16" s="1899">
        <f>SUM(AL10:AL12)</f>
        <v>5709.01</v>
      </c>
      <c r="AM16" s="2185">
        <f t="shared" si="6"/>
        <v>5.268427566450451</v>
      </c>
      <c r="AN16" s="2201">
        <f>((AL12/AL16)*AN12)+((AL15/AL16)*AN15)</f>
        <v>6.2993685420064072</v>
      </c>
      <c r="AP16" s="1899">
        <f>SUM(AP10:AP12)</f>
        <v>4901.732</v>
      </c>
      <c r="AQ16" s="2188" t="s">
        <v>886</v>
      </c>
      <c r="AR16" s="2201">
        <f>((AP12/AP16)*AR12)+((AP15/AP16)*AR15)</f>
        <v>9.9972156780501251</v>
      </c>
      <c r="AT16" s="1899">
        <f>SUM(AT10:AT12)</f>
        <v>5248.6220000000003</v>
      </c>
      <c r="AU16" s="2185">
        <f t="shared" si="7"/>
        <v>7.0768862924370568</v>
      </c>
      <c r="AV16" s="2201">
        <f>((AT12/AT16)*AV12)+((AT15/AT16)*AV15)</f>
        <v>7.9710007693447915</v>
      </c>
      <c r="AX16" s="1899">
        <f>SUM(AX10:AX12)</f>
        <v>5088.4880000000003</v>
      </c>
      <c r="AY16" s="2185">
        <f t="shared" si="8"/>
        <v>-3.050972236141225</v>
      </c>
      <c r="AZ16" s="2201">
        <f>((AX12/AX16)*AZ12)+((AX15/AX16)*AZ15)</f>
        <v>-4.9990083498280828</v>
      </c>
      <c r="BB16" s="1899">
        <f>SUM(BB10:BB12)</f>
        <v>5478.6880000000001</v>
      </c>
      <c r="BC16" s="2185">
        <f t="shared" si="9"/>
        <v>7.6682896766190556</v>
      </c>
      <c r="BD16" s="2201">
        <f>((BB12/BB16)*BD12)+((BB15/BB16)*BD15)</f>
        <v>4</v>
      </c>
      <c r="BF16" s="1899">
        <f>SUM(BF10:BF12)</f>
        <v>5703.1730000000007</v>
      </c>
      <c r="BG16" s="2185">
        <f t="shared" si="10"/>
        <v>4.0974225946065923</v>
      </c>
      <c r="BH16" s="2201">
        <f>((BF12/BF16)*BH12)+((BF15/BF16)*BH15)</f>
        <v>1.3840648004189946</v>
      </c>
      <c r="BJ16" s="1899">
        <f>SUM(BJ10:BJ12)</f>
        <v>6079.8899999999994</v>
      </c>
      <c r="BK16" s="2185">
        <f t="shared" si="11"/>
        <v>6.6053931732388049</v>
      </c>
      <c r="BL16" s="2201">
        <f>((BJ12/BJ16)*BL12)+((BJ15/BJ16)*BL15)</f>
        <v>6.1866196592372562</v>
      </c>
      <c r="BN16" s="2202">
        <f>SUM(BN10:BN12)</f>
        <v>6157.384</v>
      </c>
      <c r="BO16" s="2187">
        <f t="shared" si="12"/>
        <v>1.2745954285357186</v>
      </c>
      <c r="BP16" s="2200">
        <f>((BN12/BN16)*BP12)+((BN15/BN16)*BP15)</f>
        <v>-2.5253115608836478</v>
      </c>
      <c r="BR16" s="2202">
        <f>SUM(BR10:BR12)</f>
        <v>6157.384</v>
      </c>
      <c r="BS16" s="2187">
        <f t="shared" si="15"/>
        <v>1.2745954285357186</v>
      </c>
      <c r="BT16" s="2200">
        <f>((BR12/BR16)*BT12)+((BR15/BR16)*BT15)</f>
        <v>-2.5253115608836478</v>
      </c>
      <c r="BV16" s="2202">
        <f>SUM(BV10:BV12)</f>
        <v>6645.896999999999</v>
      </c>
      <c r="BW16" s="2187">
        <f t="shared" si="13"/>
        <v>7.9337751226819631</v>
      </c>
      <c r="BX16" s="2200">
        <f>((BV12/BV16)*BX12)+((BV15/BV16)*BX15)</f>
        <v>6.5911727190475586</v>
      </c>
      <c r="BZ16" s="2202">
        <f>SUM(BZ10:BZ12)</f>
        <v>6858.0240000000003</v>
      </c>
      <c r="CA16" s="2187">
        <f>(BZ16/BR16-1)*100</f>
        <v>11.378858294366578</v>
      </c>
      <c r="CB16" s="2200">
        <f>((BZ12/BZ16)*CB12)+((BZ15/BZ16)*CB15)</f>
        <v>1.2718261120112735</v>
      </c>
      <c r="CD16" s="2202">
        <f>SUM(CD10:CD12)</f>
        <v>6051.5789999999997</v>
      </c>
      <c r="CE16" s="2187">
        <f>(CD16/BV16-1)*100</f>
        <v>-8.9426303176230348</v>
      </c>
      <c r="CF16" s="2200">
        <f>((CD12/CD16)*CF12)+((CD15/CD16)*CF15)</f>
        <v>-7.318112181961105</v>
      </c>
      <c r="CH16" s="2202">
        <f>SUM(CH10:CH12)</f>
        <v>5569.1360000000004</v>
      </c>
      <c r="CI16" s="2187">
        <f>(CH16/BZ16-1)*100</f>
        <v>-18.793868321254049</v>
      </c>
      <c r="CJ16" s="2200">
        <f>((CH12/CH16)*CJ12)+((CH15/CH16)*CJ15)</f>
        <v>-6.1465058493813052</v>
      </c>
      <c r="CL16" s="2202">
        <f>SUM(CL10:CL12)</f>
        <v>6157.4180000000006</v>
      </c>
      <c r="CM16" s="2187">
        <f>(CL16/CD16-1)*100</f>
        <v>1.7489484975739433</v>
      </c>
      <c r="CN16" s="2200">
        <f>((CL12/CL16)*CN12)+((CL15/CL16)*CN15)</f>
        <v>8.9074105412366027</v>
      </c>
      <c r="CP16" s="2202">
        <f>SUM(CP10:CP12)</f>
        <v>6848.5720000000001</v>
      </c>
      <c r="CQ16" s="2187">
        <f>(CP16/CH16-1)*100</f>
        <v>22.973689276038513</v>
      </c>
      <c r="CR16" s="2200">
        <f>((CP12/CP16)*CR12)+((CP15/CP16)*CR15)</f>
        <v>10.942317610152887</v>
      </c>
      <c r="CT16" s="2196">
        <f>SUM(CT10:CT12)</f>
        <v>6603.0730000000003</v>
      </c>
      <c r="CU16" s="2187">
        <f>(CT16/CL16-1)*100</f>
        <v>7.2376928121494988</v>
      </c>
      <c r="CV16" s="2200">
        <f>((CT12/CT16)*CV12)+((CT15/CT16)*CV15)</f>
        <v>6.7423505691970993</v>
      </c>
      <c r="CW16" s="2200"/>
      <c r="CX16" s="2196">
        <f>SUM(CX10:CX12)</f>
        <v>6954.9959999999992</v>
      </c>
      <c r="CY16" s="2187">
        <f>(CX16/CP16-1)*100</f>
        <v>1.5539589859024483</v>
      </c>
      <c r="CZ16" s="2200">
        <f>((CX12/CX16)*CZ12)+((CX15/CX16)*CZ15)</f>
        <v>2.6382524159611309</v>
      </c>
      <c r="DA16" s="2200"/>
      <c r="DB16" s="2196">
        <f>SUM(DB10:DB12)</f>
        <v>7385.3919999999998</v>
      </c>
      <c r="DC16" s="2187">
        <f>(DB16/CT16-1)*100</f>
        <v>11.847801773507571</v>
      </c>
      <c r="DD16" s="2200">
        <f>((DB12/DB16)*DD12)+((DB15/DB16)*DD15)</f>
        <v>3.3041777606388401</v>
      </c>
      <c r="DE16" s="2200"/>
      <c r="DF16" s="2196">
        <f>SUM(DF10:DF12)</f>
        <v>7758.7509999999993</v>
      </c>
      <c r="DG16" s="2187">
        <f>(DF16/CX16-1)*100</f>
        <v>11.556512757160476</v>
      </c>
      <c r="DH16" s="2200">
        <f>((DF12/DF16)*DH12)+((DF15/DF16)*DH15)</f>
        <v>5.2832818065691249</v>
      </c>
      <c r="DI16" s="2200"/>
      <c r="DJ16" s="2196">
        <f>SUM(DJ10:DJ12)</f>
        <v>8084.5380000000005</v>
      </c>
      <c r="DK16" s="2187">
        <f>(DJ16/DB16-1)*100</f>
        <v>9.4666065118818477</v>
      </c>
      <c r="DL16" s="2200">
        <f>((DJ12/DJ16)*DL12)+((DJ15/DJ16)*DL15)</f>
        <v>2.6807512068098389</v>
      </c>
      <c r="DM16" s="2200"/>
      <c r="DN16" s="2196">
        <f>SUM(DN10:DN12)</f>
        <v>7809.3269999999993</v>
      </c>
      <c r="DO16" s="2187">
        <f>(DN16/DF16-1)*100</f>
        <v>0.65185749613565491</v>
      </c>
      <c r="DP16" s="2200">
        <f>((DN12/DN16)*DP12)+((DN15/DN16)*DP15)</f>
        <v>-5.9655141857934755</v>
      </c>
      <c r="DQ16" s="2200"/>
      <c r="DR16" s="2767">
        <f>'segSales&amp;OM'!BI250</f>
        <v>0</v>
      </c>
      <c r="DS16" s="2187">
        <f>(DR16/DJ16-1)*100</f>
        <v>-100</v>
      </c>
      <c r="DT16" s="2200" t="e">
        <f>((DR12/DR16)*DT12)+((DR15/DR16)*DT15)</f>
        <v>#DIV/0!</v>
      </c>
      <c r="DU16"/>
      <c r="ED16" s="2219">
        <f t="shared" si="16"/>
        <v>0</v>
      </c>
      <c r="EE16" s="18" t="e">
        <f t="shared" si="17"/>
        <v>#DIV/0!</v>
      </c>
    </row>
    <row r="17" spans="1:135" collapsed="1">
      <c r="BN17" s="161"/>
      <c r="BO17" s="161"/>
      <c r="BP17" s="161"/>
      <c r="BR17" s="161"/>
      <c r="BS17" s="161"/>
      <c r="BT17" s="161"/>
      <c r="BV17" s="161"/>
      <c r="BW17" s="161"/>
      <c r="BX17" s="161"/>
      <c r="BZ17" s="1175"/>
      <c r="CA17" s="161"/>
      <c r="CB17" s="161"/>
      <c r="CD17" s="1175"/>
      <c r="CE17" s="161"/>
      <c r="CF17" s="161"/>
      <c r="CH17" s="2203"/>
      <c r="CI17" s="161"/>
      <c r="CJ17" s="161"/>
      <c r="CL17" s="2203"/>
      <c r="CM17" s="161"/>
      <c r="CN17" s="161"/>
      <c r="CP17" s="1921"/>
      <c r="CQ17" s="161"/>
      <c r="CR17" s="161"/>
      <c r="CT17" s="1175"/>
      <c r="CU17" s="161"/>
      <c r="CV17" s="161"/>
      <c r="CW17" s="161"/>
      <c r="CX17" s="2204"/>
      <c r="CY17" s="161"/>
      <c r="CZ17" s="161"/>
      <c r="DA17" s="161"/>
      <c r="DD17" s="161"/>
      <c r="DE17" s="161"/>
      <c r="DF17" s="1175"/>
      <c r="DG17" s="161"/>
      <c r="DH17" s="161"/>
      <c r="DI17" s="161"/>
      <c r="DJ17" s="2571"/>
      <c r="DK17" s="161"/>
      <c r="DL17"/>
      <c r="DM17" s="161"/>
      <c r="DN17" s="481"/>
      <c r="DO17" s="161"/>
      <c r="DP17" s="161"/>
      <c r="DQ17" s="161"/>
      <c r="DR17" s="481"/>
      <c r="DS17" s="161"/>
      <c r="DT17" s="161"/>
      <c r="EA17" s="2219"/>
      <c r="EB17" s="1854"/>
      <c r="ED17" s="2219"/>
      <c r="EE17" s="18"/>
    </row>
    <row r="18" spans="1:135">
      <c r="C18" s="1936"/>
      <c r="D18" s="2175"/>
      <c r="E18" s="1936">
        <f>AH18</f>
        <v>0</v>
      </c>
      <c r="F18" s="2175"/>
      <c r="J18" s="2175"/>
      <c r="N18" s="2175"/>
      <c r="R18" s="2175"/>
      <c r="V18" s="2175"/>
      <c r="Z18" s="2176"/>
      <c r="AA18" s="2177"/>
      <c r="AB18" s="2177"/>
      <c r="AC18" s="2177"/>
      <c r="AD18" s="2176"/>
      <c r="AE18" s="2177"/>
      <c r="AF18" s="2177"/>
      <c r="AG18" s="2177"/>
      <c r="AH18" s="2176"/>
      <c r="AI18" s="2177"/>
      <c r="AJ18" s="2177"/>
      <c r="AK18" s="2177"/>
      <c r="AM18" s="2177"/>
      <c r="AN18" s="2177"/>
      <c r="AO18" s="2177"/>
      <c r="AP18" s="2176"/>
      <c r="AQ18" s="2177"/>
      <c r="AR18" s="2177"/>
      <c r="AS18" s="2177"/>
      <c r="AT18" s="2176"/>
      <c r="AU18" s="2177"/>
      <c r="AV18" s="2177"/>
      <c r="AW18" s="2177"/>
      <c r="AX18" s="2176"/>
      <c r="AY18" s="2177"/>
      <c r="AZ18" s="2177"/>
      <c r="BA18" s="2177"/>
      <c r="BB18" s="2176"/>
      <c r="BC18" s="2177"/>
      <c r="BD18" s="2177"/>
      <c r="BE18" s="2177"/>
      <c r="BF18" s="2176"/>
      <c r="BG18" s="2177"/>
      <c r="BH18" s="2177"/>
      <c r="BI18" s="2177"/>
      <c r="BJ18" s="2205"/>
      <c r="BK18" s="2177"/>
      <c r="BL18" s="2177"/>
      <c r="BM18" s="2177"/>
      <c r="BN18" s="2206"/>
      <c r="BO18" s="2179"/>
      <c r="BP18" s="2179"/>
      <c r="BQ18" s="2177"/>
      <c r="BR18" s="2207"/>
      <c r="BS18" s="2179"/>
      <c r="BT18" s="2179"/>
      <c r="BU18" s="2177"/>
      <c r="BV18" s="2208"/>
      <c r="BW18" s="2178"/>
      <c r="BX18" s="2179"/>
      <c r="BY18" s="2177"/>
      <c r="BZ18" s="2209"/>
      <c r="CA18" s="2179"/>
      <c r="CB18" s="2179"/>
      <c r="CC18" s="2177"/>
      <c r="CD18" s="2209"/>
      <c r="CE18" s="2179"/>
      <c r="CF18" s="2179"/>
      <c r="CG18" s="2177"/>
      <c r="CH18" s="2209"/>
      <c r="CI18" s="2179"/>
      <c r="CL18" s="2209"/>
      <c r="CM18" s="2179"/>
      <c r="CN18" s="2179"/>
      <c r="CO18" s="2177"/>
      <c r="CP18" s="2209"/>
      <c r="CQ18" s="2179"/>
      <c r="CR18" s="2179"/>
      <c r="CS18" s="2177"/>
      <c r="CT18" s="2209"/>
      <c r="CU18" s="2179"/>
      <c r="CV18" s="2179"/>
      <c r="CW18" s="2179"/>
      <c r="CX18" s="2210" t="s">
        <v>1030</v>
      </c>
      <c r="CY18" s="2179"/>
      <c r="CZ18" s="2179"/>
      <c r="DA18" s="2179"/>
      <c r="DB18" s="2211"/>
      <c r="DC18" s="2179"/>
      <c r="DD18" s="2179"/>
      <c r="DE18" s="2179"/>
      <c r="DF18" s="2211"/>
      <c r="DG18" s="2179"/>
      <c r="DH18" s="2179"/>
      <c r="DI18" s="2179"/>
      <c r="DJ18" s="2571"/>
      <c r="DK18" s="2179"/>
      <c r="DL18" s="2179"/>
      <c r="DM18" s="2179"/>
      <c r="DN18" s="2813"/>
      <c r="DO18" s="2179"/>
      <c r="DP18" s="2179"/>
      <c r="DQ18" s="2179"/>
      <c r="DR18" s="2813"/>
      <c r="DS18" s="2179"/>
      <c r="DT18" s="2179"/>
      <c r="DU18" s="2177"/>
    </row>
    <row r="19" spans="1:135">
      <c r="AQ19" s="2177"/>
      <c r="AR19" s="2177"/>
      <c r="AS19" s="2177"/>
      <c r="AU19" s="2177"/>
      <c r="AV19" s="2177"/>
      <c r="AW19" s="2177"/>
      <c r="AY19" s="2177"/>
      <c r="AZ19" s="2177"/>
      <c r="BA19" s="2177"/>
      <c r="BB19" s="2176"/>
      <c r="BC19" s="2177"/>
      <c r="BD19" s="2177"/>
      <c r="BE19" s="2177"/>
      <c r="BF19" s="2177"/>
      <c r="BG19" s="2177"/>
      <c r="BH19" s="2177"/>
      <c r="BI19" s="2177"/>
      <c r="BJ19" s="2176" t="s">
        <v>1030</v>
      </c>
      <c r="BK19" s="2177"/>
      <c r="BL19" s="2177"/>
      <c r="BM19" s="2177"/>
      <c r="BN19" s="2179"/>
      <c r="BO19" s="2179"/>
      <c r="BP19" s="2179"/>
      <c r="BQ19" s="2177"/>
      <c r="BR19" s="2179"/>
      <c r="BS19" s="2179"/>
      <c r="BT19" s="2179"/>
      <c r="BU19" s="2177"/>
      <c r="BV19" s="2176" t="s">
        <v>1030</v>
      </c>
      <c r="BW19" s="2179"/>
      <c r="BX19" s="2179"/>
      <c r="BY19" s="2177"/>
      <c r="CA19" s="2179"/>
      <c r="CB19" s="2179"/>
      <c r="CC19" s="2177"/>
      <c r="CD19" s="2179"/>
      <c r="CE19" s="2179"/>
      <c r="CF19" s="2179"/>
      <c r="CG19" s="2177"/>
      <c r="CH19" s="2179"/>
      <c r="CJ19" s="2179"/>
      <c r="CK19" s="2177"/>
      <c r="CL19" s="2179"/>
      <c r="CM19" s="2179"/>
      <c r="CN19" s="2179"/>
      <c r="CO19" s="2177"/>
      <c r="CP19" s="2179"/>
      <c r="CQ19" s="2179"/>
      <c r="CR19" s="2179"/>
      <c r="CS19" s="2177"/>
      <c r="CT19" s="2179"/>
      <c r="CU19" s="2179"/>
      <c r="CV19" s="2179"/>
      <c r="CW19" s="2179"/>
      <c r="CX19" s="2179"/>
      <c r="CY19" s="2179"/>
      <c r="CZ19" s="2179"/>
      <c r="DA19" s="2179"/>
      <c r="DB19" s="2179"/>
      <c r="DC19" s="2179"/>
      <c r="DD19" s="2179"/>
      <c r="DE19" s="2179"/>
      <c r="DF19" s="2179"/>
      <c r="DG19" s="2179"/>
      <c r="DH19" s="2179"/>
      <c r="DI19" s="2179"/>
      <c r="DJ19" s="2179"/>
      <c r="DK19" s="2179"/>
      <c r="DL19" s="2179"/>
      <c r="DM19" s="2179"/>
      <c r="DN19" s="2814"/>
      <c r="DO19" s="2179"/>
      <c r="DP19" s="2179"/>
      <c r="DQ19" s="2179"/>
      <c r="DR19" s="2179"/>
      <c r="DS19" s="2179"/>
      <c r="DT19" s="2179"/>
      <c r="DU19" s="2177"/>
      <c r="DV19" s="2212"/>
    </row>
    <row r="20" spans="1:135">
      <c r="A20" s="23" t="str">
        <f>$A$10</f>
        <v>1Q</v>
      </c>
      <c r="B20" s="23" t="str">
        <f>$B$10</f>
        <v>Apr</v>
      </c>
      <c r="D20" s="2183">
        <v>686.26599999999996</v>
      </c>
      <c r="E20" s="2213"/>
      <c r="F20" s="2183">
        <v>781.62099999999998</v>
      </c>
      <c r="G20" s="2213">
        <f t="shared" ref="G20:G26" si="18">((F10-F20)/F10)*100</f>
        <v>29.414861673642818</v>
      </c>
      <c r="J20" s="2183">
        <v>941.83299999999997</v>
      </c>
      <c r="K20" s="2213">
        <f t="shared" ref="K20:K26" si="19">((J10-J20)/J10)*100</f>
        <v>26.676045285181111</v>
      </c>
      <c r="N20" s="2183">
        <v>1057.5609999999999</v>
      </c>
      <c r="O20" s="2213">
        <f t="shared" ref="O20:O26" si="20">((N10-N20)/N10)*100</f>
        <v>25.293704194260492</v>
      </c>
      <c r="R20" s="2183">
        <v>1137.8340000000001</v>
      </c>
      <c r="S20" s="2213">
        <f t="shared" ref="S20:S26" si="21">((R10-R20)/R10)*100</f>
        <v>25.071564461355184</v>
      </c>
      <c r="V20" s="2183">
        <v>1096.6969999999999</v>
      </c>
      <c r="W20" s="2213">
        <f t="shared" ref="W20:W26" si="22">((V10-V20)/V10)*100</f>
        <v>25.980273050995262</v>
      </c>
      <c r="Z20" s="2183">
        <v>1185.4680000000001</v>
      </c>
      <c r="AA20" s="2213">
        <f t="shared" ref="AA20:AA26" si="23">((Z10-Z20)/Z10)*100</f>
        <v>25.354661508411752</v>
      </c>
      <c r="AD20" s="2183">
        <v>1318.402</v>
      </c>
      <c r="AE20" s="2213">
        <f t="shared" ref="AE20:AE26" si="24">((AD10-AD20)/AD10)*100</f>
        <v>26.261519522714089</v>
      </c>
      <c r="AH20" s="2183">
        <v>1248.9929999999999</v>
      </c>
      <c r="AI20" s="2213">
        <f t="shared" ref="AI20:AI26" si="25">((AH10-AH20)/AH10)*100</f>
        <v>26.410955578834987</v>
      </c>
      <c r="AL20" s="2183">
        <v>1288.8230000000001</v>
      </c>
      <c r="AM20" s="2213">
        <f t="shared" ref="AM20:AM26" si="26">((AL10-AL20)/AL10)*100</f>
        <v>28.630435408595645</v>
      </c>
      <c r="AP20" s="2183">
        <v>1071.5999999999999</v>
      </c>
      <c r="AQ20" s="2213">
        <f t="shared" ref="AQ20:AQ26" si="27">((AP10-AP20)/AP10)*100</f>
        <v>31.690357669440239</v>
      </c>
      <c r="AT20" s="2183">
        <v>1103.174</v>
      </c>
      <c r="AU20" s="2213">
        <f t="shared" ref="AU20:AU26" si="28">((AT10-AT20)/AT10)*100</f>
        <v>34.732314537074835</v>
      </c>
      <c r="AX20" s="2183">
        <v>1122.444</v>
      </c>
      <c r="AY20" s="2213">
        <f t="shared" ref="AY20:AY26" si="29">((AX10-AX20)/AX10)*100</f>
        <v>32.458489233135438</v>
      </c>
      <c r="BB20" s="2183">
        <v>1177.046</v>
      </c>
      <c r="BC20" s="2213">
        <f t="shared" ref="BC20:BC26" si="30">((BB10-BB20)/BB10)*100</f>
        <v>34.561548934873777</v>
      </c>
      <c r="BD20" s="2213">
        <f>BC20-AY20</f>
        <v>2.1030597017383386</v>
      </c>
      <c r="BF20" s="2183">
        <v>1231.4000000000001</v>
      </c>
      <c r="BG20" s="2213">
        <f t="shared" ref="BG20:BG26" si="31">((BF10-BF20)/BF10)*100</f>
        <v>33.159528566783749</v>
      </c>
      <c r="BH20" s="2213">
        <f>BG20-BC20</f>
        <v>-1.4020203680900281</v>
      </c>
      <c r="BJ20" s="2183">
        <v>1301.146</v>
      </c>
      <c r="BK20" s="2213">
        <f>((BJ10-BJ20)/BJ10)*100</f>
        <v>34.225860541107259</v>
      </c>
      <c r="BL20" s="2214">
        <f>BK20-BG20</f>
        <v>1.0663319743235107</v>
      </c>
      <c r="BN20" s="2186">
        <v>1360.5550000000001</v>
      </c>
      <c r="BO20" s="2215">
        <f t="shared" ref="BO20:BO26" si="32">((BN10-BN20)/BN10)*100</f>
        <v>31.108767289202866</v>
      </c>
      <c r="BP20" s="2214">
        <f>BO20-BK20</f>
        <v>-3.117093251904393</v>
      </c>
      <c r="BR20" s="2186">
        <v>1290.279</v>
      </c>
      <c r="BS20" s="2215">
        <f t="shared" ref="BS20:BS26" si="33">((BR10-BR20)/BR10)*100</f>
        <v>34.667168287313181</v>
      </c>
      <c r="BT20" s="2214">
        <f>+BS20-BK20</f>
        <v>0.44130774620592206</v>
      </c>
      <c r="BV20" s="2186">
        <v>1288.316</v>
      </c>
      <c r="BW20" s="2215">
        <f t="shared" ref="BW20:BW26" si="34">((BV10-BV20)/BV10)*100</f>
        <v>37.974985207677463</v>
      </c>
      <c r="BX20" s="2214">
        <f>+BW20-BS20</f>
        <v>3.3078169203642815</v>
      </c>
      <c r="BZ20" s="2186">
        <v>1516.085</v>
      </c>
      <c r="CA20" s="2215">
        <f t="shared" ref="CA20:CA26" si="35">((BZ10-BZ20)/BZ10)*100</f>
        <v>34.392557175022269</v>
      </c>
      <c r="CB20" s="2214">
        <f>+CA20-BW20</f>
        <v>-3.5824280326551943</v>
      </c>
      <c r="CD20" s="2186">
        <v>1283.963</v>
      </c>
      <c r="CE20" s="2215">
        <f t="shared" ref="CE20:CE26" si="36">((CD10-CD20)/CD10)*100</f>
        <v>33.303429829705863</v>
      </c>
      <c r="CF20" s="2216">
        <f>+CE20-CA20</f>
        <v>-1.0891273453164061</v>
      </c>
      <c r="CH20" s="2186">
        <v>1176.8810000000001</v>
      </c>
      <c r="CI20" s="2215">
        <f t="shared" ref="CI20:CI26" si="37">((CH10-CH20)/CH10)*100</f>
        <v>31.784386724838381</v>
      </c>
      <c r="CJ20" s="2216">
        <f>+CI20-CE20</f>
        <v>-1.5190431048674817</v>
      </c>
      <c r="CL20" s="2186">
        <v>1237.278</v>
      </c>
      <c r="CM20" s="2215">
        <f t="shared" ref="CM20:CM26" si="38">((CL10-CL20)/CL10)*100</f>
        <v>35.943311437115334</v>
      </c>
      <c r="CN20" s="2216">
        <f>+CM20-CI20</f>
        <v>4.1589247122769528</v>
      </c>
      <c r="CP20" s="2186">
        <v>1375.289</v>
      </c>
      <c r="CQ20" s="2215">
        <f t="shared" ref="CQ20:CQ26" si="39">((CP10-CP20)/CP10)*100</f>
        <v>37.966691279318106</v>
      </c>
      <c r="CR20" s="2216">
        <f>+CQ20-CM20</f>
        <v>2.0233798422027718</v>
      </c>
      <c r="CT20" s="2186">
        <v>1251.8209999999999</v>
      </c>
      <c r="CU20" s="2215">
        <f t="shared" ref="CU20:CU26" si="40">((CT10-CT20)/CT10)*100</f>
        <v>41.878062052647813</v>
      </c>
      <c r="CV20" s="2216">
        <f>+CU20-CQ20</f>
        <v>3.9113707733297076</v>
      </c>
      <c r="CW20" s="2216"/>
      <c r="CX20" s="2186">
        <v>1326.5450000000001</v>
      </c>
      <c r="CY20" s="2215">
        <f t="shared" ref="CY20:CY26" si="41">((CX10-CX20)/CX10)*100</f>
        <v>41.509226810396676</v>
      </c>
      <c r="CZ20" s="2216">
        <f>+CY20-CU20</f>
        <v>-0.36883524225113717</v>
      </c>
      <c r="DA20" s="2216"/>
      <c r="DB20" s="2186">
        <v>1409.1379999999999</v>
      </c>
      <c r="DC20" s="2215">
        <f>((DB10-DB20)/DB10)*100</f>
        <v>41.070578739811729</v>
      </c>
      <c r="DD20" s="2216">
        <f>+DC20-CY20</f>
        <v>-0.43864807058494648</v>
      </c>
      <c r="DE20" s="2216"/>
      <c r="DF20" s="2186">
        <v>1455.98</v>
      </c>
      <c r="DG20" s="2215">
        <f t="shared" ref="DG20:DG26" si="42">((DF10-DF20)/DF10)*100</f>
        <v>42.037605212546957</v>
      </c>
      <c r="DH20" s="2216">
        <f>+DG20-DC20</f>
        <v>0.96702647273522757</v>
      </c>
      <c r="DI20" s="2216"/>
      <c r="DJ20" s="2186">
        <f>1570.861-11.103</f>
        <v>1559.758</v>
      </c>
      <c r="DK20" s="2215">
        <f t="shared" ref="DK20:DK26" si="43">((DJ10-DJ20)/DJ10)*100</f>
        <v>40.326381170817363</v>
      </c>
      <c r="DL20" s="2216">
        <f>+DK20-DG20</f>
        <v>-1.7112240417295936</v>
      </c>
      <c r="DM20" s="2216"/>
      <c r="DN20" s="2186">
        <v>1533.673</v>
      </c>
      <c r="DO20" s="2608">
        <f t="shared" ref="DO20:DO23" si="44">((DN10-DN20)/DN10)*100</f>
        <v>37.054852344919382</v>
      </c>
      <c r="DP20" s="2216">
        <f>+DO20-DK20</f>
        <v>-3.2715288258979811</v>
      </c>
      <c r="DQ20" s="2216"/>
      <c r="DR20" s="2774">
        <f t="shared" ref="DR20:DR21" si="45">+DR10*(1-DS20/100)</f>
        <v>1673.213921799743</v>
      </c>
      <c r="DS20" s="2217">
        <v>35.75</v>
      </c>
      <c r="DT20" s="2216">
        <f>+DS20-DO20</f>
        <v>-1.3048523449193823</v>
      </c>
      <c r="DU20"/>
      <c r="DV20" s="2216">
        <v>-110</v>
      </c>
      <c r="DW20" s="492">
        <f>+DN10/DN14</f>
        <v>0.19288033283556191</v>
      </c>
      <c r="DX20" s="2213">
        <f>+DW20*DV20</f>
        <v>-21.216836611911809</v>
      </c>
      <c r="DZ20" s="2215"/>
      <c r="EB20" s="2214"/>
    </row>
    <row r="21" spans="1:135">
      <c r="A21" s="23" t="str">
        <f>$A$11</f>
        <v>2Q</v>
      </c>
      <c r="B21" s="23" t="str">
        <f>$B$11</f>
        <v>Jul</v>
      </c>
      <c r="D21" s="2194">
        <v>689.66300000000001</v>
      </c>
      <c r="E21" s="2213"/>
      <c r="F21" s="2194">
        <v>802.54399999999998</v>
      </c>
      <c r="G21" s="2213">
        <f t="shared" si="18"/>
        <v>30.489311098061421</v>
      </c>
      <c r="J21" s="2194">
        <v>985.66200000000003</v>
      </c>
      <c r="K21" s="2213">
        <f t="shared" si="19"/>
        <v>28.325134436457631</v>
      </c>
      <c r="N21" s="2194">
        <v>1078.461</v>
      </c>
      <c r="O21" s="2213">
        <f t="shared" si="20"/>
        <v>27.590568775333306</v>
      </c>
      <c r="R21" s="2194">
        <v>1261.345</v>
      </c>
      <c r="S21" s="2213">
        <f t="shared" si="21"/>
        <v>25.322443614920768</v>
      </c>
      <c r="V21" s="2194">
        <v>1182.7260000000001</v>
      </c>
      <c r="W21" s="2213">
        <f t="shared" si="22"/>
        <v>25.398513427593926</v>
      </c>
      <c r="Z21" s="2194">
        <v>1294.9469999999999</v>
      </c>
      <c r="AA21" s="2213">
        <f t="shared" si="23"/>
        <v>24.65293839383747</v>
      </c>
      <c r="AD21" s="2194">
        <v>1403.692</v>
      </c>
      <c r="AE21" s="2213">
        <f t="shared" si="24"/>
        <v>25.950028513384417</v>
      </c>
      <c r="AH21" s="2218">
        <v>1399.2539999999999</v>
      </c>
      <c r="AI21" s="2213">
        <f t="shared" si="25"/>
        <v>26.003726112241338</v>
      </c>
      <c r="AL21" s="2194">
        <v>1423.788</v>
      </c>
      <c r="AM21" s="2213">
        <f t="shared" si="26"/>
        <v>28.831096644166482</v>
      </c>
      <c r="AP21" s="2194">
        <v>1179.9100000000001</v>
      </c>
      <c r="AQ21" s="2213">
        <f t="shared" si="27"/>
        <v>32.599911116493367</v>
      </c>
      <c r="AT21" s="2194">
        <v>1201.5219999999999</v>
      </c>
      <c r="AU21" s="2213">
        <f t="shared" si="28"/>
        <v>34.786228666830219</v>
      </c>
      <c r="AX21" s="2194">
        <v>1176.498</v>
      </c>
      <c r="AY21" s="2213">
        <f t="shared" si="29"/>
        <v>33.42945009180697</v>
      </c>
      <c r="BB21" s="2194">
        <v>1239.4480000000001</v>
      </c>
      <c r="BC21" s="2213">
        <f t="shared" si="30"/>
        <v>35.189414855345277</v>
      </c>
      <c r="BD21" s="2213">
        <f>BC21-AY21</f>
        <v>1.7599647635383064</v>
      </c>
      <c r="BF21" s="2194">
        <v>1311.21</v>
      </c>
      <c r="BG21" s="2213">
        <f t="shared" si="31"/>
        <v>34.898659752763756</v>
      </c>
      <c r="BH21" s="2213">
        <f>BG21-BC21</f>
        <v>-0.29075510258152093</v>
      </c>
      <c r="BJ21" s="2194">
        <v>1409.682</v>
      </c>
      <c r="BK21" s="2213">
        <f t="shared" ref="BK21:BK26" si="46">((BJ11-BJ21)/BJ11)*100</f>
        <v>36.237488872967276</v>
      </c>
      <c r="BL21" s="2214">
        <f>BK21-BG21</f>
        <v>1.3388291202035205</v>
      </c>
      <c r="BN21" s="2195">
        <v>1495.662</v>
      </c>
      <c r="BO21" s="2215">
        <f t="shared" si="32"/>
        <v>34.712936089337774</v>
      </c>
      <c r="BP21" s="2214">
        <f>BO21-BK21</f>
        <v>-1.5245527836295025</v>
      </c>
      <c r="BR21" s="2195">
        <v>1546.2280000000001</v>
      </c>
      <c r="BS21" s="2215">
        <f t="shared" si="33"/>
        <v>32.505682262131792</v>
      </c>
      <c r="BT21" s="2214">
        <f>+BS21-BK21</f>
        <v>-3.7318066108354842</v>
      </c>
      <c r="BV21" s="2195">
        <v>1600.7170000000001</v>
      </c>
      <c r="BW21" s="2215">
        <f t="shared" si="34"/>
        <v>34.767174222406233</v>
      </c>
      <c r="BX21" s="2214">
        <f>+BW21-BS21</f>
        <v>2.2614919602744408</v>
      </c>
      <c r="BZ21" s="2195">
        <f>1813.056-2</f>
        <v>1811.056</v>
      </c>
      <c r="CA21" s="2215">
        <f t="shared" si="35"/>
        <v>30.983122827569471</v>
      </c>
      <c r="CB21" s="2214">
        <f>+CA21-BW21</f>
        <v>-3.7840513948367622</v>
      </c>
      <c r="CD21" s="2195">
        <v>1523.9390000000001</v>
      </c>
      <c r="CE21" s="2215">
        <f t="shared" si="36"/>
        <v>33.286798574976991</v>
      </c>
      <c r="CF21" s="2216">
        <f>+CE21-CA21</f>
        <v>2.3036757474075209</v>
      </c>
      <c r="CH21" s="2195">
        <v>1398.6010000000001</v>
      </c>
      <c r="CI21" s="2215">
        <f t="shared" si="37"/>
        <v>32.323902429582745</v>
      </c>
      <c r="CJ21" s="2216">
        <f>+CI21-CE21</f>
        <v>-0.96289614539424662</v>
      </c>
      <c r="CL21" s="2195">
        <v>1465.0229999999999</v>
      </c>
      <c r="CM21" s="2215">
        <f t="shared" si="38"/>
        <v>34.670391659346009</v>
      </c>
      <c r="CN21" s="2216">
        <f>+CM21-CI21</f>
        <v>2.3464892297632645</v>
      </c>
      <c r="CP21" s="2195">
        <v>1556.037</v>
      </c>
      <c r="CQ21" s="2215">
        <f t="shared" si="39"/>
        <v>36.698472622537011</v>
      </c>
      <c r="CR21" s="2216">
        <f>+CQ21-CM21</f>
        <v>2.0280809631910017</v>
      </c>
      <c r="CT21" s="2195">
        <f>1456.621-2.8</f>
        <v>1453.8210000000001</v>
      </c>
      <c r="CU21" s="2215">
        <f t="shared" si="40"/>
        <v>39.401400525196941</v>
      </c>
      <c r="CV21" s="2216">
        <f>+CU21-CQ21</f>
        <v>2.7029279026599298</v>
      </c>
      <c r="CW21" s="2216"/>
      <c r="CX21" s="2195">
        <v>1527.328</v>
      </c>
      <c r="CY21" s="2215">
        <f t="shared" si="41"/>
        <v>39.294255496823673</v>
      </c>
      <c r="CZ21" s="2216">
        <f>+CY21-CU21</f>
        <v>-0.10714502837326734</v>
      </c>
      <c r="DA21" s="2216"/>
      <c r="DB21" s="2195">
        <v>1630.951</v>
      </c>
      <c r="DC21" s="2215">
        <f>((DB11-DB21)/DB11)*100</f>
        <v>39.0369568248327</v>
      </c>
      <c r="DD21" s="2216">
        <f>+DC21-CY21</f>
        <v>-0.25729867199097356</v>
      </c>
      <c r="DE21" s="2216"/>
      <c r="DF21" s="2410">
        <v>1651.3910000000001</v>
      </c>
      <c r="DG21" s="2215">
        <f t="shared" si="42"/>
        <v>40.280308704100229</v>
      </c>
      <c r="DH21" s="2216">
        <f>+DG21-DC21</f>
        <v>1.2433518792675287</v>
      </c>
      <c r="DI21" s="2216"/>
      <c r="DJ21" s="2410">
        <v>1776.84</v>
      </c>
      <c r="DK21" s="2215">
        <f t="shared" si="43"/>
        <v>38.512200388684953</v>
      </c>
      <c r="DL21" s="2216">
        <f>+DK21-DG21</f>
        <v>-1.7681083154152759</v>
      </c>
      <c r="DM21" s="2216"/>
      <c r="DN21" s="2692">
        <v>1727.1289999999999</v>
      </c>
      <c r="DO21" s="2608">
        <f t="shared" si="44"/>
        <v>37.309747297660273</v>
      </c>
      <c r="DP21" s="2216">
        <f>+DO21-DK21</f>
        <v>-1.2024530910246796</v>
      </c>
      <c r="DQ21" s="2216"/>
      <c r="DR21" s="2775">
        <f t="shared" si="45"/>
        <v>1821.251745207544</v>
      </c>
      <c r="DS21" s="2217">
        <v>37.299999999999997</v>
      </c>
      <c r="DT21" s="2216">
        <f>+DS21-DO21</f>
        <v>-9.7472976602759331E-3</v>
      </c>
      <c r="DU21" s="2219"/>
      <c r="DV21" s="2216">
        <v>125</v>
      </c>
      <c r="DW21" s="492">
        <f>+DN11/DN14</f>
        <v>0.21809323144851486</v>
      </c>
      <c r="DX21" s="2213">
        <f t="shared" ref="DX21:DX23" si="47">+DW21*DV21</f>
        <v>27.261653931064359</v>
      </c>
      <c r="DZ21" s="2215"/>
      <c r="EA21" s="2216"/>
      <c r="EB21" s="2214"/>
    </row>
    <row r="22" spans="1:135">
      <c r="A22" s="23" t="str">
        <f>$A$12</f>
        <v>3Q</v>
      </c>
      <c r="B22" s="23" t="str">
        <f>$B$12</f>
        <v>Oct</v>
      </c>
      <c r="D22" s="2194">
        <v>763.32</v>
      </c>
      <c r="E22" s="2213"/>
      <c r="F22" s="2194">
        <v>868.84299999999996</v>
      </c>
      <c r="G22" s="2213">
        <f t="shared" si="18"/>
        <v>30.375200437858059</v>
      </c>
      <c r="J22" s="2194">
        <v>1033.53</v>
      </c>
      <c r="K22" s="2213">
        <f t="shared" si="19"/>
        <v>27.897213083188927</v>
      </c>
      <c r="N22" s="2194">
        <v>1170.8989999999999</v>
      </c>
      <c r="O22" s="2213">
        <f t="shared" si="20"/>
        <v>27.332932006057149</v>
      </c>
      <c r="R22" s="2194">
        <v>1169.6189999999999</v>
      </c>
      <c r="S22" s="2213">
        <f t="shared" si="21"/>
        <v>27.652447906711775</v>
      </c>
      <c r="V22" s="2194">
        <v>1219.8810000000001</v>
      </c>
      <c r="W22" s="2213">
        <f t="shared" si="22"/>
        <v>28.87721143486149</v>
      </c>
      <c r="Z22" s="2194">
        <v>1350.337</v>
      </c>
      <c r="AA22" s="2213">
        <f t="shared" si="23"/>
        <v>25.118352793081556</v>
      </c>
      <c r="AD22" s="2218">
        <v>1439.6120000000001</v>
      </c>
      <c r="AE22" s="2213">
        <f t="shared" si="24"/>
        <v>27.838491097180633</v>
      </c>
      <c r="AH22" s="2218">
        <v>1312.3589999999999</v>
      </c>
      <c r="AI22" s="2213">
        <f t="shared" si="25"/>
        <v>28.483941898199244</v>
      </c>
      <c r="AL22" s="2194">
        <v>1334.923</v>
      </c>
      <c r="AM22" s="2213">
        <f t="shared" si="26"/>
        <v>29.836538613153646</v>
      </c>
      <c r="AP22" s="2194">
        <v>1051.124</v>
      </c>
      <c r="AQ22" s="2213">
        <f t="shared" si="27"/>
        <v>33.573518993773327</v>
      </c>
      <c r="AT22" s="2194">
        <v>1111.193</v>
      </c>
      <c r="AU22" s="2213">
        <f t="shared" si="28"/>
        <v>35.243502747156683</v>
      </c>
      <c r="AX22" s="2194">
        <v>1154.7059999999999</v>
      </c>
      <c r="AY22" s="2213">
        <f t="shared" si="29"/>
        <v>30.411520277701616</v>
      </c>
      <c r="BB22" s="2194">
        <v>1203.4090000000001</v>
      </c>
      <c r="BC22" s="2213">
        <f t="shared" si="30"/>
        <v>31.917128931609302</v>
      </c>
      <c r="BD22" s="2213">
        <f>BC22-AY22</f>
        <v>1.5056086539076858</v>
      </c>
      <c r="BF22" s="2194">
        <v>1248.4849999999999</v>
      </c>
      <c r="BG22" s="2213">
        <f t="shared" si="31"/>
        <v>32.396291904243633</v>
      </c>
      <c r="BH22" s="2213">
        <f>BG22-BC22</f>
        <v>0.47916297263433094</v>
      </c>
      <c r="BJ22" s="2194">
        <v>1276.181</v>
      </c>
      <c r="BK22" s="2213">
        <f t="shared" si="46"/>
        <v>32.507727985488046</v>
      </c>
      <c r="BL22" s="2214">
        <f>BK22-BG22</f>
        <v>0.11143608124441329</v>
      </c>
      <c r="BN22" s="2195">
        <v>1302.4960000000001</v>
      </c>
      <c r="BO22" s="2215">
        <f t="shared" si="32"/>
        <v>31.141375516705594</v>
      </c>
      <c r="BP22" s="2214">
        <f>BO22-BK22</f>
        <v>-1.366352468782452</v>
      </c>
      <c r="BR22" s="2195">
        <v>1284.8710000000001</v>
      </c>
      <c r="BS22" s="2215">
        <f t="shared" si="33"/>
        <v>32.073150552113042</v>
      </c>
      <c r="BT22" s="2214">
        <f>+BS22-BK22</f>
        <v>-0.43457743337500432</v>
      </c>
      <c r="BV22" s="2195">
        <v>1355.597</v>
      </c>
      <c r="BW22" s="2215">
        <f t="shared" si="34"/>
        <v>35.904185150126203</v>
      </c>
      <c r="BX22" s="2214">
        <f>+BW22-BS22</f>
        <v>3.8310345980131615</v>
      </c>
      <c r="BZ22" s="2195">
        <v>1316.2270000000001</v>
      </c>
      <c r="CA22" s="2215">
        <f t="shared" si="35"/>
        <v>31.55715967519177</v>
      </c>
      <c r="CB22" s="2214">
        <f>+CA22-BW22</f>
        <v>-4.3470254749344335</v>
      </c>
      <c r="CD22" s="2195">
        <v>1261.9390000000001</v>
      </c>
      <c r="CE22" s="2215">
        <f t="shared" si="36"/>
        <v>31.497667985391249</v>
      </c>
      <c r="CF22" s="2216">
        <f>+CE22-CA22</f>
        <v>-5.949168980052022E-2</v>
      </c>
      <c r="CH22" s="2195">
        <v>1214.5409999999999</v>
      </c>
      <c r="CI22" s="2215">
        <f t="shared" si="37"/>
        <v>31.663280423161343</v>
      </c>
      <c r="CJ22" s="2216">
        <f>+CI22-CE22</f>
        <v>0.16561243777009338</v>
      </c>
      <c r="CL22" s="2195">
        <v>1269.0809999999999</v>
      </c>
      <c r="CM22" s="2215">
        <f t="shared" si="38"/>
        <v>36.013970147808891</v>
      </c>
      <c r="CN22" s="2216">
        <f>+CM22-CI22</f>
        <v>4.3506897246475482</v>
      </c>
      <c r="CP22" s="2195">
        <v>1388.143</v>
      </c>
      <c r="CQ22" s="2215">
        <f t="shared" si="39"/>
        <v>36.130936496397382</v>
      </c>
      <c r="CR22" s="2216">
        <f>+CQ22-CM22</f>
        <v>0.11696634858849109</v>
      </c>
      <c r="CT22" s="2195">
        <f>1225.063-10.437</f>
        <v>1214.6260000000002</v>
      </c>
      <c r="CU22" s="2215">
        <f t="shared" si="40"/>
        <v>40.755413281409652</v>
      </c>
      <c r="CV22" s="2216">
        <f>+CU22-CQ22</f>
        <v>4.6244767850122699</v>
      </c>
      <c r="CW22" s="2216"/>
      <c r="CX22" s="2195">
        <v>1314.3779999999999</v>
      </c>
      <c r="CY22" s="2215">
        <f t="shared" si="41"/>
        <v>39.459911095225578</v>
      </c>
      <c r="CZ22" s="2216">
        <f>+CY22-CU22</f>
        <v>-1.2955021861840734</v>
      </c>
      <c r="DA22" s="2216"/>
      <c r="DB22" s="2195">
        <v>1372.424</v>
      </c>
      <c r="DC22" s="2215">
        <f>((DB12-DB22)/DB12)*100</f>
        <v>40.814480964926169</v>
      </c>
      <c r="DD22" s="2216">
        <f>+DC22-CY22</f>
        <v>1.3545698697005903</v>
      </c>
      <c r="DE22" s="2216"/>
      <c r="DF22" s="2534">
        <v>1450.3009999999999</v>
      </c>
      <c r="DG22" s="2215">
        <f t="shared" si="42"/>
        <v>41.557236835477468</v>
      </c>
      <c r="DH22" s="2216">
        <f>+DG22-DC22</f>
        <v>0.74275587055129932</v>
      </c>
      <c r="DI22" s="2216"/>
      <c r="DJ22" s="2410">
        <v>1555.693</v>
      </c>
      <c r="DK22" s="2215">
        <f t="shared" si="43"/>
        <v>39.724693614322312</v>
      </c>
      <c r="DL22" s="2216">
        <f>+DK22-DG22</f>
        <v>-1.8325432211551558</v>
      </c>
      <c r="DM22" s="2216"/>
      <c r="DN22" s="2692">
        <v>1629.4369999999999</v>
      </c>
      <c r="DO22" s="2608">
        <f t="shared" si="44"/>
        <v>37.755101261219423</v>
      </c>
      <c r="DP22" s="2216">
        <f>+DO22-DK22</f>
        <v>-1.9695923531028896</v>
      </c>
      <c r="DQ22" s="2216"/>
      <c r="DR22" s="2775">
        <f>+DR12*(1-DS22/100)</f>
        <v>1715.3904776994152</v>
      </c>
      <c r="DS22" s="2217">
        <v>38.07</v>
      </c>
      <c r="DT22" s="2216">
        <f>+DS22-DO22</f>
        <v>0.3148987387805775</v>
      </c>
      <c r="DV22" s="2216">
        <v>-100</v>
      </c>
      <c r="DW22" s="492">
        <f>+DN12/DN14</f>
        <v>0.20722933836931093</v>
      </c>
      <c r="DX22" s="2213">
        <f t="shared" si="47"/>
        <v>-20.722933836931094</v>
      </c>
      <c r="DZ22" s="2215"/>
      <c r="EA22" s="2216"/>
      <c r="EB22" s="2214"/>
    </row>
    <row r="23" spans="1:135">
      <c r="A23" s="23" t="str">
        <f>$A$13</f>
        <v>4Q</v>
      </c>
      <c r="B23" s="23" t="str">
        <f>$B$13</f>
        <v>Jan</v>
      </c>
      <c r="C23" s="139"/>
      <c r="D23" s="2197">
        <f>3201.281-D22-D21-D20</f>
        <v>1062.0319999999997</v>
      </c>
      <c r="E23" s="2213"/>
      <c r="F23" s="2197">
        <f>3623.07-F22-F21-F20</f>
        <v>1170.0620000000004</v>
      </c>
      <c r="G23" s="2213">
        <f t="shared" si="18"/>
        <v>32.898092514289921</v>
      </c>
      <c r="J23" s="2197">
        <f>4355.675-J22-J21-J20</f>
        <v>1394.65</v>
      </c>
      <c r="K23" s="2213">
        <f t="shared" si="19"/>
        <v>32.171414481219394</v>
      </c>
      <c r="N23" s="2197">
        <f>4953.556-N22-N21-N20</f>
        <v>1646.635</v>
      </c>
      <c r="O23" s="2213">
        <f t="shared" si="20"/>
        <v>32.180251882446086</v>
      </c>
      <c r="R23" s="2197">
        <f>5286.253-R22-R21-R20</f>
        <v>1717.4549999999997</v>
      </c>
      <c r="S23" s="2213">
        <f t="shared" si="21"/>
        <v>29.054384801749851</v>
      </c>
      <c r="V23" s="2197">
        <f>5206.429-V22-V21-V20</f>
        <v>1707.1249999999998</v>
      </c>
      <c r="W23" s="2213">
        <f t="shared" si="22"/>
        <v>32.753183255626361</v>
      </c>
      <c r="Z23" s="2197">
        <f>+Z13-808.212</f>
        <v>1963.1529999999998</v>
      </c>
      <c r="AA23" s="2213">
        <f t="shared" si="23"/>
        <v>29.162957603924422</v>
      </c>
      <c r="AD23" s="2220">
        <f>+AD13-979.755</f>
        <v>1986.5059999999999</v>
      </c>
      <c r="AE23" s="2213">
        <f t="shared" si="24"/>
        <v>33.029966007711394</v>
      </c>
      <c r="AH23" s="2220">
        <v>1942.83</v>
      </c>
      <c r="AI23" s="2213">
        <f t="shared" si="25"/>
        <v>33.99473474467181</v>
      </c>
      <c r="AJ23" s="2221"/>
      <c r="AL23" s="2197">
        <v>2026.069</v>
      </c>
      <c r="AM23" s="2213">
        <f t="shared" si="26"/>
        <v>35.219088551466939</v>
      </c>
      <c r="AP23" s="2197">
        <v>1606.7429999999999</v>
      </c>
      <c r="AQ23" s="2213">
        <f t="shared" si="27"/>
        <v>40.904754268631777</v>
      </c>
      <c r="AR23" s="2213"/>
      <c r="AT23" s="2197">
        <v>1797.346</v>
      </c>
      <c r="AU23" s="2213">
        <f t="shared" si="28"/>
        <v>38.047140600403075</v>
      </c>
      <c r="AX23" s="2197">
        <v>1612.259</v>
      </c>
      <c r="AY23" s="2213">
        <f t="shared" si="29"/>
        <v>43.209220326564981</v>
      </c>
      <c r="BB23" s="2197">
        <f>+BB13-1234.734</f>
        <v>1731.232</v>
      </c>
      <c r="BC23" s="2213">
        <f t="shared" si="30"/>
        <v>41.630079373802666</v>
      </c>
      <c r="BD23" s="2213">
        <f>BC23-AY23</f>
        <v>-1.5791409527623159</v>
      </c>
      <c r="BF23" s="2197">
        <v>1881.0229999999999</v>
      </c>
      <c r="BG23" s="2213">
        <f t="shared" si="31"/>
        <v>41.780540391306751</v>
      </c>
      <c r="BH23" s="2213">
        <f>BG23-BC23</f>
        <v>0.15046101750408525</v>
      </c>
      <c r="BJ23" s="2197">
        <v>2027.229</v>
      </c>
      <c r="BK23" s="2213">
        <f t="shared" si="46"/>
        <v>39.093390201122332</v>
      </c>
      <c r="BL23" s="2214">
        <f>BK23-BG23</f>
        <v>-2.6871501901844184</v>
      </c>
      <c r="BN23" s="2197">
        <v>2054.6970000000001</v>
      </c>
      <c r="BO23" s="2213">
        <f t="shared" si="32"/>
        <v>41.481213553867299</v>
      </c>
      <c r="BP23" s="2214">
        <f>BO23-BK23</f>
        <v>2.3878233527449666</v>
      </c>
      <c r="BR23" s="2197">
        <v>2097.8580000000002</v>
      </c>
      <c r="BS23" s="2213">
        <f t="shared" si="33"/>
        <v>40.764979737879997</v>
      </c>
      <c r="BT23" s="2214">
        <f>+BS23-BK23</f>
        <v>1.671589536757665</v>
      </c>
      <c r="BV23" s="2198">
        <v>2412.4570000000003</v>
      </c>
      <c r="BW23" s="2215">
        <f t="shared" si="34"/>
        <v>40.058742237313467</v>
      </c>
      <c r="BX23" s="2214">
        <f>+BW23-BS23</f>
        <v>-0.70623750056653023</v>
      </c>
      <c r="BZ23" s="2198">
        <v>1979.4970000000001</v>
      </c>
      <c r="CA23" s="2215">
        <f t="shared" si="35"/>
        <v>38.683826754521824</v>
      </c>
      <c r="CB23" s="2214">
        <f>+CA23-BW23</f>
        <v>-1.3749154827916428</v>
      </c>
      <c r="CD23" s="2198">
        <v>1966.442</v>
      </c>
      <c r="CE23" s="2215">
        <f t="shared" si="36"/>
        <v>34.256939415640119</v>
      </c>
      <c r="CF23" s="2216">
        <f>+CE23-CA23</f>
        <v>-4.4268873388817056</v>
      </c>
      <c r="CH23" s="2198">
        <v>1814.375</v>
      </c>
      <c r="CI23" s="2215">
        <f t="shared" si="37"/>
        <v>40.771579629112161</v>
      </c>
      <c r="CJ23" s="2216">
        <f>+CI23-CE23</f>
        <v>6.5146402134720418</v>
      </c>
      <c r="CL23" s="2198">
        <v>2011.107</v>
      </c>
      <c r="CM23" s="2215">
        <f t="shared" si="38"/>
        <v>41.805889127453085</v>
      </c>
      <c r="CN23" s="2216">
        <f>+CM23-CI23</f>
        <v>1.0343094983409244</v>
      </c>
      <c r="CP23" s="2198">
        <v>1970.7840000000001</v>
      </c>
      <c r="CQ23" s="2215">
        <f t="shared" si="39"/>
        <v>43.938970696581293</v>
      </c>
      <c r="CR23" s="2216">
        <f>+CQ23-CM23</f>
        <v>2.1330815691282083</v>
      </c>
      <c r="CT23" s="2198">
        <v>2112.4169999999999</v>
      </c>
      <c r="CU23" s="2215">
        <f t="shared" si="40"/>
        <v>45.21147644856822</v>
      </c>
      <c r="CV23" s="2216">
        <f>+CU23-CQ23</f>
        <v>1.2725057519869267</v>
      </c>
      <c r="CW23" s="2216"/>
      <c r="CX23" s="2198">
        <v>2175.8969999999999</v>
      </c>
      <c r="CY23" s="2215">
        <f t="shared" si="41"/>
        <v>43.012522648094581</v>
      </c>
      <c r="CZ23" s="2216">
        <f>+CY23-CU23</f>
        <v>-2.1989538004736389</v>
      </c>
      <c r="DA23" s="2216"/>
      <c r="DB23" s="2198">
        <v>2233.9140000000002</v>
      </c>
      <c r="DC23" s="2215">
        <v>45.1</v>
      </c>
      <c r="DD23" s="2216">
        <f>+DC23-CY23</f>
        <v>2.0874773519054202</v>
      </c>
      <c r="DE23" s="2216"/>
      <c r="DF23" s="2538">
        <v>2392.6260000000002</v>
      </c>
      <c r="DG23" s="2215">
        <f t="shared" si="42"/>
        <v>45.560756116157322</v>
      </c>
      <c r="DH23" s="2216">
        <f>+DG23-DC23</f>
        <v>0.46075611615732015</v>
      </c>
      <c r="DI23" s="2216"/>
      <c r="DJ23" s="2538">
        <v>2545.46</v>
      </c>
      <c r="DK23" s="2215">
        <f t="shared" si="43"/>
        <v>43.301712023411163</v>
      </c>
      <c r="DL23" s="2216">
        <f>+DK23-DG23</f>
        <v>-2.2590440927461586</v>
      </c>
      <c r="DM23" s="2216"/>
      <c r="DN23" s="2865">
        <v>2782.7689999999998</v>
      </c>
      <c r="DO23" s="2608">
        <f t="shared" si="44"/>
        <v>42.303311148431519</v>
      </c>
      <c r="DP23" s="2216">
        <f>+DO23-DK23</f>
        <v>-0.99840087497964447</v>
      </c>
      <c r="DQ23" s="2216"/>
      <c r="DR23" s="2776">
        <f>+DR13*(1-DS23/100)</f>
        <v>2784.1264912914471</v>
      </c>
      <c r="DS23" s="2217">
        <v>42.8</v>
      </c>
      <c r="DT23" s="2216">
        <f>+DS23-DO23</f>
        <v>0.49668885156847864</v>
      </c>
      <c r="DV23" s="2216">
        <v>-50</v>
      </c>
      <c r="DW23" s="492">
        <f>+DN13/DN14</f>
        <v>0.38180683428771189</v>
      </c>
      <c r="DX23" s="2213">
        <f t="shared" si="47"/>
        <v>-19.090341714385595</v>
      </c>
      <c r="DZ23" s="2215"/>
      <c r="EA23" s="2216"/>
      <c r="EB23" s="2214"/>
    </row>
    <row r="24" spans="1:135">
      <c r="B24" s="23" t="str">
        <f>$B$14</f>
        <v>Year</v>
      </c>
      <c r="D24" s="1854">
        <f>SUM(D20:D23)</f>
        <v>3201.2809999999999</v>
      </c>
      <c r="E24" s="2213"/>
      <c r="F24" s="1854">
        <f>SUM(F20:F23)</f>
        <v>3623.07</v>
      </c>
      <c r="G24" s="2213">
        <f t="shared" si="18"/>
        <v>31.035237590722691</v>
      </c>
      <c r="J24" s="1854">
        <f>SUM(J20:J23)</f>
        <v>4355.6749999999993</v>
      </c>
      <c r="K24" s="2213">
        <f t="shared" si="19"/>
        <v>29.167009528691288</v>
      </c>
      <c r="N24" s="1854">
        <f>SUM(N20:N23)</f>
        <v>4953.5559999999996</v>
      </c>
      <c r="O24" s="2213">
        <f t="shared" si="20"/>
        <v>28.667268791537698</v>
      </c>
      <c r="R24" s="1854">
        <f>SUM(R20:R23)</f>
        <v>5286.2529999999997</v>
      </c>
      <c r="S24" s="2213">
        <f t="shared" si="21"/>
        <v>27.036731644943444</v>
      </c>
      <c r="V24" s="1854">
        <f>SUM(V20:V23)</f>
        <v>5206.4290000000001</v>
      </c>
      <c r="W24" s="2213">
        <f t="shared" si="22"/>
        <v>28.881615541050753</v>
      </c>
      <c r="Z24" s="1854">
        <f>SUM(Z20:Z23)</f>
        <v>5793.9049999999997</v>
      </c>
      <c r="AA24" s="2213">
        <f t="shared" si="23"/>
        <v>26.486692718599414</v>
      </c>
      <c r="AD24" s="1854">
        <f>SUM(AD20:AD23)</f>
        <v>6148.2119999999995</v>
      </c>
      <c r="AE24" s="2213">
        <f t="shared" si="24"/>
        <v>28.879576151696433</v>
      </c>
      <c r="AH24" s="1854">
        <f>SUM(AH20:AH23)</f>
        <v>5903.4359999999997</v>
      </c>
      <c r="AI24" s="2213">
        <f t="shared" si="25"/>
        <v>29.441580258009854</v>
      </c>
      <c r="AL24" s="1854">
        <f>SUM(AL20:AL23)</f>
        <v>6073.6029999999992</v>
      </c>
      <c r="AM24" s="2213">
        <f t="shared" si="26"/>
        <v>31.267500405416992</v>
      </c>
      <c r="AP24" s="1854">
        <f>SUM(AP20:AP23)</f>
        <v>4909.3770000000004</v>
      </c>
      <c r="AQ24" s="2213">
        <f t="shared" si="27"/>
        <v>35.5778572812033</v>
      </c>
      <c r="AS24" s="1951"/>
      <c r="AT24" s="1854">
        <f>SUM(AT20:AT23)</f>
        <v>5213.2350000000006</v>
      </c>
      <c r="AU24" s="2213">
        <f t="shared" si="28"/>
        <v>36.032144698999588</v>
      </c>
      <c r="AW24" s="1951"/>
      <c r="AX24" s="1854">
        <f>SUM(AX20:AX23)</f>
        <v>5065.9070000000002</v>
      </c>
      <c r="AY24" s="2213">
        <f t="shared" si="29"/>
        <v>36.096501856275545</v>
      </c>
      <c r="BA24" s="1951"/>
      <c r="BB24" s="1854">
        <f>SUM(BB20:BB23)</f>
        <v>5351.1350000000002</v>
      </c>
      <c r="BC24" s="2213">
        <f t="shared" si="30"/>
        <v>36.632868558024995</v>
      </c>
      <c r="BE24" s="1951"/>
      <c r="BF24" s="1854">
        <f>SUM(BF20:BF23)</f>
        <v>5672.1180000000004</v>
      </c>
      <c r="BG24" s="2213">
        <f t="shared" si="31"/>
        <v>36.511526466430659</v>
      </c>
      <c r="BI24" s="1951"/>
      <c r="BJ24" s="1854">
        <f>SUM(BJ20:BJ23)</f>
        <v>6014.2380000000003</v>
      </c>
      <c r="BK24" s="2213">
        <f t="shared" si="46"/>
        <v>36.075270462969335</v>
      </c>
      <c r="BM24" s="1951"/>
      <c r="BN24" s="1855">
        <f>SUM(BN20:BN23)</f>
        <v>6213.41</v>
      </c>
      <c r="BO24" s="2215">
        <f t="shared" si="32"/>
        <v>35.735925074253579</v>
      </c>
      <c r="BP24" s="2214">
        <f>BO24-BK24</f>
        <v>-0.33934538871575626</v>
      </c>
      <c r="BQ24" s="1951"/>
      <c r="BR24" s="1855">
        <f>SUM(BR20:BR23)</f>
        <v>6219.2360000000008</v>
      </c>
      <c r="BS24" s="2215">
        <f t="shared" si="33"/>
        <v>35.877342826577006</v>
      </c>
      <c r="BT24" s="2214"/>
      <c r="BU24" s="1951"/>
      <c r="BV24" s="1855">
        <f>SUM(BV20:BV23)</f>
        <v>6657.0870000000004</v>
      </c>
      <c r="BW24" s="2215">
        <f t="shared" si="34"/>
        <v>37.612808802954724</v>
      </c>
      <c r="BX24" s="2214">
        <f>+BW24-BS24</f>
        <v>1.7354659763777178</v>
      </c>
      <c r="BY24" s="1951"/>
      <c r="BZ24" s="1855">
        <f>SUM(BZ20:BZ23)</f>
        <v>6622.8650000000007</v>
      </c>
      <c r="CA24" s="2215">
        <f t="shared" si="35"/>
        <v>34.338455626445516</v>
      </c>
      <c r="CB24" s="2214">
        <f>+CA24-BW24</f>
        <v>-3.2743531765092087</v>
      </c>
      <c r="CC24" s="1951"/>
      <c r="CD24" s="1855">
        <f>SUM(CD20:CD23)</f>
        <v>6036.2830000000004</v>
      </c>
      <c r="CE24" s="2215">
        <f t="shared" si="36"/>
        <v>33.246755027629526</v>
      </c>
      <c r="CF24" s="2216">
        <f>+CE24-CA24</f>
        <v>-1.09170059881599</v>
      </c>
      <c r="CG24" s="1951"/>
      <c r="CH24" s="1855">
        <f>SUM(CH20:CH23)</f>
        <v>5604.3980000000001</v>
      </c>
      <c r="CI24" s="2215">
        <f t="shared" si="37"/>
        <v>35.077836192763897</v>
      </c>
      <c r="CJ24" s="2216">
        <f>+CI24-CE24</f>
        <v>1.8310811651343712</v>
      </c>
      <c r="CK24" s="1951"/>
      <c r="CL24" s="1855">
        <f>SUM(CL20:CL23)</f>
        <v>5982.4889999999996</v>
      </c>
      <c r="CM24" s="2215">
        <f t="shared" si="38"/>
        <v>37.768480220794622</v>
      </c>
      <c r="CN24" s="2216">
        <f>+CM24-CI24</f>
        <v>2.6906440280307251</v>
      </c>
      <c r="CO24" s="1951"/>
      <c r="CP24" s="1855">
        <f>SUM(CP20:CP23)</f>
        <v>6290.2530000000006</v>
      </c>
      <c r="CQ24" s="2215">
        <f t="shared" si="39"/>
        <v>39.30669419272369</v>
      </c>
      <c r="CR24" s="2216">
        <f>+CQ24-CM24</f>
        <v>1.5382139719290677</v>
      </c>
      <c r="CS24" s="1951"/>
      <c r="CT24" s="1855">
        <f>SUM(CT20:CT23)</f>
        <v>6032.6849999999995</v>
      </c>
      <c r="CU24" s="2215">
        <f t="shared" si="40"/>
        <v>42.318713730985614</v>
      </c>
      <c r="CV24" s="2216">
        <f>+CU24-CQ24</f>
        <v>3.0120195382619244</v>
      </c>
      <c r="CW24" s="2215"/>
      <c r="CX24" s="1855">
        <f>SUM(CX20:CX23)</f>
        <v>6344.1480000000001</v>
      </c>
      <c r="CY24" s="2215">
        <f t="shared" si="41"/>
        <v>41.111818936805363</v>
      </c>
      <c r="CZ24" s="2216">
        <f>+CY24-CU24</f>
        <v>-1.2068947941802506</v>
      </c>
      <c r="DA24" s="2215"/>
      <c r="DB24" s="1855">
        <f>SUM(DB20:DB23)</f>
        <v>6646.4269999999997</v>
      </c>
      <c r="DC24" s="2215">
        <f>((DB14-DB24)/DB14)*100</f>
        <v>41.973178069610263</v>
      </c>
      <c r="DD24" s="2216">
        <f>+DC24-CY24</f>
        <v>0.86135913280489973</v>
      </c>
      <c r="DE24" s="2215"/>
      <c r="DF24" s="1855">
        <f>SUM(DF20:DF23)</f>
        <v>6950.2980000000007</v>
      </c>
      <c r="DG24" s="2215">
        <f t="shared" si="42"/>
        <v>42.813720761579965</v>
      </c>
      <c r="DH24" s="2216">
        <f>+DG24-DC24</f>
        <v>0.8405426919697021</v>
      </c>
      <c r="DI24" s="2215"/>
      <c r="DJ24" s="1855">
        <f>SUM(DJ20:DJ23)</f>
        <v>7437.7510000000002</v>
      </c>
      <c r="DK24" s="2215">
        <f t="shared" si="43"/>
        <v>40.848838831309529</v>
      </c>
      <c r="DL24" s="2216">
        <f>+DK24-DG24</f>
        <v>-1.9648819302704368</v>
      </c>
      <c r="DM24" s="2215"/>
      <c r="DN24" s="1855">
        <f>SUM(DN20:DN23)</f>
        <v>7673.0079999999998</v>
      </c>
      <c r="DO24" s="2215">
        <f>((DN14-DN24)/DN14)*100</f>
        <v>39.258839875924458</v>
      </c>
      <c r="DP24" s="2216">
        <f>+DO24-DK24</f>
        <v>-1.5899989553850702</v>
      </c>
      <c r="DQ24" s="2215"/>
      <c r="DR24" s="2778">
        <f>SUM(DR20:DR23)</f>
        <v>7993.9826359981489</v>
      </c>
      <c r="DS24" s="2215">
        <f>((DR14-DR24)/DR14)*100</f>
        <v>39.191555382456578</v>
      </c>
      <c r="DT24" s="2216">
        <f>+DS24-DO24</f>
        <v>-6.7284493467880679E-2</v>
      </c>
      <c r="DU24" s="1951"/>
      <c r="DV24" s="2216"/>
      <c r="DW24" s="2216"/>
      <c r="DX24" s="2213">
        <f>+SUM(DX20:DX23)</f>
        <v>-33.768458232164136</v>
      </c>
      <c r="EA24" s="161"/>
    </row>
    <row r="25" spans="1:135" hidden="1" outlineLevel="1">
      <c r="A25" s="23" t="str">
        <f>$A$15</f>
        <v>6 Mos</v>
      </c>
      <c r="D25" s="1899">
        <f>SUM(D20:D21)</f>
        <v>1375.9290000000001</v>
      </c>
      <c r="E25" s="2213"/>
      <c r="F25" s="1899">
        <f>SUM(F20:F21)</f>
        <v>1584.165</v>
      </c>
      <c r="G25" s="2213">
        <f t="shared" si="18"/>
        <v>29.963300878418085</v>
      </c>
      <c r="J25" s="1899">
        <f>SUM(J20:J21)</f>
        <v>1927.4949999999999</v>
      </c>
      <c r="K25" s="2213">
        <f t="shared" si="19"/>
        <v>27.528709421141823</v>
      </c>
      <c r="N25" s="1899">
        <f>SUM(N20:N21)</f>
        <v>2136.0219999999999</v>
      </c>
      <c r="O25" s="2213">
        <f t="shared" si="20"/>
        <v>26.471298973018413</v>
      </c>
      <c r="R25" s="1899">
        <f>SUM(R20:R21)</f>
        <v>2399.1790000000001</v>
      </c>
      <c r="S25" s="2213">
        <f t="shared" si="21"/>
        <v>25.203671511801907</v>
      </c>
      <c r="V25" s="1899">
        <f>SUM(V20:V21)</f>
        <v>2279.4229999999998</v>
      </c>
      <c r="W25" s="2213">
        <f t="shared" si="22"/>
        <v>25.679552138557955</v>
      </c>
      <c r="Z25" s="1899">
        <f>SUM(Z20:Z21)</f>
        <v>2480.415</v>
      </c>
      <c r="AA25" s="2213">
        <f t="shared" si="23"/>
        <v>24.989952452191368</v>
      </c>
      <c r="AD25" s="1899">
        <f>SUM(AD20:AD21)</f>
        <v>2722.0940000000001</v>
      </c>
      <c r="AE25" s="2213">
        <f t="shared" si="24"/>
        <v>26.101222083949583</v>
      </c>
      <c r="AH25" s="1899">
        <f>SUM(AH20:AH21)</f>
        <v>2648.2469999999998</v>
      </c>
      <c r="AI25" s="2213">
        <f t="shared" si="25"/>
        <v>26.196347896025713</v>
      </c>
      <c r="AL25" s="1899">
        <f>SUM(AL20:AL21)</f>
        <v>2712.6109999999999</v>
      </c>
      <c r="AM25" s="2213">
        <f t="shared" si="26"/>
        <v>28.735898823566508</v>
      </c>
      <c r="AP25" s="1899">
        <f>SUM(AP20:AP21)</f>
        <v>2251.5100000000002</v>
      </c>
      <c r="AQ25" s="2213">
        <f t="shared" si="27"/>
        <v>32.170051621630172</v>
      </c>
      <c r="AT25" s="1899">
        <f>SUM(AT20:AT21)</f>
        <v>2304.6959999999999</v>
      </c>
      <c r="AU25" s="2213">
        <f t="shared" si="28"/>
        <v>34.760433055375181</v>
      </c>
      <c r="AX25" s="1899">
        <f>SUM(AX20:AX21)</f>
        <v>2298.942</v>
      </c>
      <c r="AY25" s="2213">
        <f t="shared" si="29"/>
        <v>32.958896847122311</v>
      </c>
      <c r="BB25" s="1899">
        <f>SUM(BB20:BB21)</f>
        <v>2416.4940000000001</v>
      </c>
      <c r="BC25" s="2213">
        <f t="shared" si="30"/>
        <v>34.88510081719199</v>
      </c>
      <c r="BF25" s="1899">
        <f>SUM(BF20:BF21)</f>
        <v>2542.61</v>
      </c>
      <c r="BG25" s="2213">
        <f t="shared" si="31"/>
        <v>34.067834715407081</v>
      </c>
      <c r="BJ25" s="1899">
        <f>SUM(BJ20:BJ21)</f>
        <v>2710.828</v>
      </c>
      <c r="BK25" s="2213">
        <f t="shared" si="46"/>
        <v>35.287530421684224</v>
      </c>
      <c r="BN25" s="2202">
        <f>SUM(BN20:BN21)</f>
        <v>2856.2170000000001</v>
      </c>
      <c r="BO25" s="2215">
        <f t="shared" si="32"/>
        <v>33.044331552594755</v>
      </c>
      <c r="BP25" s="161"/>
      <c r="BR25" s="2202">
        <f>SUM(BR20:BR21)</f>
        <v>2836.5070000000001</v>
      </c>
      <c r="BS25" s="2215">
        <f t="shared" si="33"/>
        <v>33.506374956544235</v>
      </c>
      <c r="BT25" s="161"/>
      <c r="BV25" s="2202">
        <f>SUM(BV20:BV21)</f>
        <v>2889.0330000000004</v>
      </c>
      <c r="BW25" s="2215">
        <f t="shared" si="34"/>
        <v>36.2377103397681</v>
      </c>
      <c r="BX25" s="161"/>
      <c r="BZ25" s="2202">
        <f>SUM(BZ20:BZ21)</f>
        <v>3327.1410000000001</v>
      </c>
      <c r="CA25" s="2215">
        <f t="shared" si="35"/>
        <v>32.579636549326025</v>
      </c>
      <c r="CB25" s="161"/>
      <c r="CD25" s="2202">
        <f>SUM(CD20:CD21)</f>
        <v>2807.902</v>
      </c>
      <c r="CE25" s="2215">
        <f t="shared" si="36"/>
        <v>33.294404540319917</v>
      </c>
      <c r="CF25" s="161"/>
      <c r="CH25" s="2202">
        <f>SUM(CH20:CH21)</f>
        <v>2575.482</v>
      </c>
      <c r="CI25" s="2215">
        <f t="shared" si="37"/>
        <v>32.078430379706781</v>
      </c>
      <c r="CJ25" s="161"/>
      <c r="CL25" s="2202">
        <f>SUM(CL20:CL21)</f>
        <v>2702.3009999999999</v>
      </c>
      <c r="CM25" s="2215">
        <f t="shared" si="38"/>
        <v>35.259434131775272</v>
      </c>
      <c r="CN25" s="161"/>
      <c r="CP25" s="2202">
        <f>SUM(CP20:CP21)</f>
        <v>2931.326</v>
      </c>
      <c r="CQ25" s="2215">
        <f t="shared" si="39"/>
        <v>37.299878164389092</v>
      </c>
      <c r="CR25" s="161"/>
      <c r="CT25" s="2202">
        <f>SUM(CT20:CT21)</f>
        <v>2705.6419999999998</v>
      </c>
      <c r="CU25" s="2215">
        <f t="shared" si="40"/>
        <v>40.573008229509036</v>
      </c>
      <c r="CV25" s="161"/>
      <c r="CW25" s="161"/>
      <c r="CX25" s="2202">
        <f>SUM(CX20:CX21)</f>
        <v>2853.873</v>
      </c>
      <c r="CY25" s="2215">
        <f t="shared" si="41"/>
        <v>40.344329292216884</v>
      </c>
      <c r="CZ25" s="161"/>
      <c r="DA25" s="161"/>
      <c r="DB25" s="2202">
        <f>SUM(DB20:DB21)</f>
        <v>3040.0889999999999</v>
      </c>
      <c r="DC25" s="2215">
        <f>((DB15-DB25)/DB15)*100</f>
        <v>39.996755182677887</v>
      </c>
      <c r="DD25" s="161"/>
      <c r="DE25" s="161"/>
      <c r="DF25" s="2202">
        <f>SUM(DF20:DF21)</f>
        <v>3107.3710000000001</v>
      </c>
      <c r="DG25" s="2215">
        <f t="shared" si="42"/>
        <v>41.116782915710971</v>
      </c>
      <c r="DH25" s="161"/>
      <c r="DI25" s="161"/>
      <c r="DJ25" s="2202">
        <f>SUM(DJ20:DJ21)</f>
        <v>3336.598</v>
      </c>
      <c r="DK25" s="2215">
        <f t="shared" si="43"/>
        <v>39.373812472983396</v>
      </c>
      <c r="DL25" s="161"/>
      <c r="DM25" s="161"/>
      <c r="DN25" s="2202">
        <f>SUM(DN20:DN21)</f>
        <v>3260.8019999999997</v>
      </c>
      <c r="DO25" s="2215">
        <f>((DN15-DN25)/DN15)*100</f>
        <v>37.19011862176621</v>
      </c>
      <c r="DP25" s="161"/>
      <c r="DQ25" s="161"/>
      <c r="DR25" s="2202">
        <f>SUM(DR20:DR21)</f>
        <v>3494.4656670072873</v>
      </c>
      <c r="DS25" s="2215" t="e">
        <f>((DR15-DR25)/DR15)*100</f>
        <v>#DIV/0!</v>
      </c>
      <c r="DT25" s="161"/>
      <c r="DV25" s="2215"/>
    </row>
    <row r="26" spans="1:135" hidden="1" outlineLevel="1">
      <c r="A26" s="23" t="str">
        <f>$A$16</f>
        <v>9 Mos</v>
      </c>
      <c r="D26" s="1899">
        <f>SUM(D20:D22)</f>
        <v>2139.2490000000003</v>
      </c>
      <c r="E26" s="2213"/>
      <c r="F26" s="1899">
        <f>SUM(F20:F22)</f>
        <v>2453.0079999999998</v>
      </c>
      <c r="G26" s="2213">
        <f t="shared" si="18"/>
        <v>30.109749843295923</v>
      </c>
      <c r="J26" s="1899">
        <f>SUM(J20:J22)</f>
        <v>2961.0249999999996</v>
      </c>
      <c r="K26" s="2213">
        <f t="shared" si="19"/>
        <v>27.657760820155197</v>
      </c>
      <c r="N26" s="1899">
        <f>SUM(N20:N22)</f>
        <v>3306.9209999999998</v>
      </c>
      <c r="O26" s="2213">
        <f t="shared" si="20"/>
        <v>26.77870876803286</v>
      </c>
      <c r="R26" s="1899">
        <f>SUM(R20:R22)</f>
        <v>3568.7979999999998</v>
      </c>
      <c r="S26" s="2213">
        <f t="shared" si="21"/>
        <v>26.024281743007194</v>
      </c>
      <c r="V26" s="1899">
        <f>SUM(V20:V22)</f>
        <v>3499.3040000000001</v>
      </c>
      <c r="W26" s="2213">
        <f t="shared" si="22"/>
        <v>26.826420330743446</v>
      </c>
      <c r="Z26" s="1899">
        <f>SUM(Z20:Z22)</f>
        <v>3830.752</v>
      </c>
      <c r="AA26" s="2213">
        <f t="shared" si="23"/>
        <v>25.035263691000836</v>
      </c>
      <c r="AD26" s="1899">
        <f>SUM(AD20:AD22)</f>
        <v>4161.7060000000001</v>
      </c>
      <c r="AE26" s="2213">
        <f t="shared" si="24"/>
        <v>26.711560914532452</v>
      </c>
      <c r="AH26" s="1899">
        <f>SUM(AH20:AH22)</f>
        <v>3960.6059999999998</v>
      </c>
      <c r="AI26" s="2213">
        <f t="shared" si="25"/>
        <v>26.970391393560522</v>
      </c>
      <c r="AL26" s="1899">
        <f>SUM(AL20:AL22)</f>
        <v>4047.5339999999997</v>
      </c>
      <c r="AM26" s="2213">
        <f t="shared" si="26"/>
        <v>29.102699066913534</v>
      </c>
      <c r="AP26" s="1899">
        <f>SUM(AP20:AP22)</f>
        <v>3302.634</v>
      </c>
      <c r="AQ26" s="2213">
        <f t="shared" si="27"/>
        <v>32.623121786340008</v>
      </c>
      <c r="AT26" s="1899">
        <f>SUM(AT20:AT22)</f>
        <v>3415.8890000000001</v>
      </c>
      <c r="AU26" s="2213">
        <f t="shared" si="28"/>
        <v>34.918365239485716</v>
      </c>
      <c r="AX26" s="1899">
        <f>SUM(AX20:AX22)</f>
        <v>3453.6480000000001</v>
      </c>
      <c r="AY26" s="2213">
        <f t="shared" si="29"/>
        <v>32.128207829123305</v>
      </c>
      <c r="BB26" s="1899">
        <f>SUM(BB20:BB22)</f>
        <v>3619.9030000000002</v>
      </c>
      <c r="BC26" s="2213">
        <f t="shared" si="30"/>
        <v>33.927557108563214</v>
      </c>
      <c r="BF26" s="1899">
        <f>SUM(BF20:BF22)</f>
        <v>3791.0950000000003</v>
      </c>
      <c r="BG26" s="2213">
        <f t="shared" si="31"/>
        <v>33.526564949020489</v>
      </c>
      <c r="BJ26" s="1899">
        <f>SUM(BJ20:BJ22)</f>
        <v>3987.009</v>
      </c>
      <c r="BK26" s="2213">
        <f t="shared" si="46"/>
        <v>34.423007653098978</v>
      </c>
      <c r="BN26" s="2202">
        <f>SUM(BN20:BN22)</f>
        <v>4158.7129999999997</v>
      </c>
      <c r="BO26" s="2215">
        <f t="shared" si="32"/>
        <v>32.459742643953994</v>
      </c>
      <c r="BP26" s="161"/>
      <c r="BR26" s="2202">
        <f>SUM(BR20:BR22)</f>
        <v>4121.3780000000006</v>
      </c>
      <c r="BS26" s="2215">
        <f t="shared" si="33"/>
        <v>33.066087806120251</v>
      </c>
      <c r="BT26" s="161"/>
      <c r="BV26" s="2202">
        <f>SUM(BV20:BV22)</f>
        <v>4244.63</v>
      </c>
      <c r="BW26" s="2215">
        <f t="shared" si="34"/>
        <v>36.13157110319343</v>
      </c>
      <c r="BX26" s="161"/>
      <c r="BZ26" s="2202">
        <f>SUM(BZ20:BZ22)</f>
        <v>4643.3680000000004</v>
      </c>
      <c r="CA26" s="2215">
        <f t="shared" si="35"/>
        <v>32.292917026828718</v>
      </c>
      <c r="CB26" s="161"/>
      <c r="CD26" s="2202">
        <f>SUM(CD20:CD22)</f>
        <v>4069.8410000000003</v>
      </c>
      <c r="CE26" s="2215">
        <f t="shared" si="36"/>
        <v>32.747453185358722</v>
      </c>
      <c r="CF26" s="161"/>
      <c r="CH26" s="2202">
        <f>SUM(CH20:CH22)</f>
        <v>3790.0230000000001</v>
      </c>
      <c r="CI26" s="2215">
        <f t="shared" si="37"/>
        <v>31.945942781788776</v>
      </c>
      <c r="CJ26" s="161"/>
      <c r="CL26" s="2202">
        <f>SUM(CL20:CL22)</f>
        <v>3971.3819999999996</v>
      </c>
      <c r="CM26" s="2215">
        <f t="shared" si="38"/>
        <v>35.502478473931781</v>
      </c>
      <c r="CN26" s="161"/>
      <c r="CP26" s="2202">
        <f>SUM(CP20:CP22)</f>
        <v>4319.4690000000001</v>
      </c>
      <c r="CQ26" s="2215">
        <f t="shared" si="39"/>
        <v>36.928910143603659</v>
      </c>
      <c r="CR26" s="161"/>
      <c r="CT26" s="2202">
        <f>SUM(CT20:CT22)</f>
        <v>3920.268</v>
      </c>
      <c r="CU26" s="2215">
        <f t="shared" si="40"/>
        <v>40.629643197947388</v>
      </c>
      <c r="CV26" s="161"/>
      <c r="CW26" s="161"/>
      <c r="CX26" s="2202">
        <f>SUM(CX20:CX22)</f>
        <v>4168.2510000000002</v>
      </c>
      <c r="CY26" s="2215">
        <f t="shared" si="41"/>
        <v>40.068247343348567</v>
      </c>
      <c r="CZ26" s="161"/>
      <c r="DA26" s="161"/>
      <c r="DB26" s="2202">
        <f>SUM(DB20:DB22)</f>
        <v>4412.5129999999999</v>
      </c>
      <c r="DC26" s="2215">
        <f>((DB16-DB26)/DB16)*100</f>
        <v>40.253503131587323</v>
      </c>
      <c r="DD26" s="161"/>
      <c r="DE26" s="161"/>
      <c r="DF26" s="2202">
        <f>SUM(DF20:DF22)</f>
        <v>4557.6720000000005</v>
      </c>
      <c r="DG26" s="2215">
        <f t="shared" si="42"/>
        <v>41.257658610258261</v>
      </c>
      <c r="DH26" s="161"/>
      <c r="DI26" s="161"/>
      <c r="DJ26" s="2202">
        <f>SUM(DJ20:DJ22)</f>
        <v>4892.2910000000002</v>
      </c>
      <c r="DK26" s="2215">
        <f t="shared" si="43"/>
        <v>39.485830853909029</v>
      </c>
      <c r="DL26" s="161"/>
      <c r="DM26" s="161"/>
      <c r="DN26" s="2202">
        <f>SUM(DN20:DN22)</f>
        <v>4890.2389999999996</v>
      </c>
      <c r="DO26" s="2215">
        <f>((DN16-DN26)/DN16)*100</f>
        <v>37.379507862841443</v>
      </c>
      <c r="DP26" s="161"/>
      <c r="DQ26" s="161"/>
      <c r="DR26" s="2202">
        <f>SUM(DR20:DR22)</f>
        <v>5209.8561447067023</v>
      </c>
      <c r="DS26" s="2215" t="e">
        <f>((DR16-DR26)/DR16)*100</f>
        <v>#DIV/0!</v>
      </c>
      <c r="DT26" s="161"/>
      <c r="DV26" s="2215"/>
    </row>
    <row r="27" spans="1:135" collapsed="1">
      <c r="AP27" s="2222"/>
      <c r="BJ27" s="2196"/>
      <c r="BK27" s="1854"/>
      <c r="BN27" s="2208"/>
      <c r="BO27" s="161"/>
      <c r="BP27" s="161"/>
      <c r="BR27" s="2208"/>
      <c r="BS27" s="161"/>
      <c r="BT27" s="161"/>
      <c r="BV27" s="2208"/>
      <c r="BW27" s="161"/>
      <c r="BX27" s="161"/>
      <c r="BZ27" s="2208"/>
      <c r="CA27" s="161"/>
      <c r="CB27" s="161"/>
      <c r="CD27" s="2208"/>
      <c r="CE27" s="161"/>
      <c r="CF27" s="161"/>
      <c r="CH27" s="2208"/>
      <c r="CI27" s="161"/>
      <c r="CJ27" s="161"/>
      <c r="CL27" s="2208"/>
      <c r="CM27" s="2215"/>
      <c r="CN27" s="161"/>
      <c r="CP27" s="2208"/>
      <c r="CQ27" s="161"/>
      <c r="CR27" s="161"/>
      <c r="CT27" s="2208"/>
      <c r="CU27" s="161"/>
      <c r="CV27" s="161"/>
      <c r="CW27" s="161"/>
      <c r="CX27" s="161"/>
      <c r="CY27" s="161"/>
      <c r="CZ27" s="161"/>
      <c r="DA27" s="161"/>
      <c r="DB27" s="161"/>
      <c r="DC27" s="161"/>
      <c r="DD27" s="161"/>
      <c r="DE27" s="161"/>
      <c r="DF27" s="161"/>
      <c r="DG27" s="161"/>
      <c r="DH27" s="161"/>
      <c r="DI27" s="161"/>
      <c r="DJ27" s="161"/>
      <c r="DK27" s="161"/>
      <c r="DL27" s="161"/>
      <c r="DM27" s="161"/>
      <c r="DN27" s="161"/>
      <c r="DO27" s="161"/>
      <c r="DP27" s="161"/>
      <c r="DQ27" s="161"/>
      <c r="DR27" s="2208"/>
      <c r="DS27" s="161"/>
      <c r="DT27" s="161"/>
      <c r="DV27" s="1175"/>
    </row>
    <row r="28" spans="1:135">
      <c r="C28" s="1936"/>
      <c r="D28" s="2175"/>
      <c r="E28" s="1936">
        <f>AH28</f>
        <v>0</v>
      </c>
      <c r="F28" s="2175"/>
      <c r="J28" s="2175"/>
      <c r="N28" s="2175"/>
      <c r="R28" s="2175"/>
      <c r="V28" s="2175"/>
      <c r="Z28" s="2176"/>
      <c r="AA28" s="2177"/>
      <c r="AB28" s="2177"/>
      <c r="AC28" s="2177"/>
      <c r="AD28" s="2176"/>
      <c r="AE28" s="2177"/>
      <c r="AF28" s="2177"/>
      <c r="AG28" s="2177"/>
      <c r="AH28" s="2176"/>
      <c r="AI28" s="2177"/>
      <c r="AJ28" s="2177"/>
      <c r="AK28" s="2177"/>
      <c r="AM28" s="2177"/>
      <c r="AN28" s="2177"/>
      <c r="AO28" s="2177"/>
      <c r="AQ28" s="2177"/>
      <c r="AR28" s="2177"/>
      <c r="AS28" s="2177"/>
      <c r="AU28" s="2177"/>
      <c r="AV28" s="2177"/>
      <c r="AW28" s="2177"/>
      <c r="AY28" s="2177"/>
      <c r="AZ28" s="2177"/>
      <c r="BA28" s="2177"/>
      <c r="BB28" s="2176"/>
      <c r="BC28" s="2177"/>
      <c r="BD28" s="2177"/>
      <c r="BE28" s="2177"/>
      <c r="BF28" s="2176"/>
      <c r="BG28" s="2177"/>
      <c r="BH28" s="2177"/>
      <c r="BI28" s="2177"/>
      <c r="BK28" s="2177"/>
      <c r="BL28" s="2177"/>
      <c r="BM28" s="2177"/>
      <c r="BN28" s="2178"/>
      <c r="BO28" s="2179"/>
      <c r="BP28" s="2179"/>
      <c r="BQ28" s="2177"/>
      <c r="BR28" s="2178"/>
      <c r="BS28" s="2179"/>
      <c r="BT28" s="2179"/>
      <c r="BU28" s="2177"/>
      <c r="BV28" s="2176" t="s">
        <v>1138</v>
      </c>
      <c r="BW28" s="2179"/>
      <c r="BX28" s="2179"/>
      <c r="BY28" s="2177"/>
      <c r="BZ28" s="2176" t="s">
        <v>1138</v>
      </c>
      <c r="CA28" s="2179"/>
      <c r="CB28" s="2179"/>
      <c r="CC28" s="2177"/>
      <c r="CD28" s="2178"/>
      <c r="CE28" s="2179"/>
      <c r="CF28" s="2179"/>
      <c r="CG28" s="2177"/>
      <c r="CH28" s="2178"/>
      <c r="CI28" s="2179"/>
      <c r="CJ28" s="2179"/>
      <c r="CL28" s="2178"/>
      <c r="CM28" s="2179"/>
      <c r="CN28" s="2179"/>
      <c r="CO28" s="2177"/>
      <c r="CP28" s="2178"/>
      <c r="CQ28" s="2179"/>
      <c r="CR28" s="2179"/>
      <c r="CS28" s="2177"/>
      <c r="CT28" s="2178"/>
      <c r="CU28" s="2179"/>
      <c r="CV28" s="2179"/>
      <c r="CW28" s="2179"/>
      <c r="CX28" s="2210" t="s">
        <v>1138</v>
      </c>
      <c r="CY28" s="2179"/>
      <c r="CZ28" s="2179"/>
      <c r="DA28" s="2179"/>
      <c r="DC28" s="2179"/>
      <c r="DD28" s="2179"/>
      <c r="DE28" s="2179"/>
      <c r="DF28" s="2179"/>
      <c r="DG28" s="2179"/>
      <c r="DH28" s="2179"/>
      <c r="DI28" s="2179"/>
      <c r="DJ28" s="2818"/>
      <c r="DK28" s="2179"/>
      <c r="DL28" s="2179"/>
      <c r="DM28" s="2179"/>
      <c r="DN28" s="2818"/>
      <c r="DO28" s="2179"/>
      <c r="DP28" s="2179"/>
      <c r="DQ28" s="2179"/>
      <c r="DR28" s="2179"/>
      <c r="DS28" s="2179"/>
      <c r="DT28" s="2179"/>
      <c r="DU28" s="2177"/>
    </row>
    <row r="29" spans="1:135">
      <c r="BN29" s="161"/>
      <c r="BO29" s="2223"/>
      <c r="BP29" s="161"/>
      <c r="BR29" s="161"/>
      <c r="BS29" s="2223"/>
      <c r="BT29" s="161"/>
      <c r="BV29" s="161"/>
      <c r="BW29" s="161"/>
      <c r="BX29" s="161"/>
      <c r="BZ29" s="161"/>
      <c r="CA29" s="161"/>
      <c r="CB29" s="161"/>
      <c r="CD29" s="161"/>
      <c r="CE29" s="161"/>
      <c r="CF29" s="161"/>
      <c r="CH29" s="1957"/>
      <c r="CI29" s="161"/>
      <c r="CJ29" s="161"/>
      <c r="CL29" s="1957"/>
      <c r="CM29" s="161"/>
      <c r="CN29" s="161"/>
      <c r="CP29" s="1957"/>
      <c r="CQ29" s="2215"/>
      <c r="CR29" s="161"/>
      <c r="CT29" s="1957"/>
      <c r="CU29" s="2215"/>
      <c r="CV29" s="161"/>
      <c r="CW29" s="161"/>
      <c r="CX29" s="161"/>
      <c r="CY29" s="161"/>
      <c r="CZ29" s="161"/>
      <c r="DA29" s="161"/>
      <c r="DB29" s="161"/>
      <c r="DC29" s="161"/>
      <c r="DD29" s="161"/>
      <c r="DE29" s="161"/>
      <c r="DF29" s="161"/>
      <c r="DG29" s="161"/>
      <c r="DH29" s="161"/>
      <c r="DI29" s="161"/>
      <c r="DJ29" s="161"/>
      <c r="DK29" s="161"/>
      <c r="DL29" s="161"/>
      <c r="DM29" s="161"/>
      <c r="DN29" s="161"/>
      <c r="DO29" s="161"/>
      <c r="DP29" s="161"/>
      <c r="DQ29" s="161"/>
      <c r="DR29" s="1921"/>
      <c r="DS29" s="161"/>
      <c r="DT29" s="161"/>
      <c r="DV29" s="161"/>
    </row>
    <row r="30" spans="1:135">
      <c r="A30" s="23" t="str">
        <f>$A$10</f>
        <v>1Q</v>
      </c>
      <c r="B30" s="23" t="str">
        <f>$B$10</f>
        <v>Apr</v>
      </c>
      <c r="D30" s="2183">
        <v>188.98500000000001</v>
      </c>
      <c r="F30" s="2183">
        <v>214.14500000000001</v>
      </c>
      <c r="G30" s="2213">
        <f t="shared" ref="G30:G36" si="48">F30/F10*100</f>
        <v>19.338598178526116</v>
      </c>
      <c r="H30" s="44"/>
      <c r="J30" s="2183">
        <v>248.01900000000001</v>
      </c>
      <c r="K30" s="2213">
        <f t="shared" ref="K30:K36" si="49">J30/J10*100</f>
        <v>19.308873148864681</v>
      </c>
      <c r="L30" s="44"/>
      <c r="N30" s="2183">
        <v>271.56299999999999</v>
      </c>
      <c r="O30" s="2213">
        <f t="shared" ref="O30:O36" si="50">N30/N10*100</f>
        <v>19.183258278145697</v>
      </c>
      <c r="P30" s="44"/>
      <c r="R30" s="2183">
        <v>295.238</v>
      </c>
      <c r="S30" s="2213">
        <f t="shared" ref="S30:S36" si="51">R30/R10*100</f>
        <v>19.441958538379428</v>
      </c>
      <c r="T30" s="44"/>
      <c r="V30" s="2183">
        <v>293.76100000000002</v>
      </c>
      <c r="W30" s="2213">
        <f t="shared" ref="W30:W36" si="52">V30/V10*100</f>
        <v>19.826906618935389</v>
      </c>
      <c r="X30" s="44"/>
      <c r="Z30" s="2183">
        <v>322.64600000000002</v>
      </c>
      <c r="AA30" s="2213">
        <f t="shared" ref="AA30:AA36" si="53">Z30/Z10*100</f>
        <v>20.316043860278793</v>
      </c>
      <c r="AB30" s="44">
        <f t="shared" ref="AB30:AB36" si="54">IF(V30&lt;0,"       NM",(Z30/V30-1)*100)</f>
        <v>9.8328232815111605</v>
      </c>
      <c r="AD30" s="2183">
        <v>415.70499999999998</v>
      </c>
      <c r="AE30" s="2213">
        <f t="shared" ref="AE30:AE36" si="55">AD30/AD10*100</f>
        <v>23.250461563931289</v>
      </c>
      <c r="AF30" s="44">
        <f t="shared" ref="AF30:AF36" si="56">IF(Z30&lt;0,"       NM",(AD30/Z30-1)*100)</f>
        <v>28.842446520334963</v>
      </c>
      <c r="AH30" s="2183">
        <v>382.83100000000002</v>
      </c>
      <c r="AI30" s="2213">
        <f t="shared" ref="AI30:AI36" si="57">AH30/AH10*100</f>
        <v>22.555905008914401</v>
      </c>
      <c r="AJ30" s="2188" t="s">
        <v>886</v>
      </c>
      <c r="AL30" s="2183">
        <v>453.202</v>
      </c>
      <c r="AM30" s="2213">
        <f t="shared" ref="AM30:AM36" si="58">AL30/AL10*100</f>
        <v>25.09640921364193</v>
      </c>
      <c r="AN30" s="44">
        <f t="shared" ref="AN30:AN36" si="59">(AL30/AH30-1)*100</f>
        <v>18.381740245695877</v>
      </c>
      <c r="AO30" s="1881"/>
      <c r="AP30" s="2183">
        <v>434.93200000000002</v>
      </c>
      <c r="AQ30" s="2213">
        <f t="shared" ref="AQ30:AQ36" si="60">AP30/AP10*100</f>
        <v>27.72494340996176</v>
      </c>
      <c r="AR30" s="2188" t="s">
        <v>886</v>
      </c>
      <c r="AT30" s="2183">
        <v>474.62400000000002</v>
      </c>
      <c r="AU30" s="2213">
        <f t="shared" ref="AU30:AU36" si="61">AT30/AT10*100</f>
        <v>28.080438756855575</v>
      </c>
      <c r="AV30" s="44">
        <f t="shared" ref="AV30:AV36" si="62">(AT30/AP30-1)*100</f>
        <v>9.126024298051183</v>
      </c>
      <c r="AX30" s="2183">
        <v>500.863</v>
      </c>
      <c r="AY30" s="2213">
        <f t="shared" ref="AY30:AY36" si="63">AX30/AX10*100</f>
        <v>30.138736281920597</v>
      </c>
      <c r="AZ30" s="44">
        <f t="shared" ref="AZ30:AZ36" si="64">(AX30/AT30-1)*100</f>
        <v>5.5283761461704328</v>
      </c>
      <c r="BB30" s="2183">
        <v>493.51799999999997</v>
      </c>
      <c r="BC30" s="2213">
        <f t="shared" ref="BC30:BC36" si="65">BB30/BB10*100</f>
        <v>27.437375848317707</v>
      </c>
      <c r="BD30" s="44">
        <f t="shared" ref="BD30:BD36" si="66">(BB30/AX30-1)*100</f>
        <v>-1.4664688747222376</v>
      </c>
      <c r="BF30" s="2183">
        <v>501.846</v>
      </c>
      <c r="BG30" s="2213">
        <f t="shared" ref="BG30:BG36" si="67">BF30/BF10*100</f>
        <v>27.240233252293194</v>
      </c>
      <c r="BH30" s="44">
        <f t="shared" ref="BH30:BH36" si="68">(BF30/BB30-1)*100</f>
        <v>1.6874764446281665</v>
      </c>
      <c r="BJ30" s="2183">
        <v>557.68499999999995</v>
      </c>
      <c r="BK30" s="2213">
        <f t="shared" ref="BK30:BK36" si="69">BJ30/BJ10*100</f>
        <v>28.191495008348483</v>
      </c>
      <c r="BL30" s="44">
        <f>(BJ30/BF30-1)*100</f>
        <v>11.126720149209103</v>
      </c>
      <c r="BN30" s="2186">
        <v>566.11900000000003</v>
      </c>
      <c r="BO30" s="2213">
        <f t="shared" ref="BO30:BO36" si="70">BN30/BN10*100</f>
        <v>28.665240119659817</v>
      </c>
      <c r="BP30" s="217">
        <f t="shared" ref="BP30:BP36" si="71">(BN30/BJ30-1)*100</f>
        <v>1.5123232649255636</v>
      </c>
      <c r="BR30" s="2186">
        <v>566.11900000000003</v>
      </c>
      <c r="BS30" s="2213">
        <f t="shared" ref="BS30:BS36" si="72">BR30/BR10*100</f>
        <v>28.665240119659817</v>
      </c>
      <c r="BT30" s="217">
        <f>(BR30/BJ30-1)*100</f>
        <v>1.5123232649255636</v>
      </c>
      <c r="BV30" s="2186">
        <v>602.82899999999995</v>
      </c>
      <c r="BW30" s="2213">
        <f t="shared" ref="BW30:BW36" si="73">BV30/BV10*100</f>
        <v>29.02275345663719</v>
      </c>
      <c r="BX30" s="217">
        <f>(BV30/BR30-1)*100</f>
        <v>6.484502374942358</v>
      </c>
      <c r="BZ30" s="2186">
        <v>686.23299999999995</v>
      </c>
      <c r="CA30" s="2213">
        <f t="shared" ref="CA30:CA36" si="74">BZ30/BZ10*100</f>
        <v>29.696219085416015</v>
      </c>
      <c r="CB30" s="217">
        <f t="shared" ref="CB30:CB36" si="75">(BZ30/BV30-1)*100</f>
        <v>13.835432601948483</v>
      </c>
      <c r="CD30" s="2186">
        <v>540.67999999999995</v>
      </c>
      <c r="CE30" s="2215">
        <f t="shared" ref="CE30:CE36" si="76">CD30/CD10*100</f>
        <v>28.086090922927397</v>
      </c>
      <c r="CF30" s="217">
        <f t="shared" ref="CF30:CF36" si="77">(CD30/BZ30-1)*100</f>
        <v>-21.210434356843809</v>
      </c>
      <c r="CH30" s="2186">
        <v>483.14400000000001</v>
      </c>
      <c r="CI30" s="2215">
        <f t="shared" ref="CI30:CI36" si="78">CH30/CH10*100</f>
        <v>28.004500251269825</v>
      </c>
      <c r="CJ30" s="217">
        <f t="shared" ref="CJ30:CJ36" si="79">(CH30/CD30-1)*100</f>
        <v>-10.641414515055104</v>
      </c>
      <c r="CL30" s="2186">
        <v>509.28199999999998</v>
      </c>
      <c r="CM30" s="2215">
        <f t="shared" ref="CM30:CM36" si="80">CL30/CL10*100</f>
        <v>26.366684338267575</v>
      </c>
      <c r="CN30" s="217">
        <f t="shared" ref="CN30:CN36" si="81">(CL30/CH30-1)*100</f>
        <v>5.4099812892222543</v>
      </c>
      <c r="CP30" s="2186">
        <f>624.905-50</f>
        <v>574.90499999999997</v>
      </c>
      <c r="CQ30" s="2215">
        <f t="shared" ref="CQ30:CQ36" si="82">CP30/CP10*100</f>
        <v>25.93146556837408</v>
      </c>
      <c r="CR30" s="217">
        <f t="shared" ref="CR30:CR36" si="83">(CP30/CL30-1)*100</f>
        <v>12.885395517611077</v>
      </c>
      <c r="CT30" s="2186">
        <v>608.73599999999999</v>
      </c>
      <c r="CU30" s="2215">
        <f t="shared" ref="CU30:CU36" si="84">CT30/CT10*100</f>
        <v>28.263558462687065</v>
      </c>
      <c r="CV30" s="217">
        <f t="shared" ref="CV30:CV36" si="85">(CT30/CP30-1)*100</f>
        <v>5.8846244162078953</v>
      </c>
      <c r="CW30" s="217"/>
      <c r="CX30" s="2186">
        <v>630.23</v>
      </c>
      <c r="CY30" s="2215">
        <f t="shared" ref="CY30:CY36" si="86">CX30/CX10*100</f>
        <v>27.788457977138886</v>
      </c>
      <c r="CZ30" s="217">
        <f t="shared" ref="CZ30:CZ36" si="87">(CX30/CT30-1)*100</f>
        <v>3.5309230930978375</v>
      </c>
      <c r="DA30" s="217"/>
      <c r="DB30" s="2186">
        <v>645.98099999999999</v>
      </c>
      <c r="DC30" s="2215">
        <f t="shared" ref="DC30:DC36" si="88">DB30/DB10*100</f>
        <v>27.01459081727814</v>
      </c>
      <c r="DD30" s="217">
        <f t="shared" ref="DD30:DD36" si="89">(DB30/CX30-1)*100</f>
        <v>2.4992463069038351</v>
      </c>
      <c r="DE30" s="217"/>
      <c r="DF30" s="2186">
        <v>684.11599999999999</v>
      </c>
      <c r="DG30" s="2215">
        <f t="shared" ref="DG30:DG36" si="90">DF30/DF10*100</f>
        <v>27.234578546692418</v>
      </c>
      <c r="DH30" s="217">
        <f t="shared" ref="DH30:DH36" si="91">(DF30/DB30-1)*100</f>
        <v>5.9034244041233475</v>
      </c>
      <c r="DI30" s="217"/>
      <c r="DJ30" s="2186">
        <f>719.566-23.442</f>
        <v>696.12400000000002</v>
      </c>
      <c r="DK30" s="2215">
        <f t="shared" ref="DK30:DK36" si="92">DJ30/DJ10*100</f>
        <v>26.632489292470968</v>
      </c>
      <c r="DL30" s="217">
        <f t="shared" ref="DL30:DL36" si="93">(DJ30/DF30-1)*100</f>
        <v>1.7552578802425334</v>
      </c>
      <c r="DM30" s="217"/>
      <c r="DN30" s="2186">
        <v>693.65800000000002</v>
      </c>
      <c r="DO30" s="2215">
        <f t="shared" ref="DO30:DO33" si="94">DN30/DN10*100</f>
        <v>28.469175131940062</v>
      </c>
      <c r="DP30" s="217">
        <f t="shared" ref="DP30:DP36" si="95">(DN30/DJ30-1)*100</f>
        <v>-0.35424723181501916</v>
      </c>
      <c r="DQ30" s="217"/>
      <c r="DR30" s="2774">
        <f t="shared" ref="DR30:DR31" si="96">DR10*DS30/100</f>
        <v>765.64185682353991</v>
      </c>
      <c r="DS30" s="2217">
        <v>29.4</v>
      </c>
      <c r="DT30" s="217">
        <f t="shared" ref="DT30:DT33" si="97">(DR30/DN30-1)*100</f>
        <v>10.377427611811573</v>
      </c>
      <c r="DV30" s="2213"/>
      <c r="DW30" s="2213">
        <f>DN30-DJ30</f>
        <v>-2.4660000000000082</v>
      </c>
      <c r="DX30" s="1921"/>
      <c r="DZ30" s="2212">
        <f>DR30-DN30</f>
        <v>71.983856823539895</v>
      </c>
      <c r="EA30" s="2212"/>
    </row>
    <row r="31" spans="1:135">
      <c r="A31" s="23" t="str">
        <f>$A$11</f>
        <v>2Q</v>
      </c>
      <c r="B31" s="23" t="str">
        <f>$B$11</f>
        <v>Jul</v>
      </c>
      <c r="D31" s="2218">
        <v>183.50299999999999</v>
      </c>
      <c r="F31" s="2218">
        <v>211.12899999999999</v>
      </c>
      <c r="G31" s="2213">
        <f t="shared" si="48"/>
        <v>18.28650172099896</v>
      </c>
      <c r="H31" s="44"/>
      <c r="J31" s="2218">
        <v>248.999</v>
      </c>
      <c r="K31" s="2213">
        <f t="shared" si="49"/>
        <v>18.106582023509567</v>
      </c>
      <c r="L31" s="44"/>
      <c r="N31" s="2218">
        <v>268.22800000000001</v>
      </c>
      <c r="O31" s="2213">
        <f t="shared" si="50"/>
        <v>18.009215834907241</v>
      </c>
      <c r="P31" s="44"/>
      <c r="R31" s="2218">
        <v>301.416</v>
      </c>
      <c r="S31" s="2213">
        <f t="shared" si="51"/>
        <v>17.845244826248997</v>
      </c>
      <c r="T31" s="44"/>
      <c r="V31" s="2218">
        <v>300.39999999999998</v>
      </c>
      <c r="W31" s="2213">
        <f t="shared" si="52"/>
        <v>18.947995196140763</v>
      </c>
      <c r="X31" s="44"/>
      <c r="Z31" s="2218">
        <v>326.94299999999998</v>
      </c>
      <c r="AA31" s="2213">
        <f t="shared" si="53"/>
        <v>19.023322470111591</v>
      </c>
      <c r="AB31" s="44">
        <f t="shared" si="54"/>
        <v>8.8358854860186362</v>
      </c>
      <c r="AD31" s="2218">
        <v>410.36700000000002</v>
      </c>
      <c r="AE31" s="2213">
        <f t="shared" si="55"/>
        <v>21.648384865802456</v>
      </c>
      <c r="AF31" s="44">
        <f t="shared" si="56"/>
        <v>25.516374413888677</v>
      </c>
      <c r="AH31" s="2218">
        <v>414.93599999999998</v>
      </c>
      <c r="AI31" s="2213">
        <f t="shared" si="57"/>
        <v>21.942919514177575</v>
      </c>
      <c r="AJ31" s="2188" t="s">
        <v>886</v>
      </c>
      <c r="AL31" s="2218">
        <v>495.74</v>
      </c>
      <c r="AM31" s="2213">
        <f t="shared" si="58"/>
        <v>24.779863399340989</v>
      </c>
      <c r="AN31" s="44">
        <f t="shared" si="59"/>
        <v>19.473846569109465</v>
      </c>
      <c r="AP31" s="2218">
        <v>466.25599999999997</v>
      </c>
      <c r="AQ31" s="2213">
        <f t="shared" si="60"/>
        <v>26.633977034238427</v>
      </c>
      <c r="AR31" s="2188" t="s">
        <v>886</v>
      </c>
      <c r="AT31" s="2218">
        <v>486.56099999999998</v>
      </c>
      <c r="AU31" s="2213">
        <f t="shared" si="61"/>
        <v>26.408569958468025</v>
      </c>
      <c r="AV31" s="44">
        <f t="shared" si="62"/>
        <v>4.3549037438660232</v>
      </c>
      <c r="AX31" s="2218">
        <v>512.07500000000005</v>
      </c>
      <c r="AY31" s="2213">
        <f t="shared" si="63"/>
        <v>28.975072073422943</v>
      </c>
      <c r="AZ31" s="44">
        <f t="shared" si="64"/>
        <v>5.2437412780720338</v>
      </c>
      <c r="BB31" s="2218">
        <v>534.29499999999996</v>
      </c>
      <c r="BC31" s="2213">
        <f t="shared" si="65"/>
        <v>27.938220554523703</v>
      </c>
      <c r="BD31" s="44">
        <f t="shared" si="66"/>
        <v>4.3392081238099678</v>
      </c>
      <c r="BF31" s="2218">
        <v>532.529</v>
      </c>
      <c r="BG31" s="2224">
        <f t="shared" si="67"/>
        <v>26.439968899352863</v>
      </c>
      <c r="BH31" s="44">
        <f t="shared" si="68"/>
        <v>-0.33052901487005126</v>
      </c>
      <c r="BJ31" s="2218">
        <v>574.20699999999999</v>
      </c>
      <c r="BK31" s="2224">
        <f t="shared" si="69"/>
        <v>25.972439335055764</v>
      </c>
      <c r="BL31" s="44">
        <f t="shared" ref="BL31:BL36" si="98">(BJ31/BF31-1)*100</f>
        <v>7.8264282320775092</v>
      </c>
      <c r="BN31" s="2225">
        <v>591.32500000000005</v>
      </c>
      <c r="BO31" s="2213">
        <f t="shared" si="70"/>
        <v>25.811896716619358</v>
      </c>
      <c r="BP31" s="217">
        <f t="shared" si="71"/>
        <v>2.9811548796862652</v>
      </c>
      <c r="BR31" s="2225">
        <v>591.32500000000005</v>
      </c>
      <c r="BS31" s="2213">
        <f t="shared" si="72"/>
        <v>25.811896716619358</v>
      </c>
      <c r="BT31" s="217">
        <f t="shared" ref="BT31:BT36" si="99">(BR31/BJ31-1)*100</f>
        <v>2.9811548796862652</v>
      </c>
      <c r="BV31" s="2225">
        <v>656.35500000000002</v>
      </c>
      <c r="BW31" s="2215">
        <f t="shared" si="73"/>
        <v>26.747945678875499</v>
      </c>
      <c r="BX31" s="217">
        <f t="shared" ref="BX31:BX36" si="100">(BV31/BR31-1)*100</f>
        <v>10.997336490085829</v>
      </c>
      <c r="BZ31" s="2225">
        <v>670.69200000000001</v>
      </c>
      <c r="CA31" s="2213">
        <f t="shared" si="74"/>
        <v>25.55915851554661</v>
      </c>
      <c r="CB31" s="217">
        <f t="shared" si="75"/>
        <v>2.1843362204904349</v>
      </c>
      <c r="CD31" s="2225">
        <v>575.21600000000001</v>
      </c>
      <c r="CE31" s="2215">
        <f t="shared" si="76"/>
        <v>25.181126587675777</v>
      </c>
      <c r="CF31" s="217">
        <f t="shared" si="77"/>
        <v>-14.235446374789017</v>
      </c>
      <c r="CH31" s="2225">
        <v>519.36599999999999</v>
      </c>
      <c r="CI31" s="2215">
        <f t="shared" si="78"/>
        <v>25.131301987312554</v>
      </c>
      <c r="CJ31" s="217">
        <f t="shared" si="79"/>
        <v>-9.7093961225000687</v>
      </c>
      <c r="CL31" s="2225">
        <v>541.03</v>
      </c>
      <c r="CM31" s="2215">
        <f t="shared" si="80"/>
        <v>24.126090853552491</v>
      </c>
      <c r="CN31" s="217">
        <f t="shared" si="81"/>
        <v>4.1712395497587318</v>
      </c>
      <c r="CP31" s="2225">
        <f>708.565-113.428</f>
        <v>595.13700000000006</v>
      </c>
      <c r="CQ31" s="2215">
        <f t="shared" si="82"/>
        <v>24.210915999324691</v>
      </c>
      <c r="CR31" s="217">
        <f t="shared" si="83"/>
        <v>10.000739330536224</v>
      </c>
      <c r="CT31" s="2225">
        <v>636.4</v>
      </c>
      <c r="CU31" s="2215">
        <f t="shared" si="84"/>
        <v>26.526614146971784</v>
      </c>
      <c r="CV31" s="217">
        <f t="shared" si="85"/>
        <v>6.9333615621276934</v>
      </c>
      <c r="CW31" s="217"/>
      <c r="CX31" s="2225">
        <v>630.81899999999996</v>
      </c>
      <c r="CY31" s="2215">
        <f t="shared" si="86"/>
        <v>25.072765667721136</v>
      </c>
      <c r="CZ31" s="217">
        <f t="shared" si="87"/>
        <v>-0.87696417347580269</v>
      </c>
      <c r="DA31" s="217"/>
      <c r="DB31" s="2225">
        <v>668.41800000000001</v>
      </c>
      <c r="DC31" s="2215">
        <f t="shared" si="88"/>
        <v>24.98468402365183</v>
      </c>
      <c r="DD31" s="217">
        <f t="shared" si="89"/>
        <v>5.9603467872717975</v>
      </c>
      <c r="DE31" s="217"/>
      <c r="DF31" s="2409">
        <v>710.92</v>
      </c>
      <c r="DG31" s="2215">
        <f t="shared" si="90"/>
        <v>25.709188760312408</v>
      </c>
      <c r="DH31" s="217">
        <f t="shared" si="91"/>
        <v>6.3585959683910342</v>
      </c>
      <c r="DI31" s="217"/>
      <c r="DJ31" s="2409">
        <v>704.68799999999999</v>
      </c>
      <c r="DK31" s="2215">
        <f t="shared" si="92"/>
        <v>24.385827948773315</v>
      </c>
      <c r="DL31" s="217">
        <f>(DJ31/DF31-1)*100</f>
        <v>-0.87661058909581646</v>
      </c>
      <c r="DM31" s="217"/>
      <c r="DN31" s="2698">
        <v>726.99599999999998</v>
      </c>
      <c r="DO31" s="2215">
        <f t="shared" si="94"/>
        <v>26.388047999651544</v>
      </c>
      <c r="DP31" s="217">
        <f t="shared" si="95"/>
        <v>3.1656562904434304</v>
      </c>
      <c r="DQ31" s="217"/>
      <c r="DR31" s="2779">
        <f t="shared" si="96"/>
        <v>797.34227122722621</v>
      </c>
      <c r="DS31" s="2217">
        <v>27.45</v>
      </c>
      <c r="DT31" s="217">
        <f t="shared" si="97"/>
        <v>9.6762941236576481</v>
      </c>
      <c r="DU31" s="2226"/>
      <c r="DV31" s="2213"/>
      <c r="DW31" s="2215">
        <f>DN31-DJ31</f>
        <v>22.307999999999993</v>
      </c>
      <c r="DX31" s="1921"/>
      <c r="DZ31" s="2212">
        <f t="shared" ref="DZ31:DZ32" si="101">DR31-DN31</f>
        <v>70.346271227226225</v>
      </c>
      <c r="EA31" s="2212"/>
    </row>
    <row r="32" spans="1:135">
      <c r="A32" s="23" t="str">
        <f>$A$12</f>
        <v>3Q</v>
      </c>
      <c r="B32" s="23" t="str">
        <f>$B$12</f>
        <v>Oct</v>
      </c>
      <c r="D32" s="2218">
        <v>197.59100000000001</v>
      </c>
      <c r="F32" s="2218">
        <v>227.97499999999999</v>
      </c>
      <c r="G32" s="2213">
        <f t="shared" si="48"/>
        <v>18.268793878962377</v>
      </c>
      <c r="H32" s="44"/>
      <c r="J32" s="2218">
        <v>265.20100000000002</v>
      </c>
      <c r="K32" s="2213">
        <f t="shared" si="49"/>
        <v>18.501379924264622</v>
      </c>
      <c r="L32" s="44"/>
      <c r="N32" s="2218">
        <v>295.19099999999997</v>
      </c>
      <c r="O32" s="2213">
        <f t="shared" si="50"/>
        <v>18.319824739964748</v>
      </c>
      <c r="P32" s="44"/>
      <c r="R32" s="2218">
        <v>298.15899999999999</v>
      </c>
      <c r="S32" s="2213">
        <f t="shared" si="51"/>
        <v>18.44282093962455</v>
      </c>
      <c r="T32" s="44"/>
      <c r="V32" s="2218">
        <v>329.75299999999999</v>
      </c>
      <c r="W32" s="2213">
        <f t="shared" si="52"/>
        <v>19.225607168010747</v>
      </c>
      <c r="X32" s="44"/>
      <c r="Z32" s="2218">
        <v>361.59699999999998</v>
      </c>
      <c r="AA32" s="2213">
        <f t="shared" si="53"/>
        <v>20.052015893128967</v>
      </c>
      <c r="AB32" s="44">
        <f t="shared" si="54"/>
        <v>9.6569250317662068</v>
      </c>
      <c r="AD32" s="2218">
        <v>467.024</v>
      </c>
      <c r="AE32" s="2213">
        <f t="shared" si="55"/>
        <v>23.409888590696877</v>
      </c>
      <c r="AF32" s="44">
        <f t="shared" si="56"/>
        <v>29.15593879374001</v>
      </c>
      <c r="AH32" s="2218">
        <v>449.291</v>
      </c>
      <c r="AI32" s="2213">
        <f t="shared" si="57"/>
        <v>24.48378931421674</v>
      </c>
      <c r="AJ32" s="2188" t="s">
        <v>886</v>
      </c>
      <c r="AL32" s="2218">
        <v>492.529</v>
      </c>
      <c r="AM32" s="2213">
        <f t="shared" si="58"/>
        <v>25.887290482973214</v>
      </c>
      <c r="AN32" s="44">
        <f t="shared" si="59"/>
        <v>9.6236069718734552</v>
      </c>
      <c r="AP32" s="2218">
        <v>449.935</v>
      </c>
      <c r="AQ32" s="2213">
        <f t="shared" si="60"/>
        <v>28.433941886529656</v>
      </c>
      <c r="AR32" s="2188" t="s">
        <v>886</v>
      </c>
      <c r="AT32" s="2218">
        <v>502.786</v>
      </c>
      <c r="AU32" s="2213">
        <f t="shared" si="61"/>
        <v>29.300634748210332</v>
      </c>
      <c r="AV32" s="44">
        <f t="shared" si="62"/>
        <v>11.746363363596956</v>
      </c>
      <c r="AX32" s="2218">
        <v>522.33399999999995</v>
      </c>
      <c r="AY32" s="2213">
        <f t="shared" si="63"/>
        <v>31.478513983011265</v>
      </c>
      <c r="AZ32" s="44">
        <f t="shared" si="64"/>
        <v>3.8879364182773379</v>
      </c>
      <c r="BB32" s="2218">
        <v>546.80799999999999</v>
      </c>
      <c r="BC32" s="2213">
        <f t="shared" si="65"/>
        <v>30.935665732236156</v>
      </c>
      <c r="BD32" s="44">
        <f t="shared" si="66"/>
        <v>4.6855077402581546</v>
      </c>
      <c r="BF32" s="2218">
        <v>556.11300000000006</v>
      </c>
      <c r="BG32" s="2213">
        <f t="shared" si="67"/>
        <v>30.112737373901467</v>
      </c>
      <c r="BH32" s="44">
        <f t="shared" si="68"/>
        <v>1.7016941961346621</v>
      </c>
      <c r="BJ32" s="2218">
        <v>561.529</v>
      </c>
      <c r="BK32" s="2224">
        <f t="shared" si="69"/>
        <v>29.697094700545517</v>
      </c>
      <c r="BL32" s="44">
        <f t="shared" si="98"/>
        <v>0.97390278594458035</v>
      </c>
      <c r="BN32" s="2225">
        <v>586.38400000000001</v>
      </c>
      <c r="BO32" s="2213">
        <f t="shared" si="70"/>
        <v>31.000168644673074</v>
      </c>
      <c r="BP32" s="217">
        <f t="shared" si="71"/>
        <v>4.4263074569612648</v>
      </c>
      <c r="BR32" s="2225">
        <v>586.38400000000001</v>
      </c>
      <c r="BS32" s="2213">
        <f t="shared" si="72"/>
        <v>31.000168644673074</v>
      </c>
      <c r="BT32" s="217">
        <f t="shared" si="99"/>
        <v>4.4263074569612648</v>
      </c>
      <c r="BV32" s="2225">
        <v>692.81799999999998</v>
      </c>
      <c r="BW32" s="2215">
        <f t="shared" si="73"/>
        <v>32.758064714409862</v>
      </c>
      <c r="BX32" s="217">
        <f t="shared" si="100"/>
        <v>18.150904526726521</v>
      </c>
      <c r="BZ32" s="2225">
        <f>545.454+24.5+0.339</f>
        <v>570.29300000000001</v>
      </c>
      <c r="CA32" s="2215">
        <f t="shared" si="74"/>
        <v>29.654818460156079</v>
      </c>
      <c r="CB32" s="217">
        <f t="shared" si="75"/>
        <v>-17.685019731011607</v>
      </c>
      <c r="CD32" s="2225">
        <v>539.10799999999995</v>
      </c>
      <c r="CE32" s="2215">
        <f t="shared" si="76"/>
        <v>29.264612004012626</v>
      </c>
      <c r="CF32" s="217">
        <f t="shared" si="77"/>
        <v>-5.4682417634444143</v>
      </c>
      <c r="CH32" s="2225">
        <v>503.863</v>
      </c>
      <c r="CI32" s="2215">
        <f t="shared" si="78"/>
        <v>28.35008825238889</v>
      </c>
      <c r="CJ32" s="217">
        <f t="shared" si="79"/>
        <v>-6.5376510828998864</v>
      </c>
      <c r="CL32" s="2225">
        <v>565.19299999999998</v>
      </c>
      <c r="CM32" s="2215">
        <f t="shared" si="80"/>
        <v>28.49657048702916</v>
      </c>
      <c r="CN32" s="217">
        <f t="shared" si="81"/>
        <v>12.171959441356073</v>
      </c>
      <c r="CP32" s="2225">
        <v>599.17499999999995</v>
      </c>
      <c r="CQ32" s="2215">
        <f t="shared" si="82"/>
        <v>27.56830249100496</v>
      </c>
      <c r="CR32" s="217">
        <f t="shared" si="83"/>
        <v>6.0124594607505744</v>
      </c>
      <c r="CT32" s="2225">
        <v>638.178</v>
      </c>
      <c r="CU32" s="2215">
        <f t="shared" si="84"/>
        <v>31.127764318314071</v>
      </c>
      <c r="CV32" s="217">
        <f t="shared" si="85"/>
        <v>6.5094504944298581</v>
      </c>
      <c r="CW32" s="217"/>
      <c r="CX32" s="2225">
        <v>645.68299999999999</v>
      </c>
      <c r="CY32" s="2215">
        <f t="shared" si="86"/>
        <v>29.740079508559536</v>
      </c>
      <c r="CZ32" s="217">
        <f t="shared" si="87"/>
        <v>1.1760041869196325</v>
      </c>
      <c r="DA32" s="217"/>
      <c r="DB32" s="2195">
        <v>662.31399999999996</v>
      </c>
      <c r="DC32" s="2215">
        <f t="shared" si="88"/>
        <v>28.562162898780468</v>
      </c>
      <c r="DD32" s="217">
        <f t="shared" si="89"/>
        <v>2.575722142289627</v>
      </c>
      <c r="DE32" s="217"/>
      <c r="DF32" s="2535">
        <v>692.51</v>
      </c>
      <c r="DG32" s="2215">
        <f t="shared" si="90"/>
        <v>27.906067719089695</v>
      </c>
      <c r="DH32" s="217">
        <f t="shared" si="91"/>
        <v>4.5591668000374508</v>
      </c>
      <c r="DI32" s="217"/>
      <c r="DJ32" s="2535">
        <f>741.706</f>
        <v>741.70600000000002</v>
      </c>
      <c r="DK32" s="2215">
        <f t="shared" si="92"/>
        <v>28.737389959391379</v>
      </c>
      <c r="DL32" s="217">
        <f t="shared" si="93"/>
        <v>7.1040129384413175</v>
      </c>
      <c r="DM32" s="217"/>
      <c r="DN32" s="2698">
        <v>756.68399999999997</v>
      </c>
      <c r="DO32" s="2215">
        <f t="shared" si="94"/>
        <v>28.905517032726912</v>
      </c>
      <c r="DP32" s="217">
        <f t="shared" si="95"/>
        <v>2.0193985217862531</v>
      </c>
      <c r="DQ32" s="217"/>
      <c r="DR32" s="2779">
        <f>DR12*DS32/100</f>
        <v>826.81100854719114</v>
      </c>
      <c r="DS32" s="2217">
        <v>29.85</v>
      </c>
      <c r="DT32" s="217">
        <f t="shared" si="97"/>
        <v>9.2676742929930001</v>
      </c>
      <c r="DV32" s="2213"/>
      <c r="DW32" s="2215">
        <f>DN32-DJ32</f>
        <v>14.977999999999952</v>
      </c>
      <c r="DX32" s="217">
        <f>DW32+13</f>
        <v>27.977999999999952</v>
      </c>
      <c r="DZ32" s="2212">
        <f t="shared" si="101"/>
        <v>70.127008547191167</v>
      </c>
      <c r="EA32" s="2212"/>
      <c r="EB32" s="988"/>
    </row>
    <row r="33" spans="1:131">
      <c r="A33" s="23" t="str">
        <f>$A$13</f>
        <v>4Q</v>
      </c>
      <c r="B33" s="23" t="str">
        <f>$B$13</f>
        <v>Jan</v>
      </c>
      <c r="C33" s="139"/>
      <c r="D33" s="2220">
        <f>821.381-D32-D31-D30</f>
        <v>251.30199999999996</v>
      </c>
      <c r="E33" s="139"/>
      <c r="F33" s="2220">
        <f>932.902-F32-F31-F30</f>
        <v>279.65300000000002</v>
      </c>
      <c r="G33" s="2213">
        <f t="shared" si="48"/>
        <v>16.037825118755482</v>
      </c>
      <c r="H33" s="44"/>
      <c r="J33" s="2220">
        <f>1080.843-J32-J31-J30</f>
        <v>318.62400000000002</v>
      </c>
      <c r="K33" s="2213">
        <f t="shared" si="49"/>
        <v>15.496228611003444</v>
      </c>
      <c r="L33" s="44"/>
      <c r="N33" s="2220">
        <f>1202.042-N32-N31-N30</f>
        <v>367.05999999999983</v>
      </c>
      <c r="O33" s="2213">
        <f t="shared" si="50"/>
        <v>15.118053936682585</v>
      </c>
      <c r="P33" s="44"/>
      <c r="R33" s="2220">
        <f>1259.896-R32-R31-R30</f>
        <v>365.08299999999991</v>
      </c>
      <c r="S33" s="2213">
        <f t="shared" si="51"/>
        <v>15.081057747319585</v>
      </c>
      <c r="T33" s="44"/>
      <c r="V33" s="2220">
        <f>1315.374-V32-V31-V30</f>
        <v>391.46000000000009</v>
      </c>
      <c r="W33" s="2213">
        <f t="shared" si="52"/>
        <v>15.420334704695037</v>
      </c>
      <c r="X33" s="44"/>
      <c r="Z33" s="2220">
        <v>464.31099999999998</v>
      </c>
      <c r="AA33" s="2213">
        <f t="shared" si="53"/>
        <v>16.753873993501397</v>
      </c>
      <c r="AB33" s="44">
        <f t="shared" si="54"/>
        <v>18.610075103458822</v>
      </c>
      <c r="AD33" s="2220">
        <v>555.41600000000005</v>
      </c>
      <c r="AE33" s="2213">
        <f t="shared" si="55"/>
        <v>18.724448050930111</v>
      </c>
      <c r="AF33" s="44">
        <f t="shared" si="56"/>
        <v>19.621546764991592</v>
      </c>
      <c r="AH33" s="2220">
        <v>616.94899999999996</v>
      </c>
      <c r="AI33" s="2213">
        <f t="shared" si="57"/>
        <v>20.960085233401514</v>
      </c>
      <c r="AJ33" s="2188" t="s">
        <v>886</v>
      </c>
      <c r="AL33" s="2220">
        <v>678.69899999999996</v>
      </c>
      <c r="AM33" s="2213">
        <f t="shared" si="58"/>
        <v>21.700514552667229</v>
      </c>
      <c r="AN33" s="44">
        <f t="shared" si="59"/>
        <v>10.008931046164271</v>
      </c>
      <c r="AP33" s="2220">
        <v>587.18100000000004</v>
      </c>
      <c r="AQ33" s="2213">
        <f t="shared" si="60"/>
        <v>21.596238778566658</v>
      </c>
      <c r="AR33" s="2188" t="s">
        <v>886</v>
      </c>
      <c r="AT33" s="2220">
        <v>660.38499999999999</v>
      </c>
      <c r="AU33" s="2213">
        <f t="shared" si="61"/>
        <v>22.762862050269014</v>
      </c>
      <c r="AV33" s="44">
        <f t="shared" si="62"/>
        <v>12.467024648277093</v>
      </c>
      <c r="AX33" s="2220">
        <v>638.24599999999998</v>
      </c>
      <c r="AY33" s="2213">
        <f t="shared" si="63"/>
        <v>22.481802218781972</v>
      </c>
      <c r="AZ33" s="44">
        <f t="shared" si="64"/>
        <v>-3.3524383503562349</v>
      </c>
      <c r="BB33" s="2220">
        <v>647.16399999999999</v>
      </c>
      <c r="BC33" s="2213">
        <f t="shared" si="65"/>
        <v>21.81967021874155</v>
      </c>
      <c r="BD33" s="44">
        <f t="shared" si="66"/>
        <v>1.3972668845554814</v>
      </c>
      <c r="BF33" s="2220">
        <v>708.40300000000002</v>
      </c>
      <c r="BG33" s="2213">
        <f t="shared" si="67"/>
        <v>21.925749895231014</v>
      </c>
      <c r="BH33" s="44">
        <f t="shared" si="68"/>
        <v>9.462670976753973</v>
      </c>
      <c r="BJ33" s="2220">
        <v>673.84500000000003</v>
      </c>
      <c r="BK33" s="2224">
        <f t="shared" si="69"/>
        <v>20.245179247102683</v>
      </c>
      <c r="BL33" s="44">
        <f t="shared" si="98"/>
        <v>-4.8782966757622397</v>
      </c>
      <c r="BN33" s="2220">
        <v>750.12300000000005</v>
      </c>
      <c r="BO33" s="2224">
        <f t="shared" si="70"/>
        <v>21.363873916851198</v>
      </c>
      <c r="BP33" s="217">
        <f t="shared" si="71"/>
        <v>11.319813903790932</v>
      </c>
      <c r="BR33" s="2220">
        <v>750.12300000000005</v>
      </c>
      <c r="BS33" s="2224">
        <f t="shared" si="72"/>
        <v>21.180437905750647</v>
      </c>
      <c r="BT33" s="217">
        <f t="shared" si="99"/>
        <v>11.319813903790932</v>
      </c>
      <c r="BV33" s="2227">
        <v>885.42499999999995</v>
      </c>
      <c r="BW33" s="2215">
        <f t="shared" si="73"/>
        <v>21.999765448472953</v>
      </c>
      <c r="BX33" s="217">
        <f t="shared" si="100"/>
        <v>18.037308548064779</v>
      </c>
      <c r="BZ33" s="2227">
        <v>675.24</v>
      </c>
      <c r="CA33" s="2215">
        <f t="shared" si="74"/>
        <v>20.915986648263011</v>
      </c>
      <c r="CB33" s="217">
        <f t="shared" si="75"/>
        <v>-23.738317757009341</v>
      </c>
      <c r="CD33" s="2227">
        <v>633.92499999999995</v>
      </c>
      <c r="CE33" s="2215">
        <f t="shared" si="76"/>
        <v>21.193693829230831</v>
      </c>
      <c r="CF33" s="217">
        <f t="shared" si="77"/>
        <v>-6.1185652508737753</v>
      </c>
      <c r="CH33" s="2227">
        <f>660.03+3.403</f>
        <v>663.43299999999999</v>
      </c>
      <c r="CI33" s="2215">
        <f t="shared" si="78"/>
        <v>21.657093275601369</v>
      </c>
      <c r="CJ33" s="217">
        <f t="shared" si="79"/>
        <v>4.6548093228694354</v>
      </c>
      <c r="CL33" s="2227">
        <v>731.25099999999998</v>
      </c>
      <c r="CM33" s="2215">
        <f t="shared" si="80"/>
        <v>21.159740267256193</v>
      </c>
      <c r="CN33" s="217">
        <f t="shared" si="81"/>
        <v>10.222283184586844</v>
      </c>
      <c r="CP33" s="2227">
        <v>758.10299999999995</v>
      </c>
      <c r="CQ33" s="2215">
        <f t="shared" si="82"/>
        <v>21.565039343738139</v>
      </c>
      <c r="CR33" s="217">
        <f t="shared" si="83"/>
        <v>3.6720633544432779</v>
      </c>
      <c r="CT33" s="2227">
        <v>835.327</v>
      </c>
      <c r="CU33" s="2215">
        <f t="shared" si="84"/>
        <v>21.665387569143238</v>
      </c>
      <c r="CV33" s="217">
        <f t="shared" si="85"/>
        <v>10.186478618340789</v>
      </c>
      <c r="CW33" s="217"/>
      <c r="CX33" s="2227">
        <v>778.84400000000005</v>
      </c>
      <c r="CY33" s="2215">
        <f t="shared" si="86"/>
        <v>20.398187419104595</v>
      </c>
      <c r="CZ33" s="217">
        <f t="shared" si="87"/>
        <v>-6.7617831100874159</v>
      </c>
      <c r="DA33" s="217"/>
      <c r="DB33" s="2227">
        <v>877.81799999999998</v>
      </c>
      <c r="DC33" s="2215">
        <f t="shared" si="88"/>
        <v>21.574980614129625</v>
      </c>
      <c r="DD33" s="217">
        <f>(DB33/CX33-1)*100</f>
        <v>12.707807982086262</v>
      </c>
      <c r="DE33" s="217"/>
      <c r="DF33" s="2227">
        <v>924.43499999999995</v>
      </c>
      <c r="DG33" s="2215">
        <f t="shared" si="90"/>
        <v>21.033601749609048</v>
      </c>
      <c r="DH33" s="217">
        <f t="shared" si="91"/>
        <v>5.310554123975586</v>
      </c>
      <c r="DI33" s="217"/>
      <c r="DJ33" s="2227">
        <v>956.471</v>
      </c>
      <c r="DK33" s="2215">
        <f t="shared" si="92"/>
        <v>21.30470256820217</v>
      </c>
      <c r="DL33" s="217">
        <f t="shared" si="93"/>
        <v>3.4654680967293627</v>
      </c>
      <c r="DM33" s="217"/>
      <c r="DN33" s="2869">
        <v>1053.6969999999999</v>
      </c>
      <c r="DO33" s="2215">
        <f t="shared" si="94"/>
        <v>21.846882710290057</v>
      </c>
      <c r="DP33" s="217">
        <f>(DN33/DJ33-1)*100</f>
        <v>10.165075574690707</v>
      </c>
      <c r="DQ33" s="217"/>
      <c r="DR33" s="2780">
        <f>DR13*DS33/100</f>
        <v>1141.3945143493781</v>
      </c>
      <c r="DS33" s="2217">
        <v>23.45</v>
      </c>
      <c r="DT33" s="217">
        <f t="shared" si="97"/>
        <v>8.3228399007853504</v>
      </c>
      <c r="DV33" s="2213"/>
      <c r="DW33" s="2215">
        <f>DN33-DJ33</f>
        <v>97.225999999999885</v>
      </c>
      <c r="DX33" s="217"/>
      <c r="DZ33" s="2212">
        <f>DR33-DN33</f>
        <v>87.697514349378253</v>
      </c>
      <c r="EA33" s="2212"/>
    </row>
    <row r="34" spans="1:131">
      <c r="B34" s="23" t="str">
        <f>$B$14</f>
        <v>Year</v>
      </c>
      <c r="D34" s="1854">
        <f>SUM(D30:D33)</f>
        <v>821.38099999999986</v>
      </c>
      <c r="F34" s="1854">
        <f>SUM(F30:F33)</f>
        <v>932.90200000000004</v>
      </c>
      <c r="G34" s="2213">
        <f t="shared" si="48"/>
        <v>17.757693001001805</v>
      </c>
      <c r="H34" s="44"/>
      <c r="J34" s="1854">
        <f>SUM(J30:J33)</f>
        <v>1080.8430000000001</v>
      </c>
      <c r="K34" s="2213">
        <f t="shared" si="49"/>
        <v>17.576917910537571</v>
      </c>
      <c r="L34" s="44"/>
      <c r="N34" s="1854">
        <f>SUM(N30:N33)</f>
        <v>1202.0419999999999</v>
      </c>
      <c r="O34" s="2213">
        <f t="shared" si="50"/>
        <v>17.309774813746419</v>
      </c>
      <c r="P34" s="44"/>
      <c r="R34" s="1854">
        <f>SUM(R30:R33)</f>
        <v>1259.896</v>
      </c>
      <c r="S34" s="2213">
        <f t="shared" si="51"/>
        <v>17.389657654951879</v>
      </c>
      <c r="T34" s="44"/>
      <c r="V34" s="1854">
        <f>SUM(V30:V33)</f>
        <v>1315.374</v>
      </c>
      <c r="W34" s="2213">
        <f t="shared" si="52"/>
        <v>17.967646123534177</v>
      </c>
      <c r="X34" s="44"/>
      <c r="Z34" s="1854">
        <f>SUM(Z30:Z33)</f>
        <v>1475.4969999999998</v>
      </c>
      <c r="AA34" s="2213">
        <f t="shared" si="53"/>
        <v>18.721167218617619</v>
      </c>
      <c r="AB34" s="44">
        <f t="shared" si="54"/>
        <v>12.173191807044969</v>
      </c>
      <c r="AD34" s="1854">
        <f>SUM(AD30:AD33)</f>
        <v>1848.5120000000002</v>
      </c>
      <c r="AE34" s="2213">
        <f t="shared" si="55"/>
        <v>21.382957667802501</v>
      </c>
      <c r="AF34" s="44">
        <f t="shared" si="56"/>
        <v>25.280634254085264</v>
      </c>
      <c r="AH34" s="1854">
        <f>SUM(AH30:AH33)</f>
        <v>1864.0070000000001</v>
      </c>
      <c r="AI34" s="2213">
        <f t="shared" si="57"/>
        <v>22.278786169276309</v>
      </c>
      <c r="AJ34" s="2188" t="s">
        <v>886</v>
      </c>
      <c r="AL34" s="1854">
        <f>SUM(AL30:AL33)</f>
        <v>2120.17</v>
      </c>
      <c r="AM34" s="2213">
        <f t="shared" si="58"/>
        <v>23.993103214919888</v>
      </c>
      <c r="AN34" s="44">
        <f t="shared" si="59"/>
        <v>13.742598606121103</v>
      </c>
      <c r="AP34" s="1854">
        <f>SUM(AP30:AP33)</f>
        <v>1938.3040000000001</v>
      </c>
      <c r="AQ34" s="2213">
        <f t="shared" si="60"/>
        <v>25.434937451414818</v>
      </c>
      <c r="AR34" s="2188" t="s">
        <v>886</v>
      </c>
      <c r="AT34" s="1854">
        <f>SUM(AT30:AT33)</f>
        <v>2124.3559999999998</v>
      </c>
      <c r="AU34" s="2213">
        <f t="shared" si="61"/>
        <v>26.066443813833828</v>
      </c>
      <c r="AV34" s="44">
        <f t="shared" si="62"/>
        <v>9.5987007198045085</v>
      </c>
      <c r="AX34" s="1854">
        <f>SUM(AX30:AX33)</f>
        <v>2173.518</v>
      </c>
      <c r="AY34" s="2213">
        <f t="shared" si="63"/>
        <v>27.417677323794472</v>
      </c>
      <c r="AZ34" s="44">
        <f t="shared" si="64"/>
        <v>2.3142072232714472</v>
      </c>
      <c r="BB34" s="1854">
        <f>SUM(BB30:BB33)</f>
        <v>2221.7849999999999</v>
      </c>
      <c r="BC34" s="2213">
        <f t="shared" si="65"/>
        <v>26.309958939703147</v>
      </c>
      <c r="BD34" s="44">
        <f t="shared" si="66"/>
        <v>2.2206855429768524</v>
      </c>
      <c r="BF34" s="1854">
        <f>SUM(BF30:BF33)</f>
        <v>2298.8910000000001</v>
      </c>
      <c r="BG34" s="2213">
        <f t="shared" si="67"/>
        <v>25.731672086169706</v>
      </c>
      <c r="BH34" s="44">
        <f t="shared" si="68"/>
        <v>3.4704528115906852</v>
      </c>
      <c r="BJ34" s="1854">
        <f>SUM(BJ30:BJ33)</f>
        <v>2367.2659999999996</v>
      </c>
      <c r="BK34" s="2213">
        <f t="shared" si="69"/>
        <v>25.161431721226929</v>
      </c>
      <c r="BL34" s="44">
        <f t="shared" si="98"/>
        <v>2.9742601976344041</v>
      </c>
      <c r="BN34" s="1855">
        <f>SUM(BN30:BN33)</f>
        <v>2493.951</v>
      </c>
      <c r="BO34" s="2215">
        <f t="shared" si="70"/>
        <v>25.794443618744012</v>
      </c>
      <c r="BP34" s="217">
        <f t="shared" si="71"/>
        <v>5.3515321049683706</v>
      </c>
      <c r="BR34" s="1855">
        <f>SUM(BR30:BR33)</f>
        <v>2493.951</v>
      </c>
      <c r="BS34" s="2215">
        <f t="shared" si="72"/>
        <v>25.713570763404931</v>
      </c>
      <c r="BT34" s="217">
        <f t="shared" si="99"/>
        <v>5.3515321049683706</v>
      </c>
      <c r="BV34" s="1855">
        <f>SUM(BV30:BV33)</f>
        <v>2837.4269999999997</v>
      </c>
      <c r="BW34" s="2215">
        <f t="shared" si="73"/>
        <v>26.591075158948435</v>
      </c>
      <c r="BX34" s="217">
        <f t="shared" si="100"/>
        <v>13.772363610993143</v>
      </c>
      <c r="BZ34" s="1855">
        <f>SUM(BZ30:BZ33)</f>
        <v>2602.4579999999996</v>
      </c>
      <c r="CA34" s="2215">
        <f t="shared" si="74"/>
        <v>25.801735570227059</v>
      </c>
      <c r="CB34" s="217">
        <f t="shared" si="75"/>
        <v>-8.2810588607213571</v>
      </c>
      <c r="CD34" s="1855">
        <f>SUM(CD30:CD33)</f>
        <v>2288.9290000000001</v>
      </c>
      <c r="CE34" s="2215">
        <f t="shared" si="76"/>
        <v>25.312504112441875</v>
      </c>
      <c r="CF34" s="217">
        <f t="shared" si="77"/>
        <v>-12.047418248440501</v>
      </c>
      <c r="CH34" s="1855">
        <f>SUM(CH30:CH33)</f>
        <v>2169.806</v>
      </c>
      <c r="CI34" s="2215">
        <f t="shared" si="78"/>
        <v>25.135349160056752</v>
      </c>
      <c r="CJ34" s="217">
        <f t="shared" si="79"/>
        <v>-5.2043117108481756</v>
      </c>
      <c r="CL34" s="1855">
        <f>SUM(CL30:CL33)</f>
        <v>2346.7559999999999</v>
      </c>
      <c r="CM34" s="2215">
        <f t="shared" si="80"/>
        <v>24.411610690963059</v>
      </c>
      <c r="CN34" s="217">
        <f t="shared" si="81"/>
        <v>8.1551069542622692</v>
      </c>
      <c r="CP34" s="1855">
        <f>SUM(CP30:CP33)</f>
        <v>2527.3199999999997</v>
      </c>
      <c r="CQ34" s="2215">
        <f t="shared" si="82"/>
        <v>24.385570124579335</v>
      </c>
      <c r="CR34" s="217">
        <f t="shared" si="83"/>
        <v>7.6941957323215515</v>
      </c>
      <c r="CT34" s="1855">
        <f>SUM(CT30:CT33)</f>
        <v>2718.6409999999996</v>
      </c>
      <c r="CU34" s="2215">
        <f t="shared" si="84"/>
        <v>25.994181659357242</v>
      </c>
      <c r="CV34" s="217">
        <f t="shared" si="85"/>
        <v>7.570113796432576</v>
      </c>
      <c r="CW34" s="217"/>
      <c r="CX34" s="1855">
        <f>SUM(CX30:CX33)</f>
        <v>2685.576</v>
      </c>
      <c r="CY34" s="2215">
        <f t="shared" si="86"/>
        <v>24.928278115039245</v>
      </c>
      <c r="CZ34" s="217">
        <f t="shared" si="87"/>
        <v>-1.2162326691902203</v>
      </c>
      <c r="DA34" s="217"/>
      <c r="DB34" s="1855">
        <f>SUM(DB30:DB33)</f>
        <v>2854.5309999999999</v>
      </c>
      <c r="DC34" s="2215">
        <f t="shared" si="88"/>
        <v>24.921564929815275</v>
      </c>
      <c r="DD34" s="217">
        <f>(DB34/CX34-1)*100</f>
        <v>6.2912015895286499</v>
      </c>
      <c r="DE34" s="217"/>
      <c r="DF34" s="1855">
        <f>SUM(DF30:DF33)</f>
        <v>3011.9810000000002</v>
      </c>
      <c r="DG34" s="2215">
        <f t="shared" si="90"/>
        <v>24.782244808325572</v>
      </c>
      <c r="DH34" s="217">
        <f t="shared" si="91"/>
        <v>5.5157922614958554</v>
      </c>
      <c r="DI34" s="217"/>
      <c r="DJ34" s="1855">
        <f>SUM(DJ30:DJ33)</f>
        <v>3098.989</v>
      </c>
      <c r="DK34" s="2215">
        <f t="shared" si="92"/>
        <v>24.645729307017525</v>
      </c>
      <c r="DL34" s="217">
        <f t="shared" si="93"/>
        <v>2.8887300417897555</v>
      </c>
      <c r="DM34" s="217"/>
      <c r="DN34" s="1855">
        <f>SUM(DN30:DN33)</f>
        <v>3231.0349999999999</v>
      </c>
      <c r="DO34" s="2215">
        <f>DN34/DN14*100</f>
        <v>25.577558931450668</v>
      </c>
      <c r="DP34" s="217">
        <f>(DN34/DJ34-1)*100</f>
        <v>4.2609380026841004</v>
      </c>
      <c r="DQ34" s="217"/>
      <c r="DR34" s="2778">
        <f>SUM(DR30:DR33)</f>
        <v>3531.1896509473354</v>
      </c>
      <c r="DS34" s="2215">
        <f>DR34/DR14*100</f>
        <v>26.860972821823282</v>
      </c>
      <c r="DT34" s="217">
        <f>(DR34/DN34-1)*100</f>
        <v>9.2897369092979751</v>
      </c>
      <c r="DV34" s="2213"/>
      <c r="DW34" s="2215">
        <f>DN34-DJ34</f>
        <v>132.04599999999982</v>
      </c>
      <c r="DX34" s="2228"/>
      <c r="DZ34" s="2212">
        <f>DR34-DN34</f>
        <v>300.15465094733554</v>
      </c>
    </row>
    <row r="35" spans="1:131" hidden="1" outlineLevel="1">
      <c r="A35" s="23" t="str">
        <f>$A$15</f>
        <v>6 Mos</v>
      </c>
      <c r="D35" s="1899">
        <f>SUM(D30:D31)</f>
        <v>372.488</v>
      </c>
      <c r="F35" s="1899">
        <f>SUM(F30:F31)</f>
        <v>425.274</v>
      </c>
      <c r="G35" s="2213">
        <f t="shared" si="48"/>
        <v>18.801568764763537</v>
      </c>
      <c r="H35" s="44"/>
      <c r="J35" s="1899">
        <f>SUM(J30:J31)</f>
        <v>497.01800000000003</v>
      </c>
      <c r="K35" s="2213">
        <f t="shared" si="49"/>
        <v>18.687226634010951</v>
      </c>
      <c r="L35" s="44"/>
      <c r="N35" s="1899">
        <f>SUM(N30:N31)</f>
        <v>539.79099999999994</v>
      </c>
      <c r="O35" s="2213">
        <f t="shared" si="50"/>
        <v>18.581330649242105</v>
      </c>
      <c r="P35" s="44"/>
      <c r="R35" s="1899">
        <f>SUM(R30:R31)</f>
        <v>596.654</v>
      </c>
      <c r="S35" s="2213">
        <f t="shared" si="51"/>
        <v>18.601166723198787</v>
      </c>
      <c r="T35" s="44"/>
      <c r="V35" s="1899">
        <f>SUM(V30:V31)</f>
        <v>594.16100000000006</v>
      </c>
      <c r="W35" s="2213">
        <f t="shared" si="52"/>
        <v>19.372583158896912</v>
      </c>
      <c r="X35" s="44"/>
      <c r="Z35" s="1899">
        <f>SUM(Z30:Z31)</f>
        <v>649.58899999999994</v>
      </c>
      <c r="AA35" s="2213">
        <f t="shared" si="53"/>
        <v>19.644173163173686</v>
      </c>
      <c r="AB35" s="44">
        <f t="shared" si="54"/>
        <v>9.3287846223498061</v>
      </c>
      <c r="AD35" s="1899">
        <f>SUM(AD30:AD31)</f>
        <v>826.072</v>
      </c>
      <c r="AE35" s="2213">
        <f t="shared" si="55"/>
        <v>22.426011471561083</v>
      </c>
      <c r="AF35" s="44">
        <f t="shared" si="56"/>
        <v>27.168409563585595</v>
      </c>
      <c r="AH35" s="1899">
        <f>SUM(AH30:AH31)</f>
        <v>797.76700000000005</v>
      </c>
      <c r="AI35" s="2213">
        <f t="shared" si="57"/>
        <v>22.232865034126824</v>
      </c>
      <c r="AJ35" s="2188" t="s">
        <v>886</v>
      </c>
      <c r="AL35" s="1899">
        <f>SUM(AL30:AL31)</f>
        <v>948.94200000000001</v>
      </c>
      <c r="AM35" s="2213">
        <f t="shared" si="58"/>
        <v>24.930039249478511</v>
      </c>
      <c r="AN35" s="44">
        <f t="shared" si="59"/>
        <v>18.94976854144128</v>
      </c>
      <c r="AP35" s="1899">
        <f>SUM(AP30:AP31)</f>
        <v>901.18799999999999</v>
      </c>
      <c r="AQ35" s="2213">
        <f t="shared" si="60"/>
        <v>27.149573183866092</v>
      </c>
      <c r="AR35" s="2188" t="s">
        <v>886</v>
      </c>
      <c r="AT35" s="1899">
        <f>SUM(AT30:AT31)</f>
        <v>961.18499999999995</v>
      </c>
      <c r="AU35" s="2213">
        <f t="shared" si="61"/>
        <v>27.208487867236808</v>
      </c>
      <c r="AV35" s="44">
        <f t="shared" si="62"/>
        <v>6.6575453734403878</v>
      </c>
      <c r="AX35" s="1899">
        <f>SUM(AX30:AX31)</f>
        <v>1012.9380000000001</v>
      </c>
      <c r="AY35" s="2213">
        <f t="shared" si="63"/>
        <v>29.539014444674823</v>
      </c>
      <c r="AZ35" s="44">
        <f t="shared" si="64"/>
        <v>5.3842912654691988</v>
      </c>
      <c r="BB35" s="1899">
        <f>SUM(BB30:BB31)</f>
        <v>1027.8129999999999</v>
      </c>
      <c r="BC35" s="2213">
        <f t="shared" si="65"/>
        <v>27.695471155227136</v>
      </c>
      <c r="BD35" s="44">
        <f t="shared" si="66"/>
        <v>1.4685005400132844</v>
      </c>
      <c r="BF35" s="1899">
        <f>SUM(BF30:BF31)</f>
        <v>1034.375</v>
      </c>
      <c r="BG35" s="2213">
        <f t="shared" si="67"/>
        <v>26.822274539253289</v>
      </c>
      <c r="BH35" s="44">
        <f t="shared" si="68"/>
        <v>0.63844298525121967</v>
      </c>
      <c r="BJ35" s="1899">
        <f>SUM(BJ30:BJ31)</f>
        <v>1131.8919999999998</v>
      </c>
      <c r="BK35" s="2213">
        <f t="shared" si="69"/>
        <v>27.020351942631176</v>
      </c>
      <c r="BL35" s="44">
        <f t="shared" si="98"/>
        <v>9.4276253776434782</v>
      </c>
      <c r="BN35" s="2202">
        <f>SUM(BN30:BN31)</f>
        <v>1157.444</v>
      </c>
      <c r="BO35" s="2215">
        <f t="shared" si="70"/>
        <v>27.132895263363572</v>
      </c>
      <c r="BP35" s="217">
        <f t="shared" si="71"/>
        <v>2.2574591922197573</v>
      </c>
      <c r="BR35" s="2202">
        <f>SUM(BR30:BR31)</f>
        <v>1157.444</v>
      </c>
      <c r="BS35" s="2215">
        <f t="shared" si="72"/>
        <v>27.132895263363572</v>
      </c>
      <c r="BT35" s="217">
        <f t="shared" si="99"/>
        <v>2.2574591922197573</v>
      </c>
      <c r="BV35" s="2202">
        <f>SUM(BV30:BV31)</f>
        <v>1259.184</v>
      </c>
      <c r="BW35" s="2215">
        <f t="shared" si="73"/>
        <v>27.790771148522509</v>
      </c>
      <c r="BX35" s="217">
        <f>(BV35/BR35-1)*100</f>
        <v>8.7900580935233119</v>
      </c>
      <c r="BZ35" s="2202">
        <f>SUM(BZ30:BZ31)</f>
        <v>1356.925</v>
      </c>
      <c r="CA35" s="2215">
        <f t="shared" si="74"/>
        <v>27.496393051964368</v>
      </c>
      <c r="CB35" s="217">
        <f t="shared" si="75"/>
        <v>7.7622492026582224</v>
      </c>
      <c r="CD35" s="2202">
        <f>SUM(CD30:CD31)</f>
        <v>1115.896</v>
      </c>
      <c r="CE35" s="2215">
        <f t="shared" si="76"/>
        <v>26.509652812340018</v>
      </c>
      <c r="CF35" s="217">
        <f t="shared" si="77"/>
        <v>-17.762882989111407</v>
      </c>
      <c r="CH35" s="2202">
        <f>SUM(CH30:CH31)</f>
        <v>1002.51</v>
      </c>
      <c r="CI35" s="2215">
        <f t="shared" si="78"/>
        <v>26.438566745968391</v>
      </c>
      <c r="CJ35" s="217">
        <f t="shared" si="79"/>
        <v>-10.160982743911617</v>
      </c>
      <c r="CL35" s="2202">
        <f>SUM(CL30:CL31)</f>
        <v>1050.3119999999999</v>
      </c>
      <c r="CM35" s="2215">
        <f t="shared" si="80"/>
        <v>25.162923456042407</v>
      </c>
      <c r="CN35" s="217">
        <f t="shared" si="81"/>
        <v>4.768231738336759</v>
      </c>
      <c r="CP35" s="2202">
        <f>SUM(CP30:CP31)</f>
        <v>1170.0419999999999</v>
      </c>
      <c r="CQ35" s="2215">
        <f t="shared" si="82"/>
        <v>25.02682265731681</v>
      </c>
      <c r="CR35" s="217">
        <f t="shared" si="83"/>
        <v>11.399469871809531</v>
      </c>
      <c r="CT35" s="2202">
        <f>SUM(CT30:CT31)</f>
        <v>1245.136</v>
      </c>
      <c r="CU35" s="2215">
        <f t="shared" si="84"/>
        <v>27.348291764077448</v>
      </c>
      <c r="CV35" s="217">
        <f t="shared" si="85"/>
        <v>6.4180602063857561</v>
      </c>
      <c r="CW35" s="217"/>
      <c r="CX35" s="2202">
        <f>SUM(CX30:CX31)</f>
        <v>1261.049</v>
      </c>
      <c r="CY35" s="2215">
        <f t="shared" si="86"/>
        <v>26.360221316918864</v>
      </c>
      <c r="CZ35" s="217">
        <f t="shared" si="87"/>
        <v>1.2780130042019611</v>
      </c>
      <c r="DA35" s="217"/>
      <c r="DB35" s="2202">
        <f>SUM(DB30:DB31)</f>
        <v>1314.3989999999999</v>
      </c>
      <c r="DC35" s="2215">
        <f t="shared" si="88"/>
        <v>25.942728974264689</v>
      </c>
      <c r="DD35" s="217">
        <f t="shared" si="89"/>
        <v>4.2306048377184213</v>
      </c>
      <c r="DE35" s="217"/>
      <c r="DF35" s="2202">
        <f>SUM(DF30:DF31)</f>
        <v>1395.0360000000001</v>
      </c>
      <c r="DG35" s="2215">
        <f t="shared" si="90"/>
        <v>26.435275230539972</v>
      </c>
      <c r="DH35" s="217">
        <f t="shared" si="91"/>
        <v>6.1348951117583095</v>
      </c>
      <c r="DI35" s="217"/>
      <c r="DJ35" s="2202">
        <f>SUM(DJ30:DJ31)</f>
        <v>1400.8119999999999</v>
      </c>
      <c r="DK35" s="2215">
        <f t="shared" si="92"/>
        <v>25.452838790317315</v>
      </c>
      <c r="DL35" s="217">
        <f t="shared" si="93"/>
        <v>0.41403949432128329</v>
      </c>
      <c r="DM35" s="217"/>
      <c r="DN35" s="2202">
        <f>SUM(DN30:DN31)</f>
        <v>1420.654</v>
      </c>
      <c r="DO35" s="2215">
        <f>DN35/DN15*100</f>
        <v>27.364773825431094</v>
      </c>
      <c r="DP35" s="217">
        <f t="shared" si="95"/>
        <v>1.416464165069975</v>
      </c>
      <c r="DQ35" s="217"/>
      <c r="DR35" s="2202">
        <f>SUM(DR30:DR31)</f>
        <v>1562.9841280507662</v>
      </c>
      <c r="DS35" s="2215" t="e">
        <f>DR35/DR15*100</f>
        <v>#DIV/0!</v>
      </c>
      <c r="DT35" s="217">
        <f t="shared" ref="DT35:DT36" si="102">(DR35/DN35-1)*100</f>
        <v>10.018634238228753</v>
      </c>
    </row>
    <row r="36" spans="1:131" hidden="1" outlineLevel="1">
      <c r="A36" s="23" t="str">
        <f>$A$16</f>
        <v>9 Mos</v>
      </c>
      <c r="D36" s="1899">
        <f>SUM(D30:D32)</f>
        <v>570.07899999999995</v>
      </c>
      <c r="F36" s="1899">
        <f>SUM(F30:F32)</f>
        <v>653.24900000000002</v>
      </c>
      <c r="G36" s="2213">
        <f t="shared" si="48"/>
        <v>18.612143142059377</v>
      </c>
      <c r="H36" s="44"/>
      <c r="J36" s="1899">
        <f>SUM(J30:J32)</f>
        <v>762.21900000000005</v>
      </c>
      <c r="K36" s="2213">
        <f t="shared" si="49"/>
        <v>18.622142401844677</v>
      </c>
      <c r="L36" s="44"/>
      <c r="N36" s="1899">
        <f>SUM(N30:N32)</f>
        <v>834.98199999999997</v>
      </c>
      <c r="O36" s="2213">
        <f t="shared" si="50"/>
        <v>18.488031675220057</v>
      </c>
      <c r="P36" s="44"/>
      <c r="R36" s="1899">
        <f>SUM(R30:R32)</f>
        <v>894.81299999999999</v>
      </c>
      <c r="S36" s="2213">
        <f t="shared" si="51"/>
        <v>18.548103417647766</v>
      </c>
      <c r="T36" s="44"/>
      <c r="V36" s="1899">
        <f>SUM(V30:V32)</f>
        <v>923.91399999999999</v>
      </c>
      <c r="W36" s="2213">
        <f t="shared" si="52"/>
        <v>19.319868947236792</v>
      </c>
      <c r="X36" s="44"/>
      <c r="Z36" s="1899">
        <f>SUM(Z30:Z32)</f>
        <v>1011.1859999999999</v>
      </c>
      <c r="AA36" s="2213">
        <f t="shared" si="53"/>
        <v>19.788096919182347</v>
      </c>
      <c r="AB36" s="44">
        <f t="shared" si="54"/>
        <v>9.4459008089497374</v>
      </c>
      <c r="AD36" s="1899">
        <f>SUM(AD30:AD32)</f>
        <v>1293.096</v>
      </c>
      <c r="AE36" s="2213">
        <f t="shared" si="55"/>
        <v>22.771668019716369</v>
      </c>
      <c r="AF36" s="44">
        <f t="shared" si="56"/>
        <v>27.879143896375158</v>
      </c>
      <c r="AH36" s="1899">
        <f>SUM(AH30:AH32)</f>
        <v>1247.058</v>
      </c>
      <c r="AI36" s="2213">
        <f t="shared" si="57"/>
        <v>22.994500753048701</v>
      </c>
      <c r="AJ36" s="2188" t="s">
        <v>886</v>
      </c>
      <c r="AL36" s="1899">
        <f>SUM(AL30:AL32)</f>
        <v>1441.471</v>
      </c>
      <c r="AM36" s="2213">
        <f t="shared" si="58"/>
        <v>25.249053688818201</v>
      </c>
      <c r="AN36" s="44">
        <f t="shared" si="59"/>
        <v>15.589731993219246</v>
      </c>
      <c r="AP36" s="1899">
        <f>SUM(AP30:AP32)</f>
        <v>1351.123</v>
      </c>
      <c r="AQ36" s="2213">
        <f t="shared" si="60"/>
        <v>27.564195676140596</v>
      </c>
      <c r="AR36" s="2188" t="s">
        <v>886</v>
      </c>
      <c r="AT36" s="1899">
        <f>SUM(AT30:AT32)</f>
        <v>1463.971</v>
      </c>
      <c r="AU36" s="2213">
        <f t="shared" si="61"/>
        <v>27.892483017447244</v>
      </c>
      <c r="AV36" s="44">
        <f t="shared" si="62"/>
        <v>8.3521633485626356</v>
      </c>
      <c r="AX36" s="1899">
        <f>SUM(AX30:AX32)</f>
        <v>1535.2719999999999</v>
      </c>
      <c r="AY36" s="2213">
        <f t="shared" si="63"/>
        <v>30.171477263973106</v>
      </c>
      <c r="AZ36" s="44">
        <f t="shared" si="64"/>
        <v>4.8703833614190506</v>
      </c>
      <c r="BB36" s="1899">
        <f>SUM(BB30:BB32)</f>
        <v>1574.6209999999999</v>
      </c>
      <c r="BC36" s="2213">
        <f t="shared" si="65"/>
        <v>28.740840872851308</v>
      </c>
      <c r="BD36" s="44">
        <f t="shared" si="66"/>
        <v>2.5629986087155832</v>
      </c>
      <c r="BF36" s="1899">
        <f>SUM(BF30:BF32)</f>
        <v>1590.4880000000001</v>
      </c>
      <c r="BG36" s="2213">
        <f t="shared" si="67"/>
        <v>27.887774051392089</v>
      </c>
      <c r="BH36" s="44">
        <f t="shared" si="68"/>
        <v>1.0076710522722632</v>
      </c>
      <c r="BJ36" s="1899">
        <f>SUM(BJ30:BJ32)</f>
        <v>1693.4209999999998</v>
      </c>
      <c r="BK36" s="2213">
        <f t="shared" si="69"/>
        <v>27.85282299515287</v>
      </c>
      <c r="BL36" s="44">
        <f t="shared" si="98"/>
        <v>6.471787275351959</v>
      </c>
      <c r="BN36" s="2202">
        <f>SUM(BN30:BN32)</f>
        <v>1743.828</v>
      </c>
      <c r="BO36" s="2215">
        <f t="shared" si="70"/>
        <v>28.320923301194146</v>
      </c>
      <c r="BP36" s="217">
        <f t="shared" si="71"/>
        <v>2.9766372331511359</v>
      </c>
      <c r="BR36" s="2202">
        <f>SUM(BR30:BR32)</f>
        <v>1743.828</v>
      </c>
      <c r="BS36" s="2215">
        <f t="shared" si="72"/>
        <v>28.320923301194146</v>
      </c>
      <c r="BT36" s="217">
        <f t="shared" si="99"/>
        <v>2.9766372331511359</v>
      </c>
      <c r="BV36" s="2202">
        <f>SUM(BV30:BV32)</f>
        <v>1952.002</v>
      </c>
      <c r="BW36" s="2215">
        <f t="shared" si="73"/>
        <v>29.371535550430593</v>
      </c>
      <c r="BX36" s="217">
        <f t="shared" si="100"/>
        <v>11.937759916689039</v>
      </c>
      <c r="BZ36" s="2202">
        <f>SUM(BZ30:BZ32)</f>
        <v>1927.2179999999998</v>
      </c>
      <c r="CA36" s="2215">
        <f t="shared" si="74"/>
        <v>28.101651437790242</v>
      </c>
      <c r="CB36" s="217">
        <f t="shared" si="75"/>
        <v>-1.2696708302552984</v>
      </c>
      <c r="CD36" s="2202">
        <f>SUM(CD30:CD32)</f>
        <v>1655.0039999999999</v>
      </c>
      <c r="CE36" s="2215">
        <f t="shared" si="76"/>
        <v>27.348300336160197</v>
      </c>
      <c r="CF36" s="217">
        <f t="shared" si="77"/>
        <v>-14.124712409286333</v>
      </c>
      <c r="CH36" s="2202">
        <f>SUM(CH30:CH32)</f>
        <v>1506.373</v>
      </c>
      <c r="CI36" s="2215">
        <f t="shared" si="78"/>
        <v>27.048594252322083</v>
      </c>
      <c r="CJ36" s="217">
        <f t="shared" si="79"/>
        <v>-8.9807033699012102</v>
      </c>
      <c r="CL36" s="2202">
        <f>SUM(CL30:CL32)</f>
        <v>1615.5049999999999</v>
      </c>
      <c r="CM36" s="2215">
        <f t="shared" si="80"/>
        <v>26.236727797268266</v>
      </c>
      <c r="CN36" s="217">
        <f t="shared" si="81"/>
        <v>7.244686409010237</v>
      </c>
      <c r="CP36" s="2202">
        <f>SUM(CP30:CP32)</f>
        <v>1769.2169999999999</v>
      </c>
      <c r="CQ36" s="2215">
        <f t="shared" si="82"/>
        <v>25.833370810732514</v>
      </c>
      <c r="CR36" s="217">
        <f t="shared" si="83"/>
        <v>9.5147956830836211</v>
      </c>
      <c r="CT36" s="2202">
        <f>SUM(CT30:CT32)</f>
        <v>1883.3139999999999</v>
      </c>
      <c r="CU36" s="2215">
        <f t="shared" si="84"/>
        <v>28.521780692111076</v>
      </c>
      <c r="CV36" s="217">
        <f t="shared" si="85"/>
        <v>6.4490110596947758</v>
      </c>
      <c r="CW36" s="217"/>
      <c r="CX36" s="2202">
        <f>SUM(CX30:CX32)</f>
        <v>1906.732</v>
      </c>
      <c r="CY36" s="2215">
        <f t="shared" si="86"/>
        <v>27.415285357461027</v>
      </c>
      <c r="CZ36" s="217">
        <f t="shared" si="87"/>
        <v>1.2434463929010375</v>
      </c>
      <c r="DA36" s="217"/>
      <c r="DB36" s="2202">
        <f>SUM(DB30:DB32)</f>
        <v>1976.7129999999997</v>
      </c>
      <c r="DC36" s="2215">
        <f t="shared" si="88"/>
        <v>26.765173737561931</v>
      </c>
      <c r="DD36" s="217">
        <f t="shared" si="89"/>
        <v>3.6702064055147643</v>
      </c>
      <c r="DE36" s="217"/>
      <c r="DF36" s="2202">
        <f>SUM(DF30:DF32)</f>
        <v>2087.5460000000003</v>
      </c>
      <c r="DG36" s="2215">
        <f t="shared" si="90"/>
        <v>26.905696548323309</v>
      </c>
      <c r="DH36" s="217">
        <f t="shared" si="91"/>
        <v>5.6069343399876681</v>
      </c>
      <c r="DI36" s="217"/>
      <c r="DJ36" s="2202">
        <f>SUM(DJ30:DJ32)</f>
        <v>2142.518</v>
      </c>
      <c r="DK36" s="2215">
        <f t="shared" si="92"/>
        <v>26.501427787215547</v>
      </c>
      <c r="DL36" s="217">
        <f t="shared" si="93"/>
        <v>2.6333311936599157</v>
      </c>
      <c r="DM36" s="217"/>
      <c r="DN36" s="2202">
        <f>SUM(DN30:DN32)</f>
        <v>2177.3379999999997</v>
      </c>
      <c r="DO36" s="2215">
        <f>DN36/DN16*100</f>
        <v>27.881250202482239</v>
      </c>
      <c r="DP36" s="217">
        <f t="shared" si="95"/>
        <v>1.6251905468238625</v>
      </c>
      <c r="DQ36" s="217"/>
      <c r="DR36" s="2202">
        <f>SUM(DR30:DR32)</f>
        <v>2389.7951365979575</v>
      </c>
      <c r="DS36" s="2215" t="e">
        <f>DR36/DR16*100</f>
        <v>#DIV/0!</v>
      </c>
      <c r="DT36" s="217">
        <f t="shared" si="102"/>
        <v>9.7576552927454365</v>
      </c>
    </row>
    <row r="37" spans="1:131" collapsed="1">
      <c r="BK37" s="2213"/>
      <c r="BN37" s="161"/>
      <c r="BO37" s="161"/>
      <c r="BP37" s="161"/>
      <c r="BR37" s="161"/>
      <c r="BS37" s="161"/>
      <c r="BT37" s="161"/>
      <c r="BV37" s="2229"/>
      <c r="BW37" s="2215"/>
      <c r="BX37" s="2203"/>
      <c r="BZ37" s="161"/>
      <c r="CA37" s="161"/>
      <c r="CB37" s="161"/>
      <c r="CD37" s="2230"/>
      <c r="CE37" s="161"/>
      <c r="CF37" s="161"/>
      <c r="CH37" s="1855"/>
      <c r="CI37" s="161"/>
      <c r="CJ37" s="161"/>
      <c r="CL37" s="1855"/>
      <c r="CM37" s="2215"/>
      <c r="CN37" s="2229"/>
      <c r="CP37" s="1855"/>
      <c r="CQ37" s="2216"/>
      <c r="CR37" s="161"/>
      <c r="CT37" s="1855"/>
      <c r="CU37" s="2215"/>
      <c r="CV37" s="161"/>
      <c r="CW37" s="161"/>
      <c r="CX37" s="161"/>
      <c r="CY37" s="161"/>
      <c r="CZ37" s="161"/>
      <c r="DA37" s="161"/>
      <c r="DB37" s="2231"/>
      <c r="DC37" s="161"/>
      <c r="DD37" s="161"/>
      <c r="DE37" s="161"/>
      <c r="DF37" s="2231"/>
      <c r="DG37" s="161"/>
      <c r="DH37" s="161"/>
      <c r="DI37" s="161"/>
      <c r="DJ37"/>
      <c r="DK37" s="161"/>
      <c r="DL37" s="161"/>
      <c r="DM37" s="161"/>
      <c r="DN37"/>
      <c r="DO37" s="161"/>
      <c r="DP37" s="161"/>
      <c r="DQ37" s="161"/>
      <c r="DR37" s="2372"/>
      <c r="DS37" s="1855"/>
      <c r="DT37" s="161"/>
    </row>
    <row r="38" spans="1:131">
      <c r="C38" s="1936"/>
      <c r="D38" s="2175"/>
      <c r="E38" s="1936">
        <f>AH38</f>
        <v>0</v>
      </c>
      <c r="F38" s="2175"/>
      <c r="J38" s="2175"/>
      <c r="N38" s="2175"/>
      <c r="R38" s="2175"/>
      <c r="V38" s="2175"/>
      <c r="Z38" s="2176"/>
      <c r="AA38" s="2177"/>
      <c r="AB38" s="2177"/>
      <c r="AC38" s="2177"/>
      <c r="AD38" s="2176"/>
      <c r="AE38" s="2177"/>
      <c r="AF38" s="2177"/>
      <c r="AG38" s="2177"/>
      <c r="AH38" s="2176"/>
      <c r="AI38" s="2177"/>
      <c r="AJ38" s="2177"/>
      <c r="AK38" s="2177"/>
      <c r="AM38" s="2177"/>
      <c r="AN38" s="2177"/>
      <c r="AO38" s="2177"/>
      <c r="AQ38" s="2177"/>
      <c r="AR38" s="2177"/>
      <c r="AS38" s="2177"/>
      <c r="AU38" s="2177"/>
      <c r="AV38" s="2177"/>
      <c r="AW38" s="2177"/>
      <c r="AY38" s="2177"/>
      <c r="AZ38" s="2177"/>
      <c r="BA38" s="2177"/>
      <c r="BB38" s="2176"/>
      <c r="BC38" s="2177"/>
      <c r="BD38" s="2177"/>
      <c r="BE38" s="2177"/>
      <c r="BF38" s="2176"/>
      <c r="BG38" s="2177"/>
      <c r="BH38" s="2177"/>
      <c r="BI38" s="2177"/>
      <c r="BJ38" s="2176" t="s">
        <v>173</v>
      </c>
      <c r="BK38" s="2177"/>
      <c r="BL38" s="2177"/>
      <c r="BM38" s="2177"/>
      <c r="BN38" s="2178"/>
      <c r="BO38" s="2179"/>
      <c r="BP38" s="2179"/>
      <c r="BQ38" s="2177"/>
      <c r="BR38" s="2178"/>
      <c r="BS38" s="2179"/>
      <c r="BT38" s="2179"/>
      <c r="BU38" s="2177"/>
      <c r="BV38" s="2176" t="s">
        <v>173</v>
      </c>
      <c r="BW38" s="2179"/>
      <c r="BX38" s="2179"/>
      <c r="BY38" s="2177"/>
      <c r="CA38" s="2179"/>
      <c r="CB38" s="2179"/>
      <c r="CC38" s="2177"/>
      <c r="CD38" s="2178"/>
      <c r="CE38" s="2179"/>
      <c r="CF38" s="2179"/>
      <c r="CG38" s="2177"/>
      <c r="CH38" s="2178"/>
      <c r="CI38" s="2179"/>
      <c r="CJ38" s="2179"/>
      <c r="CL38" s="2178"/>
      <c r="CM38" s="2179"/>
      <c r="CO38" s="2177"/>
      <c r="CU38" s="2179"/>
      <c r="CV38" s="2179"/>
      <c r="CW38" s="2179"/>
      <c r="CX38" s="2210" t="s">
        <v>173</v>
      </c>
      <c r="CY38" s="2179"/>
      <c r="CZ38" s="2179"/>
      <c r="DA38" s="2179"/>
      <c r="DB38" s="2179"/>
      <c r="DC38" s="2179"/>
      <c r="DD38" s="2179"/>
      <c r="DE38" s="2179"/>
      <c r="DF38" s="2179"/>
      <c r="DG38" s="2179"/>
      <c r="DH38" s="2179"/>
      <c r="DI38" s="2179"/>
      <c r="DJ38" s="2179"/>
      <c r="DK38" s="2179"/>
      <c r="DL38" s="2179"/>
      <c r="DM38" s="2179"/>
      <c r="DN38" s="2179"/>
      <c r="DO38" s="2179"/>
      <c r="DP38" s="2179"/>
      <c r="DQ38" s="2179"/>
      <c r="DR38" s="2179"/>
      <c r="DS38" s="2179"/>
      <c r="DT38" s="2179"/>
      <c r="DU38" s="2177"/>
    </row>
    <row r="39" spans="1:131">
      <c r="BN39" s="161"/>
      <c r="BO39" s="161"/>
      <c r="BP39" s="161"/>
      <c r="BR39" s="161"/>
      <c r="BS39" s="161"/>
      <c r="BT39" s="161"/>
      <c r="BV39" s="1921"/>
      <c r="BW39" s="161"/>
      <c r="BX39" s="161"/>
      <c r="BZ39" s="1921"/>
      <c r="CA39" s="161"/>
      <c r="CB39" s="161"/>
      <c r="CD39" s="1921"/>
      <c r="CE39" s="161"/>
      <c r="CF39" s="161"/>
      <c r="CH39" s="1921"/>
      <c r="CI39" s="161"/>
      <c r="CJ39" s="161"/>
      <c r="CL39" s="1921"/>
      <c r="CM39" s="161"/>
      <c r="CN39" s="161"/>
      <c r="CP39" s="1921"/>
      <c r="CQ39" s="161"/>
      <c r="CR39" s="161"/>
      <c r="CT39" s="1921"/>
      <c r="CU39" s="161"/>
      <c r="CV39" s="161"/>
      <c r="CW39" s="161"/>
      <c r="CX39" s="161"/>
      <c r="CY39" s="161"/>
      <c r="CZ39" s="161"/>
      <c r="DA39" s="161"/>
      <c r="DB39" s="161"/>
      <c r="DC39" s="161"/>
      <c r="DD39" s="161"/>
      <c r="DE39" s="161"/>
      <c r="DF39" s="161"/>
      <c r="DG39" s="161"/>
      <c r="DH39" s="161"/>
      <c r="DI39" s="161"/>
      <c r="DJ39" s="161"/>
      <c r="DK39" s="161"/>
      <c r="DL39" s="161"/>
      <c r="DM39" s="161"/>
      <c r="DN39" s="161"/>
      <c r="DO39" s="161"/>
      <c r="DP39" s="161"/>
      <c r="DQ39" s="161"/>
      <c r="DR39" s="161"/>
      <c r="DS39" s="161"/>
      <c r="DT39" s="161"/>
    </row>
    <row r="40" spans="1:131">
      <c r="A40" s="23" t="str">
        <f>$A$10</f>
        <v>1Q</v>
      </c>
      <c r="B40" s="23" t="str">
        <f>$B$10</f>
        <v>Apr</v>
      </c>
      <c r="D40" s="2232"/>
      <c r="E40" s="139"/>
      <c r="F40" s="2232"/>
      <c r="G40" s="2233"/>
      <c r="H40" s="49"/>
      <c r="I40" s="139"/>
      <c r="J40" s="2232"/>
      <c r="K40" s="2233"/>
      <c r="L40" s="49"/>
      <c r="M40" s="139"/>
      <c r="N40" s="2232"/>
      <c r="O40" s="2233"/>
      <c r="P40" s="49"/>
      <c r="Q40" s="139"/>
      <c r="R40" s="2232"/>
      <c r="S40" s="2233"/>
      <c r="T40" s="49"/>
      <c r="U40" s="139"/>
      <c r="V40" s="2232"/>
      <c r="W40" s="2233"/>
      <c r="X40" s="49"/>
      <c r="Y40" s="139"/>
      <c r="Z40" s="2232"/>
      <c r="AA40" s="2233"/>
      <c r="AB40" s="49"/>
      <c r="AC40" s="139"/>
      <c r="AD40" s="2232"/>
      <c r="AE40" s="2233"/>
      <c r="AF40" s="49"/>
      <c r="AG40" s="139"/>
      <c r="AH40" s="2232"/>
      <c r="AI40" s="2233"/>
      <c r="AJ40" s="2234"/>
      <c r="AK40" s="139"/>
      <c r="AL40" s="2232"/>
      <c r="AM40" s="2233"/>
      <c r="AN40" s="49"/>
      <c r="AO40" s="2235"/>
      <c r="AP40" s="2232"/>
      <c r="AQ40" s="2233"/>
      <c r="AR40" s="2234"/>
      <c r="AS40" s="139"/>
      <c r="AT40" s="2232"/>
      <c r="AU40" s="2233"/>
      <c r="AV40" s="49"/>
      <c r="AW40" s="139"/>
      <c r="AX40" s="2232"/>
      <c r="AY40" s="2233"/>
      <c r="AZ40" s="49"/>
      <c r="BA40" s="139"/>
      <c r="BB40" s="2232"/>
      <c r="BC40" s="2233"/>
      <c r="BD40" s="49"/>
      <c r="BF40" s="2236">
        <f>BF$44/4</f>
        <v>10.664325553987201</v>
      </c>
      <c r="BG40" s="2213">
        <f t="shared" ref="BG40:BG46" si="103">BF40/BF20*100</f>
        <v>0.86603260954906613</v>
      </c>
      <c r="BH40" s="2237" t="s">
        <v>1096</v>
      </c>
      <c r="BJ40" s="2236">
        <f>BJ$44/4</f>
        <v>11.075182967398536</v>
      </c>
      <c r="BK40" s="2213">
        <f t="shared" ref="BK40:BK46" si="104">BJ40/BJ20*100</f>
        <v>0.85118679743845327</v>
      </c>
      <c r="BL40" s="44">
        <f>(BJ40/BF40-1)*100</f>
        <v>3.8526338241589242</v>
      </c>
      <c r="BM40" s="2237" t="s">
        <v>1096</v>
      </c>
      <c r="BN40" s="2236">
        <f>BN$44/4</f>
        <v>7.9016386062843242</v>
      </c>
      <c r="BO40" s="2213">
        <f t="shared" ref="BO40:BO46" si="105">BN40/BN20*100</f>
        <v>0.58076583499265555</v>
      </c>
      <c r="BP40" s="217">
        <f t="shared" ref="BP40:BP46" si="106">(BN40/BJ40-1)*100</f>
        <v>-28.654554696351443</v>
      </c>
      <c r="BQ40" s="2237" t="s">
        <v>1096</v>
      </c>
      <c r="BR40" s="2236">
        <f>BR$44/4</f>
        <v>6.4743660000000007</v>
      </c>
      <c r="BS40" s="2213">
        <f t="shared" ref="BS40:BS46" si="107">BR40/BR20*100</f>
        <v>0.50178031263005907</v>
      </c>
      <c r="BT40" s="217">
        <f t="shared" ref="BT40:BT46" si="108">(BR40/BN40-1)*100</f>
        <v>-18.062995252012492</v>
      </c>
      <c r="BU40" s="2237" t="s">
        <v>1096</v>
      </c>
      <c r="BV40" s="2236">
        <v>7.6</v>
      </c>
      <c r="BW40" s="2213">
        <f t="shared" ref="BW40:BW46" si="109">BV40/BV20*100</f>
        <v>0.58991738051844422</v>
      </c>
      <c r="BX40" s="217">
        <f t="shared" ref="BX40:BX46" si="110">(BV40/BR40-1)*100</f>
        <v>17.386011232605615</v>
      </c>
      <c r="BY40" s="2237" t="s">
        <v>1096</v>
      </c>
      <c r="BZ40" s="2236">
        <v>7.6</v>
      </c>
      <c r="CA40" s="2213">
        <f t="shared" ref="CA40:CA46" si="111">BZ40/BZ20*100</f>
        <v>0.50129115451970041</v>
      </c>
      <c r="CB40" s="217">
        <f t="shared" ref="CB40:CB46" si="112">(BZ40/BV40-1)*100</f>
        <v>0</v>
      </c>
      <c r="CC40" s="2237" t="s">
        <v>1096</v>
      </c>
      <c r="CD40" s="2236">
        <v>7.6</v>
      </c>
      <c r="CE40" s="2215">
        <f t="shared" ref="CE40:CE46" si="113">CD40/CD20*100</f>
        <v>0.59191736833538044</v>
      </c>
      <c r="CF40" s="217">
        <f t="shared" ref="CF40:CF46" si="114">(CD40/BZ40-1)*100</f>
        <v>0</v>
      </c>
      <c r="CG40" s="2237" t="s">
        <v>1096</v>
      </c>
      <c r="CH40" s="2236">
        <v>7.6</v>
      </c>
      <c r="CI40" s="2215">
        <f t="shared" ref="CI40:CI46" si="115">CH40/CH20*100</f>
        <v>0.64577472148840864</v>
      </c>
      <c r="CJ40" s="217">
        <f t="shared" ref="CJ40:CJ46" si="116">(CH40/CD40-1)*100</f>
        <v>0</v>
      </c>
      <c r="CK40" s="2237" t="s">
        <v>1096</v>
      </c>
      <c r="CL40" s="2236">
        <v>7.6</v>
      </c>
      <c r="CM40" s="2215">
        <f t="shared" ref="CM40:CM46" si="117">CL40/CL20*100</f>
        <v>0.61425160715700111</v>
      </c>
      <c r="CN40" s="217">
        <f t="shared" ref="CN40:CN46" si="118">(CL40/CH40-1)*100</f>
        <v>0</v>
      </c>
      <c r="CO40" s="2237" t="s">
        <v>1096</v>
      </c>
      <c r="CP40" s="2236">
        <v>7.6</v>
      </c>
      <c r="CQ40" s="2215">
        <f t="shared" ref="CQ40:CQ46" si="119">CP40/CP20*100</f>
        <v>0.55261112391650036</v>
      </c>
      <c r="CR40" s="217">
        <f t="shared" ref="CR40:CR46" si="120">(CP40/CL40-1)*100</f>
        <v>0</v>
      </c>
      <c r="CS40" s="2237" t="s">
        <v>1096</v>
      </c>
      <c r="CT40" s="2236">
        <v>7.6</v>
      </c>
      <c r="CU40" s="2215">
        <f t="shared" ref="CU40:CU46" si="121">CT40/CT20*100</f>
        <v>0.60711555406084416</v>
      </c>
      <c r="CV40" s="217">
        <f t="shared" ref="CV40:CV46" si="122">(CT40/CP40-1)*100</f>
        <v>0</v>
      </c>
      <c r="CW40" s="217"/>
      <c r="CX40" s="2236">
        <v>7.6</v>
      </c>
      <c r="CY40" s="2215">
        <f t="shared" ref="CY40:CY46" si="123">CX40/CX20*100</f>
        <v>0.57291686297863986</v>
      </c>
      <c r="CZ40" s="217">
        <f t="shared" ref="CZ40:CZ46" si="124">(CX40/CT40-1)*100</f>
        <v>0</v>
      </c>
      <c r="DA40" s="217"/>
      <c r="DB40" s="2236">
        <v>8</v>
      </c>
      <c r="DC40" s="2215">
        <f t="shared" ref="DC40:DC46" si="125">DB40/DB20*100</f>
        <v>0.56772296254873555</v>
      </c>
      <c r="DD40" s="217">
        <f t="shared" ref="DD40:DD46" si="126">(DB40/CX40-1)*100</f>
        <v>5.2631578947368363</v>
      </c>
      <c r="DE40" s="217"/>
      <c r="DF40" s="2236">
        <v>8</v>
      </c>
      <c r="DG40" s="2215">
        <f t="shared" ref="DG40:DG46" si="127">DF40/DF20*100</f>
        <v>0.54945809695188119</v>
      </c>
      <c r="DH40" s="217">
        <f t="shared" ref="DH40:DH46" si="128">(DF40/DB40-1)*100</f>
        <v>0</v>
      </c>
      <c r="DI40" s="217"/>
      <c r="DJ40" s="2236">
        <v>8</v>
      </c>
      <c r="DK40" s="2215">
        <f t="shared" ref="DK40:DK46" si="129">DJ40/DJ20*100</f>
        <v>0.51290007808903693</v>
      </c>
      <c r="DL40" s="217">
        <f t="shared" ref="DL40:DL46" si="130">(DJ40/DF40-1)*100</f>
        <v>0</v>
      </c>
      <c r="DM40" s="217"/>
      <c r="DN40" s="2236">
        <v>8</v>
      </c>
      <c r="DO40" s="2215">
        <f t="shared" ref="DO40:DO46" si="131">DN40/DN20*100</f>
        <v>0.52162357947228644</v>
      </c>
      <c r="DP40" s="217">
        <f t="shared" ref="DP40:DP46" si="132">(DN40/DJ40-1)*100</f>
        <v>0</v>
      </c>
      <c r="DQ40" s="217"/>
      <c r="DR40" s="2236">
        <v>8</v>
      </c>
      <c r="DS40" s="2215">
        <f t="shared" ref="DS40:DS46" si="133">DR40/DR20*100</f>
        <v>0.47812176887669194</v>
      </c>
      <c r="DT40" s="217">
        <f t="shared" ref="DT40:DT46" si="134">(DR40/DN40-1)*100</f>
        <v>0</v>
      </c>
      <c r="DU40" s="217"/>
    </row>
    <row r="41" spans="1:131">
      <c r="A41" s="23" t="str">
        <f>$A$11</f>
        <v>2Q</v>
      </c>
      <c r="B41" s="23" t="str">
        <f>$B$11</f>
        <v>Jul</v>
      </c>
      <c r="D41" s="2238"/>
      <c r="E41" s="139"/>
      <c r="F41" s="2238"/>
      <c r="G41" s="2233"/>
      <c r="H41" s="49"/>
      <c r="I41" s="139"/>
      <c r="J41" s="2238"/>
      <c r="K41" s="2233"/>
      <c r="L41" s="49"/>
      <c r="M41" s="139"/>
      <c r="N41" s="2238"/>
      <c r="O41" s="2233"/>
      <c r="P41" s="49"/>
      <c r="Q41" s="139"/>
      <c r="R41" s="2238"/>
      <c r="S41" s="2233"/>
      <c r="T41" s="49"/>
      <c r="U41" s="139"/>
      <c r="V41" s="2238"/>
      <c r="W41" s="2233"/>
      <c r="X41" s="49"/>
      <c r="Y41" s="139"/>
      <c r="Z41" s="2238"/>
      <c r="AA41" s="2233"/>
      <c r="AB41" s="49"/>
      <c r="AC41" s="139"/>
      <c r="AD41" s="2238"/>
      <c r="AE41" s="2233"/>
      <c r="AF41" s="49"/>
      <c r="AG41" s="139"/>
      <c r="AH41" s="2238"/>
      <c r="AI41" s="2233"/>
      <c r="AJ41" s="2234"/>
      <c r="AK41" s="139"/>
      <c r="AL41" s="2238"/>
      <c r="AM41" s="2233"/>
      <c r="AN41" s="49"/>
      <c r="AO41" s="139"/>
      <c r="AP41" s="2238"/>
      <c r="AQ41" s="2233"/>
      <c r="AR41" s="2234"/>
      <c r="AS41" s="139"/>
      <c r="AT41" s="2238"/>
      <c r="AU41" s="2233"/>
      <c r="AV41" s="49"/>
      <c r="AW41" s="139"/>
      <c r="AX41" s="2238"/>
      <c r="AY41" s="2233"/>
      <c r="AZ41" s="49"/>
      <c r="BA41" s="139"/>
      <c r="BB41" s="2238"/>
      <c r="BC41" s="2233"/>
      <c r="BD41" s="49"/>
      <c r="BF41" s="2239">
        <f>BF$44/4</f>
        <v>10.664325553987201</v>
      </c>
      <c r="BG41" s="2224">
        <f t="shared" si="103"/>
        <v>0.813319419008946</v>
      </c>
      <c r="BH41" s="2237" t="s">
        <v>1096</v>
      </c>
      <c r="BJ41" s="2239">
        <f>BJ$44/4</f>
        <v>11.075182967398536</v>
      </c>
      <c r="BK41" s="2224">
        <f t="shared" si="104"/>
        <v>0.78565115872931168</v>
      </c>
      <c r="BL41" s="44">
        <f t="shared" ref="BL41:BL46" si="135">(BJ41/BF41-1)*100</f>
        <v>3.8526338241589242</v>
      </c>
      <c r="BM41" s="2237" t="s">
        <v>1096</v>
      </c>
      <c r="BN41" s="2239">
        <f>BN$44/4</f>
        <v>7.9016386062843242</v>
      </c>
      <c r="BO41" s="2213">
        <f t="shared" si="105"/>
        <v>0.52830376156406489</v>
      </c>
      <c r="BP41" s="217">
        <f t="shared" si="106"/>
        <v>-28.654554696351443</v>
      </c>
      <c r="BQ41" s="2237" t="s">
        <v>1096</v>
      </c>
      <c r="BR41" s="2239">
        <f>BR$44/4</f>
        <v>6.4743660000000007</v>
      </c>
      <c r="BS41" s="2213">
        <f t="shared" si="107"/>
        <v>0.41872000765734424</v>
      </c>
      <c r="BT41" s="217">
        <f t="shared" si="108"/>
        <v>-18.062995252012492</v>
      </c>
      <c r="BU41" s="2237" t="s">
        <v>1096</v>
      </c>
      <c r="BV41" s="2239">
        <v>8.8000000000000007</v>
      </c>
      <c r="BW41" s="2213">
        <f t="shared" si="109"/>
        <v>0.54975364164933593</v>
      </c>
      <c r="BX41" s="217">
        <f t="shared" si="110"/>
        <v>35.920644585122297</v>
      </c>
      <c r="BY41" s="2237" t="s">
        <v>1096</v>
      </c>
      <c r="BZ41" s="2239">
        <v>8.8000000000000007</v>
      </c>
      <c r="CA41" s="2213">
        <f t="shared" si="111"/>
        <v>0.48590435635342033</v>
      </c>
      <c r="CB41" s="217">
        <f t="shared" si="112"/>
        <v>0</v>
      </c>
      <c r="CC41" s="2237" t="s">
        <v>1096</v>
      </c>
      <c r="CD41" s="2239">
        <v>8.8000000000000007</v>
      </c>
      <c r="CE41" s="2215">
        <f t="shared" si="113"/>
        <v>0.57745093471589093</v>
      </c>
      <c r="CF41" s="217">
        <f t="shared" si="114"/>
        <v>0</v>
      </c>
      <c r="CG41" s="2237" t="s">
        <v>1096</v>
      </c>
      <c r="CH41" s="2239">
        <v>8.8000000000000007</v>
      </c>
      <c r="CI41" s="2215">
        <f t="shared" si="115"/>
        <v>0.62920017932205108</v>
      </c>
      <c r="CJ41" s="217">
        <f t="shared" si="116"/>
        <v>0</v>
      </c>
      <c r="CK41" s="2237" t="s">
        <v>1096</v>
      </c>
      <c r="CL41" s="2239">
        <v>8.8000000000000007</v>
      </c>
      <c r="CM41" s="2215">
        <f t="shared" si="117"/>
        <v>0.60067316349299638</v>
      </c>
      <c r="CN41" s="217">
        <f t="shared" si="118"/>
        <v>0</v>
      </c>
      <c r="CO41" s="2237" t="s">
        <v>1096</v>
      </c>
      <c r="CP41" s="2239">
        <v>8.8000000000000007</v>
      </c>
      <c r="CQ41" s="2215">
        <f t="shared" si="119"/>
        <v>0.56553925131600347</v>
      </c>
      <c r="CR41" s="217">
        <f t="shared" si="120"/>
        <v>0</v>
      </c>
      <c r="CS41" s="2237" t="s">
        <v>1096</v>
      </c>
      <c r="CT41" s="2239">
        <v>8.8000000000000007</v>
      </c>
      <c r="CU41" s="2215">
        <f t="shared" si="121"/>
        <v>0.60530147796737011</v>
      </c>
      <c r="CV41" s="217">
        <f t="shared" si="122"/>
        <v>0</v>
      </c>
      <c r="CW41" s="217"/>
      <c r="CX41" s="2239">
        <v>8.8000000000000007</v>
      </c>
      <c r="CY41" s="2215">
        <f t="shared" si="123"/>
        <v>0.57616962433740504</v>
      </c>
      <c r="CZ41" s="217">
        <f t="shared" si="124"/>
        <v>0</v>
      </c>
      <c r="DA41" s="217"/>
      <c r="DB41" s="2239">
        <v>9</v>
      </c>
      <c r="DC41" s="2215">
        <f t="shared" si="125"/>
        <v>0.5518252847571754</v>
      </c>
      <c r="DD41" s="217">
        <f t="shared" si="126"/>
        <v>2.2727272727272707</v>
      </c>
      <c r="DE41" s="217"/>
      <c r="DF41" s="2239">
        <v>9</v>
      </c>
      <c r="DG41" s="2215">
        <f t="shared" si="127"/>
        <v>0.54499509807186786</v>
      </c>
      <c r="DH41" s="217">
        <f t="shared" si="128"/>
        <v>0</v>
      </c>
      <c r="DI41" s="217"/>
      <c r="DJ41" s="2239">
        <v>9</v>
      </c>
      <c r="DK41" s="2215">
        <f t="shared" si="129"/>
        <v>0.50651718781657318</v>
      </c>
      <c r="DL41" s="217">
        <f t="shared" si="130"/>
        <v>0</v>
      </c>
      <c r="DM41" s="217"/>
      <c r="DN41" s="2239">
        <v>9</v>
      </c>
      <c r="DO41" s="2215">
        <f t="shared" si="131"/>
        <v>0.52109599225072367</v>
      </c>
      <c r="DP41" s="217">
        <f t="shared" si="132"/>
        <v>0</v>
      </c>
      <c r="DQ41" s="217"/>
      <c r="DR41" s="2239">
        <v>9</v>
      </c>
      <c r="DS41" s="2215">
        <f t="shared" si="133"/>
        <v>0.49416562118239116</v>
      </c>
      <c r="DT41" s="217">
        <f t="shared" si="134"/>
        <v>0</v>
      </c>
      <c r="DU41" s="217"/>
    </row>
    <row r="42" spans="1:131">
      <c r="A42" s="23" t="str">
        <f>$A$12</f>
        <v>3Q</v>
      </c>
      <c r="B42" s="23" t="str">
        <f>$B$12</f>
        <v>Oct</v>
      </c>
      <c r="D42" s="2238"/>
      <c r="E42" s="139"/>
      <c r="F42" s="2238"/>
      <c r="G42" s="2233"/>
      <c r="H42" s="49"/>
      <c r="I42" s="139"/>
      <c r="J42" s="2238"/>
      <c r="K42" s="2233"/>
      <c r="L42" s="49"/>
      <c r="M42" s="139"/>
      <c r="N42" s="2238"/>
      <c r="O42" s="2233"/>
      <c r="P42" s="49"/>
      <c r="Q42" s="139"/>
      <c r="R42" s="2238"/>
      <c r="S42" s="2233"/>
      <c r="T42" s="49"/>
      <c r="U42" s="139"/>
      <c r="V42" s="2238"/>
      <c r="W42" s="2233"/>
      <c r="X42" s="49"/>
      <c r="Y42" s="139"/>
      <c r="Z42" s="2238"/>
      <c r="AA42" s="2233"/>
      <c r="AB42" s="49"/>
      <c r="AC42" s="139"/>
      <c r="AD42" s="2238"/>
      <c r="AE42" s="2233"/>
      <c r="AF42" s="49"/>
      <c r="AG42" s="139"/>
      <c r="AH42" s="2238"/>
      <c r="AI42" s="2233"/>
      <c r="AJ42" s="2234"/>
      <c r="AK42" s="139"/>
      <c r="AL42" s="2238"/>
      <c r="AM42" s="2233"/>
      <c r="AN42" s="49"/>
      <c r="AO42" s="139"/>
      <c r="AP42" s="2238"/>
      <c r="AQ42" s="2233"/>
      <c r="AR42" s="2234"/>
      <c r="AS42" s="139"/>
      <c r="AT42" s="2238"/>
      <c r="AU42" s="2233"/>
      <c r="AV42" s="49"/>
      <c r="AW42" s="139"/>
      <c r="AX42" s="2238"/>
      <c r="AY42" s="2233"/>
      <c r="AZ42" s="49"/>
      <c r="BA42" s="139"/>
      <c r="BB42" s="2238"/>
      <c r="BC42" s="2233"/>
      <c r="BD42" s="49"/>
      <c r="BF42" s="2239">
        <f>BF$44/4</f>
        <v>10.664325553987201</v>
      </c>
      <c r="BG42" s="2213">
        <f t="shared" si="103"/>
        <v>0.854181312069204</v>
      </c>
      <c r="BH42" s="2237" t="s">
        <v>1096</v>
      </c>
      <c r="BJ42" s="2239">
        <f>BJ$44/4</f>
        <v>11.075182967398536</v>
      </c>
      <c r="BK42" s="2224">
        <f t="shared" si="104"/>
        <v>0.86783794519731416</v>
      </c>
      <c r="BL42" s="44">
        <f t="shared" si="135"/>
        <v>3.8526338241589242</v>
      </c>
      <c r="BM42" s="2237" t="s">
        <v>1096</v>
      </c>
      <c r="BN42" s="2239">
        <f>BN$44/4</f>
        <v>7.9016386062843242</v>
      </c>
      <c r="BO42" s="2213">
        <f t="shared" si="105"/>
        <v>0.60665357945700582</v>
      </c>
      <c r="BP42" s="217">
        <f t="shared" si="106"/>
        <v>-28.654554696351443</v>
      </c>
      <c r="BQ42" s="2237" t="s">
        <v>1096</v>
      </c>
      <c r="BR42" s="2239">
        <f>BR$44/4</f>
        <v>6.4743660000000007</v>
      </c>
      <c r="BS42" s="2213">
        <f t="shared" si="107"/>
        <v>0.50389229735903451</v>
      </c>
      <c r="BT42" s="217">
        <f t="shared" si="108"/>
        <v>-18.062995252012492</v>
      </c>
      <c r="BU42" s="2237" t="s">
        <v>1096</v>
      </c>
      <c r="BV42" s="2239">
        <v>8.3000000000000007</v>
      </c>
      <c r="BW42" s="2213">
        <f t="shared" si="109"/>
        <v>0.61227636237023253</v>
      </c>
      <c r="BX42" s="217">
        <f t="shared" si="110"/>
        <v>28.19788068824036</v>
      </c>
      <c r="BY42" s="2237" t="s">
        <v>1096</v>
      </c>
      <c r="BZ42" s="2239">
        <v>8.3000000000000007</v>
      </c>
      <c r="CA42" s="2213">
        <f t="shared" si="111"/>
        <v>0.6305903161080878</v>
      </c>
      <c r="CB42" s="217">
        <f t="shared" si="112"/>
        <v>0</v>
      </c>
      <c r="CC42" s="2237" t="s">
        <v>1096</v>
      </c>
      <c r="CD42" s="2239">
        <v>8.3000000000000007</v>
      </c>
      <c r="CE42" s="2215">
        <f t="shared" si="113"/>
        <v>0.65771800380208556</v>
      </c>
      <c r="CF42" s="217">
        <f t="shared" si="114"/>
        <v>0</v>
      </c>
      <c r="CG42" s="2237" t="s">
        <v>1096</v>
      </c>
      <c r="CH42" s="2239">
        <v>8.3000000000000007</v>
      </c>
      <c r="CI42" s="2215">
        <f t="shared" si="115"/>
        <v>0.68338573996266916</v>
      </c>
      <c r="CJ42" s="217">
        <f t="shared" si="116"/>
        <v>0</v>
      </c>
      <c r="CK42" s="2237" t="s">
        <v>1096</v>
      </c>
      <c r="CL42" s="2239">
        <v>8.3000000000000007</v>
      </c>
      <c r="CM42" s="2215">
        <f t="shared" si="117"/>
        <v>0.65401656789440565</v>
      </c>
      <c r="CN42" s="217">
        <f t="shared" si="118"/>
        <v>0</v>
      </c>
      <c r="CO42" s="2237" t="s">
        <v>1096</v>
      </c>
      <c r="CP42" s="2239">
        <v>8.3000000000000007</v>
      </c>
      <c r="CQ42" s="2215">
        <f t="shared" si="119"/>
        <v>0.59792110755159955</v>
      </c>
      <c r="CR42" s="217">
        <f t="shared" si="120"/>
        <v>0</v>
      </c>
      <c r="CS42" s="2237" t="s">
        <v>1096</v>
      </c>
      <c r="CT42" s="2239">
        <v>8.3000000000000007</v>
      </c>
      <c r="CU42" s="2215">
        <f t="shared" si="121"/>
        <v>0.68333791636273211</v>
      </c>
      <c r="CV42" s="217">
        <f t="shared" si="122"/>
        <v>0</v>
      </c>
      <c r="CW42" s="217"/>
      <c r="CX42" s="2239">
        <v>8.3000000000000007</v>
      </c>
      <c r="CY42" s="2215">
        <f t="shared" si="123"/>
        <v>0.63147739843484907</v>
      </c>
      <c r="CZ42" s="217">
        <f t="shared" si="124"/>
        <v>0</v>
      </c>
      <c r="DA42" s="217"/>
      <c r="DB42" s="2239">
        <v>9</v>
      </c>
      <c r="DC42" s="2215">
        <f t="shared" si="125"/>
        <v>0.65577401735906693</v>
      </c>
      <c r="DD42" s="217">
        <f t="shared" si="126"/>
        <v>8.4337349397590309</v>
      </c>
      <c r="DE42" s="217"/>
      <c r="DF42" s="2239">
        <v>9</v>
      </c>
      <c r="DG42" s="2215">
        <f t="shared" si="127"/>
        <v>0.62056083530246486</v>
      </c>
      <c r="DH42" s="217">
        <f t="shared" si="128"/>
        <v>0</v>
      </c>
      <c r="DI42" s="217"/>
      <c r="DJ42" s="2239">
        <v>9</v>
      </c>
      <c r="DK42" s="2215">
        <f t="shared" si="129"/>
        <v>0.57852031216956046</v>
      </c>
      <c r="DL42" s="217">
        <f t="shared" si="130"/>
        <v>0</v>
      </c>
      <c r="DM42" s="217"/>
      <c r="DN42" s="2239">
        <v>9</v>
      </c>
      <c r="DO42" s="2215">
        <f t="shared" si="131"/>
        <v>0.55233801613686206</v>
      </c>
      <c r="DP42" s="217">
        <f t="shared" si="132"/>
        <v>0</v>
      </c>
      <c r="DQ42" s="217"/>
      <c r="DR42" s="2239">
        <v>9</v>
      </c>
      <c r="DS42" s="2215">
        <f t="shared" si="133"/>
        <v>0.52466188410176384</v>
      </c>
      <c r="DT42" s="217">
        <f t="shared" si="134"/>
        <v>0</v>
      </c>
      <c r="DU42" s="217"/>
    </row>
    <row r="43" spans="1:131">
      <c r="A43" s="23" t="str">
        <f>$A$13</f>
        <v>4Q</v>
      </c>
      <c r="B43" s="23" t="str">
        <f>$B$13</f>
        <v>Jan</v>
      </c>
      <c r="C43" s="139"/>
      <c r="D43" s="2238"/>
      <c r="E43" s="139"/>
      <c r="F43" s="2238"/>
      <c r="G43" s="2233"/>
      <c r="H43" s="49"/>
      <c r="I43" s="139"/>
      <c r="J43" s="2238"/>
      <c r="K43" s="2233"/>
      <c r="L43" s="49"/>
      <c r="M43" s="139"/>
      <c r="N43" s="2238"/>
      <c r="O43" s="2233"/>
      <c r="P43" s="49"/>
      <c r="Q43" s="139"/>
      <c r="R43" s="2238"/>
      <c r="S43" s="2233"/>
      <c r="T43" s="49"/>
      <c r="U43" s="139"/>
      <c r="V43" s="2238"/>
      <c r="W43" s="2233"/>
      <c r="X43" s="49"/>
      <c r="Y43" s="139"/>
      <c r="Z43" s="2238"/>
      <c r="AA43" s="2233"/>
      <c r="AB43" s="49"/>
      <c r="AC43" s="139"/>
      <c r="AD43" s="2238"/>
      <c r="AE43" s="2233"/>
      <c r="AF43" s="49"/>
      <c r="AG43" s="139"/>
      <c r="AH43" s="2238"/>
      <c r="AI43" s="2233"/>
      <c r="AJ43" s="2234"/>
      <c r="AK43" s="139"/>
      <c r="AL43" s="2238"/>
      <c r="AM43" s="2233"/>
      <c r="AN43" s="49"/>
      <c r="AO43" s="139"/>
      <c r="AP43" s="2238"/>
      <c r="AQ43" s="2233"/>
      <c r="AR43" s="2234"/>
      <c r="AS43" s="139"/>
      <c r="AT43" s="2238"/>
      <c r="AU43" s="2233"/>
      <c r="AV43" s="49"/>
      <c r="AW43" s="139"/>
      <c r="AX43" s="2238"/>
      <c r="AY43" s="2233"/>
      <c r="AZ43" s="49"/>
      <c r="BA43" s="139"/>
      <c r="BB43" s="2238"/>
      <c r="BC43" s="2233"/>
      <c r="BD43" s="49"/>
      <c r="BF43" s="2240">
        <f>BF$44/4</f>
        <v>10.664325553987201</v>
      </c>
      <c r="BG43" s="2213">
        <f t="shared" si="103"/>
        <v>0.56694285790164189</v>
      </c>
      <c r="BH43" s="2237" t="s">
        <v>1096</v>
      </c>
      <c r="BJ43" s="2240">
        <f>BJ$44/4</f>
        <v>11.075182967398536</v>
      </c>
      <c r="BK43" s="2224">
        <f t="shared" si="104"/>
        <v>0.5463212576082197</v>
      </c>
      <c r="BL43" s="44">
        <f t="shared" si="135"/>
        <v>3.8526338241589242</v>
      </c>
      <c r="BM43" s="2237" t="s">
        <v>1096</v>
      </c>
      <c r="BN43" s="2240">
        <f>BN$44/4</f>
        <v>7.9016386062843242</v>
      </c>
      <c r="BO43" s="2213">
        <f t="shared" si="105"/>
        <v>0.38456466361143876</v>
      </c>
      <c r="BP43" s="217">
        <f t="shared" si="106"/>
        <v>-28.654554696351443</v>
      </c>
      <c r="BQ43" s="2237" t="s">
        <v>1096</v>
      </c>
      <c r="BR43" s="2240">
        <f>BR$44/4</f>
        <v>6.4743660000000007</v>
      </c>
      <c r="BS43" s="2213">
        <f t="shared" si="107"/>
        <v>0.3086179331489548</v>
      </c>
      <c r="BT43" s="217">
        <f t="shared" si="108"/>
        <v>-18.062995252012492</v>
      </c>
      <c r="BU43" s="2237" t="s">
        <v>1096</v>
      </c>
      <c r="BV43" s="2240">
        <v>8.3000000000000007</v>
      </c>
      <c r="BW43" s="2213">
        <f t="shared" si="109"/>
        <v>0.34404758302427768</v>
      </c>
      <c r="BX43" s="217">
        <f t="shared" si="110"/>
        <v>28.19788068824036</v>
      </c>
      <c r="BY43" s="2237" t="s">
        <v>1096</v>
      </c>
      <c r="BZ43" s="2240">
        <v>8.3000000000000007</v>
      </c>
      <c r="CA43" s="2213">
        <f t="shared" si="111"/>
        <v>0.41929843793650612</v>
      </c>
      <c r="CB43" s="217">
        <f t="shared" si="112"/>
        <v>0</v>
      </c>
      <c r="CC43" s="2237" t="s">
        <v>1096</v>
      </c>
      <c r="CD43" s="2240">
        <v>8.3000000000000007</v>
      </c>
      <c r="CE43" s="2215">
        <f t="shared" si="113"/>
        <v>0.42208211582136673</v>
      </c>
      <c r="CF43" s="217">
        <f t="shared" si="114"/>
        <v>0</v>
      </c>
      <c r="CG43" s="2237" t="s">
        <v>1096</v>
      </c>
      <c r="CH43" s="2240">
        <v>8.3000000000000007</v>
      </c>
      <c r="CI43" s="2215">
        <f t="shared" si="115"/>
        <v>0.45745780227351024</v>
      </c>
      <c r="CJ43" s="217">
        <f t="shared" si="116"/>
        <v>0</v>
      </c>
      <c r="CK43" s="2237" t="s">
        <v>1096</v>
      </c>
      <c r="CL43" s="2240">
        <v>8.3000000000000007</v>
      </c>
      <c r="CM43" s="2215">
        <f t="shared" si="117"/>
        <v>0.41270802597773271</v>
      </c>
      <c r="CN43" s="217">
        <f t="shared" si="118"/>
        <v>0</v>
      </c>
      <c r="CO43" s="2237" t="s">
        <v>1096</v>
      </c>
      <c r="CP43" s="2240">
        <v>8.3000000000000007</v>
      </c>
      <c r="CQ43" s="2215">
        <f t="shared" si="119"/>
        <v>0.42115219120918379</v>
      </c>
      <c r="CR43" s="217">
        <f t="shared" si="120"/>
        <v>0</v>
      </c>
      <c r="CS43" s="2237" t="s">
        <v>1096</v>
      </c>
      <c r="CT43" s="2240">
        <v>8.3000000000000007</v>
      </c>
      <c r="CU43" s="2215">
        <f t="shared" si="121"/>
        <v>0.39291484588506914</v>
      </c>
      <c r="CV43" s="217">
        <f t="shared" si="122"/>
        <v>0</v>
      </c>
      <c r="CW43" s="217"/>
      <c r="CX43" s="2240">
        <v>8.3000000000000007</v>
      </c>
      <c r="CY43" s="2215">
        <f t="shared" si="123"/>
        <v>0.38145187938583497</v>
      </c>
      <c r="CZ43" s="217">
        <f t="shared" si="124"/>
        <v>0</v>
      </c>
      <c r="DA43" s="217"/>
      <c r="DB43" s="2240">
        <v>9</v>
      </c>
      <c r="DC43" s="2215">
        <f t="shared" si="125"/>
        <v>0.40288032574217264</v>
      </c>
      <c r="DD43" s="217">
        <f t="shared" si="126"/>
        <v>8.4337349397590309</v>
      </c>
      <c r="DE43" s="217"/>
      <c r="DF43" s="2240">
        <v>9</v>
      </c>
      <c r="DG43" s="2215">
        <f t="shared" si="127"/>
        <v>0.37615573850656142</v>
      </c>
      <c r="DH43" s="217">
        <f t="shared" si="128"/>
        <v>0</v>
      </c>
      <c r="DI43" s="217"/>
      <c r="DJ43" s="2240">
        <v>9</v>
      </c>
      <c r="DK43" s="2215">
        <f t="shared" si="129"/>
        <v>0.35357067091999089</v>
      </c>
      <c r="DL43" s="217">
        <f t="shared" si="130"/>
        <v>0</v>
      </c>
      <c r="DM43" s="217"/>
      <c r="DN43" s="2240">
        <v>9</v>
      </c>
      <c r="DO43" s="2215">
        <f t="shared" si="131"/>
        <v>0.32341886804114894</v>
      </c>
      <c r="DP43" s="217">
        <f t="shared" si="132"/>
        <v>0</v>
      </c>
      <c r="DQ43" s="217"/>
      <c r="DR43" s="2240">
        <v>9</v>
      </c>
      <c r="DS43" s="2215">
        <f t="shared" si="133"/>
        <v>0.32326117466829796</v>
      </c>
      <c r="DT43" s="217">
        <f t="shared" si="134"/>
        <v>0</v>
      </c>
      <c r="DU43" s="217"/>
    </row>
    <row r="44" spans="1:131">
      <c r="B44" s="23" t="str">
        <f>$B$14</f>
        <v>Year</v>
      </c>
      <c r="D44" s="1872"/>
      <c r="E44" s="139"/>
      <c r="F44" s="1872"/>
      <c r="G44" s="2233"/>
      <c r="H44" s="49"/>
      <c r="I44" s="139"/>
      <c r="J44" s="1872"/>
      <c r="K44" s="2233"/>
      <c r="L44" s="49"/>
      <c r="M44" s="139"/>
      <c r="N44" s="1872"/>
      <c r="O44" s="2233"/>
      <c r="P44" s="49"/>
      <c r="Q44" s="139"/>
      <c r="R44" s="1872"/>
      <c r="S44" s="2233"/>
      <c r="T44" s="49"/>
      <c r="U44" s="139"/>
      <c r="V44" s="1872"/>
      <c r="W44" s="2233"/>
      <c r="X44" s="49"/>
      <c r="Y44" s="139"/>
      <c r="Z44" s="1872"/>
      <c r="AA44" s="2233"/>
      <c r="AB44" s="49"/>
      <c r="AC44" s="139"/>
      <c r="AD44" s="1872"/>
      <c r="AE44" s="2233"/>
      <c r="AF44" s="49"/>
      <c r="AG44" s="139"/>
      <c r="AH44" s="1872"/>
      <c r="AI44" s="2233"/>
      <c r="AJ44" s="2234"/>
      <c r="AK44" s="139"/>
      <c r="AL44" s="1872"/>
      <c r="AM44" s="2233"/>
      <c r="AN44" s="49"/>
      <c r="AO44" s="139"/>
      <c r="AP44" s="1872"/>
      <c r="AQ44" s="2233"/>
      <c r="AR44" s="2234"/>
      <c r="AS44" s="139"/>
      <c r="AT44" s="1872"/>
      <c r="AU44" s="2233"/>
      <c r="AV44" s="49"/>
      <c r="AW44" s="139"/>
      <c r="AX44" s="1872"/>
      <c r="AY44" s="2233"/>
      <c r="AZ44" s="49"/>
      <c r="BA44" s="139"/>
      <c r="BB44" s="1872"/>
      <c r="BC44" s="2233"/>
      <c r="BD44" s="49"/>
      <c r="BF44" s="1854">
        <f>'yrP&amp;L'!O28</f>
        <v>42.657302215948803</v>
      </c>
      <c r="BG44" s="2213">
        <f t="shared" si="103"/>
        <v>0.75205244700390228</v>
      </c>
      <c r="BH44" s="2237" t="s">
        <v>1096</v>
      </c>
      <c r="BJ44" s="1854">
        <f>'yrP&amp;L'!P28</f>
        <v>44.300731869594145</v>
      </c>
      <c r="BK44" s="2213">
        <f t="shared" si="104"/>
        <v>0.73659758509048268</v>
      </c>
      <c r="BL44" s="44">
        <f t="shared" si="135"/>
        <v>3.8526338241589242</v>
      </c>
      <c r="BM44" s="2237" t="s">
        <v>1096</v>
      </c>
      <c r="BN44" s="1855">
        <f>'yrP&amp;L'!Q28</f>
        <v>31.606554425137297</v>
      </c>
      <c r="BO44" s="2215">
        <f t="shared" si="105"/>
        <v>0.5086829039953471</v>
      </c>
      <c r="BP44" s="217">
        <f t="shared" si="106"/>
        <v>-28.654554696351443</v>
      </c>
      <c r="BQ44" s="2237" t="s">
        <v>1096</v>
      </c>
      <c r="BR44" s="1855">
        <f>'yrP&amp;L'!U28</f>
        <v>25.897464000000003</v>
      </c>
      <c r="BS44" s="2215">
        <f t="shared" si="107"/>
        <v>0.41640908947658523</v>
      </c>
      <c r="BT44" s="217">
        <f t="shared" si="108"/>
        <v>-18.062995252012492</v>
      </c>
      <c r="BU44" s="2237" t="s">
        <v>1096</v>
      </c>
      <c r="BV44" s="1855">
        <f>+SUM(BV40:BV43)</f>
        <v>33</v>
      </c>
      <c r="BW44" s="2215">
        <f t="shared" si="109"/>
        <v>0.49571231380932823</v>
      </c>
      <c r="BX44" s="217">
        <f t="shared" si="110"/>
        <v>27.425604298552141</v>
      </c>
      <c r="BY44" s="2237" t="s">
        <v>1096</v>
      </c>
      <c r="BZ44" s="1855">
        <f>+SUM(BZ40:BZ43)</f>
        <v>33</v>
      </c>
      <c r="CA44" s="2215">
        <f t="shared" si="111"/>
        <v>0.49827378332489031</v>
      </c>
      <c r="CB44" s="217">
        <f t="shared" si="112"/>
        <v>0</v>
      </c>
      <c r="CC44" s="2237" t="s">
        <v>1096</v>
      </c>
      <c r="CD44" s="1855">
        <f>+SUM(CD40:CD43)</f>
        <v>33</v>
      </c>
      <c r="CE44" s="2215">
        <f t="shared" si="113"/>
        <v>0.54669404996419146</v>
      </c>
      <c r="CF44" s="217">
        <f t="shared" si="114"/>
        <v>0</v>
      </c>
      <c r="CG44" s="2237" t="s">
        <v>1096</v>
      </c>
      <c r="CH44" s="1855">
        <f>+SUM(CH40:CH43)</f>
        <v>33</v>
      </c>
      <c r="CI44" s="2215">
        <f t="shared" si="115"/>
        <v>0.58882327771867737</v>
      </c>
      <c r="CJ44" s="217">
        <f t="shared" si="116"/>
        <v>0</v>
      </c>
      <c r="CK44" s="2237" t="s">
        <v>1096</v>
      </c>
      <c r="CL44" s="1855">
        <f>+SUM(CL40:CL43)</f>
        <v>33</v>
      </c>
      <c r="CM44" s="2215">
        <f t="shared" si="117"/>
        <v>0.55160987341556333</v>
      </c>
      <c r="CN44" s="217">
        <f t="shared" si="118"/>
        <v>0</v>
      </c>
      <c r="CO44" s="2237" t="s">
        <v>1096</v>
      </c>
      <c r="CP44" s="1855">
        <f>+SUM(CP40:CP43)</f>
        <v>33</v>
      </c>
      <c r="CQ44" s="2215">
        <f t="shared" si="119"/>
        <v>0.5246211877328304</v>
      </c>
      <c r="CR44" s="217">
        <f t="shared" si="120"/>
        <v>0</v>
      </c>
      <c r="CS44" s="2237" t="s">
        <v>1096</v>
      </c>
      <c r="CT44" s="1855">
        <f>+SUM(CT40:CT43)</f>
        <v>33</v>
      </c>
      <c r="CU44" s="2215">
        <f t="shared" si="121"/>
        <v>0.54702010796187772</v>
      </c>
      <c r="CV44" s="217">
        <f t="shared" si="122"/>
        <v>0</v>
      </c>
      <c r="CW44" s="217"/>
      <c r="CX44" s="1855">
        <f>+SUM(CX40:CX43)</f>
        <v>33</v>
      </c>
      <c r="CY44" s="2215">
        <f t="shared" si="123"/>
        <v>0.52016440978363054</v>
      </c>
      <c r="CZ44" s="217">
        <f t="shared" si="124"/>
        <v>0</v>
      </c>
      <c r="DA44" s="217"/>
      <c r="DB44" s="1855">
        <f>+SUM(DB40:DB43)</f>
        <v>35</v>
      </c>
      <c r="DC44" s="2215">
        <f t="shared" si="125"/>
        <v>0.52659872740646974</v>
      </c>
      <c r="DD44" s="217">
        <f t="shared" si="126"/>
        <v>6.0606060606060552</v>
      </c>
      <c r="DE44" s="217"/>
      <c r="DF44" s="1855">
        <f>+SUM(DF40:DF43)</f>
        <v>35</v>
      </c>
      <c r="DG44" s="2215">
        <f t="shared" si="127"/>
        <v>0.50357553014273626</v>
      </c>
      <c r="DH44" s="217">
        <f t="shared" si="128"/>
        <v>0</v>
      </c>
      <c r="DI44" s="217"/>
      <c r="DJ44" s="1855">
        <f>+SUM(DJ40:DJ43)</f>
        <v>35</v>
      </c>
      <c r="DK44" s="2215">
        <f t="shared" si="129"/>
        <v>0.4705723544657518</v>
      </c>
      <c r="DL44" s="217">
        <f t="shared" si="130"/>
        <v>0</v>
      </c>
      <c r="DM44" s="217"/>
      <c r="DN44" s="1855">
        <f>+SUM(DN40:DN43)</f>
        <v>35</v>
      </c>
      <c r="DO44" s="2215">
        <f t="shared" si="131"/>
        <v>0.45614444817469241</v>
      </c>
      <c r="DP44" s="217">
        <f t="shared" si="132"/>
        <v>0</v>
      </c>
      <c r="DQ44" s="217"/>
      <c r="DR44" s="1855">
        <f>+SUM(DR40:DR43)</f>
        <v>35</v>
      </c>
      <c r="DS44" s="2215">
        <f t="shared" si="133"/>
        <v>0.43782932230037069</v>
      </c>
      <c r="DT44" s="217">
        <f t="shared" si="134"/>
        <v>0</v>
      </c>
      <c r="DU44" s="217"/>
    </row>
    <row r="45" spans="1:131" hidden="1" outlineLevel="1">
      <c r="A45" s="23" t="str">
        <f>$A$15</f>
        <v>6 Mos</v>
      </c>
      <c r="D45" s="2241"/>
      <c r="E45" s="139"/>
      <c r="F45" s="2241"/>
      <c r="G45" s="2233"/>
      <c r="H45" s="49"/>
      <c r="I45" s="139"/>
      <c r="J45" s="2241"/>
      <c r="K45" s="2233"/>
      <c r="L45" s="49"/>
      <c r="M45" s="139"/>
      <c r="N45" s="2241"/>
      <c r="O45" s="2233"/>
      <c r="P45" s="49"/>
      <c r="Q45" s="139"/>
      <c r="R45" s="2241"/>
      <c r="S45" s="2233"/>
      <c r="T45" s="49"/>
      <c r="U45" s="139"/>
      <c r="V45" s="2241"/>
      <c r="W45" s="2233"/>
      <c r="X45" s="49"/>
      <c r="Y45" s="139"/>
      <c r="Z45" s="2241"/>
      <c r="AA45" s="2233"/>
      <c r="AB45" s="49"/>
      <c r="AC45" s="139"/>
      <c r="AD45" s="2241"/>
      <c r="AE45" s="2233"/>
      <c r="AF45" s="49"/>
      <c r="AG45" s="139"/>
      <c r="AH45" s="2241"/>
      <c r="AI45" s="2233"/>
      <c r="AJ45" s="2234"/>
      <c r="AK45" s="139"/>
      <c r="AL45" s="2241"/>
      <c r="AM45" s="2233"/>
      <c r="AN45" s="49"/>
      <c r="AO45" s="139"/>
      <c r="AP45" s="2241"/>
      <c r="AQ45" s="2233"/>
      <c r="AR45" s="2234"/>
      <c r="AS45" s="139"/>
      <c r="AT45" s="2241"/>
      <c r="AU45" s="2233"/>
      <c r="AV45" s="49"/>
      <c r="AW45" s="139"/>
      <c r="AX45" s="2241"/>
      <c r="AY45" s="2233"/>
      <c r="AZ45" s="49"/>
      <c r="BA45" s="139"/>
      <c r="BB45" s="2241"/>
      <c r="BC45" s="2233"/>
      <c r="BD45" s="49"/>
      <c r="BF45" s="1899">
        <f>SUM(BF40:BF41)</f>
        <v>21.328651107974402</v>
      </c>
      <c r="BG45" s="2213">
        <f t="shared" si="103"/>
        <v>0.83884870695759095</v>
      </c>
      <c r="BH45" s="2237" t="s">
        <v>1096</v>
      </c>
      <c r="BJ45" s="1899">
        <f>SUM(BJ40:BJ41)</f>
        <v>22.150365934797072</v>
      </c>
      <c r="BK45" s="2213">
        <f t="shared" si="104"/>
        <v>0.81710702172166849</v>
      </c>
      <c r="BL45" s="44">
        <f t="shared" si="135"/>
        <v>3.8526338241589242</v>
      </c>
      <c r="BM45" s="2237" t="s">
        <v>1096</v>
      </c>
      <c r="BN45" s="2202">
        <f>SUM(BN40:BN41)</f>
        <v>15.803277212568648</v>
      </c>
      <c r="BO45" s="2215">
        <f t="shared" si="105"/>
        <v>0.55329399735974705</v>
      </c>
      <c r="BP45" s="217">
        <f t="shared" si="106"/>
        <v>-28.654554696351443</v>
      </c>
      <c r="BQ45" s="2237" t="s">
        <v>1096</v>
      </c>
      <c r="BR45" s="2202">
        <f>SUM(BR40:BR41)</f>
        <v>12.948732000000001</v>
      </c>
      <c r="BS45" s="2215">
        <f t="shared" si="107"/>
        <v>0.45650273382015277</v>
      </c>
      <c r="BT45" s="217">
        <f t="shared" si="108"/>
        <v>-18.062995252012492</v>
      </c>
      <c r="BU45" s="2237" t="s">
        <v>1096</v>
      </c>
      <c r="BV45" s="2202">
        <f>SUM(BV40:BV41)</f>
        <v>16.399999999999999</v>
      </c>
      <c r="BW45" s="2215">
        <f t="shared" si="109"/>
        <v>0.56766398999249912</v>
      </c>
      <c r="BX45" s="217">
        <f t="shared" si="110"/>
        <v>26.653327908863943</v>
      </c>
      <c r="BY45" s="2237" t="s">
        <v>1096</v>
      </c>
      <c r="BZ45" s="2202">
        <f>SUM(BZ40:BZ41)</f>
        <v>16.399999999999999</v>
      </c>
      <c r="CA45" s="2215">
        <f t="shared" si="111"/>
        <v>0.49291568947634012</v>
      </c>
      <c r="CB45" s="217">
        <f t="shared" si="112"/>
        <v>0</v>
      </c>
      <c r="CC45" s="2237" t="s">
        <v>1096</v>
      </c>
      <c r="CD45" s="2202">
        <f>SUM(CD40:CD41)</f>
        <v>16.399999999999999</v>
      </c>
      <c r="CE45" s="2215">
        <f t="shared" si="113"/>
        <v>0.58406596811427181</v>
      </c>
      <c r="CF45" s="217">
        <f t="shared" si="114"/>
        <v>0</v>
      </c>
      <c r="CG45" s="2237" t="s">
        <v>1096</v>
      </c>
      <c r="CH45" s="2202">
        <f>SUM(CH40:CH41)</f>
        <v>16.399999999999999</v>
      </c>
      <c r="CI45" s="2215">
        <f t="shared" si="115"/>
        <v>0.63677400968051801</v>
      </c>
      <c r="CJ45" s="217">
        <f t="shared" si="116"/>
        <v>0</v>
      </c>
      <c r="CK45" s="2237" t="s">
        <v>1096</v>
      </c>
      <c r="CL45" s="2202">
        <f>SUM(CL40:CL41)</f>
        <v>16.399999999999999</v>
      </c>
      <c r="CM45" s="2215">
        <f t="shared" si="117"/>
        <v>0.60689020209073674</v>
      </c>
      <c r="CN45" s="217">
        <f t="shared" si="118"/>
        <v>0</v>
      </c>
      <c r="CO45" s="2237" t="s">
        <v>1096</v>
      </c>
      <c r="CP45" s="2202">
        <f>SUM(CP40:CP41)</f>
        <v>16.399999999999999</v>
      </c>
      <c r="CQ45" s="2215">
        <f t="shared" si="119"/>
        <v>0.55947376716202835</v>
      </c>
      <c r="CR45" s="217">
        <f t="shared" si="120"/>
        <v>0</v>
      </c>
      <c r="CS45" s="2237" t="s">
        <v>1096</v>
      </c>
      <c r="CT45" s="2202">
        <f>SUM(CT40:CT41)</f>
        <v>16.399999999999999</v>
      </c>
      <c r="CU45" s="2215">
        <f t="shared" si="121"/>
        <v>0.60614079763693796</v>
      </c>
      <c r="CV45" s="217">
        <f t="shared" si="122"/>
        <v>0</v>
      </c>
      <c r="CW45" s="217"/>
      <c r="CX45" s="2202">
        <f>SUM(CX40:CX41)</f>
        <v>16.399999999999999</v>
      </c>
      <c r="CY45" s="2215">
        <f t="shared" si="123"/>
        <v>0.5746576669669603</v>
      </c>
      <c r="CZ45" s="217">
        <f t="shared" si="124"/>
        <v>0</v>
      </c>
      <c r="DA45" s="217"/>
      <c r="DB45" s="2202">
        <f>SUM(DB40:DB41)</f>
        <v>17</v>
      </c>
      <c r="DC45" s="2215">
        <f t="shared" si="125"/>
        <v>0.55919415517111504</v>
      </c>
      <c r="DD45" s="217">
        <f t="shared" si="126"/>
        <v>3.6585365853658569</v>
      </c>
      <c r="DE45" s="217"/>
      <c r="DF45" s="2202">
        <f>SUM(DF40:DF41)</f>
        <v>17</v>
      </c>
      <c r="DG45" s="2215">
        <f t="shared" si="127"/>
        <v>0.54708626681525963</v>
      </c>
      <c r="DH45" s="217">
        <f t="shared" si="128"/>
        <v>0</v>
      </c>
      <c r="DI45" s="217"/>
      <c r="DJ45" s="2202">
        <f>SUM(DJ40:DJ41)</f>
        <v>17</v>
      </c>
      <c r="DK45" s="2215">
        <f t="shared" si="129"/>
        <v>0.5095009947257656</v>
      </c>
      <c r="DL45" s="217">
        <f t="shared" si="130"/>
        <v>0</v>
      </c>
      <c r="DM45" s="217"/>
      <c r="DN45" s="2202">
        <f>SUM(DN40:DN41)</f>
        <v>17</v>
      </c>
      <c r="DO45" s="2215">
        <f t="shared" si="131"/>
        <v>0.52134413558382275</v>
      </c>
      <c r="DP45" s="217">
        <f t="shared" si="132"/>
        <v>0</v>
      </c>
      <c r="DQ45" s="217"/>
      <c r="DR45" s="2202">
        <f>SUM(DR40:DR41)</f>
        <v>17</v>
      </c>
      <c r="DS45" s="2215">
        <f t="shared" si="133"/>
        <v>0.48648353196038285</v>
      </c>
      <c r="DT45" s="217">
        <f t="shared" si="134"/>
        <v>0</v>
      </c>
      <c r="DU45" s="217"/>
    </row>
    <row r="46" spans="1:131" hidden="1" outlineLevel="1">
      <c r="A46" s="23" t="str">
        <f>$A$16</f>
        <v>9 Mos</v>
      </c>
      <c r="D46" s="2241"/>
      <c r="E46" s="139"/>
      <c r="F46" s="2241"/>
      <c r="G46" s="2233"/>
      <c r="H46" s="49"/>
      <c r="I46" s="139"/>
      <c r="J46" s="2241"/>
      <c r="K46" s="2233"/>
      <c r="L46" s="49"/>
      <c r="M46" s="139"/>
      <c r="N46" s="2241"/>
      <c r="O46" s="2233"/>
      <c r="P46" s="49"/>
      <c r="Q46" s="139"/>
      <c r="R46" s="2241"/>
      <c r="S46" s="2233"/>
      <c r="T46" s="49"/>
      <c r="U46" s="139"/>
      <c r="V46" s="2241"/>
      <c r="W46" s="2233"/>
      <c r="X46" s="49"/>
      <c r="Y46" s="139"/>
      <c r="Z46" s="2241"/>
      <c r="AA46" s="2233"/>
      <c r="AB46" s="49"/>
      <c r="AC46" s="139"/>
      <c r="AD46" s="2241"/>
      <c r="AE46" s="2233"/>
      <c r="AF46" s="49"/>
      <c r="AG46" s="139"/>
      <c r="AH46" s="2241"/>
      <c r="AI46" s="2233"/>
      <c r="AJ46" s="2234"/>
      <c r="AK46" s="139"/>
      <c r="AL46" s="2241"/>
      <c r="AM46" s="2233"/>
      <c r="AN46" s="49"/>
      <c r="AO46" s="139"/>
      <c r="AP46" s="2241"/>
      <c r="AQ46" s="2233"/>
      <c r="AR46" s="2234"/>
      <c r="AS46" s="139"/>
      <c r="AT46" s="2241"/>
      <c r="AU46" s="2233"/>
      <c r="AV46" s="49"/>
      <c r="AW46" s="139"/>
      <c r="AX46" s="2241"/>
      <c r="AY46" s="2233"/>
      <c r="AZ46" s="49"/>
      <c r="BA46" s="139"/>
      <c r="BB46" s="2241"/>
      <c r="BC46" s="2233"/>
      <c r="BD46" s="49"/>
      <c r="BF46" s="1899">
        <f>SUM(BF40:BF42)</f>
        <v>31.992976661961603</v>
      </c>
      <c r="BG46" s="2213">
        <f t="shared" si="103"/>
        <v>0.84389804692210568</v>
      </c>
      <c r="BH46" s="2237" t="s">
        <v>1096</v>
      </c>
      <c r="BJ46" s="1899">
        <f>SUM(BJ40:BJ42)</f>
        <v>33.225548902195612</v>
      </c>
      <c r="BK46" s="2213">
        <f t="shared" si="104"/>
        <v>0.83334521949149387</v>
      </c>
      <c r="BL46" s="44">
        <f t="shared" si="135"/>
        <v>3.8526338241589464</v>
      </c>
      <c r="BM46" s="2237" t="s">
        <v>1096</v>
      </c>
      <c r="BN46" s="2202">
        <f>SUM(BN40:BN42)</f>
        <v>23.704915818852974</v>
      </c>
      <c r="BO46" s="2215">
        <f t="shared" si="105"/>
        <v>0.57000605280655281</v>
      </c>
      <c r="BP46" s="217">
        <f t="shared" si="106"/>
        <v>-28.654554696351443</v>
      </c>
      <c r="BQ46" s="2237" t="s">
        <v>1096</v>
      </c>
      <c r="BR46" s="2202">
        <f>SUM(BR40:BR42)</f>
        <v>19.423098000000003</v>
      </c>
      <c r="BS46" s="2215">
        <f t="shared" si="107"/>
        <v>0.47127679140326367</v>
      </c>
      <c r="BT46" s="217">
        <f t="shared" si="108"/>
        <v>-18.062995252012492</v>
      </c>
      <c r="BU46" s="2237" t="s">
        <v>1096</v>
      </c>
      <c r="BV46" s="2202">
        <f>SUM(BV40:BV42)</f>
        <v>24.7</v>
      </c>
      <c r="BW46" s="2215">
        <f t="shared" si="109"/>
        <v>0.58191173317815692</v>
      </c>
      <c r="BX46" s="217">
        <f t="shared" si="110"/>
        <v>27.168178835322742</v>
      </c>
      <c r="BY46" s="2237" t="s">
        <v>1096</v>
      </c>
      <c r="BZ46" s="2202">
        <f>SUM(BZ40:BZ42)</f>
        <v>24.7</v>
      </c>
      <c r="CA46" s="2215">
        <f t="shared" si="111"/>
        <v>0.53194147007086223</v>
      </c>
      <c r="CB46" s="217">
        <f t="shared" si="112"/>
        <v>0</v>
      </c>
      <c r="CC46" s="2237" t="s">
        <v>1096</v>
      </c>
      <c r="CD46" s="2202">
        <f>SUM(CD40:CD42)</f>
        <v>24.7</v>
      </c>
      <c r="CE46" s="2215">
        <f t="shared" si="113"/>
        <v>0.60690331637034467</v>
      </c>
      <c r="CF46" s="217">
        <f t="shared" si="114"/>
        <v>0</v>
      </c>
      <c r="CG46" s="2237" t="s">
        <v>1096</v>
      </c>
      <c r="CH46" s="2202">
        <f>SUM(CH40:CH42)</f>
        <v>24.7</v>
      </c>
      <c r="CI46" s="2215">
        <f t="shared" si="115"/>
        <v>0.6517110846029166</v>
      </c>
      <c r="CJ46" s="217">
        <f t="shared" si="116"/>
        <v>0</v>
      </c>
      <c r="CK46" s="2237" t="s">
        <v>1096</v>
      </c>
      <c r="CL46" s="2202">
        <f>SUM(CL40:CL42)</f>
        <v>24.7</v>
      </c>
      <c r="CM46" s="2215">
        <f t="shared" si="117"/>
        <v>0.62194973941061327</v>
      </c>
      <c r="CN46" s="217">
        <f t="shared" si="118"/>
        <v>0</v>
      </c>
      <c r="CO46" s="2237" t="s">
        <v>1096</v>
      </c>
      <c r="CP46" s="2202">
        <f>SUM(CP40:CP42)</f>
        <v>24.7</v>
      </c>
      <c r="CQ46" s="2215">
        <f t="shared" si="119"/>
        <v>0.5718295466410338</v>
      </c>
      <c r="CR46" s="217">
        <f t="shared" si="120"/>
        <v>0</v>
      </c>
      <c r="CS46" s="2237" t="s">
        <v>1096</v>
      </c>
      <c r="CT46" s="2202">
        <f>SUM(CT40:CT42)</f>
        <v>24.7</v>
      </c>
      <c r="CU46" s="2215">
        <f t="shared" si="121"/>
        <v>0.63005896535645012</v>
      </c>
      <c r="CV46" s="217">
        <f t="shared" si="122"/>
        <v>0</v>
      </c>
      <c r="CW46" s="217"/>
      <c r="CX46" s="2202">
        <f>SUM(CX40:CX42)</f>
        <v>24.7</v>
      </c>
      <c r="CY46" s="2215">
        <f t="shared" si="123"/>
        <v>0.5925746794039034</v>
      </c>
      <c r="CZ46" s="217">
        <f t="shared" si="124"/>
        <v>0</v>
      </c>
      <c r="DA46" s="217"/>
      <c r="DB46" s="2202">
        <f>SUM(DB40:DB42)</f>
        <v>26</v>
      </c>
      <c r="DC46" s="2215">
        <f t="shared" si="125"/>
        <v>0.58923339149369081</v>
      </c>
      <c r="DD46" s="217">
        <f t="shared" si="126"/>
        <v>5.2631578947368363</v>
      </c>
      <c r="DE46" s="217"/>
      <c r="DF46" s="2202">
        <f>SUM(DF40:DF42)</f>
        <v>26</v>
      </c>
      <c r="DG46" s="2215">
        <f t="shared" si="127"/>
        <v>0.57046667684730268</v>
      </c>
      <c r="DH46" s="217">
        <f t="shared" si="128"/>
        <v>0</v>
      </c>
      <c r="DI46" s="217"/>
      <c r="DJ46" s="2202">
        <f>SUM(DJ40:DJ42)</f>
        <v>26</v>
      </c>
      <c r="DK46" s="2215">
        <f t="shared" si="129"/>
        <v>0.53144835415554792</v>
      </c>
      <c r="DL46" s="217">
        <f t="shared" si="130"/>
        <v>0</v>
      </c>
      <c r="DM46" s="217"/>
      <c r="DN46" s="2202">
        <f>SUM(DN40:DN42)</f>
        <v>26</v>
      </c>
      <c r="DO46" s="2215">
        <f t="shared" si="131"/>
        <v>0.53167135593986314</v>
      </c>
      <c r="DP46" s="217">
        <f t="shared" si="132"/>
        <v>0</v>
      </c>
      <c r="DQ46" s="217"/>
      <c r="DR46" s="2202">
        <f>SUM(DR40:DR42)</f>
        <v>26</v>
      </c>
      <c r="DS46" s="2215">
        <f t="shared" si="133"/>
        <v>0.49905408667409018</v>
      </c>
      <c r="DT46" s="217">
        <f t="shared" si="134"/>
        <v>0</v>
      </c>
      <c r="DU46" s="217"/>
    </row>
    <row r="47" spans="1:131" collapsed="1">
      <c r="BK47" s="2213"/>
      <c r="BN47" s="161"/>
      <c r="BO47" s="161"/>
      <c r="BP47" s="161"/>
      <c r="BR47" s="161"/>
      <c r="BS47" s="161"/>
      <c r="BT47" s="161"/>
      <c r="BV47" s="161"/>
      <c r="BW47" s="161"/>
      <c r="BX47" s="161"/>
      <c r="BZ47" s="161"/>
      <c r="CA47" s="161"/>
      <c r="CB47" s="161"/>
      <c r="CD47" s="161"/>
      <c r="CE47" s="161"/>
      <c r="CF47" s="161"/>
      <c r="CH47" s="161"/>
      <c r="CI47" s="161"/>
      <c r="CJ47" s="161"/>
      <c r="CL47" s="161"/>
      <c r="CM47" s="161"/>
      <c r="CN47" s="161"/>
      <c r="CP47" s="161"/>
      <c r="CQ47" s="161"/>
      <c r="CR47" s="161"/>
      <c r="CT47" s="161"/>
      <c r="CU47" s="161"/>
      <c r="CV47" s="161"/>
      <c r="CW47" s="161"/>
      <c r="CX47" s="161"/>
      <c r="CY47" s="161"/>
      <c r="CZ47" s="161"/>
      <c r="DA47" s="161"/>
      <c r="DB47" s="161"/>
      <c r="DC47" s="161"/>
      <c r="DD47" s="161"/>
      <c r="DE47" s="161"/>
      <c r="DF47" s="161"/>
      <c r="DG47" s="161"/>
      <c r="DH47" s="161"/>
      <c r="DI47" s="161"/>
      <c r="DJ47" s="161"/>
      <c r="DK47" s="161"/>
      <c r="DL47" s="161"/>
      <c r="DM47" s="161"/>
      <c r="DN47" s="161"/>
      <c r="DO47" s="161"/>
      <c r="DP47" s="161"/>
      <c r="DQ47" s="161"/>
      <c r="DR47" s="161"/>
      <c r="DS47" s="161"/>
      <c r="DT47" s="161"/>
    </row>
    <row r="48" spans="1:131">
      <c r="C48" s="1936"/>
      <c r="D48" s="2175"/>
      <c r="E48" s="1936">
        <f>AH48</f>
        <v>0</v>
      </c>
      <c r="F48" s="2175"/>
      <c r="J48" s="2175"/>
      <c r="N48" s="2175"/>
      <c r="R48" s="2175"/>
      <c r="V48" s="2175"/>
      <c r="Z48" s="2176"/>
      <c r="AA48" s="2177"/>
      <c r="AB48" s="2177"/>
      <c r="AC48" s="2177"/>
      <c r="AD48" s="2176"/>
      <c r="AE48" s="2177"/>
      <c r="AF48" s="2177"/>
      <c r="AG48" s="2177"/>
      <c r="AH48" s="2176"/>
      <c r="AI48" s="2177"/>
      <c r="AJ48" s="2177"/>
      <c r="AK48" s="2177"/>
      <c r="AM48" s="2177"/>
      <c r="AN48" s="2177"/>
      <c r="AO48" s="2177"/>
      <c r="AQ48" s="2177"/>
      <c r="AR48" s="2177"/>
      <c r="AS48" s="2177"/>
      <c r="AU48" s="2177"/>
      <c r="AV48" s="2177"/>
      <c r="AW48" s="2177"/>
      <c r="AY48" s="2177"/>
      <c r="AZ48" s="2177"/>
      <c r="BA48" s="2177"/>
      <c r="BB48" s="2176"/>
      <c r="BC48" s="2177"/>
      <c r="BD48" s="2177"/>
      <c r="BE48" s="2177"/>
      <c r="BF48" s="2176"/>
      <c r="BG48" s="2177"/>
      <c r="BH48" s="2177"/>
      <c r="BI48" s="2177"/>
      <c r="BJ48" s="2176" t="s">
        <v>1274</v>
      </c>
      <c r="BK48" s="2177"/>
      <c r="BL48" s="2177"/>
      <c r="BM48" s="2177"/>
      <c r="BN48" s="2178"/>
      <c r="BO48" s="2179"/>
      <c r="BP48" s="2179"/>
      <c r="BQ48" s="2177"/>
      <c r="BR48" s="2178"/>
      <c r="BS48" s="2179"/>
      <c r="BT48" s="2179"/>
      <c r="BU48" s="2177"/>
      <c r="BV48" s="2176" t="s">
        <v>1274</v>
      </c>
      <c r="BW48" s="2179"/>
      <c r="BX48" s="2179"/>
      <c r="BY48" s="2177"/>
      <c r="BZ48" s="2176" t="s">
        <v>1274</v>
      </c>
      <c r="CA48" s="2179"/>
      <c r="CB48" s="2179"/>
      <c r="CC48" s="2177"/>
      <c r="CD48" s="2178"/>
      <c r="CE48" s="2179"/>
      <c r="CF48" s="2179"/>
      <c r="CG48" s="2177"/>
      <c r="CH48" s="2178"/>
      <c r="CI48" s="2179"/>
      <c r="CJ48" s="2179"/>
      <c r="CM48" s="2179"/>
      <c r="CN48" s="2179"/>
      <c r="CO48" s="2177"/>
      <c r="CQ48" s="2179"/>
      <c r="CR48" s="2179"/>
      <c r="CS48" s="2177"/>
      <c r="CT48" s="2178"/>
      <c r="CV48" s="2179"/>
      <c r="CW48" s="2179"/>
      <c r="CX48" s="2210" t="s">
        <v>1274</v>
      </c>
      <c r="CY48" s="2179"/>
      <c r="CZ48" s="2179"/>
      <c r="DA48" s="2179"/>
      <c r="DB48" s="2179"/>
      <c r="DC48" s="2179"/>
      <c r="DD48" s="2179"/>
      <c r="DE48" s="2179"/>
      <c r="DF48" s="2179"/>
      <c r="DG48" s="2179"/>
      <c r="DH48" s="2179"/>
      <c r="DI48" s="2179"/>
      <c r="DJ48" s="2179"/>
      <c r="DK48" s="2179"/>
      <c r="DL48" s="2179"/>
      <c r="DM48" s="2179"/>
      <c r="DN48" s="2179"/>
      <c r="DO48" s="2179"/>
      <c r="DP48" s="2179"/>
      <c r="DQ48" s="2179"/>
      <c r="DR48" s="2179"/>
      <c r="DS48" s="2179"/>
      <c r="DT48" s="2179"/>
      <c r="DU48" s="2177"/>
    </row>
    <row r="49" spans="1:126">
      <c r="BN49" s="161"/>
      <c r="BO49" s="161"/>
      <c r="BP49" s="161"/>
      <c r="BR49" s="161"/>
      <c r="BS49" s="161"/>
      <c r="BT49" s="161"/>
      <c r="BV49" s="161"/>
      <c r="BW49" s="161"/>
      <c r="BX49" s="161"/>
      <c r="BZ49" s="161"/>
      <c r="CA49" s="161"/>
      <c r="CB49" s="161"/>
      <c r="CD49" s="161"/>
      <c r="CE49" s="161"/>
      <c r="CF49" s="161"/>
      <c r="CH49" s="161"/>
      <c r="CI49" s="161"/>
      <c r="CJ49" s="161"/>
      <c r="CL49" s="161"/>
      <c r="CM49" s="161"/>
      <c r="CN49" s="161"/>
      <c r="CP49" s="161"/>
      <c r="CQ49" s="161"/>
      <c r="CR49" s="161"/>
      <c r="CT49" s="161"/>
      <c r="CU49" s="161"/>
      <c r="CV49" s="161"/>
      <c r="CW49" s="161"/>
      <c r="CX49" s="161"/>
      <c r="CY49" s="161"/>
      <c r="CZ49" s="161"/>
      <c r="DA49" s="161"/>
      <c r="DB49" s="161"/>
      <c r="DC49" s="161"/>
      <c r="DD49" s="161"/>
      <c r="DE49" s="161"/>
      <c r="DF49" s="161"/>
      <c r="DG49" s="161"/>
      <c r="DH49" s="161"/>
      <c r="DI49" s="161"/>
      <c r="DJ49" s="161"/>
      <c r="DK49" s="161"/>
      <c r="DL49" s="161"/>
      <c r="DM49" s="161"/>
      <c r="DN49" s="161"/>
      <c r="DO49" s="161"/>
      <c r="DP49" s="161"/>
      <c r="DQ49" s="161"/>
      <c r="DR49" s="161"/>
      <c r="DS49" s="161"/>
      <c r="DT49" s="161"/>
    </row>
    <row r="50" spans="1:126">
      <c r="A50" s="23" t="str">
        <f>$A$10</f>
        <v>1Q</v>
      </c>
      <c r="B50" s="23" t="str">
        <f>$B$10</f>
        <v>Apr</v>
      </c>
      <c r="D50" s="2183">
        <v>0</v>
      </c>
      <c r="F50" s="2183">
        <v>0</v>
      </c>
      <c r="G50" s="2213">
        <f t="shared" ref="G50:G56" si="136">F50/F20*100</f>
        <v>0</v>
      </c>
      <c r="H50" s="44"/>
      <c r="J50" s="2183">
        <v>0</v>
      </c>
      <c r="K50" s="2213">
        <f t="shared" ref="K50:K56" si="137">J50/J20*100</f>
        <v>0</v>
      </c>
      <c r="L50" s="44"/>
      <c r="N50" s="2183">
        <v>0</v>
      </c>
      <c r="O50" s="2213">
        <f t="shared" ref="O50:O56" si="138">N50/N20*100</f>
        <v>0</v>
      </c>
      <c r="P50" s="44"/>
      <c r="R50" s="2186">
        <v>0</v>
      </c>
      <c r="S50" s="2213">
        <f t="shared" ref="S50:S56" si="139">R50/R20*100</f>
        <v>0</v>
      </c>
      <c r="T50" s="44"/>
      <c r="V50" s="2186">
        <v>0</v>
      </c>
      <c r="W50" s="2213">
        <f t="shared" ref="W50:W56" si="140">V50/V20*100</f>
        <v>0</v>
      </c>
      <c r="X50" s="44"/>
      <c r="Z50" s="2186">
        <v>0</v>
      </c>
      <c r="AA50" s="2213">
        <f t="shared" ref="AA50:AA56" si="141">Z50/Z20*100</f>
        <v>0</v>
      </c>
      <c r="AB50" s="44"/>
      <c r="AD50" s="2186">
        <v>0</v>
      </c>
      <c r="AE50" s="2213">
        <f t="shared" ref="AE50:AE56" si="142">AD50/AD20*100</f>
        <v>0</v>
      </c>
      <c r="AF50" s="44"/>
      <c r="AH50" s="2186">
        <v>0</v>
      </c>
      <c r="AI50" s="2213">
        <f t="shared" ref="AI50:AI56" si="143">AH50/AH20*100</f>
        <v>0</v>
      </c>
      <c r="AJ50" s="44"/>
      <c r="AL50" s="2186">
        <f>93.7-5.1</f>
        <v>88.600000000000009</v>
      </c>
      <c r="AM50" s="2213">
        <f t="shared" ref="AM50:AM56" si="144">AL50/AL20*100</f>
        <v>6.8744893596715766</v>
      </c>
      <c r="AN50" s="44"/>
      <c r="AO50" s="1881"/>
      <c r="AP50" s="2186">
        <v>0</v>
      </c>
      <c r="AQ50" s="2213">
        <f t="shared" ref="AQ50:AQ56" si="145">AP50/AP20*100</f>
        <v>0</v>
      </c>
      <c r="AR50" s="44"/>
      <c r="AT50" s="2186">
        <v>0</v>
      </c>
      <c r="AU50" s="2213">
        <f t="shared" ref="AU50:AU56" si="146">AT50/AT20*100</f>
        <v>0</v>
      </c>
      <c r="AV50" s="44"/>
      <c r="AX50" s="2186">
        <v>0</v>
      </c>
      <c r="AY50" s="2213">
        <f t="shared" ref="AY50:AY56" si="147">AX50/AX20*100</f>
        <v>0</v>
      </c>
      <c r="AZ50" s="44"/>
      <c r="BB50" s="2183">
        <v>-33.808</v>
      </c>
      <c r="BC50" s="2213">
        <f t="shared" ref="BC50:BC56" si="148">BB50/BB20*100</f>
        <v>-2.8722751702142482</v>
      </c>
      <c r="BD50" s="44"/>
      <c r="BF50" s="2183">
        <v>0</v>
      </c>
      <c r="BG50" s="2213">
        <f t="shared" ref="BG50:BG56" si="149">BF50/BF20*100</f>
        <v>0</v>
      </c>
      <c r="BH50" s="44"/>
      <c r="BJ50" s="2186">
        <v>44.856999999999999</v>
      </c>
      <c r="BK50" s="2215">
        <f t="shared" ref="BK50:BK56" si="150">BJ50/BJ20*100</f>
        <v>3.4474993582580278</v>
      </c>
      <c r="BL50" s="44"/>
      <c r="BN50" s="2242">
        <v>0</v>
      </c>
      <c r="BO50" s="2215">
        <f t="shared" ref="BO50:BO56" si="151">BN50/BN20*100</f>
        <v>0</v>
      </c>
      <c r="BP50" s="217"/>
      <c r="BR50" s="2242">
        <v>16.844000000000001</v>
      </c>
      <c r="BS50" s="2215">
        <f t="shared" ref="BS50:BS56" si="152">BR50/BR20*100</f>
        <v>1.3054540917119477</v>
      </c>
      <c r="BT50" s="217"/>
      <c r="BV50" s="2242">
        <v>0.69599999999999995</v>
      </c>
      <c r="BW50" s="2215">
        <f t="shared" ref="BW50:BW56" si="153">BV50/BV20*100</f>
        <v>5.402401274221541E-2</v>
      </c>
      <c r="BX50" s="217"/>
      <c r="BZ50" s="2242">
        <v>0</v>
      </c>
      <c r="CA50" s="2215">
        <f t="shared" ref="CA50:CA56" si="154">BZ50/BZ20*100</f>
        <v>0</v>
      </c>
      <c r="CB50" s="217"/>
      <c r="CD50" s="2242">
        <v>108.962</v>
      </c>
      <c r="CE50" s="2215">
        <f t="shared" ref="CE50:CE56" si="155">CD50/CD20*100</f>
        <v>8.4863816169157538</v>
      </c>
      <c r="CF50" s="217"/>
      <c r="CH50" s="2242">
        <v>0</v>
      </c>
      <c r="CI50" s="2215">
        <f t="shared" ref="CI50:CI56" si="156">CH50/CH20*100</f>
        <v>0</v>
      </c>
      <c r="CJ50" s="217"/>
      <c r="CL50" s="2242">
        <v>0</v>
      </c>
      <c r="CM50" s="2215">
        <f t="shared" ref="CM50:CM56" si="157">CL50/CL20*100</f>
        <v>0</v>
      </c>
      <c r="CN50" s="217"/>
      <c r="CP50" s="2242">
        <f>-50</f>
        <v>-50</v>
      </c>
      <c r="CQ50" s="2215">
        <f t="shared" ref="CQ50:CQ56" si="158">CP50/CP20*100</f>
        <v>-3.6355994994506613</v>
      </c>
      <c r="CR50" s="217"/>
      <c r="CT50" s="2242">
        <v>0</v>
      </c>
      <c r="CU50" s="2215">
        <f t="shared" ref="CU50:CU56" si="159">CT50/CT20*100</f>
        <v>0</v>
      </c>
      <c r="CV50" s="217"/>
      <c r="CW50" s="217"/>
      <c r="CX50" s="2242">
        <v>0</v>
      </c>
      <c r="CY50" s="2215">
        <f t="shared" ref="CY50:CY56" si="160">CX50/CX20*100</f>
        <v>0</v>
      </c>
      <c r="CZ50" s="217"/>
      <c r="DA50" s="217"/>
      <c r="DB50" s="2242">
        <v>0</v>
      </c>
      <c r="DC50" s="2215">
        <f t="shared" ref="DC50:DC56" si="161">DB50/DB20*100</f>
        <v>0</v>
      </c>
      <c r="DD50" s="217"/>
      <c r="DE50" s="217"/>
      <c r="DF50" s="2242">
        <v>0</v>
      </c>
      <c r="DG50" s="2215">
        <f t="shared" ref="DG50:DG56" si="162">DF50/DF20*100</f>
        <v>0</v>
      </c>
      <c r="DH50" s="217"/>
      <c r="DI50" s="217"/>
      <c r="DJ50" s="2242">
        <v>0</v>
      </c>
      <c r="DK50" s="2215">
        <f t="shared" ref="DK50:DK56" si="163">DJ50/DJ20*100</f>
        <v>0</v>
      </c>
      <c r="DL50" s="217"/>
      <c r="DM50" s="217"/>
      <c r="DN50" s="2242">
        <v>0</v>
      </c>
      <c r="DO50" s="2215">
        <f t="shared" ref="DO50:DO56" si="164">DN50/DN20*100</f>
        <v>0</v>
      </c>
      <c r="DP50" s="217"/>
      <c r="DQ50" s="217"/>
      <c r="DR50" s="2242">
        <v>0</v>
      </c>
      <c r="DS50" s="2215">
        <f t="shared" ref="DS50:DS56" si="165">DR50/DR20*100</f>
        <v>0</v>
      </c>
      <c r="DT50" s="217"/>
    </row>
    <row r="51" spans="1:126">
      <c r="A51" s="23" t="str">
        <f>$A$11</f>
        <v>2Q</v>
      </c>
      <c r="B51" s="23" t="str">
        <f>$B$11</f>
        <v>Jul</v>
      </c>
      <c r="D51" s="2218">
        <v>0</v>
      </c>
      <c r="F51" s="2218">
        <v>0</v>
      </c>
      <c r="G51" s="2213">
        <f t="shared" si="136"/>
        <v>0</v>
      </c>
      <c r="H51" s="44"/>
      <c r="J51" s="2218">
        <v>0</v>
      </c>
      <c r="K51" s="2213">
        <f t="shared" si="137"/>
        <v>0</v>
      </c>
      <c r="L51" s="44"/>
      <c r="N51" s="2218">
        <v>0</v>
      </c>
      <c r="O51" s="2213">
        <f t="shared" si="138"/>
        <v>0</v>
      </c>
      <c r="P51" s="44"/>
      <c r="R51" s="2225">
        <v>0</v>
      </c>
      <c r="S51" s="2213">
        <f t="shared" si="139"/>
        <v>0</v>
      </c>
      <c r="T51" s="44"/>
      <c r="V51" s="2225">
        <v>0</v>
      </c>
      <c r="W51" s="2213">
        <f t="shared" si="140"/>
        <v>0</v>
      </c>
      <c r="X51" s="44"/>
      <c r="Z51" s="2225">
        <v>0</v>
      </c>
      <c r="AA51" s="2213">
        <f t="shared" si="141"/>
        <v>0</v>
      </c>
      <c r="AB51" s="44"/>
      <c r="AD51" s="2225">
        <v>0</v>
      </c>
      <c r="AE51" s="2213">
        <f t="shared" si="142"/>
        <v>0</v>
      </c>
      <c r="AF51" s="44"/>
      <c r="AH51" s="2225">
        <v>0</v>
      </c>
      <c r="AI51" s="2213">
        <f t="shared" si="143"/>
        <v>0</v>
      </c>
      <c r="AJ51" s="44"/>
      <c r="AL51" s="2195">
        <v>1651.3969999999999</v>
      </c>
      <c r="AM51" s="2213">
        <f t="shared" si="144"/>
        <v>115.98615805162005</v>
      </c>
      <c r="AN51" s="44"/>
      <c r="AP51" s="2225">
        <v>-13.074999999999999</v>
      </c>
      <c r="AQ51" s="2213">
        <f t="shared" si="145"/>
        <v>-1.1081353662567481</v>
      </c>
      <c r="AR51" s="44"/>
      <c r="AT51" s="2225">
        <v>0</v>
      </c>
      <c r="AU51" s="2213">
        <f t="shared" si="146"/>
        <v>0</v>
      </c>
      <c r="AV51" s="44"/>
      <c r="AX51" s="2225">
        <v>0</v>
      </c>
      <c r="AY51" s="2213">
        <f t="shared" si="147"/>
        <v>0</v>
      </c>
      <c r="AZ51" s="44"/>
      <c r="BB51" s="2243">
        <v>0</v>
      </c>
      <c r="BC51" s="2213">
        <f t="shared" si="148"/>
        <v>0</v>
      </c>
      <c r="BD51" s="44"/>
      <c r="BF51" s="2243">
        <v>0</v>
      </c>
      <c r="BG51" s="2213">
        <f t="shared" si="149"/>
        <v>0</v>
      </c>
      <c r="BH51" s="44"/>
      <c r="BJ51" s="2243">
        <v>0</v>
      </c>
      <c r="BK51" s="2213">
        <f t="shared" si="150"/>
        <v>0</v>
      </c>
      <c r="BL51" s="44"/>
      <c r="BN51" s="2242">
        <v>0</v>
      </c>
      <c r="BO51" s="2215">
        <f t="shared" si="151"/>
        <v>0</v>
      </c>
      <c r="BP51" s="217"/>
      <c r="BR51" s="2242">
        <v>0</v>
      </c>
      <c r="BS51" s="2215">
        <f t="shared" si="152"/>
        <v>0</v>
      </c>
      <c r="BT51" s="217"/>
      <c r="BV51" s="2242">
        <v>0</v>
      </c>
      <c r="BW51" s="2215">
        <f t="shared" si="153"/>
        <v>0</v>
      </c>
      <c r="BX51" s="217"/>
      <c r="BZ51" s="2242">
        <f>302.412-72.538-53.271+6+100+17</f>
        <v>299.60299999999995</v>
      </c>
      <c r="CA51" s="2215">
        <f t="shared" si="154"/>
        <v>16.54300032688111</v>
      </c>
      <c r="CB51" s="217"/>
      <c r="CD51" s="2242">
        <v>0</v>
      </c>
      <c r="CE51" s="2215">
        <f t="shared" si="155"/>
        <v>0</v>
      </c>
      <c r="CF51" s="217"/>
      <c r="CH51" s="2242">
        <v>9.4410000000000007</v>
      </c>
      <c r="CI51" s="2215">
        <f t="shared" si="156"/>
        <v>0.67503169238403227</v>
      </c>
      <c r="CJ51" s="217"/>
      <c r="CL51" s="2242">
        <v>0</v>
      </c>
      <c r="CM51" s="2215">
        <f t="shared" si="157"/>
        <v>0</v>
      </c>
      <c r="CN51" s="217"/>
      <c r="CP51" s="2242">
        <f>-113.428</f>
        <v>-113.428</v>
      </c>
      <c r="CQ51" s="2215">
        <f t="shared" si="158"/>
        <v>-7.2895438861672313</v>
      </c>
      <c r="CR51" s="217"/>
      <c r="CT51" s="2242">
        <v>0</v>
      </c>
      <c r="CU51" s="2215">
        <f t="shared" si="159"/>
        <v>0</v>
      </c>
      <c r="CV51" s="217"/>
      <c r="CW51" s="217"/>
      <c r="CX51" s="2242">
        <v>0</v>
      </c>
      <c r="CY51" s="2215">
        <f t="shared" si="160"/>
        <v>0</v>
      </c>
      <c r="CZ51" s="217"/>
      <c r="DA51" s="217"/>
      <c r="DB51" s="2242">
        <v>0</v>
      </c>
      <c r="DC51" s="2215">
        <f t="shared" si="161"/>
        <v>0</v>
      </c>
      <c r="DD51" s="217"/>
      <c r="DE51" s="217"/>
      <c r="DF51" s="2242">
        <v>0</v>
      </c>
      <c r="DG51" s="2215">
        <f t="shared" si="162"/>
        <v>0</v>
      </c>
      <c r="DH51" s="217"/>
      <c r="DI51" s="217"/>
      <c r="DJ51" s="2242">
        <v>0</v>
      </c>
      <c r="DK51" s="2215">
        <f t="shared" si="163"/>
        <v>0</v>
      </c>
      <c r="DL51" s="217"/>
      <c r="DM51" s="217"/>
      <c r="DN51" s="2242">
        <v>0</v>
      </c>
      <c r="DO51" s="2215">
        <f t="shared" si="164"/>
        <v>0</v>
      </c>
      <c r="DP51" s="217"/>
      <c r="DQ51" s="217"/>
      <c r="DR51" s="2242">
        <v>0</v>
      </c>
      <c r="DS51" s="2215">
        <f t="shared" si="165"/>
        <v>0</v>
      </c>
      <c r="DT51" s="217"/>
    </row>
    <row r="52" spans="1:126">
      <c r="A52" s="23" t="str">
        <f>$A$12</f>
        <v>3Q</v>
      </c>
      <c r="B52" s="23" t="str">
        <f>$B$12</f>
        <v>Oct</v>
      </c>
      <c r="D52" s="2218">
        <v>0</v>
      </c>
      <c r="F52" s="2218">
        <v>0</v>
      </c>
      <c r="G52" s="2213">
        <f t="shared" si="136"/>
        <v>0</v>
      </c>
      <c r="H52" s="44"/>
      <c r="J52" s="2218">
        <v>0</v>
      </c>
      <c r="K52" s="2213">
        <f t="shared" si="137"/>
        <v>0</v>
      </c>
      <c r="L52" s="44"/>
      <c r="N52" s="2218">
        <v>0</v>
      </c>
      <c r="O52" s="2213">
        <f t="shared" si="138"/>
        <v>0</v>
      </c>
      <c r="P52" s="44"/>
      <c r="R52" s="2225">
        <v>2.617</v>
      </c>
      <c r="S52" s="2213">
        <f t="shared" si="139"/>
        <v>0.22374807522791612</v>
      </c>
      <c r="T52" s="44"/>
      <c r="V52" s="2225">
        <v>0</v>
      </c>
      <c r="W52" s="2213">
        <f t="shared" si="140"/>
        <v>0</v>
      </c>
      <c r="X52" s="44"/>
      <c r="Z52" s="2225">
        <v>0</v>
      </c>
      <c r="AA52" s="2213">
        <f t="shared" si="141"/>
        <v>0</v>
      </c>
      <c r="AB52" s="44"/>
      <c r="AD52" s="2225">
        <v>0</v>
      </c>
      <c r="AE52" s="2213">
        <f t="shared" si="142"/>
        <v>0</v>
      </c>
      <c r="AF52" s="44"/>
      <c r="AH52" s="2225">
        <v>62.8</v>
      </c>
      <c r="AI52" s="2213">
        <f t="shared" si="143"/>
        <v>4.7852759801243412</v>
      </c>
      <c r="AJ52" s="44"/>
      <c r="AL52" s="2225">
        <v>0</v>
      </c>
      <c r="AM52" s="2213">
        <f t="shared" si="144"/>
        <v>0</v>
      </c>
      <c r="AN52" s="44"/>
      <c r="AP52" s="2225">
        <v>0</v>
      </c>
      <c r="AQ52" s="2213">
        <f t="shared" si="145"/>
        <v>0</v>
      </c>
      <c r="AR52" s="44"/>
      <c r="AT52" s="2225">
        <v>0</v>
      </c>
      <c r="AU52" s="2213">
        <f t="shared" si="146"/>
        <v>0</v>
      </c>
      <c r="AV52" s="44"/>
      <c r="AX52" s="2225">
        <v>170</v>
      </c>
      <c r="AY52" s="2213">
        <f t="shared" si="147"/>
        <v>14.722362229000282</v>
      </c>
      <c r="AZ52" s="44"/>
      <c r="BB52" s="2218">
        <v>0</v>
      </c>
      <c r="BC52" s="2213">
        <f t="shared" si="148"/>
        <v>0</v>
      </c>
      <c r="BD52" s="44"/>
      <c r="BF52" s="2218">
        <v>0</v>
      </c>
      <c r="BG52" s="2213">
        <f t="shared" si="149"/>
        <v>0</v>
      </c>
      <c r="BH52" s="44"/>
      <c r="BJ52" s="2218">
        <v>45.667999999999999</v>
      </c>
      <c r="BK52" s="2213">
        <f t="shared" si="150"/>
        <v>3.5784892581851633</v>
      </c>
      <c r="BL52" s="44"/>
      <c r="BN52" s="2225">
        <v>0</v>
      </c>
      <c r="BO52" s="2215">
        <f t="shared" si="151"/>
        <v>0</v>
      </c>
      <c r="BP52" s="217"/>
      <c r="BR52" s="2225">
        <v>0</v>
      </c>
      <c r="BS52" s="2215">
        <f t="shared" si="152"/>
        <v>0</v>
      </c>
      <c r="BT52" s="217"/>
      <c r="BV52" s="2225">
        <v>0</v>
      </c>
      <c r="BW52" s="2215">
        <f t="shared" si="153"/>
        <v>0</v>
      </c>
      <c r="BX52" s="217"/>
      <c r="BZ52" s="2225">
        <f>-0.339+24.5</f>
        <v>24.161000000000001</v>
      </c>
      <c r="CA52" s="2215">
        <f t="shared" si="154"/>
        <v>1.8356256177695793</v>
      </c>
      <c r="CB52" s="217"/>
      <c r="CD52" s="2225">
        <v>7.9000000000000001E-2</v>
      </c>
      <c r="CE52" s="2215">
        <f t="shared" si="155"/>
        <v>6.2602075060680428E-3</v>
      </c>
      <c r="CF52" s="217"/>
      <c r="CH52" s="2225">
        <v>0</v>
      </c>
      <c r="CI52" s="2215">
        <f t="shared" si="156"/>
        <v>0</v>
      </c>
      <c r="CJ52" s="217"/>
      <c r="CL52" s="2225">
        <v>0</v>
      </c>
      <c r="CM52" s="2215">
        <f t="shared" si="157"/>
        <v>0</v>
      </c>
      <c r="CN52" s="217"/>
      <c r="CP52" s="2225">
        <v>0</v>
      </c>
      <c r="CQ52" s="2215">
        <f t="shared" si="158"/>
        <v>0</v>
      </c>
      <c r="CR52" s="217"/>
      <c r="CT52" s="2225">
        <v>0</v>
      </c>
      <c r="CU52" s="2215">
        <f t="shared" si="159"/>
        <v>0</v>
      </c>
      <c r="CV52" s="217"/>
      <c r="CW52" s="217"/>
      <c r="CX52" s="2225">
        <v>0</v>
      </c>
      <c r="CY52" s="2215">
        <f t="shared" si="160"/>
        <v>0</v>
      </c>
      <c r="CZ52" s="217"/>
      <c r="DA52" s="217"/>
      <c r="DB52" s="2225">
        <v>0</v>
      </c>
      <c r="DC52" s="2215">
        <f t="shared" si="161"/>
        <v>0</v>
      </c>
      <c r="DD52" s="217"/>
      <c r="DE52" s="217"/>
      <c r="DF52" s="2225">
        <v>0</v>
      </c>
      <c r="DG52" s="2215">
        <f t="shared" si="162"/>
        <v>0</v>
      </c>
      <c r="DH52" s="217"/>
      <c r="DI52" s="217"/>
      <c r="DJ52" s="2225">
        <v>0</v>
      </c>
      <c r="DK52" s="2215">
        <f t="shared" si="163"/>
        <v>0</v>
      </c>
      <c r="DL52" s="217"/>
      <c r="DM52" s="217"/>
      <c r="DN52" s="2225">
        <v>0</v>
      </c>
      <c r="DO52" s="2215">
        <f t="shared" si="164"/>
        <v>0</v>
      </c>
      <c r="DP52" s="217"/>
      <c r="DQ52" s="217"/>
      <c r="DR52" s="2225">
        <v>0</v>
      </c>
      <c r="DS52" s="2215">
        <f t="shared" si="165"/>
        <v>0</v>
      </c>
      <c r="DT52" s="217"/>
    </row>
    <row r="53" spans="1:126">
      <c r="A53" s="23" t="str">
        <f>$A$13</f>
        <v>4Q</v>
      </c>
      <c r="B53" s="23" t="str">
        <f>$B$13</f>
        <v>Jan</v>
      </c>
      <c r="C53" s="139"/>
      <c r="D53" s="2220">
        <v>0</v>
      </c>
      <c r="E53" s="139"/>
      <c r="F53" s="2220">
        <v>0</v>
      </c>
      <c r="G53" s="2213">
        <f t="shared" si="136"/>
        <v>0</v>
      </c>
      <c r="H53" s="44"/>
      <c r="J53" s="2220">
        <v>0</v>
      </c>
      <c r="K53" s="2213">
        <f t="shared" si="137"/>
        <v>0</v>
      </c>
      <c r="L53" s="44"/>
      <c r="N53" s="2220">
        <v>0</v>
      </c>
      <c r="O53" s="2213">
        <f t="shared" si="138"/>
        <v>0</v>
      </c>
      <c r="P53" s="44"/>
      <c r="R53" s="2227">
        <v>0</v>
      </c>
      <c r="S53" s="2213">
        <f t="shared" si="139"/>
        <v>0</v>
      </c>
      <c r="T53" s="44"/>
      <c r="V53" s="2227">
        <v>0</v>
      </c>
      <c r="W53" s="2213">
        <f t="shared" si="140"/>
        <v>0</v>
      </c>
      <c r="X53" s="44"/>
      <c r="Z53" s="2227">
        <v>1.3140000000000001</v>
      </c>
      <c r="AA53" s="2213">
        <f t="shared" si="141"/>
        <v>6.6933142755557021E-2</v>
      </c>
      <c r="AB53" s="44"/>
      <c r="AD53" s="2227">
        <v>-12</v>
      </c>
      <c r="AE53" s="2213">
        <f t="shared" si="142"/>
        <v>-0.60407569873939471</v>
      </c>
      <c r="AF53" s="44"/>
      <c r="AH53" s="2227">
        <f>-67-86-16-107</f>
        <v>-276</v>
      </c>
      <c r="AI53" s="2213">
        <f t="shared" si="143"/>
        <v>-14.206080820246756</v>
      </c>
      <c r="AJ53" s="44"/>
      <c r="AL53" s="2227">
        <v>0</v>
      </c>
      <c r="AM53" s="2213">
        <f t="shared" si="144"/>
        <v>0</v>
      </c>
      <c r="AN53" s="44"/>
      <c r="AP53" s="2227">
        <v>36.576000000000001</v>
      </c>
      <c r="AQ53" s="2213">
        <f t="shared" si="145"/>
        <v>2.2764063699048322</v>
      </c>
      <c r="AR53" s="44"/>
      <c r="AT53" s="2227">
        <v>-9.9</v>
      </c>
      <c r="AU53" s="2213">
        <f t="shared" si="146"/>
        <v>-0.55081214190256078</v>
      </c>
      <c r="AV53" s="44"/>
      <c r="AX53" s="2227">
        <v>0</v>
      </c>
      <c r="AY53" s="2213">
        <f t="shared" si="147"/>
        <v>0</v>
      </c>
      <c r="AZ53" s="44"/>
      <c r="BB53" s="2220">
        <v>0</v>
      </c>
      <c r="BC53" s="2213">
        <f t="shared" si="148"/>
        <v>0</v>
      </c>
      <c r="BD53" s="44"/>
      <c r="BF53" s="2220">
        <v>0</v>
      </c>
      <c r="BG53" s="2213">
        <f t="shared" si="149"/>
        <v>0</v>
      </c>
      <c r="BH53" s="44"/>
      <c r="BJ53" s="2220">
        <v>0</v>
      </c>
      <c r="BK53" s="2213">
        <f t="shared" si="150"/>
        <v>0</v>
      </c>
      <c r="BL53" s="44"/>
      <c r="BN53" s="2227">
        <v>0</v>
      </c>
      <c r="BO53" s="2215">
        <f t="shared" si="151"/>
        <v>0</v>
      </c>
      <c r="BP53" s="217"/>
      <c r="BR53" s="2227">
        <v>0</v>
      </c>
      <c r="BS53" s="2215">
        <f t="shared" si="152"/>
        <v>0</v>
      </c>
      <c r="BT53" s="217"/>
      <c r="BV53" s="2227">
        <v>0</v>
      </c>
      <c r="BW53" s="2215">
        <f t="shared" si="153"/>
        <v>0</v>
      </c>
      <c r="BX53" s="217"/>
      <c r="BZ53" s="2227">
        <v>47.8</v>
      </c>
      <c r="CA53" s="2215">
        <f t="shared" si="154"/>
        <v>2.4147548594415649</v>
      </c>
      <c r="CB53" s="217"/>
      <c r="CD53" s="2227">
        <v>-237.6</v>
      </c>
      <c r="CE53" s="2215">
        <f t="shared" si="155"/>
        <v>-12.082736231223702</v>
      </c>
      <c r="CF53" s="217"/>
      <c r="CH53" s="2227">
        <v>0</v>
      </c>
      <c r="CI53" s="2215">
        <f t="shared" si="156"/>
        <v>0</v>
      </c>
      <c r="CJ53" s="217"/>
      <c r="CL53" s="2227">
        <v>0</v>
      </c>
      <c r="CM53" s="2215">
        <f t="shared" si="157"/>
        <v>0</v>
      </c>
      <c r="CN53" s="217"/>
      <c r="CP53" s="2227">
        <f>-16.985-7.357-231.862+110.801+45.636</f>
        <v>-99.767000000000024</v>
      </c>
      <c r="CQ53" s="2215">
        <f t="shared" si="158"/>
        <v>-5.0623000795622461</v>
      </c>
      <c r="CR53" s="217"/>
      <c r="CT53" s="2227">
        <f>-93.201+93.201</f>
        <v>0</v>
      </c>
      <c r="CU53" s="2215">
        <f t="shared" si="159"/>
        <v>0</v>
      </c>
      <c r="CV53" s="217"/>
      <c r="CW53" s="217"/>
      <c r="CX53" s="2227">
        <v>0</v>
      </c>
      <c r="CY53" s="2215">
        <f t="shared" si="160"/>
        <v>0</v>
      </c>
      <c r="CZ53" s="217"/>
      <c r="DA53" s="217"/>
      <c r="DB53" s="2227">
        <v>0</v>
      </c>
      <c r="DC53" s="2215">
        <f t="shared" si="161"/>
        <v>0</v>
      </c>
      <c r="DD53" s="217"/>
      <c r="DE53" s="217"/>
      <c r="DF53" s="2227">
        <v>0</v>
      </c>
      <c r="DG53" s="2215">
        <f t="shared" si="162"/>
        <v>0</v>
      </c>
      <c r="DH53" s="217"/>
      <c r="DI53" s="217"/>
      <c r="DJ53" s="2227">
        <v>0</v>
      </c>
      <c r="DK53" s="2215">
        <f t="shared" si="163"/>
        <v>0</v>
      </c>
      <c r="DL53" s="217"/>
      <c r="DM53" s="217"/>
      <c r="DN53" s="2227">
        <v>0</v>
      </c>
      <c r="DO53" s="2215">
        <f t="shared" si="164"/>
        <v>0</v>
      </c>
      <c r="DP53" s="217"/>
      <c r="DQ53" s="217"/>
      <c r="DR53" s="2227">
        <v>0</v>
      </c>
      <c r="DS53" s="2215">
        <f t="shared" si="165"/>
        <v>0</v>
      </c>
      <c r="DT53" s="217"/>
    </row>
    <row r="54" spans="1:126">
      <c r="B54" s="23" t="str">
        <f>$B$14</f>
        <v>Year</v>
      </c>
      <c r="D54" s="1854">
        <f>SUM(D50:D53)</f>
        <v>0</v>
      </c>
      <c r="F54" s="1854">
        <f>SUM(F50:F53)</f>
        <v>0</v>
      </c>
      <c r="G54" s="2213">
        <f t="shared" si="136"/>
        <v>0</v>
      </c>
      <c r="H54" s="44"/>
      <c r="J54" s="1854">
        <f>SUM(J50:J53)</f>
        <v>0</v>
      </c>
      <c r="K54" s="2213">
        <f t="shared" si="137"/>
        <v>0</v>
      </c>
      <c r="L54" s="44"/>
      <c r="N54" s="1854">
        <f>SUM(N50:N53)</f>
        <v>0</v>
      </c>
      <c r="O54" s="2213">
        <f t="shared" si="138"/>
        <v>0</v>
      </c>
      <c r="P54" s="44"/>
      <c r="R54" s="1854">
        <f>SUM(R50:R53)</f>
        <v>2.617</v>
      </c>
      <c r="S54" s="2213">
        <f t="shared" si="139"/>
        <v>4.950576523673763E-2</v>
      </c>
      <c r="T54" s="44"/>
      <c r="V54" s="1854">
        <f>SUM(V50:V53)</f>
        <v>0</v>
      </c>
      <c r="W54" s="2213">
        <f t="shared" si="140"/>
        <v>0</v>
      </c>
      <c r="X54" s="44"/>
      <c r="Z54" s="1854">
        <f>SUM(Z50:Z53)</f>
        <v>1.3140000000000001</v>
      </c>
      <c r="AA54" s="2213">
        <f t="shared" si="141"/>
        <v>2.2679004919825232E-2</v>
      </c>
      <c r="AB54" s="44"/>
      <c r="AD54" s="1854">
        <f>SUM(AD50:AD53)</f>
        <v>-12</v>
      </c>
      <c r="AE54" s="2213">
        <f t="shared" si="142"/>
        <v>-0.19517869585499006</v>
      </c>
      <c r="AF54" s="44"/>
      <c r="AH54" s="1854">
        <f>SUM(AH50:AH53)</f>
        <v>-213.2</v>
      </c>
      <c r="AI54" s="2213">
        <f t="shared" si="143"/>
        <v>-3.6114561079344298</v>
      </c>
      <c r="AJ54" s="44"/>
      <c r="AL54" s="1854">
        <f>SUM(AL50:AL53)</f>
        <v>1739.9969999999998</v>
      </c>
      <c r="AM54" s="2213">
        <f t="shared" si="144"/>
        <v>28.64851390517293</v>
      </c>
      <c r="AN54" s="44"/>
      <c r="AP54" s="1854">
        <f>SUM(AP50:AP53)</f>
        <v>23.501000000000001</v>
      </c>
      <c r="AQ54" s="2213">
        <f t="shared" si="145"/>
        <v>0.4786961767246638</v>
      </c>
      <c r="AR54" s="44"/>
      <c r="AT54" s="1854">
        <f>SUM(AT50:AT53)</f>
        <v>-9.9</v>
      </c>
      <c r="AU54" s="2213">
        <f t="shared" si="146"/>
        <v>-0.18990128010726545</v>
      </c>
      <c r="AV54" s="44"/>
      <c r="AX54" s="1854">
        <f>SUM(AX50:AX53)</f>
        <v>170</v>
      </c>
      <c r="AY54" s="2213">
        <f t="shared" si="147"/>
        <v>3.3557663020659474</v>
      </c>
      <c r="AZ54" s="44"/>
      <c r="BB54" s="1854">
        <f>SUM(BB50:BB53)</f>
        <v>-33.808</v>
      </c>
      <c r="BC54" s="2213">
        <f t="shared" si="148"/>
        <v>-0.63179119943712869</v>
      </c>
      <c r="BD54" s="44"/>
      <c r="BF54" s="1854">
        <f>SUM(BF50:BF53)</f>
        <v>0</v>
      </c>
      <c r="BG54" s="2213">
        <f t="shared" si="149"/>
        <v>0</v>
      </c>
      <c r="BH54" s="44"/>
      <c r="BJ54" s="1854">
        <f>SUM(BJ50:BJ53)</f>
        <v>90.525000000000006</v>
      </c>
      <c r="BK54" s="2213">
        <f t="shared" si="150"/>
        <v>1.5051782121026802</v>
      </c>
      <c r="BL54" s="44"/>
      <c r="BN54" s="1855">
        <f>SUM(BN50:BN53)</f>
        <v>0</v>
      </c>
      <c r="BO54" s="2215">
        <f t="shared" si="151"/>
        <v>0</v>
      </c>
      <c r="BP54" s="217"/>
      <c r="BR54" s="1855">
        <f>SUM(BR50:BR53)</f>
        <v>16.844000000000001</v>
      </c>
      <c r="BS54" s="2215">
        <f t="shared" si="152"/>
        <v>0.27083712533179316</v>
      </c>
      <c r="BT54" s="217"/>
      <c r="BV54" s="1855">
        <f>SUM(BV50:BV53)</f>
        <v>0.69599999999999995</v>
      </c>
      <c r="BW54" s="2215">
        <f t="shared" si="153"/>
        <v>1.0455023345796741E-2</v>
      </c>
      <c r="BX54" s="217"/>
      <c r="BZ54" s="1855">
        <f>SUM(BZ50:BZ53)</f>
        <v>371.56399999999996</v>
      </c>
      <c r="CA54" s="2215">
        <f t="shared" si="154"/>
        <v>5.6103212129493798</v>
      </c>
      <c r="CB54" s="217"/>
      <c r="CD54" s="1855">
        <f>SUM(CD50:CD53)</f>
        <v>-128.559</v>
      </c>
      <c r="CE54" s="2215">
        <f t="shared" si="155"/>
        <v>-2.1297709202832271</v>
      </c>
      <c r="CF54" s="217"/>
      <c r="CH54" s="1855">
        <f>SUM(CH50:CH53)</f>
        <v>9.4410000000000007</v>
      </c>
      <c r="CI54" s="2215">
        <f t="shared" si="156"/>
        <v>0.16845698681642524</v>
      </c>
      <c r="CJ54" s="217"/>
      <c r="CL54" s="1855">
        <f>SUM(CL50:CL53)</f>
        <v>0</v>
      </c>
      <c r="CM54" s="2215">
        <f t="shared" si="157"/>
        <v>0</v>
      </c>
      <c r="CN54" s="217"/>
      <c r="CP54" s="1855">
        <f>SUM(CP50:CP53)</f>
        <v>-263.19500000000005</v>
      </c>
      <c r="CQ54" s="2215">
        <f t="shared" si="158"/>
        <v>-4.1841719244043132</v>
      </c>
      <c r="CR54" s="217"/>
      <c r="CT54" s="1855">
        <f>SUM(CT50:CT53)</f>
        <v>0</v>
      </c>
      <c r="CU54" s="2215">
        <f t="shared" si="159"/>
        <v>0</v>
      </c>
      <c r="CV54" s="217"/>
      <c r="CW54" s="217"/>
      <c r="CX54" s="1855">
        <f>SUM(CX50:CX53)</f>
        <v>0</v>
      </c>
      <c r="CY54" s="2215">
        <f t="shared" si="160"/>
        <v>0</v>
      </c>
      <c r="CZ54" s="217"/>
      <c r="DA54" s="217"/>
      <c r="DB54" s="1855">
        <f>SUM(DB50:DB53)</f>
        <v>0</v>
      </c>
      <c r="DC54" s="2215">
        <f t="shared" si="161"/>
        <v>0</v>
      </c>
      <c r="DD54" s="217"/>
      <c r="DE54" s="217"/>
      <c r="DF54" s="1855">
        <f>SUM(DF50:DF53)</f>
        <v>0</v>
      </c>
      <c r="DG54" s="2215">
        <f t="shared" si="162"/>
        <v>0</v>
      </c>
      <c r="DH54" s="217"/>
      <c r="DI54" s="217"/>
      <c r="DJ54" s="1855">
        <f>SUM(DJ50:DJ53)</f>
        <v>0</v>
      </c>
      <c r="DK54" s="2215">
        <f t="shared" si="163"/>
        <v>0</v>
      </c>
      <c r="DL54" s="217"/>
      <c r="DM54" s="217"/>
      <c r="DN54" s="1855">
        <f>SUM(DN50:DN53)</f>
        <v>0</v>
      </c>
      <c r="DO54" s="2215">
        <f t="shared" si="164"/>
        <v>0</v>
      </c>
      <c r="DP54" s="217"/>
      <c r="DQ54" s="217"/>
      <c r="DR54" s="1855">
        <f>SUM(DR50:DR53)</f>
        <v>0</v>
      </c>
      <c r="DS54" s="2215">
        <f t="shared" si="165"/>
        <v>0</v>
      </c>
      <c r="DT54" s="217"/>
    </row>
    <row r="55" spans="1:126" hidden="1" outlineLevel="1">
      <c r="A55" s="23" t="str">
        <f>$A$15</f>
        <v>6 Mos</v>
      </c>
      <c r="D55" s="1899">
        <f>SUM(D50:D51)</f>
        <v>0</v>
      </c>
      <c r="F55" s="1899">
        <f>SUM(F50:F51)</f>
        <v>0</v>
      </c>
      <c r="G55" s="2213">
        <f t="shared" si="136"/>
        <v>0</v>
      </c>
      <c r="H55" s="44"/>
      <c r="J55" s="1899">
        <f>SUM(J50:J51)</f>
        <v>0</v>
      </c>
      <c r="K55" s="2213">
        <f t="shared" si="137"/>
        <v>0</v>
      </c>
      <c r="L55" s="44"/>
      <c r="N55" s="1899">
        <f>SUM(N50:N51)</f>
        <v>0</v>
      </c>
      <c r="O55" s="2213">
        <f t="shared" si="138"/>
        <v>0</v>
      </c>
      <c r="P55" s="44"/>
      <c r="R55" s="1899">
        <f>SUM(R50:R51)</f>
        <v>0</v>
      </c>
      <c r="S55" s="2213">
        <f t="shared" si="139"/>
        <v>0</v>
      </c>
      <c r="T55" s="44"/>
      <c r="V55" s="1899">
        <f>SUM(V50:V51)</f>
        <v>0</v>
      </c>
      <c r="W55" s="2213">
        <f t="shared" si="140"/>
        <v>0</v>
      </c>
      <c r="X55" s="44"/>
      <c r="Z55" s="1899">
        <f>SUM(Z50:Z51)</f>
        <v>0</v>
      </c>
      <c r="AA55" s="2213">
        <f t="shared" si="141"/>
        <v>0</v>
      </c>
      <c r="AB55" s="44"/>
      <c r="AD55" s="1899">
        <f>SUM(AD50:AD51)</f>
        <v>0</v>
      </c>
      <c r="AE55" s="2213">
        <f t="shared" si="142"/>
        <v>0</v>
      </c>
      <c r="AF55" s="44"/>
      <c r="AH55" s="1899">
        <f>SUM(AH50:AH51)</f>
        <v>0</v>
      </c>
      <c r="AI55" s="2213">
        <f t="shared" si="143"/>
        <v>0</v>
      </c>
      <c r="AJ55" s="44"/>
      <c r="AL55" s="2243">
        <v>152.524</v>
      </c>
      <c r="AM55" s="2213">
        <f t="shared" si="144"/>
        <v>5.6227745150336714</v>
      </c>
      <c r="AN55" s="44"/>
      <c r="AP55" s="2243">
        <v>195.87299999999999</v>
      </c>
      <c r="AQ55" s="2213">
        <f t="shared" si="145"/>
        <v>8.6996282494858992</v>
      </c>
      <c r="AR55" s="44"/>
      <c r="AT55" s="2243">
        <v>270.43599999999998</v>
      </c>
      <c r="AU55" s="2213">
        <f t="shared" si="146"/>
        <v>11.734128926331282</v>
      </c>
      <c r="AV55" s="44"/>
      <c r="AX55" s="1899">
        <f>SUM(AX50:AX51)</f>
        <v>0</v>
      </c>
      <c r="AY55" s="2213">
        <f t="shared" si="147"/>
        <v>0</v>
      </c>
      <c r="AZ55" s="44"/>
      <c r="BB55" s="1899">
        <f>SUM(BB50:BB51)</f>
        <v>-33.808</v>
      </c>
      <c r="BC55" s="2213">
        <f t="shared" si="148"/>
        <v>-1.3990516839685925</v>
      </c>
      <c r="BD55" s="44"/>
      <c r="BF55" s="1899">
        <f>SUM(BF50:BF51)</f>
        <v>0</v>
      </c>
      <c r="BG55" s="2213">
        <f t="shared" si="149"/>
        <v>0</v>
      </c>
      <c r="BH55" s="44"/>
      <c r="BJ55" s="1899">
        <f>SUM(BJ50:BJ51)</f>
        <v>44.856999999999999</v>
      </c>
      <c r="BK55" s="2213">
        <f t="shared" si="150"/>
        <v>1.6547342730708108</v>
      </c>
      <c r="BL55" s="44"/>
      <c r="BN55" s="2202">
        <f>SUM(BN50:BN51)</f>
        <v>0</v>
      </c>
      <c r="BO55" s="2215">
        <f t="shared" si="151"/>
        <v>0</v>
      </c>
      <c r="BP55" s="217"/>
      <c r="BR55" s="2202">
        <f>SUM(BR50:BR51)</f>
        <v>16.844000000000001</v>
      </c>
      <c r="BS55" s="2215">
        <f t="shared" si="152"/>
        <v>0.59382895935035596</v>
      </c>
      <c r="BT55" s="217"/>
      <c r="BV55" s="2202">
        <f>SUM(BV50:BV51)</f>
        <v>0.69599999999999995</v>
      </c>
      <c r="BW55" s="2215">
        <f t="shared" si="153"/>
        <v>2.409110591675484E-2</v>
      </c>
      <c r="BX55" s="217"/>
      <c r="BZ55" s="2202">
        <f>SUM(BZ50:BZ51)</f>
        <v>299.60299999999995</v>
      </c>
      <c r="CA55" s="2215">
        <f t="shared" si="154"/>
        <v>9.0048182508646288</v>
      </c>
      <c r="CB55" s="217"/>
      <c r="CD55" s="2202">
        <f>SUM(CD50:CD51)</f>
        <v>108.962</v>
      </c>
      <c r="CE55" s="2215">
        <f t="shared" si="155"/>
        <v>3.880548537662639</v>
      </c>
      <c r="CF55" s="217"/>
      <c r="CH55" s="2202">
        <f>SUM(CH50:CH51)</f>
        <v>9.4410000000000007</v>
      </c>
      <c r="CI55" s="2215">
        <f t="shared" si="156"/>
        <v>0.36657216008498605</v>
      </c>
      <c r="CJ55" s="217"/>
      <c r="CL55" s="2202">
        <f>SUM(CL50:CL51)</f>
        <v>0</v>
      </c>
      <c r="CM55" s="2215">
        <f t="shared" si="157"/>
        <v>0</v>
      </c>
      <c r="CN55" s="217"/>
      <c r="CP55" s="2202">
        <f>SUM(CP50:CP51)</f>
        <v>-163.428</v>
      </c>
      <c r="CQ55" s="2215">
        <f t="shared" si="158"/>
        <v>-5.5752243182778027</v>
      </c>
      <c r="CR55" s="217"/>
      <c r="CT55" s="2202">
        <f>SUM(CT50:CT51)</f>
        <v>0</v>
      </c>
      <c r="CU55" s="2215">
        <f t="shared" si="159"/>
        <v>0</v>
      </c>
      <c r="CV55" s="217"/>
      <c r="CW55" s="217"/>
      <c r="CX55" s="2202">
        <f>SUM(CX50:CX51)</f>
        <v>0</v>
      </c>
      <c r="CY55" s="2215">
        <f t="shared" si="160"/>
        <v>0</v>
      </c>
      <c r="CZ55" s="217"/>
      <c r="DA55" s="217"/>
      <c r="DB55" s="2202">
        <f>SUM(DB50:DB51)</f>
        <v>0</v>
      </c>
      <c r="DC55" s="2215">
        <f t="shared" si="161"/>
        <v>0</v>
      </c>
      <c r="DD55" s="217"/>
      <c r="DE55" s="217"/>
      <c r="DF55" s="2202">
        <f>SUM(DF50:DF51)</f>
        <v>0</v>
      </c>
      <c r="DG55" s="2215">
        <f t="shared" si="162"/>
        <v>0</v>
      </c>
      <c r="DH55" s="217"/>
      <c r="DI55" s="217"/>
      <c r="DJ55" s="2202">
        <f>SUM(DJ50:DJ51)</f>
        <v>0</v>
      </c>
      <c r="DK55" s="2215">
        <f t="shared" si="163"/>
        <v>0</v>
      </c>
      <c r="DL55" s="217"/>
      <c r="DM55" s="217"/>
      <c r="DN55" s="2202">
        <f>SUM(DN50:DN51)</f>
        <v>0</v>
      </c>
      <c r="DO55" s="2215">
        <f t="shared" si="164"/>
        <v>0</v>
      </c>
      <c r="DP55" s="217"/>
      <c r="DQ55" s="217"/>
      <c r="DR55" s="2202">
        <f>SUM(DR50:DR51)</f>
        <v>0</v>
      </c>
      <c r="DS55" s="2215">
        <f t="shared" si="165"/>
        <v>0</v>
      </c>
      <c r="DT55" s="217"/>
    </row>
    <row r="56" spans="1:126" hidden="1" outlineLevel="1">
      <c r="A56" s="23" t="str">
        <f>$A$16</f>
        <v>9 Mos</v>
      </c>
      <c r="D56" s="1899">
        <f>SUM(D50:D52)</f>
        <v>0</v>
      </c>
      <c r="F56" s="1899">
        <f>SUM(F50:F52)</f>
        <v>0</v>
      </c>
      <c r="G56" s="2213">
        <f t="shared" si="136"/>
        <v>0</v>
      </c>
      <c r="H56" s="44"/>
      <c r="J56" s="1899">
        <f>SUM(J50:J52)</f>
        <v>0</v>
      </c>
      <c r="K56" s="2213">
        <f t="shared" si="137"/>
        <v>0</v>
      </c>
      <c r="L56" s="44"/>
      <c r="N56" s="1899">
        <f>SUM(N50:N52)</f>
        <v>0</v>
      </c>
      <c r="O56" s="2213">
        <f t="shared" si="138"/>
        <v>0</v>
      </c>
      <c r="P56" s="44"/>
      <c r="R56" s="1899">
        <f>SUM(R50:R52)</f>
        <v>2.617</v>
      </c>
      <c r="S56" s="2213">
        <f t="shared" si="139"/>
        <v>7.3330011953604557E-2</v>
      </c>
      <c r="T56" s="44"/>
      <c r="V56" s="1899">
        <f>SUM(V50:V52)</f>
        <v>0</v>
      </c>
      <c r="W56" s="2213">
        <f t="shared" si="140"/>
        <v>0</v>
      </c>
      <c r="X56" s="44"/>
      <c r="Z56" s="1899">
        <f>SUM(Z50:Z52)</f>
        <v>0</v>
      </c>
      <c r="AA56" s="2213">
        <f t="shared" si="141"/>
        <v>0</v>
      </c>
      <c r="AB56" s="44"/>
      <c r="AD56" s="1899">
        <f>SUM(AD50:AD52)</f>
        <v>0</v>
      </c>
      <c r="AE56" s="2213">
        <f t="shared" si="142"/>
        <v>0</v>
      </c>
      <c r="AF56" s="44"/>
      <c r="AH56" s="1899">
        <f>SUM(AH50:AH52)</f>
        <v>62.8</v>
      </c>
      <c r="AI56" s="2213">
        <f t="shared" si="143"/>
        <v>1.5856159385710167</v>
      </c>
      <c r="AJ56" s="44"/>
      <c r="AL56" s="2243">
        <v>236.41300000000001</v>
      </c>
      <c r="AM56" s="2213">
        <f t="shared" si="144"/>
        <v>5.8409144926268697</v>
      </c>
      <c r="AN56" s="44"/>
      <c r="AP56" s="2243">
        <v>302.495</v>
      </c>
      <c r="AQ56" s="2213">
        <f t="shared" si="145"/>
        <v>9.1592044410612861</v>
      </c>
      <c r="AR56" s="44"/>
      <c r="AT56" s="2243">
        <v>423.33600000000001</v>
      </c>
      <c r="AU56" s="2213">
        <f t="shared" si="146"/>
        <v>12.393142751418445</v>
      </c>
      <c r="AV56" s="44"/>
      <c r="AX56" s="1899">
        <f>SUM(AX50:AX52)</f>
        <v>170</v>
      </c>
      <c r="AY56" s="2213">
        <f t="shared" si="147"/>
        <v>4.9223314014630324</v>
      </c>
      <c r="AZ56" s="44"/>
      <c r="BB56" s="1899">
        <f>SUM(BB50:BB52)</f>
        <v>-33.808</v>
      </c>
      <c r="BC56" s="2213">
        <f t="shared" si="148"/>
        <v>-0.93394767760351594</v>
      </c>
      <c r="BD56" s="44"/>
      <c r="BF56" s="1899">
        <f>SUM(BF50:BF52)</f>
        <v>0</v>
      </c>
      <c r="BG56" s="2213">
        <f t="shared" si="149"/>
        <v>0</v>
      </c>
      <c r="BH56" s="44"/>
      <c r="BJ56" s="1899">
        <f>SUM(BJ50:BJ52)</f>
        <v>90.525000000000006</v>
      </c>
      <c r="BK56" s="2213">
        <f t="shared" si="150"/>
        <v>2.2704990131700233</v>
      </c>
      <c r="BL56" s="44"/>
      <c r="BN56" s="2202">
        <f>SUM(BN50:BN52)</f>
        <v>0</v>
      </c>
      <c r="BO56" s="2215">
        <f t="shared" si="151"/>
        <v>0</v>
      </c>
      <c r="BP56" s="217"/>
      <c r="BR56" s="2202">
        <f>SUM(BR50:BR52)</f>
        <v>16.844000000000001</v>
      </c>
      <c r="BS56" s="2215">
        <f t="shared" si="152"/>
        <v>0.40869825577755786</v>
      </c>
      <c r="BT56" s="217"/>
      <c r="BV56" s="2202">
        <f>SUM(BV50:BV52)</f>
        <v>0.69599999999999995</v>
      </c>
      <c r="BW56" s="2215">
        <f t="shared" si="153"/>
        <v>1.6397188918704335E-2</v>
      </c>
      <c r="BX56" s="217"/>
      <c r="BZ56" s="2202">
        <f>SUM(BZ50:BZ52)</f>
        <v>323.76399999999995</v>
      </c>
      <c r="CA56" s="2215">
        <f t="shared" si="154"/>
        <v>6.9726112597580023</v>
      </c>
      <c r="CB56" s="217"/>
      <c r="CD56" s="2202">
        <f>SUM(CD50:CD52)</f>
        <v>109.041</v>
      </c>
      <c r="CE56" s="2215">
        <f t="shared" si="155"/>
        <v>2.6792447174226215</v>
      </c>
      <c r="CF56" s="217"/>
      <c r="CH56" s="2202">
        <f>SUM(CH50:CH52)</f>
        <v>9.4410000000000007</v>
      </c>
      <c r="CI56" s="2215">
        <f t="shared" si="156"/>
        <v>0.24910139067757636</v>
      </c>
      <c r="CJ56" s="217"/>
      <c r="CL56" s="2202">
        <f>SUM(CL50:CL52)</f>
        <v>0</v>
      </c>
      <c r="CM56" s="2215">
        <f t="shared" si="157"/>
        <v>0</v>
      </c>
      <c r="CN56" s="217"/>
      <c r="CP56" s="2202">
        <f>SUM(CP50:CP52)</f>
        <v>-163.428</v>
      </c>
      <c r="CQ56" s="2215">
        <f t="shared" si="158"/>
        <v>-3.7835206132976062</v>
      </c>
      <c r="CR56" s="217"/>
      <c r="CT56" s="2202">
        <f>SUM(CT50:CT52)</f>
        <v>0</v>
      </c>
      <c r="CU56" s="2215">
        <f t="shared" si="159"/>
        <v>0</v>
      </c>
      <c r="CV56" s="217"/>
      <c r="CW56" s="217"/>
      <c r="CX56" s="2202">
        <f>SUM(CX50:CX52)</f>
        <v>0</v>
      </c>
      <c r="CY56" s="2215">
        <f t="shared" si="160"/>
        <v>0</v>
      </c>
      <c r="CZ56" s="217"/>
      <c r="DA56" s="217"/>
      <c r="DB56" s="2202">
        <f>SUM(DB50:DB52)</f>
        <v>0</v>
      </c>
      <c r="DC56" s="2215">
        <f t="shared" si="161"/>
        <v>0</v>
      </c>
      <c r="DD56" s="217"/>
      <c r="DE56" s="217"/>
      <c r="DF56" s="2202">
        <f>SUM(DF50:DF52)</f>
        <v>0</v>
      </c>
      <c r="DG56" s="2215">
        <f t="shared" si="162"/>
        <v>0</v>
      </c>
      <c r="DH56" s="217"/>
      <c r="DI56" s="217"/>
      <c r="DJ56" s="2202">
        <f>SUM(DJ50:DJ52)</f>
        <v>0</v>
      </c>
      <c r="DK56" s="2215">
        <f t="shared" si="163"/>
        <v>0</v>
      </c>
      <c r="DL56" s="217"/>
      <c r="DM56" s="217"/>
      <c r="DN56" s="2202">
        <f>SUM(DN50:DN52)</f>
        <v>0</v>
      </c>
      <c r="DO56" s="2215">
        <f t="shared" si="164"/>
        <v>0</v>
      </c>
      <c r="DP56" s="217"/>
      <c r="DQ56" s="217"/>
      <c r="DR56" s="2202">
        <f>SUM(DR50:DR52)</f>
        <v>0</v>
      </c>
      <c r="DS56" s="2215">
        <f t="shared" si="165"/>
        <v>0</v>
      </c>
      <c r="DT56" s="217"/>
    </row>
    <row r="57" spans="1:126" collapsed="1">
      <c r="BK57" s="1823"/>
      <c r="BN57" s="161"/>
      <c r="BO57" s="161"/>
      <c r="BP57" s="161"/>
      <c r="BR57" s="161"/>
      <c r="BS57" s="161"/>
      <c r="BT57" s="161"/>
      <c r="BV57" s="161"/>
      <c r="BW57" s="161"/>
      <c r="BX57" s="161"/>
      <c r="BZ57" s="161">
        <f>BZ54*(1-0.33)</f>
        <v>248.94787999999994</v>
      </c>
      <c r="CA57" s="161"/>
      <c r="CB57" s="161"/>
      <c r="CD57" s="161"/>
      <c r="CE57" s="161"/>
      <c r="CF57" s="161"/>
      <c r="CH57" s="161"/>
      <c r="CI57" s="161"/>
      <c r="CJ57" s="161"/>
      <c r="CL57" s="161"/>
      <c r="CM57" s="161"/>
      <c r="CN57" s="161"/>
      <c r="CP57" s="161"/>
      <c r="CQ57" s="161"/>
      <c r="CR57" s="161"/>
      <c r="CT57" s="161"/>
      <c r="CU57" s="161"/>
      <c r="CV57" s="161"/>
      <c r="CW57" s="161"/>
      <c r="CX57" s="161"/>
      <c r="CY57" s="161"/>
      <c r="CZ57" s="161"/>
      <c r="DA57" s="161"/>
      <c r="DB57" s="161"/>
      <c r="DC57" s="161"/>
      <c r="DD57" s="161"/>
      <c r="DE57" s="161"/>
      <c r="DF57" s="161"/>
      <c r="DG57" s="161"/>
      <c r="DH57" s="161"/>
      <c r="DI57" s="161"/>
      <c r="DJ57" s="161"/>
      <c r="DK57" s="161"/>
      <c r="DL57" s="161"/>
      <c r="DM57" s="161"/>
      <c r="DN57" s="161"/>
      <c r="DO57" s="161"/>
      <c r="DP57" s="161"/>
      <c r="DQ57" s="161"/>
      <c r="DR57" s="161"/>
      <c r="DS57" s="161"/>
      <c r="DT57" s="161"/>
    </row>
    <row r="58" spans="1:126">
      <c r="C58" s="1936"/>
      <c r="D58" s="1936"/>
      <c r="E58" s="1936">
        <f>AH58</f>
        <v>0</v>
      </c>
      <c r="F58" s="1936"/>
      <c r="J58" s="1936"/>
      <c r="N58" s="1936"/>
      <c r="R58" s="1936"/>
      <c r="V58" s="1936"/>
      <c r="Z58" s="2244"/>
      <c r="AA58" s="2177"/>
      <c r="AB58" s="2177"/>
      <c r="AC58" s="2177"/>
      <c r="AD58" s="2244"/>
      <c r="AE58" s="2177"/>
      <c r="AF58" s="2177"/>
      <c r="AG58" s="2177"/>
      <c r="AH58" s="2244"/>
      <c r="AI58" s="2177"/>
      <c r="AJ58" s="2177"/>
      <c r="AK58" s="2177"/>
      <c r="AM58" s="2177"/>
      <c r="AN58" s="2177"/>
      <c r="AO58" s="2177"/>
      <c r="AQ58" s="2177"/>
      <c r="AR58" s="2177"/>
      <c r="AS58" s="2177"/>
      <c r="AU58" s="2177"/>
      <c r="AV58" s="2177"/>
      <c r="AW58" s="2177"/>
      <c r="AY58" s="2177"/>
      <c r="AZ58" s="2177"/>
      <c r="BA58" s="2177"/>
      <c r="BB58" s="2244"/>
      <c r="BC58" s="2177"/>
      <c r="BD58" s="2177"/>
      <c r="BE58" s="2177"/>
      <c r="BF58" s="2244"/>
      <c r="BG58" s="2177"/>
      <c r="BH58" s="2177"/>
      <c r="BI58" s="2177"/>
      <c r="BJ58" s="2244" t="s">
        <v>1139</v>
      </c>
      <c r="BK58" s="2177"/>
      <c r="BL58" s="2177"/>
      <c r="BM58" s="2177"/>
      <c r="BN58" s="2245"/>
      <c r="BO58" s="2179"/>
      <c r="BP58" s="2179"/>
      <c r="BQ58" s="2177"/>
      <c r="BR58" s="2245"/>
      <c r="BS58" s="2179"/>
      <c r="BT58" s="2179"/>
      <c r="BU58" s="2177"/>
      <c r="BV58" s="2244" t="s">
        <v>1139</v>
      </c>
      <c r="BW58" s="2179"/>
      <c r="BX58" s="2179"/>
      <c r="BY58" s="2177"/>
      <c r="CA58" s="2179"/>
      <c r="CB58" s="2179"/>
      <c r="CC58" s="2177"/>
      <c r="CD58" s="2245"/>
      <c r="CE58" s="2179"/>
      <c r="CF58" s="2179"/>
      <c r="CG58" s="2177"/>
      <c r="CH58" s="2245"/>
      <c r="CI58" s="2179"/>
      <c r="CJ58" s="2179"/>
      <c r="CL58" s="2245"/>
      <c r="CM58" s="2179"/>
      <c r="CN58" s="2179"/>
      <c r="CP58" s="2245"/>
      <c r="CQ58" s="2179"/>
      <c r="CR58" s="2179"/>
      <c r="CS58" s="2177"/>
      <c r="CT58" s="2245"/>
      <c r="CV58" s="2179"/>
      <c r="CW58" s="2179"/>
      <c r="CX58" s="2246" t="s">
        <v>1139</v>
      </c>
      <c r="CY58" s="2179"/>
      <c r="CZ58" s="2179"/>
      <c r="DA58" s="2179"/>
      <c r="DB58" s="2179"/>
      <c r="DC58" s="2179"/>
      <c r="DD58" s="2179"/>
      <c r="DE58" s="2179"/>
      <c r="DF58" s="2179"/>
      <c r="DG58" s="2179"/>
      <c r="DH58" s="2179"/>
      <c r="DI58" s="2179"/>
      <c r="DJ58" s="2179"/>
      <c r="DK58" s="2179"/>
      <c r="DL58" s="2179"/>
      <c r="DM58" s="2179"/>
      <c r="DN58" s="2179"/>
      <c r="DO58" s="2179"/>
      <c r="DP58" s="2179"/>
      <c r="DQ58" s="2179"/>
      <c r="DR58" s="2179"/>
      <c r="DS58" s="2179"/>
      <c r="DT58" s="2179"/>
      <c r="DU58" s="2177"/>
    </row>
    <row r="59" spans="1:126">
      <c r="BN59" s="161"/>
      <c r="BO59" s="2230"/>
      <c r="BP59" s="2230"/>
      <c r="BR59" s="161"/>
      <c r="BS59" s="2230"/>
      <c r="BT59" s="2230"/>
      <c r="BV59" s="2202"/>
      <c r="BW59" s="2230"/>
      <c r="BX59" s="2230"/>
      <c r="BZ59" s="161"/>
      <c r="CA59" s="2230"/>
      <c r="CB59" s="2230"/>
      <c r="CD59" s="161"/>
      <c r="CE59" s="2230"/>
      <c r="CF59" s="2230"/>
      <c r="CH59" s="161"/>
      <c r="CI59" s="2230"/>
      <c r="CJ59" s="2230"/>
      <c r="CL59" s="161"/>
      <c r="CM59" s="2230"/>
      <c r="CN59" s="2230"/>
      <c r="CP59" s="161"/>
      <c r="CQ59" s="2230"/>
      <c r="CR59" s="2230"/>
      <c r="CT59" s="161"/>
      <c r="CU59" s="2230"/>
      <c r="CV59" s="2230"/>
      <c r="CW59" s="2230"/>
      <c r="CX59" s="2230"/>
      <c r="CY59" s="2230"/>
      <c r="CZ59" s="2230"/>
      <c r="DA59" s="2230"/>
      <c r="DB59" s="2230"/>
      <c r="DC59" s="2230"/>
      <c r="DD59" s="2230"/>
      <c r="DE59" s="2230"/>
      <c r="DF59" s="2230"/>
      <c r="DG59" s="2230"/>
      <c r="DH59" s="2230"/>
      <c r="DI59" s="2230"/>
      <c r="DJ59" s="2230"/>
      <c r="DK59" s="2230"/>
      <c r="DL59" s="2230"/>
      <c r="DM59" s="2230"/>
      <c r="DN59" s="2230"/>
      <c r="DO59" s="2230"/>
      <c r="DP59" s="2230"/>
      <c r="DQ59" s="2230"/>
      <c r="DR59" s="2230"/>
      <c r="DS59" s="2230"/>
      <c r="DT59" s="2230"/>
    </row>
    <row r="60" spans="1:126">
      <c r="A60" s="23" t="str">
        <f>$A$10</f>
        <v>1Q</v>
      </c>
      <c r="B60" s="23" t="str">
        <f>$B$10</f>
        <v>Apr</v>
      </c>
      <c r="D60" s="1854">
        <f>D10-D20-D30</f>
        <v>89.365999999999985</v>
      </c>
      <c r="E60" s="2213">
        <f t="shared" ref="E60:E66" si="166">D60/D10*100</f>
        <v>9.2644023482895275</v>
      </c>
      <c r="F60" s="1854">
        <f>F10-F20-F30</f>
        <v>111.57900000000004</v>
      </c>
      <c r="G60" s="2213">
        <f t="shared" ref="G60:G66" si="167">F60/F10*100</f>
        <v>10.0762634951167</v>
      </c>
      <c r="H60" s="44"/>
      <c r="J60" s="1854">
        <f>J10-J20-J30</f>
        <v>94.63</v>
      </c>
      <c r="K60" s="2213">
        <f t="shared" ref="K60:K66" si="168">J60/J10*100</f>
        <v>7.3671721363164302</v>
      </c>
      <c r="L60" s="44">
        <f t="shared" ref="L60:L66" si="169">IF(F60&lt;0,"       NM",(J60/F60-1)*100)</f>
        <v>-15.190134344276284</v>
      </c>
      <c r="N60" s="1854">
        <f>N10-N20-N30</f>
        <v>86.50100000000009</v>
      </c>
      <c r="O60" s="2213">
        <f t="shared" ref="O60:O66" si="170">N60/N10*100</f>
        <v>6.1104459161147968</v>
      </c>
      <c r="P60" s="44">
        <f t="shared" ref="P60:P66" si="171">IF(J60&lt;0,"       NM",(N60/J60-1)*100)</f>
        <v>-8.590299059494777</v>
      </c>
      <c r="R60" s="1854">
        <f>R10-R20-R30</f>
        <v>85.488999999999862</v>
      </c>
      <c r="S60" s="2213">
        <f t="shared" ref="S60:S66" si="172">R60/R10*100</f>
        <v>5.629605922975756</v>
      </c>
      <c r="T60" s="44">
        <f t="shared" ref="T60:T66" si="173">IF(N60&lt;0,"       NM",(R60/N60-1)*100)</f>
        <v>-1.1699286713450996</v>
      </c>
      <c r="V60" s="1854">
        <f>V10-V20-V30</f>
        <v>91.170000000000016</v>
      </c>
      <c r="W60" s="2213">
        <f t="shared" ref="W60:W66" si="174">V60/V10*100</f>
        <v>6.1533664320598707</v>
      </c>
      <c r="X60" s="44">
        <f t="shared" ref="X60:X66" si="175">IF(R60&lt;0,"       NM",(V60/R60-1)*100)</f>
        <v>6.6452993952440309</v>
      </c>
      <c r="Z60" s="1854">
        <f>Z10-Z20-Z30</f>
        <v>80.019999999999925</v>
      </c>
      <c r="AA60" s="2213">
        <f t="shared" ref="AA60:AA66" si="176">Z60/Z10*100</f>
        <v>5.038617648132961</v>
      </c>
      <c r="AB60" s="44">
        <f t="shared" ref="AB60:AB66" si="177">IF(V60&lt;0,"       NM",(Z60/V60-1)*100)</f>
        <v>-12.229900186464949</v>
      </c>
      <c r="AD60" s="1854">
        <f>AD10-AD20-AD30</f>
        <v>53.835999999999956</v>
      </c>
      <c r="AE60" s="2213">
        <f t="shared" ref="AE60:AE66" si="178">AD60/AD10*100</f>
        <v>3.0110579587827999</v>
      </c>
      <c r="AF60" s="44">
        <f t="shared" ref="AF60:AF66" si="179">IF(Z60&lt;0,"       NM",(AD60/Z60-1)*100)</f>
        <v>-32.721819545113718</v>
      </c>
      <c r="AH60" s="1854">
        <f>AH10-AH20-AH30</f>
        <v>65.42999999999995</v>
      </c>
      <c r="AI60" s="2213">
        <f t="shared" ref="AI60:AI66" si="180">AH60/AH10*100</f>
        <v>3.8550505699205866</v>
      </c>
      <c r="AJ60" s="2188" t="s">
        <v>886</v>
      </c>
      <c r="AL60" s="1854">
        <f>AL10-AL20-AL30</f>
        <v>63.81899999999996</v>
      </c>
      <c r="AM60" s="2213">
        <f t="shared" ref="AM60:AM66" si="181">AL60/AL10*100</f>
        <v>3.5340261949537148</v>
      </c>
      <c r="AN60" s="44">
        <f t="shared" ref="AN60:AN66" si="182">IF(AH60&lt;0,"       NM",(AL60/AH60-1)*100)</f>
        <v>-2.4621733149931102</v>
      </c>
      <c r="AP60" s="1854">
        <f>AP10-AP20-AP30</f>
        <v>62.207000000000107</v>
      </c>
      <c r="AQ60" s="2213">
        <f t="shared" ref="AQ60:AQ66" si="183">AP60/AP10*100</f>
        <v>3.9654142594784796</v>
      </c>
      <c r="AR60" s="2247" t="s">
        <v>886</v>
      </c>
      <c r="AT60" s="1854">
        <f>AT10-AT20-AT30</f>
        <v>112.43200000000002</v>
      </c>
      <c r="AU60" s="2213">
        <f t="shared" ref="AU60:AU66" si="184">AT60/AT10*100</f>
        <v>6.6518757802192612</v>
      </c>
      <c r="AV60" s="44">
        <f t="shared" ref="AV60:AV66" si="185">IF(AP60&lt;0,"       NM",(AT60/AP60-1)*100)</f>
        <v>80.738502097834356</v>
      </c>
      <c r="AX60" s="1854">
        <f>AX10-AX20-AX30</f>
        <v>38.550999999999988</v>
      </c>
      <c r="AY60" s="2213">
        <f t="shared" ref="AY60:AY66" si="186">AX60/AX10*100</f>
        <v>2.3197529512148445</v>
      </c>
      <c r="AZ60" s="44">
        <f t="shared" ref="AZ60:AZ66" si="187">IF(AT60&lt;0,"       NM",(AX60/AT60-1)*100)</f>
        <v>-65.711719083534945</v>
      </c>
      <c r="BB60" s="1854">
        <f>BB10-BB20-BB30</f>
        <v>128.14300000000009</v>
      </c>
      <c r="BC60" s="2213">
        <f t="shared" ref="BC60:BC66" si="188">BB60/BB10*100</f>
        <v>7.1241730865560697</v>
      </c>
      <c r="BD60" s="44">
        <f t="shared" ref="BD60:BD66" si="189">IF(AX60&lt;0,"       NM",(BB60/AX60-1)*100)</f>
        <v>232.39864076158887</v>
      </c>
      <c r="BF60" s="1854">
        <f>BF10-BF20-BF30</f>
        <v>109.05099999999993</v>
      </c>
      <c r="BG60" s="2213">
        <f t="shared" ref="BG60:BG66" si="190">BF60/BF10*100</f>
        <v>5.9192953144905474</v>
      </c>
      <c r="BH60" s="44">
        <f t="shared" ref="BH60:BH66" si="191">IF(BB60&lt;0,"       NM",(BF60/BB60-1)*100)</f>
        <v>-14.898980045730269</v>
      </c>
      <c r="BJ60" s="1854">
        <f>BJ10-BJ20-BJ30</f>
        <v>119.37200000000007</v>
      </c>
      <c r="BK60" s="2213">
        <f t="shared" ref="BK60:BK66" si="192">BJ60/BJ10*100</f>
        <v>6.0343655327587751</v>
      </c>
      <c r="BL60" s="44">
        <f t="shared" ref="BL60:BL66" si="193">IF(BF60&lt;0,"       NM",(BJ60/BF60-1)*100)</f>
        <v>9.4643790520033235</v>
      </c>
      <c r="BN60" s="1855">
        <f>BN10-BN20-BN30</f>
        <v>48.257999999999925</v>
      </c>
      <c r="BO60" s="2215">
        <f t="shared" ref="BO60:BO66" si="194">BN60/BN10*100</f>
        <v>2.4435271695430489</v>
      </c>
      <c r="BP60" s="217">
        <f t="shared" ref="BP60:BP66" si="195">IF(BJ60&lt;0,"       NM",(BN60/BJ60-1)*100)</f>
        <v>-59.573434306202543</v>
      </c>
      <c r="BR60" s="1855">
        <f>BR10-BR20-BR30</f>
        <v>118.53399999999999</v>
      </c>
      <c r="BS60" s="2215">
        <f t="shared" ref="BS60:BS66" si="196">BR60/BR10*100</f>
        <v>6.0019281676533671</v>
      </c>
      <c r="BT60" s="217">
        <f t="shared" ref="BT60:BT66" si="197">IF(BN60&lt;0,"       NM",(BR60/BN60-1)*100)</f>
        <v>145.62559575614443</v>
      </c>
      <c r="BV60" s="1855">
        <f>BV10-BV20-BV30</f>
        <v>185.94599999999991</v>
      </c>
      <c r="BW60" s="2215">
        <f t="shared" ref="BW60:BW66" si="198">BV60/BV10*100</f>
        <v>8.9522317510402729</v>
      </c>
      <c r="BX60" s="217">
        <f t="shared" ref="BX60:BX66" si="199">IF(BR60&lt;0,"       NM",(BV60/BR60-1)*100)</f>
        <v>56.871446167344317</v>
      </c>
      <c r="BZ60" s="1855">
        <f>BZ10-BZ20-BZ30</f>
        <v>108.52499999999986</v>
      </c>
      <c r="CA60" s="2215">
        <f t="shared" ref="CA60:CA66" si="200">BZ60/BZ10*100</f>
        <v>4.6963380896062548</v>
      </c>
      <c r="CB60" s="217">
        <f t="shared" ref="CB60:CB66" si="201">IF(BV60&lt;0,"       NM",(BZ60/BV60-1)*100)</f>
        <v>-41.636281501081008</v>
      </c>
      <c r="CD60" s="1855">
        <f>CD10-CD20-CD30</f>
        <v>100.43799999999999</v>
      </c>
      <c r="CE60" s="2215">
        <f t="shared" ref="CE60:CE66" si="202">CD60/CD10*100</f>
        <v>5.2173389067784672</v>
      </c>
      <c r="CF60" s="217">
        <f t="shared" ref="CF60:CF66" si="203">IF(BZ60&lt;0,"       NM",(CD60/BZ60-1)*100)</f>
        <v>-7.451739230591925</v>
      </c>
      <c r="CH60" s="1855">
        <f>CH10-CH20-CH30</f>
        <v>65.211999999999989</v>
      </c>
      <c r="CI60" s="2215">
        <f t="shared" ref="CI60:CI66" si="204">CH60/CH10*100</f>
        <v>3.7798864735685584</v>
      </c>
      <c r="CJ60" s="217">
        <f t="shared" ref="CJ60:CJ66" si="205">IF(CD60&lt;0,"       NM",(CH60/CD60-1)*100)</f>
        <v>-35.072382962623713</v>
      </c>
      <c r="CL60" s="1855">
        <f>CL10-CL20-CL30</f>
        <v>184.97600000000006</v>
      </c>
      <c r="CM60" s="2215">
        <f t="shared" ref="CM60:CM66" si="206">CL60/CL10*100</f>
        <v>9.5766270988477586</v>
      </c>
      <c r="CN60" s="217">
        <f t="shared" ref="CN60:CN66" si="207">IF(CH60&lt;0,"       NM",(CL60/CH60-1)*100)</f>
        <v>183.65331534073496</v>
      </c>
      <c r="CP60" s="1855">
        <f>CP10-CP20-CP30</f>
        <v>266.82299999999987</v>
      </c>
      <c r="CQ60" s="2215">
        <f t="shared" ref="CQ60:CQ66" si="208">CP60/CP10*100</f>
        <v>12.035225710944026</v>
      </c>
      <c r="CR60" s="217">
        <f t="shared" ref="CR60:CR66" si="209">IF(CL60&lt;0,"       NM",(CP60/CL60-1)*100)</f>
        <v>44.247361819911646</v>
      </c>
      <c r="CT60" s="1855">
        <f>CT10-CT20-CT30</f>
        <v>293.2270000000002</v>
      </c>
      <c r="CU60" s="2215">
        <f t="shared" ref="CU60:CU66" si="210">CT60/CT10*100</f>
        <v>13.614503589960748</v>
      </c>
      <c r="CV60" s="217">
        <f t="shared" ref="CV60:CV66" si="211">IF(CP60&lt;0,"       NM",(CT60/CP60-1)*100)</f>
        <v>9.8956986466685279</v>
      </c>
      <c r="CW60" s="217"/>
      <c r="CX60" s="1855">
        <f>CX10-CX20-CX30</f>
        <v>311.18100000000004</v>
      </c>
      <c r="CY60" s="2215">
        <f t="shared" ref="CY60:CY66" si="212">CX60/CX10*100</f>
        <v>13.72076883325779</v>
      </c>
      <c r="CZ60" s="217">
        <f t="shared" ref="CZ60:CZ66" si="213">IF(CT60&lt;0,"       NM",(CX60/CT60-1)*100)</f>
        <v>6.1229013699283685</v>
      </c>
      <c r="DA60" s="217"/>
      <c r="DB60" s="1855">
        <f>DB10-DB20-DB30</f>
        <v>336.1110000000001</v>
      </c>
      <c r="DC60" s="2215">
        <f t="shared" ref="DC60:DC66" si="214">DB60/DB10*100</f>
        <v>14.055987922533596</v>
      </c>
      <c r="DD60" s="217">
        <f t="shared" ref="DD60:DD66" si="215">IF(CX60&lt;0,"       NM",(DB60/CX60-1)*100)</f>
        <v>8.0114145786535964</v>
      </c>
      <c r="DE60" s="217"/>
      <c r="DF60" s="1855">
        <f>DF10-DF20-DF30</f>
        <v>371.84299999999985</v>
      </c>
      <c r="DG60" s="2215">
        <f t="shared" ref="DG60:DG66" si="216">DF60/DF10*100</f>
        <v>14.80302666585454</v>
      </c>
      <c r="DH60" s="217">
        <f t="shared" ref="DH60:DH66" si="217">IF(DB60&lt;0,"       NM",(DF60/DB60-1)*100)</f>
        <v>10.631011778846799</v>
      </c>
      <c r="DI60" s="217"/>
      <c r="DJ60" s="1855">
        <f>DJ10-DJ20-DJ30</f>
        <v>357.93299999999999</v>
      </c>
      <c r="DK60" s="2215">
        <f t="shared" ref="DK60:DK66" si="218">DJ60/DJ10*100</f>
        <v>13.693891878346401</v>
      </c>
      <c r="DL60" s="217">
        <f t="shared" ref="DL60:DL66" si="219">IF(DF60&lt;0,"       NM",(DJ60/DF60-1)*100)</f>
        <v>-3.7408261013384347</v>
      </c>
      <c r="DM60" s="217"/>
      <c r="DN60" s="1855">
        <f>DN10-DN20-DN30</f>
        <v>209.19200000000012</v>
      </c>
      <c r="DO60" s="2215">
        <f t="shared" ref="DO60:DO66" si="220">DN60/DN10*100</f>
        <v>8.58567721297932</v>
      </c>
      <c r="DP60" s="217">
        <f t="shared" ref="DP60:DP66" si="221">IF(DJ60&lt;0,"       NM",(DN60/DJ60-1)*100)</f>
        <v>-41.555542517733734</v>
      </c>
      <c r="DQ60" s="217"/>
      <c r="DR60" s="1855">
        <f>DR10-DR20-DR30</f>
        <v>165.36822417787312</v>
      </c>
      <c r="DS60" s="2215">
        <f t="shared" ref="DS60:DS66" si="222">DR60/DR10*100</f>
        <v>6.349999999999989</v>
      </c>
      <c r="DT60" s="217">
        <f t="shared" ref="DT60:DT63" si="223">IF(DN60&lt;0,"       NM",(DR60/DN60-1)*100)</f>
        <v>-20.949068713013396</v>
      </c>
      <c r="DV60" s="2248"/>
    </row>
    <row r="61" spans="1:126">
      <c r="A61" s="23" t="str">
        <f>$A$11</f>
        <v>2Q</v>
      </c>
      <c r="B61" s="23" t="str">
        <f>$B$11</f>
        <v>Jul</v>
      </c>
      <c r="D61" s="1899">
        <f>D11-D21-D31</f>
        <v>117.11799999999999</v>
      </c>
      <c r="E61" s="2213">
        <f t="shared" si="166"/>
        <v>11.826708297821636</v>
      </c>
      <c r="F61" s="1899">
        <f>F11-F21-F31</f>
        <v>140.88899999999992</v>
      </c>
      <c r="G61" s="2213">
        <f t="shared" si="167"/>
        <v>12.202809377062465</v>
      </c>
      <c r="H61" s="44"/>
      <c r="J61" s="1899">
        <f>J11-J21-J31</f>
        <v>140.52399999999992</v>
      </c>
      <c r="K61" s="2213">
        <f t="shared" si="168"/>
        <v>10.218552412948071</v>
      </c>
      <c r="L61" s="44">
        <f t="shared" si="169"/>
        <v>-0.25906919631767389</v>
      </c>
      <c r="N61" s="1899">
        <f>N11-N21-N31</f>
        <v>142.70400000000001</v>
      </c>
      <c r="O61" s="2213">
        <f t="shared" si="170"/>
        <v>9.5813529404260667</v>
      </c>
      <c r="P61" s="44">
        <f t="shared" si="171"/>
        <v>1.5513364265179463</v>
      </c>
      <c r="R61" s="1899">
        <f>R11-R21-R31</f>
        <v>126.29400000000004</v>
      </c>
      <c r="S61" s="2213">
        <f t="shared" si="172"/>
        <v>7.4771987886717737</v>
      </c>
      <c r="T61" s="44">
        <f t="shared" si="173"/>
        <v>-11.499327278842896</v>
      </c>
      <c r="V61" s="1899">
        <f>V11-V21-V31</f>
        <v>102.26599999999996</v>
      </c>
      <c r="W61" s="2213">
        <f t="shared" si="174"/>
        <v>6.4505182314531648</v>
      </c>
      <c r="X61" s="44">
        <f t="shared" si="175"/>
        <v>-19.025448556542724</v>
      </c>
      <c r="Z61" s="1899">
        <f>Z11-Z21-Z31</f>
        <v>96.753000000000156</v>
      </c>
      <c r="AA61" s="2213">
        <f t="shared" si="176"/>
        <v>5.6296159237258792</v>
      </c>
      <c r="AB61" s="44">
        <f t="shared" si="177"/>
        <v>-5.3908434865935995</v>
      </c>
      <c r="AD61" s="1899">
        <f>AD11-AD21-AD31</f>
        <v>81.542000000000087</v>
      </c>
      <c r="AE61" s="2213">
        <f t="shared" si="178"/>
        <v>4.3016436475819582</v>
      </c>
      <c r="AF61" s="44">
        <f t="shared" si="179"/>
        <v>-15.721476336651108</v>
      </c>
      <c r="AH61" s="1899">
        <f>AH11-AH21-AH31</f>
        <v>76.789000000000158</v>
      </c>
      <c r="AI61" s="2213">
        <f t="shared" si="180"/>
        <v>4.0608065980637624</v>
      </c>
      <c r="AJ61" s="2188" t="s">
        <v>886</v>
      </c>
      <c r="AL61" s="1899">
        <f>AL11-AL21-AL31</f>
        <v>81.048000000000002</v>
      </c>
      <c r="AM61" s="2213">
        <f t="shared" si="181"/>
        <v>4.0512332448254904</v>
      </c>
      <c r="AN61" s="44">
        <f t="shared" si="182"/>
        <v>5.5463673182354789</v>
      </c>
      <c r="AO61" s="1953"/>
      <c r="AP61" s="1899">
        <f>AP11-AP21-AP31</f>
        <v>104.43999999999994</v>
      </c>
      <c r="AQ61" s="2213">
        <f t="shared" si="183"/>
        <v>5.9659340822549414</v>
      </c>
      <c r="AR61" s="2247" t="s">
        <v>886</v>
      </c>
      <c r="AT61" s="1899">
        <f>AT11-AT21-AT31</f>
        <v>154.35300000000001</v>
      </c>
      <c r="AU61" s="2213">
        <f t="shared" si="184"/>
        <v>8.3776587083621923</v>
      </c>
      <c r="AV61" s="44">
        <f t="shared" si="185"/>
        <v>47.791076216009287</v>
      </c>
      <c r="AX61" s="1899">
        <f>AX11-AX21-AX31</f>
        <v>78.72199999999998</v>
      </c>
      <c r="AY61" s="2213">
        <f t="shared" si="186"/>
        <v>4.454378018384026</v>
      </c>
      <c r="AZ61" s="44">
        <f t="shared" si="187"/>
        <v>-48.998723704754696</v>
      </c>
      <c r="BB61" s="1899">
        <f>BB11-BB21-BB31</f>
        <v>138.67299999999989</v>
      </c>
      <c r="BC61" s="2213">
        <f t="shared" si="188"/>
        <v>7.2511943008215729</v>
      </c>
      <c r="BD61" s="44">
        <f t="shared" si="189"/>
        <v>76.155331419425238</v>
      </c>
      <c r="BF61" s="1899">
        <f>BF11-BF21-BF31</f>
        <v>170.36699999999996</v>
      </c>
      <c r="BG61" s="2213">
        <f t="shared" si="190"/>
        <v>8.4586908534108911</v>
      </c>
      <c r="BH61" s="44">
        <f t="shared" si="191"/>
        <v>22.855206132412299</v>
      </c>
      <c r="BJ61" s="1899">
        <f>BJ11-BJ21-BJ31</f>
        <v>226.94299999999987</v>
      </c>
      <c r="BK61" s="2213">
        <f t="shared" si="192"/>
        <v>10.265049537911514</v>
      </c>
      <c r="BL61" s="44">
        <f t="shared" si="193"/>
        <v>33.208309120897781</v>
      </c>
      <c r="BN61" s="2202">
        <f>BN11-BN21-BN31</f>
        <v>203.91399999999976</v>
      </c>
      <c r="BO61" s="2215">
        <f t="shared" si="194"/>
        <v>8.9010393727184098</v>
      </c>
      <c r="BP61" s="217">
        <f t="shared" si="195"/>
        <v>-10.147481966837546</v>
      </c>
      <c r="BR61" s="2202">
        <f>BR11-BR21-BR31</f>
        <v>153.34799999999973</v>
      </c>
      <c r="BS61" s="2215">
        <f t="shared" si="196"/>
        <v>6.6937855455124318</v>
      </c>
      <c r="BT61" s="217">
        <f t="shared" si="197"/>
        <v>-24.797708838039611</v>
      </c>
      <c r="BV61" s="2202">
        <f>BV11-BV21-BV31</f>
        <v>196.77999999999975</v>
      </c>
      <c r="BW61" s="2215">
        <f t="shared" si="198"/>
        <v>8.0192285435307333</v>
      </c>
      <c r="BX61" s="217">
        <f t="shared" si="199"/>
        <v>28.322508281816571</v>
      </c>
      <c r="BZ61" s="2202">
        <f>BZ11-BZ21-BZ31</f>
        <v>142.32900000000018</v>
      </c>
      <c r="CA61" s="2215">
        <f t="shared" si="200"/>
        <v>5.4239643120228624</v>
      </c>
      <c r="CB61" s="217">
        <f t="shared" si="201"/>
        <v>-27.671003150726513</v>
      </c>
      <c r="CD61" s="2202">
        <f>CD11-CD21-CD31</f>
        <v>185.15899999999976</v>
      </c>
      <c r="CE61" s="2215">
        <f t="shared" si="202"/>
        <v>8.1056719873012106</v>
      </c>
      <c r="CF61" s="217">
        <f t="shared" si="203"/>
        <v>30.092251052139439</v>
      </c>
      <c r="CH61" s="2202">
        <f>CH11-CH21-CH31</f>
        <v>148.64300000000003</v>
      </c>
      <c r="CI61" s="2215">
        <f t="shared" si="204"/>
        <v>7.1926004422701917</v>
      </c>
      <c r="CJ61" s="217">
        <f t="shared" si="205"/>
        <v>-19.721428610005333</v>
      </c>
      <c r="CL61" s="2202">
        <f>CL11-CL21-CL31</f>
        <v>236.45700000000033</v>
      </c>
      <c r="CM61" s="2215">
        <f t="shared" si="206"/>
        <v>10.544300805793522</v>
      </c>
      <c r="CN61" s="217">
        <f t="shared" si="207"/>
        <v>59.077117657743905</v>
      </c>
      <c r="CP61" s="2202">
        <f>CP11-CP21-CP31</f>
        <v>306.96100000000013</v>
      </c>
      <c r="CQ61" s="2215">
        <f t="shared" si="208"/>
        <v>12.487556623212317</v>
      </c>
      <c r="CR61" s="217">
        <f t="shared" si="209"/>
        <v>29.816837733710443</v>
      </c>
      <c r="CT61" s="2202">
        <v>308.87900000000002</v>
      </c>
      <c r="CU61" s="2215">
        <f t="shared" si="210"/>
        <v>12.874786378225171</v>
      </c>
      <c r="CV61" s="217">
        <f t="shared" si="211"/>
        <v>0.62483507676867056</v>
      </c>
      <c r="CW61" s="217"/>
      <c r="CX61" s="2202">
        <f>CX11-CX21-CX31</f>
        <v>357.80600000000004</v>
      </c>
      <c r="CY61" s="2215">
        <f t="shared" si="212"/>
        <v>14.221489829102532</v>
      </c>
      <c r="CZ61" s="217">
        <f t="shared" si="213"/>
        <v>15.840183372777039</v>
      </c>
      <c r="DA61" s="217"/>
      <c r="DB61" s="2202">
        <f>DB11-DB21-DB31</f>
        <v>375.94200000000012</v>
      </c>
      <c r="DC61" s="2215">
        <f t="shared" si="214"/>
        <v>14.052272801180877</v>
      </c>
      <c r="DD61" s="217">
        <f t="shared" si="215"/>
        <v>5.0686684963360262</v>
      </c>
      <c r="DE61" s="217"/>
      <c r="DF61" s="2202">
        <f>DF11-DF21-DF31</f>
        <v>402.92600000000004</v>
      </c>
      <c r="DG61" s="2215">
        <f t="shared" si="216"/>
        <v>14.571119943787822</v>
      </c>
      <c r="DH61" s="217">
        <f t="shared" si="217"/>
        <v>7.1777029435391437</v>
      </c>
      <c r="DI61" s="217"/>
      <c r="DJ61" s="2202">
        <f>DJ11-DJ21-DJ31</f>
        <v>408.21600000000024</v>
      </c>
      <c r="DK61" s="2215">
        <f t="shared" si="218"/>
        <v>14.126372439911638</v>
      </c>
      <c r="DL61" s="217">
        <f t="shared" si="219"/>
        <v>1.3128961645563209</v>
      </c>
      <c r="DM61" s="217"/>
      <c r="DN61" s="2202">
        <f>DN11-DN21-DN31</f>
        <v>300.8950000000001</v>
      </c>
      <c r="DO61" s="2215">
        <f t="shared" si="220"/>
        <v>10.921699298008729</v>
      </c>
      <c r="DP61" s="217">
        <f t="shared" si="221"/>
        <v>-26.290248299919671</v>
      </c>
      <c r="DQ61" s="217"/>
      <c r="DR61" s="2202">
        <f>DR11-DR21-DR31</f>
        <v>286.11371116896828</v>
      </c>
      <c r="DS61" s="2215">
        <f t="shared" si="222"/>
        <v>9.8500000000000014</v>
      </c>
      <c r="DT61" s="217">
        <f t="shared" si="223"/>
        <v>-4.9124408285388004</v>
      </c>
      <c r="DV61" s="2248"/>
    </row>
    <row r="62" spans="1:126">
      <c r="A62" s="23" t="str">
        <f>$A$12</f>
        <v>3Q</v>
      </c>
      <c r="B62" s="23" t="str">
        <f>$B$12</f>
        <v>Oct</v>
      </c>
      <c r="D62" s="1899">
        <f>D12-D22-D32</f>
        <v>149.53800000000001</v>
      </c>
      <c r="E62" s="2213">
        <f t="shared" si="166"/>
        <v>13.466444654369539</v>
      </c>
      <c r="F62" s="1899">
        <f>F12-F22-F32</f>
        <v>151.07500000000007</v>
      </c>
      <c r="G62" s="2213">
        <f t="shared" si="167"/>
        <v>12.10640655889568</v>
      </c>
      <c r="H62" s="44"/>
      <c r="J62" s="1899">
        <f>J12-J22-J32</f>
        <v>134.68100000000004</v>
      </c>
      <c r="K62" s="2213">
        <f t="shared" si="168"/>
        <v>9.3958331589243027</v>
      </c>
      <c r="L62" s="44">
        <f t="shared" si="169"/>
        <v>-10.851563792818153</v>
      </c>
      <c r="N62" s="1899">
        <f>N12-N22-N32</f>
        <v>145.23000000000008</v>
      </c>
      <c r="O62" s="2213">
        <f t="shared" si="170"/>
        <v>9.0131072660924012</v>
      </c>
      <c r="P62" s="44">
        <f t="shared" si="171"/>
        <v>7.8325821756595415</v>
      </c>
      <c r="R62" s="1899">
        <f>R12-R22-R32</f>
        <v>148.88900000000001</v>
      </c>
      <c r="S62" s="2213">
        <f t="shared" si="172"/>
        <v>9.2096269670872246</v>
      </c>
      <c r="T62" s="44">
        <f t="shared" si="173"/>
        <v>2.5194519038765684</v>
      </c>
      <c r="V62" s="1899">
        <f>V12-V22-V32</f>
        <v>165.54199999999986</v>
      </c>
      <c r="W62" s="2213">
        <f t="shared" si="174"/>
        <v>9.6516042668507414</v>
      </c>
      <c r="X62" s="44">
        <f t="shared" si="175"/>
        <v>11.184842399371231</v>
      </c>
      <c r="Z62" s="1899">
        <f>Z12-Z22-Z32</f>
        <v>91.361000000000104</v>
      </c>
      <c r="AA62" s="2213">
        <f t="shared" si="176"/>
        <v>5.0663368999525922</v>
      </c>
      <c r="AB62" s="44">
        <f t="shared" si="177"/>
        <v>-44.810984523564912</v>
      </c>
      <c r="AD62" s="1899">
        <f>AD12-AD22-AD32</f>
        <v>88.350000000000023</v>
      </c>
      <c r="AE62" s="2213">
        <f t="shared" si="178"/>
        <v>4.428602506483756</v>
      </c>
      <c r="AF62" s="44">
        <f t="shared" si="179"/>
        <v>-3.2957169908386263</v>
      </c>
      <c r="AH62" s="1899">
        <f>AH12-AH22-AH32</f>
        <v>73.405000000000143</v>
      </c>
      <c r="AI62" s="2213">
        <f t="shared" si="180"/>
        <v>4.0001525839825041</v>
      </c>
      <c r="AJ62" s="2188" t="s">
        <v>886</v>
      </c>
      <c r="AL62" s="1899">
        <f>AL12-AL22-AL32</f>
        <v>75.13799999999992</v>
      </c>
      <c r="AM62" s="2213">
        <f t="shared" si="181"/>
        <v>3.9492481301804343</v>
      </c>
      <c r="AN62" s="44">
        <f t="shared" si="182"/>
        <v>2.3608745998225933</v>
      </c>
      <c r="AO62" s="1953"/>
      <c r="AP62" s="1899">
        <f>AP12-AP22-AP32</f>
        <v>81.327999999999918</v>
      </c>
      <c r="AQ62" s="2213">
        <f t="shared" si="183"/>
        <v>5.1395771072436718</v>
      </c>
      <c r="AR62" s="2247" t="s">
        <v>886</v>
      </c>
      <c r="AT62" s="1899">
        <f>AT12-AT22-AT32</f>
        <v>101.97699999999992</v>
      </c>
      <c r="AU62" s="2213">
        <f t="shared" si="184"/>
        <v>5.9428679989463555</v>
      </c>
      <c r="AV62" s="44">
        <f t="shared" si="185"/>
        <v>25.389779657682499</v>
      </c>
      <c r="AX62" s="1899">
        <f>AX12-AX22-AX32</f>
        <v>-17.704999999999814</v>
      </c>
      <c r="AY62" s="2213">
        <f t="shared" si="186"/>
        <v>-1.0669937053096459</v>
      </c>
      <c r="AZ62" s="44">
        <f t="shared" si="187"/>
        <v>-117.36175804348021</v>
      </c>
      <c r="BB62" s="1899">
        <f>BB12-BB22-BB32</f>
        <v>17.347999999999956</v>
      </c>
      <c r="BC62" s="2213">
        <f t="shared" si="188"/>
        <v>0.98146319937314641</v>
      </c>
      <c r="BD62" s="44" t="str">
        <f t="shared" si="189"/>
        <v xml:space="preserve">       NM</v>
      </c>
      <c r="BF62" s="1899">
        <f>BF12-BF22-BF32</f>
        <v>42.172000000000025</v>
      </c>
      <c r="BG62" s="2213">
        <f t="shared" si="190"/>
        <v>2.2835545303421667</v>
      </c>
      <c r="BH62" s="44">
        <f t="shared" si="191"/>
        <v>143.09430481900006</v>
      </c>
      <c r="BJ62" s="1899">
        <f>BJ12-BJ22-BJ32</f>
        <v>53.144999999999982</v>
      </c>
      <c r="BK62" s="2213">
        <f t="shared" si="192"/>
        <v>2.8106332849425248</v>
      </c>
      <c r="BL62" s="44">
        <f t="shared" si="193"/>
        <v>26.019633880299597</v>
      </c>
      <c r="BN62" s="2202">
        <f>BN12-BN22-BN32</f>
        <v>2.6709999999998217</v>
      </c>
      <c r="BO62" s="2215">
        <f>BN62/BN12*100</f>
        <v>0.14120687203251839</v>
      </c>
      <c r="BP62" s="217">
        <f t="shared" si="195"/>
        <v>-94.974127387336864</v>
      </c>
      <c r="BR62" s="2202">
        <f>BR12-BR22-BR32</f>
        <v>20.295999999999822</v>
      </c>
      <c r="BS62" s="2215">
        <f t="shared" si="196"/>
        <v>1.0729819074399698</v>
      </c>
      <c r="BT62" s="217">
        <f t="shared" si="197"/>
        <v>659.86521901913807</v>
      </c>
      <c r="BV62" s="2202">
        <f>BV12-BV22-BV32</f>
        <v>66.539000000000215</v>
      </c>
      <c r="BW62" s="2215">
        <f t="shared" si="198"/>
        <v>3.1461204357163424</v>
      </c>
      <c r="BX62" s="217">
        <f t="shared" si="199"/>
        <v>227.84292471423333</v>
      </c>
      <c r="BZ62" s="2202">
        <f>BZ12-BZ22-BZ32</f>
        <v>36.583999999999946</v>
      </c>
      <c r="CA62" s="2215">
        <f t="shared" si="200"/>
        <v>1.9023412150356893</v>
      </c>
      <c r="CB62" s="217">
        <f t="shared" si="201"/>
        <v>-45.018710831242082</v>
      </c>
      <c r="CD62" s="2202">
        <f>CD12-CD22-CD32</f>
        <v>41.136999999999944</v>
      </c>
      <c r="CE62" s="2215">
        <f t="shared" si="202"/>
        <v>2.2330559813786217</v>
      </c>
      <c r="CF62" s="217">
        <f t="shared" si="203"/>
        <v>12.445331292368266</v>
      </c>
      <c r="CH62" s="2202">
        <f>CH12-CH22-CH32</f>
        <v>58.885000000000048</v>
      </c>
      <c r="CI62" s="2215">
        <f t="shared" si="204"/>
        <v>3.3131921707724548</v>
      </c>
      <c r="CJ62" s="217">
        <f t="shared" si="205"/>
        <v>43.143641976809512</v>
      </c>
      <c r="CL62" s="2202">
        <f>CL12-CL22-CL32</f>
        <v>149.09800000000018</v>
      </c>
      <c r="CM62" s="2215">
        <f t="shared" si="206"/>
        <v>7.5173996607797315</v>
      </c>
      <c r="CN62" s="217">
        <f t="shared" si="207"/>
        <v>153.20200390591842</v>
      </c>
      <c r="CP62" s="2202">
        <f>CP12-CP22-CP32</f>
        <v>186.10200000000009</v>
      </c>
      <c r="CQ62" s="2215">
        <f t="shared" si="208"/>
        <v>8.562634005392427</v>
      </c>
      <c r="CR62" s="217">
        <f t="shared" si="209"/>
        <v>24.818575701887259</v>
      </c>
      <c r="CT62" s="2202">
        <f>CT12-CT22-CT32</f>
        <v>197.38499999999965</v>
      </c>
      <c r="CU62" s="2215">
        <f t="shared" si="210"/>
        <v>9.6276489630955808</v>
      </c>
      <c r="CV62" s="217">
        <f t="shared" si="211"/>
        <v>6.0628042686266426</v>
      </c>
      <c r="CW62" s="217"/>
      <c r="CX62" s="2202">
        <f>CX12-CX22-CX32</f>
        <v>211.02600000000007</v>
      </c>
      <c r="CY62" s="2215">
        <f t="shared" si="212"/>
        <v>9.7198315866660376</v>
      </c>
      <c r="CZ62" s="217">
        <f>IF(CT62&lt;0,"       NM",(CX62/CT62-1)*100)</f>
        <v>6.9108594878032559</v>
      </c>
      <c r="DA62" s="217"/>
      <c r="DB62" s="2202">
        <f>DB12-DB22-DB32</f>
        <v>284.11300000000017</v>
      </c>
      <c r="DC62" s="2215">
        <f>DB62/DB12*100</f>
        <v>12.252318066145698</v>
      </c>
      <c r="DD62" s="217">
        <f>IF(CX62&lt;0,"       NM",(DB62/CX62-1)*100)</f>
        <v>34.634120914010637</v>
      </c>
      <c r="DE62" s="217"/>
      <c r="DF62" s="2202">
        <f>DF12-DF22-DF32</f>
        <v>338.7639999999999</v>
      </c>
      <c r="DG62" s="2215">
        <f t="shared" si="216"/>
        <v>13.651169116387774</v>
      </c>
      <c r="DH62" s="217">
        <f t="shared" si="217"/>
        <v>19.235656235371025</v>
      </c>
      <c r="DI62" s="217"/>
      <c r="DJ62" s="2202">
        <f>DJ12-DJ22-DJ32</f>
        <v>283.57999999999981</v>
      </c>
      <c r="DK62" s="2215">
        <f t="shared" si="218"/>
        <v>10.987303654930933</v>
      </c>
      <c r="DL62" s="217">
        <f t="shared" si="219"/>
        <v>-16.289806472942846</v>
      </c>
      <c r="DM62" s="217"/>
      <c r="DN62" s="2202">
        <f>DN12-DN22-DN32</f>
        <v>231.66300000000024</v>
      </c>
      <c r="DO62" s="2215">
        <f t="shared" si="220"/>
        <v>8.849584228492505</v>
      </c>
      <c r="DP62" s="217">
        <f t="shared" si="221"/>
        <v>-18.307708583115733</v>
      </c>
      <c r="DQ62" s="217"/>
      <c r="DR62" s="2202">
        <f>DR12-DR22-DR32</f>
        <v>227.68463953962862</v>
      </c>
      <c r="DS62" s="2215">
        <f t="shared" si="222"/>
        <v>8.2200000000000042</v>
      </c>
      <c r="DT62" s="217">
        <f t="shared" si="223"/>
        <v>-1.717305076931408</v>
      </c>
      <c r="DV62" s="2248"/>
    </row>
    <row r="63" spans="1:126">
      <c r="A63" s="23" t="str">
        <f>$A$13</f>
        <v>4Q</v>
      </c>
      <c r="B63" s="23" t="str">
        <f>$B$13</f>
        <v>Jan</v>
      </c>
      <c r="C63" s="139"/>
      <c r="D63" s="2249">
        <f>D13-D23-D33</f>
        <v>269.23200000000037</v>
      </c>
      <c r="E63" s="2213">
        <f t="shared" si="166"/>
        <v>17.012371048032144</v>
      </c>
      <c r="F63" s="2249">
        <f>F13-F23-F33</f>
        <v>293.99399999999969</v>
      </c>
      <c r="G63" s="2213">
        <f t="shared" si="167"/>
        <v>16.860267395534443</v>
      </c>
      <c r="H63" s="44"/>
      <c r="J63" s="2249">
        <f>J13-J23-J33</f>
        <v>342.86499999999955</v>
      </c>
      <c r="K63" s="2213">
        <f t="shared" si="168"/>
        <v>16.675185870215952</v>
      </c>
      <c r="L63" s="44">
        <f t="shared" si="169"/>
        <v>16.623128363163843</v>
      </c>
      <c r="N63" s="2249">
        <f>N13-N23-N33</f>
        <v>414.26300000000072</v>
      </c>
      <c r="O63" s="2213">
        <f t="shared" si="170"/>
        <v>17.062197945763501</v>
      </c>
      <c r="P63" s="44">
        <f t="shared" si="171"/>
        <v>20.82393945138794</v>
      </c>
      <c r="R63" s="2249">
        <f>R13-R23-R33</f>
        <v>338.26700000000068</v>
      </c>
      <c r="S63" s="2213">
        <f t="shared" si="172"/>
        <v>13.973327054430268</v>
      </c>
      <c r="T63" s="44">
        <f t="shared" si="173"/>
        <v>-18.344867873790292</v>
      </c>
      <c r="V63" s="2249">
        <f>V13-V23-V33</f>
        <v>440.01100000000059</v>
      </c>
      <c r="W63" s="2213">
        <f t="shared" si="174"/>
        <v>17.332848550931324</v>
      </c>
      <c r="X63" s="44">
        <f t="shared" si="175"/>
        <v>30.078015295609607</v>
      </c>
      <c r="Z63" s="2249">
        <f>Z13-Z23-Z33</f>
        <v>343.90100000000001</v>
      </c>
      <c r="AA63" s="2213">
        <f t="shared" si="176"/>
        <v>12.409083610423025</v>
      </c>
      <c r="AB63" s="44">
        <f t="shared" si="177"/>
        <v>-21.84263575228811</v>
      </c>
      <c r="AD63" s="2249">
        <f>AD13-AD23-AD33</f>
        <v>424.33900000000006</v>
      </c>
      <c r="AE63" s="2213">
        <f t="shared" si="178"/>
        <v>14.305517956781284</v>
      </c>
      <c r="AF63" s="44">
        <f t="shared" si="179"/>
        <v>23.389870922154941</v>
      </c>
      <c r="AH63" s="2249">
        <f>AH13-AH23-AH33</f>
        <v>383.66800000000023</v>
      </c>
      <c r="AI63" s="2213">
        <f t="shared" si="180"/>
        <v>13.034649511270297</v>
      </c>
      <c r="AJ63" s="2188" t="s">
        <v>886</v>
      </c>
      <c r="AL63" s="2249">
        <f>AL13-AL23-AL33</f>
        <v>422.803</v>
      </c>
      <c r="AM63" s="2213">
        <f t="shared" si="181"/>
        <v>13.518573998799708</v>
      </c>
      <c r="AN63" s="44">
        <f t="shared" si="182"/>
        <v>10.20022519469952</v>
      </c>
      <c r="AO63" s="1953"/>
      <c r="AP63" s="2249">
        <f>AP13-AP23-AP33</f>
        <v>524.98</v>
      </c>
      <c r="AQ63" s="2213">
        <f t="shared" si="183"/>
        <v>19.308515490065115</v>
      </c>
      <c r="AR63" s="2247" t="s">
        <v>886</v>
      </c>
      <c r="AT63" s="2249">
        <f>AT13-AT23-AT33</f>
        <v>443.41999999999985</v>
      </c>
      <c r="AU63" s="2213">
        <f t="shared" si="184"/>
        <v>15.284278550134061</v>
      </c>
      <c r="AV63" s="44">
        <f t="shared" si="185"/>
        <v>-15.535829936378565</v>
      </c>
      <c r="AX63" s="2249">
        <f>AX13-AX23-AX33</f>
        <v>588.44000000000017</v>
      </c>
      <c r="AY63" s="2213">
        <f t="shared" si="186"/>
        <v>20.727418107783002</v>
      </c>
      <c r="AZ63" s="44">
        <f t="shared" si="187"/>
        <v>32.704884759370437</v>
      </c>
      <c r="BB63" s="2249">
        <f>BB13-BB23-BB33</f>
        <v>587.56999999999994</v>
      </c>
      <c r="BC63" s="2213">
        <f t="shared" si="188"/>
        <v>19.810409155061116</v>
      </c>
      <c r="BD63" s="44">
        <f t="shared" si="189"/>
        <v>-0.14784854870508735</v>
      </c>
      <c r="BF63" s="2249">
        <f>BF13-BF23-BF33</f>
        <v>641.49200000000019</v>
      </c>
      <c r="BG63" s="2213">
        <f t="shared" si="190"/>
        <v>19.854790496075733</v>
      </c>
      <c r="BH63" s="44">
        <f t="shared" si="191"/>
        <v>9.1771193219531746</v>
      </c>
      <c r="BJ63" s="2249">
        <f>BJ13-BJ23-BJ33</f>
        <v>627.34799999999996</v>
      </c>
      <c r="BK63" s="2213">
        <f t="shared" si="192"/>
        <v>18.848210954019649</v>
      </c>
      <c r="BL63" s="44">
        <f t="shared" si="193"/>
        <v>-2.2048599203108088</v>
      </c>
      <c r="BN63" s="2250">
        <f>BN13-BN23-BN33</f>
        <v>706.35500000000002</v>
      </c>
      <c r="BO63" s="2215">
        <f t="shared" si="194"/>
        <v>20.117339637016098</v>
      </c>
      <c r="BP63" s="217">
        <f t="shared" si="195"/>
        <v>12.59380758366968</v>
      </c>
      <c r="BR63" s="2250">
        <f>BR13-BR23-BR33</f>
        <v>693.60300000000007</v>
      </c>
      <c r="BS63" s="2215">
        <f t="shared" si="196"/>
        <v>19.58454183212935</v>
      </c>
      <c r="BT63" s="217">
        <f t="shared" si="197"/>
        <v>-1.805324518124729</v>
      </c>
      <c r="BV63" s="2250">
        <f>BV13-BV23-BV33</f>
        <v>726.81999999999994</v>
      </c>
      <c r="BW63" s="2215">
        <f t="shared" si="198"/>
        <v>18.058976788840514</v>
      </c>
      <c r="BX63" s="217">
        <f t="shared" si="199"/>
        <v>4.7890507970697715</v>
      </c>
      <c r="BZ63" s="2250">
        <f>BZ13-BZ23-BZ33</f>
        <v>573.60699999999997</v>
      </c>
      <c r="CA63" s="2215">
        <f t="shared" si="200"/>
        <v>17.767840106258813</v>
      </c>
      <c r="CB63" s="217">
        <f t="shared" si="201"/>
        <v>-21.079909743815517</v>
      </c>
      <c r="CD63" s="2250">
        <f>CD13-CD23-CD33</f>
        <v>390.7349999999999</v>
      </c>
      <c r="CE63" s="2215">
        <f t="shared" si="202"/>
        <v>13.063245586409286</v>
      </c>
      <c r="CF63" s="217">
        <f t="shared" si="203"/>
        <v>-31.881061423587941</v>
      </c>
      <c r="CH63" s="2250">
        <f>CH13-CH23-CH33+CH53</f>
        <v>585.54399999999987</v>
      </c>
      <c r="CI63" s="2215">
        <f t="shared" si="204"/>
        <v>19.114486353510792</v>
      </c>
      <c r="CJ63" s="217">
        <f t="shared" si="205"/>
        <v>49.857064250706998</v>
      </c>
      <c r="CL63" s="2250">
        <f>CL13-CL23-CL33</f>
        <v>713.50200000000018</v>
      </c>
      <c r="CM63" s="2215">
        <f t="shared" si="206"/>
        <v>20.646148860196885</v>
      </c>
      <c r="CN63" s="217">
        <f t="shared" si="207"/>
        <v>21.852841118686261</v>
      </c>
      <c r="CP63" s="2250">
        <f>CP13-CP23-CP33</f>
        <v>786.53899999999987</v>
      </c>
      <c r="CQ63" s="2215">
        <f t="shared" si="208"/>
        <v>22.373931352843151</v>
      </c>
      <c r="CR63" s="217">
        <f t="shared" si="209"/>
        <v>10.236411390577693</v>
      </c>
      <c r="CT63" s="2250">
        <f>CT13-CT23-CT33</f>
        <v>907.83900000000017</v>
      </c>
      <c r="CU63" s="2215">
        <f t="shared" si="210"/>
        <v>23.546088879424985</v>
      </c>
      <c r="CV63" s="217">
        <f t="shared" si="211"/>
        <v>15.42199433213105</v>
      </c>
      <c r="CW63" s="217"/>
      <c r="CX63" s="2250">
        <f>CX13-CX23-CX33</f>
        <v>863.46100000000024</v>
      </c>
      <c r="CY63" s="2215">
        <f t="shared" si="212"/>
        <v>22.614335228989983</v>
      </c>
      <c r="CZ63" s="217">
        <f t="shared" si="213"/>
        <v>-4.8883116940338418</v>
      </c>
      <c r="DA63" s="217"/>
      <c r="DB63" s="2199">
        <f>DB13-DB23-DB33</f>
        <v>956.95299999999975</v>
      </c>
      <c r="DC63" s="2215">
        <f t="shared" si="214"/>
        <v>23.519957922522874</v>
      </c>
      <c r="DD63" s="217">
        <f t="shared" si="215"/>
        <v>10.827588043930113</v>
      </c>
      <c r="DE63" s="217"/>
      <c r="DF63" s="2250">
        <f>DF13-DF23-DF33</f>
        <v>1077.9779999999996</v>
      </c>
      <c r="DG63" s="2215">
        <f t="shared" si="216"/>
        <v>24.527154366548277</v>
      </c>
      <c r="DH63" s="217">
        <f t="shared" si="217"/>
        <v>12.646911603809151</v>
      </c>
      <c r="DI63" s="217"/>
      <c r="DJ63" s="2250">
        <f>DJ13-DJ23-DJ33</f>
        <v>987.55200000000013</v>
      </c>
      <c r="DK63" s="2215">
        <f t="shared" si="218"/>
        <v>21.997009455208989</v>
      </c>
      <c r="DL63" s="217">
        <f t="shared" si="219"/>
        <v>-8.3884828818398418</v>
      </c>
      <c r="DM63" s="217"/>
      <c r="DN63" s="2250">
        <f>DN13-DN23-DN33</f>
        <v>986.6340000000007</v>
      </c>
      <c r="DO63" s="2215">
        <f t="shared" si="220"/>
        <v>20.456428438141458</v>
      </c>
      <c r="DP63" s="217">
        <f t="shared" si="221"/>
        <v>-9.2957130358650719E-2</v>
      </c>
      <c r="DQ63" s="217"/>
      <c r="DR63" s="2250">
        <f>DR13-DR23-DR33</f>
        <v>941.8330001134525</v>
      </c>
      <c r="DS63" s="2215">
        <f t="shared" si="222"/>
        <v>19.349999999999994</v>
      </c>
      <c r="DT63" s="217">
        <f t="shared" si="223"/>
        <v>-4.5407922174330313</v>
      </c>
      <c r="DV63" s="2248"/>
    </row>
    <row r="64" spans="1:126">
      <c r="B64" s="23" t="str">
        <f>$B$14</f>
        <v>Year</v>
      </c>
      <c r="D64" s="1854">
        <f>SUM(D60:D63)</f>
        <v>625.25400000000036</v>
      </c>
      <c r="E64" s="2213">
        <f t="shared" si="166"/>
        <v>13.452351548521968</v>
      </c>
      <c r="F64" s="1854">
        <f>SUM(F60:F63)</f>
        <v>697.53699999999969</v>
      </c>
      <c r="G64" s="2213">
        <f t="shared" si="167"/>
        <v>13.277544589720883</v>
      </c>
      <c r="H64" s="44"/>
      <c r="J64" s="1854">
        <f>SUM(J60:J63)</f>
        <v>712.69999999999948</v>
      </c>
      <c r="K64" s="2213">
        <f t="shared" si="168"/>
        <v>11.590091618153716</v>
      </c>
      <c r="L64" s="44">
        <f t="shared" si="169"/>
        <v>2.1737914977986605</v>
      </c>
      <c r="N64" s="1854">
        <f>SUM(N60:N63)</f>
        <v>788.69800000000089</v>
      </c>
      <c r="O64" s="2213">
        <f t="shared" si="170"/>
        <v>11.357493977791282</v>
      </c>
      <c r="P64" s="44">
        <f t="shared" si="171"/>
        <v>10.66339273186494</v>
      </c>
      <c r="R64" s="1854">
        <f>SUM(R60:R63)</f>
        <v>698.93900000000053</v>
      </c>
      <c r="S64" s="2213">
        <f t="shared" si="172"/>
        <v>9.6470739899915703</v>
      </c>
      <c r="T64" s="44">
        <f t="shared" si="173"/>
        <v>-11.380655206428859</v>
      </c>
      <c r="V64" s="1854">
        <f>SUM(V60:V63)</f>
        <v>798.98900000000049</v>
      </c>
      <c r="W64" s="2213">
        <f t="shared" si="174"/>
        <v>10.913969417516581</v>
      </c>
      <c r="X64" s="44">
        <f t="shared" si="175"/>
        <v>14.314553916722339</v>
      </c>
      <c r="Z64" s="1854">
        <f>SUM(Z60:Z63)</f>
        <v>612.0350000000002</v>
      </c>
      <c r="AA64" s="2213">
        <f t="shared" si="176"/>
        <v>7.7655254999817958</v>
      </c>
      <c r="AB64" s="44">
        <f t="shared" si="177"/>
        <v>-23.398820259102461</v>
      </c>
      <c r="AD64" s="1854">
        <f>SUM(AD60:AD63)</f>
        <v>648.06700000000012</v>
      </c>
      <c r="AE64" s="2213">
        <f t="shared" si="178"/>
        <v>7.4966184838939451</v>
      </c>
      <c r="AF64" s="44">
        <f t="shared" si="179"/>
        <v>5.8872450104977547</v>
      </c>
      <c r="AH64" s="1854">
        <f>SUM(AH60:AH63)</f>
        <v>599.29200000000048</v>
      </c>
      <c r="AI64" s="2213">
        <f t="shared" si="180"/>
        <v>7.1627940887335431</v>
      </c>
      <c r="AJ64" s="2188" t="s">
        <v>886</v>
      </c>
      <c r="AL64" s="1854">
        <f>SUM(AL60:AL63)</f>
        <v>642.80799999999988</v>
      </c>
      <c r="AM64" s="2213">
        <f t="shared" si="181"/>
        <v>7.2743971904970923</v>
      </c>
      <c r="AN64" s="44">
        <f t="shared" si="182"/>
        <v>7.261234923876736</v>
      </c>
      <c r="AP64" s="1854">
        <f>SUM(AP60:AP63)</f>
        <v>772.95499999999993</v>
      </c>
      <c r="AQ64" s="2213">
        <f t="shared" si="183"/>
        <v>10.142919829788484</v>
      </c>
      <c r="AR64" s="2247" t="s">
        <v>886</v>
      </c>
      <c r="AT64" s="1854">
        <f>SUM(AT60:AT63)</f>
        <v>812.18199999999979</v>
      </c>
      <c r="AU64" s="2213">
        <f t="shared" si="184"/>
        <v>9.9657008851657558</v>
      </c>
      <c r="AV64" s="44">
        <f t="shared" si="185"/>
        <v>5.0749396795414903</v>
      </c>
      <c r="AX64" s="1854">
        <f>SUM(AX60:AX63)</f>
        <v>688.00800000000027</v>
      </c>
      <c r="AY64" s="2213">
        <f t="shared" si="186"/>
        <v>8.6788245324810713</v>
      </c>
      <c r="AZ64" s="44">
        <f t="shared" si="187"/>
        <v>-15.288937701155604</v>
      </c>
      <c r="BB64" s="1854">
        <f>SUM(BB60:BB63)</f>
        <v>871.73399999999992</v>
      </c>
      <c r="BC64" s="2213">
        <f t="shared" si="188"/>
        <v>10.322909618321839</v>
      </c>
      <c r="BD64" s="44">
        <f t="shared" si="189"/>
        <v>26.704049952907472</v>
      </c>
      <c r="BF64" s="1854">
        <f>SUM(BF60:BF63)</f>
        <v>963.08200000000011</v>
      </c>
      <c r="BG64" s="2213">
        <f t="shared" si="190"/>
        <v>10.779854380260959</v>
      </c>
      <c r="BH64" s="44">
        <f t="shared" si="191"/>
        <v>10.478884613884532</v>
      </c>
      <c r="BJ64" s="1854">
        <f>SUM(BJ60:BJ63)</f>
        <v>1026.808</v>
      </c>
      <c r="BK64" s="2213">
        <f t="shared" si="192"/>
        <v>10.913838741742408</v>
      </c>
      <c r="BL64" s="44">
        <f t="shared" si="193"/>
        <v>6.6168820515802196</v>
      </c>
      <c r="BN64" s="1855">
        <f>SUM(BN60:BN63)</f>
        <v>961.19799999999952</v>
      </c>
      <c r="BO64" s="2215">
        <f t="shared" si="194"/>
        <v>9.9414814555095496</v>
      </c>
      <c r="BP64" s="217">
        <f t="shared" si="195"/>
        <v>-6.3897047938855644</v>
      </c>
      <c r="BR64" s="1855">
        <f>SUM(BR60:BR63)</f>
        <v>985.78099999999961</v>
      </c>
      <c r="BS64" s="2215">
        <f t="shared" si="196"/>
        <v>10.163772063172077</v>
      </c>
      <c r="BT64" s="217">
        <f t="shared" si="197"/>
        <v>2.557537572903823</v>
      </c>
      <c r="BV64" s="1855">
        <f>SUM(BV60:BV63)</f>
        <v>1176.0849999999998</v>
      </c>
      <c r="BW64" s="2215">
        <f t="shared" si="198"/>
        <v>11.021733644006302</v>
      </c>
      <c r="BX64" s="217">
        <f t="shared" si="199"/>
        <v>19.304896320785268</v>
      </c>
      <c r="BZ64" s="1855">
        <f>SUM(BZ60:BZ63)</f>
        <v>861.04499999999996</v>
      </c>
      <c r="CA64" s="2215">
        <f t="shared" si="200"/>
        <v>8.5367200562184511</v>
      </c>
      <c r="CB64" s="217">
        <f t="shared" si="201"/>
        <v>-26.787179498080484</v>
      </c>
      <c r="CD64" s="1855">
        <f>SUM(CD60:CD63)</f>
        <v>717.4689999999996</v>
      </c>
      <c r="CE64" s="2215">
        <f t="shared" si="202"/>
        <v>7.9342509151876479</v>
      </c>
      <c r="CF64" s="217">
        <f t="shared" si="203"/>
        <v>-16.674622116149607</v>
      </c>
      <c r="CH64" s="1855">
        <f>SUM(CH60:CH63)</f>
        <v>858.28399999999988</v>
      </c>
      <c r="CI64" s="2215">
        <f t="shared" si="204"/>
        <v>9.9424870327071382</v>
      </c>
      <c r="CJ64" s="217">
        <f t="shared" si="205"/>
        <v>19.626631952042572</v>
      </c>
      <c r="CL64" s="1855">
        <f>SUM(CL60:CL63)</f>
        <v>1284.0330000000008</v>
      </c>
      <c r="CM64" s="2215">
        <f t="shared" si="206"/>
        <v>13.356869529831561</v>
      </c>
      <c r="CN64" s="217">
        <f t="shared" si="207"/>
        <v>49.604676307609253</v>
      </c>
      <c r="CP64" s="1855">
        <f>SUM(CP60:CP63)</f>
        <v>1546.425</v>
      </c>
      <c r="CQ64" s="2215">
        <f t="shared" si="208"/>
        <v>14.921124068144358</v>
      </c>
      <c r="CR64" s="217">
        <f t="shared" si="209"/>
        <v>20.434988820380706</v>
      </c>
      <c r="CT64" s="1855">
        <f>SUM(CT60:CT63)</f>
        <v>1707.33</v>
      </c>
      <c r="CU64" s="2215">
        <f t="shared" si="210"/>
        <v>16.324570317474947</v>
      </c>
      <c r="CV64" s="217">
        <f t="shared" si="211"/>
        <v>10.404966293224692</v>
      </c>
      <c r="CW64" s="217"/>
      <c r="CX64" s="1855">
        <f>SUM(CX60:CX63)</f>
        <v>1743.4740000000004</v>
      </c>
      <c r="CY64" s="2215">
        <f t="shared" si="212"/>
        <v>16.183420152079087</v>
      </c>
      <c r="CZ64" s="217">
        <f t="shared" si="213"/>
        <v>2.1169896856495507</v>
      </c>
      <c r="DA64" s="217"/>
      <c r="DB64" s="1855">
        <f>SUM(DB60:DB63)</f>
        <v>1953.1190000000001</v>
      </c>
      <c r="DC64" s="2215">
        <f t="shared" si="214"/>
        <v>17.051761558783525</v>
      </c>
      <c r="DD64" s="217">
        <f>IF(CX64&lt;0,"       NM",(DB64/CX64-1)*100)</f>
        <v>12.024555571233053</v>
      </c>
      <c r="DE64" s="217"/>
      <c r="DF64" s="1855">
        <f>SUM(DF60:DF63)</f>
        <v>2191.5109999999995</v>
      </c>
      <c r="DG64" s="2215">
        <f t="shared" si="216"/>
        <v>18.031508864809695</v>
      </c>
      <c r="DH64" s="217">
        <f t="shared" si="217"/>
        <v>12.205707895934626</v>
      </c>
      <c r="DI64" s="217"/>
      <c r="DJ64" s="1855">
        <f>SUM(DJ60:DJ63)</f>
        <v>2037.2810000000002</v>
      </c>
      <c r="DK64" s="2215">
        <f t="shared" si="218"/>
        <v>16.202147231994037</v>
      </c>
      <c r="DL64" s="217">
        <f t="shared" si="219"/>
        <v>-7.0376101237912714</v>
      </c>
      <c r="DM64" s="217"/>
      <c r="DN64" s="1855">
        <f>SUM(DN60:DN63)</f>
        <v>1728.3840000000012</v>
      </c>
      <c r="DO64" s="2215">
        <f t="shared" si="220"/>
        <v>13.682254638583755</v>
      </c>
      <c r="DP64" s="217">
        <f>IF(DJ64&lt;0,"       NM",(DN64/DJ64-1)*100)</f>
        <v>-15.162218663012073</v>
      </c>
      <c r="DQ64" s="217"/>
      <c r="DR64" s="1855">
        <f>SUM(DR60:DR63)</f>
        <v>1620.9995749999225</v>
      </c>
      <c r="DS64" s="2215">
        <f t="shared" si="222"/>
        <v>12.330582560633301</v>
      </c>
      <c r="DT64" s="217">
        <f>IF(DN64&lt;0,"       NM",(DR64/DN64-1)*100)</f>
        <v>-6.2129957810346914</v>
      </c>
      <c r="DV64" s="139"/>
    </row>
    <row r="65" spans="1:128" hidden="1" outlineLevel="1">
      <c r="A65" s="23" t="str">
        <f>$A$15</f>
        <v>6 Mos</v>
      </c>
      <c r="D65" s="1899">
        <f>SUM(D60:D61)</f>
        <v>206.48399999999998</v>
      </c>
      <c r="E65" s="2213">
        <f t="shared" si="166"/>
        <v>10.562376304477823</v>
      </c>
      <c r="F65" s="1899">
        <f>SUM(F60:F61)</f>
        <v>252.46799999999996</v>
      </c>
      <c r="G65" s="2213">
        <f t="shared" si="167"/>
        <v>11.161732113654537</v>
      </c>
      <c r="H65" s="44"/>
      <c r="J65" s="1899">
        <f>SUM(J60:J61)</f>
        <v>235.15399999999991</v>
      </c>
      <c r="K65" s="2213">
        <f t="shared" si="168"/>
        <v>8.8414827871308663</v>
      </c>
      <c r="L65" s="44">
        <f t="shared" si="169"/>
        <v>-6.8578988228211291</v>
      </c>
      <c r="N65" s="1899">
        <f>SUM(N60:N61)</f>
        <v>229.2050000000001</v>
      </c>
      <c r="O65" s="2213">
        <f t="shared" si="170"/>
        <v>7.8899683237763103</v>
      </c>
      <c r="P65" s="44">
        <f t="shared" si="171"/>
        <v>-2.5298315146669026</v>
      </c>
      <c r="R65" s="1899">
        <f>SUM(R60:R61)</f>
        <v>211.7829999999999</v>
      </c>
      <c r="S65" s="2213">
        <f t="shared" si="172"/>
        <v>6.6025047886031212</v>
      </c>
      <c r="T65" s="44">
        <f t="shared" si="173"/>
        <v>-7.6010558233896237</v>
      </c>
      <c r="V65" s="1899">
        <f>SUM(V60:V61)</f>
        <v>193.43599999999998</v>
      </c>
      <c r="W65" s="2213">
        <f t="shared" si="174"/>
        <v>6.3069689796610389</v>
      </c>
      <c r="X65" s="44">
        <f t="shared" si="175"/>
        <v>-8.6631127144293547</v>
      </c>
      <c r="Z65" s="1899">
        <f>SUM(Z60:Z61)</f>
        <v>176.77300000000008</v>
      </c>
      <c r="AA65" s="2213">
        <f t="shared" si="176"/>
        <v>5.3457792890176767</v>
      </c>
      <c r="AB65" s="44">
        <f t="shared" si="177"/>
        <v>-8.6142186562997107</v>
      </c>
      <c r="AD65" s="1899">
        <f>SUM(AD60:AD61)</f>
        <v>135.37800000000004</v>
      </c>
      <c r="AE65" s="2213">
        <f t="shared" si="178"/>
        <v>3.6752106123885055</v>
      </c>
      <c r="AF65" s="44">
        <f t="shared" si="179"/>
        <v>-23.417037669779894</v>
      </c>
      <c r="AH65" s="1899">
        <f>SUM(AH60:AH61)</f>
        <v>142.21900000000011</v>
      </c>
      <c r="AI65" s="2213">
        <f t="shared" si="180"/>
        <v>3.9634828618988815</v>
      </c>
      <c r="AJ65" s="2188" t="s">
        <v>886</v>
      </c>
      <c r="AL65" s="1899">
        <f>SUM(AL60:AL61)</f>
        <v>144.86699999999996</v>
      </c>
      <c r="AM65" s="2213">
        <f t="shared" si="181"/>
        <v>3.8058595740879873</v>
      </c>
      <c r="AN65" s="44">
        <f t="shared" si="182"/>
        <v>1.8619171840611015</v>
      </c>
      <c r="AP65" s="1899">
        <f>SUM(AP60:AP61)</f>
        <v>166.64700000000005</v>
      </c>
      <c r="AQ65" s="2213">
        <f t="shared" si="183"/>
        <v>5.0204784377640781</v>
      </c>
      <c r="AR65" s="2247" t="s">
        <v>886</v>
      </c>
      <c r="AT65" s="1899">
        <f>SUM(AT60:AT61)</f>
        <v>266.78500000000003</v>
      </c>
      <c r="AU65" s="2213">
        <f t="shared" si="184"/>
        <v>7.5519451881383635</v>
      </c>
      <c r="AV65" s="44">
        <f t="shared" si="185"/>
        <v>60.089890607091604</v>
      </c>
      <c r="AX65" s="1899">
        <f>SUM(AX60:AX61)</f>
        <v>117.27299999999997</v>
      </c>
      <c r="AY65" s="2213">
        <f t="shared" si="186"/>
        <v>3.4198824024474836</v>
      </c>
      <c r="AZ65" s="44">
        <f t="shared" si="187"/>
        <v>-56.042131304233763</v>
      </c>
      <c r="BB65" s="1899">
        <f>SUM(BB60:BB61)</f>
        <v>266.81599999999997</v>
      </c>
      <c r="BC65" s="2213">
        <f t="shared" si="188"/>
        <v>7.1896296619648536</v>
      </c>
      <c r="BD65" s="44">
        <f t="shared" si="189"/>
        <v>127.51699027056529</v>
      </c>
      <c r="BF65" s="1899">
        <f>SUM(BF60:BF61)</f>
        <v>279.41799999999989</v>
      </c>
      <c r="BG65" s="2213">
        <f t="shared" si="190"/>
        <v>7.2455601761537851</v>
      </c>
      <c r="BH65" s="44">
        <f t="shared" si="191"/>
        <v>4.723105061165711</v>
      </c>
      <c r="BJ65" s="1899">
        <f>SUM(BJ60:BJ61)</f>
        <v>346.31499999999994</v>
      </c>
      <c r="BK65" s="2213">
        <f t="shared" si="192"/>
        <v>8.2671784790530509</v>
      </c>
      <c r="BL65" s="44">
        <f t="shared" si="193"/>
        <v>23.941549935938291</v>
      </c>
      <c r="BN65" s="2202">
        <f>SUM(BN60:BN61)</f>
        <v>252.17199999999968</v>
      </c>
      <c r="BO65" s="2215">
        <f t="shared" si="194"/>
        <v>5.9114362892311938</v>
      </c>
      <c r="BP65" s="217">
        <f t="shared" si="195"/>
        <v>-27.184210906255945</v>
      </c>
      <c r="BR65" s="2202">
        <f>SUM(BR60:BR61)</f>
        <v>271.88199999999972</v>
      </c>
      <c r="BS65" s="2215">
        <f t="shared" si="196"/>
        <v>6.3734796931806699</v>
      </c>
      <c r="BT65" s="217">
        <f t="shared" si="197"/>
        <v>7.8160937772631556</v>
      </c>
      <c r="BV65" s="2202">
        <f>SUM(BV60:BV61)</f>
        <v>382.72599999999966</v>
      </c>
      <c r="BW65" s="2215">
        <f t="shared" si="198"/>
        <v>8.4469391912456135</v>
      </c>
      <c r="BX65" s="217">
        <f t="shared" si="199"/>
        <v>40.769157207906389</v>
      </c>
      <c r="BZ65" s="2202">
        <f>SUM(BZ60:BZ61)</f>
        <v>250.85400000000004</v>
      </c>
      <c r="CA65" s="2215">
        <f t="shared" si="200"/>
        <v>5.0832434973616598</v>
      </c>
      <c r="CB65" s="217">
        <f t="shared" si="201"/>
        <v>-34.455981563834115</v>
      </c>
      <c r="CD65" s="2202">
        <f>SUM(CD60:CD61)</f>
        <v>285.59699999999975</v>
      </c>
      <c r="CE65" s="2215">
        <f t="shared" si="202"/>
        <v>6.7847517279799066</v>
      </c>
      <c r="CF65" s="217">
        <f t="shared" si="203"/>
        <v>13.849888779927655</v>
      </c>
      <c r="CH65" s="2202">
        <f>SUM(CH60:CH61)</f>
        <v>213.85500000000002</v>
      </c>
      <c r="CI65" s="2215">
        <f t="shared" si="204"/>
        <v>5.6398636337383863</v>
      </c>
      <c r="CJ65" s="217">
        <f t="shared" si="205"/>
        <v>-25.120011764829385</v>
      </c>
      <c r="CL65" s="2202">
        <f>SUM(CL60:CL61)</f>
        <v>421.43300000000039</v>
      </c>
      <c r="CM65" s="2215">
        <f t="shared" si="206"/>
        <v>10.096510675732858</v>
      </c>
      <c r="CN65" s="217">
        <f t="shared" si="207"/>
        <v>97.06483364896792</v>
      </c>
      <c r="CP65" s="2202">
        <f>SUM(CP60:CP61)</f>
        <v>573.78399999999999</v>
      </c>
      <c r="CQ65" s="2215">
        <f t="shared" si="208"/>
        <v>12.273055507072284</v>
      </c>
      <c r="CR65" s="217">
        <f t="shared" si="209"/>
        <v>36.150704856999674</v>
      </c>
      <c r="CT65" s="2202">
        <f>SUM(CT60:CT61)</f>
        <v>602.10600000000022</v>
      </c>
      <c r="CU65" s="2215">
        <f t="shared" si="210"/>
        <v>13.224716465431586</v>
      </c>
      <c r="CV65" s="217">
        <f t="shared" si="211"/>
        <v>4.9360037923678934</v>
      </c>
      <c r="CW65" s="217"/>
      <c r="CX65" s="2202">
        <f>SUM(CX60:CX61)</f>
        <v>668.98700000000008</v>
      </c>
      <c r="CY65" s="2215">
        <f t="shared" si="212"/>
        <v>13.984107975298027</v>
      </c>
      <c r="CZ65" s="217">
        <f t="shared" si="213"/>
        <v>11.107844798091993</v>
      </c>
      <c r="DA65" s="217"/>
      <c r="DB65" s="2202">
        <f>SUM(DB60:DB61)</f>
        <v>712.05300000000022</v>
      </c>
      <c r="DC65" s="2215">
        <f t="shared" si="214"/>
        <v>14.0540262084132</v>
      </c>
      <c r="DD65" s="217">
        <f t="shared" si="215"/>
        <v>6.4374943010850894</v>
      </c>
      <c r="DE65" s="217"/>
      <c r="DF65" s="2202">
        <f>SUM(DF60:DF61)</f>
        <v>774.76899999999989</v>
      </c>
      <c r="DG65" s="2215">
        <f t="shared" si="216"/>
        <v>14.681507685171008</v>
      </c>
      <c r="DH65" s="217">
        <f t="shared" si="217"/>
        <v>8.8077713316283557</v>
      </c>
      <c r="DI65" s="217"/>
      <c r="DJ65" s="2202">
        <f>SUM(DJ60:DJ61)</f>
        <v>766.14900000000023</v>
      </c>
      <c r="DK65" s="2215">
        <f t="shared" si="218"/>
        <v>13.920973682666075</v>
      </c>
      <c r="DL65" s="217">
        <f t="shared" si="219"/>
        <v>-1.1125896880230912</v>
      </c>
      <c r="DM65" s="217"/>
      <c r="DN65" s="2202">
        <f>SUM(DN60:DN61)</f>
        <v>510.08700000000022</v>
      </c>
      <c r="DO65" s="2215">
        <f t="shared" si="220"/>
        <v>9.8253447963351217</v>
      </c>
      <c r="DP65" s="217">
        <f t="shared" si="221"/>
        <v>-33.421958391905484</v>
      </c>
      <c r="DQ65" s="217"/>
      <c r="DR65" s="2202">
        <f>SUM(DR60:DR61)</f>
        <v>451.4819353468414</v>
      </c>
      <c r="DS65" s="2215" t="e">
        <f t="shared" si="222"/>
        <v>#DIV/0!</v>
      </c>
      <c r="DT65" s="217">
        <f t="shared" ref="DT65:DT66" si="224">IF(DN65&lt;0,"       NM",(DR65/DN65-1)*100)</f>
        <v>-11.489229220340603</v>
      </c>
      <c r="DV65" s="139"/>
    </row>
    <row r="66" spans="1:128" hidden="1" outlineLevel="1">
      <c r="A66" s="23" t="str">
        <f>$A$16</f>
        <v>9 Mos</v>
      </c>
      <c r="D66" s="1899">
        <f>SUM(D60:D62)</f>
        <v>356.02199999999999</v>
      </c>
      <c r="E66" s="2213">
        <f t="shared" si="166"/>
        <v>11.614399660723898</v>
      </c>
      <c r="F66" s="1899">
        <f>SUM(F60:F62)</f>
        <v>403.54300000000001</v>
      </c>
      <c r="G66" s="2213">
        <f t="shared" si="167"/>
        <v>11.497606701236537</v>
      </c>
      <c r="H66" s="44"/>
      <c r="J66" s="1899">
        <f>SUM(J60:J62)</f>
        <v>369.83499999999992</v>
      </c>
      <c r="K66" s="2213">
        <f t="shared" si="168"/>
        <v>9.0356184183105182</v>
      </c>
      <c r="L66" s="44">
        <f t="shared" si="169"/>
        <v>-8.3530131857076135</v>
      </c>
      <c r="N66" s="1899">
        <f>SUM(N60:N62)</f>
        <v>374.43500000000017</v>
      </c>
      <c r="O66" s="2213">
        <f t="shared" si="170"/>
        <v>8.2906770928128086</v>
      </c>
      <c r="P66" s="44">
        <f t="shared" si="171"/>
        <v>1.2437979098788077</v>
      </c>
      <c r="R66" s="1899">
        <f>SUM(R60:R62)</f>
        <v>360.67199999999991</v>
      </c>
      <c r="S66" s="2213">
        <f t="shared" si="172"/>
        <v>7.4761783253594354</v>
      </c>
      <c r="T66" s="44">
        <f t="shared" si="173"/>
        <v>-3.6756713448262701</v>
      </c>
      <c r="V66" s="1899">
        <f>SUM(V60:V62)</f>
        <v>358.97799999999984</v>
      </c>
      <c r="W66" s="2213">
        <f t="shared" si="174"/>
        <v>7.5065513835066531</v>
      </c>
      <c r="X66" s="44">
        <f t="shared" si="175"/>
        <v>-0.46967882175497078</v>
      </c>
      <c r="Z66" s="1899">
        <f>SUM(Z60:Z62)</f>
        <v>268.13400000000019</v>
      </c>
      <c r="AA66" s="2213">
        <f t="shared" si="176"/>
        <v>5.2471667718184829</v>
      </c>
      <c r="AB66" s="44">
        <f t="shared" si="177"/>
        <v>-25.306286179097238</v>
      </c>
      <c r="AD66" s="1899">
        <f>SUM(AD60:AD62)</f>
        <v>223.72800000000007</v>
      </c>
      <c r="AE66" s="2213">
        <f t="shared" si="178"/>
        <v>3.9398928948160892</v>
      </c>
      <c r="AF66" s="44">
        <f t="shared" si="179"/>
        <v>-16.561122423862727</v>
      </c>
      <c r="AH66" s="1899">
        <f>SUM(AH60:AH62)</f>
        <v>215.62400000000025</v>
      </c>
      <c r="AI66" s="2213">
        <f t="shared" si="180"/>
        <v>3.9758906405118117</v>
      </c>
      <c r="AJ66" s="2188" t="s">
        <v>886</v>
      </c>
      <c r="AL66" s="1899">
        <f>SUM(AL60:AL62)</f>
        <v>220.00499999999988</v>
      </c>
      <c r="AM66" s="2213">
        <f t="shared" si="181"/>
        <v>3.8536453780953246</v>
      </c>
      <c r="AN66" s="44">
        <f t="shared" si="182"/>
        <v>2.0317775386782699</v>
      </c>
      <c r="AP66" s="1899">
        <f>SUM(AP60:AP62)</f>
        <v>247.97499999999997</v>
      </c>
      <c r="AQ66" s="2213">
        <f t="shared" si="183"/>
        <v>5.0589261101994145</v>
      </c>
      <c r="AR66" s="2247" t="s">
        <v>886</v>
      </c>
      <c r="AT66" s="1899">
        <f>SUM(AT60:AT62)</f>
        <v>368.76199999999994</v>
      </c>
      <c r="AU66" s="2213">
        <f t="shared" si="184"/>
        <v>7.0258822220384678</v>
      </c>
      <c r="AV66" s="44">
        <f t="shared" si="185"/>
        <v>48.709345700171383</v>
      </c>
      <c r="AX66" s="1899">
        <f>SUM(AX60:AX62)</f>
        <v>99.568000000000154</v>
      </c>
      <c r="AY66" s="2213">
        <f t="shared" si="186"/>
        <v>1.9567305651502009</v>
      </c>
      <c r="AZ66" s="44">
        <f t="shared" si="187"/>
        <v>-72.999387138587977</v>
      </c>
      <c r="BB66" s="1899">
        <f>SUM(BB60:BB62)</f>
        <v>284.16399999999993</v>
      </c>
      <c r="BC66" s="2213">
        <f t="shared" si="188"/>
        <v>5.1867162357119065</v>
      </c>
      <c r="BD66" s="44">
        <f t="shared" si="189"/>
        <v>185.39691467137988</v>
      </c>
      <c r="BF66" s="1899">
        <f>SUM(BF60:BF62)</f>
        <v>321.58999999999992</v>
      </c>
      <c r="BG66" s="2213">
        <f t="shared" si="190"/>
        <v>5.6387908976283878</v>
      </c>
      <c r="BH66" s="44">
        <f t="shared" si="191"/>
        <v>13.170563477428532</v>
      </c>
      <c r="BJ66" s="1899">
        <f>SUM(BJ60:BJ62)</f>
        <v>399.45999999999992</v>
      </c>
      <c r="BK66" s="2213">
        <f t="shared" si="192"/>
        <v>6.5701846579461138</v>
      </c>
      <c r="BL66" s="44">
        <f t="shared" si="193"/>
        <v>24.21406138250568</v>
      </c>
      <c r="BN66" s="2202">
        <f>SUM(BN60:BN62)</f>
        <v>254.84299999999951</v>
      </c>
      <c r="BO66" s="2215">
        <f t="shared" si="194"/>
        <v>4.138819342759839</v>
      </c>
      <c r="BP66" s="217">
        <f t="shared" si="195"/>
        <v>-36.203124217693997</v>
      </c>
      <c r="BR66" s="2202">
        <f>SUM(BR60:BR62)</f>
        <v>292.17799999999954</v>
      </c>
      <c r="BS66" s="2215">
        <f t="shared" si="196"/>
        <v>4.7451645049261106</v>
      </c>
      <c r="BT66" s="217">
        <f t="shared" si="197"/>
        <v>14.650196395427816</v>
      </c>
      <c r="BV66" s="2202">
        <f>SUM(BV60:BV62)</f>
        <v>449.26499999999987</v>
      </c>
      <c r="BW66" s="2215">
        <f t="shared" si="198"/>
        <v>6.7600355527628535</v>
      </c>
      <c r="BX66" s="217">
        <f t="shared" si="199"/>
        <v>53.764143775370002</v>
      </c>
      <c r="BZ66" s="2202">
        <f>SUM(BZ60:BZ62)</f>
        <v>287.43799999999999</v>
      </c>
      <c r="CA66" s="2215">
        <f t="shared" si="200"/>
        <v>4.1912655890384745</v>
      </c>
      <c r="CB66" s="217">
        <f t="shared" si="201"/>
        <v>-36.02038885735589</v>
      </c>
      <c r="CD66" s="2202">
        <f>SUM(CD60:CD62)</f>
        <v>326.7339999999997</v>
      </c>
      <c r="CE66" s="2215">
        <f t="shared" si="202"/>
        <v>5.3991528491985266</v>
      </c>
      <c r="CF66" s="217">
        <f t="shared" si="203"/>
        <v>13.671122120248436</v>
      </c>
      <c r="CH66" s="2202">
        <f>SUM(CH60:CH62)</f>
        <v>272.74000000000007</v>
      </c>
      <c r="CI66" s="2215">
        <f t="shared" si="204"/>
        <v>4.8973485294666901</v>
      </c>
      <c r="CJ66" s="217">
        <f t="shared" si="205"/>
        <v>-16.525369260621691</v>
      </c>
      <c r="CL66" s="2202">
        <f>SUM(CL60:CL62)</f>
        <v>570.53100000000063</v>
      </c>
      <c r="CM66" s="2215">
        <f t="shared" si="206"/>
        <v>9.265750676663508</v>
      </c>
      <c r="CN66" s="217">
        <f t="shared" si="207"/>
        <v>109.18493803622518</v>
      </c>
      <c r="CP66" s="2202">
        <f>SUM(CP60:CP62)</f>
        <v>759.88600000000008</v>
      </c>
      <c r="CQ66" s="2215">
        <f t="shared" si="208"/>
        <v>11.095539332871146</v>
      </c>
      <c r="CR66" s="217">
        <f t="shared" si="209"/>
        <v>33.189257025472621</v>
      </c>
      <c r="CT66" s="2202">
        <f>SUM(CT60:CT62)</f>
        <v>799.49099999999987</v>
      </c>
      <c r="CU66" s="2215">
        <f t="shared" si="210"/>
        <v>12.107862505836295</v>
      </c>
      <c r="CV66" s="217">
        <f t="shared" si="211"/>
        <v>5.2119660054271044</v>
      </c>
      <c r="CW66" s="217"/>
      <c r="CX66" s="2202">
        <f>SUM(CX60:CX62)</f>
        <v>880.01300000000015</v>
      </c>
      <c r="CY66" s="2215">
        <f t="shared" si="212"/>
        <v>12.652961985887559</v>
      </c>
      <c r="CZ66" s="217">
        <f t="shared" si="213"/>
        <v>10.071658092461355</v>
      </c>
      <c r="DA66" s="217"/>
      <c r="DB66" s="2202">
        <f>SUM(DB60:DB62)</f>
        <v>996.16600000000039</v>
      </c>
      <c r="DC66" s="2215">
        <f t="shared" si="214"/>
        <v>13.488329394025399</v>
      </c>
      <c r="DD66" s="217">
        <f t="shared" si="215"/>
        <v>13.199009560086061</v>
      </c>
      <c r="DE66" s="217"/>
      <c r="DF66" s="2202">
        <f>SUM(DF60:DF62)</f>
        <v>1113.5329999999999</v>
      </c>
      <c r="DG66" s="2215">
        <f t="shared" si="216"/>
        <v>14.351962061934969</v>
      </c>
      <c r="DH66" s="217">
        <f t="shared" si="217"/>
        <v>11.781871696082735</v>
      </c>
      <c r="DI66" s="217"/>
      <c r="DJ66" s="2202">
        <f>SUM(DJ60:DJ62)</f>
        <v>1049.729</v>
      </c>
      <c r="DK66" s="2215">
        <f t="shared" si="218"/>
        <v>12.984403066693485</v>
      </c>
      <c r="DL66" s="217">
        <f t="shared" si="219"/>
        <v>-5.7298706010508793</v>
      </c>
      <c r="DM66" s="217"/>
      <c r="DN66" s="2202">
        <f>SUM(DN60:DN62)</f>
        <v>741.75000000000045</v>
      </c>
      <c r="DO66" s="2215">
        <f t="shared" si="220"/>
        <v>9.4982576603592168</v>
      </c>
      <c r="DP66" s="217">
        <f t="shared" si="221"/>
        <v>-29.338905565150586</v>
      </c>
      <c r="DQ66" s="217"/>
      <c r="DR66" s="2202">
        <f>SUM(DR60:DR62)</f>
        <v>679.16657488647002</v>
      </c>
      <c r="DS66" s="2215" t="e">
        <f t="shared" si="222"/>
        <v>#DIV/0!</v>
      </c>
      <c r="DT66" s="217">
        <f t="shared" si="224"/>
        <v>-8.4372666145642654</v>
      </c>
      <c r="DV66" s="139"/>
    </row>
    <row r="67" spans="1:128" collapsed="1">
      <c r="BN67" s="161"/>
      <c r="BO67" s="2216"/>
      <c r="BP67" s="161"/>
      <c r="BR67" s="161"/>
      <c r="BS67" s="2216"/>
      <c r="BT67" s="161"/>
      <c r="BV67" s="161"/>
      <c r="BW67" s="2216"/>
      <c r="BX67" s="161"/>
      <c r="BZ67" s="2202"/>
      <c r="CA67" s="161"/>
      <c r="CB67" s="161"/>
      <c r="CD67" s="1855"/>
      <c r="CE67" s="161"/>
      <c r="CF67" s="161"/>
      <c r="CH67" s="161"/>
      <c r="CI67" s="2230"/>
      <c r="CJ67" s="161"/>
      <c r="CL67" s="161"/>
      <c r="CM67" s="2251"/>
      <c r="CN67" s="161"/>
      <c r="CP67" s="2203"/>
      <c r="CQ67" s="1838"/>
      <c r="CR67" s="161"/>
      <c r="CT67" s="2252">
        <f>CT62/CT64</f>
        <v>0.1156103389502906</v>
      </c>
      <c r="CU67" s="2231"/>
      <c r="CV67" s="161"/>
      <c r="CW67" s="161"/>
      <c r="CX67" s="161"/>
      <c r="CY67" s="161"/>
      <c r="CZ67" s="161"/>
      <c r="DA67" s="161"/>
      <c r="DB67" s="1175"/>
      <c r="DC67" s="1175"/>
      <c r="DD67" s="161"/>
      <c r="DE67" s="161"/>
      <c r="DF67" s="2252"/>
      <c r="DG67" s="161"/>
      <c r="DH67" s="161"/>
      <c r="DI67" s="161"/>
      <c r="DJ67" s="2252"/>
      <c r="DK67" s="161"/>
      <c r="DL67" s="161"/>
      <c r="DM67" s="161"/>
      <c r="DN67" s="2252"/>
      <c r="DO67" s="161"/>
      <c r="DP67" s="161"/>
      <c r="DQ67" s="161"/>
      <c r="DR67" s="2876"/>
      <c r="DS67" s="161"/>
      <c r="DT67" s="161"/>
      <c r="DV67" s="139"/>
    </row>
    <row r="68" spans="1:128" collapsed="1">
      <c r="C68" s="1936"/>
      <c r="D68" s="2175"/>
      <c r="E68" s="1936">
        <f>AH68</f>
        <v>0</v>
      </c>
      <c r="F68" s="2175"/>
      <c r="J68" s="2175"/>
      <c r="N68" s="2175"/>
      <c r="R68" s="2175"/>
      <c r="V68" s="2175"/>
      <c r="Z68" s="2176"/>
      <c r="AA68" s="2177"/>
      <c r="AB68" s="2177"/>
      <c r="AC68" s="2177"/>
      <c r="AD68" s="2176"/>
      <c r="AE68" s="2177"/>
      <c r="AF68" s="2177"/>
      <c r="AG68" s="2177"/>
      <c r="AH68" s="2176"/>
      <c r="AI68" s="2177"/>
      <c r="AJ68" s="2177"/>
      <c r="AK68" s="2177"/>
      <c r="AM68" s="2177"/>
      <c r="AN68" s="2177"/>
      <c r="AO68" s="2177"/>
      <c r="AQ68" s="2177"/>
      <c r="AR68" s="2177"/>
      <c r="AS68" s="2177"/>
      <c r="AU68" s="2177"/>
      <c r="AV68" s="2177"/>
      <c r="AW68" s="2177"/>
      <c r="AY68" s="2177"/>
      <c r="AZ68" s="2177"/>
      <c r="BA68" s="2177"/>
      <c r="BB68" s="2176"/>
      <c r="BC68" s="2177"/>
      <c r="BD68" s="2177"/>
      <c r="BE68" s="2177"/>
      <c r="BF68" s="2176"/>
      <c r="BG68" s="2177"/>
      <c r="BH68" s="2177"/>
      <c r="BI68" s="2177"/>
      <c r="BJ68" s="2176" t="s">
        <v>458</v>
      </c>
      <c r="BK68" s="2177"/>
      <c r="BL68" s="2177"/>
      <c r="BM68" s="2177"/>
      <c r="BN68" s="2178"/>
      <c r="BO68" s="2179"/>
      <c r="BP68" s="2179"/>
      <c r="BQ68" s="2177"/>
      <c r="BR68" s="2178"/>
      <c r="BS68" s="2179"/>
      <c r="BT68" s="2179"/>
      <c r="BU68" s="2177"/>
      <c r="BV68" s="2176" t="s">
        <v>458</v>
      </c>
      <c r="BW68" s="2179"/>
      <c r="BX68" s="2179"/>
      <c r="BY68" s="2177"/>
      <c r="CA68" s="2179"/>
      <c r="CB68" s="2179"/>
      <c r="CC68" s="2177"/>
      <c r="CD68" s="2178"/>
      <c r="CE68" s="2179"/>
      <c r="CF68" s="2179"/>
      <c r="CG68" s="2177"/>
      <c r="CH68" s="2178"/>
      <c r="CI68" s="2179"/>
      <c r="CJ68" s="2179"/>
      <c r="CL68" s="2178"/>
      <c r="CM68" s="2179"/>
      <c r="CN68" s="2179"/>
      <c r="CP68" s="2178"/>
      <c r="CQ68" s="2179"/>
      <c r="CR68" s="2179"/>
      <c r="CS68" s="2177"/>
      <c r="CT68" s="2178"/>
      <c r="CU68" s="2179"/>
      <c r="CW68" s="2179"/>
      <c r="CX68" s="2210" t="s">
        <v>458</v>
      </c>
      <c r="CY68" s="2179"/>
      <c r="CZ68" s="2179"/>
      <c r="DA68" s="2179"/>
      <c r="DB68" s="2179"/>
      <c r="DC68" s="2179"/>
      <c r="DD68" s="2179"/>
      <c r="DE68" s="2179"/>
      <c r="DF68"/>
      <c r="DG68"/>
      <c r="DH68" s="2179"/>
      <c r="DI68" s="2179"/>
      <c r="DJ68"/>
      <c r="DK68"/>
      <c r="DL68" s="2179"/>
      <c r="DM68" s="2179"/>
      <c r="DN68" s="2567"/>
      <c r="DO68"/>
      <c r="DP68" s="2814"/>
      <c r="DQ68" s="2179"/>
      <c r="DR68" s="2702"/>
      <c r="DS68" s="2702"/>
      <c r="DT68" s="2179"/>
      <c r="DU68" s="2177"/>
    </row>
    <row r="69" spans="1:128">
      <c r="BN69" s="161"/>
      <c r="BO69" s="161"/>
      <c r="BP69" s="161"/>
      <c r="BR69" s="161"/>
      <c r="BS69" s="161"/>
      <c r="BT69" s="161"/>
      <c r="BV69" s="161"/>
      <c r="BW69" s="161"/>
      <c r="BX69" s="161"/>
      <c r="BZ69" s="161"/>
      <c r="CA69" s="161"/>
      <c r="CB69" s="161"/>
      <c r="CD69" s="161"/>
      <c r="CE69" s="161"/>
      <c r="CF69" s="161"/>
      <c r="CH69" s="161"/>
      <c r="CI69" s="161"/>
      <c r="CJ69" s="161"/>
      <c r="CL69" s="161"/>
      <c r="CM69" s="161"/>
      <c r="CN69" s="161"/>
      <c r="CP69" s="2229"/>
      <c r="CQ69" s="161"/>
      <c r="CR69" s="161"/>
      <c r="CT69" s="2229"/>
      <c r="CU69" s="161"/>
      <c r="CV69" s="161"/>
      <c r="CW69" s="161"/>
      <c r="CX69" s="161"/>
      <c r="CY69" s="161"/>
      <c r="CZ69" s="161"/>
      <c r="DA69" s="161"/>
      <c r="DB69" s="161"/>
      <c r="DC69" s="161"/>
      <c r="DD69" s="161"/>
      <c r="DE69" s="161"/>
      <c r="DF69" s="161"/>
      <c r="DG69" s="161"/>
      <c r="DH69" s="161"/>
      <c r="DI69" s="161"/>
      <c r="DJ69" s="161"/>
      <c r="DK69" s="161"/>
      <c r="DL69" s="161"/>
      <c r="DM69" s="161"/>
      <c r="DN69" s="161"/>
      <c r="DO69" s="161"/>
      <c r="DP69" s="161"/>
      <c r="DQ69" s="161"/>
      <c r="DR69" s="161"/>
      <c r="DS69" s="161"/>
      <c r="DT69" s="161"/>
      <c r="DV69" s="628"/>
      <c r="DX69" s="2253"/>
    </row>
    <row r="70" spans="1:128">
      <c r="A70" s="23" t="str">
        <f>$A$10</f>
        <v>1Q</v>
      </c>
      <c r="B70" s="23" t="str">
        <f>$B$10</f>
        <v>Apr</v>
      </c>
      <c r="D70" s="2183">
        <v>-15.571999999999999</v>
      </c>
      <c r="F70" s="2183">
        <v>-11.744</v>
      </c>
      <c r="G70" s="2213">
        <f t="shared" ref="G70:G76" si="225">F70/F10*100</f>
        <v>-1.0605547503262307</v>
      </c>
      <c r="H70" s="1881"/>
      <c r="J70" s="2183">
        <v>-14.446999999999999</v>
      </c>
      <c r="K70" s="2213">
        <f t="shared" ref="K70:K76" si="226">J70/J10*100</f>
        <v>-1.1247335501782041</v>
      </c>
      <c r="L70" s="1881"/>
      <c r="N70" s="2183">
        <v>-14.202</v>
      </c>
      <c r="O70" s="2213">
        <f t="shared" ref="O70:O76" si="227">N70/N10*100</f>
        <v>-1.0032317880794701</v>
      </c>
      <c r="P70" s="1881"/>
      <c r="R70" s="2183">
        <v>-14.988</v>
      </c>
      <c r="S70" s="2213">
        <f t="shared" ref="S70:S76" si="228">R70/R10*100</f>
        <v>-0.98698702258256332</v>
      </c>
      <c r="T70" s="1881"/>
      <c r="V70" s="2183">
        <v>-14.67</v>
      </c>
      <c r="W70" s="2213">
        <f t="shared" ref="W70:W76" si="229">V70/V10*100</f>
        <v>-0.99012707643214082</v>
      </c>
      <c r="X70" s="1881"/>
      <c r="Z70" s="2183">
        <v>-16.488</v>
      </c>
      <c r="AA70" s="2213">
        <f t="shared" ref="AA70:AA76" si="230">Z70/Z10*100</f>
        <v>-1.0381995473933558</v>
      </c>
      <c r="AB70" s="1881"/>
      <c r="AD70" s="2183">
        <v>-16.547000000000001</v>
      </c>
      <c r="AE70" s="2213">
        <f t="shared" ref="AE70:AE76" si="231">AD70/AD10*100</f>
        <v>-0.92547693075226678</v>
      </c>
      <c r="AF70" s="1881"/>
      <c r="AH70" s="2183">
        <v>-16.547000000000001</v>
      </c>
      <c r="AI70" s="2213">
        <f t="shared" ref="AI70:AI76" si="232">AH70/AH10*100</f>
        <v>-0.97492773621390794</v>
      </c>
      <c r="AJ70" s="1881"/>
      <c r="AL70" s="2183">
        <v>-15.741</v>
      </c>
      <c r="AM70" s="2213">
        <f t="shared" ref="AM70:AM76" si="233">AL70/AL10*100</f>
        <v>-0.87166997813764635</v>
      </c>
      <c r="AN70" s="1881"/>
      <c r="AO70" s="1881"/>
      <c r="AP70" s="2183">
        <v>-16.79</v>
      </c>
      <c r="AQ70" s="2213">
        <f t="shared" ref="AQ70:AQ76" si="234">AP70/AP10*100</f>
        <v>-1.0702863892591437</v>
      </c>
      <c r="AT70" s="2183">
        <v>-14.007999999999999</v>
      </c>
      <c r="AU70" s="2213">
        <f t="shared" ref="AU70:AU76" si="235">AT70/AT10*100</f>
        <v>-0.82876294942108475</v>
      </c>
      <c r="AX70" s="2183">
        <v>-8.2859999999999996</v>
      </c>
      <c r="AY70" s="2213">
        <f t="shared" ref="AY70:AY76" si="236">AX70/AX10*100</f>
        <v>-0.49859855655537361</v>
      </c>
      <c r="BB70" s="2183">
        <v>-9.23</v>
      </c>
      <c r="BC70" s="2213">
        <f t="shared" ref="BC70:BC76" si="237">BB70/BB10*100</f>
        <v>-0.51314638793310974</v>
      </c>
      <c r="BF70" s="2183">
        <f>-26.97</f>
        <v>-26.97</v>
      </c>
      <c r="BG70" s="2213">
        <f t="shared" ref="BG70:BG76" si="238">BF70/BF10*100</f>
        <v>-1.4639333397383809</v>
      </c>
      <c r="BJ70" s="2183">
        <v>-11.643000000000001</v>
      </c>
      <c r="BK70" s="2213">
        <f t="shared" ref="BK70:BK76" si="239">BJ70/BJ10*100</f>
        <v>-0.58856446987493194</v>
      </c>
      <c r="BN70" s="2254">
        <v>-23.068999999999999</v>
      </c>
      <c r="BO70" s="2215">
        <f t="shared" ref="BO70:BO76" si="240">BN70/BN10*100</f>
        <v>-1.1680908507229617</v>
      </c>
      <c r="BP70" s="161"/>
      <c r="BR70" s="2254">
        <v>-23.068999999999999</v>
      </c>
      <c r="BS70" s="2215">
        <f t="shared" ref="BS70:BS76" si="241">BR70/BR10*100</f>
        <v>-1.1680908507229617</v>
      </c>
      <c r="BT70" s="161"/>
      <c r="BV70" s="2254">
        <f>-24.018</f>
        <v>-24.018000000000001</v>
      </c>
      <c r="BW70" s="2215">
        <f t="shared" ref="BW70:BW76" si="242">BV70/BV10*100</f>
        <v>-1.1563287309029793</v>
      </c>
      <c r="BX70" s="161"/>
      <c r="BZ70" s="2254">
        <f>-25.363</f>
        <v>-25.363</v>
      </c>
      <c r="CA70" s="2215">
        <f t="shared" ref="CA70:CA76" si="243">BZ70/BZ10*100</f>
        <v>-1.0975648280735646</v>
      </c>
      <c r="CB70" s="161"/>
      <c r="CD70" s="2254">
        <v>-45.021000000000001</v>
      </c>
      <c r="CE70" s="2215">
        <f t="shared" ref="CE70:CE76" si="244">CD70/CD10*100</f>
        <v>-2.3386548410170791</v>
      </c>
      <c r="CF70" s="161"/>
      <c r="CH70" s="2254">
        <v>-61.698</v>
      </c>
      <c r="CI70" s="2215">
        <f t="shared" ref="CI70:CI76" si="245">CH70/CH10*100</f>
        <v>-3.5762043127987635</v>
      </c>
      <c r="CJ70" s="161"/>
      <c r="CL70" s="2254">
        <f>-61.12</f>
        <v>-61.12</v>
      </c>
      <c r="CM70" s="2215">
        <f t="shared" ref="CM70:CM76" si="246">CL70/CL10*100</f>
        <v>-3.1643210377647635</v>
      </c>
      <c r="CN70" s="161"/>
      <c r="CP70" s="2254">
        <f>-54.668</f>
        <v>-54.667999999999999</v>
      </c>
      <c r="CQ70" s="2215">
        <f t="shared" ref="CQ70:CQ76" si="247">CP70/CP10*100</f>
        <v>-2.4658358506046643</v>
      </c>
      <c r="CR70" s="161"/>
      <c r="CT70" s="2254">
        <v>-77.792000000000002</v>
      </c>
      <c r="CU70" s="2215">
        <f t="shared" ref="CU70:CU76" si="248">CT70/CT10*100</f>
        <v>-3.6118756569832442</v>
      </c>
      <c r="CV70" s="161"/>
      <c r="CW70" s="161"/>
      <c r="CX70" s="2254">
        <f>+-79.374</f>
        <v>-79.373999999999995</v>
      </c>
      <c r="CY70" s="2215">
        <f t="shared" ref="CY70:CY76" si="249">CX70/CX10*100</f>
        <v>-3.4998033471548826</v>
      </c>
      <c r="CZ70" s="161"/>
      <c r="DA70" s="161"/>
      <c r="DB70" s="2254">
        <v>-84.322999999999993</v>
      </c>
      <c r="DC70" s="2215">
        <f t="shared" ref="DC70:DC76" si="250">DB70/DB10*100</f>
        <v>-3.526344182700953</v>
      </c>
      <c r="DD70" s="161"/>
      <c r="DE70" s="161"/>
      <c r="DF70" s="2254">
        <v>-79.947999999999993</v>
      </c>
      <c r="DG70" s="2215">
        <f t="shared" ref="DG70:DG76" si="251">DF70/DF10*100</f>
        <v>-3.1827205995050041</v>
      </c>
      <c r="DH70" s="161"/>
      <c r="DI70" s="161"/>
      <c r="DJ70" s="2254">
        <v>-97.328000000000003</v>
      </c>
      <c r="DK70" s="2215">
        <f t="shared" ref="DK70:DK76" si="252">DJ70/DJ10*100</f>
        <v>-3.7235994131183734</v>
      </c>
      <c r="DL70" s="161"/>
      <c r="DM70" s="161"/>
      <c r="DN70" s="2254">
        <v>-100.608</v>
      </c>
      <c r="DO70" s="2215">
        <f t="shared" ref="DO70:DO76" si="253">DN70/DN10*100</f>
        <v>-4.1291627454368376</v>
      </c>
      <c r="DP70" s="161"/>
      <c r="DQ70" s="161"/>
      <c r="DR70" s="2254">
        <v>-95</v>
      </c>
      <c r="DS70" s="2215">
        <f t="shared" ref="DS70:DS76" si="254">DR70/DR10*100</f>
        <v>-3.6479196834763861</v>
      </c>
      <c r="DT70" s="161"/>
    </row>
    <row r="71" spans="1:128">
      <c r="A71" s="23" t="str">
        <f>$A$11</f>
        <v>2Q</v>
      </c>
      <c r="B71" s="23" t="str">
        <f>$B$11</f>
        <v>Jul</v>
      </c>
      <c r="D71" s="2218">
        <v>-15.423999999999999</v>
      </c>
      <c r="F71" s="2218">
        <v>-13.423</v>
      </c>
      <c r="G71" s="2213">
        <f t="shared" si="225"/>
        <v>-1.1626053862850154</v>
      </c>
      <c r="J71" s="2218">
        <v>-16.210999999999999</v>
      </c>
      <c r="K71" s="2213">
        <f t="shared" si="226"/>
        <v>-1.1788232128768128</v>
      </c>
      <c r="N71" s="2218">
        <v>-15.778</v>
      </c>
      <c r="O71" s="2213">
        <f t="shared" si="227"/>
        <v>-1.0593577383538126</v>
      </c>
      <c r="R71" s="2218">
        <v>-16.349</v>
      </c>
      <c r="S71" s="2213">
        <f t="shared" si="228"/>
        <v>-0.9679376929703295</v>
      </c>
      <c r="V71" s="2218">
        <v>-14.75</v>
      </c>
      <c r="W71" s="2213">
        <f t="shared" si="229"/>
        <v>-0.93036927144832315</v>
      </c>
      <c r="Z71" s="2218">
        <v>-20.2</v>
      </c>
      <c r="AA71" s="2213">
        <f t="shared" si="230"/>
        <v>-1.1753458978973528</v>
      </c>
      <c r="AD71" s="2218">
        <v>-18.734000000000002</v>
      </c>
      <c r="AE71" s="2213">
        <f t="shared" si="231"/>
        <v>-0.98828814713644908</v>
      </c>
      <c r="AH71" s="2218">
        <v>-16.271999999999998</v>
      </c>
      <c r="AI71" s="2213">
        <f t="shared" si="232"/>
        <v>-0.86050664761480689</v>
      </c>
      <c r="AL71" s="2218">
        <v>-16.414000000000001</v>
      </c>
      <c r="AM71" s="2213">
        <f t="shared" si="233"/>
        <v>-0.82046370645254174</v>
      </c>
      <c r="AP71" s="2218">
        <v>-20.158999999999999</v>
      </c>
      <c r="AQ71" s="2213">
        <f t="shared" si="234"/>
        <v>-1.1515440938737787</v>
      </c>
      <c r="AT71" s="2218">
        <v>-12.670999999999999</v>
      </c>
      <c r="AU71" s="2213">
        <f t="shared" si="235"/>
        <v>-0.68773080855997171</v>
      </c>
      <c r="AX71" s="2218">
        <v>-8.41</v>
      </c>
      <c r="AY71" s="2213">
        <f t="shared" si="236"/>
        <v>-0.47586848828294087</v>
      </c>
      <c r="BB71" s="2218">
        <v>-6.1550000000000002</v>
      </c>
      <c r="BC71" s="2213">
        <f t="shared" si="237"/>
        <v>-0.3218442012616502</v>
      </c>
      <c r="BF71" s="2218">
        <v>-11.425000000000001</v>
      </c>
      <c r="BG71" s="2213">
        <f t="shared" si="238"/>
        <v>-0.56724919145268426</v>
      </c>
      <c r="BJ71" s="2218">
        <f>-12.047</f>
        <v>-12.047000000000001</v>
      </c>
      <c r="BK71" s="2213">
        <f t="shared" si="239"/>
        <v>-0.54490798034405152</v>
      </c>
      <c r="BN71" s="2254">
        <v>-21.888999999999999</v>
      </c>
      <c r="BO71" s="2215">
        <f t="shared" si="240"/>
        <v>-0.95547559671936944</v>
      </c>
      <c r="BP71" s="161"/>
      <c r="BR71" s="2254">
        <v>-21.888999999999999</v>
      </c>
      <c r="BS71" s="2215">
        <f t="shared" si="241"/>
        <v>-0.95547559671936944</v>
      </c>
      <c r="BT71" s="161"/>
      <c r="BV71" s="2254">
        <v>-24.341000000000001</v>
      </c>
      <c r="BW71" s="2215">
        <f t="shared" si="242"/>
        <v>-0.9919506147885041</v>
      </c>
      <c r="BX71" s="161"/>
      <c r="BZ71" s="2254">
        <v>-30.847000000000001</v>
      </c>
      <c r="CA71" s="2215">
        <f t="shared" si="243"/>
        <v>-1.1755371507772066</v>
      </c>
      <c r="CB71" s="161"/>
      <c r="CD71" s="2254">
        <v>-46.728999999999999</v>
      </c>
      <c r="CE71" s="2215">
        <f t="shared" si="244"/>
        <v>-2.0456469644716093</v>
      </c>
      <c r="CF71" s="161"/>
      <c r="CH71" s="2254">
        <v>-57.828000000000003</v>
      </c>
      <c r="CI71" s="2215">
        <f t="shared" si="245"/>
        <v>-2.7982057572546344</v>
      </c>
      <c r="CJ71" s="161"/>
      <c r="CL71" s="2254">
        <f>-51.751</f>
        <v>-51.750999999999998</v>
      </c>
      <c r="CM71" s="2215">
        <f t="shared" si="246"/>
        <v>-2.3077266099147828</v>
      </c>
      <c r="CN71" s="2255"/>
      <c r="CP71" s="2254">
        <f>-64.26+0.339</f>
        <v>-63.921000000000006</v>
      </c>
      <c r="CQ71" s="2215">
        <f t="shared" si="247"/>
        <v>-2.6003860650452477</v>
      </c>
      <c r="CR71" s="2255"/>
      <c r="CT71" s="2254">
        <v>-79.525999999999996</v>
      </c>
      <c r="CU71" s="2215">
        <f t="shared" si="248"/>
        <v>-3.3148263932307951</v>
      </c>
      <c r="CV71" s="2255"/>
      <c r="CW71" s="161"/>
      <c r="CX71" s="2254">
        <v>-75.968000000000004</v>
      </c>
      <c r="CY71" s="2215">
        <f t="shared" si="249"/>
        <v>-3.0194522711672276</v>
      </c>
      <c r="CZ71" s="161"/>
      <c r="DA71" s="161"/>
      <c r="DB71" s="2254">
        <v>-81.631</v>
      </c>
      <c r="DC71" s="2215">
        <f t="shared" si="250"/>
        <v>-3.0512714222757653</v>
      </c>
      <c r="DD71" s="161"/>
      <c r="DE71" s="161"/>
      <c r="DF71" s="2411">
        <v>-77.777000000000001</v>
      </c>
      <c r="DG71" s="2215">
        <f t="shared" si="251"/>
        <v>-2.8126703063788021</v>
      </c>
      <c r="DH71" s="161"/>
      <c r="DI71" s="161"/>
      <c r="DJ71" s="2254">
        <v>-101.172</v>
      </c>
      <c r="DK71" s="2215">
        <f t="shared" si="252"/>
        <v>-3.5010713751806386</v>
      </c>
      <c r="DL71" s="161"/>
      <c r="DM71" s="161"/>
      <c r="DN71" s="2254">
        <v>-100.428</v>
      </c>
      <c r="DO71" s="2215">
        <f t="shared" si="253"/>
        <v>-3.645272992573557</v>
      </c>
      <c r="DP71" s="161"/>
      <c r="DQ71" s="161"/>
      <c r="DR71" s="2254">
        <v>-92</v>
      </c>
      <c r="DS71" s="2215">
        <f t="shared" si="254"/>
        <v>-3.1672721880316725</v>
      </c>
      <c r="DT71" s="161"/>
    </row>
    <row r="72" spans="1:128">
      <c r="A72" s="23" t="str">
        <f>$A$12</f>
        <v>3Q</v>
      </c>
      <c r="B72" s="23" t="str">
        <f>$B$12</f>
        <v>Oct</v>
      </c>
      <c r="D72" s="2218">
        <v>-13.516999999999999</v>
      </c>
      <c r="F72" s="2218">
        <v>-16.335000000000001</v>
      </c>
      <c r="G72" s="2213">
        <f t="shared" si="225"/>
        <v>-1.3090064612911523</v>
      </c>
      <c r="J72" s="2218">
        <v>-17.664000000000001</v>
      </c>
      <c r="K72" s="2213">
        <f t="shared" si="226"/>
        <v>-1.2323044595691957</v>
      </c>
      <c r="N72" s="2218">
        <v>-17.341999999999999</v>
      </c>
      <c r="O72" s="2213">
        <f t="shared" si="227"/>
        <v>-1.0762604572648513</v>
      </c>
      <c r="R72" s="2218">
        <v>-16.378</v>
      </c>
      <c r="S72" s="2213">
        <f t="shared" si="228"/>
        <v>-1.013071956067638</v>
      </c>
      <c r="V72" s="2218">
        <v>-16.425000000000001</v>
      </c>
      <c r="W72" s="2213">
        <f t="shared" si="229"/>
        <v>-0.95762767202899302</v>
      </c>
      <c r="Z72" s="2218">
        <v>-22.573</v>
      </c>
      <c r="AA72" s="2213">
        <f t="shared" si="230"/>
        <v>-1.2517641317698991</v>
      </c>
      <c r="AD72" s="2218">
        <v>-20.620999999999999</v>
      </c>
      <c r="AE72" s="2213">
        <f t="shared" si="231"/>
        <v>-1.0336413388364629</v>
      </c>
      <c r="AH72" s="2218">
        <v>-17.925000000000001</v>
      </c>
      <c r="AI72" s="2213">
        <f t="shared" si="232"/>
        <v>-0.97680995937451476</v>
      </c>
      <c r="AL72" s="2218">
        <v>-17.074000000000002</v>
      </c>
      <c r="AM72" s="2213">
        <f t="shared" si="233"/>
        <v>-0.89740826977961641</v>
      </c>
      <c r="AP72" s="2218">
        <v>-20.411999999999999</v>
      </c>
      <c r="AQ72" s="2213">
        <f t="shared" si="234"/>
        <v>-1.2899499300739958</v>
      </c>
      <c r="AT72" s="2218">
        <v>-14.826000000000001</v>
      </c>
      <c r="AU72" s="2213">
        <f t="shared" si="235"/>
        <v>-0.86400816804160485</v>
      </c>
      <c r="AX72" s="2218">
        <v>-8.6739999999999995</v>
      </c>
      <c r="AY72" s="2213">
        <f t="shared" si="236"/>
        <v>-0.52273953119773886</v>
      </c>
      <c r="BB72" s="2218">
        <v>-6.4429999999999996</v>
      </c>
      <c r="BC72" s="2213">
        <f t="shared" si="237"/>
        <v>-0.36451276190691712</v>
      </c>
      <c r="BF72" s="2218">
        <v>-11.69</v>
      </c>
      <c r="BG72" s="2213">
        <f t="shared" si="238"/>
        <v>-0.6329970705610336</v>
      </c>
      <c r="BH72" s="18">
        <f>+BF72/BB72-1</f>
        <v>0.81437218686947088</v>
      </c>
      <c r="BJ72" s="2218">
        <f>-13.234</f>
        <v>-13.234</v>
      </c>
      <c r="BK72" s="2213">
        <f t="shared" si="239"/>
        <v>-0.69989502103545753</v>
      </c>
      <c r="BN72" s="2254">
        <v>-24.561</v>
      </c>
      <c r="BO72" s="2215">
        <f t="shared" si="240"/>
        <v>-1.2984582493414136</v>
      </c>
      <c r="BP72" s="161"/>
      <c r="BR72" s="2254">
        <v>-24.561</v>
      </c>
      <c r="BS72" s="2215">
        <f t="shared" si="241"/>
        <v>-1.2984582493414136</v>
      </c>
      <c r="BT72" s="161"/>
      <c r="BV72" s="2254">
        <v>-25.655000000000001</v>
      </c>
      <c r="BW72" s="2215">
        <f t="shared" si="242"/>
        <v>-1.2130287467245151</v>
      </c>
      <c r="BX72" s="161"/>
      <c r="BZ72" s="2254">
        <v>-46.994</v>
      </c>
      <c r="CA72" s="2215">
        <f t="shared" si="243"/>
        <v>-2.4436535933574053</v>
      </c>
      <c r="CB72" s="2254"/>
      <c r="CD72" s="2254">
        <v>-44.463999999999999</v>
      </c>
      <c r="CE72" s="2215">
        <f t="shared" si="244"/>
        <v>-2.4136568334107777</v>
      </c>
      <c r="CF72" s="161"/>
      <c r="CH72" s="2254">
        <v>-56.320999999999998</v>
      </c>
      <c r="CI72" s="2215">
        <f t="shared" si="245"/>
        <v>-3.1689275070064573</v>
      </c>
      <c r="CJ72" s="161"/>
      <c r="CL72" s="2254">
        <f>-47.224</f>
        <v>-47.223999999999997</v>
      </c>
      <c r="CM72" s="2215">
        <f t="shared" si="246"/>
        <v>-2.3809955973967565</v>
      </c>
      <c r="CN72" s="2255"/>
      <c r="CP72" s="2254">
        <f>-63.86</f>
        <v>-63.86</v>
      </c>
      <c r="CQ72" s="2215">
        <f t="shared" si="247"/>
        <v>-2.9382263897451941</v>
      </c>
      <c r="CR72" s="2255"/>
      <c r="CT72" s="2254">
        <v>-77.155000000000001</v>
      </c>
      <c r="CU72" s="2215">
        <f t="shared" si="248"/>
        <v>-3.7633115776155273</v>
      </c>
      <c r="CV72" s="2255"/>
      <c r="CW72" s="161"/>
      <c r="CX72" s="2254">
        <v>-76.84</v>
      </c>
      <c r="CY72" s="2215">
        <f t="shared" si="249"/>
        <v>-3.5392409424403541</v>
      </c>
      <c r="CZ72" s="161"/>
      <c r="DA72" s="161"/>
      <c r="DB72" s="2195">
        <v>-80.343999999999994</v>
      </c>
      <c r="DC72" s="2215">
        <f t="shared" si="250"/>
        <v>-3.4648194299676858</v>
      </c>
      <c r="DD72" s="161"/>
      <c r="DE72" s="161"/>
      <c r="DF72" s="2195">
        <v>-78.861999999999995</v>
      </c>
      <c r="DG72" s="2215">
        <f t="shared" si="251"/>
        <v>-3.1779011313379608</v>
      </c>
      <c r="DH72" s="161"/>
      <c r="DI72" s="161"/>
      <c r="DJ72" s="2254">
        <v>-96.816999999999993</v>
      </c>
      <c r="DK72" s="2215">
        <f t="shared" si="252"/>
        <v>-3.7511734888195529</v>
      </c>
      <c r="DL72" s="161"/>
      <c r="DM72" s="161"/>
      <c r="DN72" s="2254">
        <v>-98.64</v>
      </c>
      <c r="DO72" s="2215">
        <f t="shared" si="253"/>
        <v>-3.7680725376883655</v>
      </c>
      <c r="DP72" s="161"/>
      <c r="DQ72" s="161"/>
      <c r="DR72" s="2254">
        <v>-92</v>
      </c>
      <c r="DS72" s="2215">
        <f t="shared" si="254"/>
        <v>-3.3214361826476066</v>
      </c>
      <c r="DT72" s="161"/>
    </row>
    <row r="73" spans="1:128">
      <c r="A73" s="23" t="str">
        <f>$A$13</f>
        <v>4Q</v>
      </c>
      <c r="B73" s="23" t="str">
        <f>$B$13</f>
        <v>Jan</v>
      </c>
      <c r="C73" s="139"/>
      <c r="D73" s="2220">
        <f>-58.059-D72-D71-D70</f>
        <v>-13.546000000000003</v>
      </c>
      <c r="E73" s="139"/>
      <c r="F73" s="2220">
        <f>-56.609-F72-F71-F70</f>
        <v>-15.106999999999999</v>
      </c>
      <c r="G73" s="2213">
        <f t="shared" si="225"/>
        <v>-0.86637162508193744</v>
      </c>
      <c r="J73" s="2220">
        <f>-63.927-J72-J71-J70</f>
        <v>-15.605</v>
      </c>
      <c r="K73" s="2213">
        <f t="shared" si="226"/>
        <v>-0.75894674435920939</v>
      </c>
      <c r="N73" s="2220">
        <f>+-62.398-N72-N71-N70</f>
        <v>-15.076000000000006</v>
      </c>
      <c r="O73" s="2213">
        <f t="shared" si="227"/>
        <v>-0.62093331103750571</v>
      </c>
      <c r="R73" s="2220">
        <f>-63.865-R72-R71-R70</f>
        <v>-16.150000000000002</v>
      </c>
      <c r="S73" s="2213">
        <f t="shared" si="228"/>
        <v>-0.66713345354128073</v>
      </c>
      <c r="V73" s="2220">
        <f>-65.381-V72-V71-V70</f>
        <v>-19.536000000000001</v>
      </c>
      <c r="W73" s="2213">
        <f t="shared" si="229"/>
        <v>-0.7695592366804328</v>
      </c>
      <c r="Z73" s="2220">
        <v>-18.276</v>
      </c>
      <c r="AA73" s="2213">
        <f t="shared" si="230"/>
        <v>-0.65945842572162094</v>
      </c>
      <c r="AD73" s="2220">
        <v>-19.460999999999999</v>
      </c>
      <c r="AE73" s="2213">
        <f t="shared" si="231"/>
        <v>-0.6560784772479562</v>
      </c>
      <c r="AH73" s="2220">
        <v>-17.984000000000002</v>
      </c>
      <c r="AI73" s="2213">
        <f t="shared" si="232"/>
        <v>-0.61098433231513938</v>
      </c>
      <c r="AL73" s="2220">
        <v>-19.298999999999999</v>
      </c>
      <c r="AM73" s="2213">
        <f t="shared" si="233"/>
        <v>-0.61706033212355527</v>
      </c>
      <c r="AP73" s="2220">
        <v>-20.936</v>
      </c>
      <c r="AQ73" s="2213">
        <f t="shared" si="234"/>
        <v>-0.7700161535677611</v>
      </c>
      <c r="AT73" s="2220">
        <v>-16.739000000000001</v>
      </c>
      <c r="AU73" s="2213">
        <f t="shared" si="235"/>
        <v>-0.5769778960143751</v>
      </c>
      <c r="AX73" s="2220">
        <v>-8.59</v>
      </c>
      <c r="AY73" s="2213">
        <f t="shared" si="236"/>
        <v>-0.30257718976591652</v>
      </c>
      <c r="BB73" s="2220">
        <f>-7.731</f>
        <v>-7.7309999999999999</v>
      </c>
      <c r="BC73" s="2213">
        <f t="shared" si="237"/>
        <v>-0.26065706754561585</v>
      </c>
      <c r="BF73" s="2220">
        <v>-11.733000000000001</v>
      </c>
      <c r="BG73" s="2213">
        <f t="shared" si="238"/>
        <v>-0.36314756363361744</v>
      </c>
      <c r="BH73" s="18">
        <f>+BF73/BB73-1</f>
        <v>0.51765618936748159</v>
      </c>
      <c r="BJ73" s="2227">
        <v>-21.341999999999999</v>
      </c>
      <c r="BK73" s="2213">
        <f t="shared" si="239"/>
        <v>-0.64120475108024155</v>
      </c>
      <c r="BN73" s="2227">
        <v>-24.846</v>
      </c>
      <c r="BO73" s="2215">
        <f t="shared" si="240"/>
        <v>-0.70762636439368576</v>
      </c>
      <c r="BP73" s="161"/>
      <c r="BR73" s="2227">
        <v>-24.846</v>
      </c>
      <c r="BS73" s="2215">
        <f t="shared" si="241"/>
        <v>-0.70155049266091107</v>
      </c>
      <c r="BT73" s="161"/>
      <c r="BV73" s="2227">
        <v>-27.821000000000002</v>
      </c>
      <c r="BW73" s="2215">
        <f t="shared" si="242"/>
        <v>-0.69125614766012489</v>
      </c>
      <c r="BX73" s="161"/>
      <c r="BZ73" s="2227">
        <v>-46.292000000000002</v>
      </c>
      <c r="CA73" s="2215">
        <f t="shared" si="243"/>
        <v>-1.4339240180104722</v>
      </c>
      <c r="CB73" s="161"/>
      <c r="CD73" s="2227">
        <f>-44.575</f>
        <v>-44.575000000000003</v>
      </c>
      <c r="CE73" s="2215">
        <f t="shared" si="244"/>
        <v>-1.4902534249918593</v>
      </c>
      <c r="CF73" s="161"/>
      <c r="CH73" s="2227">
        <v>-61.295999999999999</v>
      </c>
      <c r="CI73" s="2215">
        <f t="shared" si="245"/>
        <v>-2.0009453696473667</v>
      </c>
      <c r="CJ73" s="161"/>
      <c r="CL73" s="2227">
        <f>-48.299+0.553</f>
        <v>-47.746000000000002</v>
      </c>
      <c r="CM73" s="2215">
        <f t="shared" si="246"/>
        <v>-1.3815953192548309</v>
      </c>
      <c r="CN73" s="2255"/>
      <c r="CP73" s="2227">
        <v>-63.487000000000002</v>
      </c>
      <c r="CQ73" s="2215">
        <f t="shared" si="247"/>
        <v>-1.8059546695052036</v>
      </c>
      <c r="CR73" s="2255"/>
      <c r="CT73" s="2227">
        <v>-82.254000000000005</v>
      </c>
      <c r="CU73" s="2215">
        <f t="shared" si="248"/>
        <v>-2.1333738633042008</v>
      </c>
      <c r="CV73" s="2255"/>
      <c r="CW73" s="161"/>
      <c r="CX73" s="2227">
        <v>-82.22</v>
      </c>
      <c r="CY73" s="2215">
        <f t="shared" si="249"/>
        <v>-2.153369570284652</v>
      </c>
      <c r="CZ73" s="161"/>
      <c r="DA73" s="161"/>
      <c r="DB73" s="2227">
        <v>-77.744</v>
      </c>
      <c r="DC73" s="2215">
        <f t="shared" si="250"/>
        <v>-1.9107893582324509</v>
      </c>
      <c r="DD73" s="161"/>
      <c r="DE73" s="161"/>
      <c r="DF73" s="2227">
        <v>-97.150999999999996</v>
      </c>
      <c r="DG73" s="2215">
        <f>DF73/DF13*100</f>
        <v>-2.2104695771755383</v>
      </c>
      <c r="DH73" s="161"/>
      <c r="DI73" s="161"/>
      <c r="DJ73" s="2227">
        <v>-98.346000000000004</v>
      </c>
      <c r="DK73" s="2215">
        <f t="shared" si="252"/>
        <v>-2.190586310272252</v>
      </c>
      <c r="DL73" s="161"/>
      <c r="DM73" s="161"/>
      <c r="DN73" s="2227">
        <v>-106.313</v>
      </c>
      <c r="DO73" s="2215">
        <f t="shared" si="253"/>
        <v>-2.2042462316767222</v>
      </c>
      <c r="DP73" s="161"/>
      <c r="DQ73" s="161"/>
      <c r="DR73" s="2227">
        <v>-92</v>
      </c>
      <c r="DS73" s="2215">
        <f t="shared" si="254"/>
        <v>-1.8901440061938348</v>
      </c>
      <c r="DT73" s="161"/>
    </row>
    <row r="74" spans="1:128">
      <c r="B74" s="23" t="str">
        <f>$B$14</f>
        <v>Year</v>
      </c>
      <c r="D74" s="1854">
        <f>SUM(D70:D73)</f>
        <v>-58.058999999999997</v>
      </c>
      <c r="F74" s="1854">
        <f>SUM(F70:F73)</f>
        <v>-56.609000000000002</v>
      </c>
      <c r="G74" s="2213">
        <f t="shared" si="225"/>
        <v>-1.077546455140745</v>
      </c>
      <c r="J74" s="1854">
        <f>SUM(J70:J73)</f>
        <v>-63.927000000000007</v>
      </c>
      <c r="K74" s="2213">
        <f t="shared" si="226"/>
        <v>-1.0395956038637761</v>
      </c>
      <c r="N74" s="1854">
        <f>SUM(N70:N73)</f>
        <v>-62.39800000000001</v>
      </c>
      <c r="O74" s="2213">
        <f t="shared" si="227"/>
        <v>-0.898550407413509</v>
      </c>
      <c r="R74" s="1854">
        <f>SUM(R70:R73)</f>
        <v>-63.865000000000009</v>
      </c>
      <c r="S74" s="2213">
        <f t="shared" si="228"/>
        <v>-0.88149377895755043</v>
      </c>
      <c r="V74" s="1854">
        <f>SUM(V70:V73)</f>
        <v>-65.381</v>
      </c>
      <c r="W74" s="2213">
        <f t="shared" si="229"/>
        <v>-0.89308643108559838</v>
      </c>
      <c r="Z74" s="1854">
        <f>SUM(Z70:Z73)</f>
        <v>-77.537000000000006</v>
      </c>
      <c r="AA74" s="2213">
        <f t="shared" si="230"/>
        <v>-0.98379267638629875</v>
      </c>
      <c r="AD74" s="1854">
        <f>SUM(AD70:AD73)</f>
        <v>-75.363</v>
      </c>
      <c r="AE74" s="2213">
        <f t="shared" si="231"/>
        <v>-0.87177353391192458</v>
      </c>
      <c r="AH74" s="1854">
        <f>SUM(AH70:AH73)</f>
        <v>-68.728000000000009</v>
      </c>
      <c r="AI74" s="2213">
        <f t="shared" si="232"/>
        <v>-0.82144349020257001</v>
      </c>
      <c r="AL74" s="1854">
        <f>SUM(AL70:AL73)</f>
        <v>-68.527999999999992</v>
      </c>
      <c r="AM74" s="2213">
        <f t="shared" si="233"/>
        <v>-0.77550355731475773</v>
      </c>
      <c r="AP74" s="1854">
        <f>SUM(AP70:AP73)</f>
        <v>-78.296999999999997</v>
      </c>
      <c r="AQ74" s="2213">
        <f t="shared" si="234"/>
        <v>-1.0274339307112947</v>
      </c>
      <c r="AT74" s="1854">
        <f>SUM(AT70:AT73)</f>
        <v>-58.244</v>
      </c>
      <c r="AU74" s="2213">
        <f t="shared" si="235"/>
        <v>-0.71467021228689442</v>
      </c>
      <c r="AX74" s="1854">
        <f>SUM(AX70:AX73)</f>
        <v>-33.959999999999994</v>
      </c>
      <c r="AY74" s="2213">
        <f t="shared" si="236"/>
        <v>-0.42838583435520666</v>
      </c>
      <c r="BB74" s="1854">
        <f>SUM(BB70:BB73)</f>
        <v>-29.559000000000005</v>
      </c>
      <c r="BC74" s="2213">
        <f t="shared" si="237"/>
        <v>-0.35003210315070343</v>
      </c>
      <c r="BF74" s="1854">
        <f>SUM(BF70:BF73)</f>
        <v>-61.817999999999998</v>
      </c>
      <c r="BG74" s="2213">
        <f t="shared" si="238"/>
        <v>-0.69193385202814695</v>
      </c>
      <c r="BJ74" s="1854">
        <f>SUM(BJ70:BJ73)</f>
        <v>-58.265999999999998</v>
      </c>
      <c r="BK74" s="2213">
        <f t="shared" si="239"/>
        <v>-0.61930344146750238</v>
      </c>
      <c r="BN74" s="1855">
        <f>SUM(BN70:BN73)</f>
        <v>-94.365000000000009</v>
      </c>
      <c r="BO74" s="2215">
        <f t="shared" si="240"/>
        <v>-0.97599859503365494</v>
      </c>
      <c r="BP74" s="161"/>
      <c r="BR74" s="1855">
        <f>SUM(BR70:BR73)</f>
        <v>-94.365000000000009</v>
      </c>
      <c r="BS74" s="2215">
        <f t="shared" si="241"/>
        <v>-0.97293856418538549</v>
      </c>
      <c r="BT74" s="161"/>
      <c r="BV74" s="1855">
        <f>SUM(BV70:BV73)</f>
        <v>-101.83500000000001</v>
      </c>
      <c r="BW74" s="2215">
        <f t="shared" si="242"/>
        <v>-0.95435129742950719</v>
      </c>
      <c r="BX74" s="161"/>
      <c r="BZ74" s="1855">
        <f>SUM(BZ70:BZ73)</f>
        <v>-149.49600000000001</v>
      </c>
      <c r="CA74" s="2215">
        <f t="shared" si="243"/>
        <v>-1.4821588900980016</v>
      </c>
      <c r="CB74" s="161"/>
      <c r="CD74" s="1855">
        <f>SUM(CD70:CD73)</f>
        <v>-180.78899999999999</v>
      </c>
      <c r="CE74" s="2215">
        <f t="shared" si="244"/>
        <v>-1.9992853889239264</v>
      </c>
      <c r="CF74" s="161"/>
      <c r="CH74" s="1855">
        <f>SUM(CH70:CH73)</f>
        <v>-237.143</v>
      </c>
      <c r="CI74" s="2215">
        <f t="shared" si="245"/>
        <v>-2.7470990981974137</v>
      </c>
      <c r="CJ74" s="161"/>
      <c r="CL74" s="1855">
        <f>SUM(CL70:CL73)</f>
        <v>-207.84100000000001</v>
      </c>
      <c r="CM74" s="2215">
        <f t="shared" si="246"/>
        <v>-2.1620200726536773</v>
      </c>
      <c r="CN74" s="161"/>
      <c r="CP74" s="1855">
        <f>SUM(CP70:CP73)</f>
        <v>-245.93600000000001</v>
      </c>
      <c r="CQ74" s="2215">
        <f t="shared" si="247"/>
        <v>-2.3729838620192711</v>
      </c>
      <c r="CR74" s="161"/>
      <c r="CT74" s="1855">
        <f>SUM(CT70:CT73)</f>
        <v>-316.72699999999998</v>
      </c>
      <c r="CU74" s="2215">
        <f t="shared" si="248"/>
        <v>-3.0283730637562081</v>
      </c>
      <c r="CV74" s="161"/>
      <c r="CW74" s="161"/>
      <c r="CX74" s="1855">
        <f>SUM(CX70:CX73)</f>
        <v>-314.40199999999999</v>
      </c>
      <c r="CY74" s="2215">
        <f t="shared" si="249"/>
        <v>-2.9183685346922106</v>
      </c>
      <c r="CZ74" s="161"/>
      <c r="DA74" s="161"/>
      <c r="DB74" s="1855">
        <f>SUM(DB70:DB73)</f>
        <v>-324.04200000000003</v>
      </c>
      <c r="DC74" s="2215">
        <f t="shared" si="250"/>
        <v>-2.8290579934101969</v>
      </c>
      <c r="DD74" s="161"/>
      <c r="DE74" s="161"/>
      <c r="DF74" s="1855">
        <f>SUM(DF70:DF73)</f>
        <v>-333.738</v>
      </c>
      <c r="DG74" s="2215">
        <f t="shared" si="251"/>
        <v>-2.7459591603801483</v>
      </c>
      <c r="DH74" s="161"/>
      <c r="DI74" s="161"/>
      <c r="DJ74" s="1855">
        <f>SUM(DJ70:DJ73)</f>
        <v>-393.66300000000001</v>
      </c>
      <c r="DK74" s="2215">
        <f t="shared" si="252"/>
        <v>-3.1307344866949962</v>
      </c>
      <c r="DL74" s="161"/>
      <c r="DM74" s="161"/>
      <c r="DN74" s="1855">
        <f>SUM(DN70:DN73)</f>
        <v>-405.98899999999998</v>
      </c>
      <c r="DO74" s="2215">
        <f t="shared" si="253"/>
        <v>-3.2138951057542631</v>
      </c>
      <c r="DP74" s="161"/>
      <c r="DQ74" s="161"/>
      <c r="DR74" s="1855">
        <f>SUM(DR70:DR73)</f>
        <v>-371</v>
      </c>
      <c r="DS74" s="2215">
        <f t="shared" si="254"/>
        <v>-2.8221143302860976</v>
      </c>
      <c r="DT74" s="161"/>
    </row>
    <row r="75" spans="1:128" hidden="1" outlineLevel="1">
      <c r="A75" s="23" t="str">
        <f>$A$15</f>
        <v>6 Mos</v>
      </c>
      <c r="D75" s="1899">
        <f>SUM(D70:D71)</f>
        <v>-30.995999999999999</v>
      </c>
      <c r="F75" s="1899">
        <f>SUM(F70:F71)</f>
        <v>-25.167000000000002</v>
      </c>
      <c r="G75" s="2213">
        <f t="shared" si="225"/>
        <v>-1.1126452148563137</v>
      </c>
      <c r="J75" s="1899">
        <f>SUM(J70:J71)</f>
        <v>-30.657999999999998</v>
      </c>
      <c r="K75" s="2213">
        <f t="shared" si="226"/>
        <v>-1.1527006952374113</v>
      </c>
      <c r="N75" s="1899">
        <f>SUM(N70:N71)</f>
        <v>-29.98</v>
      </c>
      <c r="O75" s="2213">
        <f t="shared" si="227"/>
        <v>-1.0320073748252163</v>
      </c>
      <c r="R75" s="1899">
        <f>SUM(R70:R71)</f>
        <v>-31.337</v>
      </c>
      <c r="S75" s="2213">
        <f t="shared" si="228"/>
        <v>-0.97695609449510168</v>
      </c>
      <c r="V75" s="1899">
        <f>SUM(V70:V71)</f>
        <v>-29.42</v>
      </c>
      <c r="W75" s="2213">
        <f t="shared" si="229"/>
        <v>-0.95923730526700191</v>
      </c>
      <c r="Z75" s="1899">
        <f>SUM(Z70:Z71)</f>
        <v>-36.688000000000002</v>
      </c>
      <c r="AA75" s="2213">
        <f t="shared" si="230"/>
        <v>-1.1094791091144036</v>
      </c>
      <c r="AD75" s="1899">
        <f>SUM(AD70:AD71)</f>
        <v>-35.281000000000006</v>
      </c>
      <c r="AE75" s="2213">
        <f t="shared" si="231"/>
        <v>-0.95780042263646126</v>
      </c>
      <c r="AH75" s="1899">
        <f>SUM(AH70:AH71)</f>
        <v>-32.819000000000003</v>
      </c>
      <c r="AI75" s="2213">
        <f t="shared" si="232"/>
        <v>-0.91462845361491296</v>
      </c>
      <c r="AL75" s="1899">
        <f>SUM(AL70:AL71)</f>
        <v>-32.155000000000001</v>
      </c>
      <c r="AM75" s="2213">
        <f t="shared" si="233"/>
        <v>-0.84475701577860562</v>
      </c>
      <c r="AP75" s="1899">
        <f>SUM(AP70:AP71)</f>
        <v>-36.948999999999998</v>
      </c>
      <c r="AQ75" s="2213">
        <f t="shared" si="234"/>
        <v>-1.1131412974547688</v>
      </c>
      <c r="AT75" s="1899">
        <f>SUM(AT70:AT71)</f>
        <v>-26.678999999999998</v>
      </c>
      <c r="AU75" s="2213">
        <f t="shared" si="235"/>
        <v>-0.75520867243039669</v>
      </c>
      <c r="AX75" s="1899">
        <f>SUM(AX70:AX71)</f>
        <v>-16.695999999999998</v>
      </c>
      <c r="AY75" s="2213">
        <f t="shared" si="236"/>
        <v>-0.48688407895477392</v>
      </c>
      <c r="BB75" s="1899">
        <f>SUM(BB70:BB71)</f>
        <v>-15.385000000000002</v>
      </c>
      <c r="BC75" s="2213">
        <f t="shared" si="237"/>
        <v>-0.41456454016749111</v>
      </c>
      <c r="BF75" s="1899">
        <f>SUM(BF70:BF71)</f>
        <v>-38.394999999999996</v>
      </c>
      <c r="BG75" s="2213">
        <f t="shared" si="238"/>
        <v>-0.99561689999722525</v>
      </c>
      <c r="BJ75" s="1899">
        <f>SUM(BJ70:BJ71)</f>
        <v>-23.69</v>
      </c>
      <c r="BK75" s="2213">
        <f t="shared" si="239"/>
        <v>-0.56552404073969309</v>
      </c>
      <c r="BN75" s="2202">
        <f>SUM(BN70:BN71)</f>
        <v>-44.957999999999998</v>
      </c>
      <c r="BO75" s="2215">
        <f t="shared" si="240"/>
        <v>-1.0539090489477672</v>
      </c>
      <c r="BP75" s="161"/>
      <c r="BR75" s="2202">
        <f>SUM(BR70:BR71)</f>
        <v>-44.957999999999998</v>
      </c>
      <c r="BS75" s="2215">
        <f t="shared" si="241"/>
        <v>-1.0539090489477672</v>
      </c>
      <c r="BT75" s="161"/>
      <c r="BV75" s="2202">
        <f>SUM(BV70:BV71)</f>
        <v>-48.359000000000002</v>
      </c>
      <c r="BW75" s="2215">
        <f t="shared" si="242"/>
        <v>-1.0673054152303396</v>
      </c>
      <c r="BX75" s="161"/>
      <c r="BZ75" s="2202">
        <f>SUM(BZ70:BZ71)</f>
        <v>-56.21</v>
      </c>
      <c r="CA75" s="2215">
        <f t="shared" si="243"/>
        <v>-1.1390255566452951</v>
      </c>
      <c r="CB75" s="161"/>
      <c r="CD75" s="2202">
        <f>SUM(CD70:CD71)</f>
        <v>-91.75</v>
      </c>
      <c r="CE75" s="2215">
        <f t="shared" si="244"/>
        <v>-2.179648144210748</v>
      </c>
      <c r="CF75" s="161"/>
      <c r="CH75" s="2202">
        <f>SUM(CH70:CH71)</f>
        <v>-119.52600000000001</v>
      </c>
      <c r="CI75" s="2215">
        <f t="shared" si="245"/>
        <v>-3.1521841466704745</v>
      </c>
      <c r="CJ75" s="161"/>
      <c r="CL75" s="2202">
        <f>SUM(CL70:CL71)</f>
        <v>-112.871</v>
      </c>
      <c r="CM75" s="2215">
        <f t="shared" si="246"/>
        <v>-2.7041149043398178</v>
      </c>
      <c r="CN75" s="161"/>
      <c r="CP75" s="2202">
        <f>SUM(CP70:CP71)</f>
        <v>-118.589</v>
      </c>
      <c r="CQ75" s="2215">
        <f t="shared" si="247"/>
        <v>-2.5365806288223358</v>
      </c>
      <c r="CR75" s="161"/>
      <c r="CT75" s="2202">
        <f>SUM(CT70:CT71)</f>
        <v>-157.31799999999998</v>
      </c>
      <c r="CU75" s="2215">
        <f t="shared" si="248"/>
        <v>-3.4553483023068452</v>
      </c>
      <c r="CV75" s="161"/>
      <c r="CW75" s="161"/>
      <c r="CX75" s="2202">
        <f>SUM(CX70:CX71)</f>
        <v>-155.34199999999998</v>
      </c>
      <c r="CY75" s="2215">
        <f t="shared" si="249"/>
        <v>-3.247177151572072</v>
      </c>
      <c r="CZ75" s="161"/>
      <c r="DA75" s="161"/>
      <c r="DB75" s="2202">
        <f>SUM(DB70:DB71)</f>
        <v>-165.95400000000001</v>
      </c>
      <c r="DC75" s="2215">
        <f t="shared" si="250"/>
        <v>-3.2754891354871107</v>
      </c>
      <c r="DD75" s="161"/>
      <c r="DE75" s="161"/>
      <c r="DF75" s="2202">
        <f>SUM(DF70:DF71)</f>
        <v>-157.72499999999999</v>
      </c>
      <c r="DG75" s="2215">
        <f t="shared" si="251"/>
        <v>-2.9888144719827423</v>
      </c>
      <c r="DH75" s="161"/>
      <c r="DI75" s="161"/>
      <c r="DJ75" s="2202">
        <f>SUM(DJ70:DJ71)</f>
        <v>-198.5</v>
      </c>
      <c r="DK75" s="2215">
        <f t="shared" si="252"/>
        <v>-3.6067570094188142</v>
      </c>
      <c r="DL75" s="161"/>
      <c r="DM75" s="161"/>
      <c r="DN75" s="2202">
        <f>SUM(DN70:DN71)</f>
        <v>-201.036</v>
      </c>
      <c r="DO75" s="2215">
        <f t="shared" si="253"/>
        <v>-3.8723747448494605</v>
      </c>
      <c r="DP75" s="161"/>
      <c r="DQ75" s="161"/>
      <c r="DR75" s="2202">
        <f>SUM(DR70:DR71)</f>
        <v>-187</v>
      </c>
      <c r="DS75" s="2215" t="e">
        <f t="shared" si="254"/>
        <v>#DIV/0!</v>
      </c>
      <c r="DT75" s="161"/>
    </row>
    <row r="76" spans="1:128" hidden="1" outlineLevel="1">
      <c r="A76" s="23" t="str">
        <f>$A$16</f>
        <v>9 Mos</v>
      </c>
      <c r="D76" s="1899">
        <f>SUM(D70:D72)</f>
        <v>-44.512999999999998</v>
      </c>
      <c r="F76" s="1899">
        <f>SUM(F70:F72)</f>
        <v>-41.502000000000002</v>
      </c>
      <c r="G76" s="2213">
        <f t="shared" si="225"/>
        <v>-1.1824605390620548</v>
      </c>
      <c r="J76" s="1899">
        <f>SUM(J70:J72)</f>
        <v>-48.322000000000003</v>
      </c>
      <c r="K76" s="2213">
        <f t="shared" si="226"/>
        <v>-1.1805782395111359</v>
      </c>
      <c r="N76" s="1899">
        <f>SUM(N70:N72)</f>
        <v>-47.322000000000003</v>
      </c>
      <c r="O76" s="2213">
        <f t="shared" si="227"/>
        <v>-1.0477958027056433</v>
      </c>
      <c r="R76" s="1899">
        <f>SUM(R70:R72)</f>
        <v>-47.715000000000003</v>
      </c>
      <c r="S76" s="2213">
        <f t="shared" si="228"/>
        <v>-0.98905889227476929</v>
      </c>
      <c r="V76" s="1899">
        <f>SUM(V70:V72)</f>
        <v>-45.844999999999999</v>
      </c>
      <c r="W76" s="2213">
        <f t="shared" si="229"/>
        <v>-0.95865999636986865</v>
      </c>
      <c r="Z76" s="1899">
        <f>SUM(Z70:Z72)</f>
        <v>-59.261000000000003</v>
      </c>
      <c r="AA76" s="2213">
        <f t="shared" si="230"/>
        <v>-1.1596901178691807</v>
      </c>
      <c r="AD76" s="1899">
        <f>SUM(AD70:AD72)</f>
        <v>-55.902000000000001</v>
      </c>
      <c r="AE76" s="2213">
        <f t="shared" si="231"/>
        <v>-0.98444491796292355</v>
      </c>
      <c r="AH76" s="1899">
        <f>SUM(AH70:AH72)</f>
        <v>-50.744</v>
      </c>
      <c r="AI76" s="2213">
        <f t="shared" si="232"/>
        <v>-0.93566854646111364</v>
      </c>
      <c r="AL76" s="1899">
        <f>SUM(AL70:AL72)</f>
        <v>-49.228999999999999</v>
      </c>
      <c r="AM76" s="2213">
        <f t="shared" si="233"/>
        <v>-0.86230362181884423</v>
      </c>
      <c r="AP76" s="1899">
        <f>SUM(AP70:AP72)</f>
        <v>-57.360999999999997</v>
      </c>
      <c r="AQ76" s="2213">
        <f t="shared" si="234"/>
        <v>-1.1702190164619364</v>
      </c>
      <c r="AT76" s="1899">
        <f>SUM(AT70:AT72)</f>
        <v>-41.504999999999995</v>
      </c>
      <c r="AU76" s="2213">
        <f t="shared" si="235"/>
        <v>-0.79077898922802969</v>
      </c>
      <c r="AX76" s="1899">
        <f>SUM(AX70:AX72)</f>
        <v>-25.369999999999997</v>
      </c>
      <c r="AY76" s="2213">
        <f t="shared" si="236"/>
        <v>-0.49857639440242363</v>
      </c>
      <c r="BB76" s="1899">
        <f>SUM(BB70:BB72)</f>
        <v>-21.828000000000003</v>
      </c>
      <c r="BC76" s="2213">
        <f t="shared" si="237"/>
        <v>-0.39841655520445773</v>
      </c>
      <c r="BF76" s="1899">
        <f>SUM(BF70:BF72)</f>
        <v>-50.084999999999994</v>
      </c>
      <c r="BG76" s="2213">
        <f t="shared" si="238"/>
        <v>-0.87819534844901237</v>
      </c>
      <c r="BJ76" s="1899">
        <f>SUM(BJ70:BJ72)</f>
        <v>-36.923999999999999</v>
      </c>
      <c r="BK76" s="2213">
        <f t="shared" si="239"/>
        <v>-0.60731361916087301</v>
      </c>
      <c r="BN76" s="2202">
        <f>SUM(BN70:BN72)</f>
        <v>-69.519000000000005</v>
      </c>
      <c r="BO76" s="2215">
        <f t="shared" si="240"/>
        <v>-1.1290346679693843</v>
      </c>
      <c r="BP76" s="161"/>
      <c r="BR76" s="2202">
        <f>SUM(BR70:BR72)</f>
        <v>-69.519000000000005</v>
      </c>
      <c r="BS76" s="2215">
        <f t="shared" si="241"/>
        <v>-1.1290346679693843</v>
      </c>
      <c r="BT76" s="161"/>
      <c r="BV76" s="2202">
        <f>SUM(BV70:BV72)</f>
        <v>-74.01400000000001</v>
      </c>
      <c r="BW76" s="2215">
        <f t="shared" si="242"/>
        <v>-1.1136796131507909</v>
      </c>
      <c r="BX76" s="161"/>
      <c r="BZ76" s="2202">
        <f>SUM(BZ70:BZ72)</f>
        <v>-103.20400000000001</v>
      </c>
      <c r="CA76" s="2215">
        <f t="shared" si="243"/>
        <v>-1.5048649581862064</v>
      </c>
      <c r="CB76" s="161"/>
      <c r="CD76" s="2202">
        <f>SUM(CD70:CD72)</f>
        <v>-136.214</v>
      </c>
      <c r="CE76" s="2215">
        <f t="shared" si="244"/>
        <v>-2.2508836123596834</v>
      </c>
      <c r="CF76" s="161"/>
      <c r="CH76" s="2202">
        <f>SUM(CH70:CH72)</f>
        <v>-175.84700000000001</v>
      </c>
      <c r="CI76" s="2215">
        <f t="shared" si="245"/>
        <v>-3.1575274872080694</v>
      </c>
      <c r="CJ76" s="161"/>
      <c r="CL76" s="2202">
        <f>SUM(CL70:CL72)</f>
        <v>-160.095</v>
      </c>
      <c r="CM76" s="2215">
        <f t="shared" si="246"/>
        <v>-2.6000346249028405</v>
      </c>
      <c r="CN76" s="161"/>
      <c r="CP76" s="2202">
        <f>SUM(CP70:CP72)</f>
        <v>-182.44900000000001</v>
      </c>
      <c r="CQ76" s="2215">
        <f t="shared" si="247"/>
        <v>-2.6640444168506954</v>
      </c>
      <c r="CR76" s="161"/>
      <c r="CT76" s="2202">
        <f>SUM(CT70:CT72)</f>
        <v>-234.47299999999998</v>
      </c>
      <c r="CU76" s="2215">
        <f t="shared" si="248"/>
        <v>-3.5509678599645946</v>
      </c>
      <c r="CV76" s="161"/>
      <c r="CW76" s="161"/>
      <c r="CX76" s="2202">
        <f>SUM(CX70:CX72)</f>
        <v>-232.18199999999999</v>
      </c>
      <c r="CY76" s="2215">
        <f t="shared" si="249"/>
        <v>-3.3383484332701272</v>
      </c>
      <c r="CZ76" s="161"/>
      <c r="DA76" s="161"/>
      <c r="DB76" s="2202">
        <f>SUM(DB70:DB72)</f>
        <v>-246.298</v>
      </c>
      <c r="DC76" s="2215">
        <f t="shared" si="250"/>
        <v>-3.3349346927014842</v>
      </c>
      <c r="DD76" s="161"/>
      <c r="DE76" s="161"/>
      <c r="DF76" s="2202">
        <f>SUM(DF70:DF72)</f>
        <v>-236.58699999999999</v>
      </c>
      <c r="DG76" s="2215">
        <f t="shared" si="251"/>
        <v>-3.0492923409966375</v>
      </c>
      <c r="DH76" s="161"/>
      <c r="DI76" s="161"/>
      <c r="DJ76" s="2202">
        <f>SUM(DJ70:DJ72)</f>
        <v>-295.31700000000001</v>
      </c>
      <c r="DK76" s="2215">
        <f t="shared" si="252"/>
        <v>-3.6528617961842715</v>
      </c>
      <c r="DL76" s="161"/>
      <c r="DM76" s="161"/>
      <c r="DN76" s="2202">
        <f>SUM(DN70:DN72)</f>
        <v>-299.67599999999999</v>
      </c>
      <c r="DO76" s="2215">
        <f t="shared" si="253"/>
        <v>-3.8374113415919195</v>
      </c>
      <c r="DP76" s="161"/>
      <c r="DQ76" s="161"/>
      <c r="DR76" s="2202">
        <f>SUM(DR70:DR72)</f>
        <v>-279</v>
      </c>
      <c r="DS76" s="2215" t="e">
        <f t="shared" si="254"/>
        <v>#DIV/0!</v>
      </c>
      <c r="DT76" s="161"/>
    </row>
    <row r="77" spans="1:128" collapsed="1">
      <c r="BN77" s="161"/>
      <c r="BO77" s="161"/>
      <c r="BP77" s="161"/>
      <c r="BR77" s="161"/>
      <c r="BS77" s="161"/>
      <c r="BT77" s="161"/>
      <c r="BV77" s="161"/>
      <c r="BW77" s="161"/>
      <c r="BX77" s="161"/>
      <c r="BZ77" s="161"/>
      <c r="CA77" s="161"/>
      <c r="CB77" s="161"/>
      <c r="CD77" s="161"/>
      <c r="CE77" s="161"/>
      <c r="CF77" s="161"/>
      <c r="CH77" s="2231"/>
      <c r="CI77" s="1855"/>
      <c r="CJ77" s="161"/>
      <c r="CL77" s="2231"/>
      <c r="CM77" s="1855"/>
      <c r="CN77" s="161"/>
      <c r="CP77" s="2231"/>
      <c r="CQ77" s="1855"/>
      <c r="CR77" s="161"/>
      <c r="CT77" s="2231"/>
      <c r="CU77" s="1855"/>
      <c r="CV77" s="161"/>
      <c r="CW77" s="161"/>
      <c r="CX77" s="161"/>
      <c r="CY77" s="161"/>
      <c r="CZ77" s="161"/>
      <c r="DA77" s="161"/>
      <c r="DB77" s="161"/>
      <c r="DC77" s="161"/>
      <c r="DD77" s="161"/>
      <c r="DE77" s="161"/>
      <c r="DF77" s="161"/>
      <c r="DG77" s="161"/>
      <c r="DH77" s="161"/>
      <c r="DI77" s="161"/>
      <c r="DJ77" s="161"/>
      <c r="DK77" s="161"/>
      <c r="DL77" s="161"/>
      <c r="DM77" s="161"/>
      <c r="DN77" s="161"/>
      <c r="DO77" s="161"/>
      <c r="DP77" s="161"/>
      <c r="DQ77" s="161"/>
      <c r="DR77" s="161"/>
      <c r="DS77" s="161"/>
      <c r="DT77" s="161"/>
    </row>
    <row r="78" spans="1:128">
      <c r="E78" s="1936">
        <f>AH78</f>
        <v>0</v>
      </c>
      <c r="Z78" s="2176"/>
      <c r="AA78" s="2177"/>
      <c r="AB78" s="2177"/>
      <c r="AC78" s="2177"/>
      <c r="AD78" s="2244"/>
      <c r="AE78" s="2177"/>
      <c r="AF78" s="2177"/>
      <c r="AG78" s="2177"/>
      <c r="AH78" s="2176"/>
      <c r="AI78" s="2177"/>
      <c r="AJ78" s="2177"/>
      <c r="AK78" s="2177"/>
      <c r="AM78" s="2177"/>
      <c r="AN78" s="2177"/>
      <c r="AO78" s="2177"/>
      <c r="AQ78" s="2177"/>
      <c r="AR78" s="2177"/>
      <c r="AS78" s="2177"/>
      <c r="AU78" s="2177"/>
      <c r="AV78" s="2177"/>
      <c r="AW78" s="2177"/>
      <c r="AY78" s="2177"/>
      <c r="AZ78" s="2177"/>
      <c r="BA78" s="2177"/>
      <c r="BB78" s="2176"/>
      <c r="BC78" s="2177"/>
      <c r="BD78" s="2177"/>
      <c r="BE78" s="2177"/>
      <c r="BF78" s="2244"/>
      <c r="BG78" s="2177"/>
      <c r="BH78" s="2177"/>
      <c r="BI78" s="2177"/>
      <c r="BJ78" s="2176" t="s">
        <v>1275</v>
      </c>
      <c r="BK78" s="2177"/>
      <c r="BL78" s="2177"/>
      <c r="BM78" s="2177"/>
      <c r="BN78" s="2245"/>
      <c r="BO78" s="2179"/>
      <c r="BP78" s="2179"/>
      <c r="BQ78" s="2177"/>
      <c r="BR78" s="2245"/>
      <c r="BS78" s="2179"/>
      <c r="BT78" s="2179"/>
      <c r="BU78" s="2177"/>
      <c r="BV78" s="2176" t="s">
        <v>1275</v>
      </c>
      <c r="BW78" s="2179"/>
      <c r="BX78" s="2179"/>
      <c r="BY78" s="2177"/>
      <c r="CA78" s="2179"/>
      <c r="CB78" s="2179"/>
      <c r="CC78" s="2177"/>
      <c r="CD78" s="2245"/>
      <c r="CE78" s="2179"/>
      <c r="CF78" s="2179"/>
      <c r="CG78" s="2177"/>
      <c r="CH78" s="2245"/>
      <c r="CI78" s="2179"/>
      <c r="CJ78" s="2179"/>
      <c r="CL78" s="2245"/>
      <c r="CM78" s="2179"/>
      <c r="CN78" s="2179"/>
      <c r="CO78" s="2177"/>
      <c r="CP78" s="2245"/>
      <c r="CQ78" s="2179"/>
      <c r="CR78" s="2179"/>
      <c r="CS78" s="2177"/>
      <c r="CT78" s="2245"/>
      <c r="CU78" s="2179"/>
      <c r="CW78" s="2179"/>
      <c r="CX78" s="2210" t="s">
        <v>1275</v>
      </c>
      <c r="CY78" s="2179"/>
      <c r="CZ78" s="2179"/>
      <c r="DA78" s="2179"/>
      <c r="DB78" s="2179"/>
      <c r="DC78" s="2179"/>
      <c r="DD78" s="2179"/>
      <c r="DE78" s="2179"/>
      <c r="DF78" s="2179"/>
      <c r="DG78" s="2179"/>
      <c r="DH78" s="2179"/>
      <c r="DI78" s="2179"/>
      <c r="DJ78" s="2179"/>
      <c r="DK78" s="2179"/>
      <c r="DL78" s="2179"/>
      <c r="DM78" s="2179"/>
      <c r="DN78" s="2179"/>
      <c r="DO78" s="2179"/>
      <c r="DP78" s="2179"/>
      <c r="DQ78" s="2179"/>
      <c r="DR78" s="2179"/>
      <c r="DS78" s="2179"/>
      <c r="DT78" s="2179"/>
      <c r="DU78" s="2177"/>
    </row>
    <row r="79" spans="1:128">
      <c r="BF79" s="2212"/>
      <c r="BJ79" s="2212"/>
      <c r="BN79" s="1921"/>
      <c r="BO79" s="161"/>
      <c r="BP79" s="161"/>
      <c r="BR79" s="1921"/>
      <c r="BS79" s="161"/>
      <c r="BT79" s="161"/>
      <c r="BV79" s="1921"/>
      <c r="BW79" s="161"/>
      <c r="BX79" s="161"/>
      <c r="BZ79" s="1921"/>
      <c r="CA79" s="161"/>
      <c r="CB79" s="161"/>
      <c r="CD79" s="1921"/>
      <c r="CE79" s="161"/>
      <c r="CF79" s="161"/>
      <c r="CH79" s="1921"/>
      <c r="CI79" s="161"/>
      <c r="CJ79" s="161"/>
      <c r="CL79" s="1921"/>
      <c r="CM79" s="161"/>
      <c r="CN79" s="161"/>
      <c r="CP79" s="1921"/>
      <c r="CQ79" s="161"/>
      <c r="CR79" s="161"/>
      <c r="CT79" s="1921"/>
      <c r="CU79" s="161"/>
      <c r="CV79" s="161"/>
      <c r="CW79" s="161"/>
      <c r="CX79" s="161"/>
      <c r="CY79" s="161"/>
      <c r="CZ79" s="161"/>
      <c r="DA79" s="161"/>
      <c r="DB79" s="161"/>
      <c r="DC79" s="161"/>
      <c r="DD79" s="161"/>
      <c r="DE79" s="161"/>
      <c r="DF79" s="161"/>
      <c r="DG79" s="161"/>
      <c r="DH79" s="161"/>
      <c r="DI79" s="161"/>
      <c r="DJ79" s="161"/>
      <c r="DK79" s="161"/>
      <c r="DL79" s="161"/>
      <c r="DM79" s="161"/>
      <c r="DN79" s="161"/>
      <c r="DO79" s="161"/>
      <c r="DP79" s="161"/>
      <c r="DQ79" s="161"/>
      <c r="DR79" s="161"/>
      <c r="DS79" s="161"/>
      <c r="DT79" s="161"/>
    </row>
    <row r="80" spans="1:128">
      <c r="A80" s="23" t="str">
        <f>$A$10</f>
        <v>1Q</v>
      </c>
      <c r="B80" s="23" t="str">
        <f>$B$10</f>
        <v>Apr</v>
      </c>
      <c r="D80" s="2183">
        <v>0.39500000000000002</v>
      </c>
      <c r="E80" s="2213"/>
      <c r="F80" s="2183">
        <v>2.48</v>
      </c>
      <c r="G80" s="2213">
        <f t="shared" ref="G80:G86" si="255">F80/F10*100</f>
        <v>0.22395910940131575</v>
      </c>
      <c r="J80" s="2183">
        <v>3.677</v>
      </c>
      <c r="K80" s="2213">
        <f t="shared" ref="K80:K86" si="256">J80/J10*100</f>
        <v>0.28626325631655408</v>
      </c>
      <c r="N80" s="2183">
        <v>3.109</v>
      </c>
      <c r="O80" s="2213">
        <f t="shared" ref="O80:O86" si="257">N80/N10*100</f>
        <v>0.21962030905077262</v>
      </c>
      <c r="R80" s="2183">
        <v>1.724</v>
      </c>
      <c r="S80" s="2213">
        <f t="shared" ref="S80:S86" si="258">R80/R10*100</f>
        <v>0.11352853128718571</v>
      </c>
      <c r="V80" s="2183">
        <v>2.7759999999999998</v>
      </c>
      <c r="W80" s="2213">
        <f t="shared" ref="W80:W86" si="259">V80/V10*100</f>
        <v>0.18736146995062189</v>
      </c>
      <c r="Z80" s="2183">
        <v>2.6789999999999998</v>
      </c>
      <c r="AA80" s="2213">
        <f t="shared" ref="AA80:AA86" si="260">Z80/Z10*100</f>
        <v>0.16868853635776326</v>
      </c>
      <c r="AD80" s="2183">
        <v>17.141999999999999</v>
      </c>
      <c r="AE80" s="2213">
        <f t="shared" ref="AE80:AE86" si="261">AD80/AD10*100</f>
        <v>0.95875539656465558</v>
      </c>
      <c r="AH80" s="2183">
        <v>8.8369999999999997</v>
      </c>
      <c r="AI80" s="2213">
        <f t="shared" ref="AI80:AI86" si="262">AH80/AH10*100</f>
        <v>0.52066455580602555</v>
      </c>
      <c r="AL80" s="2183">
        <v>16.152999999999999</v>
      </c>
      <c r="AM80" s="2213">
        <f t="shared" ref="AM80:AM86" si="263">AL80/AL10*100</f>
        <v>0.89448479492137745</v>
      </c>
      <c r="AP80" s="2183">
        <v>17.206</v>
      </c>
      <c r="AQ80" s="2213">
        <f t="shared" ref="AQ80:AQ86" si="264">AP80/AP10*100</f>
        <v>1.0968045034897456</v>
      </c>
      <c r="AT80" s="2183">
        <v>11.645</v>
      </c>
      <c r="AU80" s="2213">
        <f t="shared" ref="AU80:AU86" si="265">AT80/AT10*100</f>
        <v>0.6889594907201978</v>
      </c>
      <c r="AX80" s="2183">
        <v>7.7809999999999997</v>
      </c>
      <c r="AY80" s="2213">
        <f t="shared" ref="AY80:AY86" si="266">AX80/AX10*100</f>
        <v>0.46821088203685274</v>
      </c>
      <c r="BB80" s="2183">
        <v>8.9610000000000003</v>
      </c>
      <c r="BC80" s="2213">
        <f t="shared" ref="BC80:BC86" si="267">BB80/BB10*100</f>
        <v>0.49819120067915457</v>
      </c>
      <c r="BF80" s="2183">
        <f>-8.471+9.234</f>
        <v>0.7629999999999999</v>
      </c>
      <c r="BG80" s="2213">
        <f t="shared" ref="BG80:BG86" si="268">BF80/BF10*100</f>
        <v>4.1415689218405057E-2</v>
      </c>
      <c r="BJ80" s="2183">
        <f>-3.923+7.974</f>
        <v>4.0510000000000002</v>
      </c>
      <c r="BK80" s="2213">
        <f t="shared" ref="BK80:BK86" si="269">BJ80/BJ10*100</f>
        <v>0.20478181460648884</v>
      </c>
      <c r="BN80" s="2186">
        <f>5.328+2.628</f>
        <v>7.9560000000000004</v>
      </c>
      <c r="BO80" s="2215">
        <f t="shared" ref="BO80:BO86" si="270">BN80/BN10*100</f>
        <v>0.40284931329281209</v>
      </c>
      <c r="BP80" s="161"/>
      <c r="BR80" s="2186">
        <f>5.328+2.628</f>
        <v>7.9560000000000004</v>
      </c>
      <c r="BS80" s="2215">
        <f t="shared" ref="BS80:BS86" si="271">BR80/BR10*100</f>
        <v>0.40284931329281209</v>
      </c>
      <c r="BT80" s="161"/>
      <c r="BV80" s="2186">
        <f>-1.658+0.166+9.248</f>
        <v>7.7559999999999993</v>
      </c>
      <c r="BW80" s="2215">
        <f t="shared" ref="BW80:BW86" si="272">BV80/BV10*100</f>
        <v>0.37340684640201127</v>
      </c>
      <c r="BX80" s="161"/>
      <c r="BZ80" s="2186">
        <f>2.748+5.853+0.165</f>
        <v>8.7659999999999982</v>
      </c>
      <c r="CA80" s="2215">
        <f t="shared" ref="CA80:CA86" si="273">BZ80/BZ10*100</f>
        <v>0.3793420842523702</v>
      </c>
      <c r="CB80" s="161"/>
      <c r="CD80" s="2186">
        <f>5.553+4.583+0.999</f>
        <v>11.135</v>
      </c>
      <c r="CE80" s="2215">
        <f t="shared" ref="CE80:CE86" si="274">CD80/CD10*100</f>
        <v>0.57841721984685324</v>
      </c>
      <c r="CF80" s="161"/>
      <c r="CH80" s="2186">
        <f>0.696-0.977</f>
        <v>-0.28100000000000003</v>
      </c>
      <c r="CI80" s="2215">
        <f t="shared" ref="CI80:CI86" si="275">CH80/CH10*100</f>
        <v>-1.6287617295478826E-2</v>
      </c>
      <c r="CJ80" s="161"/>
      <c r="CL80" s="2186">
        <f>13.634+0.642</f>
        <v>14.276</v>
      </c>
      <c r="CM80" s="2215">
        <f t="shared" ref="CM80:CM86" si="276">CL80/CL10*100</f>
        <v>0.73910090208000268</v>
      </c>
      <c r="CN80" s="161"/>
      <c r="CP80" s="2186">
        <f>0.443+86.044-86.425</f>
        <v>6.1999999999997613E-2</v>
      </c>
      <c r="CQ80" s="2215">
        <f t="shared" ref="CQ80:CQ86" si="277">CP80/CP10*100</f>
        <v>2.7965505000637171E-3</v>
      </c>
      <c r="CR80" s="161"/>
      <c r="CT80" s="2186">
        <v>-2.3090000000000002</v>
      </c>
      <c r="CU80" s="2215">
        <f t="shared" ref="CU80:CU86" si="278">CT80/CT10*100</f>
        <v>-0.10720666510662166</v>
      </c>
      <c r="CV80" s="161"/>
      <c r="CW80" s="161"/>
      <c r="CX80" s="2186">
        <v>2.99</v>
      </c>
      <c r="CY80" s="2215">
        <f t="shared" ref="CY80:CY86" si="279">CX80/CX10*100</f>
        <v>0.13183677284744502</v>
      </c>
      <c r="CZ80" s="161"/>
      <c r="DA80" s="161"/>
      <c r="DB80" s="2186">
        <v>3.6539999999999999</v>
      </c>
      <c r="DC80" s="2215">
        <f t="shared" ref="DC80:DC86" si="280">DB80/DB10*100</f>
        <v>0.15280838731531471</v>
      </c>
      <c r="DD80" s="161"/>
      <c r="DE80" s="161"/>
      <c r="DF80" s="2186">
        <f>77.694-78.057</f>
        <v>-0.36299999999999955</v>
      </c>
      <c r="DG80" s="2215">
        <f t="shared" ref="DG80:DG86" si="281">DF80/DF10*100</f>
        <v>-1.4450987862364475E-2</v>
      </c>
      <c r="DH80" s="161"/>
      <c r="DI80" s="161"/>
      <c r="DJ80" s="2186">
        <v>6.9180000000000001</v>
      </c>
      <c r="DK80" s="2215">
        <f t="shared" ref="DK80:DK86" si="282">DJ80/DJ10*100</f>
        <v>0.26467060599162523</v>
      </c>
      <c r="DL80" s="161"/>
      <c r="DM80" s="161"/>
      <c r="DN80" s="2186">
        <v>9.8629999999999995</v>
      </c>
      <c r="DO80" s="2215">
        <f t="shared" ref="DO80:DO86" si="283">DN80/DN10*100</f>
        <v>0.4047981488375032</v>
      </c>
      <c r="DP80" s="161"/>
      <c r="DQ80" s="161"/>
      <c r="DR80" s="2785">
        <v>0</v>
      </c>
      <c r="DS80" s="2215">
        <f t="shared" ref="DS80:DS86" si="284">DR80/DR10*100</f>
        <v>0</v>
      </c>
      <c r="DT80" s="161"/>
    </row>
    <row r="81" spans="1:125">
      <c r="A81" s="23" t="str">
        <f>$A$11</f>
        <v>2Q</v>
      </c>
      <c r="B81" s="23" t="str">
        <f>$B$11</f>
        <v>Jul</v>
      </c>
      <c r="D81" s="2218">
        <v>3.0870000000000002</v>
      </c>
      <c r="E81" s="2213"/>
      <c r="F81" s="2218">
        <v>2.5590000000000002</v>
      </c>
      <c r="G81" s="2213">
        <f t="shared" si="255"/>
        <v>0.22164249299734448</v>
      </c>
      <c r="J81" s="2218">
        <v>4.9119999999999999</v>
      </c>
      <c r="K81" s="2213">
        <f t="shared" si="256"/>
        <v>0.35718830557343195</v>
      </c>
      <c r="N81" s="2218">
        <v>4.1470000000000002</v>
      </c>
      <c r="O81" s="2213">
        <f t="shared" si="257"/>
        <v>0.27843557744665109</v>
      </c>
      <c r="R81" s="2218">
        <v>1.2869999999999999</v>
      </c>
      <c r="S81" s="2213">
        <f t="shared" si="258"/>
        <v>7.6196453046229976E-2</v>
      </c>
      <c r="V81" s="2218">
        <v>1.3160000000000001</v>
      </c>
      <c r="W81" s="2213">
        <f t="shared" si="259"/>
        <v>8.3007861778033445E-2</v>
      </c>
      <c r="Z81" s="2218">
        <v>4.2089999999999996</v>
      </c>
      <c r="AA81" s="2213">
        <f t="shared" si="260"/>
        <v>0.24490251902227511</v>
      </c>
      <c r="AD81" s="2218">
        <v>6.5119999999999996</v>
      </c>
      <c r="AE81" s="2213">
        <f t="shared" si="261"/>
        <v>0.34353220957363911</v>
      </c>
      <c r="AH81" s="2218">
        <v>6.8179999999999996</v>
      </c>
      <c r="AI81" s="2213">
        <f t="shared" si="262"/>
        <v>0.36055397759573216</v>
      </c>
      <c r="AL81" s="2218">
        <v>15.595000000000001</v>
      </c>
      <c r="AM81" s="2213">
        <f t="shared" si="263"/>
        <v>0.7795254966569628</v>
      </c>
      <c r="AP81" s="2218">
        <v>14.384</v>
      </c>
      <c r="AQ81" s="2213">
        <f t="shared" si="264"/>
        <v>0.82165832860163857</v>
      </c>
      <c r="AT81" s="2218">
        <v>12.94</v>
      </c>
      <c r="AU81" s="2213">
        <f t="shared" si="265"/>
        <v>0.70233104433478288</v>
      </c>
      <c r="AX81" s="2218">
        <f>9.02</f>
        <v>9.02</v>
      </c>
      <c r="AY81" s="2213">
        <f t="shared" si="266"/>
        <v>0.51038451418693531</v>
      </c>
      <c r="BB81" s="2218">
        <v>6.1180000000000003</v>
      </c>
      <c r="BC81" s="2213">
        <f t="shared" si="267"/>
        <v>0.31990947576259565</v>
      </c>
      <c r="BF81" s="2218">
        <f>8.107+0.91</f>
        <v>9.0169999999999995</v>
      </c>
      <c r="BG81" s="2213">
        <f t="shared" si="268"/>
        <v>0.44769242532418851</v>
      </c>
      <c r="BJ81" s="2218">
        <f>0.98+8.459</f>
        <v>9.4390000000000001</v>
      </c>
      <c r="BK81" s="2213">
        <f t="shared" si="269"/>
        <v>0.42694334078754065</v>
      </c>
      <c r="BN81" s="2225">
        <f>4.27-1.218</f>
        <v>3.0519999999999996</v>
      </c>
      <c r="BO81" s="2215">
        <f t="shared" si="270"/>
        <v>0.13322269273093862</v>
      </c>
      <c r="BP81" s="161"/>
      <c r="BR81" s="2225">
        <f>4.27-1.218</f>
        <v>3.0519999999999996</v>
      </c>
      <c r="BS81" s="2215">
        <f t="shared" si="271"/>
        <v>0.13322269273093862</v>
      </c>
      <c r="BT81" s="161"/>
      <c r="BV81" s="2225">
        <f>8.545-0.142-0.763</f>
        <v>7.6400000000000006</v>
      </c>
      <c r="BW81" s="2215">
        <f t="shared" si="272"/>
        <v>0.31134722061477227</v>
      </c>
      <c r="BX81" s="161"/>
      <c r="BZ81" s="2225">
        <f>(15.744-5.665)+3.388-0.535+(116.165-100-17)</f>
        <v>12.097000000000007</v>
      </c>
      <c r="CA81" s="2215">
        <f t="shared" si="273"/>
        <v>0.46100019168644846</v>
      </c>
      <c r="CB81" s="161"/>
      <c r="CD81" s="2225">
        <f>5.625+(17.73-13.292)+2.734</f>
        <v>12.797000000000001</v>
      </c>
      <c r="CE81" s="2215">
        <f t="shared" si="274"/>
        <v>0.56021194984577427</v>
      </c>
      <c r="CF81" s="161"/>
      <c r="CH81" s="2225">
        <f>0.743-1.811</f>
        <v>-1.0680000000000001</v>
      </c>
      <c r="CI81" s="2215">
        <f t="shared" si="275"/>
        <v>-5.167883635519039E-2</v>
      </c>
      <c r="CJ81" s="161"/>
      <c r="CL81" s="2225">
        <f>58.786-46.689+0.605</f>
        <v>12.702000000000002</v>
      </c>
      <c r="CM81" s="2215">
        <f t="shared" si="276"/>
        <v>0.56641887884557929</v>
      </c>
      <c r="CN81" s="161"/>
      <c r="CP81" s="2225">
        <f>146.41-147.053</f>
        <v>-0.64300000000000068</v>
      </c>
      <c r="CQ81" s="2215">
        <f t="shared" si="277"/>
        <v>-2.6158042581062496E-2</v>
      </c>
      <c r="CR81" s="161"/>
      <c r="CT81" s="2225">
        <v>3.7469999999999999</v>
      </c>
      <c r="CU81" s="2215">
        <f t="shared" si="278"/>
        <v>0.15618356883831436</v>
      </c>
      <c r="CV81" s="161"/>
      <c r="CW81" s="161"/>
      <c r="CX81" s="2225">
        <v>1.016</v>
      </c>
      <c r="CY81" s="2215">
        <f t="shared" si="279"/>
        <v>4.0382312388188492E-2</v>
      </c>
      <c r="CZ81" s="161"/>
      <c r="DA81" s="161"/>
      <c r="DB81" s="2225">
        <v>1.962</v>
      </c>
      <c r="DC81" s="2215">
        <f t="shared" si="280"/>
        <v>7.3337268078365464E-2</v>
      </c>
      <c r="DD81" s="161"/>
      <c r="DE81" s="161"/>
      <c r="DF81" s="2409">
        <v>-1.921</v>
      </c>
      <c r="DG81" s="2215">
        <f t="shared" si="281"/>
        <v>-6.9469633163450367E-2</v>
      </c>
      <c r="DH81" s="161"/>
      <c r="DI81" s="161"/>
      <c r="DJ81" s="2409">
        <f>73.014-72.483</f>
        <v>0.5309999999999917</v>
      </c>
      <c r="DK81" s="2215">
        <f t="shared" si="282"/>
        <v>1.837533013304956E-2</v>
      </c>
      <c r="DL81" s="161"/>
      <c r="DM81" s="161"/>
      <c r="DN81" s="2698">
        <v>16.617000000000001</v>
      </c>
      <c r="DO81" s="2215">
        <f t="shared" si="283"/>
        <v>0.60315351612692469</v>
      </c>
      <c r="DP81" s="161"/>
      <c r="DQ81" s="161"/>
      <c r="DR81" s="2786">
        <v>0</v>
      </c>
      <c r="DS81" s="2215">
        <f t="shared" si="284"/>
        <v>0</v>
      </c>
      <c r="DT81" s="161"/>
    </row>
    <row r="82" spans="1:125">
      <c r="A82" s="23" t="str">
        <f>$A$12</f>
        <v>3Q</v>
      </c>
      <c r="B82" s="23" t="str">
        <f>$B$12</f>
        <v>Oct</v>
      </c>
      <c r="D82" s="2218">
        <v>2.8479999999999999</v>
      </c>
      <c r="E82" s="2213"/>
      <c r="F82" s="2218">
        <v>4.1769999999999996</v>
      </c>
      <c r="G82" s="2213">
        <f t="shared" si="255"/>
        <v>0.33472421113028117</v>
      </c>
      <c r="J82" s="2218">
        <v>1.855</v>
      </c>
      <c r="K82" s="2213">
        <f t="shared" si="256"/>
        <v>0.12941150206639823</v>
      </c>
      <c r="N82" s="2218">
        <v>2.1070000000000002</v>
      </c>
      <c r="O82" s="2213">
        <f t="shared" si="257"/>
        <v>0.13076235632897254</v>
      </c>
      <c r="R82" s="2218">
        <v>1.087</v>
      </c>
      <c r="S82" s="2213">
        <f t="shared" si="258"/>
        <v>6.7237099538742365E-2</v>
      </c>
      <c r="V82" s="2218">
        <v>1.373</v>
      </c>
      <c r="W82" s="2213">
        <f t="shared" si="259"/>
        <v>8.0050093984524034E-2</v>
      </c>
      <c r="Z82" s="2218">
        <v>3.0249999999999999</v>
      </c>
      <c r="AA82" s="2213">
        <f t="shared" si="260"/>
        <v>0.16774848263872522</v>
      </c>
      <c r="AD82" s="2218">
        <v>6.7910000000000004</v>
      </c>
      <c r="AE82" s="2213">
        <f t="shared" si="261"/>
        <v>0.3404033913019941</v>
      </c>
      <c r="AH82" s="2218">
        <v>6.2210000000000001</v>
      </c>
      <c r="AI82" s="2213">
        <f t="shared" si="262"/>
        <v>0.33900891253940618</v>
      </c>
      <c r="AL82" s="2218">
        <v>12.561</v>
      </c>
      <c r="AM82" s="2213">
        <f t="shared" si="263"/>
        <v>0.66020529909228998</v>
      </c>
      <c r="AP82" s="2218">
        <f>11.53</f>
        <v>11.53</v>
      </c>
      <c r="AQ82" s="2213">
        <f t="shared" si="264"/>
        <v>0.7286460265409157</v>
      </c>
      <c r="AT82" s="2218">
        <v>6.383</v>
      </c>
      <c r="AU82" s="2213">
        <f t="shared" si="265"/>
        <v>0.37197923489879697</v>
      </c>
      <c r="AX82" s="2218">
        <v>4.5060000000000002</v>
      </c>
      <c r="AY82" s="2213">
        <f t="shared" si="266"/>
        <v>0.27155456854703841</v>
      </c>
      <c r="BB82" s="2218">
        <f>6.48</f>
        <v>6.48</v>
      </c>
      <c r="BC82" s="2213">
        <f t="shared" si="267"/>
        <v>0.36660603711886131</v>
      </c>
      <c r="BF82" s="2218">
        <f>36.776+5.06</f>
        <v>41.836000000000006</v>
      </c>
      <c r="BG82" s="2213">
        <f t="shared" si="268"/>
        <v>2.2653606025655604</v>
      </c>
      <c r="BJ82" s="2218">
        <f>7.123+7.643</f>
        <v>14.766</v>
      </c>
      <c r="BK82" s="2213">
        <f t="shared" si="269"/>
        <v>0.78091656948840604</v>
      </c>
      <c r="BN82" s="2225">
        <f>3.645-1.063</f>
        <v>2.5819999999999999</v>
      </c>
      <c r="BO82" s="2215">
        <f t="shared" si="270"/>
        <v>0.1365017385203994</v>
      </c>
      <c r="BP82" s="161"/>
      <c r="BR82" s="2225">
        <f>3.645-1.063</f>
        <v>2.5819999999999999</v>
      </c>
      <c r="BS82" s="2215">
        <f t="shared" si="271"/>
        <v>0.1365017385203994</v>
      </c>
      <c r="BT82" s="161"/>
      <c r="BV82" s="2225">
        <f>2.798-2.174</f>
        <v>0.62400000000000011</v>
      </c>
      <c r="BW82" s="2215">
        <f t="shared" si="272"/>
        <v>2.9504187797937925E-2</v>
      </c>
      <c r="BX82" s="161"/>
      <c r="BZ82" s="2225">
        <f>0.978+6.33+1.737</f>
        <v>9.0449999999999999</v>
      </c>
      <c r="CA82" s="2215">
        <f t="shared" si="273"/>
        <v>0.47033337770604189</v>
      </c>
      <c r="CB82" s="161"/>
      <c r="CD82" s="2225">
        <f>5.565+0.869</f>
        <v>6.4340000000000002</v>
      </c>
      <c r="CE82" s="2215">
        <f t="shared" si="274"/>
        <v>0.34925935737146779</v>
      </c>
      <c r="CF82" s="161"/>
      <c r="CH82" s="2225">
        <f>0.575+8.228</f>
        <v>8.802999999999999</v>
      </c>
      <c r="CI82" s="2215">
        <f t="shared" si="275"/>
        <v>0.49530492789861408</v>
      </c>
      <c r="CJ82" s="161"/>
      <c r="CL82" s="2225">
        <f>+-0.832+0.461</f>
        <v>-0.37099999999999994</v>
      </c>
      <c r="CM82" s="2215">
        <f t="shared" si="276"/>
        <v>-1.8705517673941144E-2</v>
      </c>
      <c r="CN82" s="161"/>
      <c r="CP82" s="2225">
        <f>0.319-0.687</f>
        <v>-0.36800000000000005</v>
      </c>
      <c r="CQ82" s="2215">
        <f t="shared" si="277"/>
        <v>-1.6931840141344058E-2</v>
      </c>
      <c r="CR82" s="161"/>
      <c r="CT82" s="2225">
        <f>17.603-12.745</f>
        <v>4.8580000000000023</v>
      </c>
      <c r="CU82" s="2215">
        <f t="shared" si="278"/>
        <v>0.23695376377494964</v>
      </c>
      <c r="CV82" s="161"/>
      <c r="CW82" s="161"/>
      <c r="CX82" s="2225">
        <v>7.2380000000000004</v>
      </c>
      <c r="CY82" s="2215">
        <f t="shared" si="279"/>
        <v>0.33338138913825194</v>
      </c>
      <c r="CZ82" s="161"/>
      <c r="DA82" s="161"/>
      <c r="DB82" s="2195">
        <v>0.70099999999999996</v>
      </c>
      <c r="DC82" s="2215">
        <f t="shared" si="280"/>
        <v>3.023048915173937E-2</v>
      </c>
      <c r="DD82" s="161"/>
      <c r="DE82" s="161"/>
      <c r="DF82" s="2535">
        <v>-0.44</v>
      </c>
      <c r="DG82" s="2215">
        <f t="shared" si="281"/>
        <v>-1.7730675075305E-2</v>
      </c>
      <c r="DH82" s="161"/>
      <c r="DI82" s="161"/>
      <c r="DJ82" s="2535">
        <v>3.4169999999999998</v>
      </c>
      <c r="DK82" s="2215">
        <f t="shared" si="282"/>
        <v>0.13239162348860647</v>
      </c>
      <c r="DL82" s="161"/>
      <c r="DM82" s="161"/>
      <c r="DN82" s="2698">
        <v>1.639</v>
      </c>
      <c r="DO82" s="2215">
        <f t="shared" si="283"/>
        <v>6.2610207717672645E-2</v>
      </c>
      <c r="DP82" s="161"/>
      <c r="DQ82" s="161"/>
      <c r="DR82" s="2257">
        <v>0</v>
      </c>
      <c r="DS82" s="2215">
        <f t="shared" si="284"/>
        <v>0</v>
      </c>
      <c r="DT82" s="161"/>
    </row>
    <row r="83" spans="1:125">
      <c r="A83" s="23" t="str">
        <f>$A$13</f>
        <v>4Q</v>
      </c>
      <c r="B83" s="23" t="str">
        <f>$B$13</f>
        <v>Jan</v>
      </c>
      <c r="D83" s="2220">
        <f>6.731-D82-D81-D80</f>
        <v>0.4009999999999998</v>
      </c>
      <c r="E83" s="2213"/>
      <c r="F83" s="2220">
        <f>12.51-F82-F81-F80</f>
        <v>3.294</v>
      </c>
      <c r="G83" s="2213">
        <f t="shared" si="255"/>
        <v>0.18890766750644744</v>
      </c>
      <c r="J83" s="2220">
        <f>11.529-J82-J81-J80</f>
        <v>1.0849999999999995</v>
      </c>
      <c r="K83" s="2213">
        <f t="shared" si="256"/>
        <v>5.2768805999983452E-2</v>
      </c>
      <c r="N83" s="2220">
        <f>10.08-N82-N81-N80</f>
        <v>0.71699999999999964</v>
      </c>
      <c r="O83" s="2213">
        <f t="shared" si="257"/>
        <v>2.9530988592059642E-2</v>
      </c>
      <c r="R83" s="2220">
        <f>7.308-R82-R81-R80</f>
        <v>3.21</v>
      </c>
      <c r="S83" s="2213">
        <f t="shared" si="258"/>
        <v>0.13260051924876226</v>
      </c>
      <c r="V83" s="2220">
        <f>10.735-V82-V81-V80</f>
        <v>5.27</v>
      </c>
      <c r="W83" s="2213">
        <f t="shared" si="259"/>
        <v>0.2075950643584091</v>
      </c>
      <c r="Z83" s="2220">
        <v>11.693</v>
      </c>
      <c r="AA83" s="2213">
        <f t="shared" si="260"/>
        <v>0.42192204924288218</v>
      </c>
      <c r="AD83" s="2220">
        <v>11.138</v>
      </c>
      <c r="AE83" s="2213">
        <f t="shared" si="261"/>
        <v>0.37548954727854361</v>
      </c>
      <c r="AH83" s="2220">
        <v>15.01</v>
      </c>
      <c r="AI83" s="2213">
        <f t="shared" si="262"/>
        <v>0.50994633163090752</v>
      </c>
      <c r="AL83" s="2220">
        <v>15.606</v>
      </c>
      <c r="AM83" s="2213">
        <f t="shared" si="263"/>
        <v>0.49898147795845404</v>
      </c>
      <c r="AP83" s="2220">
        <v>5.2480000000000002</v>
      </c>
      <c r="AQ83" s="2213">
        <f t="shared" si="264"/>
        <v>0.19301895175408915</v>
      </c>
      <c r="AT83" s="2220">
        <v>-3.09</v>
      </c>
      <c r="AU83" s="2213">
        <f t="shared" si="265"/>
        <v>-0.10650945090414116</v>
      </c>
      <c r="AX83" s="2220">
        <f>7.657+0.859</f>
        <v>8.516</v>
      </c>
      <c r="AY83" s="2213">
        <f t="shared" si="266"/>
        <v>0.2999705876654884</v>
      </c>
      <c r="BB83" s="2220">
        <f>3.836+9.61</f>
        <v>13.446</v>
      </c>
      <c r="BC83" s="2213">
        <f t="shared" si="267"/>
        <v>0.45334302551006989</v>
      </c>
      <c r="BF83" s="2220">
        <f>8.637-3.749</f>
        <v>4.8879999999999999</v>
      </c>
      <c r="BG83" s="2213">
        <f t="shared" si="268"/>
        <v>0.15128827163053965</v>
      </c>
      <c r="BH83" s="18">
        <f>+BF83/BB83-1</f>
        <v>-0.63647181317864043</v>
      </c>
      <c r="BJ83" s="2227">
        <f>7.013+4.461</f>
        <v>11.474</v>
      </c>
      <c r="BK83" s="2213">
        <f t="shared" si="269"/>
        <v>0.34472792212045228</v>
      </c>
      <c r="BN83" s="2227">
        <f>8.851+3.563</f>
        <v>12.414000000000001</v>
      </c>
      <c r="BO83" s="2215">
        <f t="shared" si="270"/>
        <v>0.35355685774705053</v>
      </c>
      <c r="BP83" s="161"/>
      <c r="BR83" s="2227">
        <f>8.851+3.565-0.002+40</f>
        <v>52.414000000000001</v>
      </c>
      <c r="BS83" s="2215">
        <f t="shared" si="271"/>
        <v>1.4799592498723735</v>
      </c>
      <c r="BT83" s="161"/>
      <c r="BV83" s="2227">
        <f>4.419+2.36</f>
        <v>6.7789999999999999</v>
      </c>
      <c r="BW83" s="2215">
        <f t="shared" si="272"/>
        <v>0.16843483070299364</v>
      </c>
      <c r="BX83" s="161"/>
      <c r="BZ83" s="2227">
        <f>5.51-0.112+10.006</f>
        <v>15.404</v>
      </c>
      <c r="CA83" s="2215">
        <f t="shared" si="273"/>
        <v>0.47714865578141613</v>
      </c>
      <c r="CB83" s="161"/>
      <c r="CD83" s="2227">
        <f>1.173+0.477</f>
        <v>1.65</v>
      </c>
      <c r="CE83" s="2215">
        <f t="shared" si="274"/>
        <v>5.5163615282929165E-2</v>
      </c>
      <c r="CF83" s="2203"/>
      <c r="CH83" s="2227">
        <f>0.355+11.808</f>
        <v>12.163</v>
      </c>
      <c r="CI83" s="2215">
        <f t="shared" si="275"/>
        <v>0.39704872309809652</v>
      </c>
      <c r="CJ83" s="161"/>
      <c r="CL83" s="2227">
        <f>52.277-52.011</f>
        <v>0.26599999999999824</v>
      </c>
      <c r="CM83" s="2215">
        <f t="shared" si="276"/>
        <v>7.6970710619063921E-3</v>
      </c>
      <c r="CN83" s="161"/>
      <c r="CP83" s="2227">
        <v>2.2890000000000001</v>
      </c>
      <c r="CQ83" s="2215">
        <f t="shared" si="277"/>
        <v>6.5113019019601037E-2</v>
      </c>
      <c r="CR83" s="161"/>
      <c r="CT83" s="2227">
        <v>4.907</v>
      </c>
      <c r="CU83" s="2215">
        <f t="shared" si="278"/>
        <v>0.12726998744418161</v>
      </c>
      <c r="CV83" s="161"/>
      <c r="CW83" s="161"/>
      <c r="CX83" s="2227">
        <v>5.55</v>
      </c>
      <c r="CY83" s="2215">
        <f t="shared" si="279"/>
        <v>0.14535637454487738</v>
      </c>
      <c r="CZ83" s="161"/>
      <c r="DA83" s="161"/>
      <c r="DB83" s="2227">
        <v>0.33700000000000002</v>
      </c>
      <c r="DC83" s="2215">
        <f t="shared" si="280"/>
        <v>8.2827744099137693E-3</v>
      </c>
      <c r="DD83" s="161"/>
      <c r="DE83" s="161"/>
      <c r="DF83" s="2227">
        <v>1.274</v>
      </c>
      <c r="DG83" s="2215">
        <f t="shared" si="281"/>
        <v>2.8987228554740927E-2</v>
      </c>
      <c r="DH83" s="161"/>
      <c r="DI83" s="161"/>
      <c r="DJ83" s="2227">
        <v>3.4169999999999998</v>
      </c>
      <c r="DK83" s="2215">
        <f t="shared" si="282"/>
        <v>7.6111213696543667E-2</v>
      </c>
      <c r="DL83" s="161"/>
      <c r="DM83" s="161"/>
      <c r="DN83" s="2869">
        <f>+-38.146+44.985</f>
        <v>6.8389999999999986</v>
      </c>
      <c r="DO83" s="2215">
        <f t="shared" si="283"/>
        <v>0.14179676971242558</v>
      </c>
      <c r="DP83" s="161"/>
      <c r="DQ83" s="161"/>
      <c r="DR83" s="2256">
        <v>0</v>
      </c>
      <c r="DS83" s="2215">
        <f t="shared" si="284"/>
        <v>0</v>
      </c>
      <c r="DT83" s="161"/>
    </row>
    <row r="84" spans="1:125">
      <c r="B84" s="23" t="str">
        <f>$B$14</f>
        <v>Year</v>
      </c>
      <c r="D84" s="1854">
        <f>SUM(D80:D83)</f>
        <v>6.7309999999999999</v>
      </c>
      <c r="F84" s="1854">
        <f>SUM(F80:F83)</f>
        <v>12.51</v>
      </c>
      <c r="G84" s="2213">
        <f t="shared" si="255"/>
        <v>0.23812655503207472</v>
      </c>
      <c r="J84" s="1854">
        <f>SUM(J80:J83)</f>
        <v>11.529</v>
      </c>
      <c r="K84" s="2213">
        <f t="shared" si="256"/>
        <v>0.18748725447691075</v>
      </c>
      <c r="N84" s="1854">
        <f>SUM(N80:N83)</f>
        <v>10.079999999999998</v>
      </c>
      <c r="O84" s="2213">
        <f t="shared" si="257"/>
        <v>0.14515510283547817</v>
      </c>
      <c r="R84" s="1854">
        <f>SUM(R80:R83)</f>
        <v>7.3079999999999998</v>
      </c>
      <c r="S84" s="2213">
        <f t="shared" si="258"/>
        <v>0.10086834003948607</v>
      </c>
      <c r="V84" s="1854">
        <f>SUM(V80:V83)</f>
        <v>10.734999999999999</v>
      </c>
      <c r="W84" s="2213">
        <f t="shared" si="259"/>
        <v>0.14663713980673126</v>
      </c>
      <c r="Z84" s="1854">
        <f>SUM(Z80:Z83)</f>
        <v>21.606000000000002</v>
      </c>
      <c r="AA84" s="2213">
        <f t="shared" si="260"/>
        <v>0.27413782537372311</v>
      </c>
      <c r="AD84" s="1854">
        <f>SUM(AD80:AD83)</f>
        <v>41.582999999999998</v>
      </c>
      <c r="AE84" s="2213">
        <f t="shared" si="261"/>
        <v>0.48101799106537108</v>
      </c>
      <c r="AH84" s="1854">
        <f>SUM(AH80:AH83)</f>
        <v>36.885999999999996</v>
      </c>
      <c r="AI84" s="2213">
        <f t="shared" si="262"/>
        <v>0.44086492520678611</v>
      </c>
      <c r="AL84" s="1854">
        <f>SUM(AL80:AL83)</f>
        <v>59.914999999999999</v>
      </c>
      <c r="AM84" s="2213">
        <f t="shared" si="263"/>
        <v>0.67803373272988732</v>
      </c>
      <c r="AP84" s="1854">
        <f>SUM(AP80:AP83)</f>
        <v>48.367999999999995</v>
      </c>
      <c r="AQ84" s="2213">
        <f t="shared" si="264"/>
        <v>0.63469768140086991</v>
      </c>
      <c r="AT84" s="1854">
        <f>SUM(AT80:AT83)</f>
        <v>27.878</v>
      </c>
      <c r="AU84" s="2213">
        <f t="shared" si="265"/>
        <v>0.34207087731155211</v>
      </c>
      <c r="AX84" s="1854">
        <f>SUM(AX80:AX83)</f>
        <v>29.823</v>
      </c>
      <c r="AY84" s="2213">
        <f t="shared" si="266"/>
        <v>0.37619996283790724</v>
      </c>
      <c r="BB84" s="1854">
        <f>SUM(BB80:BB83)</f>
        <v>35.005000000000003</v>
      </c>
      <c r="BC84" s="2213">
        <f t="shared" si="267"/>
        <v>0.41452260803106916</v>
      </c>
      <c r="BF84" s="1854">
        <f>SUM(BF80:BF83)</f>
        <v>56.504000000000005</v>
      </c>
      <c r="BG84" s="2213">
        <f t="shared" si="268"/>
        <v>0.63245382210680412</v>
      </c>
      <c r="BH84" s="18">
        <f>+BF84/BB84-1</f>
        <v>0.61416940437080414</v>
      </c>
      <c r="BJ84" s="1854">
        <f>SUM(BJ80:BJ83)</f>
        <v>39.730000000000004</v>
      </c>
      <c r="BK84" s="2213">
        <f t="shared" si="269"/>
        <v>0.42228616567987975</v>
      </c>
      <c r="BN84" s="1855">
        <f>SUM(BN80:BN83)</f>
        <v>26.004000000000001</v>
      </c>
      <c r="BO84" s="2215">
        <f t="shared" si="270"/>
        <v>0.26895424643941251</v>
      </c>
      <c r="BP84" s="161"/>
      <c r="BR84" s="1855">
        <f>SUM(BR80:BR83)</f>
        <v>66.004000000000005</v>
      </c>
      <c r="BS84" s="2215">
        <f t="shared" si="271"/>
        <v>0.68052601060236517</v>
      </c>
      <c r="BT84" s="161"/>
      <c r="BV84" s="1855">
        <f>SUM(BV80:BV83)</f>
        <v>22.798999999999999</v>
      </c>
      <c r="BW84" s="2215">
        <f t="shared" si="272"/>
        <v>0.21366185722094894</v>
      </c>
      <c r="BX84" s="161"/>
      <c r="BZ84" s="1855">
        <f>SUM(BZ80:BZ83)</f>
        <v>45.312000000000012</v>
      </c>
      <c r="CA84" s="2215">
        <f t="shared" si="273"/>
        <v>0.44924000393402269</v>
      </c>
      <c r="CB84" s="161"/>
      <c r="CD84" s="1855">
        <f>SUM(CD80:CD83)</f>
        <v>32.016000000000005</v>
      </c>
      <c r="CE84" s="2215">
        <f t="shared" si="274"/>
        <v>0.35405428987266058</v>
      </c>
      <c r="CF84" s="161"/>
      <c r="CH84" s="1855">
        <f>SUM(CH80:CH83)</f>
        <v>19.616999999999997</v>
      </c>
      <c r="CI84" s="2215">
        <f t="shared" si="275"/>
        <v>0.22724618904769978</v>
      </c>
      <c r="CJ84" s="161"/>
      <c r="CL84" s="1855">
        <f>SUM(CL80:CL83)</f>
        <v>26.873000000000001</v>
      </c>
      <c r="CM84" s="2215">
        <f t="shared" si="276"/>
        <v>0.27954044395678562</v>
      </c>
      <c r="CN84" s="161"/>
      <c r="CP84" s="1855">
        <f>SUM(CP80:CP83)</f>
        <v>1.339999999999997</v>
      </c>
      <c r="CQ84" s="2215">
        <f t="shared" si="277"/>
        <v>1.2929373394321353E-2</v>
      </c>
      <c r="CR84" s="161"/>
      <c r="CT84" s="1855">
        <f>SUM(CT80:CT83)</f>
        <v>11.203000000000003</v>
      </c>
      <c r="CU84" s="2215">
        <f t="shared" si="278"/>
        <v>0.10711705485563533</v>
      </c>
      <c r="CV84" s="161"/>
      <c r="CW84" s="161"/>
      <c r="CX84" s="1855">
        <f>SUM(CX80:CX83)</f>
        <v>16.794</v>
      </c>
      <c r="CY84" s="2215">
        <f t="shared" si="279"/>
        <v>0.15588667111411822</v>
      </c>
      <c r="CZ84" s="161"/>
      <c r="DA84" s="161"/>
      <c r="DB84" s="1855">
        <f>SUM(DB80:DB83)</f>
        <v>6.653999999999999</v>
      </c>
      <c r="DC84" s="2215">
        <f t="shared" si="280"/>
        <v>5.8092938224524736E-2</v>
      </c>
      <c r="DD84" s="161"/>
      <c r="DE84" s="161"/>
      <c r="DF84" s="1855">
        <f>SUM(DF80:DF83)</f>
        <v>-1.4499999999999997</v>
      </c>
      <c r="DG84" s="2215">
        <f t="shared" si="281"/>
        <v>-1.1930438794956566E-2</v>
      </c>
      <c r="DH84" s="161"/>
      <c r="DI84" s="161"/>
      <c r="DJ84" s="1855">
        <f>SUM(DJ80:DJ83)</f>
        <v>14.282999999999992</v>
      </c>
      <c r="DK84" s="2215">
        <f t="shared" si="282"/>
        <v>0.11359025530330413</v>
      </c>
      <c r="DL84" s="161"/>
      <c r="DM84" s="161"/>
      <c r="DN84" s="1855">
        <f>SUM(DN80:DN83)</f>
        <v>34.957999999999998</v>
      </c>
      <c r="DO84" s="2215">
        <f t="shared" si="283"/>
        <v>0.27673494874727522</v>
      </c>
      <c r="DP84" s="161"/>
      <c r="DQ84" s="161"/>
      <c r="DR84" s="1855">
        <f>SUM(DR80:DR83)</f>
        <v>0</v>
      </c>
      <c r="DS84" s="2215">
        <f t="shared" si="284"/>
        <v>0</v>
      </c>
      <c r="DT84" s="161"/>
    </row>
    <row r="85" spans="1:125" hidden="1" outlineLevel="1">
      <c r="A85" s="23" t="str">
        <f>$A$15</f>
        <v>6 Mos</v>
      </c>
      <c r="D85" s="1899">
        <f>SUM(D80:D81)</f>
        <v>3.4820000000000002</v>
      </c>
      <c r="F85" s="1899">
        <f>SUM(F80:F81)</f>
        <v>5.0389999999999997</v>
      </c>
      <c r="G85" s="2213">
        <f t="shared" si="255"/>
        <v>0.22277662167365853</v>
      </c>
      <c r="J85" s="1899">
        <f>SUM(J80:J81)</f>
        <v>8.5890000000000004</v>
      </c>
      <c r="K85" s="2213">
        <f t="shared" si="256"/>
        <v>0.32293516443975884</v>
      </c>
      <c r="N85" s="1899">
        <f>SUM(N80:N81)</f>
        <v>7.2560000000000002</v>
      </c>
      <c r="O85" s="2213">
        <f t="shared" si="257"/>
        <v>0.24977470019118642</v>
      </c>
      <c r="R85" s="1899">
        <f>SUM(R80:R81)</f>
        <v>3.0110000000000001</v>
      </c>
      <c r="S85" s="2213">
        <f t="shared" si="258"/>
        <v>9.3870338594145938E-2</v>
      </c>
      <c r="V85" s="1899">
        <f>SUM(V80:V81)</f>
        <v>4.0919999999999996</v>
      </c>
      <c r="W85" s="2213">
        <f t="shared" si="259"/>
        <v>0.13341941037228319</v>
      </c>
      <c r="Z85" s="1899">
        <f>SUM(Z80:Z81)</f>
        <v>6.8879999999999999</v>
      </c>
      <c r="AA85" s="2213">
        <f t="shared" si="260"/>
        <v>0.20829950129688213</v>
      </c>
      <c r="AD85" s="1899">
        <f>SUM(AD80:AD81)</f>
        <v>23.654</v>
      </c>
      <c r="AE85" s="2213">
        <f t="shared" si="261"/>
        <v>0.64215331756590943</v>
      </c>
      <c r="AH85" s="1899">
        <f>SUM(AH80:AH81)</f>
        <v>15.654999999999999</v>
      </c>
      <c r="AI85" s="2213">
        <f t="shared" si="262"/>
        <v>0.4362871641835967</v>
      </c>
      <c r="AL85" s="1899">
        <f>SUM(AL80:AL81)</f>
        <v>31.747999999999998</v>
      </c>
      <c r="AM85" s="2213">
        <f t="shared" si="263"/>
        <v>0.83406455409544922</v>
      </c>
      <c r="AP85" s="1899">
        <f>SUM(AP80:AP81)</f>
        <v>31.59</v>
      </c>
      <c r="AQ85" s="2213">
        <f t="shared" si="264"/>
        <v>0.95169378296019236</v>
      </c>
      <c r="AT85" s="1899">
        <f>SUM(AT80:AT81)</f>
        <v>24.585000000000001</v>
      </c>
      <c r="AU85" s="2213">
        <f t="shared" si="265"/>
        <v>0.6959333262753965</v>
      </c>
      <c r="AX85" s="1899">
        <f>SUM(AX80:AX81)</f>
        <v>16.800999999999998</v>
      </c>
      <c r="AY85" s="2213">
        <f t="shared" si="266"/>
        <v>0.48994605956631271</v>
      </c>
      <c r="BB85" s="1899">
        <f>SUM(BB80:BB81)</f>
        <v>15.079000000000001</v>
      </c>
      <c r="BC85" s="2213">
        <f t="shared" si="267"/>
        <v>0.40631905760062387</v>
      </c>
      <c r="BF85" s="1899">
        <f>SUM(BF80:BF81)</f>
        <v>9.7799999999999994</v>
      </c>
      <c r="BG85" s="2213">
        <f t="shared" si="268"/>
        <v>0.25360420059832955</v>
      </c>
      <c r="BJ85" s="1899">
        <f>SUM(BJ80:BJ81)</f>
        <v>13.49</v>
      </c>
      <c r="BK85" s="2213">
        <f t="shared" si="269"/>
        <v>0.32203120766477245</v>
      </c>
      <c r="BN85" s="2202">
        <f>SUM(BN80:BN81)</f>
        <v>11.007999999999999</v>
      </c>
      <c r="BO85" s="2215">
        <f t="shared" si="270"/>
        <v>0.25805042063296896</v>
      </c>
      <c r="BP85" s="161"/>
      <c r="BR85" s="2202">
        <f>SUM(BR80:BR81)</f>
        <v>11.007999999999999</v>
      </c>
      <c r="BS85" s="2215">
        <f t="shared" si="271"/>
        <v>0.25805042063296896</v>
      </c>
      <c r="BT85" s="161"/>
      <c r="BV85" s="2202">
        <f>SUM(BV80:BV81)</f>
        <v>15.396000000000001</v>
      </c>
      <c r="BW85" s="2215">
        <f t="shared" si="272"/>
        <v>0.33979681492351599</v>
      </c>
      <c r="BX85" s="161"/>
      <c r="BZ85" s="2202">
        <f>SUM(BZ80:BZ81)</f>
        <v>20.863000000000007</v>
      </c>
      <c r="CA85" s="2215">
        <f t="shared" si="273"/>
        <v>0.42276267903025794</v>
      </c>
      <c r="CB85" s="161"/>
      <c r="CD85" s="2202">
        <f>SUM(CD80:CD81)</f>
        <v>23.932000000000002</v>
      </c>
      <c r="CE85" s="2215">
        <f t="shared" si="274"/>
        <v>0.56853775898911851</v>
      </c>
      <c r="CF85" s="161"/>
      <c r="CH85" s="2202">
        <f>SUM(CH80:CH81)</f>
        <v>-1.3490000000000002</v>
      </c>
      <c r="CI85" s="2215">
        <f t="shared" si="275"/>
        <v>-3.5576329952131516E-2</v>
      </c>
      <c r="CJ85" s="161"/>
      <c r="CL85" s="2202">
        <f>SUM(CL80:CL81)</f>
        <v>26.978000000000002</v>
      </c>
      <c r="CM85" s="2215">
        <f t="shared" si="276"/>
        <v>0.64632732844822505</v>
      </c>
      <c r="CN85" s="161"/>
      <c r="CP85" s="2202">
        <f>SUM(CP80:CP81)</f>
        <v>-0.58100000000000307</v>
      </c>
      <c r="CQ85" s="2215">
        <f t="shared" si="277"/>
        <v>-1.2427403429877854E-2</v>
      </c>
      <c r="CR85" s="161"/>
      <c r="CT85" s="2202">
        <f>SUM(CT80:CT81)</f>
        <v>1.4379999999999997</v>
      </c>
      <c r="CU85" s="2215">
        <f t="shared" si="278"/>
        <v>3.1584375969165912E-2</v>
      </c>
      <c r="CV85" s="161"/>
      <c r="CW85" s="161"/>
      <c r="CX85" s="2202">
        <f>SUM(CX80:CX81)</f>
        <v>4.0060000000000002</v>
      </c>
      <c r="CY85" s="2215">
        <f t="shared" si="279"/>
        <v>8.3739051056364158E-2</v>
      </c>
      <c r="CZ85" s="161"/>
      <c r="DA85" s="161"/>
      <c r="DB85" s="2202">
        <f>SUM(DB80:DB81)</f>
        <v>5.6159999999999997</v>
      </c>
      <c r="DC85" s="2215">
        <f t="shared" si="280"/>
        <v>0.11084485450724665</v>
      </c>
      <c r="DD85" s="161"/>
      <c r="DE85" s="161"/>
      <c r="DF85" s="2202">
        <f>SUM(DF80:DF81)</f>
        <v>-2.2839999999999998</v>
      </c>
      <c r="DG85" s="2215">
        <f t="shared" si="281"/>
        <v>-4.3280724387437526E-2</v>
      </c>
      <c r="DH85" s="161"/>
      <c r="DI85" s="161"/>
      <c r="DJ85" s="2202">
        <f>SUM(DJ80:DJ81)</f>
        <v>7.4489999999999919</v>
      </c>
      <c r="DK85" s="2215">
        <f t="shared" si="282"/>
        <v>0.13534878067083486</v>
      </c>
      <c r="DL85" s="161"/>
      <c r="DM85" s="161"/>
      <c r="DN85" s="2202">
        <f>SUM(DN80:DN81)</f>
        <v>26.48</v>
      </c>
      <c r="DO85" s="2215">
        <f t="shared" si="283"/>
        <v>0.5100603038441559</v>
      </c>
      <c r="DP85" s="161"/>
      <c r="DQ85" s="161"/>
      <c r="DR85" s="2202">
        <f>SUM(DR80:DR81)</f>
        <v>0</v>
      </c>
      <c r="DS85" s="2215" t="e">
        <f t="shared" si="284"/>
        <v>#DIV/0!</v>
      </c>
      <c r="DT85" s="161"/>
    </row>
    <row r="86" spans="1:125" hidden="1" outlineLevel="1">
      <c r="A86" s="23" t="str">
        <f>$A$16</f>
        <v>9 Mos</v>
      </c>
      <c r="D86" s="1899">
        <f>SUM(D80:D82)</f>
        <v>6.33</v>
      </c>
      <c r="F86" s="1899">
        <f>SUM(F80:F82)</f>
        <v>9.2159999999999993</v>
      </c>
      <c r="G86" s="2213">
        <f t="shared" si="255"/>
        <v>0.26257906433415007</v>
      </c>
      <c r="J86" s="1899">
        <f>SUM(J80:J82)</f>
        <v>10.444000000000001</v>
      </c>
      <c r="K86" s="2213">
        <f t="shared" si="256"/>
        <v>0.25516243395253307</v>
      </c>
      <c r="N86" s="1899">
        <f>SUM(N80:N82)</f>
        <v>9.3629999999999995</v>
      </c>
      <c r="O86" s="2213">
        <f t="shared" si="257"/>
        <v>0.20731397871461346</v>
      </c>
      <c r="R86" s="1899">
        <f>SUM(R80:R82)</f>
        <v>4.0979999999999999</v>
      </c>
      <c r="S86" s="2213">
        <f t="shared" si="258"/>
        <v>8.4945265441517426E-2</v>
      </c>
      <c r="V86" s="1899">
        <f>SUM(V80:V82)</f>
        <v>5.4649999999999999</v>
      </c>
      <c r="W86" s="2213">
        <f t="shared" si="259"/>
        <v>0.11427804297439921</v>
      </c>
      <c r="Z86" s="1899">
        <f>SUM(Z80:Z82)</f>
        <v>9.9130000000000003</v>
      </c>
      <c r="AA86" s="2213">
        <f t="shared" si="260"/>
        <v>0.19398943889635997</v>
      </c>
      <c r="AD86" s="1899">
        <f>SUM(AD80:AD82)</f>
        <v>30.445</v>
      </c>
      <c r="AE86" s="2213">
        <f t="shared" si="261"/>
        <v>0.53614227625811617</v>
      </c>
      <c r="AH86" s="1899">
        <f>SUM(AH80:AH82)</f>
        <v>21.875999999999998</v>
      </c>
      <c r="AI86" s="2213">
        <f t="shared" si="262"/>
        <v>0.40337153402142756</v>
      </c>
      <c r="AL86" s="1899">
        <f>SUM(AL80:AL82)</f>
        <v>44.308999999999997</v>
      </c>
      <c r="AM86" s="2213">
        <f t="shared" si="263"/>
        <v>0.77612405653519601</v>
      </c>
      <c r="AP86" s="1899">
        <f>SUM(AP80:AP82)</f>
        <v>43.12</v>
      </c>
      <c r="AQ86" s="2213">
        <f t="shared" si="264"/>
        <v>0.87968905684766108</v>
      </c>
      <c r="AT86" s="1899">
        <f>SUM(AT80:AT82)</f>
        <v>30.968</v>
      </c>
      <c r="AU86" s="2213">
        <f t="shared" si="265"/>
        <v>0.59002153327101847</v>
      </c>
      <c r="AX86" s="1899">
        <f>SUM(AX80:AX82)</f>
        <v>21.306999999999999</v>
      </c>
      <c r="AY86" s="2213">
        <f t="shared" si="266"/>
        <v>0.41872949292599287</v>
      </c>
      <c r="BB86" s="1899">
        <f>SUM(BB80:BB82)</f>
        <v>21.559000000000001</v>
      </c>
      <c r="BC86" s="2213">
        <f t="shared" si="267"/>
        <v>0.39350662056317132</v>
      </c>
      <c r="BF86" s="1899">
        <f>SUM(BF80:BF82)</f>
        <v>51.616000000000007</v>
      </c>
      <c r="BG86" s="2213">
        <f t="shared" si="268"/>
        <v>0.9050400540190523</v>
      </c>
      <c r="BJ86" s="1899">
        <f>SUM(BJ80:BJ82)</f>
        <v>28.256</v>
      </c>
      <c r="BK86" s="2213">
        <f t="shared" si="269"/>
        <v>0.4647452503252526</v>
      </c>
      <c r="BN86" s="2202">
        <f>SUM(BN80:BN82)</f>
        <v>13.59</v>
      </c>
      <c r="BO86" s="2215">
        <f t="shared" si="270"/>
        <v>0.22071061346831708</v>
      </c>
      <c r="BP86" s="161"/>
      <c r="BR86" s="2202">
        <f>SUM(BR80:BR82)</f>
        <v>13.59</v>
      </c>
      <c r="BS86" s="2215">
        <f t="shared" si="271"/>
        <v>0.22071061346831708</v>
      </c>
      <c r="BT86" s="161"/>
      <c r="BV86" s="2202">
        <f>SUM(BV80:BV82)</f>
        <v>16.02</v>
      </c>
      <c r="BW86" s="2215">
        <f t="shared" si="272"/>
        <v>0.24105098228275282</v>
      </c>
      <c r="BX86" s="161"/>
      <c r="BZ86" s="2202">
        <f>SUM(BZ80:BZ82)</f>
        <v>29.908000000000008</v>
      </c>
      <c r="CA86" s="2215">
        <f t="shared" si="273"/>
        <v>0.43610229418853025</v>
      </c>
      <c r="CB86" s="161"/>
      <c r="CD86" s="2202">
        <f>SUM(CD80:CD82)</f>
        <v>30.366000000000003</v>
      </c>
      <c r="CE86" s="2215">
        <f t="shared" si="274"/>
        <v>0.50178639327025243</v>
      </c>
      <c r="CF86" s="161"/>
      <c r="CH86" s="2202">
        <f>SUM(CH80:CH82)</f>
        <v>7.4539999999999988</v>
      </c>
      <c r="CI86" s="2215">
        <f t="shared" si="275"/>
        <v>0.13384481901680975</v>
      </c>
      <c r="CJ86" s="161"/>
      <c r="CL86" s="2202">
        <f>SUM(CL80:CL82)</f>
        <v>26.607000000000003</v>
      </c>
      <c r="CM86" s="2215">
        <f t="shared" si="276"/>
        <v>0.4321129408463093</v>
      </c>
      <c r="CN86" s="161"/>
      <c r="CP86" s="2202">
        <f>SUM(CP80:CP82)</f>
        <v>-0.94900000000000317</v>
      </c>
      <c r="CQ86" s="2215">
        <f t="shared" si="277"/>
        <v>-1.3856903307726093E-2</v>
      </c>
      <c r="CR86" s="161"/>
      <c r="CT86" s="2202">
        <f>SUM(CT80:CT82)</f>
        <v>6.296000000000002</v>
      </c>
      <c r="CU86" s="2215">
        <f t="shared" si="278"/>
        <v>9.5349544068345171E-2</v>
      </c>
      <c r="CV86" s="161"/>
      <c r="CW86" s="161"/>
      <c r="CX86" s="2202">
        <f>SUM(CX80:CX82)</f>
        <v>11.244</v>
      </c>
      <c r="CY86" s="2215">
        <f t="shared" si="279"/>
        <v>0.16166795782484994</v>
      </c>
      <c r="CZ86" s="161"/>
      <c r="DA86" s="161"/>
      <c r="DB86" s="2202">
        <f>SUM(DB80:DB82)</f>
        <v>6.3169999999999993</v>
      </c>
      <c r="DC86" s="2215">
        <f t="shared" si="280"/>
        <v>8.5533713037845516E-2</v>
      </c>
      <c r="DD86" s="161"/>
      <c r="DE86" s="161"/>
      <c r="DF86" s="2202">
        <f>SUM(DF80:DF82)</f>
        <v>-2.7239999999999998</v>
      </c>
      <c r="DG86" s="2215">
        <f t="shared" si="281"/>
        <v>-3.5108743662478667E-2</v>
      </c>
      <c r="DH86" s="161"/>
      <c r="DI86" s="161"/>
      <c r="DJ86" s="2202">
        <f>SUM(DJ80:DJ82)</f>
        <v>10.865999999999993</v>
      </c>
      <c r="DK86" s="2215">
        <f t="shared" si="282"/>
        <v>0.13440471180913482</v>
      </c>
      <c r="DL86" s="161"/>
      <c r="DM86" s="161"/>
      <c r="DN86" s="2202">
        <f>SUM(DN80:DN82)</f>
        <v>28.119</v>
      </c>
      <c r="DO86" s="2215">
        <f t="shared" si="283"/>
        <v>0.36006944004265673</v>
      </c>
      <c r="DP86" s="161"/>
      <c r="DQ86" s="161"/>
      <c r="DR86" s="2202">
        <f>SUM(DR80:DR82)</f>
        <v>0</v>
      </c>
      <c r="DS86" s="2215" t="e">
        <f t="shared" si="284"/>
        <v>#DIV/0!</v>
      </c>
      <c r="DT86" s="161"/>
    </row>
    <row r="87" spans="1:125" hidden="1" outlineLevel="1" collapsed="1">
      <c r="BN87" s="161"/>
      <c r="BO87" s="161"/>
      <c r="BP87" s="161"/>
      <c r="BR87" s="161"/>
      <c r="BS87" s="161"/>
      <c r="BT87" s="161"/>
      <c r="BV87" s="161"/>
      <c r="BW87" s="161"/>
      <c r="BX87" s="161"/>
      <c r="BZ87" s="161"/>
      <c r="CA87" s="161"/>
      <c r="CB87" s="161"/>
      <c r="CD87" s="161"/>
      <c r="CE87" s="161"/>
      <c r="CF87" s="161"/>
      <c r="CH87" s="161"/>
      <c r="CI87" s="161"/>
      <c r="CJ87" s="161"/>
      <c r="CL87" s="161"/>
      <c r="CM87" s="161"/>
      <c r="CN87" s="161"/>
      <c r="CP87" s="161"/>
      <c r="CQ87" s="161"/>
      <c r="CR87" s="161"/>
      <c r="CT87" s="161"/>
      <c r="CU87" s="161"/>
      <c r="CV87" s="161"/>
      <c r="CW87" s="161"/>
      <c r="CX87" s="161"/>
      <c r="CY87" s="161"/>
      <c r="CZ87" s="161"/>
      <c r="DA87" s="161"/>
      <c r="DB87" s="161"/>
      <c r="DC87" s="161"/>
      <c r="DD87" s="161"/>
      <c r="DE87" s="161"/>
      <c r="DF87" s="161"/>
      <c r="DG87" s="161"/>
      <c r="DH87" s="161"/>
      <c r="DI87" s="161"/>
      <c r="DJ87" s="161"/>
      <c r="DK87" s="161"/>
      <c r="DL87" s="161"/>
      <c r="DM87" s="161"/>
      <c r="DN87" s="161"/>
      <c r="DO87" s="161"/>
      <c r="DP87" s="161"/>
      <c r="DQ87" s="161"/>
      <c r="DR87" s="161"/>
      <c r="DS87" s="161"/>
      <c r="DT87" s="161"/>
    </row>
    <row r="88" spans="1:125" hidden="1" outlineLevel="1">
      <c r="E88" s="1936" t="str">
        <f>AT88</f>
        <v>Minority Interest</v>
      </c>
      <c r="Z88" s="2176"/>
      <c r="AA88" s="2177"/>
      <c r="AB88" s="2177"/>
      <c r="AC88" s="2177"/>
      <c r="AD88" s="2244"/>
      <c r="AE88" s="2177"/>
      <c r="AF88" s="2177"/>
      <c r="AG88" s="2177"/>
      <c r="AI88" s="2177"/>
      <c r="AJ88" s="2177"/>
      <c r="AK88" s="2177"/>
      <c r="AL88" s="2244"/>
      <c r="AM88" s="2177"/>
      <c r="AN88" s="2177"/>
      <c r="AO88" s="2177"/>
      <c r="AP88" s="2244"/>
      <c r="AQ88" s="2177"/>
      <c r="AR88" s="2177"/>
      <c r="AS88" s="2177"/>
      <c r="AT88" s="2176" t="s">
        <v>874</v>
      </c>
      <c r="AU88" s="2177"/>
      <c r="AV88" s="2177"/>
      <c r="AW88" s="2177"/>
      <c r="AX88" s="2244"/>
      <c r="AY88" s="2177"/>
      <c r="AZ88" s="2177"/>
      <c r="BA88" s="2177"/>
      <c r="BB88" s="2244"/>
      <c r="BC88" s="2177"/>
      <c r="BD88" s="2177"/>
      <c r="BE88" s="2177"/>
      <c r="BF88" s="2244"/>
      <c r="BG88" s="2177"/>
      <c r="BH88" s="2177"/>
      <c r="BI88" s="2177"/>
      <c r="BJ88" s="2244"/>
      <c r="BK88" s="2177"/>
      <c r="BL88" s="2177"/>
      <c r="BM88" s="2177"/>
      <c r="BN88" s="2245"/>
      <c r="BO88" s="2179"/>
      <c r="BP88" s="2179"/>
      <c r="BQ88" s="2177"/>
      <c r="BR88" s="2245"/>
      <c r="BS88" s="2179"/>
      <c r="BT88" s="2179"/>
      <c r="BU88" s="2177"/>
      <c r="BV88" s="2245"/>
      <c r="BW88" s="2179"/>
      <c r="BX88" s="2179"/>
      <c r="BY88" s="2177"/>
      <c r="BZ88" s="2245"/>
      <c r="CA88" s="2179"/>
      <c r="CB88" s="2179"/>
      <c r="CC88" s="2177"/>
      <c r="CD88" s="2245"/>
      <c r="CE88" s="2179"/>
      <c r="CF88" s="2179"/>
      <c r="CG88" s="2177"/>
      <c r="CH88" s="2245"/>
      <c r="CI88" s="2179"/>
      <c r="CJ88" s="2179"/>
      <c r="CK88" s="2177"/>
      <c r="CL88" s="2245"/>
      <c r="CM88" s="2179"/>
      <c r="CN88" s="2179"/>
      <c r="CO88" s="2177"/>
      <c r="CP88" s="2245"/>
      <c r="CQ88" s="2179"/>
      <c r="CR88" s="2179"/>
      <c r="CS88" s="2177"/>
      <c r="CT88" s="2245"/>
      <c r="CU88" s="2179"/>
      <c r="CV88" s="2179"/>
      <c r="CW88" s="2179"/>
      <c r="CX88" s="2179"/>
      <c r="CY88" s="2179"/>
      <c r="CZ88" s="2179"/>
      <c r="DA88" s="2179"/>
      <c r="DB88" s="2179"/>
      <c r="DC88" s="2179"/>
      <c r="DD88" s="2179"/>
      <c r="DE88" s="2179"/>
      <c r="DF88" s="2179"/>
      <c r="DG88" s="2179"/>
      <c r="DH88" s="2179"/>
      <c r="DI88" s="2179"/>
      <c r="DJ88" s="2179"/>
      <c r="DK88" s="2179"/>
      <c r="DL88" s="2179"/>
      <c r="DM88" s="2179"/>
      <c r="DN88" s="2179"/>
      <c r="DO88" s="2179"/>
      <c r="DP88" s="2179"/>
      <c r="DQ88" s="2179"/>
      <c r="DR88" s="2179"/>
      <c r="DS88" s="2179"/>
      <c r="DT88" s="2179"/>
      <c r="DU88" s="2177"/>
    </row>
    <row r="89" spans="1:125" hidden="1" outlineLevel="1">
      <c r="BN89" s="161"/>
      <c r="BO89" s="161"/>
      <c r="BP89" s="161"/>
      <c r="BR89" s="161"/>
      <c r="BS89" s="161"/>
      <c r="BT89" s="161"/>
      <c r="BV89" s="161"/>
      <c r="BW89" s="161"/>
      <c r="BX89" s="161"/>
      <c r="BZ89" s="161"/>
      <c r="CA89" s="161"/>
      <c r="CB89" s="161"/>
      <c r="CD89" s="161"/>
      <c r="CE89" s="161"/>
      <c r="CF89" s="161"/>
      <c r="CH89" s="161"/>
      <c r="CI89" s="161"/>
      <c r="CJ89" s="161"/>
      <c r="CL89" s="161"/>
      <c r="CM89" s="161"/>
      <c r="CN89" s="161"/>
      <c r="CP89" s="161"/>
      <c r="CQ89" s="161"/>
      <c r="CR89" s="161"/>
      <c r="CT89" s="161"/>
      <c r="CU89" s="161"/>
      <c r="CV89" s="161"/>
      <c r="CW89" s="161"/>
      <c r="CX89" s="161"/>
      <c r="CY89" s="161"/>
      <c r="CZ89" s="161"/>
      <c r="DA89" s="161"/>
      <c r="DB89" s="161"/>
      <c r="DC89" s="161"/>
      <c r="DD89" s="161"/>
      <c r="DE89" s="161"/>
      <c r="DF89" s="161"/>
      <c r="DG89" s="161"/>
      <c r="DH89" s="161"/>
      <c r="DI89" s="161"/>
      <c r="DJ89" s="161"/>
      <c r="DK89" s="161"/>
      <c r="DL89" s="161"/>
      <c r="DM89" s="161"/>
      <c r="DN89" s="161"/>
      <c r="DO89" s="161"/>
      <c r="DP89" s="161"/>
      <c r="DQ89" s="161"/>
      <c r="DR89" s="161"/>
      <c r="DS89" s="161"/>
      <c r="DT89" s="161"/>
    </row>
    <row r="90" spans="1:125" hidden="1" outlineLevel="1">
      <c r="A90" s="23" t="str">
        <f>$A$10</f>
        <v>1Q</v>
      </c>
      <c r="B90" s="23" t="str">
        <f>$B$10</f>
        <v>Apr</v>
      </c>
      <c r="D90" s="2183">
        <v>0</v>
      </c>
      <c r="F90" s="2183">
        <v>0</v>
      </c>
      <c r="G90" s="2213"/>
      <c r="J90" s="2183">
        <v>0</v>
      </c>
      <c r="K90" s="2213"/>
      <c r="N90" s="2183">
        <v>0</v>
      </c>
      <c r="O90" s="2213"/>
      <c r="R90" s="2183">
        <v>0</v>
      </c>
      <c r="S90" s="2213"/>
      <c r="V90" s="2183">
        <v>0</v>
      </c>
      <c r="W90" s="2213"/>
      <c r="Z90" s="2183">
        <v>0</v>
      </c>
      <c r="AA90" s="2213"/>
      <c r="AD90" s="2183">
        <v>-4.2789999999999999</v>
      </c>
      <c r="AE90" s="2213"/>
      <c r="AH90" s="2183">
        <v>-6.4580000000000002</v>
      </c>
      <c r="AI90" s="2213"/>
      <c r="AL90" s="2183">
        <v>-7.8360000000000003</v>
      </c>
      <c r="AM90" s="2213"/>
      <c r="AP90" s="2183">
        <v>0</v>
      </c>
      <c r="AQ90" s="2213"/>
      <c r="AT90" s="2183">
        <v>0</v>
      </c>
      <c r="AU90" s="2213"/>
      <c r="AX90" s="2183">
        <v>0</v>
      </c>
      <c r="AY90" s="2213"/>
      <c r="BB90" s="2183">
        <v>6.0629999999999997</v>
      </c>
      <c r="BC90" s="2213"/>
      <c r="BF90" s="2183">
        <v>0</v>
      </c>
      <c r="BG90" s="2213"/>
      <c r="BJ90" s="2183">
        <v>0</v>
      </c>
      <c r="BK90" s="2213"/>
      <c r="BN90" s="2186">
        <v>0</v>
      </c>
      <c r="BO90" s="2215"/>
      <c r="BP90" s="161"/>
      <c r="BR90" s="2186">
        <v>0</v>
      </c>
      <c r="BS90" s="2215"/>
      <c r="BT90" s="161"/>
      <c r="BV90" s="2186">
        <v>0</v>
      </c>
      <c r="BW90" s="2215"/>
      <c r="BX90" s="161"/>
      <c r="BZ90" s="2186">
        <v>0</v>
      </c>
      <c r="CA90" s="2215"/>
      <c r="CB90" s="161"/>
      <c r="CD90" s="2186">
        <v>0</v>
      </c>
      <c r="CE90" s="2215"/>
      <c r="CF90" s="161"/>
      <c r="CH90" s="2186">
        <v>0</v>
      </c>
      <c r="CI90" s="2215"/>
      <c r="CJ90" s="161"/>
      <c r="CL90" s="2186">
        <v>0</v>
      </c>
      <c r="CM90" s="2215"/>
      <c r="CN90" s="161"/>
      <c r="CP90" s="2186">
        <v>0</v>
      </c>
      <c r="CQ90" s="2215"/>
      <c r="CR90" s="161"/>
      <c r="CT90" s="2186">
        <v>0</v>
      </c>
      <c r="CU90" s="2215"/>
      <c r="CV90" s="161"/>
      <c r="CW90" s="161"/>
      <c r="CX90" s="2186">
        <v>0</v>
      </c>
      <c r="CY90" s="161"/>
      <c r="CZ90" s="161"/>
      <c r="DA90" s="161"/>
      <c r="DB90" s="2186">
        <v>0</v>
      </c>
      <c r="DC90" s="161"/>
      <c r="DD90" s="161"/>
      <c r="DE90" s="161"/>
      <c r="DF90" s="2186">
        <v>0</v>
      </c>
      <c r="DG90" s="161"/>
      <c r="DH90" s="161"/>
      <c r="DI90" s="161"/>
      <c r="DJ90" s="2186">
        <v>0</v>
      </c>
      <c r="DK90" s="161"/>
      <c r="DL90" s="161"/>
      <c r="DM90" s="161"/>
      <c r="DN90" s="2186">
        <v>0</v>
      </c>
      <c r="DO90" s="161"/>
      <c r="DP90" s="161"/>
      <c r="DQ90" s="161"/>
      <c r="DR90" s="2186">
        <v>0</v>
      </c>
      <c r="DS90" s="161"/>
      <c r="DT90" s="161"/>
    </row>
    <row r="91" spans="1:125" hidden="1" outlineLevel="1">
      <c r="A91" s="23" t="str">
        <f>$A$11</f>
        <v>2Q</v>
      </c>
      <c r="B91" s="23" t="str">
        <f>$B$11</f>
        <v>Jul</v>
      </c>
      <c r="D91" s="2218">
        <v>0</v>
      </c>
      <c r="F91" s="2218">
        <v>0</v>
      </c>
      <c r="G91" s="2213"/>
      <c r="J91" s="2218">
        <v>0</v>
      </c>
      <c r="K91" s="2213"/>
      <c r="N91" s="2218">
        <v>0</v>
      </c>
      <c r="O91" s="2213"/>
      <c r="R91" s="2218">
        <v>0</v>
      </c>
      <c r="S91" s="2213"/>
      <c r="V91" s="2218">
        <v>0</v>
      </c>
      <c r="W91" s="2213"/>
      <c r="Z91" s="2218">
        <v>0</v>
      </c>
      <c r="AA91" s="2213"/>
      <c r="AD91" s="2218">
        <v>-8.17</v>
      </c>
      <c r="AE91" s="2213"/>
      <c r="AH91" s="2218">
        <v>-10.756</v>
      </c>
      <c r="AI91" s="2213"/>
      <c r="AL91" s="2218">
        <v>-12.805</v>
      </c>
      <c r="AM91" s="2213"/>
      <c r="AP91" s="2218">
        <v>0</v>
      </c>
      <c r="AQ91" s="2213"/>
      <c r="AT91" s="2218">
        <v>0</v>
      </c>
      <c r="AU91" s="2213"/>
      <c r="AX91" s="2225">
        <v>0</v>
      </c>
      <c r="AY91" s="2213"/>
      <c r="BB91" s="2218">
        <v>0</v>
      </c>
      <c r="BC91" s="2213"/>
      <c r="BF91" s="2218">
        <v>0</v>
      </c>
      <c r="BG91" s="2213"/>
      <c r="BJ91" s="2218">
        <v>0</v>
      </c>
      <c r="BK91" s="2213"/>
      <c r="BN91" s="2225">
        <v>0</v>
      </c>
      <c r="BO91" s="2215"/>
      <c r="BP91" s="161"/>
      <c r="BR91" s="2225">
        <v>0</v>
      </c>
      <c r="BS91" s="2215"/>
      <c r="BT91" s="161"/>
      <c r="BV91" s="2225">
        <v>0</v>
      </c>
      <c r="BW91" s="2215"/>
      <c r="BX91" s="161"/>
      <c r="BZ91" s="2225">
        <v>0</v>
      </c>
      <c r="CA91" s="2215"/>
      <c r="CB91" s="161"/>
      <c r="CD91" s="2225">
        <v>0</v>
      </c>
      <c r="CE91" s="2215"/>
      <c r="CF91" s="161"/>
      <c r="CH91" s="2225">
        <v>0</v>
      </c>
      <c r="CI91" s="2215"/>
      <c r="CJ91" s="161"/>
      <c r="CL91" s="2225">
        <v>0</v>
      </c>
      <c r="CM91" s="2215"/>
      <c r="CN91" s="161"/>
      <c r="CP91" s="2225">
        <v>0</v>
      </c>
      <c r="CQ91" s="2215"/>
      <c r="CR91" s="161"/>
      <c r="CT91" s="2225">
        <v>0</v>
      </c>
      <c r="CU91" s="2215"/>
      <c r="CV91" s="161"/>
      <c r="CW91" s="161"/>
      <c r="CX91" s="2225">
        <v>0</v>
      </c>
      <c r="CY91" s="161"/>
      <c r="CZ91" s="161"/>
      <c r="DA91" s="161"/>
      <c r="DB91" s="2225">
        <v>0</v>
      </c>
      <c r="DC91" s="161"/>
      <c r="DD91" s="161"/>
      <c r="DE91" s="161"/>
      <c r="DF91" s="2225">
        <v>0</v>
      </c>
      <c r="DG91" s="161"/>
      <c r="DH91" s="161"/>
      <c r="DI91" s="161"/>
      <c r="DJ91" s="2225">
        <v>0</v>
      </c>
      <c r="DK91" s="161"/>
      <c r="DL91" s="161"/>
      <c r="DM91" s="161"/>
      <c r="DN91" s="2225">
        <v>0</v>
      </c>
      <c r="DO91" s="161"/>
      <c r="DP91" s="161"/>
      <c r="DQ91" s="161"/>
      <c r="DR91" s="2225">
        <v>0</v>
      </c>
      <c r="DS91" s="161"/>
      <c r="DT91" s="161"/>
    </row>
    <row r="92" spans="1:125" hidden="1" outlineLevel="1">
      <c r="A92" s="23" t="str">
        <f>$A$12</f>
        <v>3Q</v>
      </c>
      <c r="B92" s="23" t="str">
        <f>$B$12</f>
        <v>Oct</v>
      </c>
      <c r="D92" s="2218">
        <v>0</v>
      </c>
      <c r="F92" s="2218">
        <v>0</v>
      </c>
      <c r="G92" s="2213"/>
      <c r="J92" s="2218">
        <v>0</v>
      </c>
      <c r="K92" s="2213"/>
      <c r="N92" s="2218">
        <v>0</v>
      </c>
      <c r="O92" s="2213"/>
      <c r="R92" s="2218">
        <v>0</v>
      </c>
      <c r="S92" s="2213"/>
      <c r="V92" s="2218">
        <v>0</v>
      </c>
      <c r="W92" s="2213"/>
      <c r="Z92" s="2218">
        <v>0</v>
      </c>
      <c r="AA92" s="2213"/>
      <c r="AD92" s="2218">
        <v>-4.5739999999999998</v>
      </c>
      <c r="AE92" s="2213"/>
      <c r="AH92" s="2218">
        <v>-5.4710000000000001</v>
      </c>
      <c r="AI92" s="2213"/>
      <c r="AL92" s="2218">
        <v>-6.08</v>
      </c>
      <c r="AM92" s="2213"/>
      <c r="AP92" s="2218">
        <v>0</v>
      </c>
      <c r="AQ92" s="2213"/>
      <c r="AT92" s="2218">
        <v>0</v>
      </c>
      <c r="AU92" s="2213"/>
      <c r="AX92" s="2218">
        <v>0</v>
      </c>
      <c r="AY92" s="2213"/>
      <c r="BB92" s="2218">
        <v>0</v>
      </c>
      <c r="BC92" s="2213"/>
      <c r="BF92" s="2218">
        <v>0</v>
      </c>
      <c r="BG92" s="2213"/>
      <c r="BJ92" s="2218">
        <v>0</v>
      </c>
      <c r="BK92" s="2213"/>
      <c r="BN92" s="2225">
        <v>0</v>
      </c>
      <c r="BO92" s="2215"/>
      <c r="BP92" s="161"/>
      <c r="BR92" s="2225">
        <v>0</v>
      </c>
      <c r="BS92" s="2215"/>
      <c r="BT92" s="161"/>
      <c r="BV92" s="2225">
        <v>0</v>
      </c>
      <c r="BW92" s="2215"/>
      <c r="BX92" s="161"/>
      <c r="BZ92" s="2225">
        <v>0</v>
      </c>
      <c r="CA92" s="2215"/>
      <c r="CB92" s="161"/>
      <c r="CD92" s="2225">
        <v>0</v>
      </c>
      <c r="CE92" s="2215"/>
      <c r="CF92" s="161"/>
      <c r="CH92" s="2225">
        <v>0</v>
      </c>
      <c r="CI92" s="2215"/>
      <c r="CJ92" s="161"/>
      <c r="CL92" s="2225">
        <v>0</v>
      </c>
      <c r="CM92" s="2215"/>
      <c r="CN92" s="161"/>
      <c r="CP92" s="2225">
        <v>0</v>
      </c>
      <c r="CQ92" s="2215"/>
      <c r="CR92" s="161"/>
      <c r="CT92" s="2225">
        <v>0</v>
      </c>
      <c r="CU92" s="2215"/>
      <c r="CV92" s="161"/>
      <c r="CW92" s="161"/>
      <c r="CX92" s="2225">
        <v>0</v>
      </c>
      <c r="CY92" s="161"/>
      <c r="CZ92" s="161"/>
      <c r="DA92" s="161"/>
      <c r="DB92" s="2225">
        <v>0</v>
      </c>
      <c r="DC92" s="161"/>
      <c r="DD92" s="161"/>
      <c r="DE92" s="161"/>
      <c r="DF92" s="2225">
        <v>0</v>
      </c>
      <c r="DG92" s="161"/>
      <c r="DH92" s="161"/>
      <c r="DI92" s="161"/>
      <c r="DJ92" s="2225">
        <v>0</v>
      </c>
      <c r="DK92" s="161"/>
      <c r="DL92" s="161"/>
      <c r="DM92" s="161"/>
      <c r="DN92" s="2225">
        <v>0</v>
      </c>
      <c r="DO92" s="161"/>
      <c r="DP92" s="161"/>
      <c r="DQ92" s="161"/>
      <c r="DR92" s="2225">
        <v>0</v>
      </c>
      <c r="DS92" s="161"/>
      <c r="DT92" s="161"/>
    </row>
    <row r="93" spans="1:125" hidden="1" outlineLevel="1">
      <c r="A93" s="23" t="str">
        <f>$A$13</f>
        <v>4Q</v>
      </c>
      <c r="B93" s="23" t="str">
        <f>$B$13</f>
        <v>Jan</v>
      </c>
      <c r="D93" s="2220">
        <v>0</v>
      </c>
      <c r="F93" s="2220">
        <v>0</v>
      </c>
      <c r="G93" s="2213"/>
      <c r="J93" s="2220">
        <v>0</v>
      </c>
      <c r="K93" s="2213"/>
      <c r="N93" s="2220">
        <v>0</v>
      </c>
      <c r="O93" s="2213"/>
      <c r="R93" s="2220">
        <v>0</v>
      </c>
      <c r="S93" s="2213"/>
      <c r="V93" s="2220">
        <v>0</v>
      </c>
      <c r="W93" s="2213"/>
      <c r="Z93" s="2220">
        <v>-22.373999999999999</v>
      </c>
      <c r="AA93" s="2213"/>
      <c r="AD93" s="2220">
        <v>-28.623000000000001</v>
      </c>
      <c r="AE93" s="2213"/>
      <c r="AH93" s="2220">
        <v>-32.432000000000002</v>
      </c>
      <c r="AI93" s="2213"/>
      <c r="AL93" s="2220">
        <v>-35.715000000000003</v>
      </c>
      <c r="AM93" s="2213"/>
      <c r="AP93" s="2220">
        <v>0</v>
      </c>
      <c r="AQ93" s="2213"/>
      <c r="AT93" s="2220">
        <v>0</v>
      </c>
      <c r="AU93" s="2213"/>
      <c r="AX93" s="2220">
        <v>0</v>
      </c>
      <c r="AY93" s="2213"/>
      <c r="BB93" s="2220">
        <v>0</v>
      </c>
      <c r="BC93" s="2213"/>
      <c r="BF93" s="2220">
        <v>0</v>
      </c>
      <c r="BG93" s="2213"/>
      <c r="BJ93" s="2220">
        <v>0</v>
      </c>
      <c r="BK93" s="2213"/>
      <c r="BN93" s="2227">
        <v>0</v>
      </c>
      <c r="BO93" s="2215"/>
      <c r="BP93" s="161"/>
      <c r="BR93" s="2227">
        <v>0</v>
      </c>
      <c r="BS93" s="2215"/>
      <c r="BT93" s="161"/>
      <c r="BV93" s="2227">
        <v>0</v>
      </c>
      <c r="BW93" s="2215"/>
      <c r="BX93" s="161"/>
      <c r="BZ93" s="2227">
        <v>0</v>
      </c>
      <c r="CA93" s="2215"/>
      <c r="CB93" s="161"/>
      <c r="CD93" s="2227">
        <v>0</v>
      </c>
      <c r="CE93" s="2215"/>
      <c r="CF93" s="161"/>
      <c r="CH93" s="2227">
        <v>0</v>
      </c>
      <c r="CI93" s="2215"/>
      <c r="CJ93" s="161"/>
      <c r="CL93" s="2227">
        <v>0</v>
      </c>
      <c r="CM93" s="2215"/>
      <c r="CN93" s="161"/>
      <c r="CP93" s="2227">
        <v>0</v>
      </c>
      <c r="CQ93" s="2215"/>
      <c r="CR93" s="161"/>
      <c r="CT93" s="2227">
        <v>0</v>
      </c>
      <c r="CU93" s="2215"/>
      <c r="CV93" s="161"/>
      <c r="CW93" s="161"/>
      <c r="CX93" s="2227">
        <v>0</v>
      </c>
      <c r="CY93" s="161"/>
      <c r="CZ93" s="161"/>
      <c r="DA93" s="161"/>
      <c r="DB93" s="2227">
        <v>0</v>
      </c>
      <c r="DC93" s="161"/>
      <c r="DD93" s="161"/>
      <c r="DE93" s="161"/>
      <c r="DF93" s="2227">
        <v>0</v>
      </c>
      <c r="DG93" s="161"/>
      <c r="DH93" s="161"/>
      <c r="DI93" s="161"/>
      <c r="DJ93" s="2227">
        <v>0</v>
      </c>
      <c r="DK93" s="161"/>
      <c r="DL93" s="161"/>
      <c r="DM93" s="161"/>
      <c r="DN93" s="2227">
        <v>0</v>
      </c>
      <c r="DO93" s="161"/>
      <c r="DP93" s="161"/>
      <c r="DQ93" s="161"/>
      <c r="DR93" s="2227">
        <v>0</v>
      </c>
      <c r="DS93" s="161"/>
      <c r="DT93" s="161"/>
    </row>
    <row r="94" spans="1:125" hidden="1" outlineLevel="1">
      <c r="B94" s="23" t="str">
        <f>$B$14</f>
        <v>Year</v>
      </c>
      <c r="D94" s="1854">
        <f>SUM(D90:D93)</f>
        <v>0</v>
      </c>
      <c r="F94" s="1854">
        <f>SUM(F90:F93)</f>
        <v>0</v>
      </c>
      <c r="G94" s="2213"/>
      <c r="J94" s="1854">
        <f>SUM(J90:J93)</f>
        <v>0</v>
      </c>
      <c r="K94" s="2213"/>
      <c r="N94" s="1854">
        <f>SUM(N90:N93)</f>
        <v>0</v>
      </c>
      <c r="O94" s="2213"/>
      <c r="R94" s="1854">
        <f>SUM(R90:R93)</f>
        <v>0</v>
      </c>
      <c r="S94" s="2213"/>
      <c r="V94" s="1854">
        <f>SUM(V90:V93)</f>
        <v>0</v>
      </c>
      <c r="W94" s="2213"/>
      <c r="Z94" s="1854">
        <f>SUM(Z90:Z93)</f>
        <v>-22.373999999999999</v>
      </c>
      <c r="AA94" s="2213"/>
      <c r="AD94" s="1854">
        <f>SUM(AD90:AD93)</f>
        <v>-45.646000000000001</v>
      </c>
      <c r="AE94" s="2213"/>
      <c r="AH94" s="1854">
        <f>SUM(AH90:AH93)</f>
        <v>-55.117000000000004</v>
      </c>
      <c r="AI94" s="2213"/>
      <c r="AL94" s="1854">
        <f>SUM(AL90:AL93)</f>
        <v>-62.436</v>
      </c>
      <c r="AM94" s="2213"/>
      <c r="AP94" s="1854">
        <f>SUM(AP90:AP93)</f>
        <v>0</v>
      </c>
      <c r="AQ94" s="2213"/>
      <c r="AT94" s="1854">
        <f>SUM(AT90:AT93)</f>
        <v>0</v>
      </c>
      <c r="AU94" s="2213"/>
      <c r="AX94" s="1854">
        <f>SUM(AX90:AX93)</f>
        <v>0</v>
      </c>
      <c r="AY94" s="2213"/>
      <c r="BB94" s="1854">
        <f>SUM(BB90:BB93)</f>
        <v>6.0629999999999997</v>
      </c>
      <c r="BC94" s="2213"/>
      <c r="BF94" s="1854">
        <f>SUM(BF90:BF93)</f>
        <v>0</v>
      </c>
      <c r="BG94" s="2213"/>
      <c r="BJ94" s="1854">
        <f>SUM(BJ90:BJ93)</f>
        <v>0</v>
      </c>
      <c r="BK94" s="2213"/>
      <c r="BN94" s="1855">
        <f>SUM(BN90:BN93)</f>
        <v>0</v>
      </c>
      <c r="BO94" s="2215"/>
      <c r="BP94" s="161"/>
      <c r="BR94" s="1855">
        <f>SUM(BR90:BR93)</f>
        <v>0</v>
      </c>
      <c r="BS94" s="2215"/>
      <c r="BT94" s="161"/>
      <c r="BV94" s="1855">
        <f>SUM(BV90:BV93)</f>
        <v>0</v>
      </c>
      <c r="BW94" s="2215"/>
      <c r="BX94" s="161"/>
      <c r="BZ94" s="1855">
        <f>SUM(BZ90:BZ93)</f>
        <v>0</v>
      </c>
      <c r="CA94" s="2215"/>
      <c r="CB94" s="161"/>
      <c r="CD94" s="1855">
        <f>SUM(CD90:CD93)</f>
        <v>0</v>
      </c>
      <c r="CE94" s="2215"/>
      <c r="CF94" s="161"/>
      <c r="CH94" s="1855">
        <f>SUM(CH90:CH93)</f>
        <v>0</v>
      </c>
      <c r="CI94" s="2215"/>
      <c r="CJ94" s="161"/>
      <c r="CL94" s="1855">
        <f>SUM(CL90:CL93)</f>
        <v>0</v>
      </c>
      <c r="CM94" s="2215"/>
      <c r="CN94" s="161"/>
      <c r="CP94" s="1855">
        <f>SUM(CP90:CP93)</f>
        <v>0</v>
      </c>
      <c r="CQ94" s="2215"/>
      <c r="CR94" s="161"/>
      <c r="CT94" s="1855">
        <f>SUM(CT90:CT93)</f>
        <v>0</v>
      </c>
      <c r="CU94" s="2215"/>
      <c r="CV94" s="161"/>
      <c r="CW94" s="161"/>
      <c r="CX94" s="1855">
        <f>SUM(CX90:CX93)</f>
        <v>0</v>
      </c>
      <c r="CY94" s="161"/>
      <c r="CZ94" s="161"/>
      <c r="DA94" s="161"/>
      <c r="DB94" s="1855">
        <f>SUM(DB90:DB93)</f>
        <v>0</v>
      </c>
      <c r="DC94" s="161"/>
      <c r="DD94" s="161"/>
      <c r="DE94" s="161"/>
      <c r="DF94" s="1855">
        <f>SUM(DF90:DF93)</f>
        <v>0</v>
      </c>
      <c r="DG94" s="161"/>
      <c r="DH94" s="161"/>
      <c r="DI94" s="161"/>
      <c r="DJ94" s="1855">
        <f>SUM(DJ90:DJ93)</f>
        <v>0</v>
      </c>
      <c r="DK94" s="161"/>
      <c r="DL94" s="161"/>
      <c r="DM94" s="161"/>
      <c r="DN94" s="1855">
        <f>SUM(DN90:DN93)</f>
        <v>0</v>
      </c>
      <c r="DO94" s="161"/>
      <c r="DP94" s="161"/>
      <c r="DQ94" s="161"/>
      <c r="DR94" s="1855">
        <f>SUM(DR90:DR93)</f>
        <v>0</v>
      </c>
      <c r="DS94" s="161"/>
      <c r="DT94" s="161"/>
    </row>
    <row r="95" spans="1:125" hidden="1" outlineLevel="1">
      <c r="A95" s="23" t="str">
        <f>$A$15</f>
        <v>6 Mos</v>
      </c>
      <c r="D95" s="1899">
        <f>SUM(D90:D91)</f>
        <v>0</v>
      </c>
      <c r="F95" s="1899">
        <f>SUM(F90:F91)</f>
        <v>0</v>
      </c>
      <c r="G95" s="2213"/>
      <c r="J95" s="1899">
        <f>SUM(J90:J91)</f>
        <v>0</v>
      </c>
      <c r="K95" s="2213"/>
      <c r="N95" s="1899">
        <f>SUM(N90:N91)</f>
        <v>0</v>
      </c>
      <c r="O95" s="2213"/>
      <c r="R95" s="1899">
        <f>SUM(R90:R91)</f>
        <v>0</v>
      </c>
      <c r="S95" s="2213"/>
      <c r="V95" s="1899">
        <f>SUM(V90:V91)</f>
        <v>0</v>
      </c>
      <c r="W95" s="2213"/>
      <c r="Z95" s="1899">
        <f>SUM(Z90:Z91)</f>
        <v>0</v>
      </c>
      <c r="AA95" s="2213"/>
      <c r="AD95" s="1899">
        <f>SUM(AD90:AD91)</f>
        <v>-12.449</v>
      </c>
      <c r="AE95" s="2213"/>
      <c r="AH95" s="1899">
        <f>SUM(AH90:AH91)</f>
        <v>-17.213999999999999</v>
      </c>
      <c r="AI95" s="2213"/>
      <c r="AL95" s="1899">
        <f>SUM(AL90:AL91)</f>
        <v>-20.640999999999998</v>
      </c>
      <c r="AM95" s="2213"/>
      <c r="AP95" s="1899">
        <f>SUM(AP90:AP91)</f>
        <v>0</v>
      </c>
      <c r="AQ95" s="2213"/>
      <c r="AT95" s="1899">
        <f>SUM(AT90:AT91)</f>
        <v>0</v>
      </c>
      <c r="AU95" s="2213"/>
      <c r="AX95" s="1899">
        <f>SUM(AX90:AX91)</f>
        <v>0</v>
      </c>
      <c r="AY95" s="2213"/>
      <c r="BB95" s="1899">
        <f>SUM(BB90:BB91)</f>
        <v>6.0629999999999997</v>
      </c>
      <c r="BC95" s="2213"/>
      <c r="BF95" s="1899">
        <f>SUM(BF90:BF91)</f>
        <v>0</v>
      </c>
      <c r="BG95" s="2213"/>
      <c r="BJ95" s="1899">
        <f>SUM(BJ90:BJ91)</f>
        <v>0</v>
      </c>
      <c r="BK95" s="2213"/>
      <c r="BN95" s="2202">
        <f>SUM(BN90:BN91)</f>
        <v>0</v>
      </c>
      <c r="BO95" s="2215"/>
      <c r="BP95" s="161"/>
      <c r="BR95" s="2202">
        <f>SUM(BR90:BR91)</f>
        <v>0</v>
      </c>
      <c r="BS95" s="2215"/>
      <c r="BT95" s="161"/>
      <c r="BV95" s="2202">
        <f>SUM(BV90:BV91)</f>
        <v>0</v>
      </c>
      <c r="BW95" s="2215"/>
      <c r="BX95" s="161"/>
      <c r="BZ95" s="2202">
        <f>SUM(BZ90:BZ91)</f>
        <v>0</v>
      </c>
      <c r="CA95" s="2215"/>
      <c r="CB95" s="161"/>
      <c r="CD95" s="2202">
        <f>SUM(CD90:CD91)</f>
        <v>0</v>
      </c>
      <c r="CE95" s="2215"/>
      <c r="CF95" s="161"/>
      <c r="CH95" s="2202">
        <f>SUM(CH90:CH91)</f>
        <v>0</v>
      </c>
      <c r="CI95" s="2215"/>
      <c r="CJ95" s="161"/>
      <c r="CL95" s="2202">
        <f>SUM(CL90:CL91)</f>
        <v>0</v>
      </c>
      <c r="CM95" s="2215"/>
      <c r="CN95" s="161"/>
      <c r="CP95" s="2202">
        <f>SUM(CP90:CP91)</f>
        <v>0</v>
      </c>
      <c r="CQ95" s="2215"/>
      <c r="CR95" s="161"/>
      <c r="CT95" s="2202">
        <f>SUM(CT90:CT91)</f>
        <v>0</v>
      </c>
      <c r="CU95" s="2215"/>
      <c r="CV95" s="161"/>
      <c r="CW95" s="161"/>
      <c r="CX95" s="2202">
        <f>SUM(CX90:CX91)</f>
        <v>0</v>
      </c>
      <c r="CY95" s="161"/>
      <c r="CZ95" s="161"/>
      <c r="DA95" s="161"/>
      <c r="DB95" s="2202">
        <f>SUM(DB90:DB91)</f>
        <v>0</v>
      </c>
      <c r="DC95" s="161"/>
      <c r="DD95" s="161"/>
      <c r="DE95" s="161"/>
      <c r="DF95" s="2202">
        <f>SUM(DF90:DF91)</f>
        <v>0</v>
      </c>
      <c r="DG95" s="161"/>
      <c r="DH95" s="161"/>
      <c r="DI95" s="161"/>
      <c r="DJ95" s="2202">
        <f>SUM(DJ90:DJ91)</f>
        <v>0</v>
      </c>
      <c r="DK95" s="161"/>
      <c r="DL95" s="161"/>
      <c r="DM95" s="161"/>
      <c r="DN95" s="2202">
        <f>SUM(DN90:DN91)</f>
        <v>0</v>
      </c>
      <c r="DO95" s="161"/>
      <c r="DP95" s="161"/>
      <c r="DQ95" s="161"/>
      <c r="DR95" s="2202">
        <f>SUM(DR90:DR91)</f>
        <v>0</v>
      </c>
      <c r="DS95" s="161"/>
      <c r="DT95" s="161"/>
    </row>
    <row r="96" spans="1:125" hidden="1" outlineLevel="1">
      <c r="A96" s="23" t="str">
        <f>$A$16</f>
        <v>9 Mos</v>
      </c>
      <c r="D96" s="1899">
        <f>SUM(D90:D92)</f>
        <v>0</v>
      </c>
      <c r="F96" s="1899">
        <f>SUM(F90:F92)</f>
        <v>0</v>
      </c>
      <c r="G96" s="2213"/>
      <c r="J96" s="1899">
        <f>SUM(J90:J92)</f>
        <v>0</v>
      </c>
      <c r="K96" s="2213"/>
      <c r="N96" s="1899">
        <f>SUM(N90:N92)</f>
        <v>0</v>
      </c>
      <c r="O96" s="2213"/>
      <c r="R96" s="1899">
        <f>SUM(R90:R92)</f>
        <v>0</v>
      </c>
      <c r="S96" s="2213"/>
      <c r="V96" s="1899">
        <f>SUM(V90:V92)</f>
        <v>0</v>
      </c>
      <c r="W96" s="2213"/>
      <c r="Z96" s="1899">
        <f>SUM(Z90:Z92)</f>
        <v>0</v>
      </c>
      <c r="AA96" s="2213"/>
      <c r="AD96" s="1899">
        <f>SUM(AD90:AD92)</f>
        <v>-17.023</v>
      </c>
      <c r="AE96" s="2213"/>
      <c r="AH96" s="1899">
        <f>SUM(AH90:AH92)</f>
        <v>-22.684999999999999</v>
      </c>
      <c r="AI96" s="2213"/>
      <c r="AL96" s="1899">
        <f>SUM(AL90:AL92)</f>
        <v>-26.720999999999997</v>
      </c>
      <c r="AM96" s="2213"/>
      <c r="AP96" s="1899">
        <f>SUM(AP90:AP92)</f>
        <v>0</v>
      </c>
      <c r="AQ96" s="2213"/>
      <c r="AT96" s="1899">
        <f>SUM(AT90:AT92)</f>
        <v>0</v>
      </c>
      <c r="AU96" s="2213"/>
      <c r="AX96" s="1899">
        <f>SUM(AX90:AX92)</f>
        <v>0</v>
      </c>
      <c r="AY96" s="2213"/>
      <c r="BB96" s="1899">
        <f>SUM(BB90:BB92)</f>
        <v>6.0629999999999997</v>
      </c>
      <c r="BC96" s="2213"/>
      <c r="BF96" s="1899">
        <f>SUM(BF90:BF92)</f>
        <v>0</v>
      </c>
      <c r="BG96" s="2213"/>
      <c r="BJ96" s="1899">
        <f>SUM(BJ90:BJ92)</f>
        <v>0</v>
      </c>
      <c r="BK96" s="2213"/>
      <c r="BN96" s="2202">
        <f>SUM(BN90:BN92)</f>
        <v>0</v>
      </c>
      <c r="BO96" s="2215"/>
      <c r="BP96" s="161"/>
      <c r="BR96" s="2202">
        <f>SUM(BR90:BR92)</f>
        <v>0</v>
      </c>
      <c r="BS96" s="2215"/>
      <c r="BT96" s="161"/>
      <c r="BV96" s="2202">
        <f>SUM(BV90:BV92)</f>
        <v>0</v>
      </c>
      <c r="BW96" s="2215"/>
      <c r="BX96" s="161"/>
      <c r="BZ96" s="2202">
        <f>SUM(BZ90:BZ92)</f>
        <v>0</v>
      </c>
      <c r="CA96" s="2215"/>
      <c r="CB96" s="161"/>
      <c r="CD96" s="2202">
        <f>SUM(CD90:CD92)</f>
        <v>0</v>
      </c>
      <c r="CE96" s="2215"/>
      <c r="CF96" s="161"/>
      <c r="CH96" s="2202">
        <f>SUM(CH90:CH92)</f>
        <v>0</v>
      </c>
      <c r="CI96" s="2215"/>
      <c r="CJ96" s="161"/>
      <c r="CL96" s="2202">
        <f>SUM(CL90:CL92)</f>
        <v>0</v>
      </c>
      <c r="CM96" s="2215"/>
      <c r="CN96" s="161"/>
      <c r="CP96" s="2202">
        <f>SUM(CP90:CP92)</f>
        <v>0</v>
      </c>
      <c r="CQ96" s="2215"/>
      <c r="CR96" s="161"/>
      <c r="CT96" s="2202">
        <f>SUM(CT90:CT92)</f>
        <v>0</v>
      </c>
      <c r="CU96" s="2215"/>
      <c r="CV96" s="161"/>
      <c r="CW96" s="161"/>
      <c r="CX96" s="2202">
        <f>SUM(CX90:CX92)</f>
        <v>0</v>
      </c>
      <c r="CY96" s="161"/>
      <c r="CZ96" s="161"/>
      <c r="DA96" s="161"/>
      <c r="DB96" s="2202">
        <f>SUM(DB90:DB92)</f>
        <v>0</v>
      </c>
      <c r="DC96" s="161"/>
      <c r="DD96" s="161"/>
      <c r="DE96" s="161"/>
      <c r="DF96" s="2202">
        <f>SUM(DF90:DF92)</f>
        <v>0</v>
      </c>
      <c r="DG96" s="161"/>
      <c r="DH96" s="161"/>
      <c r="DI96" s="161"/>
      <c r="DJ96" s="2202">
        <f>SUM(DJ90:DJ92)</f>
        <v>0</v>
      </c>
      <c r="DK96" s="161"/>
      <c r="DL96" s="161"/>
      <c r="DM96" s="161"/>
      <c r="DN96" s="2202">
        <f>SUM(DN90:DN92)</f>
        <v>0</v>
      </c>
      <c r="DO96" s="161"/>
      <c r="DP96" s="161"/>
      <c r="DQ96" s="161"/>
      <c r="DR96" s="2202">
        <f>SUM(DR90:DR92)</f>
        <v>0</v>
      </c>
      <c r="DS96" s="161"/>
      <c r="DT96" s="161"/>
    </row>
    <row r="97" spans="1:125" hidden="1" outlineLevel="1">
      <c r="BN97" s="161"/>
      <c r="BO97" s="161"/>
      <c r="BP97" s="161"/>
      <c r="BR97" s="161"/>
      <c r="BS97" s="161"/>
      <c r="BT97" s="161"/>
      <c r="BV97" s="161"/>
      <c r="BW97" s="161"/>
      <c r="BX97" s="161"/>
      <c r="BZ97" s="161"/>
      <c r="CA97" s="161"/>
      <c r="CB97" s="161"/>
      <c r="CD97" s="161"/>
      <c r="CE97" s="161"/>
      <c r="CF97" s="161"/>
      <c r="CH97" s="161"/>
      <c r="CI97" s="161"/>
      <c r="CJ97" s="161"/>
      <c r="CL97" s="161"/>
      <c r="CM97" s="161"/>
      <c r="CN97" s="161"/>
      <c r="CP97" s="161"/>
      <c r="CQ97" s="161"/>
      <c r="CR97" s="161"/>
      <c r="CT97" s="161"/>
      <c r="CU97" s="161"/>
      <c r="CV97" s="161"/>
      <c r="CW97" s="161"/>
      <c r="CX97" s="161"/>
      <c r="CY97" s="161"/>
      <c r="CZ97" s="161"/>
      <c r="DA97" s="161"/>
      <c r="DB97" s="161"/>
      <c r="DC97" s="161"/>
      <c r="DD97" s="161"/>
      <c r="DE97" s="161"/>
      <c r="DF97" s="161"/>
      <c r="DG97" s="161"/>
      <c r="DH97" s="161"/>
      <c r="DI97" s="161"/>
      <c r="DJ97" s="161"/>
      <c r="DK97" s="161"/>
      <c r="DL97" s="161"/>
      <c r="DM97" s="161"/>
      <c r="DN97" s="161"/>
      <c r="DO97" s="161"/>
      <c r="DP97" s="161"/>
      <c r="DQ97" s="161"/>
      <c r="DR97" s="161"/>
      <c r="DS97" s="161"/>
      <c r="DT97" s="161"/>
    </row>
    <row r="98" spans="1:125" hidden="1" outlineLevel="1" collapsed="1">
      <c r="E98" s="1936">
        <f>AH98</f>
        <v>0</v>
      </c>
      <c r="Z98" s="2176"/>
      <c r="AA98" s="2177"/>
      <c r="AB98" s="2177"/>
      <c r="AC98" s="2177"/>
      <c r="AD98" s="2244"/>
      <c r="AE98" s="2177"/>
      <c r="AF98" s="2177"/>
      <c r="AG98" s="2177"/>
      <c r="AH98" s="2176"/>
      <c r="AI98" s="2177"/>
      <c r="AJ98" s="2177"/>
      <c r="AK98" s="2177"/>
      <c r="AM98" s="2177"/>
      <c r="AN98" s="2177"/>
      <c r="AO98" s="2177"/>
      <c r="AQ98" s="2177"/>
      <c r="AR98" s="2177"/>
      <c r="AS98" s="2177"/>
      <c r="AU98" s="2177"/>
      <c r="AV98" s="2177"/>
      <c r="AW98" s="2177"/>
      <c r="AY98" s="2177"/>
      <c r="AZ98" s="2177"/>
      <c r="BA98" s="2177"/>
      <c r="BB98" s="2176"/>
      <c r="BC98" s="2177"/>
      <c r="BD98" s="2177"/>
      <c r="BE98" s="2177"/>
      <c r="BF98" s="2244"/>
      <c r="BG98" s="2177"/>
      <c r="BH98" s="2177"/>
      <c r="BI98" s="2177"/>
      <c r="BJ98" s="2176" t="s">
        <v>1276</v>
      </c>
      <c r="BK98" s="2177"/>
      <c r="BL98" s="2177"/>
      <c r="BM98" s="2177"/>
      <c r="BN98" s="2245"/>
      <c r="BO98" s="2179"/>
      <c r="BP98" s="2179"/>
      <c r="BQ98" s="2177"/>
      <c r="BR98" s="2245"/>
      <c r="BS98" s="2179"/>
      <c r="BT98" s="2179"/>
      <c r="BU98" s="2177"/>
      <c r="BV98" s="2176" t="s">
        <v>1276</v>
      </c>
      <c r="BW98" s="2179"/>
      <c r="BX98" s="2179"/>
      <c r="BY98" s="2177"/>
      <c r="BZ98" s="2245"/>
      <c r="CA98" s="2179"/>
      <c r="CB98" s="2179"/>
      <c r="CC98" s="2177"/>
      <c r="CD98" s="2245"/>
      <c r="CE98" s="2179"/>
      <c r="CF98" s="2179"/>
      <c r="CG98" s="2177"/>
      <c r="CH98" s="2245"/>
      <c r="CI98" s="2179"/>
      <c r="CJ98" s="2179"/>
      <c r="CK98" s="2177"/>
      <c r="CL98" s="2245"/>
      <c r="CM98" s="2179"/>
      <c r="CN98" s="2179"/>
      <c r="CO98" s="2177"/>
      <c r="CP98" s="2245"/>
      <c r="CQ98" s="2179"/>
      <c r="CR98" s="2179"/>
      <c r="CS98" s="2177"/>
      <c r="CT98" s="2245"/>
      <c r="CU98" s="2179"/>
      <c r="CV98" s="2179"/>
      <c r="CW98" s="2179"/>
      <c r="CX98" s="2245"/>
      <c r="CY98" s="2179"/>
      <c r="CZ98" s="2179"/>
      <c r="DA98" s="2179"/>
      <c r="DB98" s="2245"/>
      <c r="DC98" s="2179"/>
      <c r="DD98" s="2179"/>
      <c r="DE98" s="2179"/>
      <c r="DF98" s="2245"/>
      <c r="DG98" s="2179"/>
      <c r="DH98" s="2179"/>
      <c r="DI98" s="2179"/>
      <c r="DJ98" s="2245"/>
      <c r="DK98" s="2179"/>
      <c r="DL98" s="2179"/>
      <c r="DM98" s="2179"/>
      <c r="DN98" s="2245"/>
      <c r="DO98" s="2179"/>
      <c r="DP98" s="2179"/>
      <c r="DQ98" s="2179"/>
      <c r="DR98" s="2245"/>
      <c r="DS98" s="2179"/>
      <c r="DT98" s="2179"/>
      <c r="DU98" s="2177"/>
    </row>
    <row r="99" spans="1:125" hidden="1" outlineLevel="1">
      <c r="BN99" s="161"/>
      <c r="BO99" s="161"/>
      <c r="BP99" s="161"/>
      <c r="BR99" s="161"/>
      <c r="BS99" s="161"/>
      <c r="BT99" s="161"/>
      <c r="BV99" s="161"/>
      <c r="BW99" s="161"/>
      <c r="BX99" s="161"/>
      <c r="BZ99" s="161"/>
      <c r="CA99" s="161"/>
      <c r="CB99" s="161"/>
      <c r="CD99" s="161"/>
      <c r="CE99" s="161"/>
      <c r="CF99" s="161"/>
      <c r="CH99" s="161"/>
      <c r="CI99" s="161"/>
      <c r="CJ99" s="161"/>
      <c r="CL99" s="161"/>
      <c r="CM99" s="161"/>
      <c r="CN99" s="161"/>
      <c r="CP99" s="161"/>
      <c r="CQ99" s="161"/>
      <c r="CR99" s="161"/>
      <c r="CT99" s="161"/>
      <c r="CU99" s="161"/>
      <c r="CV99" s="161"/>
      <c r="CW99" s="161"/>
      <c r="CX99" s="161"/>
      <c r="CY99" s="161"/>
      <c r="CZ99" s="161"/>
      <c r="DA99" s="161"/>
      <c r="DB99" s="161"/>
      <c r="DC99" s="161"/>
      <c r="DD99" s="161"/>
      <c r="DE99" s="161"/>
      <c r="DF99" s="161"/>
      <c r="DG99" s="161"/>
      <c r="DH99" s="161"/>
      <c r="DI99" s="161"/>
      <c r="DJ99" s="161"/>
      <c r="DK99" s="161"/>
      <c r="DL99" s="161"/>
      <c r="DM99" s="161"/>
      <c r="DN99" s="161"/>
      <c r="DO99" s="161"/>
      <c r="DP99" s="161"/>
      <c r="DQ99" s="161"/>
      <c r="DR99" s="161"/>
      <c r="DS99" s="161"/>
      <c r="DT99" s="161"/>
    </row>
    <row r="100" spans="1:125" hidden="1" outlineLevel="1">
      <c r="A100" s="23" t="str">
        <f>$A$10</f>
        <v>1Q</v>
      </c>
      <c r="B100" s="23" t="str">
        <f>$B$10</f>
        <v>Apr</v>
      </c>
      <c r="D100" s="2183">
        <v>0</v>
      </c>
      <c r="F100" s="2183">
        <v>0</v>
      </c>
      <c r="G100" s="2213"/>
      <c r="J100" s="2183">
        <v>0</v>
      </c>
      <c r="K100" s="2213"/>
      <c r="N100" s="2183">
        <v>9.1170000000000009</v>
      </c>
      <c r="O100" s="2213"/>
      <c r="R100" s="2183">
        <v>0</v>
      </c>
      <c r="S100" s="2213"/>
      <c r="V100" s="2183">
        <v>0</v>
      </c>
      <c r="W100" s="2213"/>
      <c r="Z100" s="2183">
        <v>0</v>
      </c>
      <c r="AA100" s="2213"/>
      <c r="AD100" s="2183">
        <v>0</v>
      </c>
      <c r="AE100" s="2213"/>
      <c r="AH100" s="2186">
        <v>8.6</v>
      </c>
      <c r="AI100" s="2213"/>
      <c r="AL100" s="2183">
        <v>0</v>
      </c>
      <c r="AM100" s="2213"/>
      <c r="AP100" s="2183">
        <v>0</v>
      </c>
      <c r="AQ100" s="2213"/>
      <c r="AT100" s="2183">
        <v>0</v>
      </c>
      <c r="AU100" s="2213"/>
      <c r="AX100" s="2183">
        <v>0</v>
      </c>
      <c r="AY100" s="2213"/>
      <c r="BB100" s="2183">
        <v>0</v>
      </c>
      <c r="BC100" s="2213"/>
      <c r="BF100" s="2183">
        <v>79.686000000000007</v>
      </c>
      <c r="BG100" s="2213"/>
      <c r="BJ100" s="2183">
        <v>0</v>
      </c>
      <c r="BK100" s="2213"/>
      <c r="BN100" s="2186">
        <v>0</v>
      </c>
      <c r="BO100" s="2215"/>
      <c r="BP100" s="161"/>
      <c r="BR100" s="2186">
        <v>0</v>
      </c>
      <c r="BS100" s="2215"/>
      <c r="BT100" s="161"/>
      <c r="BV100" s="2186">
        <v>0</v>
      </c>
      <c r="BW100" s="2215"/>
      <c r="BX100" s="161"/>
      <c r="BZ100" s="2186">
        <v>0</v>
      </c>
      <c r="CA100" s="2215"/>
      <c r="CB100" s="161"/>
      <c r="CD100" s="2186">
        <v>0</v>
      </c>
      <c r="CE100" s="2215"/>
      <c r="CF100" s="161"/>
      <c r="CH100" s="2186">
        <v>0</v>
      </c>
      <c r="CI100" s="2215"/>
      <c r="CJ100" s="161"/>
      <c r="CL100" s="2186">
        <v>0</v>
      </c>
      <c r="CM100" s="2215"/>
      <c r="CN100" s="161"/>
      <c r="CP100" s="2186">
        <v>0</v>
      </c>
      <c r="CQ100" s="2215"/>
      <c r="CR100" s="161"/>
      <c r="CT100" s="2186">
        <v>0</v>
      </c>
      <c r="CU100" s="2215"/>
      <c r="CV100" s="161"/>
      <c r="CW100" s="161"/>
      <c r="CX100" s="2186">
        <v>0</v>
      </c>
      <c r="CY100" s="161"/>
      <c r="CZ100" s="161"/>
      <c r="DA100" s="161"/>
      <c r="DB100" s="2186">
        <v>0</v>
      </c>
      <c r="DC100" s="161"/>
      <c r="DD100" s="161"/>
      <c r="DE100" s="161"/>
      <c r="DF100" s="2186">
        <v>0</v>
      </c>
      <c r="DG100" s="161"/>
      <c r="DH100" s="161"/>
      <c r="DI100" s="161"/>
      <c r="DJ100" s="2186">
        <v>0</v>
      </c>
      <c r="DK100" s="161"/>
      <c r="DL100" s="161"/>
      <c r="DM100" s="161"/>
      <c r="DN100" s="2186">
        <v>0</v>
      </c>
      <c r="DO100" s="161"/>
      <c r="DP100" s="161"/>
      <c r="DQ100" s="161"/>
      <c r="DR100" s="2186">
        <v>0</v>
      </c>
      <c r="DS100" s="161"/>
      <c r="DT100" s="161"/>
    </row>
    <row r="101" spans="1:125" hidden="1" outlineLevel="1">
      <c r="A101" s="23" t="str">
        <f>$A$11</f>
        <v>2Q</v>
      </c>
      <c r="B101" s="23" t="str">
        <f>$B$11</f>
        <v>Jul</v>
      </c>
      <c r="D101" s="2218">
        <v>0</v>
      </c>
      <c r="F101" s="2218">
        <v>0</v>
      </c>
      <c r="G101" s="2213"/>
      <c r="J101" s="2218">
        <v>0</v>
      </c>
      <c r="K101" s="2213"/>
      <c r="N101" s="2218">
        <v>0</v>
      </c>
      <c r="O101" s="2213"/>
      <c r="R101" s="2218">
        <v>0</v>
      </c>
      <c r="S101" s="2213"/>
      <c r="V101" s="2218">
        <v>0</v>
      </c>
      <c r="W101" s="2213"/>
      <c r="Z101" s="2218">
        <v>0</v>
      </c>
      <c r="AA101" s="2213"/>
      <c r="AD101" s="2218">
        <v>0</v>
      </c>
      <c r="AE101" s="2213"/>
      <c r="AH101" s="2218">
        <v>0</v>
      </c>
      <c r="AI101" s="2213"/>
      <c r="AL101" s="2218">
        <v>0</v>
      </c>
      <c r="AM101" s="2213"/>
      <c r="AP101" s="2218">
        <v>0</v>
      </c>
      <c r="AQ101" s="2213"/>
      <c r="AT101" s="2218">
        <v>0</v>
      </c>
      <c r="AU101" s="2213"/>
      <c r="AX101" s="2225">
        <v>62.101999999999997</v>
      </c>
      <c r="AY101" s="2213"/>
      <c r="BB101" s="2218">
        <v>0</v>
      </c>
      <c r="BC101" s="2213"/>
      <c r="BF101" s="2218">
        <v>0</v>
      </c>
      <c r="BG101" s="2213"/>
      <c r="BJ101" s="2218">
        <v>17.617000000000001</v>
      </c>
      <c r="BK101" s="2213"/>
      <c r="BN101" s="2225">
        <v>0</v>
      </c>
      <c r="BO101" s="2215"/>
      <c r="BP101" s="161"/>
      <c r="BR101" s="2225">
        <v>0</v>
      </c>
      <c r="BS101" s="2215"/>
      <c r="BT101" s="161"/>
      <c r="BV101" s="2225">
        <v>0</v>
      </c>
      <c r="BW101" s="2215"/>
      <c r="BX101" s="161"/>
      <c r="BZ101" s="2225">
        <v>0</v>
      </c>
      <c r="CA101" s="2215"/>
      <c r="CB101" s="161"/>
      <c r="CD101" s="2225">
        <v>0</v>
      </c>
      <c r="CE101" s="2215"/>
      <c r="CF101" s="161"/>
      <c r="CH101" s="2225">
        <v>0</v>
      </c>
      <c r="CI101" s="2215"/>
      <c r="CJ101" s="161"/>
      <c r="CL101" s="2225">
        <v>0</v>
      </c>
      <c r="CM101" s="2215"/>
      <c r="CN101" s="161"/>
      <c r="CP101" s="2225">
        <v>0</v>
      </c>
      <c r="CQ101" s="2215"/>
      <c r="CR101" s="161"/>
      <c r="CT101" s="2225">
        <v>0</v>
      </c>
      <c r="CU101" s="2215"/>
      <c r="CV101" s="161"/>
      <c r="CW101" s="161"/>
      <c r="CX101" s="2225">
        <v>0</v>
      </c>
      <c r="CY101" s="161"/>
      <c r="CZ101" s="161"/>
      <c r="DA101" s="161"/>
      <c r="DB101" s="2225">
        <v>0</v>
      </c>
      <c r="DC101" s="161"/>
      <c r="DD101" s="161"/>
      <c r="DE101" s="161"/>
      <c r="DF101" s="2225">
        <v>0</v>
      </c>
      <c r="DG101" s="161"/>
      <c r="DH101" s="161"/>
      <c r="DI101" s="161"/>
      <c r="DJ101" s="2225">
        <v>0</v>
      </c>
      <c r="DK101" s="161"/>
      <c r="DL101" s="161"/>
      <c r="DM101" s="161"/>
      <c r="DN101" s="2225">
        <v>0</v>
      </c>
      <c r="DO101" s="161"/>
      <c r="DP101" s="161"/>
      <c r="DQ101" s="161"/>
      <c r="DR101" s="2225">
        <v>0</v>
      </c>
      <c r="DS101" s="161"/>
      <c r="DT101" s="161"/>
    </row>
    <row r="102" spans="1:125" hidden="1" outlineLevel="1">
      <c r="A102" s="23" t="str">
        <f>$A$12</f>
        <v>3Q</v>
      </c>
      <c r="B102" s="23" t="str">
        <f>$B$12</f>
        <v>Oct</v>
      </c>
      <c r="D102" s="2218">
        <v>0</v>
      </c>
      <c r="F102" s="2218">
        <v>0</v>
      </c>
      <c r="G102" s="2213"/>
      <c r="J102" s="2218">
        <v>0</v>
      </c>
      <c r="K102" s="2213"/>
      <c r="N102" s="2218">
        <v>0</v>
      </c>
      <c r="O102" s="2213"/>
      <c r="R102" s="2218">
        <v>0</v>
      </c>
      <c r="S102" s="2213"/>
      <c r="V102" s="2218">
        <v>0</v>
      </c>
      <c r="W102" s="2213"/>
      <c r="Z102" s="2218">
        <v>613.5</v>
      </c>
      <c r="AA102" s="2213"/>
      <c r="AD102" s="2218">
        <v>118.56699999999999</v>
      </c>
      <c r="AE102" s="2213"/>
      <c r="AH102" s="2218">
        <v>0</v>
      </c>
      <c r="AI102" s="2213"/>
      <c r="AL102" s="2218">
        <v>0</v>
      </c>
      <c r="AM102" s="2213"/>
      <c r="AP102" s="2218">
        <v>11.002000000000001</v>
      </c>
      <c r="AQ102" s="2213"/>
      <c r="AT102" s="2218">
        <v>0</v>
      </c>
      <c r="AU102" s="2213"/>
      <c r="AX102" s="2218">
        <v>0</v>
      </c>
      <c r="AY102" s="2213"/>
      <c r="BB102" s="2218">
        <v>6.1239999999999997</v>
      </c>
      <c r="BC102" s="2213"/>
      <c r="BF102" s="2218">
        <v>128.35599999999999</v>
      </c>
      <c r="BG102" s="2213"/>
      <c r="BJ102" s="2218">
        <v>0</v>
      </c>
      <c r="BK102" s="2213"/>
      <c r="BN102" s="2225">
        <v>0</v>
      </c>
      <c r="BO102" s="2215"/>
      <c r="BP102" s="161"/>
      <c r="BR102" s="2225">
        <v>0</v>
      </c>
      <c r="BS102" s="2215"/>
      <c r="BT102" s="161"/>
      <c r="BV102" s="2225">
        <v>0</v>
      </c>
      <c r="BW102" s="2215"/>
      <c r="BX102" s="161"/>
      <c r="BZ102" s="2225">
        <v>0</v>
      </c>
      <c r="CA102" s="2215"/>
      <c r="CB102" s="161"/>
      <c r="CD102" s="2225">
        <v>0</v>
      </c>
      <c r="CE102" s="2215"/>
      <c r="CF102" s="161"/>
      <c r="CH102" s="2225">
        <v>0</v>
      </c>
      <c r="CI102" s="2215"/>
      <c r="CJ102" s="161"/>
      <c r="CL102" s="2225">
        <v>0</v>
      </c>
      <c r="CM102" s="2215"/>
      <c r="CN102" s="161"/>
      <c r="CP102" s="2225">
        <v>0</v>
      </c>
      <c r="CQ102" s="2215"/>
      <c r="CR102" s="161"/>
      <c r="CT102" s="2225">
        <v>0</v>
      </c>
      <c r="CU102" s="2215"/>
      <c r="CV102" s="161"/>
      <c r="CW102" s="161"/>
      <c r="CX102" s="2225">
        <v>0</v>
      </c>
      <c r="CY102" s="161"/>
      <c r="CZ102" s="161"/>
      <c r="DA102" s="161"/>
      <c r="DB102" s="2225">
        <v>0</v>
      </c>
      <c r="DC102" s="161"/>
      <c r="DD102" s="161"/>
      <c r="DE102" s="161"/>
      <c r="DF102" s="2225">
        <v>0</v>
      </c>
      <c r="DG102" s="161"/>
      <c r="DH102" s="161"/>
      <c r="DI102" s="161"/>
      <c r="DJ102" s="2225">
        <v>0</v>
      </c>
      <c r="DK102" s="161"/>
      <c r="DL102" s="161"/>
      <c r="DM102" s="161"/>
      <c r="DN102" s="2225">
        <v>0</v>
      </c>
      <c r="DO102" s="161"/>
      <c r="DP102" s="161"/>
      <c r="DQ102" s="161"/>
      <c r="DR102" s="2225">
        <v>0</v>
      </c>
      <c r="DS102" s="161"/>
      <c r="DT102" s="161"/>
    </row>
    <row r="103" spans="1:125" hidden="1" outlineLevel="1">
      <c r="A103" s="23" t="str">
        <f>$A$13</f>
        <v>4Q</v>
      </c>
      <c r="B103" s="23" t="str">
        <f>$B$13</f>
        <v>Jan</v>
      </c>
      <c r="D103" s="2220">
        <v>0</v>
      </c>
      <c r="F103" s="2220">
        <v>0</v>
      </c>
      <c r="G103" s="2213"/>
      <c r="J103" s="2220">
        <v>0</v>
      </c>
      <c r="K103" s="2213"/>
      <c r="N103" s="2220">
        <v>0</v>
      </c>
      <c r="O103" s="2213"/>
      <c r="R103" s="2220">
        <v>0</v>
      </c>
      <c r="S103" s="2213"/>
      <c r="V103" s="2220">
        <v>0</v>
      </c>
      <c r="W103" s="2213"/>
      <c r="Z103" s="2220">
        <v>35.966999999999999</v>
      </c>
      <c r="AA103" s="2213"/>
      <c r="AD103" s="2220">
        <v>0</v>
      </c>
      <c r="AE103" s="2213"/>
      <c r="AH103" s="2220">
        <v>0</v>
      </c>
      <c r="AI103" s="2213"/>
      <c r="AL103" s="2220">
        <v>0</v>
      </c>
      <c r="AM103" s="2213"/>
      <c r="AP103" s="2220">
        <v>0</v>
      </c>
      <c r="AQ103" s="2213"/>
      <c r="AT103" s="2220">
        <v>0</v>
      </c>
      <c r="AU103" s="2213"/>
      <c r="AX103" s="2220">
        <v>0</v>
      </c>
      <c r="AY103" s="2213"/>
      <c r="BB103" s="2220">
        <v>0</v>
      </c>
      <c r="BC103" s="2213"/>
      <c r="BF103" s="2220">
        <v>0</v>
      </c>
      <c r="BG103" s="2213"/>
      <c r="BJ103" s="2220">
        <v>0</v>
      </c>
      <c r="BK103" s="2213"/>
      <c r="BN103" s="2227">
        <v>0</v>
      </c>
      <c r="BO103" s="2215"/>
      <c r="BP103" s="161"/>
      <c r="BR103" s="2227">
        <v>0</v>
      </c>
      <c r="BS103" s="2215"/>
      <c r="BT103" s="161"/>
      <c r="BV103" s="2227">
        <v>0</v>
      </c>
      <c r="BW103" s="2215"/>
      <c r="BX103" s="161"/>
      <c r="BZ103" s="2227">
        <v>0</v>
      </c>
      <c r="CA103" s="2215"/>
      <c r="CB103" s="161"/>
      <c r="CD103" s="2227">
        <v>0</v>
      </c>
      <c r="CE103" s="2215"/>
      <c r="CF103" s="161"/>
      <c r="CH103" s="2227">
        <v>0</v>
      </c>
      <c r="CI103" s="2215"/>
      <c r="CJ103" s="161"/>
      <c r="CL103" s="2227">
        <v>0</v>
      </c>
      <c r="CM103" s="2215"/>
      <c r="CN103" s="161"/>
      <c r="CP103" s="2227">
        <v>0</v>
      </c>
      <c r="CQ103" s="2215"/>
      <c r="CR103" s="161"/>
      <c r="CT103" s="2227">
        <v>0</v>
      </c>
      <c r="CU103" s="2215"/>
      <c r="CV103" s="161"/>
      <c r="CW103" s="161"/>
      <c r="CX103" s="2227">
        <v>0</v>
      </c>
      <c r="CY103" s="161"/>
      <c r="CZ103" s="161"/>
      <c r="DA103" s="161"/>
      <c r="DB103" s="2227">
        <v>0</v>
      </c>
      <c r="DC103" s="161"/>
      <c r="DD103" s="161"/>
      <c r="DE103" s="161"/>
      <c r="DF103" s="2227">
        <v>0</v>
      </c>
      <c r="DG103" s="161"/>
      <c r="DH103" s="161"/>
      <c r="DI103" s="161"/>
      <c r="DJ103" s="2227">
        <v>0</v>
      </c>
      <c r="DK103" s="161"/>
      <c r="DL103" s="161"/>
      <c r="DM103" s="161"/>
      <c r="DN103" s="2227">
        <v>0</v>
      </c>
      <c r="DO103" s="161"/>
      <c r="DP103" s="161"/>
      <c r="DQ103" s="161"/>
      <c r="DR103" s="2227">
        <v>0</v>
      </c>
      <c r="DS103" s="161"/>
      <c r="DT103" s="161"/>
    </row>
    <row r="104" spans="1:125" hidden="1" outlineLevel="1">
      <c r="B104" s="23" t="str">
        <f>$B$14</f>
        <v>Year</v>
      </c>
      <c r="D104" s="1854">
        <f>SUM(D100:D103)</f>
        <v>0</v>
      </c>
      <c r="F104" s="1854">
        <f>SUM(F100:F103)</f>
        <v>0</v>
      </c>
      <c r="G104" s="2213"/>
      <c r="J104" s="1854">
        <f>SUM(J100:J103)</f>
        <v>0</v>
      </c>
      <c r="K104" s="2213"/>
      <c r="N104" s="1854">
        <f>SUM(N100:N103)</f>
        <v>9.1170000000000009</v>
      </c>
      <c r="O104" s="2213"/>
      <c r="R104" s="1854">
        <f>SUM(R100:R103)</f>
        <v>0</v>
      </c>
      <c r="S104" s="2213"/>
      <c r="V104" s="1854">
        <f>SUM(V100:V103)</f>
        <v>0</v>
      </c>
      <c r="W104" s="2213"/>
      <c r="Z104" s="1854">
        <f>SUM(Z100:Z103)</f>
        <v>649.46699999999998</v>
      </c>
      <c r="AA104" s="2213"/>
      <c r="AD104" s="1854">
        <f>SUM(AD100:AD103)</f>
        <v>118.56699999999999</v>
      </c>
      <c r="AE104" s="2213"/>
      <c r="AH104" s="1854">
        <f>SUM(AH100:AH103)</f>
        <v>8.6</v>
      </c>
      <c r="AI104" s="2213"/>
      <c r="AL104" s="1854">
        <f>SUM(AL100:AL103)</f>
        <v>0</v>
      </c>
      <c r="AM104" s="2213"/>
      <c r="AP104" s="1854">
        <f>SUM(AP100:AP103)</f>
        <v>11.002000000000001</v>
      </c>
      <c r="AQ104" s="2213"/>
      <c r="AT104" s="1854">
        <f>SUM(AT100:AT103)</f>
        <v>0</v>
      </c>
      <c r="AU104" s="2213"/>
      <c r="AX104" s="1854">
        <f>SUM(AX100:AX103)</f>
        <v>62.101999999999997</v>
      </c>
      <c r="AY104" s="2213"/>
      <c r="BB104" s="1854">
        <f>SUM(BB100:BB103)</f>
        <v>6.1239999999999997</v>
      </c>
      <c r="BC104" s="2213"/>
      <c r="BF104" s="1854">
        <f>SUM(BF100:BF103)</f>
        <v>208.042</v>
      </c>
      <c r="BG104" s="492"/>
      <c r="BJ104" s="1854">
        <f>SUM(BJ100:BJ103)</f>
        <v>17.617000000000001</v>
      </c>
      <c r="BK104" s="2213"/>
      <c r="BN104" s="1855">
        <f>SUM(BN100:BN103)</f>
        <v>0</v>
      </c>
      <c r="BO104" s="2215"/>
      <c r="BP104" s="161"/>
      <c r="BR104" s="1855">
        <f>SUM(BR100:BR103)</f>
        <v>0</v>
      </c>
      <c r="BS104" s="2215"/>
      <c r="BT104" s="161"/>
      <c r="BV104" s="1855">
        <f>SUM(BV100:BV103)</f>
        <v>0</v>
      </c>
      <c r="BW104" s="2215"/>
      <c r="BX104" s="161"/>
      <c r="BZ104" s="1855">
        <f>SUM(BZ100:BZ103)</f>
        <v>0</v>
      </c>
      <c r="CA104" s="2215"/>
      <c r="CB104" s="161"/>
      <c r="CD104" s="1855">
        <f>SUM(CD100:CD103)</f>
        <v>0</v>
      </c>
      <c r="CE104" s="2215"/>
      <c r="CF104" s="161"/>
      <c r="CH104" s="1855">
        <f>SUM(CH100:CH103)</f>
        <v>0</v>
      </c>
      <c r="CI104" s="2215"/>
      <c r="CJ104" s="161"/>
      <c r="CL104" s="1855">
        <f>SUM(CL100:CL103)</f>
        <v>0</v>
      </c>
      <c r="CM104" s="2215"/>
      <c r="CN104" s="161"/>
      <c r="CP104" s="1855">
        <f>SUM(CP100:CP103)</f>
        <v>0</v>
      </c>
      <c r="CQ104" s="2215"/>
      <c r="CR104" s="161"/>
      <c r="CT104" s="1855">
        <f>SUM(CT100:CT103)</f>
        <v>0</v>
      </c>
      <c r="CU104" s="2215"/>
      <c r="CV104" s="161"/>
      <c r="CW104" s="161"/>
      <c r="CX104" s="1855">
        <f>SUM(CX100:CX103)</f>
        <v>0</v>
      </c>
      <c r="CY104" s="161"/>
      <c r="CZ104" s="161"/>
      <c r="DA104" s="161"/>
      <c r="DB104" s="1855">
        <f>SUM(DB100:DB103)</f>
        <v>0</v>
      </c>
      <c r="DC104" s="161"/>
      <c r="DD104" s="161"/>
      <c r="DE104" s="161"/>
      <c r="DF104" s="1855">
        <f>SUM(DF100:DF103)</f>
        <v>0</v>
      </c>
      <c r="DG104" s="161"/>
      <c r="DH104" s="161"/>
      <c r="DI104" s="161"/>
      <c r="DJ104" s="1855">
        <f>SUM(DJ100:DJ103)</f>
        <v>0</v>
      </c>
      <c r="DK104" s="161"/>
      <c r="DL104" s="161"/>
      <c r="DM104" s="161"/>
      <c r="DN104" s="1855">
        <f>SUM(DN100:DN103)</f>
        <v>0</v>
      </c>
      <c r="DO104" s="161"/>
      <c r="DP104" s="161"/>
      <c r="DQ104" s="161"/>
      <c r="DR104" s="1855">
        <f>SUM(DR100:DR103)</f>
        <v>0</v>
      </c>
      <c r="DS104" s="161"/>
      <c r="DT104" s="161"/>
    </row>
    <row r="105" spans="1:125" hidden="1" outlineLevel="1">
      <c r="A105" s="23" t="str">
        <f>$A$15</f>
        <v>6 Mos</v>
      </c>
      <c r="D105" s="1899">
        <f>SUM(D100:D101)</f>
        <v>0</v>
      </c>
      <c r="F105" s="1899">
        <f>SUM(F100:F101)</f>
        <v>0</v>
      </c>
      <c r="G105" s="2213"/>
      <c r="J105" s="1899">
        <f>SUM(J100:J101)</f>
        <v>0</v>
      </c>
      <c r="K105" s="2213"/>
      <c r="N105" s="1899">
        <f>SUM(N100:N101)</f>
        <v>9.1170000000000009</v>
      </c>
      <c r="O105" s="2213"/>
      <c r="R105" s="1899">
        <f>SUM(R100:R101)</f>
        <v>0</v>
      </c>
      <c r="S105" s="2213"/>
      <c r="V105" s="1899">
        <f>SUM(V100:V101)</f>
        <v>0</v>
      </c>
      <c r="W105" s="2213"/>
      <c r="Z105" s="1899">
        <f>SUM(Z100:Z101)</f>
        <v>0</v>
      </c>
      <c r="AA105" s="2213"/>
      <c r="AD105" s="1899">
        <f>SUM(AD100:AD101)</f>
        <v>0</v>
      </c>
      <c r="AE105" s="2213"/>
      <c r="AH105" s="1899">
        <f>SUM(AH100:AH101)</f>
        <v>8.6</v>
      </c>
      <c r="AI105" s="2213"/>
      <c r="AL105" s="1899">
        <f>SUM(AL100:AL101)</f>
        <v>0</v>
      </c>
      <c r="AM105" s="2213"/>
      <c r="AP105" s="1899">
        <f>SUM(AP100:AP101)</f>
        <v>0</v>
      </c>
      <c r="AQ105" s="2213"/>
      <c r="AT105" s="1899">
        <f>SUM(AT100:AT101)</f>
        <v>0</v>
      </c>
      <c r="AU105" s="2213"/>
      <c r="AX105" s="1899">
        <f>SUM(AX100:AX101)</f>
        <v>62.101999999999997</v>
      </c>
      <c r="AY105" s="2213"/>
      <c r="BB105" s="1899">
        <f>SUM(BB100:BB101)</f>
        <v>0</v>
      </c>
      <c r="BC105" s="2213"/>
      <c r="BF105" s="1899">
        <f>SUM(BF100:BF101)</f>
        <v>79.686000000000007</v>
      </c>
      <c r="BG105" s="2213"/>
      <c r="BJ105" s="1899">
        <f>SUM(BJ100:BJ101)</f>
        <v>17.617000000000001</v>
      </c>
      <c r="BK105" s="2213"/>
      <c r="BN105" s="2202">
        <f>SUM(BN100:BN101)</f>
        <v>0</v>
      </c>
      <c r="BO105" s="2215"/>
      <c r="BP105" s="161"/>
      <c r="BR105" s="2202">
        <f>SUM(BR100:BR101)</f>
        <v>0</v>
      </c>
      <c r="BS105" s="2215"/>
      <c r="BT105" s="161"/>
      <c r="BV105" s="2202">
        <f>SUM(BV100:BV101)</f>
        <v>0</v>
      </c>
      <c r="BW105" s="2215"/>
      <c r="BX105" s="161"/>
      <c r="BZ105" s="2202">
        <f>SUM(BZ100:BZ101)</f>
        <v>0</v>
      </c>
      <c r="CA105" s="2215"/>
      <c r="CB105" s="161"/>
      <c r="CD105" s="2202">
        <f>SUM(CD100:CD101)</f>
        <v>0</v>
      </c>
      <c r="CE105" s="2215"/>
      <c r="CF105" s="161"/>
      <c r="CH105" s="2202">
        <f>SUM(CH100:CH101)</f>
        <v>0</v>
      </c>
      <c r="CI105" s="2215"/>
      <c r="CJ105" s="161"/>
      <c r="CL105" s="2202">
        <f>SUM(CL100:CL101)</f>
        <v>0</v>
      </c>
      <c r="CM105" s="2215"/>
      <c r="CN105" s="161"/>
      <c r="CP105" s="2202">
        <f>SUM(CP100:CP101)</f>
        <v>0</v>
      </c>
      <c r="CQ105" s="2215"/>
      <c r="CR105" s="161"/>
      <c r="CT105" s="2202">
        <f>SUM(CT100:CT101)</f>
        <v>0</v>
      </c>
      <c r="CU105" s="2215"/>
      <c r="CV105" s="161"/>
      <c r="CW105" s="161"/>
      <c r="CX105" s="2202">
        <f>SUM(CX100:CX101)</f>
        <v>0</v>
      </c>
      <c r="CY105" s="161"/>
      <c r="CZ105" s="161"/>
      <c r="DA105" s="161"/>
      <c r="DB105" s="2202">
        <f>SUM(DB100:DB101)</f>
        <v>0</v>
      </c>
      <c r="DC105" s="161"/>
      <c r="DD105" s="161"/>
      <c r="DE105" s="161"/>
      <c r="DF105" s="2202">
        <f>SUM(DF100:DF101)</f>
        <v>0</v>
      </c>
      <c r="DG105" s="161"/>
      <c r="DH105" s="161"/>
      <c r="DI105" s="161"/>
      <c r="DJ105" s="2202">
        <f>SUM(DJ100:DJ101)</f>
        <v>0</v>
      </c>
      <c r="DK105" s="161"/>
      <c r="DL105" s="161"/>
      <c r="DM105" s="161"/>
      <c r="DN105" s="2202">
        <f>SUM(DN100:DN101)</f>
        <v>0</v>
      </c>
      <c r="DO105" s="161"/>
      <c r="DP105" s="161"/>
      <c r="DQ105" s="161"/>
      <c r="DR105" s="2202">
        <f>SUM(DR100:DR101)</f>
        <v>0</v>
      </c>
      <c r="DS105" s="161"/>
      <c r="DT105" s="161"/>
    </row>
    <row r="106" spans="1:125" hidden="1" outlineLevel="1">
      <c r="A106" s="23" t="str">
        <f>$A$16</f>
        <v>9 Mos</v>
      </c>
      <c r="D106" s="1899">
        <f>SUM(D100:D102)</f>
        <v>0</v>
      </c>
      <c r="F106" s="1899">
        <f>SUM(F100:F102)</f>
        <v>0</v>
      </c>
      <c r="G106" s="2213"/>
      <c r="J106" s="1899">
        <f>SUM(J100:J102)</f>
        <v>0</v>
      </c>
      <c r="K106" s="2213"/>
      <c r="N106" s="1899">
        <f>SUM(N100:N102)</f>
        <v>9.1170000000000009</v>
      </c>
      <c r="O106" s="2213"/>
      <c r="R106" s="1899">
        <f>SUM(R100:R102)</f>
        <v>0</v>
      </c>
      <c r="S106" s="2213"/>
      <c r="V106" s="1899">
        <f>SUM(V100:V102)</f>
        <v>0</v>
      </c>
      <c r="W106" s="2213"/>
      <c r="Z106" s="1899">
        <f>SUM(Z100:Z102)</f>
        <v>613.5</v>
      </c>
      <c r="AA106" s="2213"/>
      <c r="AD106" s="1899">
        <f>SUM(AD100:AD102)</f>
        <v>118.56699999999999</v>
      </c>
      <c r="AE106" s="2213"/>
      <c r="AH106" s="1899">
        <f>SUM(AH100:AH102)</f>
        <v>8.6</v>
      </c>
      <c r="AI106" s="2213"/>
      <c r="AL106" s="1899">
        <f>SUM(AL100:AL102)</f>
        <v>0</v>
      </c>
      <c r="AM106" s="2213"/>
      <c r="AP106" s="1899">
        <f>SUM(AP100:AP102)</f>
        <v>11.002000000000001</v>
      </c>
      <c r="AQ106" s="2213"/>
      <c r="AT106" s="1899">
        <f>SUM(AT100:AT102)</f>
        <v>0</v>
      </c>
      <c r="AU106" s="2213"/>
      <c r="AX106" s="1899">
        <f>SUM(AX100:AX102)</f>
        <v>62.101999999999997</v>
      </c>
      <c r="AY106" s="2213"/>
      <c r="BB106" s="1899">
        <f>SUM(BB100:BB102)</f>
        <v>6.1239999999999997</v>
      </c>
      <c r="BC106" s="2213"/>
      <c r="BF106" s="1899">
        <f>SUM(BF100:BF102)</f>
        <v>208.042</v>
      </c>
      <c r="BG106" s="2213"/>
      <c r="BJ106" s="1899">
        <f>SUM(BJ100:BJ102)</f>
        <v>17.617000000000001</v>
      </c>
      <c r="BK106" s="2213"/>
      <c r="BN106" s="2202">
        <f>SUM(BN100:BN102)</f>
        <v>0</v>
      </c>
      <c r="BO106" s="2215"/>
      <c r="BP106" s="161"/>
      <c r="BR106" s="2202">
        <f>SUM(BR100:BR102)</f>
        <v>0</v>
      </c>
      <c r="BS106" s="2215"/>
      <c r="BT106" s="161"/>
      <c r="BV106" s="2202">
        <f>SUM(BV100:BV102)</f>
        <v>0</v>
      </c>
      <c r="BW106" s="2215"/>
      <c r="BX106" s="161"/>
      <c r="BZ106" s="2202">
        <f>SUM(BZ100:BZ102)</f>
        <v>0</v>
      </c>
      <c r="CA106" s="2215"/>
      <c r="CB106" s="161"/>
      <c r="CD106" s="2202">
        <f>SUM(CD100:CD102)</f>
        <v>0</v>
      </c>
      <c r="CE106" s="2215"/>
      <c r="CF106" s="161"/>
      <c r="CH106" s="2202">
        <f>SUM(CH100:CH102)</f>
        <v>0</v>
      </c>
      <c r="CI106" s="2215"/>
      <c r="CJ106" s="161"/>
      <c r="CL106" s="2202">
        <f>SUM(CL100:CL102)</f>
        <v>0</v>
      </c>
      <c r="CM106" s="2215"/>
      <c r="CN106" s="161"/>
      <c r="CP106" s="2202">
        <f>SUM(CP100:CP102)</f>
        <v>0</v>
      </c>
      <c r="CQ106" s="2215"/>
      <c r="CR106" s="161"/>
      <c r="CT106" s="2202">
        <f>SUM(CT100:CT102)</f>
        <v>0</v>
      </c>
      <c r="CU106" s="2215"/>
      <c r="CV106" s="161"/>
      <c r="CW106" s="161"/>
      <c r="CX106" s="2202">
        <f>SUM(CX100:CX102)</f>
        <v>0</v>
      </c>
      <c r="CY106" s="161"/>
      <c r="CZ106" s="161"/>
      <c r="DA106" s="161"/>
      <c r="DB106" s="2202">
        <f>SUM(DB100:DB102)</f>
        <v>0</v>
      </c>
      <c r="DC106" s="161"/>
      <c r="DD106" s="161"/>
      <c r="DE106" s="161"/>
      <c r="DF106" s="2202">
        <f>SUM(DF100:DF102)</f>
        <v>0</v>
      </c>
      <c r="DG106" s="161"/>
      <c r="DH106" s="161"/>
      <c r="DI106" s="161"/>
      <c r="DJ106" s="2202">
        <f>SUM(DJ100:DJ102)</f>
        <v>0</v>
      </c>
      <c r="DK106" s="161"/>
      <c r="DL106" s="161"/>
      <c r="DM106" s="161"/>
      <c r="DN106" s="2202">
        <f>SUM(DN100:DN102)</f>
        <v>0</v>
      </c>
      <c r="DO106" s="161"/>
      <c r="DP106" s="161"/>
      <c r="DQ106" s="161"/>
      <c r="DR106" s="2202">
        <f>SUM(DR100:DR102)</f>
        <v>0</v>
      </c>
      <c r="DS106" s="161"/>
      <c r="DT106" s="161"/>
    </row>
    <row r="107" spans="1:125" collapsed="1">
      <c r="BN107" s="161"/>
      <c r="BO107" s="161"/>
      <c r="BP107" s="161"/>
      <c r="BR107" s="161"/>
      <c r="BS107" s="161"/>
      <c r="BT107" s="161"/>
      <c r="BV107" s="161"/>
      <c r="BW107" s="161"/>
      <c r="BX107" s="161"/>
      <c r="BZ107" s="161"/>
      <c r="CA107" s="161"/>
      <c r="CB107" s="161"/>
      <c r="CD107" s="161"/>
      <c r="CE107" s="161"/>
      <c r="CF107" s="161"/>
      <c r="CH107" s="161"/>
      <c r="CI107" s="161"/>
      <c r="CJ107" s="161"/>
      <c r="CL107" s="161"/>
      <c r="CM107" s="161"/>
      <c r="CN107" s="161"/>
      <c r="CP107" s="161"/>
      <c r="CQ107" s="161"/>
      <c r="CR107" s="161"/>
      <c r="CT107" s="161"/>
      <c r="CU107" s="161"/>
      <c r="CV107" s="161"/>
      <c r="CW107" s="161"/>
      <c r="CX107" s="161"/>
      <c r="CY107" s="161"/>
      <c r="CZ107" s="161"/>
      <c r="DA107" s="161"/>
      <c r="DB107" s="161"/>
      <c r="DC107" s="161"/>
      <c r="DD107" s="161"/>
      <c r="DE107" s="161"/>
      <c r="DF107" s="161"/>
      <c r="DG107" s="161"/>
      <c r="DH107" s="161"/>
      <c r="DI107" s="161"/>
      <c r="DJ107" s="161"/>
      <c r="DK107" s="161"/>
      <c r="DL107" s="161"/>
      <c r="DM107" s="161"/>
      <c r="DN107" s="161"/>
      <c r="DO107" s="161"/>
      <c r="DP107" s="161"/>
      <c r="DQ107" s="161"/>
      <c r="DR107" s="161"/>
      <c r="DS107" s="161"/>
      <c r="DT107" s="161"/>
    </row>
    <row r="108" spans="1:125">
      <c r="C108" s="1936"/>
      <c r="D108" s="1936"/>
      <c r="E108" s="1936">
        <f>AH108</f>
        <v>0</v>
      </c>
      <c r="F108" s="1936"/>
      <c r="J108" s="1936"/>
      <c r="N108" s="1936"/>
      <c r="R108" s="1936"/>
      <c r="V108" s="1936"/>
      <c r="Z108" s="2244"/>
      <c r="AA108" s="2177"/>
      <c r="AB108" s="2177"/>
      <c r="AC108" s="2177"/>
      <c r="AD108" s="2244"/>
      <c r="AE108" s="2177"/>
      <c r="AF108" s="2177"/>
      <c r="AG108" s="2177"/>
      <c r="AH108" s="2244"/>
      <c r="AI108" s="2177"/>
      <c r="AJ108" s="2177"/>
      <c r="AK108" s="2177"/>
      <c r="AM108" s="2177"/>
      <c r="AN108" s="2177"/>
      <c r="AO108" s="2177"/>
      <c r="AQ108" s="2177"/>
      <c r="AR108" s="2177"/>
      <c r="AS108" s="2177"/>
      <c r="AU108" s="2177"/>
      <c r="AV108" s="2177"/>
      <c r="AW108" s="2177"/>
      <c r="AY108" s="2177"/>
      <c r="AZ108" s="2177"/>
      <c r="BA108" s="2177"/>
      <c r="BB108" s="2244"/>
      <c r="BC108" s="2177"/>
      <c r="BD108" s="2177"/>
      <c r="BE108" s="2177"/>
      <c r="BF108" s="2244"/>
      <c r="BG108" s="2177"/>
      <c r="BH108" s="2177"/>
      <c r="BI108" s="2177"/>
      <c r="BJ108" s="2244" t="s">
        <v>304</v>
      </c>
      <c r="BK108" s="2177"/>
      <c r="BL108" s="2177"/>
      <c r="BM108" s="2177"/>
      <c r="BN108" s="2245"/>
      <c r="BO108" s="2179"/>
      <c r="BP108" s="2179"/>
      <c r="BQ108" s="2177"/>
      <c r="BR108" s="2245"/>
      <c r="BS108" s="2179"/>
      <c r="BT108" s="2179"/>
      <c r="BU108" s="2177"/>
      <c r="BV108" s="2244" t="s">
        <v>304</v>
      </c>
      <c r="BW108" s="2179"/>
      <c r="BX108" s="2179"/>
      <c r="BY108" s="2177"/>
      <c r="CA108" s="2179"/>
      <c r="CB108" s="2179"/>
      <c r="CC108" s="2177"/>
      <c r="CD108" s="2245"/>
      <c r="CE108" s="2179"/>
      <c r="CF108" s="2179"/>
      <c r="CG108" s="2177"/>
      <c r="CH108" s="2245"/>
      <c r="CI108" s="2179"/>
      <c r="CJ108" s="2179"/>
      <c r="CL108" s="2245"/>
      <c r="CM108" s="2179"/>
      <c r="CN108" s="2179"/>
      <c r="CO108" s="2177"/>
      <c r="CP108" s="2245"/>
      <c r="CQ108" s="2179"/>
      <c r="CR108" s="2179"/>
      <c r="CS108" s="2177"/>
      <c r="CT108" s="2245"/>
      <c r="CU108" s="2179"/>
      <c r="CV108" s="2179"/>
      <c r="CW108" s="2179"/>
      <c r="CX108" s="2246" t="s">
        <v>304</v>
      </c>
      <c r="CY108" s="2179"/>
      <c r="CZ108" s="2179"/>
      <c r="DA108" s="2179"/>
      <c r="DB108" s="2179"/>
      <c r="DC108" s="2179"/>
      <c r="DD108" s="2179"/>
      <c r="DE108" s="2179"/>
      <c r="DF108" s="2179"/>
      <c r="DG108" s="2179"/>
      <c r="DH108" s="2179"/>
      <c r="DI108" s="2179"/>
      <c r="DJ108" s="2179"/>
      <c r="DK108" s="2179"/>
      <c r="DL108" s="2179"/>
      <c r="DM108" s="2179"/>
      <c r="DN108" s="2701"/>
      <c r="DO108" s="2179"/>
      <c r="DP108" s="2179"/>
      <c r="DQ108" s="2179"/>
      <c r="DR108" s="2701"/>
      <c r="DS108" s="2179"/>
      <c r="DT108" s="2179"/>
      <c r="DU108" s="2177"/>
    </row>
    <row r="109" spans="1:125">
      <c r="BN109" s="161"/>
      <c r="BO109" s="161"/>
      <c r="BP109" s="161"/>
      <c r="BR109" s="161"/>
      <c r="BS109" s="161"/>
      <c r="BT109" s="161"/>
      <c r="BV109" s="161"/>
      <c r="BW109" s="161"/>
      <c r="BX109" s="161"/>
      <c r="BZ109" s="1861"/>
      <c r="CA109" s="161"/>
      <c r="CB109" s="161"/>
      <c r="CD109" s="161"/>
      <c r="CE109" s="161"/>
      <c r="CF109" s="161"/>
      <c r="CH109" s="161"/>
      <c r="CI109" s="161"/>
      <c r="CJ109" s="161"/>
      <c r="CL109" s="161"/>
      <c r="CM109" s="161"/>
      <c r="CN109" s="161"/>
      <c r="CP109" s="161"/>
      <c r="CQ109" s="161"/>
      <c r="CR109" s="161"/>
      <c r="CT109" s="161"/>
      <c r="CU109" s="161"/>
      <c r="CV109" s="161"/>
      <c r="CW109" s="161"/>
      <c r="CX109" s="161"/>
      <c r="CY109" s="161"/>
      <c r="CZ109" s="161"/>
      <c r="DA109" s="161"/>
      <c r="DB109" s="161"/>
      <c r="DC109" s="161"/>
      <c r="DD109" s="161"/>
      <c r="DE109" s="161"/>
      <c r="DF109" s="161"/>
      <c r="DG109" s="161"/>
      <c r="DH109" s="161"/>
      <c r="DI109" s="161"/>
      <c r="DJ109" s="161"/>
      <c r="DK109" s="161"/>
      <c r="DL109" s="161"/>
      <c r="DM109" s="161"/>
      <c r="DN109" s="161"/>
      <c r="DO109" s="161"/>
      <c r="DP109" s="161"/>
      <c r="DQ109" s="161"/>
      <c r="DR109" s="161"/>
      <c r="DS109" s="161"/>
      <c r="DT109" s="161"/>
    </row>
    <row r="110" spans="1:125">
      <c r="A110" s="23" t="str">
        <f>$A$10</f>
        <v>1Q</v>
      </c>
      <c r="B110" s="23" t="str">
        <f>$B$10</f>
        <v>Apr</v>
      </c>
      <c r="D110" s="1854">
        <f>D60+D70+D80</f>
        <v>74.188999999999979</v>
      </c>
      <c r="F110" s="1854">
        <f>F60+F70+F80</f>
        <v>102.31500000000004</v>
      </c>
      <c r="G110" s="2213">
        <f t="shared" ref="G110:G116" si="285">F110/F10*100</f>
        <v>9.2396678541917865</v>
      </c>
      <c r="H110" s="44"/>
      <c r="J110" s="1854">
        <f>J60+J70+J80</f>
        <v>83.86</v>
      </c>
      <c r="K110" s="2213">
        <f t="shared" ref="K110:K116" si="286">J110/J10*100</f>
        <v>6.5287018424547805</v>
      </c>
      <c r="L110" s="44"/>
      <c r="N110" s="1854">
        <f>N60+N70+N80</f>
        <v>75.408000000000087</v>
      </c>
      <c r="O110" s="2213">
        <f t="shared" ref="O110:O116" si="287">N110/N10*100</f>
        <v>5.3268344370860987</v>
      </c>
      <c r="P110" s="44"/>
      <c r="R110" s="1854">
        <f>R60+R70+R80</f>
        <v>72.224999999999866</v>
      </c>
      <c r="S110" s="2213">
        <f t="shared" ref="S110:S116" si="288">R110/R10*100</f>
        <v>4.756147431680378</v>
      </c>
      <c r="T110" s="44"/>
      <c r="V110" s="1854">
        <f>V60+V70+V80</f>
        <v>79.27600000000001</v>
      </c>
      <c r="W110" s="2213">
        <f t="shared" ref="W110:W116" si="289">V110/V10*100</f>
        <v>5.3506008255783515</v>
      </c>
      <c r="X110" s="44"/>
      <c r="Z110" s="1854">
        <f>Z60+Z70+Z80</f>
        <v>66.210999999999927</v>
      </c>
      <c r="AA110" s="2213">
        <f t="shared" ref="AA110:AA116" si="290">Z110/Z10*100</f>
        <v>4.1691066370973688</v>
      </c>
      <c r="AB110" s="44">
        <f t="shared" ref="AB110:AB116" si="291">IF(V110&lt;0,"       NM",(Z110/V110-1)*100)</f>
        <v>-16.480397598264396</v>
      </c>
      <c r="AD110" s="1854">
        <f>AD60+AD70+AD80</f>
        <v>54.430999999999955</v>
      </c>
      <c r="AE110" s="2213">
        <f t="shared" ref="AE110:AE116" si="292">AD110/AD10*100</f>
        <v>3.0443364245951887</v>
      </c>
      <c r="AF110" s="44">
        <f t="shared" ref="AF110:AF116" si="293">IF(Z110&lt;0,"       NM",(AD110/Z110-1)*100)</f>
        <v>-17.791605624443051</v>
      </c>
      <c r="AH110" s="1854">
        <f>AH60+AH70+AH80</f>
        <v>57.719999999999956</v>
      </c>
      <c r="AI110" s="2213">
        <f t="shared" ref="AI110:AI116" si="294">AH110/AH10*100</f>
        <v>3.4007873895127041</v>
      </c>
      <c r="AJ110" s="2188" t="s">
        <v>886</v>
      </c>
      <c r="AL110" s="1854">
        <f>AL60+AL70+AL80</f>
        <v>64.230999999999966</v>
      </c>
      <c r="AM110" s="2213">
        <f t="shared" ref="AM110:AM116" si="295">AL110/AL10*100</f>
        <v>3.556841011737446</v>
      </c>
      <c r="AN110" s="44">
        <f t="shared" ref="AN110:AN116" si="296">IF(AH110&lt;0,"       NM",(AL110/AH110-1)*100)</f>
        <v>11.28031878031881</v>
      </c>
      <c r="AP110" s="1854">
        <f>AP60+AP70+AP80</f>
        <v>62.623000000000104</v>
      </c>
      <c r="AQ110" s="2215">
        <f t="shared" ref="AQ110:AQ116" si="297">AP110/AP10*100</f>
        <v>3.9919323737090813</v>
      </c>
      <c r="AR110" s="2247" t="s">
        <v>886</v>
      </c>
      <c r="AS110" s="161"/>
      <c r="AT110" s="1854">
        <f>AT60+AT70+AT80</f>
        <v>110.06900000000002</v>
      </c>
      <c r="AU110" s="2215">
        <f t="shared" ref="AU110:AU116" si="298">AT110/AT10*100</f>
        <v>6.5120723215183736</v>
      </c>
      <c r="AV110" s="217">
        <f t="shared" ref="AV110:AV116" si="299">IF(AP110&lt;0,"       NM",(AT110/AP110-1)*100)</f>
        <v>75.764495472909047</v>
      </c>
      <c r="AW110" s="161"/>
      <c r="AX110" s="1854">
        <f>AX60+AX70+AX80</f>
        <v>38.045999999999985</v>
      </c>
      <c r="AY110" s="2213">
        <f t="shared" ref="AY110:AY116" si="300">AX110/AX10*100</f>
        <v>2.2893652766963233</v>
      </c>
      <c r="AZ110" s="44">
        <f t="shared" ref="AZ110:AZ116" si="301">IF(AT110&lt;0,"       NM",(AX110/AT110-1)*100)</f>
        <v>-65.434409325059747</v>
      </c>
      <c r="BB110" s="1854">
        <f>BB60+BB70+BB80</f>
        <v>127.87400000000008</v>
      </c>
      <c r="BC110" s="2213">
        <f t="shared" ref="BC110:BC116" si="302">BB110/BB10*100</f>
        <v>7.1092178993021147</v>
      </c>
      <c r="BD110" s="44">
        <f t="shared" ref="BD110:BD116" si="303">IF(AX110&lt;0,"       NM",(BB110/AX110-1)*100)</f>
        <v>236.10366398570187</v>
      </c>
      <c r="BF110" s="1854">
        <f>BF60+BF70+BF80</f>
        <v>82.843999999999937</v>
      </c>
      <c r="BG110" s="2213">
        <f t="shared" ref="BG110:BG116" si="304">BF110/BF10*100</f>
        <v>4.4967776639705725</v>
      </c>
      <c r="BH110" s="44">
        <f t="shared" ref="BH110:BH116" si="305">IF(BB110&lt;0,"       NM",(BF110/BB110-1)*100)</f>
        <v>-35.214351627383301</v>
      </c>
      <c r="BJ110" s="1854">
        <f>BJ60+BJ70+BJ80</f>
        <v>111.78000000000007</v>
      </c>
      <c r="BK110" s="2213">
        <f t="shared" ref="BK110:BK116" si="306">BJ110/BJ10*100</f>
        <v>5.6505828774903319</v>
      </c>
      <c r="BL110" s="44">
        <f t="shared" ref="BL110:BL116" si="307">IF(BF110&lt;0,"       NM",(BJ110/BF110-1)*100)</f>
        <v>34.928298971561198</v>
      </c>
      <c r="BN110" s="1855">
        <f>BN60+BN70+BN80</f>
        <v>33.144999999999925</v>
      </c>
      <c r="BO110" s="2215">
        <f t="shared" ref="BO110:BO116" si="308">BN110/BN10*100</f>
        <v>1.6782856321128994</v>
      </c>
      <c r="BP110" s="217">
        <f t="shared" ref="BP110:BP116" si="309">IF(BJ110&lt;0,"       NM",(BN110/BJ110-1)*100)</f>
        <v>-70.348005009840847</v>
      </c>
      <c r="BR110" s="1855">
        <f>BR60+BR70+BR80</f>
        <v>103.42099999999999</v>
      </c>
      <c r="BS110" s="2215">
        <f t="shared" ref="BS110:BS116" si="310">BR110/BR10*100</f>
        <v>5.2366866302232173</v>
      </c>
      <c r="BT110" s="217">
        <f t="shared" ref="BT110:BT116" si="311">IF(BN110&lt;0,"       NM",(BR110/BN110-1)*100)</f>
        <v>212.02594659828097</v>
      </c>
      <c r="BV110" s="1855">
        <f>BV60+BV70+BV80</f>
        <v>169.68399999999991</v>
      </c>
      <c r="BW110" s="2215">
        <f t="shared" ref="BW110:BW116" si="312">BV110/BV10*100</f>
        <v>8.1693098665393045</v>
      </c>
      <c r="BX110" s="217">
        <f t="shared" ref="BX110:BX116" si="313">IF(BR110&lt;0,"       NM",(BV110/BR110-1)*100)</f>
        <v>64.071126753753987</v>
      </c>
      <c r="BZ110" s="1855">
        <f>BZ60+BZ70+BZ80</f>
        <v>91.927999999999855</v>
      </c>
      <c r="CA110" s="2215">
        <f t="shared" ref="CA110:CA116" si="314">BZ110/BZ10*100</f>
        <v>3.9781153457850604</v>
      </c>
      <c r="CB110" s="217">
        <f t="shared" ref="CB110:CB116" si="315">IF(BV110&lt;0,"       NM",(BZ110/BV110-1)*100)</f>
        <v>-45.82400226303016</v>
      </c>
      <c r="CD110" s="1855">
        <f>CD60+CD70+CD80</f>
        <v>66.551999999999992</v>
      </c>
      <c r="CE110" s="2215">
        <f t="shared" ref="CE110:CE116" si="316">CD110/CD10*100</f>
        <v>3.4571012856082417</v>
      </c>
      <c r="CF110" s="217">
        <f t="shared" ref="CF110:CF116" si="317">IF(BZ110&lt;0,"       NM",(CD110/BZ110-1)*100)</f>
        <v>-27.604211991993633</v>
      </c>
      <c r="CH110" s="1855">
        <f>CH60+CH70+CH80</f>
        <v>3.2329999999999885</v>
      </c>
      <c r="CI110" s="2215">
        <f t="shared" ref="CI110:CI116" si="318">CH110/CH10*100</f>
        <v>0.18739454347431619</v>
      </c>
      <c r="CJ110" s="217">
        <f t="shared" ref="CJ110:CJ116" si="319">IF(CD110&lt;0,"       NM",(CH110/CD110-1)*100)</f>
        <v>-95.142144488520273</v>
      </c>
      <c r="CL110" s="1855">
        <f>CL60+CL70+CL80</f>
        <v>138.13200000000006</v>
      </c>
      <c r="CM110" s="2215">
        <f t="shared" ref="CM110:CM116" si="320">CL110/CL10*100</f>
        <v>7.151406963162998</v>
      </c>
      <c r="CN110" s="217">
        <f t="shared" ref="CN110:CN116" si="321">IF(CH110&lt;0,"       NM",(CL110/CH110-1)*100)</f>
        <v>4172.5641818744371</v>
      </c>
      <c r="CP110" s="1855">
        <f>CP60+CP70+CP80</f>
        <v>212.21699999999987</v>
      </c>
      <c r="CQ110" s="2215">
        <f t="shared" ref="CQ110:CQ116" si="322">CP110/CP10*100</f>
        <v>9.572186410839425</v>
      </c>
      <c r="CR110" s="217">
        <f t="shared" ref="CR110:CR116" si="323">IF(CL110&lt;0,"       NM",(CP110/CL110-1)*100)</f>
        <v>53.633481018156395</v>
      </c>
      <c r="CT110" s="1855">
        <f>CT60+CT70+CT80</f>
        <v>213.1260000000002</v>
      </c>
      <c r="CU110" s="2215">
        <f t="shared" ref="CU110:CU116" si="324">CT110/CT10*100</f>
        <v>9.8954212678708817</v>
      </c>
      <c r="CV110" s="217">
        <f t="shared" ref="CV110:CV116" si="325">IF(CP110&lt;0,"       NM",(CT110/CP110-1)*100)</f>
        <v>0.42833514751425827</v>
      </c>
      <c r="CW110" s="217"/>
      <c r="CX110" s="1855">
        <f>CX60+CX70+CX80</f>
        <v>234.79700000000005</v>
      </c>
      <c r="CY110" s="2215">
        <f t="shared" ref="CY110:CY116" si="326">CX110/CX10*100</f>
        <v>10.352802258950351</v>
      </c>
      <c r="CZ110" s="217">
        <f t="shared" ref="CZ110:CZ116" si="327">IF(CT110&lt;0,"       NM",(CX110/CT110-1)*100)</f>
        <v>10.168163433837174</v>
      </c>
      <c r="DA110" s="217"/>
      <c r="DB110" s="1855">
        <f>DB60+DB70+DB80</f>
        <v>255.44200000000012</v>
      </c>
      <c r="DC110" s="2215">
        <f t="shared" ref="DC110:DC116" si="328">DB110/DB10*100</f>
        <v>10.682452127147958</v>
      </c>
      <c r="DD110" s="217">
        <f t="shared" ref="DD110:DD116" si="329">IF(CX110&lt;0,"       NM",(DB110/CX110-1)*100)</f>
        <v>8.7927017806871852</v>
      </c>
      <c r="DE110" s="217"/>
      <c r="DF110" s="1855">
        <f>DF60+DF70+DF80</f>
        <v>291.53199999999987</v>
      </c>
      <c r="DG110" s="2215">
        <f t="shared" ref="DG110:DG116" si="330">DF110/DF10*100</f>
        <v>11.605855078487172</v>
      </c>
      <c r="DH110" s="217">
        <f t="shared" ref="DH110:DH116" si="331">IF(DB110&lt;0,"       NM",(DF110/DB110-1)*100)</f>
        <v>14.128451859913294</v>
      </c>
      <c r="DI110" s="217"/>
      <c r="DJ110" s="1855">
        <f>DJ60+DJ70+DJ80</f>
        <v>267.52300000000002</v>
      </c>
      <c r="DK110" s="2215">
        <f t="shared" ref="DK110:DK116" si="332">DJ110/DJ10*100</f>
        <v>10.234963071219655</v>
      </c>
      <c r="DL110" s="217">
        <f t="shared" ref="DL110:DL116" si="333">IF(DF110&lt;0,"       NM",(DJ110/DF110-1)*100)</f>
        <v>-8.2354595721909956</v>
      </c>
      <c r="DM110" s="217"/>
      <c r="DN110" s="1855">
        <f>DN60+DN70+DN80</f>
        <v>118.44700000000012</v>
      </c>
      <c r="DO110" s="2215">
        <f t="shared" ref="DO110:DO116" si="334">DN110/DN10*100</f>
        <v>4.8613126163799851</v>
      </c>
      <c r="DP110" s="217">
        <f t="shared" ref="DP110:DP116" si="335">IF(DJ110&lt;0,"       NM",(DN110/DJ110-1)*100)</f>
        <v>-55.724554524283853</v>
      </c>
      <c r="DQ110" s="217"/>
      <c r="DR110" s="1855">
        <f>DR60+DR70+DR80</f>
        <v>70.368224177873117</v>
      </c>
      <c r="DS110" s="2215">
        <f t="shared" ref="DS110:DS116" si="336">DR110/DR10*100</f>
        <v>2.7020803165236029</v>
      </c>
      <c r="DT110" s="217">
        <f t="shared" ref="DT110:DT116" si="337">IF(DN110&lt;0,"       NM",(DR110/DN110-1)*100)</f>
        <v>-40.590961208073615</v>
      </c>
    </row>
    <row r="111" spans="1:125">
      <c r="A111" s="23" t="str">
        <f>$A$11</f>
        <v>2Q</v>
      </c>
      <c r="B111" s="23" t="str">
        <f>$B$11</f>
        <v>Jul</v>
      </c>
      <c r="D111" s="2202">
        <f>D61+D71+D81</f>
        <v>104.78099999999999</v>
      </c>
      <c r="F111" s="2202">
        <f>F61+F71+F81</f>
        <v>130.02499999999992</v>
      </c>
      <c r="G111" s="2213">
        <f t="shared" si="285"/>
        <v>11.261846483774795</v>
      </c>
      <c r="J111" s="2202">
        <f>J61+J71+J81</f>
        <v>129.22499999999991</v>
      </c>
      <c r="K111" s="2213">
        <f t="shared" si="286"/>
        <v>9.396917505644689</v>
      </c>
      <c r="N111" s="2202">
        <f>N61+N71+N81</f>
        <v>131.07300000000001</v>
      </c>
      <c r="O111" s="2213">
        <f t="shared" si="287"/>
        <v>8.800430779518905</v>
      </c>
      <c r="R111" s="2202">
        <f>R61+R71+R81</f>
        <v>111.23200000000004</v>
      </c>
      <c r="S111" s="2213">
        <f t="shared" si="288"/>
        <v>6.5854575487476747</v>
      </c>
      <c r="V111" s="2202">
        <f>V61+V71+V81</f>
        <v>88.831999999999965</v>
      </c>
      <c r="W111" s="2213">
        <f t="shared" si="289"/>
        <v>5.6031568217828749</v>
      </c>
      <c r="Z111" s="2202">
        <f>Z61+Z71+Z81</f>
        <v>80.762000000000157</v>
      </c>
      <c r="AA111" s="2213">
        <f t="shared" si="290"/>
        <v>4.6991725448508017</v>
      </c>
      <c r="AB111" s="44">
        <f t="shared" si="291"/>
        <v>-9.0845641210372534</v>
      </c>
      <c r="AD111" s="2202">
        <f>AD61+AD71+AD81</f>
        <v>69.320000000000078</v>
      </c>
      <c r="AE111" s="2213">
        <f t="shared" si="292"/>
        <v>3.6568877100191481</v>
      </c>
      <c r="AF111" s="44">
        <f t="shared" si="293"/>
        <v>-14.167554047695763</v>
      </c>
      <c r="AH111" s="2202">
        <f>AH61+AH71+AH81</f>
        <v>67.335000000000164</v>
      </c>
      <c r="AI111" s="2213">
        <f t="shared" si="294"/>
        <v>3.560853928044688</v>
      </c>
      <c r="AJ111" s="2188" t="s">
        <v>886</v>
      </c>
      <c r="AL111" s="2202">
        <f>AL61+AL71+AL81</f>
        <v>80.228999999999999</v>
      </c>
      <c r="AM111" s="2213">
        <f t="shared" si="295"/>
        <v>4.0102950350299116</v>
      </c>
      <c r="AN111" s="44">
        <f t="shared" si="296"/>
        <v>19.149030964579783</v>
      </c>
      <c r="AP111" s="2202">
        <f>AP61+AP71+AP81</f>
        <v>98.664999999999949</v>
      </c>
      <c r="AQ111" s="2215">
        <f t="shared" si="297"/>
        <v>5.6360483169828024</v>
      </c>
      <c r="AR111" s="2247" t="s">
        <v>886</v>
      </c>
      <c r="AS111" s="161"/>
      <c r="AT111" s="2202">
        <f>AT61+AT71+AT81</f>
        <v>154.62200000000001</v>
      </c>
      <c r="AU111" s="2215">
        <f t="shared" si="298"/>
        <v>8.3922589441370032</v>
      </c>
      <c r="AV111" s="217">
        <f t="shared" si="299"/>
        <v>56.714133684690715</v>
      </c>
      <c r="AW111" s="161"/>
      <c r="AX111" s="2202">
        <f>AX61+AX71+AX81</f>
        <v>79.331999999999979</v>
      </c>
      <c r="AY111" s="2213">
        <f t="shared" si="300"/>
        <v>4.4888940442880205</v>
      </c>
      <c r="AZ111" s="44">
        <f t="shared" si="301"/>
        <v>-48.692941496035516</v>
      </c>
      <c r="BB111" s="1899">
        <f>BB61+BB71+BB81</f>
        <v>138.63599999999988</v>
      </c>
      <c r="BC111" s="2213">
        <f t="shared" si="302"/>
        <v>7.249259575322518</v>
      </c>
      <c r="BD111" s="44">
        <f t="shared" si="303"/>
        <v>74.754197549538532</v>
      </c>
      <c r="BF111" s="1899">
        <f>BF61+BF71+BF81</f>
        <v>167.95899999999995</v>
      </c>
      <c r="BG111" s="2213">
        <f t="shared" si="304"/>
        <v>8.3391340872823942</v>
      </c>
      <c r="BH111" s="44">
        <f t="shared" si="305"/>
        <v>21.151071871663984</v>
      </c>
      <c r="BJ111" s="1899">
        <f>BJ61+BJ71+BJ81</f>
        <v>224.33499999999987</v>
      </c>
      <c r="BK111" s="2213">
        <f t="shared" si="306"/>
        <v>10.147084898355004</v>
      </c>
      <c r="BL111" s="44">
        <f t="shared" si="307"/>
        <v>33.565334397084953</v>
      </c>
      <c r="BN111" s="2202">
        <f>BN61+BN71+BN81</f>
        <v>185.07699999999974</v>
      </c>
      <c r="BO111" s="2215">
        <f t="shared" si="308"/>
        <v>8.0787864687299784</v>
      </c>
      <c r="BP111" s="217">
        <f t="shared" si="309"/>
        <v>-17.499721398800972</v>
      </c>
      <c r="BR111" s="2202">
        <f>BR61+BR71+BR81</f>
        <v>134.51099999999971</v>
      </c>
      <c r="BS111" s="2215">
        <f t="shared" si="310"/>
        <v>5.8715326415239995</v>
      </c>
      <c r="BT111" s="217">
        <f t="shared" si="311"/>
        <v>-27.321601279467522</v>
      </c>
      <c r="BV111" s="2202">
        <f>BV61+BV71+BV81</f>
        <v>180.07899999999972</v>
      </c>
      <c r="BW111" s="2215">
        <f t="shared" si="312"/>
        <v>7.3386251493570001</v>
      </c>
      <c r="BX111" s="217">
        <f t="shared" si="313"/>
        <v>33.876783311402114</v>
      </c>
      <c r="BZ111" s="2202">
        <f>BZ61+BZ71+BZ81</f>
        <v>123.57900000000018</v>
      </c>
      <c r="CA111" s="2215">
        <f t="shared" si="314"/>
        <v>4.7094273529321038</v>
      </c>
      <c r="CB111" s="217">
        <f t="shared" si="315"/>
        <v>-31.375118697904604</v>
      </c>
      <c r="CD111" s="2202">
        <f>CD61+CD71+CD81</f>
        <v>151.22699999999978</v>
      </c>
      <c r="CE111" s="2215">
        <f t="shared" si="316"/>
        <v>6.6202369726753769</v>
      </c>
      <c r="CF111" s="217">
        <f t="shared" si="317"/>
        <v>22.3727332313739</v>
      </c>
      <c r="CH111" s="2202">
        <f>CH61+CH71+CH81</f>
        <v>89.747000000000028</v>
      </c>
      <c r="CI111" s="2215">
        <f t="shared" si="318"/>
        <v>4.3427158486603679</v>
      </c>
      <c r="CJ111" s="217">
        <f t="shared" si="319"/>
        <v>-40.654115997804517</v>
      </c>
      <c r="CL111" s="2202">
        <f>CL61+CL71+CL81</f>
        <v>197.40800000000033</v>
      </c>
      <c r="CM111" s="2215">
        <f t="shared" si="320"/>
        <v>8.8029930747243181</v>
      </c>
      <c r="CN111" s="217">
        <f t="shared" si="321"/>
        <v>119.96055578459477</v>
      </c>
      <c r="CP111" s="2202">
        <f>CP61+CP71+CP81</f>
        <v>242.39700000000013</v>
      </c>
      <c r="CQ111" s="2215">
        <f t="shared" si="322"/>
        <v>9.8610125155860082</v>
      </c>
      <c r="CR111" s="217">
        <f t="shared" si="323"/>
        <v>22.789856540768216</v>
      </c>
      <c r="CT111" s="2202">
        <f>CT61+CT71+CT81</f>
        <v>233.10000000000002</v>
      </c>
      <c r="CU111" s="2215">
        <f t="shared" si="324"/>
        <v>9.7161435538326888</v>
      </c>
      <c r="CV111" s="217">
        <f t="shared" si="325"/>
        <v>-3.8354435079642535</v>
      </c>
      <c r="CW111" s="217"/>
      <c r="CX111" s="2202">
        <f>CX61+CX71+CX81</f>
        <v>282.85400000000004</v>
      </c>
      <c r="CY111" s="2215">
        <f t="shared" si="326"/>
        <v>11.242419870323493</v>
      </c>
      <c r="CZ111" s="217">
        <f t="shared" si="327"/>
        <v>21.344487344487352</v>
      </c>
      <c r="DA111" s="217"/>
      <c r="DB111" s="2202">
        <f>DB61+DB71+DB81</f>
        <v>296.27300000000014</v>
      </c>
      <c r="DC111" s="2215">
        <f t="shared" si="328"/>
        <v>11.074338646983477</v>
      </c>
      <c r="DD111" s="217">
        <f t="shared" si="329"/>
        <v>4.7441436217978472</v>
      </c>
      <c r="DE111" s="217"/>
      <c r="DF111" s="2202">
        <f>DF61+DF71+DF81</f>
        <v>323.22800000000007</v>
      </c>
      <c r="DG111" s="2215">
        <f t="shared" si="330"/>
        <v>11.68898000424557</v>
      </c>
      <c r="DH111" s="217">
        <f t="shared" si="331"/>
        <v>9.0980278324382944</v>
      </c>
      <c r="DI111" s="217"/>
      <c r="DJ111" s="2202">
        <f>DJ61+DJ71+DJ81</f>
        <v>307.57500000000022</v>
      </c>
      <c r="DK111" s="2215">
        <f t="shared" si="332"/>
        <v>10.64367639486405</v>
      </c>
      <c r="DL111" s="217">
        <f t="shared" si="333"/>
        <v>-4.8427116462682163</v>
      </c>
      <c r="DM111" s="217"/>
      <c r="DN111" s="2202">
        <f>DN61+DN71+DN81</f>
        <v>217.08400000000009</v>
      </c>
      <c r="DO111" s="2215">
        <f t="shared" si="334"/>
        <v>7.8795798215620962</v>
      </c>
      <c r="DP111" s="217">
        <f t="shared" si="335"/>
        <v>-29.420791676826809</v>
      </c>
      <c r="DQ111" s="217"/>
      <c r="DR111" s="2202">
        <f>DR61+DR71+DR81</f>
        <v>194.11371116896828</v>
      </c>
      <c r="DS111" s="2215">
        <f t="shared" si="336"/>
        <v>6.6827278119683298</v>
      </c>
      <c r="DT111" s="217">
        <f t="shared" si="337"/>
        <v>-10.58129057463093</v>
      </c>
    </row>
    <row r="112" spans="1:125">
      <c r="A112" s="23" t="str">
        <f>$A$12</f>
        <v>3Q</v>
      </c>
      <c r="B112" s="23" t="str">
        <f>$B$12</f>
        <v>Oct</v>
      </c>
      <c r="D112" s="1899">
        <f>D62+D72+D82</f>
        <v>138.86900000000003</v>
      </c>
      <c r="F112" s="1899">
        <f>F62+F72+F82</f>
        <v>138.91700000000006</v>
      </c>
      <c r="G112" s="2213">
        <f t="shared" si="285"/>
        <v>11.132124308734808</v>
      </c>
      <c r="J112" s="1899">
        <f>J62+J72+J82</f>
        <v>118.87200000000004</v>
      </c>
      <c r="K112" s="2213">
        <f t="shared" si="286"/>
        <v>8.292940201421505</v>
      </c>
      <c r="N112" s="1899">
        <f>N62+N72+N82</f>
        <v>129.99500000000009</v>
      </c>
      <c r="O112" s="2213">
        <f t="shared" si="287"/>
        <v>8.067609165156524</v>
      </c>
      <c r="R112" s="1899">
        <f>R62+R72+R82</f>
        <v>133.59800000000001</v>
      </c>
      <c r="S112" s="2213">
        <f t="shared" si="288"/>
        <v>8.2637921105583292</v>
      </c>
      <c r="V112" s="1899">
        <f>V62+V72+V82</f>
        <v>150.48999999999984</v>
      </c>
      <c r="W112" s="2213">
        <f t="shared" si="289"/>
        <v>8.7740266888062699</v>
      </c>
      <c r="Z112" s="1899">
        <f>Z62+Z72+Z82</f>
        <v>71.813000000000102</v>
      </c>
      <c r="AA112" s="2213">
        <f t="shared" si="290"/>
        <v>3.9823212508214181</v>
      </c>
      <c r="AB112" s="44">
        <f t="shared" si="291"/>
        <v>-52.280550202671151</v>
      </c>
      <c r="AD112" s="1899">
        <f>AD62+AD72+AD82</f>
        <v>74.520000000000024</v>
      </c>
      <c r="AE112" s="2213">
        <f t="shared" si="292"/>
        <v>3.735364558949287</v>
      </c>
      <c r="AF112" s="44">
        <f t="shared" si="293"/>
        <v>3.7695124838120098</v>
      </c>
      <c r="AH112" s="1899">
        <f>AH62+AH72+AH82</f>
        <v>61.70100000000015</v>
      </c>
      <c r="AI112" s="2213">
        <f t="shared" si="294"/>
        <v>3.3623515371473962</v>
      </c>
      <c r="AJ112" s="2188" t="s">
        <v>886</v>
      </c>
      <c r="AL112" s="1899">
        <f>AL62+AL72+AL82</f>
        <v>70.624999999999915</v>
      </c>
      <c r="AM112" s="2213">
        <f t="shared" si="295"/>
        <v>3.7120451594931074</v>
      </c>
      <c r="AN112" s="44">
        <f t="shared" si="296"/>
        <v>14.46329881201236</v>
      </c>
      <c r="AP112" s="1899">
        <f>AP62+AP72+AP82</f>
        <v>72.445999999999913</v>
      </c>
      <c r="AQ112" s="2215">
        <f t="shared" si="297"/>
        <v>4.5782732037105918</v>
      </c>
      <c r="AR112" s="2247" t="s">
        <v>886</v>
      </c>
      <c r="AS112" s="161"/>
      <c r="AT112" s="1899">
        <f>AT62+AT72+AT82</f>
        <v>93.533999999999921</v>
      </c>
      <c r="AU112" s="2215">
        <f t="shared" si="298"/>
        <v>5.4508390658035477</v>
      </c>
      <c r="AV112" s="217">
        <f t="shared" si="299"/>
        <v>29.108577423184201</v>
      </c>
      <c r="AW112" s="161"/>
      <c r="AX112" s="1899">
        <f>AX62+AX72+AX82</f>
        <v>-21.872999999999813</v>
      </c>
      <c r="AY112" s="2213">
        <f t="shared" si="300"/>
        <v>-1.3181786679603462</v>
      </c>
      <c r="AZ112" s="44">
        <f t="shared" si="301"/>
        <v>-123.38507922252853</v>
      </c>
      <c r="BB112" s="1899">
        <f>BB62+BB72+BB82</f>
        <v>17.384999999999955</v>
      </c>
      <c r="BC112" s="2213">
        <f t="shared" si="302"/>
        <v>0.98355647458509055</v>
      </c>
      <c r="BD112" s="44" t="str">
        <f t="shared" si="303"/>
        <v xml:space="preserve">       NM</v>
      </c>
      <c r="BF112" s="1899">
        <f>BF62+BF72+BF82</f>
        <v>72.31800000000004</v>
      </c>
      <c r="BG112" s="2213">
        <f t="shared" si="304"/>
        <v>3.915918062346694</v>
      </c>
      <c r="BH112" s="44">
        <f t="shared" si="305"/>
        <v>315.97929249353018</v>
      </c>
      <c r="BJ112" s="1899">
        <f>BJ62+BJ72+BJ82</f>
        <v>54.676999999999978</v>
      </c>
      <c r="BK112" s="2213">
        <f t="shared" si="306"/>
        <v>2.891654833395473</v>
      </c>
      <c r="BL112" s="44">
        <f t="shared" si="307"/>
        <v>-24.393650266876922</v>
      </c>
      <c r="BN112" s="2202">
        <f>BN62+BN72+BN82</f>
        <v>-19.308000000000177</v>
      </c>
      <c r="BO112" s="2215">
        <f t="shared" si="308"/>
        <v>-1.0207496387884958</v>
      </c>
      <c r="BP112" s="217">
        <f t="shared" si="309"/>
        <v>-135.31283720760135</v>
      </c>
      <c r="BR112" s="2202">
        <f>BR62+BR72+BR82</f>
        <v>-1.6830000000001784</v>
      </c>
      <c r="BS112" s="2215">
        <f t="shared" si="310"/>
        <v>-8.8974603381044362E-2</v>
      </c>
      <c r="BT112" s="217" t="str">
        <f t="shared" si="311"/>
        <v xml:space="preserve">       NM</v>
      </c>
      <c r="BV112" s="2202">
        <f>BV62+BV72+BV82</f>
        <v>41.508000000000216</v>
      </c>
      <c r="BW112" s="2215">
        <f t="shared" si="312"/>
        <v>1.9625958767897653</v>
      </c>
      <c r="BX112" s="217" t="str">
        <f t="shared" si="313"/>
        <v xml:space="preserve">       NM</v>
      </c>
      <c r="BZ112" s="2202">
        <f>BZ62+BZ72+BZ82</f>
        <v>-1.3650000000000535</v>
      </c>
      <c r="CA112" s="2215">
        <f t="shared" si="314"/>
        <v>-7.0979000615674109E-2</v>
      </c>
      <c r="CB112" s="217">
        <f t="shared" si="315"/>
        <v>-103.28852269442046</v>
      </c>
      <c r="CD112" s="2202">
        <f>CD62+CD72+CD82</f>
        <v>3.1069999999999451</v>
      </c>
      <c r="CE112" s="2215">
        <f t="shared" si="316"/>
        <v>0.16865850533931168</v>
      </c>
      <c r="CF112" s="217" t="str">
        <f t="shared" si="317"/>
        <v xml:space="preserve">       NM</v>
      </c>
      <c r="CH112" s="2202">
        <f>CH62+CH72+CH82</f>
        <v>11.367000000000049</v>
      </c>
      <c r="CI112" s="2215">
        <f t="shared" si="318"/>
        <v>0.63956959166461103</v>
      </c>
      <c r="CJ112" s="217">
        <f t="shared" si="319"/>
        <v>265.85130350821527</v>
      </c>
      <c r="CL112" s="2202">
        <f>CL62+CL72+CL82</f>
        <v>101.5030000000002</v>
      </c>
      <c r="CM112" s="2215">
        <f t="shared" si="320"/>
        <v>5.1176985457090343</v>
      </c>
      <c r="CN112" s="217">
        <f t="shared" si="321"/>
        <v>792.96208322336383</v>
      </c>
      <c r="CP112" s="2202">
        <f>CP62+CP72+CP82</f>
        <v>121.87400000000009</v>
      </c>
      <c r="CQ112" s="2215">
        <f t="shared" si="322"/>
        <v>5.6074757755058888</v>
      </c>
      <c r="CR112" s="217">
        <f t="shared" si="323"/>
        <v>20.069357555934175</v>
      </c>
      <c r="CT112" s="2202">
        <f>CT62+CT72+CT82</f>
        <v>125.08799999999965</v>
      </c>
      <c r="CU112" s="2215">
        <f t="shared" si="324"/>
        <v>6.1012911492550028</v>
      </c>
      <c r="CV112" s="217">
        <f t="shared" si="325"/>
        <v>2.6371498432804064</v>
      </c>
      <c r="CW112" s="217"/>
      <c r="CX112" s="2202">
        <f>CX62+CX72+CX82</f>
        <v>141.42400000000006</v>
      </c>
      <c r="CY112" s="2215">
        <f t="shared" si="326"/>
        <v>6.5139720333639346</v>
      </c>
      <c r="CZ112" s="217">
        <f t="shared" si="327"/>
        <v>13.059606037350079</v>
      </c>
      <c r="DA112" s="217"/>
      <c r="DB112" s="2202">
        <f>DB62+DB72+DB82</f>
        <v>204.47000000000017</v>
      </c>
      <c r="DC112" s="2215">
        <f t="shared" si="328"/>
        <v>8.8177291253297501</v>
      </c>
      <c r="DD112" s="217">
        <f t="shared" si="329"/>
        <v>44.579420748953559</v>
      </c>
      <c r="DE112" s="217"/>
      <c r="DF112" s="2202">
        <f>DF62+DF72+DF82</f>
        <v>259.46199999999993</v>
      </c>
      <c r="DG112" s="2215">
        <f t="shared" si="330"/>
        <v>10.455537309974511</v>
      </c>
      <c r="DH112" s="217">
        <f t="shared" si="331"/>
        <v>26.894899007189178</v>
      </c>
      <c r="DI112" s="217"/>
      <c r="DJ112" s="2202">
        <f>DJ62+DJ72+DJ82</f>
        <v>190.17999999999981</v>
      </c>
      <c r="DK112" s="2215">
        <f t="shared" si="332"/>
        <v>7.3685217895999857</v>
      </c>
      <c r="DL112" s="217">
        <f t="shared" si="333"/>
        <v>-26.702176041192981</v>
      </c>
      <c r="DM112" s="217"/>
      <c r="DN112" s="2202">
        <f>DN62+DN72+DN82</f>
        <v>134.66200000000026</v>
      </c>
      <c r="DO112" s="2215">
        <f t="shared" si="334"/>
        <v>5.1441218985218136</v>
      </c>
      <c r="DP112" s="217">
        <f t="shared" si="335"/>
        <v>-29.192344095067625</v>
      </c>
      <c r="DQ112" s="217"/>
      <c r="DR112" s="2202">
        <f>DR62+DR72+DR82</f>
        <v>135.68463953962862</v>
      </c>
      <c r="DS112" s="2215">
        <f t="shared" si="336"/>
        <v>4.8985638173523967</v>
      </c>
      <c r="DT112" s="217">
        <f t="shared" si="337"/>
        <v>0.75941211301506772</v>
      </c>
    </row>
    <row r="113" spans="1:125">
      <c r="A113" s="23" t="str">
        <f>$A$13</f>
        <v>4Q</v>
      </c>
      <c r="B113" s="23" t="str">
        <f>$B$13</f>
        <v>Jan</v>
      </c>
      <c r="C113" s="139"/>
      <c r="D113" s="2249">
        <f>D63+D73+D83</f>
        <v>256.08700000000039</v>
      </c>
      <c r="E113" s="139"/>
      <c r="F113" s="2249">
        <f>F63+F73+F83</f>
        <v>282.1809999999997</v>
      </c>
      <c r="G113" s="2213">
        <f t="shared" si="285"/>
        <v>16.182803437958952</v>
      </c>
      <c r="J113" s="2249">
        <f>J63+J73+J83</f>
        <v>328.34499999999952</v>
      </c>
      <c r="K113" s="2213">
        <f t="shared" si="286"/>
        <v>15.969007931856726</v>
      </c>
      <c r="N113" s="2249">
        <f>N63+N73+N83</f>
        <v>399.90400000000068</v>
      </c>
      <c r="O113" s="2213">
        <f t="shared" si="287"/>
        <v>16.470795623318054</v>
      </c>
      <c r="R113" s="2249">
        <f>R63+R73+R83</f>
        <v>325.32700000000068</v>
      </c>
      <c r="S113" s="2213">
        <f t="shared" si="288"/>
        <v>13.438794120137748</v>
      </c>
      <c r="V113" s="2249">
        <f>V63+V73+V83</f>
        <v>425.74500000000057</v>
      </c>
      <c r="W113" s="2213">
        <f t="shared" si="289"/>
        <v>16.770884378609299</v>
      </c>
      <c r="Z113" s="2249">
        <f>Z63+Z73+Z83</f>
        <v>337.31799999999998</v>
      </c>
      <c r="AA113" s="2213">
        <f t="shared" si="290"/>
        <v>12.171547233944285</v>
      </c>
      <c r="AB113" s="44">
        <f t="shared" si="291"/>
        <v>-20.769944450316615</v>
      </c>
      <c r="AD113" s="2249">
        <f>AD63+AD73+AD83</f>
        <v>416.01600000000002</v>
      </c>
      <c r="AE113" s="2213">
        <f t="shared" si="292"/>
        <v>14.024929026811868</v>
      </c>
      <c r="AF113" s="44">
        <f t="shared" si="293"/>
        <v>23.330507117912489</v>
      </c>
      <c r="AH113" s="2249">
        <f>AH63+AH73+AH83</f>
        <v>380.69400000000024</v>
      </c>
      <c r="AI113" s="2213">
        <f t="shared" si="294"/>
        <v>12.933611510586065</v>
      </c>
      <c r="AJ113" s="2188" t="s">
        <v>886</v>
      </c>
      <c r="AL113" s="2249">
        <f>AL63+AL73+AL83</f>
        <v>419.11</v>
      </c>
      <c r="AM113" s="2213">
        <f t="shared" si="295"/>
        <v>13.400495144634608</v>
      </c>
      <c r="AN113" s="44">
        <f t="shared" si="296"/>
        <v>10.091044250763016</v>
      </c>
      <c r="AP113" s="2249">
        <f>AP63+AP73+AP83</f>
        <v>509.29200000000003</v>
      </c>
      <c r="AQ113" s="2215">
        <f t="shared" si="297"/>
        <v>18.731518288251443</v>
      </c>
      <c r="AR113" s="2247" t="s">
        <v>886</v>
      </c>
      <c r="AS113" s="161"/>
      <c r="AT113" s="2249">
        <f>AT63+AT73+AT83</f>
        <v>423.59099999999989</v>
      </c>
      <c r="AU113" s="2215">
        <f t="shared" si="298"/>
        <v>14.600791203215548</v>
      </c>
      <c r="AV113" s="217">
        <f t="shared" si="299"/>
        <v>-16.8274781461323</v>
      </c>
      <c r="AW113" s="161"/>
      <c r="AX113" s="2249">
        <f>AX63+AX73+AX83</f>
        <v>588.3660000000001</v>
      </c>
      <c r="AY113" s="2213">
        <f t="shared" si="300"/>
        <v>20.724811505682574</v>
      </c>
      <c r="AZ113" s="44">
        <f t="shared" si="301"/>
        <v>38.899551690191771</v>
      </c>
      <c r="BB113" s="2249">
        <f>BB63+BB73+BB83</f>
        <v>593.28499999999997</v>
      </c>
      <c r="BC113" s="2213">
        <f t="shared" si="302"/>
        <v>20.003095113025569</v>
      </c>
      <c r="BD113" s="44">
        <f t="shared" si="303"/>
        <v>0.83604423097185521</v>
      </c>
      <c r="BF113" s="2249">
        <f>BF63+BF73+BF83</f>
        <v>634.64700000000028</v>
      </c>
      <c r="BG113" s="2213">
        <f t="shared" si="304"/>
        <v>19.64293120407266</v>
      </c>
      <c r="BH113" s="44">
        <f t="shared" si="305"/>
        <v>6.971691514196432</v>
      </c>
      <c r="BJ113" s="2249">
        <f>BJ63+BJ73+BJ83</f>
        <v>617.48</v>
      </c>
      <c r="BK113" s="2213">
        <f t="shared" si="306"/>
        <v>18.551734125059863</v>
      </c>
      <c r="BL113" s="44">
        <f t="shared" si="307"/>
        <v>-2.7049682737018022</v>
      </c>
      <c r="BN113" s="2250">
        <f>BN63+BN73+BN83</f>
        <v>693.923</v>
      </c>
      <c r="BO113" s="2215">
        <f t="shared" si="308"/>
        <v>19.763270130369463</v>
      </c>
      <c r="BP113" s="217">
        <f t="shared" si="309"/>
        <v>12.379834164669301</v>
      </c>
      <c r="BR113" s="2250">
        <f>BR63+BR73+BR83</f>
        <v>721.17100000000005</v>
      </c>
      <c r="BS113" s="2215">
        <f t="shared" si="310"/>
        <v>20.362950589340816</v>
      </c>
      <c r="BT113" s="217">
        <f t="shared" si="311"/>
        <v>3.9266604507993019</v>
      </c>
      <c r="BV113" s="2250">
        <f>BV63+BV73+BV83</f>
        <v>705.77799999999991</v>
      </c>
      <c r="BW113" s="2215">
        <f t="shared" si="312"/>
        <v>17.536155471883379</v>
      </c>
      <c r="BX113" s="217">
        <f t="shared" si="313"/>
        <v>-2.1344452286628512</v>
      </c>
      <c r="BZ113" s="2250">
        <f>BZ63+BZ73+BZ83</f>
        <v>542.71899999999994</v>
      </c>
      <c r="CA113" s="2215">
        <f t="shared" si="314"/>
        <v>16.811064744029753</v>
      </c>
      <c r="CB113" s="217">
        <f t="shared" si="315"/>
        <v>-23.103440458614465</v>
      </c>
      <c r="CD113" s="2250">
        <f>CD63+CD73+CD83</f>
        <v>347.80999999999989</v>
      </c>
      <c r="CE113" s="2215">
        <f t="shared" si="316"/>
        <v>11.628155776700357</v>
      </c>
      <c r="CF113" s="217">
        <f t="shared" si="317"/>
        <v>-35.913428496146274</v>
      </c>
      <c r="CH113" s="2250">
        <f>CH63+CH73+CH83</f>
        <v>536.41099999999983</v>
      </c>
      <c r="CI113" s="2215">
        <f t="shared" si="318"/>
        <v>17.510589706961518</v>
      </c>
      <c r="CJ113" s="217">
        <f t="shared" si="319"/>
        <v>54.225295419913166</v>
      </c>
      <c r="CL113" s="2250">
        <f>CL63+CL73+CL83</f>
        <v>666.02200000000016</v>
      </c>
      <c r="CM113" s="2215">
        <f t="shared" si="320"/>
        <v>19.272250612003962</v>
      </c>
      <c r="CN113" s="217">
        <f t="shared" si="321"/>
        <v>24.162629028860394</v>
      </c>
      <c r="CP113" s="2250">
        <f>CP63+CP73+CP83</f>
        <v>725.34099999999989</v>
      </c>
      <c r="CQ113" s="2215">
        <f t="shared" si="322"/>
        <v>20.633089702357548</v>
      </c>
      <c r="CR113" s="217">
        <f t="shared" si="323"/>
        <v>8.9064625492851093</v>
      </c>
      <c r="CT113" s="2250">
        <f>CT63+CT73+CT83</f>
        <v>830.49200000000019</v>
      </c>
      <c r="CU113" s="2215">
        <f t="shared" si="324"/>
        <v>21.539985003564965</v>
      </c>
      <c r="CV113" s="217">
        <f t="shared" si="325"/>
        <v>14.496767727179405</v>
      </c>
      <c r="CW113" s="217"/>
      <c r="CX113" s="2250">
        <f>CX63+CX73+CX83</f>
        <v>786.79100000000017</v>
      </c>
      <c r="CY113" s="2215">
        <f t="shared" si="326"/>
        <v>20.606322033250208</v>
      </c>
      <c r="CZ113" s="217">
        <f t="shared" si="327"/>
        <v>-5.2620615249755591</v>
      </c>
      <c r="DA113" s="217"/>
      <c r="DB113" s="2250">
        <f>DB63+DB73+DB83</f>
        <v>879.54599999999971</v>
      </c>
      <c r="DC113" s="2215">
        <f t="shared" si="328"/>
        <v>21.617451338700334</v>
      </c>
      <c r="DD113" s="217">
        <f t="shared" si="329"/>
        <v>11.789026564869133</v>
      </c>
      <c r="DE113" s="217"/>
      <c r="DF113" s="2250">
        <f>DF63+DF73+DF83</f>
        <v>982.10099999999966</v>
      </c>
      <c r="DG113" s="2215">
        <f t="shared" si="330"/>
        <v>22.34567201792748</v>
      </c>
      <c r="DH113" s="217">
        <f t="shared" si="331"/>
        <v>11.659992768996741</v>
      </c>
      <c r="DI113" s="217"/>
      <c r="DJ113" s="2250">
        <f>DJ63+DJ73+DJ83</f>
        <v>892.62300000000016</v>
      </c>
      <c r="DK113" s="2215">
        <f t="shared" si="332"/>
        <v>19.882534358633279</v>
      </c>
      <c r="DL113" s="217">
        <f t="shared" si="333"/>
        <v>-9.1108755616784336</v>
      </c>
      <c r="DM113" s="217"/>
      <c r="DN113" s="2250">
        <f>DN63+DN73+DN83</f>
        <v>887.16000000000076</v>
      </c>
      <c r="DO113" s="2215">
        <f t="shared" si="334"/>
        <v>18.393978976177159</v>
      </c>
      <c r="DP113" s="217">
        <f t="shared" si="335"/>
        <v>-0.61201649520563617</v>
      </c>
      <c r="DQ113" s="217"/>
      <c r="DR113" s="2250">
        <f>DR63+DR73+DR83</f>
        <v>849.8330001134525</v>
      </c>
      <c r="DS113" s="2215">
        <f t="shared" si="336"/>
        <v>17.459855993806162</v>
      </c>
      <c r="DT113" s="217">
        <f t="shared" si="337"/>
        <v>-4.2074710183674036</v>
      </c>
    </row>
    <row r="114" spans="1:125">
      <c r="B114" s="23" t="str">
        <f>$B$14</f>
        <v>Year</v>
      </c>
      <c r="D114" s="1854">
        <f>SUM(D110:D113)</f>
        <v>573.92600000000039</v>
      </c>
      <c r="F114" s="1854">
        <f>SUM(F110:F113)</f>
        <v>653.43799999999976</v>
      </c>
      <c r="G114" s="2213">
        <f t="shared" si="285"/>
        <v>12.438124689612215</v>
      </c>
      <c r="J114" s="1854">
        <f>SUM(J110:J113)</f>
        <v>660.30199999999945</v>
      </c>
      <c r="K114" s="2213">
        <f t="shared" si="286"/>
        <v>10.737983268766852</v>
      </c>
      <c r="N114" s="1854">
        <f>SUM(N110:N113)</f>
        <v>736.3800000000009</v>
      </c>
      <c r="O114" s="2213">
        <f t="shared" si="287"/>
        <v>10.604098673213251</v>
      </c>
      <c r="R114" s="1854">
        <f>SUM(R110:R113)</f>
        <v>642.38200000000063</v>
      </c>
      <c r="S114" s="2213">
        <f t="shared" si="288"/>
        <v>8.8664485510735087</v>
      </c>
      <c r="V114" s="1854">
        <f>SUM(V110:V113)</f>
        <v>744.34300000000042</v>
      </c>
      <c r="W114" s="2213">
        <f t="shared" si="289"/>
        <v>10.167520126237713</v>
      </c>
      <c r="Z114" s="1854">
        <f>SUM(Z110:Z113)</f>
        <v>556.10400000000016</v>
      </c>
      <c r="AA114" s="2213">
        <f t="shared" si="290"/>
        <v>7.0558706489692185</v>
      </c>
      <c r="AB114" s="44">
        <f t="shared" si="291"/>
        <v>-25.289281957377195</v>
      </c>
      <c r="AD114" s="1854">
        <f>SUM(AD110:AD113)</f>
        <v>614.28700000000003</v>
      </c>
      <c r="AE114" s="2213">
        <f t="shared" si="292"/>
        <v>7.1058629410473904</v>
      </c>
      <c r="AF114" s="44">
        <f t="shared" si="293"/>
        <v>10.462611310114633</v>
      </c>
      <c r="AH114" s="1854">
        <f>SUM(AH110:AH113)</f>
        <v>567.4500000000005</v>
      </c>
      <c r="AI114" s="2213">
        <f t="shared" si="294"/>
        <v>6.7822155237377597</v>
      </c>
      <c r="AJ114" s="2188" t="s">
        <v>886</v>
      </c>
      <c r="AL114" s="1854">
        <f>SUM(AL110:AL113)</f>
        <v>634.19499999999994</v>
      </c>
      <c r="AM114" s="2213">
        <f t="shared" si="295"/>
        <v>7.1769273659122224</v>
      </c>
      <c r="AN114" s="44">
        <f t="shared" si="296"/>
        <v>11.762269803506808</v>
      </c>
      <c r="AP114" s="1855">
        <f>SUM(AP110:AP113)</f>
        <v>743.02600000000007</v>
      </c>
      <c r="AQ114" s="2215">
        <f t="shared" si="297"/>
        <v>9.7501835804780601</v>
      </c>
      <c r="AR114" s="2247" t="s">
        <v>886</v>
      </c>
      <c r="AS114" s="161"/>
      <c r="AT114" s="1855">
        <f>SUM(AT110:AT113)</f>
        <v>781.8159999999998</v>
      </c>
      <c r="AU114" s="2215">
        <f t="shared" si="298"/>
        <v>9.5931015501904131</v>
      </c>
      <c r="AV114" s="217">
        <f t="shared" si="299"/>
        <v>5.2205440993989161</v>
      </c>
      <c r="AW114" s="161"/>
      <c r="AX114" s="1855">
        <f>SUM(AX110:AX113)</f>
        <v>683.87100000000021</v>
      </c>
      <c r="AY114" s="2213">
        <f t="shared" si="300"/>
        <v>8.6266386609637724</v>
      </c>
      <c r="AZ114" s="44">
        <f t="shared" si="301"/>
        <v>-12.527883798745432</v>
      </c>
      <c r="BB114" s="1854">
        <f>SUM(BB110:BB113)</f>
        <v>877.17999999999984</v>
      </c>
      <c r="BC114" s="2213">
        <f t="shared" si="302"/>
        <v>10.387400123202204</v>
      </c>
      <c r="BD114" s="44">
        <f t="shared" si="303"/>
        <v>28.266880742128198</v>
      </c>
      <c r="BF114" s="1854">
        <f>SUM(BF110:BF113)</f>
        <v>957.76800000000026</v>
      </c>
      <c r="BG114" s="2213">
        <f t="shared" si="304"/>
        <v>10.720374350339618</v>
      </c>
      <c r="BH114" s="44">
        <f t="shared" si="305"/>
        <v>9.1871679700860085</v>
      </c>
      <c r="BJ114" s="1854">
        <f>SUM(BJ110:BJ113)</f>
        <v>1008.2719999999999</v>
      </c>
      <c r="BK114" s="2213">
        <f t="shared" si="306"/>
        <v>10.716821465954784</v>
      </c>
      <c r="BL114" s="44">
        <f t="shared" si="307"/>
        <v>5.2730932751981374</v>
      </c>
      <c r="BN114" s="1855">
        <f>SUM(BN110:BN113)</f>
        <v>892.83699999999953</v>
      </c>
      <c r="BO114" s="2215">
        <f t="shared" si="308"/>
        <v>9.2344371069153048</v>
      </c>
      <c r="BP114" s="217">
        <f t="shared" si="309"/>
        <v>-11.448795563102065</v>
      </c>
      <c r="BR114" s="1855">
        <f>SUM(BR110:BR113)</f>
        <v>957.41999999999962</v>
      </c>
      <c r="BS114" s="2215">
        <f t="shared" si="310"/>
        <v>9.8713595095890554</v>
      </c>
      <c r="BT114" s="217">
        <f t="shared" si="311"/>
        <v>7.2334591868392639</v>
      </c>
      <c r="BV114" s="1855">
        <f>SUM(BV110:BV113)</f>
        <v>1097.0489999999998</v>
      </c>
      <c r="BW114" s="2215">
        <f t="shared" si="312"/>
        <v>10.281044203797743</v>
      </c>
      <c r="BX114" s="217">
        <f t="shared" si="313"/>
        <v>14.583881682020451</v>
      </c>
      <c r="BZ114" s="1855">
        <f>SUM(BZ110:BZ113)</f>
        <v>756.86099999999988</v>
      </c>
      <c r="CA114" s="2215">
        <f t="shared" si="314"/>
        <v>7.503801170054472</v>
      </c>
      <c r="CB114" s="217">
        <f t="shared" si="315"/>
        <v>-31.009371504827943</v>
      </c>
      <c r="CD114" s="1855">
        <f>SUM(CD110:CD113)</f>
        <v>568.69599999999957</v>
      </c>
      <c r="CE114" s="2215">
        <f t="shared" si="316"/>
        <v>6.2890198161363822</v>
      </c>
      <c r="CF114" s="217">
        <f t="shared" si="317"/>
        <v>-24.861236079015868</v>
      </c>
      <c r="CH114" s="1855">
        <f>SUM(CH110:CH113)</f>
        <v>640.75799999999992</v>
      </c>
      <c r="CI114" s="2215">
        <f t="shared" si="318"/>
        <v>7.4226341235574242</v>
      </c>
      <c r="CJ114" s="217">
        <f t="shared" si="319"/>
        <v>12.671444849269275</v>
      </c>
      <c r="CL114" s="1855">
        <f>SUM(CL110:CL113)</f>
        <v>1103.0650000000007</v>
      </c>
      <c r="CM114" s="2215">
        <f t="shared" si="320"/>
        <v>11.474389901134668</v>
      </c>
      <c r="CN114" s="217">
        <f t="shared" si="321"/>
        <v>72.150016074711658</v>
      </c>
      <c r="CP114" s="1855">
        <f>SUM(CP110:CP113)</f>
        <v>1301.8290000000002</v>
      </c>
      <c r="CQ114" s="2215">
        <f t="shared" si="322"/>
        <v>12.561069579519412</v>
      </c>
      <c r="CR114" s="217">
        <f t="shared" si="323"/>
        <v>18.019246372607167</v>
      </c>
      <c r="CT114" s="1855">
        <f>SUM(CT110:CT113)</f>
        <v>1401.806</v>
      </c>
      <c r="CU114" s="2215">
        <f t="shared" si="324"/>
        <v>13.403314308574373</v>
      </c>
      <c r="CV114" s="217">
        <f t="shared" si="325"/>
        <v>7.6797336670177074</v>
      </c>
      <c r="CW114" s="217"/>
      <c r="CX114" s="1855">
        <f>SUM(CX110:CX113)</f>
        <v>1445.8660000000004</v>
      </c>
      <c r="CY114" s="2215">
        <f t="shared" si="326"/>
        <v>13.420938288500995</v>
      </c>
      <c r="CZ114" s="217">
        <f t="shared" si="327"/>
        <v>3.1430882732703669</v>
      </c>
      <c r="DA114" s="217"/>
      <c r="DB114" s="1855">
        <f>SUM(DB110:DB113)-0.1</f>
        <v>1635.6310000000003</v>
      </c>
      <c r="DC114" s="2215">
        <f t="shared" si="328"/>
        <v>14.279923450724025</v>
      </c>
      <c r="DD114" s="217">
        <f t="shared" si="329"/>
        <v>13.124660238224006</v>
      </c>
      <c r="DE114" s="217"/>
      <c r="DF114" s="1855">
        <f>SUM(DF110:DF113)</f>
        <v>1856.3229999999996</v>
      </c>
      <c r="DG114" s="2215">
        <f t="shared" si="330"/>
        <v>15.273619265634592</v>
      </c>
      <c r="DH114" s="217">
        <f t="shared" si="331"/>
        <v>13.492774348248426</v>
      </c>
      <c r="DI114" s="217"/>
      <c r="DJ114" s="1855">
        <f>SUM(DJ110:DJ113)</f>
        <v>1657.9010000000003</v>
      </c>
      <c r="DK114" s="2215">
        <f t="shared" si="332"/>
        <v>13.185003000602347</v>
      </c>
      <c r="DL114" s="217">
        <f t="shared" si="333"/>
        <v>-10.688980312154694</v>
      </c>
      <c r="DM114" s="217"/>
      <c r="DN114" s="1855">
        <f>SUM(DN110:DN113)</f>
        <v>1357.3530000000012</v>
      </c>
      <c r="DO114" s="2215">
        <f t="shared" si="334"/>
        <v>10.745094481576768</v>
      </c>
      <c r="DP114" s="217">
        <f t="shared" si="335"/>
        <v>-18.128223579091816</v>
      </c>
      <c r="DQ114" s="217"/>
      <c r="DR114" s="1855">
        <f>SUM(DR110:DR113)</f>
        <v>1249.9995749999225</v>
      </c>
      <c r="DS114" s="2215">
        <f t="shared" si="336"/>
        <v>9.508468230347205</v>
      </c>
      <c r="DT114" s="217">
        <f t="shared" si="337"/>
        <v>-7.9090277179244106</v>
      </c>
    </row>
    <row r="115" spans="1:125" hidden="1" outlineLevel="1">
      <c r="A115" s="23" t="str">
        <f>$A$15</f>
        <v>6 Mos</v>
      </c>
      <c r="D115" s="1899">
        <f>SUM(D110:D111)</f>
        <v>178.96999999999997</v>
      </c>
      <c r="F115" s="1899">
        <f>SUM(F110:F111)</f>
        <v>232.33999999999997</v>
      </c>
      <c r="G115" s="2213">
        <f t="shared" si="285"/>
        <v>10.271863520471882</v>
      </c>
      <c r="J115" s="1899">
        <f>SUM(J110:J111)</f>
        <v>213.08499999999992</v>
      </c>
      <c r="K115" s="2213">
        <f t="shared" si="286"/>
        <v>8.0117172563332151</v>
      </c>
      <c r="N115" s="1899">
        <f>SUM(N110:N111)</f>
        <v>206.48100000000011</v>
      </c>
      <c r="O115" s="2213">
        <f t="shared" si="287"/>
        <v>7.1077356491422812</v>
      </c>
      <c r="R115" s="1899">
        <f>SUM(R110:R111)</f>
        <v>183.45699999999991</v>
      </c>
      <c r="S115" s="2213">
        <f t="shared" si="288"/>
        <v>5.7194190327021657</v>
      </c>
      <c r="V115" s="1899">
        <f>SUM(V110:V111)</f>
        <v>168.10799999999998</v>
      </c>
      <c r="W115" s="2213">
        <f t="shared" si="289"/>
        <v>5.4811510847663198</v>
      </c>
      <c r="Z115" s="1899">
        <f>SUM(Z110:Z111)</f>
        <v>146.97300000000007</v>
      </c>
      <c r="AA115" s="2213">
        <f t="shared" si="290"/>
        <v>4.444599681200156</v>
      </c>
      <c r="AB115" s="44">
        <f t="shared" si="291"/>
        <v>-12.572274966093167</v>
      </c>
      <c r="AD115" s="1899">
        <f>SUM(AD110:AD111)</f>
        <v>123.75100000000003</v>
      </c>
      <c r="AE115" s="2213">
        <f t="shared" si="292"/>
        <v>3.3595635073179539</v>
      </c>
      <c r="AF115" s="44">
        <f t="shared" si="293"/>
        <v>-15.800180985623225</v>
      </c>
      <c r="AH115" s="1899">
        <f>SUM(AH110:AH111)</f>
        <v>125.05500000000012</v>
      </c>
      <c r="AI115" s="2213">
        <f t="shared" si="294"/>
        <v>3.4851415724675658</v>
      </c>
      <c r="AJ115" s="2188" t="s">
        <v>886</v>
      </c>
      <c r="AL115" s="1899">
        <f>SUM(AL110:AL111)</f>
        <v>144.45999999999998</v>
      </c>
      <c r="AM115" s="2213">
        <f t="shared" si="295"/>
        <v>3.7951671124048314</v>
      </c>
      <c r="AN115" s="44">
        <f t="shared" si="296"/>
        <v>15.51717244412445</v>
      </c>
      <c r="AP115" s="2202">
        <f>SUM(AP110:AP111)</f>
        <v>161.28800000000007</v>
      </c>
      <c r="AQ115" s="2215">
        <f t="shared" si="297"/>
        <v>4.8590309232695024</v>
      </c>
      <c r="AR115" s="2247" t="s">
        <v>886</v>
      </c>
      <c r="AS115" s="161"/>
      <c r="AT115" s="2202">
        <f>SUM(AT110:AT111)</f>
        <v>264.69100000000003</v>
      </c>
      <c r="AU115" s="2215">
        <f t="shared" si="298"/>
        <v>7.4926698419833642</v>
      </c>
      <c r="AV115" s="217">
        <f t="shared" si="299"/>
        <v>64.110783195277961</v>
      </c>
      <c r="AW115" s="161"/>
      <c r="AX115" s="2202">
        <f>SUM(AX110:AX111)</f>
        <v>117.37799999999996</v>
      </c>
      <c r="AY115" s="2213">
        <f t="shared" si="300"/>
        <v>3.422944383059022</v>
      </c>
      <c r="AZ115" s="44">
        <f t="shared" si="301"/>
        <v>-55.654706809071733</v>
      </c>
      <c r="BB115" s="1899">
        <f>SUM(BB110:BB111)</f>
        <v>266.51</v>
      </c>
      <c r="BC115" s="2213">
        <f t="shared" si="302"/>
        <v>7.1813841793979885</v>
      </c>
      <c r="BD115" s="44">
        <f t="shared" si="303"/>
        <v>127.052769684268</v>
      </c>
      <c r="BF115" s="1899">
        <f>SUM(BF110:BF111)</f>
        <v>250.80299999999988</v>
      </c>
      <c r="BG115" s="2213">
        <f t="shared" si="304"/>
        <v>6.5035474767548891</v>
      </c>
      <c r="BH115" s="44">
        <f t="shared" si="305"/>
        <v>-5.8935874826460903</v>
      </c>
      <c r="BJ115" s="1899">
        <f>SUM(BJ110:BJ111)</f>
        <v>336.11499999999995</v>
      </c>
      <c r="BK115" s="2213">
        <f t="shared" si="306"/>
        <v>8.0236856459781301</v>
      </c>
      <c r="BL115" s="44">
        <f t="shared" si="307"/>
        <v>34.015542078842806</v>
      </c>
      <c r="BN115" s="2202">
        <f>SUM(BN110:BN111)</f>
        <v>218.22199999999967</v>
      </c>
      <c r="BO115" s="2215">
        <f t="shared" si="308"/>
        <v>5.1155776609163945</v>
      </c>
      <c r="BP115" s="217">
        <f t="shared" si="309"/>
        <v>-35.075197477054076</v>
      </c>
      <c r="BR115" s="2202">
        <f>SUM(BR110:BR111)</f>
        <v>237.9319999999997</v>
      </c>
      <c r="BS115" s="2215">
        <f t="shared" si="310"/>
        <v>5.5776210648658706</v>
      </c>
      <c r="BT115" s="217">
        <f t="shared" si="311"/>
        <v>9.0320865907195689</v>
      </c>
      <c r="BV115" s="2202">
        <f>SUM(BV110:BV111)</f>
        <v>349.76299999999964</v>
      </c>
      <c r="BW115" s="2215">
        <f t="shared" si="312"/>
        <v>7.7194305909387886</v>
      </c>
      <c r="BX115" s="217">
        <f t="shared" si="313"/>
        <v>47.001244052922722</v>
      </c>
      <c r="BZ115" s="2202">
        <f>SUM(BZ110:BZ111)</f>
        <v>215.50700000000003</v>
      </c>
      <c r="CA115" s="2215">
        <f t="shared" si="314"/>
        <v>4.3669806197466228</v>
      </c>
      <c r="CB115" s="217">
        <f t="shared" si="315"/>
        <v>-38.384849169294569</v>
      </c>
      <c r="CD115" s="2202">
        <f>SUM(CD110:CD111)</f>
        <v>217.77899999999977</v>
      </c>
      <c r="CE115" s="2215">
        <f t="shared" si="316"/>
        <v>5.1736413427582777</v>
      </c>
      <c r="CF115" s="217">
        <f t="shared" si="317"/>
        <v>1.0542580983447181</v>
      </c>
      <c r="CH115" s="2202">
        <f>SUM(CH110:CH111)</f>
        <v>92.980000000000018</v>
      </c>
      <c r="CI115" s="2215">
        <f t="shared" si="318"/>
        <v>2.4521031571157805</v>
      </c>
      <c r="CJ115" s="217">
        <f t="shared" si="319"/>
        <v>-57.30534165369474</v>
      </c>
      <c r="CL115" s="2202">
        <f>SUM(CL110:CL111)</f>
        <v>335.54000000000042</v>
      </c>
      <c r="CM115" s="2215">
        <f t="shared" si="320"/>
        <v>8.0387230998412669</v>
      </c>
      <c r="CN115" s="217">
        <f t="shared" si="321"/>
        <v>260.873306087331</v>
      </c>
      <c r="CP115" s="2202">
        <f>SUM(CP110:CP111)</f>
        <v>454.61400000000003</v>
      </c>
      <c r="CQ115" s="2215">
        <f t="shared" si="322"/>
        <v>9.72404747482007</v>
      </c>
      <c r="CR115" s="217">
        <f t="shared" si="323"/>
        <v>35.487274244501243</v>
      </c>
      <c r="CT115" s="2202">
        <f>SUM(CT110:CT111)</f>
        <v>446.22600000000023</v>
      </c>
      <c r="CU115" s="2215">
        <f t="shared" si="324"/>
        <v>9.8009525390939078</v>
      </c>
      <c r="CV115" s="217">
        <f t="shared" si="325"/>
        <v>-1.8450817616702975</v>
      </c>
      <c r="CW115" s="217"/>
      <c r="CX115" s="2202">
        <f>SUM(CX110:CX111)</f>
        <v>517.65100000000007</v>
      </c>
      <c r="CY115" s="2215">
        <f t="shared" si="326"/>
        <v>10.82066987478232</v>
      </c>
      <c r="CZ115" s="217">
        <f t="shared" si="327"/>
        <v>16.00646309269289</v>
      </c>
      <c r="DA115" s="217"/>
      <c r="DB115" s="2202">
        <f>SUM(DB110:DB111)</f>
        <v>551.71500000000026</v>
      </c>
      <c r="DC115" s="2215">
        <f t="shared" si="328"/>
        <v>10.889381927433336</v>
      </c>
      <c r="DD115" s="217">
        <f t="shared" si="329"/>
        <v>6.5804953530467891</v>
      </c>
      <c r="DE115" s="217"/>
      <c r="DF115" s="2202">
        <f>SUM(DF110:DF111)</f>
        <v>614.76</v>
      </c>
      <c r="DG115" s="2215">
        <f t="shared" si="330"/>
        <v>11.649412488800829</v>
      </c>
      <c r="DH115" s="217">
        <f t="shared" si="331"/>
        <v>11.427095511269346</v>
      </c>
      <c r="DI115" s="217"/>
      <c r="DJ115" s="2202">
        <f>SUM(DJ110:DJ111)</f>
        <v>575.09800000000018</v>
      </c>
      <c r="DK115" s="2215">
        <f t="shared" si="332"/>
        <v>10.449565453918094</v>
      </c>
      <c r="DL115" s="217">
        <f t="shared" si="333"/>
        <v>-6.4516233977486852</v>
      </c>
      <c r="DM115" s="217"/>
      <c r="DN115" s="2202">
        <f>SUM(DN110:DN111)</f>
        <v>335.53100000000018</v>
      </c>
      <c r="DO115" s="2215">
        <f t="shared" si="334"/>
        <v>6.4630303553298161</v>
      </c>
      <c r="DP115" s="217">
        <f t="shared" si="335"/>
        <v>-41.65672633185995</v>
      </c>
      <c r="DQ115" s="217"/>
      <c r="DR115" s="2202">
        <f>SUM(DR110:DR111)</f>
        <v>264.4819353468414</v>
      </c>
      <c r="DS115" s="2215" t="e">
        <f t="shared" si="336"/>
        <v>#DIV/0!</v>
      </c>
      <c r="DT115" s="217">
        <f t="shared" si="337"/>
        <v>-21.175111883301025</v>
      </c>
    </row>
    <row r="116" spans="1:125" hidden="1" outlineLevel="1">
      <c r="A116" s="23" t="str">
        <f>$A$16</f>
        <v>9 Mos</v>
      </c>
      <c r="D116" s="1899">
        <f>SUM(D110:D112)</f>
        <v>317.839</v>
      </c>
      <c r="F116" s="1899">
        <f>SUM(F110:F112)</f>
        <v>371.25700000000006</v>
      </c>
      <c r="G116" s="2213">
        <f t="shared" si="285"/>
        <v>10.577725226508635</v>
      </c>
      <c r="J116" s="1899">
        <f>SUM(J110:J112)</f>
        <v>331.95699999999999</v>
      </c>
      <c r="K116" s="2213">
        <f t="shared" si="286"/>
        <v>8.1102026127519178</v>
      </c>
      <c r="N116" s="1899">
        <f>SUM(N110:N112)</f>
        <v>336.47600000000023</v>
      </c>
      <c r="O116" s="2213">
        <f t="shared" si="287"/>
        <v>7.4501952688217816</v>
      </c>
      <c r="R116" s="1899">
        <f>SUM(R110:R112)</f>
        <v>317.05499999999995</v>
      </c>
      <c r="S116" s="2213">
        <f t="shared" si="288"/>
        <v>6.5720646985261855</v>
      </c>
      <c r="V116" s="1899">
        <f>SUM(V110:V112)</f>
        <v>318.59799999999984</v>
      </c>
      <c r="W116" s="2213">
        <f t="shared" si="289"/>
        <v>6.6621694301111836</v>
      </c>
      <c r="Z116" s="1899">
        <f>SUM(Z110:Z112)</f>
        <v>218.78600000000017</v>
      </c>
      <c r="AA116" s="2213">
        <f t="shared" si="290"/>
        <v>4.2814660928456618</v>
      </c>
      <c r="AB116" s="44">
        <f t="shared" si="291"/>
        <v>-31.328508025787894</v>
      </c>
      <c r="AD116" s="1899">
        <f>SUM(AD110:AD112)</f>
        <v>198.27100000000007</v>
      </c>
      <c r="AE116" s="2213">
        <f t="shared" si="292"/>
        <v>3.4915902531112817</v>
      </c>
      <c r="AF116" s="44">
        <f t="shared" si="293"/>
        <v>-9.3767425703656038</v>
      </c>
      <c r="AH116" s="1899">
        <f>SUM(AH110:AH112)</f>
        <v>186.75600000000026</v>
      </c>
      <c r="AI116" s="2213">
        <f t="shared" si="294"/>
        <v>3.4435936280721258</v>
      </c>
      <c r="AJ116" s="2188" t="s">
        <v>886</v>
      </c>
      <c r="AL116" s="1899">
        <f>SUM(AL110:AL112)</f>
        <v>215.08499999999989</v>
      </c>
      <c r="AM116" s="2213">
        <f t="shared" si="295"/>
        <v>3.7674658128116767</v>
      </c>
      <c r="AN116" s="44">
        <f t="shared" si="296"/>
        <v>15.168990554520123</v>
      </c>
      <c r="AP116" s="2202">
        <f>SUM(AP110:AP112)</f>
        <v>233.73399999999998</v>
      </c>
      <c r="AQ116" s="2215">
        <f t="shared" si="297"/>
        <v>4.76839615058514</v>
      </c>
      <c r="AR116" s="2247" t="s">
        <v>886</v>
      </c>
      <c r="AS116" s="161"/>
      <c r="AT116" s="2202">
        <f>SUM(AT110:AT112)</f>
        <v>358.22499999999997</v>
      </c>
      <c r="AU116" s="2215">
        <f t="shared" si="298"/>
        <v>6.8251247660814585</v>
      </c>
      <c r="AV116" s="217">
        <f t="shared" si="299"/>
        <v>53.261827547554063</v>
      </c>
      <c r="AW116" s="161"/>
      <c r="AX116" s="2202">
        <f>SUM(AX110:AX112)</f>
        <v>95.505000000000138</v>
      </c>
      <c r="AY116" s="2213">
        <f t="shared" si="300"/>
        <v>1.8768836636737698</v>
      </c>
      <c r="AZ116" s="44">
        <f t="shared" si="301"/>
        <v>-73.339381673529161</v>
      </c>
      <c r="BB116" s="1899">
        <f>SUM(BB110:BB112)</f>
        <v>283.89499999999992</v>
      </c>
      <c r="BC116" s="2213">
        <f t="shared" si="302"/>
        <v>5.1818063010706199</v>
      </c>
      <c r="BD116" s="44">
        <f t="shared" si="303"/>
        <v>197.25668813151094</v>
      </c>
      <c r="BF116" s="1899">
        <f>SUM(BF110:BF112)</f>
        <v>323.12099999999992</v>
      </c>
      <c r="BG116" s="2213">
        <f t="shared" si="304"/>
        <v>5.6656356031984281</v>
      </c>
      <c r="BH116" s="44">
        <f t="shared" si="305"/>
        <v>13.817080258546287</v>
      </c>
      <c r="BJ116" s="1899">
        <f>SUM(BJ110:BJ112)</f>
        <v>390.79199999999992</v>
      </c>
      <c r="BK116" s="2213">
        <f t="shared" si="306"/>
        <v>6.4276162891104924</v>
      </c>
      <c r="BL116" s="44">
        <f t="shared" si="307"/>
        <v>20.942928500468859</v>
      </c>
      <c r="BN116" s="2202">
        <f>SUM(BN110:BN112)</f>
        <v>198.91399999999948</v>
      </c>
      <c r="BO116" s="2215">
        <f t="shared" si="308"/>
        <v>3.2304952882587714</v>
      </c>
      <c r="BP116" s="217">
        <f t="shared" si="309"/>
        <v>-49.099776863395483</v>
      </c>
      <c r="BR116" s="2202">
        <f>SUM(BR110:BR112)</f>
        <v>236.24899999999951</v>
      </c>
      <c r="BS116" s="2215">
        <f t="shared" si="310"/>
        <v>3.8368404504250426</v>
      </c>
      <c r="BT116" s="217">
        <f t="shared" si="311"/>
        <v>18.769417939411071</v>
      </c>
      <c r="BV116" s="2202">
        <f>SUM(BV110:BV112)</f>
        <v>391.27099999999984</v>
      </c>
      <c r="BW116" s="2215">
        <f t="shared" si="312"/>
        <v>5.887406921894816</v>
      </c>
      <c r="BX116" s="217">
        <f t="shared" si="313"/>
        <v>65.618055526161228</v>
      </c>
      <c r="BZ116" s="2202">
        <f>SUM(BZ110:BZ112)</f>
        <v>214.14199999999997</v>
      </c>
      <c r="CA116" s="2215">
        <f t="shared" si="314"/>
        <v>3.1225029250407985</v>
      </c>
      <c r="CB116" s="217">
        <f t="shared" si="315"/>
        <v>-45.270158023467097</v>
      </c>
      <c r="CD116" s="2202">
        <f>SUM(CD110:CD112)</f>
        <v>220.88599999999971</v>
      </c>
      <c r="CE116" s="2215">
        <f t="shared" si="316"/>
        <v>3.6500556301090961</v>
      </c>
      <c r="CF116" s="217">
        <f t="shared" si="317"/>
        <v>3.1493121386742207</v>
      </c>
      <c r="CH116" s="2202">
        <f>SUM(CH110:CH112)</f>
        <v>104.34700000000007</v>
      </c>
      <c r="CI116" s="2215">
        <f t="shared" si="318"/>
        <v>1.8736658612754304</v>
      </c>
      <c r="CJ116" s="217">
        <f t="shared" si="319"/>
        <v>-52.759794645201509</v>
      </c>
      <c r="CL116" s="2202">
        <f>SUM(CL110:CL112)</f>
        <v>437.04300000000063</v>
      </c>
      <c r="CM116" s="2215">
        <f t="shared" si="320"/>
        <v>7.097828992606976</v>
      </c>
      <c r="CN116" s="217">
        <f t="shared" si="321"/>
        <v>318.83619078651071</v>
      </c>
      <c r="CP116" s="2202">
        <f>SUM(CP110:CP112)</f>
        <v>576.48800000000017</v>
      </c>
      <c r="CQ116" s="2215">
        <f t="shared" si="322"/>
        <v>8.4176380127127253</v>
      </c>
      <c r="CR116" s="217">
        <f t="shared" si="323"/>
        <v>31.906471445601305</v>
      </c>
      <c r="CT116" s="2202">
        <f>SUM(CT110:CT112)</f>
        <v>571.31399999999985</v>
      </c>
      <c r="CU116" s="2215">
        <f t="shared" si="324"/>
        <v>8.6522441899400455</v>
      </c>
      <c r="CV116" s="217">
        <f t="shared" si="325"/>
        <v>-0.89750350397584944</v>
      </c>
      <c r="CW116" s="217"/>
      <c r="CX116" s="2202">
        <f>SUM(CX110:CX112)</f>
        <v>659.07500000000016</v>
      </c>
      <c r="CY116" s="2215">
        <f t="shared" si="326"/>
        <v>9.4762815104422824</v>
      </c>
      <c r="CZ116" s="217">
        <f t="shared" si="327"/>
        <v>15.361254931613843</v>
      </c>
      <c r="DA116" s="217"/>
      <c r="DB116" s="2202">
        <f>SUM(DB110:DB112)</f>
        <v>756.1850000000004</v>
      </c>
      <c r="DC116" s="2215">
        <f t="shared" si="328"/>
        <v>10.238928414361762</v>
      </c>
      <c r="DD116" s="217">
        <f t="shared" si="329"/>
        <v>14.734286689678754</v>
      </c>
      <c r="DE116" s="217"/>
      <c r="DF116" s="2202">
        <f>SUM(DF110:DF112)</f>
        <v>874.22199999999998</v>
      </c>
      <c r="DG116" s="2215">
        <f t="shared" si="330"/>
        <v>11.267560977275853</v>
      </c>
      <c r="DH116" s="217">
        <f t="shared" si="331"/>
        <v>15.609539993520038</v>
      </c>
      <c r="DI116" s="217"/>
      <c r="DJ116" s="2202">
        <f>SUM(DJ110:DJ112)</f>
        <v>765.27800000000002</v>
      </c>
      <c r="DK116" s="2215">
        <f t="shared" si="332"/>
        <v>9.4659459823183472</v>
      </c>
      <c r="DL116" s="217">
        <f t="shared" si="333"/>
        <v>-12.461823198226529</v>
      </c>
      <c r="DM116" s="217"/>
      <c r="DN116" s="2202">
        <f>SUM(DN110:DN112)</f>
        <v>470.19300000000044</v>
      </c>
      <c r="DO116" s="2215">
        <f t="shared" si="334"/>
        <v>6.0209157588099522</v>
      </c>
      <c r="DP116" s="217">
        <f t="shared" si="335"/>
        <v>-38.55919025504452</v>
      </c>
      <c r="DQ116" s="217"/>
      <c r="DR116" s="2202">
        <f>SUM(DR110:DR112)</f>
        <v>400.16657488647002</v>
      </c>
      <c r="DS116" s="2215" t="e">
        <f t="shared" si="336"/>
        <v>#DIV/0!</v>
      </c>
      <c r="DT116" s="217">
        <f t="shared" si="337"/>
        <v>-14.893123698891808</v>
      </c>
    </row>
    <row r="117" spans="1:125" collapsed="1">
      <c r="BN117" s="161"/>
      <c r="BO117" s="161"/>
      <c r="BP117" s="161"/>
      <c r="BR117" s="161"/>
      <c r="BS117" s="161"/>
      <c r="BT117" s="161"/>
      <c r="BV117" s="161"/>
      <c r="BW117" s="161"/>
      <c r="BX117" s="161"/>
      <c r="BZ117" s="161"/>
      <c r="CA117" s="161"/>
      <c r="CB117" s="161"/>
      <c r="CD117" s="161"/>
      <c r="CE117" s="161"/>
      <c r="CF117" s="161"/>
      <c r="CH117" s="161"/>
      <c r="CI117" s="161"/>
      <c r="CJ117" s="161"/>
      <c r="CL117" s="161"/>
      <c r="CM117" s="161"/>
      <c r="CN117" s="161"/>
      <c r="CP117" s="161"/>
      <c r="CQ117" s="161"/>
      <c r="CR117" s="161"/>
      <c r="CT117" s="161"/>
      <c r="CU117" s="161"/>
      <c r="CV117" s="161"/>
      <c r="CW117" s="161"/>
      <c r="CX117" s="161"/>
      <c r="CY117" s="161"/>
      <c r="CZ117" s="161"/>
      <c r="DA117" s="161"/>
      <c r="DB117" s="161"/>
      <c r="DC117" s="161"/>
      <c r="DD117" s="161"/>
      <c r="DE117" s="161"/>
      <c r="DF117" s="161"/>
      <c r="DG117" s="161"/>
      <c r="DH117" s="161"/>
      <c r="DI117" s="161"/>
      <c r="DJ117" s="161"/>
      <c r="DK117" s="161"/>
      <c r="DL117" s="161"/>
      <c r="DM117" s="161"/>
      <c r="DN117" s="1175"/>
      <c r="DO117" s="161"/>
      <c r="DP117" s="161"/>
      <c r="DQ117" s="161"/>
      <c r="DR117" s="161"/>
      <c r="DS117" s="161"/>
      <c r="DT117" s="161"/>
    </row>
    <row r="118" spans="1:125">
      <c r="C118" s="1936"/>
      <c r="D118" s="2175"/>
      <c r="E118" s="1936">
        <f>AH118</f>
        <v>0</v>
      </c>
      <c r="F118" s="2175"/>
      <c r="J118" s="2175"/>
      <c r="N118" s="2175"/>
      <c r="R118" s="2175"/>
      <c r="V118" s="2175"/>
      <c r="Z118" s="2176"/>
      <c r="AA118" s="2177"/>
      <c r="AB118" s="2177"/>
      <c r="AC118" s="2177"/>
      <c r="AD118" s="2176"/>
      <c r="AE118" s="2177"/>
      <c r="AF118" s="2177"/>
      <c r="AG118" s="2177"/>
      <c r="AH118" s="2176"/>
      <c r="AI118" s="2177"/>
      <c r="AJ118" s="2177"/>
      <c r="AK118" s="2177"/>
      <c r="AM118" s="2177"/>
      <c r="AN118" s="2177"/>
      <c r="AO118" s="2177"/>
      <c r="AQ118" s="2177"/>
      <c r="AR118" s="2177"/>
      <c r="AS118" s="2177"/>
      <c r="AU118" s="2177"/>
      <c r="AV118" s="2177"/>
      <c r="AW118" s="2177"/>
      <c r="AY118" s="2177"/>
      <c r="AZ118" s="2177"/>
      <c r="BA118" s="2177"/>
      <c r="BB118" s="2176"/>
      <c r="BC118" s="2177"/>
      <c r="BD118" s="2177"/>
      <c r="BE118" s="2177"/>
      <c r="BF118" s="2176"/>
      <c r="BG118" s="2177"/>
      <c r="BH118" s="2177"/>
      <c r="BI118" s="2177"/>
      <c r="BJ118" s="2176" t="s">
        <v>305</v>
      </c>
      <c r="BK118" s="2177"/>
      <c r="BL118" s="2177"/>
      <c r="BM118" s="2177"/>
      <c r="BN118" s="2178"/>
      <c r="BO118" s="2179"/>
      <c r="BP118" s="2179"/>
      <c r="BQ118" s="2177"/>
      <c r="BR118" s="2178"/>
      <c r="BS118" s="2179"/>
      <c r="BT118" s="2179"/>
      <c r="BU118" s="2177"/>
      <c r="BV118" s="2176" t="s">
        <v>305</v>
      </c>
      <c r="BW118" s="2179"/>
      <c r="BX118" s="2179"/>
      <c r="BY118" s="2177"/>
      <c r="CA118" s="2179"/>
      <c r="CB118" s="2179"/>
      <c r="CC118" s="2177"/>
      <c r="CD118" s="2178"/>
      <c r="CE118" s="2179"/>
      <c r="CF118" s="2179"/>
      <c r="CG118" s="2177"/>
      <c r="CH118" s="2178"/>
      <c r="CI118" s="2179"/>
      <c r="CJ118" s="2179"/>
      <c r="CL118" s="2178"/>
      <c r="CM118" s="2179"/>
      <c r="CN118" s="2179"/>
      <c r="CO118" s="2177"/>
      <c r="CP118" s="2178"/>
      <c r="CQ118" s="2179"/>
      <c r="CR118" s="2179"/>
      <c r="CS118" s="2177"/>
      <c r="CT118" s="2178"/>
      <c r="CU118" s="2179"/>
      <c r="CV118" s="2179"/>
      <c r="CW118" s="2179"/>
      <c r="CX118" s="2210" t="s">
        <v>305</v>
      </c>
      <c r="CY118" s="2179"/>
      <c r="CZ118" s="2179"/>
      <c r="DA118" s="2179"/>
      <c r="DB118" s="2179"/>
      <c r="DC118" s="2179"/>
      <c r="DD118" s="2179"/>
      <c r="DE118" s="2179"/>
      <c r="DF118" s="2179"/>
      <c r="DG118" s="2179"/>
      <c r="DH118" s="2179"/>
      <c r="DI118" s="2179"/>
      <c r="DJ118" s="2179"/>
      <c r="DK118" s="2179"/>
      <c r="DL118" s="2179"/>
      <c r="DM118" s="2179"/>
      <c r="DN118" s="2179"/>
      <c r="DO118" s="2179"/>
      <c r="DP118" s="2179"/>
      <c r="DQ118" s="2179"/>
      <c r="DR118" s="2179"/>
      <c r="DS118" s="2179"/>
      <c r="DT118" s="2179"/>
      <c r="DU118" s="2177"/>
    </row>
    <row r="119" spans="1:125">
      <c r="BN119" s="161"/>
      <c r="BO119" s="161"/>
      <c r="BP119" s="161"/>
      <c r="BR119" s="161"/>
      <c r="BS119" s="161"/>
      <c r="BT119" s="161"/>
      <c r="BV119" s="161"/>
      <c r="BW119" s="161"/>
      <c r="BX119" s="161"/>
      <c r="BZ119" s="161"/>
      <c r="CA119" s="161"/>
      <c r="CB119" s="161"/>
      <c r="CD119" s="161"/>
      <c r="CE119" s="161"/>
      <c r="CF119" s="161"/>
      <c r="CH119" s="161"/>
      <c r="CI119" s="161"/>
      <c r="CJ119" s="161"/>
      <c r="CL119" s="161"/>
      <c r="CM119" s="161"/>
      <c r="CN119" s="161"/>
      <c r="CP119" s="161"/>
      <c r="CQ119" s="161"/>
      <c r="CR119" s="161"/>
      <c r="CT119" s="161"/>
      <c r="CU119" s="161"/>
      <c r="CV119" s="161"/>
      <c r="CW119" s="161"/>
      <c r="CX119" s="161"/>
      <c r="CY119" s="161"/>
      <c r="CZ119" s="161"/>
      <c r="DA119" s="161"/>
      <c r="DB119" s="161"/>
      <c r="DC119" s="161"/>
      <c r="DD119" s="161"/>
      <c r="DE119" s="161"/>
      <c r="DF119" s="161"/>
      <c r="DG119" s="161"/>
      <c r="DH119" s="161"/>
      <c r="DI119" s="161"/>
      <c r="DJ119" s="161"/>
      <c r="DK119" s="161"/>
      <c r="DL119" s="161"/>
      <c r="DM119" s="161"/>
      <c r="DN119" s="161"/>
      <c r="DO119" s="161"/>
      <c r="DP119" s="161"/>
      <c r="DQ119" s="161"/>
      <c r="DR119" s="161"/>
      <c r="DS119" s="161"/>
      <c r="DT119" s="161"/>
    </row>
    <row r="120" spans="1:125">
      <c r="A120" s="23" t="str">
        <f>$A$10</f>
        <v>1Q</v>
      </c>
      <c r="B120" s="23" t="str">
        <f>$B$10</f>
        <v>Apr</v>
      </c>
      <c r="D120" s="2183">
        <v>29</v>
      </c>
      <c r="E120" s="2213">
        <f t="shared" ref="E120:G126" si="338">D120/D110*100</f>
        <v>39.08935286902372</v>
      </c>
      <c r="F120" s="2183">
        <v>40</v>
      </c>
      <c r="G120" s="2213">
        <f t="shared" si="338"/>
        <v>39.094951864340501</v>
      </c>
      <c r="H120" s="1881"/>
      <c r="J120" s="2183">
        <v>33</v>
      </c>
      <c r="K120" s="2213">
        <f t="shared" ref="K120:K126" si="339">J120/J110*100</f>
        <v>39.351299785356545</v>
      </c>
      <c r="L120" s="1881"/>
      <c r="N120" s="2183">
        <v>33</v>
      </c>
      <c r="O120" s="2213">
        <f t="shared" ref="O120:O126" si="340">N120/N110*100</f>
        <v>43.761935073201727</v>
      </c>
      <c r="P120" s="1881"/>
      <c r="R120" s="2183">
        <v>28</v>
      </c>
      <c r="S120" s="2213">
        <f t="shared" ref="S120:S126" si="341">R120/R110*100</f>
        <v>38.767739702319219</v>
      </c>
      <c r="T120" s="1881"/>
      <c r="V120" s="2183">
        <v>32</v>
      </c>
      <c r="W120" s="2213">
        <f t="shared" ref="W120:W126" si="342">V120/V110*100</f>
        <v>40.365306019476257</v>
      </c>
      <c r="X120" s="1881"/>
      <c r="Z120" s="2183">
        <v>27</v>
      </c>
      <c r="AA120" s="2213">
        <f t="shared" ref="AA120:AA126" si="343">Z120/Z110*100</f>
        <v>40.778722568757502</v>
      </c>
      <c r="AB120" s="1881"/>
      <c r="AD120" s="2183">
        <v>22</v>
      </c>
      <c r="AE120" s="2213">
        <f t="shared" ref="AE120:AE126" si="344">AD120/AD110*100</f>
        <v>40.418144072311769</v>
      </c>
      <c r="AF120" s="1881"/>
      <c r="AH120" s="2183">
        <v>23.1</v>
      </c>
      <c r="AI120" s="2213">
        <f t="shared" ref="AI120:AI126" si="345">AH120/AH110*100</f>
        <v>40.020790020790052</v>
      </c>
      <c r="AJ120" s="1881"/>
      <c r="AL120" s="2183">
        <v>25.9</v>
      </c>
      <c r="AM120" s="2213">
        <f t="shared" ref="AM120:AM126" si="346">AL120/AL110*100</f>
        <v>40.323208419610488</v>
      </c>
      <c r="AN120" s="1881"/>
      <c r="AO120" s="1881"/>
      <c r="AP120" s="2183">
        <v>25</v>
      </c>
      <c r="AQ120" s="2213">
        <f t="shared" ref="AQ120:AQ126" si="347">AP120/AP110*100</f>
        <v>39.921434616674318</v>
      </c>
      <c r="AT120" s="2183">
        <v>44</v>
      </c>
      <c r="AU120" s="2213">
        <f t="shared" ref="AU120:AU126" si="348">AT120/AT110*100</f>
        <v>39.974924819885707</v>
      </c>
      <c r="AX120" s="2183">
        <v>15</v>
      </c>
      <c r="AY120" s="2213">
        <f t="shared" ref="AY120:AY126" si="349">AX120/AX110*100</f>
        <v>39.42595805078065</v>
      </c>
      <c r="BB120" s="2183">
        <v>51</v>
      </c>
      <c r="BC120" s="2213">
        <f t="shared" ref="BC120:BC126" si="350">BB120/BB110*100</f>
        <v>39.88300983780907</v>
      </c>
      <c r="BF120" s="2183">
        <v>33</v>
      </c>
      <c r="BG120" s="2213">
        <f t="shared" ref="BG120:BG126" si="351">BF120/BF110*100</f>
        <v>39.833904688329902</v>
      </c>
      <c r="BJ120" s="2183">
        <v>44</v>
      </c>
      <c r="BK120" s="2213">
        <f t="shared" ref="BK120:BK126" si="352">BJ120/BJ110*100</f>
        <v>39.363034532116629</v>
      </c>
      <c r="BN120" s="2258">
        <v>10</v>
      </c>
      <c r="BO120" s="2213">
        <f t="shared" ref="BO120:BO126" si="353">BN120/BN110*100</f>
        <v>30.170463116608907</v>
      </c>
      <c r="BP120" s="2216"/>
      <c r="BR120" s="2258">
        <v>37</v>
      </c>
      <c r="BS120" s="2213">
        <f t="shared" ref="BS120:BS126" si="354">BR120/BR110*100</f>
        <v>35.776099631602868</v>
      </c>
      <c r="BT120" s="2216"/>
      <c r="BV120" s="2258">
        <v>71</v>
      </c>
      <c r="BW120" s="2213">
        <f t="shared" ref="BW120:BW126" si="355">BV120/BV110*100</f>
        <v>41.842483675538077</v>
      </c>
      <c r="BX120" s="2216"/>
      <c r="BZ120" s="2258">
        <v>39.299999999999997</v>
      </c>
      <c r="CA120" s="2213">
        <f t="shared" ref="CA120:CA126" si="356">BZ120/BZ110*100</f>
        <v>42.75084849012277</v>
      </c>
      <c r="CB120" s="2216"/>
      <c r="CD120" s="2258">
        <v>30.152000000000001</v>
      </c>
      <c r="CE120" s="2215">
        <f t="shared" ref="CE120:CE126" si="357">CD120/CD110*100</f>
        <v>45.305926193052052</v>
      </c>
      <c r="CF120" s="2216"/>
      <c r="CH120" s="2258">
        <v>0.63200000000000001</v>
      </c>
      <c r="CI120" s="2215">
        <f t="shared" ref="CI120:CI126" si="358">CH120/CH110*100</f>
        <v>19.5484070522735</v>
      </c>
      <c r="CJ120" s="2216"/>
      <c r="CL120" s="2258">
        <v>55.262</v>
      </c>
      <c r="CM120" s="2215">
        <f t="shared" ref="CM120:CM126" si="359">CL120/CL110*100</f>
        <v>40.006660295948784</v>
      </c>
      <c r="CN120" s="2216"/>
      <c r="CP120" s="2258">
        <f>83.471-1.085</f>
        <v>82.38600000000001</v>
      </c>
      <c r="CQ120" s="2215">
        <f t="shared" ref="CQ120:CQ126" si="360">CP120/CP110*100</f>
        <v>38.821583567763213</v>
      </c>
      <c r="CR120" s="2216"/>
      <c r="CT120" s="2258">
        <v>88.567999999999998</v>
      </c>
      <c r="CU120" s="2215">
        <f t="shared" ref="CU120:CU126" si="361">CT120/CT110*100</f>
        <v>41.556637857417641</v>
      </c>
      <c r="CV120" s="2216"/>
      <c r="CW120" s="2216"/>
      <c r="CX120" s="2258">
        <v>92.3</v>
      </c>
      <c r="CY120" s="2215">
        <f t="shared" ref="CY120:CY126" si="362">CX120/CX110*100</f>
        <v>39.310553371635912</v>
      </c>
      <c r="CZ120" s="2216"/>
      <c r="DA120" s="2216"/>
      <c r="DB120" s="2258">
        <v>98.46</v>
      </c>
      <c r="DC120" s="2215">
        <f t="shared" ref="DC120:DC126" si="363">DB120/DB110*100</f>
        <v>38.544953453230072</v>
      </c>
      <c r="DD120" s="2216"/>
      <c r="DE120" s="2216"/>
      <c r="DF120" s="2258">
        <f>119.123-9.079</f>
        <v>110.04400000000001</v>
      </c>
      <c r="DG120" s="2215">
        <f t="shared" ref="DG120:DG126" si="364">DF120/DF110*100</f>
        <v>37.746799665216876</v>
      </c>
      <c r="DH120" s="2216"/>
      <c r="DI120" s="2216"/>
      <c r="DJ120" s="2258">
        <v>93.846999999999994</v>
      </c>
      <c r="DK120" s="2215">
        <f t="shared" ref="DK120:DK126" si="365">DJ120/DJ110*100</f>
        <v>35.079974432104898</v>
      </c>
      <c r="DL120" s="2216"/>
      <c r="DM120" s="2216"/>
      <c r="DN120" s="2258">
        <v>24.393000000000001</v>
      </c>
      <c r="DO120" s="2608">
        <f t="shared" ref="DO120:DO121" si="366">DN120/DN110*100</f>
        <v>20.594020954519724</v>
      </c>
      <c r="DP120" s="2216"/>
      <c r="DQ120" s="2216"/>
      <c r="DR120" s="2778">
        <f t="shared" ref="DR120:DR121" si="367">+DS120/100*DR110</f>
        <v>18.999420528025741</v>
      </c>
      <c r="DS120" s="2217">
        <v>27</v>
      </c>
      <c r="DT120" s="2216"/>
    </row>
    <row r="121" spans="1:125">
      <c r="A121" s="23" t="str">
        <f>$A$11</f>
        <v>2Q</v>
      </c>
      <c r="B121" s="23" t="str">
        <f>$B$11</f>
        <v>Jul</v>
      </c>
      <c r="D121" s="2218">
        <v>41</v>
      </c>
      <c r="E121" s="2213">
        <f t="shared" si="338"/>
        <v>39.12923144463214</v>
      </c>
      <c r="F121" s="2218">
        <v>51</v>
      </c>
      <c r="G121" s="2213">
        <f t="shared" si="338"/>
        <v>39.223226302634131</v>
      </c>
      <c r="J121" s="2218">
        <v>50</v>
      </c>
      <c r="K121" s="2213">
        <f t="shared" si="339"/>
        <v>38.692203520990546</v>
      </c>
      <c r="N121" s="2218">
        <v>51</v>
      </c>
      <c r="O121" s="2213">
        <f t="shared" si="340"/>
        <v>38.909615252569175</v>
      </c>
      <c r="R121" s="2218">
        <v>43</v>
      </c>
      <c r="S121" s="2213">
        <f t="shared" si="341"/>
        <v>38.657940161104705</v>
      </c>
      <c r="V121" s="2218">
        <v>35</v>
      </c>
      <c r="W121" s="2213">
        <f t="shared" si="342"/>
        <v>39.400216138328545</v>
      </c>
      <c r="Z121" s="2218">
        <v>32</v>
      </c>
      <c r="AA121" s="2213">
        <f t="shared" si="343"/>
        <v>39.622594784675883</v>
      </c>
      <c r="AD121" s="2218">
        <v>28</v>
      </c>
      <c r="AE121" s="2213">
        <f t="shared" si="344"/>
        <v>40.392383150605838</v>
      </c>
      <c r="AH121" s="2218">
        <v>26.1</v>
      </c>
      <c r="AI121" s="2213">
        <f t="shared" si="345"/>
        <v>38.761416796613851</v>
      </c>
      <c r="AL121" s="2218">
        <v>32.1</v>
      </c>
      <c r="AM121" s="2213">
        <f t="shared" si="346"/>
        <v>40.010470029540443</v>
      </c>
      <c r="AP121" s="2218">
        <v>39</v>
      </c>
      <c r="AQ121" s="2213">
        <f t="shared" si="347"/>
        <v>39.527694724573067</v>
      </c>
      <c r="AT121" s="2218">
        <v>61</v>
      </c>
      <c r="AU121" s="2213">
        <f t="shared" si="348"/>
        <v>39.45104836310486</v>
      </c>
      <c r="AX121" s="2218">
        <v>32</v>
      </c>
      <c r="AY121" s="2213">
        <f t="shared" si="349"/>
        <v>40.336812383401409</v>
      </c>
      <c r="BB121" s="2218">
        <v>55</v>
      </c>
      <c r="BC121" s="2213">
        <f t="shared" si="350"/>
        <v>39.672235205862869</v>
      </c>
      <c r="BF121" s="2218">
        <v>66</v>
      </c>
      <c r="BG121" s="2213">
        <f t="shared" si="351"/>
        <v>39.295304211146778</v>
      </c>
      <c r="BJ121" s="2218">
        <v>87</v>
      </c>
      <c r="BK121" s="2213">
        <f t="shared" si="352"/>
        <v>38.781286914658899</v>
      </c>
      <c r="BN121" s="2225">
        <v>72</v>
      </c>
      <c r="BO121" s="2213">
        <f t="shared" si="353"/>
        <v>38.902726973097742</v>
      </c>
      <c r="BP121" s="2216"/>
      <c r="BR121" s="2225">
        <v>53</v>
      </c>
      <c r="BS121" s="2213">
        <f t="shared" si="354"/>
        <v>39.401981994037747</v>
      </c>
      <c r="BT121" s="2216"/>
      <c r="BV121" s="2225">
        <v>67</v>
      </c>
      <c r="BW121" s="2215">
        <f t="shared" si="355"/>
        <v>37.20589296919691</v>
      </c>
      <c r="BX121" s="2216"/>
      <c r="BZ121" s="2225">
        <v>43.3</v>
      </c>
      <c r="CA121" s="2215">
        <f t="shared" si="356"/>
        <v>35.038315571415801</v>
      </c>
      <c r="CB121" s="2216"/>
      <c r="CD121" s="2225">
        <v>57.365000000000002</v>
      </c>
      <c r="CE121" s="2215">
        <f t="shared" si="357"/>
        <v>37.93304105748318</v>
      </c>
      <c r="CF121" s="2216"/>
      <c r="CH121" s="2225">
        <v>29.484000000000002</v>
      </c>
      <c r="CI121" s="2215">
        <f t="shared" si="358"/>
        <v>32.852351610638785</v>
      </c>
      <c r="CJ121" s="2216"/>
      <c r="CL121" s="2225">
        <f>65.43+11.375</f>
        <v>76.805000000000007</v>
      </c>
      <c r="CM121" s="2215">
        <f t="shared" si="359"/>
        <v>38.906731236829245</v>
      </c>
      <c r="CN121" s="2216"/>
      <c r="CP121" s="2225">
        <f>44.828+46.85</f>
        <v>91.677999999999997</v>
      </c>
      <c r="CQ121" s="2215">
        <f t="shared" si="360"/>
        <v>37.821425182654878</v>
      </c>
      <c r="CR121" s="2216"/>
      <c r="CT121" s="2225">
        <v>85.91</v>
      </c>
      <c r="CU121" s="2215">
        <f t="shared" si="361"/>
        <v>36.855426855426849</v>
      </c>
      <c r="CV121" s="2216"/>
      <c r="CW121" s="2216"/>
      <c r="CX121" s="2225">
        <v>103.94</v>
      </c>
      <c r="CY121" s="2215">
        <f t="shared" si="362"/>
        <v>36.746872945052914</v>
      </c>
      <c r="CZ121" s="2216"/>
      <c r="DA121" s="2216"/>
      <c r="DB121" s="2225">
        <v>107.916</v>
      </c>
      <c r="DC121" s="2215">
        <f t="shared" si="363"/>
        <v>36.424513877403591</v>
      </c>
      <c r="DD121" s="2216"/>
      <c r="DE121" s="2216"/>
      <c r="DF121" s="2409">
        <v>120.751</v>
      </c>
      <c r="DG121" s="2215">
        <f t="shared" si="364"/>
        <v>37.35784028611382</v>
      </c>
      <c r="DH121" s="2216"/>
      <c r="DI121" s="2216"/>
      <c r="DJ121" s="2409">
        <v>102.91200000000001</v>
      </c>
      <c r="DK121" s="2215">
        <f t="shared" si="365"/>
        <v>33.459156303340627</v>
      </c>
      <c r="DL121" s="2216"/>
      <c r="DM121" s="2216"/>
      <c r="DN121" s="2698">
        <v>78.209999999999994</v>
      </c>
      <c r="DO121" s="2608">
        <f t="shared" si="366"/>
        <v>36.027528514307811</v>
      </c>
      <c r="DP121" s="2216"/>
      <c r="DQ121" s="2216"/>
      <c r="DR121" s="2779">
        <f t="shared" si="367"/>
        <v>52.410702015621439</v>
      </c>
      <c r="DS121" s="2217">
        <v>27</v>
      </c>
      <c r="DT121" s="2216"/>
    </row>
    <row r="122" spans="1:125">
      <c r="A122" s="23" t="str">
        <f>$A$12</f>
        <v>3Q</v>
      </c>
      <c r="B122" s="23" t="str">
        <f>$B$12</f>
        <v>Oct</v>
      </c>
      <c r="D122" s="2218">
        <v>54</v>
      </c>
      <c r="E122" s="2213">
        <f t="shared" si="338"/>
        <v>38.88556841339679</v>
      </c>
      <c r="F122" s="2218">
        <v>54</v>
      </c>
      <c r="G122" s="2213">
        <f t="shared" si="338"/>
        <v>38.872132280426428</v>
      </c>
      <c r="J122" s="2218">
        <v>46</v>
      </c>
      <c r="K122" s="2213">
        <f t="shared" si="339"/>
        <v>38.697085941180411</v>
      </c>
      <c r="N122" s="2218">
        <v>50</v>
      </c>
      <c r="O122" s="2213">
        <f t="shared" si="340"/>
        <v>38.463017808377217</v>
      </c>
      <c r="R122" s="2218">
        <v>54</v>
      </c>
      <c r="S122" s="2213">
        <f t="shared" si="341"/>
        <v>40.419766762975492</v>
      </c>
      <c r="V122" s="2218">
        <v>60</v>
      </c>
      <c r="W122" s="2213">
        <f t="shared" si="342"/>
        <v>39.869758787959377</v>
      </c>
      <c r="Z122" s="2218">
        <v>28</v>
      </c>
      <c r="AA122" s="2213">
        <f t="shared" si="343"/>
        <v>38.990154985866013</v>
      </c>
      <c r="AD122" s="2218">
        <v>29</v>
      </c>
      <c r="AE122" s="2213">
        <f t="shared" si="344"/>
        <v>38.915727321524415</v>
      </c>
      <c r="AH122" s="2218">
        <v>25.7</v>
      </c>
      <c r="AI122" s="2213">
        <f t="shared" si="345"/>
        <v>41.652485373008439</v>
      </c>
      <c r="AL122" s="2218">
        <v>28.2</v>
      </c>
      <c r="AM122" s="2213">
        <f t="shared" si="346"/>
        <v>39.929203539823057</v>
      </c>
      <c r="AP122" s="2218">
        <v>29</v>
      </c>
      <c r="AQ122" s="2213">
        <f t="shared" si="347"/>
        <v>40.029815310714234</v>
      </c>
      <c r="AT122" s="2218">
        <v>37</v>
      </c>
      <c r="AU122" s="2213">
        <f t="shared" si="348"/>
        <v>39.55780785596685</v>
      </c>
      <c r="AX122" s="2218">
        <v>-9</v>
      </c>
      <c r="AY122" s="2213">
        <f t="shared" si="349"/>
        <v>41.146619119462699</v>
      </c>
      <c r="BB122" s="2218">
        <v>7</v>
      </c>
      <c r="BC122" s="2213">
        <f t="shared" si="350"/>
        <v>40.264595916019665</v>
      </c>
      <c r="BF122" s="2218">
        <v>28</v>
      </c>
      <c r="BG122" s="2213">
        <f t="shared" si="351"/>
        <v>38.717884897259303</v>
      </c>
      <c r="BH122" s="2259"/>
      <c r="BJ122" s="2218">
        <v>5</v>
      </c>
      <c r="BK122" s="2213">
        <f t="shared" si="352"/>
        <v>9.1446129085355849</v>
      </c>
      <c r="BN122" s="2225">
        <v>-7</v>
      </c>
      <c r="BO122" s="2213">
        <f t="shared" si="353"/>
        <v>36.254402320281415</v>
      </c>
      <c r="BP122" s="161"/>
      <c r="BR122" s="2225">
        <v>-1</v>
      </c>
      <c r="BS122" s="2213">
        <f t="shared" si="354"/>
        <v>59.417706476523712</v>
      </c>
      <c r="BT122" s="161"/>
      <c r="BV122" s="2225">
        <v>18</v>
      </c>
      <c r="BW122" s="2215">
        <f t="shared" si="355"/>
        <v>43.365134431916516</v>
      </c>
      <c r="BX122" s="2260"/>
      <c r="BZ122" s="2225">
        <f>11.3-10</f>
        <v>1.3000000000000007</v>
      </c>
      <c r="CA122" s="2215">
        <f t="shared" si="356"/>
        <v>-95.23809523809156</v>
      </c>
      <c r="CB122" s="2260"/>
      <c r="CD122" s="2225">
        <v>-0.98199999999999998</v>
      </c>
      <c r="CE122" s="2215">
        <f t="shared" si="357"/>
        <v>-31.606050852913338</v>
      </c>
      <c r="CF122" s="2260"/>
      <c r="CH122" s="2225">
        <f>-3.487+8.755</f>
        <v>5.2680000000000007</v>
      </c>
      <c r="CI122" s="2215">
        <f t="shared" si="358"/>
        <v>46.344681974135469</v>
      </c>
      <c r="CJ122" s="2260"/>
      <c r="CL122" s="2225">
        <v>40.176000000000002</v>
      </c>
      <c r="CM122" s="2215">
        <f t="shared" si="359"/>
        <v>39.5810961252376</v>
      </c>
      <c r="CN122" s="2260"/>
      <c r="CP122" s="2225">
        <v>44.287999999999997</v>
      </c>
      <c r="CQ122" s="2215">
        <f t="shared" si="360"/>
        <v>36.339169962420179</v>
      </c>
      <c r="CR122" s="2260"/>
      <c r="CT122" s="2225">
        <f>54.036-4.588</f>
        <v>49.448</v>
      </c>
      <c r="CU122" s="2215">
        <f t="shared" si="361"/>
        <v>39.530570478383325</v>
      </c>
      <c r="CV122" s="2260"/>
      <c r="CW122" s="2260"/>
      <c r="CX122" s="2225">
        <v>49.44</v>
      </c>
      <c r="CY122" s="2215">
        <f t="shared" si="362"/>
        <v>34.958705735942964</v>
      </c>
      <c r="CZ122" s="2260"/>
      <c r="DA122" s="2260"/>
      <c r="DB122" s="2195">
        <v>72.662000000000006</v>
      </c>
      <c r="DC122" s="2215">
        <f t="shared" si="363"/>
        <v>35.536753557979139</v>
      </c>
      <c r="DD122" s="2260"/>
      <c r="DE122" s="2260"/>
      <c r="DF122" s="2535">
        <v>95.430999999999997</v>
      </c>
      <c r="DG122" s="2215">
        <f t="shared" si="364"/>
        <v>36.780337775859287</v>
      </c>
      <c r="DH122" s="2260"/>
      <c r="DI122" s="2260"/>
      <c r="DJ122" s="2409">
        <v>68.540000000000006</v>
      </c>
      <c r="DK122" s="2215">
        <f t="shared" si="365"/>
        <v>36.039541487012343</v>
      </c>
      <c r="DL122" s="2260"/>
      <c r="DM122" s="2260"/>
      <c r="DN122" s="2698">
        <v>48.677</v>
      </c>
      <c r="DO122" s="2608">
        <v>36.1</v>
      </c>
      <c r="DP122" s="2260"/>
      <c r="DQ122" s="2260"/>
      <c r="DR122" s="2779">
        <f>+DS122/100*DR112</f>
        <v>36.634852675699733</v>
      </c>
      <c r="DS122" s="2217">
        <v>27</v>
      </c>
      <c r="DT122" s="2260"/>
    </row>
    <row r="123" spans="1:125">
      <c r="A123" s="23" t="str">
        <f>$A$13</f>
        <v>4Q</v>
      </c>
      <c r="B123" s="23" t="str">
        <f>$B$13</f>
        <v>Jan</v>
      </c>
      <c r="C123" s="139"/>
      <c r="D123" s="2220">
        <f>227-D122-D121-D120</f>
        <v>103</v>
      </c>
      <c r="E123" s="2213">
        <f t="shared" si="338"/>
        <v>40.220706244362212</v>
      </c>
      <c r="F123" s="2220">
        <f>255-F122-F121-F120</f>
        <v>110</v>
      </c>
      <c r="G123" s="2213">
        <f t="shared" si="338"/>
        <v>38.98207179080098</v>
      </c>
      <c r="J123" s="2220">
        <f>257-J122-J121-J120</f>
        <v>128</v>
      </c>
      <c r="K123" s="2213">
        <f t="shared" si="339"/>
        <v>38.983386377133868</v>
      </c>
      <c r="N123" s="2220">
        <f>290-N122-N121-N120</f>
        <v>156</v>
      </c>
      <c r="O123" s="2213">
        <f t="shared" si="340"/>
        <v>39.009362246939197</v>
      </c>
      <c r="R123" s="2220">
        <f>254-R122-R121-R120</f>
        <v>129</v>
      </c>
      <c r="S123" s="2213">
        <f t="shared" si="341"/>
        <v>39.652411266202847</v>
      </c>
      <c r="V123" s="2220">
        <f>296-V122-V121-V120</f>
        <v>169</v>
      </c>
      <c r="W123" s="2213">
        <f t="shared" si="342"/>
        <v>39.695122667324284</v>
      </c>
      <c r="Z123" s="2220">
        <v>136</v>
      </c>
      <c r="AA123" s="2213">
        <f t="shared" si="343"/>
        <v>40.318038171695555</v>
      </c>
      <c r="AD123" s="2220">
        <v>162</v>
      </c>
      <c r="AE123" s="2213">
        <f t="shared" si="344"/>
        <v>38.940809968847354</v>
      </c>
      <c r="AH123" s="2220">
        <v>152.19999999999999</v>
      </c>
      <c r="AI123" s="2213">
        <f t="shared" si="345"/>
        <v>39.97961617467044</v>
      </c>
      <c r="AL123" s="2220">
        <v>167.6</v>
      </c>
      <c r="AM123" s="2213">
        <f t="shared" si="346"/>
        <v>39.989501562835528</v>
      </c>
      <c r="AP123" s="2220">
        <v>202</v>
      </c>
      <c r="AQ123" s="2213">
        <f t="shared" si="347"/>
        <v>39.662904581261827</v>
      </c>
      <c r="AT123" s="2220">
        <v>169</v>
      </c>
      <c r="AU123" s="2213">
        <f t="shared" si="348"/>
        <v>39.896976092504339</v>
      </c>
      <c r="AX123" s="2220">
        <v>234</v>
      </c>
      <c r="AY123" s="2213">
        <f t="shared" si="349"/>
        <v>39.771162847615251</v>
      </c>
      <c r="BB123" s="2220">
        <v>236</v>
      </c>
      <c r="BC123" s="2213">
        <f t="shared" si="350"/>
        <v>39.778521284037183</v>
      </c>
      <c r="BF123" s="2220">
        <v>247</v>
      </c>
      <c r="BG123" s="2213">
        <f t="shared" si="351"/>
        <v>38.919273233781915</v>
      </c>
      <c r="BJ123" s="2220">
        <v>235</v>
      </c>
      <c r="BK123" s="2213">
        <f t="shared" si="352"/>
        <v>38.057912806892531</v>
      </c>
      <c r="BN123" s="2220">
        <v>268</v>
      </c>
      <c r="BO123" s="2213">
        <f t="shared" si="353"/>
        <v>38.620999736281981</v>
      </c>
      <c r="BP123" s="161"/>
      <c r="BR123" s="2220">
        <v>202</v>
      </c>
      <c r="BS123" s="2213">
        <f t="shared" si="354"/>
        <v>28.010000402123765</v>
      </c>
      <c r="BT123" s="161"/>
      <c r="BV123" s="2261">
        <v>266</v>
      </c>
      <c r="BW123" s="2215">
        <f t="shared" si="355"/>
        <v>37.688905009790616</v>
      </c>
      <c r="BX123" s="2215"/>
      <c r="BZ123" s="2227">
        <f>202+28-19</f>
        <v>211</v>
      </c>
      <c r="CA123" s="2215">
        <f t="shared" si="356"/>
        <v>38.878314560573706</v>
      </c>
      <c r="CB123" s="161"/>
      <c r="CD123" s="2227">
        <v>128.87700000000001</v>
      </c>
      <c r="CE123" s="2215">
        <f t="shared" si="357"/>
        <v>37.053851240619892</v>
      </c>
      <c r="CF123" s="161"/>
      <c r="CH123" s="2227">
        <v>203.608</v>
      </c>
      <c r="CI123" s="2215">
        <f t="shared" si="358"/>
        <v>37.95746172244791</v>
      </c>
      <c r="CJ123" s="161"/>
      <c r="CL123" s="2227">
        <f>265.742-19.4</f>
        <v>246.34200000000001</v>
      </c>
      <c r="CM123" s="2215">
        <f t="shared" si="359"/>
        <v>36.987066493299011</v>
      </c>
      <c r="CN123" s="161"/>
      <c r="CP123" s="2227">
        <v>266.13299999999998</v>
      </c>
      <c r="CQ123" s="2215">
        <f t="shared" si="360"/>
        <v>36.690742698951254</v>
      </c>
      <c r="CR123" s="161"/>
      <c r="CT123" s="2227">
        <f>299.0143+12.247</f>
        <v>311.26130000000001</v>
      </c>
      <c r="CU123" s="2215">
        <f t="shared" si="361"/>
        <v>37.479144892425204</v>
      </c>
      <c r="CV123" s="161"/>
      <c r="CW123" s="161"/>
      <c r="CX123" s="2227">
        <v>297.17099999999999</v>
      </c>
      <c r="CY123" s="2215">
        <f t="shared" si="362"/>
        <v>37.770004994973242</v>
      </c>
      <c r="CZ123" s="161"/>
      <c r="DA123" s="161"/>
      <c r="DB123" s="2227">
        <v>314.733</v>
      </c>
      <c r="DC123" s="2215">
        <f t="shared" si="363"/>
        <v>35.783574707860659</v>
      </c>
      <c r="DD123" s="161"/>
      <c r="DE123" s="161"/>
      <c r="DF123" s="2227">
        <v>346.084</v>
      </c>
      <c r="DG123" s="2215">
        <f t="shared" si="364"/>
        <v>35.239145464672177</v>
      </c>
      <c r="DH123" s="161"/>
      <c r="DI123" s="161"/>
      <c r="DJ123" s="2575">
        <v>302.62799999999999</v>
      </c>
      <c r="DK123" s="2215">
        <f t="shared" si="365"/>
        <v>33.903226782191354</v>
      </c>
      <c r="DL123" s="161"/>
      <c r="DM123" s="161"/>
      <c r="DN123" s="2869">
        <f>302.8-16.2</f>
        <v>286.60000000000002</v>
      </c>
      <c r="DO123" s="2608">
        <v>36.1</v>
      </c>
      <c r="DP123" s="161"/>
      <c r="DQ123" s="161"/>
      <c r="DR123" s="2780">
        <f>+DS123/100*DR113</f>
        <v>229.45491003063219</v>
      </c>
      <c r="DS123" s="2217">
        <v>27</v>
      </c>
      <c r="DT123" s="161"/>
    </row>
    <row r="124" spans="1:125">
      <c r="B124" s="23" t="str">
        <f>$B$14</f>
        <v>Year</v>
      </c>
      <c r="D124" s="1854">
        <f>SUM(D120:D123)</f>
        <v>227</v>
      </c>
      <c r="E124" s="2213">
        <f t="shared" si="338"/>
        <v>39.552137383565103</v>
      </c>
      <c r="F124" s="1854">
        <f>SUM(F120:F123)</f>
        <v>255</v>
      </c>
      <c r="G124" s="2213">
        <f t="shared" si="338"/>
        <v>39.0243603830815</v>
      </c>
      <c r="J124" s="1854">
        <f>SUM(J120:J123)</f>
        <v>257</v>
      </c>
      <c r="K124" s="2213">
        <f t="shared" si="339"/>
        <v>38.921584365941676</v>
      </c>
      <c r="N124" s="1854">
        <f>SUM(N120:N123)</f>
        <v>290</v>
      </c>
      <c r="O124" s="2213">
        <f t="shared" si="340"/>
        <v>39.381840897362721</v>
      </c>
      <c r="R124" s="1854">
        <f>SUM(R120:R123)</f>
        <v>254</v>
      </c>
      <c r="S124" s="2213">
        <f t="shared" si="341"/>
        <v>39.540335812647264</v>
      </c>
      <c r="V124" s="1854">
        <f>SUM(V120:V123)</f>
        <v>296</v>
      </c>
      <c r="W124" s="2213">
        <f t="shared" si="342"/>
        <v>39.766612972782688</v>
      </c>
      <c r="Z124" s="1854">
        <f>SUM(Z120:Z123)</f>
        <v>223</v>
      </c>
      <c r="AA124" s="2213">
        <f t="shared" si="343"/>
        <v>40.100412872412342</v>
      </c>
      <c r="AD124" s="1854">
        <f>SUM(AD120:AD123)</f>
        <v>241</v>
      </c>
      <c r="AE124" s="2213">
        <f t="shared" si="344"/>
        <v>39.232476025050175</v>
      </c>
      <c r="AH124" s="1854">
        <f>SUM(AH120:AH123)</f>
        <v>227.1</v>
      </c>
      <c r="AI124" s="2213">
        <f t="shared" si="345"/>
        <v>40.021147237642047</v>
      </c>
      <c r="AL124" s="1854">
        <f>SUM(AL120:AL123)</f>
        <v>253.8</v>
      </c>
      <c r="AM124" s="2213">
        <f t="shared" si="346"/>
        <v>40.019236985469774</v>
      </c>
      <c r="AP124" s="1854">
        <f>SUM(AP120:AP123)</f>
        <v>295</v>
      </c>
      <c r="AQ124" s="2213">
        <f t="shared" si="347"/>
        <v>39.702513774753506</v>
      </c>
      <c r="AT124" s="1854">
        <f>SUM(AT120:AT123)</f>
        <v>311</v>
      </c>
      <c r="AU124" s="2213">
        <f t="shared" si="348"/>
        <v>39.779180779109161</v>
      </c>
      <c r="AX124" s="1854">
        <f>SUM(AX120:AX123)</f>
        <v>272</v>
      </c>
      <c r="AY124" s="2213">
        <f t="shared" si="349"/>
        <v>39.773583029547957</v>
      </c>
      <c r="BB124" s="1854">
        <f>SUM(BB120:BB123)</f>
        <v>349</v>
      </c>
      <c r="BC124" s="2213">
        <f t="shared" si="350"/>
        <v>39.786588841514863</v>
      </c>
      <c r="BF124" s="1854">
        <f>SUM(BF120:BF123)</f>
        <v>374</v>
      </c>
      <c r="BG124" s="2213">
        <f t="shared" si="351"/>
        <v>39.049122543246369</v>
      </c>
      <c r="BJ124" s="1854">
        <f>SUM(BJ120:BJ123)</f>
        <v>371</v>
      </c>
      <c r="BK124" s="2213">
        <f t="shared" si="352"/>
        <v>36.795626576955428</v>
      </c>
      <c r="BN124" s="1855">
        <f>SUM(BN120:BN123)</f>
        <v>343</v>
      </c>
      <c r="BO124" s="2215">
        <f t="shared" si="353"/>
        <v>38.416866684512421</v>
      </c>
      <c r="BP124" s="161"/>
      <c r="BR124" s="1855">
        <f>SUM(BR120:BR123)</f>
        <v>291</v>
      </c>
      <c r="BS124" s="2215">
        <f t="shared" si="354"/>
        <v>30.394184370495719</v>
      </c>
      <c r="BT124" s="161"/>
      <c r="BV124" s="1855">
        <f>SUM(BV120:BV123)</f>
        <v>422</v>
      </c>
      <c r="BW124" s="2215">
        <f t="shared" si="355"/>
        <v>38.466832383968274</v>
      </c>
      <c r="BX124" s="161"/>
      <c r="BZ124" s="1855">
        <f>SUM(BZ120:BZ123)</f>
        <v>294.89999999999998</v>
      </c>
      <c r="CA124" s="2215">
        <f t="shared" si="356"/>
        <v>38.963561340853872</v>
      </c>
      <c r="CB124" s="161"/>
      <c r="CD124" s="1855">
        <f>SUM(CD120:CD123)</f>
        <v>215.41200000000001</v>
      </c>
      <c r="CE124" s="2215">
        <f t="shared" si="357"/>
        <v>37.878233713618556</v>
      </c>
      <c r="CF124" s="161"/>
      <c r="CH124" s="1855">
        <f>SUM(CH120:CH123)</f>
        <v>238.99200000000002</v>
      </c>
      <c r="CI124" s="2215">
        <f t="shared" si="358"/>
        <v>37.298324796569069</v>
      </c>
      <c r="CJ124" s="161"/>
      <c r="CL124" s="1855">
        <f>SUM(CL120:CL123)</f>
        <v>418.58500000000004</v>
      </c>
      <c r="CM124" s="2215">
        <f t="shared" si="359"/>
        <v>37.947446433347061</v>
      </c>
      <c r="CN124" s="161"/>
      <c r="CP124" s="1855">
        <f>SUM(CP120:CP123)</f>
        <v>484.48500000000001</v>
      </c>
      <c r="CQ124" s="2215">
        <f t="shared" si="360"/>
        <v>37.215717271623227</v>
      </c>
      <c r="CR124" s="161"/>
      <c r="CT124" s="1855">
        <f>SUM(CT120:CT123)</f>
        <v>535.18730000000005</v>
      </c>
      <c r="CU124" s="2215">
        <f t="shared" si="361"/>
        <v>38.178414131484672</v>
      </c>
      <c r="CV124" s="161"/>
      <c r="CW124" s="161"/>
      <c r="CX124" s="1855">
        <f>SUM(CX120:CX123)</f>
        <v>542.851</v>
      </c>
      <c r="CY124" s="2215">
        <f t="shared" si="362"/>
        <v>37.54504220999732</v>
      </c>
      <c r="CZ124" s="161"/>
      <c r="DA124" s="161"/>
      <c r="DB124" s="1855">
        <f>SUM(DB120:DB123)-0.1</f>
        <v>593.67099999999994</v>
      </c>
      <c r="DC124" s="2215">
        <f t="shared" si="363"/>
        <v>36.296145035157672</v>
      </c>
      <c r="DD124" s="161"/>
      <c r="DE124" s="161"/>
      <c r="DF124" s="1855">
        <f>SUM(DF120:DF123)</f>
        <v>672.31</v>
      </c>
      <c r="DG124" s="2215">
        <f t="shared" si="364"/>
        <v>36.21729623562279</v>
      </c>
      <c r="DH124" s="161"/>
      <c r="DI124" s="161"/>
      <c r="DJ124" s="1855">
        <f>SUM(DJ120:DJ123)</f>
        <v>567.92700000000002</v>
      </c>
      <c r="DK124" s="2215">
        <f t="shared" si="365"/>
        <v>34.255784874971418</v>
      </c>
      <c r="DL124" s="161"/>
      <c r="DM124" s="161"/>
      <c r="DN124" s="1855">
        <f>SUM(DN120:DN123)</f>
        <v>437.88</v>
      </c>
      <c r="DO124" s="2215">
        <f>DN124/DN114*100</f>
        <v>32.259846922650162</v>
      </c>
      <c r="DP124" s="161"/>
      <c r="DQ124" s="161"/>
      <c r="DR124" s="2778">
        <f>SUM(DR120:DR123)</f>
        <v>337.49988524997912</v>
      </c>
      <c r="DS124" s="2215">
        <f>DR124/DR114*100</f>
        <v>27</v>
      </c>
      <c r="DT124" s="161"/>
    </row>
    <row r="125" spans="1:125" hidden="1" outlineLevel="1">
      <c r="A125" s="23" t="str">
        <f>$A$15</f>
        <v>6 Mos</v>
      </c>
      <c r="D125" s="1899">
        <f>SUM(D120:D121)</f>
        <v>70</v>
      </c>
      <c r="E125" s="2213">
        <f t="shared" si="338"/>
        <v>39.112700452589827</v>
      </c>
      <c r="F125" s="1899">
        <f>SUM(F120:F121)</f>
        <v>91</v>
      </c>
      <c r="G125" s="2213">
        <f t="shared" si="338"/>
        <v>39.166738400619785</v>
      </c>
      <c r="J125" s="1899">
        <f>SUM(J120:J121)</f>
        <v>83</v>
      </c>
      <c r="K125" s="2213">
        <f t="shared" si="339"/>
        <v>38.951592087664558</v>
      </c>
      <c r="N125" s="1899">
        <f>SUM(N120:N121)</f>
        <v>84</v>
      </c>
      <c r="O125" s="2213">
        <f t="shared" si="340"/>
        <v>40.681709212954196</v>
      </c>
      <c r="R125" s="1899">
        <f>SUM(R120:R121)</f>
        <v>71</v>
      </c>
      <c r="S125" s="2213">
        <f t="shared" si="341"/>
        <v>38.701167030966403</v>
      </c>
      <c r="V125" s="1899">
        <f>SUM(V120:V121)</f>
        <v>67</v>
      </c>
      <c r="W125" s="2213">
        <f t="shared" si="342"/>
        <v>39.855331096675947</v>
      </c>
      <c r="Z125" s="1899">
        <f>SUM(Z120:Z121)</f>
        <v>59</v>
      </c>
      <c r="AA125" s="2213">
        <f t="shared" si="343"/>
        <v>40.143427704408275</v>
      </c>
      <c r="AD125" s="1899">
        <f>SUM(AD120:AD121)</f>
        <v>50</v>
      </c>
      <c r="AE125" s="2213">
        <f t="shared" si="344"/>
        <v>40.403713909382539</v>
      </c>
      <c r="AH125" s="1899">
        <f>SUM(AH120:AH121)</f>
        <v>49.2</v>
      </c>
      <c r="AI125" s="2213">
        <f t="shared" si="345"/>
        <v>39.342689216744596</v>
      </c>
      <c r="AL125" s="1899">
        <f>SUM(AL120:AL121)</f>
        <v>58</v>
      </c>
      <c r="AM125" s="2213">
        <f t="shared" si="346"/>
        <v>40.149522359130565</v>
      </c>
      <c r="AP125" s="1899">
        <f>SUM(AP120:AP121)</f>
        <v>64</v>
      </c>
      <c r="AQ125" s="2213">
        <f t="shared" si="347"/>
        <v>39.680571400228146</v>
      </c>
      <c r="AT125" s="1899">
        <f>SUM(AT120:AT121)</f>
        <v>105</v>
      </c>
      <c r="AU125" s="2213">
        <f t="shared" si="348"/>
        <v>39.668896940205741</v>
      </c>
      <c r="AX125" s="1899">
        <f>SUM(AX120:AX121)</f>
        <v>47</v>
      </c>
      <c r="AY125" s="2213">
        <f t="shared" si="349"/>
        <v>40.041575082213036</v>
      </c>
      <c r="BB125" s="1899">
        <f>SUM(BB120:BB121)</f>
        <v>106</v>
      </c>
      <c r="BC125" s="2213">
        <f t="shared" si="350"/>
        <v>39.773366853026154</v>
      </c>
      <c r="BF125" s="1899">
        <f>SUM(BF120:BF121)</f>
        <v>99</v>
      </c>
      <c r="BG125" s="2213">
        <f t="shared" si="351"/>
        <v>39.473212042918163</v>
      </c>
      <c r="BJ125" s="1899">
        <f>SUM(BJ120:BJ121)</f>
        <v>131</v>
      </c>
      <c r="BK125" s="2213">
        <f t="shared" si="352"/>
        <v>38.974755663984055</v>
      </c>
      <c r="BN125" s="2202">
        <f>SUM(BN120:BN121)</f>
        <v>82</v>
      </c>
      <c r="BO125" s="2215">
        <f t="shared" si="353"/>
        <v>37.576413010603936</v>
      </c>
      <c r="BP125" s="161"/>
      <c r="BR125" s="2202">
        <f>SUM(BR120:BR121)</f>
        <v>90</v>
      </c>
      <c r="BS125" s="2215">
        <f t="shared" si="354"/>
        <v>37.825933459980213</v>
      </c>
      <c r="BT125" s="161"/>
      <c r="BV125" s="2202">
        <f>SUM(BV120:BV121)</f>
        <v>138</v>
      </c>
      <c r="BW125" s="2215">
        <f t="shared" si="355"/>
        <v>39.455288295217088</v>
      </c>
      <c r="BX125" s="161"/>
      <c r="BZ125" s="2202">
        <f>SUM(BZ120:BZ121)</f>
        <v>82.6</v>
      </c>
      <c r="CA125" s="2215">
        <f t="shared" si="356"/>
        <v>38.328221357078881</v>
      </c>
      <c r="CB125" s="161"/>
      <c r="CD125" s="2202">
        <f>SUM(CD120:CD121)</f>
        <v>87.516999999999996</v>
      </c>
      <c r="CE125" s="2215">
        <f t="shared" si="357"/>
        <v>40.186152016493828</v>
      </c>
      <c r="CF125" s="161"/>
      <c r="CH125" s="2202">
        <f>SUM(CH120:CH121)</f>
        <v>30.116000000000003</v>
      </c>
      <c r="CI125" s="2215">
        <f t="shared" si="358"/>
        <v>32.389761238976121</v>
      </c>
      <c r="CJ125" s="161"/>
      <c r="CL125" s="2202">
        <f>SUM(CL120:CL121)</f>
        <v>132.06700000000001</v>
      </c>
      <c r="CM125" s="2215">
        <f t="shared" si="359"/>
        <v>39.359539846217992</v>
      </c>
      <c r="CN125" s="161"/>
      <c r="CP125" s="2202">
        <f>SUM(CP120:CP121)</f>
        <v>174.06400000000002</v>
      </c>
      <c r="CQ125" s="2215">
        <f t="shared" si="360"/>
        <v>38.288306123436591</v>
      </c>
      <c r="CR125" s="161"/>
      <c r="CT125" s="2202">
        <f>SUM(CT120:CT121)</f>
        <v>174.47800000000001</v>
      </c>
      <c r="CU125" s="2215">
        <f t="shared" si="361"/>
        <v>39.100814385535564</v>
      </c>
      <c r="CV125" s="161"/>
      <c r="CW125" s="161"/>
      <c r="CX125" s="2202">
        <f>SUM(CX120:CX121)</f>
        <v>196.24</v>
      </c>
      <c r="CY125" s="2215">
        <f t="shared" si="362"/>
        <v>37.909711369242984</v>
      </c>
      <c r="CZ125" s="161"/>
      <c r="DA125" s="161"/>
      <c r="DB125" s="2202">
        <f>SUM(DB120:DB121)</f>
        <v>206.37599999999998</v>
      </c>
      <c r="DC125" s="2215">
        <f t="shared" si="363"/>
        <v>37.406269541339256</v>
      </c>
      <c r="DD125" s="161"/>
      <c r="DE125" s="161"/>
      <c r="DF125" s="2202">
        <f>SUM(DF120:DF121)</f>
        <v>230.79500000000002</v>
      </c>
      <c r="DG125" s="2215">
        <f t="shared" si="364"/>
        <v>37.542292927321235</v>
      </c>
      <c r="DH125" s="161"/>
      <c r="DI125" s="161"/>
      <c r="DJ125" s="2202">
        <f>SUM(DJ120:DJ121)</f>
        <v>196.75900000000001</v>
      </c>
      <c r="DK125" s="2215">
        <f t="shared" si="365"/>
        <v>34.213125415146628</v>
      </c>
      <c r="DL125" s="161"/>
      <c r="DM125" s="161"/>
      <c r="DN125" s="2202">
        <f>SUM(DN120:DN121)</f>
        <v>102.60299999999999</v>
      </c>
      <c r="DO125" s="2215">
        <f>DN125/DN115*100</f>
        <v>30.579290736176372</v>
      </c>
      <c r="DP125" s="161"/>
      <c r="DQ125" s="161"/>
      <c r="DR125" s="2202">
        <f>SUM(DR120:DR121)</f>
        <v>71.410122543647176</v>
      </c>
      <c r="DS125" s="2215">
        <f>DR125/DR115*100</f>
        <v>27</v>
      </c>
      <c r="DT125" s="161"/>
    </row>
    <row r="126" spans="1:125" hidden="1" outlineLevel="1">
      <c r="A126" s="23" t="str">
        <f>$A$16</f>
        <v>9 Mos</v>
      </c>
      <c r="D126" s="1899">
        <f>SUM(D120:D122)</f>
        <v>124</v>
      </c>
      <c r="E126" s="2213">
        <f t="shared" si="338"/>
        <v>39.013462790909863</v>
      </c>
      <c r="F126" s="1899">
        <f>SUM(F120:F122)</f>
        <v>145</v>
      </c>
      <c r="G126" s="2213">
        <f t="shared" si="338"/>
        <v>39.056502638334081</v>
      </c>
      <c r="J126" s="1899">
        <f>SUM(J120:J122)</f>
        <v>129</v>
      </c>
      <c r="K126" s="2213">
        <f t="shared" si="339"/>
        <v>38.860454817943292</v>
      </c>
      <c r="N126" s="1899">
        <f>SUM(N120:N122)</f>
        <v>134</v>
      </c>
      <c r="O126" s="2213">
        <f t="shared" si="340"/>
        <v>39.824534290707184</v>
      </c>
      <c r="R126" s="1899">
        <f>SUM(R120:R122)</f>
        <v>125</v>
      </c>
      <c r="S126" s="2213">
        <f t="shared" si="341"/>
        <v>39.42533629811863</v>
      </c>
      <c r="V126" s="1899">
        <f>SUM(V120:V122)</f>
        <v>127</v>
      </c>
      <c r="W126" s="2213">
        <f t="shared" si="342"/>
        <v>39.862146027282044</v>
      </c>
      <c r="Z126" s="1899">
        <f>SUM(Z120:Z122)</f>
        <v>87</v>
      </c>
      <c r="AA126" s="2213">
        <f t="shared" si="343"/>
        <v>39.7648844075946</v>
      </c>
      <c r="AD126" s="1899">
        <f>SUM(AD120:AD122)</f>
        <v>79</v>
      </c>
      <c r="AE126" s="2213">
        <f t="shared" si="344"/>
        <v>39.844455316208609</v>
      </c>
      <c r="AH126" s="1899">
        <f>SUM(AH120:AH122)</f>
        <v>74.900000000000006</v>
      </c>
      <c r="AI126" s="2213">
        <f t="shared" si="345"/>
        <v>40.105806506885941</v>
      </c>
      <c r="AL126" s="1899">
        <f>SUM(AL120:AL122)</f>
        <v>86.2</v>
      </c>
      <c r="AM126" s="2213">
        <f t="shared" si="346"/>
        <v>40.077178789780803</v>
      </c>
      <c r="AP126" s="1899">
        <f>SUM(AP120:AP122)</f>
        <v>93</v>
      </c>
      <c r="AQ126" s="2213">
        <f t="shared" si="347"/>
        <v>39.788819769481549</v>
      </c>
      <c r="AT126" s="1899">
        <f>SUM(AT120:AT122)</f>
        <v>142</v>
      </c>
      <c r="AU126" s="2213">
        <f t="shared" si="348"/>
        <v>39.639891129876474</v>
      </c>
      <c r="AX126" s="1899">
        <f>SUM(AX120:AX122)</f>
        <v>38</v>
      </c>
      <c r="AY126" s="2213">
        <f t="shared" si="349"/>
        <v>39.78849274907067</v>
      </c>
      <c r="BB126" s="1899">
        <f>SUM(BB120:BB122)</f>
        <v>113</v>
      </c>
      <c r="BC126" s="2213">
        <f t="shared" si="350"/>
        <v>39.803448458056685</v>
      </c>
      <c r="BF126" s="1899">
        <f>SUM(BF120:BF122)</f>
        <v>127</v>
      </c>
      <c r="BG126" s="2213">
        <f t="shared" si="351"/>
        <v>39.304161598905687</v>
      </c>
      <c r="BJ126" s="1899">
        <f>SUM(BJ120:BJ122)</f>
        <v>136</v>
      </c>
      <c r="BK126" s="2213">
        <f t="shared" si="352"/>
        <v>34.80112182439764</v>
      </c>
      <c r="BN126" s="2202">
        <f>SUM(BN120:BN122)</f>
        <v>75</v>
      </c>
      <c r="BO126" s="2215">
        <f t="shared" si="353"/>
        <v>37.704736720391821</v>
      </c>
      <c r="BP126" s="161"/>
      <c r="BR126" s="2202">
        <f>SUM(BR120:BR122)</f>
        <v>89</v>
      </c>
      <c r="BS126" s="2215">
        <f t="shared" si="354"/>
        <v>37.672117130654598</v>
      </c>
      <c r="BT126" s="161"/>
      <c r="BV126" s="2202">
        <f>SUM(BV120:BV122)</f>
        <v>156</v>
      </c>
      <c r="BW126" s="2215">
        <f t="shared" si="355"/>
        <v>39.870064482161993</v>
      </c>
      <c r="BX126" s="161"/>
      <c r="BZ126" s="2202">
        <f>SUM(BZ120:BZ122)</f>
        <v>83.899999999999991</v>
      </c>
      <c r="CA126" s="2215">
        <f t="shared" si="356"/>
        <v>39.179609791633588</v>
      </c>
      <c r="CB126" s="161"/>
      <c r="CD126" s="2202">
        <f>SUM(CD120:CD122)</f>
        <v>86.534999999999997</v>
      </c>
      <c r="CE126" s="2215">
        <f t="shared" si="357"/>
        <v>39.176317195295361</v>
      </c>
      <c r="CF126" s="161"/>
      <c r="CH126" s="2202">
        <f>SUM(CH120:CH122)</f>
        <v>35.384</v>
      </c>
      <c r="CI126" s="2215">
        <f t="shared" si="358"/>
        <v>33.909935120319687</v>
      </c>
      <c r="CJ126" s="161"/>
      <c r="CL126" s="2202">
        <f>SUM(CL120:CL122)</f>
        <v>172.24299999999999</v>
      </c>
      <c r="CM126" s="2215">
        <f t="shared" si="359"/>
        <v>39.410996172001319</v>
      </c>
      <c r="CN126" s="161"/>
      <c r="CP126" s="2202">
        <f>SUM(CP120:CP122)</f>
        <v>218.35200000000003</v>
      </c>
      <c r="CQ126" s="2215">
        <f t="shared" si="360"/>
        <v>37.876243737944236</v>
      </c>
      <c r="CR126" s="161"/>
      <c r="CT126" s="2202">
        <f>SUM(CT120:CT122)</f>
        <v>223.92600000000002</v>
      </c>
      <c r="CU126" s="2215">
        <f t="shared" si="361"/>
        <v>39.194908579170132</v>
      </c>
      <c r="CV126" s="161"/>
      <c r="CW126" s="161"/>
      <c r="CX126" s="2202">
        <f>SUM(CX120:CX122)</f>
        <v>245.68</v>
      </c>
      <c r="CY126" s="2215">
        <f t="shared" si="362"/>
        <v>37.276485984144436</v>
      </c>
      <c r="CZ126" s="161"/>
      <c r="DA126" s="161"/>
      <c r="DB126" s="2202">
        <f>SUM(DB120:DB122)</f>
        <v>279.03800000000001</v>
      </c>
      <c r="DC126" s="2215">
        <f t="shared" si="363"/>
        <v>36.900758412293271</v>
      </c>
      <c r="DD126" s="161"/>
      <c r="DE126" s="161"/>
      <c r="DF126" s="2202">
        <f>SUM(DF120:DF122)</f>
        <v>326.226</v>
      </c>
      <c r="DG126" s="2215">
        <f t="shared" si="364"/>
        <v>37.316150817526896</v>
      </c>
      <c r="DH126" s="161"/>
      <c r="DI126" s="161"/>
      <c r="DJ126" s="2202">
        <f>SUM(DJ120:DJ122)</f>
        <v>265.29900000000004</v>
      </c>
      <c r="DK126" s="2215">
        <f t="shared" si="365"/>
        <v>34.667009897057021</v>
      </c>
      <c r="DL126" s="161"/>
      <c r="DM126" s="161"/>
      <c r="DN126" s="2202">
        <f>SUM(DN120:DN122)</f>
        <v>151.28</v>
      </c>
      <c r="DO126" s="2215">
        <f>DN126/DN116*100</f>
        <v>32.17402215685896</v>
      </c>
      <c r="DP126" s="161"/>
      <c r="DQ126" s="161"/>
      <c r="DR126" s="2202">
        <f>SUM(DR120:DR122)</f>
        <v>108.04497521934691</v>
      </c>
      <c r="DS126" s="2215">
        <f>DR126/DR116*100</f>
        <v>27</v>
      </c>
      <c r="DT126" s="161"/>
    </row>
    <row r="127" spans="1:125" collapsed="1">
      <c r="BN127" s="161"/>
      <c r="BO127" s="161"/>
      <c r="BP127" s="161"/>
      <c r="BR127" s="161"/>
      <c r="BS127" s="161"/>
      <c r="BT127" s="161"/>
      <c r="BV127" s="161"/>
      <c r="BW127" s="161"/>
      <c r="BX127" s="161"/>
      <c r="BZ127" s="2262"/>
      <c r="CA127" s="161"/>
      <c r="CB127" s="161"/>
      <c r="CD127" s="161"/>
      <c r="CE127" s="161"/>
      <c r="CF127" s="161"/>
      <c r="CH127" s="161"/>
      <c r="CI127" s="161"/>
      <c r="CJ127" s="161"/>
      <c r="CL127" s="161"/>
      <c r="CM127" s="161"/>
      <c r="CN127" s="161"/>
      <c r="CP127" s="161"/>
      <c r="CQ127" s="161"/>
      <c r="CR127" s="161"/>
      <c r="CT127" s="161"/>
      <c r="CU127" s="161"/>
      <c r="CV127" s="161"/>
      <c r="CW127" s="161"/>
      <c r="CX127" s="161"/>
      <c r="CY127" s="161"/>
      <c r="CZ127" s="161"/>
      <c r="DA127" s="161"/>
      <c r="DB127" s="161"/>
      <c r="DC127" s="161"/>
      <c r="DD127" s="161"/>
      <c r="DE127" s="161"/>
      <c r="DF127" s="161"/>
      <c r="DG127" s="161"/>
      <c r="DH127" s="161"/>
      <c r="DI127" s="161"/>
      <c r="DJ127" s="161"/>
      <c r="DK127" s="161"/>
      <c r="DL127" s="161"/>
      <c r="DM127" s="161"/>
      <c r="DN127" s="161"/>
      <c r="DO127" s="161"/>
      <c r="DP127" s="161"/>
      <c r="DQ127" s="161"/>
      <c r="DR127" s="161"/>
      <c r="DS127" s="161"/>
      <c r="DT127" s="161"/>
    </row>
    <row r="128" spans="1:125">
      <c r="C128" s="1936"/>
      <c r="D128" s="1936"/>
      <c r="E128" s="1936">
        <f>AH128</f>
        <v>0</v>
      </c>
      <c r="F128" s="1936"/>
      <c r="J128" s="1936"/>
      <c r="N128" s="1936"/>
      <c r="R128" s="1936"/>
      <c r="V128" s="1936"/>
      <c r="Z128" s="2244"/>
      <c r="AA128" s="2177"/>
      <c r="AB128" s="2177"/>
      <c r="AC128" s="2177"/>
      <c r="AD128" s="2244"/>
      <c r="AE128" s="2177"/>
      <c r="AF128" s="2177"/>
      <c r="AG128" s="2177"/>
      <c r="AH128" s="2244"/>
      <c r="AI128" s="2177"/>
      <c r="AJ128" s="2177"/>
      <c r="AK128" s="2177"/>
      <c r="AM128" s="2177"/>
      <c r="AN128" s="2177"/>
      <c r="AO128" s="2177"/>
      <c r="AQ128" s="2177"/>
      <c r="AR128" s="2177"/>
      <c r="AS128" s="2177"/>
      <c r="AU128" s="2177"/>
      <c r="AV128" s="2177"/>
      <c r="AW128" s="2177"/>
      <c r="AY128" s="2177"/>
      <c r="AZ128" s="2177"/>
      <c r="BA128" s="2177"/>
      <c r="BB128" s="2244"/>
      <c r="BC128" s="2177"/>
      <c r="BD128" s="2177"/>
      <c r="BE128" s="2177"/>
      <c r="BF128" s="2244"/>
      <c r="BG128" s="2177"/>
      <c r="BH128" s="2177"/>
      <c r="BI128" s="2177"/>
      <c r="BJ128" s="2244"/>
      <c r="BK128" s="2177"/>
      <c r="BL128" s="2177"/>
      <c r="BM128" s="2177"/>
      <c r="BN128" s="2245"/>
      <c r="BO128" s="2179"/>
      <c r="BP128" s="2179"/>
      <c r="BQ128" s="2177"/>
      <c r="BR128" s="2245"/>
      <c r="BS128" s="2179"/>
      <c r="BT128" s="2179"/>
      <c r="BU128" s="2177"/>
      <c r="BV128" s="2244" t="s">
        <v>384</v>
      </c>
      <c r="BW128" s="2179"/>
      <c r="BX128" s="2179"/>
      <c r="BY128" s="2177"/>
      <c r="CA128" s="2179"/>
      <c r="CB128" s="2179"/>
      <c r="CC128" s="2177"/>
      <c r="CD128" s="2245"/>
      <c r="CE128" s="2179"/>
      <c r="CF128" s="2179"/>
      <c r="CG128" s="2177"/>
      <c r="CH128" s="2245"/>
      <c r="CI128" s="2179"/>
      <c r="CJ128" s="2179"/>
      <c r="CL128" s="2245"/>
      <c r="CM128" s="2179"/>
      <c r="CN128" s="2179"/>
      <c r="CO128" s="2177"/>
      <c r="CP128" s="2245"/>
      <c r="CQ128" s="2179"/>
      <c r="CR128" s="2179"/>
      <c r="CS128" s="2177"/>
      <c r="CT128" s="2245"/>
      <c r="CU128" s="2179"/>
      <c r="CV128" s="2179"/>
      <c r="CW128" s="2179"/>
      <c r="CX128" s="2246" t="s">
        <v>384</v>
      </c>
      <c r="CY128" s="2179"/>
      <c r="CZ128" s="2179"/>
      <c r="DA128" s="2179"/>
      <c r="DB128" s="2179"/>
      <c r="DC128" s="2179"/>
      <c r="DD128" s="2179"/>
      <c r="DE128" s="2179"/>
      <c r="DF128" s="2179"/>
      <c r="DG128" s="2179"/>
      <c r="DH128" s="2179"/>
      <c r="DI128" s="2179"/>
      <c r="DJ128" s="2179"/>
      <c r="DK128" s="2179"/>
      <c r="DL128" s="2179"/>
      <c r="DM128" s="2179"/>
      <c r="DN128" s="2179"/>
      <c r="DO128" s="2179"/>
      <c r="DP128" s="2179"/>
      <c r="DQ128" s="2179"/>
      <c r="DR128" s="2179"/>
      <c r="DS128" s="2179"/>
      <c r="DT128" s="2179"/>
      <c r="DU128" s="2177"/>
    </row>
    <row r="129" spans="1:138">
      <c r="BN129" s="161"/>
      <c r="BO129" s="161"/>
      <c r="BP129" s="161"/>
      <c r="BR129" s="161"/>
      <c r="BS129" s="161"/>
      <c r="BT129" s="161"/>
      <c r="BV129" s="161"/>
      <c r="BW129" s="161"/>
      <c r="BX129" s="161"/>
      <c r="BZ129" s="161"/>
      <c r="CA129" s="161"/>
      <c r="CB129" s="161"/>
      <c r="CD129" s="161"/>
      <c r="CE129" s="161"/>
      <c r="CF129" s="161"/>
      <c r="CH129" s="161"/>
      <c r="CI129" s="161"/>
      <c r="CJ129" s="161"/>
      <c r="CL129" s="161"/>
      <c r="CM129" s="161"/>
      <c r="CN129" s="161"/>
      <c r="CP129" s="161"/>
      <c r="CQ129" s="161"/>
      <c r="CR129" s="161"/>
      <c r="CT129" s="161"/>
      <c r="CU129" s="161"/>
      <c r="CV129" s="161"/>
      <c r="CW129" s="161"/>
      <c r="CX129" s="161"/>
      <c r="CY129" s="161"/>
      <c r="CZ129" s="161"/>
      <c r="DA129" s="161"/>
      <c r="DB129" s="161"/>
      <c r="DC129" s="161"/>
      <c r="DD129" s="161"/>
      <c r="DE129" s="161"/>
      <c r="DF129" s="161"/>
      <c r="DG129" s="161"/>
      <c r="DH129" s="161"/>
      <c r="DI129" s="161"/>
      <c r="DJ129" s="161"/>
      <c r="DK129" s="161"/>
      <c r="DL129" s="161"/>
      <c r="DM129" s="161"/>
      <c r="DN129" s="161"/>
      <c r="DO129" s="161"/>
      <c r="DP129" s="161"/>
      <c r="DQ129" s="161"/>
      <c r="DR129" s="161"/>
      <c r="DS129" s="161"/>
      <c r="DT129" s="161"/>
    </row>
    <row r="130" spans="1:138">
      <c r="A130" s="23" t="str">
        <f>$A$10</f>
        <v>1Q</v>
      </c>
      <c r="B130" s="23" t="str">
        <f>$B$10</f>
        <v>Apr</v>
      </c>
      <c r="D130" s="1854">
        <f>D110-D120</f>
        <v>45.188999999999979</v>
      </c>
      <c r="F130" s="1854">
        <f>F110-F120</f>
        <v>62.31500000000004</v>
      </c>
      <c r="G130" s="44">
        <f t="shared" ref="G130:G136" si="368">IF(D130&lt;0,"       NM",(F130/D130-1)*100)</f>
        <v>37.898603642479522</v>
      </c>
      <c r="J130" s="1854">
        <f>J110-J120</f>
        <v>50.86</v>
      </c>
      <c r="K130" s="44">
        <f t="shared" ref="K130:K136" si="369">IF(F130&lt;0,"       NM",(J130/F130-1)*100)</f>
        <v>-18.382411939340503</v>
      </c>
      <c r="N130" s="1854">
        <f>N110-N120</f>
        <v>42.408000000000087</v>
      </c>
      <c r="O130" s="44">
        <f t="shared" ref="O130:O136" si="370">IF(J130&lt;0,"       NM",(N130/J130-1)*100)</f>
        <v>-16.61816751867855</v>
      </c>
      <c r="R130" s="1854">
        <f>R110-R120</f>
        <v>44.224999999999866</v>
      </c>
      <c r="S130" s="44">
        <f t="shared" ref="S130:S136" si="371">IF(N130&lt;0,"       NM",(R130/N130-1)*100)</f>
        <v>4.2845689492543304</v>
      </c>
      <c r="V130" s="1854">
        <f>V110-V120</f>
        <v>47.27600000000001</v>
      </c>
      <c r="W130" s="44">
        <f t="shared" ref="W130:W136" si="372">IF(R130&lt;0,"       NM",(V130/R130-1)*100)</f>
        <v>6.898812888637984</v>
      </c>
      <c r="Z130" s="1854">
        <f>Z110-Z120</f>
        <v>39.210999999999927</v>
      </c>
      <c r="AA130" s="44">
        <f t="shared" ref="AA130:AA136" si="373">IF(V130&lt;0,"       NM",(Z130/V130-1)*100)</f>
        <v>-17.059395887977157</v>
      </c>
      <c r="AB130" s="44"/>
      <c r="AD130" s="1854">
        <f>AD110-AD120</f>
        <v>32.430999999999955</v>
      </c>
      <c r="AE130" s="44">
        <f t="shared" ref="AE130:AE136" si="374">IF(Z130&lt;0,"       NM",(AD130/Z130-1)*100)</f>
        <v>-17.291066282420708</v>
      </c>
      <c r="AH130" s="1854">
        <f>AH110-AH120</f>
        <v>34.619999999999955</v>
      </c>
      <c r="AI130" s="2188" t="s">
        <v>886</v>
      </c>
      <c r="AL130" s="1854">
        <f>AL110-AL120</f>
        <v>38.330999999999968</v>
      </c>
      <c r="AM130" s="44">
        <f t="shared" ref="AM130:AM136" si="375">IF(AH130&lt;0,"       NM",(AL130/AH130-1)*100)</f>
        <v>10.719237435008711</v>
      </c>
      <c r="AP130" s="1854">
        <f>AP110-AP120</f>
        <v>37.623000000000104</v>
      </c>
      <c r="AQ130" s="2247" t="s">
        <v>886</v>
      </c>
      <c r="AT130" s="1855">
        <f>AT110-AT120</f>
        <v>66.069000000000017</v>
      </c>
      <c r="AU130" s="217">
        <f t="shared" ref="AU130:AU136" si="376">IF(AP130&lt;0,"       NM",(AT130/AP130-1)*100)</f>
        <v>75.608005741168526</v>
      </c>
      <c r="AV130" s="161"/>
      <c r="AW130" s="161"/>
      <c r="AX130" s="1855">
        <f>AX110-AX120</f>
        <v>23.045999999999985</v>
      </c>
      <c r="AY130" s="44">
        <f t="shared" ref="AY130:AY136" si="377">IF(AT130&lt;0,"       NM",(AX130/AT130-1)*100)</f>
        <v>-65.118285428869854</v>
      </c>
      <c r="BB130" s="1854">
        <f>BB110-BB120</f>
        <v>76.87400000000008</v>
      </c>
      <c r="BC130" s="44">
        <f t="shared" ref="BC130:BC136" si="378">IF(AX130&lt;0,"       NM",(BB130/AX130-1)*100)</f>
        <v>233.56764731406807</v>
      </c>
      <c r="BF130" s="1854">
        <f>BF110-BF120</f>
        <v>49.843999999999937</v>
      </c>
      <c r="BG130" s="44">
        <f t="shared" ref="BG130:BG136" si="379">IF(BB130&lt;0,"       NM",(BF130/BB130-1)*100)</f>
        <v>-35.161432994250482</v>
      </c>
      <c r="BJ130" s="1854">
        <f>BJ110-BJ120</f>
        <v>67.780000000000072</v>
      </c>
      <c r="BK130" s="44">
        <f t="shared" ref="BK130:BK136" si="380">IF(BF130&lt;0,"       NM",(BJ130/BF130-1)*100)</f>
        <v>35.98427092528722</v>
      </c>
      <c r="BN130" s="1855">
        <f>BN110-BN120</f>
        <v>23.144999999999925</v>
      </c>
      <c r="BO130" s="217">
        <f t="shared" ref="BO130:BO136" si="381">IF(BJ130&lt;0,"       NM",(BN130/BJ130-1)*100)</f>
        <v>-65.85275892593701</v>
      </c>
      <c r="BP130" s="161"/>
      <c r="BR130" s="1855">
        <f>BR110-BR120</f>
        <v>66.420999999999992</v>
      </c>
      <c r="BS130" s="217">
        <f t="shared" ref="BS130:BS136" si="382">IF(BJ130&lt;0,"       NM",(BR130/BJ130-1)*100)</f>
        <v>-2.0050162289762197</v>
      </c>
      <c r="BT130" s="161"/>
      <c r="BV130" s="1855">
        <f>BV110-BV120</f>
        <v>98.683999999999912</v>
      </c>
      <c r="BW130" s="217">
        <f t="shared" ref="BW130:BW136" si="383">IF(BR130&lt;0,"       NM",(BV130/BR130-1)*100)</f>
        <v>48.573493322894755</v>
      </c>
      <c r="BX130" s="161"/>
      <c r="BZ130" s="1855">
        <f>BZ110-BZ120</f>
        <v>52.627999999999858</v>
      </c>
      <c r="CA130" s="217">
        <f t="shared" ref="CA130:CA136" si="384">IF(BV130&lt;0,"       NM",(BZ130/BV130-1)*100)</f>
        <v>-46.670179563049828</v>
      </c>
      <c r="CB130" s="161"/>
      <c r="CD130" s="1855">
        <f>CD110-CD120</f>
        <v>36.399999999999991</v>
      </c>
      <c r="CE130" s="217">
        <f t="shared" ref="CE130:CE136" si="385">IF(BZ130&lt;0,"       NM",(CD130/BZ130-1)*100)</f>
        <v>-30.835296800182242</v>
      </c>
      <c r="CF130" s="161"/>
      <c r="CH130" s="1855">
        <f>CH110-CH120</f>
        <v>2.6009999999999884</v>
      </c>
      <c r="CI130" s="217">
        <f t="shared" ref="CI130:CI136" si="386">IF(CD130&lt;0,"       NM",(CH130/CD130-1)*100)</f>
        <v>-92.854395604395634</v>
      </c>
      <c r="CJ130" s="161"/>
      <c r="CL130" s="1855">
        <f>CL110-CL120</f>
        <v>82.870000000000061</v>
      </c>
      <c r="CM130" s="217">
        <f t="shared" ref="CM130:CM136" si="387">IF(CH130&lt;0,"       NM",(CL130/CH130-1)*100)</f>
        <v>3086.0822760476904</v>
      </c>
      <c r="CN130" s="161"/>
      <c r="CP130" s="1855">
        <f>CP110-CP120</f>
        <v>129.83099999999985</v>
      </c>
      <c r="CQ130" s="217">
        <f t="shared" ref="CQ130:CQ136" si="388">IF(CL130&lt;0,"       NM",(CP130/CL130-1)*100)</f>
        <v>56.668275612404663</v>
      </c>
      <c r="CR130" s="161"/>
      <c r="CT130" s="1855">
        <f>CT110-CT120</f>
        <v>124.55800000000021</v>
      </c>
      <c r="CU130" s="217">
        <f t="shared" ref="CU130:CU136" si="389">IF(CP130&lt;0,"       NM",(CT130/CP130-1)*100)</f>
        <v>-4.0614337099765478</v>
      </c>
      <c r="CV130" s="161"/>
      <c r="CW130" s="161"/>
      <c r="CX130" s="1855">
        <f>CX110-CX120</f>
        <v>142.49700000000007</v>
      </c>
      <c r="CY130" s="217">
        <f t="shared" ref="CY130:CY136" si="390">IF(CT130&lt;0,"       NM",(CX130/CT130-1)*100)</f>
        <v>14.402125917243236</v>
      </c>
      <c r="CZ130" s="161"/>
      <c r="DA130" s="161"/>
      <c r="DB130" s="1855">
        <f>DB110-DB120</f>
        <v>156.98200000000014</v>
      </c>
      <c r="DC130" s="217">
        <f t="shared" ref="DC130:DC136" si="391">IF(CX130&lt;0,"       NM",(DB130/CX130-1)*100)</f>
        <v>10.165126283360394</v>
      </c>
      <c r="DD130" s="161"/>
      <c r="DE130" s="161"/>
      <c r="DF130" s="1855">
        <f>DF110-DF120</f>
        <v>181.48799999999986</v>
      </c>
      <c r="DG130" s="217">
        <f t="shared" ref="DG130:DG136" si="392">IF(DB130&lt;0,"       NM",(DF130/DB130-1)*100)</f>
        <v>15.610706960033438</v>
      </c>
      <c r="DH130" s="161"/>
      <c r="DI130" s="161"/>
      <c r="DJ130" s="1855">
        <f>DJ110-DJ120</f>
        <v>173.67600000000004</v>
      </c>
      <c r="DK130" s="217">
        <f t="shared" ref="DK130:DK136" si="393">IF(DF130&lt;0,"       NM",(DJ130/DF130-1)*100)</f>
        <v>-4.3044168209467433</v>
      </c>
      <c r="DL130" s="161"/>
      <c r="DM130" s="161"/>
      <c r="DN130" s="1855">
        <f>DN110-DN120</f>
        <v>94.054000000000116</v>
      </c>
      <c r="DO130" s="217">
        <f t="shared" ref="DO130:DO136" si="394">IF(DJ130&lt;0,"       NM",(DN130/DJ130-1)*100)</f>
        <v>-45.845136921624118</v>
      </c>
      <c r="DP130" s="161"/>
      <c r="DQ130" s="161"/>
      <c r="DR130" s="1855">
        <f>DR110-DR120</f>
        <v>51.368803649847379</v>
      </c>
      <c r="DS130" s="217">
        <f t="shared" ref="DS130:DS136" si="395">IF(DN130&lt;0,"       NM",(DR130/DN130-1)*100)</f>
        <v>-45.383711857180643</v>
      </c>
      <c r="DT130" s="161"/>
    </row>
    <row r="131" spans="1:138">
      <c r="A131" s="23" t="str">
        <f>$A$11</f>
        <v>2Q</v>
      </c>
      <c r="B131" s="23" t="str">
        <f>$B$11</f>
        <v>Jul</v>
      </c>
      <c r="D131" s="1899">
        <f>D111-D121</f>
        <v>63.780999999999992</v>
      </c>
      <c r="F131" s="1899">
        <f>F111-F121</f>
        <v>79.02499999999992</v>
      </c>
      <c r="G131" s="44">
        <f t="shared" si="368"/>
        <v>23.900534641977899</v>
      </c>
      <c r="J131" s="1899">
        <f>J111-J121</f>
        <v>79.224999999999909</v>
      </c>
      <c r="K131" s="44">
        <f t="shared" si="369"/>
        <v>0.25308446694083386</v>
      </c>
      <c r="N131" s="1899">
        <f>N111-N121</f>
        <v>80.073000000000008</v>
      </c>
      <c r="O131" s="44">
        <f t="shared" si="370"/>
        <v>1.0703692016410304</v>
      </c>
      <c r="R131" s="1899">
        <f>R111-R121</f>
        <v>68.232000000000042</v>
      </c>
      <c r="S131" s="44">
        <f t="shared" si="371"/>
        <v>-14.787756172492561</v>
      </c>
      <c r="V131" s="1899">
        <f>V111-V121</f>
        <v>53.831999999999965</v>
      </c>
      <c r="W131" s="44">
        <f t="shared" si="372"/>
        <v>-21.104467112205516</v>
      </c>
      <c r="Z131" s="1899">
        <f>Z111-Z121</f>
        <v>48.762000000000157</v>
      </c>
      <c r="AA131" s="44">
        <f t="shared" si="373"/>
        <v>-9.4181899242082974</v>
      </c>
      <c r="AB131" s="44"/>
      <c r="AD131" s="1899">
        <f>AD111-AD121</f>
        <v>41.320000000000078</v>
      </c>
      <c r="AE131" s="44">
        <f t="shared" si="374"/>
        <v>-15.261884254132429</v>
      </c>
      <c r="AH131" s="1899">
        <f>AH111-AH121</f>
        <v>41.235000000000163</v>
      </c>
      <c r="AI131" s="2188" t="s">
        <v>886</v>
      </c>
      <c r="AL131" s="1899">
        <f>AL111-AL121</f>
        <v>48.128999999999998</v>
      </c>
      <c r="AM131" s="44">
        <f t="shared" si="375"/>
        <v>16.718806838850032</v>
      </c>
      <c r="AP131" s="1899">
        <f>AP111-AP121</f>
        <v>59.664999999999949</v>
      </c>
      <c r="AQ131" s="2247" t="s">
        <v>886</v>
      </c>
      <c r="AT131" s="2202">
        <f>AT111-AT121</f>
        <v>93.622000000000014</v>
      </c>
      <c r="AU131" s="217">
        <f t="shared" si="376"/>
        <v>56.912762926338885</v>
      </c>
      <c r="AV131" s="161"/>
      <c r="AW131" s="161"/>
      <c r="AX131" s="2202">
        <f>AX111-AX121</f>
        <v>47.331999999999979</v>
      </c>
      <c r="AY131" s="44">
        <f t="shared" si="377"/>
        <v>-49.443506868043862</v>
      </c>
      <c r="BB131" s="1899">
        <f>BB111-BB121</f>
        <v>83.635999999999882</v>
      </c>
      <c r="BC131" s="44">
        <f t="shared" si="378"/>
        <v>76.700752133862764</v>
      </c>
      <c r="BF131" s="1899">
        <f>BF111-BF121</f>
        <v>101.95899999999995</v>
      </c>
      <c r="BG131" s="44">
        <f t="shared" si="379"/>
        <v>21.908030034913306</v>
      </c>
      <c r="BJ131" s="1899">
        <f>BJ111-BJ121</f>
        <v>137.33499999999987</v>
      </c>
      <c r="BK131" s="44">
        <f t="shared" si="380"/>
        <v>34.696299492933377</v>
      </c>
      <c r="BN131" s="2202">
        <f>BN111-BN121</f>
        <v>113.07699999999974</v>
      </c>
      <c r="BO131" s="217">
        <f t="shared" si="381"/>
        <v>-17.663377871627883</v>
      </c>
      <c r="BP131" s="161"/>
      <c r="BR131" s="2202">
        <f>BR111-BR121</f>
        <v>81.510999999999711</v>
      </c>
      <c r="BS131" s="217">
        <f t="shared" si="382"/>
        <v>-40.648050387738166</v>
      </c>
      <c r="BT131" s="161"/>
      <c r="BV131" s="2202">
        <f>BV111-BV121</f>
        <v>113.07899999999972</v>
      </c>
      <c r="BW131" s="217">
        <f t="shared" si="383"/>
        <v>38.728515169731835</v>
      </c>
      <c r="BX131" s="161"/>
      <c r="BZ131" s="2202">
        <f>BZ111-BZ121</f>
        <v>80.279000000000181</v>
      </c>
      <c r="CA131" s="217">
        <f t="shared" si="384"/>
        <v>-29.006269952864482</v>
      </c>
      <c r="CB131" s="161"/>
      <c r="CD131" s="2202">
        <f>CD111-CD121</f>
        <v>93.861999999999767</v>
      </c>
      <c r="CE131" s="217">
        <f t="shared" si="385"/>
        <v>16.919742398385075</v>
      </c>
      <c r="CF131" s="1861"/>
      <c r="CH131" s="2202">
        <f>CH111-CH121</f>
        <v>60.263000000000027</v>
      </c>
      <c r="CI131" s="217">
        <f t="shared" si="386"/>
        <v>-35.796168843621302</v>
      </c>
      <c r="CJ131" s="1861"/>
      <c r="CL131" s="2202">
        <f>CL111-CL121</f>
        <v>120.60300000000032</v>
      </c>
      <c r="CM131" s="217">
        <f t="shared" si="387"/>
        <v>100.12777326054172</v>
      </c>
      <c r="CN131" s="1861"/>
      <c r="CP131" s="2202">
        <f>CP111-CP121</f>
        <v>150.71900000000014</v>
      </c>
      <c r="CQ131" s="217">
        <f t="shared" si="388"/>
        <v>24.97118645473142</v>
      </c>
      <c r="CR131" s="1861"/>
      <c r="CT131" s="2202">
        <f>CT111-CT121</f>
        <v>147.19000000000003</v>
      </c>
      <c r="CU131" s="217">
        <f t="shared" si="389"/>
        <v>-2.34144334821762</v>
      </c>
      <c r="CV131" s="1861"/>
      <c r="CW131" s="1861"/>
      <c r="CX131" s="2202">
        <f>CX111-CX121</f>
        <v>178.91400000000004</v>
      </c>
      <c r="CY131" s="217">
        <f t="shared" si="390"/>
        <v>21.553094639581506</v>
      </c>
      <c r="CZ131" s="1861"/>
      <c r="DA131" s="1861"/>
      <c r="DB131" s="2202">
        <f>DB111-DB121</f>
        <v>188.35700000000014</v>
      </c>
      <c r="DC131" s="217">
        <f t="shared" si="391"/>
        <v>5.2779547715662734</v>
      </c>
      <c r="DD131" s="1861"/>
      <c r="DE131" s="1861"/>
      <c r="DF131" s="2202">
        <f>DF111-DF121</f>
        <v>202.47700000000006</v>
      </c>
      <c r="DG131" s="217">
        <f t="shared" si="392"/>
        <v>7.4964031068661674</v>
      </c>
      <c r="DH131" s="1861"/>
      <c r="DI131" s="1861"/>
      <c r="DJ131" s="2202">
        <f>DJ111-DJ121</f>
        <v>204.66300000000021</v>
      </c>
      <c r="DK131" s="217">
        <f t="shared" si="393"/>
        <v>1.0796287973449559</v>
      </c>
      <c r="DL131" s="1861"/>
      <c r="DM131" s="1861"/>
      <c r="DN131" s="2202">
        <f>DN111-DN121</f>
        <v>138.87400000000008</v>
      </c>
      <c r="DO131" s="217">
        <f t="shared" si="394"/>
        <v>-32.145038429027259</v>
      </c>
      <c r="DP131" s="1861"/>
      <c r="DQ131" s="1861"/>
      <c r="DR131" s="2202">
        <f>DR111-DR121</f>
        <v>141.70300915334684</v>
      </c>
      <c r="DS131" s="217">
        <f t="shared" si="395"/>
        <v>2.0371049680622422</v>
      </c>
      <c r="DT131" s="1861"/>
    </row>
    <row r="132" spans="1:138">
      <c r="A132" s="23" t="str">
        <f>$A$12</f>
        <v>3Q</v>
      </c>
      <c r="B132" s="23" t="str">
        <f>$B$12</f>
        <v>Oct</v>
      </c>
      <c r="D132" s="1899">
        <f>D112-D122</f>
        <v>84.869000000000028</v>
      </c>
      <c r="F132" s="1899">
        <f>F112-F122</f>
        <v>84.917000000000058</v>
      </c>
      <c r="G132" s="44">
        <f t="shared" si="368"/>
        <v>5.655775371458116E-2</v>
      </c>
      <c r="J132" s="1899">
        <f>J112-J122</f>
        <v>72.872000000000043</v>
      </c>
      <c r="K132" s="44">
        <f t="shared" si="369"/>
        <v>-14.184438922712772</v>
      </c>
      <c r="N132" s="1899">
        <f>N112-N122</f>
        <v>79.99500000000009</v>
      </c>
      <c r="O132" s="44">
        <f t="shared" si="370"/>
        <v>9.774673399934187</v>
      </c>
      <c r="R132" s="1899">
        <f>R112-R122</f>
        <v>79.598000000000013</v>
      </c>
      <c r="S132" s="44">
        <f t="shared" si="371"/>
        <v>-0.49628101756369336</v>
      </c>
      <c r="V132" s="1899">
        <f>V112-V122</f>
        <v>90.489999999999839</v>
      </c>
      <c r="W132" s="44">
        <f t="shared" si="372"/>
        <v>13.683760898514819</v>
      </c>
      <c r="Z132" s="1899">
        <f>Z112-Z122</f>
        <v>43.813000000000102</v>
      </c>
      <c r="AA132" s="44">
        <f t="shared" si="373"/>
        <v>-51.582495303348239</v>
      </c>
      <c r="AB132" s="44"/>
      <c r="AD132" s="1899">
        <f>AD112-AD122</f>
        <v>45.520000000000024</v>
      </c>
      <c r="AE132" s="44">
        <f t="shared" si="374"/>
        <v>3.8961038961037087</v>
      </c>
      <c r="AH132" s="1899">
        <f>AH112-AH122</f>
        <v>36.001000000000147</v>
      </c>
      <c r="AI132" s="2188" t="s">
        <v>886</v>
      </c>
      <c r="AL132" s="1899">
        <f>AL112-AL122</f>
        <v>42.424999999999912</v>
      </c>
      <c r="AM132" s="44">
        <f t="shared" si="375"/>
        <v>17.843948779199859</v>
      </c>
      <c r="AP132" s="1899">
        <f>AP112-AP122</f>
        <v>43.445999999999913</v>
      </c>
      <c r="AQ132" s="2247" t="s">
        <v>886</v>
      </c>
      <c r="AT132" s="2202">
        <f>AT112-AT122</f>
        <v>56.533999999999921</v>
      </c>
      <c r="AU132" s="217">
        <f t="shared" si="376"/>
        <v>30.124752566404347</v>
      </c>
      <c r="AV132" s="161"/>
      <c r="AW132" s="161"/>
      <c r="AX132" s="2202">
        <f>AX112-AX122</f>
        <v>-12.872999999999813</v>
      </c>
      <c r="AY132" s="44">
        <f t="shared" si="377"/>
        <v>-122.77036827395872</v>
      </c>
      <c r="BB132" s="1899">
        <f>BB112-BB122</f>
        <v>10.384999999999955</v>
      </c>
      <c r="BC132" s="44" t="str">
        <f t="shared" si="378"/>
        <v xml:space="preserve">       NM</v>
      </c>
      <c r="BF132" s="1899">
        <f>BF112-BF122</f>
        <v>44.31800000000004</v>
      </c>
      <c r="BG132" s="44">
        <f t="shared" si="379"/>
        <v>326.7501203659146</v>
      </c>
      <c r="BJ132" s="1899">
        <f>BJ112-BJ122</f>
        <v>49.676999999999978</v>
      </c>
      <c r="BK132" s="44">
        <f t="shared" si="380"/>
        <v>12.092152172931847</v>
      </c>
      <c r="BN132" s="2202">
        <f>BN112-BN122</f>
        <v>-12.308000000000177</v>
      </c>
      <c r="BO132" s="217">
        <f t="shared" si="381"/>
        <v>-124.77605330434645</v>
      </c>
      <c r="BP132" s="161"/>
      <c r="BR132" s="2202">
        <f>BR112-BR122</f>
        <v>-0.68300000000017835</v>
      </c>
      <c r="BS132" s="217">
        <f t="shared" si="382"/>
        <v>-101.37488173601501</v>
      </c>
      <c r="BT132" s="161"/>
      <c r="BV132" s="2202">
        <f>BV112-BV122</f>
        <v>23.508000000000216</v>
      </c>
      <c r="BW132" s="217" t="str">
        <f t="shared" si="383"/>
        <v xml:space="preserve">       NM</v>
      </c>
      <c r="BX132" s="161"/>
      <c r="BZ132" s="2202">
        <f>BZ112-BZ122</f>
        <v>-2.6650000000000542</v>
      </c>
      <c r="CA132" s="217">
        <f t="shared" si="384"/>
        <v>-111.33656627531066</v>
      </c>
      <c r="CB132" s="161"/>
      <c r="CD132" s="2202">
        <f>CD112-CD122</f>
        <v>4.0889999999999453</v>
      </c>
      <c r="CE132" s="2263" t="str">
        <f t="shared" si="385"/>
        <v xml:space="preserve">       NM</v>
      </c>
      <c r="CF132" s="161"/>
      <c r="CH132" s="2202">
        <f>CH112-CH122</f>
        <v>6.0990000000000482</v>
      </c>
      <c r="CI132" s="2263">
        <f t="shared" si="386"/>
        <v>49.15627292736928</v>
      </c>
      <c r="CJ132" s="161"/>
      <c r="CL132" s="2202">
        <f>CL112-CL122</f>
        <v>61.327000000000197</v>
      </c>
      <c r="CM132" s="2263">
        <f t="shared" si="387"/>
        <v>905.52549598294331</v>
      </c>
      <c r="CN132" s="161"/>
      <c r="CP132" s="2202">
        <f>CP112-CP122</f>
        <v>77.586000000000098</v>
      </c>
      <c r="CQ132" s="2263">
        <f t="shared" si="388"/>
        <v>26.511976780210755</v>
      </c>
      <c r="CR132" s="161"/>
      <c r="CT132" s="2202">
        <f>CT112-CT122</f>
        <v>75.639999999999645</v>
      </c>
      <c r="CU132" s="2263">
        <f t="shared" si="389"/>
        <v>-2.508184466270269</v>
      </c>
      <c r="CV132" s="161"/>
      <c r="CW132" s="161"/>
      <c r="CX132" s="2202">
        <f>CX112-CX122</f>
        <v>91.984000000000066</v>
      </c>
      <c r="CY132" s="2263">
        <f t="shared" si="390"/>
        <v>21.607615018509385</v>
      </c>
      <c r="CZ132" s="161"/>
      <c r="DA132" s="161"/>
      <c r="DB132" s="2202">
        <f>DB112-DB122</f>
        <v>131.80800000000016</v>
      </c>
      <c r="DC132" s="2263">
        <f t="shared" si="391"/>
        <v>43.29448599756487</v>
      </c>
      <c r="DD132" s="161"/>
      <c r="DE132" s="161"/>
      <c r="DF132" s="2202">
        <f>DF112-DF122</f>
        <v>164.03099999999995</v>
      </c>
      <c r="DG132" s="2263">
        <f t="shared" si="392"/>
        <v>24.446922796795146</v>
      </c>
      <c r="DH132" s="161"/>
      <c r="DI132" s="161"/>
      <c r="DJ132" s="2202">
        <f>DJ112-DJ122</f>
        <v>121.6399999999998</v>
      </c>
      <c r="DK132" s="2263">
        <f t="shared" si="393"/>
        <v>-25.843285720382227</v>
      </c>
      <c r="DL132" s="161"/>
      <c r="DM132" s="161"/>
      <c r="DN132" s="2202">
        <f>DN112-DN122</f>
        <v>85.985000000000269</v>
      </c>
      <c r="DO132" s="2263">
        <f t="shared" si="394"/>
        <v>-29.311903978953957</v>
      </c>
      <c r="DP132" s="161"/>
      <c r="DQ132" s="161"/>
      <c r="DR132" s="2202">
        <f>DR112-DR122</f>
        <v>99.049786863928887</v>
      </c>
      <c r="DS132" s="2263">
        <f t="shared" si="395"/>
        <v>15.194262794590419</v>
      </c>
      <c r="DT132" s="161"/>
    </row>
    <row r="133" spans="1:138">
      <c r="A133" s="23" t="str">
        <f>$A$13</f>
        <v>4Q</v>
      </c>
      <c r="B133" s="23" t="str">
        <f>$B$13</f>
        <v>Jan</v>
      </c>
      <c r="C133" s="139"/>
      <c r="D133" s="2249">
        <f>D113-D123</f>
        <v>153.08700000000039</v>
      </c>
      <c r="E133" s="139"/>
      <c r="F133" s="2249">
        <f>F113-F123</f>
        <v>172.1809999999997</v>
      </c>
      <c r="G133" s="44">
        <f t="shared" si="368"/>
        <v>12.472646273033817</v>
      </c>
      <c r="J133" s="2249">
        <f>J113-J123</f>
        <v>200.34499999999952</v>
      </c>
      <c r="K133" s="44">
        <f t="shared" si="369"/>
        <v>16.357205498864481</v>
      </c>
      <c r="N133" s="2249">
        <f>N113-N123</f>
        <v>243.90400000000068</v>
      </c>
      <c r="O133" s="44">
        <f t="shared" si="370"/>
        <v>21.741995058524676</v>
      </c>
      <c r="R133" s="2249">
        <f>R113-R123</f>
        <v>196.32700000000068</v>
      </c>
      <c r="S133" s="44">
        <f t="shared" si="371"/>
        <v>-19.506445158750928</v>
      </c>
      <c r="V133" s="2249">
        <f>V113-V123</f>
        <v>256.74500000000057</v>
      </c>
      <c r="W133" s="44">
        <f t="shared" si="372"/>
        <v>30.774167587748845</v>
      </c>
      <c r="Z133" s="2249">
        <f>Z113-Z123</f>
        <v>201.31799999999998</v>
      </c>
      <c r="AA133" s="44">
        <f t="shared" si="373"/>
        <v>-21.588346413757019</v>
      </c>
      <c r="AB133" s="44"/>
      <c r="AD133" s="2249">
        <f>AD113-AD123</f>
        <v>254.01600000000002</v>
      </c>
      <c r="AE133" s="44">
        <f t="shared" si="374"/>
        <v>26.176496885524415</v>
      </c>
      <c r="AH133" s="2249">
        <f>AH113-AH123</f>
        <v>228.49400000000026</v>
      </c>
      <c r="AI133" s="2188" t="s">
        <v>886</v>
      </c>
      <c r="AL133" s="2249">
        <f>AL113-AL123</f>
        <v>251.51000000000002</v>
      </c>
      <c r="AM133" s="44">
        <f t="shared" si="375"/>
        <v>10.0729121990073</v>
      </c>
      <c r="AP133" s="2249">
        <f>AP113-AP123</f>
        <v>307.29200000000003</v>
      </c>
      <c r="AQ133" s="2247" t="s">
        <v>886</v>
      </c>
      <c r="AT133" s="2250">
        <f>AT113-AT123</f>
        <v>254.59099999999989</v>
      </c>
      <c r="AU133" s="217">
        <f t="shared" si="376"/>
        <v>-17.150137328664638</v>
      </c>
      <c r="AV133" s="161"/>
      <c r="AW133" s="161"/>
      <c r="AX133" s="2250">
        <f>AX113-AX123</f>
        <v>354.3660000000001</v>
      </c>
      <c r="AY133" s="44">
        <f t="shared" si="377"/>
        <v>39.190309162539229</v>
      </c>
      <c r="BB133" s="2249">
        <f>BB113-BB123</f>
        <v>357.28499999999997</v>
      </c>
      <c r="BC133" s="44">
        <f t="shared" si="378"/>
        <v>0.82372462369411092</v>
      </c>
      <c r="BF133" s="2249">
        <f>BF113-BF123</f>
        <v>387.64700000000028</v>
      </c>
      <c r="BG133" s="44">
        <f t="shared" si="379"/>
        <v>8.4979778048337664</v>
      </c>
      <c r="BJ133" s="2249">
        <f>BJ113-BJ123</f>
        <v>382.48</v>
      </c>
      <c r="BK133" s="44">
        <f t="shared" si="380"/>
        <v>-1.3329137075742237</v>
      </c>
      <c r="BN133" s="2250">
        <f>BN113-BN123</f>
        <v>425.923</v>
      </c>
      <c r="BO133" s="217">
        <f t="shared" si="381"/>
        <v>11.358240953775356</v>
      </c>
      <c r="BP133" s="161"/>
      <c r="BR133" s="2250">
        <f>BR113-BR123</f>
        <v>519.17100000000005</v>
      </c>
      <c r="BS133" s="217">
        <f t="shared" si="382"/>
        <v>35.738077807989967</v>
      </c>
      <c r="BT133" s="161"/>
      <c r="BV133" s="2250">
        <f>BV113-BV123</f>
        <v>439.77799999999991</v>
      </c>
      <c r="BW133" s="217">
        <f t="shared" si="383"/>
        <v>-15.292264013205692</v>
      </c>
      <c r="BX133" s="161"/>
      <c r="BZ133" s="2250">
        <f>BZ113-BZ123</f>
        <v>331.71899999999994</v>
      </c>
      <c r="CA133" s="217">
        <f t="shared" si="384"/>
        <v>-24.571260954390628</v>
      </c>
      <c r="CB133" s="161"/>
      <c r="CD133" s="2250">
        <f>CD113-CD123</f>
        <v>218.93299999999988</v>
      </c>
      <c r="CE133" s="217">
        <f t="shared" si="385"/>
        <v>-34.00046424835481</v>
      </c>
      <c r="CF133" s="161"/>
      <c r="CH133" s="2250">
        <f>CH113-CH123</f>
        <v>332.80299999999983</v>
      </c>
      <c r="CI133" s="217">
        <f t="shared" si="386"/>
        <v>52.011345936884808</v>
      </c>
      <c r="CJ133" s="161"/>
      <c r="CL133" s="2250">
        <f>CL113-CL123</f>
        <v>419.68000000000018</v>
      </c>
      <c r="CM133" s="217">
        <f t="shared" si="387"/>
        <v>26.104632470260313</v>
      </c>
      <c r="CN133" s="161"/>
      <c r="CP133" s="2250">
        <f>CP113-CP123</f>
        <v>459.20799999999991</v>
      </c>
      <c r="CQ133" s="217">
        <f t="shared" si="388"/>
        <v>9.418604651162731</v>
      </c>
      <c r="CR133" s="161"/>
      <c r="CT133" s="2250">
        <f>CT113-CT123</f>
        <v>519.23070000000018</v>
      </c>
      <c r="CU133" s="217">
        <f t="shared" si="389"/>
        <v>13.070917754046164</v>
      </c>
      <c r="CV133" s="161"/>
      <c r="CW133" s="161"/>
      <c r="CX133" s="2250">
        <f>CX113-CX123</f>
        <v>489.62000000000018</v>
      </c>
      <c r="CY133" s="217">
        <f t="shared" si="390"/>
        <v>-5.7028022418551094</v>
      </c>
      <c r="CZ133" s="161"/>
      <c r="DA133" s="161"/>
      <c r="DB133" s="2250">
        <f>DB113-DB123</f>
        <v>564.81299999999965</v>
      </c>
      <c r="DC133" s="217">
        <f t="shared" si="391"/>
        <v>15.357420040030934</v>
      </c>
      <c r="DD133" s="161"/>
      <c r="DE133" s="161"/>
      <c r="DF133" s="2250">
        <f>DF113-DF123</f>
        <v>636.0169999999996</v>
      </c>
      <c r="DG133" s="217">
        <f t="shared" si="392"/>
        <v>12.606650342679782</v>
      </c>
      <c r="DH133" s="161"/>
      <c r="DI133" s="161"/>
      <c r="DJ133" s="2250">
        <f>DJ113-DJ123</f>
        <v>589.99500000000012</v>
      </c>
      <c r="DK133" s="217">
        <f t="shared" si="393"/>
        <v>-7.2359701077171712</v>
      </c>
      <c r="DL133" s="161"/>
      <c r="DM133" s="161"/>
      <c r="DN133" s="2250">
        <f>DN113-DN123</f>
        <v>600.56000000000074</v>
      </c>
      <c r="DO133" s="217">
        <f t="shared" si="394"/>
        <v>1.7906931414674032</v>
      </c>
      <c r="DP133" s="161"/>
      <c r="DQ133" s="161"/>
      <c r="DR133" s="2250">
        <f>DR113-DR123</f>
        <v>620.37809008282034</v>
      </c>
      <c r="DS133" s="217">
        <f t="shared" si="395"/>
        <v>3.2999350744004952</v>
      </c>
      <c r="DT133" s="161"/>
    </row>
    <row r="134" spans="1:138">
      <c r="B134" s="23" t="str">
        <f>$B$14</f>
        <v>Year</v>
      </c>
      <c r="D134" s="1854">
        <f>SUM(D130:D133)</f>
        <v>346.92600000000039</v>
      </c>
      <c r="F134" s="1854">
        <f>SUM(F130:F133)</f>
        <v>398.43799999999976</v>
      </c>
      <c r="G134" s="44">
        <f t="shared" si="368"/>
        <v>14.848123230890531</v>
      </c>
      <c r="J134" s="1854">
        <f>SUM(J130:J133)</f>
        <v>403.30199999999945</v>
      </c>
      <c r="K134" s="44">
        <f t="shared" si="369"/>
        <v>1.2207670955078909</v>
      </c>
      <c r="N134" s="1854">
        <f>SUM(N130:N133)</f>
        <v>446.38000000000085</v>
      </c>
      <c r="O134" s="44">
        <f t="shared" si="370"/>
        <v>10.681325656704278</v>
      </c>
      <c r="R134" s="1854">
        <f>SUM(R130:R133)</f>
        <v>388.38200000000063</v>
      </c>
      <c r="S134" s="44">
        <f t="shared" si="371"/>
        <v>-12.992965634661079</v>
      </c>
      <c r="V134" s="1854">
        <f>SUM(V130:V133)</f>
        <v>448.34300000000042</v>
      </c>
      <c r="W134" s="44">
        <f t="shared" si="372"/>
        <v>15.43866605558437</v>
      </c>
      <c r="Z134" s="1854">
        <f>SUM(Z130:Z133)</f>
        <v>333.10400000000016</v>
      </c>
      <c r="AA134" s="44">
        <f t="shared" si="373"/>
        <v>-25.703311973199128</v>
      </c>
      <c r="AB134" s="44"/>
      <c r="AD134" s="1854">
        <f>SUM(AD130:AD133)</f>
        <v>373.28700000000009</v>
      </c>
      <c r="AE134" s="44">
        <f t="shared" si="374"/>
        <v>12.063199481243082</v>
      </c>
      <c r="AH134" s="1854">
        <f>SUM(AH130:AH133)</f>
        <v>340.35000000000053</v>
      </c>
      <c r="AI134" s="2188" t="s">
        <v>886</v>
      </c>
      <c r="AL134" s="1854">
        <f>SUM(AL130:AL133)</f>
        <v>380.39499999999987</v>
      </c>
      <c r="AM134" s="44">
        <f t="shared" si="375"/>
        <v>11.765829293374264</v>
      </c>
      <c r="AP134" s="1854">
        <f>SUM(AP130:AP133)</f>
        <v>448.02600000000001</v>
      </c>
      <c r="AQ134" s="2247" t="s">
        <v>886</v>
      </c>
      <c r="AT134" s="1854">
        <f>SUM(AT130:AT133)</f>
        <v>470.81599999999986</v>
      </c>
      <c r="AU134" s="44">
        <f t="shared" si="376"/>
        <v>5.0867583577738351</v>
      </c>
      <c r="AX134" s="1854">
        <f>SUM(AX130:AX133)</f>
        <v>411.87100000000027</v>
      </c>
      <c r="AY134" s="44">
        <f t="shared" si="377"/>
        <v>-12.519752939577167</v>
      </c>
      <c r="BB134" s="1854">
        <f>SUM(BB130:BB133)</f>
        <v>528.17999999999984</v>
      </c>
      <c r="BC134" s="44">
        <f t="shared" si="378"/>
        <v>28.239181685527637</v>
      </c>
      <c r="BF134" s="1854">
        <f>SUM(BF130:BF133)</f>
        <v>583.76800000000026</v>
      </c>
      <c r="BG134" s="44">
        <f t="shared" si="379"/>
        <v>10.52444242493098</v>
      </c>
      <c r="BJ134" s="1854">
        <f>SUM(BJ130:BJ133)</f>
        <v>637.27199999999993</v>
      </c>
      <c r="BK134" s="44">
        <f t="shared" si="380"/>
        <v>9.1652848391826183</v>
      </c>
      <c r="BN134" s="1855">
        <f>SUM(BN130:BN133)</f>
        <v>549.83699999999953</v>
      </c>
      <c r="BO134" s="217">
        <f t="shared" si="381"/>
        <v>-13.720201107219587</v>
      </c>
      <c r="BP134" s="161"/>
      <c r="BR134" s="1855">
        <f>SUM(BR130:BR133)</f>
        <v>666.41999999999962</v>
      </c>
      <c r="BS134" s="217">
        <f t="shared" si="382"/>
        <v>4.5738711256731346</v>
      </c>
      <c r="BT134" s="161"/>
      <c r="BV134" s="1855">
        <f>SUM(BV130:BV133)</f>
        <v>675.04899999999975</v>
      </c>
      <c r="BW134" s="217">
        <f t="shared" si="383"/>
        <v>1.2948290867621282</v>
      </c>
      <c r="BX134" s="161"/>
      <c r="BZ134" s="1856">
        <f>SUM(BZ130:BZ133)</f>
        <v>461.9609999999999</v>
      </c>
      <c r="CA134" s="217">
        <f t="shared" si="384"/>
        <v>-31.566301112956229</v>
      </c>
      <c r="CB134" s="161"/>
      <c r="CD134" s="1855">
        <f>SUM(CD130:CD133)</f>
        <v>353.28399999999959</v>
      </c>
      <c r="CE134" s="217">
        <f t="shared" si="385"/>
        <v>-23.525146062113546</v>
      </c>
      <c r="CF134" s="161"/>
      <c r="CH134" s="1855">
        <f>SUM(CH130:CH133)</f>
        <v>401.76599999999991</v>
      </c>
      <c r="CI134" s="217">
        <f t="shared" si="386"/>
        <v>13.723236829293262</v>
      </c>
      <c r="CJ134" s="161"/>
      <c r="CL134" s="1855">
        <f>SUM(CL130:CL133)</f>
        <v>684.4800000000007</v>
      </c>
      <c r="CM134" s="217">
        <f t="shared" si="387"/>
        <v>70.367826047998292</v>
      </c>
      <c r="CN134" s="161"/>
      <c r="CP134" s="1855">
        <f>SUM(CP130:CP133)</f>
        <v>817.34400000000005</v>
      </c>
      <c r="CQ134" s="217">
        <f t="shared" si="388"/>
        <v>19.410939691444497</v>
      </c>
      <c r="CR134" s="161"/>
      <c r="CT134" s="1855">
        <f>SUM(CT130:CT133)</f>
        <v>866.61869999999999</v>
      </c>
      <c r="CU134" s="217">
        <f t="shared" si="389"/>
        <v>6.0286366572703809</v>
      </c>
      <c r="CV134" s="161"/>
      <c r="CW134" s="161"/>
      <c r="CX134" s="1855">
        <f>SUM(CX130:CX133)</f>
        <v>903.01500000000033</v>
      </c>
      <c r="CY134" s="217">
        <f t="shared" si="390"/>
        <v>4.1998055200055395</v>
      </c>
      <c r="CZ134" s="161"/>
      <c r="DA134" s="161"/>
      <c r="DB134" s="1855">
        <f>SUM(DB130:DB133)+0.1</f>
        <v>1042.06</v>
      </c>
      <c r="DC134" s="217">
        <f t="shared" si="391"/>
        <v>15.397861608057406</v>
      </c>
      <c r="DD134" s="161"/>
      <c r="DE134" s="161"/>
      <c r="DF134" s="1855">
        <f>SUM(DF130:DF133)</f>
        <v>1184.0129999999995</v>
      </c>
      <c r="DG134" s="217">
        <f t="shared" si="392"/>
        <v>13.622344202828973</v>
      </c>
      <c r="DH134" s="161"/>
      <c r="DI134" s="161"/>
      <c r="DJ134" s="1855">
        <f>SUM(DJ130:DJ133)</f>
        <v>1089.9740000000002</v>
      </c>
      <c r="DK134" s="217">
        <f t="shared" si="393"/>
        <v>-7.9423959027476343</v>
      </c>
      <c r="DL134" s="161"/>
      <c r="DM134" s="161"/>
      <c r="DN134" s="1855">
        <f>SUM(DN130:DN133)</f>
        <v>919.47300000000121</v>
      </c>
      <c r="DO134" s="217">
        <f t="shared" si="394"/>
        <v>-15.642666705811237</v>
      </c>
      <c r="DP134" s="161"/>
      <c r="DQ134" s="161"/>
      <c r="DR134" s="1855">
        <f>SUM(DR130:DR133)</f>
        <v>912.4996897499434</v>
      </c>
      <c r="DS134" s="217">
        <f t="shared" si="395"/>
        <v>-0.75840293842862616</v>
      </c>
      <c r="DT134" s="161"/>
    </row>
    <row r="135" spans="1:138" hidden="1" outlineLevel="1">
      <c r="A135" s="23" t="str">
        <f>$A$15</f>
        <v>6 Mos</v>
      </c>
      <c r="D135" s="1899">
        <f>SUM(D130:D131)</f>
        <v>108.96999999999997</v>
      </c>
      <c r="F135" s="1899">
        <f>SUM(F130:F131)</f>
        <v>141.33999999999997</v>
      </c>
      <c r="G135" s="44">
        <f t="shared" si="368"/>
        <v>29.705423511058093</v>
      </c>
      <c r="J135" s="1899">
        <f>SUM(J130:J131)</f>
        <v>130.08499999999992</v>
      </c>
      <c r="K135" s="44">
        <f t="shared" si="369"/>
        <v>-7.963067779821742</v>
      </c>
      <c r="N135" s="1899">
        <f>SUM(N130:N131)</f>
        <v>122.48100000000009</v>
      </c>
      <c r="O135" s="44">
        <f t="shared" si="370"/>
        <v>-5.8454087711879428</v>
      </c>
      <c r="R135" s="1899">
        <f>SUM(R130:R131)</f>
        <v>112.45699999999991</v>
      </c>
      <c r="S135" s="44">
        <f t="shared" si="371"/>
        <v>-8.1841265175824685</v>
      </c>
      <c r="V135" s="1899">
        <f>SUM(V130:V131)</f>
        <v>101.10799999999998</v>
      </c>
      <c r="W135" s="44">
        <f t="shared" si="372"/>
        <v>-10.09185733213579</v>
      </c>
      <c r="Z135" s="1899">
        <f>SUM(Z130:Z131)</f>
        <v>87.973000000000084</v>
      </c>
      <c r="AA135" s="44">
        <f t="shared" si="373"/>
        <v>-12.991059065553557</v>
      </c>
      <c r="AB135" s="44"/>
      <c r="AD135" s="1899">
        <f>SUM(AD130:AD131)</f>
        <v>73.751000000000033</v>
      </c>
      <c r="AE135" s="44">
        <f t="shared" si="374"/>
        <v>-16.166323758425925</v>
      </c>
      <c r="AH135" s="1899">
        <f>SUM(AH130:AH131)</f>
        <v>75.855000000000118</v>
      </c>
      <c r="AI135" s="2188" t="s">
        <v>886</v>
      </c>
      <c r="AL135" s="1899">
        <f>SUM(AL130:AL131)</f>
        <v>86.459999999999965</v>
      </c>
      <c r="AM135" s="44">
        <f t="shared" si="375"/>
        <v>13.980620921494724</v>
      </c>
      <c r="AP135" s="1899">
        <f>SUM(AP130:AP131)</f>
        <v>97.288000000000054</v>
      </c>
      <c r="AQ135" s="2247" t="s">
        <v>886</v>
      </c>
      <c r="AT135" s="1899">
        <f>SUM(AT130:AT131)</f>
        <v>159.69100000000003</v>
      </c>
      <c r="AU135" s="44">
        <f t="shared" si="376"/>
        <v>64.142545843269417</v>
      </c>
      <c r="AX135" s="1899">
        <f>SUM(AX130:AX131)</f>
        <v>70.377999999999957</v>
      </c>
      <c r="AY135" s="44">
        <f t="shared" si="377"/>
        <v>-55.928637180554986</v>
      </c>
      <c r="BB135" s="1899">
        <f>SUM(BB130:BB131)</f>
        <v>160.50999999999996</v>
      </c>
      <c r="BC135" s="44">
        <f t="shared" si="378"/>
        <v>128.06843047543276</v>
      </c>
      <c r="BF135" s="1899">
        <f>SUM(BF130:BF131)</f>
        <v>151.80299999999988</v>
      </c>
      <c r="BG135" s="44">
        <f t="shared" si="379"/>
        <v>-5.4245841380599842</v>
      </c>
      <c r="BJ135" s="1899">
        <f>SUM(BJ130:BJ131)</f>
        <v>205.11499999999995</v>
      </c>
      <c r="BK135" s="44">
        <f t="shared" si="380"/>
        <v>35.119200542808841</v>
      </c>
      <c r="BN135" s="2202">
        <f>SUM(BN130:BN131)</f>
        <v>136.22199999999967</v>
      </c>
      <c r="BO135" s="217">
        <f t="shared" si="381"/>
        <v>-33.587499695293033</v>
      </c>
      <c r="BP135" s="161"/>
      <c r="BR135" s="2202">
        <f>SUM(BR130:BR131)</f>
        <v>147.9319999999997</v>
      </c>
      <c r="BS135" s="217">
        <f t="shared" si="382"/>
        <v>-27.87850717889977</v>
      </c>
      <c r="BT135" s="161"/>
      <c r="BV135" s="2202">
        <f>SUM(BV130:BV131)</f>
        <v>211.76299999999964</v>
      </c>
      <c r="BW135" s="217">
        <f t="shared" si="383"/>
        <v>43.148879214774396</v>
      </c>
      <c r="BX135" s="161"/>
      <c r="BZ135" s="2202">
        <f>SUM(BZ130:BZ131)</f>
        <v>132.90700000000004</v>
      </c>
      <c r="CA135" s="217">
        <f t="shared" si="384"/>
        <v>-37.237855527169394</v>
      </c>
      <c r="CB135" s="161"/>
      <c r="CD135" s="2202">
        <f>SUM(CD130:CD131)</f>
        <v>130.26199999999977</v>
      </c>
      <c r="CE135" s="217">
        <f t="shared" si="385"/>
        <v>-1.9901133875569132</v>
      </c>
      <c r="CF135" s="161"/>
      <c r="CH135" s="2202">
        <f>SUM(CH130:CH131)</f>
        <v>62.864000000000019</v>
      </c>
      <c r="CI135" s="217">
        <f t="shared" si="386"/>
        <v>-51.740338702000486</v>
      </c>
      <c r="CJ135" s="161"/>
      <c r="CL135" s="2202">
        <f>SUM(CL130:CL131)</f>
        <v>203.47300000000038</v>
      </c>
      <c r="CM135" s="217">
        <f t="shared" si="387"/>
        <v>223.67173581063935</v>
      </c>
      <c r="CN135" s="161"/>
      <c r="CP135" s="2202">
        <f>SUM(CP130:CP131)</f>
        <v>280.54999999999995</v>
      </c>
      <c r="CQ135" s="217">
        <f t="shared" si="388"/>
        <v>37.8807016164304</v>
      </c>
      <c r="CR135" s="161"/>
      <c r="CT135" s="2202">
        <f>SUM(CT130:CT131)</f>
        <v>271.74800000000022</v>
      </c>
      <c r="CU135" s="217">
        <f t="shared" si="389"/>
        <v>-3.1374086615575614</v>
      </c>
      <c r="CV135" s="161"/>
      <c r="CW135" s="161"/>
      <c r="CX135" s="2202">
        <f>SUM(CX130:CX131)</f>
        <v>321.41100000000012</v>
      </c>
      <c r="CY135" s="217">
        <f t="shared" si="390"/>
        <v>18.275387491352223</v>
      </c>
      <c r="CZ135" s="161"/>
      <c r="DA135" s="161"/>
      <c r="DB135" s="2202">
        <f>SUM(DB130:DB131)</f>
        <v>345.33900000000028</v>
      </c>
      <c r="DC135" s="217">
        <f t="shared" si="391"/>
        <v>7.4446736421591497</v>
      </c>
      <c r="DD135" s="161"/>
      <c r="DE135" s="161"/>
      <c r="DF135" s="2202">
        <f>SUM(DF130:DF131)</f>
        <v>383.96499999999992</v>
      </c>
      <c r="DG135" s="217">
        <f t="shared" si="392"/>
        <v>11.184951598284476</v>
      </c>
      <c r="DH135" s="161"/>
      <c r="DI135" s="161"/>
      <c r="DJ135" s="2202">
        <f>SUM(DJ130:DJ131)</f>
        <v>378.33900000000028</v>
      </c>
      <c r="DK135" s="217">
        <f t="shared" si="393"/>
        <v>-1.4652377169793174</v>
      </c>
      <c r="DL135" s="161"/>
      <c r="DM135" s="161"/>
      <c r="DN135" s="2202">
        <f>SUM(DN130:DN131)</f>
        <v>232.9280000000002</v>
      </c>
      <c r="DO135" s="217">
        <f t="shared" si="394"/>
        <v>-38.43404988647746</v>
      </c>
      <c r="DP135" s="161"/>
      <c r="DQ135" s="161"/>
      <c r="DR135" s="2202">
        <f>SUM(DR130:DR131)</f>
        <v>193.07181280319423</v>
      </c>
      <c r="DS135" s="217">
        <f t="shared" si="395"/>
        <v>-17.110947244129481</v>
      </c>
      <c r="DT135" s="161"/>
    </row>
    <row r="136" spans="1:138" hidden="1" outlineLevel="1">
      <c r="A136" s="23" t="str">
        <f>$A$16</f>
        <v>9 Mos</v>
      </c>
      <c r="D136" s="1899">
        <f>SUM(D130:D132)</f>
        <v>193.839</v>
      </c>
      <c r="F136" s="1899">
        <f>SUM(F130:F132)</f>
        <v>226.25700000000003</v>
      </c>
      <c r="G136" s="44">
        <f t="shared" si="368"/>
        <v>16.724188630770918</v>
      </c>
      <c r="J136" s="1899">
        <f>SUM(J130:J132)</f>
        <v>202.95699999999997</v>
      </c>
      <c r="K136" s="44">
        <f t="shared" si="369"/>
        <v>-10.298023928541467</v>
      </c>
      <c r="N136" s="1899">
        <f>SUM(N130:N132)</f>
        <v>202.47600000000017</v>
      </c>
      <c r="O136" s="44">
        <f t="shared" si="370"/>
        <v>-0.23699601393388781</v>
      </c>
      <c r="R136" s="1899">
        <f>SUM(R130:R132)</f>
        <v>192.05499999999992</v>
      </c>
      <c r="S136" s="44">
        <f t="shared" si="371"/>
        <v>-5.1467828285822748</v>
      </c>
      <c r="V136" s="1899">
        <f>SUM(V130:V132)</f>
        <v>191.59799999999981</v>
      </c>
      <c r="W136" s="44">
        <f t="shared" si="372"/>
        <v>-0.23795266980818353</v>
      </c>
      <c r="Z136" s="1899">
        <f>SUM(Z130:Z132)</f>
        <v>131.78600000000017</v>
      </c>
      <c r="AA136" s="44">
        <f t="shared" si="373"/>
        <v>-31.217444858505672</v>
      </c>
      <c r="AB136" s="44"/>
      <c r="AD136" s="1899">
        <f>SUM(AD130:AD132)</f>
        <v>119.27100000000006</v>
      </c>
      <c r="AE136" s="44">
        <f t="shared" si="374"/>
        <v>-9.4964563762464103</v>
      </c>
      <c r="AH136" s="1899">
        <f>SUM(AH130:AH132)</f>
        <v>111.85600000000026</v>
      </c>
      <c r="AI136" s="2188" t="s">
        <v>886</v>
      </c>
      <c r="AL136" s="1899">
        <f>SUM(AL130:AL132)</f>
        <v>128.88499999999988</v>
      </c>
      <c r="AM136" s="44">
        <f t="shared" si="375"/>
        <v>15.224038048919653</v>
      </c>
      <c r="AP136" s="1899">
        <f>SUM(AP130:AP132)</f>
        <v>140.73399999999998</v>
      </c>
      <c r="AQ136" s="2247" t="s">
        <v>886</v>
      </c>
      <c r="AT136" s="1899">
        <f>SUM(AT130:AT132)</f>
        <v>216.22499999999997</v>
      </c>
      <c r="AU136" s="44">
        <f t="shared" si="376"/>
        <v>53.640911222590134</v>
      </c>
      <c r="AX136" s="1899">
        <f>SUM(AX130:AX132)</f>
        <v>57.505000000000145</v>
      </c>
      <c r="AY136" s="44">
        <f t="shared" si="377"/>
        <v>-73.405017921146893</v>
      </c>
      <c r="BB136" s="1899">
        <f>SUM(BB130:BB132)</f>
        <v>170.89499999999992</v>
      </c>
      <c r="BC136" s="44">
        <f t="shared" si="378"/>
        <v>197.18285366489781</v>
      </c>
      <c r="BF136" s="1899">
        <f>SUM(BF130:BF132)</f>
        <v>196.12099999999992</v>
      </c>
      <c r="BG136" s="44">
        <f t="shared" si="379"/>
        <v>14.761110623482265</v>
      </c>
      <c r="BJ136" s="1899">
        <f>SUM(BJ130:BJ132)</f>
        <v>254.79199999999992</v>
      </c>
      <c r="BK136" s="44">
        <f t="shared" si="380"/>
        <v>29.915715298208756</v>
      </c>
      <c r="BN136" s="2202">
        <f>SUM(BN130:BN132)</f>
        <v>123.91399999999949</v>
      </c>
      <c r="BO136" s="217">
        <f t="shared" si="381"/>
        <v>-51.366604916952049</v>
      </c>
      <c r="BP136" s="161"/>
      <c r="BR136" s="2202">
        <f>SUM(BR130:BR132)</f>
        <v>147.24899999999951</v>
      </c>
      <c r="BS136" s="217">
        <f t="shared" si="382"/>
        <v>-42.208154102169779</v>
      </c>
      <c r="BT136" s="161"/>
      <c r="BV136" s="2202">
        <f>SUM(BV130:BV132)</f>
        <v>235.27099999999984</v>
      </c>
      <c r="BW136" s="217">
        <f t="shared" si="383"/>
        <v>59.777655535861449</v>
      </c>
      <c r="BX136" s="161"/>
      <c r="BZ136" s="2202">
        <f>SUM(BZ130:BZ132)</f>
        <v>130.24199999999999</v>
      </c>
      <c r="CA136" s="217">
        <f t="shared" si="384"/>
        <v>-44.641711048110444</v>
      </c>
      <c r="CB136" s="161"/>
      <c r="CD136" s="2202">
        <f>SUM(CD130:CD132)</f>
        <v>134.35099999999971</v>
      </c>
      <c r="CE136" s="217">
        <f t="shared" si="385"/>
        <v>3.1548962700202132</v>
      </c>
      <c r="CF136" s="161"/>
      <c r="CH136" s="2202">
        <f>SUM(CH130:CH132)</f>
        <v>68.963000000000065</v>
      </c>
      <c r="CI136" s="217">
        <f t="shared" si="386"/>
        <v>-48.669529813696798</v>
      </c>
      <c r="CJ136" s="161"/>
      <c r="CL136" s="2202">
        <f>SUM(CL130:CL132)</f>
        <v>264.80000000000058</v>
      </c>
      <c r="CM136" s="217">
        <f t="shared" si="387"/>
        <v>283.97401505154988</v>
      </c>
      <c r="CN136" s="161"/>
      <c r="CP136" s="2202">
        <f>SUM(CP130:CP132)</f>
        <v>358.13600000000008</v>
      </c>
      <c r="CQ136" s="217">
        <f t="shared" si="388"/>
        <v>35.247734138972554</v>
      </c>
      <c r="CR136" s="161"/>
      <c r="CT136" s="2202">
        <f>SUM(CT130:CT132)</f>
        <v>347.38799999999986</v>
      </c>
      <c r="CU136" s="217">
        <f t="shared" si="389"/>
        <v>-3.0010945562580216</v>
      </c>
      <c r="CV136" s="161"/>
      <c r="CW136" s="161"/>
      <c r="CX136" s="2202">
        <f>SUM(CX130:CX132)</f>
        <v>413.39500000000021</v>
      </c>
      <c r="CY136" s="217">
        <f t="shared" si="390"/>
        <v>19.000944189206415</v>
      </c>
      <c r="CZ136" s="161"/>
      <c r="DA136" s="161"/>
      <c r="DB136" s="2202">
        <f>SUM(DB130:DB132)</f>
        <v>477.14700000000045</v>
      </c>
      <c r="DC136" s="217">
        <f t="shared" si="391"/>
        <v>15.42157016896677</v>
      </c>
      <c r="DD136" s="161"/>
      <c r="DE136" s="161"/>
      <c r="DF136" s="2202">
        <f>SUM(DF130:DF132)</f>
        <v>547.99599999999987</v>
      </c>
      <c r="DG136" s="217">
        <f t="shared" si="392"/>
        <v>14.848463890582853</v>
      </c>
      <c r="DH136" s="161"/>
      <c r="DI136" s="161"/>
      <c r="DJ136" s="2202">
        <f>SUM(DJ130:DJ132)</f>
        <v>499.9790000000001</v>
      </c>
      <c r="DK136" s="217">
        <f t="shared" si="393"/>
        <v>-8.7622902356951133</v>
      </c>
      <c r="DL136" s="161"/>
      <c r="DM136" s="161"/>
      <c r="DN136" s="2202">
        <f>SUM(DN130:DN132)</f>
        <v>318.91300000000047</v>
      </c>
      <c r="DO136" s="217">
        <f t="shared" si="394"/>
        <v>-36.214721018282688</v>
      </c>
      <c r="DP136" s="161"/>
      <c r="DQ136" s="161"/>
      <c r="DR136" s="2202">
        <f>SUM(DR130:DR132)</f>
        <v>292.12159966712312</v>
      </c>
      <c r="DS136" s="217">
        <f t="shared" si="395"/>
        <v>-8.4008492387821487</v>
      </c>
      <c r="DT136" s="161"/>
    </row>
    <row r="137" spans="1:138" collapsed="1">
      <c r="BN137" s="161"/>
      <c r="BO137" s="161"/>
      <c r="BP137" s="161"/>
      <c r="BR137" s="161"/>
      <c r="BS137" s="161"/>
      <c r="BT137" s="161"/>
      <c r="BV137" s="161"/>
      <c r="BW137" s="161"/>
      <c r="BX137" s="161"/>
      <c r="BZ137" s="1861"/>
      <c r="CA137" s="161"/>
      <c r="CB137" s="161"/>
      <c r="CD137" s="161"/>
      <c r="CE137" s="161"/>
      <c r="CF137" s="161"/>
      <c r="CH137" s="161"/>
      <c r="CI137" s="161"/>
      <c r="CJ137" s="161"/>
      <c r="CL137" s="161"/>
      <c r="CM137" s="161"/>
      <c r="CN137" s="161"/>
      <c r="CP137" s="161"/>
      <c r="CQ137" s="161"/>
      <c r="CR137" s="161"/>
      <c r="CT137" s="161"/>
      <c r="CU137" s="161"/>
      <c r="CV137" s="161"/>
      <c r="CW137" s="161"/>
      <c r="CX137" s="161"/>
      <c r="CY137" s="161"/>
      <c r="CZ137" s="161"/>
      <c r="DA137" s="161"/>
      <c r="DB137" s="161"/>
      <c r="DC137" s="161"/>
      <c r="DD137" s="161"/>
      <c r="DE137" s="161"/>
      <c r="DF137" s="161"/>
      <c r="DG137" s="161"/>
      <c r="DH137" s="161"/>
      <c r="DI137" s="161"/>
      <c r="DJ137" s="161"/>
      <c r="DK137" s="161"/>
      <c r="DL137" s="161"/>
      <c r="DM137" s="161"/>
      <c r="DN137" s="161"/>
      <c r="DO137" s="161"/>
      <c r="DP137" s="161"/>
      <c r="DQ137" s="161"/>
      <c r="DR137" s="161"/>
      <c r="DS137" s="161"/>
      <c r="DT137" s="161"/>
    </row>
    <row r="138" spans="1:138">
      <c r="C138" s="1936"/>
      <c r="D138" s="1936"/>
      <c r="E138" s="1936">
        <f>AH138</f>
        <v>0</v>
      </c>
      <c r="F138" s="1936"/>
      <c r="J138" s="1936"/>
      <c r="N138" s="1936"/>
      <c r="R138" s="1936"/>
      <c r="V138" s="1936"/>
      <c r="Z138" s="2244"/>
      <c r="AA138" s="2177"/>
      <c r="AB138" s="2177"/>
      <c r="AC138" s="2177"/>
      <c r="AD138" s="2244"/>
      <c r="AE138" s="2177"/>
      <c r="AF138" s="2177"/>
      <c r="AG138" s="2177"/>
      <c r="AH138" s="2244"/>
      <c r="AI138" s="2177"/>
      <c r="AJ138" s="2177"/>
      <c r="AK138" s="2177"/>
      <c r="AM138" s="2177"/>
      <c r="AN138" s="2177"/>
      <c r="AO138" s="2177"/>
      <c r="AQ138" s="2177"/>
      <c r="AR138" s="2177"/>
      <c r="AS138" s="2177"/>
      <c r="AU138" s="2177"/>
      <c r="AV138" s="2177"/>
      <c r="AW138" s="2177"/>
      <c r="AY138" s="2177"/>
      <c r="AZ138" s="2177"/>
      <c r="BA138" s="2177"/>
      <c r="BB138" s="2244"/>
      <c r="BC138" s="2177"/>
      <c r="BD138" s="2177"/>
      <c r="BE138" s="2177"/>
      <c r="BF138" s="2244"/>
      <c r="BG138" s="2177"/>
      <c r="BH138" s="2177"/>
      <c r="BI138" s="2177"/>
      <c r="BJ138" s="2244" t="s">
        <v>953</v>
      </c>
      <c r="BK138" s="2177"/>
      <c r="BL138" s="2177"/>
      <c r="BM138" s="2177"/>
      <c r="BN138" s="2245"/>
      <c r="BO138" s="2179"/>
      <c r="BP138" s="2179"/>
      <c r="BQ138" s="2177"/>
      <c r="BR138" s="2245"/>
      <c r="BS138" s="2179"/>
      <c r="BT138" s="2179"/>
      <c r="BU138" s="2177"/>
      <c r="BW138" s="2179"/>
      <c r="BX138" s="2179"/>
      <c r="BY138" s="2177"/>
      <c r="BZ138" s="2244" t="s">
        <v>953</v>
      </c>
      <c r="CA138" s="2179"/>
      <c r="CB138" s="2179"/>
      <c r="CC138" s="2177"/>
      <c r="CD138" s="2245"/>
      <c r="CE138" s="2179"/>
      <c r="CF138" s="2179"/>
      <c r="CG138" s="2177"/>
      <c r="CH138" s="2245"/>
      <c r="CI138" s="2179"/>
      <c r="CJ138" s="2179"/>
      <c r="CL138" s="2245"/>
      <c r="CM138" s="2179"/>
      <c r="CN138" s="2179"/>
      <c r="CO138" s="2177"/>
      <c r="CP138" s="2245"/>
      <c r="CQ138" s="2179"/>
      <c r="CR138" s="2179"/>
      <c r="CS138" s="2177"/>
      <c r="CX138" s="2244" t="s">
        <v>953</v>
      </c>
      <c r="CY138" s="2179"/>
      <c r="CZ138" s="2179"/>
      <c r="DA138" s="2179"/>
      <c r="DB138" s="2179"/>
      <c r="DC138" s="2179"/>
      <c r="DD138" s="2179"/>
      <c r="DE138" s="2179"/>
      <c r="DF138" s="2179"/>
      <c r="DG138" s="2179"/>
      <c r="DH138" s="2179"/>
      <c r="DI138" s="2179"/>
      <c r="DJ138" s="2179"/>
      <c r="DK138" s="2179"/>
      <c r="DL138" s="2179"/>
      <c r="DM138" s="2179"/>
      <c r="DN138" s="2179"/>
      <c r="DO138" s="2179"/>
      <c r="DP138" s="2179"/>
      <c r="DQ138" s="2179"/>
      <c r="DR138" s="2179"/>
      <c r="DS138" s="2179"/>
      <c r="DT138" s="2179"/>
      <c r="DU138" s="2177"/>
      <c r="DV138" s="2264"/>
      <c r="DW138" s="139"/>
      <c r="DX138" s="2264"/>
      <c r="DZ138" s="988"/>
      <c r="EB138" s="2264"/>
      <c r="EC138" s="2264"/>
      <c r="ED138" s="2264"/>
      <c r="EF138" s="2264"/>
      <c r="EH138" s="2264"/>
    </row>
    <row r="139" spans="1:138">
      <c r="BN139" s="161"/>
      <c r="BO139" s="161"/>
      <c r="BP139" s="161"/>
      <c r="BR139" s="161"/>
      <c r="BS139" s="161"/>
      <c r="BT139" s="161"/>
      <c r="BV139" s="161"/>
      <c r="BW139" s="161"/>
      <c r="BX139" s="161"/>
      <c r="BZ139" s="161"/>
      <c r="CA139" s="161"/>
      <c r="CB139" s="161"/>
      <c r="CD139" s="161"/>
      <c r="CE139" s="161"/>
      <c r="CF139" s="161"/>
      <c r="CH139" s="161"/>
      <c r="CI139" s="161"/>
      <c r="CJ139" s="161"/>
      <c r="CL139" s="161"/>
      <c r="CM139" s="161"/>
      <c r="CN139" s="161"/>
      <c r="CP139" s="161"/>
      <c r="CQ139" s="161"/>
      <c r="CR139" s="161"/>
      <c r="CT139" s="161"/>
      <c r="CU139" s="161"/>
      <c r="CV139" s="161"/>
      <c r="CW139" s="161"/>
      <c r="CX139" s="161"/>
      <c r="CY139" s="161"/>
      <c r="CZ139" s="161"/>
      <c r="DA139" s="161"/>
      <c r="DB139" s="161"/>
      <c r="DC139" s="161"/>
      <c r="DD139" s="161"/>
      <c r="DE139" s="161"/>
      <c r="DF139" s="2269"/>
      <c r="DG139" s="161"/>
      <c r="DH139" s="161"/>
      <c r="DI139" s="161"/>
      <c r="DJ139" s="2269"/>
      <c r="DK139" s="161"/>
      <c r="DL139" s="161"/>
      <c r="DM139" s="161"/>
      <c r="DN139" s="2269"/>
      <c r="DO139" s="161"/>
      <c r="DP139" s="161"/>
      <c r="DQ139" s="161"/>
      <c r="DR139" s="2269"/>
      <c r="DS139" s="161"/>
      <c r="DT139" s="161"/>
      <c r="DV139" s="2264"/>
      <c r="DW139" s="1903"/>
      <c r="DX139" s="2264"/>
      <c r="DY139" s="1903"/>
      <c r="EA139" s="48"/>
      <c r="EB139" s="2264"/>
      <c r="EC139" s="2264"/>
      <c r="ED139" s="2264"/>
      <c r="EE139" s="48"/>
      <c r="EF139" s="2264"/>
      <c r="EG139" s="2264"/>
      <c r="EH139" s="2264"/>
    </row>
    <row r="140" spans="1:138">
      <c r="A140" s="23" t="str">
        <f>$A$10</f>
        <v>1Q</v>
      </c>
      <c r="B140" s="23" t="str">
        <f>$B$10</f>
        <v>Apr</v>
      </c>
      <c r="D140" s="1857">
        <f>D130/D160</f>
        <v>8.3507503645102787E-2</v>
      </c>
      <c r="F140" s="1857">
        <f>F130/F160</f>
        <v>0.11474474059752343</v>
      </c>
      <c r="G140" s="44">
        <f t="shared" ref="G140:G146" si="396">IF(D140&lt;0,"       NM",(F140/D140-1)*100)</f>
        <v>37.406503115187448</v>
      </c>
      <c r="J140" s="1857">
        <f>J130/J160</f>
        <v>9.3324011941656904E-2</v>
      </c>
      <c r="K140" s="44">
        <f t="shared" ref="K140:K146" si="397">IF(F140&lt;0,"       NM",(J140/F140-1)*100)</f>
        <v>-18.668157289231658</v>
      </c>
      <c r="N140" s="1857">
        <f>N130/N160</f>
        <v>7.769060606476981E-2</v>
      </c>
      <c r="O140" s="44">
        <f t="shared" ref="O140:O146" si="398">IF(J140&lt;0,"       NM",(N140/J140-1)*100)</f>
        <v>-16.751750756986937</v>
      </c>
      <c r="R140" s="1857">
        <f>R130/R160</f>
        <v>8.0986154068718508E-2</v>
      </c>
      <c r="S140" s="44">
        <f t="shared" ref="S140:S146" si="399">IF(N140&lt;0,"       NM",(R140/N140-1)*100)</f>
        <v>4.2418873669246793</v>
      </c>
      <c r="V140" s="1857">
        <f>V130/V160</f>
        <v>8.7899011703196778E-2</v>
      </c>
      <c r="W140" s="44">
        <f t="shared" ref="W140:W146" si="400">IF(R140&lt;0,"       NM",(V140/R140-1)*100)</f>
        <v>8.5358512377468276</v>
      </c>
      <c r="Z140" s="1857">
        <f>Z130/Z160</f>
        <v>7.302372139581427E-2</v>
      </c>
      <c r="AA140" s="44">
        <f t="shared" ref="AA140:AA146" si="401">IF(V140&lt;0,"       NM",(Z140/V140-1)*100)</f>
        <v>-16.923159907202358</v>
      </c>
      <c r="AD140" s="1857">
        <f>AD130/AD160</f>
        <v>6.9633795075112123E-2</v>
      </c>
      <c r="AE140" s="44">
        <f t="shared" ref="AE140:AE146" si="402">IF(Z140&lt;0,"       NM",(AD140/Z140-1)*100)</f>
        <v>-4.6422261915789687</v>
      </c>
      <c r="AH140" s="1857">
        <f>AH130/AH160</f>
        <v>7.6795783552126531E-2</v>
      </c>
      <c r="AI140" s="2188" t="s">
        <v>886</v>
      </c>
      <c r="AL140" s="1857">
        <f>AL130/AL160</f>
        <v>8.2507845897531865E-2</v>
      </c>
      <c r="AM140" s="44">
        <f t="shared" ref="AM140:AM146" si="403">IF(AH140&lt;0,"       NM",(AL140/AH140-1)*100)</f>
        <v>7.4379895369231619</v>
      </c>
      <c r="AP140" s="1857">
        <f>AP130/AP160</f>
        <v>6.6322798098263636E-2</v>
      </c>
      <c r="AQ140" s="2247" t="s">
        <v>886</v>
      </c>
      <c r="AT140" s="1857">
        <f>AT130/AT160</f>
        <v>0.12255766715824037</v>
      </c>
      <c r="AU140" s="44">
        <f t="shared" ref="AU140:AU146" si="404">IF(AP140&lt;0,"       NM",(AT140/AP140-1)*100)</f>
        <v>84.789651028684503</v>
      </c>
      <c r="AX140" s="1857">
        <f>AX130/AX160</f>
        <v>4.3695892062841968E-2</v>
      </c>
      <c r="AY140" s="44">
        <f t="shared" ref="AY140:AY146" si="405">IF(AT140&lt;0,"       NM",(AX140/AT140-1)*100)</f>
        <v>-64.34666791884672</v>
      </c>
      <c r="BB140" s="1857">
        <f>BB130/BB160</f>
        <v>0.14385185545577553</v>
      </c>
      <c r="BC140" s="44">
        <f t="shared" ref="BC140:BC146" si="406">IF(AX140&lt;0,"       NM",(BB140/AX140-1)*100)</f>
        <v>229.21139417154501</v>
      </c>
      <c r="BF140" s="1857">
        <f>BF130/BF160</f>
        <v>9.4574902472715008E-2</v>
      </c>
      <c r="BG140" s="44">
        <f t="shared" ref="BG140:BG146" si="407">IF(BB140&lt;0,"       NM",(BF140/BB140-1)*100)</f>
        <v>-34.255347507985235</v>
      </c>
      <c r="BJ140" s="1857">
        <f>BJ130/BJ160</f>
        <v>0.13149955668857047</v>
      </c>
      <c r="BK140" s="44">
        <f t="shared" ref="BK140:BK146" si="408">IF(BF140&lt;0,"       NM",(BJ140/BF140-1)*100)</f>
        <v>39.042762139255991</v>
      </c>
      <c r="BL140" s="2265"/>
      <c r="BN140" s="1857">
        <f>BN130/BN160</f>
        <v>5.5472468686636099E-2</v>
      </c>
      <c r="BO140" s="217">
        <f t="shared" ref="BO140:BO146" si="409">IF(BJ140&lt;0,"       NM",(BN140/BJ140-1)*100)</f>
        <v>-57.815470954011516</v>
      </c>
      <c r="BP140" s="161"/>
      <c r="BR140" s="1857">
        <f>BR130/BR160</f>
        <v>0.15919364193713839</v>
      </c>
      <c r="BS140" s="217">
        <f>IF(BJ140&lt;0,"       NM",(BR140/BJ140-1)*100)</f>
        <v>21.060211871402458</v>
      </c>
      <c r="BT140" s="161"/>
      <c r="BV140" s="1857">
        <f>BV130/BV160</f>
        <v>0.24645430365995258</v>
      </c>
      <c r="BW140" s="217">
        <f t="shared" ref="BW140:BW146" si="410">IF(BR140&lt;0,"       NM",(BV140/BR140-1)*100)</f>
        <v>54.814162589025543</v>
      </c>
      <c r="BX140" s="2266"/>
      <c r="BZ140" s="1857">
        <f>BZ130/BZ160</f>
        <v>0.1295732758196193</v>
      </c>
      <c r="CA140" s="217">
        <f t="shared" ref="CA140:CA146" si="411">IF(BV140&lt;0,"       NM",(BZ140/BV140-1)*100)</f>
        <v>-47.425030159587259</v>
      </c>
      <c r="CB140" s="2266"/>
      <c r="CD140" s="2231">
        <f>CD130/CD160</f>
        <v>0.10576875579330923</v>
      </c>
      <c r="CE140" s="217">
        <f t="shared" ref="CE140:CE146" si="412">IF(BZ140&lt;0,"       NM",(CD140/BZ140-1)*100)</f>
        <v>-18.371473496933632</v>
      </c>
      <c r="CF140" s="2266"/>
      <c r="CH140" s="2231">
        <f>CH130/CH160</f>
        <v>8.04553257961238E-3</v>
      </c>
      <c r="CI140" s="217">
        <f>IF(CD140&lt;0,"       NM",(CH140/CD140-1)*100)</f>
        <v>-92.393280492648728</v>
      </c>
      <c r="CJ140" s="2266"/>
      <c r="CL140" s="2231">
        <f>CL130/CL160</f>
        <v>0.24893510925268417</v>
      </c>
      <c r="CM140" s="217">
        <f t="shared" ref="CM140:CM146" si="413">IF(CH140&lt;0,"       NM",(CL140/CH140-1)*100)</f>
        <v>2994.0786926087799</v>
      </c>
      <c r="CN140" s="2267"/>
      <c r="CP140" s="2231">
        <f>CP130/CP160</f>
        <v>0.39525743442363381</v>
      </c>
      <c r="CQ140" s="217">
        <f t="shared" ref="CQ140:CQ146" si="414">IF(CL140&lt;0,"       NM",(CP140/CL140-1)*100)</f>
        <v>58.779304217157915</v>
      </c>
      <c r="CR140" s="2268">
        <f>CP140</f>
        <v>0.39525743442363381</v>
      </c>
      <c r="CT140" s="2231">
        <f>CT130/CT160</f>
        <v>0.41348701027094925</v>
      </c>
      <c r="CU140" s="217">
        <f t="shared" ref="CU140:CU146" si="415">IF(CP140&lt;0,"       NM",(CT140/CP140-1)*100)</f>
        <v>4.6120766517391054</v>
      </c>
      <c r="CV140" s="2268"/>
      <c r="CW140" s="2266"/>
      <c r="CX140" s="2231">
        <f>CX130/CX160</f>
        <v>0.48271341463414658</v>
      </c>
      <c r="CY140" s="217">
        <f t="shared" ref="CY140:CY146" si="416">IF(CT140&lt;0,"       NM",(CX140/CT140-1)*100)</f>
        <v>16.742098939900131</v>
      </c>
      <c r="CZ140" s="2266"/>
      <c r="DA140" s="2266"/>
      <c r="DB140" s="2269">
        <f>DB130/DB160</f>
        <v>0.52798294116855726</v>
      </c>
      <c r="DC140" s="217">
        <f t="shared" ref="DC140:DC146" si="417">IF(CX140&lt;0,"       NM",(DB140/CX140-1)*100)</f>
        <v>9.3781372470704838</v>
      </c>
      <c r="DD140" s="2266"/>
      <c r="DE140" s="2266"/>
      <c r="DF140" s="2269">
        <f>DF130/DF160</f>
        <v>0.60669312001283626</v>
      </c>
      <c r="DG140" s="217">
        <f t="shared" ref="DG140:DG146" si="418">IF(DB140&lt;0,"       NM",(DF140/DB140-1)*100)</f>
        <v>14.907712485951507</v>
      </c>
      <c r="DH140" s="2266"/>
      <c r="DI140" s="2266"/>
      <c r="DJ140" s="2269">
        <f>DJ130/DJ160</f>
        <v>0.5932003087663692</v>
      </c>
      <c r="DK140" s="217">
        <f t="shared" ref="DK140:DK146" si="419">IF(DF140&lt;0,"       NM",(DJ140/DF140-1)*100)</f>
        <v>-2.2239927899926681</v>
      </c>
      <c r="DL140" s="2266"/>
      <c r="DM140" s="2266"/>
      <c r="DN140" s="2231">
        <f>DN130/DN160</f>
        <v>0.32507854434601718</v>
      </c>
      <c r="DO140" s="217">
        <f>IF(DJ140&lt;0,"       NM",(DN140/DJ140-1)*100)</f>
        <v>-45.199195020303208</v>
      </c>
      <c r="DP140" s="2266"/>
      <c r="DQ140" s="2231"/>
      <c r="DR140" s="2269">
        <f>DR130/DR160</f>
        <v>0.18119507460263626</v>
      </c>
      <c r="DS140" s="217">
        <f>IF(DN140&lt;0,"       NM",(DR140/DN140-1)*100)</f>
        <v>-44.261140037045863</v>
      </c>
      <c r="DT140" s="2266"/>
      <c r="DU140" s="44"/>
      <c r="DV140" s="2270"/>
      <c r="DW140" s="1903"/>
      <c r="DX140" s="2271"/>
      <c r="DY140" s="1903"/>
      <c r="EA140" s="139"/>
      <c r="EB140" s="2272"/>
      <c r="EC140" s="2272"/>
      <c r="ED140" s="2271"/>
      <c r="EE140" s="139"/>
      <c r="EF140" s="2272"/>
      <c r="EG140" s="2272"/>
      <c r="EH140" s="2271"/>
    </row>
    <row r="141" spans="1:138">
      <c r="A141" s="23" t="str">
        <f>$A$11</f>
        <v>2Q</v>
      </c>
      <c r="B141" s="23" t="str">
        <f>$B$11</f>
        <v>Jul</v>
      </c>
      <c r="D141" s="1898">
        <f>D131/D161</f>
        <v>0.11774533585878164</v>
      </c>
      <c r="F141" s="1898">
        <f>F131/F161</f>
        <v>0.14524678628274815</v>
      </c>
      <c r="G141" s="44">
        <f t="shared" si="396"/>
        <v>23.356721710786488</v>
      </c>
      <c r="J141" s="1898">
        <f>J131/J161</f>
        <v>0.14532630777626426</v>
      </c>
      <c r="K141" s="44">
        <f t="shared" si="397"/>
        <v>5.4749227539740986E-2</v>
      </c>
      <c r="N141" s="1898">
        <f>N131/N161</f>
        <v>0.14695421410795692</v>
      </c>
      <c r="O141" s="44">
        <f t="shared" si="398"/>
        <v>1.1201731858480057</v>
      </c>
      <c r="R141" s="1898">
        <f>R131/R161</f>
        <v>0.12500515267018247</v>
      </c>
      <c r="S141" s="44">
        <f t="shared" si="399"/>
        <v>-14.935986402982648</v>
      </c>
      <c r="V141" s="1898">
        <f>V131/V161</f>
        <v>0.10006859360796794</v>
      </c>
      <c r="W141" s="44">
        <f t="shared" si="400"/>
        <v>-19.948424948536271</v>
      </c>
      <c r="Z141" s="1898">
        <f>Z131/Z161</f>
        <v>9.0561370176704722E-2</v>
      </c>
      <c r="AA141" s="44">
        <f t="shared" si="401"/>
        <v>-9.5007065538554762</v>
      </c>
      <c r="AD141" s="1898">
        <f>AD131/AD161</f>
        <v>0.10124584829539696</v>
      </c>
      <c r="AE141" s="44">
        <f t="shared" si="402"/>
        <v>11.798052633086842</v>
      </c>
      <c r="AH141" s="1898">
        <f>AH131/AH161</f>
        <v>9.117180141417483E-2</v>
      </c>
      <c r="AI141" s="2188" t="s">
        <v>886</v>
      </c>
      <c r="AL141" s="1898">
        <f>AL131/AL161</f>
        <v>0.10248847965519885</v>
      </c>
      <c r="AM141" s="44">
        <f t="shared" si="403"/>
        <v>12.412476298032837</v>
      </c>
      <c r="AP141" s="1898">
        <f>AP131/AP161</f>
        <v>0.10720163573902911</v>
      </c>
      <c r="AQ141" s="2247" t="s">
        <v>886</v>
      </c>
      <c r="AT141" s="1898">
        <f>AT131/AT161</f>
        <v>0.17300723465984166</v>
      </c>
      <c r="AU141" s="44">
        <f t="shared" si="404"/>
        <v>61.384883231641396</v>
      </c>
      <c r="AX141" s="1898">
        <f>AX131/AX161</f>
        <v>8.9734183430684983E-2</v>
      </c>
      <c r="AY141" s="44">
        <f t="shared" si="405"/>
        <v>-48.132698839377476</v>
      </c>
      <c r="BB141" s="1898">
        <f>BB131/BB161</f>
        <v>0.15579228936579204</v>
      </c>
      <c r="BC141" s="44">
        <f t="shared" si="406"/>
        <v>73.615319613548962</v>
      </c>
      <c r="BF141" s="1898">
        <f>BF131/BF161</f>
        <v>0.19371024493301001</v>
      </c>
      <c r="BG141" s="44">
        <f t="shared" si="407"/>
        <v>24.338788345415875</v>
      </c>
      <c r="BJ141" s="1898">
        <f>BJ131/BJ161</f>
        <v>0.28593825474290824</v>
      </c>
      <c r="BK141" s="44">
        <f t="shared" si="408"/>
        <v>47.611322695809434</v>
      </c>
      <c r="BL141" s="2265"/>
      <c r="BN141" s="1898">
        <f>BN131/BN161</f>
        <v>0.27448005670343262</v>
      </c>
      <c r="BO141" s="217">
        <f t="shared" si="409"/>
        <v>-4.0072280813834738</v>
      </c>
      <c r="BP141" s="2273"/>
      <c r="BR141" s="1898">
        <f>BR131/BR161</f>
        <v>0.19785760059033641</v>
      </c>
      <c r="BS141" s="217">
        <f t="shared" ref="BS141:BS146" si="420">IF(BJ141&lt;0,"       NM",(BR141/BJ141-1)*100)</f>
        <v>-30.804081892353498</v>
      </c>
      <c r="BT141" s="2273"/>
      <c r="BV141" s="1898">
        <f>BV131/BV161</f>
        <v>0.28105124234794621</v>
      </c>
      <c r="BW141" s="217">
        <f t="shared" si="410"/>
        <v>42.047230689844461</v>
      </c>
      <c r="BX141" s="2274"/>
      <c r="BZ141" s="1898">
        <f>BZ131/BZ161</f>
        <v>0.20272679522015422</v>
      </c>
      <c r="CA141" s="217">
        <f t="shared" si="411"/>
        <v>-27.868386730283511</v>
      </c>
      <c r="CB141" s="2274"/>
      <c r="CD141" s="2269">
        <f>CD131/CD161</f>
        <v>0.2748778802113222</v>
      </c>
      <c r="CE141" s="217">
        <f t="shared" si="412"/>
        <v>35.590305126075926</v>
      </c>
      <c r="CF141" s="2274"/>
      <c r="CH141" s="1898">
        <f>CH131/CH161</f>
        <v>0.18502780191404902</v>
      </c>
      <c r="CI141" s="217">
        <f>IF(CD141&lt;0,"       NM",(CH141/CD141-1)*100)</f>
        <v>-32.687271245033514</v>
      </c>
      <c r="CJ141" s="2274"/>
      <c r="CL141" s="2269">
        <f>CL131/CL161</f>
        <v>0.36136596532651066</v>
      </c>
      <c r="CM141" s="217">
        <f t="shared" si="413"/>
        <v>95.303603884553524</v>
      </c>
      <c r="CN141" s="2267"/>
      <c r="CP141" s="2269">
        <f>CP131/CP161</f>
        <v>0.47877700127064843</v>
      </c>
      <c r="CQ141" s="217">
        <f t="shared" si="414"/>
        <v>32.490894884926846</v>
      </c>
      <c r="CR141" s="2275">
        <f>CP141</f>
        <v>0.47877700127064843</v>
      </c>
      <c r="CT141" s="2269">
        <f>CT131/CT161</f>
        <v>0.49721312029186243</v>
      </c>
      <c r="CU141" s="217">
        <f t="shared" si="415"/>
        <v>3.8506693037229311</v>
      </c>
      <c r="CV141" s="2275"/>
      <c r="CW141" s="2274"/>
      <c r="CX141" s="2269">
        <f>CX131/CX161</f>
        <v>0.60551725538374079</v>
      </c>
      <c r="CY141" s="217">
        <f t="shared" si="416"/>
        <v>21.782235961171772</v>
      </c>
      <c r="CZ141" s="2274"/>
      <c r="DA141" s="2274"/>
      <c r="DB141" s="2269">
        <f>DB131/DB161</f>
        <v>0.63346920381244542</v>
      </c>
      <c r="DC141" s="217">
        <f t="shared" si="417"/>
        <v>4.6162100551520036</v>
      </c>
      <c r="DD141" s="2274"/>
      <c r="DE141" s="2274"/>
      <c r="DF141" s="2269">
        <f>DF131/DF161</f>
        <v>0.68194050108954496</v>
      </c>
      <c r="DG141" s="217">
        <f t="shared" si="418"/>
        <v>7.6517211863468493</v>
      </c>
      <c r="DH141" s="2274"/>
      <c r="DI141" s="2274"/>
      <c r="DJ141" s="2269">
        <f>DJ131/DJ161</f>
        <v>0.70334311616366496</v>
      </c>
      <c r="DK141" s="217">
        <f t="shared" si="419"/>
        <v>3.1384871612589071</v>
      </c>
      <c r="DL141" s="2274"/>
      <c r="DM141" s="2274"/>
      <c r="DN141" s="2269">
        <f t="shared" ref="DN141:DN142" si="421">DN131/DN161</f>
        <v>0.48063931112772412</v>
      </c>
      <c r="DO141" s="217">
        <f t="shared" ref="DO141:DO146" si="422">IF(DJ141&lt;0,"       NM",(DN141/DJ141-1)*100)</f>
        <v>-31.663607692737926</v>
      </c>
      <c r="DP141" s="2274"/>
      <c r="DQ141" s="2269"/>
      <c r="DR141" s="2269">
        <f>DR131/DR161</f>
        <v>0.50160357222423657</v>
      </c>
      <c r="DS141" s="217">
        <f t="shared" ref="DS141:DS146" si="423">IF(DN141&lt;0,"       NM",(DR141/DN141-1)*100)</f>
        <v>4.361744994874428</v>
      </c>
      <c r="DT141" s="2274"/>
      <c r="DU141" s="44"/>
      <c r="DV141" s="2272"/>
      <c r="DW141" s="1903"/>
      <c r="DX141" s="2271"/>
      <c r="DY141" s="1903"/>
      <c r="EA141" s="139"/>
      <c r="EB141" s="2272"/>
      <c r="EC141" s="2272"/>
      <c r="ED141" s="2271"/>
      <c r="EE141" s="139"/>
      <c r="EF141" s="2272"/>
      <c r="EG141" s="2272"/>
      <c r="EH141" s="2271"/>
    </row>
    <row r="142" spans="1:138">
      <c r="A142" s="23" t="str">
        <f>$A$12</f>
        <v>3Q</v>
      </c>
      <c r="B142" s="23" t="str">
        <f>$B$12</f>
        <v>Oct</v>
      </c>
      <c r="D142" s="1898">
        <f>D132/D162</f>
        <v>0.15641662197304382</v>
      </c>
      <c r="F142" s="1898">
        <f>F132/F162</f>
        <v>0.15659643367237336</v>
      </c>
      <c r="G142" s="44">
        <f t="shared" si="396"/>
        <v>0.11495689975999923</v>
      </c>
      <c r="J142" s="1898">
        <f>J132/J162</f>
        <v>0.133637755710212</v>
      </c>
      <c r="K142" s="44">
        <f t="shared" si="397"/>
        <v>-14.661047779794822</v>
      </c>
      <c r="N142" s="1898">
        <f>N132/N162</f>
        <v>0.14671372803627006</v>
      </c>
      <c r="O142" s="44">
        <f t="shared" si="398"/>
        <v>9.7846392709652896</v>
      </c>
      <c r="R142" s="1898">
        <f>R132/R162</f>
        <v>0.14584678922868749</v>
      </c>
      <c r="S142" s="44">
        <f t="shared" si="399"/>
        <v>-0.59090503607696077</v>
      </c>
      <c r="V142" s="1898">
        <f>V132/V162</f>
        <v>0.16809657425906235</v>
      </c>
      <c r="W142" s="44">
        <f t="shared" si="400"/>
        <v>15.255587831616403</v>
      </c>
      <c r="Z142" s="1898">
        <f>Z132/Z162</f>
        <v>8.1379323154649325E-2</v>
      </c>
      <c r="AA142" s="44">
        <f t="shared" si="401"/>
        <v>-51.587756316061849</v>
      </c>
      <c r="AD142" s="1898">
        <f>AD132/AD162</f>
        <v>0.11168030775873919</v>
      </c>
      <c r="AE142" s="44">
        <f t="shared" si="402"/>
        <v>37.234254881313447</v>
      </c>
      <c r="AH142" s="1898">
        <f>AH132/AH162</f>
        <v>7.8796116334857003E-2</v>
      </c>
      <c r="AI142" s="2188" t="s">
        <v>886</v>
      </c>
      <c r="AL142" s="1898">
        <f>AL132/AL162</f>
        <v>9.1808337517095537E-2</v>
      </c>
      <c r="AM142" s="44">
        <f t="shared" si="403"/>
        <v>16.513784926836973</v>
      </c>
      <c r="AP142" s="1898">
        <f>AP132/AP162</f>
        <v>8.0389308810332058E-2</v>
      </c>
      <c r="AQ142" s="2247" t="s">
        <v>886</v>
      </c>
      <c r="AT142" s="2269">
        <f>AT132/AT162</f>
        <v>0.10573961055114237</v>
      </c>
      <c r="AU142" s="217">
        <f t="shared" si="404"/>
        <v>31.534419335064801</v>
      </c>
      <c r="AV142" s="161"/>
      <c r="AW142" s="161"/>
      <c r="AX142" s="2276">
        <f>AX132/AX162</f>
        <v>-2.4617014481833763E-2</v>
      </c>
      <c r="AY142" s="44">
        <f t="shared" si="405"/>
        <v>-123.28078792188045</v>
      </c>
      <c r="BB142" s="1898">
        <f>BB132/BB162</f>
        <v>1.9549744074366129E-2</v>
      </c>
      <c r="BC142" s="44" t="str">
        <f t="shared" si="406"/>
        <v xml:space="preserve">       NM</v>
      </c>
      <c r="BF142" s="1898">
        <f>BF132/BF162</f>
        <v>8.4515046340440214E-2</v>
      </c>
      <c r="BG142" s="44">
        <f t="shared" si="407"/>
        <v>332.30768658121417</v>
      </c>
      <c r="BJ142" s="1898">
        <f>BJ132/BJ162</f>
        <v>0.10351574709625791</v>
      </c>
      <c r="BK142" s="44">
        <f>IF(BF142&lt;0,"       NM",(BJ142/BF142-1)*100)</f>
        <v>22.482033174637106</v>
      </c>
      <c r="BL142" s="2265"/>
      <c r="BN142" s="1898">
        <f>BN132/BN162</f>
        <v>-3.0147824276494293E-2</v>
      </c>
      <c r="BO142" s="217">
        <f t="shared" si="409"/>
        <v>-129.12390155331656</v>
      </c>
      <c r="BP142" s="2277"/>
      <c r="BR142" s="1898">
        <f>BR132/BR162</f>
        <v>-1.7040790612849164E-3</v>
      </c>
      <c r="BS142" s="217">
        <f t="shared" si="420"/>
        <v>-101.64620273638205</v>
      </c>
      <c r="BT142" s="2277"/>
      <c r="BV142" s="1898">
        <f>BV132/BV162</f>
        <v>5.8492744391584424E-2</v>
      </c>
      <c r="BW142" s="217" t="str">
        <f t="shared" si="410"/>
        <v xml:space="preserve">       NM</v>
      </c>
      <c r="BX142" s="2266"/>
      <c r="BZ142" s="1898">
        <f>BZ132/BZ162</f>
        <v>-7.3018699910954287E-3</v>
      </c>
      <c r="CA142" s="217">
        <f t="shared" si="411"/>
        <v>-112.48337732661757</v>
      </c>
      <c r="CB142" s="2266"/>
      <c r="CD142" s="2269">
        <f>CD132/CD162</f>
        <v>1.2022050716648131E-2</v>
      </c>
      <c r="CE142" s="2263" t="s">
        <v>520</v>
      </c>
      <c r="CF142" s="2266"/>
      <c r="CH142" s="2278">
        <f>CH132/CH189</f>
        <v>1.8940993788820026E-2</v>
      </c>
      <c r="CI142" s="2263" t="s">
        <v>520</v>
      </c>
      <c r="CJ142" s="2266"/>
      <c r="CL142" s="2269">
        <f>CL132/CL162</f>
        <v>0.18473045144149874</v>
      </c>
      <c r="CM142" s="217">
        <f t="shared" si="413"/>
        <v>875.29439849421419</v>
      </c>
      <c r="CN142" s="2267"/>
      <c r="CP142" s="2269">
        <f>CP132/CP162</f>
        <v>0.25196149749292074</v>
      </c>
      <c r="CQ142" s="217">
        <f t="shared" si="414"/>
        <v>36.394132925460319</v>
      </c>
      <c r="CR142" s="2275">
        <f>CP142</f>
        <v>0.25196149749292074</v>
      </c>
      <c r="CT142" s="2269">
        <f>CT132/CT162</f>
        <v>0.25694156651471073</v>
      </c>
      <c r="CU142" s="217">
        <f t="shared" si="415"/>
        <v>1.9765198537645245</v>
      </c>
      <c r="CV142" s="2275"/>
      <c r="CW142" s="2266"/>
      <c r="CX142" s="2269">
        <f>CX132/CX162</f>
        <v>0.31018668393223292</v>
      </c>
      <c r="CY142" s="217">
        <f t="shared" si="416"/>
        <v>20.722656182013168</v>
      </c>
      <c r="CZ142" s="2266"/>
      <c r="DA142" s="2266"/>
      <c r="DB142" s="2269">
        <f>DB132/DB162</f>
        <v>0.44210992372557362</v>
      </c>
      <c r="DC142" s="217">
        <f t="shared" si="417"/>
        <v>42.530271809528173</v>
      </c>
      <c r="DE142" s="2266"/>
      <c r="DF142" s="2269">
        <f>DF132/DF162</f>
        <v>0.55430297746373192</v>
      </c>
      <c r="DG142" s="217">
        <f t="shared" si="418"/>
        <v>25.376732734865893</v>
      </c>
      <c r="DI142" s="2266"/>
      <c r="DJ142" s="2269">
        <f>DJ132/DJ162</f>
        <v>0.41906533684736297</v>
      </c>
      <c r="DK142" s="217">
        <f t="shared" si="419"/>
        <v>-24.397783543426399</v>
      </c>
      <c r="DM142" s="2266"/>
      <c r="DN142" s="2269">
        <f t="shared" si="421"/>
        <v>0.30123985327760683</v>
      </c>
      <c r="DO142" s="217">
        <f t="shared" si="422"/>
        <v>-28.116256156178331</v>
      </c>
      <c r="DQ142" s="2269"/>
      <c r="DR142" s="2269">
        <f>DR132/DR162</f>
        <v>0.35186425173686992</v>
      </c>
      <c r="DS142" s="217">
        <f t="shared" si="423"/>
        <v>16.805345610300204</v>
      </c>
      <c r="DU142" s="44"/>
      <c r="DV142" s="2272"/>
      <c r="DW142" s="1903"/>
      <c r="DX142" s="2271"/>
      <c r="DY142" s="1903"/>
      <c r="EA142" s="139"/>
      <c r="EB142" s="2272"/>
      <c r="EC142" s="2272"/>
      <c r="ED142" s="2271"/>
      <c r="EE142" s="139"/>
      <c r="EF142" s="2272"/>
      <c r="EG142" s="2272"/>
      <c r="EH142" s="2271"/>
    </row>
    <row r="143" spans="1:138">
      <c r="A143" s="23" t="str">
        <f>$A$13</f>
        <v>4Q</v>
      </c>
      <c r="B143" s="23" t="str">
        <f>$B$13</f>
        <v>Jan</v>
      </c>
      <c r="C143" s="139"/>
      <c r="D143" s="2279">
        <f>D133/D163</f>
        <v>0.28227907619969644</v>
      </c>
      <c r="E143" s="139"/>
      <c r="F143" s="2279">
        <f>F133/F163</f>
        <v>0.31717969973289073</v>
      </c>
      <c r="G143" s="44">
        <f t="shared" si="396"/>
        <v>12.363871953620853</v>
      </c>
      <c r="J143" s="2279">
        <f>J133/J163</f>
        <v>0.36716120584357009</v>
      </c>
      <c r="K143" s="44">
        <f t="shared" si="397"/>
        <v>15.758103735128914</v>
      </c>
      <c r="N143" s="2279">
        <f>N133/N163</f>
        <v>0.44634888391733929</v>
      </c>
      <c r="O143" s="44">
        <f t="shared" si="398"/>
        <v>21.567550387528488</v>
      </c>
      <c r="R143" s="2279">
        <f>R133/R163</f>
        <v>0.36240981380826059</v>
      </c>
      <c r="S143" s="44">
        <f t="shared" si="399"/>
        <v>-18.805708523878295</v>
      </c>
      <c r="V143" s="2279">
        <f>V133/V163</f>
        <v>0.47767622502849016</v>
      </c>
      <c r="W143" s="44">
        <f t="shared" si="400"/>
        <v>31.805543566547389</v>
      </c>
      <c r="Z143" s="2279">
        <f>Z133/Z163</f>
        <v>0.3752859132166006</v>
      </c>
      <c r="AA143" s="44">
        <f t="shared" si="401"/>
        <v>-21.435086455429651</v>
      </c>
      <c r="AD143" s="2279">
        <f>AD133/AD163</f>
        <v>0.62236400120544799</v>
      </c>
      <c r="AE143" s="44">
        <f t="shared" si="402"/>
        <v>65.837293457440111</v>
      </c>
      <c r="AH143" s="2279">
        <f>AH133/AH163</f>
        <v>0.49749612443608421</v>
      </c>
      <c r="AI143" s="2188" t="s">
        <v>886</v>
      </c>
      <c r="AL143" s="2279">
        <f>AL133/AL163</f>
        <v>0.54255488970286869</v>
      </c>
      <c r="AM143" s="44">
        <f t="shared" si="403"/>
        <v>9.057108800165814</v>
      </c>
      <c r="AP143" s="2279">
        <f>AP133/AP163</f>
        <v>0.57008012496451987</v>
      </c>
      <c r="AQ143" s="2247" t="s">
        <v>886</v>
      </c>
      <c r="AT143" s="2279">
        <f>AT133/AT163</f>
        <v>0.47862378577350462</v>
      </c>
      <c r="AU143" s="44">
        <f t="shared" si="404"/>
        <v>-16.042716661400402</v>
      </c>
      <c r="AX143" s="2279">
        <f>AX133/AX163</f>
        <v>0.6734973144948857</v>
      </c>
      <c r="AY143" s="44">
        <f t="shared" si="405"/>
        <v>40.715387432416406</v>
      </c>
      <c r="BB143" s="2279">
        <f>BB133/BB163</f>
        <v>0.67306478685386928</v>
      </c>
      <c r="BC143" s="44">
        <f t="shared" si="406"/>
        <v>-6.4221138185360793E-2</v>
      </c>
      <c r="BF143" s="2279">
        <f>BF133/BF163</f>
        <v>0.73814325021659921</v>
      </c>
      <c r="BG143" s="44">
        <f t="shared" si="407"/>
        <v>9.6689746119283058</v>
      </c>
      <c r="BJ143" s="2280">
        <f>BJ133/BJ163</f>
        <v>0.87155064372792523</v>
      </c>
      <c r="BK143" s="44">
        <f t="shared" si="408"/>
        <v>18.073374439470836</v>
      </c>
      <c r="BL143" s="2281"/>
      <c r="BN143" s="2279">
        <f>BN133/BN163</f>
        <v>1.0483355280160478</v>
      </c>
      <c r="BO143" s="217">
        <f t="shared" si="409"/>
        <v>20.283948564589682</v>
      </c>
      <c r="BP143" s="2282">
        <v>0.95798206780792827</v>
      </c>
      <c r="BR143" s="2279">
        <f>BR133/BR163</f>
        <v>1.2778492929839891</v>
      </c>
      <c r="BS143" s="217">
        <f t="shared" si="420"/>
        <v>46.617904786138787</v>
      </c>
      <c r="BT143" s="2282">
        <v>0.95798206780792827</v>
      </c>
      <c r="BV143" s="2283">
        <f>BV133/BV163</f>
        <v>1.0849607736714855</v>
      </c>
      <c r="BW143" s="217">
        <f t="shared" si="410"/>
        <v>-15.094778419611366</v>
      </c>
      <c r="BX143" s="2282">
        <v>1.0793221641791042</v>
      </c>
      <c r="BZ143" s="2279">
        <f>BZ133/BZ163</f>
        <v>0.93762613557348207</v>
      </c>
      <c r="CA143" s="217">
        <f t="shared" si="411"/>
        <v>-13.579720269464302</v>
      </c>
      <c r="CB143" s="2282"/>
      <c r="CD143" s="2283">
        <f>CD133/CD163</f>
        <v>0.67684093698506431</v>
      </c>
      <c r="CE143" s="217">
        <f t="shared" si="412"/>
        <v>-27.813345713631708</v>
      </c>
      <c r="CF143" s="2282"/>
      <c r="CH143" s="2279">
        <f>CH133/CH163</f>
        <v>1.0090473865968905</v>
      </c>
      <c r="CI143" s="217">
        <f>IF(CD143&lt;0,"       NM",(CH143/CD143-1)*100)</f>
        <v>49.08190853402192</v>
      </c>
      <c r="CJ143" s="2282"/>
      <c r="CL143" s="2283">
        <f>CL133/CL163</f>
        <v>1.2607735636500192</v>
      </c>
      <c r="CM143" s="217">
        <f t="shared" si="413"/>
        <v>24.946913335963284</v>
      </c>
      <c r="CN143" s="2284"/>
      <c r="CP143" s="2283">
        <f>CP133/CP163</f>
        <v>1.5006591412797599</v>
      </c>
      <c r="CQ143" s="217">
        <f t="shared" si="414"/>
        <v>19.026856570124817</v>
      </c>
      <c r="CR143" s="2285">
        <f>CP143</f>
        <v>1.5006591412797599</v>
      </c>
      <c r="CT143" s="2283">
        <f>CT133/CT163</f>
        <v>1.7575838712625631</v>
      </c>
      <c r="CU143" s="217">
        <f t="shared" si="415"/>
        <v>17.120791985027207</v>
      </c>
      <c r="CV143" s="2285"/>
      <c r="CW143" s="2282"/>
      <c r="CX143" s="2283">
        <f>CX133/CX163</f>
        <v>1.6484522823532588</v>
      </c>
      <c r="CY143" s="217">
        <f t="shared" si="416"/>
        <v>-6.2091824289960851</v>
      </c>
      <c r="CZ143" s="2282"/>
      <c r="DA143" s="2282"/>
      <c r="DB143" s="2283">
        <f>DB133/DB163</f>
        <v>1.8887540128410902</v>
      </c>
      <c r="DC143" s="217">
        <f t="shared" si="417"/>
        <v>14.577415012874194</v>
      </c>
      <c r="DD143" s="2282"/>
      <c r="DE143" s="2282"/>
      <c r="DF143" s="2283">
        <f>DF133/DF163</f>
        <v>2.1547189115572496</v>
      </c>
      <c r="DG143" s="217">
        <f t="shared" si="418"/>
        <v>14.0815001269589</v>
      </c>
      <c r="DH143" s="2282"/>
      <c r="DI143" s="2282"/>
      <c r="DJ143" s="2283">
        <f>DJ133/DJ163</f>
        <v>2.0328462500559903</v>
      </c>
      <c r="DK143" s="217">
        <f t="shared" si="419"/>
        <v>-5.6560816748566056</v>
      </c>
      <c r="DL143" s="2282"/>
      <c r="DM143" s="2282"/>
      <c r="DN143" s="2283">
        <f>DN133/DN163</f>
        <v>2.1109314586994752</v>
      </c>
      <c r="DO143" s="217">
        <f t="shared" si="422"/>
        <v>3.8411763133259225</v>
      </c>
      <c r="DP143" s="2282"/>
      <c r="DQ143" s="2283"/>
      <c r="DR143" s="2283">
        <f>DR133/DR163</f>
        <v>2.2038298049123282</v>
      </c>
      <c r="DS143" s="217">
        <f t="shared" si="423"/>
        <v>4.4008224819429564</v>
      </c>
      <c r="DT143" s="2282"/>
      <c r="DU143" s="44"/>
      <c r="DV143" s="2272"/>
      <c r="DW143" s="1903"/>
      <c r="DX143" s="2271"/>
      <c r="DY143" s="1903"/>
      <c r="EA143" s="139"/>
      <c r="EB143" s="2272"/>
      <c r="EC143" s="2272"/>
      <c r="ED143" s="2271"/>
      <c r="EE143" s="139"/>
      <c r="EF143" s="2272"/>
      <c r="EG143" s="2272"/>
      <c r="EH143" s="2271"/>
    </row>
    <row r="144" spans="1:138">
      <c r="B144" s="23" t="str">
        <f>$B$14</f>
        <v>Year</v>
      </c>
      <c r="D144" s="1857">
        <f>D134/D164</f>
        <v>0.64016518677620138</v>
      </c>
      <c r="F144" s="1857">
        <f>F134/F164</f>
        <v>0.73368246216850208</v>
      </c>
      <c r="G144" s="44">
        <f t="shared" si="396"/>
        <v>14.608303813464607</v>
      </c>
      <c r="J144" s="1857">
        <f>J134/J164</f>
        <v>0.73947314862181346</v>
      </c>
      <c r="K144" s="44">
        <f t="shared" si="397"/>
        <v>0.7892633055717635</v>
      </c>
      <c r="N144" s="1857">
        <f>N134/N164</f>
        <v>0.81813466469455276</v>
      </c>
      <c r="O144" s="44">
        <f t="shared" si="398"/>
        <v>10.637508098751658</v>
      </c>
      <c r="R144" s="1857">
        <f>R134/R164</f>
        <v>0.7128224046574213</v>
      </c>
      <c r="S144" s="44">
        <f t="shared" si="399"/>
        <v>-12.872240302450621</v>
      </c>
      <c r="V144" s="1857">
        <f>V134/V164</f>
        <v>0.83350390359573356</v>
      </c>
      <c r="W144" s="44">
        <f t="shared" si="400"/>
        <v>16.930093407531309</v>
      </c>
      <c r="Z144" s="1857">
        <f>Z134/Z164</f>
        <v>0.61966323539944212</v>
      </c>
      <c r="AA144" s="44">
        <f t="shared" si="401"/>
        <v>-25.655628878735104</v>
      </c>
      <c r="AD144" s="1857">
        <f>AD134/AD164</f>
        <v>0.88230935320666704</v>
      </c>
      <c r="AE144" s="44">
        <f t="shared" si="402"/>
        <v>42.385299434122501</v>
      </c>
      <c r="AH144" s="1857">
        <f>AH134/AH164</f>
        <v>0.74832459719974798</v>
      </c>
      <c r="AI144" s="2188" t="s">
        <v>886</v>
      </c>
      <c r="AL144" s="1857">
        <f>AL134/AL164</f>
        <v>0.81812062060985602</v>
      </c>
      <c r="AM144" s="44">
        <f t="shared" si="403"/>
        <v>9.3269717006880128</v>
      </c>
      <c r="AP144" s="1857">
        <f>AP134/AP164</f>
        <v>0.81336676173549327</v>
      </c>
      <c r="AQ144" s="2247" t="s">
        <v>886</v>
      </c>
      <c r="AT144" s="1857">
        <f>AT134/AT164</f>
        <v>0.87723913829275812</v>
      </c>
      <c r="AU144" s="44">
        <f t="shared" si="404"/>
        <v>7.852838296585829</v>
      </c>
      <c r="AX144" s="1857">
        <f>AX134/AX164</f>
        <v>0.78303364677163667</v>
      </c>
      <c r="AY144" s="44">
        <f t="shared" si="405"/>
        <v>-10.738860979739206</v>
      </c>
      <c r="BB144" s="1857">
        <f>BB134/BB164</f>
        <v>0.99036133056951647</v>
      </c>
      <c r="BC144" s="44">
        <f t="shared" si="406"/>
        <v>26.47749361124767</v>
      </c>
      <c r="BF144" s="1857">
        <f>BF134/BF164</f>
        <v>1.1103929576152067</v>
      </c>
      <c r="BG144" s="44">
        <f t="shared" si="407"/>
        <v>12.119983216293884</v>
      </c>
      <c r="BJ144" s="1857">
        <f>BJ134/BJ164</f>
        <v>1.3314752173431588</v>
      </c>
      <c r="BK144" s="44">
        <f t="shared" si="408"/>
        <v>19.910272143905772</v>
      </c>
      <c r="BN144" s="2231">
        <f>BN134/BN164</f>
        <v>1.3380112718282156</v>
      </c>
      <c r="BO144" s="217">
        <f t="shared" si="409"/>
        <v>0.49088818176419302</v>
      </c>
      <c r="BP144" s="2266">
        <v>1.2502054755485892</v>
      </c>
      <c r="BR144" s="2231">
        <f>BR134/BR164</f>
        <v>1.6217123834368361</v>
      </c>
      <c r="BS144" s="217">
        <f t="shared" si="420"/>
        <v>21.798165096367317</v>
      </c>
      <c r="BT144" s="2266">
        <v>1.2502054755485892</v>
      </c>
      <c r="BV144" s="2231">
        <f>BV134/BV164</f>
        <v>1.6771445394895383</v>
      </c>
      <c r="BW144" s="217">
        <f t="shared" si="410"/>
        <v>3.4181249781929157</v>
      </c>
      <c r="BX144" s="2274">
        <f>+BV143-BX143</f>
        <v>5.6386094923812635E-3</v>
      </c>
      <c r="BZ144" s="2231">
        <f>BZ134/BZ164</f>
        <v>1.2149514767377636</v>
      </c>
      <c r="CA144" s="217">
        <f t="shared" si="411"/>
        <v>-27.558332145448205</v>
      </c>
      <c r="CB144" s="2266"/>
      <c r="CD144" s="2231">
        <f>CD134/CD164</f>
        <v>1.0473849766232521</v>
      </c>
      <c r="CE144" s="217">
        <f t="shared" si="412"/>
        <v>-13.792032301112156</v>
      </c>
      <c r="CF144" s="2266"/>
      <c r="CH144" s="2231">
        <f>CH134/CH164</f>
        <v>1.229525806007375</v>
      </c>
      <c r="CI144" s="217">
        <f>IF(CD144&lt;0,"       NM",(CH144/CD144-1)*100)</f>
        <v>17.390055562123983</v>
      </c>
      <c r="CJ144" s="2266"/>
      <c r="CL144" s="2231">
        <f>CL134/CL164</f>
        <v>2.0562735449449359</v>
      </c>
      <c r="CM144" s="217">
        <f t="shared" si="413"/>
        <v>67.241186390568657</v>
      </c>
      <c r="CN144" s="2267"/>
      <c r="CP144" s="2231">
        <f>CP134/CP164</f>
        <v>2.6005131067809035</v>
      </c>
      <c r="CQ144" s="217">
        <f t="shared" si="414"/>
        <v>26.467274413654994</v>
      </c>
      <c r="CR144" s="2268">
        <f>CR140+CR141+CR142+CR143</f>
        <v>2.6266550744669628</v>
      </c>
      <c r="CT144" s="2231">
        <f>CT134/CT164</f>
        <v>2.9201793313991691</v>
      </c>
      <c r="CU144" s="217">
        <f t="shared" si="415"/>
        <v>12.292428897386753</v>
      </c>
      <c r="CV144" s="2268"/>
      <c r="CW144" s="2266"/>
      <c r="CX144" s="2231">
        <f>CX134/CX164</f>
        <v>3.0501595987232113</v>
      </c>
      <c r="CY144" s="217">
        <f>IF(CT144&lt;0,"       NM",(CX144/CT144-1)*100)</f>
        <v>4.4511056539039195</v>
      </c>
      <c r="CZ144" s="2266"/>
      <c r="DA144" s="2266"/>
      <c r="DB144" s="2231">
        <f>DB134/DB164</f>
        <v>3.4973150758491074</v>
      </c>
      <c r="DC144" s="217">
        <f t="shared" si="417"/>
        <v>14.660068191614428</v>
      </c>
      <c r="DD144" s="2266"/>
      <c r="DE144" s="2266"/>
      <c r="DF144" s="2231">
        <f>DF134/DF164</f>
        <v>3.9894200663267481</v>
      </c>
      <c r="DG144" s="217">
        <f>IF(DB144&lt;0,"       NM",(DF144/DB144-1)*100)</f>
        <v>14.070936698723479</v>
      </c>
      <c r="DH144" s="2266"/>
      <c r="DI144" s="2266"/>
      <c r="DJ144" s="2231">
        <f>DJ134/DJ164</f>
        <v>3.7447786576881459</v>
      </c>
      <c r="DK144" s="217">
        <f>IF(DF144&lt;0,"       NM",(DJ144/DF144-1)*100)</f>
        <v>-6.1322549285679813</v>
      </c>
      <c r="DL144" s="2266"/>
      <c r="DM144" s="2266"/>
      <c r="DN144" s="2231">
        <f>DN134/DN164</f>
        <v>3.2026227795193352</v>
      </c>
      <c r="DO144" s="217">
        <f t="shared" si="422"/>
        <v>-14.477648153002265</v>
      </c>
      <c r="DP144" s="2266"/>
      <c r="DQ144" s="2231"/>
      <c r="DR144" s="2231">
        <f>DR134/DR164</f>
        <v>3.2329484136401891</v>
      </c>
      <c r="DS144" s="217">
        <f t="shared" si="423"/>
        <v>0.94689996944958832</v>
      </c>
      <c r="DT144" s="2266"/>
      <c r="DV144" s="2269"/>
      <c r="DW144" s="2286"/>
      <c r="DX144" s="2271"/>
      <c r="DY144" s="2286"/>
      <c r="EA144" s="139"/>
      <c r="EB144" s="2272"/>
      <c r="EC144" s="2272"/>
      <c r="ED144" s="2271"/>
      <c r="EE144" s="139"/>
      <c r="EF144" s="2272"/>
      <c r="EG144" s="2272"/>
      <c r="EH144" s="2271"/>
    </row>
    <row r="145" spans="1:138" hidden="1" outlineLevel="1">
      <c r="A145" s="23" t="str">
        <f>$A$15</f>
        <v>6 Mos</v>
      </c>
      <c r="D145" s="1898">
        <f>SUM(D140:D141)</f>
        <v>0.20125283950388442</v>
      </c>
      <c r="F145" s="1898">
        <f>SUM(F140:F141)</f>
        <v>0.25999152688027161</v>
      </c>
      <c r="G145" s="44">
        <f t="shared" si="396"/>
        <v>29.186513602086816</v>
      </c>
      <c r="J145" s="1898">
        <f>SUM(J140:J141)</f>
        <v>0.23865031971792117</v>
      </c>
      <c r="K145" s="44">
        <f t="shared" si="397"/>
        <v>-8.2084241045971673</v>
      </c>
      <c r="N145" s="1898">
        <f>SUM(N140:N141)</f>
        <v>0.22464482017272674</v>
      </c>
      <c r="O145" s="44">
        <f t="shared" si="398"/>
        <v>-5.8686280251996177</v>
      </c>
      <c r="R145" s="1898">
        <f>SUM(R140:R141)</f>
        <v>0.20599130673890098</v>
      </c>
      <c r="S145" s="44">
        <f t="shared" si="399"/>
        <v>-8.303558221143625</v>
      </c>
      <c r="V145" s="1898">
        <f>SUM(V140:V141)</f>
        <v>0.18796760531116471</v>
      </c>
      <c r="W145" s="44">
        <f t="shared" si="400"/>
        <v>-8.7497388666900164</v>
      </c>
      <c r="Z145" s="1898">
        <f>SUM(Z140:Z141)</f>
        <v>0.16358509157251899</v>
      </c>
      <c r="AA145" s="44">
        <f t="shared" si="401"/>
        <v>-12.971657375898626</v>
      </c>
      <c r="AD145" s="1898">
        <f>SUM(AD140:AD141)</f>
        <v>0.17087964337050909</v>
      </c>
      <c r="AE145" s="44">
        <f t="shared" si="402"/>
        <v>4.4591788456201487</v>
      </c>
      <c r="AH145" s="1898">
        <f>SUM(AH140:AH141)</f>
        <v>0.16796758496630138</v>
      </c>
      <c r="AI145" s="2188" t="s">
        <v>886</v>
      </c>
      <c r="AL145" s="1898">
        <f>SUM(AL140:AL141)</f>
        <v>0.18499632555273071</v>
      </c>
      <c r="AM145" s="44">
        <f t="shared" si="403"/>
        <v>10.138111225356816</v>
      </c>
      <c r="AP145" s="1898">
        <f>SUM(AP140:AP141)</f>
        <v>0.17352443383729274</v>
      </c>
      <c r="AQ145" s="2247" t="s">
        <v>886</v>
      </c>
      <c r="AT145" s="1898">
        <f>SUM(AT140:AT141)</f>
        <v>0.29556490181808204</v>
      </c>
      <c r="AU145" s="44">
        <f t="shared" si="404"/>
        <v>70.330422800988359</v>
      </c>
      <c r="AX145" s="1898">
        <f>SUM(AX140:AX141)</f>
        <v>0.13343007549352695</v>
      </c>
      <c r="AY145" s="44">
        <f t="shared" si="405"/>
        <v>-54.855913312856018</v>
      </c>
      <c r="BB145" s="1898">
        <f>SUM(BB140:BB141)</f>
        <v>0.29964414482156754</v>
      </c>
      <c r="BC145" s="44">
        <f t="shared" si="406"/>
        <v>124.57016809235344</v>
      </c>
      <c r="BF145" s="1898">
        <f>SUM(BF140:BF141)</f>
        <v>0.28828514740572503</v>
      </c>
      <c r="BG145" s="44">
        <f t="shared" si="407"/>
        <v>-3.7908290924912214</v>
      </c>
      <c r="BJ145" s="1898">
        <f>SUM(BJ140:BJ141)</f>
        <v>0.41743781143147873</v>
      </c>
      <c r="BK145" s="44">
        <f t="shared" si="408"/>
        <v>44.80031843055292</v>
      </c>
      <c r="BL145" s="1881"/>
      <c r="BN145" s="2269">
        <f>SUM(BN140:BN141)</f>
        <v>0.3299525253900687</v>
      </c>
      <c r="BO145" s="217">
        <f t="shared" si="409"/>
        <v>-20.957681275063532</v>
      </c>
      <c r="BP145" s="161"/>
      <c r="BR145" s="2269">
        <f>SUM(BR140:BR141)</f>
        <v>0.35705124252747478</v>
      </c>
      <c r="BS145" s="217">
        <f t="shared" si="420"/>
        <v>-14.466003617862544</v>
      </c>
      <c r="BT145" s="161"/>
      <c r="BV145" s="2269">
        <f>SUM(BV140:BV141)</f>
        <v>0.52750554600789878</v>
      </c>
      <c r="BW145" s="217">
        <f t="shared" si="410"/>
        <v>47.739451142592706</v>
      </c>
      <c r="BX145" s="161"/>
      <c r="BZ145" s="2269">
        <f>SUM(BZ140:BZ141)</f>
        <v>0.33230007103977355</v>
      </c>
      <c r="CA145" s="217">
        <f t="shared" si="411"/>
        <v>-37.005388179407362</v>
      </c>
      <c r="CB145" s="161"/>
      <c r="CD145" s="2269">
        <f>SUM(CD140:CD141)</f>
        <v>0.38064663600463144</v>
      </c>
      <c r="CE145" s="217">
        <f t="shared" si="412"/>
        <v>14.549068501123251</v>
      </c>
      <c r="CF145" s="161"/>
      <c r="CH145" s="2269">
        <f>SUM(CH140:CH141)</f>
        <v>0.1930733344936614</v>
      </c>
      <c r="CI145" s="217">
        <f>IF(CD145&lt;0,"       NM",(CH145/CD145-1)*100)</f>
        <v>-49.277540839396195</v>
      </c>
      <c r="CJ145" s="161"/>
      <c r="CL145" s="2269">
        <f>SUM(CL140:CL141)</f>
        <v>0.6103010745791948</v>
      </c>
      <c r="CM145" s="217">
        <f t="shared" si="413"/>
        <v>216.09806511071108</v>
      </c>
      <c r="CN145" s="161"/>
      <c r="CP145" s="2269">
        <f>SUM(CP140:CP141)</f>
        <v>0.87403443569428219</v>
      </c>
      <c r="CQ145" s="217">
        <f t="shared" si="414"/>
        <v>43.213648492579296</v>
      </c>
      <c r="CR145" s="161"/>
      <c r="CT145" s="2269">
        <f>SUM(CT140:CT141)</f>
        <v>0.91070013056281174</v>
      </c>
      <c r="CU145" s="217">
        <f t="shared" si="415"/>
        <v>4.1949943127131517</v>
      </c>
      <c r="CV145" s="161"/>
      <c r="CW145" s="161"/>
      <c r="CX145" s="2269">
        <f>SUM(CX140:CX141)</f>
        <v>1.0882306700178874</v>
      </c>
      <c r="CY145" s="217">
        <f t="shared" si="416"/>
        <v>19.493852421582723</v>
      </c>
      <c r="CZ145" s="161"/>
      <c r="DA145" s="161"/>
      <c r="DB145" s="2269">
        <f>SUM(DB140:DB141)</f>
        <v>1.1614521449810027</v>
      </c>
      <c r="DC145" s="217">
        <f t="shared" si="417"/>
        <v>6.7284884519852595</v>
      </c>
      <c r="DD145" s="161"/>
      <c r="DE145" s="161"/>
      <c r="DF145" s="2269">
        <f>SUM(DF140:DF141)</f>
        <v>1.2886336211023812</v>
      </c>
      <c r="DG145" s="217">
        <f t="shared" si="418"/>
        <v>10.950212341590593</v>
      </c>
      <c r="DH145" s="161"/>
      <c r="DI145" s="161"/>
      <c r="DJ145" s="2269">
        <f>SUM(DJ140:DJ141)</f>
        <v>1.296543424930034</v>
      </c>
      <c r="DK145" s="217">
        <f t="shared" si="419"/>
        <v>0.61381324358791289</v>
      </c>
      <c r="DL145" s="161"/>
      <c r="DM145" s="161"/>
      <c r="DN145" s="2269">
        <f>SUM(DN140:DN141)</f>
        <v>0.80571785547374131</v>
      </c>
      <c r="DO145" s="217">
        <f t="shared" si="422"/>
        <v>-37.856469750157373</v>
      </c>
      <c r="DP145" s="161"/>
      <c r="DQ145" s="161"/>
      <c r="DR145" s="2269">
        <f>SUM(DR140:DR141)</f>
        <v>0.68279864682687286</v>
      </c>
      <c r="DS145" s="217">
        <f t="shared" si="423"/>
        <v>-15.255862559306832</v>
      </c>
      <c r="DT145" s="161"/>
      <c r="DV145" s="139"/>
      <c r="DW145" s="139"/>
      <c r="DX145" s="139"/>
      <c r="EA145" s="139"/>
      <c r="EB145" s="139"/>
      <c r="EC145" s="139"/>
      <c r="ED145" s="139"/>
      <c r="EE145" s="139"/>
      <c r="EF145" s="139"/>
      <c r="EG145" s="139"/>
      <c r="EH145" s="139"/>
    </row>
    <row r="146" spans="1:138" hidden="1" outlineLevel="1">
      <c r="A146" s="23" t="str">
        <f>$A$16</f>
        <v>9 Mos</v>
      </c>
      <c r="D146" s="1898">
        <f>SUM(D140:D142)</f>
        <v>0.35766946147692824</v>
      </c>
      <c r="F146" s="1898">
        <f>SUM(F140:F142)</f>
        <v>0.41658796055264496</v>
      </c>
      <c r="G146" s="44">
        <f t="shared" si="396"/>
        <v>16.472890593573176</v>
      </c>
      <c r="J146" s="1898">
        <f>SUM(J140:J142)</f>
        <v>0.37228807542813314</v>
      </c>
      <c r="K146" s="44">
        <f t="shared" si="397"/>
        <v>-10.633981132278446</v>
      </c>
      <c r="N146" s="1898">
        <f>SUM(N140:N142)</f>
        <v>0.37135854820899683</v>
      </c>
      <c r="O146" s="44">
        <f t="shared" si="398"/>
        <v>-0.24967955744146231</v>
      </c>
      <c r="R146" s="1898">
        <f>SUM(R140:R142)</f>
        <v>0.35183809596758847</v>
      </c>
      <c r="S146" s="44">
        <f t="shared" si="399"/>
        <v>-5.2564973488700817</v>
      </c>
      <c r="V146" s="1898">
        <f>SUM(V140:V142)</f>
        <v>0.35606417957022707</v>
      </c>
      <c r="W146" s="44">
        <f t="shared" si="400"/>
        <v>1.2011444045069819</v>
      </c>
      <c r="Z146" s="1898">
        <f>SUM(Z140:Z142)</f>
        <v>0.24496441472716832</v>
      </c>
      <c r="AA146" s="44">
        <f t="shared" si="401"/>
        <v>-31.202173994912165</v>
      </c>
      <c r="AD146" s="1898">
        <f>SUM(AD140:AD142)</f>
        <v>0.28255995112924825</v>
      </c>
      <c r="AE146" s="44">
        <f t="shared" si="402"/>
        <v>15.347346039608389</v>
      </c>
      <c r="AH146" s="1898">
        <f>SUM(AH140:AH142)</f>
        <v>0.24676370130115838</v>
      </c>
      <c r="AI146" s="2188" t="s">
        <v>886</v>
      </c>
      <c r="AL146" s="1898">
        <f>SUM(AL140:AL142)</f>
        <v>0.27680466306982626</v>
      </c>
      <c r="AM146" s="44">
        <f t="shared" si="403"/>
        <v>12.173979240165856</v>
      </c>
      <c r="AP146" s="1898">
        <f>SUM(AP140:AP142)</f>
        <v>0.25391374264762478</v>
      </c>
      <c r="AQ146" s="2247" t="s">
        <v>886</v>
      </c>
      <c r="AT146" s="1898">
        <f>SUM(AT140:AT142)</f>
        <v>0.40130451236922438</v>
      </c>
      <c r="AU146" s="44">
        <f t="shared" si="404"/>
        <v>58.047574812106518</v>
      </c>
      <c r="AX146" s="1898">
        <f>SUM(AX140:AX142)</f>
        <v>0.10881306101169319</v>
      </c>
      <c r="AY146" s="44">
        <f t="shared" si="405"/>
        <v>-72.885163844961056</v>
      </c>
      <c r="BB146" s="1898">
        <f>SUM(BB140:BB142)</f>
        <v>0.31919388889593364</v>
      </c>
      <c r="BC146" s="44">
        <f t="shared" si="406"/>
        <v>193.34152162269626</v>
      </c>
      <c r="BF146" s="1898">
        <f>SUM(BF140:BF142)</f>
        <v>0.37280019374616524</v>
      </c>
      <c r="BG146" s="44">
        <f t="shared" si="407"/>
        <v>16.794276681064147</v>
      </c>
      <c r="BJ146" s="1898">
        <f>SUM(BJ140:BJ142)</f>
        <v>0.52095355852773662</v>
      </c>
      <c r="BK146" s="44">
        <f t="shared" si="408"/>
        <v>39.740688783667053</v>
      </c>
      <c r="BN146" s="2269">
        <f>SUM(BN140:BN142)</f>
        <v>0.29980470111357438</v>
      </c>
      <c r="BO146" s="217">
        <f t="shared" si="409"/>
        <v>-42.45078160885388</v>
      </c>
      <c r="BP146" s="161"/>
      <c r="BR146" s="2269">
        <f>SUM(BR140:BR142)</f>
        <v>0.35534716346618989</v>
      </c>
      <c r="BS146" s="217">
        <f t="shared" si="420"/>
        <v>-31.789089900751588</v>
      </c>
      <c r="BT146" s="161"/>
      <c r="BV146" s="2269">
        <f>SUM(BV140:BV142)</f>
        <v>0.58599829039948326</v>
      </c>
      <c r="BW146" s="217">
        <f t="shared" si="410"/>
        <v>64.908672601586431</v>
      </c>
      <c r="BX146" s="161"/>
      <c r="BZ146" s="2269">
        <f>SUM(BZ140:BZ142)</f>
        <v>0.3249982010486781</v>
      </c>
      <c r="CA146" s="217">
        <f t="shared" si="411"/>
        <v>-44.539394333877283</v>
      </c>
      <c r="CB146" s="161"/>
      <c r="CD146" s="2269">
        <f>SUM(CD140:CD142)</f>
        <v>0.39266868672127958</v>
      </c>
      <c r="CE146" s="217">
        <f t="shared" si="412"/>
        <v>20.821803152832175</v>
      </c>
      <c r="CF146" s="161"/>
      <c r="CH146" s="2269">
        <f>SUM(CH140:CH142)</f>
        <v>0.21201432828248143</v>
      </c>
      <c r="CI146" s="217">
        <f>IF(CD146&lt;0,"       NM",(CH146/CD146-1)*100)</f>
        <v>-46.006815554159154</v>
      </c>
      <c r="CJ146" s="161"/>
      <c r="CL146" s="2269">
        <f>SUM(CL140:CL142)</f>
        <v>0.79503152602069349</v>
      </c>
      <c r="CM146" s="217">
        <f t="shared" si="413"/>
        <v>274.98952663303857</v>
      </c>
      <c r="CN146" s="161"/>
      <c r="CP146" s="2269">
        <f>SUM(CP140:CP142)</f>
        <v>1.1259959331872029</v>
      </c>
      <c r="CQ146" s="217">
        <f t="shared" si="414"/>
        <v>41.629092222676832</v>
      </c>
      <c r="CR146" s="161"/>
      <c r="CT146" s="2269">
        <f>SUM(CT140:CT142)</f>
        <v>1.1676416970775225</v>
      </c>
      <c r="CU146" s="217">
        <f t="shared" si="415"/>
        <v>3.6985714302216532</v>
      </c>
      <c r="CV146" s="161"/>
      <c r="CW146" s="161"/>
      <c r="CX146" s="2269">
        <f>SUM(CX140:CX142)</f>
        <v>1.3984173539501203</v>
      </c>
      <c r="CY146" s="217">
        <f t="shared" si="416"/>
        <v>19.764252805479931</v>
      </c>
      <c r="CZ146" s="161"/>
      <c r="DA146" s="161"/>
      <c r="DB146" s="2269">
        <f>SUM(DB140:DB142)</f>
        <v>1.6035620687065764</v>
      </c>
      <c r="DC146" s="217">
        <f t="shared" si="417"/>
        <v>14.669777529360761</v>
      </c>
      <c r="DD146" s="161"/>
      <c r="DE146" s="161"/>
      <c r="DF146" s="2269">
        <f>SUM(DF140:DF142)</f>
        <v>1.842936598566113</v>
      </c>
      <c r="DG146" s="217">
        <f t="shared" si="418"/>
        <v>14.927674739314245</v>
      </c>
      <c r="DH146" s="161"/>
      <c r="DI146" s="161"/>
      <c r="DJ146" s="2269">
        <f>SUM(DJ140:DJ142)</f>
        <v>1.715608761777397</v>
      </c>
      <c r="DK146" s="217">
        <f t="shared" si="419"/>
        <v>-6.9089645779340847</v>
      </c>
      <c r="DL146" s="161"/>
      <c r="DM146" s="161"/>
      <c r="DN146" s="2269">
        <f>SUM(DN140:DN142)</f>
        <v>1.1069577087513482</v>
      </c>
      <c r="DO146" s="217">
        <f t="shared" si="422"/>
        <v>-35.477264198364026</v>
      </c>
      <c r="DP146" s="161"/>
      <c r="DQ146" s="161"/>
      <c r="DR146" s="2269">
        <f>SUM(DR140:DR142)</f>
        <v>1.0346628985637427</v>
      </c>
      <c r="DS146" s="217">
        <f t="shared" si="423"/>
        <v>-6.5309459987549445</v>
      </c>
      <c r="DT146" s="161"/>
      <c r="DV146" s="139"/>
      <c r="DW146" s="139"/>
      <c r="DX146" s="139"/>
      <c r="EA146" s="139"/>
      <c r="EB146" s="139"/>
      <c r="EC146" s="139"/>
      <c r="ED146" s="139"/>
      <c r="EE146" s="139"/>
      <c r="EF146" s="139"/>
      <c r="EG146" s="139"/>
      <c r="EH146" s="139"/>
    </row>
    <row r="147" spans="1:138" collapsed="1">
      <c r="BN147" s="161"/>
      <c r="BO147" s="161"/>
      <c r="BP147" s="161"/>
      <c r="BR147" s="161"/>
      <c r="BS147" s="161"/>
      <c r="BT147" s="161"/>
      <c r="BV147" s="161"/>
      <c r="BW147" s="161"/>
      <c r="BX147" s="161"/>
      <c r="BZ147" s="1856"/>
      <c r="CA147" s="1861"/>
      <c r="CB147" s="161"/>
      <c r="CD147" s="2287"/>
      <c r="CE147" s="1856"/>
      <c r="CF147" s="2288"/>
      <c r="CH147" s="2287"/>
      <c r="CI147" s="1856"/>
      <c r="CJ147" s="2288"/>
      <c r="CL147" s="2289"/>
      <c r="CM147" s="1856"/>
      <c r="CN147" s="2288"/>
      <c r="CP147" s="2203"/>
      <c r="CQ147" s="1856"/>
      <c r="CR147" s="2290"/>
      <c r="CT147" s="1856"/>
      <c r="CU147" s="1856"/>
      <c r="CV147" s="161"/>
      <c r="CW147" s="161"/>
      <c r="CX147" s="2231"/>
      <c r="CY147" s="161"/>
      <c r="CZ147" s="161"/>
      <c r="DA147" s="161"/>
      <c r="DB147" s="2203"/>
      <c r="DC147" s="2820"/>
      <c r="DD147" s="161"/>
      <c r="DE147" s="161"/>
      <c r="DF147" s="2203"/>
      <c r="DG147" s="161"/>
      <c r="DH147" s="161"/>
      <c r="DI147" s="161"/>
      <c r="DJ147" s="1175"/>
      <c r="DK147" s="161"/>
      <c r="DL147" s="161"/>
      <c r="DM147" s="161"/>
      <c r="DN147" s="1856"/>
      <c r="DO147" s="161"/>
      <c r="DP147" s="161"/>
      <c r="DQ147" s="161"/>
      <c r="DR147" s="1856"/>
      <c r="DS147" s="161"/>
      <c r="DT147" s="161"/>
      <c r="DV147" s="2291"/>
      <c r="DW147" s="139"/>
      <c r="DX147" s="139"/>
      <c r="EA147" s="139"/>
      <c r="EB147" s="2291"/>
      <c r="EC147" s="139"/>
      <c r="ED147" s="2271"/>
      <c r="EE147" s="139"/>
      <c r="EF147" s="139"/>
      <c r="EG147" s="139"/>
      <c r="EH147" s="139"/>
    </row>
    <row r="148" spans="1:138" hidden="1" outlineLevel="1">
      <c r="C148" s="1936"/>
      <c r="D148" s="1936"/>
      <c r="E148" s="1936">
        <f>AH148</f>
        <v>0</v>
      </c>
      <c r="F148" s="1936"/>
      <c r="J148" s="1936"/>
      <c r="N148" s="1936"/>
      <c r="R148" s="1936"/>
      <c r="V148" s="1936"/>
      <c r="Z148" s="2244"/>
      <c r="AA148" s="2177"/>
      <c r="AB148" s="2177"/>
      <c r="AC148" s="2177"/>
      <c r="AD148" s="2244"/>
      <c r="AE148" s="2177"/>
      <c r="AF148" s="2177"/>
      <c r="AG148" s="2177"/>
      <c r="AH148" s="2244"/>
      <c r="AI148" s="2177"/>
      <c r="AJ148" s="2177"/>
      <c r="AK148" s="2177"/>
      <c r="AM148" s="2177"/>
      <c r="AN148" s="2177"/>
      <c r="AO148" s="2177"/>
      <c r="AQ148" s="2177"/>
      <c r="AR148" s="2177"/>
      <c r="AS148" s="2177"/>
      <c r="AT148" s="2244" t="s">
        <v>174</v>
      </c>
      <c r="AU148" s="2177"/>
      <c r="AV148" s="2177"/>
      <c r="AW148" s="2177"/>
      <c r="AX148" s="2244"/>
      <c r="AY148" s="2177"/>
      <c r="AZ148" s="2177"/>
      <c r="BA148" s="2177"/>
      <c r="BB148" s="2244"/>
      <c r="BC148" s="2177"/>
      <c r="BD148" s="2177"/>
      <c r="BE148" s="2177"/>
      <c r="BF148" s="2244"/>
      <c r="BG148" s="2177"/>
      <c r="BH148" s="2177"/>
      <c r="BI148" s="2177"/>
      <c r="BJ148" s="2244"/>
      <c r="BK148" s="2177"/>
      <c r="BL148" s="2177"/>
      <c r="BM148" s="2177"/>
      <c r="BN148" s="2245"/>
      <c r="BO148" s="2179"/>
      <c r="BP148" s="2179"/>
      <c r="BQ148" s="2177"/>
      <c r="BR148" s="2245"/>
      <c r="BS148" s="2179"/>
      <c r="BT148" s="2179"/>
      <c r="BU148" s="2177"/>
      <c r="BV148" s="2245"/>
      <c r="BW148" s="2179"/>
      <c r="BX148" s="2179"/>
      <c r="BY148" s="2177"/>
      <c r="BZ148" s="2245"/>
      <c r="CA148" s="2179"/>
      <c r="CB148" s="2179"/>
      <c r="CC148" s="2177"/>
      <c r="CD148" s="2245"/>
      <c r="CE148" s="2179"/>
      <c r="CF148" s="2179"/>
      <c r="CG148" s="2177"/>
      <c r="CH148" s="2245"/>
      <c r="CI148" s="2179"/>
      <c r="CJ148" s="2179"/>
      <c r="CK148" s="2177"/>
      <c r="CL148" s="2245"/>
      <c r="CM148" s="2179"/>
      <c r="CN148" s="2179"/>
      <c r="CO148" s="2177"/>
      <c r="CP148" s="2245"/>
      <c r="CQ148" s="2179"/>
      <c r="CR148" s="2179"/>
      <c r="CS148" s="2177"/>
      <c r="CT148" s="2245"/>
      <c r="CU148" s="2179"/>
      <c r="CV148" s="2179"/>
      <c r="CW148" s="2179"/>
      <c r="CX148" s="2179"/>
      <c r="CY148" s="2179"/>
      <c r="CZ148" s="2179"/>
      <c r="DA148" s="2179"/>
      <c r="DB148" s="2179"/>
      <c r="DC148" s="2179"/>
      <c r="DD148" s="2179"/>
      <c r="DE148" s="2179"/>
      <c r="DF148" s="2819"/>
      <c r="DG148" s="2179"/>
      <c r="DH148" s="2179"/>
      <c r="DI148" s="2179"/>
      <c r="DJ148" s="1175">
        <f t="shared" ref="DJ148:DJ157" si="424">4.1/3.99</f>
        <v>1.0275689223057642</v>
      </c>
      <c r="DK148" s="2179"/>
      <c r="DL148" s="2179"/>
      <c r="DM148" s="2179"/>
      <c r="DN148" s="2179"/>
      <c r="DO148" s="2179"/>
      <c r="DP148" s="2179"/>
      <c r="DQ148" s="2179"/>
      <c r="DR148" s="2179"/>
      <c r="DS148" s="2179"/>
      <c r="DT148" s="2179"/>
      <c r="DU148" s="2177"/>
    </row>
    <row r="149" spans="1:138" hidden="1" outlineLevel="1">
      <c r="BN149" s="161"/>
      <c r="BO149" s="161"/>
      <c r="BP149" s="161"/>
      <c r="BR149" s="161"/>
      <c r="BS149" s="161"/>
      <c r="BT149" s="161"/>
      <c r="BV149" s="161"/>
      <c r="BW149" s="161"/>
      <c r="BX149" s="161"/>
      <c r="BZ149" s="161"/>
      <c r="CA149" s="161"/>
      <c r="CB149" s="161"/>
      <c r="CD149" s="161"/>
      <c r="CE149" s="161"/>
      <c r="CF149" s="161"/>
      <c r="CH149" s="161"/>
      <c r="CI149" s="161"/>
      <c r="CJ149" s="161"/>
      <c r="CL149" s="161"/>
      <c r="CM149" s="161"/>
      <c r="CN149" s="161"/>
      <c r="CP149" s="161"/>
      <c r="CQ149" s="161"/>
      <c r="CR149" s="161"/>
      <c r="CT149" s="161"/>
      <c r="CU149" s="161"/>
      <c r="CV149" s="161"/>
      <c r="CW149" s="161"/>
      <c r="CX149" s="161"/>
      <c r="CY149" s="161"/>
      <c r="CZ149" s="161"/>
      <c r="DA149" s="161"/>
      <c r="DB149" s="161"/>
      <c r="DC149" s="161"/>
      <c r="DD149" s="161"/>
      <c r="DE149" s="161"/>
      <c r="DF149" s="2203"/>
      <c r="DG149" s="161"/>
      <c r="DH149" s="161"/>
      <c r="DI149" s="161"/>
      <c r="DJ149" s="1175">
        <f t="shared" si="424"/>
        <v>1.0275689223057642</v>
      </c>
      <c r="DK149" s="161"/>
      <c r="DL149" s="161"/>
      <c r="DM149" s="161"/>
      <c r="DN149" s="161"/>
      <c r="DO149" s="161"/>
      <c r="DP149" s="161"/>
      <c r="DQ149" s="161"/>
      <c r="DR149" s="161"/>
      <c r="DS149" s="161"/>
      <c r="DT149" s="161"/>
    </row>
    <row r="150" spans="1:138" hidden="1" outlineLevel="1">
      <c r="A150" s="23" t="str">
        <f>$A$10</f>
        <v>1Q</v>
      </c>
      <c r="B150" s="23" t="str">
        <f>$B$10</f>
        <v>Apr</v>
      </c>
      <c r="D150" s="2291"/>
      <c r="E150" s="139"/>
      <c r="F150" s="2291"/>
      <c r="G150" s="49"/>
      <c r="H150" s="139"/>
      <c r="I150" s="139"/>
      <c r="J150" s="2291"/>
      <c r="K150" s="49"/>
      <c r="L150" s="139"/>
      <c r="M150" s="139"/>
      <c r="N150" s="2291"/>
      <c r="O150" s="49"/>
      <c r="P150" s="139"/>
      <c r="Q150" s="139"/>
      <c r="R150" s="2291"/>
      <c r="S150" s="49"/>
      <c r="T150" s="139"/>
      <c r="U150" s="139"/>
      <c r="V150" s="2291"/>
      <c r="W150" s="49"/>
      <c r="X150" s="139"/>
      <c r="Y150" s="139"/>
      <c r="Z150" s="2291"/>
      <c r="AA150" s="49"/>
      <c r="AB150" s="139"/>
      <c r="AC150" s="139"/>
      <c r="AD150" s="2291"/>
      <c r="AE150" s="49"/>
      <c r="AF150" s="139"/>
      <c r="AG150" s="139"/>
      <c r="AH150" s="2291"/>
      <c r="AI150" s="2234"/>
      <c r="AJ150" s="139"/>
      <c r="AK150" s="139"/>
      <c r="AL150" s="2291"/>
      <c r="AM150" s="49"/>
      <c r="AN150" s="139"/>
      <c r="AO150" s="139"/>
      <c r="AP150" s="2291"/>
      <c r="AQ150" s="2292"/>
      <c r="AT150" s="1857">
        <f>AT130/AT160</f>
        <v>0.12255766715824037</v>
      </c>
      <c r="AU150" s="44" t="e">
        <f t="shared" ref="AU150:AU156" si="425">IF(AP150&lt;0,"       NM",(AT150/AP150-1)*100)</f>
        <v>#DIV/0!</v>
      </c>
      <c r="AX150" s="1857">
        <f>AX130/AX160</f>
        <v>4.3695892062841968E-2</v>
      </c>
      <c r="AY150" s="44">
        <f t="shared" ref="AY150:AY156" si="426">IF(AT150&lt;0,"       NM",(AX150/AT150-1)*100)</f>
        <v>-64.34666791884672</v>
      </c>
      <c r="BB150" s="1857">
        <f>BB130/BB160</f>
        <v>0.14385185545577553</v>
      </c>
      <c r="BC150" s="44">
        <f t="shared" ref="BC150:BC156" si="427">IF(AX150&lt;0,"       NM",(BB150/AX150-1)*100)</f>
        <v>229.21139417154501</v>
      </c>
      <c r="BF150" s="1857">
        <f>BF130/BF160</f>
        <v>9.4574902472715008E-2</v>
      </c>
      <c r="BG150" s="44">
        <f t="shared" ref="BG150:BG156" si="428">IF(BB150&lt;0,"       NM",(BF150/BB150-1)*100)</f>
        <v>-34.255347507985235</v>
      </c>
      <c r="BJ150" s="1857">
        <f>BJ130/BJ160</f>
        <v>0.13149955668857047</v>
      </c>
      <c r="BK150" s="44">
        <f t="shared" ref="BK150:BK156" si="429">IF(BF150&lt;0,"       NM",(BJ150/BF150-1)*100)</f>
        <v>39.042762139255991</v>
      </c>
      <c r="BL150" s="2265"/>
      <c r="BN150" s="1857">
        <f>BN130/BN160</f>
        <v>5.5472468686636099E-2</v>
      </c>
      <c r="BO150" s="217">
        <f t="shared" ref="BO150:BO156" si="430">IF(BJ150&lt;0,"       NM",(BN150/BJ150-1)*100)</f>
        <v>-57.815470954011516</v>
      </c>
      <c r="BP150" s="161"/>
      <c r="BR150" s="1857">
        <f>BR130/BR160</f>
        <v>0.15919364193713839</v>
      </c>
      <c r="BS150" s="217">
        <f>IF(BJ150&lt;0,"       NM",(BR150/BJ150-1)*100)</f>
        <v>21.060211871402458</v>
      </c>
      <c r="BT150" s="161"/>
      <c r="BV150" s="1857">
        <f>(BV130+(BV40*(1-BW120/100)))/BV160</f>
        <v>0.25749277934307907</v>
      </c>
      <c r="BW150" s="217">
        <f>IF(BR150&lt;0,"       NM",(BV150/BR150-1)*100)</f>
        <v>61.748155397284378</v>
      </c>
      <c r="BX150" s="161"/>
      <c r="BZ150" s="1857">
        <f>(BZ130+(BZ40*(1-CA120/100)))/BZ160</f>
        <v>0.14028553863648804</v>
      </c>
      <c r="CA150" s="217">
        <f>IF(BV150&lt;0,"       NM",(BZ150/BV150-1)*100)</f>
        <v>-45.518651437765591</v>
      </c>
      <c r="CB150" s="161"/>
      <c r="CD150" s="2231"/>
      <c r="CE150" s="217"/>
      <c r="CF150" s="161"/>
      <c r="CH150" s="2231"/>
      <c r="CI150" s="217"/>
      <c r="CJ150" s="161"/>
      <c r="CL150" s="2231"/>
      <c r="CM150" s="217"/>
      <c r="CN150" s="161"/>
      <c r="CP150" s="2231"/>
      <c r="CQ150" s="217"/>
      <c r="CR150" s="161"/>
      <c r="CT150" s="2231"/>
      <c r="CU150" s="217"/>
      <c r="CV150" s="161"/>
      <c r="CW150" s="161"/>
      <c r="CX150" s="161"/>
      <c r="CY150" s="161"/>
      <c r="CZ150" s="161"/>
      <c r="DA150" s="161"/>
      <c r="DB150" s="161"/>
      <c r="DC150" s="161"/>
      <c r="DD150" s="161"/>
      <c r="DE150" s="161"/>
      <c r="DF150" s="2203"/>
      <c r="DG150" s="161"/>
      <c r="DH150" s="161"/>
      <c r="DI150" s="161"/>
      <c r="DJ150" s="1175">
        <f t="shared" si="424"/>
        <v>1.0275689223057642</v>
      </c>
      <c r="DK150" s="161"/>
      <c r="DL150" s="161"/>
      <c r="DM150" s="161"/>
      <c r="DN150" s="161"/>
      <c r="DO150" s="161"/>
      <c r="DP150" s="161"/>
      <c r="DQ150" s="161"/>
      <c r="DR150" s="161"/>
      <c r="DS150" s="161"/>
      <c r="DT150" s="161"/>
    </row>
    <row r="151" spans="1:138" hidden="1" outlineLevel="1">
      <c r="A151" s="23" t="str">
        <f>$A$11</f>
        <v>2Q</v>
      </c>
      <c r="B151" s="23" t="str">
        <f>$B$11</f>
        <v>Jul</v>
      </c>
      <c r="D151" s="1900"/>
      <c r="E151" s="139"/>
      <c r="F151" s="1900"/>
      <c r="G151" s="49"/>
      <c r="H151" s="139"/>
      <c r="I151" s="139"/>
      <c r="J151" s="1900"/>
      <c r="K151" s="49"/>
      <c r="L151" s="139"/>
      <c r="M151" s="139"/>
      <c r="N151" s="1900"/>
      <c r="O151" s="49"/>
      <c r="P151" s="139"/>
      <c r="Q151" s="139"/>
      <c r="R151" s="1900"/>
      <c r="S151" s="49"/>
      <c r="T151" s="139"/>
      <c r="U151" s="139"/>
      <c r="V151" s="1900"/>
      <c r="W151" s="49"/>
      <c r="X151" s="139"/>
      <c r="Y151" s="139"/>
      <c r="Z151" s="1900"/>
      <c r="AA151" s="49"/>
      <c r="AB151" s="139"/>
      <c r="AC151" s="139"/>
      <c r="AD151" s="1900"/>
      <c r="AE151" s="49"/>
      <c r="AF151" s="139"/>
      <c r="AG151" s="139"/>
      <c r="AH151" s="1900"/>
      <c r="AI151" s="2234"/>
      <c r="AJ151" s="139"/>
      <c r="AK151" s="139"/>
      <c r="AL151" s="1900"/>
      <c r="AM151" s="49"/>
      <c r="AN151" s="139"/>
      <c r="AO151" s="139"/>
      <c r="AP151" s="1900"/>
      <c r="AQ151" s="2292"/>
      <c r="AT151" s="1898">
        <f>AT131/AT161</f>
        <v>0.17300723465984166</v>
      </c>
      <c r="AU151" s="44" t="e">
        <f t="shared" si="425"/>
        <v>#DIV/0!</v>
      </c>
      <c r="AX151" s="1898">
        <f>AX131/AX161</f>
        <v>8.9734183430684983E-2</v>
      </c>
      <c r="AY151" s="44">
        <f t="shared" si="426"/>
        <v>-48.132698839377476</v>
      </c>
      <c r="BB151" s="1898">
        <f>BB131/BB161</f>
        <v>0.15579228936579204</v>
      </c>
      <c r="BC151" s="44">
        <f t="shared" si="427"/>
        <v>73.615319613548962</v>
      </c>
      <c r="BF151" s="1898">
        <f>BF131/BF161</f>
        <v>0.19371024493301001</v>
      </c>
      <c r="BG151" s="44">
        <f t="shared" si="428"/>
        <v>24.338788345415875</v>
      </c>
      <c r="BJ151" s="1898">
        <f>BJ131/BJ161</f>
        <v>0.28593825474290824</v>
      </c>
      <c r="BK151" s="44">
        <f t="shared" si="429"/>
        <v>47.611322695809434</v>
      </c>
      <c r="BL151" s="2265"/>
      <c r="BN151" s="1898">
        <f>BN131/BN161</f>
        <v>0.27448005670343262</v>
      </c>
      <c r="BO151" s="217">
        <f t="shared" si="430"/>
        <v>-4.0072280813834738</v>
      </c>
      <c r="BP151" s="161"/>
      <c r="BR151" s="1898">
        <f>BR131/BR161</f>
        <v>0.19785760059033641</v>
      </c>
      <c r="BS151" s="217">
        <f t="shared" ref="BS151:BS156" si="431">IF(BJ151&lt;0,"       NM",(BR151/BJ151-1)*100)</f>
        <v>-30.804081892353498</v>
      </c>
      <c r="BT151" s="161"/>
      <c r="BV151" s="1898">
        <f>(BV131+(BV41*(1-BW121/100)))/BV161</f>
        <v>0.29478549749519783</v>
      </c>
      <c r="BW151" s="217">
        <f>IF(BR151&lt;0,"       NM",(BV151/BR151-1)*100)</f>
        <v>48.988715427490881</v>
      </c>
      <c r="BX151" s="161"/>
      <c r="BZ151" s="1898">
        <f>(BZ131+(BZ41*(1-CA121/100)))/BZ161</f>
        <v>0.2171628709121193</v>
      </c>
      <c r="CA151" s="217">
        <f>IF(BV151&lt;0,"       NM",(BZ151/BV151-1)*100)</f>
        <v>-26.331901413957116</v>
      </c>
      <c r="CB151" s="161"/>
      <c r="CD151" s="2269"/>
      <c r="CE151" s="217"/>
      <c r="CF151" s="161"/>
      <c r="CH151" s="2269"/>
      <c r="CI151" s="217"/>
      <c r="CJ151" s="161"/>
      <c r="CL151" s="2269"/>
      <c r="CM151" s="217"/>
      <c r="CN151" s="161"/>
      <c r="CP151" s="2269"/>
      <c r="CQ151" s="217"/>
      <c r="CR151" s="161"/>
      <c r="CT151" s="2269"/>
      <c r="CU151" s="217"/>
      <c r="CV151" s="161"/>
      <c r="CW151" s="161"/>
      <c r="CX151" s="161"/>
      <c r="CY151" s="161"/>
      <c r="CZ151" s="161"/>
      <c r="DA151" s="161"/>
      <c r="DB151" s="161"/>
      <c r="DC151" s="161"/>
      <c r="DD151" s="161"/>
      <c r="DE151" s="161"/>
      <c r="DF151" s="2203"/>
      <c r="DG151" s="161"/>
      <c r="DH151" s="161"/>
      <c r="DI151" s="161"/>
      <c r="DJ151" s="1175">
        <f t="shared" si="424"/>
        <v>1.0275689223057642</v>
      </c>
      <c r="DK151" s="161"/>
      <c r="DL151" s="161"/>
      <c r="DM151" s="161"/>
      <c r="DN151" s="161"/>
      <c r="DO151" s="161"/>
      <c r="DP151" s="161"/>
      <c r="DQ151" s="161"/>
      <c r="DR151" s="161"/>
      <c r="DS151" s="161"/>
      <c r="DT151" s="161"/>
    </row>
    <row r="152" spans="1:138" hidden="1" outlineLevel="1">
      <c r="A152" s="23" t="str">
        <f>$A$12</f>
        <v>3Q</v>
      </c>
      <c r="B152" s="23" t="str">
        <f>$B$12</f>
        <v>Oct</v>
      </c>
      <c r="D152" s="1900"/>
      <c r="E152" s="139"/>
      <c r="F152" s="1900"/>
      <c r="G152" s="49"/>
      <c r="H152" s="139"/>
      <c r="I152" s="139"/>
      <c r="J152" s="1900"/>
      <c r="K152" s="49"/>
      <c r="L152" s="139"/>
      <c r="M152" s="139"/>
      <c r="N152" s="1900"/>
      <c r="O152" s="49"/>
      <c r="P152" s="139"/>
      <c r="Q152" s="139"/>
      <c r="R152" s="1900"/>
      <c r="S152" s="49"/>
      <c r="T152" s="139"/>
      <c r="U152" s="139"/>
      <c r="V152" s="1900"/>
      <c r="W152" s="49"/>
      <c r="X152" s="139"/>
      <c r="Y152" s="139"/>
      <c r="Z152" s="1900"/>
      <c r="AA152" s="49"/>
      <c r="AB152" s="139"/>
      <c r="AC152" s="139"/>
      <c r="AD152" s="1900"/>
      <c r="AE152" s="49"/>
      <c r="AF152" s="139"/>
      <c r="AG152" s="139"/>
      <c r="AH152" s="1900"/>
      <c r="AI152" s="2234"/>
      <c r="AJ152" s="139"/>
      <c r="AK152" s="139"/>
      <c r="AL152" s="1900"/>
      <c r="AM152" s="49"/>
      <c r="AN152" s="139"/>
      <c r="AO152" s="139"/>
      <c r="AP152" s="1900"/>
      <c r="AQ152" s="2292"/>
      <c r="AT152" s="2269">
        <f>AT132/AT162</f>
        <v>0.10573961055114237</v>
      </c>
      <c r="AU152" s="217" t="e">
        <f t="shared" si="425"/>
        <v>#DIV/0!</v>
      </c>
      <c r="AV152" s="161"/>
      <c r="AW152" s="161"/>
      <c r="AX152" s="2269">
        <f>AX132/AX162</f>
        <v>-2.4617014481833763E-2</v>
      </c>
      <c r="AY152" s="44">
        <f t="shared" si="426"/>
        <v>-123.28078792188045</v>
      </c>
      <c r="BB152" s="2269">
        <f>BB132/BB162</f>
        <v>1.9549744074366129E-2</v>
      </c>
      <c r="BC152" s="44" t="str">
        <f t="shared" si="427"/>
        <v xml:space="preserve">       NM</v>
      </c>
      <c r="BF152" s="2269">
        <f>BF132/BF162</f>
        <v>8.4515046340440214E-2</v>
      </c>
      <c r="BG152" s="44">
        <f t="shared" si="428"/>
        <v>332.30768658121417</v>
      </c>
      <c r="BJ152" s="2269">
        <f>BJ132/BJ162</f>
        <v>0.10351574709625791</v>
      </c>
      <c r="BK152" s="44">
        <f t="shared" si="429"/>
        <v>22.482033174637106</v>
      </c>
      <c r="BL152" s="2265"/>
      <c r="BN152" s="2269">
        <f>BN132/BN162</f>
        <v>-3.0147824276494293E-2</v>
      </c>
      <c r="BO152" s="217">
        <f t="shared" si="430"/>
        <v>-129.12390155331656</v>
      </c>
      <c r="BP152" s="161"/>
      <c r="BR152" s="2269">
        <f>BR132/BR162</f>
        <v>-1.7040790612849164E-3</v>
      </c>
      <c r="BS152" s="217">
        <f t="shared" si="431"/>
        <v>-101.64620273638205</v>
      </c>
      <c r="BT152" s="161"/>
      <c r="BV152" s="2269">
        <f>(BV132+(BV42*(1-BW122/100)))/BV162</f>
        <v>7.0189038562591177E-2</v>
      </c>
      <c r="BW152" s="217" t="str">
        <f>IF(BN152&lt;0,"       NM",(BV152/BN152-1)*100)</f>
        <v xml:space="preserve">       NM</v>
      </c>
      <c r="BX152" s="161"/>
      <c r="BZ152" s="2269">
        <f>(BZ132+(BZ42*(1-CA122/100)))/BZ162</f>
        <v>3.7097779039006906E-2</v>
      </c>
      <c r="CA152" s="217" t="str">
        <f>IF(BR152&lt;0,"       NM",(BZ152/BR152-1)*100)</f>
        <v xml:space="preserve">       NM</v>
      </c>
      <c r="CB152" s="161"/>
      <c r="CD152" s="2269"/>
      <c r="CE152" s="217"/>
      <c r="CF152" s="161"/>
      <c r="CH152" s="2269"/>
      <c r="CI152" s="217"/>
      <c r="CJ152" s="161"/>
      <c r="CL152" s="2269"/>
      <c r="CM152" s="217"/>
      <c r="CN152" s="161"/>
      <c r="CP152" s="2269"/>
      <c r="CQ152" s="217"/>
      <c r="CR152" s="161"/>
      <c r="CT152" s="2269"/>
      <c r="CU152" s="217"/>
      <c r="CV152" s="161"/>
      <c r="CW152" s="161"/>
      <c r="CX152" s="161"/>
      <c r="CY152" s="161"/>
      <c r="CZ152" s="161"/>
      <c r="DA152" s="161"/>
      <c r="DB152" s="161"/>
      <c r="DC152" s="161"/>
      <c r="DD152" s="161"/>
      <c r="DE152" s="161"/>
      <c r="DF152" s="2203"/>
      <c r="DG152" s="161"/>
      <c r="DH152" s="161"/>
      <c r="DI152" s="161"/>
      <c r="DJ152" s="1175">
        <f t="shared" si="424"/>
        <v>1.0275689223057642</v>
      </c>
      <c r="DK152" s="161"/>
      <c r="DL152" s="161"/>
      <c r="DM152" s="161"/>
      <c r="DN152" s="161"/>
      <c r="DO152" s="161"/>
      <c r="DP152" s="161"/>
      <c r="DQ152" s="161"/>
      <c r="DR152" s="161"/>
      <c r="DS152" s="161"/>
      <c r="DT152" s="161"/>
    </row>
    <row r="153" spans="1:138" hidden="1" outlineLevel="1">
      <c r="A153" s="23" t="str">
        <f>$A$13</f>
        <v>4Q</v>
      </c>
      <c r="B153" s="23" t="str">
        <f>$B$13</f>
        <v>Jan</v>
      </c>
      <c r="C153" s="139"/>
      <c r="D153" s="1900"/>
      <c r="E153" s="139"/>
      <c r="F153" s="1900"/>
      <c r="G153" s="49"/>
      <c r="H153" s="139"/>
      <c r="I153" s="139"/>
      <c r="J153" s="1900"/>
      <c r="K153" s="49"/>
      <c r="L153" s="139"/>
      <c r="M153" s="139"/>
      <c r="N153" s="1900"/>
      <c r="O153" s="49"/>
      <c r="P153" s="139"/>
      <c r="Q153" s="139"/>
      <c r="R153" s="1900"/>
      <c r="S153" s="49"/>
      <c r="T153" s="139"/>
      <c r="U153" s="139"/>
      <c r="V153" s="1900"/>
      <c r="W153" s="49"/>
      <c r="X153" s="139"/>
      <c r="Y153" s="139"/>
      <c r="Z153" s="1900"/>
      <c r="AA153" s="49"/>
      <c r="AB153" s="139"/>
      <c r="AC153" s="139"/>
      <c r="AD153" s="1900"/>
      <c r="AE153" s="49"/>
      <c r="AF153" s="139"/>
      <c r="AG153" s="139"/>
      <c r="AH153" s="1900"/>
      <c r="AI153" s="2234"/>
      <c r="AJ153" s="139"/>
      <c r="AK153" s="139"/>
      <c r="AL153" s="1900"/>
      <c r="AM153" s="49"/>
      <c r="AN153" s="139"/>
      <c r="AO153" s="139"/>
      <c r="AP153" s="1900"/>
      <c r="AQ153" s="2292"/>
      <c r="AT153" s="2279">
        <f>AT133/AT163</f>
        <v>0.47862378577350462</v>
      </c>
      <c r="AU153" s="44" t="e">
        <f t="shared" si="425"/>
        <v>#DIV/0!</v>
      </c>
      <c r="AX153" s="2279">
        <f>AX133/AX163</f>
        <v>0.6734973144948857</v>
      </c>
      <c r="AY153" s="44">
        <f t="shared" si="426"/>
        <v>40.715387432416406</v>
      </c>
      <c r="BB153" s="2279">
        <f>BB133/BB163</f>
        <v>0.67306478685386928</v>
      </c>
      <c r="BC153" s="44">
        <f t="shared" si="427"/>
        <v>-6.4221138185360793E-2</v>
      </c>
      <c r="BF153" s="2279">
        <f>BF133/BF163</f>
        <v>0.73814325021659921</v>
      </c>
      <c r="BG153" s="44">
        <f t="shared" si="428"/>
        <v>9.6689746119283058</v>
      </c>
      <c r="BJ153" s="2279">
        <f>BJ133/BJ163</f>
        <v>0.87155064372792523</v>
      </c>
      <c r="BK153" s="44">
        <f t="shared" si="429"/>
        <v>18.073374439470836</v>
      </c>
      <c r="BL153" s="2281"/>
      <c r="BN153" s="2279">
        <f>BN133/BN163</f>
        <v>1.0483355280160478</v>
      </c>
      <c r="BO153" s="217">
        <f t="shared" si="430"/>
        <v>20.283948564589682</v>
      </c>
      <c r="BP153" s="161"/>
      <c r="BR153" s="2279">
        <f>BR133/BR163</f>
        <v>1.2778492929839891</v>
      </c>
      <c r="BS153" s="217">
        <f t="shared" si="431"/>
        <v>46.617904786138787</v>
      </c>
      <c r="BT153" s="161"/>
      <c r="BV153" s="2279">
        <f>(BV133+(BV43*(1-BW123/100)))/BV163</f>
        <v>1.0977199903394368</v>
      </c>
      <c r="BW153" s="217">
        <f>IF(BR153&lt;0,"       NM",(BV153/BR153-1)*100)</f>
        <v>-14.096286912200783</v>
      </c>
      <c r="BX153" s="161"/>
      <c r="BZ153" s="2279">
        <f>(BZ133+(BZ43*(1-CA123/100)))/BZ163</f>
        <v>0.95196559471395792</v>
      </c>
      <c r="CA153" s="217">
        <f>IF(BV153&lt;0,"       NM",(BZ153/BV153-1)*100)</f>
        <v>-13.277921228382539</v>
      </c>
      <c r="CB153" s="161"/>
      <c r="CD153" s="2283"/>
      <c r="CE153" s="217"/>
      <c r="CF153" s="161"/>
      <c r="CH153" s="2283"/>
      <c r="CI153" s="217"/>
      <c r="CJ153" s="161"/>
      <c r="CL153" s="2283"/>
      <c r="CM153" s="217"/>
      <c r="CN153" s="161"/>
      <c r="CP153" s="2283"/>
      <c r="CQ153" s="217"/>
      <c r="CR153" s="161"/>
      <c r="CT153" s="2283"/>
      <c r="CU153" s="217"/>
      <c r="CV153" s="161"/>
      <c r="CW153" s="161"/>
      <c r="CX153" s="161"/>
      <c r="CY153" s="161"/>
      <c r="CZ153" s="161"/>
      <c r="DA153" s="161"/>
      <c r="DB153" s="161"/>
      <c r="DC153" s="161"/>
      <c r="DD153" s="161"/>
      <c r="DE153" s="161"/>
      <c r="DF153" s="2203"/>
      <c r="DG153" s="161"/>
      <c r="DH153" s="161"/>
      <c r="DI153" s="161"/>
      <c r="DJ153" s="1175">
        <f t="shared" si="424"/>
        <v>1.0275689223057642</v>
      </c>
      <c r="DK153" s="161"/>
      <c r="DL153" s="161"/>
      <c r="DM153" s="161"/>
      <c r="DN153" s="161"/>
      <c r="DO153" s="161"/>
      <c r="DP153" s="161"/>
      <c r="DQ153" s="161"/>
      <c r="DR153" s="161"/>
      <c r="DS153" s="161"/>
      <c r="DT153" s="161"/>
    </row>
    <row r="154" spans="1:138" hidden="1" outlineLevel="1">
      <c r="B154" s="23" t="str">
        <f>$B$14</f>
        <v>Year</v>
      </c>
      <c r="D154" s="2291"/>
      <c r="E154" s="139"/>
      <c r="F154" s="2291"/>
      <c r="G154" s="49"/>
      <c r="H154" s="139"/>
      <c r="I154" s="139"/>
      <c r="J154" s="2291"/>
      <c r="K154" s="49"/>
      <c r="L154" s="139"/>
      <c r="M154" s="139"/>
      <c r="N154" s="2291"/>
      <c r="O154" s="49"/>
      <c r="P154" s="139"/>
      <c r="Q154" s="139"/>
      <c r="R154" s="2291"/>
      <c r="S154" s="49"/>
      <c r="T154" s="139"/>
      <c r="U154" s="139"/>
      <c r="V154" s="2291"/>
      <c r="W154" s="49"/>
      <c r="X154" s="139"/>
      <c r="Y154" s="139"/>
      <c r="Z154" s="2291"/>
      <c r="AA154" s="49"/>
      <c r="AB154" s="139"/>
      <c r="AC154" s="139"/>
      <c r="AD154" s="2291"/>
      <c r="AE154" s="49"/>
      <c r="AF154" s="139"/>
      <c r="AG154" s="139"/>
      <c r="AH154" s="2291"/>
      <c r="AI154" s="2234"/>
      <c r="AJ154" s="139"/>
      <c r="AK154" s="139"/>
      <c r="AL154" s="2291"/>
      <c r="AM154" s="49"/>
      <c r="AN154" s="139"/>
      <c r="AO154" s="139"/>
      <c r="AP154" s="2291"/>
      <c r="AQ154" s="2292"/>
      <c r="AT154" s="1857">
        <f>AT134/AT164</f>
        <v>0.87723913829275812</v>
      </c>
      <c r="AU154" s="44" t="e">
        <f t="shared" si="425"/>
        <v>#DIV/0!</v>
      </c>
      <c r="AX154" s="1857">
        <f>AX134/AX164</f>
        <v>0.78303364677163667</v>
      </c>
      <c r="AY154" s="44">
        <f t="shared" si="426"/>
        <v>-10.738860979739206</v>
      </c>
      <c r="BB154" s="1857">
        <f>BB134/BB164</f>
        <v>0.99036133056951647</v>
      </c>
      <c r="BC154" s="44">
        <f t="shared" si="427"/>
        <v>26.47749361124767</v>
      </c>
      <c r="BF154" s="1857">
        <f>BF134/BF164</f>
        <v>1.1103929576152067</v>
      </c>
      <c r="BG154" s="44">
        <f t="shared" si="428"/>
        <v>12.119983216293884</v>
      </c>
      <c r="BJ154" s="1857">
        <f>BJ134/BJ164</f>
        <v>1.3314752173431588</v>
      </c>
      <c r="BK154" s="44">
        <f t="shared" si="429"/>
        <v>19.910272143905772</v>
      </c>
      <c r="BN154" s="1857">
        <f>BN134/BN164</f>
        <v>1.3380112718282156</v>
      </c>
      <c r="BO154" s="217">
        <f t="shared" si="430"/>
        <v>0.49088818176419302</v>
      </c>
      <c r="BP154" s="161"/>
      <c r="BR154" s="1857">
        <f>BR134/BR164</f>
        <v>1.6217123834368361</v>
      </c>
      <c r="BS154" s="217">
        <f t="shared" si="431"/>
        <v>21.798165096367317</v>
      </c>
      <c r="BT154" s="161"/>
      <c r="BV154" s="1857">
        <f>(BV134+(BV44*(1-BW124/100)))/BV164</f>
        <v>1.7275942184037483</v>
      </c>
      <c r="BW154" s="217">
        <f>IF(BR154&lt;0,"       NM",(BV154/BR154-1)*100)</f>
        <v>6.5290143954207513</v>
      </c>
      <c r="BX154" s="161"/>
      <c r="BZ154" s="1857">
        <f>(BZ134+(BZ44*(1-CA124/100)))/BZ164</f>
        <v>1.2679247422810356</v>
      </c>
      <c r="CA154" s="217">
        <f>IF(BV154&lt;0,"       NM",(BZ154/BV154-1)*100)</f>
        <v>-26.607490996782523</v>
      </c>
      <c r="CB154" s="161"/>
      <c r="CD154" s="2231"/>
      <c r="CE154" s="217"/>
      <c r="CF154" s="161"/>
      <c r="CH154" s="2231"/>
      <c r="CI154" s="217"/>
      <c r="CJ154" s="161"/>
      <c r="CL154" s="2231"/>
      <c r="CM154" s="217"/>
      <c r="CN154" s="161"/>
      <c r="CP154" s="2231"/>
      <c r="CQ154" s="217"/>
      <c r="CR154" s="161"/>
      <c r="CT154" s="2231"/>
      <c r="CU154" s="217"/>
      <c r="CV154" s="161"/>
      <c r="CW154" s="161"/>
      <c r="CX154" s="161"/>
      <c r="CY154" s="161"/>
      <c r="CZ154" s="161"/>
      <c r="DA154" s="161"/>
      <c r="DB154" s="161"/>
      <c r="DC154" s="161"/>
      <c r="DD154" s="161"/>
      <c r="DE154" s="161"/>
      <c r="DF154" s="2203"/>
      <c r="DG154" s="161"/>
      <c r="DH154" s="161"/>
      <c r="DI154" s="161"/>
      <c r="DJ154" s="1175">
        <f t="shared" si="424"/>
        <v>1.0275689223057642</v>
      </c>
      <c r="DK154" s="161"/>
      <c r="DL154" s="161"/>
      <c r="DM154" s="161"/>
      <c r="DN154" s="161"/>
      <c r="DO154" s="161"/>
      <c r="DP154" s="161"/>
      <c r="DQ154" s="161"/>
      <c r="DR154" s="161"/>
      <c r="DS154" s="161"/>
      <c r="DT154" s="161"/>
    </row>
    <row r="155" spans="1:138" hidden="1" outlineLevel="2">
      <c r="A155" s="23" t="str">
        <f>$A$15</f>
        <v>6 Mos</v>
      </c>
      <c r="D155" s="1900"/>
      <c r="E155" s="139"/>
      <c r="F155" s="1900"/>
      <c r="G155" s="49"/>
      <c r="H155" s="139"/>
      <c r="I155" s="139"/>
      <c r="J155" s="1900"/>
      <c r="K155" s="49"/>
      <c r="L155" s="139"/>
      <c r="M155" s="139"/>
      <c r="N155" s="1900"/>
      <c r="O155" s="49"/>
      <c r="P155" s="139"/>
      <c r="Q155" s="139"/>
      <c r="R155" s="1900"/>
      <c r="S155" s="49"/>
      <c r="T155" s="139"/>
      <c r="U155" s="139"/>
      <c r="V155" s="1900"/>
      <c r="W155" s="49"/>
      <c r="X155" s="139"/>
      <c r="Y155" s="139"/>
      <c r="Z155" s="1900"/>
      <c r="AA155" s="49"/>
      <c r="AB155" s="139"/>
      <c r="AC155" s="139"/>
      <c r="AD155" s="1900"/>
      <c r="AE155" s="49"/>
      <c r="AF155" s="139"/>
      <c r="AG155" s="139"/>
      <c r="AH155" s="1900"/>
      <c r="AI155" s="2234"/>
      <c r="AJ155" s="139"/>
      <c r="AK155" s="139"/>
      <c r="AL155" s="1900"/>
      <c r="AM155" s="49"/>
      <c r="AN155" s="139"/>
      <c r="AO155" s="139"/>
      <c r="AP155" s="1900"/>
      <c r="AQ155" s="2292"/>
      <c r="AT155" s="1898">
        <f>SUM(AT150:AT151)</f>
        <v>0.29556490181808204</v>
      </c>
      <c r="AU155" s="44" t="e">
        <f t="shared" si="425"/>
        <v>#DIV/0!</v>
      </c>
      <c r="AX155" s="1898">
        <f>SUM(AX150:AX151)</f>
        <v>0.13343007549352695</v>
      </c>
      <c r="AY155" s="44">
        <f t="shared" si="426"/>
        <v>-54.855913312856018</v>
      </c>
      <c r="BB155" s="1898">
        <f>SUM(BB150:BB151)</f>
        <v>0.29964414482156754</v>
      </c>
      <c r="BC155" s="44">
        <f t="shared" si="427"/>
        <v>124.57016809235344</v>
      </c>
      <c r="BF155" s="1898">
        <f>SUM(BF150:BF151)</f>
        <v>0.28828514740572503</v>
      </c>
      <c r="BG155" s="44">
        <f t="shared" si="428"/>
        <v>-3.7908290924912214</v>
      </c>
      <c r="BJ155" s="1898">
        <f>SUM(BJ150:BJ151)</f>
        <v>0.41743781143147873</v>
      </c>
      <c r="BK155" s="44">
        <f t="shared" si="429"/>
        <v>44.80031843055292</v>
      </c>
      <c r="BL155" s="1881"/>
      <c r="BN155" s="1898">
        <f>SUM(BN150:BN151)</f>
        <v>0.3299525253900687</v>
      </c>
      <c r="BO155" s="217">
        <f t="shared" si="430"/>
        <v>-20.957681275063532</v>
      </c>
      <c r="BP155" s="161"/>
      <c r="BR155" s="1898">
        <f>SUM(BR150:BR151)</f>
        <v>0.35705124252747478</v>
      </c>
      <c r="BS155" s="217">
        <f t="shared" si="431"/>
        <v>-14.466003617862544</v>
      </c>
      <c r="BT155" s="161"/>
      <c r="BV155" s="2269">
        <f>SUM(BV150:BV151)</f>
        <v>0.5522782768382769</v>
      </c>
      <c r="BW155" s="217">
        <f>IF(BR155&lt;0,"       NM",(BV155/BR155-1)*100)</f>
        <v>54.677595554307466</v>
      </c>
      <c r="BX155" s="161"/>
      <c r="BZ155" s="2269">
        <f>SUM(BZ150:BZ151)</f>
        <v>0.35744840954860735</v>
      </c>
      <c r="CA155" s="217">
        <f>IF(BV155&lt;0,"       NM",(BZ155/BV155-1)*100)</f>
        <v>-35.277481563288319</v>
      </c>
      <c r="CB155" s="161"/>
      <c r="CD155" s="2269"/>
      <c r="CE155" s="217"/>
      <c r="CF155" s="161"/>
      <c r="CH155" s="2269"/>
      <c r="CI155" s="217"/>
      <c r="CJ155" s="161"/>
      <c r="CL155" s="2269"/>
      <c r="CM155" s="217"/>
      <c r="CN155" s="161"/>
      <c r="CP155" s="2269"/>
      <c r="CQ155" s="217"/>
      <c r="CR155" s="161"/>
      <c r="CT155" s="2269"/>
      <c r="CU155" s="217"/>
      <c r="CV155" s="161"/>
      <c r="CW155" s="161"/>
      <c r="CX155" s="161"/>
      <c r="CY155" s="161"/>
      <c r="CZ155" s="161"/>
      <c r="DA155" s="161"/>
      <c r="DB155" s="161"/>
      <c r="DC155" s="161"/>
      <c r="DD155" s="161"/>
      <c r="DE155" s="161"/>
      <c r="DF155" s="2203"/>
      <c r="DG155" s="161"/>
      <c r="DH155" s="161"/>
      <c r="DI155" s="161"/>
      <c r="DJ155" s="1175">
        <f t="shared" si="424"/>
        <v>1.0275689223057642</v>
      </c>
      <c r="DK155" s="161"/>
      <c r="DL155" s="161"/>
      <c r="DM155" s="161"/>
      <c r="DN155" s="161"/>
      <c r="DO155" s="161"/>
      <c r="DP155" s="161"/>
      <c r="DQ155" s="161"/>
      <c r="DR155" s="161"/>
      <c r="DS155" s="161"/>
      <c r="DT155" s="161"/>
    </row>
    <row r="156" spans="1:138" hidden="1" outlineLevel="2">
      <c r="A156" s="23" t="str">
        <f>$A$16</f>
        <v>9 Mos</v>
      </c>
      <c r="D156" s="1900"/>
      <c r="E156" s="139"/>
      <c r="F156" s="1900"/>
      <c r="G156" s="49"/>
      <c r="H156" s="139"/>
      <c r="I156" s="139"/>
      <c r="J156" s="1900"/>
      <c r="K156" s="49"/>
      <c r="L156" s="139"/>
      <c r="M156" s="139"/>
      <c r="N156" s="1900"/>
      <c r="O156" s="49"/>
      <c r="P156" s="139"/>
      <c r="Q156" s="139"/>
      <c r="R156" s="1900"/>
      <c r="S156" s="49"/>
      <c r="T156" s="139"/>
      <c r="U156" s="139"/>
      <c r="V156" s="1900"/>
      <c r="W156" s="49"/>
      <c r="X156" s="139"/>
      <c r="Y156" s="139"/>
      <c r="Z156" s="1900"/>
      <c r="AA156" s="49"/>
      <c r="AB156" s="139"/>
      <c r="AC156" s="139"/>
      <c r="AD156" s="1900"/>
      <c r="AE156" s="49"/>
      <c r="AF156" s="139"/>
      <c r="AG156" s="139"/>
      <c r="AH156" s="1900"/>
      <c r="AI156" s="2234"/>
      <c r="AJ156" s="139"/>
      <c r="AK156" s="139"/>
      <c r="AL156" s="1900"/>
      <c r="AM156" s="49"/>
      <c r="AN156" s="139"/>
      <c r="AO156" s="139"/>
      <c r="AP156" s="1900"/>
      <c r="AQ156" s="2292"/>
      <c r="AT156" s="1898">
        <f>SUM(AT150:AT152)</f>
        <v>0.40130451236922438</v>
      </c>
      <c r="AU156" s="44" t="e">
        <f t="shared" si="425"/>
        <v>#DIV/0!</v>
      </c>
      <c r="AX156" s="1898">
        <f>SUM(AX150:AX152)</f>
        <v>0.10881306101169319</v>
      </c>
      <c r="AY156" s="44">
        <f t="shared" si="426"/>
        <v>-72.885163844961056</v>
      </c>
      <c r="BB156" s="1898">
        <f>SUM(BB150:BB152)</f>
        <v>0.31919388889593364</v>
      </c>
      <c r="BC156" s="44">
        <f t="shared" si="427"/>
        <v>193.34152162269626</v>
      </c>
      <c r="BF156" s="1898">
        <f>SUM(BF150:BF152)</f>
        <v>0.37280019374616524</v>
      </c>
      <c r="BG156" s="44">
        <f t="shared" si="428"/>
        <v>16.794276681064147</v>
      </c>
      <c r="BJ156" s="1898">
        <f>SUM(BJ150:BJ152)</f>
        <v>0.52095355852773662</v>
      </c>
      <c r="BK156" s="44">
        <f t="shared" si="429"/>
        <v>39.740688783667053</v>
      </c>
      <c r="BN156" s="1898">
        <f>SUM(BN150:BN152)</f>
        <v>0.29980470111357438</v>
      </c>
      <c r="BO156" s="217">
        <f t="shared" si="430"/>
        <v>-42.45078160885388</v>
      </c>
      <c r="BP156" s="161"/>
      <c r="BR156" s="1898">
        <f>SUM(BR150:BR152)</f>
        <v>0.35534716346618989</v>
      </c>
      <c r="BS156" s="217">
        <f t="shared" si="431"/>
        <v>-31.789089900751588</v>
      </c>
      <c r="BT156" s="161"/>
      <c r="BV156" s="2269">
        <f>SUM(BV150:BV152)</f>
        <v>0.62246731540086808</v>
      </c>
      <c r="BW156" s="217">
        <f>IF(BR156&lt;0,"       NM",(BV156/BR156-1)*100)</f>
        <v>75.17160101380513</v>
      </c>
      <c r="BX156" s="161"/>
      <c r="BZ156" s="2269">
        <f>SUM(BZ150:BZ152)</f>
        <v>0.39454618858761425</v>
      </c>
      <c r="CA156" s="217">
        <f>IF(BV156&lt;0,"       NM",(BZ156/BV156-1)*100)</f>
        <v>-36.615758156952047</v>
      </c>
      <c r="CB156" s="161"/>
      <c r="CD156" s="2269"/>
      <c r="CE156" s="217"/>
      <c r="CF156" s="161"/>
      <c r="CH156" s="2269"/>
      <c r="CI156" s="217"/>
      <c r="CJ156" s="161"/>
      <c r="CL156" s="2269"/>
      <c r="CM156" s="217"/>
      <c r="CN156" s="161"/>
      <c r="CP156" s="2269"/>
      <c r="CQ156" s="217"/>
      <c r="CR156" s="161"/>
      <c r="CT156" s="2269"/>
      <c r="CU156" s="217"/>
      <c r="CV156" s="161"/>
      <c r="CW156" s="161"/>
      <c r="CX156" s="161"/>
      <c r="CY156" s="161"/>
      <c r="CZ156" s="161"/>
      <c r="DA156" s="161"/>
      <c r="DB156" s="161"/>
      <c r="DC156" s="161"/>
      <c r="DD156" s="161"/>
      <c r="DE156" s="161"/>
      <c r="DF156" s="2203"/>
      <c r="DG156" s="161"/>
      <c r="DH156" s="161"/>
      <c r="DI156" s="161"/>
      <c r="DJ156" s="1175">
        <f t="shared" si="424"/>
        <v>1.0275689223057642</v>
      </c>
      <c r="DK156" s="161"/>
      <c r="DL156" s="161"/>
      <c r="DM156" s="161"/>
      <c r="DN156" s="161"/>
      <c r="DO156" s="161"/>
      <c r="DP156" s="161"/>
      <c r="DQ156" s="161"/>
      <c r="DR156" s="161"/>
      <c r="DS156" s="161"/>
      <c r="DT156" s="161"/>
    </row>
    <row r="157" spans="1:138" hidden="1" outlineLevel="1">
      <c r="BN157" s="161"/>
      <c r="BO157" s="161"/>
      <c r="BP157" s="161"/>
      <c r="BR157" s="161"/>
      <c r="BS157" s="161"/>
      <c r="BT157" s="161"/>
      <c r="BV157" s="161"/>
      <c r="BW157" s="161"/>
      <c r="BX157" s="161"/>
      <c r="BZ157" s="161"/>
      <c r="CA157" s="161"/>
      <c r="CB157" s="161"/>
      <c r="CD157" s="161"/>
      <c r="CE157" s="161"/>
      <c r="CF157" s="161"/>
      <c r="CH157" s="161"/>
      <c r="CI157" s="161"/>
      <c r="CJ157" s="161"/>
      <c r="CL157" s="161"/>
      <c r="CM157" s="161"/>
      <c r="CN157" s="161"/>
      <c r="CP157" s="161"/>
      <c r="CQ157" s="161"/>
      <c r="CR157" s="161"/>
      <c r="CT157" s="161"/>
      <c r="CU157" s="161"/>
      <c r="CV157" s="161"/>
      <c r="CW157" s="161"/>
      <c r="CX157" s="161"/>
      <c r="CY157" s="161"/>
      <c r="CZ157" s="161"/>
      <c r="DA157" s="161"/>
      <c r="DB157" s="161"/>
      <c r="DC157" s="161"/>
      <c r="DD157" s="161"/>
      <c r="DE157" s="161"/>
      <c r="DF157" s="2203"/>
      <c r="DG157" s="161"/>
      <c r="DH157" s="161"/>
      <c r="DI157" s="161"/>
      <c r="DJ157" s="1175">
        <f t="shared" si="424"/>
        <v>1.0275689223057642</v>
      </c>
      <c r="DK157" s="161"/>
      <c r="DL157" s="161"/>
      <c r="DM157" s="161"/>
      <c r="DN157" s="161"/>
      <c r="DO157" s="161"/>
      <c r="DP157" s="161"/>
      <c r="DQ157" s="161"/>
      <c r="DR157" s="161"/>
      <c r="DS157" s="161"/>
      <c r="DT157" s="161"/>
    </row>
    <row r="158" spans="1:138" collapsed="1">
      <c r="C158" s="1936"/>
      <c r="D158" s="2175"/>
      <c r="E158" s="1936"/>
      <c r="F158" s="2175"/>
      <c r="J158" s="2175"/>
      <c r="N158" s="2175"/>
      <c r="R158" s="2175"/>
      <c r="V158" s="2175"/>
      <c r="Z158" s="2176"/>
      <c r="AA158" s="2177"/>
      <c r="AB158" s="2177"/>
      <c r="AC158" s="2177"/>
      <c r="AD158" s="2176"/>
      <c r="AE158" s="2177"/>
      <c r="AF158" s="2177"/>
      <c r="AG158" s="2177"/>
      <c r="AH158" s="2176"/>
      <c r="AI158" s="2177"/>
      <c r="AJ158" s="2177"/>
      <c r="AK158" s="2177"/>
      <c r="AM158" s="2177"/>
      <c r="AN158" s="2177"/>
      <c r="AO158" s="2177"/>
      <c r="AQ158" s="2177"/>
      <c r="AR158" s="2177"/>
      <c r="AS158" s="2177"/>
      <c r="AU158" s="2177"/>
      <c r="AV158" s="2177"/>
      <c r="AW158" s="2177"/>
      <c r="AY158" s="2177"/>
      <c r="AZ158" s="2177"/>
      <c r="BA158" s="2177"/>
      <c r="BB158" s="2176"/>
      <c r="BC158" s="2177"/>
      <c r="BD158" s="2177"/>
      <c r="BE158" s="2177"/>
      <c r="BF158" s="2176"/>
      <c r="BG158" s="2177"/>
      <c r="BH158" s="2177"/>
      <c r="BI158" s="2177"/>
      <c r="BK158" s="2177"/>
      <c r="BL158" s="2177"/>
      <c r="BM158" s="2177"/>
      <c r="BN158" s="2178"/>
      <c r="BO158" s="2179"/>
      <c r="BP158" s="2179"/>
      <c r="BQ158" s="2177"/>
      <c r="BR158" s="2178"/>
      <c r="BS158" s="2179"/>
      <c r="BT158" s="2179"/>
      <c r="BU158" s="2177"/>
      <c r="BV158" s="2176" t="s">
        <v>373</v>
      </c>
      <c r="BW158" s="2179"/>
      <c r="BX158" s="2179"/>
      <c r="BY158" s="2177"/>
      <c r="BZ158" s="2176" t="s">
        <v>373</v>
      </c>
      <c r="CA158" s="2179"/>
      <c r="CB158" s="2179"/>
      <c r="CC158" s="2177"/>
      <c r="CD158" s="2178"/>
      <c r="CE158" s="2179"/>
      <c r="CF158" s="2179"/>
      <c r="CG158" s="2177"/>
      <c r="CH158" s="2178"/>
      <c r="CI158" s="2179"/>
      <c r="CJ158" s="2179"/>
      <c r="CL158" s="2178"/>
      <c r="CM158" s="2179"/>
      <c r="CN158" s="2179"/>
      <c r="CO158" s="2177"/>
      <c r="CP158" s="2178"/>
      <c r="CQ158" s="2179"/>
      <c r="CR158" s="2179"/>
      <c r="CS158" s="2177"/>
      <c r="CT158" s="2178"/>
      <c r="CU158" s="2179"/>
      <c r="CV158" s="2179"/>
      <c r="CW158" s="2179"/>
      <c r="CX158" s="2210" t="s">
        <v>373</v>
      </c>
      <c r="CY158" s="2179"/>
      <c r="CZ158" s="2179"/>
      <c r="DA158" s="2179"/>
      <c r="DB158" s="2179"/>
      <c r="DC158" s="2179"/>
      <c r="DD158" s="2179"/>
      <c r="DE158" s="2179"/>
      <c r="DF158" s="2819"/>
      <c r="DG158" s="2179"/>
      <c r="DH158" s="2179"/>
      <c r="DI158" s="2179"/>
      <c r="DJ158" s="1175"/>
      <c r="DK158" s="2179"/>
      <c r="DL158" s="2179"/>
      <c r="DM158" s="2179"/>
      <c r="DN158" s="2179"/>
      <c r="DO158" s="2179"/>
      <c r="DP158" s="2179"/>
      <c r="DQ158" s="2179"/>
      <c r="DR158" s="2179"/>
      <c r="DS158" s="2179"/>
      <c r="DT158" s="2179"/>
      <c r="DU158" s="2177"/>
    </row>
    <row r="159" spans="1:138">
      <c r="BN159" s="161"/>
      <c r="BO159" s="161"/>
      <c r="BP159" s="161"/>
      <c r="BR159" s="161"/>
      <c r="BS159" s="161"/>
      <c r="BT159" s="161"/>
      <c r="BV159" s="161"/>
      <c r="BW159" s="161"/>
      <c r="BX159" s="161"/>
      <c r="BZ159" s="161"/>
      <c r="CA159" s="161"/>
      <c r="CB159" s="161"/>
      <c r="CD159" s="161"/>
      <c r="CE159" s="161"/>
      <c r="CF159" s="161"/>
      <c r="CH159" s="161"/>
      <c r="CI159" s="161"/>
      <c r="CJ159" s="161"/>
      <c r="CL159" s="161"/>
      <c r="CM159" s="161"/>
      <c r="CN159" s="2229"/>
      <c r="CP159" s="161"/>
      <c r="CQ159" s="2229"/>
      <c r="CR159" s="2229"/>
      <c r="CT159" s="161"/>
      <c r="CU159" s="2229"/>
      <c r="CV159" s="2229"/>
      <c r="CW159" s="161"/>
      <c r="CX159" s="161"/>
      <c r="CY159" s="161"/>
      <c r="CZ159" s="161"/>
      <c r="DA159" s="161"/>
      <c r="DB159" s="161"/>
      <c r="DC159" s="161"/>
      <c r="DD159" s="161"/>
      <c r="DE159" s="161"/>
      <c r="DF159" s="161"/>
      <c r="DG159" s="161"/>
      <c r="DH159" s="161"/>
      <c r="DI159" s="161"/>
      <c r="DJ159" s="161"/>
      <c r="DK159" s="161"/>
      <c r="DL159" s="161"/>
      <c r="DM159" s="161"/>
      <c r="DN159" s="161"/>
      <c r="DO159" s="161"/>
      <c r="DP159" s="161"/>
      <c r="DQ159" s="161"/>
      <c r="DR159" s="161"/>
      <c r="DS159" s="161"/>
      <c r="DT159" s="161"/>
    </row>
    <row r="160" spans="1:138">
      <c r="A160" s="23" t="str">
        <f>$A$10</f>
        <v>1Q</v>
      </c>
      <c r="B160" s="23" t="str">
        <f>$B$10</f>
        <v>Apr</v>
      </c>
      <c r="D160" s="2218">
        <f>360.758*1.5</f>
        <v>541.13699999999994</v>
      </c>
      <c r="F160" s="2218">
        <f>362.05*1.5</f>
        <v>543.07500000000005</v>
      </c>
      <c r="G160" s="1954"/>
      <c r="H160" s="1954"/>
      <c r="J160" s="2218">
        <f>363.322*1.5</f>
        <v>544.98299999999995</v>
      </c>
      <c r="K160" s="2293">
        <f t="shared" ref="K160:K166" si="432">(J160/F160-1)*100</f>
        <v>0.35133268885512159</v>
      </c>
      <c r="L160" s="1954"/>
      <c r="N160" s="2218">
        <f>363.905*1.5</f>
        <v>545.85749999999996</v>
      </c>
      <c r="O160" s="2293">
        <f t="shared" ref="O160:O166" si="433">(N160/J160-1)*100</f>
        <v>0.16046372088671657</v>
      </c>
      <c r="P160" s="1954"/>
      <c r="R160" s="2218">
        <f>364.054*1.5</f>
        <v>546.0809999999999</v>
      </c>
      <c r="S160" s="2293">
        <f t="shared" ref="S160:S166" si="434">(R160/N160-1)*100</f>
        <v>4.094475206439796E-2</v>
      </c>
      <c r="T160" s="1954"/>
      <c r="V160" s="2218">
        <f>358.563*1.5</f>
        <v>537.84449999999993</v>
      </c>
      <c r="W160" s="2293">
        <f t="shared" ref="W160:W166" si="435">(V160/R160-1)*100</f>
        <v>-1.5082927258044054</v>
      </c>
      <c r="X160" s="1954"/>
      <c r="Z160" s="2218">
        <f>357.975*1.5</f>
        <v>536.96250000000009</v>
      </c>
      <c r="AA160" s="2293">
        <f t="shared" ref="AA160:AA166" si="436">(Z160/V160-1)*100</f>
        <v>-0.16398791844107752</v>
      </c>
      <c r="AB160" s="1954"/>
      <c r="AD160" s="2218">
        <f>310.491*3/2</f>
        <v>465.73649999999998</v>
      </c>
      <c r="AE160" s="2293">
        <f t="shared" ref="AE160:AE166" si="437">(AD160/Z160-1)*100</f>
        <v>-13.264613450659979</v>
      </c>
      <c r="AF160" s="1954"/>
      <c r="AH160" s="2218">
        <v>450.80599999999998</v>
      </c>
      <c r="AI160" s="2293">
        <f t="shared" ref="AI160:AI166" si="438">(AH160/AD160-1)*100</f>
        <v>-3.2057826689555147</v>
      </c>
      <c r="AJ160" s="1954"/>
      <c r="AL160" s="2218">
        <v>464.57400000000001</v>
      </c>
      <c r="AM160" s="2293">
        <f t="shared" ref="AM160:AM166" si="439">(AL160/AH160-1)*100</f>
        <v>3.0540853493520537</v>
      </c>
      <c r="AN160" s="1954"/>
      <c r="AO160" s="1954"/>
      <c r="AP160" s="2218">
        <v>567.27099999999996</v>
      </c>
      <c r="AQ160" s="2247" t="s">
        <v>886</v>
      </c>
      <c r="AT160" s="2218">
        <v>539.08500000000004</v>
      </c>
      <c r="AU160" s="2293">
        <f t="shared" ref="AU160:AU166" si="440">(AT160/AP160-1)*100</f>
        <v>-4.9687010264934939</v>
      </c>
      <c r="AX160" s="2218">
        <v>527.41800000000001</v>
      </c>
      <c r="AY160" s="2293">
        <f t="shared" ref="AY160:AY166" si="441">(AX160/AT160-1)*100</f>
        <v>-2.1642227107042555</v>
      </c>
      <c r="BB160" s="2218">
        <v>534.39700000000005</v>
      </c>
      <c r="BC160" s="2293">
        <f t="shared" ref="BC160:BC166" si="442">(BB160/AX160-1)*100</f>
        <v>1.3232388731518441</v>
      </c>
      <c r="BF160" s="2218">
        <v>527.03200000000004</v>
      </c>
      <c r="BG160" s="2293">
        <f t="shared" ref="BG160:BG166" si="443">(BF160/BB160-1)*100</f>
        <v>-1.3781888745632909</v>
      </c>
      <c r="BJ160" s="2218">
        <v>515.43899999999996</v>
      </c>
      <c r="BK160" s="2293">
        <f t="shared" ref="BK160:BK166" si="444">(BJ160/BF160-1)*100</f>
        <v>-2.1996766799739054</v>
      </c>
      <c r="BN160" s="2225">
        <v>417.23399999999998</v>
      </c>
      <c r="BO160" s="2293">
        <f t="shared" ref="BO160:BO166" si="445">(BN160/BJ160-1)*100</f>
        <v>-19.052691007083279</v>
      </c>
      <c r="BP160" s="161"/>
      <c r="BR160" s="2225">
        <v>417.23399999999998</v>
      </c>
      <c r="BS160" s="2293">
        <f>(BR160/BJ160-1)*100</f>
        <v>-19.052691007083279</v>
      </c>
      <c r="BT160" s="161"/>
      <c r="BV160" s="2225">
        <v>400.41500000000002</v>
      </c>
      <c r="BW160" s="2293">
        <f t="shared" ref="BW160:BW166" si="446">(BV160/BR160-1)*100</f>
        <v>-4.0310712933269937</v>
      </c>
      <c r="BX160" s="161"/>
      <c r="BZ160" s="2225">
        <v>406.16399999999999</v>
      </c>
      <c r="CA160" s="2293">
        <f t="shared" ref="CA160:CA166" si="447">(BZ160/BV160-1)*100</f>
        <v>1.4357603985864609</v>
      </c>
      <c r="CB160" s="161"/>
      <c r="CD160" s="2225">
        <v>344.14699999999999</v>
      </c>
      <c r="CE160" s="2293">
        <f t="shared" ref="CE160:CE166" si="448">(CD160/BZ160-1)*100</f>
        <v>-15.268955397327188</v>
      </c>
      <c r="CF160" s="161">
        <v>122.4</v>
      </c>
      <c r="CH160" s="2225">
        <v>323.28500000000003</v>
      </c>
      <c r="CI160" s="2293">
        <f t="shared" ref="CI160:CI166" si="449">(CH160/CD160-1)*100</f>
        <v>-6.0619444597802552</v>
      </c>
      <c r="CJ160" s="161"/>
      <c r="CL160" s="2225">
        <v>332.89800000000002</v>
      </c>
      <c r="CM160" s="2293">
        <f t="shared" ref="CM160:CM166" si="450">(CL160/CH160-1)*100</f>
        <v>2.9735372813461725</v>
      </c>
      <c r="CN160" s="161"/>
      <c r="CP160" s="2225">
        <v>328.47199999999998</v>
      </c>
      <c r="CQ160" s="2293">
        <f t="shared" ref="CQ160:CQ166" si="451">(CP160/CL160-1)*100</f>
        <v>-1.3295363745051136</v>
      </c>
      <c r="CR160" s="161">
        <v>590</v>
      </c>
      <c r="CT160" s="2225">
        <v>301.238</v>
      </c>
      <c r="CU160" s="2293">
        <f t="shared" ref="CU160:CU166" si="452">(CT160/CP160-1)*100</f>
        <v>-8.2911176599527394</v>
      </c>
      <c r="CV160" s="161"/>
      <c r="CW160" s="161"/>
      <c r="CX160" s="2225">
        <v>295.2</v>
      </c>
      <c r="CY160" s="2293">
        <f t="shared" ref="CY160:CY166" si="453">(CX160/CT160-1)*100</f>
        <v>-2.0043951958252371</v>
      </c>
      <c r="CZ160" s="161"/>
      <c r="DA160" s="161"/>
      <c r="DB160" s="2225">
        <v>297.32400000000001</v>
      </c>
      <c r="DC160" s="2293">
        <f t="shared" ref="DC160:DC166" si="454">(DB160/CX160-1)*100</f>
        <v>0.71951219512196296</v>
      </c>
      <c r="DD160" s="161"/>
      <c r="DE160" s="161"/>
      <c r="DF160" s="2225">
        <v>299.14299999999997</v>
      </c>
      <c r="DG160" s="2293">
        <f t="shared" ref="DG160:DG166" si="455">(DF160/DB160-1)*100</f>
        <v>0.61179050463466833</v>
      </c>
      <c r="DH160" s="161"/>
      <c r="DI160" s="161"/>
      <c r="DJ160" s="2225">
        <v>292.77800000000002</v>
      </c>
      <c r="DK160" s="2293">
        <f t="shared" ref="DK160:DK166" si="456">(DJ160/DF160-1)*100</f>
        <v>-2.1277449246681179</v>
      </c>
      <c r="DL160" s="161"/>
      <c r="DM160" s="161"/>
      <c r="DN160" s="2225">
        <v>289.327</v>
      </c>
      <c r="DO160" s="2293">
        <f t="shared" ref="DO160:DO166" si="457">(DN160/DJ160-1)*100</f>
        <v>-1.1787087827637377</v>
      </c>
      <c r="DP160" s="161"/>
      <c r="DQ160" s="161"/>
      <c r="DR160" s="2257">
        <f>DN163-1</f>
        <v>283.5</v>
      </c>
      <c r="DS160" s="2293">
        <f t="shared" ref="DS160:DS166" si="458">(DR160/DN160-1)*100</f>
        <v>-2.0139841770730027</v>
      </c>
      <c r="DT160" s="161"/>
      <c r="DV160" s="2294"/>
      <c r="DW160" s="2294"/>
    </row>
    <row r="161" spans="1:128">
      <c r="A161" s="23" t="str">
        <f>$A$11</f>
        <v>2Q</v>
      </c>
      <c r="B161" s="23" t="str">
        <f>$B$11</f>
        <v>Jul</v>
      </c>
      <c r="D161" s="2218">
        <f>361.124*1.5</f>
        <v>541.68600000000004</v>
      </c>
      <c r="F161" s="2218">
        <f>362.716*1.5</f>
        <v>544.07400000000007</v>
      </c>
      <c r="G161" s="1954"/>
      <c r="H161" s="1954"/>
      <c r="J161" s="2218">
        <f>363.435*1.5</f>
        <v>545.15250000000003</v>
      </c>
      <c r="K161" s="2293">
        <f t="shared" si="432"/>
        <v>0.19822671180758089</v>
      </c>
      <c r="L161" s="1954"/>
      <c r="N161" s="2218">
        <f>363.256*1.5</f>
        <v>544.88400000000001</v>
      </c>
      <c r="O161" s="2293">
        <f t="shared" si="433"/>
        <v>-4.9252273446420691E-2</v>
      </c>
      <c r="P161" s="1954"/>
      <c r="R161" s="2218">
        <f>363.889*1.5</f>
        <v>545.83349999999996</v>
      </c>
      <c r="S161" s="2293">
        <f t="shared" si="434"/>
        <v>0.1742572731076697</v>
      </c>
      <c r="T161" s="1954"/>
      <c r="V161" s="2218">
        <f>358.634*1.5</f>
        <v>537.95100000000002</v>
      </c>
      <c r="W161" s="2293">
        <f t="shared" si="435"/>
        <v>-1.4441216964513837</v>
      </c>
      <c r="X161" s="1954"/>
      <c r="Z161" s="2218">
        <f>358.961*1.5</f>
        <v>538.44150000000002</v>
      </c>
      <c r="AA161" s="2293">
        <f t="shared" si="436"/>
        <v>9.1179308152611327E-2</v>
      </c>
      <c r="AB161" s="1954"/>
      <c r="AD161" s="2218">
        <f>272.077*3/2</f>
        <v>408.1155</v>
      </c>
      <c r="AE161" s="2293">
        <f t="shared" si="437"/>
        <v>-24.204300745763476</v>
      </c>
      <c r="AF161" s="1954"/>
      <c r="AH161" s="2218">
        <v>452.27800000000002</v>
      </c>
      <c r="AI161" s="2293">
        <f t="shared" si="438"/>
        <v>10.821078836750875</v>
      </c>
      <c r="AJ161" s="1954"/>
      <c r="AL161" s="2218">
        <v>469.60399999999998</v>
      </c>
      <c r="AM161" s="2293">
        <f t="shared" si="439"/>
        <v>3.830829710930006</v>
      </c>
      <c r="AN161" s="1954"/>
      <c r="AO161" s="1954"/>
      <c r="AP161" s="2218">
        <v>556.56799999999998</v>
      </c>
      <c r="AQ161" s="2247" t="s">
        <v>886</v>
      </c>
      <c r="AT161" s="2218">
        <v>541.14499999999998</v>
      </c>
      <c r="AU161" s="2293">
        <f t="shared" si="440"/>
        <v>-2.7710899656466115</v>
      </c>
      <c r="AX161" s="2218">
        <v>527.46900000000005</v>
      </c>
      <c r="AY161" s="2293">
        <f t="shared" si="441"/>
        <v>-2.5272339206682037</v>
      </c>
      <c r="BB161" s="2218">
        <v>536.84299999999996</v>
      </c>
      <c r="BC161" s="2293">
        <f t="shared" si="442"/>
        <v>1.7771660514646292</v>
      </c>
      <c r="BF161" s="2218">
        <v>526.34799999999996</v>
      </c>
      <c r="BG161" s="2293">
        <f t="shared" si="443"/>
        <v>-1.9549477221459499</v>
      </c>
      <c r="BJ161" s="2218">
        <v>480.29599999999999</v>
      </c>
      <c r="BK161" s="2293">
        <f t="shared" si="444"/>
        <v>-8.7493445401141337</v>
      </c>
      <c r="BN161" s="2225">
        <f>411.968</f>
        <v>411.96800000000002</v>
      </c>
      <c r="BO161" s="2293">
        <f t="shared" si="445"/>
        <v>-14.226227159918048</v>
      </c>
      <c r="BP161" s="161"/>
      <c r="BR161" s="2225">
        <f>411.968</f>
        <v>411.96800000000002</v>
      </c>
      <c r="BS161" s="2293">
        <f t="shared" ref="BS161:BS166" si="459">(BR161/BJ161-1)*100</f>
        <v>-14.226227159918048</v>
      </c>
      <c r="BT161" s="2229"/>
      <c r="BV161" s="2225">
        <v>402.34300000000002</v>
      </c>
      <c r="BW161" s="2293">
        <f t="shared" si="446"/>
        <v>-2.3363465123504734</v>
      </c>
      <c r="BX161" s="161"/>
      <c r="BZ161" s="2225">
        <v>395.99599999999998</v>
      </c>
      <c r="CA161" s="2293">
        <f t="shared" si="447"/>
        <v>-1.5775097367171864</v>
      </c>
      <c r="CB161" s="161"/>
      <c r="CD161" s="2225">
        <v>341.46800000000002</v>
      </c>
      <c r="CE161" s="2293">
        <f t="shared" si="448"/>
        <v>-13.76983605895008</v>
      </c>
      <c r="CF161" s="161">
        <v>27.4</v>
      </c>
      <c r="CH161" s="2225">
        <v>325.697</v>
      </c>
      <c r="CI161" s="2293">
        <f t="shared" si="449"/>
        <v>-4.6185879789614308</v>
      </c>
      <c r="CJ161" s="161"/>
      <c r="CL161" s="2225">
        <v>333.74200000000002</v>
      </c>
      <c r="CM161" s="2293">
        <f t="shared" si="450"/>
        <v>2.4700872283134334</v>
      </c>
      <c r="CN161" s="2229"/>
      <c r="CP161" s="2225">
        <v>314.8</v>
      </c>
      <c r="CQ161" s="2293">
        <f t="shared" si="451"/>
        <v>-5.675641663320774</v>
      </c>
      <c r="CR161" s="161">
        <v>314</v>
      </c>
      <c r="CT161" s="2225">
        <v>296.02999999999997</v>
      </c>
      <c r="CU161" s="2293">
        <f t="shared" si="452"/>
        <v>-5.9625158831003944</v>
      </c>
      <c r="CV161" s="161"/>
      <c r="CW161" s="161"/>
      <c r="CX161" s="2225">
        <v>295.47300000000001</v>
      </c>
      <c r="CY161" s="2293">
        <f t="shared" si="453"/>
        <v>-0.18815660574940107</v>
      </c>
      <c r="CZ161" s="161"/>
      <c r="DA161" s="161"/>
      <c r="DB161" s="2225">
        <v>297.34199999999998</v>
      </c>
      <c r="DC161" s="2293">
        <f t="shared" si="454"/>
        <v>0.63254510564416666</v>
      </c>
      <c r="DD161" s="161"/>
      <c r="DE161" s="161"/>
      <c r="DF161" s="2409">
        <v>296.91300000000001</v>
      </c>
      <c r="DG161" s="2293">
        <f t="shared" si="455"/>
        <v>-0.14427830578928047</v>
      </c>
      <c r="DH161" s="161"/>
      <c r="DI161" s="161"/>
      <c r="DJ161" s="2409">
        <v>290.98599999999999</v>
      </c>
      <c r="DK161" s="2293">
        <f t="shared" si="456"/>
        <v>-1.9962076433163944</v>
      </c>
      <c r="DL161" s="161"/>
      <c r="DM161" s="161"/>
      <c r="DN161" s="2698">
        <v>288.93599999999998</v>
      </c>
      <c r="DO161" s="2293">
        <f t="shared" si="457"/>
        <v>-0.70450124748270282</v>
      </c>
      <c r="DP161" s="161"/>
      <c r="DQ161" s="161"/>
      <c r="DR161" s="2257">
        <f>DR160-1</f>
        <v>282.5</v>
      </c>
      <c r="DS161" s="2293">
        <f t="shared" si="458"/>
        <v>-2.2274829027881582</v>
      </c>
      <c r="DT161" s="161"/>
      <c r="DV161" s="2294"/>
      <c r="DW161" s="2294"/>
    </row>
    <row r="162" spans="1:128">
      <c r="A162" s="23" t="str">
        <f>$A$12</f>
        <v>3Q</v>
      </c>
      <c r="B162" s="23" t="str">
        <f>$B$12</f>
        <v>Oct</v>
      </c>
      <c r="D162" s="2218">
        <f>361.722*1.5</f>
        <v>542.58299999999997</v>
      </c>
      <c r="F162" s="2218">
        <f>361.511*1.5</f>
        <v>542.26650000000006</v>
      </c>
      <c r="G162" s="1954"/>
      <c r="H162" s="1954"/>
      <c r="J162" s="2218">
        <f>363.53*1.5</f>
        <v>545.29499999999996</v>
      </c>
      <c r="K162" s="2293">
        <f t="shared" si="432"/>
        <v>0.55848922992658423</v>
      </c>
      <c r="L162" s="1954"/>
      <c r="N162" s="2218">
        <f>363.497*1.5</f>
        <v>545.24549999999999</v>
      </c>
      <c r="O162" s="2293">
        <f t="shared" si="433"/>
        <v>-9.0776552141402789E-3</v>
      </c>
      <c r="P162" s="1954"/>
      <c r="R162" s="2218">
        <f>363.843*1.5</f>
        <v>545.7645</v>
      </c>
      <c r="S162" s="2293">
        <f t="shared" si="434"/>
        <v>9.5186480218534264E-2</v>
      </c>
      <c r="T162" s="1954"/>
      <c r="V162" s="2218">
        <f>358.881*1.5</f>
        <v>538.32150000000001</v>
      </c>
      <c r="W162" s="2293">
        <f t="shared" si="435"/>
        <v>-1.3637750348364563</v>
      </c>
      <c r="X162" s="1954"/>
      <c r="Z162" s="2218">
        <f>358.92*1.5</f>
        <v>538.38</v>
      </c>
      <c r="AA162" s="2293">
        <f t="shared" si="436"/>
        <v>1.0867111939605323E-2</v>
      </c>
      <c r="AB162" s="1954"/>
      <c r="AD162" s="2218">
        <f>271.728*1.5</f>
        <v>407.59199999999998</v>
      </c>
      <c r="AE162" s="2293">
        <f t="shared" si="437"/>
        <v>-24.292878635907723</v>
      </c>
      <c r="AF162" s="1954"/>
      <c r="AH162" s="2218">
        <v>456.88799999999998</v>
      </c>
      <c r="AI162" s="2293">
        <f t="shared" si="438"/>
        <v>12.094447388565044</v>
      </c>
      <c r="AJ162" s="1954"/>
      <c r="AL162" s="2218">
        <v>462.10399999999998</v>
      </c>
      <c r="AM162" s="2293">
        <f t="shared" si="439"/>
        <v>1.1416364623277442</v>
      </c>
      <c r="AN162" s="1954"/>
      <c r="AO162" s="1954"/>
      <c r="AP162" s="2218">
        <v>540.44500000000005</v>
      </c>
      <c r="AQ162" s="2247" t="s">
        <v>886</v>
      </c>
      <c r="AR162" s="23" t="s">
        <v>938</v>
      </c>
      <c r="AT162" s="2218">
        <v>534.65300000000002</v>
      </c>
      <c r="AU162" s="2293">
        <f t="shared" si="440"/>
        <v>-1.0717094246408099</v>
      </c>
      <c r="AX162" s="2218">
        <v>522.93100000000004</v>
      </c>
      <c r="AY162" s="2293">
        <f t="shared" si="441"/>
        <v>-2.1924500563917149</v>
      </c>
      <c r="BB162" s="2218">
        <v>531.20899999999995</v>
      </c>
      <c r="BC162" s="2293">
        <f t="shared" si="442"/>
        <v>1.5830004340916748</v>
      </c>
      <c r="BF162" s="2218">
        <v>524.38</v>
      </c>
      <c r="BG162" s="2293">
        <f t="shared" si="443"/>
        <v>-1.285558038361545</v>
      </c>
      <c r="BJ162" s="2218">
        <v>479.89800000000002</v>
      </c>
      <c r="BK162" s="2293">
        <f>(BJ162/BF162-1)*100</f>
        <v>-8.4827796636027237</v>
      </c>
      <c r="BN162" s="2225">
        <v>408.255</v>
      </c>
      <c r="BO162" s="2293">
        <f t="shared" si="445"/>
        <v>-14.928797369441016</v>
      </c>
      <c r="BP162" s="161"/>
      <c r="BR162" s="2225">
        <v>400.803</v>
      </c>
      <c r="BS162" s="2293">
        <f t="shared" si="459"/>
        <v>-16.481627345810988</v>
      </c>
      <c r="BT162" s="2229"/>
      <c r="BV162" s="2225">
        <v>401.89600000000002</v>
      </c>
      <c r="BW162" s="2293">
        <f t="shared" si="446"/>
        <v>0.27270254963160934</v>
      </c>
      <c r="BX162" s="161"/>
      <c r="BZ162" s="2225">
        <v>364.97500000000002</v>
      </c>
      <c r="CA162" s="2293">
        <f t="shared" si="447"/>
        <v>-9.1867050182136705</v>
      </c>
      <c r="CB162" s="161"/>
      <c r="CD162" s="2225">
        <v>340.125</v>
      </c>
      <c r="CE162" s="2293">
        <f t="shared" si="448"/>
        <v>-6.8086855264059221</v>
      </c>
      <c r="CF162" s="161">
        <v>175.5</v>
      </c>
      <c r="CH162" s="2225">
        <v>328.25900000000001</v>
      </c>
      <c r="CI162" s="2293">
        <f t="shared" si="449"/>
        <v>-3.4887173833149543</v>
      </c>
      <c r="CJ162" s="161"/>
      <c r="CL162" s="2225">
        <v>331.98099999999999</v>
      </c>
      <c r="CM162" s="2293">
        <f t="shared" si="450"/>
        <v>1.1338607623857966</v>
      </c>
      <c r="CN162" s="161"/>
      <c r="CP162" s="2225">
        <v>307.928</v>
      </c>
      <c r="CQ162" s="2293">
        <f t="shared" si="451"/>
        <v>-7.2452941584006281</v>
      </c>
      <c r="CR162" s="161">
        <v>120</v>
      </c>
      <c r="CT162" s="2225">
        <v>294.38600000000002</v>
      </c>
      <c r="CU162" s="2293">
        <f t="shared" si="452"/>
        <v>-4.3977812995245502</v>
      </c>
      <c r="CV162" s="161"/>
      <c r="CW162" s="161"/>
      <c r="CX162" s="2225">
        <v>296.54399999999998</v>
      </c>
      <c r="CY162" s="2293">
        <f t="shared" si="453"/>
        <v>0.73305116411783722</v>
      </c>
      <c r="CZ162" s="161"/>
      <c r="DA162" s="161"/>
      <c r="DB162" s="2195">
        <v>298.13400000000001</v>
      </c>
      <c r="DC162" s="2293">
        <f t="shared" si="454"/>
        <v>0.53617675623180983</v>
      </c>
      <c r="DD162" s="161"/>
      <c r="DE162" s="161"/>
      <c r="DF162" s="2535">
        <v>295.923</v>
      </c>
      <c r="DG162" s="2293">
        <f t="shared" si="455"/>
        <v>-0.74161283181388704</v>
      </c>
      <c r="DH162" s="161"/>
      <c r="DI162" s="161"/>
      <c r="DJ162" s="2409">
        <v>290.26499999999999</v>
      </c>
      <c r="DK162" s="2293">
        <f t="shared" si="456"/>
        <v>-1.9119838606664663</v>
      </c>
      <c r="DL162" s="161"/>
      <c r="DM162" s="161"/>
      <c r="DN162" s="2698">
        <v>285.43700000000001</v>
      </c>
      <c r="DO162" s="2293">
        <f t="shared" si="457"/>
        <v>-1.6633076671317526</v>
      </c>
      <c r="DP162" s="161"/>
      <c r="DQ162" s="161"/>
      <c r="DR162" s="2257">
        <f>DR161-1</f>
        <v>281.5</v>
      </c>
      <c r="DS162" s="2293">
        <f t="shared" si="458"/>
        <v>-1.3792885995859039</v>
      </c>
      <c r="DT162" s="161"/>
      <c r="DV162" s="2294"/>
      <c r="DW162" s="2294"/>
    </row>
    <row r="163" spans="1:128">
      <c r="A163" s="23" t="str">
        <f>$A$13</f>
        <v>4Q</v>
      </c>
      <c r="B163" s="23" t="str">
        <f>$B$13</f>
        <v>Jan</v>
      </c>
      <c r="C163" s="139"/>
      <c r="D163" s="2220">
        <f>180.775*2*3/2</f>
        <v>542.32500000000005</v>
      </c>
      <c r="E163" s="139"/>
      <c r="F163" s="2220">
        <f>361.9*1.5</f>
        <v>542.84999999999991</v>
      </c>
      <c r="G163" s="1954"/>
      <c r="H163" s="1954"/>
      <c r="J163" s="2220">
        <f>363.773*1.5</f>
        <v>545.65949999999998</v>
      </c>
      <c r="K163" s="2293">
        <f t="shared" si="432"/>
        <v>0.51754628350373366</v>
      </c>
      <c r="L163" s="1954"/>
      <c r="N163" s="2220">
        <f>364.295*1.5</f>
        <v>546.4425</v>
      </c>
      <c r="O163" s="2293">
        <f t="shared" si="433"/>
        <v>0.14349608134742731</v>
      </c>
      <c r="P163" s="1954"/>
      <c r="R163" s="2220">
        <f>361.151*1.5</f>
        <v>541.72649999999999</v>
      </c>
      <c r="S163" s="2293">
        <f t="shared" si="434"/>
        <v>-0.86303682455153297</v>
      </c>
      <c r="T163" s="1954"/>
      <c r="V163" s="2220">
        <f>358.325*1.5</f>
        <v>537.48749999999995</v>
      </c>
      <c r="W163" s="2293">
        <f t="shared" si="435"/>
        <v>-0.7824981794318786</v>
      </c>
      <c r="X163" s="1954"/>
      <c r="Z163" s="2220">
        <f>357.626*1.5</f>
        <v>536.43899999999996</v>
      </c>
      <c r="AA163" s="2293">
        <f t="shared" si="436"/>
        <v>-0.1950743040535774</v>
      </c>
      <c r="AB163" s="1954"/>
      <c r="AD163" s="2220">
        <f>272.098*1.5</f>
        <v>408.14700000000005</v>
      </c>
      <c r="AE163" s="2293">
        <f t="shared" si="437"/>
        <v>-23.915487129011858</v>
      </c>
      <c r="AF163" s="1954"/>
      <c r="AH163" s="2220">
        <v>459.28800000000001</v>
      </c>
      <c r="AI163" s="2293">
        <f t="shared" si="438"/>
        <v>12.530044322266232</v>
      </c>
      <c r="AJ163" s="1954"/>
      <c r="AL163" s="2220">
        <v>463.56599999999997</v>
      </c>
      <c r="AM163" s="2293">
        <f t="shared" si="439"/>
        <v>0.93144170977685903</v>
      </c>
      <c r="AN163" s="1954"/>
      <c r="AO163" s="1954"/>
      <c r="AP163" s="2220">
        <v>539.03300000000002</v>
      </c>
      <c r="AQ163" s="2247" t="s">
        <v>886</v>
      </c>
      <c r="AT163" s="2220">
        <v>531.923</v>
      </c>
      <c r="AU163" s="2293">
        <f t="shared" si="440"/>
        <v>-1.3190287051071059</v>
      </c>
      <c r="AX163" s="2220">
        <v>526.15800000000002</v>
      </c>
      <c r="AY163" s="2293">
        <f t="shared" si="441"/>
        <v>-1.0838034828349219</v>
      </c>
      <c r="BB163" s="2220">
        <v>530.83299999999997</v>
      </c>
      <c r="BC163" s="2293">
        <f t="shared" si="442"/>
        <v>0.8885163772098803</v>
      </c>
      <c r="BF163" s="2220">
        <v>525.16499999999996</v>
      </c>
      <c r="BG163" s="2293">
        <f t="shared" si="443"/>
        <v>-1.0677557725310982</v>
      </c>
      <c r="BI163" s="156" t="s">
        <v>1011</v>
      </c>
      <c r="BJ163" s="2227">
        <v>438.85</v>
      </c>
      <c r="BK163" s="2293">
        <f t="shared" si="444"/>
        <v>-16.435786847943014</v>
      </c>
      <c r="BL163" s="2295">
        <v>68.965000000000003</v>
      </c>
      <c r="BM163" s="2295" t="s">
        <v>735</v>
      </c>
      <c r="BN163" s="2227">
        <v>406.28500000000003</v>
      </c>
      <c r="BO163" s="2293">
        <f t="shared" si="445"/>
        <v>-7.4205309331206504</v>
      </c>
      <c r="BP163" s="161"/>
      <c r="BQ163" s="2295" t="s">
        <v>735</v>
      </c>
      <c r="BR163" s="2227">
        <v>406.28500000000003</v>
      </c>
      <c r="BS163" s="2293">
        <f t="shared" si="459"/>
        <v>-7.4205309331206504</v>
      </c>
      <c r="BT163" s="161"/>
      <c r="BU163" s="2295" t="s">
        <v>735</v>
      </c>
      <c r="BV163" s="2227">
        <v>405.34</v>
      </c>
      <c r="BW163" s="2293">
        <f t="shared" si="446"/>
        <v>-0.23259534563176976</v>
      </c>
      <c r="BX163" s="161"/>
      <c r="BY163" s="2295"/>
      <c r="BZ163" s="2227">
        <v>353.786</v>
      </c>
      <c r="CA163" s="2293">
        <f t="shared" si="447"/>
        <v>-12.718705284452547</v>
      </c>
      <c r="CB163" s="161"/>
      <c r="CC163" s="2295"/>
      <c r="CD163" s="2227">
        <v>323.46300000000002</v>
      </c>
      <c r="CE163" s="2293">
        <f t="shared" si="448"/>
        <v>-8.5710005483540801</v>
      </c>
      <c r="CF163" s="161">
        <f>CF164-CF162-CF161-CF160</f>
        <v>53.699999999999989</v>
      </c>
      <c r="CG163" s="2295"/>
      <c r="CH163" s="2227">
        <v>329.81900000000002</v>
      </c>
      <c r="CI163" s="2293">
        <f t="shared" si="449"/>
        <v>1.9649851760479509</v>
      </c>
      <c r="CJ163" s="161"/>
      <c r="CK163" s="2295"/>
      <c r="CL163" s="2227">
        <v>332.875</v>
      </c>
      <c r="CM163" s="2293">
        <f t="shared" si="450"/>
        <v>0.92656881501671506</v>
      </c>
      <c r="CN163" s="161"/>
      <c r="CO163" s="2295"/>
      <c r="CP163" s="2227">
        <v>306.00420000000003</v>
      </c>
      <c r="CQ163" s="2293">
        <f t="shared" si="451"/>
        <v>-8.0723394667667989</v>
      </c>
      <c r="CR163" s="161">
        <v>120</v>
      </c>
      <c r="CS163" s="2295"/>
      <c r="CT163" s="2227">
        <v>295.423</v>
      </c>
      <c r="CU163" s="2293">
        <f t="shared" si="452"/>
        <v>-3.457861035894283</v>
      </c>
      <c r="CV163" s="161"/>
      <c r="CW163" s="161"/>
      <c r="CX163" s="2227">
        <v>297.01799999999997</v>
      </c>
      <c r="CY163" s="2293">
        <f t="shared" si="453"/>
        <v>0.53990379895945129</v>
      </c>
      <c r="CZ163" s="161"/>
      <c r="DA163" s="161"/>
      <c r="DB163" s="2227">
        <v>299.04000000000002</v>
      </c>
      <c r="DC163" s="2293">
        <f t="shared" si="454"/>
        <v>0.68076682221280826</v>
      </c>
      <c r="DD163" s="161"/>
      <c r="DE163" s="161"/>
      <c r="DF163" s="2227">
        <v>295.17399999999998</v>
      </c>
      <c r="DG163" s="2293">
        <f t="shared" si="455"/>
        <v>-1.29280363830927</v>
      </c>
      <c r="DH163" s="161"/>
      <c r="DI163" s="161"/>
      <c r="DJ163" s="2227">
        <v>290.23099999999999</v>
      </c>
      <c r="DK163" s="2293">
        <f t="shared" si="456"/>
        <v>-1.6746054869331228</v>
      </c>
      <c r="DL163" s="161"/>
      <c r="DM163" s="161"/>
      <c r="DN163" s="2869">
        <v>284.5</v>
      </c>
      <c r="DO163" s="2293">
        <f t="shared" si="457"/>
        <v>-1.9746339984357264</v>
      </c>
      <c r="DP163" s="161"/>
      <c r="DQ163" s="161"/>
      <c r="DR163" s="2256">
        <f>DR162</f>
        <v>281.5</v>
      </c>
      <c r="DS163" s="2293">
        <f t="shared" si="458"/>
        <v>-1.0544815465729385</v>
      </c>
      <c r="DT163" s="161"/>
      <c r="DU163" s="2295"/>
      <c r="DV163" s="2294"/>
    </row>
    <row r="164" spans="1:128">
      <c r="B164" s="23" t="str">
        <f>$B$14</f>
        <v>Year</v>
      </c>
      <c r="D164" s="1932">
        <f>180.644*2*3/2</f>
        <v>541.93200000000002</v>
      </c>
      <c r="F164" s="1932">
        <f>362.044*1.5</f>
        <v>543.06600000000003</v>
      </c>
      <c r="G164" s="1865"/>
      <c r="H164" s="1865"/>
      <c r="I164" s="1865"/>
      <c r="J164" s="1932">
        <f>363.594*1.5</f>
        <v>545.39099999999996</v>
      </c>
      <c r="K164" s="2293">
        <f t="shared" si="432"/>
        <v>0.42812475831666141</v>
      </c>
      <c r="L164" s="1865"/>
      <c r="M164" s="1865"/>
      <c r="N164" s="1932">
        <f>363.738*1.5</f>
        <v>545.60699999999997</v>
      </c>
      <c r="O164" s="2293">
        <f t="shared" si="433"/>
        <v>3.9604613937527233E-2</v>
      </c>
      <c r="P164" s="1865"/>
      <c r="Q164" s="1865"/>
      <c r="R164" s="1932">
        <f>363.234*1.5</f>
        <v>544.851</v>
      </c>
      <c r="S164" s="2293">
        <f t="shared" si="434"/>
        <v>-0.13856127212443781</v>
      </c>
      <c r="T164" s="1865"/>
      <c r="U164" s="1865"/>
      <c r="V164" s="1932">
        <f>358.601*1.5</f>
        <v>537.90149999999994</v>
      </c>
      <c r="W164" s="2293">
        <f t="shared" si="435"/>
        <v>-1.2754863256193127</v>
      </c>
      <c r="X164" s="1865"/>
      <c r="Y164" s="1865"/>
      <c r="Z164" s="1932">
        <f>358.371*1.5</f>
        <v>537.55649999999991</v>
      </c>
      <c r="AA164" s="2293">
        <f t="shared" si="436"/>
        <v>-6.4138136815017344E-2</v>
      </c>
      <c r="AB164" s="1865"/>
      <c r="AC164" s="1865"/>
      <c r="AD164" s="1932">
        <f>282.053*1.5</f>
        <v>423.0795</v>
      </c>
      <c r="AE164" s="2293">
        <f t="shared" si="437"/>
        <v>-21.29580797553372</v>
      </c>
      <c r="AF164" s="1865"/>
      <c r="AG164" s="1865"/>
      <c r="AH164" s="1932">
        <v>454.81599999999997</v>
      </c>
      <c r="AI164" s="2293">
        <f t="shared" si="438"/>
        <v>7.501308855664246</v>
      </c>
      <c r="AJ164" s="1865"/>
      <c r="AK164" s="1865"/>
      <c r="AL164" s="1932">
        <v>464.96199999999999</v>
      </c>
      <c r="AM164" s="2293">
        <f t="shared" si="439"/>
        <v>2.2307922324632523</v>
      </c>
      <c r="AN164" s="1865"/>
      <c r="AO164" s="1865"/>
      <c r="AP164" s="1932">
        <v>550.82899999999995</v>
      </c>
      <c r="AQ164" s="2247" t="s">
        <v>886</v>
      </c>
      <c r="AR164" s="1953"/>
      <c r="AS164" s="1953"/>
      <c r="AT164" s="1932">
        <v>536.702</v>
      </c>
      <c r="AU164" s="2293">
        <f t="shared" si="440"/>
        <v>-2.5646797826548662</v>
      </c>
      <c r="AV164" s="1865"/>
      <c r="AW164" s="1865"/>
      <c r="AX164" s="1932">
        <v>525.99400000000003</v>
      </c>
      <c r="AY164" s="2293">
        <f t="shared" si="441"/>
        <v>-1.9951481455258158</v>
      </c>
      <c r="AZ164" s="1865"/>
      <c r="BA164" s="1865"/>
      <c r="BB164" s="1937">
        <f>AVERAGE(BB160:BB163)</f>
        <v>533.32050000000004</v>
      </c>
      <c r="BC164" s="2293">
        <f t="shared" si="442"/>
        <v>1.3928866108738891</v>
      </c>
      <c r="BE164" s="1865"/>
      <c r="BF164" s="1932">
        <v>525.73099999999999</v>
      </c>
      <c r="BG164" s="2293">
        <f t="shared" si="443"/>
        <v>-1.4230654925134201</v>
      </c>
      <c r="BI164" s="1865"/>
      <c r="BJ164" s="1932">
        <v>478.62099999999998</v>
      </c>
      <c r="BK164" s="2293">
        <f t="shared" si="444"/>
        <v>-8.9608564075544415</v>
      </c>
      <c r="BM164" s="1865"/>
      <c r="BN164" s="1933">
        <v>410.93599999999998</v>
      </c>
      <c r="BO164" s="2293">
        <f t="shared" si="445"/>
        <v>-14.141669504681154</v>
      </c>
      <c r="BP164" s="161"/>
      <c r="BQ164" s="1865"/>
      <c r="BR164" s="1933">
        <v>410.93599999999998</v>
      </c>
      <c r="BS164" s="2293">
        <f t="shared" si="459"/>
        <v>-14.141669504681154</v>
      </c>
      <c r="BT164" s="161"/>
      <c r="BU164" s="1865"/>
      <c r="BV164" s="1933">
        <v>402.49900000000002</v>
      </c>
      <c r="BW164" s="2293">
        <f t="shared" si="446"/>
        <v>-2.0531177604298345</v>
      </c>
      <c r="BX164" s="161"/>
      <c r="BY164" s="1865"/>
      <c r="BZ164" s="1933">
        <v>380.23</v>
      </c>
      <c r="CA164" s="2293">
        <f t="shared" si="447"/>
        <v>-5.5326845532535529</v>
      </c>
      <c r="CB164" s="161"/>
      <c r="CC164" s="1865"/>
      <c r="CD164" s="1933">
        <v>337.30099999999999</v>
      </c>
      <c r="CE164" s="2293">
        <f t="shared" si="448"/>
        <v>-11.290271677668784</v>
      </c>
      <c r="CF164" s="161">
        <f>-flow!AN47</f>
        <v>379</v>
      </c>
      <c r="CG164" s="1865"/>
      <c r="CH164" s="1933">
        <v>326.76499999999999</v>
      </c>
      <c r="CI164" s="2293">
        <f t="shared" si="449"/>
        <v>-3.1236195564199321</v>
      </c>
      <c r="CJ164" s="161"/>
      <c r="CK164" s="1865"/>
      <c r="CL164" s="1933">
        <v>332.87400000000002</v>
      </c>
      <c r="CM164" s="2293">
        <f t="shared" si="450"/>
        <v>1.8695392713417913</v>
      </c>
      <c r="CN164" s="161"/>
      <c r="CO164" s="1865"/>
      <c r="CP164" s="2296">
        <f>AVERAGE(CP160:CP163)</f>
        <v>314.30104999999998</v>
      </c>
      <c r="CQ164" s="2293">
        <f t="shared" si="451"/>
        <v>-5.5795736524931527</v>
      </c>
      <c r="CR164" s="2330">
        <f>500/41</f>
        <v>12.195121951219512</v>
      </c>
      <c r="CS164" s="1865"/>
      <c r="CT164" s="1933">
        <v>296.76900000000001</v>
      </c>
      <c r="CU164" s="2293">
        <f t="shared" si="452"/>
        <v>-5.5781073591704367</v>
      </c>
      <c r="CV164" s="161"/>
      <c r="CW164" s="161"/>
      <c r="CX164" s="1933">
        <v>296.05500000000001</v>
      </c>
      <c r="CY164" s="2293">
        <f t="shared" si="453"/>
        <v>-0.24059116686715454</v>
      </c>
      <c r="CZ164" s="161"/>
      <c r="DA164" s="161"/>
      <c r="DB164" s="1933">
        <v>297.95999999999998</v>
      </c>
      <c r="DC164" s="2293">
        <f t="shared" si="454"/>
        <v>0.64346151897449744</v>
      </c>
      <c r="DD164" s="161"/>
      <c r="DE164" s="161"/>
      <c r="DF164" s="1933">
        <f>AVERAGE(DF160:DF163)</f>
        <v>296.78825000000001</v>
      </c>
      <c r="DG164" s="2293">
        <f t="shared" si="455"/>
        <v>-0.39325748422606166</v>
      </c>
      <c r="DH164" s="161"/>
      <c r="DI164" s="161"/>
      <c r="DJ164" s="1933">
        <v>291.065</v>
      </c>
      <c r="DK164" s="2293">
        <f t="shared" si="456"/>
        <v>-1.928395076287559</v>
      </c>
      <c r="DL164" s="161"/>
      <c r="DM164" s="161"/>
      <c r="DN164" s="2870">
        <v>287.10000000000002</v>
      </c>
      <c r="DO164" s="2293">
        <f t="shared" si="457"/>
        <v>-1.3622386752099924</v>
      </c>
      <c r="DP164" s="161"/>
      <c r="DQ164" s="161"/>
      <c r="DR164" s="2296">
        <f>AVERAGE(DR160:DR163)</f>
        <v>282.25</v>
      </c>
      <c r="DS164" s="2293">
        <f t="shared" si="458"/>
        <v>-1.689306861720663</v>
      </c>
      <c r="DT164" s="161"/>
      <c r="DU164" s="1865"/>
      <c r="DV164" s="2294"/>
      <c r="DX164" s="2294"/>
    </row>
    <row r="165" spans="1:128" hidden="1" outlineLevel="1">
      <c r="A165" s="23" t="str">
        <f>$A$15</f>
        <v>6 Mos</v>
      </c>
      <c r="D165" s="1937">
        <f>(D160+D161)/2</f>
        <v>541.41149999999993</v>
      </c>
      <c r="E165" s="1937"/>
      <c r="F165" s="1937">
        <f>(F160+F161)/2</f>
        <v>543.57450000000006</v>
      </c>
      <c r="G165" s="1937"/>
      <c r="H165" s="1937"/>
      <c r="I165" s="1937"/>
      <c r="J165" s="1937">
        <f>(J160+J161)/2</f>
        <v>545.06774999999993</v>
      </c>
      <c r="K165" s="2293">
        <f t="shared" si="432"/>
        <v>0.274709354467495</v>
      </c>
      <c r="L165" s="1937"/>
      <c r="M165" s="1937"/>
      <c r="N165" s="1937">
        <f>(N160+N161)/2</f>
        <v>545.37075000000004</v>
      </c>
      <c r="O165" s="2293">
        <f t="shared" si="433"/>
        <v>5.5589419847379418E-2</v>
      </c>
      <c r="P165" s="1937"/>
      <c r="Q165" s="1937"/>
      <c r="R165" s="1937">
        <f>(R160+R161)/2</f>
        <v>545.95724999999993</v>
      </c>
      <c r="S165" s="2293">
        <f t="shared" si="434"/>
        <v>0.10754152106615678</v>
      </c>
      <c r="T165" s="1937"/>
      <c r="U165" s="1937"/>
      <c r="V165" s="1937">
        <f>(V160+V161)/2</f>
        <v>537.89774999999997</v>
      </c>
      <c r="W165" s="2293">
        <f t="shared" si="435"/>
        <v>-1.4762144838263325</v>
      </c>
      <c r="X165" s="1937"/>
      <c r="Y165" s="1937"/>
      <c r="Z165" s="1937">
        <f>(Z160+Z161)/2</f>
        <v>537.702</v>
      </c>
      <c r="AA165" s="2293">
        <f t="shared" si="436"/>
        <v>-3.6391674811797614E-2</v>
      </c>
      <c r="AB165" s="1937"/>
      <c r="AC165" s="1937"/>
      <c r="AD165" s="1937">
        <f>(AD160+AD161)/2</f>
        <v>436.92599999999999</v>
      </c>
      <c r="AE165" s="2293">
        <f t="shared" si="437"/>
        <v>-18.741979758304783</v>
      </c>
      <c r="AF165" s="1937"/>
      <c r="AG165" s="1937"/>
      <c r="AH165" s="1937">
        <f>(AH160+AH161)/2</f>
        <v>451.54200000000003</v>
      </c>
      <c r="AI165" s="2293">
        <f t="shared" si="438"/>
        <v>3.3451888878208269</v>
      </c>
      <c r="AJ165" s="1865"/>
      <c r="AK165" s="1865"/>
      <c r="AL165" s="1937">
        <f>(AL160+AL161)/2</f>
        <v>467.089</v>
      </c>
      <c r="AM165" s="2293">
        <f t="shared" si="439"/>
        <v>3.4430905652187427</v>
      </c>
      <c r="AN165" s="1865"/>
      <c r="AO165" s="1865"/>
      <c r="AP165" s="1937">
        <f>(AP160+AP161)/2</f>
        <v>561.91949999999997</v>
      </c>
      <c r="AQ165" s="2247" t="s">
        <v>886</v>
      </c>
      <c r="AT165" s="1937">
        <f>(AT160+AT161)/2</f>
        <v>540.11500000000001</v>
      </c>
      <c r="AU165" s="2293">
        <f t="shared" si="440"/>
        <v>-3.880360087165502</v>
      </c>
      <c r="AV165" s="1859"/>
      <c r="AW165" s="1859"/>
      <c r="AX165" s="1937">
        <f>(AX160+AX161)/2</f>
        <v>527.44350000000009</v>
      </c>
      <c r="AY165" s="2293">
        <f t="shared" si="441"/>
        <v>-2.3460744471084705</v>
      </c>
      <c r="AZ165" s="1859"/>
      <c r="BA165" s="1859"/>
      <c r="BB165" s="1937">
        <f>(BB160+BB161)/2</f>
        <v>535.62</v>
      </c>
      <c r="BC165" s="2293">
        <f t="shared" si="442"/>
        <v>1.5502134351830898</v>
      </c>
      <c r="BE165" s="1859"/>
      <c r="BF165" s="1937">
        <f>(BF160+BF161)/2</f>
        <v>526.69000000000005</v>
      </c>
      <c r="BG165" s="2293">
        <f t="shared" si="443"/>
        <v>-1.667226765244012</v>
      </c>
      <c r="BI165" s="1859"/>
      <c r="BJ165" s="1937">
        <f>(BJ160+BJ161)/2</f>
        <v>497.86749999999995</v>
      </c>
      <c r="BK165" s="2293">
        <f t="shared" si="444"/>
        <v>-5.472384134880115</v>
      </c>
      <c r="BM165" s="1859"/>
      <c r="BN165" s="2296">
        <f>(BN160+BN161)/2</f>
        <v>414.601</v>
      </c>
      <c r="BO165" s="2293">
        <f t="shared" si="445"/>
        <v>-16.72463054929273</v>
      </c>
      <c r="BP165" s="161"/>
      <c r="BQ165" s="1859"/>
      <c r="BR165" s="2296">
        <f>(BR160+BR161)/2</f>
        <v>414.601</v>
      </c>
      <c r="BS165" s="2293">
        <f t="shared" si="459"/>
        <v>-16.72463054929273</v>
      </c>
      <c r="BT165" s="161"/>
      <c r="BU165" s="1859"/>
      <c r="BV165" s="2296">
        <f>(BV160+BV161)/2</f>
        <v>401.37900000000002</v>
      </c>
      <c r="BW165" s="2293">
        <f t="shared" si="446"/>
        <v>-3.1890902337427973</v>
      </c>
      <c r="BX165" s="161"/>
      <c r="BY165" s="1859"/>
      <c r="BZ165" s="2296">
        <f>(BZ160+BZ161)/2</f>
        <v>401.08</v>
      </c>
      <c r="CA165" s="2293">
        <f t="shared" si="447"/>
        <v>-7.4493184745594299E-2</v>
      </c>
      <c r="CB165" s="161"/>
      <c r="CC165" s="1859"/>
      <c r="CD165" s="2296">
        <f>(CD160+CD161)/2</f>
        <v>342.8075</v>
      </c>
      <c r="CE165" s="2293">
        <f t="shared" si="448"/>
        <v>-14.528896978158967</v>
      </c>
      <c r="CF165" s="161"/>
      <c r="CG165" s="1859"/>
      <c r="CH165" s="2296">
        <f>(CH160+CH161)/2</f>
        <v>324.49099999999999</v>
      </c>
      <c r="CI165" s="2293">
        <f t="shared" si="449"/>
        <v>-5.3430861343465423</v>
      </c>
      <c r="CJ165" s="161"/>
      <c r="CK165" s="1859"/>
      <c r="CL165" s="2296">
        <f>(CL160+CL161)/2</f>
        <v>333.32000000000005</v>
      </c>
      <c r="CM165" s="2293">
        <f t="shared" si="450"/>
        <v>2.7208766961179354</v>
      </c>
      <c r="CN165" s="161"/>
      <c r="CO165" s="1859"/>
      <c r="CP165" s="2296">
        <f>(CP160+CP161)/2</f>
        <v>321.63599999999997</v>
      </c>
      <c r="CQ165" s="2293">
        <f t="shared" si="451"/>
        <v>-3.5053402136085654</v>
      </c>
      <c r="CR165" s="161"/>
      <c r="CS165" s="1859"/>
      <c r="CT165" s="2296">
        <f>(CT160+CT161)/2</f>
        <v>298.63400000000001</v>
      </c>
      <c r="CU165" s="2293">
        <f t="shared" si="452"/>
        <v>-7.1515626360233124</v>
      </c>
      <c r="CV165" s="161"/>
      <c r="CW165" s="161"/>
      <c r="CX165" s="2296">
        <f>(CX160+CX161)/2</f>
        <v>295.3365</v>
      </c>
      <c r="CY165" s="2293">
        <f t="shared" si="453"/>
        <v>-1.1041944319802877</v>
      </c>
      <c r="CZ165" s="161"/>
      <c r="DA165" s="161"/>
      <c r="DB165" s="2296">
        <f>(DB160+DB161)/2</f>
        <v>297.33299999999997</v>
      </c>
      <c r="DC165" s="2293">
        <f t="shared" si="454"/>
        <v>0.67600855295568696</v>
      </c>
      <c r="DD165" s="161"/>
      <c r="DE165" s="161"/>
      <c r="DF165" s="2296">
        <f>(DF160+DF161)/2</f>
        <v>298.02800000000002</v>
      </c>
      <c r="DG165" s="2293">
        <f t="shared" si="455"/>
        <v>0.23374465666443633</v>
      </c>
      <c r="DH165" s="161"/>
      <c r="DI165" s="161"/>
      <c r="DJ165" s="2296">
        <f>(DJ160+DJ161)/2</f>
        <v>291.88200000000001</v>
      </c>
      <c r="DK165" s="2293">
        <f t="shared" si="456"/>
        <v>-2.0622223415249663</v>
      </c>
      <c r="DL165" s="161"/>
      <c r="DM165" s="161"/>
      <c r="DN165" s="2296">
        <f>(DN160+DN161)/2</f>
        <v>289.13149999999996</v>
      </c>
      <c r="DO165" s="2293">
        <f t="shared" si="457"/>
        <v>-0.94233286053955201</v>
      </c>
      <c r="DP165" s="161"/>
      <c r="DQ165" s="161"/>
      <c r="DR165" s="2296">
        <f>(DR160+DR161)/2</f>
        <v>283</v>
      </c>
      <c r="DS165" s="2293">
        <f t="shared" si="458"/>
        <v>-2.1206613599694113</v>
      </c>
      <c r="DT165" s="161"/>
      <c r="DU165" s="1859"/>
    </row>
    <row r="166" spans="1:128" hidden="1" outlineLevel="1">
      <c r="A166" s="23" t="str">
        <f>$A$16</f>
        <v>9 Mos</v>
      </c>
      <c r="D166" s="1937">
        <f>(D160+D161+D162)/3</f>
        <v>541.80200000000002</v>
      </c>
      <c r="E166" s="1937"/>
      <c r="F166" s="1937">
        <f>(F160+F161+F162)/3</f>
        <v>543.13850000000002</v>
      </c>
      <c r="G166" s="1937"/>
      <c r="H166" s="1937"/>
      <c r="I166" s="1937"/>
      <c r="J166" s="1937">
        <f>(J160+J161+J162)/3</f>
        <v>545.14350000000002</v>
      </c>
      <c r="K166" s="2293">
        <f t="shared" si="432"/>
        <v>0.36915077830055321</v>
      </c>
      <c r="L166" s="1937"/>
      <c r="M166" s="1937"/>
      <c r="N166" s="1937">
        <f>(N160+N161+N162)/3</f>
        <v>545.32900000000006</v>
      </c>
      <c r="O166" s="2293">
        <f t="shared" si="433"/>
        <v>3.4027737650732526E-2</v>
      </c>
      <c r="P166" s="1937"/>
      <c r="Q166" s="1937"/>
      <c r="R166" s="1937">
        <f>(R160+R161+R162)/3</f>
        <v>545.89299999999992</v>
      </c>
      <c r="S166" s="2293">
        <f t="shared" si="434"/>
        <v>0.10342380471235479</v>
      </c>
      <c r="T166" s="1937"/>
      <c r="U166" s="1937"/>
      <c r="V166" s="1937">
        <f>(V160+V161+V162)/3</f>
        <v>538.03899999999999</v>
      </c>
      <c r="W166" s="2293">
        <f t="shared" si="435"/>
        <v>-1.4387434900245855</v>
      </c>
      <c r="X166" s="1937"/>
      <c r="Y166" s="1937"/>
      <c r="Z166" s="1937">
        <f>(Z160+Z161+Z162)/3</f>
        <v>537.928</v>
      </c>
      <c r="AA166" s="2293">
        <f t="shared" si="436"/>
        <v>-2.0630474742533433E-2</v>
      </c>
      <c r="AB166" s="1937"/>
      <c r="AC166" s="1937"/>
      <c r="AD166" s="1937">
        <f>(AD160+AD161+AD162)/3</f>
        <v>427.14799999999997</v>
      </c>
      <c r="AE166" s="2293">
        <f t="shared" si="437"/>
        <v>-20.593834119064269</v>
      </c>
      <c r="AF166" s="1937"/>
      <c r="AG166" s="1937"/>
      <c r="AH166" s="1937">
        <f>(AH160+AH161+AH162)/3</f>
        <v>453.32400000000001</v>
      </c>
      <c r="AI166" s="2293">
        <f t="shared" si="438"/>
        <v>6.1280867521327664</v>
      </c>
      <c r="AJ166" s="1865"/>
      <c r="AK166" s="1865"/>
      <c r="AL166" s="1937">
        <f>(AL160+AL161+AL162)/3</f>
        <v>465.42733333333331</v>
      </c>
      <c r="AM166" s="2293">
        <f t="shared" si="439"/>
        <v>2.6699079098687184</v>
      </c>
      <c r="AN166" s="1865"/>
      <c r="AO166" s="1865"/>
      <c r="AP166" s="1937">
        <f>(AP160+AP161+AP162)/3</f>
        <v>554.76133333333337</v>
      </c>
      <c r="AQ166" s="2247" t="s">
        <v>886</v>
      </c>
      <c r="AT166" s="1937">
        <f>(AT160+AT161+AT162)/3</f>
        <v>538.29433333333338</v>
      </c>
      <c r="AU166" s="2293">
        <f t="shared" si="440"/>
        <v>-2.9683034866645364</v>
      </c>
      <c r="AV166" s="1859"/>
      <c r="AW166" s="1859"/>
      <c r="AX166" s="1937">
        <f>(AX160+AX161+AX162)/3</f>
        <v>525.93933333333337</v>
      </c>
      <c r="AY166" s="2293">
        <f t="shared" si="441"/>
        <v>-2.2952127181969262</v>
      </c>
      <c r="AZ166" s="1859"/>
      <c r="BA166" s="1859"/>
      <c r="BB166" s="1937">
        <f>(BB160+BB161+BB162)/3</f>
        <v>534.14966666666669</v>
      </c>
      <c r="BC166" s="2293">
        <f t="shared" si="442"/>
        <v>1.5610799217653737</v>
      </c>
      <c r="BE166" s="1859"/>
      <c r="BF166" s="1937">
        <f>(BF160+BF161+BF162)/3</f>
        <v>525.92000000000007</v>
      </c>
      <c r="BG166" s="2293">
        <f t="shared" si="443"/>
        <v>-1.5407042595427245</v>
      </c>
      <c r="BI166" s="1859"/>
      <c r="BJ166" s="1937">
        <f>(BJ160+BJ161+BJ162)/3</f>
        <v>491.87766666666658</v>
      </c>
      <c r="BK166" s="2293">
        <f t="shared" si="444"/>
        <v>-6.4729109623770658</v>
      </c>
      <c r="BM166" s="1859"/>
      <c r="BN166" s="2296">
        <f>(BN160+BN161+BN162)/3</f>
        <v>412.48566666666665</v>
      </c>
      <c r="BO166" s="2293">
        <f t="shared" si="445"/>
        <v>-16.140598644784976</v>
      </c>
      <c r="BP166" s="161"/>
      <c r="BQ166" s="1859"/>
      <c r="BR166" s="2296">
        <f>(BR160+BR161+BR162)/3</f>
        <v>410.00166666666672</v>
      </c>
      <c r="BS166" s="2293">
        <f t="shared" si="459"/>
        <v>-16.645602260182557</v>
      </c>
      <c r="BT166" s="161"/>
      <c r="BU166" s="1859"/>
      <c r="BV166" s="2296">
        <f>(BV160+BV161+BV162)/3</f>
        <v>401.55133333333333</v>
      </c>
      <c r="BW166" s="2293">
        <f t="shared" si="446"/>
        <v>-2.061048532323051</v>
      </c>
      <c r="BX166" s="161"/>
      <c r="BY166" s="1859"/>
      <c r="BZ166" s="2296">
        <f>(BZ160+BZ161+BZ162)/3</f>
        <v>389.04500000000002</v>
      </c>
      <c r="CA166" s="2293">
        <f t="shared" si="447"/>
        <v>-3.1145042476926954</v>
      </c>
      <c r="CB166" s="161"/>
      <c r="CC166" s="1859"/>
      <c r="CD166" s="2296">
        <f>(CD160+CD161+CD162)/3</f>
        <v>341.91333333333336</v>
      </c>
      <c r="CE166" s="2293">
        <f t="shared" si="448"/>
        <v>-12.114708238549953</v>
      </c>
      <c r="CF166" s="161"/>
      <c r="CG166" s="1859"/>
      <c r="CH166" s="2296">
        <f>(CH160+CH161+CH162)/3</f>
        <v>325.74700000000001</v>
      </c>
      <c r="CI166" s="2293">
        <f t="shared" si="449"/>
        <v>-4.7281962290638972</v>
      </c>
      <c r="CJ166" s="161"/>
      <c r="CK166" s="1859"/>
      <c r="CL166" s="2296">
        <f>(CL160+CL161+CL162)/3</f>
        <v>332.87366666666668</v>
      </c>
      <c r="CM166" s="2293">
        <f t="shared" si="450"/>
        <v>2.1877919571528404</v>
      </c>
      <c r="CN166" s="161"/>
      <c r="CO166" s="1859"/>
      <c r="CP166" s="2296">
        <f>(CP160+CP161+CP162)/3</f>
        <v>317.06666666666666</v>
      </c>
      <c r="CQ166" s="2293">
        <f t="shared" si="451"/>
        <v>-4.748648386124465</v>
      </c>
      <c r="CR166" s="161"/>
      <c r="CS166" s="1859"/>
      <c r="CT166" s="2296">
        <f>(CT160+CT161+CT162)/3</f>
        <v>297.21800000000002</v>
      </c>
      <c r="CU166" s="2293">
        <f t="shared" si="452"/>
        <v>-6.2600925147182407</v>
      </c>
      <c r="CV166" s="161"/>
      <c r="CW166" s="161"/>
      <c r="CX166" s="2296">
        <f>(CX160+CX161+CX162)/3</f>
        <v>295.73899999999998</v>
      </c>
      <c r="CY166" s="2293">
        <f t="shared" si="453"/>
        <v>-0.49761454555243834</v>
      </c>
      <c r="CZ166" s="161"/>
      <c r="DA166" s="161"/>
      <c r="DB166" s="2296">
        <f>(DB160+DB161+DB162)/3</f>
        <v>297.59999999999997</v>
      </c>
      <c r="DC166" s="2293">
        <f t="shared" si="454"/>
        <v>0.62927108024304346</v>
      </c>
      <c r="DD166" s="161"/>
      <c r="DE166" s="161"/>
      <c r="DF166" s="2296">
        <f>(DF160+DF161+DF162)/3</f>
        <v>297.32633333333337</v>
      </c>
      <c r="DG166" s="2293">
        <f t="shared" si="455"/>
        <v>-9.1957885304638776E-2</v>
      </c>
      <c r="DH166" s="161"/>
      <c r="DI166" s="161"/>
      <c r="DJ166" s="2296">
        <f>(DJ160+DJ161+DJ162)/3</f>
        <v>291.34300000000002</v>
      </c>
      <c r="DK166" s="2293">
        <f t="shared" si="456"/>
        <v>-2.0123792152057396</v>
      </c>
      <c r="DL166" s="161"/>
      <c r="DM166" s="161"/>
      <c r="DN166" s="2296">
        <f>(DN160+DN161+DN162)/3</f>
        <v>287.89999999999998</v>
      </c>
      <c r="DO166" s="2293">
        <f t="shared" si="457"/>
        <v>-1.1817685683198298</v>
      </c>
      <c r="DP166" s="161"/>
      <c r="DQ166" s="161"/>
      <c r="DR166" s="2296">
        <f>(DR160+DR161+DR162)/3</f>
        <v>282.5</v>
      </c>
      <c r="DS166" s="2293">
        <f t="shared" si="458"/>
        <v>-1.8756512678013149</v>
      </c>
      <c r="DT166" s="161"/>
      <c r="DU166" s="1859"/>
    </row>
    <row r="167" spans="1:128" collapsed="1">
      <c r="AM167" s="2293"/>
      <c r="BK167" s="2177"/>
      <c r="BN167" s="161"/>
      <c r="BO167" s="161"/>
      <c r="BP167" s="161"/>
      <c r="BR167" s="161"/>
      <c r="BS167" s="161"/>
      <c r="BT167" s="161"/>
      <c r="BV167" s="2229"/>
      <c r="BW167" s="161"/>
      <c r="BX167" s="161"/>
      <c r="BZ167" s="2296"/>
      <c r="CA167" s="161"/>
      <c r="CB167" s="161"/>
      <c r="CD167" s="161"/>
      <c r="CE167" s="161"/>
      <c r="CF167" s="161"/>
      <c r="CH167" s="2287"/>
      <c r="CI167" s="161"/>
      <c r="CJ167" s="161"/>
      <c r="CL167" s="161"/>
      <c r="CM167" s="161"/>
      <c r="CN167" s="161"/>
      <c r="CP167" s="2229"/>
      <c r="CQ167" s="161"/>
      <c r="CR167" s="161"/>
      <c r="CT167" s="161"/>
      <c r="CU167" s="161"/>
      <c r="CV167" s="161"/>
      <c r="CW167" s="161"/>
      <c r="CX167" s="161"/>
      <c r="CY167" s="161"/>
      <c r="CZ167" s="161"/>
      <c r="DA167" s="161"/>
      <c r="DB167" s="161"/>
      <c r="DC167" s="161"/>
      <c r="DD167" s="161"/>
      <c r="DE167" s="161"/>
      <c r="DF167" s="161"/>
      <c r="DG167" s="161"/>
      <c r="DH167" s="161"/>
      <c r="DI167" s="161"/>
      <c r="DJ167" s="161"/>
      <c r="DK167" s="161"/>
      <c r="DL167" s="161"/>
      <c r="DM167" s="161"/>
      <c r="DN167" s="161"/>
      <c r="DO167" s="161"/>
      <c r="DP167" s="161"/>
      <c r="DQ167" s="161"/>
      <c r="DR167" s="161"/>
      <c r="DS167" s="161"/>
      <c r="DT167" s="161"/>
    </row>
    <row r="168" spans="1:128">
      <c r="C168" s="1936"/>
      <c r="D168" s="2175"/>
      <c r="E168" s="1936"/>
      <c r="F168" s="2175"/>
      <c r="J168" s="2175"/>
      <c r="N168" s="2175"/>
      <c r="R168" s="2175"/>
      <c r="V168" s="2175"/>
      <c r="Z168" s="2176"/>
      <c r="AA168" s="2177"/>
      <c r="AB168" s="2177"/>
      <c r="AC168" s="2177"/>
      <c r="AD168" s="2176"/>
      <c r="AE168" s="2177"/>
      <c r="AF168" s="2177"/>
      <c r="AG168" s="2177"/>
      <c r="AH168" s="2176"/>
      <c r="AI168" s="2177"/>
      <c r="AJ168" s="2177"/>
      <c r="AK168" s="2177"/>
      <c r="AM168" s="2177"/>
      <c r="AN168" s="2177"/>
      <c r="AO168" s="2177"/>
      <c r="AQ168" s="2177"/>
      <c r="AR168" s="2177"/>
      <c r="AS168" s="2177"/>
      <c r="AU168" s="2177"/>
      <c r="AV168" s="2177"/>
      <c r="AW168" s="2177"/>
      <c r="AY168" s="2177"/>
      <c r="AZ168" s="2177"/>
      <c r="BA168" s="2177"/>
      <c r="BB168" s="2176"/>
      <c r="BC168" s="2177"/>
      <c r="BD168" s="2177"/>
      <c r="BE168" s="2177"/>
      <c r="BF168" s="2176"/>
      <c r="BG168" s="2177"/>
      <c r="BH168" s="2177"/>
      <c r="BI168" s="2177"/>
      <c r="BJ168" s="2176" t="s">
        <v>547</v>
      </c>
      <c r="BK168" s="2177"/>
      <c r="BL168" s="2177"/>
      <c r="BM168" s="2177"/>
      <c r="BN168" s="2178"/>
      <c r="BO168" s="2179"/>
      <c r="BP168" s="2179"/>
      <c r="BQ168" s="2177"/>
      <c r="BR168" s="2178"/>
      <c r="BS168" s="2179"/>
      <c r="BT168" s="2179"/>
      <c r="BU168" s="2177"/>
      <c r="BV168" s="2176" t="s">
        <v>547</v>
      </c>
      <c r="BW168" s="2179"/>
      <c r="BX168" s="2179"/>
      <c r="BY168" s="2177"/>
      <c r="CA168" s="2179"/>
      <c r="CB168" s="2179"/>
      <c r="CC168" s="2177"/>
      <c r="CD168" s="2178"/>
      <c r="CE168" s="2179"/>
      <c r="CF168" s="2179"/>
      <c r="CG168" s="2177"/>
      <c r="CH168" s="2178"/>
      <c r="CI168" s="2179"/>
      <c r="CJ168" s="2179"/>
      <c r="CL168" s="2178"/>
      <c r="CM168" s="2179"/>
      <c r="CN168" s="2179"/>
      <c r="CO168" s="2177"/>
      <c r="CP168" s="2178"/>
      <c r="CQ168" s="2179"/>
      <c r="CR168" s="2179"/>
      <c r="CS168" s="2177"/>
      <c r="CT168" s="2178"/>
      <c r="CU168" s="2179"/>
      <c r="CV168" s="2179"/>
      <c r="CW168" s="2179"/>
      <c r="CX168" s="2210" t="s">
        <v>547</v>
      </c>
      <c r="CY168" s="2179"/>
      <c r="CZ168" s="2179"/>
      <c r="DA168" s="2179"/>
      <c r="DB168" s="2179"/>
      <c r="DC168" s="2179"/>
      <c r="DD168" s="2179"/>
      <c r="DE168" s="2179"/>
      <c r="DF168" s="2179"/>
      <c r="DG168" s="2179"/>
      <c r="DH168" s="2179"/>
      <c r="DI168" s="2179"/>
      <c r="DJ168" s="2179"/>
      <c r="DK168" s="2179"/>
      <c r="DL168" s="2179"/>
      <c r="DM168" s="2179"/>
      <c r="DN168" s="2179"/>
      <c r="DO168" s="2179"/>
      <c r="DP168" s="2179"/>
      <c r="DQ168" s="2179"/>
      <c r="DR168" s="2179"/>
      <c r="DS168" s="2179"/>
      <c r="DT168" s="2179"/>
      <c r="DU168" s="2177"/>
    </row>
    <row r="169" spans="1:128">
      <c r="AK169" s="23" t="s">
        <v>533</v>
      </c>
      <c r="BN169" s="161"/>
      <c r="BO169" s="161"/>
      <c r="BP169" s="161"/>
      <c r="BR169" s="161"/>
      <c r="BS169" s="161"/>
      <c r="BT169" s="161"/>
      <c r="BV169" s="161"/>
      <c r="BW169" s="161"/>
      <c r="BX169" s="161"/>
      <c r="BZ169" s="161"/>
      <c r="CA169" s="161"/>
      <c r="CB169" s="161"/>
      <c r="CD169" s="161"/>
      <c r="CE169" s="161"/>
      <c r="CF169" s="161"/>
      <c r="CH169" s="161"/>
      <c r="CI169" s="161"/>
      <c r="CJ169" s="161"/>
      <c r="CL169" s="161"/>
      <c r="CM169" s="161"/>
      <c r="CN169" s="161"/>
      <c r="CP169" s="161"/>
      <c r="CQ169" s="161"/>
      <c r="CR169" s="161"/>
      <c r="CT169" s="161"/>
      <c r="CU169" s="161"/>
      <c r="CV169" s="161"/>
      <c r="CW169" s="161"/>
      <c r="CX169" s="161"/>
      <c r="CY169" s="161"/>
      <c r="CZ169" s="161"/>
      <c r="DA169" s="161"/>
      <c r="DB169" s="161"/>
      <c r="DC169" s="161"/>
      <c r="DD169" s="161"/>
      <c r="DE169" s="161"/>
      <c r="DF169" s="161"/>
      <c r="DG169" s="161"/>
      <c r="DH169" s="161"/>
      <c r="DI169" s="161"/>
      <c r="DJ169" s="161"/>
      <c r="DK169" s="161"/>
      <c r="DL169" s="161"/>
      <c r="DM169" s="161"/>
      <c r="DN169" s="161"/>
      <c r="DO169" s="161"/>
      <c r="DP169" s="161"/>
      <c r="DQ169" s="161"/>
      <c r="DR169" s="161"/>
      <c r="DS169" s="161"/>
      <c r="DT169" s="161"/>
    </row>
    <row r="170" spans="1:128">
      <c r="A170" s="23" t="str">
        <f>$A$10</f>
        <v>1Q</v>
      </c>
      <c r="B170" s="23" t="str">
        <f>$B$10</f>
        <v>Apr</v>
      </c>
      <c r="D170" s="2297">
        <f>0.04/2</f>
        <v>0.02</v>
      </c>
      <c r="F170" s="2297">
        <f>0.06/2</f>
        <v>0.03</v>
      </c>
      <c r="G170" s="2293">
        <f t="shared" ref="G170:G176" si="460">(F170/D170-1)*100</f>
        <v>50</v>
      </c>
      <c r="H170" s="1954"/>
      <c r="J170" s="2297">
        <f>0.07/2</f>
        <v>3.5000000000000003E-2</v>
      </c>
      <c r="K170" s="2293">
        <f t="shared" ref="K170:K176" si="461">(J170/F170-1)*100</f>
        <v>16.666666666666675</v>
      </c>
      <c r="L170" s="1954"/>
      <c r="N170" s="2297">
        <f>0.07/2</f>
        <v>3.5000000000000003E-2</v>
      </c>
      <c r="O170" s="2293">
        <f t="shared" ref="O170:O176" si="462">(N170/J170-1)*100</f>
        <v>0</v>
      </c>
      <c r="P170" s="1954"/>
      <c r="R170" s="2297">
        <f>0.09/2</f>
        <v>4.4999999999999998E-2</v>
      </c>
      <c r="S170" s="2293">
        <f t="shared" ref="S170:S176" si="463">(R170/N170-1)*100</f>
        <v>28.571428571428559</v>
      </c>
      <c r="T170" s="1954"/>
      <c r="V170" s="2297">
        <f>0.09/2</f>
        <v>4.4999999999999998E-2</v>
      </c>
      <c r="W170" s="2293">
        <f t="shared" ref="W170:W176" si="464">(V170/R170-1)*100</f>
        <v>0</v>
      </c>
      <c r="X170" s="1954"/>
      <c r="Z170" s="2297">
        <f>0.1/2</f>
        <v>0.05</v>
      </c>
      <c r="AA170" s="2293">
        <f t="shared" ref="AA170:AA176" si="465">(Z170/V170-1)*100</f>
        <v>11.111111111111116</v>
      </c>
      <c r="AB170" s="1954"/>
      <c r="AD170" s="2297">
        <f>0.1/2</f>
        <v>0.05</v>
      </c>
      <c r="AE170" s="2293">
        <f t="shared" ref="AE170:AE176" si="466">(AD170/Z170-1)*100</f>
        <v>0</v>
      </c>
      <c r="AF170" s="1954"/>
      <c r="AH170" s="2297">
        <f>0.12/2</f>
        <v>0.06</v>
      </c>
      <c r="AI170" s="2293">
        <f t="shared" ref="AI170:AI176" si="467">(AH170/AD170-1)*100</f>
        <v>19.999999999999996</v>
      </c>
      <c r="AJ170" s="1954"/>
      <c r="AL170" s="2297">
        <f>0.13/2</f>
        <v>6.5000000000000002E-2</v>
      </c>
      <c r="AM170" s="2293">
        <f t="shared" ref="AM170:AM176" si="468">(AL170/AH170-1)*100</f>
        <v>8.3333333333333481</v>
      </c>
      <c r="AN170" s="1954"/>
      <c r="AO170" s="1954"/>
      <c r="AP170" s="2297">
        <f>0.15/2</f>
        <v>7.4999999999999997E-2</v>
      </c>
      <c r="AQ170" s="2293">
        <f t="shared" ref="AQ170:AQ176" si="469">(AP170/AL170-1)*100</f>
        <v>15.384615384615374</v>
      </c>
      <c r="AT170" s="2297">
        <v>7.4999999999999997E-2</v>
      </c>
      <c r="AU170" s="2293">
        <f t="shared" ref="AU170:AU176" si="470">(AT170/AP170-1)*100</f>
        <v>0</v>
      </c>
      <c r="AX170" s="2297">
        <v>7.4999999999999997E-2</v>
      </c>
      <c r="AY170" s="2293">
        <f t="shared" ref="AY170:AY176" si="471">(AX170/AT170-1)*100</f>
        <v>0</v>
      </c>
      <c r="BB170" s="2297">
        <v>7.4999999999999997E-2</v>
      </c>
      <c r="BC170" s="2293">
        <f t="shared" ref="BC170:BC176" si="472">(BB170/AX170-1)*100</f>
        <v>0</v>
      </c>
      <c r="BF170" s="2297">
        <v>0.1</v>
      </c>
      <c r="BG170" s="2293">
        <f t="shared" ref="BG170:BG176" si="473">(BF170/BB170-1)*100</f>
        <v>33.33333333333335</v>
      </c>
      <c r="BJ170" s="2297">
        <v>0.12</v>
      </c>
      <c r="BK170" s="2293">
        <f t="shared" ref="BK170:BK176" si="474">(BJ170/BF170-1)*100</f>
        <v>19.999999999999996</v>
      </c>
      <c r="BN170" s="2298">
        <v>0.15</v>
      </c>
      <c r="BO170" s="2293">
        <f t="shared" ref="BO170:BO176" si="475">(BN170/BJ170-1)*100</f>
        <v>25</v>
      </c>
      <c r="BP170" s="161"/>
      <c r="BR170" s="2298">
        <v>0.15</v>
      </c>
      <c r="BS170" s="2293">
        <f>(BR170/BJ170-1)*100</f>
        <v>25</v>
      </c>
      <c r="BT170" s="161"/>
      <c r="BV170" s="2298">
        <v>0.15</v>
      </c>
      <c r="BW170" s="2293">
        <f t="shared" ref="BW170:BW176" si="476">(BV170/BR170-1)*100</f>
        <v>0</v>
      </c>
      <c r="BX170" s="161"/>
      <c r="BZ170" s="2298">
        <v>0.15</v>
      </c>
      <c r="CA170" s="2293">
        <f t="shared" ref="CA170:CA176" si="477">(BZ170/BV170-1)*100</f>
        <v>0</v>
      </c>
      <c r="CB170" s="161"/>
      <c r="CD170" s="2298">
        <v>0.15</v>
      </c>
      <c r="CE170" s="2293">
        <f t="shared" ref="CE170:CE176" si="478">(CD170/BZ170-1)*100</f>
        <v>0</v>
      </c>
      <c r="CF170" s="161"/>
      <c r="CH170" s="2298">
        <v>0.15</v>
      </c>
      <c r="CI170" s="2293">
        <f t="shared" ref="CI170:CI176" si="479">(CH170/CD170-1)*100</f>
        <v>0</v>
      </c>
      <c r="CJ170" s="161"/>
      <c r="CL170" s="2298">
        <f>CH173</f>
        <v>0.15</v>
      </c>
      <c r="CM170" s="2293">
        <f t="shared" ref="CM170:CM176" si="480">(CL170/CH170-1)*100</f>
        <v>0</v>
      </c>
      <c r="CN170" s="161"/>
      <c r="CP170" s="2298">
        <v>0.2</v>
      </c>
      <c r="CQ170" s="2293">
        <f t="shared" ref="CQ170:CQ176" si="481">(CP170/CL170-1)*100</f>
        <v>33.33333333333335</v>
      </c>
      <c r="CR170" s="161"/>
      <c r="CT170" s="2298">
        <v>0.25</v>
      </c>
      <c r="CU170" s="2293">
        <f t="shared" ref="CU170:CU176" si="482">(CT170/CP170-1)*100</f>
        <v>25</v>
      </c>
      <c r="CV170" s="161"/>
      <c r="CW170" s="161"/>
      <c r="CX170" s="2298">
        <v>0.3</v>
      </c>
      <c r="CY170" s="2293">
        <f>(CX170/CT170-1)*100</f>
        <v>19.999999999999996</v>
      </c>
      <c r="CZ170" s="161"/>
      <c r="DA170" s="161"/>
      <c r="DB170" s="2298">
        <v>0.34</v>
      </c>
      <c r="DC170" s="2293">
        <f>(DB170/CX170-1)*100</f>
        <v>13.333333333333353</v>
      </c>
      <c r="DD170" s="161"/>
      <c r="DE170" s="161"/>
      <c r="DF170" s="2298">
        <v>0.5</v>
      </c>
      <c r="DG170" s="2293">
        <f>(DF170/DB170-1)*100</f>
        <v>47.058823529411754</v>
      </c>
      <c r="DH170" s="161"/>
      <c r="DI170" s="161"/>
      <c r="DJ170" s="2298">
        <v>0.6</v>
      </c>
      <c r="DK170" s="2293">
        <f>(DJ170/DF170-1)*100</f>
        <v>19.999999999999996</v>
      </c>
      <c r="DL170" s="161"/>
      <c r="DM170" s="161"/>
      <c r="DN170" s="2610">
        <v>0.6</v>
      </c>
      <c r="DO170" s="2293">
        <f>(DN170/DJ170-1)*100</f>
        <v>0</v>
      </c>
      <c r="DP170" s="161"/>
      <c r="DQ170" s="161"/>
      <c r="DR170" s="2787">
        <v>0.6</v>
      </c>
      <c r="DS170" s="2293">
        <f>(DR170/DN170-1)*100</f>
        <v>0</v>
      </c>
      <c r="DT170" s="161"/>
    </row>
    <row r="171" spans="1:128">
      <c r="A171" s="23" t="str">
        <f>$A$11</f>
        <v>2Q</v>
      </c>
      <c r="B171" s="23" t="str">
        <f>$B$11</f>
        <v>Jul</v>
      </c>
      <c r="D171" s="2297">
        <f>0.04/2</f>
        <v>0.02</v>
      </c>
      <c r="F171" s="2297">
        <f>0.06/2</f>
        <v>0.03</v>
      </c>
      <c r="G171" s="2293">
        <f t="shared" si="460"/>
        <v>50</v>
      </c>
      <c r="H171" s="1954"/>
      <c r="J171" s="2297">
        <f>0.07/2</f>
        <v>3.5000000000000003E-2</v>
      </c>
      <c r="K171" s="2293">
        <f t="shared" si="461"/>
        <v>16.666666666666675</v>
      </c>
      <c r="L171" s="1954"/>
      <c r="N171" s="2297">
        <f>0.07/2</f>
        <v>3.5000000000000003E-2</v>
      </c>
      <c r="O171" s="2293">
        <f t="shared" si="462"/>
        <v>0</v>
      </c>
      <c r="P171" s="1954"/>
      <c r="R171" s="2297">
        <f>0.09/2</f>
        <v>4.4999999999999998E-2</v>
      </c>
      <c r="S171" s="2293">
        <f t="shared" si="463"/>
        <v>28.571428571428559</v>
      </c>
      <c r="T171" s="1954"/>
      <c r="V171" s="2297">
        <f>0.09/2</f>
        <v>4.4999999999999998E-2</v>
      </c>
      <c r="W171" s="2293">
        <f t="shared" si="464"/>
        <v>0</v>
      </c>
      <c r="X171" s="1954"/>
      <c r="Z171" s="2297">
        <f>0.1/2</f>
        <v>0.05</v>
      </c>
      <c r="AA171" s="2293">
        <f t="shared" si="465"/>
        <v>11.111111111111116</v>
      </c>
      <c r="AB171" s="1954"/>
      <c r="AD171" s="2297">
        <f>0.1/2</f>
        <v>0.05</v>
      </c>
      <c r="AE171" s="2293">
        <f t="shared" si="466"/>
        <v>0</v>
      </c>
      <c r="AF171" s="1954"/>
      <c r="AH171" s="2297">
        <f>0.12/2</f>
        <v>0.06</v>
      </c>
      <c r="AI171" s="2293">
        <f t="shared" si="467"/>
        <v>19.999999999999996</v>
      </c>
      <c r="AJ171" s="1954"/>
      <c r="AL171" s="2297">
        <f>0.13/2</f>
        <v>6.5000000000000002E-2</v>
      </c>
      <c r="AM171" s="2293">
        <f t="shared" si="468"/>
        <v>8.3333333333333481</v>
      </c>
      <c r="AN171" s="1954"/>
      <c r="AO171" s="1954"/>
      <c r="AP171" s="2297">
        <f>0.15/2</f>
        <v>7.4999999999999997E-2</v>
      </c>
      <c r="AQ171" s="2293">
        <f t="shared" si="469"/>
        <v>15.384615384615374</v>
      </c>
      <c r="AT171" s="2297">
        <v>7.4999999999999997E-2</v>
      </c>
      <c r="AU171" s="2293">
        <f t="shared" si="470"/>
        <v>0</v>
      </c>
      <c r="AX171" s="2297">
        <v>7.4999999999999997E-2</v>
      </c>
      <c r="AY171" s="2293">
        <f t="shared" si="471"/>
        <v>0</v>
      </c>
      <c r="BB171" s="2297">
        <v>7.4999999999999997E-2</v>
      </c>
      <c r="BC171" s="2293">
        <f t="shared" si="472"/>
        <v>0</v>
      </c>
      <c r="BF171" s="2297">
        <v>0.1</v>
      </c>
      <c r="BG171" s="2293">
        <f t="shared" si="473"/>
        <v>33.33333333333335</v>
      </c>
      <c r="BJ171" s="2297">
        <v>0.12</v>
      </c>
      <c r="BK171" s="2293">
        <f t="shared" si="474"/>
        <v>19.999999999999996</v>
      </c>
      <c r="BN171" s="2298">
        <v>0.15</v>
      </c>
      <c r="BO171" s="2293">
        <f t="shared" si="475"/>
        <v>25</v>
      </c>
      <c r="BP171" s="161"/>
      <c r="BR171" s="2298">
        <v>0.15</v>
      </c>
      <c r="BS171" s="2293">
        <f t="shared" ref="BS171:BS176" si="483">(BR171/BJ171-1)*100</f>
        <v>25</v>
      </c>
      <c r="BT171" s="161"/>
      <c r="BV171" s="2298">
        <v>0.15</v>
      </c>
      <c r="BW171" s="2293">
        <f t="shared" si="476"/>
        <v>0</v>
      </c>
      <c r="BX171" s="161"/>
      <c r="BZ171" s="2298">
        <v>0.15</v>
      </c>
      <c r="CA171" s="2293">
        <f t="shared" si="477"/>
        <v>0</v>
      </c>
      <c r="CB171" s="161"/>
      <c r="CD171" s="2298">
        <v>0.15</v>
      </c>
      <c r="CE171" s="2293">
        <f t="shared" si="478"/>
        <v>0</v>
      </c>
      <c r="CF171" s="161"/>
      <c r="CH171" s="2298">
        <v>0.15</v>
      </c>
      <c r="CI171" s="2293">
        <f t="shared" si="479"/>
        <v>0</v>
      </c>
      <c r="CJ171" s="161"/>
      <c r="CL171" s="2298">
        <v>0.15</v>
      </c>
      <c r="CM171" s="2293">
        <f t="shared" si="480"/>
        <v>0</v>
      </c>
      <c r="CN171" s="161"/>
      <c r="CP171" s="2298">
        <v>0.2</v>
      </c>
      <c r="CQ171" s="2293">
        <f t="shared" si="481"/>
        <v>33.33333333333335</v>
      </c>
      <c r="CR171" s="161"/>
      <c r="CT171" s="2298">
        <v>0.25</v>
      </c>
      <c r="CU171" s="2293">
        <f t="shared" si="482"/>
        <v>25</v>
      </c>
      <c r="CV171" s="161"/>
      <c r="CW171" s="161"/>
      <c r="CX171" s="2298">
        <v>0.3</v>
      </c>
      <c r="CY171" s="2293">
        <f t="shared" ref="CY171:CY176" si="484">(CX171/CT171-1)*100</f>
        <v>19.999999999999996</v>
      </c>
      <c r="CZ171" s="161"/>
      <c r="DA171" s="161"/>
      <c r="DB171" s="2298">
        <v>0.34</v>
      </c>
      <c r="DC171" s="2293">
        <f t="shared" ref="DC171:DC176" si="485">(DB171/CX171-1)*100</f>
        <v>13.333333333333353</v>
      </c>
      <c r="DD171" s="161"/>
      <c r="DE171" s="161"/>
      <c r="DF171" s="2408">
        <f>DF170</f>
        <v>0.5</v>
      </c>
      <c r="DG171" s="2293">
        <f t="shared" ref="DG171:DG176" si="486">(DF171/DB171-1)*100</f>
        <v>47.058823529411754</v>
      </c>
      <c r="DH171" s="161"/>
      <c r="DI171" s="161"/>
      <c r="DJ171" s="2298">
        <f>DJ170</f>
        <v>0.6</v>
      </c>
      <c r="DK171" s="2293">
        <f t="shared" ref="DK171:DK176" si="487">(DJ171/DF171-1)*100</f>
        <v>19.999999999999996</v>
      </c>
      <c r="DL171" s="161"/>
      <c r="DM171" s="161"/>
      <c r="DN171" s="2610">
        <f>DN170</f>
        <v>0.6</v>
      </c>
      <c r="DO171" s="2293">
        <f t="shared" ref="DO171:DO176" si="488">(DN171/DJ171-1)*100</f>
        <v>0</v>
      </c>
      <c r="DP171" s="161"/>
      <c r="DQ171" s="161"/>
      <c r="DR171" s="2787">
        <f>DR170</f>
        <v>0.6</v>
      </c>
      <c r="DS171" s="2293">
        <f t="shared" ref="DS171:DS176" si="489">(DR171/DN171-1)*100</f>
        <v>0</v>
      </c>
      <c r="DT171" s="161"/>
    </row>
    <row r="172" spans="1:128">
      <c r="A172" s="23" t="str">
        <f>$A$12</f>
        <v>3Q</v>
      </c>
      <c r="B172" s="23" t="str">
        <f>$B$12</f>
        <v>Oct</v>
      </c>
      <c r="D172" s="2297">
        <f>0.04/2</f>
        <v>0.02</v>
      </c>
      <c r="F172" s="2297">
        <f>0.06/2</f>
        <v>0.03</v>
      </c>
      <c r="G172" s="2293">
        <f t="shared" si="460"/>
        <v>50</v>
      </c>
      <c r="H172" s="1954"/>
      <c r="J172" s="2297">
        <f>0.07/2</f>
        <v>3.5000000000000003E-2</v>
      </c>
      <c r="K172" s="2293">
        <f t="shared" si="461"/>
        <v>16.666666666666675</v>
      </c>
      <c r="L172" s="1954"/>
      <c r="N172" s="2297">
        <f>0.07/2</f>
        <v>3.5000000000000003E-2</v>
      </c>
      <c r="O172" s="2293">
        <f t="shared" si="462"/>
        <v>0</v>
      </c>
      <c r="P172" s="1954"/>
      <c r="R172" s="2297">
        <f>0.09/2</f>
        <v>4.4999999999999998E-2</v>
      </c>
      <c r="S172" s="2293">
        <f t="shared" si="463"/>
        <v>28.571428571428559</v>
      </c>
      <c r="T172" s="1954"/>
      <c r="V172" s="2297">
        <f>0.09/2</f>
        <v>4.4999999999999998E-2</v>
      </c>
      <c r="W172" s="2293">
        <f t="shared" si="464"/>
        <v>0</v>
      </c>
      <c r="X172" s="1954"/>
      <c r="Z172" s="2297">
        <f>0.1/2</f>
        <v>0.05</v>
      </c>
      <c r="AA172" s="2293">
        <f t="shared" si="465"/>
        <v>11.111111111111116</v>
      </c>
      <c r="AB172" s="1954"/>
      <c r="AD172" s="2297">
        <f>0.1/2</f>
        <v>0.05</v>
      </c>
      <c r="AE172" s="2293">
        <f t="shared" si="466"/>
        <v>0</v>
      </c>
      <c r="AF172" s="1954"/>
      <c r="AH172" s="2297">
        <f>0.12/2</f>
        <v>0.06</v>
      </c>
      <c r="AI172" s="2293">
        <f t="shared" si="467"/>
        <v>19.999999999999996</v>
      </c>
      <c r="AJ172" s="1954"/>
      <c r="AL172" s="2297">
        <f>0.13/2</f>
        <v>6.5000000000000002E-2</v>
      </c>
      <c r="AM172" s="2293">
        <f t="shared" si="468"/>
        <v>8.3333333333333481</v>
      </c>
      <c r="AN172" s="1954"/>
      <c r="AO172" s="1954"/>
      <c r="AP172" s="2297">
        <f>0.15/2</f>
        <v>7.4999999999999997E-2</v>
      </c>
      <c r="AQ172" s="2293">
        <f t="shared" si="469"/>
        <v>15.384615384615374</v>
      </c>
      <c r="AR172" s="23" t="s">
        <v>938</v>
      </c>
      <c r="AT172" s="2297">
        <v>7.4999999999999997E-2</v>
      </c>
      <c r="AU172" s="2293">
        <f t="shared" si="470"/>
        <v>0</v>
      </c>
      <c r="AX172" s="2297">
        <v>7.4999999999999997E-2</v>
      </c>
      <c r="AY172" s="2293">
        <f t="shared" si="471"/>
        <v>0</v>
      </c>
      <c r="BB172" s="2297">
        <v>7.4999999999999997E-2</v>
      </c>
      <c r="BC172" s="2293">
        <f t="shared" si="472"/>
        <v>0</v>
      </c>
      <c r="BF172" s="2297">
        <v>0.1</v>
      </c>
      <c r="BG172" s="2293">
        <f t="shared" si="473"/>
        <v>33.33333333333335</v>
      </c>
      <c r="BJ172" s="2297">
        <v>0.12</v>
      </c>
      <c r="BK172" s="2293">
        <f t="shared" si="474"/>
        <v>19.999999999999996</v>
      </c>
      <c r="BN172" s="2298">
        <v>0.15</v>
      </c>
      <c r="BO172" s="2293">
        <f t="shared" si="475"/>
        <v>25</v>
      </c>
      <c r="BP172" s="161"/>
      <c r="BR172" s="2298">
        <v>0.15</v>
      </c>
      <c r="BS172" s="2293">
        <f t="shared" si="483"/>
        <v>25</v>
      </c>
      <c r="BT172" s="161"/>
      <c r="BV172" s="2298">
        <v>0.15</v>
      </c>
      <c r="BW172" s="2293">
        <f t="shared" si="476"/>
        <v>0</v>
      </c>
      <c r="BX172" s="161"/>
      <c r="BZ172" s="2298">
        <v>0.15</v>
      </c>
      <c r="CA172" s="2293">
        <f t="shared" si="477"/>
        <v>0</v>
      </c>
      <c r="CB172" s="161"/>
      <c r="CD172" s="2298">
        <v>0.15</v>
      </c>
      <c r="CE172" s="2293">
        <f t="shared" si="478"/>
        <v>0</v>
      </c>
      <c r="CF172" s="161"/>
      <c r="CH172" s="2298">
        <v>0.15</v>
      </c>
      <c r="CI172" s="2293">
        <f t="shared" si="479"/>
        <v>0</v>
      </c>
      <c r="CJ172" s="161"/>
      <c r="CL172" s="2298">
        <f>CL171</f>
        <v>0.15</v>
      </c>
      <c r="CM172" s="2293">
        <f t="shared" si="480"/>
        <v>0</v>
      </c>
      <c r="CN172" s="161"/>
      <c r="CP172" s="2298">
        <v>0.2</v>
      </c>
      <c r="CQ172" s="2293">
        <f t="shared" si="481"/>
        <v>33.33333333333335</v>
      </c>
      <c r="CR172" s="161"/>
      <c r="CT172" s="2298">
        <v>0.25</v>
      </c>
      <c r="CU172" s="2293">
        <f t="shared" si="482"/>
        <v>25</v>
      </c>
      <c r="CV172" s="161"/>
      <c r="CW172" s="161"/>
      <c r="CX172" s="2298">
        <v>0.3</v>
      </c>
      <c r="CY172" s="2293">
        <f t="shared" si="484"/>
        <v>19.999999999999996</v>
      </c>
      <c r="CZ172" s="161"/>
      <c r="DA172" s="161"/>
      <c r="DB172" s="2298">
        <v>0.34</v>
      </c>
      <c r="DC172" s="2293">
        <f t="shared" si="485"/>
        <v>13.333333333333353</v>
      </c>
      <c r="DD172" s="161"/>
      <c r="DE172" s="161"/>
      <c r="DF172" s="2408">
        <f>DF171</f>
        <v>0.5</v>
      </c>
      <c r="DG172" s="2293">
        <f t="shared" si="486"/>
        <v>47.058823529411754</v>
      </c>
      <c r="DH172" s="161"/>
      <c r="DI172" s="161"/>
      <c r="DJ172" s="2298">
        <f>DJ171</f>
        <v>0.6</v>
      </c>
      <c r="DK172" s="2293">
        <f t="shared" si="487"/>
        <v>19.999999999999996</v>
      </c>
      <c r="DL172" s="161"/>
      <c r="DM172" s="161"/>
      <c r="DN172" s="2610">
        <f>DN171</f>
        <v>0.6</v>
      </c>
      <c r="DO172" s="2293">
        <f t="shared" si="488"/>
        <v>0</v>
      </c>
      <c r="DP172" s="161"/>
      <c r="DQ172" s="161"/>
      <c r="DR172" s="2787">
        <f>DR171</f>
        <v>0.6</v>
      </c>
      <c r="DS172" s="2293">
        <f t="shared" si="489"/>
        <v>0</v>
      </c>
      <c r="DT172" s="161"/>
    </row>
    <row r="173" spans="1:128">
      <c r="A173" s="23" t="str">
        <f>$A$13</f>
        <v>4Q</v>
      </c>
      <c r="B173" s="23" t="str">
        <f>$B$13</f>
        <v>Jan</v>
      </c>
      <c r="C173" s="139"/>
      <c r="D173" s="2299">
        <f>0.04/2</f>
        <v>0.02</v>
      </c>
      <c r="E173" s="139"/>
      <c r="F173" s="2299">
        <f>0.06/2</f>
        <v>0.03</v>
      </c>
      <c r="G173" s="2293">
        <f t="shared" si="460"/>
        <v>50</v>
      </c>
      <c r="H173" s="1954"/>
      <c r="J173" s="2299">
        <f>0.07/2</f>
        <v>3.5000000000000003E-2</v>
      </c>
      <c r="K173" s="2293">
        <f t="shared" si="461"/>
        <v>16.666666666666675</v>
      </c>
      <c r="L173" s="1954"/>
      <c r="N173" s="2299">
        <f>0.07/2</f>
        <v>3.5000000000000003E-2</v>
      </c>
      <c r="O173" s="2293">
        <f t="shared" si="462"/>
        <v>0</v>
      </c>
      <c r="P173" s="1954"/>
      <c r="R173" s="2299">
        <f>0.09/2</f>
        <v>4.4999999999999998E-2</v>
      </c>
      <c r="S173" s="2293">
        <f t="shared" si="463"/>
        <v>28.571428571428559</v>
      </c>
      <c r="T173" s="1954"/>
      <c r="V173" s="2299">
        <f>0.09/2</f>
        <v>4.4999999999999998E-2</v>
      </c>
      <c r="W173" s="2293">
        <f t="shared" si="464"/>
        <v>0</v>
      </c>
      <c r="X173" s="1954"/>
      <c r="Z173" s="2299">
        <f>0.1/2</f>
        <v>0.05</v>
      </c>
      <c r="AA173" s="2293">
        <f t="shared" si="465"/>
        <v>11.111111111111116</v>
      </c>
      <c r="AB173" s="1954"/>
      <c r="AD173" s="2299">
        <f>0.1/2</f>
        <v>0.05</v>
      </c>
      <c r="AE173" s="2293">
        <f t="shared" si="466"/>
        <v>0</v>
      </c>
      <c r="AF173" s="1954"/>
      <c r="AH173" s="2299">
        <f>0.12/2</f>
        <v>0.06</v>
      </c>
      <c r="AI173" s="2293">
        <f t="shared" si="467"/>
        <v>19.999999999999996</v>
      </c>
      <c r="AJ173" s="1954"/>
      <c r="AL173" s="2300">
        <f>+AL174-AL172-AL171-AL170</f>
        <v>6.5000000000000002E-2</v>
      </c>
      <c r="AM173" s="2293">
        <f t="shared" si="468"/>
        <v>8.3333333333333481</v>
      </c>
      <c r="AN173" s="1954"/>
      <c r="AO173" s="1954"/>
      <c r="AP173" s="2300">
        <f>+AP174-AP172-AP171-AP170</f>
        <v>7.4999999999999969E-2</v>
      </c>
      <c r="AQ173" s="2293">
        <f t="shared" si="469"/>
        <v>15.38461538461533</v>
      </c>
      <c r="AT173" s="2299">
        <v>7.4999999999999997E-2</v>
      </c>
      <c r="AU173" s="2293">
        <f t="shared" si="470"/>
        <v>4.4408920985006262E-14</v>
      </c>
      <c r="AX173" s="2299">
        <v>7.4999999999999997E-2</v>
      </c>
      <c r="AY173" s="2293">
        <f t="shared" si="471"/>
        <v>0</v>
      </c>
      <c r="BB173" s="2299">
        <v>7.4999999999999997E-2</v>
      </c>
      <c r="BC173" s="2293">
        <f t="shared" si="472"/>
        <v>0</v>
      </c>
      <c r="BF173" s="2299">
        <v>0.1</v>
      </c>
      <c r="BG173" s="2293">
        <f t="shared" si="473"/>
        <v>33.33333333333335</v>
      </c>
      <c r="BI173" s="156" t="s">
        <v>1012</v>
      </c>
      <c r="BJ173" s="2301">
        <f>1.23+0.12</f>
        <v>1.35</v>
      </c>
      <c r="BK173" s="2293">
        <f t="shared" si="474"/>
        <v>1250</v>
      </c>
      <c r="BN173" s="2301">
        <v>0.15</v>
      </c>
      <c r="BO173" s="2293">
        <f t="shared" si="475"/>
        <v>-88.888888888888886</v>
      </c>
      <c r="BP173" s="161"/>
      <c r="BR173" s="2301">
        <v>0.15</v>
      </c>
      <c r="BS173" s="2293">
        <f t="shared" si="483"/>
        <v>-88.888888888888886</v>
      </c>
      <c r="BT173" s="161"/>
      <c r="BV173" s="2301">
        <v>0.15</v>
      </c>
      <c r="BW173" s="2293">
        <f t="shared" si="476"/>
        <v>0</v>
      </c>
      <c r="BX173" s="161"/>
      <c r="BZ173" s="2301">
        <v>0.15</v>
      </c>
      <c r="CA173" s="2293">
        <f t="shared" si="477"/>
        <v>0</v>
      </c>
      <c r="CB173" s="161"/>
      <c r="CD173" s="2301">
        <v>0.15</v>
      </c>
      <c r="CE173" s="2293">
        <f t="shared" si="478"/>
        <v>0</v>
      </c>
      <c r="CF173" s="161"/>
      <c r="CH173" s="2301">
        <v>0.15</v>
      </c>
      <c r="CI173" s="2293">
        <f t="shared" si="479"/>
        <v>0</v>
      </c>
      <c r="CJ173" s="161"/>
      <c r="CL173" s="2301">
        <f>+CL172</f>
        <v>0.15</v>
      </c>
      <c r="CM173" s="2293">
        <f t="shared" si="480"/>
        <v>0</v>
      </c>
      <c r="CN173" s="161"/>
      <c r="CP173" s="2301">
        <f>+CP172</f>
        <v>0.2</v>
      </c>
      <c r="CQ173" s="2293">
        <f t="shared" si="481"/>
        <v>33.33333333333335</v>
      </c>
      <c r="CR173" s="161"/>
      <c r="CT173" s="2301">
        <v>0.25</v>
      </c>
      <c r="CU173" s="2293">
        <f t="shared" si="482"/>
        <v>25</v>
      </c>
      <c r="CV173" s="161"/>
      <c r="CW173" s="161"/>
      <c r="CX173" s="2301">
        <v>0.3</v>
      </c>
      <c r="CY173" s="2293">
        <f t="shared" si="484"/>
        <v>19.999999999999996</v>
      </c>
      <c r="CZ173" s="161"/>
      <c r="DA173" s="161"/>
      <c r="DB173" s="2301">
        <v>0.34</v>
      </c>
      <c r="DC173" s="2293">
        <f t="shared" si="485"/>
        <v>13.333333333333353</v>
      </c>
      <c r="DD173" s="161"/>
      <c r="DE173" s="161"/>
      <c r="DF173" s="2301">
        <f>DF172</f>
        <v>0.5</v>
      </c>
      <c r="DG173" s="2293">
        <f t="shared" si="486"/>
        <v>47.058823529411754</v>
      </c>
      <c r="DH173" s="161"/>
      <c r="DI173" s="161"/>
      <c r="DJ173" s="2301">
        <f>DJ172</f>
        <v>0.6</v>
      </c>
      <c r="DK173" s="2293">
        <f t="shared" si="487"/>
        <v>19.999999999999996</v>
      </c>
      <c r="DL173" s="161"/>
      <c r="DM173" s="161"/>
      <c r="DN173" s="2873">
        <f>DN172</f>
        <v>0.6</v>
      </c>
      <c r="DO173" s="2293">
        <f t="shared" si="488"/>
        <v>0</v>
      </c>
      <c r="DP173" s="161"/>
      <c r="DQ173" s="161"/>
      <c r="DR173" s="2542">
        <f>DR172</f>
        <v>0.6</v>
      </c>
      <c r="DS173" s="2293">
        <f t="shared" si="489"/>
        <v>0</v>
      </c>
      <c r="DT173" s="161"/>
    </row>
    <row r="174" spans="1:128">
      <c r="B174" s="23" t="str">
        <f>$B$14</f>
        <v>Year</v>
      </c>
      <c r="D174" s="2302">
        <f>+SUM(D170:D173)</f>
        <v>0.08</v>
      </c>
      <c r="F174" s="2302">
        <f>+SUM(F170:F173)</f>
        <v>0.12</v>
      </c>
      <c r="G174" s="2293">
        <f t="shared" si="460"/>
        <v>50</v>
      </c>
      <c r="H174" s="1865"/>
      <c r="I174" s="1865"/>
      <c r="J174" s="2302">
        <f>+SUM(J170:J173)</f>
        <v>0.14000000000000001</v>
      </c>
      <c r="K174" s="2293">
        <f t="shared" si="461"/>
        <v>16.666666666666675</v>
      </c>
      <c r="L174" s="1865"/>
      <c r="M174" s="1865"/>
      <c r="N174" s="2302">
        <f>+SUM(N170:N173)</f>
        <v>0.14000000000000001</v>
      </c>
      <c r="O174" s="2293">
        <f t="shared" si="462"/>
        <v>0</v>
      </c>
      <c r="P174" s="1865"/>
      <c r="Q174" s="1865"/>
      <c r="R174" s="2302">
        <f>+SUM(R170:R173)</f>
        <v>0.18</v>
      </c>
      <c r="S174" s="2293">
        <f t="shared" si="463"/>
        <v>28.571428571428559</v>
      </c>
      <c r="T174" s="1865"/>
      <c r="U174" s="1865"/>
      <c r="V174" s="2302">
        <f>+SUM(V170:V173)</f>
        <v>0.18</v>
      </c>
      <c r="W174" s="2293">
        <f t="shared" si="464"/>
        <v>0</v>
      </c>
      <c r="X174" s="1865"/>
      <c r="Y174" s="1865"/>
      <c r="Z174" s="2302">
        <f>+SUM(Z170:Z173)</f>
        <v>0.2</v>
      </c>
      <c r="AA174" s="2293">
        <f t="shared" si="465"/>
        <v>11.111111111111116</v>
      </c>
      <c r="AB174" s="1865"/>
      <c r="AC174" s="1865"/>
      <c r="AD174" s="2302">
        <f>+SUM(AD170:AD173)</f>
        <v>0.2</v>
      </c>
      <c r="AE174" s="2293">
        <f t="shared" si="466"/>
        <v>0</v>
      </c>
      <c r="AF174" s="1865"/>
      <c r="AG174" s="1865"/>
      <c r="AH174" s="2302">
        <f>+SUM(AH170:AH173)</f>
        <v>0.24</v>
      </c>
      <c r="AI174" s="2293">
        <f t="shared" si="467"/>
        <v>19.999999999999996</v>
      </c>
      <c r="AJ174" s="1865"/>
      <c r="AK174" s="1865"/>
      <c r="AL174" s="2303">
        <v>0.26</v>
      </c>
      <c r="AM174" s="2293">
        <f t="shared" si="468"/>
        <v>8.3333333333333481</v>
      </c>
      <c r="AN174" s="1865"/>
      <c r="AO174" s="1865"/>
      <c r="AP174" s="2303">
        <v>0.3</v>
      </c>
      <c r="AQ174" s="2293">
        <f t="shared" si="469"/>
        <v>15.384615384615374</v>
      </c>
      <c r="AR174" s="1953"/>
      <c r="AS174" s="1953"/>
      <c r="AT174" s="2302">
        <f>+SUM(AT170:AT173)</f>
        <v>0.3</v>
      </c>
      <c r="AU174" s="2293">
        <f t="shared" si="470"/>
        <v>0</v>
      </c>
      <c r="AV174" s="1865"/>
      <c r="AW174" s="1865"/>
      <c r="AX174" s="2302">
        <f>+SUM(AX170:AX173)</f>
        <v>0.3</v>
      </c>
      <c r="AY174" s="2293">
        <f t="shared" si="471"/>
        <v>0</v>
      </c>
      <c r="AZ174" s="1865"/>
      <c r="BA174" s="1865"/>
      <c r="BB174" s="2302">
        <f>+SUM(BB170:BB173)</f>
        <v>0.3</v>
      </c>
      <c r="BC174" s="2293">
        <f t="shared" si="472"/>
        <v>0</v>
      </c>
      <c r="BE174" s="1865"/>
      <c r="BF174" s="2302">
        <f>+SUM(BF170:BF173)</f>
        <v>0.4</v>
      </c>
      <c r="BG174" s="2293">
        <f t="shared" si="473"/>
        <v>33.33333333333335</v>
      </c>
      <c r="BI174" s="1865"/>
      <c r="BJ174" s="2302">
        <f>+SUM(BJ170:BJ173)</f>
        <v>1.71</v>
      </c>
      <c r="BK174" s="2293">
        <f t="shared" si="474"/>
        <v>327.49999999999994</v>
      </c>
      <c r="BM174" s="1865"/>
      <c r="BN174" s="2276">
        <f>+SUM(BN170:BN173)</f>
        <v>0.6</v>
      </c>
      <c r="BO174" s="2293">
        <f t="shared" si="475"/>
        <v>-64.912280701754383</v>
      </c>
      <c r="BP174" s="161"/>
      <c r="BQ174" s="1865"/>
      <c r="BR174" s="2276">
        <f>+SUM(BR170:BR173)</f>
        <v>0.6</v>
      </c>
      <c r="BS174" s="2293">
        <f t="shared" si="483"/>
        <v>-64.912280701754383</v>
      </c>
      <c r="BT174" s="161"/>
      <c r="BU174" s="1865"/>
      <c r="BV174" s="2276">
        <f>+SUM(BV170:BV173)</f>
        <v>0.6</v>
      </c>
      <c r="BW174" s="2293">
        <f t="shared" si="476"/>
        <v>0</v>
      </c>
      <c r="BX174" s="161"/>
      <c r="BY174" s="1865"/>
      <c r="BZ174" s="2276">
        <f>+SUM(BZ170:BZ173)</f>
        <v>0.6</v>
      </c>
      <c r="CA174" s="2293">
        <f t="shared" si="477"/>
        <v>0</v>
      </c>
      <c r="CB174" s="161"/>
      <c r="CC174" s="1865"/>
      <c r="CD174" s="2276">
        <f>+SUM(CD170:CD173)</f>
        <v>0.6</v>
      </c>
      <c r="CE174" s="2293">
        <f t="shared" si="478"/>
        <v>0</v>
      </c>
      <c r="CF174" s="161"/>
      <c r="CG174" s="1865"/>
      <c r="CH174" s="2276">
        <f>+SUM(CH170:CH173)</f>
        <v>0.6</v>
      </c>
      <c r="CI174" s="2293">
        <f t="shared" si="479"/>
        <v>0</v>
      </c>
      <c r="CJ174" s="161"/>
      <c r="CK174" s="1865"/>
      <c r="CL174" s="2276">
        <f>+SUM(CL170:CL173)</f>
        <v>0.6</v>
      </c>
      <c r="CM174" s="2293">
        <f t="shared" si="480"/>
        <v>0</v>
      </c>
      <c r="CN174" s="161"/>
      <c r="CO174" s="1865"/>
      <c r="CP174" s="2276">
        <f>+SUM(CP170:CP173)</f>
        <v>0.8</v>
      </c>
      <c r="CQ174" s="2293">
        <f t="shared" si="481"/>
        <v>33.33333333333335</v>
      </c>
      <c r="CR174" s="161"/>
      <c r="CS174" s="1865"/>
      <c r="CT174" s="2276">
        <f>+SUM(CT170:CT173)</f>
        <v>1</v>
      </c>
      <c r="CU174" s="2293">
        <f t="shared" si="482"/>
        <v>25</v>
      </c>
      <c r="CV174" s="161"/>
      <c r="CW174" s="161"/>
      <c r="CX174" s="2276">
        <f>+SUM(CX170:CX173)</f>
        <v>1.2</v>
      </c>
      <c r="CY174" s="2293">
        <f t="shared" si="484"/>
        <v>19.999999999999996</v>
      </c>
      <c r="CZ174" s="161"/>
      <c r="DA174" s="161"/>
      <c r="DB174" s="2276">
        <f>+SUM(DB170:DB173)</f>
        <v>1.36</v>
      </c>
      <c r="DC174" s="2293">
        <f t="shared" si="485"/>
        <v>13.333333333333353</v>
      </c>
      <c r="DD174" s="161"/>
      <c r="DE174" s="161"/>
      <c r="DF174" s="2276">
        <f>+SUM(DF170:DF173)</f>
        <v>2</v>
      </c>
      <c r="DG174" s="2293">
        <f t="shared" si="486"/>
        <v>47.058823529411754</v>
      </c>
      <c r="DH174" s="161"/>
      <c r="DI174" s="161"/>
      <c r="DJ174" s="2276">
        <f>+SUM(DJ170:DJ173)</f>
        <v>2.4</v>
      </c>
      <c r="DK174" s="2293">
        <f t="shared" si="487"/>
        <v>19.999999999999996</v>
      </c>
      <c r="DL174" s="161"/>
      <c r="DM174" s="161"/>
      <c r="DN174" s="2276">
        <f>+SUM(DN170:DN173)</f>
        <v>2.4</v>
      </c>
      <c r="DO174" s="2293">
        <f t="shared" si="488"/>
        <v>0</v>
      </c>
      <c r="DP174" s="161"/>
      <c r="DQ174" s="161"/>
      <c r="DR174" s="2276">
        <f>+SUM(DR170:DR173)</f>
        <v>2.4</v>
      </c>
      <c r="DS174" s="2293">
        <f t="shared" si="489"/>
        <v>0</v>
      </c>
      <c r="DT174" s="161"/>
      <c r="DU174" s="1865"/>
    </row>
    <row r="175" spans="1:128" hidden="1" outlineLevel="1">
      <c r="A175" s="23" t="str">
        <f>$A$15</f>
        <v>6 Mos</v>
      </c>
      <c r="D175" s="2302">
        <f>(D170+D171)</f>
        <v>0.04</v>
      </c>
      <c r="F175" s="2302">
        <f>(F170+F171)</f>
        <v>0.06</v>
      </c>
      <c r="G175" s="2293">
        <f t="shared" si="460"/>
        <v>50</v>
      </c>
      <c r="H175" s="2302"/>
      <c r="I175" s="2302"/>
      <c r="J175" s="2302">
        <f>(J170+J171)</f>
        <v>7.0000000000000007E-2</v>
      </c>
      <c r="K175" s="2293">
        <f t="shared" si="461"/>
        <v>16.666666666666675</v>
      </c>
      <c r="L175" s="2302"/>
      <c r="M175" s="2302"/>
      <c r="N175" s="2302">
        <f>(N170+N171)</f>
        <v>7.0000000000000007E-2</v>
      </c>
      <c r="O175" s="2293">
        <f t="shared" si="462"/>
        <v>0</v>
      </c>
      <c r="P175" s="2302"/>
      <c r="Q175" s="2302"/>
      <c r="R175" s="2302">
        <f>(R170+R171)</f>
        <v>0.09</v>
      </c>
      <c r="S175" s="2293">
        <f t="shared" si="463"/>
        <v>28.571428571428559</v>
      </c>
      <c r="T175" s="2302"/>
      <c r="U175" s="2302"/>
      <c r="V175" s="2302">
        <f>(V170+V171)</f>
        <v>0.09</v>
      </c>
      <c r="W175" s="2293">
        <f t="shared" si="464"/>
        <v>0</v>
      </c>
      <c r="X175" s="2302"/>
      <c r="Y175" s="2302"/>
      <c r="Z175" s="2302">
        <f>(Z170+Z171)</f>
        <v>0.1</v>
      </c>
      <c r="AA175" s="2293">
        <f t="shared" si="465"/>
        <v>11.111111111111116</v>
      </c>
      <c r="AB175" s="1865"/>
      <c r="AC175" s="1865"/>
      <c r="AD175" s="2302">
        <f>(AD170+AD171)</f>
        <v>0.1</v>
      </c>
      <c r="AE175" s="2293">
        <f t="shared" si="466"/>
        <v>0</v>
      </c>
      <c r="AF175" s="1865"/>
      <c r="AG175" s="1865"/>
      <c r="AH175" s="2302">
        <f>(AH170+AH171)</f>
        <v>0.12</v>
      </c>
      <c r="AI175" s="2293">
        <f t="shared" si="467"/>
        <v>19.999999999999996</v>
      </c>
      <c r="AJ175" s="1865"/>
      <c r="AK175" s="1865"/>
      <c r="AL175" s="2302">
        <f>(AL170+AL171)</f>
        <v>0.13</v>
      </c>
      <c r="AM175" s="2293">
        <f t="shared" si="468"/>
        <v>8.3333333333333481</v>
      </c>
      <c r="AN175" s="1865"/>
      <c r="AO175" s="1865"/>
      <c r="AP175" s="2302">
        <f>(AP170+AP171)</f>
        <v>0.15</v>
      </c>
      <c r="AQ175" s="2293">
        <f t="shared" si="469"/>
        <v>15.384615384615374</v>
      </c>
      <c r="AT175" s="2302">
        <f>(AT170+AT171)</f>
        <v>0.15</v>
      </c>
      <c r="AU175" s="2293">
        <f t="shared" si="470"/>
        <v>0</v>
      </c>
      <c r="AV175" s="1859"/>
      <c r="AW175" s="1859"/>
      <c r="AX175" s="2302">
        <f>(AX170+AX171)</f>
        <v>0.15</v>
      </c>
      <c r="AY175" s="2293">
        <f t="shared" si="471"/>
        <v>0</v>
      </c>
      <c r="AZ175" s="1859"/>
      <c r="BA175" s="1859"/>
      <c r="BB175" s="2302">
        <f>(BB170+BB171)</f>
        <v>0.15</v>
      </c>
      <c r="BC175" s="2293">
        <f t="shared" si="472"/>
        <v>0</v>
      </c>
      <c r="BE175" s="1859"/>
      <c r="BF175" s="2302">
        <f>(BF170+BF171)</f>
        <v>0.2</v>
      </c>
      <c r="BG175" s="2293">
        <f t="shared" si="473"/>
        <v>33.33333333333335</v>
      </c>
      <c r="BI175" s="1859"/>
      <c r="BJ175" s="2302">
        <f>(BJ170+BJ171)</f>
        <v>0.24</v>
      </c>
      <c r="BK175" s="2293">
        <f t="shared" si="474"/>
        <v>19.999999999999996</v>
      </c>
      <c r="BM175" s="1859"/>
      <c r="BN175" s="2276">
        <f>(BN170+BN171)</f>
        <v>0.3</v>
      </c>
      <c r="BO175" s="2293">
        <f t="shared" si="475"/>
        <v>25</v>
      </c>
      <c r="BP175" s="161"/>
      <c r="BQ175" s="1859"/>
      <c r="BR175" s="2276">
        <f>(BR170+BR171)</f>
        <v>0.3</v>
      </c>
      <c r="BS175" s="2293">
        <f t="shared" si="483"/>
        <v>25</v>
      </c>
      <c r="BT175" s="161"/>
      <c r="BU175" s="1859"/>
      <c r="BV175" s="2276">
        <f>(BV170+BV171)</f>
        <v>0.3</v>
      </c>
      <c r="BW175" s="2293">
        <f t="shared" si="476"/>
        <v>0</v>
      </c>
      <c r="BX175" s="161"/>
      <c r="BY175" s="1859"/>
      <c r="BZ175" s="2276">
        <f>(BZ170+BZ171)</f>
        <v>0.3</v>
      </c>
      <c r="CA175" s="2293">
        <f t="shared" si="477"/>
        <v>0</v>
      </c>
      <c r="CB175" s="161"/>
      <c r="CC175" s="1859"/>
      <c r="CD175" s="2276">
        <f>(CD170+CD171)</f>
        <v>0.3</v>
      </c>
      <c r="CE175" s="2293">
        <f t="shared" si="478"/>
        <v>0</v>
      </c>
      <c r="CF175" s="161"/>
      <c r="CG175" s="1859"/>
      <c r="CH175" s="2276">
        <f>(CH170+CH171)</f>
        <v>0.3</v>
      </c>
      <c r="CI175" s="2293">
        <f t="shared" si="479"/>
        <v>0</v>
      </c>
      <c r="CJ175" s="161"/>
      <c r="CK175" s="1859"/>
      <c r="CL175" s="2276">
        <f>(CL170+CL171)</f>
        <v>0.3</v>
      </c>
      <c r="CM175" s="2293">
        <f t="shared" si="480"/>
        <v>0</v>
      </c>
      <c r="CN175" s="161"/>
      <c r="CO175" s="1859"/>
      <c r="CP175" s="2276">
        <f>(CP170+CP171)</f>
        <v>0.4</v>
      </c>
      <c r="CQ175" s="2293">
        <f t="shared" si="481"/>
        <v>33.33333333333335</v>
      </c>
      <c r="CR175" s="161"/>
      <c r="CS175" s="1859"/>
      <c r="CT175" s="2276">
        <f>(CT170+CT171)</f>
        <v>0.5</v>
      </c>
      <c r="CU175" s="2293">
        <f t="shared" si="482"/>
        <v>25</v>
      </c>
      <c r="CV175" s="161"/>
      <c r="CW175" s="161"/>
      <c r="CX175" s="2276">
        <f>(CX170+CX171)</f>
        <v>0.6</v>
      </c>
      <c r="CY175" s="2293">
        <f t="shared" si="484"/>
        <v>19.999999999999996</v>
      </c>
      <c r="CZ175" s="161"/>
      <c r="DA175" s="161"/>
      <c r="DB175" s="2276">
        <f>(DB170+DB171)</f>
        <v>0.68</v>
      </c>
      <c r="DC175" s="2293">
        <f t="shared" si="485"/>
        <v>13.333333333333353</v>
      </c>
      <c r="DD175" s="161"/>
      <c r="DE175" s="161"/>
      <c r="DF175" s="2276">
        <f>(DF170+DF171)</f>
        <v>1</v>
      </c>
      <c r="DG175" s="2293">
        <f t="shared" si="486"/>
        <v>47.058823529411754</v>
      </c>
      <c r="DH175" s="161"/>
      <c r="DI175" s="161"/>
      <c r="DJ175" s="2276">
        <f>(DJ170+DJ171)</f>
        <v>1.2</v>
      </c>
      <c r="DK175" s="2293">
        <f t="shared" si="487"/>
        <v>19.999999999999996</v>
      </c>
      <c r="DL175" s="161"/>
      <c r="DM175" s="161"/>
      <c r="DN175" s="2276">
        <f>(DN170+DN171)</f>
        <v>1.2</v>
      </c>
      <c r="DO175" s="2293">
        <f t="shared" si="488"/>
        <v>0</v>
      </c>
      <c r="DP175" s="161"/>
      <c r="DQ175" s="161"/>
      <c r="DR175" s="2276">
        <f>(DR170+DR171)</f>
        <v>1.2</v>
      </c>
      <c r="DS175" s="2293">
        <f t="shared" si="489"/>
        <v>0</v>
      </c>
      <c r="DT175" s="161"/>
      <c r="DU175" s="1859"/>
    </row>
    <row r="176" spans="1:128" hidden="1" outlineLevel="1">
      <c r="A176" s="23" t="str">
        <f>$A$16</f>
        <v>9 Mos</v>
      </c>
      <c r="D176" s="2302">
        <f>(D170+D171+D172)</f>
        <v>0.06</v>
      </c>
      <c r="F176" s="2302">
        <f>(F170+F171+F172)</f>
        <v>0.09</v>
      </c>
      <c r="G176" s="2293">
        <f t="shared" si="460"/>
        <v>50</v>
      </c>
      <c r="H176" s="2302"/>
      <c r="I176" s="2302"/>
      <c r="J176" s="2302">
        <f>(J170+J171+J172)</f>
        <v>0.10500000000000001</v>
      </c>
      <c r="K176" s="2293">
        <f t="shared" si="461"/>
        <v>16.666666666666675</v>
      </c>
      <c r="L176" s="2302"/>
      <c r="M176" s="2302"/>
      <c r="N176" s="2302">
        <f>(N170+N171+N172)</f>
        <v>0.10500000000000001</v>
      </c>
      <c r="O176" s="2293">
        <f t="shared" si="462"/>
        <v>0</v>
      </c>
      <c r="P176" s="2302"/>
      <c r="Q176" s="2302"/>
      <c r="R176" s="2302">
        <f>(R170+R171+R172)</f>
        <v>0.13500000000000001</v>
      </c>
      <c r="S176" s="2293">
        <f t="shared" si="463"/>
        <v>28.571428571428559</v>
      </c>
      <c r="T176" s="2302"/>
      <c r="U176" s="2302"/>
      <c r="V176" s="2302">
        <f>(V170+V171+V172)</f>
        <v>0.13500000000000001</v>
      </c>
      <c r="W176" s="2293">
        <f t="shared" si="464"/>
        <v>0</v>
      </c>
      <c r="X176" s="2302"/>
      <c r="Y176" s="2302"/>
      <c r="Z176" s="2302">
        <f>(Z170+Z171+Z172)</f>
        <v>0.15000000000000002</v>
      </c>
      <c r="AA176" s="2293">
        <f t="shared" si="465"/>
        <v>11.111111111111116</v>
      </c>
      <c r="AB176" s="1865"/>
      <c r="AC176" s="1865"/>
      <c r="AD176" s="2302">
        <f>(AD170+AD171+AD172)</f>
        <v>0.15000000000000002</v>
      </c>
      <c r="AE176" s="2293">
        <f t="shared" si="466"/>
        <v>0</v>
      </c>
      <c r="AF176" s="1865"/>
      <c r="AG176" s="1865"/>
      <c r="AH176" s="2302">
        <f>(AH170+AH171+AH172)</f>
        <v>0.18</v>
      </c>
      <c r="AI176" s="2293">
        <f t="shared" si="467"/>
        <v>19.999999999999972</v>
      </c>
      <c r="AJ176" s="1865"/>
      <c r="AK176" s="1865"/>
      <c r="AL176" s="2302">
        <f>(AL170+AL171+AL172)</f>
        <v>0.19500000000000001</v>
      </c>
      <c r="AM176" s="2293">
        <f t="shared" si="468"/>
        <v>8.3333333333333481</v>
      </c>
      <c r="AN176" s="1865"/>
      <c r="AO176" s="1865"/>
      <c r="AP176" s="2302">
        <f>(AP170+AP171+AP172)</f>
        <v>0.22499999999999998</v>
      </c>
      <c r="AQ176" s="2293">
        <f t="shared" si="469"/>
        <v>15.384615384615374</v>
      </c>
      <c r="AT176" s="2302">
        <f>(AT170+AT171+AT172)</f>
        <v>0.22499999999999998</v>
      </c>
      <c r="AU176" s="2293">
        <f t="shared" si="470"/>
        <v>0</v>
      </c>
      <c r="AV176" s="1859"/>
      <c r="AW176" s="1859"/>
      <c r="AX176" s="2302">
        <f>(AX170+AX171+AX172)</f>
        <v>0.22499999999999998</v>
      </c>
      <c r="AY176" s="2293">
        <f t="shared" si="471"/>
        <v>0</v>
      </c>
      <c r="AZ176" s="1859"/>
      <c r="BA176" s="1859"/>
      <c r="BB176" s="2302">
        <f>(BB170+BB171+BB172)</f>
        <v>0.22499999999999998</v>
      </c>
      <c r="BC176" s="2293">
        <f t="shared" si="472"/>
        <v>0</v>
      </c>
      <c r="BE176" s="1859"/>
      <c r="BF176" s="2302">
        <f>(BF170+BF171+BF172)</f>
        <v>0.30000000000000004</v>
      </c>
      <c r="BG176" s="2293">
        <f t="shared" si="473"/>
        <v>33.333333333333371</v>
      </c>
      <c r="BI176" s="1859"/>
      <c r="BJ176" s="2302">
        <f>(BJ170+BJ171+BJ172)</f>
        <v>0.36</v>
      </c>
      <c r="BK176" s="2293">
        <f t="shared" si="474"/>
        <v>19.999999999999972</v>
      </c>
      <c r="BM176" s="1859"/>
      <c r="BN176" s="2276">
        <f>(BN170+BN171+BN172)</f>
        <v>0.44999999999999996</v>
      </c>
      <c r="BO176" s="2293">
        <f t="shared" si="475"/>
        <v>25</v>
      </c>
      <c r="BP176" s="161"/>
      <c r="BQ176" s="1859"/>
      <c r="BR176" s="2276">
        <f>(BR170+BR171+BR172)</f>
        <v>0.44999999999999996</v>
      </c>
      <c r="BS176" s="2293">
        <f t="shared" si="483"/>
        <v>25</v>
      </c>
      <c r="BT176" s="161"/>
      <c r="BU176" s="1859"/>
      <c r="BV176" s="2276">
        <f>(BV170+BV171+BV172)</f>
        <v>0.44999999999999996</v>
      </c>
      <c r="BW176" s="2293">
        <f t="shared" si="476"/>
        <v>0</v>
      </c>
      <c r="BX176" s="161"/>
      <c r="BY176" s="1859"/>
      <c r="BZ176" s="2276">
        <f>(BZ170+BZ171+BZ172)</f>
        <v>0.44999999999999996</v>
      </c>
      <c r="CA176" s="2293">
        <f t="shared" si="477"/>
        <v>0</v>
      </c>
      <c r="CB176" s="161"/>
      <c r="CC176" s="1859"/>
      <c r="CD176" s="2276">
        <f>(CD170+CD171+CD172)</f>
        <v>0.44999999999999996</v>
      </c>
      <c r="CE176" s="2293">
        <f t="shared" si="478"/>
        <v>0</v>
      </c>
      <c r="CF176" s="161"/>
      <c r="CG176" s="1859"/>
      <c r="CH176" s="2276">
        <f>(CH170+CH171+CH172)</f>
        <v>0.44999999999999996</v>
      </c>
      <c r="CI176" s="2293">
        <f t="shared" si="479"/>
        <v>0</v>
      </c>
      <c r="CJ176" s="161"/>
      <c r="CK176" s="1859"/>
      <c r="CL176" s="2276">
        <f>(CL170+CL171+CL172)</f>
        <v>0.44999999999999996</v>
      </c>
      <c r="CM176" s="2293">
        <f t="shared" si="480"/>
        <v>0</v>
      </c>
      <c r="CN176" s="161"/>
      <c r="CO176" s="1859"/>
      <c r="CP176" s="2276">
        <f>(CP170+CP171+CP172)</f>
        <v>0.60000000000000009</v>
      </c>
      <c r="CQ176" s="2293">
        <f t="shared" si="481"/>
        <v>33.333333333333371</v>
      </c>
      <c r="CR176" s="161"/>
      <c r="CS176" s="1859"/>
      <c r="CT176" s="2276">
        <f>(CT170+CT171+CT172)</f>
        <v>0.75</v>
      </c>
      <c r="CU176" s="2293">
        <f t="shared" si="482"/>
        <v>24.999999999999979</v>
      </c>
      <c r="CV176" s="161"/>
      <c r="CW176" s="161"/>
      <c r="CX176" s="2276">
        <f>(CX170+CX171+CX172)</f>
        <v>0.89999999999999991</v>
      </c>
      <c r="CY176" s="2293">
        <f t="shared" si="484"/>
        <v>19.999999999999996</v>
      </c>
      <c r="CZ176" s="161"/>
      <c r="DA176" s="161"/>
      <c r="DB176" s="2276">
        <f>(DB170+DB171+DB172)</f>
        <v>1.02</v>
      </c>
      <c r="DC176" s="2293">
        <f t="shared" si="485"/>
        <v>13.333333333333353</v>
      </c>
      <c r="DD176" s="161"/>
      <c r="DE176" s="161"/>
      <c r="DF176" s="2276">
        <f>(DF170+DF171+DF172)</f>
        <v>1.5</v>
      </c>
      <c r="DG176" s="2293">
        <f t="shared" si="486"/>
        <v>47.058823529411754</v>
      </c>
      <c r="DH176" s="161"/>
      <c r="DI176" s="161"/>
      <c r="DJ176" s="2276">
        <f>(DJ170+DJ171+DJ172)</f>
        <v>1.7999999999999998</v>
      </c>
      <c r="DK176" s="2293">
        <f t="shared" si="487"/>
        <v>19.999999999999996</v>
      </c>
      <c r="DL176" s="161"/>
      <c r="DM176" s="161"/>
      <c r="DN176" s="2276">
        <f>(DN170+DN171+DN172)</f>
        <v>1.7999999999999998</v>
      </c>
      <c r="DO176" s="2293">
        <f t="shared" si="488"/>
        <v>0</v>
      </c>
      <c r="DP176" s="161"/>
      <c r="DQ176" s="161"/>
      <c r="DR176" s="2276">
        <f>(DR170+DR171+DR172)</f>
        <v>1.7999999999999998</v>
      </c>
      <c r="DS176" s="2293">
        <f t="shared" si="489"/>
        <v>0</v>
      </c>
      <c r="DT176" s="161"/>
      <c r="DU176" s="1859"/>
    </row>
    <row r="177" spans="1:138" hidden="1" outlineLevel="1" collapsed="1">
      <c r="BN177" s="161"/>
      <c r="BO177" s="161"/>
      <c r="BP177" s="161"/>
      <c r="BR177" s="161"/>
      <c r="BS177" s="161"/>
      <c r="BT177" s="161"/>
      <c r="BV177" s="161"/>
      <c r="BW177" s="161"/>
      <c r="BX177" s="161"/>
      <c r="BZ177" s="161"/>
      <c r="CA177" s="161"/>
      <c r="CB177" s="161"/>
      <c r="CD177" s="161"/>
      <c r="CE177" s="161"/>
      <c r="CF177" s="161"/>
      <c r="CH177" s="161"/>
      <c r="CI177" s="161"/>
      <c r="CJ177" s="161"/>
      <c r="CL177" s="161"/>
      <c r="CM177" s="161"/>
      <c r="CN177" s="161"/>
      <c r="CP177" s="161"/>
      <c r="CQ177" s="161"/>
      <c r="CR177" s="161"/>
      <c r="CT177" s="161"/>
      <c r="CU177" s="161"/>
      <c r="CV177" s="161"/>
      <c r="CW177" s="161"/>
      <c r="CX177" s="161"/>
      <c r="CY177" s="161"/>
      <c r="CZ177" s="161"/>
      <c r="DA177" s="161"/>
      <c r="DB177" s="161"/>
      <c r="DC177" s="161"/>
      <c r="DD177" s="161"/>
      <c r="DE177" s="161"/>
      <c r="DF177" s="161"/>
      <c r="DG177" s="161"/>
      <c r="DH177" s="161"/>
      <c r="DI177" s="161"/>
      <c r="DJ177" s="161"/>
      <c r="DK177" s="161"/>
      <c r="DL177" s="161"/>
      <c r="DM177" s="161"/>
      <c r="DN177" s="161"/>
      <c r="DO177" s="161"/>
      <c r="DP177" s="161"/>
      <c r="DQ177" s="161"/>
      <c r="DR177" s="161"/>
      <c r="DS177" s="161"/>
      <c r="DT177" s="161"/>
    </row>
    <row r="178" spans="1:138" hidden="1" outlineLevel="1">
      <c r="A178" s="624"/>
      <c r="B178" s="624"/>
      <c r="C178" s="2304"/>
      <c r="D178" s="2305"/>
      <c r="E178" s="2304"/>
      <c r="F178" s="2305"/>
      <c r="G178" s="624"/>
      <c r="H178" s="624"/>
      <c r="I178" s="624"/>
      <c r="J178" s="2305"/>
      <c r="K178" s="624"/>
      <c r="L178" s="624"/>
      <c r="M178" s="624"/>
      <c r="N178" s="2305"/>
      <c r="O178" s="624"/>
      <c r="P178" s="624"/>
      <c r="Q178" s="624"/>
      <c r="R178" s="2305"/>
      <c r="S178" s="624"/>
      <c r="T178" s="624"/>
      <c r="U178" s="624"/>
      <c r="V178" s="2305"/>
      <c r="W178" s="624"/>
      <c r="X178" s="624"/>
      <c r="Y178" s="624"/>
      <c r="Z178" s="2306"/>
      <c r="AA178" s="2307"/>
      <c r="AB178" s="2307"/>
      <c r="AC178" s="2307"/>
      <c r="AD178" s="2306"/>
      <c r="AE178" s="2307"/>
      <c r="AF178" s="2307"/>
      <c r="AG178" s="2307"/>
      <c r="AH178" s="2306"/>
      <c r="AI178" s="2307"/>
      <c r="AJ178" s="2307"/>
      <c r="AK178" s="2307"/>
      <c r="AL178" s="624"/>
      <c r="AM178" s="2307"/>
      <c r="AN178" s="2307"/>
      <c r="AO178" s="2307"/>
      <c r="AP178" s="624"/>
      <c r="AQ178" s="2307"/>
      <c r="AR178" s="2307"/>
      <c r="AS178" s="2307"/>
      <c r="AT178" s="624"/>
      <c r="AU178" s="2307"/>
      <c r="AV178" s="2307"/>
      <c r="AW178" s="2307"/>
      <c r="AX178" s="2306" t="s">
        <v>473</v>
      </c>
      <c r="AY178" s="2307"/>
      <c r="AZ178" s="2307"/>
      <c r="BA178" s="2307"/>
      <c r="BB178" s="2306"/>
      <c r="BC178" s="2307"/>
      <c r="BD178" s="2307"/>
      <c r="BE178" s="2307"/>
      <c r="BF178" s="2306"/>
      <c r="BG178" s="2307"/>
      <c r="BH178" s="2307"/>
      <c r="BI178" s="2307"/>
      <c r="BJ178" s="2306"/>
      <c r="BK178" s="2307"/>
      <c r="BL178" s="2307"/>
      <c r="BM178" s="2307"/>
      <c r="BN178" s="2306"/>
      <c r="BO178" s="2307"/>
      <c r="BP178" s="2307"/>
      <c r="BQ178" s="2307"/>
      <c r="BR178" s="2306"/>
      <c r="BS178" s="2307"/>
      <c r="BT178" s="2307"/>
      <c r="BU178" s="2307"/>
      <c r="BV178" s="2306"/>
      <c r="BW178" s="2307"/>
      <c r="BX178" s="2307"/>
      <c r="BY178" s="2307"/>
      <c r="BZ178" s="2306"/>
      <c r="CA178" s="2307"/>
      <c r="CB178" s="2307"/>
      <c r="CC178" s="2307"/>
      <c r="CD178" s="2306"/>
      <c r="CE178" s="2307"/>
      <c r="CF178" s="2307"/>
      <c r="CG178" s="2307"/>
      <c r="CH178" s="2306"/>
      <c r="CI178" s="2307"/>
      <c r="CJ178" s="2307"/>
      <c r="CK178" s="2307"/>
      <c r="CL178" s="2306"/>
      <c r="CM178" s="2307"/>
      <c r="CN178" s="2307"/>
      <c r="CO178" s="2307"/>
      <c r="CP178" s="2306"/>
      <c r="CQ178" s="2307"/>
      <c r="CR178" s="2307"/>
      <c r="CS178" s="2307"/>
      <c r="CT178" s="2306"/>
      <c r="CU178" s="2307"/>
      <c r="CV178" s="2307"/>
      <c r="CW178" s="2307"/>
      <c r="CX178" s="2307"/>
      <c r="CY178" s="2307"/>
      <c r="CZ178" s="2307"/>
      <c r="DA178" s="2307"/>
      <c r="DB178" s="2307"/>
      <c r="DC178" s="2307"/>
      <c r="DD178" s="2307"/>
      <c r="DE178" s="2307"/>
      <c r="DF178" s="2307"/>
      <c r="DG178" s="2307"/>
      <c r="DH178" s="2307"/>
      <c r="DI178" s="2307"/>
      <c r="DJ178" s="2307"/>
      <c r="DK178" s="2307"/>
      <c r="DL178" s="2307"/>
      <c r="DM178" s="2307"/>
      <c r="DN178" s="2307"/>
      <c r="DO178" s="2307"/>
      <c r="DP178" s="2307"/>
      <c r="DQ178" s="2307"/>
      <c r="DR178" s="2307"/>
      <c r="DS178" s="2307"/>
      <c r="DT178" s="2307"/>
      <c r="DU178" s="2307"/>
      <c r="DV178" s="624"/>
      <c r="DW178" s="624"/>
      <c r="DX178" s="624"/>
      <c r="DY178" s="624"/>
      <c r="DZ178" s="624"/>
      <c r="EA178" s="624"/>
      <c r="EB178" s="624"/>
      <c r="EC178" s="624"/>
      <c r="ED178" s="624"/>
      <c r="EE178" s="624"/>
      <c r="EF178" s="624"/>
      <c r="EG178" s="624"/>
      <c r="EH178" s="624"/>
    </row>
    <row r="179" spans="1:138" hidden="1" outlineLevel="1">
      <c r="A179" s="624"/>
      <c r="B179" s="624"/>
      <c r="C179" s="624"/>
      <c r="D179" s="624"/>
      <c r="E179" s="624"/>
      <c r="F179" s="624"/>
      <c r="G179" s="624"/>
      <c r="H179" s="624"/>
      <c r="I179" s="624"/>
      <c r="J179" s="624"/>
      <c r="K179" s="624"/>
      <c r="L179" s="624"/>
      <c r="M179" s="624"/>
      <c r="N179" s="624"/>
      <c r="O179" s="624"/>
      <c r="P179" s="624"/>
      <c r="Q179" s="624"/>
      <c r="R179" s="624"/>
      <c r="S179" s="624"/>
      <c r="T179" s="624"/>
      <c r="U179" s="624"/>
      <c r="V179" s="624"/>
      <c r="W179" s="624"/>
      <c r="X179" s="624"/>
      <c r="Y179" s="624"/>
      <c r="Z179" s="624"/>
      <c r="AA179" s="624"/>
      <c r="AB179" s="624"/>
      <c r="AC179" s="624"/>
      <c r="AD179" s="624"/>
      <c r="AE179" s="624"/>
      <c r="AF179" s="624"/>
      <c r="AG179" s="624"/>
      <c r="AH179" s="624"/>
      <c r="AI179" s="624"/>
      <c r="AJ179" s="624"/>
      <c r="AK179" s="624"/>
      <c r="AL179" s="624"/>
      <c r="AM179" s="624"/>
      <c r="AN179" s="624"/>
      <c r="AO179" s="624"/>
      <c r="AP179" s="624"/>
      <c r="AQ179" s="624"/>
      <c r="AR179" s="624"/>
      <c r="AS179" s="624"/>
      <c r="AT179" s="624"/>
      <c r="AU179" s="624"/>
      <c r="AV179" s="624"/>
      <c r="AW179" s="624"/>
      <c r="AX179" s="624"/>
      <c r="AY179" s="624"/>
      <c r="AZ179" s="624"/>
      <c r="BA179" s="624"/>
      <c r="BB179" s="624"/>
      <c r="BC179" s="624"/>
      <c r="BD179" s="624"/>
      <c r="BE179" s="624"/>
      <c r="BF179" s="624"/>
      <c r="BG179" s="624"/>
      <c r="BH179" s="624"/>
      <c r="BI179" s="624"/>
      <c r="BJ179" s="624"/>
      <c r="BK179" s="624"/>
      <c r="BL179" s="624"/>
      <c r="BM179" s="624"/>
      <c r="BN179" s="624"/>
      <c r="BO179" s="624"/>
      <c r="BP179" s="624"/>
      <c r="BQ179" s="624"/>
      <c r="BR179" s="624"/>
      <c r="BS179" s="624"/>
      <c r="BT179" s="624"/>
      <c r="BU179" s="624"/>
      <c r="BV179" s="624"/>
      <c r="BW179" s="624"/>
      <c r="BX179" s="624"/>
      <c r="BY179" s="624"/>
      <c r="BZ179" s="624"/>
      <c r="CA179" s="624"/>
      <c r="CB179" s="624"/>
      <c r="CC179" s="624"/>
      <c r="CD179" s="624"/>
      <c r="CE179" s="624"/>
      <c r="CF179" s="624"/>
      <c r="CG179" s="624"/>
      <c r="CH179" s="624"/>
      <c r="CI179" s="624"/>
      <c r="CJ179" s="624"/>
      <c r="CK179" s="624"/>
      <c r="CL179" s="624"/>
      <c r="CM179" s="624"/>
      <c r="CN179" s="624"/>
      <c r="CO179" s="624"/>
      <c r="CP179" s="624"/>
      <c r="CQ179" s="624"/>
      <c r="CR179" s="624"/>
      <c r="CS179" s="624"/>
      <c r="CT179" s="624"/>
      <c r="CU179" s="624"/>
      <c r="CV179" s="624"/>
      <c r="CW179" s="624"/>
      <c r="CX179" s="624"/>
      <c r="CY179" s="624"/>
      <c r="CZ179" s="624"/>
      <c r="DA179" s="624"/>
      <c r="DB179" s="624"/>
      <c r="DC179" s="624"/>
      <c r="DD179" s="624"/>
      <c r="DE179" s="624"/>
      <c r="DF179" s="624"/>
      <c r="DG179" s="624"/>
      <c r="DH179" s="624"/>
      <c r="DI179" s="624"/>
      <c r="DJ179" s="624"/>
      <c r="DK179" s="624"/>
      <c r="DL179" s="624"/>
      <c r="DM179" s="624"/>
      <c r="DN179" s="624"/>
      <c r="DO179" s="624"/>
      <c r="DP179" s="624"/>
      <c r="DQ179" s="624"/>
      <c r="DR179" s="624"/>
      <c r="DS179" s="624"/>
      <c r="DT179" s="624"/>
      <c r="DU179" s="624"/>
      <c r="DV179" s="624"/>
      <c r="DW179" s="624"/>
      <c r="DX179" s="624"/>
      <c r="DY179" s="624"/>
      <c r="DZ179" s="624"/>
      <c r="EA179" s="624"/>
      <c r="EB179" s="624"/>
      <c r="EC179" s="624"/>
      <c r="ED179" s="624"/>
      <c r="EE179" s="624"/>
      <c r="EF179" s="624"/>
      <c r="EG179" s="624"/>
      <c r="EH179" s="624"/>
    </row>
    <row r="180" spans="1:138" hidden="1" outlineLevel="1">
      <c r="A180" s="624" t="str">
        <f>$A$10</f>
        <v>1Q</v>
      </c>
      <c r="B180" s="624" t="str">
        <f>$B$10</f>
        <v>Apr</v>
      </c>
      <c r="C180" s="624"/>
      <c r="D180" s="2308"/>
      <c r="E180" s="624"/>
      <c r="F180" s="2308"/>
      <c r="G180" s="2309"/>
      <c r="H180" s="2309"/>
      <c r="I180" s="624"/>
      <c r="J180" s="2308"/>
      <c r="K180" s="2310"/>
      <c r="L180" s="2309"/>
      <c r="M180" s="624"/>
      <c r="N180" s="2308"/>
      <c r="O180" s="2310"/>
      <c r="P180" s="2309"/>
      <c r="Q180" s="624"/>
      <c r="R180" s="2308"/>
      <c r="S180" s="2310"/>
      <c r="T180" s="2309"/>
      <c r="U180" s="624"/>
      <c r="V180" s="2308"/>
      <c r="W180" s="2310"/>
      <c r="X180" s="2309"/>
      <c r="Y180" s="624"/>
      <c r="Z180" s="2308"/>
      <c r="AA180" s="2310"/>
      <c r="AB180" s="2309"/>
      <c r="AC180" s="624"/>
      <c r="AD180" s="2308"/>
      <c r="AE180" s="2310"/>
      <c r="AF180" s="2309"/>
      <c r="AG180" s="624"/>
      <c r="AH180" s="2308"/>
      <c r="AI180" s="2310"/>
      <c r="AJ180" s="2309"/>
      <c r="AK180" s="624"/>
      <c r="AL180" s="2308"/>
      <c r="AM180" s="2310"/>
      <c r="AN180" s="2309"/>
      <c r="AO180" s="2309"/>
      <c r="AP180" s="2308"/>
      <c r="AQ180" s="2311" t="s">
        <v>886</v>
      </c>
      <c r="AR180" s="624"/>
      <c r="AS180" s="624"/>
      <c r="AT180" s="2308">
        <v>431.59199999999998</v>
      </c>
      <c r="AU180" s="2310"/>
      <c r="AV180" s="624"/>
      <c r="AW180" s="624"/>
      <c r="AX180" s="2308">
        <v>426.95</v>
      </c>
      <c r="AY180" s="2310">
        <f>(AX180/AT180-1)*100</f>
        <v>-1.0755528369385869</v>
      </c>
      <c r="AZ180" s="624"/>
      <c r="BA180" s="624"/>
      <c r="BB180" s="2308">
        <v>521.19200000000001</v>
      </c>
      <c r="BC180" s="2310">
        <f>(BB180/AX180-1)*100</f>
        <v>22.073310692118532</v>
      </c>
      <c r="BD180" s="624"/>
      <c r="BE180" s="624"/>
      <c r="BF180" s="2308">
        <v>522.75400000000002</v>
      </c>
      <c r="BG180" s="2310">
        <f>(BF180/BB180-1)*100</f>
        <v>0.29969761623356295</v>
      </c>
      <c r="BH180" s="624"/>
      <c r="BI180" s="624"/>
      <c r="BJ180" s="2308">
        <v>472.57799999999997</v>
      </c>
      <c r="BK180" s="2310">
        <f>(BJ180/BF180-1)*100</f>
        <v>-9.5983961863515219</v>
      </c>
      <c r="BL180" s="624"/>
      <c r="BM180" s="624"/>
      <c r="BN180" s="2308">
        <f>+BJ183</f>
        <v>432.86262412765518</v>
      </c>
      <c r="BO180" s="2310">
        <f>(BN180/BJ180-1)*100</f>
        <v>-8.4039832307777331</v>
      </c>
      <c r="BP180" s="624"/>
      <c r="BQ180" s="624"/>
      <c r="BR180" s="2308">
        <f>$BJ$163/$BF$163*BN180</f>
        <v>361.71824588162104</v>
      </c>
      <c r="BS180" s="2310">
        <f>(BR180/BJ180-1)*100</f>
        <v>-23.458509308173237</v>
      </c>
      <c r="BT180" s="624"/>
      <c r="BU180" s="624"/>
      <c r="BV180" s="2308">
        <f>+BR183</f>
        <v>356.03524588162105</v>
      </c>
      <c r="BW180" s="2310">
        <f>(BV180/BR180-1)*100</f>
        <v>-1.5711123408078898</v>
      </c>
      <c r="BX180" s="624"/>
      <c r="BY180" s="624"/>
      <c r="BZ180" s="2308">
        <f>+BV183</f>
        <v>359.03224588162101</v>
      </c>
      <c r="CA180" s="2310">
        <f>(BZ180/BV180-1)*100</f>
        <v>0.84177059284642475</v>
      </c>
      <c r="CB180" s="624"/>
      <c r="CC180" s="624"/>
      <c r="CD180" s="2312">
        <f>+BZ183</f>
        <v>316.82224588162103</v>
      </c>
      <c r="CE180" s="2310">
        <f>(CD180/BZ180-1)*100</f>
        <v>-11.756604172516949</v>
      </c>
      <c r="CF180" s="624"/>
      <c r="CG180" s="624"/>
      <c r="CH180" s="2312">
        <f>+CD183</f>
        <v>298.81724588162103</v>
      </c>
      <c r="CI180" s="2310">
        <f>(CH180/CD180-1)*100</f>
        <v>-5.6829974012391427</v>
      </c>
      <c r="CJ180" s="624"/>
      <c r="CK180" s="624"/>
      <c r="CL180" s="2312">
        <f>+CH183</f>
        <v>302.93924588162105</v>
      </c>
      <c r="CM180" s="2310">
        <f>(CL180/CH180-1)*100</f>
        <v>1.3794384550458672</v>
      </c>
      <c r="CN180" s="624"/>
      <c r="CO180" s="624"/>
      <c r="CP180" s="2312">
        <f>+CL183</f>
        <v>302.07224588162103</v>
      </c>
      <c r="CQ180" s="2310">
        <f>(CP180/CL180-1)*100</f>
        <v>-0.28619599863228817</v>
      </c>
      <c r="CR180" s="624"/>
      <c r="CS180" s="624"/>
      <c r="CT180" s="2312">
        <f>+CP183</f>
        <v>293.27644588162104</v>
      </c>
      <c r="CU180" s="2310">
        <f>(CT180/CP180-1)*100</f>
        <v>-2.9118199768167319</v>
      </c>
      <c r="CV180" s="624"/>
      <c r="CW180" s="624"/>
      <c r="CX180" s="2312">
        <f>+CT183</f>
        <v>292.66944588162107</v>
      </c>
      <c r="CY180" s="2310">
        <f>(CX180/CT180-1)*100</f>
        <v>-0.20697195718369921</v>
      </c>
      <c r="CZ180" s="624"/>
      <c r="DA180" s="624"/>
      <c r="DB180" s="2312">
        <f>+CX183</f>
        <v>294.21444588162103</v>
      </c>
      <c r="DC180" s="2310">
        <f>(DB180/CX180-1)*100</f>
        <v>0.52789931499199749</v>
      </c>
      <c r="DD180" s="624"/>
      <c r="DE180" s="624"/>
      <c r="DF180" s="2312">
        <f>+DB183</f>
        <v>295.91244588162107</v>
      </c>
      <c r="DG180" s="2310">
        <f>(DF180/DB180-1)*100</f>
        <v>0.57713005726551803</v>
      </c>
      <c r="DH180" s="624"/>
      <c r="DI180" s="624"/>
      <c r="DJ180" s="2312">
        <f>+DF183</f>
        <v>294.17344588162103</v>
      </c>
      <c r="DK180" s="2310">
        <f>(DJ180/DF180-1)*100</f>
        <v>-0.58767382859445938</v>
      </c>
      <c r="DL180" s="624"/>
      <c r="DM180" s="624"/>
      <c r="DN180" s="2312">
        <f>+DJ183</f>
        <v>293.41844588162104</v>
      </c>
      <c r="DO180" s="2310">
        <f>(DN180/DJ180-1)*100</f>
        <v>-0.25665130914087619</v>
      </c>
      <c r="DP180" s="624"/>
      <c r="DQ180" s="624"/>
      <c r="DR180" s="2312">
        <f>+DN183</f>
        <v>288.98244588162106</v>
      </c>
      <c r="DS180" s="2310">
        <f>(DR180/DN180-1)*100</f>
        <v>-1.5118340589226897</v>
      </c>
      <c r="DT180" s="624"/>
      <c r="DU180" s="624"/>
      <c r="DV180" s="624"/>
      <c r="DW180" s="624"/>
      <c r="DX180" s="624"/>
      <c r="DY180" s="624"/>
      <c r="DZ180" s="624"/>
      <c r="EA180" s="624"/>
      <c r="EB180" s="624"/>
      <c r="EC180" s="624"/>
      <c r="ED180" s="624"/>
      <c r="EE180" s="624"/>
      <c r="EF180" s="624"/>
      <c r="EG180" s="624"/>
      <c r="EH180" s="624"/>
    </row>
    <row r="181" spans="1:138" hidden="1" outlineLevel="1">
      <c r="A181" s="624" t="str">
        <f>$A$11</f>
        <v>2Q</v>
      </c>
      <c r="B181" s="624" t="str">
        <f>$B$11</f>
        <v>Jul</v>
      </c>
      <c r="C181" s="624"/>
      <c r="D181" s="2313"/>
      <c r="E181" s="623"/>
      <c r="F181" s="2313"/>
      <c r="G181" s="2314"/>
      <c r="H181" s="2314"/>
      <c r="I181" s="623"/>
      <c r="J181" s="2313"/>
      <c r="K181" s="2315"/>
      <c r="L181" s="2314"/>
      <c r="M181" s="623"/>
      <c r="N181" s="2313"/>
      <c r="O181" s="2315"/>
      <c r="P181" s="2314"/>
      <c r="Q181" s="623"/>
      <c r="R181" s="2313"/>
      <c r="S181" s="2315"/>
      <c r="T181" s="2314"/>
      <c r="U181" s="623"/>
      <c r="V181" s="2313"/>
      <c r="W181" s="2315"/>
      <c r="X181" s="2314"/>
      <c r="Y181" s="623"/>
      <c r="Z181" s="2313"/>
      <c r="AA181" s="2315"/>
      <c r="AB181" s="2314"/>
      <c r="AC181" s="623"/>
      <c r="AD181" s="2313"/>
      <c r="AE181" s="2315"/>
      <c r="AF181" s="2314"/>
      <c r="AG181" s="623"/>
      <c r="AH181" s="2313"/>
      <c r="AI181" s="2315"/>
      <c r="AJ181" s="2314"/>
      <c r="AK181" s="623"/>
      <c r="AL181" s="2313"/>
      <c r="AM181" s="2315"/>
      <c r="AN181" s="2314"/>
      <c r="AO181" s="2309"/>
      <c r="AP181" s="2308"/>
      <c r="AQ181" s="2311" t="s">
        <v>886</v>
      </c>
      <c r="AR181" s="624"/>
      <c r="AS181" s="624"/>
      <c r="AT181" s="2308">
        <v>425.57400000000001</v>
      </c>
      <c r="AU181" s="2310"/>
      <c r="AV181" s="624"/>
      <c r="AW181" s="624"/>
      <c r="AX181" s="2308">
        <v>428.59899999999999</v>
      </c>
      <c r="AY181" s="2310">
        <f>(AX181/AT181-1)*100</f>
        <v>0.71080470141502428</v>
      </c>
      <c r="AZ181" s="624"/>
      <c r="BA181" s="624"/>
      <c r="BB181" s="2308">
        <v>522.85900000000004</v>
      </c>
      <c r="BC181" s="2310">
        <f>(BB181/AX181-1)*100</f>
        <v>21.992585143689091</v>
      </c>
      <c r="BD181" s="624"/>
      <c r="BE181" s="624"/>
      <c r="BF181" s="2308">
        <v>517.98530000000005</v>
      </c>
      <c r="BG181" s="2310">
        <f>(BF181/BB181-1)*100</f>
        <v>-0.93212510447366892</v>
      </c>
      <c r="BH181" s="624"/>
      <c r="BI181" s="624"/>
      <c r="BJ181" s="2308">
        <v>469.4</v>
      </c>
      <c r="BK181" s="2310">
        <f>(BJ181/BF181-1)*100</f>
        <v>-9.3796677241613011</v>
      </c>
      <c r="BL181" s="624"/>
      <c r="BM181" s="624"/>
      <c r="BN181" s="2308">
        <f>+BN180</f>
        <v>432.86262412765518</v>
      </c>
      <c r="BO181" s="2310">
        <f>(BN181/BJ181-1)*100</f>
        <v>-7.7838465855016636</v>
      </c>
      <c r="BP181" s="624"/>
      <c r="BQ181" s="624"/>
      <c r="BR181" s="2308">
        <f>+BR180</f>
        <v>361.71824588162104</v>
      </c>
      <c r="BS181" s="2310">
        <f>(BR181/BJ181-1)*100</f>
        <v>-22.940297000080722</v>
      </c>
      <c r="BT181" s="624"/>
      <c r="BU181" s="624"/>
      <c r="BV181" s="2308">
        <f>+BV180</f>
        <v>356.03524588162105</v>
      </c>
      <c r="BW181" s="2310">
        <f>(BV181/BR181-1)*100</f>
        <v>-1.5711123408078898</v>
      </c>
      <c r="BX181" s="624"/>
      <c r="BY181" s="624"/>
      <c r="BZ181" s="2308">
        <f>+BZ180</f>
        <v>359.03224588162101</v>
      </c>
      <c r="CA181" s="2310">
        <f>(BZ181/BV181-1)*100</f>
        <v>0.84177059284642475</v>
      </c>
      <c r="CB181" s="624"/>
      <c r="CC181" s="624"/>
      <c r="CD181" s="2312">
        <f>+CD180</f>
        <v>316.82224588162103</v>
      </c>
      <c r="CE181" s="2310">
        <f>(CD181/BZ181-1)*100</f>
        <v>-11.756604172516949</v>
      </c>
      <c r="CF181" s="624"/>
      <c r="CG181" s="624"/>
      <c r="CH181" s="2312">
        <f>+CH180</f>
        <v>298.81724588162103</v>
      </c>
      <c r="CI181" s="2310">
        <f>(CH181/CD181-1)*100</f>
        <v>-5.6829974012391427</v>
      </c>
      <c r="CJ181" s="624"/>
      <c r="CK181" s="624"/>
      <c r="CL181" s="2312">
        <f>+CL180</f>
        <v>302.93924588162105</v>
      </c>
      <c r="CM181" s="2310">
        <f>(CL181/CH181-1)*100</f>
        <v>1.3794384550458672</v>
      </c>
      <c r="CN181" s="624"/>
      <c r="CO181" s="624"/>
      <c r="CP181" s="2312">
        <f>+CP180</f>
        <v>302.07224588162103</v>
      </c>
      <c r="CQ181" s="2310">
        <f>(CP181/CL181-1)*100</f>
        <v>-0.28619599863228817</v>
      </c>
      <c r="CR181" s="624"/>
      <c r="CS181" s="624"/>
      <c r="CT181" s="2312">
        <f>+CT180</f>
        <v>293.27644588162104</v>
      </c>
      <c r="CU181" s="2310">
        <f>(CT181/CP181-1)*100</f>
        <v>-2.9118199768167319</v>
      </c>
      <c r="CV181" s="624"/>
      <c r="CW181" s="624"/>
      <c r="CX181" s="2312">
        <f>+CX180</f>
        <v>292.66944588162107</v>
      </c>
      <c r="CY181" s="2310">
        <f>(CX181/CT181-1)*100</f>
        <v>-0.20697195718369921</v>
      </c>
      <c r="CZ181" s="624"/>
      <c r="DA181" s="624"/>
      <c r="DB181" s="2312">
        <f>+DB180</f>
        <v>294.21444588162103</v>
      </c>
      <c r="DC181" s="2310">
        <f>(DB181/CX181-1)*100</f>
        <v>0.52789931499199749</v>
      </c>
      <c r="DD181" s="624"/>
      <c r="DE181" s="624"/>
      <c r="DF181" s="2312">
        <f>+DF180</f>
        <v>295.91244588162107</v>
      </c>
      <c r="DG181" s="2310">
        <f>(DF181/DB181-1)*100</f>
        <v>0.57713005726551803</v>
      </c>
      <c r="DH181" s="624"/>
      <c r="DI181" s="624"/>
      <c r="DJ181" s="2312">
        <f>+DJ180</f>
        <v>294.17344588162103</v>
      </c>
      <c r="DK181" s="2310">
        <f>(DJ181/DF181-1)*100</f>
        <v>-0.58767382859445938</v>
      </c>
      <c r="DL181" s="624"/>
      <c r="DM181" s="624"/>
      <c r="DN181" s="2312">
        <f>+DN180</f>
        <v>293.41844588162104</v>
      </c>
      <c r="DO181" s="2310">
        <f>(DN181/DJ181-1)*100</f>
        <v>-0.25665130914087619</v>
      </c>
      <c r="DP181" s="624"/>
      <c r="DQ181" s="624"/>
      <c r="DR181" s="2312">
        <f>+DR180</f>
        <v>288.98244588162106</v>
      </c>
      <c r="DS181" s="2310">
        <f>(DR181/DN181-1)*100</f>
        <v>-1.5118340589226897</v>
      </c>
      <c r="DT181" s="624"/>
      <c r="DU181" s="624"/>
      <c r="DV181" s="624"/>
      <c r="DW181" s="624"/>
      <c r="DX181" s="624"/>
      <c r="DY181" s="624"/>
      <c r="DZ181" s="624"/>
      <c r="EA181" s="624"/>
      <c r="EB181" s="624"/>
      <c r="EC181" s="624"/>
      <c r="ED181" s="624"/>
      <c r="EE181" s="624"/>
      <c r="EF181" s="624"/>
      <c r="EG181" s="624"/>
      <c r="EH181" s="624"/>
    </row>
    <row r="182" spans="1:138" hidden="1" outlineLevel="1">
      <c r="A182" s="624" t="str">
        <f>$A$12</f>
        <v>3Q</v>
      </c>
      <c r="B182" s="624" t="str">
        <f>$B$12</f>
        <v>Oct</v>
      </c>
      <c r="C182" s="624"/>
      <c r="D182" s="2313"/>
      <c r="E182" s="623"/>
      <c r="F182" s="2313"/>
      <c r="G182" s="2314"/>
      <c r="H182" s="2314"/>
      <c r="I182" s="623"/>
      <c r="J182" s="2313"/>
      <c r="K182" s="2315"/>
      <c r="L182" s="2314"/>
      <c r="M182" s="623"/>
      <c r="N182" s="2313"/>
      <c r="O182" s="2315"/>
      <c r="P182" s="2314"/>
      <c r="Q182" s="623"/>
      <c r="R182" s="2313"/>
      <c r="S182" s="2315"/>
      <c r="T182" s="2314"/>
      <c r="U182" s="623"/>
      <c r="V182" s="2313"/>
      <c r="W182" s="2315"/>
      <c r="X182" s="2314"/>
      <c r="Y182" s="623"/>
      <c r="Z182" s="2313"/>
      <c r="AA182" s="2315"/>
      <c r="AB182" s="2314"/>
      <c r="AC182" s="623"/>
      <c r="AD182" s="2313"/>
      <c r="AE182" s="2315"/>
      <c r="AF182" s="2314"/>
      <c r="AG182" s="623"/>
      <c r="AH182" s="2313"/>
      <c r="AI182" s="2315"/>
      <c r="AJ182" s="2314"/>
      <c r="AK182" s="623"/>
      <c r="AL182" s="2313"/>
      <c r="AM182" s="2315"/>
      <c r="AN182" s="2314"/>
      <c r="AO182" s="2309"/>
      <c r="AP182" s="2308"/>
      <c r="AQ182" s="2311" t="s">
        <v>886</v>
      </c>
      <c r="AR182" s="624" t="s">
        <v>938</v>
      </c>
      <c r="AS182" s="624"/>
      <c r="AT182" s="2308">
        <v>425.70319999999998</v>
      </c>
      <c r="AU182" s="2310"/>
      <c r="AV182" s="624"/>
      <c r="AW182" s="624"/>
      <c r="AX182" s="2308">
        <v>428.85</v>
      </c>
      <c r="AY182" s="2310">
        <f>(AX182/AT182-1)*100</f>
        <v>0.73920045703204096</v>
      </c>
      <c r="AZ182" s="624"/>
      <c r="BA182" s="624"/>
      <c r="BB182" s="2308">
        <v>523.01800000000003</v>
      </c>
      <c r="BC182" s="2310">
        <f>(BB182/AX182-1)*100</f>
        <v>21.95826046403171</v>
      </c>
      <c r="BD182" s="624"/>
      <c r="BE182" s="624"/>
      <c r="BF182" s="2308">
        <v>516.68769999999995</v>
      </c>
      <c r="BG182" s="2310">
        <f>(BF182/BB182-1)*100</f>
        <v>-1.2103407530907329</v>
      </c>
      <c r="BH182" s="624"/>
      <c r="BI182" s="624"/>
      <c r="BJ182" s="2308">
        <f>$BJ$162/$BF$162*BF182</f>
        <v>472.85822086006328</v>
      </c>
      <c r="BK182" s="2310">
        <f>(BJ182/BF182-1)*100</f>
        <v>-8.4827796636027237</v>
      </c>
      <c r="BL182" s="624"/>
      <c r="BM182" s="624"/>
      <c r="BN182" s="2316">
        <f>BN181+(BN162-BN161)</f>
        <v>429.14962412765516</v>
      </c>
      <c r="BO182" s="2310">
        <f>(BN182/BJ182-1)*100</f>
        <v>-9.243488810009115</v>
      </c>
      <c r="BP182" s="624"/>
      <c r="BQ182" s="624"/>
      <c r="BR182" s="2316">
        <f>BR181+(BR162-BR161)</f>
        <v>350.55324588162102</v>
      </c>
      <c r="BS182" s="2310">
        <f>(BR182/BJ182-1)*100</f>
        <v>-25.865041482410213</v>
      </c>
      <c r="BT182" s="624"/>
      <c r="BU182" s="624"/>
      <c r="BV182" s="2316">
        <f>BV181+(BV162-BV161)</f>
        <v>355.58824588162105</v>
      </c>
      <c r="BW182" s="2310">
        <f>(BV182/BR182-1)*100</f>
        <v>1.4363010638618556</v>
      </c>
      <c r="BX182" s="624"/>
      <c r="BY182" s="624"/>
      <c r="BZ182" s="2316">
        <f>BZ181+(BZ162-BZ161)</f>
        <v>328.01124588162105</v>
      </c>
      <c r="CA182" s="2310">
        <f>(BZ182/BV182-1)*100</f>
        <v>-7.7553182140842392</v>
      </c>
      <c r="CB182" s="624"/>
      <c r="CC182" s="624"/>
      <c r="CD182" s="2316">
        <f>CD181+(CD162-CD161)</f>
        <v>315.47924588162101</v>
      </c>
      <c r="CE182" s="2310">
        <f>(CD182/BZ182-1)*100</f>
        <v>-3.8206007133434805</v>
      </c>
      <c r="CF182" s="624"/>
      <c r="CG182" s="624"/>
      <c r="CH182" s="2316">
        <f>CH181+(CH162-CH161)</f>
        <v>301.37924588162105</v>
      </c>
      <c r="CI182" s="2310">
        <f>(CH182/CD182-1)*100</f>
        <v>-4.4693906759529884</v>
      </c>
      <c r="CJ182" s="624"/>
      <c r="CK182" s="624"/>
      <c r="CL182" s="2316">
        <f>CL181+(CL162-CL161)</f>
        <v>301.17824588162102</v>
      </c>
      <c r="CM182" s="2310">
        <f>(CL182/CH182-1)*100</f>
        <v>-6.6693378109705659E-2</v>
      </c>
      <c r="CN182" s="624"/>
      <c r="CO182" s="624"/>
      <c r="CP182" s="2316">
        <f>CP181+(CP162-CP161)</f>
        <v>295.20024588162102</v>
      </c>
      <c r="CQ182" s="2310">
        <f>(CP182/CL182-1)*100</f>
        <v>-1.9848711126200236</v>
      </c>
      <c r="CR182" s="624"/>
      <c r="CS182" s="624"/>
      <c r="CT182" s="2316">
        <f>CT181+(CT162-CT161)</f>
        <v>291.63244588162109</v>
      </c>
      <c r="CU182" s="2310">
        <f>(CT182/CP182-1)*100</f>
        <v>-1.2086033293585596</v>
      </c>
      <c r="CV182" s="624"/>
      <c r="CW182" s="624"/>
      <c r="CX182" s="2316">
        <f>CX181+(CX162-CX161)</f>
        <v>293.74044588162104</v>
      </c>
      <c r="CY182" s="2310">
        <f>(CX182/CT182-1)*100</f>
        <v>0.722827665360537</v>
      </c>
      <c r="CZ182" s="624"/>
      <c r="DA182" s="624"/>
      <c r="DB182" s="2316">
        <f>DB181+(DB162-DB161)</f>
        <v>295.00644588162106</v>
      </c>
      <c r="DC182" s="2310">
        <f>(DB182/CX182-1)*100</f>
        <v>0.43099274129589915</v>
      </c>
      <c r="DD182" s="624"/>
      <c r="DE182" s="624"/>
      <c r="DF182" s="2316">
        <f>DF181+(DF162-DF161)</f>
        <v>294.92244588162106</v>
      </c>
      <c r="DG182" s="2310">
        <f>(DF182/DB182-1)*100</f>
        <v>-2.8473954102581356E-2</v>
      </c>
      <c r="DH182" s="624"/>
      <c r="DI182" s="624"/>
      <c r="DJ182" s="2316">
        <f>DJ181+(DJ162-DJ161)</f>
        <v>293.45244588162103</v>
      </c>
      <c r="DK182" s="2310">
        <f>(DJ182/DF182-1)*100</f>
        <v>-0.49843612126764247</v>
      </c>
      <c r="DL182" s="624"/>
      <c r="DM182" s="624"/>
      <c r="DN182" s="2316">
        <f>DN181+(DN162-DN161)</f>
        <v>289.91944588162107</v>
      </c>
      <c r="DO182" s="2310">
        <f>(DN182/DJ182-1)*100</f>
        <v>-1.2039429384838596</v>
      </c>
      <c r="DP182" s="624"/>
      <c r="DQ182" s="624"/>
      <c r="DR182" s="2316">
        <f>DR181+(DR162-DR161)</f>
        <v>287.98244588162106</v>
      </c>
      <c r="DS182" s="2310">
        <f>(DR182/DN182-1)*100</f>
        <v>-0.66811661912148379</v>
      </c>
      <c r="DT182" s="624"/>
      <c r="DU182" s="624"/>
      <c r="DV182" s="624"/>
      <c r="DW182" s="624"/>
      <c r="DX182" s="624"/>
      <c r="DY182" s="624"/>
      <c r="DZ182" s="624"/>
      <c r="EA182" s="624"/>
      <c r="EB182" s="624"/>
      <c r="EC182" s="624"/>
      <c r="ED182" s="624"/>
      <c r="EE182" s="624"/>
      <c r="EF182" s="624"/>
      <c r="EG182" s="624"/>
      <c r="EH182" s="624"/>
    </row>
    <row r="183" spans="1:138" hidden="1" outlineLevel="1">
      <c r="A183" s="624" t="str">
        <f>$A$13</f>
        <v>4Q</v>
      </c>
      <c r="B183" s="624" t="str">
        <f>$B$13</f>
        <v>Jan</v>
      </c>
      <c r="C183" s="623"/>
      <c r="D183" s="2313"/>
      <c r="E183" s="623"/>
      <c r="F183" s="2313"/>
      <c r="G183" s="2314"/>
      <c r="H183" s="2314"/>
      <c r="I183" s="623"/>
      <c r="J183" s="2313"/>
      <c r="K183" s="2315"/>
      <c r="L183" s="2314"/>
      <c r="M183" s="623"/>
      <c r="N183" s="2313"/>
      <c r="O183" s="2315"/>
      <c r="P183" s="2314"/>
      <c r="Q183" s="623"/>
      <c r="R183" s="2313"/>
      <c r="S183" s="2315"/>
      <c r="T183" s="2314"/>
      <c r="U183" s="623"/>
      <c r="V183" s="2313"/>
      <c r="W183" s="2315"/>
      <c r="X183" s="2314"/>
      <c r="Y183" s="623"/>
      <c r="Z183" s="2313"/>
      <c r="AA183" s="2315"/>
      <c r="AB183" s="2314"/>
      <c r="AC183" s="623"/>
      <c r="AD183" s="2313"/>
      <c r="AE183" s="2315"/>
      <c r="AF183" s="2314"/>
      <c r="AG183" s="623"/>
      <c r="AH183" s="2313"/>
      <c r="AI183" s="2315"/>
      <c r="AJ183" s="2314"/>
      <c r="AK183" s="623"/>
      <c r="AL183" s="2313"/>
      <c r="AM183" s="2315"/>
      <c r="AN183" s="2314"/>
      <c r="AO183" s="2309"/>
      <c r="AP183" s="2317"/>
      <c r="AQ183" s="2311" t="s">
        <v>886</v>
      </c>
      <c r="AR183" s="624"/>
      <c r="AS183" s="624"/>
      <c r="AT183" s="2317">
        <v>426.40159999999997</v>
      </c>
      <c r="AU183" s="2310"/>
      <c r="AV183" s="624"/>
      <c r="AW183" s="624"/>
      <c r="AX183" s="2317">
        <v>429</v>
      </c>
      <c r="AY183" s="2310">
        <f>(AX183/AT183-1)*100</f>
        <v>0.60937857644061122</v>
      </c>
      <c r="AZ183" s="624"/>
      <c r="BA183" s="624"/>
      <c r="BB183" s="2317">
        <v>523</v>
      </c>
      <c r="BC183" s="2310">
        <f>(BB183/AX183-1)*100</f>
        <v>21.911421911421904</v>
      </c>
      <c r="BD183" s="624"/>
      <c r="BE183" s="624"/>
      <c r="BF183" s="2317">
        <v>518</v>
      </c>
      <c r="BG183" s="2310">
        <f>(BF183/BB183-1)*100</f>
        <v>-0.95602294455067183</v>
      </c>
      <c r="BH183" s="624"/>
      <c r="BI183" s="2318"/>
      <c r="BJ183" s="2317">
        <f>$BJ$163/$BF$163*BF183</f>
        <v>432.86262412765518</v>
      </c>
      <c r="BK183" s="2310">
        <f>(BJ183/BF183-1)*100</f>
        <v>-16.435786847943014</v>
      </c>
      <c r="BL183" s="624"/>
      <c r="BM183" s="624"/>
      <c r="BN183" s="2319">
        <f>BN182+(BN163-BN162)</f>
        <v>427.17962412765519</v>
      </c>
      <c r="BO183" s="2310">
        <f>(BN183/BJ183-1)*100</f>
        <v>-1.3128876653309862</v>
      </c>
      <c r="BP183" s="624"/>
      <c r="BQ183" s="624"/>
      <c r="BR183" s="2319">
        <f>BR182+(BR163-BR162)</f>
        <v>356.03524588162105</v>
      </c>
      <c r="BS183" s="2310">
        <f>(BR183/BJ183-1)*100</f>
        <v>-17.748674513273986</v>
      </c>
      <c r="BT183" s="624"/>
      <c r="BU183" s="624"/>
      <c r="BV183" s="2319">
        <f>BV182+(BV163-BV162)</f>
        <v>359.03224588162101</v>
      </c>
      <c r="BW183" s="2310">
        <f>(BV183/BR183-1)*100</f>
        <v>0.84177059284642475</v>
      </c>
      <c r="BX183" s="624"/>
      <c r="BY183" s="624"/>
      <c r="BZ183" s="2319">
        <f>BZ182+(BZ163-BZ162)</f>
        <v>316.82224588162103</v>
      </c>
      <c r="CA183" s="2310">
        <f>(BZ183/BV183-1)*100</f>
        <v>-11.756604172516949</v>
      </c>
      <c r="CB183" s="624"/>
      <c r="CC183" s="624"/>
      <c r="CD183" s="2319">
        <f>CD182+(CD163-CD162)</f>
        <v>298.81724588162103</v>
      </c>
      <c r="CE183" s="2310">
        <f>(CD183/BZ183-1)*100</f>
        <v>-5.6829974012391427</v>
      </c>
      <c r="CF183" s="624"/>
      <c r="CG183" s="624"/>
      <c r="CH183" s="2319">
        <f>CH182+(CH163-CH162)</f>
        <v>302.93924588162105</v>
      </c>
      <c r="CI183" s="2310">
        <f>(CH183/CD183-1)*100</f>
        <v>1.3794384550458672</v>
      </c>
      <c r="CJ183" s="624"/>
      <c r="CK183" s="624"/>
      <c r="CL183" s="2319">
        <f>CL182+(CL163-CL162)</f>
        <v>302.07224588162103</v>
      </c>
      <c r="CM183" s="2310">
        <f>(CL183/CH183-1)*100</f>
        <v>-0.28619599863228817</v>
      </c>
      <c r="CN183" s="624"/>
      <c r="CO183" s="624"/>
      <c r="CP183" s="2319">
        <f>CP182+(CP163-CP162)</f>
        <v>293.27644588162104</v>
      </c>
      <c r="CQ183" s="2310">
        <f>(CP183/CL183-1)*100</f>
        <v>-2.9118199768167319</v>
      </c>
      <c r="CR183" s="624"/>
      <c r="CS183" s="624"/>
      <c r="CT183" s="2319">
        <f>CT182+(CT163-CT162)</f>
        <v>292.66944588162107</v>
      </c>
      <c r="CU183" s="2310">
        <f>(CT183/CP183-1)*100</f>
        <v>-0.20697195718369921</v>
      </c>
      <c r="CV183" s="624"/>
      <c r="CW183" s="624"/>
      <c r="CX183" s="2319">
        <f>CX182+(CX163-CX162)</f>
        <v>294.21444588162103</v>
      </c>
      <c r="CY183" s="2310">
        <f>(CX183/CT183-1)*100</f>
        <v>0.52789931499199749</v>
      </c>
      <c r="CZ183" s="624"/>
      <c r="DA183" s="624"/>
      <c r="DB183" s="2319">
        <f>DB182+(DB163-DB162)</f>
        <v>295.91244588162107</v>
      </c>
      <c r="DC183" s="2310">
        <f>(DB183/CX183-1)*100</f>
        <v>0.57713005726551803</v>
      </c>
      <c r="DD183" s="624"/>
      <c r="DE183" s="624"/>
      <c r="DF183" s="2319">
        <f>DF182+(DF163-DF162)</f>
        <v>294.17344588162103</v>
      </c>
      <c r="DG183" s="2310">
        <f>(DF183/DB183-1)*100</f>
        <v>-0.58767382859445938</v>
      </c>
      <c r="DH183" s="624"/>
      <c r="DI183" s="624"/>
      <c r="DJ183" s="2319">
        <f>DJ182+(DJ163-DJ162)</f>
        <v>293.41844588162104</v>
      </c>
      <c r="DK183" s="2310">
        <f>(DJ183/DF183-1)*100</f>
        <v>-0.25665130914087619</v>
      </c>
      <c r="DL183" s="624"/>
      <c r="DM183" s="624"/>
      <c r="DN183" s="2319">
        <f>DN182+(DN163-DN162)</f>
        <v>288.98244588162106</v>
      </c>
      <c r="DO183" s="2310">
        <f>(DN183/DJ183-1)*100</f>
        <v>-1.5118340589226897</v>
      </c>
      <c r="DP183" s="624"/>
      <c r="DQ183" s="624"/>
      <c r="DR183" s="2319">
        <f>DR182+(DR163-DR162)</f>
        <v>287.98244588162106</v>
      </c>
      <c r="DS183" s="2310">
        <f>(DR183/DN183-1)*100</f>
        <v>-0.34604178013277753</v>
      </c>
      <c r="DT183" s="624"/>
      <c r="DU183" s="624"/>
      <c r="DV183" s="624"/>
      <c r="DW183" s="624"/>
      <c r="DX183" s="624"/>
      <c r="DY183" s="624"/>
      <c r="DZ183" s="624"/>
      <c r="EA183" s="624"/>
      <c r="EB183" s="624"/>
      <c r="EC183" s="624"/>
      <c r="ED183" s="624"/>
      <c r="EE183" s="624"/>
      <c r="EF183" s="624"/>
      <c r="EG183" s="624"/>
      <c r="EH183" s="624"/>
    </row>
    <row r="184" spans="1:138" hidden="1" outlineLevel="1">
      <c r="A184" s="624"/>
      <c r="B184" s="624" t="str">
        <f>$B$14</f>
        <v>Year</v>
      </c>
      <c r="C184" s="624"/>
      <c r="D184" s="2320"/>
      <c r="E184" s="623"/>
      <c r="F184" s="2320"/>
      <c r="G184" s="2321"/>
      <c r="H184" s="2321"/>
      <c r="I184" s="2321"/>
      <c r="J184" s="2320"/>
      <c r="K184" s="2315"/>
      <c r="L184" s="2321"/>
      <c r="M184" s="2321"/>
      <c r="N184" s="2320"/>
      <c r="O184" s="2315"/>
      <c r="P184" s="2321"/>
      <c r="Q184" s="2321"/>
      <c r="R184" s="2320"/>
      <c r="S184" s="2315"/>
      <c r="T184" s="2321"/>
      <c r="U184" s="2321"/>
      <c r="V184" s="2320"/>
      <c r="W184" s="2315"/>
      <c r="X184" s="2321"/>
      <c r="Y184" s="2321"/>
      <c r="Z184" s="2320"/>
      <c r="AA184" s="2315"/>
      <c r="AB184" s="2321"/>
      <c r="AC184" s="2321"/>
      <c r="AD184" s="2320"/>
      <c r="AE184" s="2315"/>
      <c r="AF184" s="2321"/>
      <c r="AG184" s="2321"/>
      <c r="AH184" s="2320"/>
      <c r="AI184" s="2315"/>
      <c r="AJ184" s="2321"/>
      <c r="AK184" s="2321"/>
      <c r="AL184" s="2320"/>
      <c r="AM184" s="2315"/>
      <c r="AN184" s="2321"/>
      <c r="AO184" s="2322"/>
      <c r="AP184" s="2323">
        <v>429.928</v>
      </c>
      <c r="AQ184" s="2311" t="s">
        <v>886</v>
      </c>
      <c r="AR184" s="2324"/>
      <c r="AS184" s="2324"/>
      <c r="AT184" s="2316">
        <f>AT183</f>
        <v>426.40159999999997</v>
      </c>
      <c r="AU184" s="2310"/>
      <c r="AV184" s="2322"/>
      <c r="AW184" s="2322"/>
      <c r="AX184" s="2316">
        <f>AX183</f>
        <v>429</v>
      </c>
      <c r="AY184" s="2310">
        <f>(AX184/AT184-1)*100</f>
        <v>0.60937857644061122</v>
      </c>
      <c r="AZ184" s="2322"/>
      <c r="BA184" s="2322"/>
      <c r="BB184" s="2316">
        <f>BB183</f>
        <v>523</v>
      </c>
      <c r="BC184" s="2310">
        <f>(BB184/AX184-1)*100</f>
        <v>21.911421911421904</v>
      </c>
      <c r="BD184" s="624"/>
      <c r="BE184" s="2322"/>
      <c r="BF184" s="2316">
        <f>BF183</f>
        <v>518</v>
      </c>
      <c r="BG184" s="2310">
        <f>(BF184/BB184-1)*100</f>
        <v>-0.95602294455067183</v>
      </c>
      <c r="BH184" s="624"/>
      <c r="BI184" s="2322"/>
      <c r="BJ184" s="2316">
        <f>BJ183</f>
        <v>432.86262412765518</v>
      </c>
      <c r="BK184" s="2310">
        <f>(BJ184/BF184-1)*100</f>
        <v>-16.435786847943014</v>
      </c>
      <c r="BL184" s="624"/>
      <c r="BM184" s="2322"/>
      <c r="BN184" s="2316">
        <f>AVERAGE(BN180:BN183)</f>
        <v>430.51362412765519</v>
      </c>
      <c r="BO184" s="2310">
        <f>(BN184/BJ184-1)*100</f>
        <v>-0.54266639554152452</v>
      </c>
      <c r="BP184" s="624"/>
      <c r="BQ184" s="2322"/>
      <c r="BR184" s="2316">
        <f>AVERAGE(BR180:BR183)</f>
        <v>357.506245881621</v>
      </c>
      <c r="BS184" s="2310">
        <f>(BR184/BJ184-1)*100</f>
        <v>-17.408843833051957</v>
      </c>
      <c r="BT184" s="624"/>
      <c r="BU184" s="2322"/>
      <c r="BV184" s="2316">
        <f>AVERAGE(BV180:BV183)</f>
        <v>356.67274588162104</v>
      </c>
      <c r="BW184" s="2310">
        <f>(BV184/BR184-1)*100</f>
        <v>-0.23314277990991172</v>
      </c>
      <c r="BX184" s="624"/>
      <c r="BY184" s="2322"/>
      <c r="BZ184" s="2316">
        <f>AVERAGE(BZ180:BZ183)</f>
        <v>340.72449588162101</v>
      </c>
      <c r="CA184" s="2310">
        <f>(BZ184/BV184-1)*100</f>
        <v>-4.4713957497871775</v>
      </c>
      <c r="CB184" s="624"/>
      <c r="CC184" s="2322"/>
      <c r="CD184" s="2316">
        <f>AVERAGE(CD180:CD183)</f>
        <v>311.98524588162104</v>
      </c>
      <c r="CE184" s="2310">
        <f>(CD184/BZ184-1)*100</f>
        <v>-8.434747236366869</v>
      </c>
      <c r="CF184" s="624"/>
      <c r="CG184" s="2322"/>
      <c r="CH184" s="2316">
        <f>AVERAGE(CH180:CH183)</f>
        <v>300.48824588162103</v>
      </c>
      <c r="CI184" s="2310">
        <f>(CH184/CD184-1)*100</f>
        <v>-3.6851101620242632</v>
      </c>
      <c r="CJ184" s="624"/>
      <c r="CK184" s="2322"/>
      <c r="CL184" s="2316">
        <f>AVERAGE(CL180:CL183)</f>
        <v>302.28224588162107</v>
      </c>
      <c r="CM184" s="2310">
        <f>(CL184/CH184-1)*100</f>
        <v>0.59702834456518694</v>
      </c>
      <c r="CN184" s="624"/>
      <c r="CO184" s="2322"/>
      <c r="CP184" s="2316">
        <f>AVERAGE(CP180:CP183)</f>
        <v>298.15529588162099</v>
      </c>
      <c r="CQ184" s="2310">
        <f>(CP184/CL184-1)*100</f>
        <v>-1.3652637745771745</v>
      </c>
      <c r="CR184" s="624"/>
      <c r="CS184" s="2322"/>
      <c r="CT184" s="2316">
        <f>AVERAGE(CT180:CT183)</f>
        <v>292.71369588162111</v>
      </c>
      <c r="CU184" s="2310">
        <f>(CT184/CP184-1)*100</f>
        <v>-1.8250891649968848</v>
      </c>
      <c r="CV184" s="624"/>
      <c r="CW184" s="624"/>
      <c r="CX184" s="2316">
        <f>AVERAGE(CX180:CX183)</f>
        <v>293.32344588162107</v>
      </c>
      <c r="CY184" s="2310">
        <f>(CX184/CT184-1)*100</f>
        <v>0.20830935093878455</v>
      </c>
      <c r="CZ184" s="624"/>
      <c r="DA184" s="624"/>
      <c r="DB184" s="2316">
        <f>AVERAGE(DB180:DB183)</f>
        <v>294.83694588162103</v>
      </c>
      <c r="DC184" s="2310">
        <f>(DB184/CX184-1)*100</f>
        <v>0.51598330145445903</v>
      </c>
      <c r="DD184" s="624"/>
      <c r="DE184" s="624"/>
      <c r="DF184" s="2316">
        <f>AVERAGE(DF180:DF183)</f>
        <v>295.23019588162106</v>
      </c>
      <c r="DG184" s="2310">
        <f>(DF184/DB184-1)*100</f>
        <v>0.13337880665671431</v>
      </c>
      <c r="DH184" s="624"/>
      <c r="DI184" s="624"/>
      <c r="DJ184" s="2316">
        <f>AVERAGE(DJ180:DJ183)</f>
        <v>293.80444588162101</v>
      </c>
      <c r="DK184" s="2310">
        <f>(DJ184/DF184-1)*100</f>
        <v>-0.48292824375313348</v>
      </c>
      <c r="DL184" s="624"/>
      <c r="DM184" s="624"/>
      <c r="DN184" s="2316">
        <f>AVERAGE(DN180:DN183)</f>
        <v>291.43469588162105</v>
      </c>
      <c r="DO184" s="2310">
        <f>(DN184/DJ184-1)*100</f>
        <v>-0.80657390765106474</v>
      </c>
      <c r="DP184" s="624"/>
      <c r="DQ184" s="624"/>
      <c r="DR184" s="2316">
        <f>AVERAGE(DR180:DR183)</f>
        <v>288.48244588162106</v>
      </c>
      <c r="DS184" s="2310">
        <f>(DR184/DN184-1)*100</f>
        <v>-1.0130056721863956</v>
      </c>
      <c r="DT184" s="624"/>
      <c r="DU184" s="2322"/>
      <c r="DV184" s="624"/>
      <c r="DW184" s="624"/>
      <c r="DX184" s="624"/>
      <c r="DY184" s="624"/>
      <c r="DZ184" s="624"/>
      <c r="EA184" s="624"/>
      <c r="EB184" s="624"/>
      <c r="EC184" s="624"/>
      <c r="ED184" s="624"/>
      <c r="EE184" s="624"/>
      <c r="EF184" s="624"/>
      <c r="EG184" s="624"/>
      <c r="EH184" s="624"/>
    </row>
    <row r="185" spans="1:138" collapsed="1">
      <c r="D185" s="139"/>
      <c r="E185" s="139"/>
      <c r="F185" s="139"/>
      <c r="G185" s="139"/>
      <c r="H185" s="139"/>
      <c r="I185" s="139"/>
      <c r="J185" s="139"/>
      <c r="K185" s="139"/>
      <c r="L185" s="139"/>
      <c r="M185" s="139"/>
      <c r="N185" s="139"/>
      <c r="O185" s="139"/>
      <c r="P185" s="139"/>
      <c r="Q185" s="139"/>
      <c r="R185" s="139"/>
      <c r="S185" s="139"/>
      <c r="T185" s="139"/>
      <c r="U185" s="139"/>
      <c r="V185" s="139"/>
      <c r="W185" s="139"/>
      <c r="X185" s="139"/>
      <c r="Y185" s="139"/>
      <c r="Z185" s="139"/>
      <c r="AA185" s="139"/>
      <c r="AB185" s="139"/>
      <c r="AC185" s="139"/>
      <c r="AD185" s="139"/>
      <c r="AE185" s="139"/>
      <c r="AF185" s="139"/>
      <c r="AG185" s="139"/>
      <c r="AH185" s="139"/>
      <c r="AI185" s="139"/>
      <c r="AJ185" s="139"/>
      <c r="AK185" s="139"/>
      <c r="AL185" s="139"/>
      <c r="AM185" s="139"/>
      <c r="AN185" s="139"/>
      <c r="BN185" s="161"/>
      <c r="BO185" s="161"/>
      <c r="BP185" s="161"/>
      <c r="BR185" s="161"/>
      <c r="BS185" s="161"/>
      <c r="BT185" s="161"/>
      <c r="BV185" s="161"/>
      <c r="BW185" s="161"/>
      <c r="BX185" s="161"/>
      <c r="BZ185" s="161"/>
      <c r="CA185" s="161"/>
      <c r="CB185" s="161"/>
      <c r="CD185" s="1175"/>
      <c r="CE185" s="161"/>
      <c r="CF185" s="161"/>
      <c r="CH185" s="161"/>
      <c r="CI185" s="161"/>
      <c r="CJ185" s="161"/>
      <c r="CL185" s="161"/>
      <c r="CM185" s="161"/>
      <c r="CN185" s="161"/>
      <c r="CP185" s="161"/>
      <c r="CQ185" s="161"/>
      <c r="CR185" s="161"/>
      <c r="CT185" s="161"/>
      <c r="CU185" s="161"/>
      <c r="CV185" s="161"/>
      <c r="CW185" s="161"/>
      <c r="CX185" s="161"/>
      <c r="CY185" s="161"/>
      <c r="CZ185" s="161"/>
      <c r="DA185" s="161"/>
      <c r="DB185" s="161"/>
      <c r="DC185" s="161"/>
      <c r="DD185" s="161"/>
      <c r="DE185" s="161"/>
      <c r="DF185" s="161"/>
      <c r="DG185" s="161"/>
      <c r="DH185" s="161"/>
      <c r="DI185" s="161"/>
      <c r="DJ185" s="161"/>
      <c r="DK185" s="161"/>
      <c r="DL185" s="161"/>
      <c r="DM185" s="161"/>
      <c r="DN185" s="161"/>
      <c r="DO185" s="161"/>
      <c r="DP185" s="161"/>
      <c r="DQ185" s="161"/>
      <c r="DR185" s="161"/>
      <c r="DS185" s="161"/>
      <c r="DT185" s="161"/>
    </row>
    <row r="186" spans="1:138">
      <c r="C186" s="1936"/>
      <c r="D186" s="2325"/>
      <c r="E186" s="2326"/>
      <c r="F186" s="2325"/>
      <c r="G186" s="139"/>
      <c r="H186" s="139"/>
      <c r="I186" s="139"/>
      <c r="J186" s="2325"/>
      <c r="K186" s="139"/>
      <c r="L186" s="139"/>
      <c r="M186" s="139"/>
      <c r="N186" s="2325"/>
      <c r="O186" s="139"/>
      <c r="P186" s="139"/>
      <c r="Q186" s="139"/>
      <c r="R186" s="2325"/>
      <c r="S186" s="139"/>
      <c r="T186" s="139"/>
      <c r="U186" s="139"/>
      <c r="V186" s="2325"/>
      <c r="W186" s="139"/>
      <c r="X186" s="139"/>
      <c r="Y186" s="139"/>
      <c r="Z186" s="2327"/>
      <c r="AA186" s="1829"/>
      <c r="AB186" s="1829"/>
      <c r="AC186" s="1829"/>
      <c r="AD186" s="2327"/>
      <c r="AE186" s="1829"/>
      <c r="AF186" s="1829"/>
      <c r="AG186" s="1829"/>
      <c r="AH186" s="2327"/>
      <c r="AI186" s="1829"/>
      <c r="AJ186" s="1829"/>
      <c r="AK186" s="1829"/>
      <c r="AM186" s="1829"/>
      <c r="AN186" s="1829"/>
      <c r="AO186" s="2177"/>
      <c r="AQ186" s="2177"/>
      <c r="AR186" s="2177"/>
      <c r="AS186" s="2177"/>
      <c r="AU186" s="2177"/>
      <c r="AV186" s="2177"/>
      <c r="AW186" s="2177"/>
      <c r="AY186" s="2177"/>
      <c r="AZ186" s="2177"/>
      <c r="BA186" s="2177"/>
      <c r="BB186" s="2176"/>
      <c r="BC186" s="2177"/>
      <c r="BD186" s="2177"/>
      <c r="BE186" s="2177"/>
      <c r="BF186" s="2176"/>
      <c r="BG186" s="2177"/>
      <c r="BH186" s="2177"/>
      <c r="BI186" s="2177"/>
      <c r="BJ186" s="2176" t="s">
        <v>472</v>
      </c>
      <c r="BK186" s="2177"/>
      <c r="BL186" s="2177"/>
      <c r="BM186" s="2177"/>
      <c r="BN186" s="2178"/>
      <c r="BO186" s="2179"/>
      <c r="BP186" s="2179"/>
      <c r="BQ186" s="2177"/>
      <c r="BR186" s="2178"/>
      <c r="BS186" s="2179"/>
      <c r="BT186" s="2179"/>
      <c r="BU186" s="2177"/>
      <c r="BV186" s="2176" t="s">
        <v>472</v>
      </c>
      <c r="BW186" s="2179"/>
      <c r="BX186" s="2179"/>
      <c r="BY186" s="2177"/>
      <c r="CA186" s="2179"/>
      <c r="CB186" s="2179"/>
      <c r="CC186" s="2177"/>
      <c r="CD186" s="2178"/>
      <c r="CE186" s="2179"/>
      <c r="CF186" s="2179"/>
      <c r="CG186" s="2177"/>
      <c r="CH186" s="2178"/>
      <c r="CI186" s="2179"/>
      <c r="CJ186" s="2179"/>
      <c r="CL186" s="2178"/>
      <c r="CM186" s="2179"/>
      <c r="CN186" s="2179"/>
      <c r="CO186" s="2177"/>
      <c r="CP186" s="2178"/>
      <c r="CQ186" s="2179"/>
      <c r="CR186" s="2179"/>
      <c r="CS186" s="2177"/>
      <c r="CT186" s="2178"/>
      <c r="CU186" s="2179"/>
      <c r="CV186" s="2179"/>
      <c r="CW186" s="2179"/>
      <c r="CX186" s="2210" t="s">
        <v>472</v>
      </c>
      <c r="CY186" s="2179"/>
      <c r="CZ186" s="2179"/>
      <c r="DA186" s="2179"/>
      <c r="DB186" s="2179"/>
      <c r="DC186" s="2179"/>
      <c r="DD186" s="2179"/>
      <c r="DE186" s="2179"/>
      <c r="DF186" s="2179"/>
      <c r="DG186" s="2179"/>
      <c r="DH186" s="2179"/>
      <c r="DI186" s="2179"/>
      <c r="DJ186" s="2179"/>
      <c r="DK186" s="2179"/>
      <c r="DL186" s="2179"/>
      <c r="DM186" s="2179"/>
      <c r="DN186" s="2179"/>
      <c r="DO186" s="2179"/>
      <c r="DP186" s="2179"/>
      <c r="DQ186" s="2179"/>
      <c r="DR186" s="2179"/>
      <c r="DS186" s="2179"/>
      <c r="DT186" s="2179"/>
      <c r="DU186" s="2177"/>
    </row>
    <row r="187" spans="1:138">
      <c r="D187" s="139"/>
      <c r="E187" s="139"/>
      <c r="F187" s="139"/>
      <c r="G187" s="139"/>
      <c r="H187" s="139"/>
      <c r="I187" s="139"/>
      <c r="J187" s="139"/>
      <c r="K187" s="139"/>
      <c r="L187" s="139"/>
      <c r="M187" s="139"/>
      <c r="N187" s="139"/>
      <c r="O187" s="139"/>
      <c r="P187" s="139"/>
      <c r="Q187" s="139"/>
      <c r="R187" s="139"/>
      <c r="S187" s="139"/>
      <c r="T187" s="139"/>
      <c r="U187" s="139"/>
      <c r="V187" s="139"/>
      <c r="W187" s="139"/>
      <c r="X187" s="139"/>
      <c r="Y187" s="139"/>
      <c r="Z187" s="139"/>
      <c r="AA187" s="139"/>
      <c r="AB187" s="139"/>
      <c r="AC187" s="139"/>
      <c r="AD187" s="139"/>
      <c r="AE187" s="139"/>
      <c r="AF187" s="139"/>
      <c r="AG187" s="139"/>
      <c r="AH187" s="139"/>
      <c r="AI187" s="139"/>
      <c r="AJ187" s="139"/>
      <c r="AK187" s="139"/>
      <c r="AL187" s="139"/>
      <c r="AM187" s="139"/>
      <c r="AN187" s="139"/>
      <c r="BN187" s="161"/>
      <c r="BO187" s="161"/>
      <c r="BP187" s="161"/>
      <c r="BR187" s="161"/>
      <c r="BS187" s="161"/>
      <c r="BT187" s="161"/>
      <c r="BV187" s="161"/>
      <c r="BW187" s="161"/>
      <c r="BX187" s="161"/>
      <c r="BZ187" s="161"/>
      <c r="CA187" s="161"/>
      <c r="CB187" s="161"/>
      <c r="CD187" s="161"/>
      <c r="CE187" s="161"/>
      <c r="CF187" s="161"/>
      <c r="CH187" s="161"/>
      <c r="CI187" s="161"/>
      <c r="CJ187" s="161"/>
      <c r="CL187" s="161"/>
      <c r="CM187" s="161"/>
      <c r="CN187" s="161"/>
      <c r="CP187" s="161"/>
      <c r="CQ187" s="161"/>
      <c r="CR187" s="161"/>
      <c r="CT187" s="161"/>
      <c r="CU187" s="161"/>
      <c r="CV187" s="161"/>
      <c r="CW187" s="161"/>
      <c r="CX187" s="161"/>
      <c r="CY187" s="161"/>
      <c r="CZ187" s="161"/>
      <c r="DA187" s="161"/>
      <c r="DB187" s="161"/>
      <c r="DC187" s="161"/>
      <c r="DD187" s="161"/>
      <c r="DE187" s="161"/>
      <c r="DF187" s="161"/>
      <c r="DG187" s="161"/>
      <c r="DH187" s="161"/>
      <c r="DI187" s="161"/>
      <c r="DJ187" s="161"/>
      <c r="DK187" s="161"/>
      <c r="DL187" s="161"/>
      <c r="DM187" s="161"/>
      <c r="DN187" s="161"/>
      <c r="DO187" s="161"/>
      <c r="DP187" s="161"/>
      <c r="DQ187" s="161"/>
      <c r="DR187" s="161"/>
      <c r="DS187" s="161"/>
      <c r="DT187" s="161"/>
    </row>
    <row r="188" spans="1:138">
      <c r="A188" s="161" t="str">
        <f>$A$10</f>
        <v>1Q</v>
      </c>
      <c r="B188" s="161" t="str">
        <f>$B$10</f>
        <v>Apr</v>
      </c>
      <c r="C188" s="161"/>
      <c r="D188" s="2254"/>
      <c r="E188" s="625"/>
      <c r="F188" s="2254"/>
      <c r="G188" s="2328"/>
      <c r="H188" s="2328"/>
      <c r="I188" s="625"/>
      <c r="J188" s="2254"/>
      <c r="K188" s="2329"/>
      <c r="L188" s="2328"/>
      <c r="M188" s="625"/>
      <c r="N188" s="2254"/>
      <c r="O188" s="2329"/>
      <c r="P188" s="2328"/>
      <c r="Q188" s="625"/>
      <c r="R188" s="2254"/>
      <c r="S188" s="2329"/>
      <c r="T188" s="2328"/>
      <c r="U188" s="625"/>
      <c r="V188" s="2254"/>
      <c r="W188" s="2329"/>
      <c r="X188" s="2328"/>
      <c r="Y188" s="625"/>
      <c r="Z188" s="2254"/>
      <c r="AA188" s="2329"/>
      <c r="AB188" s="2328"/>
      <c r="AC188" s="625"/>
      <c r="AD188" s="2254"/>
      <c r="AE188" s="2329"/>
      <c r="AF188" s="2328"/>
      <c r="AG188" s="625"/>
      <c r="AH188" s="2254"/>
      <c r="AI188" s="2329"/>
      <c r="AJ188" s="2328"/>
      <c r="AK188" s="625"/>
      <c r="AL188" s="2254"/>
      <c r="AM188" s="2329"/>
      <c r="AN188" s="2328"/>
      <c r="AO188" s="2330"/>
      <c r="AP188" s="2225"/>
      <c r="AQ188" s="2331" t="s">
        <v>886</v>
      </c>
      <c r="AR188" s="161"/>
      <c r="AS188" s="161"/>
      <c r="AT188" s="2225">
        <v>430.48399999999998</v>
      </c>
      <c r="AU188" s="2293"/>
      <c r="AV188" s="161"/>
      <c r="AW188" s="161"/>
      <c r="AX188" s="2225">
        <v>426.339</v>
      </c>
      <c r="AY188" s="2293">
        <f t="shared" ref="AY188:AY194" si="490">(AX188/AT188-1)*100</f>
        <v>-0.96286970015145856</v>
      </c>
      <c r="AZ188" s="161"/>
      <c r="BA188" s="161"/>
      <c r="BB188" s="2225">
        <v>474.18599999999998</v>
      </c>
      <c r="BC188" s="2293">
        <f>(BB188/AX188-1)*100</f>
        <v>11.222759353472235</v>
      </c>
      <c r="BD188" s="161"/>
      <c r="BE188" s="161"/>
      <c r="BF188" s="2225">
        <v>522.75400000000002</v>
      </c>
      <c r="BG188" s="2293">
        <f t="shared" ref="BG188:BG194" si="491">(BF188/BB188-1)*100</f>
        <v>10.242394334712547</v>
      </c>
      <c r="BH188" s="161"/>
      <c r="BI188" s="161"/>
      <c r="BJ188" s="2225">
        <v>505.99200000000002</v>
      </c>
      <c r="BK188" s="2293">
        <f t="shared" ref="BK188:BK194" si="492">(BJ188/BF188-1)*100</f>
        <v>-3.2064795295683957</v>
      </c>
      <c r="BL188" s="161"/>
      <c r="BM188" s="161"/>
      <c r="BN188" s="2225">
        <v>406.959</v>
      </c>
      <c r="BO188" s="2293">
        <f t="shared" ref="BO188:BO194" si="493">(BN188/BJ188-1)*100</f>
        <v>-19.572048569937873</v>
      </c>
      <c r="BP188" s="161"/>
      <c r="BQ188" s="161"/>
      <c r="BR188" s="2225">
        <f>+BN188</f>
        <v>406.959</v>
      </c>
      <c r="BS188" s="2293">
        <f>(BR188/BJ188-1)*100</f>
        <v>-19.572048569937873</v>
      </c>
      <c r="BT188" s="161"/>
      <c r="BU188" s="161"/>
      <c r="BV188" s="1933">
        <v>394.19499999999999</v>
      </c>
      <c r="BW188" s="2293">
        <f t="shared" ref="BW188:BW194" si="494">(BV188/BR188-1)*100</f>
        <v>-3.1364338913748124</v>
      </c>
      <c r="BX188" s="161"/>
      <c r="BY188" s="161"/>
      <c r="BZ188" s="1933">
        <v>399.75</v>
      </c>
      <c r="CA188" s="2293">
        <f t="shared" ref="CA188:CA194" si="495">(BZ188/BV188-1)*100</f>
        <v>1.4092010299471047</v>
      </c>
      <c r="CB188" s="161"/>
      <c r="CC188" s="161"/>
      <c r="CD188" s="2225">
        <v>341</v>
      </c>
      <c r="CE188" s="2293">
        <f t="shared" ref="CE188:CE194" si="496">(CD188/BZ188-1)*100</f>
        <v>-14.696685428392742</v>
      </c>
      <c r="CF188" s="161"/>
      <c r="CG188" s="161"/>
      <c r="CH188" s="2225">
        <v>321</v>
      </c>
      <c r="CI188" s="2293">
        <f t="shared" ref="CI188:CI194" si="497">(CH188/CD188-1)*100</f>
        <v>-5.8651026392961825</v>
      </c>
      <c r="CJ188" s="161"/>
      <c r="CK188" s="161"/>
      <c r="CL188" s="2225">
        <v>323</v>
      </c>
      <c r="CM188" s="2293">
        <f t="shared" ref="CM188:CM194" si="498">(CL188/CH188-1)*100</f>
        <v>0.6230529595015577</v>
      </c>
      <c r="CN188" s="161"/>
      <c r="CO188" s="161"/>
      <c r="CP188" s="2225">
        <v>317</v>
      </c>
      <c r="CQ188" s="2293">
        <f t="shared" ref="CQ188:CQ194" si="499">(CP188/CL188-1)*100</f>
        <v>-1.8575851393188847</v>
      </c>
      <c r="CR188" s="161"/>
      <c r="CS188" s="161"/>
      <c r="CT188" s="1933">
        <f>CP191-(CP163-CT160)</f>
        <v>291.43799999999999</v>
      </c>
      <c r="CU188" s="2293">
        <f t="shared" ref="CU188:CU194" si="500">(CT188/CP188-1)*100</f>
        <v>-8.0637223974763472</v>
      </c>
      <c r="CV188" s="161"/>
      <c r="CW188" s="161"/>
      <c r="CX188" s="2296">
        <f>CT191-(CT163-CX160)</f>
        <v>285.39999999999998</v>
      </c>
      <c r="CY188" s="2293">
        <f>(CX188/CT188-1)*100</f>
        <v>-2.0717957164131051</v>
      </c>
      <c r="CZ188" s="161"/>
      <c r="DA188" s="161"/>
      <c r="DB188" s="2296">
        <f>CX191-(CX163-DB160)</f>
        <v>287.524</v>
      </c>
      <c r="DC188" s="2293">
        <f>(DB188/CX188-1)*100</f>
        <v>0.74421864050455699</v>
      </c>
      <c r="DD188" s="161"/>
      <c r="DE188" s="161"/>
      <c r="DF188" s="2296">
        <f>DB191-(DB163-DF160)</f>
        <v>289.34299999999996</v>
      </c>
      <c r="DG188" s="2293">
        <f>(DF188/DB188-1)*100</f>
        <v>0.63264284024984185</v>
      </c>
      <c r="DH188" s="161"/>
      <c r="DI188" s="161"/>
      <c r="DJ188" s="2296">
        <f>DF191-(DF163-DJ160)</f>
        <v>282.97800000000001</v>
      </c>
      <c r="DK188" s="2293">
        <f>(DJ188/DF188-1)*100</f>
        <v>-2.1998112966271743</v>
      </c>
      <c r="DL188" s="161"/>
      <c r="DM188" s="161"/>
      <c r="DN188" s="2296">
        <f>DJ191-(DJ163-DN160)</f>
        <v>279.52699999999999</v>
      </c>
      <c r="DO188" s="2293">
        <f>(DN188/DJ188-1)*100</f>
        <v>-1.219529433383526</v>
      </c>
      <c r="DP188" s="161"/>
      <c r="DQ188" s="161"/>
      <c r="DR188" s="2296">
        <f>DN191-(DN163-DR160)</f>
        <v>273.7</v>
      </c>
      <c r="DS188" s="2293">
        <f>(DR188/DN188-1)*100</f>
        <v>-2.0845929015801734</v>
      </c>
      <c r="DT188" s="161"/>
      <c r="DU188" s="161"/>
      <c r="DV188" s="161"/>
      <c r="DW188" s="161"/>
      <c r="DX188" s="161"/>
      <c r="DY188" s="161"/>
      <c r="DZ188" s="161"/>
      <c r="EA188" s="161"/>
      <c r="EB188" s="161"/>
      <c r="EC188" s="161"/>
      <c r="ED188" s="161"/>
      <c r="EE188" s="161"/>
      <c r="EF188" s="161"/>
      <c r="EG188" s="161"/>
      <c r="EH188" s="161"/>
    </row>
    <row r="189" spans="1:138">
      <c r="A189" s="161" t="str">
        <f>$A$11</f>
        <v>2Q</v>
      </c>
      <c r="B189" s="161" t="str">
        <f>$B$11</f>
        <v>Jul</v>
      </c>
      <c r="C189" s="161"/>
      <c r="D189" s="2254"/>
      <c r="E189" s="625"/>
      <c r="F189" s="2254"/>
      <c r="G189" s="2328"/>
      <c r="H189" s="2328"/>
      <c r="I189" s="625"/>
      <c r="J189" s="2254"/>
      <c r="K189" s="2329"/>
      <c r="L189" s="2328"/>
      <c r="M189" s="625"/>
      <c r="N189" s="2254"/>
      <c r="O189" s="2329"/>
      <c r="P189" s="2328"/>
      <c r="Q189" s="625"/>
      <c r="R189" s="2254"/>
      <c r="S189" s="2329"/>
      <c r="T189" s="2328"/>
      <c r="U189" s="625"/>
      <c r="V189" s="2254"/>
      <c r="W189" s="2329"/>
      <c r="X189" s="2328"/>
      <c r="Y189" s="625"/>
      <c r="Z189" s="2254"/>
      <c r="AA189" s="2329"/>
      <c r="AB189" s="2328"/>
      <c r="AC189" s="625"/>
      <c r="AD189" s="2254"/>
      <c r="AE189" s="2329"/>
      <c r="AF189" s="2328"/>
      <c r="AG189" s="625"/>
      <c r="AH189" s="2254"/>
      <c r="AI189" s="2329"/>
      <c r="AJ189" s="2328"/>
      <c r="AK189" s="625"/>
      <c r="AL189" s="2254"/>
      <c r="AM189" s="2329"/>
      <c r="AN189" s="2328"/>
      <c r="AO189" s="2330"/>
      <c r="AP189" s="2225"/>
      <c r="AQ189" s="2331" t="s">
        <v>886</v>
      </c>
      <c r="AR189" s="161"/>
      <c r="AS189" s="161"/>
      <c r="AT189" s="2225">
        <v>428.61599999999999</v>
      </c>
      <c r="AU189" s="2293"/>
      <c r="AV189" s="161"/>
      <c r="AW189" s="161"/>
      <c r="AX189" s="2225">
        <v>427.58699999999999</v>
      </c>
      <c r="AY189" s="2293">
        <f t="shared" si="490"/>
        <v>-0.24007503219665161</v>
      </c>
      <c r="AZ189" s="161"/>
      <c r="BA189" s="161"/>
      <c r="BB189" s="2225">
        <v>521.51199999999994</v>
      </c>
      <c r="BC189" s="2293">
        <f t="shared" ref="BC189:BC194" si="501">(BB189/AX189-1)*100</f>
        <v>21.966289901236458</v>
      </c>
      <c r="BD189" s="161"/>
      <c r="BE189" s="161"/>
      <c r="BF189" s="2225">
        <v>520.13599999999997</v>
      </c>
      <c r="BG189" s="2293">
        <f t="shared" si="491"/>
        <v>-0.26384819524766234</v>
      </c>
      <c r="BH189" s="161"/>
      <c r="BI189" s="161"/>
      <c r="BJ189" s="2225">
        <v>472.11599999999999</v>
      </c>
      <c r="BK189" s="2293">
        <f t="shared" si="492"/>
        <v>-9.2322008090191758</v>
      </c>
      <c r="BL189" s="161"/>
      <c r="BM189" s="161"/>
      <c r="BN189" s="2225">
        <v>403.66699999999997</v>
      </c>
      <c r="BO189" s="2293">
        <f t="shared" si="493"/>
        <v>-14.4983436274136</v>
      </c>
      <c r="BP189" s="161"/>
      <c r="BQ189" s="161"/>
      <c r="BR189" s="2225">
        <f>+BN189</f>
        <v>403.66699999999997</v>
      </c>
      <c r="BS189" s="2293">
        <f t="shared" ref="BS189:BS194" si="502">(BR189/BJ189-1)*100</f>
        <v>-14.4983436274136</v>
      </c>
      <c r="BT189" s="161"/>
      <c r="BU189" s="161"/>
      <c r="BV189" s="1933">
        <v>395.83600000000001</v>
      </c>
      <c r="BW189" s="2293">
        <f t="shared" si="494"/>
        <v>-1.9399653674934902</v>
      </c>
      <c r="BX189" s="161"/>
      <c r="BY189" s="161"/>
      <c r="BZ189" s="1933">
        <v>390.298</v>
      </c>
      <c r="CA189" s="2293">
        <f t="shared" si="495"/>
        <v>-1.3990642589355229</v>
      </c>
      <c r="CB189" s="161"/>
      <c r="CC189" s="161"/>
      <c r="CD189" s="2225">
        <v>339</v>
      </c>
      <c r="CE189" s="2293">
        <f t="shared" si="496"/>
        <v>-13.143290511352868</v>
      </c>
      <c r="CF189" s="161"/>
      <c r="CG189" s="161"/>
      <c r="CH189" s="2225">
        <v>322</v>
      </c>
      <c r="CI189" s="2293">
        <f t="shared" si="497"/>
        <v>-5.0147492625368777</v>
      </c>
      <c r="CJ189" s="161"/>
      <c r="CK189" s="161"/>
      <c r="CL189" s="2225">
        <v>325</v>
      </c>
      <c r="CM189" s="2293">
        <f t="shared" si="498"/>
        <v>0.93167701863354768</v>
      </c>
      <c r="CN189" s="161"/>
      <c r="CO189" s="161"/>
      <c r="CP189" s="2225">
        <v>305</v>
      </c>
      <c r="CQ189" s="2293">
        <f t="shared" si="499"/>
        <v>-6.1538461538461542</v>
      </c>
      <c r="CR189" s="161"/>
      <c r="CS189" s="161"/>
      <c r="CT189" s="2296">
        <f>CT188-(CT160-CT161)</f>
        <v>286.22999999999996</v>
      </c>
      <c r="CU189" s="2293">
        <f t="shared" si="500"/>
        <v>-6.1540983606557464</v>
      </c>
      <c r="CV189" s="161"/>
      <c r="CW189" s="161"/>
      <c r="CX189" s="2296">
        <f>CX188-(CX160-CX161)</f>
        <v>285.673</v>
      </c>
      <c r="CY189" s="2293">
        <f t="shared" ref="CY189:CY194" si="503">(CX189/CT189-1)*100</f>
        <v>-0.19459874925757958</v>
      </c>
      <c r="CZ189" s="161"/>
      <c r="DA189" s="161"/>
      <c r="DB189" s="2296">
        <f>DB188-(DB160-DB161)</f>
        <v>287.54199999999997</v>
      </c>
      <c r="DC189" s="2293">
        <f t="shared" ref="DC189:DC194" si="504">(DB189/CX189-1)*100</f>
        <v>0.65424453833577978</v>
      </c>
      <c r="DD189" s="161"/>
      <c r="DE189" s="161"/>
      <c r="DF189" s="2296">
        <f>DF188-(DF160-DF161)</f>
        <v>287.113</v>
      </c>
      <c r="DG189" s="2293">
        <f t="shared" ref="DG189:DG194" si="505">(DF189/DB189-1)*100</f>
        <v>-0.14919559577382113</v>
      </c>
      <c r="DH189" s="161"/>
      <c r="DI189" s="161"/>
      <c r="DJ189" s="2296">
        <f>DJ188-(DJ160-DJ161)</f>
        <v>281.18599999999998</v>
      </c>
      <c r="DK189" s="2293">
        <f t="shared" ref="DK189:DK194" si="506">(DJ189/DF189-1)*100</f>
        <v>-2.0643440039287753</v>
      </c>
      <c r="DL189" s="161"/>
      <c r="DM189" s="161"/>
      <c r="DN189" s="2296">
        <f>DN188-(DN160-DN161)</f>
        <v>279.13599999999997</v>
      </c>
      <c r="DO189" s="2293">
        <f t="shared" ref="DO189:DO194" si="507">(DN189/DJ189-1)*100</f>
        <v>-0.72905478935652024</v>
      </c>
      <c r="DP189" s="161"/>
      <c r="DQ189" s="161"/>
      <c r="DR189" s="2296">
        <f>DR188-(DR160-DR161)</f>
        <v>272.7</v>
      </c>
      <c r="DS189" s="2293">
        <f t="shared" ref="DS189:DS194" si="508">(DR189/DN189-1)*100</f>
        <v>-2.3056861171615206</v>
      </c>
      <c r="DT189" s="161"/>
      <c r="DU189" s="161"/>
      <c r="DV189" s="161"/>
      <c r="DW189" s="161"/>
      <c r="DX189" s="161"/>
      <c r="DY189" s="161"/>
      <c r="DZ189" s="161"/>
      <c r="EA189" s="161"/>
      <c r="EB189" s="161"/>
      <c r="EC189" s="161"/>
      <c r="ED189" s="161"/>
      <c r="EE189" s="161"/>
      <c r="EF189" s="161"/>
      <c r="EG189" s="161"/>
      <c r="EH189" s="161"/>
    </row>
    <row r="190" spans="1:138">
      <c r="A190" s="161" t="str">
        <f>$A$12</f>
        <v>3Q</v>
      </c>
      <c r="B190" s="161" t="str">
        <f>$B$12</f>
        <v>Oct</v>
      </c>
      <c r="C190" s="161"/>
      <c r="D190" s="2254"/>
      <c r="E190" s="625"/>
      <c r="F190" s="2254"/>
      <c r="G190" s="2328"/>
      <c r="H190" s="2328"/>
      <c r="I190" s="625"/>
      <c r="J190" s="2254"/>
      <c r="K190" s="2329"/>
      <c r="L190" s="2328"/>
      <c r="M190" s="625"/>
      <c r="N190" s="2254"/>
      <c r="O190" s="2329"/>
      <c r="P190" s="2328"/>
      <c r="Q190" s="625"/>
      <c r="R190" s="2254"/>
      <c r="S190" s="2329"/>
      <c r="T190" s="2328"/>
      <c r="U190" s="625"/>
      <c r="V190" s="2254"/>
      <c r="W190" s="2329"/>
      <c r="X190" s="2328"/>
      <c r="Y190" s="625"/>
      <c r="Z190" s="2254"/>
      <c r="AA190" s="2329"/>
      <c r="AB190" s="2328"/>
      <c r="AC190" s="625"/>
      <c r="AD190" s="2254"/>
      <c r="AE190" s="2329"/>
      <c r="AF190" s="2328"/>
      <c r="AG190" s="625"/>
      <c r="AH190" s="2254"/>
      <c r="AI190" s="2329"/>
      <c r="AJ190" s="2328"/>
      <c r="AK190" s="625"/>
      <c r="AL190" s="2254"/>
      <c r="AM190" s="2329"/>
      <c r="AN190" s="2328"/>
      <c r="AO190" s="2330"/>
      <c r="AP190" s="2225"/>
      <c r="AQ190" s="2331" t="s">
        <v>886</v>
      </c>
      <c r="AR190" s="161" t="s">
        <v>938</v>
      </c>
      <c r="AS190" s="161"/>
      <c r="AT190" s="2225">
        <v>425.57799999999997</v>
      </c>
      <c r="AU190" s="2293"/>
      <c r="AV190" s="161"/>
      <c r="AW190" s="161"/>
      <c r="AX190" s="2225">
        <v>428.59100000000001</v>
      </c>
      <c r="AY190" s="2293">
        <f t="shared" si="490"/>
        <v>0.70797832594731158</v>
      </c>
      <c r="AZ190" s="161"/>
      <c r="BA190" s="161"/>
      <c r="BB190" s="2225">
        <v>523.01800000000003</v>
      </c>
      <c r="BC190" s="2293">
        <f t="shared" si="501"/>
        <v>22.031960540468653</v>
      </c>
      <c r="BD190" s="161"/>
      <c r="BE190" s="161"/>
      <c r="BF190" s="2225">
        <v>517.08299999999997</v>
      </c>
      <c r="BG190" s="2293">
        <f t="shared" si="491"/>
        <v>-1.1347601803379681</v>
      </c>
      <c r="BH190" s="161"/>
      <c r="BI190" s="161"/>
      <c r="BJ190" s="2225">
        <v>470.774</v>
      </c>
      <c r="BK190" s="2293">
        <f t="shared" si="492"/>
        <v>-8.9558156040712937</v>
      </c>
      <c r="BL190" s="161"/>
      <c r="BM190" s="161"/>
      <c r="BN190" s="1933">
        <v>400.803</v>
      </c>
      <c r="BO190" s="2293">
        <f t="shared" si="493"/>
        <v>-14.862970342457317</v>
      </c>
      <c r="BP190" s="161"/>
      <c r="BQ190" s="161"/>
      <c r="BR190" s="2225">
        <f>+BN190</f>
        <v>400.803</v>
      </c>
      <c r="BS190" s="2293">
        <f t="shared" si="502"/>
        <v>-14.862970342457317</v>
      </c>
      <c r="BT190" s="161"/>
      <c r="BU190" s="161"/>
      <c r="BV190" s="1933">
        <v>395.15300000000002</v>
      </c>
      <c r="BW190" s="2293">
        <f t="shared" si="494"/>
        <v>-1.4096700872997414</v>
      </c>
      <c r="BX190" s="161"/>
      <c r="BY190" s="161"/>
      <c r="BZ190" s="1933">
        <v>360.90899999999999</v>
      </c>
      <c r="CA190" s="2293">
        <f t="shared" si="495"/>
        <v>-8.6660103807892241</v>
      </c>
      <c r="CB190" s="161"/>
      <c r="CC190" s="161"/>
      <c r="CD190" s="2225">
        <v>337</v>
      </c>
      <c r="CE190" s="2293">
        <f t="shared" si="496"/>
        <v>-6.6246616183026745</v>
      </c>
      <c r="CF190" s="161"/>
      <c r="CG190" s="161"/>
      <c r="CH190" s="2225">
        <v>322</v>
      </c>
      <c r="CI190" s="2293">
        <f t="shared" si="497"/>
        <v>-4.4510385756676545</v>
      </c>
      <c r="CJ190" s="161"/>
      <c r="CK190" s="161"/>
      <c r="CL190" s="2225">
        <v>322</v>
      </c>
      <c r="CM190" s="2293">
        <f t="shared" si="498"/>
        <v>0</v>
      </c>
      <c r="CN190" s="161"/>
      <c r="CO190" s="161"/>
      <c r="CP190" s="2296">
        <f>CP189-(CP161-CP162)</f>
        <v>298.12799999999999</v>
      </c>
      <c r="CQ190" s="2293">
        <f t="shared" si="499"/>
        <v>-7.4136645962732945</v>
      </c>
      <c r="CR190" s="161"/>
      <c r="CS190" s="161"/>
      <c r="CT190" s="2296">
        <f>CT189-(CT161-CT162)</f>
        <v>284.58600000000001</v>
      </c>
      <c r="CU190" s="2293">
        <f t="shared" si="500"/>
        <v>-4.5423442279825981</v>
      </c>
      <c r="CV190" s="161"/>
      <c r="CW190" s="161"/>
      <c r="CX190" s="2296">
        <f>CX189-(CX161-CX162)</f>
        <v>286.74399999999997</v>
      </c>
      <c r="CY190" s="2293">
        <f t="shared" si="503"/>
        <v>0.75829450500022322</v>
      </c>
      <c r="CZ190" s="161"/>
      <c r="DA190" s="161"/>
      <c r="DB190" s="2296">
        <f>DB189-(DB161-DB162)</f>
        <v>288.334</v>
      </c>
      <c r="DC190" s="2293">
        <f t="shared" si="504"/>
        <v>0.55450157631895536</v>
      </c>
      <c r="DD190" s="161"/>
      <c r="DE190" s="161"/>
      <c r="DF190" s="2296">
        <f>DF189-(DF161-DF162)</f>
        <v>286.12299999999999</v>
      </c>
      <c r="DG190" s="2293">
        <f t="shared" si="505"/>
        <v>-0.76681903625657188</v>
      </c>
      <c r="DH190" s="161"/>
      <c r="DI190" s="161"/>
      <c r="DJ190" s="2296">
        <f>DJ189-(DJ161-DJ162)</f>
        <v>280.46499999999997</v>
      </c>
      <c r="DK190" s="2293">
        <f t="shared" si="506"/>
        <v>-1.9774712274091999</v>
      </c>
      <c r="DL190" s="161"/>
      <c r="DM190" s="161"/>
      <c r="DN190" s="2296">
        <f>DN189-(DN161-DN162)</f>
        <v>275.637</v>
      </c>
      <c r="DO190" s="2293">
        <f t="shared" si="507"/>
        <v>-1.721426916014468</v>
      </c>
      <c r="DP190" s="161"/>
      <c r="DQ190" s="161"/>
      <c r="DR190" s="2296">
        <f>DR189-(DR161-DR162)</f>
        <v>271.7</v>
      </c>
      <c r="DS190" s="2293">
        <f t="shared" si="508"/>
        <v>-1.4283278369739971</v>
      </c>
      <c r="DT190" s="161"/>
      <c r="DU190" s="161"/>
      <c r="DV190" s="161"/>
      <c r="DW190" s="161"/>
      <c r="DX190" s="161"/>
      <c r="DY190" s="161"/>
      <c r="DZ190" s="161"/>
      <c r="EA190" s="161"/>
      <c r="EB190" s="161"/>
      <c r="EC190" s="161"/>
      <c r="ED190" s="161"/>
      <c r="EE190" s="161"/>
      <c r="EF190" s="161"/>
      <c r="EG190" s="161"/>
      <c r="EH190" s="161"/>
    </row>
    <row r="191" spans="1:138">
      <c r="A191" s="161" t="str">
        <f>$A$13</f>
        <v>4Q</v>
      </c>
      <c r="B191" s="161" t="str">
        <f>$B$13</f>
        <v>Jan</v>
      </c>
      <c r="C191" s="625"/>
      <c r="D191" s="2254"/>
      <c r="E191" s="625"/>
      <c r="F191" s="2254"/>
      <c r="G191" s="2328"/>
      <c r="H191" s="2328"/>
      <c r="I191" s="625"/>
      <c r="J191" s="2254"/>
      <c r="K191" s="2329"/>
      <c r="L191" s="2328"/>
      <c r="M191" s="625"/>
      <c r="N191" s="2254"/>
      <c r="O191" s="2329"/>
      <c r="P191" s="2328"/>
      <c r="Q191" s="625"/>
      <c r="R191" s="2254"/>
      <c r="S191" s="2329"/>
      <c r="T191" s="2328"/>
      <c r="U191" s="625"/>
      <c r="V191" s="2254"/>
      <c r="W191" s="2329"/>
      <c r="X191" s="2328"/>
      <c r="Y191" s="625"/>
      <c r="Z191" s="2254"/>
      <c r="AA191" s="2329"/>
      <c r="AB191" s="2328"/>
      <c r="AC191" s="625"/>
      <c r="AD191" s="2254"/>
      <c r="AE191" s="2329"/>
      <c r="AF191" s="2328"/>
      <c r="AG191" s="625"/>
      <c r="AH191" s="2254"/>
      <c r="AI191" s="2329"/>
      <c r="AJ191" s="2328"/>
      <c r="AK191" s="625"/>
      <c r="AL191" s="2254"/>
      <c r="AM191" s="2329"/>
      <c r="AN191" s="2328"/>
      <c r="AO191" s="2330"/>
      <c r="AP191" s="2227"/>
      <c r="AQ191" s="2331" t="s">
        <v>886</v>
      </c>
      <c r="AR191" s="161"/>
      <c r="AS191" s="161"/>
      <c r="AT191" s="2227">
        <v>439.28699999999998</v>
      </c>
      <c r="AU191" s="2293"/>
      <c r="AV191" s="161"/>
      <c r="AW191" s="161"/>
      <c r="AX191" s="2227">
        <v>435.28899999999999</v>
      </c>
      <c r="AY191" s="2293">
        <f t="shared" si="490"/>
        <v>-0.91011115739824122</v>
      </c>
      <c r="AZ191" s="161"/>
      <c r="BA191" s="161"/>
      <c r="BB191" s="2227">
        <v>530.83299999999997</v>
      </c>
      <c r="BC191" s="2293">
        <f t="shared" si="501"/>
        <v>21.949555352880502</v>
      </c>
      <c r="BD191" s="161"/>
      <c r="BE191" s="161"/>
      <c r="BF191" s="2227">
        <v>517.00900000000001</v>
      </c>
      <c r="BG191" s="2293">
        <f t="shared" si="491"/>
        <v>-2.6042088566460508</v>
      </c>
      <c r="BH191" s="161"/>
      <c r="BI191" s="355"/>
      <c r="BJ191" s="2227">
        <v>428.18</v>
      </c>
      <c r="BK191" s="2293">
        <f t="shared" si="492"/>
        <v>-17.181325663576452</v>
      </c>
      <c r="BL191" s="161"/>
      <c r="BM191" s="161"/>
      <c r="BN191" s="1931">
        <v>398.44299999999998</v>
      </c>
      <c r="BO191" s="2293">
        <f t="shared" si="493"/>
        <v>-6.9449764117894386</v>
      </c>
      <c r="BP191" s="161"/>
      <c r="BQ191" s="161"/>
      <c r="BR191" s="1931">
        <f>+BN191</f>
        <v>398.44299999999998</v>
      </c>
      <c r="BS191" s="2293">
        <f t="shared" si="502"/>
        <v>-6.9449764117894386</v>
      </c>
      <c r="BT191" s="161"/>
      <c r="BU191" s="161"/>
      <c r="BV191" s="1931">
        <v>397.64499999999998</v>
      </c>
      <c r="BW191" s="2293">
        <f t="shared" si="494"/>
        <v>-0.2002795882974473</v>
      </c>
      <c r="BX191" s="161"/>
      <c r="BY191" s="161"/>
      <c r="BZ191" s="1931">
        <v>350.95100000000002</v>
      </c>
      <c r="CA191" s="2293">
        <f t="shared" si="495"/>
        <v>-11.742634762162218</v>
      </c>
      <c r="CB191" s="161"/>
      <c r="CC191" s="161"/>
      <c r="CD191" s="2332">
        <f>CD190-(CD162-CD163)</f>
        <v>320.33800000000002</v>
      </c>
      <c r="CE191" s="2293">
        <f t="shared" si="496"/>
        <v>-8.7228701442651495</v>
      </c>
      <c r="CF191" s="161"/>
      <c r="CG191" s="161"/>
      <c r="CH191" s="2332">
        <f>CH190-(CH162-CH163)</f>
        <v>323.56</v>
      </c>
      <c r="CI191" s="2293">
        <f t="shared" si="497"/>
        <v>1.0058126104302234</v>
      </c>
      <c r="CJ191" s="161"/>
      <c r="CK191" s="161"/>
      <c r="CL191" s="2332">
        <f>CL190-(CL162-CL163)</f>
        <v>322.89400000000001</v>
      </c>
      <c r="CM191" s="2293">
        <f t="shared" si="498"/>
        <v>-0.20583508468290379</v>
      </c>
      <c r="CN191" s="161"/>
      <c r="CO191" s="161"/>
      <c r="CP191" s="2332">
        <f>CP190-(CP162-CP163)</f>
        <v>296.20420000000001</v>
      </c>
      <c r="CQ191" s="2293">
        <f t="shared" si="499"/>
        <v>-8.2658085935322418</v>
      </c>
      <c r="CR191" s="161"/>
      <c r="CS191" s="161"/>
      <c r="CT191" s="2332">
        <f>CT190-(CT162-CT163)</f>
        <v>285.62299999999999</v>
      </c>
      <c r="CU191" s="2293">
        <f t="shared" si="500"/>
        <v>-3.5722653493772238</v>
      </c>
      <c r="CV191" s="161"/>
      <c r="CW191" s="161"/>
      <c r="CX191" s="2332">
        <f>CX190-(CX162-CX163)</f>
        <v>287.21799999999996</v>
      </c>
      <c r="CY191" s="2293">
        <f t="shared" si="503"/>
        <v>0.55842841787949737</v>
      </c>
      <c r="CZ191" s="161"/>
      <c r="DA191" s="161"/>
      <c r="DB191" s="2332">
        <f>DB190-(DB162-DB163)</f>
        <v>289.24</v>
      </c>
      <c r="DC191" s="2293">
        <f t="shared" si="504"/>
        <v>0.70399487497303515</v>
      </c>
      <c r="DD191" s="161"/>
      <c r="DE191" s="161"/>
      <c r="DF191" s="2332">
        <f>DF190-(DF162-DF163)</f>
        <v>285.37399999999997</v>
      </c>
      <c r="DG191" s="2293">
        <f t="shared" si="505"/>
        <v>-1.3366062785230448</v>
      </c>
      <c r="DH191" s="161"/>
      <c r="DI191" s="161"/>
      <c r="DJ191" s="2332">
        <f>DJ190-(DJ162-DJ163)</f>
        <v>280.43099999999998</v>
      </c>
      <c r="DK191" s="2293">
        <f t="shared" si="506"/>
        <v>-1.7321129465193041</v>
      </c>
      <c r="DL191" s="161"/>
      <c r="DM191" s="161"/>
      <c r="DN191" s="2332">
        <f>DN190-(DN162-DN163)</f>
        <v>274.7</v>
      </c>
      <c r="DO191" s="2293">
        <f t="shared" si="507"/>
        <v>-2.0436399684770956</v>
      </c>
      <c r="DP191" s="161"/>
      <c r="DQ191" s="161"/>
      <c r="DR191" s="2332">
        <f>DR190-(DR162-DR163)</f>
        <v>271.7</v>
      </c>
      <c r="DS191" s="2293">
        <f t="shared" si="508"/>
        <v>-1.0921004732435402</v>
      </c>
      <c r="DT191" s="161"/>
      <c r="DU191" s="161"/>
      <c r="DV191" s="161"/>
      <c r="DW191" s="161"/>
      <c r="DX191" s="161"/>
      <c r="DY191" s="161"/>
      <c r="DZ191" s="161"/>
      <c r="EA191" s="161"/>
      <c r="EB191" s="161"/>
      <c r="EC191" s="161"/>
      <c r="ED191" s="161"/>
      <c r="EE191" s="161"/>
      <c r="EF191" s="161"/>
      <c r="EG191" s="161"/>
      <c r="EH191" s="161"/>
    </row>
    <row r="192" spans="1:138">
      <c r="A192" s="161"/>
      <c r="B192" s="161" t="str">
        <f>$B$14</f>
        <v>Year</v>
      </c>
      <c r="C192" s="161"/>
      <c r="D192" s="2333"/>
      <c r="E192" s="625"/>
      <c r="F192" s="2333"/>
      <c r="G192" s="2334"/>
      <c r="H192" s="2334"/>
      <c r="I192" s="2334"/>
      <c r="J192" s="2333"/>
      <c r="K192" s="2329"/>
      <c r="L192" s="2334"/>
      <c r="M192" s="2334"/>
      <c r="N192" s="2333"/>
      <c r="O192" s="2329"/>
      <c r="P192" s="2334"/>
      <c r="Q192" s="2334"/>
      <c r="R192" s="2333"/>
      <c r="S192" s="2329"/>
      <c r="T192" s="2334"/>
      <c r="U192" s="2334"/>
      <c r="V192" s="2333"/>
      <c r="W192" s="2329"/>
      <c r="X192" s="2334"/>
      <c r="Y192" s="2334"/>
      <c r="Z192" s="2333"/>
      <c r="AA192" s="2329"/>
      <c r="AB192" s="2334"/>
      <c r="AC192" s="2334"/>
      <c r="AD192" s="2333"/>
      <c r="AE192" s="2329"/>
      <c r="AF192" s="2334"/>
      <c r="AG192" s="2334"/>
      <c r="AH192" s="2333"/>
      <c r="AI192" s="2329"/>
      <c r="AJ192" s="2334"/>
      <c r="AK192" s="2334"/>
      <c r="AL192" s="2333"/>
      <c r="AM192" s="2329"/>
      <c r="AN192" s="2334"/>
      <c r="AO192" s="1874"/>
      <c r="AP192" s="1933">
        <v>444.94200000000001</v>
      </c>
      <c r="AQ192" s="2331" t="s">
        <v>886</v>
      </c>
      <c r="AR192" s="1864"/>
      <c r="AS192" s="1864"/>
      <c r="AT192" s="2296">
        <f>AVERAGE(AT188:AT191)</f>
        <v>430.99124999999998</v>
      </c>
      <c r="AU192" s="2293"/>
      <c r="AV192" s="1874"/>
      <c r="AW192" s="1874"/>
      <c r="AX192" s="2296">
        <f>AVERAGE(AX188:AX191)</f>
        <v>429.45149999999995</v>
      </c>
      <c r="AY192" s="2293">
        <f t="shared" si="490"/>
        <v>-0.35725783296065572</v>
      </c>
      <c r="AZ192" s="1874"/>
      <c r="BA192" s="1874"/>
      <c r="BB192" s="2296">
        <f>AVERAGE(BB188:BB191)</f>
        <v>512.38724999999999</v>
      </c>
      <c r="BC192" s="2293">
        <f t="shared" si="501"/>
        <v>19.31201777150622</v>
      </c>
      <c r="BD192" s="161"/>
      <c r="BE192" s="1874"/>
      <c r="BF192" s="2296">
        <f>AVERAGE(BF188:BF191)</f>
        <v>519.24549999999999</v>
      </c>
      <c r="BG192" s="2293">
        <f t="shared" si="491"/>
        <v>1.3384895896609406</v>
      </c>
      <c r="BH192" s="161"/>
      <c r="BI192" s="1874"/>
      <c r="BJ192" s="2296">
        <f>AVERAGE(BJ188:BJ191)</f>
        <v>469.26550000000003</v>
      </c>
      <c r="BK192" s="2293">
        <f t="shared" si="492"/>
        <v>-9.6255046986444714</v>
      </c>
      <c r="BL192" s="161"/>
      <c r="BM192" s="1874"/>
      <c r="BN192" s="2296">
        <f>AVERAGE(BN188:BN191)</f>
        <v>402.46800000000002</v>
      </c>
      <c r="BO192" s="2293">
        <f t="shared" si="493"/>
        <v>-14.234479202072182</v>
      </c>
      <c r="BP192" s="161"/>
      <c r="BQ192" s="1874"/>
      <c r="BR192" s="2296">
        <f>AVERAGE(BR188:BR191)</f>
        <v>402.46800000000002</v>
      </c>
      <c r="BS192" s="2293">
        <f t="shared" si="502"/>
        <v>-14.234479202072182</v>
      </c>
      <c r="BT192" s="161"/>
      <c r="BU192" s="1874"/>
      <c r="BV192" s="2296">
        <f>AVERAGE(BV188:BV191)</f>
        <v>395.70724999999999</v>
      </c>
      <c r="BW192" s="2293">
        <f t="shared" si="494"/>
        <v>-1.6798229921385133</v>
      </c>
      <c r="BX192" s="161"/>
      <c r="BY192" s="1874"/>
      <c r="BZ192" s="2296">
        <f>AVERAGE(BZ188:BZ191)</f>
        <v>375.47699999999998</v>
      </c>
      <c r="CA192" s="2293">
        <f t="shared" si="495"/>
        <v>-5.112428442996686</v>
      </c>
      <c r="CB192" s="161"/>
      <c r="CC192" s="1874"/>
      <c r="CD192" s="1933">
        <v>335</v>
      </c>
      <c r="CE192" s="2293">
        <f t="shared" si="496"/>
        <v>-10.78015431038385</v>
      </c>
      <c r="CF192" s="161"/>
      <c r="CG192" s="1874"/>
      <c r="CH192" s="1933">
        <v>322</v>
      </c>
      <c r="CI192" s="2293">
        <f t="shared" si="497"/>
        <v>-3.8805970149253688</v>
      </c>
      <c r="CJ192" s="161"/>
      <c r="CK192" s="1874"/>
      <c r="CL192" s="1933">
        <v>323</v>
      </c>
      <c r="CM192" s="2293">
        <f t="shared" si="498"/>
        <v>0.31055900621117516</v>
      </c>
      <c r="CN192" s="161"/>
      <c r="CO192" s="1874"/>
      <c r="CP192" s="2296">
        <f>AVERAGE(CP188:CP191)</f>
        <v>304.08304999999996</v>
      </c>
      <c r="CQ192" s="2293">
        <f t="shared" si="499"/>
        <v>-5.8566408668730752</v>
      </c>
      <c r="CR192" s="161"/>
      <c r="CS192" s="1874"/>
      <c r="CT192" s="2296">
        <f>AVERAGE(CT188:CT191)</f>
        <v>286.96924999999999</v>
      </c>
      <c r="CU192" s="2293">
        <f t="shared" si="500"/>
        <v>-5.6280019553868517</v>
      </c>
      <c r="CV192" s="161"/>
      <c r="CW192" s="161"/>
      <c r="CX192" s="2296">
        <f>AVERAGE(CX188:CX191)</f>
        <v>286.25874999999996</v>
      </c>
      <c r="CY192" s="2293">
        <f t="shared" si="503"/>
        <v>-0.24758750284221698</v>
      </c>
      <c r="CZ192" s="161"/>
      <c r="DA192" s="161"/>
      <c r="DB192" s="2296">
        <f>AVERAGE(DB188:DB191)</f>
        <v>288.16000000000003</v>
      </c>
      <c r="DC192" s="2293">
        <f t="shared" si="504"/>
        <v>0.66417183754210463</v>
      </c>
      <c r="DD192" s="161"/>
      <c r="DE192" s="161"/>
      <c r="DF192" s="2296">
        <f>AVERAGE(DF188:DF191)</f>
        <v>286.98824999999999</v>
      </c>
      <c r="DG192" s="2293">
        <f t="shared" si="505"/>
        <v>-0.40663173237092121</v>
      </c>
      <c r="DH192" s="161"/>
      <c r="DI192" s="161"/>
      <c r="DJ192" s="2296">
        <f>AVERAGE(DJ188:DJ191)</f>
        <v>281.26499999999999</v>
      </c>
      <c r="DK192" s="2293">
        <f t="shared" si="506"/>
        <v>-1.9942454090019379</v>
      </c>
      <c r="DL192" s="161"/>
      <c r="DM192" s="161"/>
      <c r="DN192" s="2296">
        <f>AVERAGE(DN188:DN191)</f>
        <v>277.25</v>
      </c>
      <c r="DO192" s="2293">
        <f t="shared" si="507"/>
        <v>-1.4274794233196442</v>
      </c>
      <c r="DP192" s="161"/>
      <c r="DQ192" s="161"/>
      <c r="DR192" s="2296">
        <f>AVERAGE(DR188:DR191)</f>
        <v>272.45</v>
      </c>
      <c r="DS192" s="2293">
        <f t="shared" si="508"/>
        <v>-1.7312894499549203</v>
      </c>
      <c r="DT192" s="161"/>
      <c r="DU192" s="1874"/>
      <c r="DV192" s="161"/>
      <c r="DW192" s="161"/>
      <c r="DX192" s="161"/>
      <c r="DY192" s="161"/>
      <c r="DZ192" s="161"/>
      <c r="EA192" s="161"/>
      <c r="EB192" s="161"/>
      <c r="EC192" s="161"/>
      <c r="ED192" s="161"/>
      <c r="EE192" s="161"/>
      <c r="EF192" s="161"/>
      <c r="EG192" s="161"/>
      <c r="EH192" s="161"/>
    </row>
    <row r="193" spans="1:138" hidden="1" outlineLevel="1">
      <c r="A193" s="161" t="str">
        <f>$A$15</f>
        <v>6 Mos</v>
      </c>
      <c r="B193" s="161"/>
      <c r="C193" s="161"/>
      <c r="D193" s="2335"/>
      <c r="E193" s="2335"/>
      <c r="F193" s="2335"/>
      <c r="G193" s="2335"/>
      <c r="H193" s="2335"/>
      <c r="I193" s="2335"/>
      <c r="J193" s="2335"/>
      <c r="K193" s="2329"/>
      <c r="L193" s="2335"/>
      <c r="M193" s="2335"/>
      <c r="N193" s="2335"/>
      <c r="O193" s="2329"/>
      <c r="P193" s="2335"/>
      <c r="Q193" s="2335"/>
      <c r="R193" s="2335"/>
      <c r="S193" s="2329"/>
      <c r="T193" s="2335"/>
      <c r="U193" s="2335"/>
      <c r="V193" s="2335"/>
      <c r="W193" s="2329"/>
      <c r="X193" s="2335"/>
      <c r="Y193" s="2335"/>
      <c r="Z193" s="2335"/>
      <c r="AA193" s="2329"/>
      <c r="AB193" s="2335"/>
      <c r="AC193" s="2335"/>
      <c r="AD193" s="2335"/>
      <c r="AE193" s="2329"/>
      <c r="AF193" s="2335"/>
      <c r="AG193" s="2335"/>
      <c r="AH193" s="2335"/>
      <c r="AI193" s="2329"/>
      <c r="AJ193" s="2334"/>
      <c r="AK193" s="2334"/>
      <c r="AL193" s="2335"/>
      <c r="AM193" s="2329"/>
      <c r="AN193" s="2334"/>
      <c r="AO193" s="1874"/>
      <c r="AP193" s="2296"/>
      <c r="AQ193" s="2331" t="s">
        <v>886</v>
      </c>
      <c r="AR193" s="161"/>
      <c r="AS193" s="161"/>
      <c r="AT193" s="2296">
        <f>(AT188+AT189)/2</f>
        <v>429.54999999999995</v>
      </c>
      <c r="AU193" s="2293"/>
      <c r="AV193" s="1861"/>
      <c r="AW193" s="1861"/>
      <c r="AX193" s="2296">
        <f>(AX188+AX189)/2</f>
        <v>426.96299999999997</v>
      </c>
      <c r="AY193" s="2293">
        <f t="shared" si="490"/>
        <v>-0.60225817716214047</v>
      </c>
      <c r="AZ193" s="1861"/>
      <c r="BA193" s="1861"/>
      <c r="BB193" s="2296">
        <f>(BB188+BB189)/2</f>
        <v>497.84899999999993</v>
      </c>
      <c r="BC193" s="2293">
        <f t="shared" si="501"/>
        <v>16.602375381473333</v>
      </c>
      <c r="BD193" s="161"/>
      <c r="BE193" s="1861"/>
      <c r="BF193" s="2296">
        <f>(BF188+BF189)/2</f>
        <v>521.44499999999994</v>
      </c>
      <c r="BG193" s="2293">
        <f t="shared" si="491"/>
        <v>4.7395897149537403</v>
      </c>
      <c r="BH193" s="161"/>
      <c r="BI193" s="1861"/>
      <c r="BJ193" s="2296">
        <f>(BJ188+BJ189)/2</f>
        <v>489.05399999999997</v>
      </c>
      <c r="BK193" s="2293">
        <f t="shared" si="492"/>
        <v>-6.2117768892212872</v>
      </c>
      <c r="BL193" s="161"/>
      <c r="BM193" s="1861"/>
      <c r="BN193" s="2296">
        <f>(BN188+BN189)/2</f>
        <v>405.31299999999999</v>
      </c>
      <c r="BO193" s="2293">
        <f t="shared" si="493"/>
        <v>-17.123057985416747</v>
      </c>
      <c r="BP193" s="161"/>
      <c r="BQ193" s="1861"/>
      <c r="BR193" s="2296">
        <f>(BR188+BR189)/2</f>
        <v>405.31299999999999</v>
      </c>
      <c r="BS193" s="2293">
        <f t="shared" si="502"/>
        <v>-17.123057985416747</v>
      </c>
      <c r="BT193" s="161"/>
      <c r="BU193" s="1861"/>
      <c r="BV193" s="2296">
        <f>(BV188+BV189)/2</f>
        <v>395.01549999999997</v>
      </c>
      <c r="BW193" s="2293">
        <f t="shared" si="494"/>
        <v>-2.5406290940581777</v>
      </c>
      <c r="BX193" s="161"/>
      <c r="BY193" s="1861"/>
      <c r="BZ193" s="2296">
        <f>(BZ188+BZ189)/2</f>
        <v>395.024</v>
      </c>
      <c r="CA193" s="2293">
        <f t="shared" si="495"/>
        <v>2.151814295903165E-3</v>
      </c>
      <c r="CB193" s="161"/>
      <c r="CC193" s="1861"/>
      <c r="CD193" s="2296">
        <f>(CD188+CD189)/2</f>
        <v>340</v>
      </c>
      <c r="CE193" s="2293">
        <f t="shared" si="496"/>
        <v>-13.92928024626352</v>
      </c>
      <c r="CF193" s="161"/>
      <c r="CG193" s="1861"/>
      <c r="CH193" s="2296">
        <f>(CH188+CH189)/2</f>
        <v>321.5</v>
      </c>
      <c r="CI193" s="2293">
        <f t="shared" si="497"/>
        <v>-5.4411764705882382</v>
      </c>
      <c r="CJ193" s="161"/>
      <c r="CK193" s="1861"/>
      <c r="CL193" s="2296">
        <f>(CL188+CL189)/2</f>
        <v>324</v>
      </c>
      <c r="CM193" s="2293">
        <f t="shared" si="498"/>
        <v>0.77760497667185291</v>
      </c>
      <c r="CN193" s="161"/>
      <c r="CO193" s="1861"/>
      <c r="CP193" s="2296">
        <f>(CP188+CP189)/2</f>
        <v>311</v>
      </c>
      <c r="CQ193" s="2293">
        <f t="shared" si="499"/>
        <v>-4.0123456790123413</v>
      </c>
      <c r="CR193" s="161"/>
      <c r="CS193" s="1861"/>
      <c r="CT193" s="2296">
        <f>(CT188+CT189)/2</f>
        <v>288.83399999999995</v>
      </c>
      <c r="CU193" s="2293">
        <f t="shared" si="500"/>
        <v>-7.1273311897106284</v>
      </c>
      <c r="CV193" s="161"/>
      <c r="CW193" s="161"/>
      <c r="CX193" s="2296">
        <f>(CX188+CX189)/2</f>
        <v>285.53649999999999</v>
      </c>
      <c r="CY193" s="2293">
        <f t="shared" si="503"/>
        <v>-1.1416592229446576</v>
      </c>
      <c r="CZ193" s="161"/>
      <c r="DA193" s="161"/>
      <c r="DB193" s="2296">
        <f>(DB188+DB189)/2</f>
        <v>287.53300000000002</v>
      </c>
      <c r="DC193" s="2293">
        <f t="shared" si="504"/>
        <v>0.69921008347444413</v>
      </c>
      <c r="DD193" s="161"/>
      <c r="DE193" s="161"/>
      <c r="DF193" s="2296">
        <f>(DF188+DF189)/2</f>
        <v>288.22799999999995</v>
      </c>
      <c r="DG193" s="2293">
        <f t="shared" si="505"/>
        <v>0.24171138617130605</v>
      </c>
      <c r="DH193" s="161"/>
      <c r="DI193" s="161"/>
      <c r="DJ193" s="2296">
        <f>(DJ188+DJ189)/2</f>
        <v>282.08199999999999</v>
      </c>
      <c r="DK193" s="2293">
        <f t="shared" si="506"/>
        <v>-2.1323396755346335</v>
      </c>
      <c r="DL193" s="161"/>
      <c r="DM193" s="161"/>
      <c r="DN193" s="2296">
        <f>(DN188+DN189)/2</f>
        <v>279.33150000000001</v>
      </c>
      <c r="DO193" s="2293">
        <f t="shared" si="507"/>
        <v>-0.97507107862252473</v>
      </c>
      <c r="DP193" s="161"/>
      <c r="DQ193" s="161"/>
      <c r="DR193" s="2296">
        <f>(DR188+DR189)/2</f>
        <v>273.2</v>
      </c>
      <c r="DS193" s="2293">
        <f t="shared" si="508"/>
        <v>-2.1950621394293268</v>
      </c>
      <c r="DT193" s="161"/>
      <c r="DU193" s="1861"/>
      <c r="DV193" s="161"/>
      <c r="DW193" s="161"/>
      <c r="DX193" s="161"/>
      <c r="DY193" s="161"/>
      <c r="DZ193" s="161"/>
      <c r="EA193" s="161"/>
      <c r="EB193" s="161"/>
      <c r="EC193" s="161"/>
      <c r="ED193" s="161"/>
      <c r="EE193" s="161"/>
      <c r="EF193" s="161"/>
      <c r="EG193" s="161"/>
      <c r="EH193" s="161"/>
    </row>
    <row r="194" spans="1:138" hidden="1" outlineLevel="1">
      <c r="A194" s="161" t="str">
        <f>$A$16</f>
        <v>9 Mos</v>
      </c>
      <c r="B194" s="161"/>
      <c r="C194" s="161"/>
      <c r="D194" s="2335"/>
      <c r="E194" s="2335"/>
      <c r="F194" s="2335"/>
      <c r="G194" s="2335"/>
      <c r="H194" s="2335"/>
      <c r="I194" s="2335"/>
      <c r="J194" s="2335"/>
      <c r="K194" s="2329"/>
      <c r="L194" s="2335"/>
      <c r="M194" s="2335"/>
      <c r="N194" s="2335"/>
      <c r="O194" s="2329"/>
      <c r="P194" s="2335"/>
      <c r="Q194" s="2335"/>
      <c r="R194" s="2335"/>
      <c r="S194" s="2329"/>
      <c r="T194" s="2335"/>
      <c r="U194" s="2335"/>
      <c r="V194" s="2335"/>
      <c r="W194" s="2329"/>
      <c r="X194" s="2335"/>
      <c r="Y194" s="2335"/>
      <c r="Z194" s="2335"/>
      <c r="AA194" s="2329"/>
      <c r="AB194" s="2335"/>
      <c r="AC194" s="2335"/>
      <c r="AD194" s="2335"/>
      <c r="AE194" s="2329"/>
      <c r="AF194" s="2335"/>
      <c r="AG194" s="2335"/>
      <c r="AH194" s="2335"/>
      <c r="AI194" s="2329"/>
      <c r="AJ194" s="2334"/>
      <c r="AK194" s="2334"/>
      <c r="AL194" s="2335"/>
      <c r="AM194" s="2329"/>
      <c r="AN194" s="2334"/>
      <c r="AO194" s="1874"/>
      <c r="AP194" s="2296"/>
      <c r="AQ194" s="2331" t="s">
        <v>886</v>
      </c>
      <c r="AR194" s="161"/>
      <c r="AS194" s="161"/>
      <c r="AT194" s="2296">
        <f>(AT188+AT189+AT190)/3</f>
        <v>428.22599999999994</v>
      </c>
      <c r="AU194" s="2293"/>
      <c r="AV194" s="1861"/>
      <c r="AW194" s="1861"/>
      <c r="AX194" s="2296">
        <f>(AX188+AX189+AX190)/3</f>
        <v>427.50566666666663</v>
      </c>
      <c r="AY194" s="2293">
        <f t="shared" si="490"/>
        <v>-0.16821335774411805</v>
      </c>
      <c r="AZ194" s="1861"/>
      <c r="BA194" s="1861"/>
      <c r="BB194" s="2296">
        <f>(BB188+BB189+BB190)/3</f>
        <v>506.23866666666663</v>
      </c>
      <c r="BC194" s="2293">
        <f t="shared" si="501"/>
        <v>18.416831901643405</v>
      </c>
      <c r="BD194" s="161"/>
      <c r="BE194" s="1861"/>
      <c r="BF194" s="2296">
        <f>(BF188+BF189+BF190)/3</f>
        <v>519.99099999999999</v>
      </c>
      <c r="BG194" s="2293">
        <f t="shared" si="491"/>
        <v>2.7165711034847995</v>
      </c>
      <c r="BH194" s="161"/>
      <c r="BI194" s="1861"/>
      <c r="BJ194" s="2296">
        <f>(BJ188+BJ189+BJ190)/3</f>
        <v>482.96066666666667</v>
      </c>
      <c r="BK194" s="2293">
        <f t="shared" si="492"/>
        <v>-7.1213412027003038</v>
      </c>
      <c r="BL194" s="161"/>
      <c r="BM194" s="1861"/>
      <c r="BN194" s="2296">
        <f>(BN188+BN189+BN190)/3</f>
        <v>403.80966666666671</v>
      </c>
      <c r="BO194" s="2293">
        <f t="shared" si="493"/>
        <v>-16.388705222371446</v>
      </c>
      <c r="BP194" s="161"/>
      <c r="BQ194" s="1861"/>
      <c r="BR194" s="2296">
        <f>(BR188+BR189+BR190)/3</f>
        <v>403.80966666666671</v>
      </c>
      <c r="BS194" s="2293">
        <f t="shared" si="502"/>
        <v>-16.388705222371446</v>
      </c>
      <c r="BT194" s="161"/>
      <c r="BU194" s="1861"/>
      <c r="BV194" s="2296">
        <f>(BV188+BV189+BV190)/3</f>
        <v>395.06133333333332</v>
      </c>
      <c r="BW194" s="2293">
        <f t="shared" si="494"/>
        <v>-2.1664497052654497</v>
      </c>
      <c r="BX194" s="161"/>
      <c r="BY194" s="1861"/>
      <c r="BZ194" s="2296">
        <f>(BZ188+BZ189+BZ190)/3</f>
        <v>383.65233333333327</v>
      </c>
      <c r="CA194" s="2293">
        <f t="shared" si="495"/>
        <v>-2.8879060129060274</v>
      </c>
      <c r="CB194" s="161"/>
      <c r="CC194" s="1861"/>
      <c r="CD194" s="2296">
        <f>(CD188+CD189+CD190)/3</f>
        <v>339</v>
      </c>
      <c r="CE194" s="2293">
        <f t="shared" si="496"/>
        <v>-11.638749319044916</v>
      </c>
      <c r="CF194" s="161"/>
      <c r="CG194" s="1861"/>
      <c r="CH194" s="2296">
        <f>(CH188+CH189+CH190)/3</f>
        <v>321.66666666666669</v>
      </c>
      <c r="CI194" s="2293">
        <f t="shared" si="497"/>
        <v>-5.1130776794493515</v>
      </c>
      <c r="CJ194" s="161"/>
      <c r="CK194" s="1861"/>
      <c r="CL194" s="2296">
        <f>(CL188+CL189+CL190)/3</f>
        <v>323.33333333333331</v>
      </c>
      <c r="CM194" s="2293">
        <f t="shared" si="498"/>
        <v>0.51813471502588637</v>
      </c>
      <c r="CN194" s="161"/>
      <c r="CO194" s="1861"/>
      <c r="CP194" s="2296">
        <f>(CP188+CP189+CP190)/3</f>
        <v>306.70933333333329</v>
      </c>
      <c r="CQ194" s="2293">
        <f t="shared" si="499"/>
        <v>-5.1414432989690839</v>
      </c>
      <c r="CR194" s="161"/>
      <c r="CS194" s="1861"/>
      <c r="CT194" s="2296">
        <f>(CT188+CT189+CT190)/3</f>
        <v>287.41799999999995</v>
      </c>
      <c r="CU194" s="2293">
        <f t="shared" si="500"/>
        <v>-6.2897770744939852</v>
      </c>
      <c r="CV194" s="161"/>
      <c r="CW194" s="161"/>
      <c r="CX194" s="2296">
        <f>(CX188+CX189+CX190)/3</f>
        <v>285.93900000000002</v>
      </c>
      <c r="CY194" s="2293">
        <f t="shared" si="503"/>
        <v>-0.51458155021604224</v>
      </c>
      <c r="CZ194" s="161"/>
      <c r="DA194" s="161"/>
      <c r="DB194" s="2296">
        <f>(DB188+DB189+DB190)/3</f>
        <v>287.8</v>
      </c>
      <c r="DC194" s="2293">
        <f t="shared" si="504"/>
        <v>0.65083811582189455</v>
      </c>
      <c r="DD194" s="161"/>
      <c r="DE194" s="161"/>
      <c r="DF194" s="2296">
        <f>(DF188+DF189+DF190)/3</f>
        <v>287.5263333333333</v>
      </c>
      <c r="DG194" s="2293">
        <f t="shared" si="505"/>
        <v>-9.5089182302543485E-2</v>
      </c>
      <c r="DH194" s="161"/>
      <c r="DI194" s="161"/>
      <c r="DJ194" s="2296">
        <f>(DJ188+DJ189+DJ190)/3</f>
        <v>281.54299999999995</v>
      </c>
      <c r="DK194" s="2293">
        <f t="shared" si="506"/>
        <v>-2.0809688156099404</v>
      </c>
      <c r="DL194" s="161"/>
      <c r="DM194" s="161"/>
      <c r="DN194" s="2296">
        <f>(DN188+DN189+DN190)/3</f>
        <v>278.09999999999997</v>
      </c>
      <c r="DO194" s="2293">
        <f t="shared" si="507"/>
        <v>-1.2229037837914625</v>
      </c>
      <c r="DP194" s="161"/>
      <c r="DQ194" s="161"/>
      <c r="DR194" s="2296">
        <f>(DR188+DR189+DR190)/3</f>
        <v>272.7</v>
      </c>
      <c r="DS194" s="2293">
        <f t="shared" si="508"/>
        <v>-1.941747572815522</v>
      </c>
      <c r="DT194" s="161"/>
      <c r="DU194" s="1861"/>
      <c r="DV194" s="161"/>
      <c r="DW194" s="161"/>
      <c r="DX194" s="161"/>
      <c r="DY194" s="161"/>
      <c r="DZ194" s="161"/>
      <c r="EA194" s="161"/>
      <c r="EB194" s="161"/>
      <c r="EC194" s="161"/>
      <c r="ED194" s="161"/>
      <c r="EE194" s="161"/>
      <c r="EF194" s="161"/>
      <c r="EG194" s="161"/>
      <c r="EH194" s="161"/>
    </row>
    <row r="195" spans="1:138" collapsed="1">
      <c r="D195" s="139"/>
      <c r="E195" s="139"/>
      <c r="F195" s="139"/>
      <c r="G195" s="139"/>
      <c r="H195" s="139"/>
      <c r="I195" s="139"/>
      <c r="J195" s="139"/>
      <c r="K195" s="139"/>
      <c r="L195" s="139"/>
      <c r="M195" s="139"/>
      <c r="N195" s="139"/>
      <c r="O195" s="139"/>
      <c r="P195" s="139"/>
      <c r="Q195" s="139"/>
      <c r="R195" s="139"/>
      <c r="S195" s="139"/>
      <c r="T195" s="139"/>
      <c r="U195" s="139"/>
      <c r="V195" s="139"/>
      <c r="W195" s="139"/>
      <c r="X195" s="139"/>
      <c r="Y195" s="139"/>
      <c r="Z195" s="139"/>
      <c r="AA195" s="139"/>
      <c r="AB195" s="139"/>
      <c r="AC195" s="139"/>
      <c r="AD195" s="139"/>
      <c r="AE195" s="139"/>
      <c r="AF195" s="139"/>
      <c r="AG195" s="139"/>
      <c r="AH195" s="139"/>
      <c r="AI195" s="139"/>
      <c r="AJ195" s="139"/>
      <c r="AK195" s="139"/>
      <c r="AL195" s="139"/>
      <c r="AM195" s="2329"/>
      <c r="AN195" s="139"/>
      <c r="BN195" s="161"/>
      <c r="BO195" s="161"/>
      <c r="BP195" s="161"/>
      <c r="BR195" s="161"/>
      <c r="BS195" s="161"/>
      <c r="BT195" s="161"/>
      <c r="BV195" s="161"/>
      <c r="BW195" s="161"/>
      <c r="BX195" s="161"/>
      <c r="BZ195" s="161"/>
      <c r="CA195" s="161"/>
      <c r="CB195" s="161"/>
      <c r="CD195" s="161"/>
      <c r="CE195" s="161"/>
      <c r="CF195" s="161"/>
      <c r="CH195" s="161"/>
      <c r="CI195" s="161"/>
      <c r="CJ195" s="161"/>
      <c r="CL195" s="161"/>
      <c r="CM195" s="161"/>
      <c r="CN195" s="161"/>
      <c r="CP195" s="161"/>
      <c r="CQ195" s="161"/>
      <c r="CR195" s="161"/>
      <c r="CT195" s="161"/>
      <c r="CU195" s="161"/>
      <c r="CV195" s="161"/>
      <c r="CW195" s="161"/>
      <c r="CX195" s="161"/>
      <c r="CY195" s="161"/>
      <c r="CZ195" s="161"/>
      <c r="DA195" s="161"/>
      <c r="DB195" s="161"/>
      <c r="DC195" s="161"/>
      <c r="DD195" s="161"/>
      <c r="DE195" s="161"/>
      <c r="DF195" s="161"/>
      <c r="DG195" s="161"/>
      <c r="DH195" s="161"/>
      <c r="DI195" s="161"/>
      <c r="DJ195" s="161"/>
      <c r="DK195" s="161"/>
      <c r="DL195" s="161"/>
      <c r="DM195" s="161"/>
      <c r="DN195" s="161"/>
      <c r="DO195" s="161"/>
      <c r="DP195" s="161"/>
      <c r="DQ195" s="161"/>
      <c r="DR195" s="161"/>
      <c r="DS195" s="161"/>
      <c r="DT195" s="161"/>
    </row>
    <row r="196" spans="1:138">
      <c r="C196" s="1936"/>
      <c r="D196" s="2325"/>
      <c r="E196" s="2326"/>
      <c r="F196" s="2325"/>
      <c r="G196" s="139"/>
      <c r="H196" s="139"/>
      <c r="I196" s="139"/>
      <c r="J196" s="2325"/>
      <c r="K196" s="139"/>
      <c r="L196" s="139"/>
      <c r="M196" s="139"/>
      <c r="N196" s="2325"/>
      <c r="O196" s="139"/>
      <c r="P196" s="139"/>
      <c r="Q196" s="139"/>
      <c r="R196" s="2325"/>
      <c r="S196" s="139"/>
      <c r="T196" s="139"/>
      <c r="U196" s="139"/>
      <c r="V196" s="2325"/>
      <c r="W196" s="139"/>
      <c r="X196" s="139"/>
      <c r="Y196" s="139"/>
      <c r="Z196" s="2327"/>
      <c r="AA196" s="1829"/>
      <c r="AB196" s="1829"/>
      <c r="AC196" s="1829"/>
      <c r="AD196" s="2327"/>
      <c r="AE196" s="1829"/>
      <c r="AF196" s="1829"/>
      <c r="AG196" s="1829"/>
      <c r="AH196" s="2327"/>
      <c r="AI196" s="1829"/>
      <c r="AJ196" s="1829"/>
      <c r="AK196" s="1829"/>
      <c r="AM196" s="1829"/>
      <c r="AN196" s="1829"/>
      <c r="AO196" s="2177"/>
      <c r="AQ196" s="2177"/>
      <c r="AR196" s="2177"/>
      <c r="AS196" s="2177"/>
      <c r="AU196" s="2177"/>
      <c r="AV196" s="2177"/>
      <c r="AW196" s="2177"/>
      <c r="AY196" s="2177"/>
      <c r="AZ196" s="2177"/>
      <c r="BA196" s="2177"/>
      <c r="BB196" s="2176"/>
      <c r="BC196" s="2177"/>
      <c r="BD196" s="2177"/>
      <c r="BE196" s="2177"/>
      <c r="BF196" s="2176"/>
      <c r="BG196" s="2177"/>
      <c r="BH196" s="2177"/>
      <c r="BI196" s="2177"/>
      <c r="BJ196" s="2176" t="s">
        <v>474</v>
      </c>
      <c r="BK196" s="2177"/>
      <c r="BL196" s="2177"/>
      <c r="BM196" s="2177"/>
      <c r="BN196" s="2178"/>
      <c r="BO196" s="2179"/>
      <c r="BP196" s="2179"/>
      <c r="BQ196" s="2177"/>
      <c r="BR196" s="2178"/>
      <c r="BS196" s="2179"/>
      <c r="BT196" s="2179"/>
      <c r="BU196" s="2177"/>
      <c r="BV196" s="2176" t="s">
        <v>474</v>
      </c>
      <c r="BW196" s="2179"/>
      <c r="BX196" s="2179"/>
      <c r="BY196" s="2177"/>
      <c r="CA196" s="2179"/>
      <c r="CB196" s="2179"/>
      <c r="CC196" s="2177"/>
      <c r="CD196" s="2178"/>
      <c r="CE196" s="2179"/>
      <c r="CF196" s="2179"/>
      <c r="CG196" s="2177"/>
      <c r="CH196" s="2178"/>
      <c r="CI196" s="2179"/>
      <c r="CJ196" s="2179"/>
      <c r="CL196" s="2178"/>
      <c r="CM196" s="2179"/>
      <c r="CN196" s="2179"/>
      <c r="CO196" s="2177"/>
      <c r="CP196" s="2178"/>
      <c r="CQ196" s="2179"/>
      <c r="CR196" s="2179"/>
      <c r="CS196" s="2177"/>
      <c r="CT196" s="2178"/>
      <c r="CU196" s="2179"/>
      <c r="CV196" s="2179"/>
      <c r="CW196" s="2179"/>
      <c r="CX196" s="2210" t="s">
        <v>474</v>
      </c>
      <c r="CY196" s="2179"/>
      <c r="CZ196" s="2179"/>
      <c r="DA196" s="2179"/>
      <c r="DB196" s="2179"/>
      <c r="DC196" s="2179"/>
      <c r="DD196" s="2179"/>
      <c r="DE196" s="2179"/>
      <c r="DF196" s="2179"/>
      <c r="DG196" s="2179"/>
      <c r="DH196" s="2179"/>
      <c r="DI196" s="2179"/>
      <c r="DJ196" s="2179"/>
      <c r="DK196" s="2179"/>
      <c r="DL196" s="2179"/>
      <c r="DM196" s="2179"/>
      <c r="DN196" s="2179"/>
      <c r="DO196" s="2179"/>
      <c r="DP196" s="2179"/>
      <c r="DQ196" s="2179"/>
      <c r="DR196" s="2179"/>
      <c r="DS196" s="2179"/>
      <c r="DT196" s="2179"/>
      <c r="DU196" s="2177"/>
    </row>
    <row r="197" spans="1:138">
      <c r="D197" s="139"/>
      <c r="E197" s="139"/>
      <c r="F197" s="139"/>
      <c r="G197" s="139"/>
      <c r="H197" s="139"/>
      <c r="I197" s="139"/>
      <c r="J197" s="139"/>
      <c r="K197" s="139"/>
      <c r="L197" s="139"/>
      <c r="M197" s="139"/>
      <c r="N197" s="139"/>
      <c r="O197" s="139"/>
      <c r="P197" s="139"/>
      <c r="Q197" s="139"/>
      <c r="R197" s="139"/>
      <c r="S197" s="139"/>
      <c r="T197" s="139"/>
      <c r="U197" s="139"/>
      <c r="V197" s="139"/>
      <c r="W197" s="139"/>
      <c r="X197" s="139"/>
      <c r="Y197" s="139"/>
      <c r="Z197" s="139"/>
      <c r="AA197" s="139"/>
      <c r="AB197" s="139"/>
      <c r="AC197" s="139"/>
      <c r="AD197" s="139"/>
      <c r="AE197" s="139"/>
      <c r="AF197" s="139"/>
      <c r="AG197" s="139"/>
      <c r="AH197" s="139"/>
      <c r="AI197" s="139"/>
      <c r="AJ197" s="139"/>
      <c r="AK197" s="139"/>
      <c r="AL197" s="139"/>
      <c r="AM197" s="139"/>
      <c r="AN197" s="139"/>
      <c r="BN197" s="161"/>
      <c r="BO197" s="161"/>
      <c r="BP197" s="161"/>
      <c r="BR197" s="161"/>
      <c r="BS197" s="161"/>
      <c r="BT197" s="161"/>
      <c r="BV197" s="161"/>
      <c r="BW197" s="161"/>
      <c r="BX197" s="161"/>
      <c r="BZ197" s="161"/>
      <c r="CA197" s="161"/>
      <c r="CB197" s="161"/>
      <c r="CD197" s="161"/>
      <c r="CE197" s="161"/>
      <c r="CF197" s="161"/>
      <c r="CH197" s="161"/>
      <c r="CI197" s="161"/>
      <c r="CJ197" s="161"/>
      <c r="CL197" s="161"/>
      <c r="CM197" s="161"/>
      <c r="CN197" s="161"/>
      <c r="CP197" s="161"/>
      <c r="CQ197" s="161"/>
      <c r="CR197" s="161"/>
      <c r="CT197" s="161"/>
      <c r="CU197" s="161"/>
      <c r="CV197" s="161"/>
      <c r="CW197" s="161"/>
      <c r="CX197" s="161"/>
      <c r="CY197" s="161"/>
      <c r="CZ197" s="161"/>
      <c r="DA197" s="161"/>
      <c r="DB197" s="161"/>
      <c r="DC197" s="161"/>
      <c r="DD197" s="161"/>
      <c r="DE197" s="161"/>
      <c r="DF197" s="161"/>
      <c r="DG197" s="161"/>
      <c r="DH197" s="161"/>
      <c r="DI197" s="161"/>
      <c r="DJ197" s="161"/>
      <c r="DK197" s="161"/>
      <c r="DL197" s="161"/>
      <c r="DM197" s="161"/>
      <c r="DN197" s="161"/>
      <c r="DO197" s="161"/>
      <c r="DP197" s="161"/>
      <c r="DQ197" s="161"/>
      <c r="DR197" s="161"/>
      <c r="DS197" s="161"/>
      <c r="DT197" s="161"/>
    </row>
    <row r="198" spans="1:138">
      <c r="A198" s="23" t="str">
        <f>$A$10</f>
        <v>1Q</v>
      </c>
      <c r="B198" s="23" t="str">
        <f>$B$10</f>
        <v>Apr</v>
      </c>
      <c r="D198" s="1872"/>
      <c r="E198" s="139"/>
      <c r="F198" s="1872"/>
      <c r="G198" s="49"/>
      <c r="H198" s="139"/>
      <c r="I198" s="139"/>
      <c r="J198" s="1872"/>
      <c r="K198" s="49"/>
      <c r="L198" s="139"/>
      <c r="M198" s="139"/>
      <c r="N198" s="1872"/>
      <c r="O198" s="49"/>
      <c r="P198" s="139"/>
      <c r="Q198" s="139"/>
      <c r="R198" s="1872"/>
      <c r="S198" s="49"/>
      <c r="T198" s="139"/>
      <c r="U198" s="139"/>
      <c r="V198" s="1872"/>
      <c r="W198" s="49"/>
      <c r="X198" s="139"/>
      <c r="Y198" s="139"/>
      <c r="Z198" s="1872"/>
      <c r="AA198" s="49"/>
      <c r="AB198" s="49"/>
      <c r="AC198" s="139"/>
      <c r="AD198" s="1872"/>
      <c r="AE198" s="49"/>
      <c r="AF198" s="139"/>
      <c r="AG198" s="139"/>
      <c r="AH198" s="1872"/>
      <c r="AI198" s="2234"/>
      <c r="AJ198" s="139"/>
      <c r="AK198" s="139"/>
      <c r="AL198" s="1872"/>
      <c r="AM198" s="49"/>
      <c r="AN198" s="139"/>
      <c r="AP198" s="1854"/>
      <c r="AQ198" s="2247" t="s">
        <v>886</v>
      </c>
      <c r="AT198" s="1855">
        <v>64.659000000000006</v>
      </c>
      <c r="AU198" s="217"/>
      <c r="AV198" s="161"/>
      <c r="AW198" s="161"/>
      <c r="AX198" s="2258">
        <v>65.325000000000003</v>
      </c>
      <c r="AY198" s="44">
        <f t="shared" ref="AY198:AY204" si="509">(AX198/AT198-1)*100</f>
        <v>1.0300190228738515</v>
      </c>
      <c r="BB198" s="2336">
        <f>69.67</f>
        <v>69.67</v>
      </c>
      <c r="BC198" s="44">
        <f t="shared" ref="BC198:BC204" si="510">(BB198/AX198-1)*100</f>
        <v>6.6513585916570861</v>
      </c>
      <c r="BF198" s="2336">
        <v>70.082999999999998</v>
      </c>
      <c r="BG198" s="44">
        <f t="shared" ref="BG198:BG204" si="511">(BF198/BB198-1)*100</f>
        <v>0.5927946031290432</v>
      </c>
      <c r="BJ198" s="2336">
        <v>75.575000000000003</v>
      </c>
      <c r="BK198" s="44">
        <f t="shared" ref="BK198:BK204" si="512">(BJ198/BF198-1)*100</f>
        <v>7.8364225275744603</v>
      </c>
      <c r="BN198" s="2258">
        <v>77.753</v>
      </c>
      <c r="BO198" s="217">
        <f t="shared" ref="BO198:BO204" si="513">(BN198/BJ198-1)*100</f>
        <v>2.8819053919947102</v>
      </c>
      <c r="BP198" s="161"/>
      <c r="BR198" s="2258">
        <v>77.753</v>
      </c>
      <c r="BS198" s="217">
        <f>(BR198/BJ198-1)*100</f>
        <v>2.8819053919947102</v>
      </c>
      <c r="BT198" s="161"/>
      <c r="BV198" s="2258">
        <v>74.013999999999996</v>
      </c>
      <c r="BW198" s="217">
        <f t="shared" ref="BW198:BW204" si="514">(BV198/BR198-1)*100</f>
        <v>-4.8088176661993831</v>
      </c>
      <c r="BX198" s="161"/>
      <c r="BZ198" s="2258">
        <v>94.302000000000007</v>
      </c>
      <c r="CA198" s="217">
        <f t="shared" ref="CA198:CA204" si="515">(BZ198/BV198-1)*100</f>
        <v>27.4110303456103</v>
      </c>
      <c r="CB198" s="161"/>
      <c r="CD198" s="2258">
        <v>83.87</v>
      </c>
      <c r="CE198" s="217">
        <f t="shared" ref="CE198:CE204" si="516">(CD198/BZ198-1)*100</f>
        <v>-11.062331657865155</v>
      </c>
      <c r="CF198" s="161"/>
      <c r="CH198" s="2258">
        <v>85.233999999999995</v>
      </c>
      <c r="CI198" s="217">
        <f t="shared" ref="CI198:CI204" si="517">(CH198/CD198-1)*100</f>
        <v>1.6263264576129588</v>
      </c>
      <c r="CJ198" s="161"/>
      <c r="CL198" s="2258">
        <v>88.793999999999997</v>
      </c>
      <c r="CM198" s="217">
        <f t="shared" ref="CM198:CM204" si="518">(CL198/CH198-1)*100</f>
        <v>4.1767369828941581</v>
      </c>
      <c r="CN198" s="2215">
        <f>(+CL198/CL10)*100</f>
        <v>4.5970667903678732</v>
      </c>
      <c r="CP198" s="2258">
        <v>90.075999999999993</v>
      </c>
      <c r="CQ198" s="217">
        <f t="shared" ref="CQ198:CQ204" si="519">(CP198/CL198-1)*100</f>
        <v>1.4437912471563452</v>
      </c>
      <c r="CR198" s="2215">
        <f>(+CP198/CP10)*100</f>
        <v>4.0629368200604681</v>
      </c>
      <c r="CT198" s="2258">
        <v>85.885999999999996</v>
      </c>
      <c r="CU198" s="217">
        <f t="shared" ref="CU198:CU204" si="520">(CT198/CP198-1)*100</f>
        <v>-4.6516275145432768</v>
      </c>
      <c r="CV198" s="2215">
        <f>(+CT198/CT10)*100</f>
        <v>3.9876793587472092</v>
      </c>
      <c r="CW198" s="161"/>
      <c r="CX198" s="2258">
        <v>90.808000000000007</v>
      </c>
      <c r="CY198" s="217">
        <f t="shared" ref="CY198:CY204" si="521">(CX198/CT198-1)*100</f>
        <v>5.7308525254407217</v>
      </c>
      <c r="CZ198" s="2215">
        <f>(+CX198/CX10)*100</f>
        <v>4.0039577487393938</v>
      </c>
      <c r="DA198" s="161"/>
      <c r="DB198" s="2258">
        <v>100.065</v>
      </c>
      <c r="DC198" s="217">
        <f t="shared" ref="DC198:DC204" si="522">(DB198/CX198-1)*100</f>
        <v>10.194035767773757</v>
      </c>
      <c r="DD198" s="2215">
        <f>(+DB198/DB10)*100</f>
        <v>4.1846664687211179</v>
      </c>
      <c r="DE198" s="161"/>
      <c r="DF198" s="2258">
        <v>100.51</v>
      </c>
      <c r="DG198" s="217">
        <f t="shared" ref="DG198:DG204" si="523">(DF198/DB198-1)*100</f>
        <v>0.44471093789038019</v>
      </c>
      <c r="DH198" s="2215">
        <f>(+DF198/DF10)*100</f>
        <v>4.0012914326343125</v>
      </c>
      <c r="DI198" s="161"/>
      <c r="DJ198" s="2258">
        <v>109.663</v>
      </c>
      <c r="DK198" s="217">
        <f t="shared" ref="DK198:DK204" si="524">(DJ198/DF198-1)*100</f>
        <v>9.106556561536161</v>
      </c>
      <c r="DL198" s="2215">
        <f>(+DJ198/DJ10)*100</f>
        <v>4.1955149848019087</v>
      </c>
      <c r="DM198" s="161"/>
      <c r="DN198" s="2609">
        <v>129.655</v>
      </c>
      <c r="DO198" s="217">
        <f t="shared" ref="DO198:DO204" si="525">(DN198/DJ198-1)*100</f>
        <v>18.230396760985947</v>
      </c>
      <c r="DP198" s="2215">
        <f>(+DN198/DN10)*100</f>
        <v>5.3213123783358496</v>
      </c>
      <c r="DQ198" s="161"/>
      <c r="DR198" s="2788">
        <v>140</v>
      </c>
      <c r="DS198" s="217">
        <f t="shared" ref="DS198:DS204" si="526">(DR198/DN198-1)*100</f>
        <v>7.9788669931741829</v>
      </c>
      <c r="DT198" s="2215">
        <f>(+DR198/DR10)*100</f>
        <v>5.3758816388073054</v>
      </c>
    </row>
    <row r="199" spans="1:138">
      <c r="A199" s="23" t="str">
        <f>$A$11</f>
        <v>2Q</v>
      </c>
      <c r="B199" s="23" t="str">
        <f>$B$11</f>
        <v>Jul</v>
      </c>
      <c r="D199" s="2241"/>
      <c r="E199" s="139"/>
      <c r="F199" s="2241"/>
      <c r="G199" s="49"/>
      <c r="H199" s="139"/>
      <c r="I199" s="139"/>
      <c r="J199" s="2241"/>
      <c r="K199" s="49"/>
      <c r="L199" s="139"/>
      <c r="M199" s="139"/>
      <c r="N199" s="2241"/>
      <c r="O199" s="49"/>
      <c r="P199" s="139"/>
      <c r="Q199" s="139"/>
      <c r="R199" s="2241"/>
      <c r="S199" s="49"/>
      <c r="T199" s="139"/>
      <c r="U199" s="139"/>
      <c r="V199" s="2241"/>
      <c r="W199" s="49"/>
      <c r="X199" s="139"/>
      <c r="Y199" s="139"/>
      <c r="Z199" s="2241"/>
      <c r="AA199" s="49"/>
      <c r="AB199" s="49"/>
      <c r="AC199" s="139"/>
      <c r="AD199" s="2241"/>
      <c r="AE199" s="49"/>
      <c r="AF199" s="139"/>
      <c r="AG199" s="139"/>
      <c r="AH199" s="2241"/>
      <c r="AI199" s="2234"/>
      <c r="AJ199" s="139"/>
      <c r="AK199" s="139"/>
      <c r="AL199" s="2241"/>
      <c r="AM199" s="49"/>
      <c r="AN199" s="139"/>
      <c r="AP199" s="1899"/>
      <c r="AQ199" s="2247" t="s">
        <v>886</v>
      </c>
      <c r="AT199" s="2202">
        <f>132.754-AT198</f>
        <v>68.094999999999985</v>
      </c>
      <c r="AU199" s="217"/>
      <c r="AV199" s="161"/>
      <c r="AW199" s="161"/>
      <c r="AX199" s="2242">
        <f>143.446-AX198</f>
        <v>78.120999999999995</v>
      </c>
      <c r="AY199" s="44">
        <f t="shared" si="509"/>
        <v>14.723547984433537</v>
      </c>
      <c r="BB199" s="2243">
        <f>140.264-BB198</f>
        <v>70.594000000000008</v>
      </c>
      <c r="BC199" s="44">
        <f t="shared" si="510"/>
        <v>-9.6350533147297028</v>
      </c>
      <c r="BF199" s="2243">
        <f>144.177-BF198</f>
        <v>74.093999999999994</v>
      </c>
      <c r="BG199" s="44">
        <f t="shared" si="511"/>
        <v>4.9579284358443942</v>
      </c>
      <c r="BJ199" s="2243">
        <f>152.685-BJ198</f>
        <v>77.11</v>
      </c>
      <c r="BK199" s="44">
        <f t="shared" si="512"/>
        <v>4.0705050341458326</v>
      </c>
      <c r="BN199" s="2242">
        <f>72.981</f>
        <v>72.980999999999995</v>
      </c>
      <c r="BO199" s="217">
        <f t="shared" si="513"/>
        <v>-5.3546881078978092</v>
      </c>
      <c r="BP199" s="161"/>
      <c r="BR199" s="2242">
        <f>72.981</f>
        <v>72.980999999999995</v>
      </c>
      <c r="BS199" s="217">
        <f t="shared" ref="BS199:BS204" si="527">(BR199/BJ199-1)*100</f>
        <v>-5.3546881078978092</v>
      </c>
      <c r="BT199" s="161"/>
      <c r="BV199" s="2242">
        <v>77.876000000000005</v>
      </c>
      <c r="BW199" s="217">
        <f t="shared" si="514"/>
        <v>6.7072251681944861</v>
      </c>
      <c r="BX199" s="161"/>
      <c r="BZ199" s="2242">
        <v>88.762</v>
      </c>
      <c r="CA199" s="217">
        <f t="shared" si="515"/>
        <v>13.978632698135485</v>
      </c>
      <c r="CB199" s="161"/>
      <c r="CD199" s="2242">
        <v>83.655000000000001</v>
      </c>
      <c r="CE199" s="217">
        <f t="shared" si="516"/>
        <v>-5.7535882472229076</v>
      </c>
      <c r="CF199" s="161"/>
      <c r="CH199" s="2242">
        <v>88.67</v>
      </c>
      <c r="CI199" s="217">
        <f t="shared" si="517"/>
        <v>5.9948598410136889</v>
      </c>
      <c r="CJ199" s="161"/>
      <c r="CL199" s="2242">
        <v>88.605999999999995</v>
      </c>
      <c r="CM199" s="217">
        <f t="shared" si="518"/>
        <v>-7.2177737679046672E-2</v>
      </c>
      <c r="CN199" s="2215">
        <f>(+CL199/CL11)*100</f>
        <v>3.9511975420399454</v>
      </c>
      <c r="CP199" s="2242">
        <v>89.995000000000005</v>
      </c>
      <c r="CQ199" s="217">
        <f t="shared" si="519"/>
        <v>1.5676139313364867</v>
      </c>
      <c r="CR199" s="2215">
        <f>(+CP199/CP11)*100</f>
        <v>3.6611089301441946</v>
      </c>
      <c r="CT199" s="2242">
        <v>87.65</v>
      </c>
      <c r="CU199" s="217">
        <f t="shared" si="520"/>
        <v>-2.6057003166842563</v>
      </c>
      <c r="CV199" s="2215">
        <f>(+CT199/CT11)*100</f>
        <v>3.6534533783502154</v>
      </c>
      <c r="CW199" s="161"/>
      <c r="CX199" s="2242">
        <v>92.536000000000001</v>
      </c>
      <c r="CY199" s="217">
        <f>(CX199/CT199-1)*100</f>
        <v>5.5744438106103855</v>
      </c>
      <c r="CZ199" s="2215">
        <f>(+CX199/CX11)*100</f>
        <v>3.6779701369620179</v>
      </c>
      <c r="DA199" s="161"/>
      <c r="DB199" s="2242">
        <v>98.768000000000001</v>
      </c>
      <c r="DC199" s="217">
        <f t="shared" si="522"/>
        <v>6.7346762341143007</v>
      </c>
      <c r="DD199" s="2215">
        <f>(+DB199/DB11)*100</f>
        <v>3.691832463590214</v>
      </c>
      <c r="DE199" s="161"/>
      <c r="DF199" s="2415">
        <v>103.208</v>
      </c>
      <c r="DG199" s="217">
        <f t="shared" si="523"/>
        <v>4.4953831200388761</v>
      </c>
      <c r="DH199" s="2215">
        <f>(+DF199/DF11)*100</f>
        <v>3.7323383131355463</v>
      </c>
      <c r="DI199" s="161"/>
      <c r="DJ199" s="2415">
        <v>112.85299999999999</v>
      </c>
      <c r="DK199" s="217">
        <f t="shared" si="524"/>
        <v>9.3452057980001548</v>
      </c>
      <c r="DL199" s="2215">
        <f>(+DJ199/DJ11)*100</f>
        <v>3.9052940329662418</v>
      </c>
      <c r="DM199" s="161"/>
      <c r="DN199" s="2609">
        <v>128.566</v>
      </c>
      <c r="DO199" s="217">
        <f t="shared" si="525"/>
        <v>13.923422505383121</v>
      </c>
      <c r="DP199" s="2215">
        <f>(+DN199/DN11)*100</f>
        <v>4.6666085908632242</v>
      </c>
      <c r="DQ199" s="161"/>
      <c r="DR199" s="2788">
        <v>140</v>
      </c>
      <c r="DS199" s="217">
        <f t="shared" si="526"/>
        <v>8.8934866138792543</v>
      </c>
      <c r="DT199" s="2215">
        <f>(+DR199/DR11)*100</f>
        <v>4.8197620252655886</v>
      </c>
    </row>
    <row r="200" spans="1:138">
      <c r="A200" s="23" t="str">
        <f>$A$12</f>
        <v>3Q</v>
      </c>
      <c r="B200" s="23" t="str">
        <f>$B$12</f>
        <v>Oct</v>
      </c>
      <c r="D200" s="2241"/>
      <c r="E200" s="139"/>
      <c r="F200" s="2241"/>
      <c r="G200" s="49"/>
      <c r="H200" s="139"/>
      <c r="I200" s="139"/>
      <c r="J200" s="2241"/>
      <c r="K200" s="49"/>
      <c r="L200" s="139"/>
      <c r="M200" s="139"/>
      <c r="N200" s="2241"/>
      <c r="O200" s="49"/>
      <c r="P200" s="139"/>
      <c r="Q200" s="139"/>
      <c r="R200" s="2241"/>
      <c r="S200" s="49"/>
      <c r="T200" s="139"/>
      <c r="U200" s="139"/>
      <c r="V200" s="2241"/>
      <c r="W200" s="49"/>
      <c r="X200" s="139"/>
      <c r="Y200" s="139"/>
      <c r="Z200" s="2241"/>
      <c r="AA200" s="49"/>
      <c r="AB200" s="49"/>
      <c r="AC200" s="139"/>
      <c r="AD200" s="2241"/>
      <c r="AE200" s="49"/>
      <c r="AF200" s="139"/>
      <c r="AG200" s="139"/>
      <c r="AH200" s="2241"/>
      <c r="AI200" s="2234"/>
      <c r="AJ200" s="139"/>
      <c r="AK200" s="139"/>
      <c r="AL200" s="2241"/>
      <c r="AM200" s="49"/>
      <c r="AN200" s="139"/>
      <c r="AP200" s="1899"/>
      <c r="AQ200" s="2247" t="s">
        <v>886</v>
      </c>
      <c r="AR200" s="23" t="s">
        <v>938</v>
      </c>
      <c r="AT200" s="2202">
        <f>198.544-SUM(AT198:AT199)</f>
        <v>65.79000000000002</v>
      </c>
      <c r="AU200" s="217"/>
      <c r="AV200" s="161"/>
      <c r="AW200" s="161"/>
      <c r="AX200" s="2242">
        <f>211.614-SUM(AX198:AX199)</f>
        <v>68.168000000000006</v>
      </c>
      <c r="AY200" s="44">
        <f t="shared" si="509"/>
        <v>3.6145310837513156</v>
      </c>
      <c r="BB200" s="2243">
        <f>209.695-SUM(BB198:BB199)</f>
        <v>69.430999999999983</v>
      </c>
      <c r="BC200" s="44">
        <f t="shared" si="510"/>
        <v>1.8527754958337805</v>
      </c>
      <c r="BF200" s="2243">
        <f>212.009-SUM(BF198:BF199)</f>
        <v>67.831999999999994</v>
      </c>
      <c r="BG200" s="44">
        <f t="shared" si="511"/>
        <v>-2.3030058619348592</v>
      </c>
      <c r="BJ200" s="2243">
        <v>74.531999999999996</v>
      </c>
      <c r="BK200" s="44">
        <f t="shared" si="512"/>
        <v>9.8773440264182213</v>
      </c>
      <c r="BN200" s="2242">
        <v>70.141000000000005</v>
      </c>
      <c r="BO200" s="217">
        <f t="shared" si="513"/>
        <v>-5.8914291847796836</v>
      </c>
      <c r="BP200" s="161"/>
      <c r="BR200" s="2242">
        <v>70.141000000000005</v>
      </c>
      <c r="BS200" s="217">
        <f t="shared" si="527"/>
        <v>-5.8914291847796836</v>
      </c>
      <c r="BT200" s="161"/>
      <c r="BV200" s="2242">
        <v>78.23</v>
      </c>
      <c r="BW200" s="217">
        <f t="shared" si="514"/>
        <v>11.532484566801159</v>
      </c>
      <c r="BX200" s="161"/>
      <c r="BZ200" s="2242">
        <v>81.138999999999996</v>
      </c>
      <c r="CA200" s="217">
        <f t="shared" si="515"/>
        <v>3.7185223060206996</v>
      </c>
      <c r="CB200" s="161"/>
      <c r="CD200" s="2242">
        <v>82.347999999999999</v>
      </c>
      <c r="CE200" s="217">
        <f t="shared" si="516"/>
        <v>1.4900356178902951</v>
      </c>
      <c r="CF200" s="161"/>
      <c r="CH200" s="2242">
        <v>88.238</v>
      </c>
      <c r="CI200" s="217">
        <f t="shared" si="517"/>
        <v>7.1525720114635538</v>
      </c>
      <c r="CJ200" s="161"/>
      <c r="CL200" s="2242">
        <v>88.525999999999996</v>
      </c>
      <c r="CM200" s="217">
        <f t="shared" si="518"/>
        <v>0.32638999070695451</v>
      </c>
      <c r="CN200" s="2215">
        <f>(+CL200/CL12)*100</f>
        <v>4.4634087806019238</v>
      </c>
      <c r="CP200" s="2242">
        <v>84.262</v>
      </c>
      <c r="CQ200" s="217">
        <f t="shared" si="519"/>
        <v>-4.8166640309061703</v>
      </c>
      <c r="CR200" s="2215">
        <f>(+CP200/CP12)*100</f>
        <v>3.876931288016122</v>
      </c>
      <c r="CT200" s="2242">
        <v>88.150999999999996</v>
      </c>
      <c r="CU200" s="217">
        <f t="shared" si="520"/>
        <v>4.6153663573140769</v>
      </c>
      <c r="CV200" s="2215">
        <f>(+CT200/CT12)*100</f>
        <v>4.2996523735128811</v>
      </c>
      <c r="CW200" s="161"/>
      <c r="CX200" s="2242">
        <v>87.119</v>
      </c>
      <c r="CY200" s="217">
        <f>(CX200/CT200-1)*100</f>
        <v>-1.1707184263366255</v>
      </c>
      <c r="CZ200" s="2215">
        <f>(+CX200/CX12)*100</f>
        <v>4.0126904172886668</v>
      </c>
      <c r="DA200" s="161"/>
      <c r="DB200" s="2195">
        <v>97.718999999999994</v>
      </c>
      <c r="DC200" s="217">
        <f t="shared" si="522"/>
        <v>12.167265464479616</v>
      </c>
      <c r="DD200" s="2215">
        <f>(+DB200/DB12)*100</f>
        <v>4.2141129378299853</v>
      </c>
      <c r="DE200" s="161"/>
      <c r="DF200" s="2415">
        <v>100.684</v>
      </c>
      <c r="DG200" s="217">
        <f t="shared" si="523"/>
        <v>3.0342103378053542</v>
      </c>
      <c r="DH200" s="2215">
        <f>(+DF200/DF12)*100</f>
        <v>4.0572620210954735</v>
      </c>
      <c r="DI200" s="161"/>
      <c r="DJ200" s="2415">
        <v>121.096</v>
      </c>
      <c r="DK200" s="217">
        <f t="shared" si="524"/>
        <v>20.273330419927692</v>
      </c>
      <c r="DL200" s="2215">
        <f>(+DJ200/DJ12)*100</f>
        <v>4.6918630488663418</v>
      </c>
      <c r="DM200" s="2874"/>
      <c r="DN200" s="2609">
        <v>132.49700000000001</v>
      </c>
      <c r="DO200" s="217">
        <f t="shared" si="525"/>
        <v>9.4148444209552817</v>
      </c>
      <c r="DP200" s="2215">
        <f>(+DN200/DN12)*100</f>
        <v>5.0614183599563596</v>
      </c>
      <c r="DQ200" s="161"/>
      <c r="DR200" s="2337">
        <v>140</v>
      </c>
      <c r="DS200" s="217">
        <f t="shared" si="526"/>
        <v>5.6627697230880569</v>
      </c>
      <c r="DT200" s="2215">
        <f>(+DR200/DR12)*100</f>
        <v>5.0543594083767918</v>
      </c>
    </row>
    <row r="201" spans="1:138">
      <c r="A201" s="23" t="str">
        <f>$A$13</f>
        <v>4Q</v>
      </c>
      <c r="B201" s="23" t="str">
        <f>$B$13</f>
        <v>Jan</v>
      </c>
      <c r="C201" s="139"/>
      <c r="D201" s="2241"/>
      <c r="E201" s="139"/>
      <c r="F201" s="2241"/>
      <c r="G201" s="49"/>
      <c r="H201" s="139"/>
      <c r="I201" s="139"/>
      <c r="J201" s="2241"/>
      <c r="K201" s="49"/>
      <c r="L201" s="139"/>
      <c r="M201" s="139"/>
      <c r="N201" s="2241"/>
      <c r="O201" s="49"/>
      <c r="P201" s="139"/>
      <c r="Q201" s="139"/>
      <c r="R201" s="2241"/>
      <c r="S201" s="49"/>
      <c r="T201" s="139"/>
      <c r="U201" s="139"/>
      <c r="V201" s="2241"/>
      <c r="W201" s="49"/>
      <c r="X201" s="139"/>
      <c r="Y201" s="139"/>
      <c r="Z201" s="2241"/>
      <c r="AA201" s="49"/>
      <c r="AB201" s="49"/>
      <c r="AC201" s="139"/>
      <c r="AD201" s="2241"/>
      <c r="AE201" s="49"/>
      <c r="AF201" s="139"/>
      <c r="AG201" s="139"/>
      <c r="AH201" s="2241"/>
      <c r="AI201" s="2234"/>
      <c r="AJ201" s="139"/>
      <c r="AK201" s="139"/>
      <c r="AL201" s="2241"/>
      <c r="AM201" s="49"/>
      <c r="AN201" s="139"/>
      <c r="AP201" s="2249"/>
      <c r="AQ201" s="2247" t="s">
        <v>886</v>
      </c>
      <c r="AT201" s="2249">
        <f>AT202-SUM(AT198:AT200)</f>
        <v>72.455999999999989</v>
      </c>
      <c r="AU201" s="217"/>
      <c r="AV201" s="161"/>
      <c r="AW201" s="161"/>
      <c r="AX201" s="2249">
        <f>AX202-SUM(AX198:AX200)</f>
        <v>65.385999999999996</v>
      </c>
      <c r="AY201" s="44">
        <f t="shared" si="509"/>
        <v>-9.7576460196532988</v>
      </c>
      <c r="BB201" s="2249">
        <f>BB202-SUM(BB198:BB200)</f>
        <v>66.305000000000007</v>
      </c>
      <c r="BC201" s="44">
        <f t="shared" si="510"/>
        <v>1.4054996482427695</v>
      </c>
      <c r="BF201" s="2249">
        <f>BF202-SUM(BF198:BF200)</f>
        <v>75.991000000000014</v>
      </c>
      <c r="BG201" s="44">
        <f t="shared" si="511"/>
        <v>14.608249754920454</v>
      </c>
      <c r="BJ201" s="2338">
        <v>106.256</v>
      </c>
      <c r="BK201" s="44">
        <f t="shared" si="512"/>
        <v>39.827084786356259</v>
      </c>
      <c r="BN201" s="2339">
        <v>77.893000000000001</v>
      </c>
      <c r="BO201" s="217">
        <f t="shared" si="513"/>
        <v>-26.693080861316066</v>
      </c>
      <c r="BP201" s="161"/>
      <c r="BR201" s="2339">
        <v>77.893000000000001</v>
      </c>
      <c r="BS201" s="217">
        <f t="shared" si="527"/>
        <v>-26.693080861316066</v>
      </c>
      <c r="BT201" s="161"/>
      <c r="BV201" s="2339">
        <v>85.644999999999996</v>
      </c>
      <c r="BW201" s="217">
        <f t="shared" si="514"/>
        <v>9.9521137971319682</v>
      </c>
      <c r="BX201" s="161"/>
      <c r="BZ201" s="2339">
        <v>87.837999999999994</v>
      </c>
      <c r="CA201" s="217">
        <f t="shared" si="515"/>
        <v>2.5605697939167449</v>
      </c>
      <c r="CB201" s="161"/>
      <c r="CD201" s="2339">
        <v>92.962999999999994</v>
      </c>
      <c r="CE201" s="217">
        <f t="shared" si="516"/>
        <v>5.8346046130376417</v>
      </c>
      <c r="CF201" s="161"/>
      <c r="CH201" s="2339">
        <v>94.840999999999994</v>
      </c>
      <c r="CI201" s="217">
        <f t="shared" si="517"/>
        <v>2.0201585577057646</v>
      </c>
      <c r="CJ201" s="161"/>
      <c r="CL201" s="2339">
        <v>100.967</v>
      </c>
      <c r="CM201" s="217">
        <f t="shared" si="518"/>
        <v>6.4592317668519028</v>
      </c>
      <c r="CN201" s="2215">
        <f>(+CL201/CL13)*100</f>
        <v>2.9216171951410068</v>
      </c>
      <c r="CP201" s="2339">
        <f>391-35-CP200-CP199-CP198:CP198</f>
        <v>91.667000000000002</v>
      </c>
      <c r="CQ201" s="217">
        <f t="shared" si="519"/>
        <v>-9.210930303960696</v>
      </c>
      <c r="CR201" s="2215">
        <f>(+CP201/CP13)*100</f>
        <v>2.6075644886281211</v>
      </c>
      <c r="CT201" s="2339">
        <v>91.878</v>
      </c>
      <c r="CU201" s="217">
        <f t="shared" si="520"/>
        <v>0.23018098116007746</v>
      </c>
      <c r="CV201" s="2215">
        <f>(+CT201/CT13)*100</f>
        <v>2.3829859193797671</v>
      </c>
      <c r="CW201" s="161"/>
      <c r="CX201" s="2339">
        <v>97.504999999999995</v>
      </c>
      <c r="CY201" s="217">
        <f>(CX201/CT201-1)*100</f>
        <v>6.1244258690872577</v>
      </c>
      <c r="CZ201" s="2215">
        <f>(+CX201/CX13)*100</f>
        <v>2.5536888828825708</v>
      </c>
      <c r="DA201" s="161"/>
      <c r="DB201" s="2339">
        <v>101.256</v>
      </c>
      <c r="DC201" s="217">
        <f t="shared" si="522"/>
        <v>3.8469822060407166</v>
      </c>
      <c r="DD201" s="2215">
        <f>(+DB201/DB13)*100</f>
        <v>2.4886664856089871</v>
      </c>
      <c r="DE201" s="161"/>
      <c r="DF201" s="2339">
        <v>110.57</v>
      </c>
      <c r="DG201" s="217">
        <f t="shared" si="523"/>
        <v>9.1984672513233612</v>
      </c>
      <c r="DH201" s="2215">
        <f>(+DF201/DF13)*100</f>
        <v>2.5157910999197051</v>
      </c>
      <c r="DI201" s="161"/>
      <c r="DJ201" s="2339">
        <v>127.91800000000001</v>
      </c>
      <c r="DK201" s="217">
        <f t="shared" si="524"/>
        <v>15.6896083928733</v>
      </c>
      <c r="DL201" s="2215">
        <f>(+DJ201/DJ13)*100</f>
        <v>2.8492813092287017</v>
      </c>
      <c r="DM201" s="2874"/>
      <c r="DN201" s="2875">
        <v>133.96299999999999</v>
      </c>
      <c r="DO201" s="217">
        <f t="shared" si="525"/>
        <v>4.7256836410825676</v>
      </c>
      <c r="DP201" s="2215">
        <f>(+DN201/DN13)*100</f>
        <v>2.7775289751404695</v>
      </c>
      <c r="DQ201" s="161"/>
      <c r="DR201" s="2340">
        <v>140</v>
      </c>
      <c r="DS201" s="217">
        <f t="shared" si="526"/>
        <v>4.5064682039070547</v>
      </c>
      <c r="DT201" s="2215">
        <f>(+DR201/DR13)*100</f>
        <v>2.8763060963819225</v>
      </c>
    </row>
    <row r="202" spans="1:138">
      <c r="B202" s="23" t="str">
        <f>$B$14</f>
        <v>Year</v>
      </c>
      <c r="D202" s="1872"/>
      <c r="E202" s="139"/>
      <c r="F202" s="1872"/>
      <c r="G202" s="49"/>
      <c r="H202" s="139"/>
      <c r="I202" s="139"/>
      <c r="J202" s="1872"/>
      <c r="K202" s="49"/>
      <c r="L202" s="139"/>
      <c r="M202" s="139"/>
      <c r="N202" s="1872"/>
      <c r="O202" s="49"/>
      <c r="P202" s="139"/>
      <c r="Q202" s="139"/>
      <c r="R202" s="1872"/>
      <c r="S202" s="49"/>
      <c r="T202" s="139"/>
      <c r="U202" s="139"/>
      <c r="V202" s="1872"/>
      <c r="W202" s="49"/>
      <c r="X202" s="139"/>
      <c r="Y202" s="139"/>
      <c r="Z202" s="1872"/>
      <c r="AA202" s="49"/>
      <c r="AB202" s="49"/>
      <c r="AC202" s="139"/>
      <c r="AD202" s="1872"/>
      <c r="AE202" s="49"/>
      <c r="AF202" s="139"/>
      <c r="AG202" s="139"/>
      <c r="AH202" s="1872"/>
      <c r="AI202" s="2234"/>
      <c r="AJ202" s="139"/>
      <c r="AK202" s="139"/>
      <c r="AL202" s="1872"/>
      <c r="AM202" s="49"/>
      <c r="AN202" s="139"/>
      <c r="AP202" s="1854">
        <f>flow!V9</f>
        <v>272.44299999999998</v>
      </c>
      <c r="AQ202" s="2247" t="s">
        <v>886</v>
      </c>
      <c r="AT202" s="1854">
        <f>flow!X9</f>
        <v>271</v>
      </c>
      <c r="AU202" s="44"/>
      <c r="AX202" s="1854">
        <f>flow!Z9</f>
        <v>277</v>
      </c>
      <c r="AY202" s="44">
        <f t="shared" si="509"/>
        <v>2.2140221402213944</v>
      </c>
      <c r="BB202" s="1854">
        <f>flow!AB9</f>
        <v>276</v>
      </c>
      <c r="BC202" s="44">
        <f t="shared" si="510"/>
        <v>-0.36101083032491488</v>
      </c>
      <c r="BF202" s="1854">
        <f>flow!AD9</f>
        <v>288</v>
      </c>
      <c r="BG202" s="44">
        <f t="shared" si="511"/>
        <v>4.3478260869565188</v>
      </c>
      <c r="BJ202" s="1854">
        <f>flow!AF9</f>
        <v>333.47300000000001</v>
      </c>
      <c r="BK202" s="44">
        <f t="shared" si="512"/>
        <v>15.789236111111116</v>
      </c>
      <c r="BN202" s="1855">
        <f>flow!AH9</f>
        <v>298.76799999999997</v>
      </c>
      <c r="BO202" s="217">
        <f t="shared" si="513"/>
        <v>-10.407139408587817</v>
      </c>
      <c r="BP202" s="161"/>
      <c r="BR202" s="1855">
        <f>flow!AH9</f>
        <v>298.76799999999997</v>
      </c>
      <c r="BS202" s="217">
        <f t="shared" si="527"/>
        <v>-10.407139408587817</v>
      </c>
      <c r="BT202" s="161"/>
      <c r="BV202" s="1855">
        <f>flow!AJ9</f>
        <v>315.76499999999999</v>
      </c>
      <c r="BW202" s="217">
        <f t="shared" si="514"/>
        <v>5.6890296149520792</v>
      </c>
      <c r="BX202" s="161"/>
      <c r="BZ202" s="1855">
        <f>+SUM(BZ198:BZ201)</f>
        <v>352.04100000000005</v>
      </c>
      <c r="CA202" s="217">
        <f t="shared" si="515"/>
        <v>11.488290342501561</v>
      </c>
      <c r="CB202" s="161"/>
      <c r="CD202" s="1855">
        <f>+SUM(CD198:CD201)</f>
        <v>342.83600000000001</v>
      </c>
      <c r="CE202" s="217">
        <f t="shared" si="516"/>
        <v>-2.6147522589698435</v>
      </c>
      <c r="CF202" s="161"/>
      <c r="CH202" s="1855">
        <f>SUM(CH198:CH201)</f>
        <v>356.983</v>
      </c>
      <c r="CI202" s="217">
        <f t="shared" si="517"/>
        <v>4.1264627985392321</v>
      </c>
      <c r="CJ202" s="161"/>
      <c r="CL202" s="1855">
        <f>SUM(CL198:CL201)</f>
        <v>366.89299999999997</v>
      </c>
      <c r="CM202" s="217">
        <f t="shared" si="518"/>
        <v>2.7760425566483393</v>
      </c>
      <c r="CN202" s="2215">
        <f>(+CL202/CL14)*100</f>
        <v>3.8165233544686838</v>
      </c>
      <c r="CP202" s="1855">
        <f>SUM(CP198:CP201)</f>
        <v>356</v>
      </c>
      <c r="CQ202" s="217">
        <f t="shared" si="519"/>
        <v>-2.9689855080363925</v>
      </c>
      <c r="CR202" s="2215">
        <f>(+CP202/CP14)*100</f>
        <v>3.4349678569988149</v>
      </c>
      <c r="CT202" s="1855">
        <f>SUM(CT198:CT201)</f>
        <v>353.565</v>
      </c>
      <c r="CU202" s="217">
        <f t="shared" si="520"/>
        <v>-0.68398876404494047</v>
      </c>
      <c r="CV202" s="2215">
        <f>(+CT202/CT14)*100</f>
        <v>3.3805981879882792</v>
      </c>
      <c r="CW202" s="161"/>
      <c r="CX202" s="1855">
        <f>SUM(CX198:CX201)</f>
        <v>367.96799999999996</v>
      </c>
      <c r="CY202" s="217">
        <f>(CX202/CT202-1)*100</f>
        <v>4.0736498239361874</v>
      </c>
      <c r="CZ202" s="2215">
        <f>(+CX202/CX14)*100</f>
        <v>3.4155833390806141</v>
      </c>
      <c r="DA202" s="161"/>
      <c r="DB202" s="1855">
        <f>SUM(DB198:DB201)</f>
        <v>397.80799999999999</v>
      </c>
      <c r="DC202" s="217">
        <f t="shared" si="522"/>
        <v>8.1094008174623866</v>
      </c>
      <c r="DD202" s="2215">
        <f>(+DB202/DB14)*100</f>
        <v>3.4730741763182658</v>
      </c>
      <c r="DE202" s="161"/>
      <c r="DF202" s="1855">
        <f>SUM(DF198:DF201)</f>
        <v>414.97200000000004</v>
      </c>
      <c r="DG202" s="217">
        <f t="shared" si="523"/>
        <v>4.3146442504927052</v>
      </c>
      <c r="DH202" s="2215">
        <f>(+DF202/DF14)*100</f>
        <v>3.414343481117736</v>
      </c>
      <c r="DI202" s="161"/>
      <c r="DJ202" s="1855">
        <f>SUM(DJ198:DJ201)</f>
        <v>471.53</v>
      </c>
      <c r="DK202" s="217">
        <f t="shared" si="524"/>
        <v>13.629353305765202</v>
      </c>
      <c r="DL202" s="2215">
        <f>(+DJ202/DJ14)*100</f>
        <v>3.7499974153306042</v>
      </c>
      <c r="DM202" s="161"/>
      <c r="DN202" s="1855">
        <f>SUM(DN198:DN201)</f>
        <v>524.68100000000004</v>
      </c>
      <c r="DO202" s="217">
        <f t="shared" si="525"/>
        <v>11.272029351260816</v>
      </c>
      <c r="DP202" s="2215">
        <f>(+DN202/DN14)*100</f>
        <v>4.1534861732269901</v>
      </c>
      <c r="DQ202" s="161"/>
      <c r="DR202" s="1855">
        <f>SUM(DR198:DR201)</f>
        <v>560</v>
      </c>
      <c r="DS202" s="217">
        <f t="shared" si="526"/>
        <v>6.7315187704529045</v>
      </c>
      <c r="DT202" s="2215">
        <f>(+DR202/DR14)*100</f>
        <v>4.2597952155261858</v>
      </c>
    </row>
    <row r="203" spans="1:138" hidden="1" outlineLevel="1">
      <c r="A203" s="23" t="str">
        <f>$A$15</f>
        <v>6 Mos</v>
      </c>
      <c r="D203" s="2241"/>
      <c r="E203" s="139"/>
      <c r="F203" s="2241"/>
      <c r="G203" s="49"/>
      <c r="H203" s="139"/>
      <c r="I203" s="139"/>
      <c r="J203" s="2241"/>
      <c r="K203" s="49"/>
      <c r="L203" s="139"/>
      <c r="M203" s="139"/>
      <c r="N203" s="2241"/>
      <c r="O203" s="49"/>
      <c r="P203" s="139"/>
      <c r="Q203" s="139"/>
      <c r="R203" s="2241"/>
      <c r="S203" s="49"/>
      <c r="T203" s="139"/>
      <c r="U203" s="139"/>
      <c r="V203" s="2241"/>
      <c r="W203" s="49"/>
      <c r="X203" s="139"/>
      <c r="Y203" s="139"/>
      <c r="Z203" s="2241"/>
      <c r="AA203" s="49"/>
      <c r="AB203" s="49"/>
      <c r="AC203" s="139"/>
      <c r="AD203" s="2241"/>
      <c r="AE203" s="49"/>
      <c r="AF203" s="139"/>
      <c r="AG203" s="139"/>
      <c r="AH203" s="2241"/>
      <c r="AI203" s="2234"/>
      <c r="AJ203" s="139"/>
      <c r="AK203" s="139"/>
      <c r="AL203" s="2241"/>
      <c r="AM203" s="49"/>
      <c r="AN203" s="139"/>
      <c r="AP203" s="1899">
        <f>(AP198+AP199)/2</f>
        <v>0</v>
      </c>
      <c r="AQ203" s="2247" t="s">
        <v>886</v>
      </c>
      <c r="AT203" s="1899">
        <f>(AT198+AT199)/2</f>
        <v>66.376999999999995</v>
      </c>
      <c r="AU203" s="44"/>
      <c r="AX203" s="1899">
        <f>(AX198+AX199)/2</f>
        <v>71.722999999999999</v>
      </c>
      <c r="AY203" s="44">
        <f t="shared" si="509"/>
        <v>8.0539946065655279</v>
      </c>
      <c r="BB203" s="1899">
        <f>(BB198+BB199)/2</f>
        <v>70.132000000000005</v>
      </c>
      <c r="BC203" s="44">
        <f t="shared" si="510"/>
        <v>-2.2182563473362671</v>
      </c>
      <c r="BF203" s="1899">
        <f>(BF198+BF199)/2</f>
        <v>72.088499999999996</v>
      </c>
      <c r="BG203" s="44">
        <f t="shared" si="511"/>
        <v>2.7897393486568056</v>
      </c>
      <c r="BJ203" s="1899">
        <f>(BJ198+BJ199)/2</f>
        <v>76.342500000000001</v>
      </c>
      <c r="BK203" s="44">
        <f t="shared" si="512"/>
        <v>5.9010799225951427</v>
      </c>
      <c r="BN203" s="2202">
        <f>(BN198+BN199)/2</f>
        <v>75.36699999999999</v>
      </c>
      <c r="BO203" s="217">
        <f t="shared" si="513"/>
        <v>-1.2777941513573809</v>
      </c>
      <c r="BP203" s="161"/>
      <c r="BR203" s="2202">
        <f>(BR198+BR199)/2</f>
        <v>75.36699999999999</v>
      </c>
      <c r="BS203" s="217">
        <f t="shared" si="527"/>
        <v>-1.2777941513573809</v>
      </c>
      <c r="BT203" s="161"/>
      <c r="BV203" s="2202">
        <f>(BV198+BV199)/2</f>
        <v>75.944999999999993</v>
      </c>
      <c r="BW203" s="217">
        <f t="shared" si="514"/>
        <v>0.76691390130958492</v>
      </c>
      <c r="BX203" s="161"/>
      <c r="BZ203" s="2202">
        <f>(BZ198+BZ199)/2</f>
        <v>91.532000000000011</v>
      </c>
      <c r="CA203" s="217">
        <f t="shared" si="515"/>
        <v>20.5240634669827</v>
      </c>
      <c r="CB203" s="161"/>
      <c r="CD203" s="2202">
        <f>(CD198+CD199)/2</f>
        <v>83.762500000000003</v>
      </c>
      <c r="CE203" s="217">
        <f t="shared" si="516"/>
        <v>-8.488288248918419</v>
      </c>
      <c r="CF203" s="161"/>
      <c r="CH203" s="2202">
        <f>(CH198+CH199)/2</f>
        <v>86.951999999999998</v>
      </c>
      <c r="CI203" s="217">
        <f t="shared" si="517"/>
        <v>3.8077898821071487</v>
      </c>
      <c r="CJ203" s="161"/>
      <c r="CL203" s="2202">
        <f>(CL198+CL199)/2</f>
        <v>88.699999999999989</v>
      </c>
      <c r="CM203" s="217">
        <f t="shared" si="518"/>
        <v>2.0103045358358607</v>
      </c>
      <c r="CN203" s="161"/>
      <c r="CP203" s="2202">
        <f>(CP198+CP199)/2</f>
        <v>90.035499999999999</v>
      </c>
      <c r="CQ203" s="217">
        <f t="shared" si="519"/>
        <v>1.5056369785794832</v>
      </c>
      <c r="CR203" s="161"/>
      <c r="CT203" s="2202">
        <f>(CT198+CT199)/2</f>
        <v>86.768000000000001</v>
      </c>
      <c r="CU203" s="217">
        <f t="shared" si="520"/>
        <v>-3.6291240677288394</v>
      </c>
      <c r="CV203" s="161"/>
      <c r="CW203" s="161"/>
      <c r="CX203" s="2202">
        <f>(CX198+CX199)/2</f>
        <v>91.671999999999997</v>
      </c>
      <c r="CY203" s="217">
        <f t="shared" si="521"/>
        <v>5.651853217776126</v>
      </c>
      <c r="CZ203" s="161"/>
      <c r="DA203" s="161"/>
      <c r="DB203" s="2202">
        <f>(DB198+DB199)/2</f>
        <v>99.416499999999999</v>
      </c>
      <c r="DC203" s="217">
        <f t="shared" si="522"/>
        <v>8.4480539314076388</v>
      </c>
      <c r="DD203" s="161"/>
      <c r="DE203" s="161"/>
      <c r="DF203" s="2202">
        <f>(DF198+DF199)/2</f>
        <v>101.85900000000001</v>
      </c>
      <c r="DG203" s="217">
        <f t="shared" si="523"/>
        <v>2.4568356359356835</v>
      </c>
      <c r="DH203" s="161"/>
      <c r="DI203" s="161"/>
      <c r="DJ203" s="2202">
        <f>(DJ198+DJ199)/2</f>
        <v>111.258</v>
      </c>
      <c r="DK203" s="217">
        <f t="shared" si="524"/>
        <v>9.2274614908844477</v>
      </c>
      <c r="DL203" s="161"/>
      <c r="DM203" s="161"/>
      <c r="DN203" s="2202">
        <f>(DN198+DN199)/2</f>
        <v>129.1105</v>
      </c>
      <c r="DO203" s="217">
        <f t="shared" si="525"/>
        <v>16.046037138902381</v>
      </c>
      <c r="DP203" s="161"/>
      <c r="DQ203" s="161"/>
      <c r="DR203" s="2202">
        <f>(DR198+DR199)/2</f>
        <v>140</v>
      </c>
      <c r="DS203" s="217">
        <f t="shared" si="526"/>
        <v>8.434248182758175</v>
      </c>
      <c r="DT203" s="161"/>
    </row>
    <row r="204" spans="1:138" hidden="1" outlineLevel="1">
      <c r="A204" s="23" t="str">
        <f>$A$16</f>
        <v>9 Mos</v>
      </c>
      <c r="D204" s="2241"/>
      <c r="E204" s="139"/>
      <c r="F204" s="2241"/>
      <c r="G204" s="49"/>
      <c r="H204" s="139"/>
      <c r="I204" s="139"/>
      <c r="J204" s="2241"/>
      <c r="K204" s="49"/>
      <c r="L204" s="139"/>
      <c r="M204" s="139"/>
      <c r="N204" s="2241"/>
      <c r="O204" s="49"/>
      <c r="P204" s="139"/>
      <c r="Q204" s="139"/>
      <c r="R204" s="2241"/>
      <c r="S204" s="49"/>
      <c r="T204" s="139"/>
      <c r="U204" s="139"/>
      <c r="V204" s="2241"/>
      <c r="W204" s="49"/>
      <c r="X204" s="139"/>
      <c r="Y204" s="139"/>
      <c r="Z204" s="2241"/>
      <c r="AA204" s="49"/>
      <c r="AB204" s="49"/>
      <c r="AC204" s="139"/>
      <c r="AD204" s="2241"/>
      <c r="AE204" s="49"/>
      <c r="AF204" s="139"/>
      <c r="AG204" s="139"/>
      <c r="AH204" s="2241"/>
      <c r="AI204" s="2234"/>
      <c r="AJ204" s="139"/>
      <c r="AK204" s="139"/>
      <c r="AL204" s="2241"/>
      <c r="AM204" s="49"/>
      <c r="AN204" s="139"/>
      <c r="AP204" s="1899">
        <f>(AP198+AP199+AP200)/3</f>
        <v>0</v>
      </c>
      <c r="AQ204" s="2247" t="s">
        <v>886</v>
      </c>
      <c r="AT204" s="1899">
        <f>(AT198+AT199+AT200)/3</f>
        <v>66.181333333333342</v>
      </c>
      <c r="AU204" s="44"/>
      <c r="AX204" s="1899">
        <f>(AX198+AX199+AX200)/3</f>
        <v>70.537999999999997</v>
      </c>
      <c r="AY204" s="44">
        <f t="shared" si="509"/>
        <v>6.5829236844225703</v>
      </c>
      <c r="BB204" s="1899">
        <f>(BB198+BB199+BB200)/3</f>
        <v>69.898333333333326</v>
      </c>
      <c r="BC204" s="44">
        <f t="shared" si="510"/>
        <v>-0.90683981211073794</v>
      </c>
      <c r="BF204" s="1899">
        <f>(BF198+BF199+BF200)/3</f>
        <v>70.669666666666657</v>
      </c>
      <c r="BG204" s="44">
        <f t="shared" si="511"/>
        <v>1.1035074751424734</v>
      </c>
      <c r="BJ204" s="1899">
        <f>(BJ198+BJ199+BJ200)/3</f>
        <v>75.73899999999999</v>
      </c>
      <c r="BK204" s="44">
        <f t="shared" si="512"/>
        <v>7.173280379606517</v>
      </c>
      <c r="BN204" s="2202">
        <f>(BN198+BN199+BN200)/3</f>
        <v>73.625</v>
      </c>
      <c r="BO204" s="217">
        <f t="shared" si="513"/>
        <v>-2.7911643935092711</v>
      </c>
      <c r="BP204" s="161"/>
      <c r="BR204" s="2202">
        <f>(BR198+BR199+BR200)/3</f>
        <v>73.625</v>
      </c>
      <c r="BS204" s="217">
        <f t="shared" si="527"/>
        <v>-2.7911643935092711</v>
      </c>
      <c r="BT204" s="161"/>
      <c r="BV204" s="2202">
        <f>(BV198+BV199+BV200)/3</f>
        <v>76.706666666666663</v>
      </c>
      <c r="BW204" s="217">
        <f t="shared" si="514"/>
        <v>4.1856253537068344</v>
      </c>
      <c r="BX204" s="161"/>
      <c r="BZ204" s="2202">
        <f>(BZ198+BZ199+BZ200)/3</f>
        <v>88.067666666666682</v>
      </c>
      <c r="CA204" s="217">
        <f t="shared" si="515"/>
        <v>14.810968190509332</v>
      </c>
      <c r="CB204" s="161"/>
      <c r="CD204" s="2202">
        <f>(CD198+CD199+CD200)/3</f>
        <v>83.290999999999997</v>
      </c>
      <c r="CE204" s="217">
        <f t="shared" si="516"/>
        <v>-5.4238596836523651</v>
      </c>
      <c r="CF204" s="161"/>
      <c r="CH204" s="2202">
        <f>(CH198+CH199+CH200)/3</f>
        <v>87.38066666666667</v>
      </c>
      <c r="CI204" s="217">
        <f t="shared" si="517"/>
        <v>4.9100943279186016</v>
      </c>
      <c r="CJ204" s="161"/>
      <c r="CL204" s="2202">
        <f>(CL198+CL199+CL200)/3</f>
        <v>88.641999999999996</v>
      </c>
      <c r="CM204" s="217">
        <f t="shared" si="518"/>
        <v>1.4434924582859665</v>
      </c>
      <c r="CN204" s="161"/>
      <c r="CP204" s="2202">
        <f>(CP198+CP199+CP200)/3</f>
        <v>88.11099999999999</v>
      </c>
      <c r="CQ204" s="217">
        <f t="shared" si="519"/>
        <v>-0.59903883035130612</v>
      </c>
      <c r="CR204" s="161"/>
      <c r="CT204" s="2202">
        <f>(CT198+CT199+CT200)/3</f>
        <v>87.228999999999999</v>
      </c>
      <c r="CU204" s="217">
        <f t="shared" si="520"/>
        <v>-1.0010100895461282</v>
      </c>
      <c r="CV204" s="161"/>
      <c r="CW204" s="161"/>
      <c r="CX204" s="2202">
        <f>(CX198+CX199+CX200)/3</f>
        <v>90.154333333333327</v>
      </c>
      <c r="CY204" s="217">
        <f t="shared" si="521"/>
        <v>3.3536247501786409</v>
      </c>
      <c r="CZ204" s="161"/>
      <c r="DA204" s="161"/>
      <c r="DB204" s="2202">
        <f>(DB198+DB199+DB200)/3</f>
        <v>98.850666666666669</v>
      </c>
      <c r="DC204" s="217">
        <f t="shared" si="522"/>
        <v>9.6460514007461473</v>
      </c>
      <c r="DD204" s="161"/>
      <c r="DE204" s="161"/>
      <c r="DF204" s="2202">
        <f>(DF198+DF199+DF200)/3</f>
        <v>101.46733333333334</v>
      </c>
      <c r="DG204" s="217">
        <f t="shared" si="523"/>
        <v>2.6470905608459994</v>
      </c>
      <c r="DH204" s="161"/>
      <c r="DI204" s="161"/>
      <c r="DJ204" s="2202">
        <f>(DJ198+DJ199+DJ200)/3</f>
        <v>114.53733333333332</v>
      </c>
      <c r="DK204" s="217">
        <f t="shared" si="524"/>
        <v>12.880992897549937</v>
      </c>
      <c r="DL204" s="161"/>
      <c r="DM204" s="161"/>
      <c r="DN204" s="2202">
        <f>(DN198+DN199+DN200)/3</f>
        <v>130.23933333333335</v>
      </c>
      <c r="DO204" s="217">
        <f t="shared" si="525"/>
        <v>13.709067203706526</v>
      </c>
      <c r="DP204" s="161"/>
      <c r="DQ204" s="161"/>
      <c r="DR204" s="2202">
        <f>(DR198+DR199+DR200)/3</f>
        <v>140</v>
      </c>
      <c r="DS204" s="217">
        <f t="shared" si="526"/>
        <v>7.4944077314073043</v>
      </c>
      <c r="DT204" s="161"/>
    </row>
    <row r="205" spans="1:138" collapsed="1">
      <c r="D205" s="1865"/>
      <c r="F205" s="1865"/>
      <c r="G205" s="1865"/>
      <c r="H205" s="1865"/>
      <c r="I205" s="1865"/>
      <c r="J205" s="1865"/>
      <c r="K205" s="1865"/>
      <c r="L205" s="1865"/>
      <c r="M205" s="1865"/>
      <c r="N205" s="1865"/>
      <c r="O205" s="1865"/>
      <c r="P205" s="1865"/>
      <c r="Q205" s="1865"/>
      <c r="R205" s="1865"/>
      <c r="S205" s="1865"/>
      <c r="T205" s="1865"/>
      <c r="U205" s="1865"/>
      <c r="V205" s="1865"/>
      <c r="W205" s="1865"/>
      <c r="X205" s="1865"/>
      <c r="Y205" s="1865"/>
      <c r="Z205" s="1865"/>
      <c r="AA205" s="2293"/>
      <c r="AB205" s="1865"/>
      <c r="AC205" s="1865"/>
      <c r="AD205" s="1865"/>
      <c r="AE205" s="1865"/>
      <c r="AF205" s="1865"/>
      <c r="AG205" s="1865"/>
      <c r="AH205" s="1865"/>
      <c r="AI205" s="1865"/>
      <c r="AJ205" s="1865"/>
      <c r="AK205" s="1865"/>
      <c r="AL205" s="1865"/>
      <c r="AM205" s="1865"/>
      <c r="AN205" s="1865"/>
      <c r="AO205" s="1865"/>
      <c r="AP205" s="1937"/>
      <c r="AT205" s="1937"/>
      <c r="AU205" s="1859"/>
      <c r="AV205" s="1859"/>
      <c r="AW205" s="1859"/>
      <c r="AX205" s="1937"/>
      <c r="AY205" s="1859"/>
      <c r="AZ205" s="1859"/>
      <c r="BA205" s="1859"/>
      <c r="BB205" s="1937"/>
      <c r="BE205" s="1859"/>
      <c r="BF205" s="2302"/>
      <c r="BG205" s="2341"/>
      <c r="BI205" s="1859"/>
      <c r="BJ205" s="1937"/>
      <c r="BM205" s="1859"/>
      <c r="BN205" s="2296"/>
      <c r="BO205" s="161"/>
      <c r="BP205" s="161"/>
      <c r="BQ205" s="1859"/>
      <c r="BR205" s="2296"/>
      <c r="BS205" s="161"/>
      <c r="BT205" s="161"/>
      <c r="BU205" s="1859"/>
      <c r="BV205" s="2296"/>
      <c r="BW205" s="161"/>
      <c r="BX205" s="161"/>
      <c r="BY205" s="1859"/>
      <c r="BZ205" s="2296"/>
      <c r="CA205" s="161"/>
      <c r="CB205" s="161"/>
      <c r="CC205" s="1859"/>
      <c r="CD205" s="2296"/>
      <c r="CE205" s="161"/>
      <c r="CF205" s="161"/>
      <c r="CG205" s="1859"/>
      <c r="CH205" s="2296"/>
      <c r="CI205" s="161"/>
      <c r="CJ205" s="161"/>
      <c r="CK205" s="1859"/>
      <c r="CL205" s="2296"/>
      <c r="CM205" s="161"/>
      <c r="CN205" s="161"/>
      <c r="CO205" s="1859"/>
      <c r="CP205" s="2296"/>
      <c r="CQ205" s="161"/>
      <c r="CR205" s="161"/>
      <c r="CS205" s="1859"/>
      <c r="CT205" s="2296"/>
      <c r="CU205" s="161"/>
      <c r="CV205" s="161"/>
      <c r="CW205" s="161"/>
      <c r="CX205" s="161"/>
      <c r="CY205" s="161"/>
      <c r="CZ205" s="161"/>
      <c r="DA205" s="161"/>
      <c r="DB205" s="161"/>
      <c r="DC205" s="161"/>
      <c r="DD205" s="161"/>
      <c r="DE205" s="161"/>
      <c r="DF205" s="161"/>
      <c r="DG205" s="161"/>
      <c r="DH205" s="161"/>
      <c r="DI205" s="161"/>
      <c r="DJ205" s="161"/>
      <c r="DK205" s="161"/>
      <c r="DL205" s="161"/>
      <c r="DM205" s="161"/>
      <c r="DN205" s="161"/>
      <c r="DO205" s="161"/>
      <c r="DP205" s="161"/>
      <c r="DQ205" s="161"/>
      <c r="DR205" s="161"/>
      <c r="DS205" s="161"/>
      <c r="DT205" s="161"/>
      <c r="DU205" s="1859"/>
    </row>
    <row r="206" spans="1:138" hidden="1" outlineLevel="1">
      <c r="A206" s="25" t="s">
        <v>523</v>
      </c>
      <c r="BN206" s="161"/>
      <c r="BO206" s="161"/>
      <c r="BP206" s="161"/>
      <c r="BR206" s="161"/>
      <c r="BS206" s="161"/>
      <c r="BT206" s="161"/>
      <c r="BV206" s="161"/>
      <c r="BW206" s="161"/>
      <c r="BX206" s="161"/>
      <c r="BZ206" s="161"/>
      <c r="CA206" s="161"/>
      <c r="CB206" s="161"/>
      <c r="CD206" s="161"/>
      <c r="CE206" s="161"/>
      <c r="CF206" s="161"/>
      <c r="CH206" s="161"/>
      <c r="CI206" s="161"/>
      <c r="CJ206" s="161"/>
      <c r="CL206" s="161"/>
      <c r="CM206" s="161"/>
      <c r="CN206" s="161"/>
      <c r="CP206" s="161"/>
      <c r="CQ206" s="161"/>
      <c r="CR206" s="161"/>
      <c r="CT206" s="161"/>
      <c r="CU206" s="161"/>
      <c r="CV206" s="161"/>
      <c r="CW206" s="161"/>
      <c r="CX206" s="161"/>
      <c r="CY206" s="161"/>
      <c r="CZ206" s="161"/>
      <c r="DA206" s="161"/>
      <c r="DB206" s="161"/>
      <c r="DC206" s="161"/>
      <c r="DD206" s="161"/>
      <c r="DE206" s="161"/>
      <c r="DF206" s="161"/>
      <c r="DG206" s="161"/>
      <c r="DH206" s="161"/>
      <c r="DI206" s="161"/>
      <c r="DJ206" s="161"/>
      <c r="DK206" s="161"/>
      <c r="DL206" s="161"/>
      <c r="DM206" s="161"/>
      <c r="DN206" s="161"/>
      <c r="DO206" s="161"/>
      <c r="DP206" s="161"/>
      <c r="DQ206" s="161"/>
      <c r="DR206" s="161"/>
      <c r="DS206" s="161"/>
      <c r="DT206" s="161"/>
    </row>
    <row r="207" spans="1:138" hidden="1" outlineLevel="1">
      <c r="C207" s="1936"/>
      <c r="D207" s="1936"/>
      <c r="E207" s="1936" t="str">
        <f>AX207</f>
        <v>Operating Income (including special items)   (% Change)</v>
      </c>
      <c r="F207" s="1936"/>
      <c r="J207" s="1936"/>
      <c r="N207" s="1936"/>
      <c r="R207" s="1936"/>
      <c r="V207" s="1936"/>
      <c r="Z207" s="2244"/>
      <c r="AA207" s="2177"/>
      <c r="AB207" s="2177"/>
      <c r="AC207" s="2177"/>
      <c r="AD207" s="2244"/>
      <c r="AE207" s="2177"/>
      <c r="AF207" s="2177"/>
      <c r="AG207" s="2177"/>
      <c r="AI207" s="2177"/>
      <c r="AJ207" s="2177"/>
      <c r="AK207" s="2177"/>
      <c r="AL207" s="2244"/>
      <c r="AM207" s="2177"/>
      <c r="AN207" s="2177"/>
      <c r="AO207" s="2177"/>
      <c r="AQ207" s="2177"/>
      <c r="AR207" s="2177"/>
      <c r="AS207" s="2177"/>
      <c r="AU207" s="2177"/>
      <c r="AV207" s="2177"/>
      <c r="AW207" s="2177"/>
      <c r="AX207" s="2244" t="s">
        <v>734</v>
      </c>
      <c r="AY207" s="2177"/>
      <c r="AZ207" s="2177"/>
      <c r="BA207" s="2177"/>
      <c r="BB207" s="2244"/>
      <c r="BC207" s="2177"/>
      <c r="BD207" s="2177"/>
      <c r="BE207" s="2177"/>
      <c r="BF207" s="2244" t="s">
        <v>318</v>
      </c>
      <c r="BG207" s="2177"/>
      <c r="BH207" s="2177"/>
      <c r="BI207" s="2177"/>
      <c r="BJ207" s="2244"/>
      <c r="BK207" s="2177"/>
      <c r="BL207" s="2177"/>
      <c r="BM207" s="2177"/>
      <c r="BN207" s="2245"/>
      <c r="BO207" s="2179"/>
      <c r="BP207" s="2179"/>
      <c r="BQ207" s="2177"/>
      <c r="BR207" s="2245"/>
      <c r="BS207" s="2179"/>
      <c r="BT207" s="2179"/>
      <c r="BU207" s="2177"/>
      <c r="BW207" s="2179"/>
      <c r="BX207" s="2179"/>
      <c r="BY207" s="2177"/>
      <c r="BZ207" s="2245"/>
      <c r="CA207" s="2179"/>
      <c r="CB207" s="2179"/>
      <c r="CC207" s="2177"/>
      <c r="CD207" s="2245"/>
      <c r="CE207" s="2179"/>
      <c r="CF207" s="2179"/>
      <c r="CG207" s="2177"/>
      <c r="CH207" s="2245"/>
      <c r="CI207" s="2179"/>
      <c r="CJ207" s="2179"/>
      <c r="CK207" s="2244" t="s">
        <v>318</v>
      </c>
      <c r="CL207" s="2245"/>
      <c r="CM207" s="2179"/>
      <c r="CN207" s="2179"/>
      <c r="CO207" s="2177"/>
      <c r="CP207" s="2245"/>
      <c r="CQ207" s="2179"/>
      <c r="CR207" s="2179"/>
      <c r="CS207" s="2177"/>
      <c r="CT207" s="2245"/>
      <c r="CU207" s="2179"/>
      <c r="CV207" s="2179"/>
      <c r="CW207" s="2179"/>
      <c r="CX207" s="2179"/>
      <c r="CY207" s="2179"/>
      <c r="CZ207" s="2179"/>
      <c r="DA207" s="2179"/>
      <c r="DB207" s="2179"/>
      <c r="DC207" s="2179"/>
      <c r="DD207" s="2179"/>
      <c r="DE207" s="2179"/>
      <c r="DF207" s="2179"/>
      <c r="DG207" s="2179"/>
      <c r="DH207" s="2179"/>
      <c r="DI207" s="2179"/>
      <c r="DJ207" s="2179"/>
      <c r="DK207" s="2179"/>
      <c r="DL207" s="2179"/>
      <c r="DM207" s="2179"/>
      <c r="DN207" s="2179"/>
      <c r="DO207" s="2179"/>
      <c r="DP207" s="2179"/>
      <c r="DQ207" s="2179"/>
      <c r="DR207" s="2179"/>
      <c r="DS207" s="2179"/>
      <c r="DT207" s="2179"/>
      <c r="DU207" s="2177"/>
    </row>
    <row r="208" spans="1:138" hidden="1" outlineLevel="1">
      <c r="BN208" s="161"/>
      <c r="BO208" s="161"/>
      <c r="BP208" s="161"/>
      <c r="BR208" s="161"/>
      <c r="BS208" s="161"/>
      <c r="BT208" s="161"/>
      <c r="BV208" s="161"/>
      <c r="BW208" s="161"/>
      <c r="BX208" s="161"/>
      <c r="BZ208" s="161"/>
      <c r="CA208" s="161"/>
      <c r="CB208" s="161"/>
      <c r="CD208" s="161"/>
      <c r="CE208" s="161"/>
      <c r="CF208" s="161"/>
      <c r="CH208" s="161"/>
      <c r="CI208" s="161"/>
      <c r="CJ208" s="161"/>
      <c r="CL208" s="161"/>
      <c r="CM208" s="161"/>
      <c r="CN208" s="161"/>
      <c r="CP208" s="161"/>
      <c r="CQ208" s="161"/>
      <c r="CR208" s="161"/>
      <c r="CT208" s="161"/>
      <c r="CU208" s="161"/>
      <c r="CV208" s="161"/>
      <c r="CW208" s="161"/>
      <c r="CX208" s="161"/>
      <c r="CY208" s="161"/>
      <c r="CZ208" s="161"/>
      <c r="DA208" s="161"/>
      <c r="DB208" s="161"/>
      <c r="DC208" s="161"/>
      <c r="DD208" s="161"/>
      <c r="DE208" s="161"/>
      <c r="DF208" s="161"/>
      <c r="DG208" s="161"/>
      <c r="DH208" s="161"/>
      <c r="DI208" s="161"/>
      <c r="DJ208" s="161"/>
      <c r="DK208" s="161"/>
      <c r="DL208" s="161"/>
      <c r="DM208" s="161"/>
      <c r="DN208" s="161"/>
      <c r="DO208" s="161"/>
      <c r="DP208" s="161"/>
      <c r="DQ208" s="161"/>
      <c r="DR208" s="161"/>
      <c r="DS208" s="161"/>
      <c r="DT208" s="161"/>
    </row>
    <row r="209" spans="1:125" hidden="1" outlineLevel="1">
      <c r="A209" s="23" t="str">
        <f>$A$10</f>
        <v>1Q</v>
      </c>
      <c r="B209" s="23" t="str">
        <f>$B$10</f>
        <v>Apr</v>
      </c>
      <c r="D209" s="1854">
        <f>+D60+D50</f>
        <v>89.365999999999985</v>
      </c>
      <c r="E209" s="2213"/>
      <c r="F209" s="1854">
        <f>+F60+F50</f>
        <v>111.57900000000004</v>
      </c>
      <c r="G209" s="2213">
        <f t="shared" ref="G209:G215" si="528">+F209/F10*100</f>
        <v>10.0762634951167</v>
      </c>
      <c r="J209" s="1854">
        <f>+J60+J50</f>
        <v>94.63</v>
      </c>
      <c r="K209" s="2213">
        <f t="shared" ref="K209:K215" si="529">+J209/J10*100</f>
        <v>7.3671721363164302</v>
      </c>
      <c r="N209" s="1854">
        <f>+N60+N50</f>
        <v>86.50100000000009</v>
      </c>
      <c r="O209" s="2213">
        <f t="shared" ref="O209:O215" si="530">+N209/N10*100</f>
        <v>6.1104459161147968</v>
      </c>
      <c r="R209" s="1854">
        <f>+R60+R50</f>
        <v>85.488999999999862</v>
      </c>
      <c r="S209" s="2213">
        <f t="shared" ref="S209:S215" si="531">+R209/R10*100</f>
        <v>5.629605922975756</v>
      </c>
      <c r="V209" s="1854">
        <f>+V60+V50</f>
        <v>91.170000000000016</v>
      </c>
      <c r="W209" s="2213">
        <f t="shared" ref="W209:W215" si="532">+V209/V10*100</f>
        <v>6.1533664320598707</v>
      </c>
      <c r="Z209" s="1854">
        <f>+Z60+Z50</f>
        <v>80.019999999999925</v>
      </c>
      <c r="AA209" s="2213">
        <f t="shared" ref="AA209:AA215" si="533">+Z209/Z10*100</f>
        <v>5.038617648132961</v>
      </c>
      <c r="AD209" s="1854">
        <f>+AD60+AD50</f>
        <v>53.835999999999956</v>
      </c>
      <c r="AE209" s="2213">
        <f t="shared" ref="AE209:AE215" si="534">+AD209/AD10*100</f>
        <v>3.0110579587827999</v>
      </c>
      <c r="AH209" s="1854">
        <f>+AH60+AH50</f>
        <v>65.42999999999995</v>
      </c>
      <c r="AI209" s="2213">
        <f t="shared" ref="AI209:AI215" si="535">+AH209/AH10*100</f>
        <v>3.8550505699205866</v>
      </c>
      <c r="AL209" s="2342">
        <f>+AL60+-5.1</f>
        <v>58.718999999999959</v>
      </c>
      <c r="AM209" s="2213">
        <f t="shared" ref="AM209:AM215" si="536">+AL209/AL10*100</f>
        <v>3.2516097736017038</v>
      </c>
      <c r="AP209" s="1854">
        <f>+AP60+AP50</f>
        <v>62.207000000000107</v>
      </c>
      <c r="AQ209" s="2213">
        <f t="shared" ref="AQ209:AQ215" si="537">+AP209/AP10*100</f>
        <v>3.9654142594784796</v>
      </c>
      <c r="AT209" s="1854">
        <f>+AT60+AT50</f>
        <v>112.43200000000002</v>
      </c>
      <c r="AU209" s="2213">
        <f t="shared" ref="AU209:AU215" si="538">+AT209/AT10*100</f>
        <v>6.6518757802192612</v>
      </c>
      <c r="AX209" s="1854">
        <f>+AX60+AX50</f>
        <v>38.550999999999988</v>
      </c>
      <c r="AY209" s="2213">
        <f t="shared" ref="AY209:AY215" si="539">+AX209/AX10*100</f>
        <v>2.3197529512148445</v>
      </c>
      <c r="BB209" s="1854">
        <f>+BB60+BB50</f>
        <v>94.335000000000093</v>
      </c>
      <c r="BC209" s="2213">
        <f t="shared" ref="BC209:BC215" si="540">+BB209/BB10*100</f>
        <v>5.2446007048396481</v>
      </c>
      <c r="BF209" s="1854">
        <f>+BF60+BF50</f>
        <v>109.05099999999993</v>
      </c>
      <c r="BG209" s="2213">
        <f t="shared" ref="BG209:BG215" si="541">+BF209/BF10*100</f>
        <v>5.9192953144905474</v>
      </c>
      <c r="BJ209" s="1854">
        <f>+BJ60+BJ50</f>
        <v>164.22900000000007</v>
      </c>
      <c r="BK209" s="2213">
        <f t="shared" ref="BK209:BK215" si="542">+BJ209/BJ10*100</f>
        <v>8.3019285685038433</v>
      </c>
      <c r="BN209" s="1855">
        <f>+BN60+BN50</f>
        <v>48.257999999999925</v>
      </c>
      <c r="BO209" s="2215">
        <f t="shared" ref="BO209:BO215" si="543">+BN209/BN10*100</f>
        <v>2.4435271695430489</v>
      </c>
      <c r="BP209" s="161"/>
      <c r="BR209" s="1855">
        <f>+BR60+BR50</f>
        <v>135.37799999999999</v>
      </c>
      <c r="BS209" s="2215">
        <f t="shared" ref="BS209:BS215" si="544">+BR209/BR10*100</f>
        <v>6.8548182924779173</v>
      </c>
      <c r="BT209" s="161"/>
      <c r="BV209" s="1855">
        <f>+BV60+BV50</f>
        <v>186.64199999999991</v>
      </c>
      <c r="BW209" s="2215">
        <f t="shared" ref="BW209:BW215" si="545">+BV209/BV10*100</f>
        <v>8.9857401529350387</v>
      </c>
      <c r="BX209" s="161"/>
      <c r="BZ209" s="1855">
        <f>+BZ60+BZ50</f>
        <v>108.52499999999986</v>
      </c>
      <c r="CA209" s="2215">
        <f t="shared" ref="CA209:CA215" si="546">+BZ209/BZ10*100</f>
        <v>4.6963380896062548</v>
      </c>
      <c r="CB209" s="161"/>
      <c r="CD209" s="1855">
        <f>+CD60+CD50</f>
        <v>209.39999999999998</v>
      </c>
      <c r="CE209" s="2215">
        <f t="shared" ref="CE209:CE215" si="547">+CD209/CD10*100</f>
        <v>10.877464376823625</v>
      </c>
      <c r="CF209" s="161"/>
      <c r="CH209" s="1855">
        <f>+CH60+CH50</f>
        <v>65.211999999999989</v>
      </c>
      <c r="CI209" s="2215">
        <f t="shared" ref="CI209:CI215" si="548">+CH209/CH10*100</f>
        <v>3.7798864735685584</v>
      </c>
      <c r="CJ209" s="161"/>
      <c r="CL209" s="1855">
        <f>+CL60+CL50</f>
        <v>184.97600000000006</v>
      </c>
      <c r="CM209" s="2215">
        <f t="shared" ref="CM209:CM215" si="549">+CL209/CL10*100</f>
        <v>9.5766270988477586</v>
      </c>
      <c r="CN209" s="161"/>
      <c r="CP209" s="1855">
        <f>+CP60+CP50</f>
        <v>216.82299999999987</v>
      </c>
      <c r="CQ209" s="2215">
        <f t="shared" ref="CQ209:CQ215" si="550">+CP209/CP10*100</f>
        <v>9.7799430496022293</v>
      </c>
      <c r="CR209" s="161"/>
      <c r="CT209" s="1855">
        <f>+CT60+CT50</f>
        <v>293.2270000000002</v>
      </c>
      <c r="CU209" s="2215">
        <f t="shared" ref="CU209:CU215" si="551">+CT209/CT10*100</f>
        <v>13.614503589960748</v>
      </c>
      <c r="CV209" s="161"/>
      <c r="CW209" s="161"/>
      <c r="CX209" s="1855">
        <f>+CX60+CX50</f>
        <v>311.18100000000004</v>
      </c>
      <c r="CY209" s="2215">
        <f t="shared" ref="CY209:CY215" si="552">+CX209/CX10*100</f>
        <v>13.72076883325779</v>
      </c>
      <c r="CZ209" s="161"/>
      <c r="DA209" s="161"/>
      <c r="DB209" s="1855">
        <f>+DB60+DB50</f>
        <v>336.1110000000001</v>
      </c>
      <c r="DC209" s="2215">
        <f t="shared" ref="DC209:DC215" si="553">+DB209/DB10*100</f>
        <v>14.055987922533596</v>
      </c>
      <c r="DD209" s="161"/>
      <c r="DE209" s="161"/>
      <c r="DF209" s="1855">
        <f>+DF60+DF50</f>
        <v>371.84299999999985</v>
      </c>
      <c r="DG209" s="2215">
        <f t="shared" ref="DG209:DG215" si="554">+DF209/DF10*100</f>
        <v>14.80302666585454</v>
      </c>
      <c r="DH209" s="161"/>
      <c r="DI209" s="161"/>
      <c r="DJ209" s="1855">
        <f>+DJ60+DJ50</f>
        <v>357.93299999999999</v>
      </c>
      <c r="DK209" s="2215">
        <f t="shared" ref="DK209:DK215" si="555">+DJ209/DJ10*100</f>
        <v>13.693891878346401</v>
      </c>
      <c r="DL209" s="161"/>
      <c r="DM209" s="161"/>
      <c r="DN209" s="1855">
        <f>+DN60+DN50</f>
        <v>209.19200000000012</v>
      </c>
      <c r="DO209" s="2215">
        <f t="shared" ref="DO209:DO215" si="556">+DN209/DN10*100</f>
        <v>8.58567721297932</v>
      </c>
      <c r="DP209" s="161"/>
      <c r="DQ209" s="161"/>
      <c r="DR209" s="1855">
        <f>+DR60+DR50</f>
        <v>165.36822417787312</v>
      </c>
      <c r="DS209" s="2215">
        <f t="shared" ref="DS209:DS215" si="557">+DR209/DR10*100</f>
        <v>6.349999999999989</v>
      </c>
      <c r="DT209" s="161"/>
    </row>
    <row r="210" spans="1:125" hidden="1" outlineLevel="1">
      <c r="A210" s="23" t="str">
        <f>$A$11</f>
        <v>2Q</v>
      </c>
      <c r="B210" s="23" t="str">
        <f>$B$11</f>
        <v>Jul</v>
      </c>
      <c r="D210" s="1899">
        <f>+D61+D51</f>
        <v>117.11799999999999</v>
      </c>
      <c r="E210" s="2213"/>
      <c r="F210" s="1899">
        <f>+F61+F51</f>
        <v>140.88899999999992</v>
      </c>
      <c r="G210" s="2213">
        <f t="shared" si="528"/>
        <v>12.202809377062465</v>
      </c>
      <c r="J210" s="1899">
        <f>+J61+J51</f>
        <v>140.52399999999992</v>
      </c>
      <c r="K210" s="2213">
        <f t="shared" si="529"/>
        <v>10.218552412948071</v>
      </c>
      <c r="N210" s="1899">
        <f>+N61+N51</f>
        <v>142.70400000000001</v>
      </c>
      <c r="O210" s="2213">
        <f t="shared" si="530"/>
        <v>9.5813529404260667</v>
      </c>
      <c r="R210" s="1899">
        <f>+R61+R51</f>
        <v>126.29400000000004</v>
      </c>
      <c r="S210" s="2213">
        <f t="shared" si="531"/>
        <v>7.4771987886717737</v>
      </c>
      <c r="V210" s="1899">
        <f>+V61+V51</f>
        <v>102.26599999999996</v>
      </c>
      <c r="W210" s="2213">
        <f t="shared" si="532"/>
        <v>6.4505182314531648</v>
      </c>
      <c r="Z210" s="1899">
        <f>+Z61+Z51</f>
        <v>96.753000000000156</v>
      </c>
      <c r="AA210" s="2213">
        <f t="shared" si="533"/>
        <v>5.6296159237258792</v>
      </c>
      <c r="AD210" s="1899">
        <f>+AD61+AD51</f>
        <v>81.542000000000087</v>
      </c>
      <c r="AE210" s="2213">
        <f t="shared" si="534"/>
        <v>4.3016436475819582</v>
      </c>
      <c r="AH210" s="1899">
        <f>+AH61+AH51</f>
        <v>76.789000000000158</v>
      </c>
      <c r="AI210" s="2213">
        <f t="shared" si="535"/>
        <v>4.0608065980637624</v>
      </c>
      <c r="AL210" s="2343">
        <f>+AL61</f>
        <v>81.048000000000002</v>
      </c>
      <c r="AM210" s="2213">
        <f t="shared" si="536"/>
        <v>4.0512332448254904</v>
      </c>
      <c r="AP210" s="1899">
        <f>+AP61+AP51</f>
        <v>91.364999999999938</v>
      </c>
      <c r="AQ210" s="2213">
        <f t="shared" si="537"/>
        <v>5.2190498604483215</v>
      </c>
      <c r="AT210" s="1899">
        <f>+AT61+AT51</f>
        <v>154.35300000000001</v>
      </c>
      <c r="AU210" s="2213">
        <f t="shared" si="538"/>
        <v>8.3776587083621923</v>
      </c>
      <c r="AX210" s="1899">
        <f>+AX61+AX51</f>
        <v>78.72199999999998</v>
      </c>
      <c r="AY210" s="2213">
        <f t="shared" si="539"/>
        <v>4.454378018384026</v>
      </c>
      <c r="BB210" s="1899">
        <f>+BB61+BB51</f>
        <v>138.67299999999989</v>
      </c>
      <c r="BC210" s="2213">
        <f t="shared" si="540"/>
        <v>7.2511943008215729</v>
      </c>
      <c r="BF210" s="1899">
        <f>+BF61+BF51</f>
        <v>170.36699999999996</v>
      </c>
      <c r="BG210" s="2213">
        <f t="shared" si="541"/>
        <v>8.4586908534108911</v>
      </c>
      <c r="BJ210" s="1899">
        <f>+BJ61+BJ51</f>
        <v>226.94299999999987</v>
      </c>
      <c r="BK210" s="2213">
        <f t="shared" si="542"/>
        <v>10.265049537911514</v>
      </c>
      <c r="BN210" s="2202">
        <f>+BN61+BN51</f>
        <v>203.91399999999976</v>
      </c>
      <c r="BO210" s="2215">
        <f t="shared" si="543"/>
        <v>8.9010393727184098</v>
      </c>
      <c r="BP210" s="161"/>
      <c r="BR210" s="2202">
        <f>+BR61+BR51</f>
        <v>153.34799999999973</v>
      </c>
      <c r="BS210" s="2215">
        <f t="shared" si="544"/>
        <v>6.6937855455124318</v>
      </c>
      <c r="BT210" s="161"/>
      <c r="BV210" s="2202">
        <f>+BV61+BV51</f>
        <v>196.77999999999975</v>
      </c>
      <c r="BW210" s="2215">
        <f t="shared" si="545"/>
        <v>8.0192285435307333</v>
      </c>
      <c r="BX210" s="161"/>
      <c r="BZ210" s="2202">
        <f>+BZ61+BZ51</f>
        <v>441.93200000000013</v>
      </c>
      <c r="CA210" s="2215">
        <f t="shared" si="546"/>
        <v>16.841426528261177</v>
      </c>
      <c r="CB210" s="161"/>
      <c r="CD210" s="2202">
        <f>+CD61+CD51+13.293</f>
        <v>198.45199999999977</v>
      </c>
      <c r="CE210" s="2215">
        <f t="shared" si="547"/>
        <v>8.6875972392586913</v>
      </c>
      <c r="CF210" s="161"/>
      <c r="CH210" s="2202">
        <f>+CH61+CH51</f>
        <v>158.08400000000003</v>
      </c>
      <c r="CI210" s="2215">
        <f t="shared" si="548"/>
        <v>7.6494355490392492</v>
      </c>
      <c r="CJ210" s="161"/>
      <c r="CL210" s="2202">
        <f>+CL61+CL51</f>
        <v>236.45700000000033</v>
      </c>
      <c r="CM210" s="2215">
        <f t="shared" si="549"/>
        <v>10.544300805793522</v>
      </c>
      <c r="CN210" s="161"/>
      <c r="CP210" s="2202">
        <f>+CP61+CP51</f>
        <v>193.53300000000013</v>
      </c>
      <c r="CQ210" s="2215">
        <f t="shared" si="550"/>
        <v>7.8731640044179887</v>
      </c>
      <c r="CR210" s="161"/>
      <c r="CT210" s="2202">
        <f>+CT61+CT51</f>
        <v>308.87900000000002</v>
      </c>
      <c r="CU210" s="2215">
        <f t="shared" si="551"/>
        <v>12.874786378225171</v>
      </c>
      <c r="CV210" s="161"/>
      <c r="CW210" s="161"/>
      <c r="CX210" s="2202">
        <f>+CX61+CX51</f>
        <v>357.80600000000004</v>
      </c>
      <c r="CY210" s="2215">
        <f t="shared" si="552"/>
        <v>14.221489829102532</v>
      </c>
      <c r="CZ210" s="161"/>
      <c r="DA210" s="161"/>
      <c r="DB210" s="2202">
        <f>+DB61+DB51</f>
        <v>375.94200000000012</v>
      </c>
      <c r="DC210" s="2215">
        <f t="shared" si="553"/>
        <v>14.052272801180877</v>
      </c>
      <c r="DD210" s="161"/>
      <c r="DE210" s="161"/>
      <c r="DF210" s="2202">
        <f>+DF61+DF51</f>
        <v>402.92600000000004</v>
      </c>
      <c r="DG210" s="2215">
        <f t="shared" si="554"/>
        <v>14.571119943787822</v>
      </c>
      <c r="DH210" s="161"/>
      <c r="DI210" s="161"/>
      <c r="DJ210" s="2202">
        <f>+DJ61+DJ51</f>
        <v>408.21600000000024</v>
      </c>
      <c r="DK210" s="2215">
        <f t="shared" si="555"/>
        <v>14.126372439911638</v>
      </c>
      <c r="DL210" s="161"/>
      <c r="DM210" s="161"/>
      <c r="DN210" s="2202">
        <f>+DN61+DN51</f>
        <v>300.8950000000001</v>
      </c>
      <c r="DO210" s="2215">
        <f t="shared" si="556"/>
        <v>10.921699298008729</v>
      </c>
      <c r="DP210" s="161"/>
      <c r="DQ210" s="161"/>
      <c r="DR210" s="2202">
        <f>+DR61+DR51</f>
        <v>286.11371116896828</v>
      </c>
      <c r="DS210" s="2215">
        <f t="shared" si="557"/>
        <v>9.8500000000000014</v>
      </c>
      <c r="DT210" s="161"/>
    </row>
    <row r="211" spans="1:125" hidden="1" outlineLevel="1">
      <c r="A211" s="23" t="str">
        <f>$A$12</f>
        <v>3Q</v>
      </c>
      <c r="B211" s="23" t="str">
        <f>$B$12</f>
        <v>Oct</v>
      </c>
      <c r="D211" s="1899">
        <f>+D62+D52</f>
        <v>149.53800000000001</v>
      </c>
      <c r="E211" s="2213"/>
      <c r="F211" s="1899">
        <f>+F62+F52</f>
        <v>151.07500000000007</v>
      </c>
      <c r="G211" s="2213">
        <f t="shared" si="528"/>
        <v>12.10640655889568</v>
      </c>
      <c r="J211" s="1899">
        <f>+J62+J52</f>
        <v>134.68100000000004</v>
      </c>
      <c r="K211" s="2213">
        <f t="shared" si="529"/>
        <v>9.3958331589243027</v>
      </c>
      <c r="N211" s="1899">
        <f>+N62+N52</f>
        <v>145.23000000000008</v>
      </c>
      <c r="O211" s="2213">
        <f t="shared" si="530"/>
        <v>9.0131072660924012</v>
      </c>
      <c r="R211" s="1899">
        <f>+R62+R52</f>
        <v>151.506</v>
      </c>
      <c r="S211" s="2213">
        <f t="shared" si="531"/>
        <v>9.3715032223704693</v>
      </c>
      <c r="V211" s="1899">
        <f>+V62+V52</f>
        <v>165.54199999999986</v>
      </c>
      <c r="W211" s="2213">
        <f t="shared" si="532"/>
        <v>9.6516042668507414</v>
      </c>
      <c r="Z211" s="1899">
        <f>+Z62+Z52</f>
        <v>91.361000000000104</v>
      </c>
      <c r="AA211" s="2213">
        <f t="shared" si="533"/>
        <v>5.0663368999525922</v>
      </c>
      <c r="AD211" s="1899">
        <f>+AD62+AD52</f>
        <v>88.350000000000023</v>
      </c>
      <c r="AE211" s="2213">
        <f t="shared" si="534"/>
        <v>4.428602506483756</v>
      </c>
      <c r="AH211" s="1899">
        <f>+AH62+AH52</f>
        <v>136.20500000000015</v>
      </c>
      <c r="AI211" s="2213">
        <f t="shared" si="535"/>
        <v>7.4223933342597439</v>
      </c>
      <c r="AL211" s="1899">
        <f>+AL62+AL52</f>
        <v>75.13799999999992</v>
      </c>
      <c r="AM211" s="2213">
        <f t="shared" si="536"/>
        <v>3.9492481301804343</v>
      </c>
      <c r="AP211" s="1899">
        <f>+AP62+AP52</f>
        <v>81.327999999999918</v>
      </c>
      <c r="AQ211" s="2213">
        <f t="shared" si="537"/>
        <v>5.1395771072436718</v>
      </c>
      <c r="AT211" s="1899">
        <f>+AT62+AT52</f>
        <v>101.97699999999992</v>
      </c>
      <c r="AU211" s="2213">
        <f t="shared" si="538"/>
        <v>5.9428679989463555</v>
      </c>
      <c r="AV211" s="161"/>
      <c r="AW211" s="161"/>
      <c r="AX211" s="2343">
        <f>+AX62</f>
        <v>-17.704999999999814</v>
      </c>
      <c r="AY211" s="2213">
        <f t="shared" si="539"/>
        <v>-1.0669937053096459</v>
      </c>
      <c r="BB211" s="1899">
        <f>+BB62+BB52</f>
        <v>17.347999999999956</v>
      </c>
      <c r="BC211" s="2213">
        <f t="shared" si="540"/>
        <v>0.98146319937314641</v>
      </c>
      <c r="BF211" s="1899">
        <f>+BF62+BF52</f>
        <v>42.172000000000025</v>
      </c>
      <c r="BG211" s="2213">
        <f t="shared" si="541"/>
        <v>2.2835545303421667</v>
      </c>
      <c r="BJ211" s="1899">
        <f>+BJ62+BJ52</f>
        <v>98.812999999999988</v>
      </c>
      <c r="BK211" s="2213">
        <f t="shared" si="542"/>
        <v>5.2258369890869467</v>
      </c>
      <c r="BN211" s="2202">
        <f>+BN62+BN52</f>
        <v>2.6709999999998217</v>
      </c>
      <c r="BO211" s="2215">
        <f t="shared" si="543"/>
        <v>0.14120687203251839</v>
      </c>
      <c r="BP211" s="161"/>
      <c r="BR211" s="2202">
        <f>+BR62+BR52</f>
        <v>20.295999999999822</v>
      </c>
      <c r="BS211" s="2215">
        <f t="shared" si="544"/>
        <v>1.0729819074399698</v>
      </c>
      <c r="BT211" s="161"/>
      <c r="BV211" s="2202">
        <f>+BV62+BV52</f>
        <v>66.539000000000215</v>
      </c>
      <c r="BW211" s="2215">
        <f t="shared" si="545"/>
        <v>3.1461204357163424</v>
      </c>
      <c r="BX211" s="161"/>
      <c r="BZ211" s="2202">
        <f>+BZ62+BZ52</f>
        <v>60.744999999999948</v>
      </c>
      <c r="CA211" s="2215">
        <f t="shared" si="546"/>
        <v>3.1586955255669973</v>
      </c>
      <c r="CB211" s="161"/>
      <c r="CD211" s="2202">
        <f>+CD62+CD52</f>
        <v>41.215999999999944</v>
      </c>
      <c r="CE211" s="2215">
        <f t="shared" si="547"/>
        <v>2.2373443695092319</v>
      </c>
      <c r="CF211" s="161"/>
      <c r="CH211" s="2202">
        <f>+CH62+CH52</f>
        <v>58.885000000000048</v>
      </c>
      <c r="CI211" s="2215">
        <f t="shared" si="548"/>
        <v>3.3131921707724548</v>
      </c>
      <c r="CJ211" s="161"/>
      <c r="CL211" s="2202">
        <f>+CL62+CL52</f>
        <v>149.09800000000018</v>
      </c>
      <c r="CM211" s="2215">
        <f t="shared" si="549"/>
        <v>7.5173996607797315</v>
      </c>
      <c r="CN211" s="161"/>
      <c r="CP211" s="2202">
        <f>+CP62+CP52</f>
        <v>186.10200000000009</v>
      </c>
      <c r="CQ211" s="2215">
        <f t="shared" si="550"/>
        <v>8.562634005392427</v>
      </c>
      <c r="CR211" s="161"/>
      <c r="CT211" s="2202">
        <f>+CT62+CT52</f>
        <v>197.38499999999965</v>
      </c>
      <c r="CU211" s="2215">
        <f t="shared" si="551"/>
        <v>9.6276489630955808</v>
      </c>
      <c r="CV211" s="161"/>
      <c r="CW211" s="161"/>
      <c r="CX211" s="2202">
        <f>+CX62+CX52</f>
        <v>211.02600000000007</v>
      </c>
      <c r="CY211" s="2215">
        <f t="shared" si="552"/>
        <v>9.7198315866660376</v>
      </c>
      <c r="CZ211" s="161"/>
      <c r="DA211" s="161"/>
      <c r="DB211" s="2202">
        <f>+DB62+DB52</f>
        <v>284.11300000000017</v>
      </c>
      <c r="DC211" s="2215">
        <f t="shared" si="553"/>
        <v>12.252318066145698</v>
      </c>
      <c r="DD211" s="161"/>
      <c r="DE211" s="161"/>
      <c r="DF211" s="2202">
        <f>+DF62+DF52</f>
        <v>338.7639999999999</v>
      </c>
      <c r="DG211" s="2215">
        <f t="shared" si="554"/>
        <v>13.651169116387774</v>
      </c>
      <c r="DH211" s="161"/>
      <c r="DI211" s="161"/>
      <c r="DJ211" s="2202">
        <f>+DJ62+DJ52</f>
        <v>283.57999999999981</v>
      </c>
      <c r="DK211" s="2215">
        <f t="shared" si="555"/>
        <v>10.987303654930933</v>
      </c>
      <c r="DL211" s="161"/>
      <c r="DM211" s="161"/>
      <c r="DN211" s="2202">
        <f>+DN62+DN52</f>
        <v>231.66300000000024</v>
      </c>
      <c r="DO211" s="2215">
        <f t="shared" si="556"/>
        <v>8.849584228492505</v>
      </c>
      <c r="DP211" s="161"/>
      <c r="DQ211" s="161"/>
      <c r="DR211" s="2202">
        <f>+DR62+DR52</f>
        <v>227.68463953962862</v>
      </c>
      <c r="DS211" s="2215">
        <f t="shared" si="557"/>
        <v>8.2200000000000042</v>
      </c>
      <c r="DT211" s="161"/>
    </row>
    <row r="212" spans="1:125" hidden="1" outlineLevel="1">
      <c r="A212" s="23" t="str">
        <f>$A$13</f>
        <v>4Q</v>
      </c>
      <c r="B212" s="23" t="str">
        <f>$B$13</f>
        <v>Jan</v>
      </c>
      <c r="C212" s="139"/>
      <c r="D212" s="2249">
        <f>+D63+D53</f>
        <v>269.23200000000037</v>
      </c>
      <c r="E212" s="2213"/>
      <c r="F212" s="2249">
        <f>+F63+F53</f>
        <v>293.99399999999969</v>
      </c>
      <c r="G212" s="2213">
        <f t="shared" si="528"/>
        <v>16.860267395534443</v>
      </c>
      <c r="J212" s="2249">
        <f>+J63+J53</f>
        <v>342.86499999999955</v>
      </c>
      <c r="K212" s="2213">
        <f t="shared" si="529"/>
        <v>16.675185870215952</v>
      </c>
      <c r="N212" s="2249">
        <f>+N63+N53</f>
        <v>414.26300000000072</v>
      </c>
      <c r="O212" s="2213">
        <f t="shared" si="530"/>
        <v>17.062197945763501</v>
      </c>
      <c r="R212" s="2249">
        <f>+R63+R53</f>
        <v>338.26700000000068</v>
      </c>
      <c r="S212" s="2213">
        <f t="shared" si="531"/>
        <v>13.973327054430268</v>
      </c>
      <c r="V212" s="2249">
        <f>+V63+V53</f>
        <v>440.01100000000059</v>
      </c>
      <c r="W212" s="2213">
        <f t="shared" si="532"/>
        <v>17.332848550931324</v>
      </c>
      <c r="Z212" s="2249">
        <f>+Z63+Z53</f>
        <v>345.21500000000003</v>
      </c>
      <c r="AA212" s="2213">
        <f t="shared" si="533"/>
        <v>12.456497069133803</v>
      </c>
      <c r="AD212" s="2249">
        <f>+AD63+AD53</f>
        <v>412.33900000000006</v>
      </c>
      <c r="AE212" s="2213">
        <f t="shared" si="534"/>
        <v>13.900968255996354</v>
      </c>
      <c r="AH212" s="2249">
        <f>+AH63+AH53</f>
        <v>107.66800000000023</v>
      </c>
      <c r="AI212" s="2213">
        <f t="shared" si="535"/>
        <v>3.6578881834801251</v>
      </c>
      <c r="AL212" s="2249">
        <f>+AL63+AL53</f>
        <v>422.803</v>
      </c>
      <c r="AM212" s="2213">
        <f t="shared" si="536"/>
        <v>13.518573998799708</v>
      </c>
      <c r="AP212" s="2249">
        <f>+AP63+AP53</f>
        <v>561.55600000000004</v>
      </c>
      <c r="AQ212" s="2213">
        <f t="shared" si="537"/>
        <v>20.653763428204897</v>
      </c>
      <c r="AT212" s="2249">
        <f>+AT63+AT53</f>
        <v>433.51999999999987</v>
      </c>
      <c r="AU212" s="2213">
        <f t="shared" si="538"/>
        <v>14.943034678305262</v>
      </c>
      <c r="AX212" s="2249">
        <f>+AX63+AX53</f>
        <v>588.44000000000017</v>
      </c>
      <c r="AY212" s="2213">
        <f t="shared" si="539"/>
        <v>20.727418107783002</v>
      </c>
      <c r="BB212" s="2249">
        <f>+BB63+BB53</f>
        <v>587.56999999999994</v>
      </c>
      <c r="BC212" s="2213">
        <f t="shared" si="540"/>
        <v>19.810409155061116</v>
      </c>
      <c r="BF212" s="2249">
        <f>+BF63+BF53</f>
        <v>641.49200000000019</v>
      </c>
      <c r="BG212" s="2213">
        <f t="shared" si="541"/>
        <v>19.854790496075733</v>
      </c>
      <c r="BJ212" s="2249">
        <f>+BJ63+BJ53</f>
        <v>627.34799999999996</v>
      </c>
      <c r="BK212" s="2213">
        <f t="shared" si="542"/>
        <v>18.848210954019649</v>
      </c>
      <c r="BN212" s="2250">
        <f>+BN63+BN53</f>
        <v>706.35500000000002</v>
      </c>
      <c r="BO212" s="2215">
        <f t="shared" si="543"/>
        <v>20.117339637016098</v>
      </c>
      <c r="BP212" s="161"/>
      <c r="BR212" s="2250">
        <f>+BR63+BR53</f>
        <v>693.60300000000007</v>
      </c>
      <c r="BS212" s="2215">
        <f t="shared" si="544"/>
        <v>19.58454183212935</v>
      </c>
      <c r="BT212" s="161"/>
      <c r="BV212" s="2250">
        <f>+BV63+BV53</f>
        <v>726.81999999999994</v>
      </c>
      <c r="BW212" s="2215">
        <f t="shared" si="545"/>
        <v>18.058976788840514</v>
      </c>
      <c r="BX212" s="161"/>
      <c r="BZ212" s="2250">
        <f>+BZ63+BZ53</f>
        <v>621.40699999999993</v>
      </c>
      <c r="CA212" s="2215">
        <f t="shared" si="546"/>
        <v>19.248475379327605</v>
      </c>
      <c r="CB212" s="161"/>
      <c r="CD212" s="2250">
        <f>+CD63+CD53</f>
        <v>153.13499999999991</v>
      </c>
      <c r="CE212" s="2215">
        <f t="shared" si="547"/>
        <v>5.1196849856674866</v>
      </c>
      <c r="CF212" s="161"/>
      <c r="CH212" s="2250">
        <f>CH63</f>
        <v>585.54399999999987</v>
      </c>
      <c r="CI212" s="2215">
        <f t="shared" si="548"/>
        <v>19.114486353510792</v>
      </c>
      <c r="CJ212" s="161"/>
      <c r="CL212" s="2250">
        <f>+CL63+CL53</f>
        <v>713.50200000000018</v>
      </c>
      <c r="CM212" s="2215">
        <f t="shared" si="549"/>
        <v>20.646148860196885</v>
      </c>
      <c r="CN212" s="161"/>
      <c r="CP212" s="2250">
        <f>+CP63+CP53</f>
        <v>686.77199999999982</v>
      </c>
      <c r="CQ212" s="2215">
        <f t="shared" si="550"/>
        <v>19.535953821812772</v>
      </c>
      <c r="CR212" s="161"/>
      <c r="CT212" s="2250">
        <f>+CT63+CT53</f>
        <v>907.83900000000017</v>
      </c>
      <c r="CU212" s="2215">
        <f t="shared" si="551"/>
        <v>23.546088879424985</v>
      </c>
      <c r="CV212" s="161"/>
      <c r="CW212" s="161"/>
      <c r="CX212" s="2250">
        <f>+CX63+CX53</f>
        <v>863.46100000000024</v>
      </c>
      <c r="CY212" s="2215">
        <f t="shared" si="552"/>
        <v>22.614335228989983</v>
      </c>
      <c r="CZ212" s="161"/>
      <c r="DA212" s="161"/>
      <c r="DB212" s="2250">
        <f>+DB63+DB53</f>
        <v>956.95299999999975</v>
      </c>
      <c r="DC212" s="2215">
        <f t="shared" si="553"/>
        <v>23.519957922522874</v>
      </c>
      <c r="DD212" s="161"/>
      <c r="DE212" s="161"/>
      <c r="DF212" s="2250">
        <f>+DF63+DF53</f>
        <v>1077.9779999999996</v>
      </c>
      <c r="DG212" s="2215">
        <f t="shared" si="554"/>
        <v>24.527154366548277</v>
      </c>
      <c r="DH212" s="161"/>
      <c r="DI212" s="161"/>
      <c r="DJ212" s="2250">
        <f>+DJ63+DJ53</f>
        <v>987.55200000000013</v>
      </c>
      <c r="DK212" s="2215">
        <f t="shared" si="555"/>
        <v>21.997009455208989</v>
      </c>
      <c r="DL212" s="161"/>
      <c r="DM212" s="161"/>
      <c r="DN212" s="2250">
        <f>+DN63+DN53</f>
        <v>986.6340000000007</v>
      </c>
      <c r="DO212" s="2215">
        <f t="shared" si="556"/>
        <v>20.456428438141458</v>
      </c>
      <c r="DP212" s="161"/>
      <c r="DQ212" s="161"/>
      <c r="DR212" s="2250">
        <f>+DR63+DR53</f>
        <v>941.8330001134525</v>
      </c>
      <c r="DS212" s="2215">
        <f t="shared" si="557"/>
        <v>19.349999999999994</v>
      </c>
      <c r="DT212" s="161"/>
    </row>
    <row r="213" spans="1:125" hidden="1" outlineLevel="1">
      <c r="B213" s="23" t="str">
        <f>$B$14</f>
        <v>Year</v>
      </c>
      <c r="D213" s="1854">
        <f>+SUM(D209:D212)</f>
        <v>625.25400000000036</v>
      </c>
      <c r="E213" s="2213"/>
      <c r="F213" s="1854">
        <f>+SUM(F209:F212)</f>
        <v>697.53699999999969</v>
      </c>
      <c r="G213" s="2213">
        <f t="shared" si="528"/>
        <v>13.277544589720883</v>
      </c>
      <c r="J213" s="1854">
        <f>+SUM(J209:J212)</f>
        <v>712.69999999999948</v>
      </c>
      <c r="K213" s="2213">
        <f t="shared" si="529"/>
        <v>11.590091618153716</v>
      </c>
      <c r="N213" s="1854">
        <f>+SUM(N209:N212)</f>
        <v>788.69800000000089</v>
      </c>
      <c r="O213" s="2213">
        <f t="shared" si="530"/>
        <v>11.357493977791282</v>
      </c>
      <c r="R213" s="1854">
        <f>+SUM(R209:R212)</f>
        <v>701.55600000000049</v>
      </c>
      <c r="S213" s="2213">
        <f t="shared" si="531"/>
        <v>9.6831950143324761</v>
      </c>
      <c r="V213" s="1854">
        <f>+SUM(V209:V212)</f>
        <v>798.98900000000049</v>
      </c>
      <c r="W213" s="2213">
        <f t="shared" si="532"/>
        <v>10.913969417516581</v>
      </c>
      <c r="Z213" s="1854">
        <f>+SUM(Z209:Z212)</f>
        <v>613.34900000000016</v>
      </c>
      <c r="AA213" s="2213">
        <f t="shared" si="533"/>
        <v>7.7821975865568698</v>
      </c>
      <c r="AD213" s="1854">
        <f>+SUM(AD209:AD212)</f>
        <v>636.06700000000012</v>
      </c>
      <c r="AE213" s="2213">
        <f t="shared" si="534"/>
        <v>7.3578065681402851</v>
      </c>
      <c r="AH213" s="1854">
        <f>+SUM(AH209:AH212)</f>
        <v>386.0920000000005</v>
      </c>
      <c r="AI213" s="2213">
        <f t="shared" si="535"/>
        <v>4.6146077292994274</v>
      </c>
      <c r="AL213" s="1854">
        <f>+SUM(AL209:AL212)</f>
        <v>637.70799999999986</v>
      </c>
      <c r="AM213" s="2213">
        <f t="shared" si="536"/>
        <v>7.2166825608230134</v>
      </c>
      <c r="AP213" s="1854">
        <f>+SUM(AP209:AP212)</f>
        <v>796.45600000000002</v>
      </c>
      <c r="AQ213" s="2213">
        <f t="shared" si="537"/>
        <v>10.451306163947471</v>
      </c>
      <c r="AT213" s="1854">
        <f>+SUM(AT209:AT212)</f>
        <v>802.28199999999981</v>
      </c>
      <c r="AU213" s="2213">
        <f t="shared" si="538"/>
        <v>9.8442251090919939</v>
      </c>
      <c r="AX213" s="1854">
        <f>+SUM(AX209:AX212)</f>
        <v>688.00800000000027</v>
      </c>
      <c r="AY213" s="2213">
        <f t="shared" si="539"/>
        <v>8.6788245324810713</v>
      </c>
      <c r="BB213" s="1854">
        <f>+SUM(BB209:BB212)</f>
        <v>837.92599999999993</v>
      </c>
      <c r="BC213" s="2213">
        <f t="shared" si="540"/>
        <v>9.9225616585356828</v>
      </c>
      <c r="BF213" s="1854">
        <f>+SUM(BF209:BF212)</f>
        <v>963.08200000000011</v>
      </c>
      <c r="BG213" s="2213">
        <f t="shared" si="541"/>
        <v>10.779854380260959</v>
      </c>
      <c r="BJ213" s="1854">
        <f>+SUM(BJ209:BJ212)</f>
        <v>1117.3329999999999</v>
      </c>
      <c r="BK213" s="2213">
        <f t="shared" si="542"/>
        <v>11.876019842879359</v>
      </c>
      <c r="BN213" s="1855">
        <f>+SUM(BN209:BN212)</f>
        <v>961.19799999999952</v>
      </c>
      <c r="BO213" s="2215">
        <f t="shared" si="543"/>
        <v>9.9414814555095496</v>
      </c>
      <c r="BP213" s="161"/>
      <c r="BR213" s="1855">
        <f>+SUM(BR209:BR212)</f>
        <v>1002.6249999999995</v>
      </c>
      <c r="BS213" s="2215">
        <f t="shared" si="544"/>
        <v>10.337440024546936</v>
      </c>
      <c r="BT213" s="161"/>
      <c r="BV213" s="1855">
        <f>+SUM(BV209:BV212)</f>
        <v>1176.7809999999999</v>
      </c>
      <c r="BW213" s="2215">
        <f t="shared" si="545"/>
        <v>11.028256239410741</v>
      </c>
      <c r="BX213" s="161"/>
      <c r="BZ213" s="1855">
        <f>+SUM(BZ209:BZ212)</f>
        <v>1232.6089999999999</v>
      </c>
      <c r="CA213" s="2215">
        <f t="shared" si="546"/>
        <v>12.220543608958149</v>
      </c>
      <c r="CB213" s="161"/>
      <c r="CD213" s="1855">
        <f>+SUM(CD209:CD212)</f>
        <v>602.20299999999963</v>
      </c>
      <c r="CE213" s="2215">
        <f t="shared" si="547"/>
        <v>6.6595625788413813</v>
      </c>
      <c r="CF213" s="161"/>
      <c r="CH213" s="1855">
        <f>+SUM(CH209:CH212)</f>
        <v>867.72499999999991</v>
      </c>
      <c r="CI213" s="2215">
        <f t="shared" si="548"/>
        <v>10.051852953632832</v>
      </c>
      <c r="CJ213" s="161"/>
      <c r="CL213" s="1855">
        <f>+SUM(CL209:CL212)</f>
        <v>1284.0330000000008</v>
      </c>
      <c r="CM213" s="2215">
        <f t="shared" si="549"/>
        <v>13.356869529831561</v>
      </c>
      <c r="CN213" s="161"/>
      <c r="CP213" s="1855">
        <f>+SUM(CP209:CP212)</f>
        <v>1283.23</v>
      </c>
      <c r="CQ213" s="2215">
        <f t="shared" si="550"/>
        <v>12.381611806563452</v>
      </c>
      <c r="CR213" s="161"/>
      <c r="CT213" s="1855">
        <f>+SUM(CT209:CT212)</f>
        <v>1707.33</v>
      </c>
      <c r="CU213" s="2215">
        <f t="shared" si="551"/>
        <v>16.324570317474947</v>
      </c>
      <c r="CV213" s="161"/>
      <c r="CW213" s="161"/>
      <c r="CX213" s="1855">
        <f>+SUM(CX209:CX212)</f>
        <v>1743.4740000000004</v>
      </c>
      <c r="CY213" s="2215">
        <f t="shared" si="552"/>
        <v>16.183420152079087</v>
      </c>
      <c r="CZ213" s="161"/>
      <c r="DA213" s="161"/>
      <c r="DB213" s="1855">
        <f>+SUM(DB209:DB212)</f>
        <v>1953.1190000000001</v>
      </c>
      <c r="DC213" s="2215">
        <f t="shared" si="553"/>
        <v>17.051761558783525</v>
      </c>
      <c r="DD213" s="161"/>
      <c r="DE213" s="161"/>
      <c r="DF213" s="1855">
        <f>+SUM(DF209:DF212)</f>
        <v>2191.5109999999995</v>
      </c>
      <c r="DG213" s="2215">
        <f t="shared" si="554"/>
        <v>18.031508864809695</v>
      </c>
      <c r="DH213" s="161"/>
      <c r="DI213" s="161"/>
      <c r="DJ213" s="1855">
        <f>+SUM(DJ209:DJ212)</f>
        <v>2037.2810000000002</v>
      </c>
      <c r="DK213" s="2215">
        <f t="shared" si="555"/>
        <v>16.202147231994037</v>
      </c>
      <c r="DL213" s="161"/>
      <c r="DM213" s="161"/>
      <c r="DN213" s="1855">
        <f>+SUM(DN209:DN212)</f>
        <v>1728.3840000000012</v>
      </c>
      <c r="DO213" s="2215">
        <f t="shared" si="556"/>
        <v>13.682254638583755</v>
      </c>
      <c r="DP213" s="161"/>
      <c r="DQ213" s="161"/>
      <c r="DR213" s="1855">
        <f>+SUM(DR209:DR212)</f>
        <v>1620.9995749999225</v>
      </c>
      <c r="DS213" s="2215">
        <f t="shared" si="557"/>
        <v>12.330582560633301</v>
      </c>
      <c r="DT213" s="161"/>
    </row>
    <row r="214" spans="1:125" hidden="1" outlineLevel="1">
      <c r="A214" s="23" t="str">
        <f>$A$15</f>
        <v>6 Mos</v>
      </c>
      <c r="D214" s="1899">
        <f>SUM(D209:D210)</f>
        <v>206.48399999999998</v>
      </c>
      <c r="E214" s="2213"/>
      <c r="F214" s="1899">
        <f>SUM(F209:F210)</f>
        <v>252.46799999999996</v>
      </c>
      <c r="G214" s="2213">
        <f t="shared" si="528"/>
        <v>11.161732113654537</v>
      </c>
      <c r="J214" s="1899">
        <f>SUM(J209:J210)</f>
        <v>235.15399999999991</v>
      </c>
      <c r="K214" s="2213">
        <f t="shared" si="529"/>
        <v>8.8414827871308663</v>
      </c>
      <c r="N214" s="1899">
        <f>SUM(N209:N210)</f>
        <v>229.2050000000001</v>
      </c>
      <c r="O214" s="2213">
        <f t="shared" si="530"/>
        <v>7.8899683237763103</v>
      </c>
      <c r="R214" s="1899">
        <f>SUM(R209:R210)</f>
        <v>211.7829999999999</v>
      </c>
      <c r="S214" s="2213">
        <f t="shared" si="531"/>
        <v>6.6025047886031212</v>
      </c>
      <c r="V214" s="1899">
        <f>SUM(V209:V210)</f>
        <v>193.43599999999998</v>
      </c>
      <c r="W214" s="2213">
        <f t="shared" si="532"/>
        <v>6.3069689796610389</v>
      </c>
      <c r="Z214" s="1899">
        <f>SUM(Z209:Z210)</f>
        <v>176.77300000000008</v>
      </c>
      <c r="AA214" s="2213">
        <f t="shared" si="533"/>
        <v>5.3457792890176767</v>
      </c>
      <c r="AD214" s="1899">
        <f>SUM(AD209:AD210)</f>
        <v>135.37800000000004</v>
      </c>
      <c r="AE214" s="2213">
        <f t="shared" si="534"/>
        <v>3.6752106123885055</v>
      </c>
      <c r="AH214" s="1899">
        <f>SUM(AH209:AH210)</f>
        <v>142.21900000000011</v>
      </c>
      <c r="AI214" s="2213">
        <f t="shared" si="535"/>
        <v>3.9634828618988815</v>
      </c>
      <c r="AL214" s="1899">
        <f>SUM(AL209:AL210)</f>
        <v>139.76699999999997</v>
      </c>
      <c r="AM214" s="2213">
        <f t="shared" si="536"/>
        <v>3.6718754104906965</v>
      </c>
      <c r="AP214" s="1899">
        <f>SUM(AP209:AP210)</f>
        <v>153.57200000000006</v>
      </c>
      <c r="AQ214" s="2213">
        <f t="shared" si="537"/>
        <v>4.6265754237658347</v>
      </c>
      <c r="AT214" s="1899">
        <f>SUM(AT209:AT210)</f>
        <v>266.78500000000003</v>
      </c>
      <c r="AU214" s="2213">
        <f t="shared" si="538"/>
        <v>7.5519451881383635</v>
      </c>
      <c r="AX214" s="1899">
        <f>SUM(AX209:AX210)</f>
        <v>117.27299999999997</v>
      </c>
      <c r="AY214" s="2213">
        <f t="shared" si="539"/>
        <v>3.4198824024474836</v>
      </c>
      <c r="BB214" s="1899">
        <f>SUM(BB209:BB210)</f>
        <v>233.00799999999998</v>
      </c>
      <c r="BC214" s="2213">
        <f t="shared" si="540"/>
        <v>6.2786385684333288</v>
      </c>
      <c r="BF214" s="1899">
        <f>SUM(BF209:BF210)</f>
        <v>279.41799999999989</v>
      </c>
      <c r="BG214" s="2213">
        <f t="shared" si="541"/>
        <v>7.2455601761537851</v>
      </c>
      <c r="BJ214" s="1899">
        <f>SUM(BJ209:BJ210)</f>
        <v>391.17199999999991</v>
      </c>
      <c r="BK214" s="2213">
        <f t="shared" si="542"/>
        <v>9.337997892115963</v>
      </c>
      <c r="BN214" s="2202">
        <f>SUM(BN209:BN210)</f>
        <v>252.17199999999968</v>
      </c>
      <c r="BO214" s="2215">
        <f t="shared" si="543"/>
        <v>5.9114362892311938</v>
      </c>
      <c r="BP214" s="161"/>
      <c r="BR214" s="2202">
        <f>SUM(BR209:BR210)</f>
        <v>288.72599999999971</v>
      </c>
      <c r="BS214" s="2215">
        <f t="shared" si="544"/>
        <v>6.7683380948105496</v>
      </c>
      <c r="BT214" s="161"/>
      <c r="BV214" s="2202">
        <f>SUM(BV209:BV210)</f>
        <v>383.42199999999968</v>
      </c>
      <c r="BW214" s="2215">
        <f t="shared" si="545"/>
        <v>8.4623002319826082</v>
      </c>
      <c r="BX214" s="161"/>
      <c r="BZ214" s="2202">
        <f>SUM(BZ209:BZ210)</f>
        <v>550.45699999999999</v>
      </c>
      <c r="CA214" s="2215">
        <f t="shared" si="546"/>
        <v>11.154324690167217</v>
      </c>
      <c r="CB214" s="161"/>
      <c r="CD214" s="2202">
        <f>SUM(CD209:CD210)</f>
        <v>407.85199999999975</v>
      </c>
      <c r="CE214" s="2215">
        <f t="shared" si="547"/>
        <v>9.6890883369225218</v>
      </c>
      <c r="CF214" s="161"/>
      <c r="CH214" s="2202">
        <f>SUM(CH209:CH210)</f>
        <v>223.29600000000002</v>
      </c>
      <c r="CI214" s="2215">
        <f t="shared" si="548"/>
        <v>5.8888451986591237</v>
      </c>
      <c r="CJ214" s="161"/>
      <c r="CL214" s="2202">
        <f>SUM(CL209:CL210)</f>
        <v>421.43300000000039</v>
      </c>
      <c r="CM214" s="2215">
        <f t="shared" si="549"/>
        <v>10.096510675732858</v>
      </c>
      <c r="CN214" s="161"/>
      <c r="CP214" s="2202">
        <f>SUM(CP209:CP210)</f>
        <v>410.35599999999999</v>
      </c>
      <c r="CQ214" s="2215">
        <f t="shared" si="550"/>
        <v>8.7773830669034929</v>
      </c>
      <c r="CR214" s="161"/>
      <c r="CT214" s="2202">
        <f>SUM(CT209:CT210)</f>
        <v>602.10600000000022</v>
      </c>
      <c r="CU214" s="2215">
        <f t="shared" si="551"/>
        <v>13.224716465431586</v>
      </c>
      <c r="CV214" s="161"/>
      <c r="CW214" s="161"/>
      <c r="CX214" s="2202">
        <f>SUM(CX209:CX210)</f>
        <v>668.98700000000008</v>
      </c>
      <c r="CY214" s="2215">
        <f t="shared" si="552"/>
        <v>13.984107975298027</v>
      </c>
      <c r="CZ214" s="161"/>
      <c r="DA214" s="161"/>
      <c r="DB214" s="2202">
        <f>SUM(DB209:DB210)</f>
        <v>712.05300000000022</v>
      </c>
      <c r="DC214" s="2215">
        <f t="shared" si="553"/>
        <v>14.0540262084132</v>
      </c>
      <c r="DD214" s="161"/>
      <c r="DE214" s="161"/>
      <c r="DF214" s="2202">
        <f>SUM(DF209:DF210)</f>
        <v>774.76899999999989</v>
      </c>
      <c r="DG214" s="2215">
        <f t="shared" si="554"/>
        <v>14.681507685171008</v>
      </c>
      <c r="DH214" s="161"/>
      <c r="DI214" s="161"/>
      <c r="DJ214" s="2202">
        <f>SUM(DJ209:DJ210)</f>
        <v>766.14900000000023</v>
      </c>
      <c r="DK214" s="2215">
        <f t="shared" si="555"/>
        <v>13.920973682666075</v>
      </c>
      <c r="DL214" s="161"/>
      <c r="DM214" s="161"/>
      <c r="DN214" s="2202">
        <f>SUM(DN209:DN210)</f>
        <v>510.08700000000022</v>
      </c>
      <c r="DO214" s="2215">
        <f t="shared" si="556"/>
        <v>9.8253447963351217</v>
      </c>
      <c r="DP214" s="161"/>
      <c r="DQ214" s="161"/>
      <c r="DR214" s="2202">
        <f>SUM(DR209:DR210)</f>
        <v>451.4819353468414</v>
      </c>
      <c r="DS214" s="2215" t="e">
        <f t="shared" si="557"/>
        <v>#DIV/0!</v>
      </c>
      <c r="DT214" s="161"/>
    </row>
    <row r="215" spans="1:125" hidden="1" outlineLevel="1">
      <c r="A215" s="23" t="str">
        <f>$A$16</f>
        <v>9 Mos</v>
      </c>
      <c r="D215" s="1899">
        <f>SUM(D209:D211)</f>
        <v>356.02199999999999</v>
      </c>
      <c r="E215" s="2213"/>
      <c r="F215" s="1899">
        <f>SUM(F209:F211)</f>
        <v>403.54300000000001</v>
      </c>
      <c r="G215" s="2213">
        <f t="shared" si="528"/>
        <v>11.497606701236537</v>
      </c>
      <c r="J215" s="1899">
        <f>SUM(J209:J211)</f>
        <v>369.83499999999992</v>
      </c>
      <c r="K215" s="2213">
        <f t="shared" si="529"/>
        <v>9.0356184183105182</v>
      </c>
      <c r="N215" s="1899">
        <f>SUM(N209:N211)</f>
        <v>374.43500000000017</v>
      </c>
      <c r="O215" s="2213">
        <f t="shared" si="530"/>
        <v>8.2906770928128086</v>
      </c>
      <c r="R215" s="1899">
        <f>SUM(R209:R211)</f>
        <v>363.28899999999987</v>
      </c>
      <c r="S215" s="2213">
        <f t="shared" si="531"/>
        <v>7.5304247284000523</v>
      </c>
      <c r="V215" s="1899">
        <f>SUM(V209:V211)</f>
        <v>358.97799999999984</v>
      </c>
      <c r="W215" s="2213">
        <f t="shared" si="532"/>
        <v>7.5065513835066531</v>
      </c>
      <c r="Z215" s="1899">
        <f>SUM(Z209:Z211)</f>
        <v>268.13400000000019</v>
      </c>
      <c r="AA215" s="2213">
        <f t="shared" si="533"/>
        <v>5.2471667718184829</v>
      </c>
      <c r="AD215" s="1899">
        <f>SUM(AD209:AD211)</f>
        <v>223.72800000000007</v>
      </c>
      <c r="AE215" s="2213">
        <f t="shared" si="534"/>
        <v>3.9398928948160892</v>
      </c>
      <c r="AH215" s="1899">
        <f>SUM(AH209:AH211)</f>
        <v>278.42400000000026</v>
      </c>
      <c r="AI215" s="2213">
        <f t="shared" si="535"/>
        <v>5.1338597544515476</v>
      </c>
      <c r="AL215" s="1899">
        <f>SUM(AL209:AL211)</f>
        <v>214.90499999999989</v>
      </c>
      <c r="AM215" s="2213">
        <f t="shared" si="536"/>
        <v>3.7643129018866648</v>
      </c>
      <c r="AP215" s="1899">
        <f>SUM(AP209:AP211)</f>
        <v>234.89999999999998</v>
      </c>
      <c r="AQ215" s="2213">
        <f t="shared" si="537"/>
        <v>4.7921836607958168</v>
      </c>
      <c r="AT215" s="1899">
        <f>SUM(AT209:AT211)</f>
        <v>368.76199999999994</v>
      </c>
      <c r="AU215" s="2213">
        <f t="shared" si="538"/>
        <v>7.0258822220384678</v>
      </c>
      <c r="AX215" s="1899">
        <f>SUM(AX209:AX211)</f>
        <v>99.568000000000154</v>
      </c>
      <c r="AY215" s="2213">
        <f t="shared" si="539"/>
        <v>1.9567305651502009</v>
      </c>
      <c r="BB215" s="1899">
        <f>SUM(BB209:BB211)</f>
        <v>250.35599999999994</v>
      </c>
      <c r="BC215" s="2213">
        <f t="shared" si="540"/>
        <v>4.5696341897914232</v>
      </c>
      <c r="BF215" s="1899">
        <f>SUM(BF209:BF211)</f>
        <v>321.58999999999992</v>
      </c>
      <c r="BG215" s="2213">
        <f t="shared" si="541"/>
        <v>5.6387908976283878</v>
      </c>
      <c r="BJ215" s="1899">
        <f>SUM(BJ209:BJ211)</f>
        <v>489.9849999999999</v>
      </c>
      <c r="BK215" s="2213">
        <f t="shared" si="542"/>
        <v>8.0591096220490819</v>
      </c>
      <c r="BN215" s="2202">
        <f>SUM(BN209:BN211)</f>
        <v>254.84299999999951</v>
      </c>
      <c r="BO215" s="2215">
        <f t="shared" si="543"/>
        <v>4.138819342759839</v>
      </c>
      <c r="BP215" s="161"/>
      <c r="BR215" s="2202">
        <f>SUM(BR209:BR211)</f>
        <v>309.02199999999954</v>
      </c>
      <c r="BS215" s="2215">
        <f t="shared" si="544"/>
        <v>5.0187222365861786</v>
      </c>
      <c r="BT215" s="161"/>
      <c r="BV215" s="2202">
        <f>SUM(BV209:BV211)</f>
        <v>449.9609999999999</v>
      </c>
      <c r="BW215" s="2215">
        <f t="shared" si="545"/>
        <v>6.7705081797084716</v>
      </c>
      <c r="BX215" s="161"/>
      <c r="BZ215" s="2202">
        <f>SUM(BZ209:BZ211)</f>
        <v>611.202</v>
      </c>
      <c r="CA215" s="2215">
        <f t="shared" si="546"/>
        <v>8.9122172800795099</v>
      </c>
      <c r="CB215" s="161"/>
      <c r="CD215" s="2202">
        <f>SUM(CD209:CD211)</f>
        <v>449.0679999999997</v>
      </c>
      <c r="CE215" s="2215">
        <f t="shared" si="547"/>
        <v>7.4206748354437693</v>
      </c>
      <c r="CF215" s="161"/>
      <c r="CH215" s="2202">
        <f>SUM(CH209:CH211)</f>
        <v>282.18100000000004</v>
      </c>
      <c r="CI215" s="2215">
        <f t="shared" si="548"/>
        <v>5.0668721324097676</v>
      </c>
      <c r="CJ215" s="161"/>
      <c r="CL215" s="2202">
        <f>SUM(CL209:CL211)</f>
        <v>570.53100000000063</v>
      </c>
      <c r="CM215" s="2215">
        <f t="shared" si="549"/>
        <v>9.265750676663508</v>
      </c>
      <c r="CN215" s="161"/>
      <c r="CP215" s="2202">
        <f>SUM(CP209:CP211)</f>
        <v>596.45800000000008</v>
      </c>
      <c r="CQ215" s="2215">
        <f t="shared" si="550"/>
        <v>8.7092316471229339</v>
      </c>
      <c r="CR215" s="161"/>
      <c r="CT215" s="2202">
        <f>SUM(CT209:CT211)</f>
        <v>799.49099999999987</v>
      </c>
      <c r="CU215" s="2215">
        <f t="shared" si="551"/>
        <v>12.107862505836295</v>
      </c>
      <c r="CV215" s="161"/>
      <c r="CW215" s="161"/>
      <c r="CX215" s="2202">
        <f>SUM(CX209:CX211)</f>
        <v>880.01300000000015</v>
      </c>
      <c r="CY215" s="2215">
        <f t="shared" si="552"/>
        <v>12.652961985887559</v>
      </c>
      <c r="CZ215" s="161"/>
      <c r="DA215" s="161"/>
      <c r="DB215" s="2202">
        <f>SUM(DB209:DB211)</f>
        <v>996.16600000000039</v>
      </c>
      <c r="DC215" s="2215">
        <f t="shared" si="553"/>
        <v>13.488329394025399</v>
      </c>
      <c r="DD215" s="161"/>
      <c r="DE215" s="161"/>
      <c r="DF215" s="2202">
        <f>SUM(DF209:DF211)</f>
        <v>1113.5329999999999</v>
      </c>
      <c r="DG215" s="2215">
        <f t="shared" si="554"/>
        <v>14.351962061934969</v>
      </c>
      <c r="DH215" s="161"/>
      <c r="DI215" s="161"/>
      <c r="DJ215" s="2202">
        <f>SUM(DJ209:DJ211)</f>
        <v>1049.729</v>
      </c>
      <c r="DK215" s="2215">
        <f t="shared" si="555"/>
        <v>12.984403066693485</v>
      </c>
      <c r="DL215" s="161"/>
      <c r="DM215" s="161"/>
      <c r="DN215" s="2202">
        <f>SUM(DN209:DN211)</f>
        <v>741.75000000000045</v>
      </c>
      <c r="DO215" s="2215">
        <f t="shared" si="556"/>
        <v>9.4982576603592168</v>
      </c>
      <c r="DP215" s="161"/>
      <c r="DQ215" s="161"/>
      <c r="DR215" s="2202">
        <f>SUM(DR209:DR211)</f>
        <v>679.16657488647002</v>
      </c>
      <c r="DS215" s="2215" t="e">
        <f t="shared" si="557"/>
        <v>#DIV/0!</v>
      </c>
      <c r="DT215" s="161"/>
    </row>
    <row r="216" spans="1:125" hidden="1" outlineLevel="1">
      <c r="BN216" s="161"/>
      <c r="BO216" s="161"/>
      <c r="BP216" s="161"/>
      <c r="BR216" s="161"/>
      <c r="BS216" s="161"/>
      <c r="BT216" s="161"/>
      <c r="BV216" s="161"/>
      <c r="BW216" s="161"/>
      <c r="BX216" s="161"/>
      <c r="BZ216" s="161"/>
      <c r="CA216" s="161"/>
      <c r="CB216" s="161"/>
      <c r="CD216" s="161"/>
      <c r="CE216" s="161"/>
      <c r="CF216" s="161"/>
      <c r="CH216" s="161"/>
      <c r="CI216" s="161"/>
      <c r="CJ216" s="161"/>
      <c r="CL216" s="161"/>
      <c r="CM216" s="161"/>
      <c r="CN216" s="161"/>
      <c r="CP216" s="161"/>
      <c r="CQ216" s="161"/>
      <c r="CR216" s="161"/>
      <c r="CT216" s="161"/>
      <c r="CU216" s="161"/>
      <c r="CV216" s="161"/>
      <c r="CW216" s="161"/>
      <c r="CX216" s="161"/>
      <c r="CY216" s="161"/>
      <c r="CZ216" s="161"/>
      <c r="DA216" s="161"/>
      <c r="DB216" s="161"/>
      <c r="DC216" s="161"/>
      <c r="DD216" s="161"/>
      <c r="DE216" s="161"/>
      <c r="DF216" s="161"/>
      <c r="DG216" s="161"/>
      <c r="DH216" s="161"/>
      <c r="DI216" s="161"/>
      <c r="DJ216" s="161"/>
      <c r="DK216" s="161"/>
      <c r="DL216" s="161"/>
      <c r="DM216" s="161"/>
      <c r="DN216" s="161"/>
      <c r="DO216" s="161"/>
      <c r="DP216" s="161"/>
      <c r="DQ216" s="161"/>
      <c r="DR216" s="161"/>
      <c r="DS216" s="161"/>
      <c r="DT216" s="161"/>
    </row>
    <row r="217" spans="1:125" hidden="1" outlineLevel="1">
      <c r="C217" s="1936"/>
      <c r="D217" s="1936"/>
      <c r="E217" s="1936" t="str">
        <f>AX217</f>
        <v>Net income from continuing operations (including special items) (% Change)</v>
      </c>
      <c r="F217" s="1936"/>
      <c r="J217" s="1936"/>
      <c r="N217" s="1936"/>
      <c r="R217" s="1936"/>
      <c r="V217" s="1936"/>
      <c r="Z217" s="2244"/>
      <c r="AA217" s="2177"/>
      <c r="AB217" s="2177"/>
      <c r="AC217" s="2177"/>
      <c r="AD217" s="2244"/>
      <c r="AE217" s="2177"/>
      <c r="AF217" s="2177"/>
      <c r="AG217" s="2177"/>
      <c r="AI217" s="2177"/>
      <c r="AJ217" s="2177"/>
      <c r="AK217" s="2177"/>
      <c r="AL217" s="2244"/>
      <c r="AM217" s="2177"/>
      <c r="AN217" s="2177"/>
      <c r="AO217" s="2177"/>
      <c r="AQ217" s="2177"/>
      <c r="AR217" s="2177"/>
      <c r="AS217" s="2177"/>
      <c r="AT217" s="2244"/>
      <c r="AU217" s="2177"/>
      <c r="AV217" s="2177"/>
      <c r="AW217" s="2177"/>
      <c r="AX217" s="2244" t="s">
        <v>733</v>
      </c>
      <c r="AY217" s="2177"/>
      <c r="AZ217" s="2177"/>
      <c r="BA217" s="2177"/>
      <c r="BB217" s="2244"/>
      <c r="BC217" s="2177"/>
      <c r="BD217" s="2177"/>
      <c r="BE217" s="2177"/>
      <c r="BF217" s="2244" t="s">
        <v>733</v>
      </c>
      <c r="BG217" s="2177"/>
      <c r="BH217" s="2177"/>
      <c r="BI217" s="2177"/>
      <c r="BJ217" s="2177"/>
      <c r="BK217" s="2177"/>
      <c r="BL217" s="2177"/>
      <c r="BM217" s="2177"/>
      <c r="BN217" s="2245"/>
      <c r="BO217" s="2179"/>
      <c r="BP217" s="2179"/>
      <c r="BQ217" s="2177"/>
      <c r="BR217" s="2245"/>
      <c r="BS217" s="2179"/>
      <c r="BT217" s="2179"/>
      <c r="BU217" s="2177"/>
      <c r="BW217" s="2179"/>
      <c r="BX217" s="2179"/>
      <c r="BY217" s="2177"/>
      <c r="BZ217" s="2245"/>
      <c r="CA217" s="2179"/>
      <c r="CB217" s="2179"/>
      <c r="CC217" s="2177"/>
      <c r="CD217" s="2245"/>
      <c r="CE217" s="2179"/>
      <c r="CF217" s="2179"/>
      <c r="CG217" s="2177"/>
      <c r="CH217" s="2245"/>
      <c r="CI217" s="2179"/>
      <c r="CJ217" s="2179"/>
      <c r="CK217" s="2244" t="s">
        <v>733</v>
      </c>
      <c r="CL217" s="2245"/>
      <c r="CM217" s="2179"/>
      <c r="CN217" s="2179"/>
      <c r="CO217" s="2177"/>
      <c r="CP217" s="2245"/>
      <c r="CQ217" s="2179"/>
      <c r="CR217" s="2179"/>
      <c r="CS217" s="2177"/>
      <c r="CT217" s="2245"/>
      <c r="CU217" s="2179"/>
      <c r="CV217" s="2179"/>
      <c r="CW217" s="2179"/>
      <c r="CX217" s="2179"/>
      <c r="CY217" s="2179"/>
      <c r="CZ217" s="2179"/>
      <c r="DA217" s="2179"/>
      <c r="DB217" s="2179"/>
      <c r="DC217" s="2179"/>
      <c r="DD217" s="2179"/>
      <c r="DE217" s="2179"/>
      <c r="DF217" s="2179"/>
      <c r="DG217" s="2179"/>
      <c r="DH217" s="2179"/>
      <c r="DI217" s="2179"/>
      <c r="DJ217" s="2179"/>
      <c r="DK217" s="2179"/>
      <c r="DL217" s="2179"/>
      <c r="DM217" s="2179"/>
      <c r="DN217" s="2179"/>
      <c r="DO217" s="2179"/>
      <c r="DP217" s="2179"/>
      <c r="DQ217" s="2179"/>
      <c r="DR217" s="2179"/>
      <c r="DS217" s="2179"/>
      <c r="DT217" s="2179"/>
      <c r="DU217" s="2177"/>
    </row>
    <row r="218" spans="1:125" hidden="1" outlineLevel="1">
      <c r="BN218" s="161"/>
      <c r="BO218" s="161"/>
      <c r="BP218" s="161"/>
      <c r="BR218" s="161"/>
      <c r="BS218" s="161"/>
      <c r="BT218" s="161"/>
      <c r="BV218" s="161"/>
      <c r="BW218" s="161"/>
      <c r="BX218" s="161"/>
      <c r="BZ218" s="161"/>
      <c r="CA218" s="161"/>
      <c r="CB218" s="161"/>
      <c r="CD218" s="161"/>
      <c r="CE218" s="161"/>
      <c r="CF218" s="161"/>
      <c r="CH218" s="161"/>
      <c r="CI218" s="161"/>
      <c r="CJ218" s="161"/>
      <c r="CL218" s="161"/>
      <c r="CM218" s="161"/>
      <c r="CN218" s="161"/>
      <c r="CP218" s="161"/>
      <c r="CQ218" s="161"/>
      <c r="CR218" s="161"/>
      <c r="CT218" s="161"/>
      <c r="CU218" s="161"/>
      <c r="CV218" s="161"/>
      <c r="CW218" s="161"/>
      <c r="CX218" s="161"/>
      <c r="CY218" s="161"/>
      <c r="CZ218" s="161"/>
      <c r="DA218" s="161"/>
      <c r="DB218" s="161"/>
      <c r="DC218" s="161"/>
      <c r="DD218" s="161"/>
      <c r="DE218" s="161"/>
      <c r="DF218" s="161"/>
      <c r="DG218" s="161"/>
      <c r="DH218" s="161"/>
      <c r="DI218" s="161"/>
      <c r="DJ218" s="161"/>
      <c r="DK218" s="161"/>
      <c r="DL218" s="161"/>
      <c r="DM218" s="161"/>
      <c r="DN218" s="161"/>
      <c r="DO218" s="161"/>
      <c r="DP218" s="161"/>
      <c r="DQ218" s="161"/>
      <c r="DR218" s="161"/>
      <c r="DS218" s="161"/>
      <c r="DT218" s="161"/>
    </row>
    <row r="219" spans="1:125" hidden="1" outlineLevel="1">
      <c r="A219" s="23" t="str">
        <f>$A$10</f>
        <v>1Q</v>
      </c>
      <c r="B219" s="23" t="str">
        <f>$B$10</f>
        <v>Apr</v>
      </c>
      <c r="D219" s="1854">
        <f>+(D209+D70+D80)*(1-E120/100)</f>
        <v>45.188999999999979</v>
      </c>
      <c r="F219" s="1854">
        <f>+(F209+F70+F80)-F120</f>
        <v>62.31500000000004</v>
      </c>
      <c r="G219" s="44">
        <f t="shared" ref="G219:G225" si="558">+(F219/D219-1)*100</f>
        <v>37.898603642479522</v>
      </c>
      <c r="J219" s="1854">
        <f>+(J209+J70+J80)-J120</f>
        <v>50.86</v>
      </c>
      <c r="K219" s="44">
        <f t="shared" ref="K219:K224" si="559">+(J219/F219-1)*100</f>
        <v>-18.382411939340503</v>
      </c>
      <c r="N219" s="1854">
        <f>+(N209+N70+N80)-N120</f>
        <v>42.408000000000087</v>
      </c>
      <c r="O219" s="44">
        <f t="shared" ref="O219:O224" si="560">+(N219/J219-1)*100</f>
        <v>-16.61816751867855</v>
      </c>
      <c r="R219" s="1854">
        <f>+(R209+R70+R80)-R120</f>
        <v>44.224999999999866</v>
      </c>
      <c r="S219" s="44">
        <f t="shared" ref="S219:S224" si="561">+(R219/N219-1)*100</f>
        <v>4.2845689492543304</v>
      </c>
      <c r="V219" s="1854">
        <f>+(V209+V70+V80)-V120</f>
        <v>47.27600000000001</v>
      </c>
      <c r="W219" s="44">
        <f t="shared" ref="W219:W224" si="562">+(V219/R219-1)*100</f>
        <v>6.898812888637984</v>
      </c>
      <c r="Z219" s="1854">
        <f>+(Z209+Z70+Z80)-Z120</f>
        <v>39.210999999999927</v>
      </c>
      <c r="AA219" s="44">
        <f t="shared" ref="AA219:AA224" si="563">+(Z219/V219-1)*100</f>
        <v>-17.059395887977157</v>
      </c>
      <c r="AD219" s="1854">
        <f>+(AD209+AD70+AD80)-AD120</f>
        <v>32.430999999999955</v>
      </c>
      <c r="AE219" s="44">
        <f t="shared" ref="AE219:AE224" si="564">+(AD219/Z219-1)*100</f>
        <v>-17.291066282420708</v>
      </c>
      <c r="AH219" s="1854">
        <f>+(AH209+AH70+AH80)-AH120</f>
        <v>34.619999999999955</v>
      </c>
      <c r="AI219" s="44">
        <f t="shared" ref="AI219:AI224" si="565">+(AH219/AD219-1)*100</f>
        <v>6.7497147790694267</v>
      </c>
      <c r="AL219" s="1854">
        <f>+(AL209+AL70+AL80)-AL120</f>
        <v>33.230999999999959</v>
      </c>
      <c r="AM219" s="44">
        <f t="shared" ref="AM219:AM224" si="566">+(AL219/AH219-1)*100</f>
        <v>-4.0121317157712273</v>
      </c>
      <c r="AP219" s="1854">
        <f>+(AP209+AP70+AP80)-AP120</f>
        <v>37.623000000000104</v>
      </c>
      <c r="AQ219" s="44">
        <f t="shared" ref="AQ219:AQ224" si="567">+(AP219/AL219-1)*100</f>
        <v>13.216574884897092</v>
      </c>
      <c r="AT219" s="1854">
        <f>+(AT209+AT70+AT80)-AT120</f>
        <v>66.069000000000017</v>
      </c>
      <c r="AU219" s="44">
        <f t="shared" ref="AU219:AU224" si="568">+(AT219/AP219-1)*100</f>
        <v>75.608005741168526</v>
      </c>
      <c r="AX219" s="1854">
        <f>+(AX209+AX70+AX80)-AX120</f>
        <v>23.045999999999985</v>
      </c>
      <c r="AY219" s="44">
        <f t="shared" ref="AY219:AY224" si="569">+(AX219/AT219-1)*100</f>
        <v>-65.118285428869854</v>
      </c>
      <c r="BB219" s="1854">
        <f>+(BB209+BB70+BB80)-BB120</f>
        <v>43.066000000000088</v>
      </c>
      <c r="BC219" s="44">
        <f t="shared" ref="BC219:BC224" si="570">+(BB219/AX219-1)*100</f>
        <v>86.869738783303461</v>
      </c>
      <c r="BF219" s="1854">
        <f>+(BF209+BF70+BF80)-BF120</f>
        <v>49.843999999999937</v>
      </c>
      <c r="BG219" s="44">
        <f t="shared" ref="BG219:BG224" si="571">+(BF219/BB219-1)*100</f>
        <v>15.738633724979877</v>
      </c>
      <c r="BJ219" s="1854">
        <f>+(BJ209+BJ70+BJ80)-BJ120</f>
        <v>112.63700000000006</v>
      </c>
      <c r="BK219" s="44">
        <f t="shared" ref="BK219:BK224" si="572">+(BJ219/BF219-1)*100</f>
        <v>125.97905465051001</v>
      </c>
      <c r="BN219" s="1855">
        <f>+(BN209+BN70+BN80)-BN120</f>
        <v>23.144999999999925</v>
      </c>
      <c r="BO219" s="217">
        <f t="shared" ref="BO219:BO224" si="573">+(BN219/BJ219-1)*100</f>
        <v>-79.451689942026221</v>
      </c>
      <c r="BP219" s="161"/>
      <c r="BR219" s="1855">
        <f>+(BR209+BR70+BR80)-BR120</f>
        <v>83.264999999999986</v>
      </c>
      <c r="BS219" s="217">
        <f t="shared" ref="BS219:BS224" si="574">+(BR219/BN219-1)*100</f>
        <v>259.75372650680606</v>
      </c>
      <c r="BT219" s="161"/>
      <c r="BV219" s="1855">
        <f>+(BV209+BV70+BV80)-BV120</f>
        <v>99.37999999999991</v>
      </c>
      <c r="BW219" s="217">
        <f t="shared" ref="BW219:BW224" si="575">+(BV219/BN219-1)*100</f>
        <v>329.37999567941335</v>
      </c>
      <c r="BX219" s="161"/>
      <c r="BZ219" s="1855">
        <f>+(BZ209+BZ70+BZ80)-BZ120</f>
        <v>52.627999999999858</v>
      </c>
      <c r="CA219" s="217">
        <f t="shared" ref="CA219:CA224" si="576">+(BZ219/BR219-1)*100</f>
        <v>-36.794571548670078</v>
      </c>
      <c r="CB219" s="161"/>
      <c r="CD219" s="1855">
        <f>+(CD209+CD70+CD80)-77.732</f>
        <v>97.781999999999954</v>
      </c>
      <c r="CE219" s="217">
        <f t="shared" ref="CE219:CE224" si="577">+(CD219/BV219-1)*100</f>
        <v>-1.60796941034409</v>
      </c>
      <c r="CF219" s="161"/>
      <c r="CH219" s="1855">
        <f>+(CH209+CH70+CH80)-CH120</f>
        <v>2.6009999999999884</v>
      </c>
      <c r="CI219" s="217">
        <f t="shared" ref="CI219:CI224" si="578">+(CH219/BZ219-1)*100</f>
        <v>-95.057763927947121</v>
      </c>
      <c r="CJ219" s="161"/>
      <c r="CL219" s="1855">
        <f>+(CL209+CL70+CL80)-CL120+48.694-19.064</f>
        <v>112.50000000000009</v>
      </c>
      <c r="CM219" s="217">
        <f t="shared" ref="CM219:CM224" si="579">+(CL219/CD219-1)*100</f>
        <v>15.051850033748693</v>
      </c>
      <c r="CN219" s="161"/>
      <c r="CP219" s="1855">
        <f>+(CP209+CP70+CP80)-CP120+86.425-1.085</f>
        <v>165.17099999999985</v>
      </c>
      <c r="CQ219" s="217">
        <f t="shared" ref="CQ219:CQ224" si="580">+(CP219/CH219-1)*100</f>
        <v>6250.2883506343942</v>
      </c>
      <c r="CR219" s="161"/>
      <c r="CT219" s="1855">
        <f>+(CT209+CT70+CT80)-CT120</f>
        <v>124.55800000000021</v>
      </c>
      <c r="CU219" s="217">
        <f t="shared" ref="CU219:CU224" si="581">+(CT219/CL219-1)*100</f>
        <v>10.718222222222318</v>
      </c>
      <c r="CV219" s="161"/>
      <c r="CW219" s="161"/>
      <c r="CX219" s="1855">
        <f>+(CX209+CX70+CX80)-CX120</f>
        <v>142.49700000000007</v>
      </c>
      <c r="CY219" s="217">
        <f t="shared" ref="CY219:CY224" si="582">+(CX219/CP219-1)*100</f>
        <v>-13.727591405270779</v>
      </c>
      <c r="CZ219" s="161"/>
      <c r="DA219" s="161"/>
      <c r="DB219" s="1855">
        <f>+(DB209+DB70+DB80)-DB120</f>
        <v>156.98200000000014</v>
      </c>
      <c r="DC219" s="217">
        <f t="shared" ref="DC219:DC224" si="583">+(DB219/CT219-1)*100</f>
        <v>26.031246487579995</v>
      </c>
      <c r="DD219" s="161"/>
      <c r="DE219" s="161"/>
      <c r="DF219" s="1855">
        <f>+(DF209+DF70+DF80)-DF120</f>
        <v>181.48799999999986</v>
      </c>
      <c r="DG219" s="217">
        <f t="shared" ref="DG219:DG224" si="584">+(DF219/CX219-1)*100</f>
        <v>27.362681319606573</v>
      </c>
      <c r="DH219" s="161"/>
      <c r="DI219" s="161"/>
      <c r="DJ219" s="1855">
        <f>+(DJ209+DJ70+DJ80)-DJ120</f>
        <v>173.67600000000004</v>
      </c>
      <c r="DK219" s="217">
        <f t="shared" ref="DK219:DK224" si="585">+(DJ219/DB219-1)*100</f>
        <v>10.634340242830319</v>
      </c>
      <c r="DL219" s="161"/>
      <c r="DM219" s="161"/>
      <c r="DN219" s="1855">
        <f>+(DN209+DN70+DN80)-DN120</f>
        <v>94.054000000000116</v>
      </c>
      <c r="DO219" s="217">
        <f t="shared" ref="DO219:DO224" si="586">+(DN219/DF219-1)*100</f>
        <v>-48.176187957330406</v>
      </c>
      <c r="DP219" s="161"/>
      <c r="DQ219" s="161"/>
      <c r="DR219" s="1855">
        <f>+(DR209+DR70+DR80)-DR120</f>
        <v>51.368803649847379</v>
      </c>
      <c r="DS219" s="217">
        <f t="shared" ref="DS219:DS224" si="587">+(DR219/DJ219-1)*100</f>
        <v>-70.422623937764939</v>
      </c>
      <c r="DT219" s="161"/>
    </row>
    <row r="220" spans="1:125" hidden="1" outlineLevel="1">
      <c r="A220" s="23" t="str">
        <f>$A$11</f>
        <v>2Q</v>
      </c>
      <c r="B220" s="23" t="str">
        <f>$B$11</f>
        <v>Jul</v>
      </c>
      <c r="D220" s="1899">
        <f>+(D210+D71+D81)*(1-E121/100)</f>
        <v>63.780999999999992</v>
      </c>
      <c r="F220" s="1899">
        <f>+(F210+F71+F81)-F121</f>
        <v>79.02499999999992</v>
      </c>
      <c r="G220" s="44">
        <f t="shared" si="558"/>
        <v>23.900534641977899</v>
      </c>
      <c r="J220" s="1899">
        <f>+(J210+J71+J81)-J121</f>
        <v>79.224999999999909</v>
      </c>
      <c r="K220" s="44">
        <f t="shared" si="559"/>
        <v>0.25308446694083386</v>
      </c>
      <c r="N220" s="1899">
        <f>+(N210+N71+N81)-N121</f>
        <v>80.073000000000008</v>
      </c>
      <c r="O220" s="44">
        <f t="shared" si="560"/>
        <v>1.0703692016410304</v>
      </c>
      <c r="R220" s="1899">
        <f>+(R210+R71+R81)-R121</f>
        <v>68.232000000000042</v>
      </c>
      <c r="S220" s="44">
        <f t="shared" si="561"/>
        <v>-14.787756172492561</v>
      </c>
      <c r="V220" s="1899">
        <f>+(V210+V71+V81)-V121</f>
        <v>53.831999999999965</v>
      </c>
      <c r="W220" s="44">
        <f t="shared" si="562"/>
        <v>-21.104467112205516</v>
      </c>
      <c r="Z220" s="1899">
        <f>+(Z210+Z71+Z81)-Z121</f>
        <v>48.762000000000157</v>
      </c>
      <c r="AA220" s="44">
        <f t="shared" si="563"/>
        <v>-9.4181899242082974</v>
      </c>
      <c r="AD220" s="1899">
        <f>+(AD210+AD71+AD81)-AD121</f>
        <v>41.320000000000078</v>
      </c>
      <c r="AE220" s="44">
        <f t="shared" si="564"/>
        <v>-15.261884254132429</v>
      </c>
      <c r="AH220" s="1899">
        <f>+(AH210+AH71+AH81)-AH121</f>
        <v>41.235000000000163</v>
      </c>
      <c r="AI220" s="44">
        <f t="shared" si="565"/>
        <v>-0.20571151984490887</v>
      </c>
      <c r="AL220" s="1899">
        <f>+(AL210+AL71+AL81)-AL121</f>
        <v>48.128999999999998</v>
      </c>
      <c r="AM220" s="44">
        <f t="shared" si="566"/>
        <v>16.718806838850032</v>
      </c>
      <c r="AP220" s="1899">
        <f>+(AP210+AP71+AP81)-AP121</f>
        <v>46.589999999999932</v>
      </c>
      <c r="AQ220" s="44">
        <f t="shared" si="567"/>
        <v>-3.1976562986973822</v>
      </c>
      <c r="AT220" s="1899">
        <f>+(AT210+AT71+AT81)-AT121</f>
        <v>93.622000000000014</v>
      </c>
      <c r="AU220" s="44">
        <f t="shared" si="568"/>
        <v>100.94870143807717</v>
      </c>
      <c r="AX220" s="1899">
        <f>+(AX210+AX71+AX81)-AX121</f>
        <v>47.331999999999979</v>
      </c>
      <c r="AY220" s="44">
        <f t="shared" si="569"/>
        <v>-49.443506868043862</v>
      </c>
      <c r="BB220" s="1899">
        <f>+(BB210+BB71+BB81)-BB121</f>
        <v>83.635999999999882</v>
      </c>
      <c r="BC220" s="44">
        <f t="shared" si="570"/>
        <v>76.700752133862764</v>
      </c>
      <c r="BF220" s="1899">
        <f>+(BF210+BF71+BF81)-BF121</f>
        <v>101.95899999999995</v>
      </c>
      <c r="BG220" s="44">
        <f t="shared" si="571"/>
        <v>21.908030034913306</v>
      </c>
      <c r="BJ220" s="1899">
        <f>+(BJ210+BJ71+BJ81)-BJ121</f>
        <v>137.33499999999987</v>
      </c>
      <c r="BK220" s="44">
        <f t="shared" si="572"/>
        <v>34.696299492933377</v>
      </c>
      <c r="BN220" s="2202">
        <f>+(BN210+BN71+BN81)-BN121</f>
        <v>113.07699999999974</v>
      </c>
      <c r="BO220" s="217">
        <f t="shared" si="573"/>
        <v>-17.663377871627883</v>
      </c>
      <c r="BP220" s="161"/>
      <c r="BR220" s="2202">
        <f>+(BR210+BR71+BR81)-BR121</f>
        <v>81.510999999999711</v>
      </c>
      <c r="BS220" s="217">
        <f t="shared" si="574"/>
        <v>-27.915491213951647</v>
      </c>
      <c r="BT220" s="161"/>
      <c r="BV220" s="2202">
        <f>+(BV210+BV71+BV81)-BV121</f>
        <v>113.07899999999972</v>
      </c>
      <c r="BW220" s="217">
        <f t="shared" si="575"/>
        <v>1.7687062797699937E-3</v>
      </c>
      <c r="BX220" s="161"/>
      <c r="BZ220" s="2202">
        <f>+(BZ210+BZ71+BZ81)-159</f>
        <v>264.18200000000013</v>
      </c>
      <c r="CA220" s="217">
        <f t="shared" si="576"/>
        <v>224.1059488903351</v>
      </c>
      <c r="CB220" s="161"/>
      <c r="CD220" s="2202">
        <f>+(CD210+CD71+CD81)-62.475</f>
        <v>102.04499999999979</v>
      </c>
      <c r="CE220" s="217">
        <f t="shared" si="577"/>
        <v>-9.7577799591435763</v>
      </c>
      <c r="CF220" s="161"/>
      <c r="CH220" s="2202">
        <f>+(CH210+CH71+CH81)-CH121+4.613</f>
        <v>74.317000000000036</v>
      </c>
      <c r="CI220" s="217">
        <f t="shared" si="578"/>
        <v>-71.869014543004454</v>
      </c>
      <c r="CJ220" s="161"/>
      <c r="CL220" s="2202">
        <f>+(CL210+CL71+CL81)-CL121+46.689+11.375</f>
        <v>178.66700000000031</v>
      </c>
      <c r="CM220" s="217">
        <f t="shared" si="579"/>
        <v>75.086481454261047</v>
      </c>
      <c r="CN220" s="161"/>
      <c r="CP220" s="2202">
        <f>+(CP210+CP71+CP81)-CP121+147.053+46.85</f>
        <v>231.19400000000013</v>
      </c>
      <c r="CQ220" s="217">
        <f t="shared" si="580"/>
        <v>211.09167485232186</v>
      </c>
      <c r="CR220" s="161"/>
      <c r="CT220" s="2202">
        <f>+(CT210+CT71+CT81)-CT121+4.613</f>
        <v>151.80300000000003</v>
      </c>
      <c r="CU220" s="217">
        <f t="shared" si="581"/>
        <v>-15.035792843670205</v>
      </c>
      <c r="CV220" s="161"/>
      <c r="CW220" s="161"/>
      <c r="CX220" s="2202">
        <f>+(CX210+CX71+CX81)-CX121+4.613</f>
        <v>183.52700000000004</v>
      </c>
      <c r="CY220" s="217">
        <f t="shared" si="582"/>
        <v>-20.617749595577763</v>
      </c>
      <c r="CZ220" s="161"/>
      <c r="DA220" s="161"/>
      <c r="DB220" s="2202">
        <f>+(DB210+DB71+DB81)-DB121+4.613</f>
        <v>192.97000000000014</v>
      </c>
      <c r="DC220" s="217">
        <f t="shared" si="583"/>
        <v>27.118699893941557</v>
      </c>
      <c r="DD220" s="161"/>
      <c r="DE220" s="161"/>
      <c r="DF220" s="2202">
        <f>+(DF210+DF71+DF81)-DF121+4.613</f>
        <v>207.09000000000006</v>
      </c>
      <c r="DG220" s="217">
        <f t="shared" si="584"/>
        <v>12.83898281996656</v>
      </c>
      <c r="DH220" s="161"/>
      <c r="DI220" s="161"/>
      <c r="DJ220" s="2202">
        <f>+(DJ210+DJ71+DJ81)-DJ121+4.613</f>
        <v>209.27600000000021</v>
      </c>
      <c r="DK220" s="217">
        <f t="shared" si="585"/>
        <v>8.4500181375343644</v>
      </c>
      <c r="DL220" s="161"/>
      <c r="DM220" s="161"/>
      <c r="DN220" s="2202">
        <f>+(DN210+DN71+DN81)-DN121+4.613</f>
        <v>143.48700000000008</v>
      </c>
      <c r="DO220" s="217">
        <f t="shared" si="586"/>
        <v>-30.712733594089503</v>
      </c>
      <c r="DP220" s="161"/>
      <c r="DQ220" s="161"/>
      <c r="DR220" s="2202">
        <f>+(DR210+DR71+DR81)-DR121+4.613</f>
        <v>146.31600915334684</v>
      </c>
      <c r="DS220" s="217">
        <f t="shared" si="587"/>
        <v>-30.084668498372157</v>
      </c>
      <c r="DT220" s="161"/>
    </row>
    <row r="221" spans="1:125" hidden="1" outlineLevel="1">
      <c r="A221" s="23" t="str">
        <f>$A$12</f>
        <v>3Q</v>
      </c>
      <c r="B221" s="23" t="str">
        <f>$B$12</f>
        <v>Oct</v>
      </c>
      <c r="D221" s="1899">
        <f>+(D211+D72+D82)*(1-E122/100)</f>
        <v>84.869000000000028</v>
      </c>
      <c r="F221" s="1899">
        <f>+(F211+F72+F82)-F122</f>
        <v>84.917000000000058</v>
      </c>
      <c r="G221" s="44">
        <f t="shared" si="558"/>
        <v>5.655775371458116E-2</v>
      </c>
      <c r="J221" s="1899">
        <f>+(J211+J72+J82)-J122</f>
        <v>72.872000000000043</v>
      </c>
      <c r="K221" s="44">
        <f t="shared" si="559"/>
        <v>-14.184438922712772</v>
      </c>
      <c r="N221" s="1899">
        <f>+(N211+N72+N82)-N122</f>
        <v>79.99500000000009</v>
      </c>
      <c r="O221" s="44">
        <f t="shared" si="560"/>
        <v>9.774673399934187</v>
      </c>
      <c r="R221" s="1899">
        <f>+(R211+R72+R82)-R122</f>
        <v>82.214999999999975</v>
      </c>
      <c r="S221" s="44">
        <f t="shared" si="561"/>
        <v>2.7751734483403734</v>
      </c>
      <c r="V221" s="1899">
        <f>+(V211+V72+V82)-V122</f>
        <v>90.489999999999839</v>
      </c>
      <c r="W221" s="44">
        <f t="shared" si="562"/>
        <v>10.065073283463931</v>
      </c>
      <c r="Z221" s="1899">
        <f>+(Z211+Z72+Z82)-Z122</f>
        <v>43.813000000000102</v>
      </c>
      <c r="AA221" s="44">
        <f t="shared" si="563"/>
        <v>-51.582495303348239</v>
      </c>
      <c r="AD221" s="1899">
        <f>+(AD211+AD72+AD82)-AD122</f>
        <v>45.520000000000024</v>
      </c>
      <c r="AE221" s="44">
        <f t="shared" si="564"/>
        <v>3.8961038961037087</v>
      </c>
      <c r="AH221" s="1899">
        <f>+(AH211+AH72+AH82)-AH122</f>
        <v>98.801000000000158</v>
      </c>
      <c r="AI221" s="44">
        <f t="shared" si="565"/>
        <v>117.04964850615136</v>
      </c>
      <c r="AL221" s="1899">
        <f>+(AL211+AL72+AL82)-AL122</f>
        <v>42.424999999999912</v>
      </c>
      <c r="AM221" s="44">
        <f t="shared" si="566"/>
        <v>-57.060151213044549</v>
      </c>
      <c r="AP221" s="1899">
        <f>+(AP211+AP72+AP82)-AP122</f>
        <v>43.445999999999913</v>
      </c>
      <c r="AQ221" s="44">
        <f t="shared" si="567"/>
        <v>2.4065998821449774</v>
      </c>
      <c r="AT221" s="1899">
        <f>+(AT211+AT72+AT82)-AT122</f>
        <v>56.533999999999921</v>
      </c>
      <c r="AU221" s="44">
        <f t="shared" si="568"/>
        <v>30.124752566404347</v>
      </c>
      <c r="AV221" s="161"/>
      <c r="AW221" s="161"/>
      <c r="AX221" s="1899">
        <f>+(AX211+AX72+AX82)-AX122</f>
        <v>-12.872999999999813</v>
      </c>
      <c r="AY221" s="44">
        <f t="shared" si="569"/>
        <v>-122.77036827395872</v>
      </c>
      <c r="BB221" s="1899">
        <f>+(BB211+BB72+BB82)-BB122</f>
        <v>10.384999999999955</v>
      </c>
      <c r="BC221" s="44">
        <f t="shared" si="570"/>
        <v>-180.67272586032863</v>
      </c>
      <c r="BF221" s="1899">
        <f>+(BF211+BF72+BF82)-BF122</f>
        <v>44.31800000000004</v>
      </c>
      <c r="BG221" s="44">
        <f t="shared" si="571"/>
        <v>326.7501203659146</v>
      </c>
      <c r="BJ221" s="1899">
        <f>+(BJ211+BJ72+BJ82)-BJ122</f>
        <v>95.344999999999999</v>
      </c>
      <c r="BK221" s="44">
        <f t="shared" si="572"/>
        <v>115.13831851617833</v>
      </c>
      <c r="BN221" s="2202">
        <f>+(BN211+BN72+BN82)-BN122</f>
        <v>-12.308000000000177</v>
      </c>
      <c r="BO221" s="217">
        <f t="shared" si="573"/>
        <v>-112.90890974880713</v>
      </c>
      <c r="BP221" s="161"/>
      <c r="BR221" s="2202">
        <f>+(BR211+BR72+BR82)-BR122</f>
        <v>-0.68300000000017835</v>
      </c>
      <c r="BS221" s="217">
        <f t="shared" si="574"/>
        <v>-94.450763730905365</v>
      </c>
      <c r="BT221" s="161"/>
      <c r="BV221" s="2202">
        <f>+(BV211+BV72+BV82)-BV122</f>
        <v>23.508000000000216</v>
      </c>
      <c r="BW221" s="217">
        <f t="shared" si="575"/>
        <v>-290.99772505687258</v>
      </c>
      <c r="BX221" s="161"/>
      <c r="BZ221" s="2202">
        <f>+(BZ211+BZ72+BZ82)-11+0.339</f>
        <v>12.13499999999995</v>
      </c>
      <c r="CA221" s="217">
        <f t="shared" si="576"/>
        <v>-1876.7203513904512</v>
      </c>
      <c r="CB221" s="161"/>
      <c r="CD221" s="2202">
        <f>+(CD211+CD72+CD82)-CD122</f>
        <v>4.167999999999946</v>
      </c>
      <c r="CE221" s="217">
        <f t="shared" si="577"/>
        <v>-82.269865577676086</v>
      </c>
      <c r="CF221" s="161"/>
      <c r="CH221" s="2202">
        <f>+(CH211+CH72+CH82)-CH122+8.755</f>
        <v>14.854000000000049</v>
      </c>
      <c r="CI221" s="217">
        <f t="shared" si="578"/>
        <v>22.406262875979486</v>
      </c>
      <c r="CJ221" s="161"/>
      <c r="CL221" s="2202">
        <f>+(CL211+CL72+CL82)-CL122</f>
        <v>61.327000000000197</v>
      </c>
      <c r="CM221" s="217">
        <f t="shared" si="579"/>
        <v>1371.3771593090448</v>
      </c>
      <c r="CN221" s="161"/>
      <c r="CP221" s="2202">
        <f>+(CP211+CP72+CP82)-CP122+16.691</f>
        <v>94.2770000000001</v>
      </c>
      <c r="CQ221" s="217">
        <f t="shared" si="580"/>
        <v>534.69099232529823</v>
      </c>
      <c r="CR221" s="161"/>
      <c r="CT221" s="2202">
        <f>+(CT211+CT72+CT82)-CT122</f>
        <v>75.639999999999645</v>
      </c>
      <c r="CU221" s="217">
        <f t="shared" si="581"/>
        <v>23.338823030638057</v>
      </c>
      <c r="CV221" s="161"/>
      <c r="CW221" s="161"/>
      <c r="CX221" s="2202">
        <f>+(CX211+CX72+CX82)-CX122</f>
        <v>91.984000000000066</v>
      </c>
      <c r="CY221" s="217">
        <f t="shared" si="582"/>
        <v>-2.4321944907029658</v>
      </c>
      <c r="CZ221" s="161"/>
      <c r="DA221" s="161"/>
      <c r="DB221" s="2202">
        <f>+(DB211+DB72+DB82)-DB122</f>
        <v>131.80800000000016</v>
      </c>
      <c r="DC221" s="217">
        <f t="shared" si="583"/>
        <v>74.257006874670523</v>
      </c>
      <c r="DD221" s="161"/>
      <c r="DE221" s="161"/>
      <c r="DF221" s="2202">
        <f>+(DF211+DF72+DF82)-DF122</f>
        <v>164.03099999999995</v>
      </c>
      <c r="DG221" s="217">
        <f t="shared" si="584"/>
        <v>78.325578361453978</v>
      </c>
      <c r="DH221" s="161"/>
      <c r="DI221" s="161"/>
      <c r="DJ221" s="2202">
        <f>+(DJ211+DJ72+DJ82)-DJ122</f>
        <v>121.6399999999998</v>
      </c>
      <c r="DK221" s="217">
        <f t="shared" si="585"/>
        <v>-7.714251031804098</v>
      </c>
      <c r="DL221" s="161"/>
      <c r="DM221" s="161"/>
      <c r="DN221" s="2202">
        <f>+(DN211+DN72+DN82)-DN122</f>
        <v>85.985000000000269</v>
      </c>
      <c r="DO221" s="217">
        <f t="shared" si="586"/>
        <v>-47.580030603971025</v>
      </c>
      <c r="DP221" s="161"/>
      <c r="DQ221" s="161"/>
      <c r="DR221" s="2202">
        <f>+(DR211+DR72+DR82)-DR122</f>
        <v>99.049786863928887</v>
      </c>
      <c r="DS221" s="217">
        <f t="shared" si="587"/>
        <v>-18.5713689050238</v>
      </c>
      <c r="DT221" s="161"/>
    </row>
    <row r="222" spans="1:125" hidden="1" outlineLevel="1">
      <c r="A222" s="23" t="str">
        <f>$A$13</f>
        <v>4Q</v>
      </c>
      <c r="B222" s="23" t="str">
        <f>$B$13</f>
        <v>Jan</v>
      </c>
      <c r="C222" s="139"/>
      <c r="D222" s="2249">
        <f>+(D212+D73+D83)*(1-E123/100)</f>
        <v>153.08700000000036</v>
      </c>
      <c r="E222" s="139"/>
      <c r="F222" s="2249">
        <f>+(F212+F73+F83)-F123</f>
        <v>172.1809999999997</v>
      </c>
      <c r="G222" s="44">
        <f t="shared" si="558"/>
        <v>12.472646273033838</v>
      </c>
      <c r="J222" s="2249">
        <f>+(J212+J73+J83)-J123</f>
        <v>200.34499999999952</v>
      </c>
      <c r="K222" s="44">
        <f t="shared" si="559"/>
        <v>16.357205498864481</v>
      </c>
      <c r="N222" s="2249">
        <f>+(N212+N73+N83)-N123</f>
        <v>243.90400000000068</v>
      </c>
      <c r="O222" s="44">
        <f t="shared" si="560"/>
        <v>21.741995058524676</v>
      </c>
      <c r="R222" s="2249">
        <f>+(R212+R73+R83)-R123</f>
        <v>196.32700000000068</v>
      </c>
      <c r="S222" s="44">
        <f t="shared" si="561"/>
        <v>-19.506445158750928</v>
      </c>
      <c r="V222" s="2249">
        <f>+(V212+V73+V83)-V123</f>
        <v>256.74500000000057</v>
      </c>
      <c r="W222" s="44">
        <f t="shared" si="562"/>
        <v>30.774167587748845</v>
      </c>
      <c r="Z222" s="2249">
        <f>+(Z212+Z73+Z83)-Z123</f>
        <v>202.63200000000001</v>
      </c>
      <c r="AA222" s="44">
        <f t="shared" si="563"/>
        <v>-21.076554558024675</v>
      </c>
      <c r="AD222" s="2249">
        <f>+(AD212+AD73+AD83)-AD123</f>
        <v>242.01600000000002</v>
      </c>
      <c r="AE222" s="44">
        <f t="shared" si="564"/>
        <v>19.436219353310435</v>
      </c>
      <c r="AH222" s="2249">
        <f>+(AH212+AH73+AH83)-AH123</f>
        <v>-47.505999999999759</v>
      </c>
      <c r="AI222" s="44">
        <f t="shared" si="565"/>
        <v>-119.62928070871337</v>
      </c>
      <c r="AL222" s="2249">
        <f>+(AL212+AL73+AL83)-AL123</f>
        <v>251.51000000000002</v>
      </c>
      <c r="AM222" s="44">
        <f t="shared" si="566"/>
        <v>-629.4278617437825</v>
      </c>
      <c r="AP222" s="2249">
        <f>+(AP212+AP73+AP83)-AP123</f>
        <v>343.86800000000005</v>
      </c>
      <c r="AQ222" s="44">
        <f t="shared" si="567"/>
        <v>36.721402727525756</v>
      </c>
      <c r="AT222" s="2249">
        <f>+(AT212+AT73+AT83)-AT123</f>
        <v>244.69099999999992</v>
      </c>
      <c r="AU222" s="44">
        <f t="shared" si="568"/>
        <v>-28.841590377703106</v>
      </c>
      <c r="AX222" s="2249">
        <f>+(AX212+AX73+AX83)-AX123</f>
        <v>354.3660000000001</v>
      </c>
      <c r="AY222" s="44">
        <f t="shared" si="569"/>
        <v>44.821836520346146</v>
      </c>
      <c r="BB222" s="2249">
        <f>+(BB212+BB73+BB83)-BB123</f>
        <v>357.28499999999997</v>
      </c>
      <c r="BC222" s="44">
        <f t="shared" si="570"/>
        <v>0.82372462369411092</v>
      </c>
      <c r="BF222" s="2249">
        <f>+(BF212+BF73+BF83)-BF123</f>
        <v>387.64700000000028</v>
      </c>
      <c r="BG222" s="44">
        <f t="shared" si="571"/>
        <v>8.4979778048337664</v>
      </c>
      <c r="BJ222" s="2249">
        <f>+(BJ212+BJ73+BJ83)-BJ123</f>
        <v>382.48</v>
      </c>
      <c r="BK222" s="44">
        <f t="shared" si="572"/>
        <v>-1.3329137075742237</v>
      </c>
      <c r="BN222" s="2250">
        <f>+(BN212+BN73+BN83)-BN123</f>
        <v>425.923</v>
      </c>
      <c r="BO222" s="217">
        <f t="shared" si="573"/>
        <v>11.358240953775356</v>
      </c>
      <c r="BP222" s="161"/>
      <c r="BR222" s="2250">
        <f>+(BR212+BR73+BR83)-BR123</f>
        <v>519.17100000000005</v>
      </c>
      <c r="BS222" s="217">
        <f t="shared" si="574"/>
        <v>21.893159092136383</v>
      </c>
      <c r="BT222" s="161"/>
      <c r="BV222" s="2250">
        <f>+(BV212+BV73+BV83)-BV123</f>
        <v>439.77799999999991</v>
      </c>
      <c r="BW222" s="217">
        <f t="shared" si="575"/>
        <v>3.2529353897300384</v>
      </c>
      <c r="BX222" s="161"/>
      <c r="BZ222" s="2250">
        <f>+(BZ212+BZ73+BZ83)-202</f>
        <v>388.51899999999989</v>
      </c>
      <c r="CA222" s="217">
        <f t="shared" si="576"/>
        <v>-25.165504236561777</v>
      </c>
      <c r="CB222" s="161"/>
      <c r="CD222" s="2250">
        <f>+(CD212+CD73+CD83)-94.104</f>
        <v>16.105999999999909</v>
      </c>
      <c r="CE222" s="217">
        <f t="shared" si="577"/>
        <v>-96.337697656544918</v>
      </c>
      <c r="CF222" s="161"/>
      <c r="CH222" s="2250">
        <f>+(CH212+CH73+CH83)-CH123+23.304</f>
        <v>356.1069999999998</v>
      </c>
      <c r="CI222" s="217">
        <f t="shared" si="578"/>
        <v>-8.3424491466312034</v>
      </c>
      <c r="CJ222" s="161"/>
      <c r="CL222" s="2250">
        <f>+(CL212+CL73+CL83)-CL123+52.011-19.4</f>
        <v>452.29100000000022</v>
      </c>
      <c r="CM222" s="217">
        <f t="shared" si="579"/>
        <v>2708.2143300633475</v>
      </c>
      <c r="CN222" s="161"/>
      <c r="CP222" s="2250">
        <f>+(CP212+CP73+CP83)-CP123</f>
        <v>359.44099999999986</v>
      </c>
      <c r="CQ222" s="217">
        <f t="shared" si="580"/>
        <v>0.93623545732042235</v>
      </c>
      <c r="CR222" s="161"/>
      <c r="CT222" s="2250">
        <f>+(CT212+CT73+CT83)-CT123</f>
        <v>519.23070000000018</v>
      </c>
      <c r="CU222" s="217">
        <f t="shared" si="581"/>
        <v>14.800139733047946</v>
      </c>
      <c r="CV222" s="161"/>
      <c r="CW222" s="161"/>
      <c r="CX222" s="2250">
        <f>+(CX212+CX73+CX83)-CX123</f>
        <v>489.62000000000018</v>
      </c>
      <c r="CY222" s="217">
        <f t="shared" si="582"/>
        <v>36.217070395419661</v>
      </c>
      <c r="CZ222" s="161"/>
      <c r="DA222" s="161"/>
      <c r="DB222" s="2250">
        <f>+(DB212+DB73+DB83)-DB123</f>
        <v>564.81299999999965</v>
      </c>
      <c r="DC222" s="217">
        <f t="shared" si="583"/>
        <v>8.7788145038418364</v>
      </c>
      <c r="DD222" s="161"/>
      <c r="DE222" s="161"/>
      <c r="DF222" s="2250">
        <f>+(DF212+DF73+DF83)-DF123</f>
        <v>636.0169999999996</v>
      </c>
      <c r="DG222" s="217">
        <f t="shared" si="584"/>
        <v>29.90012662881405</v>
      </c>
      <c r="DH222" s="161"/>
      <c r="DI222" s="161"/>
      <c r="DJ222" s="2250">
        <f>+(DJ212+DJ73+DJ83)-DJ123</f>
        <v>589.99500000000012</v>
      </c>
      <c r="DK222" s="217">
        <f t="shared" si="585"/>
        <v>4.4584667845818826</v>
      </c>
      <c r="DL222" s="161"/>
      <c r="DM222" s="161"/>
      <c r="DN222" s="2250">
        <f>+(DN212+DN73+DN83)-DN123</f>
        <v>600.56000000000074</v>
      </c>
      <c r="DO222" s="217">
        <f t="shared" si="586"/>
        <v>-5.5748509866872853</v>
      </c>
      <c r="DP222" s="161"/>
      <c r="DQ222" s="161"/>
      <c r="DR222" s="2250">
        <f>+(DR212+DR73+DR83)-DR123</f>
        <v>620.37809008282034</v>
      </c>
      <c r="DS222" s="217">
        <f t="shared" si="587"/>
        <v>5.1497199269180616</v>
      </c>
      <c r="DT222" s="161"/>
    </row>
    <row r="223" spans="1:125" hidden="1" outlineLevel="1">
      <c r="B223" s="23" t="str">
        <f>$B$14</f>
        <v>Year</v>
      </c>
      <c r="D223" s="1854">
        <f>+(D213+D74+D84)-D124</f>
        <v>346.92600000000039</v>
      </c>
      <c r="F223" s="1854">
        <f>+(F213+F74+F84)-F124</f>
        <v>398.43799999999965</v>
      </c>
      <c r="G223" s="44">
        <f t="shared" si="558"/>
        <v>14.848123230890508</v>
      </c>
      <c r="J223" s="1854">
        <f>+(J213+J74+J84)-J124</f>
        <v>403.30199999999945</v>
      </c>
      <c r="K223" s="44">
        <f t="shared" si="559"/>
        <v>1.2207670955079131</v>
      </c>
      <c r="N223" s="1854">
        <f>+(N213+N74+N84)-N124</f>
        <v>446.3800000000009</v>
      </c>
      <c r="O223" s="44">
        <f t="shared" si="560"/>
        <v>10.681325656704278</v>
      </c>
      <c r="R223" s="1854">
        <f>+(R213+R74+R84)-R124</f>
        <v>390.99900000000048</v>
      </c>
      <c r="S223" s="44">
        <f t="shared" si="561"/>
        <v>-12.406693848290761</v>
      </c>
      <c r="V223" s="1854">
        <f>+(V213+V74+V84)-V124</f>
        <v>448.34300000000053</v>
      </c>
      <c r="W223" s="44">
        <f t="shared" si="562"/>
        <v>14.666022163739534</v>
      </c>
      <c r="Z223" s="1854">
        <f>+(Z213+Z74+Z84)-Z124</f>
        <v>334.41800000000012</v>
      </c>
      <c r="AA223" s="44">
        <f t="shared" si="563"/>
        <v>-25.410232790519814</v>
      </c>
      <c r="AD223" s="1854">
        <f>+(AD213+AD74+AD84)-AD124</f>
        <v>361.28700000000015</v>
      </c>
      <c r="AE223" s="44">
        <f t="shared" si="564"/>
        <v>8.0345555562200577</v>
      </c>
      <c r="AH223" s="1854">
        <f>+(AH213+AH74+AH84)-AH124</f>
        <v>127.15000000000046</v>
      </c>
      <c r="AI223" s="44">
        <f t="shared" si="565"/>
        <v>-64.806372772892345</v>
      </c>
      <c r="AL223" s="1854">
        <f>+(AL213+AL74+AL84)-AL124</f>
        <v>375.29499999999979</v>
      </c>
      <c r="AM223" s="44">
        <f t="shared" si="566"/>
        <v>195.1592607156889</v>
      </c>
      <c r="AP223" s="1854">
        <f>+(AP213+AP74+AP84)-AP124</f>
        <v>471.52700000000004</v>
      </c>
      <c r="AQ223" s="44">
        <f t="shared" si="567"/>
        <v>25.641695199776258</v>
      </c>
      <c r="AT223" s="1854">
        <f>+(AT213+AT74+AT84)-AT124</f>
        <v>460.91599999999983</v>
      </c>
      <c r="AU223" s="44">
        <f t="shared" si="568"/>
        <v>-2.2503483363625398</v>
      </c>
      <c r="AX223" s="1854">
        <f>+(AX213+AX74+AX84)-AX124</f>
        <v>411.87100000000021</v>
      </c>
      <c r="AY223" s="44">
        <f t="shared" si="569"/>
        <v>-10.640767515121984</v>
      </c>
      <c r="BB223" s="1854">
        <f>+(BB213+BB74+BB84)-BB124</f>
        <v>494.37199999999996</v>
      </c>
      <c r="BC223" s="44">
        <f t="shared" si="570"/>
        <v>20.030786338440841</v>
      </c>
      <c r="BF223" s="1854">
        <f>+SUM(BF219:BF222)</f>
        <v>583.76800000000026</v>
      </c>
      <c r="BG223" s="44">
        <f t="shared" si="571"/>
        <v>18.082739313715244</v>
      </c>
      <c r="BJ223" s="1854">
        <f>+SUM(BJ219:BJ222)</f>
        <v>727.79699999999991</v>
      </c>
      <c r="BK223" s="44">
        <f t="shared" si="572"/>
        <v>24.672301325183899</v>
      </c>
      <c r="BN223" s="1855">
        <f>+SUM(BN219:BN222)</f>
        <v>549.83699999999953</v>
      </c>
      <c r="BO223" s="217">
        <f t="shared" si="573"/>
        <v>-24.45187325586673</v>
      </c>
      <c r="BP223" s="161"/>
      <c r="BR223" s="1855">
        <f>+SUM(BR219:BR222)</f>
        <v>683.26399999999956</v>
      </c>
      <c r="BS223" s="217">
        <f t="shared" si="574"/>
        <v>24.266646296993489</v>
      </c>
      <c r="BT223" s="161"/>
      <c r="BV223" s="1855">
        <f>+SUM(BV219:BV222)</f>
        <v>675.74499999999978</v>
      </c>
      <c r="BW223" s="217">
        <f t="shared" si="575"/>
        <v>22.89915011176047</v>
      </c>
      <c r="BX223" s="161"/>
      <c r="BZ223" s="1855">
        <f>+SUM(BZ219:BZ222)</f>
        <v>717.46399999999983</v>
      </c>
      <c r="CA223" s="217">
        <f t="shared" si="576"/>
        <v>5.0053859123267541</v>
      </c>
      <c r="CB223" s="161"/>
      <c r="CD223" s="1855">
        <f>+SUM(CD219:CD222)</f>
        <v>220.1009999999996</v>
      </c>
      <c r="CE223" s="217">
        <f t="shared" si="577"/>
        <v>-67.428393846791366</v>
      </c>
      <c r="CF223" s="161"/>
      <c r="CH223" s="1855">
        <f>+SUM(CH219:CH222)</f>
        <v>447.87899999999991</v>
      </c>
      <c r="CI223" s="217">
        <f t="shared" si="578"/>
        <v>-37.574707581146924</v>
      </c>
      <c r="CJ223" s="161"/>
      <c r="CL223" s="1855">
        <f>+SUM(CL219:CL222)</f>
        <v>804.78500000000076</v>
      </c>
      <c r="CM223" s="217">
        <f t="shared" si="579"/>
        <v>265.6435000295329</v>
      </c>
      <c r="CN223" s="161"/>
      <c r="CP223" s="1855">
        <f>+SUM(CP219:CP222)</f>
        <v>850.08299999999997</v>
      </c>
      <c r="CQ223" s="217">
        <f t="shared" si="580"/>
        <v>89.801933111398441</v>
      </c>
      <c r="CR223" s="161"/>
      <c r="CT223" s="1855">
        <f>+SUM(CT219:CT222)</f>
        <v>871.23170000000005</v>
      </c>
      <c r="CU223" s="217">
        <f t="shared" si="581"/>
        <v>8.2564535869827704</v>
      </c>
      <c r="CV223" s="161"/>
      <c r="CW223" s="161"/>
      <c r="CX223" s="1855">
        <f>+SUM(CX219:CX222)</f>
        <v>907.62800000000038</v>
      </c>
      <c r="CY223" s="217">
        <f t="shared" si="582"/>
        <v>6.769338993957108</v>
      </c>
      <c r="CZ223" s="161"/>
      <c r="DA223" s="161"/>
      <c r="DB223" s="1855">
        <f>+SUM(DB219:DB222)</f>
        <v>1046.5730000000001</v>
      </c>
      <c r="DC223" s="217">
        <f t="shared" si="583"/>
        <v>20.125679540815611</v>
      </c>
      <c r="DD223" s="161"/>
      <c r="DE223" s="161"/>
      <c r="DF223" s="1855">
        <f>+SUM(DF219:DF222)</f>
        <v>1188.6259999999995</v>
      </c>
      <c r="DG223" s="217">
        <f t="shared" si="584"/>
        <v>30.959600188623426</v>
      </c>
      <c r="DH223" s="161"/>
      <c r="DI223" s="161"/>
      <c r="DJ223" s="1855">
        <f>+SUM(DJ219:DJ222)</f>
        <v>1094.5870000000002</v>
      </c>
      <c r="DK223" s="217">
        <f t="shared" si="585"/>
        <v>4.5877353992507031</v>
      </c>
      <c r="DL223" s="161"/>
      <c r="DM223" s="161"/>
      <c r="DN223" s="1855">
        <f>+SUM(DN219:DN222)</f>
        <v>924.08600000000115</v>
      </c>
      <c r="DO223" s="217">
        <f t="shared" si="586"/>
        <v>-22.255949306173552</v>
      </c>
      <c r="DP223" s="161"/>
      <c r="DQ223" s="161"/>
      <c r="DR223" s="1855">
        <f>+SUM(DR219:DR222)</f>
        <v>917.11268974994346</v>
      </c>
      <c r="DS223" s="217">
        <f t="shared" si="587"/>
        <v>-16.213814913758039</v>
      </c>
      <c r="DT223" s="161"/>
    </row>
    <row r="224" spans="1:125" hidden="1" outlineLevel="1">
      <c r="A224" s="23" t="str">
        <f>$A$15</f>
        <v>6 Mos</v>
      </c>
      <c r="D224" s="1899">
        <f>SUM(D219:D220)</f>
        <v>108.96999999999997</v>
      </c>
      <c r="F224" s="1899">
        <f>SUM(F219:F220)</f>
        <v>141.33999999999997</v>
      </c>
      <c r="G224" s="44">
        <f t="shared" si="558"/>
        <v>29.705423511058093</v>
      </c>
      <c r="J224" s="1899">
        <f>SUM(J219:J220)</f>
        <v>130.08499999999992</v>
      </c>
      <c r="K224" s="44">
        <f t="shared" si="559"/>
        <v>-7.963067779821742</v>
      </c>
      <c r="N224" s="1899">
        <f>SUM(N219:N220)</f>
        <v>122.48100000000009</v>
      </c>
      <c r="O224" s="44">
        <f t="shared" si="560"/>
        <v>-5.8454087711879428</v>
      </c>
      <c r="R224" s="1899">
        <f>SUM(R219:R220)</f>
        <v>112.45699999999991</v>
      </c>
      <c r="S224" s="44">
        <f t="shared" si="561"/>
        <v>-8.1841265175824685</v>
      </c>
      <c r="V224" s="1899">
        <f>SUM(V219:V220)</f>
        <v>101.10799999999998</v>
      </c>
      <c r="W224" s="44">
        <f t="shared" si="562"/>
        <v>-10.09185733213579</v>
      </c>
      <c r="Z224" s="1899">
        <f>SUM(Z219:Z220)</f>
        <v>87.973000000000084</v>
      </c>
      <c r="AA224" s="44">
        <f t="shared" si="563"/>
        <v>-12.991059065553557</v>
      </c>
      <c r="AD224" s="1899">
        <f>SUM(AD219:AD220)</f>
        <v>73.751000000000033</v>
      </c>
      <c r="AE224" s="44">
        <f t="shared" si="564"/>
        <v>-16.166323758425925</v>
      </c>
      <c r="AH224" s="1899">
        <f>SUM(AH219:AH220)</f>
        <v>75.855000000000118</v>
      </c>
      <c r="AI224" s="44">
        <f t="shared" si="565"/>
        <v>2.8528426733197998</v>
      </c>
      <c r="AL224" s="1899">
        <f>SUM(AL219:AL220)</f>
        <v>81.359999999999957</v>
      </c>
      <c r="AM224" s="44">
        <f t="shared" si="566"/>
        <v>7.2572671544391731</v>
      </c>
      <c r="AP224" s="1899">
        <f>SUM(AP219:AP220)</f>
        <v>84.213000000000036</v>
      </c>
      <c r="AQ224" s="44">
        <f t="shared" si="567"/>
        <v>3.5066371681417019</v>
      </c>
      <c r="AT224" s="1899">
        <f>SUM(AT219:AT220)</f>
        <v>159.69100000000003</v>
      </c>
      <c r="AU224" s="44">
        <f t="shared" si="568"/>
        <v>89.62749219241681</v>
      </c>
      <c r="AX224" s="1899">
        <f>SUM(AX219:AX220)</f>
        <v>70.377999999999957</v>
      </c>
      <c r="AY224" s="44">
        <f t="shared" si="569"/>
        <v>-55.928637180554986</v>
      </c>
      <c r="BB224" s="1899">
        <f>SUM(BB219:BB220)</f>
        <v>126.70199999999997</v>
      </c>
      <c r="BC224" s="44">
        <f t="shared" si="570"/>
        <v>80.030691409247282</v>
      </c>
      <c r="BF224" s="1899">
        <f>SUM(BF219:BF220)</f>
        <v>151.80299999999988</v>
      </c>
      <c r="BG224" s="44">
        <f t="shared" si="571"/>
        <v>19.811052706350264</v>
      </c>
      <c r="BJ224" s="1899">
        <f>SUM(BJ219:BJ220)</f>
        <v>249.97199999999992</v>
      </c>
      <c r="BK224" s="44">
        <f t="shared" si="572"/>
        <v>64.668682437106057</v>
      </c>
      <c r="BN224" s="2202">
        <f>SUM(BN219:BN220)</f>
        <v>136.22199999999967</v>
      </c>
      <c r="BO224" s="217">
        <f t="shared" si="573"/>
        <v>-45.50509657081605</v>
      </c>
      <c r="BP224" s="161"/>
      <c r="BR224" s="2202">
        <f>SUM(BR219:BR220)</f>
        <v>164.7759999999997</v>
      </c>
      <c r="BS224" s="217">
        <f t="shared" si="574"/>
        <v>20.961371878257616</v>
      </c>
      <c r="BT224" s="161"/>
      <c r="BV224" s="2202">
        <f>SUM(BV219:BV220)</f>
        <v>212.45899999999963</v>
      </c>
      <c r="BW224" s="217">
        <f t="shared" si="575"/>
        <v>55.965262586072839</v>
      </c>
      <c r="BX224" s="161"/>
      <c r="BZ224" s="2202">
        <f>SUM(BZ219:BZ220)</f>
        <v>316.81</v>
      </c>
      <c r="CA224" s="217">
        <f t="shared" si="576"/>
        <v>92.267077729766839</v>
      </c>
      <c r="CB224" s="161"/>
      <c r="CD224" s="2202">
        <f>SUM(CD219:CD220)</f>
        <v>199.82699999999974</v>
      </c>
      <c r="CE224" s="217">
        <f t="shared" si="577"/>
        <v>-5.9456177427173795</v>
      </c>
      <c r="CF224" s="161"/>
      <c r="CH224" s="2202">
        <f>SUM(CH219:CH220)</f>
        <v>76.918000000000021</v>
      </c>
      <c r="CI224" s="217">
        <f t="shared" si="578"/>
        <v>-75.72109466241595</v>
      </c>
      <c r="CJ224" s="161"/>
      <c r="CL224" s="2202">
        <f>SUM(CL219:CL220)</f>
        <v>291.16700000000037</v>
      </c>
      <c r="CM224" s="217">
        <f t="shared" si="579"/>
        <v>45.709538751019998</v>
      </c>
      <c r="CN224" s="161"/>
      <c r="CP224" s="2202">
        <f>SUM(CP219:CP220)</f>
        <v>396.36500000000001</v>
      </c>
      <c r="CQ224" s="217">
        <f t="shared" si="580"/>
        <v>415.30851036168377</v>
      </c>
      <c r="CR224" s="161"/>
      <c r="CT224" s="2202">
        <f>SUM(CT219:CT220)</f>
        <v>276.36100000000022</v>
      </c>
      <c r="CU224" s="217">
        <f t="shared" si="581"/>
        <v>-5.0850542815635507</v>
      </c>
      <c r="CV224" s="161"/>
      <c r="CW224" s="161"/>
      <c r="CX224" s="2202">
        <f>SUM(CX219:CX220)</f>
        <v>326.02400000000011</v>
      </c>
      <c r="CY224" s="217">
        <f t="shared" si="582"/>
        <v>-17.746521514260817</v>
      </c>
      <c r="CZ224" s="161"/>
      <c r="DA224" s="161"/>
      <c r="DB224" s="2202">
        <f>SUM(DB219:DB220)</f>
        <v>349.95200000000028</v>
      </c>
      <c r="DC224" s="217">
        <f t="shared" si="583"/>
        <v>26.628576391024783</v>
      </c>
      <c r="DD224" s="161"/>
      <c r="DE224" s="161"/>
      <c r="DF224" s="2202">
        <f>SUM(DF219:DF220)</f>
        <v>388.57799999999992</v>
      </c>
      <c r="DG224" s="217">
        <f t="shared" si="584"/>
        <v>19.186931023482856</v>
      </c>
      <c r="DH224" s="161"/>
      <c r="DI224" s="161"/>
      <c r="DJ224" s="2202">
        <f>SUM(DJ219:DJ220)</f>
        <v>382.95200000000023</v>
      </c>
      <c r="DK224" s="217">
        <f t="shared" si="585"/>
        <v>9.4298646671543196</v>
      </c>
      <c r="DL224" s="161"/>
      <c r="DM224" s="161"/>
      <c r="DN224" s="2202">
        <f>SUM(DN219:DN220)</f>
        <v>237.5410000000002</v>
      </c>
      <c r="DO224" s="217">
        <f t="shared" si="586"/>
        <v>-38.869158830402071</v>
      </c>
      <c r="DP224" s="161"/>
      <c r="DQ224" s="161"/>
      <c r="DR224" s="2202">
        <f>SUM(DR219:DR220)</f>
        <v>197.68481280319423</v>
      </c>
      <c r="DS224" s="217">
        <f t="shared" si="587"/>
        <v>-48.378696859346839</v>
      </c>
      <c r="DT224" s="161"/>
    </row>
    <row r="225" spans="1:138" hidden="1" outlineLevel="1">
      <c r="A225" s="23" t="str">
        <f>$A$16</f>
        <v>9 Mos</v>
      </c>
      <c r="D225" s="1899">
        <f>SUM(D219:D221)</f>
        <v>193.839</v>
      </c>
      <c r="F225" s="1899">
        <f>SUM(F219:F221)</f>
        <v>226.25700000000003</v>
      </c>
      <c r="G225" s="44">
        <f t="shared" si="558"/>
        <v>16.724188630770918</v>
      </c>
      <c r="J225" s="1899">
        <f>SUM(J219:J221)</f>
        <v>202.95699999999997</v>
      </c>
      <c r="K225" s="44">
        <f>+J225/J16*100</f>
        <v>4.9585409907798015</v>
      </c>
      <c r="N225" s="1899">
        <f>SUM(N219:N221)</f>
        <v>202.47600000000017</v>
      </c>
      <c r="O225" s="44">
        <f>+N225/N16*100</f>
        <v>4.4831896992652052</v>
      </c>
      <c r="R225" s="1899">
        <f>SUM(R219:R221)</f>
        <v>194.67199999999988</v>
      </c>
      <c r="S225" s="44">
        <f>+R225/R16*100</f>
        <v>4.0352524924429165</v>
      </c>
      <c r="V225" s="1899">
        <f>SUM(V219:V221)</f>
        <v>191.59799999999981</v>
      </c>
      <c r="W225" s="44">
        <f>+V225/V16*100</f>
        <v>4.0064857232953193</v>
      </c>
      <c r="Z225" s="1899">
        <f>SUM(Z219:Z221)</f>
        <v>131.78600000000017</v>
      </c>
      <c r="AA225" s="44">
        <f>+Z225/Z16*100</f>
        <v>2.5789460500752273</v>
      </c>
      <c r="AD225" s="1899">
        <f>SUM(AD219:AD221)</f>
        <v>119.27100000000006</v>
      </c>
      <c r="AE225" s="44">
        <f>+AD225/AD16*100</f>
        <v>2.1003851348852618</v>
      </c>
      <c r="AH225" s="1899">
        <f>SUM(AH219:AH221)</f>
        <v>174.65600000000029</v>
      </c>
      <c r="AI225" s="44">
        <f>+AH225/AH16*100</f>
        <v>3.2204817446538017</v>
      </c>
      <c r="AL225" s="1899">
        <f>SUM(AL219:AL221)</f>
        <v>123.78499999999987</v>
      </c>
      <c r="AM225" s="44">
        <f>+AL225/AL16*100</f>
        <v>2.168239326958612</v>
      </c>
      <c r="AP225" s="1899">
        <f>SUM(AP219:AP221)</f>
        <v>127.65899999999995</v>
      </c>
      <c r="AQ225" s="44">
        <f>+AP225/AP16*100</f>
        <v>2.6043651509303234</v>
      </c>
      <c r="AT225" s="1899">
        <f>SUM(AT219:AT221)</f>
        <v>216.22499999999997</v>
      </c>
      <c r="AU225" s="44">
        <f>+AT225/AT16*100</f>
        <v>4.119652739328532</v>
      </c>
      <c r="AX225" s="1899">
        <f>SUM(AX219:AX221)</f>
        <v>57.505000000000145</v>
      </c>
      <c r="AY225" s="44">
        <f>+AX225/AX16*100</f>
        <v>1.1300999432444401</v>
      </c>
      <c r="BB225" s="1899">
        <f>SUM(BB219:BB221)</f>
        <v>137.08699999999993</v>
      </c>
      <c r="BC225" s="44">
        <f>+BB225/BB16*100</f>
        <v>2.5021866549071592</v>
      </c>
      <c r="BF225" s="1899">
        <f>SUM(BF219:BF221)</f>
        <v>196.12099999999992</v>
      </c>
      <c r="BG225" s="44">
        <f>+BF225/BF16*100</f>
        <v>3.4388050301121833</v>
      </c>
      <c r="BJ225" s="1899">
        <f>SUM(BJ219:BJ221)</f>
        <v>345.31699999999989</v>
      </c>
      <c r="BK225" s="44">
        <f>+BJ225/BJ16*100</f>
        <v>5.6796586780352927</v>
      </c>
      <c r="BN225" s="2202">
        <f>SUM(BN219:BN221)</f>
        <v>123.91399999999949</v>
      </c>
      <c r="BO225" s="217">
        <f>+BN225/BN16*100</f>
        <v>2.0124455450561389</v>
      </c>
      <c r="BP225" s="161"/>
      <c r="BR225" s="2202">
        <f>SUM(BR219:BR221)</f>
        <v>164.09299999999951</v>
      </c>
      <c r="BS225" s="217">
        <f>+BR225/BR16*100</f>
        <v>2.6649791534846536</v>
      </c>
      <c r="BT225" s="161"/>
      <c r="BV225" s="2202">
        <f>SUM(BV219:BV221)</f>
        <v>235.96699999999984</v>
      </c>
      <c r="BW225" s="217">
        <f>+BV225/BV16*100</f>
        <v>3.5505666127537014</v>
      </c>
      <c r="BX225" s="161"/>
      <c r="BZ225" s="2202">
        <f>SUM(BZ219:BZ221)</f>
        <v>328.94499999999994</v>
      </c>
      <c r="CA225" s="217">
        <f>+BZ225/BZ16*100</f>
        <v>4.7964982333103521</v>
      </c>
      <c r="CB225" s="161"/>
      <c r="CD225" s="2202">
        <f>SUM(CD219:CD221)</f>
        <v>203.99499999999969</v>
      </c>
      <c r="CE225" s="217">
        <f>+CD225/CD16*100</f>
        <v>3.3709383947561409</v>
      </c>
      <c r="CF225" s="161"/>
      <c r="CH225" s="2202">
        <f>SUM(CH219:CH221)</f>
        <v>91.772000000000077</v>
      </c>
      <c r="CI225" s="217">
        <f>+CH225/CH16*100</f>
        <v>1.6478678200711936</v>
      </c>
      <c r="CJ225" s="161"/>
      <c r="CL225" s="2202">
        <f>SUM(CL219:CL221)</f>
        <v>352.4940000000006</v>
      </c>
      <c r="CM225" s="217">
        <f>+CL225/CL16*100</f>
        <v>5.7247047382523091</v>
      </c>
      <c r="CN225" s="161"/>
      <c r="CP225" s="2202">
        <f>SUM(CP219:CP221)</f>
        <v>490.64200000000011</v>
      </c>
      <c r="CQ225" s="217">
        <f>+CP225/CP16*100</f>
        <v>7.1641504243512388</v>
      </c>
      <c r="CR225" s="161"/>
      <c r="CT225" s="2202">
        <f>SUM(CT219:CT221)</f>
        <v>352.00099999999986</v>
      </c>
      <c r="CU225" s="217">
        <f>+CT225/CT16*100</f>
        <v>5.3308664011438287</v>
      </c>
      <c r="CV225" s="161"/>
      <c r="CW225" s="161"/>
      <c r="CX225" s="2202">
        <f>SUM(CX219:CX221)</f>
        <v>418.00800000000015</v>
      </c>
      <c r="CY225" s="217">
        <f>+CX225/CX16*100</f>
        <v>6.0101831834267081</v>
      </c>
      <c r="CZ225" s="161"/>
      <c r="DA225" s="161"/>
      <c r="DB225" s="2202">
        <f>SUM(DB219:DB221)</f>
        <v>481.76000000000045</v>
      </c>
      <c r="DC225" s="217">
        <f>+DB225/DB16*100</f>
        <v>6.5231473156739748</v>
      </c>
      <c r="DD225" s="161"/>
      <c r="DE225" s="161"/>
      <c r="DF225" s="2202">
        <f>SUM(DF219:DF221)</f>
        <v>552.60899999999992</v>
      </c>
      <c r="DG225" s="217">
        <f>+DF225/DF16*100</f>
        <v>7.1223963753959882</v>
      </c>
      <c r="DH225" s="161"/>
      <c r="DI225" s="161"/>
      <c r="DJ225" s="2202">
        <f>SUM(DJ219:DJ221)</f>
        <v>504.59200000000004</v>
      </c>
      <c r="DK225" s="217">
        <f>+DJ225/DJ16*100</f>
        <v>6.2414450893792575</v>
      </c>
      <c r="DL225" s="161"/>
      <c r="DM225" s="161"/>
      <c r="DN225" s="2202">
        <f>SUM(DN219:DN221)</f>
        <v>323.52600000000047</v>
      </c>
      <c r="DO225" s="217">
        <f>+DN225/DN16*100</f>
        <v>4.1428153796095426</v>
      </c>
      <c r="DP225" s="161"/>
      <c r="DQ225" s="161"/>
      <c r="DR225" s="2202">
        <f>SUM(DR219:DR221)</f>
        <v>296.73459966712312</v>
      </c>
      <c r="DS225" s="217" t="e">
        <f>+DR225/DR16*100</f>
        <v>#DIV/0!</v>
      </c>
      <c r="DT225" s="161"/>
    </row>
    <row r="226" spans="1:138" hidden="1" outlineLevel="1">
      <c r="BN226" s="161"/>
      <c r="BO226" s="161"/>
      <c r="BP226" s="161"/>
      <c r="BR226" s="161"/>
      <c r="BS226" s="161"/>
      <c r="BT226" s="161"/>
      <c r="BV226" s="161"/>
      <c r="BW226" s="161"/>
      <c r="BX226" s="161"/>
      <c r="BZ226" s="161"/>
      <c r="CA226" s="161"/>
      <c r="CB226" s="161"/>
      <c r="CD226" s="1856"/>
      <c r="CE226" s="161"/>
      <c r="CF226" s="161"/>
      <c r="CH226" s="161"/>
      <c r="CI226" s="161"/>
      <c r="CJ226" s="161"/>
      <c r="CL226" s="161"/>
      <c r="CM226" s="161"/>
      <c r="CN226" s="161"/>
      <c r="CP226" s="161"/>
      <c r="CQ226" s="161"/>
      <c r="CR226" s="161"/>
      <c r="CT226" s="161"/>
      <c r="CU226" s="161"/>
      <c r="CV226" s="161"/>
      <c r="CW226" s="161"/>
      <c r="CX226" s="161"/>
      <c r="CY226" s="161"/>
      <c r="CZ226" s="161"/>
      <c r="DA226" s="161"/>
      <c r="DB226" s="161"/>
      <c r="DC226" s="161"/>
      <c r="DD226" s="161"/>
      <c r="DE226" s="161"/>
      <c r="DF226" s="161"/>
      <c r="DG226" s="161"/>
      <c r="DH226" s="161"/>
      <c r="DI226" s="161"/>
      <c r="DJ226" s="161"/>
      <c r="DK226" s="161"/>
      <c r="DL226" s="161"/>
      <c r="DM226" s="161"/>
      <c r="DN226" s="161"/>
      <c r="DO226" s="161"/>
      <c r="DP226" s="161"/>
      <c r="DQ226" s="161"/>
      <c r="DR226" s="161"/>
      <c r="DS226" s="161"/>
      <c r="DT226" s="161"/>
    </row>
    <row r="227" spans="1:138" hidden="1" outlineLevel="1">
      <c r="C227" s="1936"/>
      <c r="D227" s="1936"/>
      <c r="E227" s="1936" t="str">
        <f>AX227</f>
        <v>EPS from continuing operations (including special items)   (% Change)</v>
      </c>
      <c r="F227" s="1936"/>
      <c r="J227" s="1936"/>
      <c r="N227" s="1936"/>
      <c r="R227" s="1936"/>
      <c r="V227" s="1936"/>
      <c r="Z227" s="2244"/>
      <c r="AA227" s="2177"/>
      <c r="AB227" s="2177"/>
      <c r="AC227" s="2177"/>
      <c r="AD227" s="2244"/>
      <c r="AE227" s="2177"/>
      <c r="AF227" s="2177"/>
      <c r="AG227" s="2177"/>
      <c r="AI227" s="2177"/>
      <c r="AJ227" s="2177"/>
      <c r="AK227" s="2177"/>
      <c r="AM227" s="2177"/>
      <c r="AN227" s="2177"/>
      <c r="AO227" s="2177"/>
      <c r="AP227" s="2244"/>
      <c r="AQ227" s="2177"/>
      <c r="AR227" s="2177"/>
      <c r="AS227" s="2177"/>
      <c r="AT227" s="2244"/>
      <c r="AU227" s="2177"/>
      <c r="AV227" s="2177"/>
      <c r="AW227" s="2177"/>
      <c r="AX227" s="2244" t="s">
        <v>736</v>
      </c>
      <c r="AY227" s="2177"/>
      <c r="AZ227" s="2177"/>
      <c r="BA227" s="2177"/>
      <c r="BB227" s="2244"/>
      <c r="BC227" s="2177"/>
      <c r="BD227" s="2177"/>
      <c r="BE227" s="2177"/>
      <c r="BF227" s="2244" t="s">
        <v>329</v>
      </c>
      <c r="BG227" s="2177"/>
      <c r="BH227" s="2177"/>
      <c r="BI227" s="2177"/>
      <c r="BJ227" s="2244"/>
      <c r="BK227" s="2177"/>
      <c r="BL227" s="2177"/>
      <c r="BM227" s="2177"/>
      <c r="BN227" s="2245"/>
      <c r="BO227" s="2179"/>
      <c r="BP227" s="2179"/>
      <c r="BQ227" s="2177"/>
      <c r="BR227" s="2245"/>
      <c r="BS227" s="2179"/>
      <c r="BT227" s="2179"/>
      <c r="BU227" s="2177"/>
      <c r="BW227" s="2179"/>
      <c r="BX227" s="2179"/>
      <c r="BY227" s="2177"/>
      <c r="BZ227" s="2245"/>
      <c r="CA227" s="2179"/>
      <c r="CB227" s="2179"/>
      <c r="CC227" s="2177"/>
      <c r="CD227" s="2245"/>
      <c r="CE227" s="2179"/>
      <c r="CF227" s="2179"/>
      <c r="CG227" s="2177"/>
      <c r="CH227" s="2245"/>
      <c r="CI227" s="2179"/>
      <c r="CJ227" s="2179"/>
      <c r="CK227" s="2244" t="s">
        <v>329</v>
      </c>
      <c r="CL227" s="2245"/>
      <c r="CM227" s="2179"/>
      <c r="CN227" s="2179"/>
      <c r="CO227" s="2177"/>
      <c r="CP227" s="2245"/>
      <c r="CQ227" s="2179"/>
      <c r="CR227" s="2179"/>
      <c r="CS227" s="2177"/>
      <c r="CT227" s="2245"/>
      <c r="CU227" s="2179"/>
      <c r="CV227" s="2179"/>
      <c r="CW227" s="2179"/>
      <c r="CX227" s="2179"/>
      <c r="CY227" s="2179"/>
      <c r="CZ227" s="2179"/>
      <c r="DA227" s="2179"/>
      <c r="DB227" s="2179"/>
      <c r="DC227" s="2179"/>
      <c r="DD227" s="2179"/>
      <c r="DE227" s="2179"/>
      <c r="DF227" s="2179"/>
      <c r="DG227" s="2179"/>
      <c r="DH227" s="2179"/>
      <c r="DI227" s="2179"/>
      <c r="DJ227" s="2179"/>
      <c r="DK227" s="2179"/>
      <c r="DL227" s="2179"/>
      <c r="DM227" s="2179"/>
      <c r="DN227" s="2179"/>
      <c r="DO227" s="2179"/>
      <c r="DP227" s="2179"/>
      <c r="DQ227" s="2179"/>
      <c r="DR227" s="2179"/>
      <c r="DS227" s="2179"/>
      <c r="DT227" s="2179"/>
      <c r="DU227" s="2177"/>
    </row>
    <row r="228" spans="1:138" hidden="1" outlineLevel="1">
      <c r="BN228" s="161"/>
      <c r="BO228" s="161"/>
      <c r="BP228" s="161"/>
      <c r="BR228" s="161"/>
      <c r="BS228" s="161"/>
      <c r="BT228" s="161"/>
      <c r="BV228" s="161"/>
      <c r="BW228" s="161"/>
      <c r="BX228" s="161"/>
      <c r="BZ228" s="161"/>
      <c r="CA228" s="161"/>
      <c r="CB228" s="161"/>
      <c r="CD228" s="161"/>
      <c r="CE228" s="161"/>
      <c r="CF228" s="161"/>
      <c r="CH228" s="161"/>
      <c r="CI228" s="161"/>
      <c r="CJ228" s="161"/>
      <c r="CL228" s="161"/>
      <c r="CM228" s="161"/>
      <c r="CN228" s="161"/>
      <c r="CP228" s="161"/>
      <c r="CQ228" s="161"/>
      <c r="CR228" s="161"/>
      <c r="CT228" s="161"/>
      <c r="CU228" s="161"/>
      <c r="CV228" s="161"/>
      <c r="CW228" s="161"/>
      <c r="CX228" s="161"/>
      <c r="CY228" s="161"/>
      <c r="CZ228" s="161"/>
      <c r="DA228" s="161"/>
      <c r="DB228" s="161"/>
      <c r="DC228" s="161"/>
      <c r="DD228" s="161"/>
      <c r="DE228" s="161"/>
      <c r="DF228" s="161"/>
      <c r="DG228" s="161"/>
      <c r="DH228" s="161"/>
      <c r="DI228" s="161"/>
      <c r="DJ228" s="161"/>
      <c r="DK228" s="161"/>
      <c r="DL228" s="161"/>
      <c r="DM228" s="161"/>
      <c r="DN228" s="161"/>
      <c r="DO228" s="161"/>
      <c r="DP228" s="161"/>
      <c r="DQ228" s="161"/>
      <c r="DR228" s="161"/>
      <c r="DS228" s="161"/>
      <c r="DT228" s="161"/>
    </row>
    <row r="229" spans="1:138" hidden="1" outlineLevel="1">
      <c r="A229" s="23" t="str">
        <f>$A$10</f>
        <v>1Q</v>
      </c>
      <c r="B229" s="23" t="str">
        <f>$B$10</f>
        <v>Apr</v>
      </c>
      <c r="D229" s="1857">
        <f>+D219/D160</f>
        <v>8.3507503645102787E-2</v>
      </c>
      <c r="F229" s="1857">
        <f>+F219/F160</f>
        <v>0.11474474059752343</v>
      </c>
      <c r="G229" s="44">
        <f t="shared" ref="G229:G235" si="588">+(F229/D229-1)*100</f>
        <v>37.406503115187448</v>
      </c>
      <c r="J229" s="1857">
        <f>+J219/J160</f>
        <v>9.3324011941656904E-2</v>
      </c>
      <c r="K229" s="44">
        <f t="shared" ref="K229:K235" si="589">IF(F229&lt;0,"       NM",(J229/F229-1)*100)</f>
        <v>-18.668157289231658</v>
      </c>
      <c r="N229" s="1857">
        <f>+N219/N160</f>
        <v>7.769060606476981E-2</v>
      </c>
      <c r="O229" s="44">
        <f t="shared" ref="O229:O235" si="590">IF(J229&lt;0,"       NM",(N229/J229-1)*100)</f>
        <v>-16.751750756986937</v>
      </c>
      <c r="R229" s="1857">
        <f>+R219/R160</f>
        <v>8.0986154068718508E-2</v>
      </c>
      <c r="S229" s="44">
        <f t="shared" ref="S229:S235" si="591">IF(N229&lt;0,"       NM",(R229/N229-1)*100)</f>
        <v>4.2418873669246793</v>
      </c>
      <c r="V229" s="1857">
        <f>+V219/V160</f>
        <v>8.7899011703196778E-2</v>
      </c>
      <c r="W229" s="44">
        <f t="shared" ref="W229:W235" si="592">IF(R229&lt;0,"       NM",(V229/R229-1)*100)</f>
        <v>8.5358512377468276</v>
      </c>
      <c r="Z229" s="1857">
        <f>+Z219/Z160</f>
        <v>7.302372139581427E-2</v>
      </c>
      <c r="AA229" s="44">
        <f t="shared" ref="AA229:AA235" si="593">IF(V229&lt;0,"       NM",(Z229/V229-1)*100)</f>
        <v>-16.923159907202358</v>
      </c>
      <c r="AD229" s="1857">
        <f>+AD219/AD160</f>
        <v>6.9633795075112123E-2</v>
      </c>
      <c r="AE229" s="44">
        <f t="shared" ref="AE229:AE235" si="594">IF(Z229&lt;0,"       NM",(AD229/Z229-1)*100)</f>
        <v>-4.6422261915789687</v>
      </c>
      <c r="AH229" s="1857">
        <f>+AH219/AH160</f>
        <v>7.6795783552126531E-2</v>
      </c>
      <c r="AI229" s="44">
        <f t="shared" ref="AI229:AI235" si="595">IF(AD229&lt;0,"       NM",(AH229/AD229-1)*100)</f>
        <v>10.285219223351195</v>
      </c>
      <c r="AL229" s="1857">
        <f>+AL219/AL160</f>
        <v>7.1530046881659232E-2</v>
      </c>
      <c r="AM229" s="44">
        <f t="shared" ref="AM229:AM235" si="596">IF(AH229&lt;0,"       NM",(AL229/AH229-1)*100)</f>
        <v>-6.8568044063162521</v>
      </c>
      <c r="AP229" s="1857">
        <f>+AP219/AP160</f>
        <v>6.6322798098263636E-2</v>
      </c>
      <c r="AQ229" s="44">
        <f t="shared" ref="AQ229:AQ235" si="597">IF(AL229&lt;0,"       NM",(AP229/AL229-1)*100)</f>
        <v>-7.2798061939069791</v>
      </c>
      <c r="AT229" s="1857">
        <f>+AT219/AT160</f>
        <v>0.12255766715824037</v>
      </c>
      <c r="AU229" s="44">
        <f t="shared" ref="AU229:AU235" si="598">IF(AP229&lt;0,"       NM",(AT229/AP229-1)*100)</f>
        <v>84.789651028684503</v>
      </c>
      <c r="AX229" s="1857">
        <f>+AX219/AX160</f>
        <v>4.3695892062841968E-2</v>
      </c>
      <c r="AY229" s="44">
        <f t="shared" ref="AY229:AY235" si="599">IF(AT229&lt;0,"       NM",(AX229/AT229-1)*100)</f>
        <v>-64.34666791884672</v>
      </c>
      <c r="BB229" s="1857">
        <f>+BB219/BB160</f>
        <v>8.0588027253147163E-2</v>
      </c>
      <c r="BC229" s="44">
        <f t="shared" ref="BC229:BC235" si="600">IF(AX229&lt;0,"       NM",(BB229/AX229-1)*100)</f>
        <v>84.429298610606594</v>
      </c>
      <c r="BF229" s="1857">
        <f>+BF219/BF160</f>
        <v>9.4574902472715008E-2</v>
      </c>
      <c r="BG229" s="44">
        <f t="shared" ref="BG229:BG235" si="601">IF(BB229&lt;0,"       NM",(BF229/BB229-1)*100)</f>
        <v>17.356021354923556</v>
      </c>
      <c r="BJ229" s="1857">
        <f>+BJ219/BJ160</f>
        <v>0.21852634356344799</v>
      </c>
      <c r="BK229" s="44">
        <f t="shared" ref="BK229:BK235" si="602">IF(BF229&lt;0,"       NM",(BJ229/BF229-1)*100)</f>
        <v>131.06166419414825</v>
      </c>
      <c r="BN229" s="2231">
        <f>+BN219/BN160</f>
        <v>5.5472468686636099E-2</v>
      </c>
      <c r="BO229" s="217">
        <f t="shared" ref="BO229:BO235" si="603">IF(BJ229&lt;0,"       NM",(BN229/BJ229-1)*100)</f>
        <v>-74.615203008451033</v>
      </c>
      <c r="BP229" s="161"/>
      <c r="BR229" s="2231">
        <f>+BR219/BR160</f>
        <v>0.19956427328549445</v>
      </c>
      <c r="BS229" s="217">
        <f t="shared" ref="BS229:BS235" si="604">IF(BN229&lt;0,"       NM",(BR229/BN229-1)*100)</f>
        <v>259.75372650680606</v>
      </c>
      <c r="BT229" s="161"/>
      <c r="BV229" s="2231">
        <f>+BV219/BV160</f>
        <v>0.24819250028095827</v>
      </c>
      <c r="BW229" s="217">
        <f t="shared" ref="BW229:BW235" si="605">IF(BN229&lt;0,"       NM",(BV229/BN229-1)*100)</f>
        <v>347.41563906772814</v>
      </c>
      <c r="BX229" s="161"/>
      <c r="BZ229" s="2231">
        <f>+BZ219/BZ160</f>
        <v>0.1295732758196193</v>
      </c>
      <c r="CA229" s="217">
        <f t="shared" ref="CA229:CA235" si="606">IF(BR229&lt;0,"       NM",(BZ229/BR229-1)*100)</f>
        <v>-35.071907568218286</v>
      </c>
      <c r="CB229" s="161"/>
      <c r="CD229" s="2231">
        <f>+CD219/CD160</f>
        <v>0.28412858458740003</v>
      </c>
      <c r="CE229" s="217">
        <f t="shared" ref="CE229:CE235" si="607">IF(BV229&lt;0,"       NM",(CD229/BV229-1)*100)</f>
        <v>14.479117727474232</v>
      </c>
      <c r="CF229" s="161"/>
      <c r="CH229" s="2231">
        <f>+CH219/CH160</f>
        <v>8.04553257961238E-3</v>
      </c>
      <c r="CI229" s="217">
        <f t="shared" ref="CI229:CI235" si="608">IF(BZ229&lt;0,"       NM",(CH229/BZ229-1)*100)</f>
        <v>-93.790746950927854</v>
      </c>
      <c r="CJ229" s="161"/>
      <c r="CL229" s="2231">
        <f>+CL219/CL160</f>
        <v>0.33794135140493509</v>
      </c>
      <c r="CM229" s="217">
        <f t="shared" ref="CM229:CM235" si="609">IF(CD229&lt;0,"       NM",(CL229/CD229-1)*100)</f>
        <v>18.939582195040238</v>
      </c>
      <c r="CN229" s="161"/>
      <c r="CP229" s="2231">
        <f>+CP219/CP160</f>
        <v>0.50284651355366627</v>
      </c>
      <c r="CQ229" s="217">
        <f t="shared" ref="CQ229:CQ235" si="610">IF(CH229&lt;0,"       NM",(CP229/CH229-1)*100)</f>
        <v>6150.0090401460102</v>
      </c>
      <c r="CR229" s="161"/>
      <c r="CT229" s="2231">
        <f>+CT219/CT160</f>
        <v>0.41348701027094925</v>
      </c>
      <c r="CU229" s="217">
        <f t="shared" ref="CU229:CU235" si="611">IF(CL229&lt;0,"       NM",(CT229/CL229-1)*100)</f>
        <v>22.354665551269658</v>
      </c>
      <c r="CV229" s="161"/>
      <c r="CW229" s="161"/>
      <c r="CX229" s="2231">
        <f>+CX219/CX160</f>
        <v>0.48271341463414658</v>
      </c>
      <c r="CY229" s="217">
        <f>IF(CP229&lt;0,"       NM",(CX229/CP229-1)*100)</f>
        <v>-4.0038258945532039</v>
      </c>
      <c r="CZ229" s="161"/>
      <c r="DA229" s="161"/>
      <c r="DB229" s="2231">
        <f>+DB219/DB160</f>
        <v>0.52798294116855726</v>
      </c>
      <c r="DC229" s="217">
        <f>IF(CT229&lt;0,"       NM",(DB229/CT229-1)*100)</f>
        <v>27.690333203594776</v>
      </c>
      <c r="DD229" s="161"/>
      <c r="DE229" s="161"/>
      <c r="DF229" s="2231">
        <f>+DF219/DF160</f>
        <v>0.60669312001283626</v>
      </c>
      <c r="DG229" s="217">
        <f>IF(CX229&lt;0,"       NM",(DF229/CX229-1)*100)</f>
        <v>25.683915470353181</v>
      </c>
      <c r="DH229" s="161"/>
      <c r="DI229" s="161"/>
      <c r="DJ229" s="2231">
        <f>+DJ219/DJ160</f>
        <v>0.5932003087663692</v>
      </c>
      <c r="DK229" s="217">
        <f>IF(DB229&lt;0,"       NM",(DJ229/DB229-1)*100)</f>
        <v>12.352173245118436</v>
      </c>
      <c r="DL229" s="161"/>
      <c r="DM229" s="161"/>
      <c r="DN229" s="2231">
        <f>+DN219/DN160</f>
        <v>0.32507854434601718</v>
      </c>
      <c r="DO229" s="217">
        <f>IF(DF229&lt;0,"       NM",(DN229/DF229-1)*100)</f>
        <v>-46.417960971909608</v>
      </c>
      <c r="DP229" s="161"/>
      <c r="DQ229" s="161"/>
      <c r="DR229" s="2231">
        <f>+DR219/DR160</f>
        <v>0.18119507460263626</v>
      </c>
      <c r="DS229" s="217">
        <f>IF(DJ229&lt;0,"       NM",(DR229/DJ229-1)*100)</f>
        <v>-69.454656053795219</v>
      </c>
      <c r="DT229" s="161"/>
    </row>
    <row r="230" spans="1:138" hidden="1" outlineLevel="1">
      <c r="A230" s="23" t="str">
        <f>$A$11</f>
        <v>2Q</v>
      </c>
      <c r="B230" s="23" t="str">
        <f>$B$11</f>
        <v>Jul</v>
      </c>
      <c r="D230" s="1898">
        <f>+D220/D161</f>
        <v>0.11774533585878164</v>
      </c>
      <c r="F230" s="1898">
        <f>+F220/F161</f>
        <v>0.14524678628274815</v>
      </c>
      <c r="G230" s="44">
        <f t="shared" si="588"/>
        <v>23.356721710786488</v>
      </c>
      <c r="J230" s="1898">
        <f>+J220/J161</f>
        <v>0.14532630777626426</v>
      </c>
      <c r="K230" s="44">
        <f t="shared" si="589"/>
        <v>5.4749227539740986E-2</v>
      </c>
      <c r="N230" s="1898">
        <f>+N220/N161</f>
        <v>0.14695421410795692</v>
      </c>
      <c r="O230" s="44">
        <f t="shared" si="590"/>
        <v>1.1201731858480057</v>
      </c>
      <c r="R230" s="1898">
        <f>+R220/R161</f>
        <v>0.12500515267018247</v>
      </c>
      <c r="S230" s="44">
        <f t="shared" si="591"/>
        <v>-14.935986402982648</v>
      </c>
      <c r="V230" s="1898">
        <f>+V220/V161</f>
        <v>0.10006859360796794</v>
      </c>
      <c r="W230" s="44">
        <f t="shared" si="592"/>
        <v>-19.948424948536271</v>
      </c>
      <c r="Z230" s="1898">
        <f>+Z220/Z161</f>
        <v>9.0561370176704722E-2</v>
      </c>
      <c r="AA230" s="44">
        <f t="shared" si="593"/>
        <v>-9.5007065538554762</v>
      </c>
      <c r="AD230" s="1898">
        <f>+AD220/AD161</f>
        <v>0.10124584829539696</v>
      </c>
      <c r="AE230" s="44">
        <f t="shared" si="594"/>
        <v>11.798052633086842</v>
      </c>
      <c r="AH230" s="1898">
        <f>+AH220/AH161</f>
        <v>9.117180141417483E-2</v>
      </c>
      <c r="AI230" s="44">
        <f t="shared" si="595"/>
        <v>-9.9500839301873256</v>
      </c>
      <c r="AL230" s="1898">
        <f>+AL220/AL161</f>
        <v>0.10248847965519885</v>
      </c>
      <c r="AM230" s="44">
        <f t="shared" si="596"/>
        <v>12.412476298032837</v>
      </c>
      <c r="AP230" s="1898">
        <f>+AP220/AP161</f>
        <v>8.3709447902143019E-2</v>
      </c>
      <c r="AQ230" s="44">
        <f t="shared" si="597"/>
        <v>-18.323065983839328</v>
      </c>
      <c r="AT230" s="1898">
        <f>+AT220/AT161</f>
        <v>0.17300723465984166</v>
      </c>
      <c r="AU230" s="44">
        <f t="shared" si="598"/>
        <v>106.67587589645606</v>
      </c>
      <c r="AX230" s="1898">
        <f>+AX220/AX161</f>
        <v>8.9734183430684983E-2</v>
      </c>
      <c r="AY230" s="44">
        <f t="shared" si="599"/>
        <v>-48.132698839377476</v>
      </c>
      <c r="BB230" s="1898">
        <f>+BB220/BB161</f>
        <v>0.15579228936579204</v>
      </c>
      <c r="BC230" s="44">
        <f t="shared" si="600"/>
        <v>73.615319613548962</v>
      </c>
      <c r="BF230" s="1898">
        <f>+BF220/BF161</f>
        <v>0.19371024493301001</v>
      </c>
      <c r="BG230" s="44">
        <f t="shared" si="601"/>
        <v>24.338788345415875</v>
      </c>
      <c r="BJ230" s="1898">
        <f>+BJ220/BJ161</f>
        <v>0.28593825474290824</v>
      </c>
      <c r="BK230" s="44">
        <f t="shared" si="602"/>
        <v>47.611322695809434</v>
      </c>
      <c r="BN230" s="2269">
        <f>+BN220/BN161</f>
        <v>0.27448005670343262</v>
      </c>
      <c r="BO230" s="217">
        <f t="shared" si="603"/>
        <v>-4.0072280813834738</v>
      </c>
      <c r="BP230" s="161"/>
      <c r="BR230" s="2269">
        <f>+BR220/BR161</f>
        <v>0.19785760059033641</v>
      </c>
      <c r="BS230" s="217">
        <f t="shared" si="604"/>
        <v>-27.915491213951636</v>
      </c>
      <c r="BT230" s="161"/>
      <c r="BV230" s="2269">
        <f>+BV220/BV161</f>
        <v>0.28105124234794621</v>
      </c>
      <c r="BW230" s="217">
        <f t="shared" si="605"/>
        <v>2.3940484869593215</v>
      </c>
      <c r="BX230" s="161"/>
      <c r="BZ230" s="2269">
        <f>+BZ220/BZ161</f>
        <v>0.66713300134344833</v>
      </c>
      <c r="CA230" s="217">
        <f t="shared" si="606"/>
        <v>237.17835420674351</v>
      </c>
      <c r="CB230" s="161"/>
      <c r="CD230" s="2269">
        <f>+CD220/CD161</f>
        <v>0.29884205840664363</v>
      </c>
      <c r="CE230" s="217">
        <f t="shared" si="607"/>
        <v>6.3300969282577002</v>
      </c>
      <c r="CF230" s="161"/>
      <c r="CH230" s="2269">
        <f>+CH220/CH161</f>
        <v>0.22817833753457981</v>
      </c>
      <c r="CI230" s="217">
        <f t="shared" si="608"/>
        <v>-65.797174315304076</v>
      </c>
      <c r="CJ230" s="161"/>
      <c r="CL230" s="2269">
        <f>+CL220/CL161</f>
        <v>0.53534466743772224</v>
      </c>
      <c r="CM230" s="217">
        <f t="shared" si="609"/>
        <v>79.139666716276651</v>
      </c>
      <c r="CN230" s="161"/>
      <c r="CP230" s="2269">
        <f>+CP220/CP161</f>
        <v>0.73441550190597238</v>
      </c>
      <c r="CQ230" s="217">
        <f t="shared" si="610"/>
        <v>221.86030884490674</v>
      </c>
      <c r="CR230" s="161"/>
      <c r="CT230" s="2269">
        <f>+CT220/CT161</f>
        <v>0.51279600040536444</v>
      </c>
      <c r="CU230" s="217">
        <f t="shared" si="611"/>
        <v>-4.2119905929540185</v>
      </c>
      <c r="CV230" s="161"/>
      <c r="CW230" s="161"/>
      <c r="CX230" s="2269">
        <f>+CX220/CX161</f>
        <v>0.62112951098746771</v>
      </c>
      <c r="CY230" s="217">
        <f>IF(CP230&lt;0,"       NM",(CX230/CP230-1)*100)</f>
        <v>-15.425326756380031</v>
      </c>
      <c r="CZ230" s="161"/>
      <c r="DA230" s="161"/>
      <c r="DB230" s="2269">
        <f>+DB220/DB161</f>
        <v>0.64898332559813332</v>
      </c>
      <c r="DC230" s="217">
        <f>IF(CT230&lt;0,"       NM",(DB230/CT230-1)*100)</f>
        <v>26.557797854334474</v>
      </c>
      <c r="DD230" s="161"/>
      <c r="DE230" s="161"/>
      <c r="DF230" s="2269">
        <f>+DF220/DF161</f>
        <v>0.69747703872851663</v>
      </c>
      <c r="DG230" s="217">
        <f>IF(CX230&lt;0,"       NM",(DF230/CX230-1)*100)</f>
        <v>12.291724413427429</v>
      </c>
      <c r="DH230" s="161"/>
      <c r="DI230" s="161"/>
      <c r="DJ230" s="2269">
        <f>+DJ220/DJ161</f>
        <v>0.71919611252775117</v>
      </c>
      <c r="DK230" s="217">
        <f>IF(DB230&lt;0,"       NM",(DJ230/DB230-1)*100)</f>
        <v>10.81888920102938</v>
      </c>
      <c r="DL230" s="161"/>
      <c r="DM230" s="161"/>
      <c r="DN230" s="2269">
        <f>+DN220/DN161</f>
        <v>0.49660478445053607</v>
      </c>
      <c r="DO230" s="217">
        <f>IF(DF230&lt;0,"       NM",(DN230/DF230-1)*100)</f>
        <v>-28.79983757517892</v>
      </c>
      <c r="DP230" s="161"/>
      <c r="DQ230" s="161"/>
      <c r="DR230" s="2269">
        <f>+DR220/DR161</f>
        <v>0.51793277576405961</v>
      </c>
      <c r="DS230" s="217">
        <f>IF(DJ230&lt;0,"       NM",(DR230/DJ230-1)*100)</f>
        <v>-27.984486186432989</v>
      </c>
      <c r="DT230" s="161"/>
    </row>
    <row r="231" spans="1:138" hidden="1" outlineLevel="1">
      <c r="A231" s="23" t="str">
        <f>$A$12</f>
        <v>3Q</v>
      </c>
      <c r="B231" s="23" t="str">
        <f>$B$12</f>
        <v>Oct</v>
      </c>
      <c r="D231" s="1898">
        <f>+D221/D162</f>
        <v>0.15641662197304382</v>
      </c>
      <c r="F231" s="1898">
        <f>+F221/F162</f>
        <v>0.15659643367237336</v>
      </c>
      <c r="G231" s="44">
        <f t="shared" si="588"/>
        <v>0.11495689975999923</v>
      </c>
      <c r="J231" s="1898">
        <f>+J221/J162</f>
        <v>0.133637755710212</v>
      </c>
      <c r="K231" s="44">
        <f t="shared" si="589"/>
        <v>-14.661047779794822</v>
      </c>
      <c r="N231" s="1898">
        <f>+N221/N162</f>
        <v>0.14671372803627006</v>
      </c>
      <c r="O231" s="44">
        <f t="shared" si="590"/>
        <v>9.7846392709652896</v>
      </c>
      <c r="R231" s="1898">
        <f>+R221/R162</f>
        <v>0.1506418977416083</v>
      </c>
      <c r="S231" s="44">
        <f t="shared" si="591"/>
        <v>2.6774384087405512</v>
      </c>
      <c r="V231" s="1898">
        <f>+V221/V162</f>
        <v>0.16809657425906235</v>
      </c>
      <c r="W231" s="44">
        <f t="shared" si="592"/>
        <v>11.58686711939434</v>
      </c>
      <c r="Z231" s="1898">
        <f>+Z221/Z162</f>
        <v>8.1379323154649325E-2</v>
      </c>
      <c r="AA231" s="44">
        <f t="shared" si="593"/>
        <v>-51.587756316061849</v>
      </c>
      <c r="AD231" s="1898">
        <f>+AD221/AD162</f>
        <v>0.11168030775873919</v>
      </c>
      <c r="AE231" s="44">
        <f t="shared" si="594"/>
        <v>37.234254881313447</v>
      </c>
      <c r="AH231" s="1898">
        <f>+AH221/AH162</f>
        <v>0.2162477456181825</v>
      </c>
      <c r="AI231" s="44">
        <f t="shared" si="595"/>
        <v>93.631043787359829</v>
      </c>
      <c r="AL231" s="1898">
        <f>+AL221/AL162</f>
        <v>9.1808337517095537E-2</v>
      </c>
      <c r="AM231" s="44">
        <f t="shared" si="596"/>
        <v>-57.544834858442037</v>
      </c>
      <c r="AP231" s="1898">
        <f>+AP221/AP162</f>
        <v>8.0389308810332058E-2</v>
      </c>
      <c r="AQ231" s="44">
        <f t="shared" si="597"/>
        <v>-12.43789944964111</v>
      </c>
      <c r="AT231" s="1898">
        <f>+AT221/AT162</f>
        <v>0.10573961055114237</v>
      </c>
      <c r="AU231" s="44">
        <f t="shared" si="598"/>
        <v>31.534419335064801</v>
      </c>
      <c r="AV231" s="161"/>
      <c r="AW231" s="161"/>
      <c r="AX231" s="2276">
        <f>+AX221/AX162</f>
        <v>-2.4617014481833763E-2</v>
      </c>
      <c r="AY231" s="44">
        <f t="shared" si="599"/>
        <v>-123.28078792188045</v>
      </c>
      <c r="BB231" s="2276">
        <f>+BB221/BB162</f>
        <v>1.9549744074366129E-2</v>
      </c>
      <c r="BC231" s="44" t="str">
        <f t="shared" si="600"/>
        <v xml:space="preserve">       NM</v>
      </c>
      <c r="BF231" s="1898">
        <f>+BF221/BF162</f>
        <v>8.4515046340440214E-2</v>
      </c>
      <c r="BG231" s="44">
        <f t="shared" si="601"/>
        <v>332.30768658121417</v>
      </c>
      <c r="BJ231" s="1898">
        <f>+BJ221/BJ162</f>
        <v>0.19867763566424532</v>
      </c>
      <c r="BK231" s="44">
        <f t="shared" si="602"/>
        <v>135.07960329802083</v>
      </c>
      <c r="BN231" s="2269">
        <f>+BN221/BN162</f>
        <v>-3.0147824276494293E-2</v>
      </c>
      <c r="BO231" s="217">
        <f t="shared" si="603"/>
        <v>-115.17424151726998</v>
      </c>
      <c r="BP231" s="161"/>
      <c r="BR231" s="2269">
        <f>+BR221/BR162</f>
        <v>-1.7040790612849164E-3</v>
      </c>
      <c r="BS231" s="217" t="str">
        <f t="shared" si="604"/>
        <v xml:space="preserve">       NM</v>
      </c>
      <c r="BT231" s="161"/>
      <c r="BV231" s="2269">
        <f>+BV221/BV162</f>
        <v>5.8492744391584424E-2</v>
      </c>
      <c r="BW231" s="217" t="str">
        <f t="shared" si="605"/>
        <v xml:space="preserve">       NM</v>
      </c>
      <c r="BX231" s="161"/>
      <c r="BZ231" s="2269">
        <f>+BZ221/BZ162</f>
        <v>3.3248852661141033E-2</v>
      </c>
      <c r="CA231" s="217" t="str">
        <f t="shared" si="606"/>
        <v xml:space="preserve">       NM</v>
      </c>
      <c r="CB231" s="161"/>
      <c r="CD231" s="2269">
        <f>+CD221/CD162</f>
        <v>1.2254318265343464E-2</v>
      </c>
      <c r="CE231" s="217">
        <f t="shared" si="607"/>
        <v>-79.049849014937763</v>
      </c>
      <c r="CF231" s="161"/>
      <c r="CH231" s="2269">
        <f>+CH221/CH162</f>
        <v>4.5250853746584399E-2</v>
      </c>
      <c r="CI231" s="217">
        <f t="shared" si="608"/>
        <v>36.097489461555085</v>
      </c>
      <c r="CJ231" s="161"/>
      <c r="CL231" s="2269">
        <f>+CL221/CL162</f>
        <v>0.18473045144149874</v>
      </c>
      <c r="CM231" s="217">
        <f t="shared" si="609"/>
        <v>1407.4722839860983</v>
      </c>
      <c r="CN231" s="161"/>
      <c r="CP231" s="2269">
        <f>+CP221/CP162</f>
        <v>0.30616572705307765</v>
      </c>
      <c r="CQ231" s="217">
        <f t="shared" si="610"/>
        <v>576.59657598435365</v>
      </c>
      <c r="CR231" s="161"/>
      <c r="CT231" s="2269">
        <f>+CT221/CT162</f>
        <v>0.25694156651471073</v>
      </c>
      <c r="CU231" s="217">
        <f t="shared" si="611"/>
        <v>39.089990042102031</v>
      </c>
      <c r="CV231" s="161"/>
      <c r="CW231" s="161"/>
      <c r="CX231" s="2269">
        <f>+CX221/CX162</f>
        <v>0.31018668393223292</v>
      </c>
      <c r="CY231" s="217">
        <f>IF(CP231&lt;0,"       NM",(CX231/CP231-1)*100)</f>
        <v>1.3133269088797084</v>
      </c>
      <c r="CZ231" s="161"/>
      <c r="DA231" s="161"/>
      <c r="DB231" s="2269">
        <f>+DB221/DB162</f>
        <v>0.44210992372557362</v>
      </c>
      <c r="DC231" s="217">
        <f>IF(CT231&lt;0,"       NM",(DB231/CT231-1)*100)</f>
        <v>72.066329991905548</v>
      </c>
      <c r="DD231" s="161"/>
      <c r="DE231" s="161"/>
      <c r="DF231" s="2269">
        <f>+DF221/DF162</f>
        <v>0.55430297746373192</v>
      </c>
      <c r="DG231" s="217">
        <f>IF(CX231&lt;0,"       NM",(DF231/CX231-1)*100)</f>
        <v>78.699797952910046</v>
      </c>
      <c r="DH231" s="161"/>
      <c r="DI231" s="161"/>
      <c r="DJ231" s="2269">
        <f>+DJ221/DJ162</f>
        <v>0.41906533684736297</v>
      </c>
      <c r="DK231" s="217">
        <f>IF(DB231&lt;0,"       NM",(DJ231/DB231-1)*100)</f>
        <v>-5.2124111316069204</v>
      </c>
      <c r="DL231" s="161"/>
      <c r="DM231" s="161"/>
      <c r="DN231" s="2269">
        <f>+DN221/DN162</f>
        <v>0.30123985327760683</v>
      </c>
      <c r="DO231" s="217">
        <f>IF(DF231&lt;0,"       NM",(DN231/DF231-1)*100)</f>
        <v>-45.654296382105045</v>
      </c>
      <c r="DP231" s="161"/>
      <c r="DQ231" s="161"/>
      <c r="DR231" s="2269">
        <f>+DR221/DR162</f>
        <v>0.35186425173686992</v>
      </c>
      <c r="DS231" s="217">
        <f>IF(DJ231&lt;0,"       NM",(DR231/DJ231-1)*100)</f>
        <v>-16.035944565601202</v>
      </c>
      <c r="DT231" s="161"/>
    </row>
    <row r="232" spans="1:138" hidden="1" outlineLevel="1">
      <c r="A232" s="23" t="str">
        <f>$A$13</f>
        <v>4Q</v>
      </c>
      <c r="B232" s="23" t="str">
        <f>$B$13</f>
        <v>Jan</v>
      </c>
      <c r="C232" s="139"/>
      <c r="D232" s="2279">
        <f>+D222/D163</f>
        <v>0.28227907619969639</v>
      </c>
      <c r="E232" s="139"/>
      <c r="F232" s="2279">
        <f>+F222/F163</f>
        <v>0.31717969973289073</v>
      </c>
      <c r="G232" s="44">
        <f t="shared" si="588"/>
        <v>12.363871953620876</v>
      </c>
      <c r="J232" s="2279">
        <f>+J222/J163</f>
        <v>0.36716120584357009</v>
      </c>
      <c r="K232" s="44">
        <f t="shared" si="589"/>
        <v>15.758103735128914</v>
      </c>
      <c r="N232" s="2279">
        <f>+N222/N163</f>
        <v>0.44634888391733929</v>
      </c>
      <c r="O232" s="44">
        <f t="shared" si="590"/>
        <v>21.567550387528488</v>
      </c>
      <c r="R232" s="2279">
        <f>+R222/R163</f>
        <v>0.36240981380826059</v>
      </c>
      <c r="S232" s="44">
        <f t="shared" si="591"/>
        <v>-18.805708523878295</v>
      </c>
      <c r="V232" s="2279">
        <f>+V222/V163</f>
        <v>0.47767622502849016</v>
      </c>
      <c r="W232" s="44">
        <f t="shared" si="592"/>
        <v>31.805543566547389</v>
      </c>
      <c r="Z232" s="2279">
        <f>+Z222/Z163</f>
        <v>0.37773539955148677</v>
      </c>
      <c r="AA232" s="44">
        <f t="shared" si="593"/>
        <v>-20.922294273917984</v>
      </c>
      <c r="AD232" s="2279">
        <f>+AD222/AD163</f>
        <v>0.59296282956875834</v>
      </c>
      <c r="AE232" s="44">
        <f t="shared" si="594"/>
        <v>56.978358468077658</v>
      </c>
      <c r="AH232" s="2279">
        <f>+AH222/AH163</f>
        <v>-0.10343401090383324</v>
      </c>
      <c r="AI232" s="44">
        <f t="shared" si="595"/>
        <v>-117.44359102223277</v>
      </c>
      <c r="AL232" s="2279">
        <f>+AL222/AL163</f>
        <v>0.54255488970286869</v>
      </c>
      <c r="AM232" s="44" t="str">
        <f t="shared" si="596"/>
        <v xml:space="preserve">       NM</v>
      </c>
      <c r="AP232" s="2279">
        <f>+AP222/AP163</f>
        <v>0.6379349687310425</v>
      </c>
      <c r="AQ232" s="44">
        <f t="shared" si="597"/>
        <v>17.579802677736247</v>
      </c>
      <c r="AT232" s="2279">
        <f>+AT222/AT163</f>
        <v>0.46001206941606193</v>
      </c>
      <c r="AU232" s="44">
        <f t="shared" si="598"/>
        <v>-27.890444643424772</v>
      </c>
      <c r="AX232" s="2279">
        <f>+AX222/AX163</f>
        <v>0.6734973144948857</v>
      </c>
      <c r="AY232" s="44">
        <f t="shared" si="599"/>
        <v>46.408618223826473</v>
      </c>
      <c r="BB232" s="2279">
        <f>+BB222/BB163</f>
        <v>0.67306478685386928</v>
      </c>
      <c r="BC232" s="44">
        <f t="shared" si="600"/>
        <v>-6.4221138185360793E-2</v>
      </c>
      <c r="BF232" s="2279">
        <f>+BF222/BF163</f>
        <v>0.73814325021659921</v>
      </c>
      <c r="BG232" s="44">
        <f t="shared" si="601"/>
        <v>9.6689746119283058</v>
      </c>
      <c r="BJ232" s="2279">
        <f>+BJ222/BJ163</f>
        <v>0.87155064372792523</v>
      </c>
      <c r="BK232" s="44">
        <f t="shared" si="602"/>
        <v>18.073374439470836</v>
      </c>
      <c r="BN232" s="2283">
        <f>+BN222/BN163</f>
        <v>1.0483355280160478</v>
      </c>
      <c r="BO232" s="217">
        <f t="shared" si="603"/>
        <v>20.283948564589682</v>
      </c>
      <c r="BP232" s="161"/>
      <c r="BR232" s="2283">
        <f>+BR222/BR163</f>
        <v>1.2778492929839891</v>
      </c>
      <c r="BS232" s="217">
        <f t="shared" si="604"/>
        <v>21.893159092136383</v>
      </c>
      <c r="BT232" s="161"/>
      <c r="BV232" s="2283">
        <f>+BV222/BV163</f>
        <v>1.0849607736714855</v>
      </c>
      <c r="BW232" s="217">
        <f t="shared" si="605"/>
        <v>3.4936568185140349</v>
      </c>
      <c r="BX232" s="161"/>
      <c r="BZ232" s="2283">
        <f>+BZ222/BZ163</f>
        <v>1.098175168039436</v>
      </c>
      <c r="CA232" s="217">
        <f t="shared" si="606"/>
        <v>-14.060666303221424</v>
      </c>
      <c r="CB232" s="161"/>
      <c r="CD232" s="2283">
        <f>+CD222/CD163</f>
        <v>4.9792402840510071E-2</v>
      </c>
      <c r="CE232" s="217">
        <f t="shared" si="607"/>
        <v>-95.410672528554784</v>
      </c>
      <c r="CF232" s="161"/>
      <c r="CH232" s="2283">
        <f>+CH222/CH163</f>
        <v>1.0797043226739509</v>
      </c>
      <c r="CI232" s="217">
        <f t="shared" si="608"/>
        <v>-1.6819580248259469</v>
      </c>
      <c r="CJ232" s="161"/>
      <c r="CL232" s="2283">
        <f>+CL222/CL163</f>
        <v>1.3587412692452128</v>
      </c>
      <c r="CM232" s="217">
        <f t="shared" si="609"/>
        <v>2628.8124126031712</v>
      </c>
      <c r="CN232" s="161"/>
      <c r="CP232" s="2283">
        <f>+CP222/CP163</f>
        <v>1.1746276685091246</v>
      </c>
      <c r="CQ232" s="217">
        <f t="shared" si="610"/>
        <v>8.7916056129228473</v>
      </c>
      <c r="CR232" s="161"/>
      <c r="CT232" s="2283">
        <f>+CT222/CT163</f>
        <v>1.7575838712625631</v>
      </c>
      <c r="CU232" s="217">
        <f t="shared" si="611"/>
        <v>29.353829978161272</v>
      </c>
      <c r="CV232" s="161"/>
      <c r="CW232" s="161"/>
      <c r="CX232" s="2283">
        <f>+CX222/CX163</f>
        <v>1.6484522823532588</v>
      </c>
      <c r="CY232" s="217">
        <f>IF(CP232&lt;0,"       NM",(CX232/CP232-1)*100)</f>
        <v>40.33828135902229</v>
      </c>
      <c r="CZ232" s="161"/>
      <c r="DA232" s="161"/>
      <c r="DB232" s="2283">
        <f>+DB222/DB163</f>
        <v>1.8887540128410902</v>
      </c>
      <c r="DC232" s="217">
        <f>IF(CT232&lt;0,"       NM",(DB232/CT232-1)*100)</f>
        <v>7.4630942922969012</v>
      </c>
      <c r="DD232" s="161"/>
      <c r="DE232" s="161"/>
      <c r="DF232" s="2283">
        <f>+DF222/DF163</f>
        <v>2.1547189115572496</v>
      </c>
      <c r="DG232" s="217">
        <f>IF(CX232&lt;0,"       NM",(DF232/CX232-1)*100)</f>
        <v>30.711633853378316</v>
      </c>
      <c r="DH232" s="161"/>
      <c r="DI232" s="161"/>
      <c r="DJ232" s="2283">
        <f>+DJ222/DJ163</f>
        <v>2.0328462500559903</v>
      </c>
      <c r="DK232" s="217">
        <f>IF(DB232&lt;0,"       NM",(DJ232/DB232-1)*100)</f>
        <v>7.6289573038764491</v>
      </c>
      <c r="DL232" s="161"/>
      <c r="DM232" s="161"/>
      <c r="DN232" s="2283">
        <f>+DN222/DN163</f>
        <v>2.1109314586994752</v>
      </c>
      <c r="DO232" s="217">
        <f>IF(DF232&lt;0,"       NM",(DN232/DF232-1)*100)</f>
        <v>-2.0321654310876514</v>
      </c>
      <c r="DP232" s="161"/>
      <c r="DQ232" s="161"/>
      <c r="DR232" s="2283">
        <f>+DR222/DR163</f>
        <v>2.2038298049123282</v>
      </c>
      <c r="DS232" s="217">
        <f>IF(DJ232&lt;0,"       NM",(DR232/DJ232-1)*100)</f>
        <v>8.4110421460367846</v>
      </c>
      <c r="DT232" s="161"/>
    </row>
    <row r="233" spans="1:138" hidden="1" outlineLevel="1">
      <c r="B233" s="23" t="str">
        <f>$B$14</f>
        <v>Year</v>
      </c>
      <c r="D233" s="1857">
        <f>+D223/D164</f>
        <v>0.64016518677620138</v>
      </c>
      <c r="E233" s="1857"/>
      <c r="F233" s="1857">
        <f>+F223/F164</f>
        <v>0.73368246216850186</v>
      </c>
      <c r="G233" s="44">
        <f t="shared" si="588"/>
        <v>14.608303813464584</v>
      </c>
      <c r="H233" s="1857"/>
      <c r="I233" s="1857"/>
      <c r="J233" s="1857">
        <f>+J223/J164</f>
        <v>0.73947314862181346</v>
      </c>
      <c r="K233" s="44">
        <f t="shared" si="589"/>
        <v>0.7892633055717857</v>
      </c>
      <c r="N233" s="1857">
        <f>+N223/N164</f>
        <v>0.81813466469455287</v>
      </c>
      <c r="O233" s="44">
        <f t="shared" si="590"/>
        <v>10.637508098751681</v>
      </c>
      <c r="R233" s="1857">
        <f>+R223/R164</f>
        <v>0.71762555267403472</v>
      </c>
      <c r="S233" s="44">
        <f t="shared" si="591"/>
        <v>-12.285155043276742</v>
      </c>
      <c r="V233" s="1857">
        <f>+V223/V164</f>
        <v>0.83350390359573379</v>
      </c>
      <c r="W233" s="44">
        <f t="shared" si="592"/>
        <v>16.147467225757239</v>
      </c>
      <c r="Z233" s="1857">
        <f>+Z223/Z164</f>
        <v>0.62210762961660804</v>
      </c>
      <c r="AA233" s="44">
        <f t="shared" si="593"/>
        <v>-25.362361599887262</v>
      </c>
      <c r="AD233" s="1857">
        <f>+AD223/AD164</f>
        <v>0.85394588960230911</v>
      </c>
      <c r="AE233" s="44">
        <f t="shared" si="594"/>
        <v>37.26658361810771</v>
      </c>
      <c r="AH233" s="1857">
        <f>+AH223/AH164</f>
        <v>0.27956360374305317</v>
      </c>
      <c r="AI233" s="44">
        <f t="shared" si="595"/>
        <v>-67.262140710900468</v>
      </c>
      <c r="AL233" s="1857">
        <f>+AL223/AL164</f>
        <v>0.8071519823125326</v>
      </c>
      <c r="AM233" s="44">
        <f t="shared" si="596"/>
        <v>188.71854973453046</v>
      </c>
      <c r="AP233" s="1857">
        <f>+AP223/AP164</f>
        <v>0.85603154518008329</v>
      </c>
      <c r="AQ233" s="44">
        <f t="shared" si="597"/>
        <v>6.0558065814951156</v>
      </c>
      <c r="AT233" s="1857">
        <f>+AT223/AT164</f>
        <v>0.85879314778033211</v>
      </c>
      <c r="AU233" s="44">
        <f t="shared" si="598"/>
        <v>0.32260523759879423</v>
      </c>
      <c r="AX233" s="1857">
        <f>+AX223/AX164</f>
        <v>0.78303364677163656</v>
      </c>
      <c r="AY233" s="44">
        <f t="shared" si="599"/>
        <v>-8.8216238339239528</v>
      </c>
      <c r="BB233" s="1857">
        <f>+BB223/BB164</f>
        <v>0.92696980521093775</v>
      </c>
      <c r="BC233" s="44">
        <f t="shared" si="600"/>
        <v>18.38186124347714</v>
      </c>
      <c r="BF233" s="1857">
        <f>+BF223/BF164</f>
        <v>1.1103929576152067</v>
      </c>
      <c r="BG233" s="44">
        <f t="shared" si="601"/>
        <v>19.787392358754332</v>
      </c>
      <c r="BJ233" s="1857">
        <f>+BJ223/BJ164</f>
        <v>1.5206123425424292</v>
      </c>
      <c r="BK233" s="44">
        <f t="shared" si="602"/>
        <v>36.943622716074451</v>
      </c>
      <c r="BN233" s="2231">
        <f>+BN223/BN164</f>
        <v>1.3380112718282156</v>
      </c>
      <c r="BO233" s="217">
        <f t="shared" si="603"/>
        <v>-12.00839067299091</v>
      </c>
      <c r="BP233" s="161"/>
      <c r="BR233" s="2231">
        <f>+BR223/BR164</f>
        <v>1.6627017345766728</v>
      </c>
      <c r="BS233" s="217">
        <f t="shared" si="604"/>
        <v>24.266646296993489</v>
      </c>
      <c r="BT233" s="161"/>
      <c r="BV233" s="2231">
        <f>+BV223/BV164</f>
        <v>1.6788737363322634</v>
      </c>
      <c r="BW233" s="217">
        <f t="shared" si="605"/>
        <v>25.475305902192027</v>
      </c>
      <c r="BX233" s="161"/>
      <c r="BZ233" s="2231">
        <f>+BZ223/BZ164</f>
        <v>1.8869210740867364</v>
      </c>
      <c r="CA233" s="217">
        <f t="shared" si="606"/>
        <v>13.485241209972653</v>
      </c>
      <c r="CB233" s="161"/>
      <c r="CD233" s="2231">
        <f>+CD223/CD164</f>
        <v>0.65253586559185894</v>
      </c>
      <c r="CE233" s="217">
        <f t="shared" si="607"/>
        <v>-61.132522865155096</v>
      </c>
      <c r="CF233" s="161"/>
      <c r="CH233" s="2231">
        <f>+CH223/CH164</f>
        <v>1.3706455709760834</v>
      </c>
      <c r="CI233" s="217">
        <f t="shared" si="608"/>
        <v>-27.36073650354075</v>
      </c>
      <c r="CJ233" s="161"/>
      <c r="CL233" s="2231">
        <f>+CL223/CL164</f>
        <v>2.417686572096351</v>
      </c>
      <c r="CM233" s="217">
        <f t="shared" si="609"/>
        <v>270.50631230874586</v>
      </c>
      <c r="CN233" s="161"/>
      <c r="CP233" s="2231">
        <f>+CP223/CP164</f>
        <v>2.7046775694831435</v>
      </c>
      <c r="CQ233" s="217">
        <f t="shared" si="610"/>
        <v>97.328735214680663</v>
      </c>
      <c r="CR233" s="161"/>
      <c r="CT233" s="2231">
        <f>+CT223/CT164</f>
        <v>2.9357234077683318</v>
      </c>
      <c r="CU233" s="217">
        <f t="shared" si="611"/>
        <v>21.426964175211371</v>
      </c>
      <c r="CV233" s="161"/>
      <c r="CW233" s="161"/>
      <c r="CX233" s="2231">
        <f>+CX223/CX164</f>
        <v>3.0657411629595863</v>
      </c>
      <c r="CY233" s="217">
        <f>IF(CP233&lt;0,"       NM",(CX233/CP233-1)*100)</f>
        <v>13.349598397617534</v>
      </c>
      <c r="CZ233" s="161"/>
      <c r="DA233" s="161"/>
      <c r="DB233" s="2231">
        <f>+DB223/DB164</f>
        <v>3.5124614042153315</v>
      </c>
      <c r="DC233" s="217">
        <f>IF(CT233&lt;0,"       NM",(DB233/CT233-1)*100)</f>
        <v>19.645515477407404</v>
      </c>
      <c r="DD233" s="161"/>
      <c r="DE233" s="161"/>
      <c r="DF233" s="2231">
        <f>+DF223/DF164</f>
        <v>4.0049631344906667</v>
      </c>
      <c r="DG233" s="217">
        <f>IF(CX233&lt;0,"       NM",(DF233/CX233-1)*100)</f>
        <v>30.636049216378723</v>
      </c>
      <c r="DH233" s="161"/>
      <c r="DI233" s="161"/>
      <c r="DJ233" s="2231">
        <f>+DJ223/DJ164</f>
        <v>3.7606273512789246</v>
      </c>
      <c r="DK233" s="217">
        <f>IF(DB233&lt;0,"       NM",(DJ233/DB233-1)*100)</f>
        <v>7.0653003265962466</v>
      </c>
      <c r="DL233" s="161"/>
      <c r="DM233" s="161"/>
      <c r="DN233" s="2231">
        <f>+DN223/DN164</f>
        <v>3.2186903517938039</v>
      </c>
      <c r="DO233" s="217">
        <f>IF(DF233&lt;0,"       NM",(DN233/DF233-1)*100)</f>
        <v>-19.63245993266446</v>
      </c>
      <c r="DP233" s="161"/>
      <c r="DQ233" s="161"/>
      <c r="DR233" s="2231">
        <f>+DR223/DR164</f>
        <v>3.2492920806021024</v>
      </c>
      <c r="DS233" s="217">
        <f>IF(DJ233&lt;0,"       NM",(DR233/DJ233-1)*100)</f>
        <v>-13.597073650568593</v>
      </c>
      <c r="DT233" s="161"/>
    </row>
    <row r="234" spans="1:138" hidden="1" outlineLevel="1">
      <c r="A234" s="23" t="str">
        <f>$A$15</f>
        <v>6 Mos</v>
      </c>
      <c r="D234" s="1898">
        <f>SUM(D229:D230)</f>
        <v>0.20125283950388442</v>
      </c>
      <c r="F234" s="1898">
        <f>SUM(F229:F230)</f>
        <v>0.25999152688027161</v>
      </c>
      <c r="G234" s="44">
        <f t="shared" si="588"/>
        <v>29.186513602086816</v>
      </c>
      <c r="J234" s="1898">
        <f>SUM(J229:J230)</f>
        <v>0.23865031971792117</v>
      </c>
      <c r="K234" s="44">
        <f t="shared" si="589"/>
        <v>-8.2084241045971673</v>
      </c>
      <c r="N234" s="1898">
        <f>SUM(N229:N230)</f>
        <v>0.22464482017272674</v>
      </c>
      <c r="O234" s="44">
        <f t="shared" si="590"/>
        <v>-5.8686280251996177</v>
      </c>
      <c r="R234" s="1898">
        <f>SUM(R229:R230)</f>
        <v>0.20599130673890098</v>
      </c>
      <c r="S234" s="44">
        <f t="shared" si="591"/>
        <v>-8.303558221143625</v>
      </c>
      <c r="V234" s="1898">
        <f>SUM(V229:V230)</f>
        <v>0.18796760531116471</v>
      </c>
      <c r="W234" s="44">
        <f t="shared" si="592"/>
        <v>-8.7497388666900164</v>
      </c>
      <c r="Z234" s="1898">
        <f>SUM(Z229:Z230)</f>
        <v>0.16358509157251899</v>
      </c>
      <c r="AA234" s="44">
        <f t="shared" si="593"/>
        <v>-12.971657375898626</v>
      </c>
      <c r="AD234" s="1898">
        <f>SUM(AD229:AD230)</f>
        <v>0.17087964337050909</v>
      </c>
      <c r="AE234" s="44">
        <f t="shared" si="594"/>
        <v>4.4591788456201487</v>
      </c>
      <c r="AH234" s="1898">
        <f>SUM(AH229:AH230)</f>
        <v>0.16796758496630138</v>
      </c>
      <c r="AI234" s="44">
        <f t="shared" si="595"/>
        <v>-1.7041575852857149</v>
      </c>
      <c r="AL234" s="1898">
        <f>SUM(AL229:AL230)</f>
        <v>0.17401852653685806</v>
      </c>
      <c r="AM234" s="44">
        <f t="shared" si="596"/>
        <v>3.6024460146704351</v>
      </c>
      <c r="AP234" s="1898">
        <f>SUM(AP229:AP230)</f>
        <v>0.15003224600040665</v>
      </c>
      <c r="AQ234" s="44">
        <f t="shared" si="597"/>
        <v>-13.783751083176188</v>
      </c>
      <c r="AT234" s="1898">
        <f>SUM(AT229:AT230)</f>
        <v>0.29556490181808204</v>
      </c>
      <c r="AU234" s="44">
        <f t="shared" si="598"/>
        <v>97.000917934189232</v>
      </c>
      <c r="AX234" s="1898">
        <f>SUM(AX229:AX230)</f>
        <v>0.13343007549352695</v>
      </c>
      <c r="AY234" s="44">
        <f t="shared" si="599"/>
        <v>-54.855913312856018</v>
      </c>
      <c r="BB234" s="1898">
        <f>SUM(BB229:BB230)</f>
        <v>0.23638031661893921</v>
      </c>
      <c r="BC234" s="44">
        <f t="shared" si="600"/>
        <v>77.156698551374674</v>
      </c>
      <c r="BF234" s="1898">
        <f>SUM(BF229:BF230)</f>
        <v>0.28828514740572503</v>
      </c>
      <c r="BG234" s="44">
        <f t="shared" si="601"/>
        <v>21.958186506053234</v>
      </c>
      <c r="BJ234" s="1898">
        <f>SUM(BJ229:BJ230)</f>
        <v>0.50446459830635626</v>
      </c>
      <c r="BK234" s="44">
        <f t="shared" si="602"/>
        <v>74.988064021344087</v>
      </c>
      <c r="BN234" s="2269">
        <f>SUM(BN229:BN230)</f>
        <v>0.3299525253900687</v>
      </c>
      <c r="BO234" s="217">
        <f t="shared" si="603"/>
        <v>-34.593522221812712</v>
      </c>
      <c r="BP234" s="161"/>
      <c r="BR234" s="2269">
        <f>SUM(BR229:BR230)</f>
        <v>0.39742187387583083</v>
      </c>
      <c r="BS234" s="217">
        <f t="shared" si="604"/>
        <v>20.448198844970221</v>
      </c>
      <c r="BT234" s="161"/>
      <c r="BV234" s="2269">
        <f>SUM(BV229:BV230)</f>
        <v>0.5292437426289045</v>
      </c>
      <c r="BW234" s="217">
        <f t="shared" si="605"/>
        <v>60.399967238691211</v>
      </c>
      <c r="BX234" s="161"/>
      <c r="BZ234" s="2269">
        <f>SUM(BZ229:BZ230)</f>
        <v>0.79670627716306763</v>
      </c>
      <c r="CA234" s="217">
        <f t="shared" si="606"/>
        <v>100.46865296900793</v>
      </c>
      <c r="CB234" s="161"/>
      <c r="CD234" s="2269">
        <f>SUM(CD229:CD230)</f>
        <v>0.58297064299404366</v>
      </c>
      <c r="CE234" s="217">
        <f t="shared" si="607"/>
        <v>10.151636389362363</v>
      </c>
      <c r="CF234" s="161"/>
      <c r="CH234" s="2269">
        <f>SUM(CH229:CH230)</f>
        <v>0.23622387011419219</v>
      </c>
      <c r="CI234" s="217">
        <f t="shared" si="608"/>
        <v>-70.349942395917324</v>
      </c>
      <c r="CJ234" s="161"/>
      <c r="CL234" s="2269"/>
      <c r="CM234" s="217">
        <f t="shared" si="609"/>
        <v>-100</v>
      </c>
      <c r="CN234" s="161"/>
      <c r="CP234" s="2269"/>
      <c r="CQ234" s="217">
        <f t="shared" si="610"/>
        <v>-100</v>
      </c>
      <c r="CR234" s="161"/>
      <c r="CT234" s="2269"/>
      <c r="CU234" s="217"/>
      <c r="CV234" s="161"/>
      <c r="CW234" s="161"/>
      <c r="CX234" s="2269"/>
      <c r="CY234" s="217"/>
      <c r="CZ234" s="161"/>
      <c r="DA234" s="161"/>
      <c r="DB234" s="2269"/>
      <c r="DC234" s="217"/>
      <c r="DD234" s="161"/>
      <c r="DE234" s="161"/>
      <c r="DF234" s="2269"/>
      <c r="DG234" s="217"/>
      <c r="DH234" s="161"/>
      <c r="DI234" s="161"/>
      <c r="DJ234" s="2269"/>
      <c r="DK234" s="217"/>
      <c r="DL234" s="161"/>
      <c r="DM234" s="161"/>
      <c r="DN234" s="2269"/>
      <c r="DO234" s="217"/>
      <c r="DP234" s="161"/>
      <c r="DQ234" s="161"/>
      <c r="DR234" s="2269"/>
      <c r="DS234" s="217"/>
      <c r="DT234" s="161"/>
    </row>
    <row r="235" spans="1:138" hidden="1" outlineLevel="1">
      <c r="A235" s="23" t="str">
        <f>$A$16</f>
        <v>9 Mos</v>
      </c>
      <c r="D235" s="1898">
        <f>SUM(D229:D231)</f>
        <v>0.35766946147692824</v>
      </c>
      <c r="F235" s="1898">
        <f>SUM(F229:F231)</f>
        <v>0.41658796055264496</v>
      </c>
      <c r="G235" s="44">
        <f t="shared" si="588"/>
        <v>16.472890593573176</v>
      </c>
      <c r="J235" s="1898">
        <f>SUM(J229:J231)</f>
        <v>0.37228807542813314</v>
      </c>
      <c r="K235" s="44">
        <f t="shared" si="589"/>
        <v>-10.633981132278446</v>
      </c>
      <c r="N235" s="1898">
        <f>SUM(N229:N231)</f>
        <v>0.37135854820899683</v>
      </c>
      <c r="O235" s="44">
        <f t="shared" si="590"/>
        <v>-0.24967955744146231</v>
      </c>
      <c r="R235" s="1898">
        <f>SUM(R229:R231)</f>
        <v>0.35663320448050928</v>
      </c>
      <c r="S235" s="44">
        <f t="shared" si="591"/>
        <v>-3.9652631666903915</v>
      </c>
      <c r="V235" s="1898">
        <f>SUM(V229:V231)</f>
        <v>0.35606417957022707</v>
      </c>
      <c r="W235" s="44">
        <f t="shared" si="592"/>
        <v>-0.15955466376471605</v>
      </c>
      <c r="Z235" s="1898">
        <f>SUM(Z229:Z231)</f>
        <v>0.24496441472716832</v>
      </c>
      <c r="AA235" s="44">
        <f t="shared" si="593"/>
        <v>-31.202173994912165</v>
      </c>
      <c r="AD235" s="1898">
        <f>SUM(AD229:AD231)</f>
        <v>0.28255995112924825</v>
      </c>
      <c r="AE235" s="44">
        <f t="shared" si="594"/>
        <v>15.347346039608389</v>
      </c>
      <c r="AH235" s="1898">
        <f>SUM(AH229:AH231)</f>
        <v>0.38421533058448387</v>
      </c>
      <c r="AI235" s="44">
        <f t="shared" si="595"/>
        <v>35.976570299142118</v>
      </c>
      <c r="AL235" s="1898">
        <f>SUM(AL229:AL231)</f>
        <v>0.26582686405395362</v>
      </c>
      <c r="AM235" s="44">
        <f t="shared" si="596"/>
        <v>-30.813051199813646</v>
      </c>
      <c r="AP235" s="1898">
        <f>SUM(AP229:AP231)</f>
        <v>0.23042155481073873</v>
      </c>
      <c r="AQ235" s="44">
        <f t="shared" si="597"/>
        <v>-13.318935755127004</v>
      </c>
      <c r="AT235" s="1898">
        <f>SUM(AT229:AT231)</f>
        <v>0.40130451236922438</v>
      </c>
      <c r="AU235" s="44">
        <f t="shared" si="598"/>
        <v>74.161012279794619</v>
      </c>
      <c r="AX235" s="1898">
        <f>SUM(AX229:AX231)</f>
        <v>0.10881306101169319</v>
      </c>
      <c r="AY235" s="44">
        <f t="shared" si="599"/>
        <v>-72.885163844961056</v>
      </c>
      <c r="BB235" s="1898">
        <f>SUM(BB229:BB231)</f>
        <v>0.25593006069330532</v>
      </c>
      <c r="BC235" s="44">
        <f t="shared" si="600"/>
        <v>135.20160016985713</v>
      </c>
      <c r="BF235" s="1898">
        <f>SUM(BF229:BF231)</f>
        <v>0.37280019374616524</v>
      </c>
      <c r="BG235" s="44">
        <f t="shared" si="601"/>
        <v>45.664871385667993</v>
      </c>
      <c r="BJ235" s="1898">
        <f>SUM(BJ229:BJ231)</f>
        <v>0.7031422339706016</v>
      </c>
      <c r="BK235" s="44">
        <f t="shared" si="602"/>
        <v>88.611016240340774</v>
      </c>
      <c r="BN235" s="2269">
        <f>SUM(BN229:BN231)</f>
        <v>0.29980470111357438</v>
      </c>
      <c r="BO235" s="217">
        <f t="shared" si="603"/>
        <v>-57.362154251410068</v>
      </c>
      <c r="BP235" s="161"/>
      <c r="BR235" s="2269">
        <f>SUM(BR229:BR231)</f>
        <v>0.39571779481454594</v>
      </c>
      <c r="BS235" s="217">
        <f t="shared" si="604"/>
        <v>31.991857814343284</v>
      </c>
      <c r="BT235" s="161"/>
      <c r="BV235" s="2269">
        <f>SUM(BV229:BV231)</f>
        <v>0.58773648702048897</v>
      </c>
      <c r="BW235" s="217">
        <f t="shared" si="605"/>
        <v>96.039783511546077</v>
      </c>
      <c r="BX235" s="161"/>
      <c r="BZ235" s="2269">
        <f>SUM(BZ229:BZ231)</f>
        <v>0.82995512982420871</v>
      </c>
      <c r="CA235" s="217">
        <f t="shared" si="606"/>
        <v>109.73409351307266</v>
      </c>
      <c r="CB235" s="161"/>
      <c r="CD235" s="2269">
        <f>SUM(CD229:CD231)</f>
        <v>0.59522496125938718</v>
      </c>
      <c r="CE235" s="217">
        <f t="shared" si="607"/>
        <v>1.2741210396619795</v>
      </c>
      <c r="CF235" s="161"/>
      <c r="CH235" s="2269">
        <f>SUM(CH229:CH231)</f>
        <v>0.2814747238607766</v>
      </c>
      <c r="CI235" s="217">
        <f t="shared" si="608"/>
        <v>-66.085549236812938</v>
      </c>
      <c r="CJ235" s="161"/>
      <c r="CL235" s="2269">
        <f>SUM(CL229:CL231)</f>
        <v>1.0580164702841561</v>
      </c>
      <c r="CM235" s="217">
        <f t="shared" si="609"/>
        <v>77.750689091664896</v>
      </c>
      <c r="CN235" s="161"/>
      <c r="CP235" s="2269">
        <f>SUM(CP229:CP231)</f>
        <v>1.5434277425127165</v>
      </c>
      <c r="CQ235" s="217">
        <f t="shared" si="610"/>
        <v>448.33617787866763</v>
      </c>
      <c r="CR235" s="161"/>
      <c r="CT235" s="2269">
        <f>SUM(CT229:CT231)</f>
        <v>1.1832245771910244</v>
      </c>
      <c r="CU235" s="217">
        <f t="shared" si="611"/>
        <v>11.834230413562508</v>
      </c>
      <c r="CV235" s="161"/>
      <c r="CW235" s="161"/>
      <c r="CX235" s="2269">
        <f>SUM(CX229:CX231)</f>
        <v>1.4140296095538472</v>
      </c>
      <c r="CY235" s="217">
        <f>IF(CP235&lt;0,"       NM",(CX235/CP235-1)*100)</f>
        <v>-8.3838154125834166</v>
      </c>
      <c r="CZ235" s="161"/>
      <c r="DA235" s="161"/>
      <c r="DB235" s="2269">
        <f>SUM(DB229:DB231)</f>
        <v>1.6190761904922644</v>
      </c>
      <c r="DC235" s="217">
        <f>IF(CT235&lt;0,"       NM",(DB235/CT235-1)*100)</f>
        <v>36.83591616529398</v>
      </c>
      <c r="DD235" s="161"/>
      <c r="DE235" s="161"/>
      <c r="DF235" s="2269">
        <f>SUM(DF229:DF231)</f>
        <v>1.858473136205085</v>
      </c>
      <c r="DG235" s="217">
        <f>IF(CX235&lt;0,"       NM",(DF235/CX235-1)*100)</f>
        <v>31.430991518732633</v>
      </c>
      <c r="DH235" s="161"/>
      <c r="DI235" s="161"/>
      <c r="DJ235" s="2269">
        <f>SUM(DJ229:DJ231)</f>
        <v>1.7314617581414833</v>
      </c>
      <c r="DK235" s="217">
        <f>IF(DB235&lt;0,"       NM",(DJ235/DB235-1)*100)</f>
        <v>6.9413390369880812</v>
      </c>
      <c r="DL235" s="161"/>
      <c r="DM235" s="161"/>
      <c r="DN235" s="2269">
        <f>SUM(DN229:DN231)</f>
        <v>1.1229231820741601</v>
      </c>
      <c r="DO235" s="217">
        <f>IF(DF235&lt;0,"       NM",(DN235/DF235-1)*100)</f>
        <v>-39.578185974368374</v>
      </c>
      <c r="DP235" s="161"/>
      <c r="DQ235" s="161"/>
      <c r="DR235" s="2269">
        <f>SUM(DR229:DR231)</f>
        <v>1.0509921021035658</v>
      </c>
      <c r="DS235" s="217">
        <f>IF(DJ235&lt;0,"       NM",(DR235/DJ235-1)*100)</f>
        <v>-39.300299463057165</v>
      </c>
      <c r="DT235" s="161"/>
    </row>
    <row r="236" spans="1:138" hidden="1" outlineLevel="1">
      <c r="BN236" s="161"/>
      <c r="BO236" s="161"/>
      <c r="BP236" s="161"/>
      <c r="BR236" s="161"/>
      <c r="BS236" s="161"/>
      <c r="BT236" s="161"/>
      <c r="BV236" s="161"/>
      <c r="BW236" s="161"/>
      <c r="BX236" s="161"/>
      <c r="BZ236" s="161"/>
      <c r="CA236" s="161"/>
      <c r="CB236" s="161"/>
      <c r="CD236" s="161"/>
      <c r="CE236" s="161"/>
      <c r="CF236" s="161"/>
      <c r="CH236" s="161"/>
      <c r="CI236" s="161"/>
      <c r="CJ236" s="161"/>
      <c r="CL236" s="161"/>
      <c r="CM236" s="161"/>
      <c r="CN236" s="161"/>
      <c r="CP236" s="161"/>
      <c r="CQ236" s="161"/>
      <c r="CR236" s="161"/>
      <c r="CT236" s="161"/>
      <c r="CU236" s="161"/>
      <c r="CV236" s="161"/>
      <c r="CW236" s="161"/>
      <c r="CX236" s="161"/>
      <c r="CY236" s="161"/>
      <c r="CZ236" s="161"/>
      <c r="DA236" s="161"/>
      <c r="DB236" s="161"/>
      <c r="DC236" s="161"/>
      <c r="DD236" s="161"/>
      <c r="DE236" s="161"/>
      <c r="DF236" s="161"/>
      <c r="DG236" s="161"/>
      <c r="DH236" s="161"/>
      <c r="DI236" s="161"/>
      <c r="DJ236" s="161"/>
      <c r="DK236" s="161"/>
      <c r="DL236" s="161"/>
      <c r="DM236" s="161"/>
      <c r="DN236" s="161"/>
      <c r="DO236" s="161"/>
      <c r="DP236" s="161"/>
      <c r="DQ236" s="161"/>
      <c r="DR236" s="161"/>
      <c r="DS236" s="161"/>
      <c r="DT236" s="161"/>
    </row>
    <row r="237" spans="1:138" collapsed="1">
      <c r="A237" s="2344"/>
      <c r="B237" s="355"/>
      <c r="C237" s="355"/>
      <c r="D237" s="355"/>
      <c r="E237" s="355"/>
      <c r="F237" s="355"/>
      <c r="G237" s="355"/>
      <c r="H237" s="355"/>
      <c r="I237" s="355"/>
      <c r="J237" s="355"/>
      <c r="K237" s="355"/>
      <c r="L237" s="355"/>
      <c r="M237" s="355"/>
      <c r="N237" s="355"/>
      <c r="O237" s="355"/>
      <c r="P237" s="355"/>
      <c r="Q237" s="355"/>
      <c r="R237" s="355"/>
      <c r="S237" s="355"/>
      <c r="T237" s="355"/>
      <c r="U237" s="355"/>
      <c r="V237" s="355"/>
      <c r="W237" s="355"/>
      <c r="X237" s="355"/>
      <c r="Y237" s="355"/>
      <c r="Z237" s="355"/>
      <c r="AA237" s="355"/>
      <c r="AB237" s="355"/>
      <c r="AC237" s="355"/>
      <c r="AD237" s="156"/>
      <c r="AE237" s="156"/>
      <c r="AF237" s="156"/>
      <c r="AG237" s="156"/>
      <c r="AH237" s="156"/>
      <c r="AI237" s="156"/>
      <c r="AJ237" s="156"/>
      <c r="AK237" s="156"/>
      <c r="AL237" s="156"/>
      <c r="AM237" s="156"/>
      <c r="AN237" s="156"/>
      <c r="AO237" s="156"/>
      <c r="AP237" s="156"/>
      <c r="AQ237" s="156"/>
      <c r="AR237" s="156"/>
      <c r="AS237" s="156"/>
      <c r="AT237" s="156"/>
      <c r="AU237" s="156"/>
      <c r="AV237" s="156"/>
      <c r="AW237" s="156"/>
      <c r="AX237" s="156"/>
      <c r="AY237" s="156"/>
      <c r="AZ237" s="156"/>
      <c r="BA237" s="156"/>
      <c r="BB237" s="156"/>
      <c r="BC237" s="156"/>
      <c r="BD237" s="156"/>
      <c r="BE237" s="156"/>
      <c r="BF237" s="156"/>
      <c r="BG237" s="156"/>
      <c r="BH237" s="156"/>
      <c r="BI237" s="156"/>
      <c r="BJ237" s="156"/>
      <c r="BK237" s="156"/>
      <c r="BL237" s="156"/>
      <c r="BM237" s="156"/>
      <c r="BN237" s="355"/>
      <c r="BO237" s="355"/>
      <c r="BP237" s="355"/>
      <c r="BQ237" s="156"/>
      <c r="BR237" s="355"/>
      <c r="BS237" s="355"/>
      <c r="BT237" s="355"/>
      <c r="BU237" s="156"/>
      <c r="BV237" s="355"/>
      <c r="BW237" s="355"/>
      <c r="BX237" s="355"/>
      <c r="BY237" s="156"/>
      <c r="BZ237" s="355"/>
      <c r="CA237" s="355"/>
      <c r="CB237" s="355"/>
      <c r="CC237" s="156"/>
      <c r="CD237" s="355"/>
      <c r="CE237" s="355"/>
      <c r="CF237" s="355"/>
      <c r="CG237" s="156"/>
      <c r="CH237" s="355"/>
      <c r="CI237" s="355"/>
      <c r="CJ237" s="355"/>
      <c r="CK237" s="156"/>
      <c r="CL237" s="355"/>
      <c r="CM237" s="355"/>
      <c r="CN237" s="355"/>
      <c r="CO237" s="156"/>
      <c r="CP237" s="355"/>
      <c r="CQ237" s="355"/>
      <c r="CR237" s="355"/>
      <c r="CS237" s="156"/>
      <c r="CT237" s="355"/>
      <c r="CU237" s="355"/>
      <c r="CV237" s="355"/>
      <c r="CW237" s="355"/>
      <c r="CX237" s="355"/>
      <c r="CY237" s="355"/>
      <c r="CZ237" s="355"/>
      <c r="DA237" s="355"/>
      <c r="DB237" s="355"/>
      <c r="DC237" s="355"/>
      <c r="DD237" s="355"/>
      <c r="DE237" s="355"/>
      <c r="DF237" s="355"/>
      <c r="DG237" s="355"/>
      <c r="DH237" s="355"/>
      <c r="DI237" s="355"/>
      <c r="DJ237" s="355"/>
      <c r="DK237" s="355"/>
      <c r="DL237" s="355"/>
      <c r="DM237" s="355"/>
      <c r="DN237" s="355"/>
      <c r="DO237" s="355"/>
      <c r="DP237" s="355"/>
      <c r="DQ237" s="355"/>
      <c r="DR237" s="355"/>
      <c r="DS237" s="355"/>
      <c r="DT237" s="355"/>
      <c r="DU237" s="156"/>
      <c r="DV237" s="156"/>
      <c r="DW237" s="156"/>
      <c r="DX237" s="156"/>
      <c r="DY237" s="156"/>
      <c r="DZ237" s="156"/>
      <c r="EA237" s="156"/>
      <c r="EB237" s="156"/>
      <c r="EC237" s="156"/>
      <c r="ED237" s="156"/>
      <c r="EE237" s="156"/>
      <c r="EF237" s="156"/>
      <c r="EG237" s="156"/>
      <c r="EH237" s="156"/>
    </row>
    <row r="238" spans="1:138">
      <c r="A238" s="2345" t="s">
        <v>818</v>
      </c>
      <c r="B238" s="355"/>
      <c r="C238" s="355"/>
      <c r="D238" s="355"/>
      <c r="E238" s="355"/>
      <c r="F238" s="355"/>
      <c r="G238" s="355"/>
      <c r="H238" s="355"/>
      <c r="I238" s="355"/>
      <c r="J238" s="355"/>
      <c r="K238" s="355"/>
      <c r="L238" s="355"/>
      <c r="M238" s="355"/>
      <c r="N238" s="355"/>
      <c r="O238" s="355"/>
      <c r="P238" s="355"/>
      <c r="Q238" s="355"/>
      <c r="R238" s="355"/>
      <c r="S238" s="355"/>
      <c r="T238" s="355"/>
      <c r="U238" s="355"/>
      <c r="V238" s="355"/>
      <c r="W238" s="355"/>
      <c r="X238" s="355"/>
      <c r="Y238" s="355"/>
      <c r="Z238" s="355"/>
      <c r="AA238" s="355"/>
      <c r="AB238" s="355"/>
      <c r="AC238" s="355"/>
      <c r="AD238" s="156"/>
      <c r="AE238" s="156"/>
      <c r="AF238" s="156"/>
      <c r="AG238" s="156"/>
      <c r="AH238" s="156"/>
      <c r="AI238" s="156"/>
      <c r="AJ238" s="156"/>
      <c r="AK238" s="156"/>
      <c r="AL238" s="156"/>
      <c r="AM238" s="156"/>
      <c r="AN238" s="156"/>
      <c r="AO238" s="156"/>
      <c r="AP238" s="156"/>
      <c r="AQ238" s="156"/>
      <c r="AR238" s="156"/>
      <c r="AS238" s="156"/>
      <c r="AT238" s="156"/>
      <c r="AU238" s="156"/>
      <c r="AV238" s="156"/>
      <c r="AW238" s="156"/>
      <c r="AX238" s="156"/>
      <c r="AY238" s="156"/>
      <c r="AZ238" s="156"/>
      <c r="BA238" s="156"/>
      <c r="BB238" s="156"/>
      <c r="BC238" s="156"/>
      <c r="BD238" s="156"/>
      <c r="BE238" s="156"/>
      <c r="BF238" s="156"/>
      <c r="BG238" s="156"/>
      <c r="BH238" s="156"/>
      <c r="BI238" s="156"/>
      <c r="BJ238" s="156"/>
      <c r="BK238" s="156"/>
      <c r="BL238" s="156"/>
      <c r="BM238" s="156"/>
      <c r="BN238" s="355"/>
      <c r="BO238" s="355"/>
      <c r="BP238" s="355"/>
      <c r="BQ238" s="156"/>
      <c r="BR238" s="355"/>
      <c r="BS238" s="355"/>
      <c r="BT238" s="355"/>
      <c r="BU238" s="156"/>
      <c r="BV238" s="355"/>
      <c r="BW238" s="355"/>
      <c r="BX238" s="355"/>
      <c r="BY238" s="156"/>
      <c r="BZ238" s="355"/>
      <c r="CA238" s="355"/>
      <c r="CB238" s="355"/>
      <c r="CC238" s="156"/>
      <c r="CD238" s="355"/>
      <c r="CE238" s="355"/>
      <c r="CF238" s="355"/>
      <c r="CG238" s="156"/>
      <c r="CH238" s="355"/>
      <c r="CI238" s="355"/>
      <c r="CJ238" s="355"/>
      <c r="CK238" s="156"/>
      <c r="CL238" s="355"/>
      <c r="CM238" s="355"/>
      <c r="CN238" s="355"/>
      <c r="CO238" s="156"/>
      <c r="CP238" s="355"/>
      <c r="CQ238" s="355"/>
      <c r="CR238" s="355"/>
      <c r="CS238" s="156"/>
      <c r="CT238" s="355"/>
      <c r="CU238" s="355"/>
      <c r="CV238" s="355"/>
      <c r="CW238" s="355"/>
      <c r="CX238" s="355"/>
      <c r="CY238" s="355"/>
      <c r="CZ238" s="355"/>
      <c r="DA238" s="355"/>
      <c r="DB238" s="355"/>
      <c r="DC238" s="355"/>
      <c r="DD238" s="355"/>
      <c r="DE238" s="355"/>
      <c r="DF238" s="355"/>
      <c r="DG238" s="355"/>
      <c r="DH238" s="355"/>
      <c r="DI238" s="355"/>
      <c r="DJ238" s="355"/>
      <c r="DK238" s="355"/>
      <c r="DL238" s="355"/>
      <c r="DM238" s="355"/>
      <c r="DN238" s="355"/>
      <c r="DO238" s="355"/>
      <c r="DP238" s="355"/>
      <c r="DQ238" s="355"/>
      <c r="DR238" s="355"/>
      <c r="DS238" s="355"/>
      <c r="DT238" s="355"/>
      <c r="DU238" s="156"/>
      <c r="DV238" s="156"/>
      <c r="DW238" s="156"/>
      <c r="DX238" s="156"/>
      <c r="DY238" s="156"/>
      <c r="DZ238" s="156"/>
      <c r="EA238" s="156"/>
      <c r="EB238" s="156"/>
      <c r="EC238" s="156"/>
      <c r="ED238" s="156"/>
      <c r="EE238" s="156"/>
      <c r="EF238" s="156"/>
      <c r="EG238" s="156"/>
      <c r="EH238" s="156"/>
    </row>
    <row r="239" spans="1:138">
      <c r="A239" s="2345" t="s">
        <v>1136</v>
      </c>
      <c r="B239" s="355"/>
      <c r="C239" s="355"/>
      <c r="D239" s="355"/>
      <c r="E239" s="355"/>
      <c r="F239" s="355"/>
      <c r="G239" s="355"/>
      <c r="H239" s="355"/>
      <c r="I239" s="355"/>
      <c r="J239" s="355"/>
      <c r="K239" s="355"/>
      <c r="L239" s="355"/>
      <c r="M239" s="355"/>
      <c r="N239" s="355"/>
      <c r="O239" s="355"/>
      <c r="P239" s="355"/>
      <c r="Q239" s="355"/>
      <c r="R239" s="355"/>
      <c r="S239" s="355"/>
      <c r="T239" s="355"/>
      <c r="U239" s="355"/>
      <c r="V239" s="355"/>
      <c r="W239" s="355"/>
      <c r="X239" s="355"/>
      <c r="Y239" s="355"/>
      <c r="Z239" s="355"/>
      <c r="AA239" s="355"/>
      <c r="AB239" s="355"/>
      <c r="AC239" s="355"/>
      <c r="AD239" s="156"/>
      <c r="AE239" s="156"/>
      <c r="AF239" s="156"/>
      <c r="AG239" s="156"/>
      <c r="AH239" s="156"/>
      <c r="AI239" s="156"/>
      <c r="AJ239" s="156"/>
      <c r="AK239" s="156"/>
      <c r="AL239" s="156"/>
      <c r="AM239" s="156"/>
      <c r="AN239" s="156"/>
      <c r="AO239" s="156"/>
      <c r="AP239" s="156"/>
      <c r="AQ239" s="156"/>
      <c r="AR239" s="156"/>
      <c r="AS239" s="156"/>
      <c r="AT239" s="156"/>
      <c r="AU239" s="156"/>
      <c r="AV239" s="156"/>
      <c r="AW239" s="156"/>
      <c r="AX239" s="156"/>
      <c r="AY239" s="156"/>
      <c r="AZ239" s="156"/>
      <c r="BA239" s="156"/>
      <c r="BB239" s="156"/>
      <c r="BC239" s="156"/>
      <c r="BD239" s="156"/>
      <c r="BE239" s="156"/>
      <c r="BF239" s="156"/>
      <c r="BG239" s="156"/>
      <c r="BH239" s="156"/>
      <c r="BI239" s="156"/>
      <c r="BJ239" s="156"/>
      <c r="BK239" s="156"/>
      <c r="BL239" s="156"/>
      <c r="BM239" s="156"/>
      <c r="BN239" s="355"/>
      <c r="BO239" s="355"/>
      <c r="BP239" s="355"/>
      <c r="BQ239" s="156"/>
      <c r="BR239" s="355"/>
      <c r="BS239" s="355"/>
      <c r="BT239" s="355"/>
      <c r="BU239" s="156"/>
      <c r="BV239" s="355"/>
      <c r="BW239" s="355"/>
      <c r="BX239" s="355"/>
      <c r="BY239" s="156"/>
      <c r="BZ239" s="355"/>
      <c r="CA239" s="355"/>
      <c r="CB239" s="355"/>
      <c r="CC239" s="156"/>
      <c r="CD239" s="355"/>
      <c r="CE239" s="355"/>
      <c r="CF239" s="355"/>
      <c r="CG239" s="156"/>
      <c r="CH239" s="355"/>
      <c r="CI239" s="355"/>
      <c r="CJ239" s="355"/>
      <c r="CK239" s="156"/>
      <c r="CL239" s="355"/>
      <c r="CM239" s="355"/>
      <c r="CN239" s="355"/>
      <c r="CO239" s="156"/>
      <c r="CP239" s="355"/>
      <c r="CQ239" s="355"/>
      <c r="CR239" s="355"/>
      <c r="CS239" s="156"/>
      <c r="CT239" s="355"/>
      <c r="CU239" s="355"/>
      <c r="CV239" s="355"/>
      <c r="CW239" s="355"/>
      <c r="CX239" s="355"/>
      <c r="CY239" s="355"/>
      <c r="CZ239" s="355"/>
      <c r="DA239" s="355"/>
      <c r="DB239" s="355"/>
      <c r="DC239" s="355"/>
      <c r="DD239" s="355"/>
      <c r="DE239" s="355"/>
      <c r="DF239" s="355"/>
      <c r="DG239" s="355"/>
      <c r="DH239" s="355"/>
      <c r="DI239" s="355"/>
      <c r="DJ239" s="355"/>
      <c r="DK239" s="355"/>
      <c r="DL239" s="355"/>
      <c r="DM239" s="355"/>
      <c r="DN239" s="355"/>
      <c r="DO239" s="355"/>
      <c r="DP239" s="355"/>
      <c r="DQ239" s="355"/>
      <c r="DR239" s="355"/>
      <c r="DS239" s="355"/>
      <c r="DT239" s="355"/>
      <c r="DU239" s="156"/>
      <c r="DV239" s="156"/>
      <c r="DW239" s="156"/>
      <c r="DX239" s="156"/>
      <c r="DY239" s="156"/>
      <c r="DZ239" s="156"/>
      <c r="EA239" s="156"/>
      <c r="EB239" s="156"/>
      <c r="EC239" s="156"/>
      <c r="ED239" s="156"/>
      <c r="EE239" s="156"/>
      <c r="EF239" s="156"/>
      <c r="EG239" s="156"/>
      <c r="EH239" s="156"/>
    </row>
    <row r="240" spans="1:138" hidden="1">
      <c r="A240" s="2345" t="s">
        <v>1137</v>
      </c>
      <c r="B240" s="355"/>
      <c r="C240" s="355"/>
      <c r="D240" s="355"/>
      <c r="E240" s="355"/>
      <c r="F240" s="355"/>
      <c r="G240" s="355"/>
      <c r="H240" s="355"/>
      <c r="I240" s="355"/>
      <c r="J240" s="355"/>
      <c r="K240" s="355"/>
      <c r="L240" s="355"/>
      <c r="M240" s="355"/>
      <c r="N240" s="355"/>
      <c r="O240" s="355"/>
      <c r="P240" s="355"/>
      <c r="Q240" s="355"/>
      <c r="R240" s="355"/>
      <c r="S240" s="355"/>
      <c r="T240" s="355"/>
      <c r="U240" s="355"/>
      <c r="V240" s="355"/>
      <c r="W240" s="355"/>
      <c r="X240" s="355"/>
      <c r="Y240" s="355"/>
      <c r="Z240" s="355"/>
      <c r="AA240" s="355"/>
      <c r="AB240" s="355"/>
      <c r="AC240" s="355"/>
      <c r="AD240" s="156"/>
      <c r="AE240" s="156"/>
      <c r="AF240" s="156"/>
      <c r="AG240" s="156"/>
      <c r="AH240" s="156"/>
      <c r="AI240" s="156"/>
      <c r="AJ240" s="156"/>
      <c r="AK240" s="156"/>
      <c r="AL240" s="156"/>
      <c r="AM240" s="156"/>
      <c r="AN240" s="156"/>
      <c r="AO240" s="156"/>
      <c r="AP240" s="156"/>
      <c r="AQ240" s="156"/>
      <c r="AR240" s="156"/>
      <c r="AS240" s="156"/>
      <c r="AT240" s="156"/>
      <c r="AU240" s="156"/>
      <c r="AV240" s="156"/>
      <c r="AW240" s="156"/>
      <c r="AX240" s="156"/>
      <c r="AY240" s="156"/>
      <c r="AZ240" s="156"/>
      <c r="BA240" s="156"/>
      <c r="BB240" s="156"/>
      <c r="BC240" s="156"/>
      <c r="BD240" s="156"/>
      <c r="BE240" s="156"/>
      <c r="BF240" s="156"/>
      <c r="BG240" s="156"/>
      <c r="BH240" s="156"/>
      <c r="BI240" s="156"/>
      <c r="BJ240" s="2346"/>
      <c r="BK240" s="156"/>
      <c r="BL240" s="156"/>
      <c r="BM240" s="156"/>
      <c r="BN240" s="355"/>
      <c r="BO240" s="355"/>
      <c r="BP240" s="355"/>
      <c r="BQ240" s="156"/>
      <c r="BR240" s="355"/>
      <c r="BS240" s="355"/>
      <c r="BT240" s="355"/>
      <c r="BU240" s="156"/>
      <c r="BV240" s="355"/>
      <c r="BW240" s="355"/>
      <c r="BX240" s="355"/>
      <c r="BY240" s="156"/>
      <c r="BZ240" s="355"/>
      <c r="CA240" s="355"/>
      <c r="CB240" s="355"/>
      <c r="CC240" s="156"/>
      <c r="CD240" s="355"/>
      <c r="CE240" s="355"/>
      <c r="CF240" s="355"/>
      <c r="CG240" s="156"/>
      <c r="CH240" s="355"/>
      <c r="CI240" s="355"/>
      <c r="CJ240" s="355"/>
      <c r="CK240" s="156"/>
      <c r="CL240" s="355"/>
      <c r="CM240" s="355"/>
      <c r="CN240" s="355"/>
      <c r="CO240" s="156"/>
      <c r="CP240" s="355"/>
      <c r="CQ240" s="355"/>
      <c r="CR240" s="355"/>
      <c r="CS240" s="156"/>
      <c r="CT240" s="355"/>
      <c r="CU240" s="355"/>
      <c r="CV240" s="355"/>
      <c r="CW240" s="355"/>
      <c r="CX240" s="355"/>
      <c r="CY240" s="355"/>
      <c r="CZ240" s="355"/>
      <c r="DA240" s="355"/>
      <c r="DB240" s="355"/>
      <c r="DC240" s="355"/>
      <c r="DD240" s="355"/>
      <c r="DE240" s="355"/>
      <c r="DF240" s="355"/>
      <c r="DG240" s="355"/>
      <c r="DH240" s="355"/>
      <c r="DI240" s="355"/>
      <c r="DJ240" s="355"/>
      <c r="DK240" s="355"/>
      <c r="DL240" s="355"/>
      <c r="DM240" s="355"/>
      <c r="DN240" s="355"/>
      <c r="DO240" s="355"/>
      <c r="DP240" s="355"/>
      <c r="DQ240" s="355"/>
      <c r="DR240" s="355"/>
      <c r="DS240" s="355"/>
      <c r="DT240" s="355"/>
      <c r="DU240" s="156"/>
      <c r="DV240" s="156"/>
      <c r="DW240" s="156"/>
      <c r="DX240" s="156"/>
      <c r="DY240" s="156"/>
      <c r="DZ240" s="156"/>
      <c r="EA240" s="156"/>
      <c r="EB240" s="156"/>
      <c r="EC240" s="156"/>
      <c r="ED240" s="156"/>
      <c r="EE240" s="156"/>
      <c r="EF240" s="156"/>
      <c r="EG240" s="156"/>
      <c r="EH240" s="156"/>
    </row>
    <row r="241" spans="1:138" hidden="1">
      <c r="A241" s="2345" t="s">
        <v>730</v>
      </c>
      <c r="B241" s="355"/>
      <c r="C241" s="355"/>
      <c r="D241" s="355"/>
      <c r="E241" s="355"/>
      <c r="F241" s="355"/>
      <c r="G241" s="355"/>
      <c r="H241" s="355"/>
      <c r="I241" s="355"/>
      <c r="J241" s="355"/>
      <c r="K241" s="355"/>
      <c r="L241" s="355"/>
      <c r="M241" s="355"/>
      <c r="N241" s="355"/>
      <c r="O241" s="355"/>
      <c r="P241" s="355"/>
      <c r="Q241" s="355"/>
      <c r="R241" s="355"/>
      <c r="S241" s="355"/>
      <c r="T241" s="355"/>
      <c r="U241" s="355"/>
      <c r="V241" s="355"/>
      <c r="W241" s="355"/>
      <c r="X241" s="355"/>
      <c r="Y241" s="355"/>
      <c r="Z241" s="355"/>
      <c r="AA241" s="355"/>
      <c r="AB241" s="355"/>
      <c r="AC241" s="355"/>
      <c r="AD241" s="156"/>
      <c r="AE241" s="156"/>
      <c r="AF241" s="156"/>
      <c r="AG241" s="156"/>
      <c r="AH241" s="156"/>
      <c r="AI241" s="156"/>
      <c r="AJ241" s="156"/>
      <c r="AK241" s="156"/>
      <c r="AL241" s="156"/>
      <c r="AM241" s="156"/>
      <c r="AN241" s="156"/>
      <c r="AO241" s="156"/>
      <c r="AP241" s="156"/>
      <c r="AQ241" s="156"/>
      <c r="AR241" s="156"/>
      <c r="AS241" s="156"/>
      <c r="AT241" s="156"/>
      <c r="AU241" s="156"/>
      <c r="AV241" s="156"/>
      <c r="AW241" s="156"/>
      <c r="AX241" s="156"/>
      <c r="AY241" s="156"/>
      <c r="AZ241" s="156"/>
      <c r="BA241" s="156"/>
      <c r="BB241" s="156"/>
      <c r="BC241" s="156"/>
      <c r="BD241" s="156"/>
      <c r="BE241" s="156"/>
      <c r="BF241" s="156"/>
      <c r="BG241" s="156"/>
      <c r="BH241" s="156"/>
      <c r="BI241" s="156"/>
      <c r="BJ241" s="2347"/>
      <c r="BK241" s="156"/>
      <c r="BL241" s="156"/>
      <c r="BM241" s="156"/>
      <c r="BN241" s="355"/>
      <c r="BO241" s="355"/>
      <c r="BP241" s="355"/>
      <c r="BQ241" s="156"/>
      <c r="BR241" s="355"/>
      <c r="BS241" s="355"/>
      <c r="BT241" s="355"/>
      <c r="BU241" s="156"/>
      <c r="BV241" s="355"/>
      <c r="BW241" s="355"/>
      <c r="BX241" s="355"/>
      <c r="BY241" s="156"/>
      <c r="BZ241" s="355"/>
      <c r="CA241" s="355"/>
      <c r="CB241" s="355"/>
      <c r="CC241" s="156"/>
      <c r="CD241" s="355"/>
      <c r="CE241" s="355"/>
      <c r="CF241" s="355"/>
      <c r="CG241" s="156"/>
      <c r="CH241" s="355"/>
      <c r="CI241" s="355"/>
      <c r="CJ241" s="355"/>
      <c r="CK241" s="156"/>
      <c r="CL241" s="355"/>
      <c r="CM241" s="355"/>
      <c r="CN241" s="355"/>
      <c r="CO241" s="156"/>
      <c r="CP241" s="355"/>
      <c r="CQ241" s="355"/>
      <c r="CR241" s="355"/>
      <c r="CS241" s="156"/>
      <c r="CT241" s="355"/>
      <c r="CU241" s="355"/>
      <c r="CV241" s="355"/>
      <c r="CW241" s="355"/>
      <c r="CX241" s="355"/>
      <c r="CY241" s="355"/>
      <c r="CZ241" s="355"/>
      <c r="DA241" s="355"/>
      <c r="DB241" s="355"/>
      <c r="DC241" s="355"/>
      <c r="DD241" s="355"/>
      <c r="DE241" s="355"/>
      <c r="DF241" s="355"/>
      <c r="DG241" s="355"/>
      <c r="DH241" s="355"/>
      <c r="DI241" s="355"/>
      <c r="DJ241" s="355"/>
      <c r="DK241" s="355"/>
      <c r="DL241" s="355"/>
      <c r="DM241" s="355"/>
      <c r="DN241" s="355"/>
      <c r="DO241" s="355"/>
      <c r="DP241" s="355"/>
      <c r="DQ241" s="355"/>
      <c r="DR241" s="355"/>
      <c r="DS241" s="355"/>
      <c r="DT241" s="355"/>
      <c r="DU241" s="156"/>
      <c r="DV241" s="156"/>
      <c r="DW241" s="156"/>
      <c r="DX241" s="156"/>
      <c r="DY241" s="156"/>
      <c r="DZ241" s="156"/>
      <c r="EA241" s="156"/>
      <c r="EB241" s="156"/>
      <c r="EC241" s="156"/>
      <c r="ED241" s="156"/>
      <c r="EE241" s="156"/>
      <c r="EF241" s="156"/>
      <c r="EG241" s="156"/>
      <c r="EH241" s="156"/>
    </row>
    <row r="242" spans="1:138">
      <c r="A242" s="2348" t="s">
        <v>1031</v>
      </c>
      <c r="B242" s="355" t="s">
        <v>786</v>
      </c>
      <c r="C242" s="355"/>
      <c r="D242" s="355"/>
      <c r="E242" s="355"/>
      <c r="F242" s="355"/>
      <c r="G242" s="355"/>
      <c r="H242" s="355"/>
      <c r="I242" s="355"/>
      <c r="J242" s="355"/>
      <c r="K242" s="355"/>
      <c r="L242" s="355"/>
      <c r="M242" s="355"/>
      <c r="N242" s="355"/>
      <c r="O242" s="156"/>
      <c r="P242" s="156"/>
      <c r="Q242" s="156"/>
      <c r="R242" s="156"/>
      <c r="S242" s="156"/>
      <c r="T242" s="156"/>
      <c r="U242" s="156"/>
      <c r="V242" s="156"/>
      <c r="W242" s="156"/>
      <c r="X242" s="156"/>
      <c r="Y242" s="156"/>
      <c r="Z242" s="156"/>
      <c r="AA242" s="156"/>
      <c r="AB242" s="156"/>
      <c r="AC242" s="156"/>
      <c r="AD242" s="156"/>
      <c r="AE242" s="156"/>
      <c r="AF242" s="156"/>
      <c r="AG242" s="156"/>
      <c r="AH242" s="156"/>
      <c r="AI242" s="156"/>
      <c r="AJ242" s="156"/>
      <c r="AK242" s="156"/>
      <c r="AL242" s="156"/>
      <c r="AM242" s="156"/>
      <c r="AN242" s="156"/>
      <c r="AO242" s="156"/>
      <c r="AP242" s="156"/>
      <c r="AQ242" s="156"/>
      <c r="AR242" s="156"/>
      <c r="AS242" s="156"/>
      <c r="AT242" s="156"/>
      <c r="AU242" s="156"/>
      <c r="AV242" s="156"/>
      <c r="AW242" s="156"/>
      <c r="AX242" s="156"/>
      <c r="AY242" s="156"/>
      <c r="AZ242" s="156"/>
      <c r="BA242" s="156"/>
      <c r="BB242" s="156"/>
      <c r="BC242" s="156"/>
      <c r="BD242" s="156"/>
      <c r="BE242" s="156"/>
      <c r="BF242" s="156"/>
      <c r="BG242" s="156"/>
      <c r="BH242" s="156"/>
      <c r="BI242" s="156"/>
      <c r="BJ242" s="156"/>
      <c r="BK242" s="156"/>
      <c r="BL242" s="156"/>
      <c r="BM242" s="156"/>
      <c r="BN242" s="355"/>
      <c r="BO242" s="355"/>
      <c r="BP242" s="355"/>
      <c r="BQ242" s="156"/>
      <c r="BR242" s="355"/>
      <c r="BS242" s="355"/>
      <c r="BT242" s="355"/>
      <c r="BU242" s="156"/>
      <c r="BV242" s="355"/>
      <c r="BW242" s="355"/>
      <c r="BX242" s="355"/>
      <c r="BY242" s="156"/>
      <c r="BZ242" s="355"/>
      <c r="CA242" s="355"/>
      <c r="CB242" s="355"/>
      <c r="CC242" s="156"/>
      <c r="CD242" s="355"/>
      <c r="CE242" s="355"/>
      <c r="CF242" s="355"/>
      <c r="CG242" s="156"/>
      <c r="CH242" s="355"/>
      <c r="CI242" s="355"/>
      <c r="CJ242" s="355"/>
      <c r="CK242" s="156"/>
      <c r="CL242" s="355"/>
      <c r="CM242" s="355"/>
      <c r="CN242" s="355"/>
      <c r="CO242" s="156"/>
      <c r="CP242" s="355"/>
      <c r="CQ242" s="355"/>
      <c r="CR242" s="355"/>
      <c r="CS242" s="156"/>
      <c r="CT242" s="355"/>
      <c r="CU242" s="355"/>
      <c r="CV242" s="355"/>
      <c r="CW242" s="355"/>
      <c r="CX242" s="355"/>
      <c r="CY242" s="355"/>
      <c r="CZ242" s="355"/>
      <c r="DA242" s="355"/>
      <c r="DB242" s="355"/>
      <c r="DC242" s="355"/>
      <c r="DD242" s="355"/>
      <c r="DE242" s="355"/>
      <c r="DF242" s="355"/>
      <c r="DG242" s="355"/>
      <c r="DH242" s="355"/>
      <c r="DI242" s="355"/>
      <c r="DJ242" s="355"/>
      <c r="DK242" s="355"/>
      <c r="DL242" s="355"/>
      <c r="DM242" s="355"/>
      <c r="DN242" s="355"/>
      <c r="DO242" s="355"/>
      <c r="DP242" s="355"/>
      <c r="DQ242" s="355"/>
      <c r="DR242" s="355"/>
      <c r="DS242" s="355"/>
      <c r="DT242" s="355"/>
      <c r="DU242" s="156"/>
      <c r="DV242" s="156"/>
      <c r="DW242" s="156"/>
      <c r="DX242" s="156"/>
      <c r="DY242" s="156"/>
      <c r="DZ242" s="156"/>
      <c r="EA242" s="156"/>
      <c r="EB242" s="156"/>
      <c r="EC242" s="156"/>
      <c r="ED242" s="156"/>
      <c r="EE242" s="156"/>
      <c r="EF242" s="156"/>
      <c r="EG242" s="156"/>
      <c r="EH242" s="156"/>
    </row>
    <row r="243" spans="1:138">
      <c r="A243" s="2348"/>
      <c r="B243" s="355" t="s">
        <v>787</v>
      </c>
      <c r="C243" s="355"/>
      <c r="D243" s="355"/>
      <c r="E243" s="355"/>
      <c r="F243" s="355"/>
      <c r="G243" s="355"/>
      <c r="H243" s="355"/>
      <c r="I243" s="355"/>
      <c r="J243" s="355"/>
      <c r="K243" s="355"/>
      <c r="L243" s="355"/>
      <c r="M243" s="355"/>
      <c r="N243" s="355"/>
      <c r="O243" s="156"/>
      <c r="P243" s="156"/>
      <c r="Q243" s="156"/>
      <c r="R243" s="156"/>
      <c r="S243" s="156"/>
      <c r="T243" s="156"/>
      <c r="U243" s="156"/>
      <c r="V243" s="156"/>
      <c r="W243" s="156"/>
      <c r="X243" s="156"/>
      <c r="Y243" s="156"/>
      <c r="Z243" s="156"/>
      <c r="AA243" s="156"/>
      <c r="AB243" s="156"/>
      <c r="AC243" s="156"/>
      <c r="AD243" s="156"/>
      <c r="AE243" s="156"/>
      <c r="AF243" s="156"/>
      <c r="AG243" s="156"/>
      <c r="AH243" s="156"/>
      <c r="AI243" s="156"/>
      <c r="AJ243" s="156"/>
      <c r="AK243" s="156"/>
      <c r="AL243" s="156"/>
      <c r="AM243" s="156"/>
      <c r="AN243" s="156"/>
      <c r="AO243" s="156"/>
      <c r="AP243" s="156"/>
      <c r="AQ243" s="156"/>
      <c r="AR243" s="156"/>
      <c r="AS243" s="156"/>
      <c r="AT243" s="156"/>
      <c r="AU243" s="156"/>
      <c r="AV243" s="156"/>
      <c r="AW243" s="156"/>
      <c r="AX243" s="156"/>
      <c r="AY243" s="156"/>
      <c r="AZ243" s="156"/>
      <c r="BA243" s="156"/>
      <c r="BB243" s="156"/>
      <c r="BC243" s="156"/>
      <c r="BD243" s="156"/>
      <c r="BE243" s="156"/>
      <c r="BF243" s="156"/>
      <c r="BG243" s="156"/>
      <c r="BH243" s="156"/>
      <c r="BI243" s="156"/>
      <c r="BJ243" s="156"/>
      <c r="BK243" s="156"/>
      <c r="BL243" s="156"/>
      <c r="BM243" s="156"/>
      <c r="BN243" s="355"/>
      <c r="BO243" s="355"/>
      <c r="BP243" s="355"/>
      <c r="BQ243" s="156"/>
      <c r="BR243" s="355"/>
      <c r="BS243" s="355"/>
      <c r="BT243" s="355"/>
      <c r="BU243" s="156"/>
      <c r="BV243" s="355"/>
      <c r="BW243" s="355"/>
      <c r="BX243" s="355"/>
      <c r="BY243" s="156"/>
      <c r="BZ243" s="355"/>
      <c r="CA243" s="355"/>
      <c r="CB243" s="355"/>
      <c r="CC243" s="156"/>
      <c r="CD243" s="355"/>
      <c r="CE243" s="355"/>
      <c r="CF243" s="355"/>
      <c r="CG243" s="156"/>
      <c r="CH243" s="355"/>
      <c r="CI243" s="355"/>
      <c r="CJ243" s="355"/>
      <c r="CK243" s="156"/>
      <c r="CL243" s="355"/>
      <c r="CM243" s="355"/>
      <c r="CN243" s="355"/>
      <c r="CO243" s="156"/>
      <c r="CP243" s="355"/>
      <c r="CQ243" s="355"/>
      <c r="CR243" s="355"/>
      <c r="CS243" s="156"/>
      <c r="CT243" s="355"/>
      <c r="CU243" s="355"/>
      <c r="CV243" s="355"/>
      <c r="CW243" s="355"/>
      <c r="CX243" s="355"/>
      <c r="CY243" s="355"/>
      <c r="CZ243" s="355"/>
      <c r="DA243" s="355"/>
      <c r="DB243" s="355"/>
      <c r="DC243" s="355"/>
      <c r="DD243" s="355"/>
      <c r="DE243" s="355"/>
      <c r="DF243" s="355"/>
      <c r="DG243" s="355"/>
      <c r="DH243" s="355"/>
      <c r="DI243" s="355"/>
      <c r="DJ243" s="355"/>
      <c r="DK243" s="355"/>
      <c r="DL243" s="355"/>
      <c r="DM243" s="355"/>
      <c r="DN243" s="355"/>
      <c r="DO243" s="355"/>
      <c r="DP243" s="355"/>
      <c r="DQ243" s="355"/>
      <c r="DR243" s="355"/>
      <c r="DS243" s="355"/>
      <c r="DT243" s="355"/>
      <c r="DU243" s="156"/>
      <c r="DV243" s="156"/>
      <c r="DW243" s="156"/>
      <c r="DX243" s="156"/>
      <c r="DY243" s="156"/>
      <c r="DZ243" s="156"/>
      <c r="EA243" s="156"/>
      <c r="EB243" s="156"/>
      <c r="EC243" s="156"/>
      <c r="ED243" s="156"/>
      <c r="EE243" s="156"/>
      <c r="EF243" s="156"/>
      <c r="EG243" s="156"/>
      <c r="EH243" s="156"/>
    </row>
    <row r="244" spans="1:138">
      <c r="A244" s="2348" t="s">
        <v>1032</v>
      </c>
      <c r="B244" s="156" t="s">
        <v>726</v>
      </c>
      <c r="C244" s="355"/>
      <c r="D244" s="355"/>
      <c r="E244" s="355"/>
      <c r="F244" s="355"/>
      <c r="G244" s="355"/>
      <c r="H244" s="355"/>
      <c r="I244" s="355"/>
      <c r="J244" s="355"/>
      <c r="K244" s="355"/>
      <c r="L244" s="355"/>
      <c r="M244" s="355"/>
      <c r="N244" s="355"/>
      <c r="O244" s="355"/>
      <c r="P244" s="355"/>
      <c r="Q244" s="355"/>
      <c r="R244" s="355"/>
      <c r="S244" s="355"/>
      <c r="T244" s="355"/>
      <c r="U244" s="355"/>
      <c r="V244" s="355"/>
      <c r="W244" s="355"/>
      <c r="X244" s="355"/>
      <c r="Y244" s="355"/>
      <c r="Z244" s="355"/>
      <c r="AA244" s="355"/>
      <c r="AB244" s="355"/>
      <c r="AC244" s="355"/>
      <c r="AD244" s="355"/>
      <c r="AE244" s="355"/>
      <c r="AF244" s="355"/>
      <c r="AG244" s="355"/>
      <c r="AH244" s="355"/>
      <c r="AI244" s="355"/>
      <c r="AJ244" s="355"/>
      <c r="AK244" s="355"/>
      <c r="AL244" s="355"/>
      <c r="AM244" s="355"/>
      <c r="AN244" s="355"/>
      <c r="AO244" s="355"/>
      <c r="AP244" s="355"/>
      <c r="AQ244" s="355"/>
      <c r="AR244" s="355"/>
      <c r="AS244" s="355"/>
      <c r="AT244" s="355"/>
      <c r="AU244" s="355"/>
      <c r="AV244" s="355"/>
      <c r="AW244" s="355"/>
      <c r="AX244" s="355"/>
      <c r="AY244" s="355"/>
      <c r="AZ244" s="355"/>
      <c r="BA244" s="355"/>
      <c r="BB244" s="355"/>
      <c r="BC244" s="355"/>
      <c r="BD244" s="355"/>
      <c r="BE244" s="355"/>
      <c r="BF244" s="355"/>
      <c r="BG244" s="355"/>
      <c r="BH244" s="355"/>
      <c r="BI244" s="355"/>
      <c r="BJ244" s="355"/>
      <c r="BK244" s="355"/>
      <c r="BL244" s="355"/>
      <c r="BM244" s="355"/>
      <c r="BN244" s="355"/>
      <c r="BO244" s="355"/>
      <c r="BP244" s="355"/>
      <c r="BQ244" s="355"/>
      <c r="BR244" s="355"/>
      <c r="BS244" s="355"/>
      <c r="BT244" s="355"/>
      <c r="BU244" s="355"/>
      <c r="BV244" s="355"/>
      <c r="BW244" s="355"/>
      <c r="BX244" s="355"/>
      <c r="BY244" s="355"/>
      <c r="BZ244" s="355"/>
      <c r="CA244" s="355"/>
      <c r="CB244" s="355"/>
      <c r="CC244" s="355"/>
      <c r="CD244" s="355"/>
      <c r="CE244" s="355"/>
      <c r="CF244" s="355"/>
      <c r="CG244" s="355"/>
      <c r="CH244" s="355"/>
      <c r="CI244" s="355"/>
      <c r="CJ244" s="355"/>
      <c r="CK244" s="355"/>
      <c r="CL244" s="355"/>
      <c r="CM244" s="355"/>
      <c r="CN244" s="355"/>
      <c r="CO244" s="355"/>
      <c r="CP244" s="355"/>
      <c r="CQ244" s="355"/>
      <c r="CR244" s="355"/>
      <c r="CS244" s="355"/>
      <c r="CT244" s="355"/>
      <c r="CU244" s="355"/>
      <c r="CV244" s="355"/>
      <c r="CW244" s="355"/>
      <c r="CX244" s="355"/>
      <c r="CY244" s="355"/>
      <c r="CZ244" s="355"/>
      <c r="DA244" s="355"/>
      <c r="DB244" s="355"/>
      <c r="DC244" s="355"/>
      <c r="DD244" s="355"/>
      <c r="DE244" s="355"/>
      <c r="DF244" s="355"/>
      <c r="DG244" s="355"/>
      <c r="DH244" s="355"/>
      <c r="DI244" s="355"/>
      <c r="DJ244" s="355"/>
      <c r="DK244" s="355"/>
      <c r="DL244" s="355"/>
      <c r="DM244" s="355"/>
      <c r="DN244" s="355"/>
      <c r="DO244" s="355"/>
      <c r="DP244" s="355"/>
      <c r="DQ244" s="355"/>
      <c r="DR244" s="355"/>
      <c r="DS244" s="355"/>
      <c r="DT244" s="355"/>
      <c r="DU244" s="355"/>
      <c r="DV244" s="355"/>
      <c r="DW244" s="355"/>
      <c r="DX244" s="355"/>
      <c r="DY244" s="355"/>
      <c r="DZ244" s="355"/>
      <c r="EA244" s="355"/>
      <c r="EB244" s="355"/>
      <c r="EC244" s="355"/>
      <c r="ED244" s="355"/>
      <c r="EE244" s="355"/>
      <c r="EF244" s="355"/>
      <c r="EG244" s="355"/>
      <c r="EH244" s="355"/>
    </row>
    <row r="245" spans="1:138" hidden="1" outlineLevel="1">
      <c r="A245" s="2348"/>
      <c r="B245" s="156" t="s">
        <v>424</v>
      </c>
      <c r="C245" s="156"/>
      <c r="D245" s="156"/>
      <c r="E245" s="156"/>
      <c r="F245" s="156"/>
      <c r="G245" s="156"/>
      <c r="H245" s="156"/>
      <c r="I245" s="156"/>
      <c r="J245" s="156"/>
      <c r="K245" s="156"/>
      <c r="L245" s="156"/>
      <c r="M245" s="156"/>
      <c r="N245" s="156"/>
      <c r="O245" s="156"/>
      <c r="P245" s="156"/>
      <c r="Q245" s="156"/>
      <c r="R245" s="156"/>
      <c r="S245" s="156"/>
      <c r="T245" s="156"/>
      <c r="U245" s="156"/>
      <c r="V245" s="156"/>
      <c r="W245" s="156"/>
      <c r="X245" s="156"/>
      <c r="Y245" s="156"/>
      <c r="Z245" s="156"/>
      <c r="AA245" s="156"/>
      <c r="AB245" s="156"/>
      <c r="AC245" s="156"/>
      <c r="AD245" s="156"/>
      <c r="AE245" s="156"/>
      <c r="AF245" s="156"/>
      <c r="AG245" s="156"/>
      <c r="AH245" s="156"/>
      <c r="AI245" s="156"/>
      <c r="AJ245" s="156"/>
      <c r="AK245" s="156"/>
      <c r="AL245" s="156"/>
      <c r="AM245" s="156"/>
      <c r="AN245" s="156"/>
      <c r="AO245" s="156"/>
      <c r="AP245" s="156"/>
      <c r="AQ245" s="156"/>
      <c r="AR245" s="156"/>
      <c r="AS245" s="156"/>
      <c r="AT245" s="156"/>
      <c r="AU245" s="156"/>
      <c r="AV245" s="156"/>
      <c r="AW245" s="156"/>
      <c r="AX245" s="156"/>
      <c r="AY245" s="156"/>
      <c r="AZ245" s="156"/>
      <c r="BA245" s="156"/>
      <c r="BB245" s="156"/>
      <c r="BC245" s="156"/>
      <c r="BD245" s="156"/>
      <c r="BE245" s="156"/>
      <c r="BF245" s="156"/>
      <c r="BG245" s="156"/>
      <c r="BH245" s="156"/>
      <c r="BI245" s="156"/>
      <c r="BJ245" s="156"/>
      <c r="BK245" s="156"/>
      <c r="BL245" s="156"/>
      <c r="BM245" s="156"/>
      <c r="BN245" s="355"/>
      <c r="BO245" s="355"/>
      <c r="BP245" s="355"/>
      <c r="BQ245" s="156"/>
      <c r="BR245" s="355"/>
      <c r="BS245" s="355"/>
      <c r="BT245" s="355"/>
      <c r="BU245" s="156"/>
      <c r="BV245" s="355"/>
      <c r="BW245" s="355"/>
      <c r="BX245" s="355"/>
      <c r="BY245" s="156"/>
      <c r="BZ245" s="355"/>
      <c r="CA245" s="355"/>
      <c r="CB245" s="355"/>
      <c r="CC245" s="156"/>
      <c r="CD245" s="355"/>
      <c r="CE245" s="355"/>
      <c r="CF245" s="355"/>
      <c r="CG245" s="156"/>
      <c r="CH245" s="355"/>
      <c r="CI245" s="355"/>
      <c r="CJ245" s="355"/>
      <c r="CK245" s="156"/>
      <c r="CL245" s="355"/>
      <c r="CM245" s="355"/>
      <c r="CN245" s="355"/>
      <c r="CO245" s="156"/>
      <c r="CP245" s="355"/>
      <c r="CQ245" s="355"/>
      <c r="CR245" s="355"/>
      <c r="CS245" s="156"/>
      <c r="CT245" s="355"/>
      <c r="CU245" s="355"/>
      <c r="CV245" s="355"/>
      <c r="CW245" s="355"/>
      <c r="CX245" s="355"/>
      <c r="CY245" s="355"/>
      <c r="CZ245" s="355"/>
      <c r="DA245" s="355"/>
      <c r="DB245" s="355"/>
      <c r="DC245" s="355"/>
      <c r="DD245" s="355"/>
      <c r="DE245" s="355"/>
      <c r="DF245" s="355"/>
      <c r="DG245" s="355"/>
      <c r="DH245" s="355"/>
      <c r="DI245" s="355"/>
      <c r="DJ245" s="355"/>
      <c r="DK245" s="355"/>
      <c r="DL245" s="355"/>
      <c r="DM245" s="355"/>
      <c r="DN245" s="355"/>
      <c r="DO245" s="355"/>
      <c r="DP245" s="355"/>
      <c r="DQ245" s="355"/>
      <c r="DR245" s="355"/>
      <c r="DS245" s="355"/>
      <c r="DT245" s="355"/>
      <c r="DU245" s="156"/>
      <c r="DV245" s="156"/>
      <c r="DW245" s="156"/>
      <c r="DX245" s="156"/>
      <c r="DY245" s="156"/>
      <c r="DZ245" s="156"/>
      <c r="EA245" s="156"/>
      <c r="EB245" s="156"/>
      <c r="EC245" s="156"/>
      <c r="ED245" s="156"/>
      <c r="EE245" s="156"/>
      <c r="EF245" s="156"/>
      <c r="EG245" s="156"/>
      <c r="EH245" s="156"/>
    </row>
    <row r="246" spans="1:138" hidden="1" outlineLevel="1">
      <c r="A246" s="2348"/>
      <c r="B246" s="156" t="s">
        <v>1102</v>
      </c>
      <c r="C246" s="156"/>
      <c r="D246" s="156"/>
      <c r="E246" s="156"/>
      <c r="F246" s="156"/>
      <c r="G246" s="156"/>
      <c r="H246" s="156"/>
      <c r="I246" s="156"/>
      <c r="J246" s="156"/>
      <c r="K246" s="156"/>
      <c r="L246" s="156"/>
      <c r="M246" s="156"/>
      <c r="N246" s="156"/>
      <c r="O246" s="156"/>
      <c r="P246" s="156"/>
      <c r="Q246" s="156"/>
      <c r="R246" s="156"/>
      <c r="S246" s="156"/>
      <c r="T246" s="156"/>
      <c r="U246" s="156"/>
      <c r="V246" s="156"/>
      <c r="W246" s="156"/>
      <c r="X246" s="156"/>
      <c r="Y246" s="156"/>
      <c r="Z246" s="156"/>
      <c r="AA246" s="156"/>
      <c r="AB246" s="156"/>
      <c r="AC246" s="156"/>
      <c r="AD246" s="156"/>
      <c r="AE246" s="156"/>
      <c r="AF246" s="156"/>
      <c r="AG246" s="156"/>
      <c r="AH246" s="156"/>
      <c r="AI246" s="156"/>
      <c r="AJ246" s="156"/>
      <c r="AK246" s="156"/>
      <c r="AL246" s="156"/>
      <c r="AM246" s="156"/>
      <c r="AN246" s="156"/>
      <c r="AO246" s="156"/>
      <c r="AP246" s="156"/>
      <c r="AQ246" s="156"/>
      <c r="AR246" s="156"/>
      <c r="AS246" s="156"/>
      <c r="AT246" s="156"/>
      <c r="AU246" s="156"/>
      <c r="AV246" s="156"/>
      <c r="AW246" s="156"/>
      <c r="AX246" s="156"/>
      <c r="AY246" s="156"/>
      <c r="AZ246" s="156"/>
      <c r="BA246" s="156"/>
      <c r="BB246" s="156"/>
      <c r="BC246" s="156"/>
      <c r="BD246" s="156"/>
      <c r="BE246" s="156"/>
      <c r="BF246" s="156"/>
      <c r="BG246" s="156"/>
      <c r="BH246" s="156"/>
      <c r="BI246" s="156"/>
      <c r="BJ246" s="156"/>
      <c r="BK246" s="156"/>
      <c r="BL246" s="156"/>
      <c r="BM246" s="156"/>
      <c r="BN246" s="355"/>
      <c r="BO246" s="355"/>
      <c r="BP246" s="355"/>
      <c r="BQ246" s="156"/>
      <c r="BR246" s="355"/>
      <c r="BS246" s="355"/>
      <c r="BT246" s="355"/>
      <c r="BU246" s="156"/>
      <c r="BV246" s="355"/>
      <c r="BW246" s="355"/>
      <c r="BX246" s="355"/>
      <c r="BY246" s="156"/>
      <c r="BZ246" s="355"/>
      <c r="CA246" s="355"/>
      <c r="CB246" s="355"/>
      <c r="CC246" s="156"/>
      <c r="CD246" s="355"/>
      <c r="CE246" s="355"/>
      <c r="CF246" s="355"/>
      <c r="CG246" s="156"/>
      <c r="CH246" s="355"/>
      <c r="CI246" s="355"/>
      <c r="CJ246" s="355"/>
      <c r="CK246" s="156"/>
      <c r="CL246" s="355"/>
      <c r="CM246" s="355"/>
      <c r="CN246" s="355"/>
      <c r="CO246" s="156"/>
      <c r="CP246" s="355"/>
      <c r="CQ246" s="355"/>
      <c r="CR246" s="355"/>
      <c r="CS246" s="156"/>
      <c r="CT246" s="355"/>
      <c r="CU246" s="355"/>
      <c r="CV246" s="355"/>
      <c r="CW246" s="355"/>
      <c r="CX246" s="355"/>
      <c r="CY246" s="355"/>
      <c r="CZ246" s="355"/>
      <c r="DA246" s="355"/>
      <c r="DB246" s="355"/>
      <c r="DC246" s="355"/>
      <c r="DD246" s="355"/>
      <c r="DE246" s="355"/>
      <c r="DF246" s="355"/>
      <c r="DG246" s="355"/>
      <c r="DH246" s="355"/>
      <c r="DI246" s="355"/>
      <c r="DJ246" s="355"/>
      <c r="DK246" s="355"/>
      <c r="DL246" s="355"/>
      <c r="DM246" s="355"/>
      <c r="DN246" s="355"/>
      <c r="DO246" s="355"/>
      <c r="DP246" s="355"/>
      <c r="DQ246" s="355"/>
      <c r="DR246" s="355"/>
      <c r="DS246" s="355"/>
      <c r="DT246" s="355"/>
      <c r="DU246" s="156"/>
      <c r="DV246" s="156"/>
      <c r="DW246" s="156"/>
      <c r="DX246" s="156"/>
      <c r="DY246" s="156"/>
      <c r="DZ246" s="156"/>
      <c r="EA246" s="156"/>
      <c r="EB246" s="156"/>
      <c r="EC246" s="156"/>
      <c r="ED246" s="156"/>
      <c r="EE246" s="156"/>
      <c r="EF246" s="156"/>
      <c r="EG246" s="156"/>
      <c r="EH246" s="156"/>
    </row>
    <row r="247" spans="1:138" hidden="1" outlineLevel="1">
      <c r="A247" s="2348"/>
      <c r="B247" s="156" t="s">
        <v>341</v>
      </c>
      <c r="C247" s="156"/>
      <c r="D247" s="156"/>
      <c r="E247" s="156"/>
      <c r="F247" s="156"/>
      <c r="G247" s="156"/>
      <c r="H247" s="156"/>
      <c r="I247" s="156"/>
      <c r="J247" s="156"/>
      <c r="K247" s="156"/>
      <c r="L247" s="156"/>
      <c r="M247" s="156"/>
      <c r="N247" s="156"/>
      <c r="O247" s="156"/>
      <c r="P247" s="156"/>
      <c r="Q247" s="156"/>
      <c r="R247" s="156"/>
      <c r="S247" s="156"/>
      <c r="T247" s="156"/>
      <c r="U247" s="156"/>
      <c r="V247" s="156"/>
      <c r="W247" s="156"/>
      <c r="X247" s="156"/>
      <c r="Y247" s="156"/>
      <c r="Z247" s="156"/>
      <c r="AA247" s="156"/>
      <c r="AB247" s="156"/>
      <c r="AC247" s="156"/>
      <c r="AD247" s="156"/>
      <c r="AE247" s="156"/>
      <c r="AF247" s="156"/>
      <c r="AG247" s="156"/>
      <c r="AH247" s="156"/>
      <c r="AI247" s="156"/>
      <c r="AJ247" s="156"/>
      <c r="AK247" s="156"/>
      <c r="AL247" s="156"/>
      <c r="AM247" s="156"/>
      <c r="AN247" s="156"/>
      <c r="AO247" s="156"/>
      <c r="AP247" s="156"/>
      <c r="AQ247" s="156"/>
      <c r="AR247" s="156"/>
      <c r="AS247" s="156"/>
      <c r="AT247" s="156"/>
      <c r="AU247" s="156"/>
      <c r="AV247" s="156"/>
      <c r="AW247" s="156"/>
      <c r="AX247" s="156"/>
      <c r="AY247" s="156"/>
      <c r="AZ247" s="156"/>
      <c r="BA247" s="156"/>
      <c r="BB247" s="156"/>
      <c r="BC247" s="156"/>
      <c r="BD247" s="156"/>
      <c r="BE247" s="156"/>
      <c r="BF247" s="156"/>
      <c r="BG247" s="156"/>
      <c r="BH247" s="156"/>
      <c r="BI247" s="156"/>
      <c r="BJ247" s="156"/>
      <c r="BK247" s="156"/>
      <c r="BL247" s="156"/>
      <c r="BM247" s="156"/>
      <c r="BN247" s="355"/>
      <c r="BO247" s="355"/>
      <c r="BP247" s="355"/>
      <c r="BQ247" s="156"/>
      <c r="BR247" s="355"/>
      <c r="BS247" s="355"/>
      <c r="BT247" s="355"/>
      <c r="BU247" s="156"/>
      <c r="BV247" s="355"/>
      <c r="BW247" s="355"/>
      <c r="BX247" s="355"/>
      <c r="BY247" s="156"/>
      <c r="BZ247" s="355"/>
      <c r="CA247" s="355"/>
      <c r="CB247" s="355"/>
      <c r="CC247" s="156"/>
      <c r="CD247" s="355"/>
      <c r="CE247" s="355"/>
      <c r="CF247" s="355"/>
      <c r="CG247" s="156"/>
      <c r="CH247" s="355"/>
      <c r="CI247" s="355"/>
      <c r="CJ247" s="355"/>
      <c r="CK247" s="156"/>
      <c r="CL247" s="355"/>
      <c r="CM247" s="355"/>
      <c r="CN247" s="355"/>
      <c r="CO247" s="156"/>
      <c r="CP247" s="355"/>
      <c r="CQ247" s="355"/>
      <c r="CR247" s="355"/>
      <c r="CS247" s="156"/>
      <c r="CT247" s="355"/>
      <c r="CU247" s="355"/>
      <c r="CV247" s="355"/>
      <c r="CW247" s="355"/>
      <c r="CX247" s="355"/>
      <c r="CY247" s="355"/>
      <c r="CZ247" s="355"/>
      <c r="DA247" s="355"/>
      <c r="DB247" s="355"/>
      <c r="DC247" s="355"/>
      <c r="DD247" s="355"/>
      <c r="DE247" s="355"/>
      <c r="DF247" s="355"/>
      <c r="DG247" s="355"/>
      <c r="DH247" s="355"/>
      <c r="DI247" s="355"/>
      <c r="DJ247" s="355"/>
      <c r="DK247" s="355"/>
      <c r="DL247" s="355"/>
      <c r="DM247" s="355"/>
      <c r="DN247" s="355"/>
      <c r="DO247" s="355"/>
      <c r="DP247" s="355"/>
      <c r="DQ247" s="355"/>
      <c r="DR247" s="355"/>
      <c r="DS247" s="355"/>
      <c r="DT247" s="355"/>
      <c r="DU247" s="156"/>
      <c r="DV247" s="156"/>
      <c r="DW247" s="156"/>
      <c r="DX247" s="156"/>
      <c r="DY247" s="156"/>
      <c r="DZ247" s="156"/>
      <c r="EA247" s="156"/>
      <c r="EB247" s="156"/>
      <c r="EC247" s="156"/>
      <c r="ED247" s="156"/>
      <c r="EE247" s="156"/>
      <c r="EF247" s="156"/>
      <c r="EG247" s="156"/>
      <c r="EH247" s="156"/>
    </row>
    <row r="248" spans="1:138" hidden="1" outlineLevel="1">
      <c r="A248" s="2348"/>
      <c r="B248" s="156" t="s">
        <v>812</v>
      </c>
      <c r="C248" s="156"/>
      <c r="D248" s="156"/>
      <c r="E248" s="156"/>
      <c r="F248" s="156"/>
      <c r="G248" s="156"/>
      <c r="H248" s="156"/>
      <c r="I248" s="156"/>
      <c r="J248" s="156"/>
      <c r="K248" s="156"/>
      <c r="L248" s="156"/>
      <c r="M248" s="156"/>
      <c r="N248" s="156"/>
      <c r="O248" s="156"/>
      <c r="P248" s="156"/>
      <c r="Q248" s="156"/>
      <c r="R248" s="156"/>
      <c r="S248" s="156"/>
      <c r="T248" s="156"/>
      <c r="U248" s="156"/>
      <c r="V248" s="156"/>
      <c r="W248" s="156"/>
      <c r="X248" s="156"/>
      <c r="Y248" s="156"/>
      <c r="Z248" s="156"/>
      <c r="AA248" s="156"/>
      <c r="AB248" s="156"/>
      <c r="AC248" s="156"/>
      <c r="AD248" s="156"/>
      <c r="AE248" s="156"/>
      <c r="AF248" s="156"/>
      <c r="AG248" s="156"/>
      <c r="AH248" s="156"/>
      <c r="AI248" s="156"/>
      <c r="AJ248" s="156"/>
      <c r="AK248" s="156"/>
      <c r="AL248" s="156"/>
      <c r="AM248" s="156"/>
      <c r="AN248" s="156"/>
      <c r="AO248" s="156"/>
      <c r="AP248" s="156"/>
      <c r="AQ248" s="156"/>
      <c r="AR248" s="156"/>
      <c r="AS248" s="156"/>
      <c r="AT248" s="156"/>
      <c r="AU248" s="156"/>
      <c r="AV248" s="156"/>
      <c r="AW248" s="156"/>
      <c r="AX248" s="156"/>
      <c r="AY248" s="156"/>
      <c r="AZ248" s="156"/>
      <c r="BA248" s="156"/>
      <c r="BB248" s="156"/>
      <c r="BC248" s="156"/>
      <c r="BD248" s="156"/>
      <c r="BE248" s="156"/>
      <c r="BF248" s="156"/>
      <c r="BG248" s="156"/>
      <c r="BH248" s="156"/>
      <c r="BI248" s="156"/>
      <c r="BJ248" s="156"/>
      <c r="BK248" s="156"/>
      <c r="BL248" s="156"/>
      <c r="BM248" s="156"/>
      <c r="BN248" s="355"/>
      <c r="BO248" s="355"/>
      <c r="BP248" s="355"/>
      <c r="BQ248" s="156"/>
      <c r="BR248" s="355"/>
      <c r="BS248" s="355"/>
      <c r="BT248" s="355"/>
      <c r="BU248" s="156"/>
      <c r="BV248" s="355"/>
      <c r="BW248" s="355"/>
      <c r="BX248" s="355"/>
      <c r="BY248" s="156"/>
      <c r="BZ248" s="355"/>
      <c r="CA248" s="355"/>
      <c r="CB248" s="355"/>
      <c r="CC248" s="156"/>
      <c r="CD248" s="355"/>
      <c r="CE248" s="355"/>
      <c r="CF248" s="355"/>
      <c r="CG248" s="156"/>
      <c r="CH248" s="355"/>
      <c r="CI248" s="355"/>
      <c r="CJ248" s="355"/>
      <c r="CK248" s="156"/>
      <c r="CL248" s="355"/>
      <c r="CM248" s="355"/>
      <c r="CN248" s="355"/>
      <c r="CO248" s="156"/>
      <c r="CP248" s="355"/>
      <c r="CQ248" s="355"/>
      <c r="CR248" s="355"/>
      <c r="CS248" s="156"/>
      <c r="CT248" s="355"/>
      <c r="CU248" s="355"/>
      <c r="CV248" s="355"/>
      <c r="CW248" s="355"/>
      <c r="CX248" s="355"/>
      <c r="CY248" s="355"/>
      <c r="CZ248" s="355"/>
      <c r="DA248" s="355"/>
      <c r="DB248" s="355"/>
      <c r="DC248" s="355"/>
      <c r="DD248" s="355"/>
      <c r="DE248" s="355"/>
      <c r="DF248" s="355"/>
      <c r="DG248" s="355"/>
      <c r="DH248" s="355"/>
      <c r="DI248" s="355"/>
      <c r="DJ248" s="355"/>
      <c r="DK248" s="355"/>
      <c r="DL248" s="355"/>
      <c r="DM248" s="355"/>
      <c r="DN248" s="355"/>
      <c r="DO248" s="355"/>
      <c r="DP248" s="355"/>
      <c r="DQ248" s="355"/>
      <c r="DR248" s="355"/>
      <c r="DS248" s="355"/>
      <c r="DT248" s="355"/>
      <c r="DU248" s="156"/>
      <c r="DV248" s="156"/>
      <c r="DW248" s="156"/>
      <c r="DX248" s="156"/>
      <c r="DY248" s="156"/>
      <c r="DZ248" s="156"/>
      <c r="EA248" s="156"/>
      <c r="EB248" s="156"/>
      <c r="EC248" s="156"/>
      <c r="ED248" s="156"/>
      <c r="EE248" s="156"/>
      <c r="EF248" s="156"/>
      <c r="EG248" s="156"/>
      <c r="EH248" s="156"/>
    </row>
    <row r="249" spans="1:138" hidden="1" outlineLevel="1">
      <c r="A249" s="2348"/>
      <c r="B249" s="156" t="s">
        <v>1224</v>
      </c>
      <c r="C249" s="156"/>
      <c r="D249" s="156"/>
      <c r="E249" s="156"/>
      <c r="F249" s="156"/>
      <c r="G249" s="156"/>
      <c r="H249" s="156"/>
      <c r="I249" s="156"/>
      <c r="J249" s="156"/>
      <c r="K249" s="156"/>
      <c r="L249" s="156"/>
      <c r="M249" s="156"/>
      <c r="N249" s="156"/>
      <c r="O249" s="156"/>
      <c r="P249" s="156"/>
      <c r="Q249" s="156"/>
      <c r="R249" s="156"/>
      <c r="S249" s="156"/>
      <c r="T249" s="156"/>
      <c r="U249" s="156"/>
      <c r="V249" s="156"/>
      <c r="W249" s="156"/>
      <c r="X249" s="156"/>
      <c r="Y249" s="156"/>
      <c r="Z249" s="156"/>
      <c r="AA249" s="156"/>
      <c r="AB249" s="156"/>
      <c r="AC249" s="156"/>
      <c r="AD249" s="156"/>
      <c r="AE249" s="156"/>
      <c r="AF249" s="156"/>
      <c r="AG249" s="156"/>
      <c r="AH249" s="156"/>
      <c r="AI249" s="156"/>
      <c r="AJ249" s="156"/>
      <c r="AK249" s="156"/>
      <c r="AL249" s="156"/>
      <c r="AM249" s="156"/>
      <c r="AN249" s="156"/>
      <c r="AO249" s="156"/>
      <c r="AP249" s="156"/>
      <c r="AQ249" s="156"/>
      <c r="AR249" s="156"/>
      <c r="AS249" s="156"/>
      <c r="AT249" s="156"/>
      <c r="AU249" s="156"/>
      <c r="AV249" s="156"/>
      <c r="AW249" s="156"/>
      <c r="AX249" s="156"/>
      <c r="AY249" s="156"/>
      <c r="AZ249" s="156"/>
      <c r="BA249" s="156"/>
      <c r="BB249" s="156"/>
      <c r="BC249" s="156"/>
      <c r="BD249" s="156"/>
      <c r="BE249" s="156"/>
      <c r="BF249" s="156"/>
      <c r="BG249" s="156"/>
      <c r="BH249" s="156"/>
      <c r="BI249" s="156"/>
      <c r="BJ249" s="156"/>
      <c r="BK249" s="156"/>
      <c r="BL249" s="156"/>
      <c r="BM249" s="156"/>
      <c r="BN249" s="355"/>
      <c r="BO249" s="355"/>
      <c r="BP249" s="355"/>
      <c r="BQ249" s="156"/>
      <c r="BR249" s="355"/>
      <c r="BS249" s="355"/>
      <c r="BT249" s="355"/>
      <c r="BU249" s="156"/>
      <c r="BV249" s="355"/>
      <c r="BW249" s="355"/>
      <c r="BX249" s="355"/>
      <c r="BY249" s="156"/>
      <c r="BZ249" s="355"/>
      <c r="CA249" s="355"/>
      <c r="CB249" s="355"/>
      <c r="CC249" s="156"/>
      <c r="CD249" s="355"/>
      <c r="CE249" s="355"/>
      <c r="CF249" s="355"/>
      <c r="CG249" s="156"/>
      <c r="CH249" s="355"/>
      <c r="CI249" s="355"/>
      <c r="CJ249" s="355"/>
      <c r="CK249" s="156"/>
      <c r="CL249" s="355"/>
      <c r="CM249" s="355"/>
      <c r="CN249" s="355"/>
      <c r="CO249" s="156"/>
      <c r="CP249" s="355"/>
      <c r="CQ249" s="355"/>
      <c r="CR249" s="355"/>
      <c r="CS249" s="156"/>
      <c r="CT249" s="355"/>
      <c r="CU249" s="355"/>
      <c r="CV249" s="355"/>
      <c r="CW249" s="355"/>
      <c r="CX249" s="355"/>
      <c r="CY249" s="355"/>
      <c r="CZ249" s="355"/>
      <c r="DA249" s="355"/>
      <c r="DB249" s="355"/>
      <c r="DC249" s="355"/>
      <c r="DD249" s="355"/>
      <c r="DE249" s="355"/>
      <c r="DF249" s="355"/>
      <c r="DG249" s="355"/>
      <c r="DH249" s="355"/>
      <c r="DI249" s="355"/>
      <c r="DJ249" s="355"/>
      <c r="DK249" s="355"/>
      <c r="DL249" s="355"/>
      <c r="DM249" s="355"/>
      <c r="DN249" s="355"/>
      <c r="DO249" s="355"/>
      <c r="DP249" s="355"/>
      <c r="DQ249" s="355"/>
      <c r="DR249" s="355"/>
      <c r="DS249" s="355"/>
      <c r="DT249" s="355"/>
      <c r="DU249" s="156"/>
      <c r="DV249" s="156"/>
      <c r="DW249" s="156"/>
      <c r="DX249" s="156"/>
      <c r="DY249" s="156"/>
      <c r="DZ249" s="156"/>
      <c r="EA249" s="156"/>
      <c r="EB249" s="156"/>
      <c r="EC249" s="156"/>
      <c r="ED249" s="156"/>
      <c r="EE249" s="156"/>
      <c r="EF249" s="156"/>
      <c r="EG249" s="156"/>
      <c r="EH249" s="156"/>
    </row>
    <row r="250" spans="1:138" collapsed="1">
      <c r="A250" s="2344"/>
      <c r="B250" s="355" t="s">
        <v>1154</v>
      </c>
      <c r="C250" s="355"/>
      <c r="D250" s="355"/>
      <c r="E250" s="355"/>
      <c r="F250" s="355"/>
      <c r="G250" s="355"/>
      <c r="H250" s="355"/>
      <c r="I250" s="355"/>
      <c r="J250" s="355"/>
      <c r="K250" s="355"/>
      <c r="L250" s="355"/>
      <c r="M250" s="355"/>
      <c r="N250" s="355"/>
      <c r="O250" s="355"/>
      <c r="P250" s="355"/>
      <c r="Q250" s="355"/>
      <c r="R250" s="355"/>
      <c r="S250" s="355"/>
      <c r="T250" s="355"/>
      <c r="U250" s="355"/>
      <c r="V250" s="355"/>
      <c r="W250" s="355"/>
      <c r="X250" s="355"/>
      <c r="Y250" s="355"/>
      <c r="Z250" s="355"/>
      <c r="AA250" s="355"/>
      <c r="AB250" s="355"/>
      <c r="AC250" s="355"/>
      <c r="AD250" s="355"/>
      <c r="AE250" s="355"/>
      <c r="AF250" s="355"/>
      <c r="AG250" s="355"/>
      <c r="AH250" s="355"/>
      <c r="AI250" s="355"/>
      <c r="AJ250" s="355"/>
      <c r="AK250" s="355"/>
      <c r="AL250" s="355"/>
      <c r="AM250" s="355"/>
      <c r="AN250" s="355"/>
      <c r="AO250" s="355"/>
      <c r="AP250" s="355"/>
      <c r="AQ250" s="355"/>
      <c r="AR250" s="355"/>
      <c r="AS250" s="355"/>
      <c r="AT250" s="355"/>
      <c r="AU250" s="355"/>
      <c r="AV250" s="355"/>
      <c r="AW250" s="355"/>
      <c r="AX250" s="355"/>
      <c r="AY250" s="355"/>
      <c r="AZ250" s="355"/>
      <c r="BA250" s="355"/>
      <c r="BB250" s="355"/>
      <c r="BC250" s="355"/>
      <c r="BD250" s="355"/>
      <c r="BE250" s="355"/>
      <c r="BF250" s="355"/>
      <c r="BG250" s="355"/>
      <c r="BH250" s="355"/>
      <c r="BI250" s="355"/>
      <c r="BJ250" s="355"/>
      <c r="BK250" s="355"/>
      <c r="BL250" s="355"/>
      <c r="BM250" s="355"/>
      <c r="BN250" s="355"/>
      <c r="BO250" s="355"/>
      <c r="BP250" s="355"/>
      <c r="BQ250" s="355"/>
      <c r="BR250" s="355"/>
      <c r="BS250" s="355"/>
      <c r="BT250" s="355"/>
      <c r="BU250" s="355"/>
      <c r="BV250" s="355"/>
      <c r="BW250" s="355"/>
      <c r="BX250" s="355"/>
      <c r="BY250" s="355"/>
      <c r="BZ250" s="355"/>
      <c r="CA250" s="355"/>
      <c r="CB250" s="355"/>
      <c r="CC250" s="355"/>
      <c r="CD250" s="355"/>
      <c r="CE250" s="355"/>
      <c r="CF250" s="355"/>
      <c r="CG250" s="355"/>
      <c r="CH250" s="355"/>
      <c r="CI250" s="355"/>
      <c r="CJ250" s="355"/>
      <c r="CK250" s="355"/>
      <c r="CL250" s="355"/>
      <c r="CM250" s="355"/>
      <c r="CN250" s="355"/>
      <c r="CO250" s="355"/>
      <c r="CP250" s="355"/>
      <c r="CQ250" s="355"/>
      <c r="CR250" s="355"/>
      <c r="CS250" s="355"/>
      <c r="CT250" s="355"/>
      <c r="CU250" s="355"/>
      <c r="CV250" s="355"/>
      <c r="CW250" s="355"/>
      <c r="CX250" s="355"/>
      <c r="CY250" s="355"/>
      <c r="CZ250" s="355"/>
      <c r="DA250" s="355"/>
      <c r="DB250" s="355"/>
      <c r="DC250" s="355"/>
      <c r="DD250" s="355"/>
      <c r="DE250" s="355"/>
      <c r="DF250" s="355"/>
      <c r="DG250" s="355"/>
      <c r="DH250" s="355"/>
      <c r="DI250" s="355"/>
      <c r="DJ250" s="355"/>
      <c r="DK250" s="355"/>
      <c r="DL250" s="355"/>
      <c r="DM250" s="355"/>
      <c r="DN250" s="355"/>
      <c r="DO250" s="355"/>
      <c r="DP250" s="355"/>
      <c r="DQ250" s="355"/>
      <c r="DR250" s="355"/>
      <c r="DS250" s="355"/>
      <c r="DT250" s="355"/>
      <c r="DU250" s="355"/>
      <c r="DV250" s="355"/>
      <c r="DW250" s="355"/>
      <c r="DX250" s="355"/>
      <c r="DY250" s="355"/>
      <c r="DZ250" s="355"/>
      <c r="EA250" s="355"/>
      <c r="EB250" s="355"/>
      <c r="EC250" s="355"/>
      <c r="ED250" s="355"/>
      <c r="EE250" s="355"/>
      <c r="EF250" s="355"/>
      <c r="EG250" s="355"/>
      <c r="EH250" s="355"/>
    </row>
    <row r="251" spans="1:138">
      <c r="A251" s="2344"/>
      <c r="B251" s="355" t="s">
        <v>710</v>
      </c>
      <c r="C251" s="355"/>
      <c r="D251" s="355"/>
      <c r="E251" s="355"/>
      <c r="F251" s="355"/>
      <c r="G251" s="355"/>
      <c r="H251" s="355"/>
      <c r="I251" s="355"/>
      <c r="J251" s="355"/>
      <c r="K251" s="355"/>
      <c r="L251" s="355"/>
      <c r="M251" s="355"/>
      <c r="N251" s="355"/>
      <c r="O251" s="355"/>
      <c r="P251" s="355"/>
      <c r="Q251" s="355"/>
      <c r="R251" s="355"/>
      <c r="S251" s="355"/>
      <c r="T251" s="355"/>
      <c r="U251" s="355"/>
      <c r="V251" s="355"/>
      <c r="W251" s="355"/>
      <c r="X251" s="355"/>
      <c r="Y251" s="355"/>
      <c r="Z251" s="355"/>
      <c r="AA251" s="355"/>
      <c r="AB251" s="355"/>
      <c r="AC251" s="355"/>
      <c r="AD251" s="355"/>
      <c r="AE251" s="355"/>
      <c r="AF251" s="355"/>
      <c r="AG251" s="355"/>
      <c r="AH251" s="355"/>
      <c r="AI251" s="355"/>
      <c r="AJ251" s="355"/>
      <c r="AK251" s="355"/>
      <c r="AL251" s="355"/>
      <c r="AM251" s="355"/>
      <c r="AN251" s="355"/>
      <c r="AO251" s="355"/>
      <c r="AP251" s="355"/>
      <c r="AQ251" s="355"/>
      <c r="AR251" s="355"/>
      <c r="AS251" s="355"/>
      <c r="AT251" s="355"/>
      <c r="AU251" s="355"/>
      <c r="AV251" s="355"/>
      <c r="AW251" s="355"/>
      <c r="AX251" s="355"/>
      <c r="AY251" s="355"/>
      <c r="AZ251" s="355"/>
      <c r="BA251" s="355"/>
      <c r="BB251" s="355"/>
      <c r="BC251" s="355"/>
      <c r="BD251" s="355"/>
      <c r="BE251" s="355"/>
      <c r="BF251" s="355"/>
      <c r="BG251" s="355"/>
      <c r="BH251" s="355"/>
      <c r="BI251" s="355"/>
      <c r="BJ251" s="355"/>
      <c r="BK251" s="355"/>
      <c r="BL251" s="355"/>
      <c r="BM251" s="355"/>
      <c r="BN251" s="355"/>
      <c r="BO251" s="355"/>
      <c r="BP251" s="355"/>
      <c r="BQ251" s="355"/>
      <c r="BR251" s="355"/>
      <c r="BS251" s="355"/>
      <c r="BT251" s="355"/>
      <c r="BU251" s="355"/>
      <c r="BV251" s="355"/>
      <c r="BW251" s="355"/>
      <c r="BX251" s="355"/>
      <c r="BY251" s="355"/>
      <c r="BZ251" s="355"/>
      <c r="CA251" s="355"/>
      <c r="CB251" s="355"/>
      <c r="CC251" s="355"/>
      <c r="CD251" s="355"/>
      <c r="CE251" s="355"/>
      <c r="CF251" s="355"/>
      <c r="CG251" s="355"/>
      <c r="CH251" s="355"/>
      <c r="CI251" s="355"/>
      <c r="CJ251" s="355"/>
      <c r="CK251" s="355"/>
      <c r="CL251" s="355"/>
      <c r="CM251" s="355"/>
      <c r="CN251" s="355"/>
      <c r="CO251" s="355"/>
      <c r="CP251" s="355"/>
      <c r="CQ251" s="355"/>
      <c r="CR251" s="355"/>
      <c r="CS251" s="355"/>
      <c r="CT251" s="355"/>
      <c r="CU251" s="355"/>
      <c r="CV251" s="355"/>
      <c r="CW251" s="355"/>
      <c r="CX251" s="355"/>
      <c r="CY251" s="355"/>
      <c r="CZ251" s="355"/>
      <c r="DA251" s="355"/>
      <c r="DB251" s="355"/>
      <c r="DC251" s="355"/>
      <c r="DD251" s="355"/>
      <c r="DE251" s="355"/>
      <c r="DF251" s="355"/>
      <c r="DG251" s="355"/>
      <c r="DH251" s="355"/>
      <c r="DI251" s="355"/>
      <c r="DJ251" s="355"/>
      <c r="DK251" s="355"/>
      <c r="DL251" s="355"/>
      <c r="DM251" s="355"/>
      <c r="DN251" s="355"/>
      <c r="DO251" s="355"/>
      <c r="DP251" s="355"/>
      <c r="DQ251" s="355"/>
      <c r="DR251" s="355"/>
      <c r="DS251" s="355"/>
      <c r="DT251" s="355"/>
      <c r="DU251" s="355"/>
      <c r="DV251" s="355"/>
      <c r="DW251" s="355"/>
      <c r="DX251" s="355"/>
      <c r="DY251" s="355"/>
      <c r="DZ251" s="355"/>
      <c r="EA251" s="355"/>
      <c r="EB251" s="355"/>
      <c r="EC251" s="355"/>
      <c r="ED251" s="355"/>
      <c r="EE251" s="355"/>
      <c r="EF251" s="355"/>
      <c r="EG251" s="355"/>
      <c r="EH251" s="355"/>
    </row>
    <row r="252" spans="1:138">
      <c r="A252" s="2344"/>
      <c r="B252" s="355" t="s">
        <v>1093</v>
      </c>
      <c r="C252" s="355"/>
      <c r="D252" s="355"/>
      <c r="E252" s="355"/>
      <c r="F252" s="355"/>
      <c r="G252" s="355"/>
      <c r="H252" s="355"/>
      <c r="I252" s="355"/>
      <c r="J252" s="355"/>
      <c r="K252" s="355"/>
      <c r="L252" s="355"/>
      <c r="M252" s="355"/>
      <c r="N252" s="355"/>
      <c r="O252" s="355"/>
      <c r="P252" s="355"/>
      <c r="Q252" s="355"/>
      <c r="R252" s="355"/>
      <c r="S252" s="355"/>
      <c r="T252" s="355"/>
      <c r="U252" s="355"/>
      <c r="V252" s="355"/>
      <c r="W252" s="355"/>
      <c r="X252" s="355"/>
      <c r="Y252" s="355"/>
      <c r="Z252" s="355"/>
      <c r="AA252" s="355"/>
      <c r="AB252" s="355"/>
      <c r="AC252" s="355"/>
      <c r="AD252" s="355"/>
      <c r="AE252" s="355"/>
      <c r="AF252" s="355"/>
      <c r="AG252" s="355"/>
      <c r="AH252" s="355"/>
      <c r="AI252" s="355"/>
      <c r="AJ252" s="355"/>
      <c r="AK252" s="355"/>
      <c r="AL252" s="355"/>
      <c r="AM252" s="355"/>
      <c r="AN252" s="355"/>
      <c r="AO252" s="355"/>
      <c r="AP252" s="355"/>
      <c r="AQ252" s="355"/>
      <c r="AR252" s="355"/>
      <c r="AS252" s="355"/>
      <c r="AT252" s="355"/>
      <c r="AU252" s="355"/>
      <c r="AV252" s="355"/>
      <c r="AW252" s="355"/>
      <c r="AX252" s="355"/>
      <c r="AY252" s="355"/>
      <c r="AZ252" s="355"/>
      <c r="BA252" s="355"/>
      <c r="BB252" s="355"/>
      <c r="BC252" s="355"/>
      <c r="BD252" s="355"/>
      <c r="BE252" s="355"/>
      <c r="BF252" s="355"/>
      <c r="BG252" s="355"/>
      <c r="BH252" s="355"/>
      <c r="BI252" s="355"/>
      <c r="BJ252" s="355"/>
      <c r="BK252" s="355"/>
      <c r="BL252" s="355"/>
      <c r="BM252" s="355"/>
      <c r="BN252" s="355"/>
      <c r="BO252" s="355"/>
      <c r="BP252" s="355"/>
      <c r="BQ252" s="355"/>
      <c r="BR252" s="355"/>
      <c r="BS252" s="355"/>
      <c r="BT252" s="355"/>
      <c r="BU252" s="355"/>
      <c r="BV252" s="355"/>
      <c r="BW252" s="355"/>
      <c r="BX252" s="355"/>
      <c r="BY252" s="355"/>
      <c r="BZ252" s="355"/>
      <c r="CA252" s="355"/>
      <c r="CB252" s="355"/>
      <c r="CC252" s="355"/>
      <c r="CD252" s="355"/>
      <c r="CE252" s="355"/>
      <c r="CF252" s="355"/>
      <c r="CG252" s="355"/>
      <c r="CH252" s="355"/>
      <c r="CI252" s="355"/>
      <c r="CJ252" s="355"/>
      <c r="CK252" s="355"/>
      <c r="CL252" s="355"/>
      <c r="CM252" s="355"/>
      <c r="CN252" s="355"/>
      <c r="CO252" s="355"/>
      <c r="CP252" s="355"/>
      <c r="CQ252" s="355"/>
      <c r="CR252" s="355"/>
      <c r="CS252" s="355"/>
      <c r="CT252" s="355"/>
      <c r="CU252" s="355"/>
      <c r="CV252" s="355"/>
      <c r="CW252" s="355"/>
      <c r="CX252" s="355"/>
      <c r="CY252" s="355"/>
      <c r="CZ252" s="355"/>
      <c r="DA252" s="355"/>
      <c r="DB252" s="355"/>
      <c r="DC252" s="355"/>
      <c r="DD252" s="355"/>
      <c r="DE252" s="355"/>
      <c r="DF252" s="355"/>
      <c r="DG252" s="355"/>
      <c r="DH252" s="355"/>
      <c r="DI252" s="355"/>
      <c r="DJ252" s="355"/>
      <c r="DK252" s="355"/>
      <c r="DL252" s="355"/>
      <c r="DM252" s="355"/>
      <c r="DN252" s="355"/>
      <c r="DO252" s="355"/>
      <c r="DP252" s="355"/>
      <c r="DQ252" s="355"/>
      <c r="DR252" s="355"/>
      <c r="DS252" s="355"/>
      <c r="DT252" s="355"/>
      <c r="DU252" s="355"/>
      <c r="DV252" s="355"/>
      <c r="DW252" s="355"/>
      <c r="DX252" s="355"/>
      <c r="DY252" s="355"/>
      <c r="DZ252" s="355"/>
      <c r="EA252" s="355"/>
      <c r="EB252" s="355"/>
      <c r="EC252" s="355"/>
      <c r="ED252" s="355"/>
      <c r="EE252" s="355"/>
      <c r="EF252" s="355"/>
      <c r="EG252" s="355"/>
      <c r="EH252" s="355"/>
    </row>
    <row r="253" spans="1:138">
      <c r="A253" s="2344"/>
      <c r="B253" s="355" t="s">
        <v>447</v>
      </c>
      <c r="C253" s="355"/>
      <c r="D253" s="355"/>
      <c r="E253" s="355"/>
      <c r="F253" s="355"/>
      <c r="G253" s="355"/>
      <c r="H253" s="355"/>
      <c r="I253" s="355"/>
      <c r="J253" s="355"/>
      <c r="K253" s="355"/>
      <c r="L253" s="355"/>
      <c r="M253" s="355"/>
      <c r="N253" s="355"/>
      <c r="O253" s="355"/>
      <c r="P253" s="355"/>
      <c r="Q253" s="355"/>
      <c r="R253" s="355"/>
      <c r="S253" s="355"/>
      <c r="T253" s="355"/>
      <c r="U253" s="355"/>
      <c r="V253" s="355"/>
      <c r="W253" s="355"/>
      <c r="X253" s="355"/>
      <c r="Y253" s="355"/>
      <c r="Z253" s="355"/>
      <c r="AA253" s="355"/>
      <c r="AB253" s="355"/>
      <c r="AC253" s="355"/>
      <c r="AD253" s="355"/>
      <c r="AE253" s="355"/>
      <c r="AF253" s="355"/>
      <c r="AG253" s="355"/>
      <c r="AH253" s="355"/>
      <c r="AI253" s="355"/>
      <c r="AJ253" s="355"/>
      <c r="AK253" s="355"/>
      <c r="AL253" s="355"/>
      <c r="AM253" s="355"/>
      <c r="AN253" s="355"/>
      <c r="AO253" s="355"/>
      <c r="AP253" s="355"/>
      <c r="AQ253" s="355"/>
      <c r="AR253" s="355"/>
      <c r="AS253" s="355"/>
      <c r="AT253" s="355"/>
      <c r="AU253" s="355"/>
      <c r="AV253" s="355"/>
      <c r="AW253" s="355"/>
      <c r="AX253" s="355"/>
      <c r="AY253" s="355"/>
      <c r="AZ253" s="355"/>
      <c r="BA253" s="355"/>
      <c r="BB253" s="355"/>
      <c r="BC253" s="355"/>
      <c r="BD253" s="355"/>
      <c r="BE253" s="355"/>
      <c r="BF253" s="355"/>
      <c r="BG253" s="355"/>
      <c r="BH253" s="355"/>
      <c r="BI253" s="355"/>
      <c r="BJ253" s="355"/>
      <c r="BK253" s="355"/>
      <c r="BL253" s="355"/>
      <c r="BM253" s="355"/>
      <c r="BN253" s="355"/>
      <c r="BO253" s="355"/>
      <c r="BP253" s="355"/>
      <c r="BQ253" s="355"/>
      <c r="BR253" s="355"/>
      <c r="BS253" s="355"/>
      <c r="BT253" s="355"/>
      <c r="BU253" s="355"/>
      <c r="BV253" s="355"/>
      <c r="BW253" s="355"/>
      <c r="BX253" s="355"/>
      <c r="BY253" s="355"/>
      <c r="BZ253" s="355"/>
      <c r="CA253" s="355"/>
      <c r="CB253" s="355"/>
      <c r="CC253" s="355"/>
      <c r="CD253" s="355"/>
      <c r="CE253" s="355"/>
      <c r="CF253" s="355"/>
      <c r="CG253" s="355"/>
      <c r="CH253" s="355"/>
      <c r="CI253" s="355"/>
      <c r="CJ253" s="355"/>
      <c r="CK253" s="355"/>
      <c r="CL253" s="355"/>
      <c r="CM253" s="355"/>
      <c r="CN253" s="355"/>
      <c r="CO253" s="355"/>
      <c r="CP253" s="355"/>
      <c r="CQ253" s="355"/>
      <c r="CR253" s="355"/>
      <c r="CS253" s="355"/>
      <c r="CT253" s="355"/>
      <c r="CU253" s="355"/>
      <c r="CV253" s="355"/>
      <c r="CW253" s="355"/>
      <c r="CX253" s="355"/>
      <c r="CY253" s="355"/>
      <c r="CZ253" s="355"/>
      <c r="DA253" s="355"/>
      <c r="DB253" s="355"/>
      <c r="DC253" s="355"/>
      <c r="DD253" s="355"/>
      <c r="DE253" s="355"/>
      <c r="DF253" s="355"/>
      <c r="DG253" s="355"/>
      <c r="DH253" s="355"/>
      <c r="DI253" s="355"/>
      <c r="DJ253" s="355"/>
      <c r="DK253" s="355"/>
      <c r="DL253" s="355"/>
      <c r="DM253" s="355"/>
      <c r="DN253" s="355"/>
      <c r="DO253" s="355"/>
      <c r="DP253" s="355"/>
      <c r="DQ253" s="355"/>
      <c r="DR253" s="355"/>
      <c r="DS253" s="355"/>
      <c r="DT253" s="355"/>
      <c r="DU253" s="355"/>
      <c r="DV253" s="355"/>
      <c r="DW253" s="355"/>
      <c r="DX253" s="355"/>
      <c r="DY253" s="355"/>
      <c r="DZ253" s="355"/>
      <c r="EA253" s="355"/>
      <c r="EB253" s="355"/>
      <c r="EC253" s="355"/>
      <c r="ED253" s="355"/>
      <c r="EE253" s="355"/>
      <c r="EF253" s="355"/>
      <c r="EG253" s="355"/>
      <c r="EH253" s="355"/>
    </row>
    <row r="254" spans="1:138">
      <c r="A254" s="2344"/>
      <c r="B254" s="355" t="s">
        <v>660</v>
      </c>
      <c r="C254" s="355"/>
      <c r="D254" s="355"/>
      <c r="E254" s="355"/>
      <c r="F254" s="355"/>
      <c r="G254" s="355"/>
      <c r="H254" s="355"/>
      <c r="I254" s="355"/>
      <c r="J254" s="355"/>
      <c r="K254" s="355"/>
      <c r="L254" s="355"/>
      <c r="M254" s="355"/>
      <c r="N254" s="355"/>
      <c r="O254" s="355"/>
      <c r="P254" s="355"/>
      <c r="Q254" s="355"/>
      <c r="R254" s="355"/>
      <c r="S254" s="355"/>
      <c r="T254" s="355"/>
      <c r="U254" s="355"/>
      <c r="V254" s="355"/>
      <c r="W254" s="355"/>
      <c r="X254" s="355"/>
      <c r="Y254" s="355"/>
      <c r="Z254" s="355"/>
      <c r="AA254" s="355"/>
      <c r="AB254" s="355"/>
      <c r="AC254" s="355"/>
      <c r="AD254" s="355"/>
      <c r="AE254" s="355"/>
      <c r="AF254" s="355"/>
      <c r="AG254" s="355"/>
      <c r="AH254" s="355"/>
      <c r="AI254" s="355"/>
      <c r="AJ254" s="355"/>
      <c r="AK254" s="355"/>
      <c r="AL254" s="355"/>
      <c r="AM254" s="355"/>
      <c r="AN254" s="355"/>
      <c r="AO254" s="355"/>
      <c r="AP254" s="355"/>
      <c r="AQ254" s="355"/>
      <c r="AR254" s="355"/>
      <c r="AS254" s="355"/>
      <c r="AT254" s="355"/>
      <c r="AU254" s="355"/>
      <c r="AV254" s="355"/>
      <c r="AW254" s="355"/>
      <c r="AX254" s="355"/>
      <c r="AY254" s="355"/>
      <c r="AZ254" s="355"/>
      <c r="BA254" s="355"/>
      <c r="BB254" s="355"/>
      <c r="BC254" s="355"/>
      <c r="BD254" s="355"/>
      <c r="BE254" s="355"/>
      <c r="BF254" s="355"/>
      <c r="BG254" s="355"/>
      <c r="BH254" s="355"/>
      <c r="BI254" s="355"/>
      <c r="BJ254" s="355"/>
      <c r="BK254" s="355"/>
      <c r="BL254" s="355"/>
      <c r="BM254" s="355"/>
      <c r="BN254" s="355"/>
      <c r="BO254" s="355"/>
      <c r="BP254" s="355"/>
      <c r="BQ254" s="355"/>
      <c r="BR254" s="355"/>
      <c r="BS254" s="355"/>
      <c r="BT254" s="355"/>
      <c r="BU254" s="355"/>
      <c r="BV254" s="355"/>
      <c r="BW254" s="355"/>
      <c r="BX254" s="355"/>
      <c r="BY254" s="355"/>
      <c r="BZ254" s="355"/>
      <c r="CA254" s="355"/>
      <c r="CB254" s="355"/>
      <c r="CC254" s="355"/>
      <c r="CD254" s="355"/>
      <c r="CE254" s="355"/>
      <c r="CF254" s="355"/>
      <c r="CG254" s="355"/>
      <c r="CH254" s="355"/>
      <c r="CI254" s="355"/>
      <c r="CJ254" s="355"/>
      <c r="CK254" s="355"/>
      <c r="CL254" s="355"/>
      <c r="CM254" s="355"/>
      <c r="CN254" s="355"/>
      <c r="CO254" s="355"/>
      <c r="CP254" s="355"/>
      <c r="CQ254" s="355"/>
      <c r="CR254" s="355"/>
      <c r="CS254" s="355"/>
      <c r="CT254" s="355"/>
      <c r="CU254" s="355"/>
      <c r="CV254" s="355"/>
      <c r="CW254" s="355"/>
      <c r="CX254" s="355"/>
      <c r="CY254" s="355"/>
      <c r="CZ254" s="355"/>
      <c r="DA254" s="355"/>
      <c r="DB254" s="355"/>
      <c r="DC254" s="355"/>
      <c r="DD254" s="355"/>
      <c r="DE254" s="355"/>
      <c r="DF254" s="355"/>
      <c r="DG254" s="355"/>
      <c r="DH254" s="355"/>
      <c r="DI254" s="355"/>
      <c r="DJ254" s="355"/>
      <c r="DK254" s="355"/>
      <c r="DL254" s="355"/>
      <c r="DM254" s="355"/>
      <c r="DN254" s="355"/>
      <c r="DO254" s="355"/>
      <c r="DP254" s="355"/>
      <c r="DQ254" s="355"/>
      <c r="DR254" s="355"/>
      <c r="DS254" s="355"/>
      <c r="DT254" s="355"/>
      <c r="DU254" s="355"/>
      <c r="DV254" s="355"/>
      <c r="DW254" s="355"/>
      <c r="DX254" s="355"/>
      <c r="DY254" s="355"/>
      <c r="DZ254" s="355"/>
      <c r="EA254" s="355"/>
      <c r="EB254" s="355"/>
      <c r="EC254" s="355"/>
      <c r="ED254" s="355"/>
      <c r="EE254" s="355"/>
      <c r="EF254" s="355"/>
      <c r="EG254" s="355"/>
      <c r="EH254" s="355"/>
    </row>
    <row r="255" spans="1:138">
      <c r="A255" s="2344"/>
      <c r="B255" s="355" t="s">
        <v>479</v>
      </c>
      <c r="C255" s="355"/>
      <c r="D255" s="355"/>
      <c r="E255" s="355"/>
      <c r="F255" s="355"/>
      <c r="G255" s="355"/>
      <c r="H255" s="355"/>
      <c r="I255" s="355"/>
      <c r="J255" s="355"/>
      <c r="K255" s="355"/>
      <c r="L255" s="355"/>
      <c r="M255" s="355"/>
      <c r="N255" s="355"/>
      <c r="O255" s="355"/>
      <c r="P255" s="355"/>
      <c r="Q255" s="355"/>
      <c r="R255" s="355"/>
      <c r="S255" s="355"/>
      <c r="T255" s="355"/>
      <c r="U255" s="355"/>
      <c r="V255" s="355"/>
      <c r="W255" s="355"/>
      <c r="X255" s="355"/>
      <c r="Y255" s="355"/>
      <c r="Z255" s="355"/>
      <c r="AA255" s="355"/>
      <c r="AB255" s="355"/>
      <c r="AC255" s="355"/>
      <c r="AD255" s="355"/>
      <c r="AE255" s="355"/>
      <c r="AF255" s="355"/>
      <c r="AG255" s="355"/>
      <c r="AH255" s="355"/>
      <c r="AI255" s="355"/>
      <c r="AJ255" s="355"/>
      <c r="AK255" s="355"/>
      <c r="AL255" s="355"/>
      <c r="AM255" s="355"/>
      <c r="AN255" s="355"/>
      <c r="AO255" s="355"/>
      <c r="AP255" s="355"/>
      <c r="AQ255" s="355"/>
      <c r="AR255" s="355"/>
      <c r="AS255" s="355"/>
      <c r="AT255" s="355"/>
      <c r="AU255" s="355"/>
      <c r="AV255" s="355"/>
      <c r="AW255" s="355"/>
      <c r="AX255" s="355"/>
      <c r="AY255" s="355"/>
      <c r="AZ255" s="355"/>
      <c r="BA255" s="355"/>
      <c r="BB255" s="355"/>
      <c r="BC255" s="355"/>
      <c r="BD255" s="355"/>
      <c r="BE255" s="355"/>
      <c r="BF255" s="355"/>
      <c r="BG255" s="355"/>
      <c r="BH255" s="355"/>
      <c r="BI255" s="355"/>
      <c r="BJ255" s="355"/>
      <c r="BK255" s="355"/>
      <c r="BL255" s="355"/>
      <c r="BM255" s="355"/>
      <c r="BN255" s="355"/>
      <c r="BO255" s="355"/>
      <c r="BP255" s="355"/>
      <c r="BQ255" s="355"/>
      <c r="BR255" s="355"/>
      <c r="BS255" s="355"/>
      <c r="BT255" s="355"/>
      <c r="BU255" s="355"/>
      <c r="BV255" s="355"/>
      <c r="BW255" s="355"/>
      <c r="BX255" s="355"/>
      <c r="BY255" s="355"/>
      <c r="BZ255" s="355"/>
      <c r="CA255" s="355"/>
      <c r="CB255" s="355"/>
      <c r="CC255" s="355"/>
      <c r="CD255" s="355"/>
      <c r="CE255" s="355"/>
      <c r="CF255" s="355"/>
      <c r="CG255" s="355"/>
      <c r="CH255" s="355"/>
      <c r="CI255" s="355"/>
      <c r="CJ255" s="355"/>
      <c r="CK255" s="355"/>
      <c r="CL255" s="355"/>
      <c r="CM255" s="355"/>
      <c r="CN255" s="355"/>
      <c r="CO255" s="355"/>
      <c r="CP255" s="355"/>
      <c r="CQ255" s="355"/>
      <c r="CR255" s="355"/>
      <c r="CS255" s="355"/>
      <c r="CT255" s="355"/>
      <c r="CU255" s="355"/>
      <c r="CV255" s="355"/>
      <c r="CW255" s="355"/>
      <c r="CX255" s="355"/>
      <c r="CY255" s="355"/>
      <c r="CZ255" s="355"/>
      <c r="DA255" s="355"/>
      <c r="DB255" s="355"/>
      <c r="DC255" s="355"/>
      <c r="DD255" s="355"/>
      <c r="DE255" s="355"/>
      <c r="DF255" s="355"/>
      <c r="DG255" s="355"/>
      <c r="DH255" s="355"/>
      <c r="DI255" s="355"/>
      <c r="DJ255" s="355"/>
      <c r="DK255" s="355"/>
      <c r="DL255" s="355"/>
      <c r="DM255" s="355"/>
      <c r="DN255" s="355"/>
      <c r="DO255" s="355"/>
      <c r="DP255" s="355"/>
      <c r="DQ255" s="355"/>
      <c r="DR255" s="355"/>
      <c r="DS255" s="355"/>
      <c r="DT255" s="355"/>
      <c r="DU255" s="355"/>
      <c r="DV255" s="355"/>
      <c r="DW255" s="355"/>
      <c r="DX255" s="355"/>
      <c r="DY255" s="355"/>
      <c r="DZ255" s="355"/>
      <c r="EA255" s="355"/>
      <c r="EB255" s="355"/>
      <c r="EC255" s="355"/>
      <c r="ED255" s="355"/>
      <c r="EE255" s="355"/>
      <c r="EF255" s="355"/>
      <c r="EG255" s="355"/>
      <c r="EH255" s="355"/>
    </row>
    <row r="256" spans="1:138">
      <c r="A256" s="2348"/>
      <c r="B256" s="355" t="s">
        <v>186</v>
      </c>
      <c r="C256" s="156"/>
      <c r="D256" s="156"/>
      <c r="E256" s="156"/>
      <c r="F256" s="156"/>
      <c r="G256" s="156"/>
      <c r="H256" s="156"/>
      <c r="I256" s="156"/>
      <c r="J256" s="156"/>
      <c r="K256" s="156"/>
      <c r="L256" s="156"/>
      <c r="M256" s="156"/>
      <c r="N256" s="156"/>
      <c r="O256" s="156"/>
      <c r="P256" s="156"/>
      <c r="Q256" s="156"/>
      <c r="R256" s="156"/>
      <c r="S256" s="156"/>
      <c r="T256" s="156"/>
      <c r="U256" s="156"/>
      <c r="V256" s="156"/>
      <c r="W256" s="156"/>
      <c r="X256" s="156"/>
      <c r="Y256" s="156"/>
      <c r="Z256" s="156"/>
      <c r="AA256" s="156"/>
      <c r="AB256" s="156"/>
      <c r="AC256" s="156"/>
      <c r="AD256" s="156"/>
      <c r="AE256" s="156"/>
      <c r="AF256" s="156"/>
      <c r="AG256" s="156"/>
      <c r="AH256" s="156"/>
      <c r="AI256" s="156"/>
      <c r="AJ256" s="156"/>
      <c r="AK256" s="156"/>
      <c r="AL256" s="156"/>
      <c r="AM256" s="156"/>
      <c r="AN256" s="156"/>
      <c r="AO256" s="156"/>
      <c r="AP256" s="156"/>
      <c r="AQ256" s="156"/>
      <c r="AR256" s="156"/>
      <c r="AS256" s="156"/>
      <c r="AT256" s="156"/>
      <c r="AU256" s="156"/>
      <c r="AV256" s="156"/>
      <c r="AW256" s="156"/>
      <c r="AX256" s="156"/>
      <c r="AY256" s="156"/>
      <c r="AZ256" s="156"/>
      <c r="BA256" s="156"/>
      <c r="BB256" s="156"/>
      <c r="BC256" s="156"/>
      <c r="BD256" s="156"/>
      <c r="BE256" s="156"/>
      <c r="BF256" s="156"/>
      <c r="BG256" s="156"/>
      <c r="BH256" s="156"/>
      <c r="BI256" s="156"/>
      <c r="BJ256" s="156"/>
      <c r="BK256" s="156"/>
      <c r="BL256" s="156"/>
      <c r="BM256" s="156"/>
      <c r="BN256" s="355"/>
      <c r="BO256" s="355"/>
      <c r="BP256" s="355"/>
      <c r="BQ256" s="156"/>
      <c r="BR256" s="355"/>
      <c r="BS256" s="355"/>
      <c r="BT256" s="355"/>
      <c r="BU256" s="156"/>
      <c r="BV256" s="355"/>
      <c r="BW256" s="355"/>
      <c r="BX256" s="355"/>
      <c r="BY256" s="156"/>
      <c r="BZ256" s="355"/>
      <c r="CA256" s="355"/>
      <c r="CB256" s="355"/>
      <c r="CC256" s="156"/>
      <c r="CD256" s="355"/>
      <c r="CE256" s="355"/>
      <c r="CF256" s="355"/>
      <c r="CG256" s="156"/>
      <c r="CH256" s="355"/>
      <c r="CI256" s="355"/>
      <c r="CJ256" s="355"/>
      <c r="CK256" s="156"/>
      <c r="CL256" s="355"/>
      <c r="CM256" s="355"/>
      <c r="CN256" s="355"/>
      <c r="CO256" s="156"/>
      <c r="CP256" s="355"/>
      <c r="CQ256" s="355"/>
      <c r="CR256" s="355"/>
      <c r="CS256" s="156"/>
      <c r="CT256" s="355"/>
      <c r="CU256" s="355"/>
      <c r="CV256" s="355"/>
      <c r="CW256" s="355"/>
      <c r="CX256" s="355"/>
      <c r="CY256" s="355"/>
      <c r="CZ256" s="355"/>
      <c r="DA256" s="355"/>
      <c r="DB256" s="355"/>
      <c r="DC256" s="355"/>
      <c r="DD256" s="355"/>
      <c r="DE256" s="355"/>
      <c r="DF256" s="355"/>
      <c r="DG256" s="355"/>
      <c r="DH256" s="355"/>
      <c r="DI256" s="355"/>
      <c r="DJ256" s="355"/>
      <c r="DK256" s="355"/>
      <c r="DL256" s="355"/>
      <c r="DM256" s="355"/>
      <c r="DN256" s="355"/>
      <c r="DO256" s="355"/>
      <c r="DP256" s="355"/>
      <c r="DQ256" s="355"/>
      <c r="DR256" s="355"/>
      <c r="DS256" s="355"/>
      <c r="DT256" s="355"/>
      <c r="DU256" s="156"/>
      <c r="DV256" s="156"/>
      <c r="DW256" s="156"/>
      <c r="DX256" s="156"/>
      <c r="DY256" s="156"/>
      <c r="DZ256" s="156"/>
      <c r="EA256" s="156"/>
      <c r="EB256" s="156"/>
      <c r="EC256" s="156"/>
      <c r="ED256" s="156"/>
      <c r="EE256" s="156"/>
      <c r="EF256" s="156"/>
      <c r="EG256" s="156"/>
      <c r="EH256" s="156"/>
    </row>
    <row r="257" spans="1:138">
      <c r="A257" s="2348"/>
      <c r="B257" s="355"/>
      <c r="C257" s="355" t="s">
        <v>1201</v>
      </c>
      <c r="D257" s="156"/>
      <c r="E257" s="156"/>
      <c r="F257" s="156"/>
      <c r="G257" s="156"/>
      <c r="H257" s="156"/>
      <c r="I257" s="156"/>
      <c r="J257" s="156"/>
      <c r="K257" s="156"/>
      <c r="L257" s="156"/>
      <c r="M257" s="156"/>
      <c r="N257" s="156"/>
      <c r="O257" s="156"/>
      <c r="P257" s="156"/>
      <c r="Q257" s="156"/>
      <c r="R257" s="156"/>
      <c r="S257" s="156"/>
      <c r="T257" s="156"/>
      <c r="U257" s="156"/>
      <c r="V257" s="156"/>
      <c r="W257" s="156"/>
      <c r="X257" s="156"/>
      <c r="Y257" s="156"/>
      <c r="Z257" s="156"/>
      <c r="AA257" s="156"/>
      <c r="AB257" s="156"/>
      <c r="AC257" s="156"/>
      <c r="AD257" s="156"/>
      <c r="AE257" s="156"/>
      <c r="AF257" s="156"/>
      <c r="AG257" s="156"/>
      <c r="AH257" s="156"/>
      <c r="AI257" s="156"/>
      <c r="AJ257" s="156"/>
      <c r="AK257" s="156"/>
      <c r="AL257" s="156"/>
      <c r="AM257" s="156"/>
      <c r="AN257" s="156"/>
      <c r="AO257" s="156"/>
      <c r="AP257" s="156"/>
      <c r="AQ257" s="156"/>
      <c r="AR257" s="156"/>
      <c r="AS257" s="156"/>
      <c r="AT257" s="156"/>
      <c r="AU257" s="156"/>
      <c r="AV257" s="156"/>
      <c r="AW257" s="156"/>
      <c r="AX257" s="156"/>
      <c r="AY257" s="156"/>
      <c r="AZ257" s="156"/>
      <c r="BA257" s="156"/>
      <c r="BB257" s="156"/>
      <c r="BC257" s="156"/>
      <c r="BD257" s="156"/>
      <c r="BE257" s="156"/>
      <c r="BF257" s="156"/>
      <c r="BG257" s="156"/>
      <c r="BH257" s="156"/>
      <c r="BI257" s="156"/>
      <c r="BJ257" s="156"/>
      <c r="BK257" s="156"/>
      <c r="BL257" s="156"/>
      <c r="BM257" s="156"/>
      <c r="BN257" s="355"/>
      <c r="BO257" s="355"/>
      <c r="BP257" s="355"/>
      <c r="BQ257" s="156"/>
      <c r="BR257" s="355"/>
      <c r="BS257" s="355"/>
      <c r="BT257" s="355"/>
      <c r="BU257" s="156"/>
      <c r="BV257" s="355"/>
      <c r="BW257" s="355"/>
      <c r="BX257" s="355"/>
      <c r="BY257" s="156"/>
      <c r="BZ257" s="355"/>
      <c r="CA257" s="355"/>
      <c r="CB257" s="355"/>
      <c r="CC257" s="156"/>
      <c r="CD257" s="355"/>
      <c r="CE257" s="355"/>
      <c r="CF257" s="355"/>
      <c r="CG257" s="156"/>
      <c r="CH257" s="355"/>
      <c r="CI257" s="355"/>
      <c r="CJ257" s="355"/>
      <c r="CK257" s="156"/>
      <c r="CL257" s="355"/>
      <c r="CM257" s="355"/>
      <c r="CN257" s="355"/>
      <c r="CO257" s="156"/>
      <c r="CP257" s="355"/>
      <c r="CQ257" s="355"/>
      <c r="CR257" s="355"/>
      <c r="CS257" s="156"/>
      <c r="CT257" s="355"/>
      <c r="CU257" s="355"/>
      <c r="CV257" s="355"/>
      <c r="CW257" s="355"/>
      <c r="CX257" s="355"/>
      <c r="CY257" s="355"/>
      <c r="CZ257" s="355"/>
      <c r="DA257" s="355"/>
      <c r="DB257" s="355"/>
      <c r="DC257" s="355"/>
      <c r="DD257" s="355"/>
      <c r="DE257" s="355"/>
      <c r="DF257" s="355"/>
      <c r="DG257" s="355"/>
      <c r="DH257" s="355"/>
      <c r="DI257" s="355"/>
      <c r="DJ257" s="355"/>
      <c r="DK257" s="355"/>
      <c r="DL257" s="355"/>
      <c r="DM257" s="355"/>
      <c r="DN257" s="355"/>
      <c r="DO257" s="355"/>
      <c r="DP257" s="355"/>
      <c r="DQ257" s="355"/>
      <c r="DR257" s="355"/>
      <c r="DS257" s="355"/>
      <c r="DT257" s="355"/>
      <c r="DU257" s="156"/>
      <c r="DV257" s="156"/>
      <c r="DW257" s="156"/>
      <c r="DX257" s="156"/>
      <c r="DY257" s="156"/>
      <c r="DZ257" s="156"/>
      <c r="EA257" s="156"/>
      <c r="EB257" s="156"/>
      <c r="EC257" s="156"/>
      <c r="ED257" s="156"/>
      <c r="EE257" s="156"/>
      <c r="EF257" s="156"/>
      <c r="EG257" s="156"/>
      <c r="EH257" s="156"/>
    </row>
    <row r="258" spans="1:138">
      <c r="B258" s="355" t="s">
        <v>1009</v>
      </c>
      <c r="BN258" s="161"/>
      <c r="BO258" s="161"/>
      <c r="BP258" s="161"/>
      <c r="BR258" s="161"/>
      <c r="BS258" s="161"/>
      <c r="BT258" s="161"/>
      <c r="BV258" s="161"/>
      <c r="BW258" s="161"/>
      <c r="BX258" s="161"/>
      <c r="BZ258" s="161"/>
      <c r="CA258" s="161"/>
      <c r="CB258" s="161"/>
      <c r="CD258" s="161"/>
      <c r="CE258" s="161"/>
      <c r="CF258" s="161"/>
      <c r="CH258" s="161"/>
      <c r="CI258" s="161"/>
      <c r="CJ258" s="161"/>
      <c r="CL258" s="161"/>
      <c r="CM258" s="161"/>
      <c r="CN258" s="161"/>
      <c r="CP258" s="161"/>
      <c r="CQ258" s="161"/>
      <c r="CR258" s="161"/>
      <c r="CT258" s="161"/>
      <c r="CU258" s="161"/>
      <c r="CV258" s="161"/>
      <c r="CW258" s="161"/>
      <c r="CX258" s="161"/>
      <c r="CY258" s="161"/>
      <c r="CZ258" s="161"/>
      <c r="DA258" s="161"/>
      <c r="DB258" s="161"/>
      <c r="DC258" s="161"/>
      <c r="DD258" s="161"/>
      <c r="DE258" s="161"/>
      <c r="DF258" s="161"/>
      <c r="DG258" s="161"/>
      <c r="DH258" s="161"/>
      <c r="DI258" s="161"/>
      <c r="DJ258" s="161"/>
      <c r="DK258" s="161"/>
      <c r="DL258" s="161"/>
      <c r="DM258" s="161"/>
      <c r="DN258" s="161"/>
      <c r="DO258" s="161"/>
      <c r="DP258" s="161"/>
      <c r="DQ258" s="161"/>
      <c r="DR258" s="161"/>
      <c r="DS258" s="161"/>
      <c r="DT258" s="161"/>
    </row>
    <row r="259" spans="1:138">
      <c r="B259" s="355" t="s">
        <v>1010</v>
      </c>
      <c r="BN259" s="161"/>
      <c r="BO259" s="161"/>
      <c r="BP259" s="161"/>
      <c r="BR259" s="161"/>
      <c r="BS259" s="161"/>
      <c r="BT259" s="161"/>
      <c r="BV259" s="161"/>
      <c r="BW259" s="161"/>
      <c r="BX259" s="161"/>
      <c r="BZ259" s="161"/>
      <c r="CA259" s="161"/>
      <c r="CB259" s="161"/>
      <c r="CD259" s="161"/>
      <c r="CE259" s="161"/>
      <c r="CF259" s="161"/>
      <c r="CH259" s="161"/>
      <c r="CI259" s="161"/>
      <c r="CJ259" s="161"/>
      <c r="CL259" s="161"/>
      <c r="CM259" s="161"/>
      <c r="CN259" s="161"/>
      <c r="CP259" s="161"/>
      <c r="CQ259" s="161"/>
      <c r="CR259" s="161"/>
      <c r="CT259" s="161"/>
      <c r="CU259" s="161"/>
      <c r="CV259" s="161"/>
      <c r="CW259" s="161"/>
      <c r="CX259" s="161"/>
      <c r="CY259" s="161"/>
      <c r="CZ259" s="161"/>
      <c r="DA259" s="161"/>
      <c r="DB259" s="161"/>
      <c r="DC259" s="161"/>
      <c r="DD259" s="161"/>
      <c r="DE259" s="161"/>
      <c r="DF259" s="161"/>
      <c r="DG259" s="161"/>
      <c r="DH259" s="161"/>
      <c r="DI259" s="161"/>
      <c r="DJ259" s="161"/>
      <c r="DK259" s="161"/>
      <c r="DL259" s="161"/>
      <c r="DM259" s="161"/>
      <c r="DN259" s="161"/>
      <c r="DO259" s="161"/>
      <c r="DP259" s="161"/>
      <c r="DQ259" s="161"/>
      <c r="DR259" s="161"/>
      <c r="DS259" s="161"/>
      <c r="DT259" s="161"/>
    </row>
    <row r="260" spans="1:138">
      <c r="B260" s="355" t="s">
        <v>1156</v>
      </c>
      <c r="BN260" s="161"/>
      <c r="BO260" s="161"/>
      <c r="BP260" s="161"/>
      <c r="BR260" s="161"/>
      <c r="BS260" s="161"/>
      <c r="BT260" s="161"/>
      <c r="BV260" s="161"/>
      <c r="BW260" s="161"/>
      <c r="BX260" s="161"/>
      <c r="BZ260" s="161"/>
      <c r="CA260" s="161"/>
      <c r="CB260" s="161"/>
      <c r="CD260" s="161"/>
      <c r="CE260" s="161"/>
      <c r="CF260" s="161"/>
      <c r="CH260" s="161"/>
      <c r="CI260" s="161"/>
      <c r="CJ260" s="161"/>
      <c r="CL260" s="161"/>
      <c r="CM260" s="161"/>
      <c r="CN260" s="161"/>
      <c r="CP260" s="161"/>
      <c r="CQ260" s="161"/>
      <c r="CR260" s="161"/>
      <c r="CT260" s="161"/>
      <c r="CU260" s="161"/>
      <c r="CV260" s="161"/>
      <c r="CW260" s="161"/>
      <c r="CX260" s="161"/>
      <c r="CY260" s="161"/>
      <c r="CZ260" s="161"/>
      <c r="DA260" s="161"/>
      <c r="DB260" s="161"/>
      <c r="DC260" s="161"/>
      <c r="DD260" s="161"/>
      <c r="DE260" s="161"/>
      <c r="DF260" s="161"/>
      <c r="DG260" s="161"/>
      <c r="DH260" s="161"/>
      <c r="DI260" s="161"/>
      <c r="DJ260" s="161"/>
      <c r="DK260" s="161"/>
      <c r="DL260" s="161"/>
      <c r="DM260" s="161"/>
      <c r="DN260" s="161"/>
      <c r="DO260" s="161"/>
      <c r="DP260" s="161"/>
      <c r="DQ260" s="161"/>
      <c r="DR260" s="161"/>
      <c r="DS260" s="161"/>
      <c r="DT260" s="161"/>
    </row>
    <row r="261" spans="1:138">
      <c r="B261" s="355"/>
      <c r="C261" s="2349" t="s">
        <v>236</v>
      </c>
      <c r="BN261" s="161"/>
      <c r="BO261" s="161"/>
      <c r="BP261" s="161"/>
      <c r="BR261" s="161"/>
      <c r="BS261" s="161"/>
      <c r="BT261" s="161"/>
      <c r="BV261" s="161"/>
      <c r="BW261" s="161"/>
      <c r="BX261" s="161"/>
      <c r="BZ261" s="161"/>
      <c r="CA261" s="161"/>
      <c r="CB261" s="161"/>
      <c r="CD261" s="161"/>
      <c r="CE261" s="161"/>
      <c r="CF261" s="161"/>
      <c r="CH261" s="161"/>
      <c r="CI261" s="161"/>
      <c r="CJ261" s="161"/>
      <c r="CL261" s="161"/>
      <c r="CM261" s="161"/>
      <c r="CN261" s="161"/>
      <c r="CP261" s="161"/>
      <c r="CQ261" s="161"/>
      <c r="CR261" s="161"/>
      <c r="CT261" s="161"/>
      <c r="CU261" s="161"/>
      <c r="CV261" s="161"/>
      <c r="CW261" s="161"/>
      <c r="CX261" s="161"/>
      <c r="CY261" s="161"/>
      <c r="CZ261" s="161"/>
      <c r="DA261" s="161"/>
      <c r="DB261" s="161"/>
      <c r="DC261" s="161"/>
      <c r="DD261" s="161"/>
      <c r="DE261" s="161"/>
      <c r="DF261" s="161"/>
      <c r="DG261" s="161"/>
      <c r="DH261" s="161"/>
      <c r="DI261" s="161"/>
      <c r="DJ261" s="161"/>
      <c r="DK261" s="161"/>
      <c r="DL261" s="161"/>
      <c r="DM261" s="161"/>
      <c r="DN261" s="161"/>
      <c r="DO261" s="161"/>
      <c r="DP261" s="161"/>
      <c r="DQ261" s="161"/>
      <c r="DR261" s="161"/>
      <c r="DS261" s="161"/>
      <c r="DT261" s="161"/>
    </row>
    <row r="262" spans="1:138">
      <c r="B262" s="355"/>
      <c r="C262" s="2349" t="s">
        <v>237</v>
      </c>
      <c r="BN262" s="161"/>
      <c r="BO262" s="161"/>
      <c r="BP262" s="161"/>
      <c r="BR262" s="161"/>
      <c r="BS262" s="161"/>
      <c r="BT262" s="161"/>
      <c r="BV262" s="161"/>
      <c r="BW262" s="161"/>
      <c r="BX262" s="161"/>
      <c r="BZ262" s="161"/>
      <c r="CA262" s="161"/>
      <c r="CB262" s="161"/>
      <c r="CD262" s="161"/>
      <c r="CE262" s="161"/>
      <c r="CF262" s="161"/>
      <c r="CH262" s="161"/>
      <c r="CI262" s="161"/>
      <c r="CJ262" s="161"/>
      <c r="CL262" s="161"/>
      <c r="CM262" s="161"/>
      <c r="CN262" s="161"/>
      <c r="CP262" s="161"/>
      <c r="CQ262" s="161"/>
      <c r="CR262" s="161"/>
      <c r="CT262" s="161"/>
      <c r="CU262" s="161"/>
      <c r="CV262" s="161"/>
      <c r="CW262" s="161"/>
      <c r="CX262" s="161"/>
      <c r="CY262" s="161"/>
      <c r="CZ262" s="161"/>
      <c r="DA262" s="161"/>
      <c r="DB262" s="161"/>
      <c r="DC262" s="161"/>
      <c r="DD262" s="161"/>
      <c r="DE262" s="161"/>
      <c r="DF262" s="161"/>
      <c r="DG262" s="161"/>
      <c r="DH262" s="161"/>
      <c r="DI262" s="161"/>
      <c r="DJ262" s="161"/>
      <c r="DK262" s="161"/>
      <c r="DL262" s="161"/>
      <c r="DM262" s="161"/>
      <c r="DN262" s="161"/>
      <c r="DO262" s="161"/>
      <c r="DP262" s="161"/>
      <c r="DQ262" s="161"/>
      <c r="DR262" s="161"/>
      <c r="DS262" s="161"/>
      <c r="DT262" s="161"/>
    </row>
    <row r="263" spans="1:138">
      <c r="A263" s="155" t="s">
        <v>930</v>
      </c>
      <c r="BN263" s="161"/>
      <c r="BO263" s="161"/>
      <c r="BP263" s="161"/>
      <c r="BR263" s="161"/>
      <c r="BS263" s="161"/>
      <c r="BT263" s="161"/>
      <c r="BV263" s="161"/>
      <c r="BW263" s="161"/>
      <c r="BX263" s="161"/>
      <c r="BZ263" s="161"/>
      <c r="CA263" s="161"/>
      <c r="CB263" s="161"/>
      <c r="CD263" s="161"/>
      <c r="CE263" s="161"/>
      <c r="CF263" s="161"/>
      <c r="CH263" s="161"/>
      <c r="CI263" s="161"/>
      <c r="CJ263" s="161"/>
      <c r="CL263" s="161"/>
      <c r="CM263" s="161"/>
      <c r="CN263" s="161"/>
      <c r="CP263" s="161"/>
      <c r="CQ263" s="161"/>
      <c r="CR263" s="161"/>
      <c r="CT263" s="161"/>
      <c r="CU263" s="161"/>
      <c r="CV263" s="161"/>
      <c r="CW263" s="161"/>
      <c r="CX263" s="161"/>
      <c r="CY263" s="161"/>
      <c r="CZ263" s="161"/>
      <c r="DA263" s="161"/>
      <c r="DB263" s="161"/>
      <c r="DC263" s="161"/>
      <c r="DD263" s="161"/>
      <c r="DE263" s="161"/>
      <c r="DF263" s="161"/>
      <c r="DG263" s="161"/>
      <c r="DH263" s="161"/>
      <c r="DI263" s="161"/>
      <c r="DJ263" s="161"/>
      <c r="DK263" s="161"/>
      <c r="DL263" s="161"/>
      <c r="DM263" s="161"/>
      <c r="DN263" s="161"/>
      <c r="DO263" s="161"/>
      <c r="DP263" s="161"/>
      <c r="DQ263" s="161"/>
      <c r="DR263" s="161"/>
      <c r="DS263" s="161"/>
      <c r="DT263" s="161"/>
    </row>
    <row r="264" spans="1:138">
      <c r="A264" s="155" t="s">
        <v>929</v>
      </c>
      <c r="AK264" s="139"/>
      <c r="AL264" s="139"/>
      <c r="AM264" s="139"/>
      <c r="BN264" s="161"/>
      <c r="BO264" s="161"/>
      <c r="BP264" s="161"/>
      <c r="BR264" s="161"/>
      <c r="BS264" s="161"/>
      <c r="BT264" s="161"/>
      <c r="BV264" s="161"/>
      <c r="BW264" s="161"/>
      <c r="BX264" s="161"/>
      <c r="BZ264" s="161"/>
      <c r="CA264" s="161"/>
      <c r="CB264" s="161"/>
      <c r="CD264" s="161"/>
      <c r="CE264" s="161"/>
      <c r="CF264" s="161"/>
      <c r="CH264" s="161"/>
      <c r="CI264" s="161"/>
      <c r="CJ264" s="161"/>
      <c r="CL264" s="161"/>
      <c r="CM264" s="161"/>
      <c r="CN264" s="161"/>
      <c r="CP264" s="161"/>
      <c r="CQ264" s="161"/>
      <c r="CR264" s="161"/>
      <c r="CT264" s="161"/>
      <c r="CU264" s="161"/>
      <c r="CV264" s="161"/>
      <c r="CW264" s="161"/>
      <c r="CX264" s="161"/>
      <c r="CY264" s="161"/>
      <c r="CZ264" s="161"/>
      <c r="DA264" s="161"/>
      <c r="DB264" s="161"/>
      <c r="DC264" s="161"/>
      <c r="DD264" s="161"/>
      <c r="DE264" s="161"/>
      <c r="DF264" s="161"/>
      <c r="DG264" s="161"/>
      <c r="DH264" s="161"/>
      <c r="DI264" s="161"/>
      <c r="DJ264" s="161"/>
      <c r="DK264" s="161"/>
      <c r="DL264" s="161"/>
      <c r="DM264" s="161"/>
      <c r="DN264" s="161"/>
      <c r="DO264" s="161"/>
      <c r="DP264" s="161"/>
      <c r="DQ264" s="161"/>
      <c r="DR264" s="161"/>
      <c r="DS264" s="161"/>
      <c r="DT264" s="161"/>
    </row>
    <row r="265" spans="1:138">
      <c r="AK265" s="139"/>
      <c r="AL265" s="2350"/>
      <c r="AM265" s="139"/>
      <c r="BN265" s="161"/>
      <c r="BO265" s="161"/>
      <c r="BP265" s="161"/>
      <c r="BR265" s="161"/>
      <c r="BS265" s="161"/>
      <c r="BT265" s="161"/>
      <c r="BV265" s="161"/>
      <c r="BW265" s="161"/>
      <c r="BX265" s="161"/>
      <c r="BZ265" s="161"/>
      <c r="CA265" s="161"/>
      <c r="CB265" s="161"/>
      <c r="CD265" s="161"/>
      <c r="CE265" s="161"/>
      <c r="CF265" s="161"/>
      <c r="CH265" s="161"/>
      <c r="CI265" s="161"/>
      <c r="CJ265" s="161"/>
      <c r="CL265" s="161"/>
      <c r="CM265" s="161"/>
      <c r="CN265" s="161"/>
      <c r="CP265" s="161"/>
      <c r="CQ265" s="161"/>
      <c r="CR265" s="161"/>
      <c r="CT265" s="161"/>
      <c r="CU265" s="161"/>
      <c r="CV265" s="161"/>
      <c r="CW265" s="161"/>
      <c r="CX265" s="161"/>
      <c r="CY265" s="161"/>
      <c r="CZ265" s="161"/>
      <c r="DA265" s="161"/>
      <c r="DB265" s="161"/>
      <c r="DC265" s="161"/>
      <c r="DD265" s="161"/>
      <c r="DE265" s="161"/>
      <c r="DF265" s="161"/>
      <c r="DG265" s="161"/>
      <c r="DH265" s="161"/>
      <c r="DI265" s="161"/>
      <c r="DJ265" s="161"/>
      <c r="DK265" s="161"/>
      <c r="DL265" s="161"/>
      <c r="DM265" s="161"/>
      <c r="DN265" s="161"/>
      <c r="DO265" s="161"/>
      <c r="DP265" s="161"/>
      <c r="DQ265" s="161"/>
      <c r="DR265" s="161"/>
      <c r="DS265" s="161"/>
      <c r="DT265" s="161"/>
    </row>
    <row r="266" spans="1:138">
      <c r="AK266" s="139"/>
      <c r="AL266" s="2350"/>
      <c r="AM266" s="139"/>
      <c r="BN266" s="161"/>
      <c r="BO266" s="161"/>
      <c r="BP266" s="161"/>
      <c r="BR266" s="161"/>
      <c r="BS266" s="161"/>
      <c r="BT266" s="161"/>
      <c r="BV266" s="161"/>
      <c r="BW266" s="161"/>
      <c r="BX266" s="161"/>
      <c r="BZ266" s="161"/>
      <c r="CA266" s="161"/>
      <c r="CB266" s="161"/>
      <c r="CD266" s="161"/>
      <c r="CE266" s="161"/>
      <c r="CF266" s="161"/>
      <c r="CH266" s="161"/>
      <c r="CI266" s="161"/>
      <c r="CJ266" s="161"/>
      <c r="CL266" s="161"/>
      <c r="CM266" s="161"/>
      <c r="CN266" s="161"/>
      <c r="CP266" s="161"/>
      <c r="CQ266" s="161"/>
      <c r="CR266" s="161"/>
      <c r="CT266" s="161"/>
      <c r="CU266" s="161"/>
      <c r="CV266" s="161"/>
      <c r="CW266" s="161"/>
      <c r="CX266" s="161"/>
      <c r="CY266" s="161"/>
      <c r="CZ266" s="161"/>
      <c r="DA266" s="161"/>
      <c r="DB266" s="161"/>
      <c r="DC266" s="161"/>
      <c r="DD266" s="161"/>
      <c r="DE266" s="161"/>
      <c r="DF266" s="161"/>
      <c r="DG266" s="161"/>
      <c r="DH266" s="161"/>
      <c r="DI266" s="161"/>
      <c r="DJ266" s="161"/>
      <c r="DK266" s="161"/>
      <c r="DL266" s="161"/>
      <c r="DM266" s="161"/>
      <c r="DN266" s="161"/>
      <c r="DO266" s="161"/>
      <c r="DP266" s="161"/>
      <c r="DQ266" s="161"/>
      <c r="DR266" s="161"/>
      <c r="DS266" s="161"/>
      <c r="DT266" s="161"/>
    </row>
    <row r="267" spans="1:138">
      <c r="A267" s="23" t="s">
        <v>549</v>
      </c>
      <c r="AK267" s="139"/>
      <c r="AL267" s="2350"/>
      <c r="AM267" s="139"/>
      <c r="BN267" s="161"/>
      <c r="BO267" s="161"/>
      <c r="BP267" s="161"/>
      <c r="BR267" s="161"/>
      <c r="BS267" s="161"/>
      <c r="BT267" s="161"/>
      <c r="BV267" s="161"/>
      <c r="BW267" s="161"/>
      <c r="BX267" s="161"/>
      <c r="BZ267" s="161"/>
      <c r="CA267" s="161"/>
      <c r="CB267" s="161"/>
      <c r="CD267" s="161"/>
      <c r="CE267" s="161"/>
      <c r="CF267" s="161"/>
      <c r="CH267" s="161"/>
      <c r="CI267" s="161"/>
      <c r="CJ267" s="161"/>
      <c r="CL267" s="161"/>
      <c r="CM267" s="161"/>
      <c r="CN267" s="161"/>
      <c r="CP267" s="161"/>
      <c r="CQ267" s="161"/>
      <c r="CR267" s="161"/>
      <c r="CT267" s="161"/>
      <c r="CU267" s="161"/>
      <c r="CV267" s="161"/>
      <c r="CW267" s="161"/>
      <c r="CX267" s="161"/>
      <c r="CY267" s="161"/>
      <c r="CZ267" s="161"/>
      <c r="DA267" s="161"/>
      <c r="DB267" s="161"/>
      <c r="DC267" s="161"/>
      <c r="DD267" s="161"/>
      <c r="DE267" s="161"/>
      <c r="DF267" s="161"/>
      <c r="DG267" s="161"/>
      <c r="DH267" s="161"/>
      <c r="DI267" s="161"/>
      <c r="DJ267" s="161"/>
      <c r="DK267" s="161"/>
      <c r="DL267" s="161"/>
      <c r="DM267" s="161"/>
      <c r="DN267" s="161"/>
      <c r="DO267" s="161"/>
      <c r="DP267" s="161"/>
      <c r="DQ267" s="161"/>
      <c r="DR267" s="161"/>
      <c r="DS267" s="161"/>
      <c r="DT267" s="161"/>
    </row>
  </sheetData>
  <phoneticPr fontId="0" type="noConversion"/>
  <dataValidations count="1">
    <dataValidation type="custom" allowBlank="1" showInputMessage="1" showErrorMessage="1" sqref="EB139:EC139 CT50:CT51 CH50:CH51 DV139 EA139:EA144 CD50:CD51 BV50:BV51 BZ50:BZ51 BR50:BR51 BN50:BN51 BJ51 BF51 BB51 CL50:CL51 EF139:EG139 EE139:EE144 CP50:CP51 CX50:CX51 DB50:DB51 DF50:DF51 DJ50:DJ51 DN50:DN51 DR50:DR51">
      <formula1>-1</formula1>
    </dataValidation>
  </dataValidations>
  <printOptions horizontalCentered="1"/>
  <pageMargins left="0.25" right="0.25" top="0.75" bottom="0.75" header="0.3" footer="0.3"/>
  <pageSetup scale="74" fitToHeight="3" orientation="landscape" r:id="rId1"/>
  <headerFooter alignWithMargins="0">
    <oddFooter>&amp;R&amp;8&amp;D/&amp;T
&amp;F/&amp;A</oddFooter>
  </headerFooter>
  <rowBreaks count="2" manualBreakCount="2">
    <brk id="67" max="100" man="1"/>
    <brk id="157" max="100" man="1"/>
  </rowBreaks>
  <drawing r:id="rId2"/>
  <legacyDrawing r:id="rId3"/>
  <mc:AlternateContent xmlns:mc="http://schemas.openxmlformats.org/markup-compatibility/2006">
    <mc:Choice Requires="x14">
      <controls>
        <mc:AlternateContent xmlns:mc="http://schemas.openxmlformats.org/markup-compatibility/2006">
          <mc:Choice Requires="x14">
            <control shapeId="3507" r:id="rId4" name="Button 435">
              <controlPr defaultSize="0" print="0" autoFill="0" autoPict="0" macro="[0]!QTR_PRINT">
                <anchor moveWithCells="1" sizeWithCells="1">
                  <from>
                    <xdr:col>125</xdr:col>
                    <xdr:colOff>28575</xdr:colOff>
                    <xdr:row>1</xdr:row>
                    <xdr:rowOff>9525</xdr:rowOff>
                  </from>
                  <to>
                    <xdr:col>126</xdr:col>
                    <xdr:colOff>123825</xdr:colOff>
                    <xdr:row>2</xdr:row>
                    <xdr:rowOff>123825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Y146"/>
  <sheetViews>
    <sheetView showGridLines="0" zoomScale="85" zoomScaleNormal="85" zoomScaleSheetLayoutView="80" workbookViewId="0">
      <selection activeCell="AH30" sqref="AH30"/>
    </sheetView>
  </sheetViews>
  <sheetFormatPr defaultRowHeight="12.75" outlineLevelRow="1" outlineLevelCol="1"/>
  <cols>
    <col min="1" max="1" width="32.7109375" style="23" customWidth="1"/>
    <col min="2" max="4" width="9.85546875" style="23" hidden="1" customWidth="1" outlineLevel="1"/>
    <col min="5" max="5" width="9.85546875" style="23" hidden="1" customWidth="1" outlineLevel="1" collapsed="1"/>
    <col min="6" max="8" width="9.85546875" style="23" hidden="1" customWidth="1" outlineLevel="1"/>
    <col min="9" max="9" width="9.85546875" style="23" hidden="1" customWidth="1" outlineLevel="1" collapsed="1"/>
    <col min="10" max="10" width="9.85546875" style="23" hidden="1" customWidth="1" outlineLevel="1"/>
    <col min="11" max="11" width="9.5703125" style="23" hidden="1" customWidth="1" outlineLevel="1" collapsed="1"/>
    <col min="12" max="12" width="9.85546875" style="23" hidden="1" customWidth="1" outlineLevel="1"/>
    <col min="13" max="13" width="9" style="23" hidden="1" customWidth="1" outlineLevel="1" collapsed="1"/>
    <col min="14" max="17" width="9" style="23" hidden="1" customWidth="1" outlineLevel="1"/>
    <col min="18" max="18" width="10" style="23" hidden="1" customWidth="1" outlineLevel="1"/>
    <col min="19" max="22" width="9" style="23" hidden="1" customWidth="1" outlineLevel="1"/>
    <col min="23" max="23" width="10.28515625" style="23" bestFit="1" customWidth="1" collapsed="1"/>
    <col min="24" max="25" width="9.85546875" style="23" bestFit="1" customWidth="1"/>
    <col min="26" max="26" width="9.5703125" style="23" customWidth="1"/>
    <col min="27" max="27" width="9.85546875" style="23" bestFit="1" customWidth="1"/>
    <col min="28" max="29" width="9.7109375" style="23" customWidth="1"/>
    <col min="30" max="30" width="10" style="23" customWidth="1"/>
    <col min="31" max="34" width="9.7109375" style="23" customWidth="1"/>
    <col min="35" max="35" width="2.140625" style="23" customWidth="1"/>
    <col min="36" max="36" width="7.140625" style="23" customWidth="1"/>
    <col min="37" max="37" width="2.140625" style="23" customWidth="1"/>
    <col min="38" max="38" width="7.140625" style="23" customWidth="1"/>
    <col min="39" max="39" width="2.140625" style="23" customWidth="1"/>
    <col min="40" max="40" width="10.85546875" style="23" hidden="1" customWidth="1" outlineLevel="1"/>
    <col min="41" max="41" width="7" style="23" customWidth="1" collapsed="1"/>
    <col min="42" max="42" width="7" style="23" customWidth="1"/>
    <col min="43" max="16384" width="9.140625" style="23"/>
  </cols>
  <sheetData>
    <row r="1" spans="1:77">
      <c r="A1" s="25" t="str">
        <f>sumry!A1</f>
        <v>L Brands Inc.</v>
      </c>
      <c r="B1" s="816"/>
      <c r="C1" s="816"/>
      <c r="D1" s="816"/>
      <c r="S1" s="817"/>
      <c r="T1" s="1701"/>
      <c r="U1" s="817"/>
      <c r="V1" s="817"/>
      <c r="W1" s="817"/>
      <c r="X1" s="817"/>
      <c r="Y1" s="817"/>
      <c r="Z1" s="817"/>
      <c r="AA1" s="817"/>
      <c r="AB1" s="817"/>
      <c r="AC1" s="817"/>
      <c r="AD1" s="817"/>
      <c r="AE1" s="817"/>
      <c r="AF1" s="817"/>
      <c r="AG1" s="817"/>
      <c r="AH1" s="817"/>
      <c r="AI1" s="816"/>
      <c r="AJ1" s="817"/>
      <c r="AK1" s="817"/>
      <c r="AL1" s="817"/>
      <c r="AM1" s="817"/>
      <c r="AN1" s="817"/>
      <c r="AO1" s="817"/>
      <c r="AP1" s="817"/>
    </row>
    <row r="2" spans="1:77">
      <c r="A2" s="1702" t="s">
        <v>844</v>
      </c>
      <c r="B2" s="1703"/>
      <c r="C2" s="1703"/>
      <c r="D2" s="1703"/>
      <c r="E2" s="137"/>
      <c r="F2" s="137"/>
      <c r="G2" s="137"/>
      <c r="H2" s="137"/>
      <c r="I2" s="137"/>
      <c r="J2" s="137"/>
      <c r="K2" s="137"/>
      <c r="L2" s="137"/>
      <c r="M2" s="137"/>
      <c r="N2" s="137"/>
      <c r="O2" s="137"/>
      <c r="P2" s="137"/>
      <c r="Q2" s="137"/>
      <c r="R2" s="137"/>
      <c r="S2" s="1704"/>
      <c r="T2" s="1704"/>
      <c r="U2" s="1704"/>
      <c r="V2" s="1705"/>
      <c r="W2" s="1704"/>
      <c r="X2" s="1704"/>
      <c r="Y2" s="1704"/>
      <c r="Z2" s="1704"/>
      <c r="AA2" s="1704"/>
      <c r="AB2" s="1704"/>
      <c r="AC2" s="1704"/>
      <c r="AD2" s="1704"/>
      <c r="AE2" s="1704"/>
      <c r="AF2" s="1704"/>
      <c r="AG2" s="1704"/>
      <c r="AH2" s="1704"/>
      <c r="AI2" s="1703"/>
      <c r="AJ2" s="1704"/>
      <c r="AK2" s="1704"/>
      <c r="AL2" s="1704"/>
      <c r="AM2" s="1704"/>
      <c r="AN2" s="1704"/>
      <c r="AO2" s="1704"/>
      <c r="AP2" s="1704"/>
      <c r="AQ2" s="137"/>
      <c r="AR2" s="137"/>
    </row>
    <row r="3" spans="1:77">
      <c r="A3" s="1689" t="s">
        <v>183</v>
      </c>
      <c r="B3" s="24"/>
      <c r="C3" s="24"/>
      <c r="D3" s="24"/>
      <c r="S3" s="24"/>
      <c r="T3" s="24"/>
      <c r="U3" s="24"/>
      <c r="V3" s="24"/>
      <c r="W3" s="24"/>
      <c r="X3" s="24"/>
      <c r="Y3" s="24"/>
      <c r="Z3" s="24"/>
      <c r="AA3" s="24"/>
      <c r="AB3" s="24"/>
      <c r="AC3" s="24"/>
      <c r="AD3" s="24"/>
      <c r="AE3" s="24"/>
      <c r="AF3" s="24"/>
      <c r="AG3" s="24"/>
      <c r="AH3" s="24"/>
      <c r="AI3" s="24"/>
      <c r="AJ3" s="24"/>
      <c r="AK3" s="24"/>
      <c r="AL3" s="24"/>
      <c r="AM3" s="24"/>
      <c r="AN3" s="24"/>
      <c r="AO3" s="24"/>
      <c r="AP3" s="24"/>
    </row>
    <row r="4" spans="1:77">
      <c r="A4" s="817"/>
      <c r="B4" s="1706"/>
      <c r="C4" s="1706"/>
      <c r="D4" s="1706"/>
      <c r="E4" s="1706"/>
      <c r="F4" s="1706"/>
      <c r="G4" s="1706"/>
      <c r="H4" s="1706"/>
      <c r="I4" s="1706"/>
      <c r="J4" s="1706"/>
      <c r="K4" s="1706"/>
      <c r="L4" s="1706"/>
      <c r="M4" s="1706"/>
      <c r="N4" s="1706"/>
      <c r="O4" s="1706"/>
      <c r="P4" s="1706"/>
      <c r="Q4" s="1706"/>
      <c r="R4" s="1706"/>
      <c r="S4" s="1706"/>
      <c r="T4" s="1706"/>
      <c r="U4" s="1706"/>
      <c r="V4" s="1706"/>
      <c r="W4" s="1706"/>
      <c r="X4" s="1706"/>
      <c r="Y4" s="1706"/>
      <c r="Z4" s="1706"/>
      <c r="AA4" s="1706"/>
      <c r="AB4" s="1706"/>
      <c r="AC4" s="1706"/>
      <c r="AD4" s="1706"/>
      <c r="AE4" s="1706"/>
      <c r="AF4" s="1706"/>
      <c r="AG4" s="1706"/>
      <c r="AH4" s="1706"/>
      <c r="AI4" s="1707"/>
      <c r="AJ4" s="1708"/>
      <c r="AK4" s="1709" t="s">
        <v>1083</v>
      </c>
      <c r="AL4" s="1708"/>
      <c r="AM4" s="1710"/>
      <c r="AN4" s="817"/>
      <c r="AO4" s="817"/>
      <c r="AP4" s="817"/>
    </row>
    <row r="5" spans="1:77">
      <c r="A5" s="21"/>
      <c r="B5" s="54">
        <v>1990</v>
      </c>
      <c r="C5" s="53">
        <f t="shared" ref="C5:P5" si="0">B5+1</f>
        <v>1991</v>
      </c>
      <c r="D5" s="53">
        <f t="shared" si="0"/>
        <v>1992</v>
      </c>
      <c r="E5" s="53">
        <f t="shared" si="0"/>
        <v>1993</v>
      </c>
      <c r="F5" s="53">
        <f t="shared" si="0"/>
        <v>1994</v>
      </c>
      <c r="G5" s="53">
        <f t="shared" si="0"/>
        <v>1995</v>
      </c>
      <c r="H5" s="53">
        <f t="shared" si="0"/>
        <v>1996</v>
      </c>
      <c r="I5" s="53">
        <f t="shared" si="0"/>
        <v>1997</v>
      </c>
      <c r="J5" s="53">
        <f t="shared" si="0"/>
        <v>1998</v>
      </c>
      <c r="K5" s="53">
        <f t="shared" si="0"/>
        <v>1999</v>
      </c>
      <c r="L5" s="53">
        <f t="shared" si="0"/>
        <v>2000</v>
      </c>
      <c r="M5" s="53">
        <f t="shared" si="0"/>
        <v>2001</v>
      </c>
      <c r="N5" s="53">
        <f t="shared" si="0"/>
        <v>2002</v>
      </c>
      <c r="O5" s="53">
        <f t="shared" si="0"/>
        <v>2003</v>
      </c>
      <c r="P5" s="53">
        <f t="shared" si="0"/>
        <v>2004</v>
      </c>
      <c r="Q5" s="586">
        <f t="shared" ref="Q5:W5" si="1">P5+1</f>
        <v>2005</v>
      </c>
      <c r="R5" s="586">
        <f t="shared" si="1"/>
        <v>2006</v>
      </c>
      <c r="S5" s="586">
        <f t="shared" si="1"/>
        <v>2007</v>
      </c>
      <c r="T5" s="586">
        <f t="shared" si="1"/>
        <v>2008</v>
      </c>
      <c r="U5" s="586">
        <f t="shared" si="1"/>
        <v>2009</v>
      </c>
      <c r="V5" s="586">
        <f t="shared" si="1"/>
        <v>2010</v>
      </c>
      <c r="W5" s="586">
        <f t="shared" si="1"/>
        <v>2011</v>
      </c>
      <c r="X5" s="53">
        <f t="shared" ref="X5:AC5" si="2">W5+1</f>
        <v>2012</v>
      </c>
      <c r="Y5" s="53">
        <f t="shared" si="2"/>
        <v>2013</v>
      </c>
      <c r="Z5" s="53">
        <f t="shared" si="2"/>
        <v>2014</v>
      </c>
      <c r="AA5" s="53">
        <f t="shared" si="2"/>
        <v>2015</v>
      </c>
      <c r="AB5" s="53">
        <f t="shared" si="2"/>
        <v>2016</v>
      </c>
      <c r="AC5" s="53">
        <f t="shared" si="2"/>
        <v>2017</v>
      </c>
      <c r="AD5" s="55">
        <f>AC5+1</f>
        <v>2018</v>
      </c>
      <c r="AE5" s="55">
        <f>AD5+1</f>
        <v>2019</v>
      </c>
      <c r="AF5" s="55">
        <f>AE5+1</f>
        <v>2020</v>
      </c>
      <c r="AG5" s="55">
        <f>AF5+1</f>
        <v>2021</v>
      </c>
      <c r="AH5" s="55">
        <f>AG5+1</f>
        <v>2022</v>
      </c>
      <c r="AI5" s="1711"/>
      <c r="AJ5" s="1712" t="s">
        <v>1301</v>
      </c>
      <c r="AK5" s="1713"/>
      <c r="AL5" s="1712" t="s">
        <v>1302</v>
      </c>
      <c r="AM5" s="1714"/>
      <c r="AN5" s="21"/>
      <c r="AO5" s="21"/>
      <c r="AP5" s="21"/>
    </row>
    <row r="6" spans="1:77">
      <c r="A6" s="817"/>
      <c r="B6" s="1706"/>
      <c r="C6" s="1706"/>
      <c r="D6" s="1706"/>
      <c r="E6" s="1706"/>
      <c r="F6" s="1706"/>
      <c r="G6" s="1706"/>
      <c r="H6" s="1706"/>
      <c r="I6" s="817"/>
      <c r="J6" s="817"/>
      <c r="K6" s="817"/>
      <c r="L6" s="817"/>
      <c r="M6" s="817"/>
      <c r="N6" s="817"/>
      <c r="O6" s="817"/>
      <c r="P6" s="817"/>
      <c r="Q6" s="817"/>
      <c r="R6" s="817"/>
      <c r="S6" s="817"/>
      <c r="T6" s="1715"/>
      <c r="U6" s="817"/>
      <c r="V6" s="817"/>
      <c r="W6" s="817"/>
      <c r="X6" s="817"/>
      <c r="Y6" s="817"/>
      <c r="Z6" s="817"/>
      <c r="AA6" s="817"/>
      <c r="AB6" s="817"/>
      <c r="AC6" s="817"/>
      <c r="AD6" s="817"/>
      <c r="AE6" s="817"/>
      <c r="AF6" s="817"/>
      <c r="AG6" s="817"/>
      <c r="AH6" s="817"/>
      <c r="AI6" s="1716"/>
      <c r="AJ6" s="817"/>
      <c r="AK6" s="817"/>
      <c r="AL6" s="817"/>
      <c r="AM6" s="1717"/>
      <c r="AN6" s="817"/>
      <c r="AO6" s="817"/>
      <c r="AP6" s="817"/>
    </row>
    <row r="7" spans="1:77">
      <c r="A7" s="817" t="s">
        <v>184</v>
      </c>
      <c r="B7" s="1715">
        <f>'qtrP&amp;L'!F14</f>
        <v>5253.509</v>
      </c>
      <c r="C7" s="1715">
        <f>'qtrP&amp;L'!J14</f>
        <v>6149.2179999999989</v>
      </c>
      <c r="D7" s="1715">
        <f>'qtrP&amp;L'!N14</f>
        <v>6944.2960000000003</v>
      </c>
      <c r="E7" s="1715">
        <f>'qtrP&amp;L'!R14</f>
        <v>7245.0879999999997</v>
      </c>
      <c r="F7" s="1715">
        <f>'qtrP&amp;L'!V14</f>
        <v>7320.7920000000004</v>
      </c>
      <c r="G7" s="1715">
        <f>'qtrP&amp;L'!Z14</f>
        <v>7881.4369999999999</v>
      </c>
      <c r="H7" s="1715">
        <f>'qtrP&amp;L'!AD14</f>
        <v>8644.7909999999993</v>
      </c>
      <c r="I7" s="1715">
        <f>'qtrP&amp;L'!AH14</f>
        <v>8366.7350000000006</v>
      </c>
      <c r="J7" s="1715">
        <f>'qtrP&amp;L'!AL14</f>
        <v>8836.5810000000001</v>
      </c>
      <c r="K7" s="1715">
        <f>'qtrP&amp;L'!AP14</f>
        <v>7620.6360000000004</v>
      </c>
      <c r="L7" s="1715">
        <f>'qtrP&amp;L'!AT14</f>
        <v>8149.7730000000001</v>
      </c>
      <c r="M7" s="1715">
        <f>'qtrP&amp;L'!AX14</f>
        <v>7927.4330000000009</v>
      </c>
      <c r="N7" s="1715">
        <f>'qtrP&amp;L'!BB14</f>
        <v>8444.6540000000005</v>
      </c>
      <c r="O7" s="1715">
        <f>+'qtrP&amp;L'!BF14</f>
        <v>8934.0910000000003</v>
      </c>
      <c r="P7" s="1715">
        <f>+'qtrP&amp;L'!BJ14</f>
        <v>9408.3119999999999</v>
      </c>
      <c r="Q7" s="1718">
        <f>+'qtrP&amp;L'!BR14</f>
        <v>9698.9680000000008</v>
      </c>
      <c r="R7" s="1715">
        <f>'qtrP&amp;L'!BV14</f>
        <v>10670.598999999998</v>
      </c>
      <c r="S7" s="1718">
        <f>'qtrP&amp;L'!BZ14</f>
        <v>10086.368</v>
      </c>
      <c r="T7" s="1715">
        <f>'qtrP&amp;L'!CD14</f>
        <v>9042.6810000000005</v>
      </c>
      <c r="U7" s="1715">
        <f>'qtrP&amp;L'!CH14</f>
        <v>8632.4880000000012</v>
      </c>
      <c r="V7" s="1715">
        <f>'qtrP&amp;L'!CL14</f>
        <v>9613.2780000000002</v>
      </c>
      <c r="W7" s="1715">
        <f>'qtrP&amp;L'!CP14</f>
        <v>10363.998</v>
      </c>
      <c r="X7" s="1715">
        <f>'qtrP&amp;L'!CT14</f>
        <v>10458.652000000002</v>
      </c>
      <c r="Y7" s="1715">
        <f>'qtrP&amp;L'!CX14</f>
        <v>10773.210999999998</v>
      </c>
      <c r="Z7" s="1715">
        <f>'qtrP&amp;L'!DB14</f>
        <v>11454.060000000001</v>
      </c>
      <c r="AA7" s="1715">
        <f>'qtrP&amp;L'!DF14</f>
        <v>12153.786</v>
      </c>
      <c r="AB7" s="1715">
        <f>'qtrP&amp;L'!DJ14</f>
        <v>12574.142000000002</v>
      </c>
      <c r="AC7" s="1715">
        <f>'qtrP&amp;L'!DN14</f>
        <v>12632.304</v>
      </c>
      <c r="AD7" s="1715">
        <f>'qtrP&amp;L'!DR14</f>
        <v>13146.171861945406</v>
      </c>
      <c r="AE7" s="1715">
        <f>yrSales!AO13</f>
        <v>13755.417944732873</v>
      </c>
      <c r="AF7" s="1715">
        <f>yrSales!AP13</f>
        <v>14404.356702864929</v>
      </c>
      <c r="AG7" s="1715">
        <f>yrSales!AQ13</f>
        <v>15059.037458097322</v>
      </c>
      <c r="AH7" s="1715">
        <f>yrSales!AR13</f>
        <v>15717.072117535414</v>
      </c>
      <c r="AI7" s="1719"/>
      <c r="AJ7" s="56">
        <f>((AA7/V7)^(1/5)-1)*100</f>
        <v>4.8016250173859021</v>
      </c>
      <c r="AK7" s="97" t="s">
        <v>1084</v>
      </c>
      <c r="AL7" s="56">
        <f>((AF7/AA7)^(1/5)-1)*100</f>
        <v>3.4561842692171663</v>
      </c>
      <c r="AM7" s="1720" t="s">
        <v>1084</v>
      </c>
      <c r="AN7" s="817"/>
      <c r="AO7" s="817"/>
      <c r="AP7" s="817"/>
    </row>
    <row r="8" spans="1:77">
      <c r="A8" s="1721" t="s">
        <v>763</v>
      </c>
      <c r="B8" s="1722"/>
      <c r="C8" s="1722">
        <f>(C7-B7)/B7</f>
        <v>0.17049728096021133</v>
      </c>
      <c r="D8" s="1722">
        <f>(D7-C7)/C7</f>
        <v>0.12929741635440498</v>
      </c>
      <c r="E8" s="1722">
        <f t="shared" ref="E8:Z8" si="3">(E7-D7)/D7</f>
        <v>4.3314973900882028E-2</v>
      </c>
      <c r="F8" s="1722">
        <f>(F7-E7)/E7</f>
        <v>1.0449010419197205E-2</v>
      </c>
      <c r="G8" s="1722">
        <f t="shared" si="3"/>
        <v>7.6582561012524253E-2</v>
      </c>
      <c r="H8" s="1722">
        <f t="shared" si="3"/>
        <v>9.6854672567959293E-2</v>
      </c>
      <c r="I8" s="1722">
        <f t="shared" si="3"/>
        <v>-3.2164571705666299E-2</v>
      </c>
      <c r="J8" s="1722">
        <f t="shared" si="3"/>
        <v>5.6156433782114469E-2</v>
      </c>
      <c r="K8" s="1723" t="s">
        <v>886</v>
      </c>
      <c r="L8" s="1722">
        <f t="shared" si="3"/>
        <v>6.9434755839276371E-2</v>
      </c>
      <c r="M8" s="1722">
        <f t="shared" si="3"/>
        <v>-2.7281741466909475E-2</v>
      </c>
      <c r="N8" s="1722">
        <f t="shared" si="3"/>
        <v>6.5244449243531857E-2</v>
      </c>
      <c r="O8" s="1722">
        <f t="shared" si="3"/>
        <v>5.795820645819235E-2</v>
      </c>
      <c r="P8" s="1722">
        <f t="shared" si="3"/>
        <v>5.3079938406716425E-2</v>
      </c>
      <c r="Q8" s="1722">
        <f>(Q7-P7)/P7</f>
        <v>3.0893533292688513E-2</v>
      </c>
      <c r="R8" s="1722">
        <f t="shared" si="3"/>
        <v>0.10017880252826873</v>
      </c>
      <c r="S8" s="1722">
        <f t="shared" si="3"/>
        <v>-5.4751471777732257E-2</v>
      </c>
      <c r="T8" s="1722">
        <f t="shared" si="3"/>
        <v>-0.10347500705903254</v>
      </c>
      <c r="U8" s="1722">
        <f t="shared" si="3"/>
        <v>-4.5361878849867567E-2</v>
      </c>
      <c r="V8" s="1722">
        <f t="shared" si="3"/>
        <v>0.11361614403634258</v>
      </c>
      <c r="W8" s="1722">
        <f t="shared" si="3"/>
        <v>7.8091989017689836E-2</v>
      </c>
      <c r="X8" s="1722">
        <f t="shared" si="3"/>
        <v>9.1329620094486967E-3</v>
      </c>
      <c r="Y8" s="1722">
        <f t="shared" si="3"/>
        <v>3.0076438149007692E-2</v>
      </c>
      <c r="Z8" s="1722">
        <f t="shared" si="3"/>
        <v>6.3198335203868555E-2</v>
      </c>
      <c r="AA8" s="1722">
        <f t="shared" ref="AA8:AH8" si="4">(AA7-Z7)/Z7</f>
        <v>6.108977951922713E-2</v>
      </c>
      <c r="AB8" s="1722">
        <f t="shared" si="4"/>
        <v>3.4586424345467458E-2</v>
      </c>
      <c r="AC8" s="1722">
        <f t="shared" si="4"/>
        <v>4.6255243498919E-3</v>
      </c>
      <c r="AD8" s="1722">
        <f>(AD7-AC7)/AC7</f>
        <v>4.0678870770162419E-2</v>
      </c>
      <c r="AE8" s="1722">
        <f t="shared" si="4"/>
        <v>4.634399193814507E-2</v>
      </c>
      <c r="AF8" s="1722">
        <f t="shared" si="4"/>
        <v>4.7176956799087462E-2</v>
      </c>
      <c r="AG8" s="1722">
        <f t="shared" si="4"/>
        <v>4.5450190434549703E-2</v>
      </c>
      <c r="AH8" s="1722">
        <f t="shared" si="4"/>
        <v>4.3696993335006484E-2</v>
      </c>
      <c r="AI8" s="1724"/>
      <c r="AJ8" s="56"/>
      <c r="AK8" s="57"/>
      <c r="AL8" s="56"/>
      <c r="AM8" s="1725"/>
      <c r="AN8" s="817"/>
      <c r="AO8" s="817"/>
      <c r="AP8" s="817"/>
    </row>
    <row r="9" spans="1:77">
      <c r="A9" s="1721" t="s">
        <v>915</v>
      </c>
      <c r="B9" s="1722">
        <f>yrSales!L39</f>
        <v>0.03</v>
      </c>
      <c r="C9" s="1722">
        <f>yrSales!M39</f>
        <v>0.03</v>
      </c>
      <c r="D9" s="1722">
        <f>yrSales!N39</f>
        <v>0.02</v>
      </c>
      <c r="E9" s="1722">
        <f>yrSales!O39</f>
        <v>-0.01</v>
      </c>
      <c r="F9" s="1722">
        <f>yrSales!P39</f>
        <v>-0.03</v>
      </c>
      <c r="G9" s="1722">
        <f>yrSales!Q39</f>
        <v>-0.02</v>
      </c>
      <c r="H9" s="1722">
        <f>yrSales!R39</f>
        <v>0.03</v>
      </c>
      <c r="I9" s="1722">
        <f>yrSales!S39</f>
        <v>0</v>
      </c>
      <c r="J9" s="1722">
        <f>yrSales!T39</f>
        <v>0.06</v>
      </c>
      <c r="K9" s="1722">
        <f>yrSales!U39</f>
        <v>0.08</v>
      </c>
      <c r="L9" s="1722">
        <f>yrSales!V39</f>
        <v>0.05</v>
      </c>
      <c r="M9" s="1722">
        <f>yrSales!W39</f>
        <v>-0.03</v>
      </c>
      <c r="N9" s="1722">
        <f>yrSales!X39</f>
        <v>0.03</v>
      </c>
      <c r="O9" s="1722">
        <f>yrSales!Y39</f>
        <v>0.04</v>
      </c>
      <c r="P9" s="1722">
        <f>yrSales!Z39</f>
        <v>0.04</v>
      </c>
      <c r="Q9" s="1722">
        <f>yrSales!AA39</f>
        <v>-0.01</v>
      </c>
      <c r="R9" s="1722">
        <f>yrSales!AB39</f>
        <v>7.0000000000000007E-2</v>
      </c>
      <c r="S9" s="1722">
        <f>yrSales!AC39</f>
        <v>-0.02</v>
      </c>
      <c r="T9" s="1722">
        <f>yrSales!AD39</f>
        <v>-0.09</v>
      </c>
      <c r="U9" s="1722">
        <f>yrSales!AE39</f>
        <v>-0.04</v>
      </c>
      <c r="V9" s="1726">
        <f>yrSales!AF39</f>
        <v>0.09</v>
      </c>
      <c r="W9" s="1726">
        <f>yrSales!AG39</f>
        <v>9.5188161934013527E-2</v>
      </c>
      <c r="X9" s="1726">
        <f>yrSales!AH39</f>
        <v>0.06</v>
      </c>
      <c r="Y9" s="1726">
        <f>yrSales!AI39</f>
        <v>0.02</v>
      </c>
      <c r="Z9" s="1726">
        <f>yrSales!AJ39</f>
        <v>0.04</v>
      </c>
      <c r="AA9" s="1726">
        <f>yrSales!AK39</f>
        <v>0.05</v>
      </c>
      <c r="AB9" s="1726">
        <f>yrSales!AL39</f>
        <v>2.0243884366354766E-2</v>
      </c>
      <c r="AC9" s="1726">
        <f>yrSales!AM39</f>
        <v>-0.03</v>
      </c>
      <c r="AD9" s="1726">
        <f>yrSales!AN39</f>
        <v>2.1757017117429368E-2</v>
      </c>
      <c r="AE9" s="1726">
        <f>yrSales!AO39</f>
        <v>3.0805458257625769E-2</v>
      </c>
      <c r="AF9" s="1726">
        <f>yrSales!AP39</f>
        <v>3.1595720783191367E-2</v>
      </c>
      <c r="AG9" s="1726">
        <f>yrSales!AQ39</f>
        <v>2.8918741129678141E-2</v>
      </c>
      <c r="AH9" s="1726">
        <f>yrSales!AR39</f>
        <v>2.5886897902520134E-2</v>
      </c>
      <c r="AI9" s="1724"/>
      <c r="AJ9" s="56"/>
      <c r="AK9" s="57"/>
      <c r="AL9" s="56"/>
      <c r="AM9" s="1725"/>
      <c r="AN9" s="817"/>
      <c r="AO9" s="817"/>
      <c r="AP9" s="817"/>
    </row>
    <row r="10" spans="1:77">
      <c r="A10" s="817"/>
      <c r="B10" s="816"/>
      <c r="C10" s="816"/>
      <c r="D10" s="816"/>
      <c r="E10" s="816"/>
      <c r="F10" s="816"/>
      <c r="G10" s="816"/>
      <c r="H10" s="816"/>
      <c r="I10" s="816"/>
      <c r="J10" s="816"/>
      <c r="K10" s="816"/>
      <c r="L10" s="816"/>
      <c r="M10" s="816"/>
      <c r="N10" s="1701"/>
      <c r="O10" s="1701"/>
      <c r="P10" s="1701"/>
      <c r="Q10" s="1701"/>
      <c r="R10" s="1701"/>
      <c r="S10" s="1701"/>
      <c r="T10" s="1701"/>
      <c r="U10" s="1701"/>
      <c r="V10" s="1701"/>
      <c r="W10" s="1701"/>
      <c r="X10" s="816"/>
      <c r="Y10" s="816"/>
      <c r="Z10" s="816"/>
      <c r="AA10" s="1731"/>
      <c r="AB10" s="816"/>
      <c r="AC10" s="816" t="s">
        <v>533</v>
      </c>
      <c r="AD10" s="816"/>
      <c r="AE10" s="816"/>
      <c r="AF10" s="816"/>
      <c r="AG10" s="816"/>
      <c r="AH10" s="816"/>
      <c r="AI10" s="1724"/>
      <c r="AJ10" s="56"/>
      <c r="AK10" s="97"/>
      <c r="AL10" s="56"/>
      <c r="AM10" s="1720"/>
      <c r="AN10" s="817"/>
      <c r="AO10" s="817"/>
      <c r="AP10" s="817"/>
    </row>
    <row r="11" spans="1:77">
      <c r="A11" s="817" t="s">
        <v>1268</v>
      </c>
      <c r="B11" s="816">
        <f>'qtrP&amp;L'!F24-B31</f>
        <v>3438.6850000000004</v>
      </c>
      <c r="C11" s="816">
        <f>'qtrP&amp;L'!J24-C31</f>
        <v>4132.9799999999996</v>
      </c>
      <c r="D11" s="816">
        <f>'qtrP&amp;L'!N24-D31</f>
        <v>4706.5789999999997</v>
      </c>
      <c r="E11" s="816">
        <f>'qtrP&amp;L'!R24-E31</f>
        <v>5014.8999999999996</v>
      </c>
      <c r="F11" s="816">
        <f>'qtrP&amp;L'!V24-F31</f>
        <v>4938.5410000000002</v>
      </c>
      <c r="G11" s="816">
        <f>'qtrP&amp;L'!Z24-G31</f>
        <v>5508.0159999999996</v>
      </c>
      <c r="H11" s="816">
        <f>'qtrP&amp;L'!AD24-H31</f>
        <v>5858.5689999999995</v>
      </c>
      <c r="I11" s="816">
        <f>'qtrP&amp;L'!AH24-I31</f>
        <v>5590.1439999999993</v>
      </c>
      <c r="J11" s="816">
        <f>'qtrP&amp;L'!AL24-J31</f>
        <v>5787.6029999999992</v>
      </c>
      <c r="K11" s="816">
        <f>'qtrP&amp;L'!AP24-K31</f>
        <v>4636.9340000000002</v>
      </c>
      <c r="L11" s="816">
        <f>'qtrP&amp;L'!AT24-L31</f>
        <v>4942.2350000000006</v>
      </c>
      <c r="M11" s="816">
        <f>'qtrP&amp;L'!AX24-M31</f>
        <v>4788.9070000000002</v>
      </c>
      <c r="N11" s="816">
        <f>'qtrP&amp;L'!BB24-N31</f>
        <v>5075.1350000000002</v>
      </c>
      <c r="O11" s="816">
        <f>+'qtrP&amp;L'!BF24-O31</f>
        <v>5384.1180000000004</v>
      </c>
      <c r="P11" s="816">
        <f>+'qtrP&amp;L'!BJ24-'yrP&amp;L'!P31</f>
        <v>5680.7650000000003</v>
      </c>
      <c r="Q11" s="816">
        <f>+'qtrP&amp;L'!BR24-Q31</f>
        <v>5920.4680000000008</v>
      </c>
      <c r="R11" s="816">
        <f>'qtrP&amp;L'!BV24-R31</f>
        <v>6341.3220000000001</v>
      </c>
      <c r="S11" s="816">
        <f>'qtrP&amp;L'!BZ24-S31</f>
        <v>6270.8240000000005</v>
      </c>
      <c r="T11" s="816">
        <f>'qtrP&amp;L'!CD24-T31</f>
        <v>5693.4470000000001</v>
      </c>
      <c r="U11" s="816">
        <f>'qtrP&amp;L'!$CH$24-U31</f>
        <v>5247.415</v>
      </c>
      <c r="V11" s="816">
        <f>'qtrP&amp;L'!$CL$24-V31</f>
        <v>5615.5959999999995</v>
      </c>
      <c r="W11" s="816">
        <f>'qtrP&amp;L'!CP24-W31</f>
        <v>5934.2530000000006</v>
      </c>
      <c r="X11" s="816">
        <f>'qtrP&amp;L'!CT24-X31</f>
        <v>5679.12</v>
      </c>
      <c r="Y11" s="816">
        <f>'qtrP&amp;L'!CX24-Y31</f>
        <v>5976.18</v>
      </c>
      <c r="Z11" s="816">
        <f>'qtrP&amp;L'!DB24-Z31</f>
        <v>6248.6189999999997</v>
      </c>
      <c r="AA11" s="816">
        <f>'qtrP&amp;L'!DF24-AA31</f>
        <v>6535.3260000000009</v>
      </c>
      <c r="AB11" s="816">
        <f>'qtrP&amp;L'!DJ24-AB31</f>
        <v>6966.2210000000005</v>
      </c>
      <c r="AC11" s="816">
        <f>'qtrP&amp;L'!DN24-AC31</f>
        <v>7148.3269999999993</v>
      </c>
      <c r="AD11" s="816">
        <f>'qtrP&amp;L'!DR24-AD31</f>
        <v>7433.9826359981489</v>
      </c>
      <c r="AE11" s="816">
        <f>(1-AE12)*AE7</f>
        <v>7711.2872998172488</v>
      </c>
      <c r="AF11" s="816">
        <f>(1-AF12)*AF7</f>
        <v>8028.9884261769112</v>
      </c>
      <c r="AG11" s="816">
        <f>(1-AG12)*AG7</f>
        <v>8350.2362705149644</v>
      </c>
      <c r="AH11" s="816">
        <f>(1-AH12)*AH7</f>
        <v>8669.5369800325334</v>
      </c>
      <c r="AI11" s="1724"/>
      <c r="AJ11" s="56">
        <f>((AA11/V11)^(1/5)-1)*100</f>
        <v>3.0799691846713939</v>
      </c>
      <c r="AK11" s="97" t="s">
        <v>1084</v>
      </c>
      <c r="AL11" s="56">
        <f>((AF11/AA11)^(1/5)-1)*100</f>
        <v>4.2026383352595564</v>
      </c>
      <c r="AM11" s="1725" t="s">
        <v>1084</v>
      </c>
      <c r="AN11" s="817"/>
      <c r="AO11" s="817"/>
      <c r="AP11" s="817"/>
    </row>
    <row r="12" spans="1:77">
      <c r="A12" s="1721" t="s">
        <v>1269</v>
      </c>
      <c r="B12" s="1701"/>
      <c r="C12" s="1701">
        <f t="shared" ref="C12:M12" si="5">(C7-C11)/C7</f>
        <v>0.3278852693139192</v>
      </c>
      <c r="D12" s="1701">
        <f t="shared" si="5"/>
        <v>0.32223813616239866</v>
      </c>
      <c r="E12" s="1701">
        <f t="shared" si="5"/>
        <v>0.30782069175695315</v>
      </c>
      <c r="F12" s="1701">
        <f t="shared" si="5"/>
        <v>0.32540891750510054</v>
      </c>
      <c r="G12" s="1701">
        <f t="shared" si="5"/>
        <v>0.30114064224582399</v>
      </c>
      <c r="H12" s="1701">
        <f t="shared" si="5"/>
        <v>0.3223006779458289</v>
      </c>
      <c r="I12" s="1701">
        <f t="shared" si="5"/>
        <v>0.33186075571892754</v>
      </c>
      <c r="J12" s="1701">
        <f t="shared" si="5"/>
        <v>0.34504046304786895</v>
      </c>
      <c r="K12" s="1701">
        <f t="shared" si="5"/>
        <v>0.391529263436805</v>
      </c>
      <c r="L12" s="1701">
        <f t="shared" si="5"/>
        <v>0.39357390690513705</v>
      </c>
      <c r="M12" s="1701">
        <f t="shared" si="5"/>
        <v>0.39590697266063307</v>
      </c>
      <c r="N12" s="1701">
        <f>(N$7-N11)/N$7</f>
        <v>0.39901208504220542</v>
      </c>
      <c r="O12" s="1701">
        <f>(O$7-O11)/O$7</f>
        <v>0.39735133658253535</v>
      </c>
      <c r="P12" s="1701">
        <f t="shared" ref="P12:U12" si="6">+P15-P14</f>
        <v>0.39619721369784505</v>
      </c>
      <c r="Q12" s="1701">
        <f t="shared" si="6"/>
        <v>0.38957753031044123</v>
      </c>
      <c r="R12" s="1701">
        <f t="shared" si="6"/>
        <v>0.40572014748187979</v>
      </c>
      <c r="S12" s="1701">
        <f t="shared" si="6"/>
        <v>0.37828720903302354</v>
      </c>
      <c r="T12" s="1701">
        <f t="shared" si="6"/>
        <v>0.37038064264348153</v>
      </c>
      <c r="U12" s="1701">
        <f t="shared" si="6"/>
        <v>0.39213179329064818</v>
      </c>
      <c r="V12" s="1701">
        <f t="shared" ref="V12:AD12" si="7">+V15-V14</f>
        <v>0.41585003575263302</v>
      </c>
      <c r="W12" s="1701">
        <f t="shared" si="7"/>
        <v>0.42741662049722501</v>
      </c>
      <c r="X12" s="1701">
        <f t="shared" si="7"/>
        <v>0.45699311918973895</v>
      </c>
      <c r="Y12" s="1701">
        <f t="shared" si="7"/>
        <v>0.44527402275885974</v>
      </c>
      <c r="Z12" s="1701">
        <f>+Z15-Z14</f>
        <v>0.45446252245928531</v>
      </c>
      <c r="AA12" s="1701">
        <f>+AA15-AA14</f>
        <v>0.46228064242697697</v>
      </c>
      <c r="AB12" s="1701">
        <f t="shared" si="7"/>
        <v>0.44598836246640133</v>
      </c>
      <c r="AC12" s="1701">
        <f t="shared" si="7"/>
        <v>0.43412326049151451</v>
      </c>
      <c r="AD12" s="1701">
        <f t="shared" si="7"/>
        <v>0.43451350597982763</v>
      </c>
      <c r="AE12" s="1727">
        <v>0.43940000000000001</v>
      </c>
      <c r="AF12" s="1727">
        <v>0.44259999999999999</v>
      </c>
      <c r="AG12" s="1727">
        <v>0.44550000000000001</v>
      </c>
      <c r="AH12" s="1727">
        <v>0.44840000000000002</v>
      </c>
      <c r="AI12" s="1724"/>
      <c r="AJ12" s="56"/>
      <c r="AK12" s="57"/>
      <c r="AL12" s="56"/>
      <c r="AM12" s="1725"/>
      <c r="AN12" s="817"/>
      <c r="AO12" s="817"/>
      <c r="AP12" s="817"/>
    </row>
    <row r="13" spans="1:77">
      <c r="A13" s="1721" t="s">
        <v>565</v>
      </c>
      <c r="B13" s="1728">
        <v>354.73399999999998</v>
      </c>
      <c r="C13" s="1728">
        <v>441.58</v>
      </c>
      <c r="D13" s="1728">
        <v>554.87800000000004</v>
      </c>
      <c r="E13" s="1728">
        <v>592.005</v>
      </c>
      <c r="F13" s="1728">
        <v>631.66899999999998</v>
      </c>
      <c r="G13" s="1728">
        <v>688.11300000000006</v>
      </c>
      <c r="H13" s="1728">
        <v>737.59900000000005</v>
      </c>
      <c r="I13" s="1728">
        <v>771.40499999999997</v>
      </c>
      <c r="J13" s="1728">
        <v>728.88199999999995</v>
      </c>
      <c r="K13" s="1728">
        <v>721.11500000000001</v>
      </c>
      <c r="L13" s="1728">
        <v>711</v>
      </c>
      <c r="M13" s="1728">
        <v>535</v>
      </c>
      <c r="N13" s="1728">
        <v>536</v>
      </c>
      <c r="O13" s="1728">
        <v>560</v>
      </c>
      <c r="P13" s="1728">
        <v>592</v>
      </c>
      <c r="Q13" s="1728">
        <v>596</v>
      </c>
      <c r="R13" s="1728">
        <f>495+72+50</f>
        <v>617</v>
      </c>
      <c r="S13" s="1728">
        <f>431+58+70</f>
        <v>559</v>
      </c>
      <c r="T13" s="1728">
        <f>391+37+64</f>
        <v>492</v>
      </c>
      <c r="U13" s="1728">
        <f>508</f>
        <v>508</v>
      </c>
      <c r="V13" s="1728">
        <f>417+44+60</f>
        <v>521</v>
      </c>
      <c r="W13" s="1728">
        <f>437+50+62</f>
        <v>549</v>
      </c>
      <c r="X13" s="1728">
        <f>453+60+67</f>
        <v>580</v>
      </c>
      <c r="Y13" s="1728">
        <f>482+59+72</f>
        <v>613</v>
      </c>
      <c r="Z13" s="1728">
        <f>516+63+68</f>
        <v>647</v>
      </c>
      <c r="AA13" s="1728">
        <f>535+73+77</f>
        <v>685</v>
      </c>
      <c r="AB13" s="2581">
        <v>765</v>
      </c>
      <c r="AC13" s="2581">
        <v>803</v>
      </c>
      <c r="AD13" s="816">
        <f t="shared" ref="AD13:AH13" si="8">+AD14*AD7</f>
        <v>854.5011710264514</v>
      </c>
      <c r="AE13" s="816">
        <f t="shared" si="8"/>
        <v>907.85758435236971</v>
      </c>
      <c r="AF13" s="816">
        <f t="shared" si="8"/>
        <v>965.09189909195027</v>
      </c>
      <c r="AG13" s="816">
        <f t="shared" si="8"/>
        <v>1024.014547150618</v>
      </c>
      <c r="AH13" s="816">
        <f t="shared" si="8"/>
        <v>1084.4779761099437</v>
      </c>
      <c r="AI13" s="1724"/>
      <c r="AJ13" s="56"/>
      <c r="AK13" s="57"/>
      <c r="AL13" s="56"/>
      <c r="AM13" s="1725"/>
      <c r="AN13" s="817"/>
      <c r="AO13" s="817"/>
      <c r="AP13" s="817"/>
    </row>
    <row r="14" spans="1:77">
      <c r="A14" s="1729" t="s">
        <v>566</v>
      </c>
      <c r="B14" s="1701">
        <f t="shared" ref="B14:X14" si="9">+B13/B7</f>
        <v>6.7523249698439647E-2</v>
      </c>
      <c r="C14" s="1701">
        <f t="shared" si="9"/>
        <v>7.1810757075127282E-2</v>
      </c>
      <c r="D14" s="1701">
        <f t="shared" si="9"/>
        <v>7.9904140030897297E-2</v>
      </c>
      <c r="E14" s="1701">
        <f t="shared" si="9"/>
        <v>8.1711222831247876E-2</v>
      </c>
      <c r="F14" s="1701">
        <f t="shared" si="9"/>
        <v>8.6284243562718341E-2</v>
      </c>
      <c r="G14" s="1701">
        <f t="shared" si="9"/>
        <v>8.7308063237706526E-2</v>
      </c>
      <c r="H14" s="1701">
        <f t="shared" si="9"/>
        <v>8.5322941873320027E-2</v>
      </c>
      <c r="I14" s="1701">
        <f t="shared" si="9"/>
        <v>9.2199047776701418E-2</v>
      </c>
      <c r="J14" s="1701">
        <f t="shared" si="9"/>
        <v>8.2484617070787886E-2</v>
      </c>
      <c r="K14" s="1701">
        <f t="shared" si="9"/>
        <v>9.4626616466132213E-2</v>
      </c>
      <c r="L14" s="1701">
        <f t="shared" si="9"/>
        <v>8.7241693725702549E-2</v>
      </c>
      <c r="M14" s="1701">
        <f t="shared" si="9"/>
        <v>6.7487167661965719E-2</v>
      </c>
      <c r="N14" s="1701">
        <f t="shared" si="9"/>
        <v>6.3472109100029442E-2</v>
      </c>
      <c r="O14" s="1701">
        <f t="shared" si="9"/>
        <v>6.2681250952111411E-2</v>
      </c>
      <c r="P14" s="1701">
        <f t="shared" si="9"/>
        <v>6.2923083333120758E-2</v>
      </c>
      <c r="Q14" s="1701">
        <f t="shared" si="9"/>
        <v>6.1449836724896914E-2</v>
      </c>
      <c r="R14" s="1701">
        <f t="shared" si="9"/>
        <v>5.7822433398537432E-2</v>
      </c>
      <c r="S14" s="1701">
        <f t="shared" si="9"/>
        <v>5.5421336996627525E-2</v>
      </c>
      <c r="T14" s="1701">
        <f t="shared" si="9"/>
        <v>5.4408642746548282E-2</v>
      </c>
      <c r="U14" s="1701">
        <f t="shared" si="9"/>
        <v>5.884746089424045E-2</v>
      </c>
      <c r="V14" s="1701">
        <f t="shared" si="9"/>
        <v>5.419587366556964E-2</v>
      </c>
      <c r="W14" s="1701">
        <f t="shared" si="9"/>
        <v>5.2971835772257003E-2</v>
      </c>
      <c r="X14" s="1701">
        <f t="shared" si="9"/>
        <v>5.5456477565177603E-2</v>
      </c>
      <c r="Y14" s="1701">
        <f>+Y13/Y7</f>
        <v>5.690039859054094E-2</v>
      </c>
      <c r="Z14" s="1701">
        <f>+Z13/Z7</f>
        <v>5.648652093668096E-2</v>
      </c>
      <c r="AA14" s="1701">
        <f>+AA13/AA7</f>
        <v>5.6361038445139643E-2</v>
      </c>
      <c r="AB14" s="1701">
        <f>+AB13/AB7</f>
        <v>6.0839141151738219E-2</v>
      </c>
      <c r="AC14" s="1701">
        <f>+AC13/AC7</f>
        <v>6.3567184576938621E-2</v>
      </c>
      <c r="AD14" s="1727">
        <v>6.5000000000000002E-2</v>
      </c>
      <c r="AE14" s="1727">
        <v>6.6000000000000003E-2</v>
      </c>
      <c r="AF14" s="1727">
        <v>6.7000000000000004E-2</v>
      </c>
      <c r="AG14" s="1727">
        <v>6.8000000000000005E-2</v>
      </c>
      <c r="AH14" s="1727">
        <v>6.9000000000000006E-2</v>
      </c>
      <c r="AI14" s="1724"/>
      <c r="AJ14" s="56"/>
      <c r="AK14" s="57"/>
      <c r="AL14" s="56"/>
      <c r="AM14" s="1725"/>
      <c r="AN14" s="817"/>
      <c r="AO14" s="817"/>
      <c r="AP14" s="817"/>
    </row>
    <row r="15" spans="1:77">
      <c r="A15" s="1729" t="s">
        <v>957</v>
      </c>
      <c r="B15" s="1701"/>
      <c r="C15" s="1701">
        <f t="shared" ref="C15:M15" si="10">+(C7-C11+C13)/C7</f>
        <v>0.3996960263890465</v>
      </c>
      <c r="D15" s="1701">
        <f t="shared" si="10"/>
        <v>0.40214227619329601</v>
      </c>
      <c r="E15" s="1701">
        <f t="shared" si="10"/>
        <v>0.38953191458820102</v>
      </c>
      <c r="F15" s="1701">
        <f t="shared" si="10"/>
        <v>0.41169316106781889</v>
      </c>
      <c r="G15" s="1701">
        <f t="shared" si="10"/>
        <v>0.38844870548353055</v>
      </c>
      <c r="H15" s="1701">
        <f t="shared" si="10"/>
        <v>0.40762361981914891</v>
      </c>
      <c r="I15" s="1701">
        <f t="shared" si="10"/>
        <v>0.42405980349562888</v>
      </c>
      <c r="J15" s="1701">
        <f t="shared" si="10"/>
        <v>0.42752508011865686</v>
      </c>
      <c r="K15" s="1701">
        <f t="shared" si="10"/>
        <v>0.48615587990293718</v>
      </c>
      <c r="L15" s="1701">
        <f t="shared" si="10"/>
        <v>0.48081560063083961</v>
      </c>
      <c r="M15" s="1701">
        <f t="shared" si="10"/>
        <v>0.46339414032259879</v>
      </c>
      <c r="N15" s="1701">
        <f t="shared" ref="N15:AD15" si="11">+(N7-N11+N13)/N7</f>
        <v>0.46248419414223485</v>
      </c>
      <c r="O15" s="1701">
        <f t="shared" si="11"/>
        <v>0.46003258753464676</v>
      </c>
      <c r="P15" s="1701">
        <f t="shared" si="11"/>
        <v>0.4591202970309658</v>
      </c>
      <c r="Q15" s="1701">
        <f t="shared" si="11"/>
        <v>0.45102736703533813</v>
      </c>
      <c r="R15" s="1701">
        <f t="shared" si="11"/>
        <v>0.46354258088041722</v>
      </c>
      <c r="S15" s="1701">
        <f t="shared" si="11"/>
        <v>0.43370854602965109</v>
      </c>
      <c r="T15" s="1701">
        <f t="shared" si="11"/>
        <v>0.4247892853900298</v>
      </c>
      <c r="U15" s="1701">
        <f t="shared" si="11"/>
        <v>0.4509792541848886</v>
      </c>
      <c r="V15" s="1701">
        <f t="shared" si="11"/>
        <v>0.47004590941820268</v>
      </c>
      <c r="W15" s="1701">
        <f t="shared" si="11"/>
        <v>0.48038845626948201</v>
      </c>
      <c r="X15" s="1701">
        <f t="shared" si="11"/>
        <v>0.51244959675491653</v>
      </c>
      <c r="Y15" s="1701">
        <f t="shared" si="11"/>
        <v>0.50217442134940071</v>
      </c>
      <c r="Z15" s="1701">
        <f>+(Z7-Z11+Z13)/Z7</f>
        <v>0.51094904339596625</v>
      </c>
      <c r="AA15" s="1701">
        <f>+(AA7-AA11+AA13)/AA7</f>
        <v>0.51864168087211659</v>
      </c>
      <c r="AB15" s="1701">
        <f t="shared" si="11"/>
        <v>0.50682750361813955</v>
      </c>
      <c r="AC15" s="1701">
        <f t="shared" si="11"/>
        <v>0.49769044506845311</v>
      </c>
      <c r="AD15" s="1701">
        <f t="shared" si="11"/>
        <v>0.49951350597982763</v>
      </c>
      <c r="AE15" s="1701">
        <f>+(AE7-AE11+AE13)/AE7</f>
        <v>0.50539999999999996</v>
      </c>
      <c r="AF15" s="1701">
        <f>+(AF7-AF11+AF13)/AF7</f>
        <v>0.50959999999999994</v>
      </c>
      <c r="AG15" s="1701">
        <f>+(AG7-AG11+AG13)/AG7</f>
        <v>0.51350000000000007</v>
      </c>
      <c r="AH15" s="1701">
        <f>+(AH7-AH11+AH13)/AH7</f>
        <v>0.51740000000000008</v>
      </c>
      <c r="AI15" s="1724"/>
      <c r="AJ15" s="56"/>
      <c r="AK15" s="57"/>
      <c r="AL15" s="56"/>
      <c r="AM15" s="1725"/>
      <c r="AN15" s="817"/>
      <c r="AO15" s="817"/>
      <c r="AP15" s="817"/>
      <c r="BX15" s="23">
        <f>BX14*(1-36.3%)</f>
        <v>0</v>
      </c>
      <c r="BY15" s="23">
        <f>BY14*(1-36.2%)</f>
        <v>0</v>
      </c>
    </row>
    <row r="16" spans="1:77">
      <c r="A16" s="1721" t="s">
        <v>1218</v>
      </c>
      <c r="B16" s="1701"/>
      <c r="C16" s="816"/>
      <c r="D16" s="1701"/>
      <c r="E16" s="1701"/>
      <c r="F16" s="1701"/>
      <c r="G16" s="1701"/>
      <c r="H16" s="1701"/>
      <c r="I16" s="1701"/>
      <c r="J16" s="816">
        <f>J13+327.9969</f>
        <v>1056.8788999999999</v>
      </c>
      <c r="K16" s="816">
        <f>K13+324.50175</f>
        <v>1045.6167500000001</v>
      </c>
      <c r="L16" s="816">
        <f>L13+319.95</f>
        <v>1030.95</v>
      </c>
      <c r="M16" s="816">
        <f>M13+240.75</f>
        <v>775.75</v>
      </c>
      <c r="N16" s="816">
        <f>N13+241.2</f>
        <v>777.2</v>
      </c>
      <c r="O16" s="816">
        <f>O13+252</f>
        <v>812</v>
      </c>
      <c r="P16" s="816">
        <f>570+256.5</f>
        <v>826.5</v>
      </c>
      <c r="Q16" s="816">
        <f>Q13+260.1</f>
        <v>856.1</v>
      </c>
      <c r="R16" s="816">
        <f>567+269.325</f>
        <v>836.32500000000005</v>
      </c>
      <c r="S16" s="816">
        <f>489+232.275</f>
        <v>721.27499999999998</v>
      </c>
      <c r="T16" s="816">
        <f>428+184.04</f>
        <v>612.04</v>
      </c>
      <c r="U16" s="816">
        <f>(U13-61)*1.5</f>
        <v>670.5</v>
      </c>
      <c r="V16" s="816">
        <f>(V13-60)*1.5</f>
        <v>691.5</v>
      </c>
      <c r="W16" s="816">
        <f>(W13-62)*1.5</f>
        <v>730.5</v>
      </c>
      <c r="X16" s="816">
        <f>(X13-62)*1.5</f>
        <v>777</v>
      </c>
      <c r="Y16" s="1727"/>
      <c r="Z16" s="1727"/>
      <c r="AA16" s="1727"/>
      <c r="AB16" s="1727"/>
      <c r="AC16" s="1727"/>
      <c r="AD16" s="1727"/>
      <c r="AE16" s="1727"/>
      <c r="AF16" s="1727"/>
      <c r="AG16" s="1727"/>
      <c r="AH16" s="1727"/>
      <c r="AI16" s="1724"/>
      <c r="AJ16" s="56"/>
      <c r="AK16" s="57"/>
      <c r="AL16" s="56"/>
      <c r="AM16" s="1725"/>
      <c r="AN16" s="817"/>
      <c r="AO16" s="817"/>
      <c r="AP16" s="817"/>
    </row>
    <row r="17" spans="1:77">
      <c r="A17" s="1729" t="s">
        <v>1219</v>
      </c>
      <c r="B17" s="1701"/>
      <c r="C17" s="1701"/>
      <c r="D17" s="1701"/>
      <c r="E17" s="1701"/>
      <c r="F17" s="1701"/>
      <c r="G17" s="1701"/>
      <c r="H17" s="1701"/>
      <c r="I17" s="1701"/>
      <c r="J17" s="1701">
        <f>+J16/J7</f>
        <v>0.11960269475264244</v>
      </c>
      <c r="K17" s="1701">
        <f t="shared" ref="K17:X17" si="12">+K16/K7</f>
        <v>0.13720859387589174</v>
      </c>
      <c r="L17" s="1701">
        <f t="shared" si="12"/>
        <v>0.12650045590226869</v>
      </c>
      <c r="M17" s="1701">
        <f t="shared" si="12"/>
        <v>9.7856393109850309E-2</v>
      </c>
      <c r="N17" s="1701">
        <f t="shared" si="12"/>
        <v>9.2034558195042693E-2</v>
      </c>
      <c r="O17" s="1701">
        <f t="shared" si="12"/>
        <v>9.0887813880561538E-2</v>
      </c>
      <c r="P17" s="1701">
        <f t="shared" si="12"/>
        <v>8.7847851984500513E-2</v>
      </c>
      <c r="Q17" s="1701">
        <f t="shared" si="12"/>
        <v>8.8267122852658128E-2</v>
      </c>
      <c r="R17" s="1701">
        <f t="shared" si="12"/>
        <v>7.837657473587005E-2</v>
      </c>
      <c r="S17" s="1701">
        <f t="shared" si="12"/>
        <v>7.150988343871649E-2</v>
      </c>
      <c r="T17" s="1701">
        <f t="shared" si="12"/>
        <v>6.7683466883328061E-2</v>
      </c>
      <c r="U17" s="1701">
        <f t="shared" si="12"/>
        <v>7.767169789289019E-2</v>
      </c>
      <c r="V17" s="1701">
        <f t="shared" si="12"/>
        <v>7.1931759385300206E-2</v>
      </c>
      <c r="W17" s="1701">
        <f t="shared" si="12"/>
        <v>7.0484382571281853E-2</v>
      </c>
      <c r="X17" s="1701">
        <f t="shared" si="12"/>
        <v>7.4292557014039654E-2</v>
      </c>
      <c r="Y17" s="1730">
        <f>+(Y7-Y11-Y31)/Y7</f>
        <v>0.41111818936805361</v>
      </c>
      <c r="Z17" s="1730">
        <f>+(Z7-Z11-Z31)/Z7</f>
        <v>0.41973178069610262</v>
      </c>
      <c r="AA17"/>
      <c r="AB17" s="1742"/>
      <c r="AC17" s="1701"/>
      <c r="AD17" s="1730"/>
      <c r="AE17" s="1730"/>
      <c r="AF17" s="1730"/>
      <c r="AG17" s="1730"/>
      <c r="AH17" s="1730"/>
      <c r="AI17" s="1724"/>
      <c r="AJ17" s="56"/>
      <c r="AK17" s="57"/>
      <c r="AL17" s="56"/>
      <c r="AM17" s="1725"/>
      <c r="AN17" s="817"/>
      <c r="AO17" s="817"/>
      <c r="AP17" s="817"/>
      <c r="BX17" s="23">
        <f>BX15+BB9</f>
        <v>0</v>
      </c>
      <c r="BY17" s="23">
        <f>BY15+BD9</f>
        <v>0</v>
      </c>
    </row>
    <row r="18" spans="1:77">
      <c r="A18" s="817"/>
      <c r="B18" s="816"/>
      <c r="C18" s="816"/>
      <c r="D18" s="1701"/>
      <c r="E18" s="1701"/>
      <c r="F18" s="816"/>
      <c r="G18" s="816"/>
      <c r="H18" s="816"/>
      <c r="I18" s="816"/>
      <c r="J18" s="816"/>
      <c r="K18" s="1731"/>
      <c r="L18" s="816"/>
      <c r="M18" s="1732"/>
      <c r="N18" s="1701"/>
      <c r="O18" s="1701"/>
      <c r="P18" s="1701"/>
      <c r="Q18" s="1701"/>
      <c r="R18" s="1701"/>
      <c r="S18" s="1701"/>
      <c r="T18" s="1701"/>
      <c r="U18" s="816"/>
      <c r="V18" s="1722"/>
      <c r="W18" s="1722"/>
      <c r="X18" s="1722"/>
      <c r="Y18" s="1722"/>
      <c r="Z18" s="1722"/>
      <c r="AA18" s="1742"/>
      <c r="AB18" s="1742"/>
      <c r="AC18" s="1742"/>
      <c r="AD18" s="1722"/>
      <c r="AE18" s="1722"/>
      <c r="AF18" s="1722"/>
      <c r="AG18" s="1722"/>
      <c r="AH18" s="1722"/>
      <c r="AI18" s="1724"/>
      <c r="AJ18" s="56"/>
      <c r="AK18" s="97"/>
      <c r="AL18" s="56"/>
      <c r="AM18" s="1720"/>
      <c r="AN18" s="817"/>
      <c r="AO18" s="817"/>
      <c r="AP18" s="817"/>
    </row>
    <row r="19" spans="1:77">
      <c r="A19" s="817" t="s">
        <v>185</v>
      </c>
      <c r="B19" s="816">
        <f>'qtrP&amp;L'!F34</f>
        <v>932.90200000000004</v>
      </c>
      <c r="C19" s="816">
        <f>'qtrP&amp;L'!J34</f>
        <v>1080.8430000000001</v>
      </c>
      <c r="D19" s="816">
        <f>'qtrP&amp;L'!N34</f>
        <v>1202.0419999999999</v>
      </c>
      <c r="E19" s="816">
        <f>'qtrP&amp;L'!R34</f>
        <v>1259.896</v>
      </c>
      <c r="F19" s="816">
        <f>'qtrP&amp;L'!V34</f>
        <v>1315.374</v>
      </c>
      <c r="G19" s="816">
        <f>'qtrP&amp;L'!Z34</f>
        <v>1475.4969999999998</v>
      </c>
      <c r="H19" s="816">
        <f>'qtrP&amp;L'!AD34</f>
        <v>1848.5120000000002</v>
      </c>
      <c r="I19" s="816">
        <f>'qtrP&amp;L'!AH34</f>
        <v>1864.0070000000001</v>
      </c>
      <c r="J19" s="816">
        <f>'qtrP&amp;L'!AL34</f>
        <v>2120.17</v>
      </c>
      <c r="K19" s="816">
        <f>'qtrP&amp;L'!AP34</f>
        <v>1938.3040000000001</v>
      </c>
      <c r="L19" s="816">
        <f>'qtrP&amp;L'!AT34</f>
        <v>2124.3559999999998</v>
      </c>
      <c r="M19" s="816">
        <f>'qtrP&amp;L'!AX34</f>
        <v>2173.518</v>
      </c>
      <c r="N19" s="816">
        <f>'qtrP&amp;L'!BB34</f>
        <v>2221.7849999999999</v>
      </c>
      <c r="O19" s="816">
        <f>+'qtrP&amp;L'!BF34</f>
        <v>2298.8910000000001</v>
      </c>
      <c r="P19" s="816">
        <f>+'qtrP&amp;L'!BJ34</f>
        <v>2367.2659999999996</v>
      </c>
      <c r="Q19" s="816">
        <f>'qtrP&amp;L'!BR34</f>
        <v>2493.951</v>
      </c>
      <c r="R19" s="816">
        <f>'qtrP&amp;L'!BV34</f>
        <v>2837.4269999999997</v>
      </c>
      <c r="S19" s="816">
        <f>'qtrP&amp;L'!BZ34</f>
        <v>2602.4579999999996</v>
      </c>
      <c r="T19" s="816">
        <f>'qtrP&amp;L'!CD34</f>
        <v>2288.9290000000001</v>
      </c>
      <c r="U19" s="816">
        <f>'qtrP&amp;L'!$CH$34</f>
        <v>2169.806</v>
      </c>
      <c r="V19" s="816">
        <f>'qtrP&amp;L'!$CL$34</f>
        <v>2346.7559999999999</v>
      </c>
      <c r="W19" s="816">
        <f>'qtrP&amp;L'!CP34</f>
        <v>2527.3199999999997</v>
      </c>
      <c r="X19" s="816">
        <f>'qtrP&amp;L'!CT34</f>
        <v>2718.6409999999996</v>
      </c>
      <c r="Y19" s="816">
        <f>'qtrP&amp;L'!CX34</f>
        <v>2685.576</v>
      </c>
      <c r="Z19" s="816">
        <f>'qtrP&amp;L'!DB34</f>
        <v>2854.5309999999999</v>
      </c>
      <c r="AA19" s="816">
        <f>'qtrP&amp;L'!DF34</f>
        <v>3011.9810000000002</v>
      </c>
      <c r="AB19" s="816">
        <f>'qtrP&amp;L'!DJ34</f>
        <v>3098.989</v>
      </c>
      <c r="AC19" s="816">
        <f>'qtrP&amp;L'!DN34</f>
        <v>3231.0349999999999</v>
      </c>
      <c r="AD19" s="816">
        <f>'qtrP&amp;L'!DR34</f>
        <v>3531.1896509473354</v>
      </c>
      <c r="AE19" s="816">
        <f>+AE7*AE20</f>
        <v>3713.962845077876</v>
      </c>
      <c r="AF19" s="816">
        <f>+AF7*AF20</f>
        <v>3889.1763097735311</v>
      </c>
      <c r="AG19" s="816">
        <f>+AG7*AG20</f>
        <v>4080.9991511443745</v>
      </c>
      <c r="AH19" s="816">
        <f>+AH7*AH20</f>
        <v>4275.0436159696328</v>
      </c>
      <c r="AI19" s="1724"/>
      <c r="AJ19" s="56">
        <f>((AA19/V19)^(1/5)-1)*100</f>
        <v>5.1179440645745755</v>
      </c>
      <c r="AK19" s="97" t="s">
        <v>1084</v>
      </c>
      <c r="AL19" s="56">
        <f>((AF19/AA19)^(1/5)-1)*100</f>
        <v>5.2449050752454651</v>
      </c>
      <c r="AM19" s="1733" t="s">
        <v>1084</v>
      </c>
      <c r="AN19" s="817"/>
      <c r="AO19" s="817"/>
      <c r="AP19" s="817"/>
    </row>
    <row r="20" spans="1:77">
      <c r="A20" s="1721" t="s">
        <v>1216</v>
      </c>
      <c r="B20" s="1701">
        <f t="shared" ref="B20:P20" si="13">B19/B$7</f>
        <v>0.17757693001001806</v>
      </c>
      <c r="C20" s="1701">
        <f t="shared" si="13"/>
        <v>0.17576917910537571</v>
      </c>
      <c r="D20" s="1701">
        <f t="shared" si="13"/>
        <v>0.17309774813746417</v>
      </c>
      <c r="E20" s="1701">
        <f t="shared" si="13"/>
        <v>0.17389657654951879</v>
      </c>
      <c r="F20" s="1701">
        <f t="shared" si="13"/>
        <v>0.17967646123534176</v>
      </c>
      <c r="G20" s="1701">
        <f t="shared" si="13"/>
        <v>0.18721167218617618</v>
      </c>
      <c r="H20" s="1701">
        <f t="shared" si="13"/>
        <v>0.21382957667802499</v>
      </c>
      <c r="I20" s="1701">
        <f t="shared" si="13"/>
        <v>0.22278786169276307</v>
      </c>
      <c r="J20" s="1701">
        <f t="shared" si="13"/>
        <v>0.23993103214919889</v>
      </c>
      <c r="K20" s="1701">
        <f t="shared" si="13"/>
        <v>0.25434937451414819</v>
      </c>
      <c r="L20" s="1701">
        <f t="shared" si="13"/>
        <v>0.26066443813833828</v>
      </c>
      <c r="M20" s="1701">
        <f t="shared" si="13"/>
        <v>0.2741767732379447</v>
      </c>
      <c r="N20" s="1701">
        <f t="shared" si="13"/>
        <v>0.26309958939703149</v>
      </c>
      <c r="O20" s="1701">
        <f t="shared" si="13"/>
        <v>0.25731672086169705</v>
      </c>
      <c r="P20" s="1701">
        <f t="shared" si="13"/>
        <v>0.25161431721226929</v>
      </c>
      <c r="Q20" s="1701">
        <f t="shared" ref="Q20:AD20" si="14">Q19/Q$7</f>
        <v>0.2571357076340493</v>
      </c>
      <c r="R20" s="1701">
        <f t="shared" si="14"/>
        <v>0.26591075158948435</v>
      </c>
      <c r="S20" s="1701">
        <f t="shared" si="14"/>
        <v>0.25801735570227058</v>
      </c>
      <c r="T20" s="1701">
        <f t="shared" si="14"/>
        <v>0.25312504112441875</v>
      </c>
      <c r="U20" s="1701">
        <f t="shared" si="14"/>
        <v>0.25135349160056752</v>
      </c>
      <c r="V20" s="1701">
        <f t="shared" si="14"/>
        <v>0.24411610690963059</v>
      </c>
      <c r="W20" s="1701">
        <f t="shared" si="14"/>
        <v>0.24385570124579334</v>
      </c>
      <c r="X20" s="1701">
        <f t="shared" si="14"/>
        <v>0.25994181659357241</v>
      </c>
      <c r="Y20" s="1701">
        <f t="shared" si="14"/>
        <v>0.24928278115039246</v>
      </c>
      <c r="Z20" s="1701">
        <f t="shared" si="14"/>
        <v>0.24921564929815276</v>
      </c>
      <c r="AA20" s="1701">
        <f t="shared" si="14"/>
        <v>0.24782244808325571</v>
      </c>
      <c r="AB20" s="1701">
        <f t="shared" si="14"/>
        <v>0.24645729307017525</v>
      </c>
      <c r="AC20" s="1701">
        <f t="shared" si="14"/>
        <v>0.25577558931450667</v>
      </c>
      <c r="AD20" s="1701">
        <f t="shared" si="14"/>
        <v>0.26860972821823281</v>
      </c>
      <c r="AE20" s="1727">
        <v>0.27</v>
      </c>
      <c r="AF20" s="1727">
        <v>0.27</v>
      </c>
      <c r="AG20" s="1727">
        <v>0.27100000000000002</v>
      </c>
      <c r="AH20" s="1727">
        <v>0.27200000000000002</v>
      </c>
      <c r="AI20" s="1724"/>
      <c r="AJ20" s="56"/>
      <c r="AK20" s="57"/>
      <c r="AL20" s="56"/>
      <c r="AM20" s="100"/>
      <c r="AN20" s="817"/>
      <c r="AO20" s="817"/>
      <c r="AP20" s="817"/>
    </row>
    <row r="21" spans="1:77" hidden="1" outlineLevel="1">
      <c r="A21" s="1721" t="s">
        <v>960</v>
      </c>
      <c r="B21" s="1734" t="s">
        <v>520</v>
      </c>
      <c r="C21" s="1734" t="s">
        <v>520</v>
      </c>
      <c r="D21" s="1734" t="s">
        <v>520</v>
      </c>
      <c r="E21" s="1734" t="s">
        <v>520</v>
      </c>
      <c r="F21" s="1728">
        <v>179</v>
      </c>
      <c r="G21" s="1728">
        <v>237</v>
      </c>
      <c r="H21" s="1728">
        <v>242</v>
      </c>
      <c r="I21" s="1728">
        <v>275</v>
      </c>
      <c r="J21" s="1728">
        <v>303</v>
      </c>
      <c r="K21" s="1728">
        <v>432</v>
      </c>
      <c r="L21" s="1728">
        <v>480</v>
      </c>
      <c r="M21" s="1728">
        <v>446</v>
      </c>
      <c r="N21" s="1728">
        <v>428</v>
      </c>
      <c r="O21" s="1728">
        <v>471</v>
      </c>
      <c r="P21" s="1728">
        <v>492</v>
      </c>
      <c r="Q21" s="1728">
        <v>517</v>
      </c>
      <c r="R21" s="1728">
        <v>594</v>
      </c>
      <c r="S21" s="1728">
        <v>507</v>
      </c>
      <c r="T21" s="1728">
        <v>502</v>
      </c>
      <c r="U21" s="1728">
        <v>459</v>
      </c>
      <c r="V21" s="1728">
        <v>473</v>
      </c>
      <c r="W21" s="1728">
        <v>474</v>
      </c>
      <c r="X21" s="2381">
        <v>460</v>
      </c>
      <c r="Y21" s="2381">
        <v>452</v>
      </c>
      <c r="Z21" s="2381">
        <v>436</v>
      </c>
      <c r="AA21" s="2381">
        <v>414</v>
      </c>
      <c r="AB21" s="2581">
        <v>325</v>
      </c>
      <c r="AC21" s="2581">
        <v>383</v>
      </c>
      <c r="AD21" s="816">
        <f t="shared" ref="AD21:AG21" si="15">+AD22*AD7</f>
        <v>381.23898399641678</v>
      </c>
      <c r="AE21" s="816">
        <f t="shared" si="15"/>
        <v>398.90712039725332</v>
      </c>
      <c r="AF21" s="816">
        <f t="shared" si="15"/>
        <v>417.72634438308296</v>
      </c>
      <c r="AG21" s="816">
        <f t="shared" si="15"/>
        <v>436.71208628482236</v>
      </c>
      <c r="AH21" s="816">
        <f t="shared" ref="AH21" si="16">+AH22*AH7</f>
        <v>455.79509140852701</v>
      </c>
      <c r="AI21" s="1724"/>
      <c r="AJ21" s="56"/>
      <c r="AK21" s="57"/>
      <c r="AL21" s="56"/>
      <c r="AM21" s="100"/>
      <c r="AN21" s="817"/>
      <c r="AO21" s="817"/>
      <c r="AP21" s="817"/>
    </row>
    <row r="22" spans="1:77" hidden="1" outlineLevel="1">
      <c r="A22" s="1729" t="s">
        <v>871</v>
      </c>
      <c r="B22" s="951" t="s">
        <v>886</v>
      </c>
      <c r="C22" s="951" t="s">
        <v>886</v>
      </c>
      <c r="D22" s="951" t="s">
        <v>886</v>
      </c>
      <c r="E22" s="951" t="s">
        <v>886</v>
      </c>
      <c r="F22" s="1701">
        <f t="shared" ref="F22:P22" si="17">+F21/F7</f>
        <v>2.4450906404662225E-2</v>
      </c>
      <c r="G22" s="1701">
        <f t="shared" si="17"/>
        <v>3.0070658434496148E-2</v>
      </c>
      <c r="H22" s="1701">
        <f t="shared" si="17"/>
        <v>2.7993736343654811E-2</v>
      </c>
      <c r="I22" s="1701">
        <f t="shared" si="17"/>
        <v>3.2868257450486958E-2</v>
      </c>
      <c r="J22" s="1701">
        <f t="shared" si="17"/>
        <v>3.4289279982834993E-2</v>
      </c>
      <c r="K22" s="1701">
        <f t="shared" si="17"/>
        <v>5.6688181931271876E-2</v>
      </c>
      <c r="L22" s="1701">
        <f t="shared" si="17"/>
        <v>5.8897345975157833E-2</v>
      </c>
      <c r="M22" s="1701">
        <f t="shared" si="17"/>
        <v>5.6260330424741524E-2</v>
      </c>
      <c r="N22" s="1701">
        <f t="shared" si="17"/>
        <v>5.0682952788829477E-2</v>
      </c>
      <c r="O22" s="1701">
        <f t="shared" si="17"/>
        <v>5.2719409282936558E-2</v>
      </c>
      <c r="P22" s="1701">
        <f t="shared" si="17"/>
        <v>5.2294184121444952E-2</v>
      </c>
      <c r="Q22" s="1701">
        <f t="shared" ref="Q22:AA22" si="18">+Q21/Q7</f>
        <v>5.3304640246261248E-2</v>
      </c>
      <c r="R22" s="1701">
        <f t="shared" si="18"/>
        <v>5.5666978020634091E-2</v>
      </c>
      <c r="S22" s="1701">
        <f t="shared" si="18"/>
        <v>5.026586378763892E-2</v>
      </c>
      <c r="T22" s="1701">
        <f t="shared" si="18"/>
        <v>5.5514509469039103E-2</v>
      </c>
      <c r="U22" s="1701">
        <f t="shared" si="18"/>
        <v>5.3171229430032219E-2</v>
      </c>
      <c r="V22" s="1701">
        <f t="shared" si="18"/>
        <v>4.9202779738607372E-2</v>
      </c>
      <c r="W22" s="1701">
        <f t="shared" si="18"/>
        <v>4.5735246185883094E-2</v>
      </c>
      <c r="X22" s="1701">
        <f t="shared" si="18"/>
        <v>4.3982723586175346E-2</v>
      </c>
      <c r="Y22" s="1701">
        <f t="shared" si="18"/>
        <v>4.1955921962356452E-2</v>
      </c>
      <c r="Z22" s="1701">
        <f t="shared" si="18"/>
        <v>3.8065105298907109E-2</v>
      </c>
      <c r="AA22" s="1701">
        <f t="shared" si="18"/>
        <v>3.4063459731807029E-2</v>
      </c>
      <c r="AB22" s="1701">
        <f>+AB21/AB7</f>
        <v>2.5846693953352838E-2</v>
      </c>
      <c r="AC22" s="1701">
        <f>+AC21/AC7</f>
        <v>3.0319093017394133E-2</v>
      </c>
      <c r="AD22" s="1727">
        <v>2.9000000000000001E-2</v>
      </c>
      <c r="AE22" s="1727">
        <v>2.9000000000000001E-2</v>
      </c>
      <c r="AF22" s="1727">
        <v>2.9000000000000001E-2</v>
      </c>
      <c r="AG22" s="1727">
        <v>2.9000000000000001E-2</v>
      </c>
      <c r="AH22" s="1727">
        <v>2.9000000000000001E-2</v>
      </c>
      <c r="AI22" s="1724"/>
      <c r="AJ22" s="56"/>
      <c r="AK22" s="57"/>
      <c r="AL22" s="56"/>
      <c r="AM22" s="100"/>
      <c r="AN22" s="817"/>
      <c r="AO22" s="817"/>
      <c r="AP22" s="817"/>
      <c r="BY22" s="23">
        <f>BY17-BD33</f>
        <v>0</v>
      </c>
    </row>
    <row r="23" spans="1:77" hidden="1" outlineLevel="1">
      <c r="A23" s="1721" t="s">
        <v>958</v>
      </c>
      <c r="B23" s="1728">
        <v>122.6</v>
      </c>
      <c r="C23" s="1728">
        <v>131.5</v>
      </c>
      <c r="D23" s="1728">
        <v>141.80000000000001</v>
      </c>
      <c r="E23" s="1728">
        <v>174.5</v>
      </c>
      <c r="F23" s="1728">
        <v>223.9</v>
      </c>
      <c r="G23" s="1728">
        <v>235.6</v>
      </c>
      <c r="H23" s="1728">
        <v>0</v>
      </c>
      <c r="I23" s="1728">
        <v>0</v>
      </c>
      <c r="J23" s="1728">
        <v>0</v>
      </c>
      <c r="K23" s="1728">
        <v>0</v>
      </c>
      <c r="L23" s="1728">
        <v>0</v>
      </c>
      <c r="M23" s="1728">
        <v>0</v>
      </c>
      <c r="N23" s="1728">
        <v>0</v>
      </c>
      <c r="O23" s="1728">
        <v>0</v>
      </c>
      <c r="P23" s="1728"/>
      <c r="Q23" s="1728"/>
      <c r="R23" s="1728"/>
      <c r="S23" s="1728"/>
      <c r="T23" s="1728"/>
      <c r="U23" s="1727"/>
      <c r="V23" s="1727"/>
      <c r="W23" s="1727"/>
      <c r="X23" s="1727"/>
      <c r="Y23" s="1727"/>
      <c r="Z23" s="1727"/>
      <c r="AA23" s="1727"/>
      <c r="AB23" s="1727"/>
      <c r="AC23" s="1727"/>
      <c r="AD23" s="1727"/>
      <c r="AE23" s="1727"/>
      <c r="AF23" s="1727"/>
      <c r="AG23" s="1727"/>
      <c r="AH23" s="1727"/>
      <c r="AI23" s="1724"/>
      <c r="AJ23" s="56"/>
      <c r="AK23" s="98"/>
      <c r="AL23" s="56"/>
      <c r="AM23" s="104"/>
      <c r="AN23" s="817"/>
      <c r="AO23" s="817"/>
      <c r="AP23" s="817"/>
    </row>
    <row r="24" spans="1:77" hidden="1" outlineLevel="1">
      <c r="A24" s="1729" t="s">
        <v>872</v>
      </c>
      <c r="B24" s="1701">
        <f t="shared" ref="B24:O24" si="19">+B23/B7</f>
        <v>2.3336783091073031E-2</v>
      </c>
      <c r="C24" s="1701">
        <f t="shared" si="19"/>
        <v>2.1384832998277183E-2</v>
      </c>
      <c r="D24" s="1701">
        <f t="shared" si="19"/>
        <v>2.0419636490149613E-2</v>
      </c>
      <c r="E24" s="1701">
        <f t="shared" si="19"/>
        <v>2.4085283712219921E-2</v>
      </c>
      <c r="F24" s="1701">
        <f t="shared" si="19"/>
        <v>3.0584122592200405E-2</v>
      </c>
      <c r="G24" s="1701">
        <f t="shared" si="19"/>
        <v>2.9893025853026549E-2</v>
      </c>
      <c r="H24" s="1701">
        <f t="shared" si="19"/>
        <v>0</v>
      </c>
      <c r="I24" s="1701">
        <f t="shared" si="19"/>
        <v>0</v>
      </c>
      <c r="J24" s="1701">
        <f t="shared" si="19"/>
        <v>0</v>
      </c>
      <c r="K24" s="1701">
        <f t="shared" si="19"/>
        <v>0</v>
      </c>
      <c r="L24" s="1701">
        <f t="shared" si="19"/>
        <v>0</v>
      </c>
      <c r="M24" s="1701">
        <f t="shared" si="19"/>
        <v>0</v>
      </c>
      <c r="N24" s="1701">
        <f t="shared" si="19"/>
        <v>0</v>
      </c>
      <c r="O24" s="1701">
        <f t="shared" si="19"/>
        <v>0</v>
      </c>
      <c r="P24" s="1701"/>
      <c r="Q24" s="1701"/>
      <c r="R24" s="1701"/>
      <c r="S24" s="1701"/>
      <c r="T24" s="1701"/>
      <c r="U24" s="1701"/>
      <c r="V24" s="1701"/>
      <c r="W24" s="1701"/>
      <c r="X24" s="1701"/>
      <c r="Y24" s="1701"/>
      <c r="Z24" s="1701"/>
      <c r="AA24" s="1701"/>
      <c r="AB24" s="1701"/>
      <c r="AC24" s="1701"/>
      <c r="AD24" s="1701"/>
      <c r="AE24" s="1701"/>
      <c r="AF24" s="1701"/>
      <c r="AG24" s="1701"/>
      <c r="AH24" s="1701"/>
      <c r="AI24" s="1724"/>
      <c r="AJ24" s="56"/>
      <c r="AK24" s="98"/>
      <c r="AL24" s="56"/>
      <c r="AM24" s="104"/>
      <c r="AN24" s="817"/>
      <c r="AO24" s="817"/>
      <c r="AP24" s="817"/>
    </row>
    <row r="25" spans="1:77" hidden="1" outlineLevel="1">
      <c r="A25" s="1721" t="s">
        <v>959</v>
      </c>
      <c r="B25" s="1728">
        <v>46.7</v>
      </c>
      <c r="C25" s="1728">
        <v>50.6</v>
      </c>
      <c r="D25" s="1728">
        <v>40</v>
      </c>
      <c r="E25" s="1728">
        <v>50.8</v>
      </c>
      <c r="F25" s="1728">
        <v>72.7</v>
      </c>
      <c r="G25" s="1728">
        <v>91.4</v>
      </c>
      <c r="H25" s="1728">
        <v>0</v>
      </c>
      <c r="I25" s="1728">
        <v>0</v>
      </c>
      <c r="J25" s="1728">
        <v>0</v>
      </c>
      <c r="K25" s="1728">
        <v>0</v>
      </c>
      <c r="L25" s="1728">
        <v>0</v>
      </c>
      <c r="M25" s="1728">
        <v>0</v>
      </c>
      <c r="N25" s="1728">
        <v>0</v>
      </c>
      <c r="O25" s="1728">
        <v>0</v>
      </c>
      <c r="P25" s="1728"/>
      <c r="Q25" s="1728"/>
      <c r="R25" s="1728"/>
      <c r="S25" s="1728"/>
      <c r="T25" s="1728"/>
      <c r="U25" s="1728"/>
      <c r="V25" s="1728"/>
      <c r="W25" s="1728"/>
      <c r="X25" s="1728"/>
      <c r="Y25" s="1728"/>
      <c r="Z25" s="1728"/>
      <c r="AA25" s="1728"/>
      <c r="AB25" s="1728"/>
      <c r="AC25" s="1728"/>
      <c r="AD25" s="1728"/>
      <c r="AE25" s="1728"/>
      <c r="AF25" s="1728"/>
      <c r="AG25" s="1728"/>
      <c r="AH25" s="1728"/>
      <c r="AI25" s="1724"/>
      <c r="AJ25" s="56"/>
      <c r="AK25" s="98"/>
      <c r="AL25" s="56"/>
      <c r="AM25" s="104"/>
      <c r="AN25" s="817"/>
      <c r="AO25" s="817"/>
      <c r="AP25" s="817"/>
    </row>
    <row r="26" spans="1:77" hidden="1" outlineLevel="1">
      <c r="A26" s="1729" t="s">
        <v>873</v>
      </c>
      <c r="B26" s="1701">
        <f t="shared" ref="B26:O26" si="20">+B25/B7</f>
        <v>8.8892966586713758E-3</v>
      </c>
      <c r="C26" s="1701">
        <f t="shared" si="20"/>
        <v>8.2286885909720574E-3</v>
      </c>
      <c r="D26" s="1701">
        <f t="shared" si="20"/>
        <v>5.7601231283919922E-3</v>
      </c>
      <c r="E26" s="1701">
        <f t="shared" si="20"/>
        <v>7.0116470635001255E-3</v>
      </c>
      <c r="F26" s="1701">
        <f t="shared" si="20"/>
        <v>9.9306195285974522E-3</v>
      </c>
      <c r="G26" s="1701">
        <f t="shared" si="20"/>
        <v>1.1596869961658008E-2</v>
      </c>
      <c r="H26" s="1701">
        <f t="shared" si="20"/>
        <v>0</v>
      </c>
      <c r="I26" s="1701">
        <f t="shared" si="20"/>
        <v>0</v>
      </c>
      <c r="J26" s="1701">
        <f t="shared" si="20"/>
        <v>0</v>
      </c>
      <c r="K26" s="1701">
        <f t="shared" si="20"/>
        <v>0</v>
      </c>
      <c r="L26" s="1701">
        <f t="shared" si="20"/>
        <v>0</v>
      </c>
      <c r="M26" s="1701">
        <f t="shared" si="20"/>
        <v>0</v>
      </c>
      <c r="N26" s="1701">
        <f t="shared" si="20"/>
        <v>0</v>
      </c>
      <c r="O26" s="1701">
        <f t="shared" si="20"/>
        <v>0</v>
      </c>
      <c r="P26" s="1701"/>
      <c r="Q26" s="1701"/>
      <c r="R26" s="1701"/>
      <c r="S26" s="1701"/>
      <c r="T26" s="1701"/>
      <c r="U26" s="1701"/>
      <c r="V26" s="1701"/>
      <c r="W26" s="1701"/>
      <c r="X26" s="1701"/>
      <c r="Y26" s="1701"/>
      <c r="Z26" s="1701"/>
      <c r="AA26" s="1701"/>
      <c r="AB26" s="1701"/>
      <c r="AC26" s="1701"/>
      <c r="AD26" s="1701"/>
      <c r="AE26" s="1701"/>
      <c r="AF26" s="1701"/>
      <c r="AG26" s="1701"/>
      <c r="AH26" s="1701"/>
      <c r="AI26" s="1724"/>
      <c r="AJ26" s="56"/>
      <c r="AK26" s="98"/>
      <c r="AL26" s="56"/>
      <c r="AM26" s="104"/>
      <c r="AN26" s="817"/>
      <c r="AO26" s="817"/>
      <c r="AP26" s="817"/>
    </row>
    <row r="27" spans="1:77" hidden="1" outlineLevel="1">
      <c r="A27" s="817"/>
      <c r="B27" s="816"/>
      <c r="C27" s="816"/>
      <c r="D27" s="816"/>
      <c r="E27" s="816"/>
      <c r="F27" s="816"/>
      <c r="G27" s="816"/>
      <c r="H27" s="816"/>
      <c r="I27" s="816"/>
      <c r="J27" s="816"/>
      <c r="K27" s="816"/>
      <c r="L27" s="1735"/>
      <c r="M27" s="816"/>
      <c r="N27" s="816"/>
      <c r="O27" s="816"/>
      <c r="P27" s="816"/>
      <c r="Q27" s="816"/>
      <c r="R27" s="816"/>
      <c r="S27" s="816"/>
      <c r="T27" s="816"/>
      <c r="U27" s="816"/>
      <c r="V27" s="816"/>
      <c r="W27" s="1701"/>
      <c r="X27" s="1701"/>
      <c r="Y27" s="1701"/>
      <c r="Z27" s="1701"/>
      <c r="AA27" s="1701"/>
      <c r="AB27" s="1701"/>
      <c r="AC27" s="1701"/>
      <c r="AD27" s="1701"/>
      <c r="AE27" s="1701"/>
      <c r="AF27" s="1701"/>
      <c r="AG27" s="1701"/>
      <c r="AH27" s="1701"/>
      <c r="AI27" s="1724"/>
      <c r="AJ27" s="56"/>
      <c r="AK27" s="57"/>
      <c r="AL27" s="56"/>
      <c r="AM27" s="100"/>
      <c r="AN27" s="817"/>
      <c r="AO27" s="817"/>
      <c r="AP27" s="817"/>
    </row>
    <row r="28" spans="1:77" ht="14.25" hidden="1" outlineLevel="1">
      <c r="A28" s="817" t="s">
        <v>1270</v>
      </c>
      <c r="B28" s="816"/>
      <c r="C28" s="816"/>
      <c r="D28" s="816"/>
      <c r="E28" s="816"/>
      <c r="F28" s="816"/>
      <c r="G28" s="816"/>
      <c r="H28" s="816"/>
      <c r="I28" s="816"/>
      <c r="J28" s="816"/>
      <c r="K28" s="816"/>
      <c r="L28" s="1735"/>
      <c r="M28" s="1736">
        <f>26/(1-M54)</f>
        <v>43.170424720361446</v>
      </c>
      <c r="N28" s="1736">
        <f>-8/(1-N54)</f>
        <v>-13.286076716270964</v>
      </c>
      <c r="O28" s="1736">
        <f>26/(1-O54)</f>
        <v>42.657302215948803</v>
      </c>
      <c r="P28" s="1736">
        <f>28/(1-P54)</f>
        <v>44.300731869594145</v>
      </c>
      <c r="Q28" s="1736">
        <f>(29-7)/(1-Q54)</f>
        <v>31.606554425137297</v>
      </c>
      <c r="R28" s="1736">
        <f>+'qtrP&amp;L'!BV44</f>
        <v>33</v>
      </c>
      <c r="S28" s="1737">
        <f>+'qtrP&amp;L'!BZ44</f>
        <v>33</v>
      </c>
      <c r="T28" s="1737">
        <f t="shared" ref="T28:Y28" si="21">T29*T7</f>
        <v>27.128043000000002</v>
      </c>
      <c r="U28" s="1737">
        <f t="shared" si="21"/>
        <v>25.897464000000003</v>
      </c>
      <c r="V28" s="1737">
        <f t="shared" si="21"/>
        <v>28.839834</v>
      </c>
      <c r="W28" s="1737">
        <f t="shared" si="21"/>
        <v>31.091994</v>
      </c>
      <c r="X28" s="1737">
        <f t="shared" si="21"/>
        <v>31.375956000000006</v>
      </c>
      <c r="Y28" s="1737">
        <f t="shared" si="21"/>
        <v>32.319632999999996</v>
      </c>
      <c r="Z28" s="1737">
        <f t="shared" ref="Z28:AE28" si="22">Z29*Z7</f>
        <v>34.362180000000002</v>
      </c>
      <c r="AA28" s="1737">
        <f t="shared" si="22"/>
        <v>36.461358000000004</v>
      </c>
      <c r="AB28" s="1737">
        <f t="shared" si="22"/>
        <v>37.722426000000006</v>
      </c>
      <c r="AC28" s="1737">
        <f t="shared" si="22"/>
        <v>37.896912</v>
      </c>
      <c r="AD28" s="1737">
        <f t="shared" si="22"/>
        <v>39.438515585836221</v>
      </c>
      <c r="AE28" s="1737">
        <f t="shared" si="22"/>
        <v>41.266253834198622</v>
      </c>
      <c r="AF28" s="1737">
        <f>AF29*AF7</f>
        <v>43.213070108594785</v>
      </c>
      <c r="AG28" s="1737">
        <f>AG29*AG7</f>
        <v>45.177112374291966</v>
      </c>
      <c r="AH28" s="1737">
        <f>AH29*AH7</f>
        <v>47.151216352606241</v>
      </c>
      <c r="AI28" s="1724"/>
      <c r="AJ28" s="56"/>
      <c r="AK28" s="57"/>
      <c r="AL28" s="56"/>
      <c r="AM28" s="100"/>
      <c r="AN28" s="817"/>
      <c r="AO28" s="817"/>
      <c r="AP28" s="817"/>
    </row>
    <row r="29" spans="1:77" hidden="1" outlineLevel="1">
      <c r="A29" s="817" t="s">
        <v>868</v>
      </c>
      <c r="B29" s="816"/>
      <c r="C29" s="816"/>
      <c r="D29" s="816"/>
      <c r="E29" s="816"/>
      <c r="F29" s="816"/>
      <c r="G29" s="816"/>
      <c r="H29" s="816"/>
      <c r="I29" s="816"/>
      <c r="J29" s="816"/>
      <c r="K29" s="816"/>
      <c r="L29" s="1735"/>
      <c r="M29" s="1738">
        <f t="shared" ref="M29:S29" si="23">M28/M7</f>
        <v>5.4457003572734629E-3</v>
      </c>
      <c r="N29" s="1738">
        <f t="shared" si="23"/>
        <v>-1.5733121471017005E-3</v>
      </c>
      <c r="O29" s="1738">
        <f t="shared" si="23"/>
        <v>4.7746661877463301E-3</v>
      </c>
      <c r="P29" s="1738">
        <f t="shared" si="23"/>
        <v>4.7086801404539035E-3</v>
      </c>
      <c r="Q29" s="1738">
        <f t="shared" si="23"/>
        <v>3.2587543772839849E-3</v>
      </c>
      <c r="R29" s="1738">
        <f t="shared" si="23"/>
        <v>3.092609890035227E-3</v>
      </c>
      <c r="S29" s="1738">
        <f t="shared" si="23"/>
        <v>3.2717426133966158E-3</v>
      </c>
      <c r="T29" s="1739">
        <v>3.0000000000000001E-3</v>
      </c>
      <c r="U29" s="1739">
        <v>3.0000000000000001E-3</v>
      </c>
      <c r="V29" s="1739">
        <v>3.0000000000000001E-3</v>
      </c>
      <c r="W29" s="1739">
        <v>3.0000000000000001E-3</v>
      </c>
      <c r="X29" s="1739">
        <v>3.0000000000000001E-3</v>
      </c>
      <c r="Y29" s="1739">
        <v>3.0000000000000001E-3</v>
      </c>
      <c r="Z29" s="1739">
        <v>3.0000000000000001E-3</v>
      </c>
      <c r="AA29" s="1739">
        <v>3.0000000000000001E-3</v>
      </c>
      <c r="AB29" s="1739">
        <v>3.0000000000000001E-3</v>
      </c>
      <c r="AC29" s="1739">
        <v>3.0000000000000001E-3</v>
      </c>
      <c r="AD29" s="1739">
        <v>3.0000000000000001E-3</v>
      </c>
      <c r="AE29" s="1739">
        <v>3.0000000000000001E-3</v>
      </c>
      <c r="AF29" s="1739">
        <v>3.0000000000000001E-3</v>
      </c>
      <c r="AG29" s="1739">
        <v>3.0000000000000001E-3</v>
      </c>
      <c r="AH29" s="1739">
        <v>3.0000000000000001E-3</v>
      </c>
      <c r="AI29" s="1724"/>
      <c r="AJ29" s="56"/>
      <c r="AK29" s="57"/>
      <c r="AL29" s="56"/>
      <c r="AM29" s="100"/>
      <c r="AN29" s="817"/>
      <c r="AO29" s="817"/>
      <c r="AP29" s="817"/>
    </row>
    <row r="30" spans="1:77" collapsed="1">
      <c r="A30" s="817"/>
      <c r="B30" s="816"/>
      <c r="C30" s="816"/>
      <c r="D30" s="816"/>
      <c r="E30" s="816"/>
      <c r="F30" s="816"/>
      <c r="G30" s="816"/>
      <c r="H30" s="816"/>
      <c r="I30" s="816"/>
      <c r="J30" s="816"/>
      <c r="K30" s="816"/>
      <c r="L30" s="1735"/>
      <c r="M30" s="816"/>
      <c r="N30" s="816"/>
      <c r="O30" s="816"/>
      <c r="P30" s="816"/>
      <c r="Q30" s="816"/>
      <c r="R30" s="816"/>
      <c r="S30" s="816"/>
      <c r="T30" s="816"/>
      <c r="U30" s="816"/>
      <c r="V30" s="1701"/>
      <c r="W30" s="1701"/>
      <c r="X30" s="1701"/>
      <c r="Y30" s="1701"/>
      <c r="Z30" s="1701">
        <f t="shared" ref="Z30:AD30" si="24">Z19/Y19-1</f>
        <v>6.2912015895286499E-2</v>
      </c>
      <c r="AA30" s="1701">
        <f t="shared" si="24"/>
        <v>5.5157922614958554E-2</v>
      </c>
      <c r="AB30" s="1701">
        <f t="shared" si="24"/>
        <v>2.8887300417897555E-2</v>
      </c>
      <c r="AC30" s="1701">
        <f>AC19/AB19-1</f>
        <v>4.2609380026841004E-2</v>
      </c>
      <c r="AD30" s="1701">
        <f t="shared" si="24"/>
        <v>9.2897369092979742E-2</v>
      </c>
      <c r="AE30" s="1701">
        <f>AE19/AD19-1</f>
        <v>5.1759665211271511E-2</v>
      </c>
      <c r="AF30" s="1701">
        <f>AF19/AE19-1</f>
        <v>4.7176956799087622E-2</v>
      </c>
      <c r="AG30" s="1701">
        <f>AG19/AF19-1</f>
        <v>4.9322228176899907E-2</v>
      </c>
      <c r="AH30" s="1701">
        <f>AH19/AG19-1</f>
        <v>4.7548273753216908E-2</v>
      </c>
      <c r="AI30" s="1724"/>
      <c r="AJ30" s="56"/>
      <c r="AK30" s="57"/>
      <c r="AL30" s="56"/>
      <c r="AM30" s="100"/>
      <c r="AN30" s="817"/>
      <c r="AO30" s="817"/>
      <c r="AP30" s="817"/>
    </row>
    <row r="31" spans="1:77">
      <c r="A31" s="817" t="s">
        <v>761</v>
      </c>
      <c r="B31" s="1728">
        <v>184.38499999999999</v>
      </c>
      <c r="C31" s="1728">
        <v>222.69499999999999</v>
      </c>
      <c r="D31" s="1728">
        <v>246.977</v>
      </c>
      <c r="E31" s="1728">
        <v>271.35300000000001</v>
      </c>
      <c r="F31" s="1728">
        <v>267.88799999999998</v>
      </c>
      <c r="G31" s="1728">
        <v>285.88900000000001</v>
      </c>
      <c r="H31" s="1728">
        <v>289.64299999999997</v>
      </c>
      <c r="I31" s="1728">
        <v>313.29199999999997</v>
      </c>
      <c r="J31" s="1728">
        <v>286</v>
      </c>
      <c r="K31" s="1728">
        <v>272.44299999999998</v>
      </c>
      <c r="L31" s="1728">
        <v>271</v>
      </c>
      <c r="M31" s="1728">
        <v>277</v>
      </c>
      <c r="N31" s="1728">
        <v>276</v>
      </c>
      <c r="O31" s="1728">
        <v>288</v>
      </c>
      <c r="P31" s="1728">
        <v>333.47300000000001</v>
      </c>
      <c r="Q31" s="1728">
        <v>298.76799999999997</v>
      </c>
      <c r="R31" s="1728">
        <v>315.76499999999999</v>
      </c>
      <c r="S31" s="816">
        <f>+'qtrP&amp;L'!BZ202</f>
        <v>352.04100000000005</v>
      </c>
      <c r="T31" s="816">
        <f>+'qtrP&amp;L'!CD202</f>
        <v>342.83600000000001</v>
      </c>
      <c r="U31" s="816">
        <f>'qtrP&amp;L'!CH202</f>
        <v>356.983</v>
      </c>
      <c r="V31" s="816">
        <f>'qtrP&amp;L'!$CL$202</f>
        <v>366.89299999999997</v>
      </c>
      <c r="W31" s="816">
        <f>'qtrP&amp;L'!CP202</f>
        <v>356</v>
      </c>
      <c r="X31" s="816">
        <f>'qtrP&amp;L'!CT202</f>
        <v>353.565</v>
      </c>
      <c r="Y31" s="816">
        <f>'qtrP&amp;L'!CX202</f>
        <v>367.96799999999996</v>
      </c>
      <c r="Z31" s="816">
        <f>'qtrP&amp;L'!DB202</f>
        <v>397.80799999999999</v>
      </c>
      <c r="AA31" s="816">
        <f>'qtrP&amp;L'!DF202</f>
        <v>414.97200000000004</v>
      </c>
      <c r="AB31" s="816">
        <f>'qtrP&amp;L'!DJ202</f>
        <v>471.53</v>
      </c>
      <c r="AC31" s="816">
        <f>'qtrP&amp;L'!DN202</f>
        <v>524.68100000000004</v>
      </c>
      <c r="AD31" s="2789">
        <f>'qtrP&amp;L'!DR202</f>
        <v>560</v>
      </c>
      <c r="AE31" s="1728">
        <f>AD31*1.1</f>
        <v>616</v>
      </c>
      <c r="AF31" s="1728">
        <f>AE31*1.1</f>
        <v>677.6</v>
      </c>
      <c r="AG31" s="1728">
        <f>AF31*1.1</f>
        <v>745.36000000000013</v>
      </c>
      <c r="AH31" s="1728">
        <f>AG31*1.1</f>
        <v>819.89600000000019</v>
      </c>
      <c r="AI31" s="1724"/>
      <c r="AJ31" s="56"/>
      <c r="AK31" s="57"/>
      <c r="AL31" s="56"/>
      <c r="AM31" s="100"/>
      <c r="AN31" s="817"/>
      <c r="AO31" s="817"/>
      <c r="AP31" s="817"/>
    </row>
    <row r="32" spans="1:77">
      <c r="A32" s="817" t="s">
        <v>868</v>
      </c>
      <c r="B32" s="1701">
        <f t="shared" ref="B32:O32" si="25">+B31/B7</f>
        <v>3.5097493884563631E-2</v>
      </c>
      <c r="C32" s="1701">
        <f t="shared" si="25"/>
        <v>3.6215174027006365E-2</v>
      </c>
      <c r="D32" s="1701">
        <f t="shared" si="25"/>
        <v>3.5565448247021729E-2</v>
      </c>
      <c r="E32" s="1701">
        <f t="shared" si="25"/>
        <v>3.7453375307518695E-2</v>
      </c>
      <c r="F32" s="1701">
        <f t="shared" si="25"/>
        <v>3.6592762094593036E-2</v>
      </c>
      <c r="G32" s="1701">
        <f t="shared" si="25"/>
        <v>3.6273715059829827E-2</v>
      </c>
      <c r="H32" s="1701">
        <f t="shared" si="25"/>
        <v>3.3504916428864502E-2</v>
      </c>
      <c r="I32" s="1701">
        <f t="shared" si="25"/>
        <v>3.7444953138828938E-2</v>
      </c>
      <c r="J32" s="1701">
        <f t="shared" si="25"/>
        <v>3.2365458993699033E-2</v>
      </c>
      <c r="K32" s="1701">
        <f t="shared" si="25"/>
        <v>3.5750690624772E-2</v>
      </c>
      <c r="L32" s="1701">
        <f t="shared" si="25"/>
        <v>3.3252459915141197E-2</v>
      </c>
      <c r="M32" s="1701">
        <f t="shared" si="25"/>
        <v>3.4941954097877578E-2</v>
      </c>
      <c r="N32" s="1701">
        <f t="shared" si="25"/>
        <v>3.2683399461955455E-2</v>
      </c>
      <c r="O32" s="1701">
        <f t="shared" si="25"/>
        <v>3.2236071918228727E-2</v>
      </c>
      <c r="P32" s="1701">
        <f>+P31/P7</f>
        <v>3.544450906815165E-2</v>
      </c>
      <c r="Q32" s="1701">
        <f>+Q31/Q7</f>
        <v>3.0804102044671138E-2</v>
      </c>
      <c r="R32" s="1701">
        <f>+R31/R7</f>
        <v>2.9592059452332529E-2</v>
      </c>
      <c r="S32" s="1701">
        <f>+S31/S7</f>
        <v>3.490265276856843E-2</v>
      </c>
      <c r="T32" s="1701">
        <f>+T31/T7</f>
        <v>3.7913092367186235E-2</v>
      </c>
      <c r="U32" s="1701">
        <f t="shared" ref="U32:AA32" si="26">U31/U7</f>
        <v>4.1353431363009133E-2</v>
      </c>
      <c r="V32" s="1701">
        <f t="shared" si="26"/>
        <v>3.8165233544686837E-2</v>
      </c>
      <c r="W32" s="1701">
        <f t="shared" si="26"/>
        <v>3.4349678569988149E-2</v>
      </c>
      <c r="X32" s="1701">
        <f t="shared" si="26"/>
        <v>3.380598187988279E-2</v>
      </c>
      <c r="Y32" s="1701">
        <f t="shared" si="26"/>
        <v>3.4155833390806141E-2</v>
      </c>
      <c r="Z32" s="1701">
        <f t="shared" si="26"/>
        <v>3.4730741763182658E-2</v>
      </c>
      <c r="AA32" s="1701">
        <f t="shared" si="26"/>
        <v>3.4143434811177362E-2</v>
      </c>
      <c r="AB32" s="1701">
        <f t="shared" ref="AB32:AG32" si="27">AB31/AB7</f>
        <v>3.749997415330604E-2</v>
      </c>
      <c r="AC32" s="1701">
        <f t="shared" si="27"/>
        <v>4.1534861732269904E-2</v>
      </c>
      <c r="AD32" s="1701">
        <f t="shared" si="27"/>
        <v>4.2597952155261853E-2</v>
      </c>
      <c r="AE32" s="1701">
        <f t="shared" si="27"/>
        <v>4.4782354303954414E-2</v>
      </c>
      <c r="AF32" s="1701">
        <f t="shared" si="27"/>
        <v>4.7041323259179632E-2</v>
      </c>
      <c r="AG32" s="1701">
        <f t="shared" si="27"/>
        <v>4.9495859351835016E-2</v>
      </c>
      <c r="AH32" s="1701">
        <f t="shared" ref="AH32" si="28">AH31/AH7</f>
        <v>5.2165950112632538E-2</v>
      </c>
      <c r="AI32" s="1724"/>
      <c r="AJ32" s="56"/>
      <c r="AK32" s="57"/>
      <c r="AL32" s="56"/>
      <c r="AM32" s="100"/>
      <c r="AN32" s="817"/>
      <c r="AO32" s="817"/>
      <c r="AP32" s="817"/>
    </row>
    <row r="33" spans="1:44">
      <c r="A33" s="817"/>
      <c r="B33" s="816"/>
      <c r="C33" s="816"/>
      <c r="D33" s="816"/>
      <c r="E33" s="816"/>
      <c r="F33" s="816"/>
      <c r="G33" s="816"/>
      <c r="H33" s="816"/>
      <c r="I33" s="816"/>
      <c r="J33" s="816"/>
      <c r="K33" s="816"/>
      <c r="L33" s="816"/>
      <c r="M33" s="816"/>
      <c r="N33" s="816"/>
      <c r="O33" s="816"/>
      <c r="P33" s="816"/>
      <c r="Q33" s="816"/>
      <c r="R33" s="1701"/>
      <c r="S33" s="1701"/>
      <c r="T33" s="1701"/>
      <c r="U33" s="1741"/>
      <c r="V33" s="1701"/>
      <c r="W33" s="1701"/>
      <c r="X33" s="1701"/>
      <c r="Y33" s="1742"/>
      <c r="Z33" s="1701"/>
      <c r="AA33" s="2605"/>
      <c r="AB33" s="2605"/>
      <c r="AC33"/>
      <c r="AD33" s="1742"/>
      <c r="AE33" s="1742"/>
      <c r="AF33" s="1742"/>
      <c r="AG33" s="1742"/>
      <c r="AH33" s="1742"/>
      <c r="AI33" s="1724"/>
      <c r="AJ33" s="56"/>
      <c r="AK33" s="57"/>
      <c r="AL33" s="56"/>
      <c r="AM33" s="100"/>
      <c r="AN33" s="817"/>
      <c r="AO33" s="817"/>
      <c r="AP33" s="817"/>
    </row>
    <row r="34" spans="1:44" hidden="1" outlineLevel="1">
      <c r="A34" s="817" t="s">
        <v>443</v>
      </c>
      <c r="B34" s="1743">
        <f>+'qtrP&amp;L'!F54</f>
        <v>0</v>
      </c>
      <c r="C34" s="1743">
        <f>+'qtrP&amp;L'!J54</f>
        <v>0</v>
      </c>
      <c r="D34" s="1743">
        <f>+'qtrP&amp;L'!N54</f>
        <v>0</v>
      </c>
      <c r="E34" s="1743">
        <f>+'qtrP&amp;L'!R54</f>
        <v>2.617</v>
      </c>
      <c r="F34" s="1743">
        <f>+'qtrP&amp;L'!V54</f>
        <v>0</v>
      </c>
      <c r="G34" s="1743">
        <f>+'qtrP&amp;L'!Z54</f>
        <v>1.3140000000000001</v>
      </c>
      <c r="H34" s="1743">
        <f>+'qtrP&amp;L'!AD54</f>
        <v>-12</v>
      </c>
      <c r="I34" s="1743">
        <f>+'qtrP&amp;L'!AH54</f>
        <v>-213.2</v>
      </c>
      <c r="J34" s="1743">
        <f>+'qtrP&amp;L'!AL54</f>
        <v>1739.9969999999998</v>
      </c>
      <c r="K34" s="1743">
        <f>+'qtrP&amp;L'!AP54</f>
        <v>23.501000000000001</v>
      </c>
      <c r="L34" s="1743">
        <f>+'qtrP&amp;L'!AT54</f>
        <v>-9.9</v>
      </c>
      <c r="M34" s="1743">
        <f>+'qtrP&amp;L'!AX54</f>
        <v>170</v>
      </c>
      <c r="N34" s="1743">
        <f>+'qtrP&amp;L'!BB54</f>
        <v>-33.808</v>
      </c>
      <c r="O34" s="1743">
        <f>'qtrP&amp;L'!$BF$54</f>
        <v>0</v>
      </c>
      <c r="P34" s="1743">
        <f>'qtrP&amp;L'!$BJ$54</f>
        <v>90.525000000000006</v>
      </c>
      <c r="Q34" s="1743">
        <f>'qtrP&amp;L'!$BN$54</f>
        <v>0</v>
      </c>
      <c r="R34" s="1743">
        <f>'qtrP&amp;L'!$BV$54</f>
        <v>0.69599999999999995</v>
      </c>
      <c r="S34" s="1743">
        <f>'qtrP&amp;L'!$BZ$54</f>
        <v>371.56399999999996</v>
      </c>
      <c r="T34" s="1744">
        <f>'qtrP&amp;L'!CD54</f>
        <v>-128.559</v>
      </c>
      <c r="U34" s="1743">
        <f>'qtrP&amp;L'!CH54</f>
        <v>9.4410000000000007</v>
      </c>
      <c r="V34" s="1744">
        <v>0</v>
      </c>
      <c r="W34" s="1744">
        <v>0</v>
      </c>
      <c r="X34" s="1744">
        <v>0</v>
      </c>
      <c r="Y34" s="1744">
        <v>0</v>
      </c>
      <c r="Z34" s="1744">
        <v>0</v>
      </c>
      <c r="AA34" s="1744">
        <v>0</v>
      </c>
      <c r="AB34" s="1744">
        <v>0</v>
      </c>
      <c r="AC34" s="1744">
        <v>0</v>
      </c>
      <c r="AD34" s="1744">
        <v>0</v>
      </c>
      <c r="AE34" s="1744">
        <v>0</v>
      </c>
      <c r="AF34" s="1744">
        <v>0</v>
      </c>
      <c r="AG34" s="1744">
        <v>0</v>
      </c>
      <c r="AH34" s="1744">
        <v>0</v>
      </c>
      <c r="AI34" s="1724"/>
      <c r="AJ34" s="56"/>
      <c r="AK34" s="57"/>
      <c r="AL34" s="56"/>
      <c r="AM34" s="100"/>
      <c r="AN34" s="817"/>
      <c r="AO34" s="817"/>
      <c r="AP34" s="817"/>
    </row>
    <row r="35" spans="1:44" hidden="1" outlineLevel="1">
      <c r="A35" s="817" t="s">
        <v>868</v>
      </c>
      <c r="B35" s="1722">
        <f t="shared" ref="B35:AA35" si="29">+B34/B7</f>
        <v>0</v>
      </c>
      <c r="C35" s="1722">
        <f t="shared" si="29"/>
        <v>0</v>
      </c>
      <c r="D35" s="1722">
        <f t="shared" si="29"/>
        <v>0</v>
      </c>
      <c r="E35" s="1722">
        <f t="shared" si="29"/>
        <v>3.6121024340905175E-4</v>
      </c>
      <c r="F35" s="1722">
        <f t="shared" si="29"/>
        <v>0</v>
      </c>
      <c r="G35" s="1722">
        <f t="shared" si="29"/>
        <v>1.667208657507508E-4</v>
      </c>
      <c r="H35" s="1722">
        <f t="shared" si="29"/>
        <v>-1.3881191575366022E-3</v>
      </c>
      <c r="I35" s="1722">
        <f t="shared" si="29"/>
        <v>-2.548186359434116E-2</v>
      </c>
      <c r="J35" s="1722">
        <f t="shared" si="29"/>
        <v>0.19690839703727039</v>
      </c>
      <c r="K35" s="1722">
        <f t="shared" si="29"/>
        <v>3.0838633415898619E-3</v>
      </c>
      <c r="L35" s="1722">
        <f t="shared" si="29"/>
        <v>-1.2147577607376303E-3</v>
      </c>
      <c r="M35" s="1722">
        <f t="shared" si="29"/>
        <v>2.1444520565484435E-2</v>
      </c>
      <c r="N35" s="1722">
        <f t="shared" si="29"/>
        <v>-4.0034795978615579E-3</v>
      </c>
      <c r="O35" s="1722">
        <f t="shared" si="29"/>
        <v>0</v>
      </c>
      <c r="P35" s="1722">
        <f t="shared" si="29"/>
        <v>9.6218110113695209E-3</v>
      </c>
      <c r="Q35" s="1722">
        <f t="shared" si="29"/>
        <v>0</v>
      </c>
      <c r="R35" s="1722">
        <f t="shared" si="29"/>
        <v>6.5225954044379332E-5</v>
      </c>
      <c r="S35" s="1722">
        <f t="shared" si="29"/>
        <v>3.683823552739697E-2</v>
      </c>
      <c r="T35" s="1722">
        <f t="shared" si="29"/>
        <v>-1.4216911997669716E-2</v>
      </c>
      <c r="U35" s="1722">
        <f t="shared" si="29"/>
        <v>1.0936592092569372E-3</v>
      </c>
      <c r="V35" s="1722">
        <f t="shared" si="29"/>
        <v>0</v>
      </c>
      <c r="W35" s="1722">
        <f t="shared" si="29"/>
        <v>0</v>
      </c>
      <c r="X35" s="1722">
        <f t="shared" si="29"/>
        <v>0</v>
      </c>
      <c r="Y35" s="1722">
        <f t="shared" si="29"/>
        <v>0</v>
      </c>
      <c r="Z35" s="1722">
        <f t="shared" si="29"/>
        <v>0</v>
      </c>
      <c r="AA35" s="1722">
        <f t="shared" si="29"/>
        <v>0</v>
      </c>
      <c r="AB35" s="1722">
        <f t="shared" ref="AB35:AG35" si="30">+AB34/AB7</f>
        <v>0</v>
      </c>
      <c r="AC35" s="1722">
        <f t="shared" si="30"/>
        <v>0</v>
      </c>
      <c r="AD35" s="1722">
        <f t="shared" si="30"/>
        <v>0</v>
      </c>
      <c r="AE35" s="1722">
        <f t="shared" si="30"/>
        <v>0</v>
      </c>
      <c r="AF35" s="1722">
        <f t="shared" si="30"/>
        <v>0</v>
      </c>
      <c r="AG35" s="1722">
        <f t="shared" si="30"/>
        <v>0</v>
      </c>
      <c r="AH35" s="1722">
        <f t="shared" ref="AH35" si="31">+AH34/AH7</f>
        <v>0</v>
      </c>
      <c r="AI35" s="1724"/>
      <c r="AJ35" s="56"/>
      <c r="AK35" s="57"/>
      <c r="AL35" s="56"/>
      <c r="AM35" s="100"/>
      <c r="AN35" s="817"/>
      <c r="AO35" s="817"/>
      <c r="AP35" s="817"/>
    </row>
    <row r="36" spans="1:44" hidden="1" outlineLevel="1">
      <c r="A36" s="817"/>
      <c r="B36" s="816"/>
      <c r="C36" s="816"/>
      <c r="D36" s="816"/>
      <c r="E36" s="816"/>
      <c r="F36" s="816"/>
      <c r="G36" s="816"/>
      <c r="H36" s="816"/>
      <c r="I36" s="816"/>
      <c r="J36" s="816"/>
      <c r="K36" s="816"/>
      <c r="L36" s="816"/>
      <c r="M36" s="816"/>
      <c r="N36" s="816"/>
      <c r="O36" s="816"/>
      <c r="P36" s="816"/>
      <c r="Q36" s="816"/>
      <c r="R36" s="816"/>
      <c r="S36" s="816"/>
      <c r="T36" s="816"/>
      <c r="U36" s="1740"/>
      <c r="V36" s="816"/>
      <c r="W36" s="816"/>
      <c r="X36" s="816"/>
      <c r="Y36" s="816"/>
      <c r="Z36" s="816"/>
      <c r="AA36" s="816"/>
      <c r="AB36" s="816"/>
      <c r="AC36" s="816"/>
      <c r="AD36" s="816"/>
      <c r="AE36" s="816"/>
      <c r="AF36" s="816"/>
      <c r="AG36" s="816"/>
      <c r="AH36" s="816"/>
      <c r="AI36" s="1724"/>
      <c r="AJ36" s="56"/>
      <c r="AK36" s="57"/>
      <c r="AL36" s="56"/>
      <c r="AM36" s="100"/>
      <c r="AN36" s="817"/>
      <c r="AO36" s="817"/>
      <c r="AP36" s="817"/>
    </row>
    <row r="37" spans="1:44" collapsed="1">
      <c r="A37" s="817" t="s">
        <v>1112</v>
      </c>
      <c r="B37" s="816">
        <f t="shared" ref="B37:N37" si="32">B7-B11-B19-B31</f>
        <v>697.53699999999958</v>
      </c>
      <c r="C37" s="816">
        <f t="shared" si="32"/>
        <v>712.69999999999936</v>
      </c>
      <c r="D37" s="816">
        <f t="shared" si="32"/>
        <v>788.69800000000066</v>
      </c>
      <c r="E37" s="816">
        <f t="shared" si="32"/>
        <v>698.93900000000008</v>
      </c>
      <c r="F37" s="816">
        <f t="shared" si="32"/>
        <v>798.98900000000026</v>
      </c>
      <c r="G37" s="816">
        <f t="shared" si="32"/>
        <v>612.03500000000042</v>
      </c>
      <c r="H37" s="816">
        <f t="shared" si="32"/>
        <v>648.06699999999955</v>
      </c>
      <c r="I37" s="816">
        <f t="shared" si="32"/>
        <v>599.29200000000128</v>
      </c>
      <c r="J37" s="816">
        <f t="shared" si="32"/>
        <v>642.8080000000009</v>
      </c>
      <c r="K37" s="816">
        <f>K7-K11-K19-K31</f>
        <v>772.95500000000015</v>
      </c>
      <c r="L37" s="816">
        <f t="shared" si="32"/>
        <v>812.18199999999979</v>
      </c>
      <c r="M37" s="816">
        <f t="shared" si="32"/>
        <v>688.00800000000072</v>
      </c>
      <c r="N37" s="816">
        <f t="shared" si="32"/>
        <v>871.73400000000038</v>
      </c>
      <c r="O37" s="816">
        <f t="shared" ref="O37:U37" si="33">O7-O11-O19-O31</f>
        <v>963.08199999999988</v>
      </c>
      <c r="P37" s="816">
        <f t="shared" si="33"/>
        <v>1026.808</v>
      </c>
      <c r="Q37" s="816">
        <f>Q7-Q11-Q19-Q31</f>
        <v>985.78099999999995</v>
      </c>
      <c r="R37" s="816">
        <f t="shared" si="33"/>
        <v>1176.0849999999987</v>
      </c>
      <c r="S37" s="816">
        <f>S7-S11-S19-S31</f>
        <v>861.04500000000019</v>
      </c>
      <c r="T37" s="816">
        <f t="shared" si="33"/>
        <v>717.46900000000028</v>
      </c>
      <c r="U37" s="816">
        <f t="shared" si="33"/>
        <v>858.28400000000124</v>
      </c>
      <c r="V37" s="816">
        <f t="shared" ref="V37:AA37" si="34">V7-V11-V19-V31</f>
        <v>1284.0330000000008</v>
      </c>
      <c r="W37" s="816">
        <f t="shared" si="34"/>
        <v>1546.4249999999993</v>
      </c>
      <c r="X37" s="816">
        <f t="shared" si="34"/>
        <v>1707.3260000000023</v>
      </c>
      <c r="Y37" s="816">
        <f>Y7-Y11-Y19-Y31</f>
        <v>1743.4869999999974</v>
      </c>
      <c r="Z37" s="816">
        <f>Z7-Z11-Z19-Z31</f>
        <v>1953.1020000000017</v>
      </c>
      <c r="AA37" s="816">
        <f t="shared" si="34"/>
        <v>2191.5069999999987</v>
      </c>
      <c r="AB37" s="816">
        <f t="shared" ref="AB37:AG37" si="35">AB7-AB11-AB19-AB31</f>
        <v>2037.4020000000012</v>
      </c>
      <c r="AC37" s="816">
        <f>AC7-AC11-AC19-AC31</f>
        <v>1728.2610000000009</v>
      </c>
      <c r="AD37" s="816">
        <f t="shared" si="35"/>
        <v>1620.9995749999216</v>
      </c>
      <c r="AE37" s="816">
        <f t="shared" si="35"/>
        <v>1714.1677998377486</v>
      </c>
      <c r="AF37" s="816">
        <f t="shared" si="35"/>
        <v>1808.5919669144864</v>
      </c>
      <c r="AG37" s="816">
        <f t="shared" si="35"/>
        <v>1882.442036437983</v>
      </c>
      <c r="AH37" s="816">
        <f t="shared" ref="AH37" si="36">AH7-AH11-AH19-AH31</f>
        <v>1952.5955215332474</v>
      </c>
      <c r="AI37" s="1724"/>
      <c r="AJ37" s="56">
        <f>((AA37/V37)^(1/5)-1)*100</f>
        <v>11.284155740690727</v>
      </c>
      <c r="AK37" s="97" t="s">
        <v>1084</v>
      </c>
      <c r="AL37" s="56">
        <f>((AF37/AA37)^(1/5)-1)*100</f>
        <v>-3.76799220211258</v>
      </c>
      <c r="AM37" s="1720" t="s">
        <v>1084</v>
      </c>
      <c r="AN37" s="817"/>
      <c r="AO37" s="817"/>
      <c r="AP37" s="817"/>
    </row>
    <row r="38" spans="1:44">
      <c r="A38" s="817" t="s">
        <v>602</v>
      </c>
      <c r="B38" s="1722">
        <f t="shared" ref="B38:N38" si="37">B37/B$7</f>
        <v>0.13277544589720883</v>
      </c>
      <c r="C38" s="1722">
        <f>C37/C$7</f>
        <v>0.11590091618153715</v>
      </c>
      <c r="D38" s="1722">
        <f t="shared" si="37"/>
        <v>0.11357493977791279</v>
      </c>
      <c r="E38" s="1722">
        <f t="shared" si="37"/>
        <v>9.6470739899915656E-2</v>
      </c>
      <c r="F38" s="1722">
        <f t="shared" si="37"/>
        <v>0.10913969417516578</v>
      </c>
      <c r="G38" s="1722">
        <f t="shared" si="37"/>
        <v>7.7655254999817985E-2</v>
      </c>
      <c r="H38" s="1722">
        <f t="shared" si="37"/>
        <v>7.4966184838939381E-2</v>
      </c>
      <c r="I38" s="1722">
        <f t="shared" si="37"/>
        <v>7.1627940887335526E-2</v>
      </c>
      <c r="J38" s="1722">
        <f t="shared" si="37"/>
        <v>7.2743971904971033E-2</v>
      </c>
      <c r="K38" s="1722">
        <f t="shared" si="37"/>
        <v>0.10142919829788487</v>
      </c>
      <c r="L38" s="1722">
        <f t="shared" si="37"/>
        <v>9.9657008851657555E-2</v>
      </c>
      <c r="M38" s="1722">
        <f t="shared" si="37"/>
        <v>8.6788245324810775E-2</v>
      </c>
      <c r="N38" s="1722">
        <f t="shared" si="37"/>
        <v>0.10322909618321845</v>
      </c>
      <c r="O38" s="1701">
        <f t="shared" ref="O38:X38" si="38">O37/O$7</f>
        <v>0.10779854380260956</v>
      </c>
      <c r="P38" s="1701">
        <f>P37/P$7</f>
        <v>0.10913838741742408</v>
      </c>
      <c r="Q38" s="1701">
        <f t="shared" si="38"/>
        <v>0.1016377206317208</v>
      </c>
      <c r="R38" s="1701">
        <f t="shared" si="38"/>
        <v>0.11021733644006292</v>
      </c>
      <c r="S38" s="1701">
        <f t="shared" si="38"/>
        <v>8.5367200562184539E-2</v>
      </c>
      <c r="T38" s="1701">
        <f t="shared" si="38"/>
        <v>7.9342509151876559E-2</v>
      </c>
      <c r="U38" s="1701">
        <f t="shared" si="38"/>
        <v>9.9424870327071535E-2</v>
      </c>
      <c r="V38" s="1701">
        <f t="shared" si="38"/>
        <v>0.13356869529831561</v>
      </c>
      <c r="W38" s="1701">
        <f t="shared" si="38"/>
        <v>0.14921124068144354</v>
      </c>
      <c r="X38" s="1701">
        <f t="shared" si="38"/>
        <v>0.1632453207162837</v>
      </c>
      <c r="Y38" s="1701">
        <f t="shared" ref="Y38:AD38" si="39">Y37/Y$7</f>
        <v>0.16183540821766118</v>
      </c>
      <c r="Z38" s="1701">
        <f t="shared" si="39"/>
        <v>0.17051613139794985</v>
      </c>
      <c r="AA38" s="1701">
        <f t="shared" si="39"/>
        <v>0.18031475953254392</v>
      </c>
      <c r="AB38" s="1701">
        <f t="shared" si="39"/>
        <v>0.16203109524292003</v>
      </c>
      <c r="AC38" s="1701">
        <f t="shared" si="39"/>
        <v>0.13681280944473795</v>
      </c>
      <c r="AD38" s="1701">
        <f t="shared" si="39"/>
        <v>0.12330582560633295</v>
      </c>
      <c r="AE38" s="1701">
        <f>AE37/AE$7</f>
        <v>0.12461764569604557</v>
      </c>
      <c r="AF38" s="1701">
        <f>AF37/AF$7</f>
        <v>0.12555867674082036</v>
      </c>
      <c r="AG38" s="1701">
        <f>AG37/AG$7</f>
        <v>0.12500414064816501</v>
      </c>
      <c r="AH38" s="1701">
        <f>AH37/AH$7</f>
        <v>0.1242340498873675</v>
      </c>
      <c r="AI38" s="1724"/>
      <c r="AJ38" s="56"/>
      <c r="AK38" s="1745"/>
      <c r="AL38" s="56"/>
      <c r="AM38" s="1725"/>
      <c r="AN38" s="817"/>
      <c r="AO38" s="817"/>
      <c r="AP38" s="817"/>
    </row>
    <row r="39" spans="1:44">
      <c r="A39" s="817"/>
      <c r="B39" s="816"/>
      <c r="C39" s="816"/>
      <c r="D39" s="816"/>
      <c r="E39" s="816"/>
      <c r="F39" s="816"/>
      <c r="G39" s="1735"/>
      <c r="H39" s="816"/>
      <c r="I39" s="816"/>
      <c r="J39" s="816"/>
      <c r="K39" s="816"/>
      <c r="L39" s="816"/>
      <c r="M39" s="816"/>
      <c r="N39" s="816"/>
      <c r="O39" s="816"/>
      <c r="P39" s="1701"/>
      <c r="Q39" s="227"/>
      <c r="R39" s="816"/>
      <c r="S39" s="816"/>
      <c r="T39" s="816"/>
      <c r="U39" s="816"/>
      <c r="V39" s="816"/>
      <c r="W39" s="816"/>
      <c r="X39" s="816"/>
      <c r="Y39" s="816"/>
      <c r="Z39" s="816"/>
      <c r="AA39" s="1746"/>
      <c r="AB39" s="1747"/>
      <c r="AC39" s="1747"/>
      <c r="AD39" s="1747"/>
      <c r="AE39" s="1747"/>
      <c r="AF39" s="1747"/>
      <c r="AG39" s="1747"/>
      <c r="AH39" s="1747"/>
      <c r="AI39" s="1724"/>
      <c r="AJ39" s="56"/>
      <c r="AK39" s="1745"/>
      <c r="AL39" s="56"/>
      <c r="AM39" s="1725"/>
      <c r="AN39" s="817" t="s">
        <v>48</v>
      </c>
      <c r="AO39" s="817"/>
      <c r="AP39" s="817"/>
      <c r="AR39" s="1748" t="s">
        <v>17</v>
      </c>
    </row>
    <row r="40" spans="1:44">
      <c r="A40" s="817" t="s">
        <v>1091</v>
      </c>
      <c r="B40" s="1749">
        <f>'qtrP&amp;L'!F74</f>
        <v>-56.609000000000002</v>
      </c>
      <c r="C40" s="1749">
        <f>'qtrP&amp;L'!J74</f>
        <v>-63.927000000000007</v>
      </c>
      <c r="D40" s="1749">
        <f>'qtrP&amp;L'!N74</f>
        <v>-62.39800000000001</v>
      </c>
      <c r="E40" s="1749">
        <f>'qtrP&amp;L'!R74</f>
        <v>-63.865000000000009</v>
      </c>
      <c r="F40" s="1749">
        <f>'qtrP&amp;L'!V74</f>
        <v>-65.381</v>
      </c>
      <c r="G40" s="1749">
        <f>'qtrP&amp;L'!Z74</f>
        <v>-77.537000000000006</v>
      </c>
      <c r="H40" s="1749">
        <f>'qtrP&amp;L'!AD74</f>
        <v>-75.363</v>
      </c>
      <c r="I40" s="1749">
        <f>'qtrP&amp;L'!AH74</f>
        <v>-68.728000000000009</v>
      </c>
      <c r="J40" s="1749">
        <f>'qtrP&amp;L'!AL74</f>
        <v>-68.527999999999992</v>
      </c>
      <c r="K40" s="1749">
        <f>'qtrP&amp;L'!AP74</f>
        <v>-78.296999999999997</v>
      </c>
      <c r="L40" s="1749">
        <f>'qtrP&amp;L'!AT74</f>
        <v>-58.244</v>
      </c>
      <c r="M40" s="1749">
        <f>'qtrP&amp;L'!AX74</f>
        <v>-33.959999999999994</v>
      </c>
      <c r="N40" s="1749">
        <f>'qtrP&amp;L'!BB74</f>
        <v>-29.559000000000005</v>
      </c>
      <c r="O40" s="1749">
        <f>+'qtrP&amp;L'!BF74</f>
        <v>-61.817999999999998</v>
      </c>
      <c r="P40" s="1749">
        <f>+'qtrP&amp;L'!BJ74</f>
        <v>-58.265999999999998</v>
      </c>
      <c r="Q40" s="1715">
        <f>'qtrP&amp;L'!BR74</f>
        <v>-94.365000000000009</v>
      </c>
      <c r="R40" s="1715">
        <f>'qtrP&amp;L'!BV74</f>
        <v>-101.83500000000001</v>
      </c>
      <c r="S40" s="1715">
        <f>'qtrP&amp;L'!BZ74</f>
        <v>-149.49600000000001</v>
      </c>
      <c r="T40" s="1715">
        <f>'qtrP&amp;L'!CD74</f>
        <v>-180.78899999999999</v>
      </c>
      <c r="U40" s="1715">
        <f>'qtrP&amp;L'!$CH$74</f>
        <v>-237.143</v>
      </c>
      <c r="V40" s="1715">
        <f>'qtrP&amp;L'!$CL$74</f>
        <v>-207.84100000000001</v>
      </c>
      <c r="W40" s="1715">
        <f>'qtrP&amp;L'!CP74</f>
        <v>-245.93600000000001</v>
      </c>
      <c r="X40" s="1715">
        <f>'qtrP&amp;L'!CT74</f>
        <v>-316.72699999999998</v>
      </c>
      <c r="Y40" s="1715">
        <f>'qtrP&amp;L'!CX74</f>
        <v>-314.40199999999999</v>
      </c>
      <c r="Z40" s="1715">
        <f>'qtrP&amp;L'!DB74</f>
        <v>-324.04200000000003</v>
      </c>
      <c r="AA40" s="1715">
        <f>'qtrP&amp;L'!DF74</f>
        <v>-333.738</v>
      </c>
      <c r="AB40" s="1715">
        <f>'qtrP&amp;L'!DJ74</f>
        <v>-393.66300000000001</v>
      </c>
      <c r="AC40" s="1715">
        <f>'qtrP&amp;L'!DN74</f>
        <v>-405.98899999999998</v>
      </c>
      <c r="AD40" s="1715">
        <f>'qtrP&amp;L'!DR74</f>
        <v>-371</v>
      </c>
      <c r="AE40" s="1750">
        <f>-DebtPayment!N23</f>
        <v>-368</v>
      </c>
      <c r="AF40" s="1750">
        <f>-DebtPayment!O23</f>
        <v>-349.33333333333331</v>
      </c>
      <c r="AG40" s="1750">
        <f>-DebtPayment!P23</f>
        <v>-290.3125</v>
      </c>
      <c r="AH40" s="1750">
        <f>-DebtPayment!Q23</f>
        <v>-226.875</v>
      </c>
      <c r="AI40" s="1724"/>
      <c r="AJ40" s="56">
        <f>((AA40/V40)^(1/5)-1)*100</f>
        <v>9.9347231712359161</v>
      </c>
      <c r="AK40" s="97" t="s">
        <v>1084</v>
      </c>
      <c r="AL40" s="56">
        <f>((AF40/AA40)^(1/5)-1)*100</f>
        <v>0.9175907308251352</v>
      </c>
      <c r="AM40" s="1733" t="s">
        <v>1084</v>
      </c>
      <c r="AN40" s="1751" t="s">
        <v>247</v>
      </c>
      <c r="AO40" s="817"/>
      <c r="AP40" s="817"/>
      <c r="AR40" s="1752" t="s">
        <v>548</v>
      </c>
    </row>
    <row r="41" spans="1:44">
      <c r="A41" s="817" t="s">
        <v>826</v>
      </c>
      <c r="B41" s="1722">
        <f t="shared" ref="B41:AA41" si="40">B40/B$7</f>
        <v>-1.0775464551407449E-2</v>
      </c>
      <c r="C41" s="1722">
        <f>C40/C$7</f>
        <v>-1.0395956038637761E-2</v>
      </c>
      <c r="D41" s="1722">
        <f t="shared" si="40"/>
        <v>-8.9855040741350905E-3</v>
      </c>
      <c r="E41" s="1722">
        <f t="shared" si="40"/>
        <v>-8.8149377895755041E-3</v>
      </c>
      <c r="F41" s="1722">
        <f t="shared" si="40"/>
        <v>-8.9308643108559835E-3</v>
      </c>
      <c r="G41" s="1722">
        <f t="shared" si="40"/>
        <v>-9.8379267638629871E-3</v>
      </c>
      <c r="H41" s="1722">
        <f t="shared" si="40"/>
        <v>-8.7177353391192456E-3</v>
      </c>
      <c r="I41" s="1722">
        <f t="shared" si="40"/>
        <v>-8.2144349020257003E-3</v>
      </c>
      <c r="J41" s="1722">
        <f t="shared" si="40"/>
        <v>-7.7550355731475775E-3</v>
      </c>
      <c r="K41" s="1722">
        <f t="shared" si="40"/>
        <v>-1.0274339307112948E-2</v>
      </c>
      <c r="L41" s="1722">
        <f t="shared" si="40"/>
        <v>-7.1467021228689438E-3</v>
      </c>
      <c r="M41" s="1722">
        <f t="shared" si="40"/>
        <v>-4.2838583435520668E-3</v>
      </c>
      <c r="N41" s="1722">
        <f t="shared" si="40"/>
        <v>-3.5003210315070342E-3</v>
      </c>
      <c r="O41" s="1722">
        <f t="shared" si="40"/>
        <v>-6.9193385202814695E-3</v>
      </c>
      <c r="P41" s="1722">
        <f t="shared" si="40"/>
        <v>-6.1930344146750235E-3</v>
      </c>
      <c r="Q41" s="1722">
        <f t="shared" si="40"/>
        <v>-9.7293856418538549E-3</v>
      </c>
      <c r="R41" s="1722">
        <f t="shared" si="40"/>
        <v>-9.5435129742950722E-3</v>
      </c>
      <c r="S41" s="1722">
        <f t="shared" si="40"/>
        <v>-1.4821588900980016E-2</v>
      </c>
      <c r="T41" s="1722">
        <f t="shared" si="40"/>
        <v>-1.9992853889239263E-2</v>
      </c>
      <c r="U41" s="1722">
        <f t="shared" si="40"/>
        <v>-2.7470990981974138E-2</v>
      </c>
      <c r="V41" s="1722">
        <f t="shared" si="40"/>
        <v>-2.1620200726536774E-2</v>
      </c>
      <c r="W41" s="1722">
        <f t="shared" si="40"/>
        <v>-2.3729838620192709E-2</v>
      </c>
      <c r="X41" s="1722">
        <f t="shared" si="40"/>
        <v>-3.0283730637562081E-2</v>
      </c>
      <c r="Y41" s="1722">
        <f t="shared" si="40"/>
        <v>-2.9183685346922107E-2</v>
      </c>
      <c r="Z41" s="1722">
        <f t="shared" si="40"/>
        <v>-2.8290579934101969E-2</v>
      </c>
      <c r="AA41" s="1722">
        <f t="shared" si="40"/>
        <v>-2.7459591603801483E-2</v>
      </c>
      <c r="AB41" s="1722">
        <f t="shared" ref="AB41:AG41" si="41">AB40/AB$7</f>
        <v>-3.1307344866949964E-2</v>
      </c>
      <c r="AC41" s="1722">
        <f t="shared" si="41"/>
        <v>-3.2138951057542629E-2</v>
      </c>
      <c r="AD41" s="1722">
        <f t="shared" si="41"/>
        <v>-2.8221143302860976E-2</v>
      </c>
      <c r="AE41" s="1722">
        <f t="shared" si="41"/>
        <v>-2.6753094778985756E-2</v>
      </c>
      <c r="AF41" s="1722">
        <f t="shared" si="41"/>
        <v>-2.4251921869155969E-2</v>
      </c>
      <c r="AG41" s="1722">
        <f t="shared" si="41"/>
        <v>-1.9278290581839112E-2</v>
      </c>
      <c r="AH41" s="1722">
        <f t="shared" ref="AH41" si="42">AH40/AH$7</f>
        <v>-1.4434940445865699E-2</v>
      </c>
      <c r="AI41" s="1724"/>
      <c r="AJ41" s="56"/>
      <c r="AK41" s="1745"/>
      <c r="AL41" s="56"/>
      <c r="AM41" s="1725"/>
      <c r="AN41" s="1753" t="s">
        <v>248</v>
      </c>
      <c r="AO41" s="817"/>
      <c r="AP41" s="817"/>
      <c r="AR41" s="23" t="s">
        <v>1090</v>
      </c>
    </row>
    <row r="42" spans="1:44">
      <c r="A42" s="817"/>
      <c r="B42" s="816"/>
      <c r="C42" s="816"/>
      <c r="D42" s="816"/>
      <c r="E42" s="816"/>
      <c r="F42" s="816"/>
      <c r="G42" s="816"/>
      <c r="H42" s="816"/>
      <c r="I42" s="816"/>
      <c r="J42" s="816"/>
      <c r="K42" s="816"/>
      <c r="L42" s="816"/>
      <c r="M42" s="816"/>
      <c r="N42" s="816"/>
      <c r="O42" s="816"/>
      <c r="P42" s="1732"/>
      <c r="Q42" s="816"/>
      <c r="R42" s="816"/>
      <c r="S42" s="816"/>
      <c r="T42" s="816"/>
      <c r="U42" s="816"/>
      <c r="V42" s="816"/>
      <c r="W42" s="816"/>
      <c r="X42" s="816"/>
      <c r="Y42" s="816"/>
      <c r="Z42" s="816"/>
      <c r="AA42" s="816"/>
      <c r="AB42" s="816"/>
      <c r="AC42" s="816"/>
      <c r="AD42" s="816"/>
      <c r="AE42" s="816"/>
      <c r="AF42" s="816"/>
      <c r="AG42" s="816"/>
      <c r="AH42" s="816"/>
      <c r="AI42" s="1724"/>
      <c r="AJ42" s="56"/>
      <c r="AK42" s="1745"/>
      <c r="AL42" s="56"/>
      <c r="AM42" s="1725"/>
      <c r="AN42" s="1751" t="s">
        <v>1116</v>
      </c>
      <c r="AO42" s="817"/>
      <c r="AP42" s="817"/>
    </row>
    <row r="43" spans="1:44">
      <c r="A43" s="817" t="s">
        <v>1040</v>
      </c>
      <c r="B43" s="1749">
        <f>+'qtrP&amp;L'!F84</f>
        <v>12.51</v>
      </c>
      <c r="C43" s="1749">
        <f>+'qtrP&amp;L'!J84</f>
        <v>11.529</v>
      </c>
      <c r="D43" s="1749">
        <f>+'qtrP&amp;L'!N84</f>
        <v>10.079999999999998</v>
      </c>
      <c r="E43" s="1749">
        <f>+'qtrP&amp;L'!R84</f>
        <v>7.3079999999999998</v>
      </c>
      <c r="F43" s="1749">
        <f>+'qtrP&amp;L'!V84</f>
        <v>10.734999999999999</v>
      </c>
      <c r="G43" s="1749">
        <f>+'qtrP&amp;L'!Z84</f>
        <v>21.606000000000002</v>
      </c>
      <c r="H43" s="1749">
        <f>+'qtrP&amp;L'!AD84</f>
        <v>41.582999999999998</v>
      </c>
      <c r="I43" s="1749">
        <f>+'qtrP&amp;L'!AH84</f>
        <v>36.885999999999996</v>
      </c>
      <c r="J43" s="1749">
        <f>+'qtrP&amp;L'!AL84</f>
        <v>59.914999999999999</v>
      </c>
      <c r="K43" s="1749">
        <f>+'qtrP&amp;L'!AP84</f>
        <v>48.367999999999995</v>
      </c>
      <c r="L43" s="1749">
        <f>+'qtrP&amp;L'!AT84</f>
        <v>27.878</v>
      </c>
      <c r="M43" s="1749">
        <f>+'qtrP&amp;L'!AX84</f>
        <v>29.823</v>
      </c>
      <c r="N43" s="1749">
        <f>+'qtrP&amp;L'!BB84</f>
        <v>35.005000000000003</v>
      </c>
      <c r="O43" s="1715">
        <f>+'qtrP&amp;L'!BF84</f>
        <v>56.504000000000005</v>
      </c>
      <c r="P43" s="1749">
        <f>+'qtrP&amp;L'!BJ84</f>
        <v>39.730000000000004</v>
      </c>
      <c r="Q43" s="1749">
        <f>'qtrP&amp;L'!BR84</f>
        <v>66.004000000000005</v>
      </c>
      <c r="R43" s="1749">
        <f>'qtrP&amp;L'!BV84</f>
        <v>22.798999999999999</v>
      </c>
      <c r="S43" s="1749">
        <f>'qtrP&amp;L'!BZ84</f>
        <v>45.312000000000012</v>
      </c>
      <c r="T43" s="1749">
        <f>'qtrP&amp;L'!CD84</f>
        <v>32.016000000000005</v>
      </c>
      <c r="U43" s="1749">
        <f>'qtrP&amp;L'!$CH$84</f>
        <v>19.616999999999997</v>
      </c>
      <c r="V43" s="1749">
        <f>'qtrP&amp;L'!$CL$84</f>
        <v>26.873000000000001</v>
      </c>
      <c r="W43" s="1749">
        <f>'qtrP&amp;L'!CP84</f>
        <v>1.339999999999997</v>
      </c>
      <c r="X43" s="1749">
        <f>'qtrP&amp;L'!CT84</f>
        <v>11.203000000000003</v>
      </c>
      <c r="Y43" s="1749">
        <f>'qtrP&amp;L'!CX84</f>
        <v>16.794</v>
      </c>
      <c r="Z43" s="1749">
        <f>'qtrP&amp;L'!DB84</f>
        <v>6.653999999999999</v>
      </c>
      <c r="AA43" s="1749">
        <f>'qtrP&amp;L'!DF84</f>
        <v>-1.4499999999999997</v>
      </c>
      <c r="AB43" s="1749">
        <f>'qtrP&amp;L'!DJ84</f>
        <v>14.282999999999992</v>
      </c>
      <c r="AC43" s="1749">
        <f>'qtrP&amp;L'!DN84</f>
        <v>34.957999999999998</v>
      </c>
      <c r="AD43" s="1749">
        <f>'qtrP&amp;L'!DR84</f>
        <v>0</v>
      </c>
      <c r="AE43" s="1754">
        <f>AD43</f>
        <v>0</v>
      </c>
      <c r="AF43" s="1754">
        <f>AE43</f>
        <v>0</v>
      </c>
      <c r="AG43" s="1754">
        <f>AF43</f>
        <v>0</v>
      </c>
      <c r="AH43" s="1754">
        <f>AG43</f>
        <v>0</v>
      </c>
      <c r="AI43" s="1724"/>
      <c r="AJ43" s="56">
        <f>((AA43/V43)^(1/5)-1)*100</f>
        <v>-155.77124891946312</v>
      </c>
      <c r="AK43" s="97" t="s">
        <v>1084</v>
      </c>
      <c r="AL43" s="56">
        <f>((AF43/AA43)^(1/5)-1)*100</f>
        <v>-100</v>
      </c>
      <c r="AM43" s="1733" t="s">
        <v>1084</v>
      </c>
      <c r="AN43" s="1751" t="s">
        <v>147</v>
      </c>
      <c r="AO43" s="817"/>
      <c r="AP43" s="817"/>
    </row>
    <row r="44" spans="1:44">
      <c r="A44" s="817" t="s">
        <v>826</v>
      </c>
      <c r="B44" s="1722">
        <f t="shared" ref="B44:O44" si="43">+B43/B7</f>
        <v>2.3812655503207473E-3</v>
      </c>
      <c r="C44" s="1722">
        <f t="shared" si="43"/>
        <v>1.8748725447691075E-3</v>
      </c>
      <c r="D44" s="1722">
        <f t="shared" si="43"/>
        <v>1.4515510283547818E-3</v>
      </c>
      <c r="E44" s="1722">
        <f t="shared" si="43"/>
        <v>1.0086834003948607E-3</v>
      </c>
      <c r="F44" s="1722">
        <f t="shared" si="43"/>
        <v>1.4663713980673128E-3</v>
      </c>
      <c r="G44" s="1722">
        <f t="shared" si="43"/>
        <v>2.7413782537372314E-3</v>
      </c>
      <c r="H44" s="1722">
        <f t="shared" si="43"/>
        <v>4.8101799106537108E-3</v>
      </c>
      <c r="I44" s="1722">
        <f t="shared" si="43"/>
        <v>4.4086492520678611E-3</v>
      </c>
      <c r="J44" s="1722">
        <f t="shared" si="43"/>
        <v>6.7803373272988729E-3</v>
      </c>
      <c r="K44" s="1722">
        <f t="shared" si="43"/>
        <v>6.3469768140086988E-3</v>
      </c>
      <c r="L44" s="1722">
        <f t="shared" si="43"/>
        <v>3.420708773115521E-3</v>
      </c>
      <c r="M44" s="1722">
        <f t="shared" si="43"/>
        <v>3.7619996283790725E-3</v>
      </c>
      <c r="N44" s="1722">
        <f t="shared" si="43"/>
        <v>4.1452260803106914E-3</v>
      </c>
      <c r="O44" s="1722">
        <f t="shared" si="43"/>
        <v>6.3245382210680417E-3</v>
      </c>
      <c r="P44" s="1722">
        <f t="shared" ref="P44:AA44" si="44">+P43/P7</f>
        <v>4.2228616567987973E-3</v>
      </c>
      <c r="Q44" s="1722">
        <f t="shared" si="44"/>
        <v>6.8052601060236513E-3</v>
      </c>
      <c r="R44" s="1722">
        <f t="shared" si="44"/>
        <v>2.1366185722094893E-3</v>
      </c>
      <c r="S44" s="1722">
        <f t="shared" si="44"/>
        <v>4.4924000393402269E-3</v>
      </c>
      <c r="T44" s="1722">
        <f t="shared" si="44"/>
        <v>3.540542898726606E-3</v>
      </c>
      <c r="U44" s="1722">
        <f t="shared" si="44"/>
        <v>2.2724618904769976E-3</v>
      </c>
      <c r="V44" s="1722">
        <f t="shared" si="44"/>
        <v>2.7954044395678561E-3</v>
      </c>
      <c r="W44" s="1722">
        <f t="shared" si="44"/>
        <v>1.2929373394321352E-4</v>
      </c>
      <c r="X44" s="1722">
        <f t="shared" si="44"/>
        <v>1.0711705485563533E-3</v>
      </c>
      <c r="Y44" s="1722">
        <f t="shared" si="44"/>
        <v>1.5588667111411821E-3</v>
      </c>
      <c r="Z44" s="1722">
        <f t="shared" si="44"/>
        <v>5.8092938224524738E-4</v>
      </c>
      <c r="AA44" s="1722">
        <f t="shared" si="44"/>
        <v>-1.1930438794956566E-4</v>
      </c>
      <c r="AB44" s="1722">
        <f t="shared" ref="AB44:AG44" si="45">+AB43/AB7</f>
        <v>1.1359025530330413E-3</v>
      </c>
      <c r="AC44" s="1722">
        <f t="shared" si="45"/>
        <v>2.7673494874727524E-3</v>
      </c>
      <c r="AD44" s="1722">
        <f t="shared" si="45"/>
        <v>0</v>
      </c>
      <c r="AE44" s="1722">
        <f t="shared" si="45"/>
        <v>0</v>
      </c>
      <c r="AF44" s="1722">
        <f t="shared" si="45"/>
        <v>0</v>
      </c>
      <c r="AG44" s="1722">
        <f t="shared" si="45"/>
        <v>0</v>
      </c>
      <c r="AH44" s="1722">
        <f t="shared" ref="AH44" si="46">+AH43/AH7</f>
        <v>0</v>
      </c>
      <c r="AI44" s="1724"/>
      <c r="AJ44" s="56"/>
      <c r="AK44" s="1745"/>
      <c r="AL44" s="56"/>
      <c r="AM44" s="1725"/>
      <c r="AN44" s="817"/>
      <c r="AO44" s="817"/>
      <c r="AP44" s="817"/>
    </row>
    <row r="45" spans="1:44">
      <c r="A45" s="817"/>
      <c r="B45" s="816"/>
      <c r="C45" s="816"/>
      <c r="D45" s="816"/>
      <c r="E45" s="816"/>
      <c r="F45" s="816"/>
      <c r="G45" s="816"/>
      <c r="H45" s="816"/>
      <c r="I45" s="816"/>
      <c r="J45" s="816"/>
      <c r="K45" s="816"/>
      <c r="L45" s="816"/>
      <c r="M45" s="816"/>
      <c r="N45" s="816"/>
      <c r="O45" s="816"/>
      <c r="P45" s="816"/>
      <c r="Q45" s="816"/>
      <c r="R45" s="816"/>
      <c r="S45" s="816"/>
      <c r="T45" s="816"/>
      <c r="U45" s="816"/>
      <c r="V45" s="816"/>
      <c r="W45" s="816"/>
      <c r="X45" s="816"/>
      <c r="Y45" s="816"/>
      <c r="Z45" s="816"/>
      <c r="AA45" s="816"/>
      <c r="AB45" s="816"/>
      <c r="AC45" s="816"/>
      <c r="AD45" s="816"/>
      <c r="AE45" s="816"/>
      <c r="AF45" s="816"/>
      <c r="AG45" s="816"/>
      <c r="AH45" s="816"/>
      <c r="AI45" s="1724"/>
      <c r="AJ45" s="56"/>
      <c r="AK45" s="1745"/>
      <c r="AL45" s="56"/>
      <c r="AM45" s="1725"/>
      <c r="AN45" s="817"/>
      <c r="AO45" s="817"/>
      <c r="AP45" s="817"/>
    </row>
    <row r="46" spans="1:44" hidden="1" outlineLevel="1">
      <c r="A46" s="817" t="s">
        <v>737</v>
      </c>
      <c r="B46" s="1749">
        <f>+'qtrP&amp;L'!F94</f>
        <v>0</v>
      </c>
      <c r="C46" s="1749">
        <f>+'qtrP&amp;L'!J94</f>
        <v>0</v>
      </c>
      <c r="D46" s="1749">
        <f>+'qtrP&amp;L'!N94</f>
        <v>0</v>
      </c>
      <c r="E46" s="1747">
        <f>+'qtrP&amp;L'!R94</f>
        <v>0</v>
      </c>
      <c r="F46" s="1747">
        <f>+'qtrP&amp;L'!V94</f>
        <v>0</v>
      </c>
      <c r="G46" s="1747">
        <f>+'qtrP&amp;L'!Z94</f>
        <v>-22.373999999999999</v>
      </c>
      <c r="H46" s="1747">
        <f>+'qtrP&amp;L'!AD94</f>
        <v>-45.646000000000001</v>
      </c>
      <c r="I46" s="1747">
        <f>+'qtrP&amp;L'!AH94</f>
        <v>-55.117000000000004</v>
      </c>
      <c r="J46" s="1747">
        <f>+'qtrP&amp;L'!AL94</f>
        <v>-62.436</v>
      </c>
      <c r="K46" s="816">
        <f>+'qtrP&amp;L'!AP94</f>
        <v>0</v>
      </c>
      <c r="L46" s="816">
        <f>+'qtrP&amp;L'!AT94</f>
        <v>0</v>
      </c>
      <c r="M46" s="816">
        <f>+'qtrP&amp;L'!AX94</f>
        <v>0</v>
      </c>
      <c r="N46" s="816">
        <f>+'qtrP&amp;L'!BB94</f>
        <v>6.0629999999999997</v>
      </c>
      <c r="O46" s="816">
        <f>+'qtrP&amp;L'!BF94</f>
        <v>0</v>
      </c>
      <c r="P46" s="816">
        <f>+'qtrP&amp;L'!BJ94</f>
        <v>0</v>
      </c>
      <c r="Q46" s="816">
        <v>0</v>
      </c>
      <c r="R46" s="816">
        <v>0</v>
      </c>
      <c r="S46" s="1728">
        <v>0</v>
      </c>
      <c r="T46" s="1728">
        <v>0</v>
      </c>
      <c r="U46" s="1728">
        <v>0</v>
      </c>
      <c r="V46" s="1728">
        <v>0</v>
      </c>
      <c r="W46" s="1728">
        <v>0</v>
      </c>
      <c r="X46" s="1728">
        <v>0</v>
      </c>
      <c r="Y46" s="1728">
        <v>0</v>
      </c>
      <c r="Z46" s="1728">
        <v>0</v>
      </c>
      <c r="AA46" s="1728">
        <v>0</v>
      </c>
      <c r="AB46" s="1728">
        <v>0</v>
      </c>
      <c r="AC46" s="1728">
        <v>0</v>
      </c>
      <c r="AD46" s="1728">
        <v>0</v>
      </c>
      <c r="AE46" s="1728">
        <v>0</v>
      </c>
      <c r="AF46" s="1728">
        <v>0</v>
      </c>
      <c r="AG46" s="1728">
        <v>0</v>
      </c>
      <c r="AH46" s="1728">
        <v>0</v>
      </c>
      <c r="AI46" s="1724"/>
      <c r="AJ46" s="56"/>
      <c r="AK46" s="1755"/>
      <c r="AL46" s="56"/>
      <c r="AM46" s="1733"/>
      <c r="AN46" s="817"/>
      <c r="AO46" s="817"/>
      <c r="AP46" s="817"/>
    </row>
    <row r="47" spans="1:44" hidden="1" outlineLevel="1">
      <c r="A47" s="817"/>
      <c r="B47" s="816"/>
      <c r="C47" s="816"/>
      <c r="D47" s="816"/>
      <c r="E47" s="816"/>
      <c r="F47" s="816"/>
      <c r="G47" s="816"/>
      <c r="H47" s="816"/>
      <c r="I47" s="816"/>
      <c r="J47" s="816"/>
      <c r="K47" s="816"/>
      <c r="L47" s="816"/>
      <c r="M47" s="816"/>
      <c r="N47" s="816"/>
      <c r="O47" s="816"/>
      <c r="P47" s="816"/>
      <c r="Q47" s="816"/>
      <c r="R47" s="816"/>
      <c r="S47" s="816"/>
      <c r="T47" s="816"/>
      <c r="U47" s="816"/>
      <c r="V47" s="816"/>
      <c r="W47" s="816"/>
      <c r="X47" s="816"/>
      <c r="Y47" s="816"/>
      <c r="Z47" s="816"/>
      <c r="AA47" s="816"/>
      <c r="AB47" s="816"/>
      <c r="AC47" s="816"/>
      <c r="AD47" s="816"/>
      <c r="AE47" s="816"/>
      <c r="AF47" s="816"/>
      <c r="AG47" s="816"/>
      <c r="AH47" s="816"/>
      <c r="AI47" s="1724"/>
      <c r="AJ47" s="56"/>
      <c r="AK47" s="1745"/>
      <c r="AL47" s="56"/>
      <c r="AM47" s="1725"/>
      <c r="AN47" s="817"/>
      <c r="AO47" s="817"/>
      <c r="AP47" s="817"/>
    </row>
    <row r="48" spans="1:44" hidden="1" outlineLevel="1">
      <c r="A48" s="817" t="s">
        <v>444</v>
      </c>
      <c r="B48" s="1749">
        <f>+'qtrP&amp;L'!F104</f>
        <v>0</v>
      </c>
      <c r="C48" s="1749">
        <f>+'qtrP&amp;L'!J104</f>
        <v>0</v>
      </c>
      <c r="D48" s="1749">
        <f>+'qtrP&amp;L'!N104</f>
        <v>9.1170000000000009</v>
      </c>
      <c r="E48" s="816">
        <f>+'qtrP&amp;L'!R104</f>
        <v>0</v>
      </c>
      <c r="F48" s="816">
        <f>+'qtrP&amp;L'!V104</f>
        <v>0</v>
      </c>
      <c r="G48" s="816">
        <f>+'qtrP&amp;L'!Z104</f>
        <v>649.46699999999998</v>
      </c>
      <c r="H48" s="816">
        <f>+'qtrP&amp;L'!AD104</f>
        <v>118.56699999999999</v>
      </c>
      <c r="I48" s="816">
        <f>+'qtrP&amp;L'!AH104</f>
        <v>8.6</v>
      </c>
      <c r="J48" s="816">
        <f>+'qtrP&amp;L'!AL104</f>
        <v>0</v>
      </c>
      <c r="K48" s="816">
        <f>+'qtrP&amp;L'!AP104</f>
        <v>11.002000000000001</v>
      </c>
      <c r="L48" s="816">
        <f>+'qtrP&amp;L'!AT104</f>
        <v>0</v>
      </c>
      <c r="M48" s="816">
        <f>+'qtrP&amp;L'!AX104</f>
        <v>62.101999999999997</v>
      </c>
      <c r="N48" s="816">
        <f>+'qtrP&amp;L'!BB104</f>
        <v>6.1239999999999997</v>
      </c>
      <c r="O48" s="816">
        <f>+'qtrP&amp;L'!BF104</f>
        <v>208.042</v>
      </c>
      <c r="P48" s="816">
        <f>+'qtrP&amp;L'!BJ104</f>
        <v>17.617000000000001</v>
      </c>
      <c r="Q48" s="816">
        <v>0</v>
      </c>
      <c r="R48" s="816">
        <v>0</v>
      </c>
      <c r="S48" s="1728">
        <v>0</v>
      </c>
      <c r="T48" s="1728">
        <v>0</v>
      </c>
      <c r="U48" s="1728">
        <v>0</v>
      </c>
      <c r="V48" s="1728">
        <v>0</v>
      </c>
      <c r="W48" s="1728">
        <v>0</v>
      </c>
      <c r="X48" s="1728">
        <v>0</v>
      </c>
      <c r="Y48" s="1728">
        <v>0</v>
      </c>
      <c r="Z48" s="1728">
        <v>0</v>
      </c>
      <c r="AA48" s="1728">
        <v>0</v>
      </c>
      <c r="AB48" s="1728">
        <v>0</v>
      </c>
      <c r="AC48" s="1728">
        <v>0</v>
      </c>
      <c r="AD48" s="1728">
        <v>0</v>
      </c>
      <c r="AE48" s="1728">
        <v>0</v>
      </c>
      <c r="AF48" s="1728">
        <v>0</v>
      </c>
      <c r="AG48" s="1728">
        <v>0</v>
      </c>
      <c r="AH48" s="1728">
        <v>0</v>
      </c>
      <c r="AI48" s="1724"/>
      <c r="AJ48" s="56"/>
      <c r="AK48" s="1755"/>
      <c r="AL48" s="56"/>
      <c r="AM48" s="1733"/>
      <c r="AN48" s="817"/>
      <c r="AO48" s="817"/>
      <c r="AP48" s="817"/>
    </row>
    <row r="49" spans="1:44" hidden="1" outlineLevel="1">
      <c r="A49" s="817"/>
      <c r="B49" s="816"/>
      <c r="C49" s="816"/>
      <c r="D49" s="816"/>
      <c r="E49" s="816"/>
      <c r="F49" s="816"/>
      <c r="G49" s="816"/>
      <c r="H49" s="816"/>
      <c r="I49" s="816"/>
      <c r="J49" s="816"/>
      <c r="K49" s="816"/>
      <c r="L49" s="816"/>
      <c r="M49" s="816"/>
      <c r="N49" s="816"/>
      <c r="O49" s="816"/>
      <c r="P49" s="816"/>
      <c r="Q49" s="816"/>
      <c r="R49" s="816"/>
      <c r="S49" s="816"/>
      <c r="T49" s="816"/>
      <c r="U49" s="816"/>
      <c r="V49" s="816"/>
      <c r="W49" s="816"/>
      <c r="X49" s="816"/>
      <c r="Y49" s="816"/>
      <c r="Z49" s="816"/>
      <c r="AA49" s="816"/>
      <c r="AB49" s="816"/>
      <c r="AC49" s="816"/>
      <c r="AD49" s="816"/>
      <c r="AE49" s="816"/>
      <c r="AF49" s="816"/>
      <c r="AG49" s="816"/>
      <c r="AH49" s="816"/>
      <c r="AI49" s="1724"/>
      <c r="AJ49" s="56"/>
      <c r="AK49" s="1745"/>
      <c r="AL49" s="56"/>
      <c r="AM49" s="1725"/>
      <c r="AN49" s="817"/>
      <c r="AO49" s="817"/>
      <c r="AP49" s="817"/>
    </row>
    <row r="50" spans="1:44" collapsed="1">
      <c r="A50" s="817" t="s">
        <v>445</v>
      </c>
      <c r="B50" s="816">
        <f t="shared" ref="B50:O50" si="47">+B37+B40+B43</f>
        <v>653.43799999999953</v>
      </c>
      <c r="C50" s="816">
        <f t="shared" si="47"/>
        <v>660.30199999999934</v>
      </c>
      <c r="D50" s="816">
        <f t="shared" si="47"/>
        <v>736.38000000000068</v>
      </c>
      <c r="E50" s="816">
        <f t="shared" si="47"/>
        <v>642.38200000000006</v>
      </c>
      <c r="F50" s="816">
        <f t="shared" si="47"/>
        <v>744.3430000000003</v>
      </c>
      <c r="G50" s="816">
        <f t="shared" si="47"/>
        <v>556.10400000000038</v>
      </c>
      <c r="H50" s="816">
        <f t="shared" si="47"/>
        <v>614.28699999999947</v>
      </c>
      <c r="I50" s="816">
        <f t="shared" si="47"/>
        <v>567.45000000000118</v>
      </c>
      <c r="J50" s="816">
        <f t="shared" si="47"/>
        <v>634.19500000000085</v>
      </c>
      <c r="K50" s="816">
        <f>+K37+K40+K43</f>
        <v>743.02600000000007</v>
      </c>
      <c r="L50" s="816">
        <f t="shared" si="47"/>
        <v>781.8159999999998</v>
      </c>
      <c r="M50" s="816">
        <f t="shared" si="47"/>
        <v>683.87100000000066</v>
      </c>
      <c r="N50" s="816">
        <f t="shared" si="47"/>
        <v>877.1800000000004</v>
      </c>
      <c r="O50" s="816">
        <f t="shared" si="47"/>
        <v>957.76799999999992</v>
      </c>
      <c r="P50" s="816">
        <f t="shared" ref="P50:U50" si="48">+P37+P40+P43</f>
        <v>1008.272</v>
      </c>
      <c r="Q50" s="816">
        <f>+Q37+Q40+Q43</f>
        <v>957.42</v>
      </c>
      <c r="R50" s="816">
        <f>+R37+R40+R43</f>
        <v>1097.0489999999986</v>
      </c>
      <c r="S50" s="816">
        <f t="shared" si="48"/>
        <v>756.86100000000022</v>
      </c>
      <c r="T50" s="816">
        <f t="shared" si="48"/>
        <v>568.69600000000025</v>
      </c>
      <c r="U50" s="816">
        <f t="shared" si="48"/>
        <v>640.75800000000118</v>
      </c>
      <c r="V50" s="816">
        <f t="shared" ref="V50:AB50" si="49">+V37+V40+V43</f>
        <v>1103.065000000001</v>
      </c>
      <c r="W50" s="816">
        <f t="shared" si="49"/>
        <v>1301.8289999999993</v>
      </c>
      <c r="X50" s="816">
        <f t="shared" si="49"/>
        <v>1401.8020000000024</v>
      </c>
      <c r="Y50" s="816">
        <f t="shared" si="49"/>
        <v>1445.8789999999974</v>
      </c>
      <c r="Z50" s="816">
        <f t="shared" si="49"/>
        <v>1635.7140000000018</v>
      </c>
      <c r="AA50" s="816">
        <f t="shared" si="49"/>
        <v>1856.3189999999986</v>
      </c>
      <c r="AB50" s="816">
        <f t="shared" si="49"/>
        <v>1658.0220000000011</v>
      </c>
      <c r="AC50" s="816">
        <f t="shared" ref="AC50:AH50" si="50">+AC37+AC40+AC43</f>
        <v>1357.2300000000009</v>
      </c>
      <c r="AD50" s="816">
        <f t="shared" si="50"/>
        <v>1249.9995749999216</v>
      </c>
      <c r="AE50" s="816">
        <f t="shared" si="50"/>
        <v>1346.1677998377486</v>
      </c>
      <c r="AF50" s="816">
        <f t="shared" si="50"/>
        <v>1459.2586335811532</v>
      </c>
      <c r="AG50" s="816">
        <f t="shared" si="50"/>
        <v>1592.129536437983</v>
      </c>
      <c r="AH50" s="816">
        <f t="shared" si="50"/>
        <v>1725.7205215332474</v>
      </c>
      <c r="AI50" s="1724"/>
      <c r="AJ50" s="56">
        <f>((AA50/V50)^(1/5)-1)*100</f>
        <v>10.971204768942577</v>
      </c>
      <c r="AK50" s="97" t="s">
        <v>1084</v>
      </c>
      <c r="AL50" s="56">
        <f>((AF50/AA50)^(1/5)-1)*100</f>
        <v>-4.6993347354476693</v>
      </c>
      <c r="AM50" s="1720" t="s">
        <v>1084</v>
      </c>
      <c r="AN50" s="817"/>
      <c r="AO50" s="817"/>
      <c r="AP50" s="817"/>
    </row>
    <row r="51" spans="1:44">
      <c r="A51" s="817" t="s">
        <v>731</v>
      </c>
      <c r="B51" s="1701">
        <f t="shared" ref="B51:N51" si="51">B50/B$7</f>
        <v>0.12438124689612211</v>
      </c>
      <c r="C51" s="1701">
        <f>C50/C$7</f>
        <v>0.10737983268766849</v>
      </c>
      <c r="D51" s="1701">
        <f t="shared" si="51"/>
        <v>0.10604098673213248</v>
      </c>
      <c r="E51" s="1701">
        <f t="shared" si="51"/>
        <v>8.8664485510735011E-2</v>
      </c>
      <c r="F51" s="1701">
        <f t="shared" si="51"/>
        <v>0.10167520126237711</v>
      </c>
      <c r="G51" s="1701">
        <f t="shared" si="51"/>
        <v>7.0558706489692216E-2</v>
      </c>
      <c r="H51" s="1701">
        <f t="shared" si="51"/>
        <v>7.1058629410473834E-2</v>
      </c>
      <c r="I51" s="1701">
        <f t="shared" si="51"/>
        <v>6.7822155237377682E-2</v>
      </c>
      <c r="J51" s="1701">
        <f t="shared" si="51"/>
        <v>7.1769273659122321E-2</v>
      </c>
      <c r="K51" s="1701">
        <f t="shared" si="51"/>
        <v>9.7501835804780598E-2</v>
      </c>
      <c r="L51" s="1701">
        <f t="shared" si="51"/>
        <v>9.5931015501904138E-2</v>
      </c>
      <c r="M51" s="1701">
        <f t="shared" si="51"/>
        <v>8.6266386609637771E-2</v>
      </c>
      <c r="N51" s="1701">
        <f t="shared" si="51"/>
        <v>0.1038740012320221</v>
      </c>
      <c r="O51" s="1701">
        <f t="shared" ref="O51:AA51" si="52">O50/O$7</f>
        <v>0.10720374350339613</v>
      </c>
      <c r="P51" s="1701">
        <f t="shared" si="52"/>
        <v>0.10716821465954786</v>
      </c>
      <c r="Q51" s="1701">
        <f t="shared" si="52"/>
        <v>9.8713595095890602E-2</v>
      </c>
      <c r="R51" s="1701">
        <f t="shared" si="52"/>
        <v>0.10281044203797732</v>
      </c>
      <c r="S51" s="1701">
        <f t="shared" si="52"/>
        <v>7.5038011700544749E-2</v>
      </c>
      <c r="T51" s="1701">
        <f t="shared" si="52"/>
        <v>6.2890198161363889E-2</v>
      </c>
      <c r="U51" s="1701">
        <f t="shared" si="52"/>
        <v>7.4226341235574395E-2</v>
      </c>
      <c r="V51" s="1701">
        <f t="shared" si="52"/>
        <v>0.1147438990113467</v>
      </c>
      <c r="W51" s="1701">
        <f t="shared" si="52"/>
        <v>0.12561069579519402</v>
      </c>
      <c r="X51" s="1701">
        <f t="shared" si="52"/>
        <v>0.13403276062727798</v>
      </c>
      <c r="Y51" s="1701">
        <f t="shared" si="52"/>
        <v>0.13421058958188026</v>
      </c>
      <c r="Z51" s="1701">
        <f t="shared" si="52"/>
        <v>0.14280648084609313</v>
      </c>
      <c r="AA51" s="1701">
        <f t="shared" si="52"/>
        <v>0.15273586354079285</v>
      </c>
      <c r="AB51" s="1701">
        <f t="shared" ref="AB51:AG51" si="53">AB50/AB$7</f>
        <v>0.13185965292900309</v>
      </c>
      <c r="AC51" s="1701">
        <f t="shared" si="53"/>
        <v>0.10744120787466807</v>
      </c>
      <c r="AD51" s="1701">
        <f t="shared" si="53"/>
        <v>9.5084682303471973E-2</v>
      </c>
      <c r="AE51" s="1701">
        <f t="shared" si="53"/>
        <v>9.7864550917059812E-2</v>
      </c>
      <c r="AF51" s="1701">
        <f t="shared" si="53"/>
        <v>0.10130675487166439</v>
      </c>
      <c r="AG51" s="1701">
        <f t="shared" si="53"/>
        <v>0.1057258500663259</v>
      </c>
      <c r="AH51" s="1701">
        <f t="shared" ref="AH51" si="54">AH50/AH$7</f>
        <v>0.1097991094415018</v>
      </c>
      <c r="AI51" s="1724"/>
      <c r="AJ51" s="56"/>
      <c r="AK51" s="1745"/>
      <c r="AL51" s="56"/>
      <c r="AM51" s="1725"/>
      <c r="AN51" s="817"/>
      <c r="AO51" s="817"/>
      <c r="AP51" s="817"/>
    </row>
    <row r="52" spans="1:44">
      <c r="A52" s="817"/>
      <c r="B52" s="816"/>
      <c r="C52" s="816"/>
      <c r="D52" s="816"/>
      <c r="E52" s="816"/>
      <c r="F52" s="816"/>
      <c r="G52" s="816"/>
      <c r="H52" s="816"/>
      <c r="I52" s="816"/>
      <c r="J52" s="816"/>
      <c r="K52" s="816"/>
      <c r="L52" s="816"/>
      <c r="M52" s="816"/>
      <c r="N52" s="816"/>
      <c r="O52" s="816"/>
      <c r="P52" s="816"/>
      <c r="Q52" s="816"/>
      <c r="R52" s="816"/>
      <c r="S52" s="816"/>
      <c r="T52" s="816"/>
      <c r="U52" s="816"/>
      <c r="V52" s="816"/>
      <c r="W52" s="816"/>
      <c r="X52" s="816"/>
      <c r="Y52" s="816"/>
      <c r="Z52" s="816"/>
      <c r="AA52" s="816"/>
      <c r="AB52" s="816"/>
      <c r="AC52" s="816"/>
      <c r="AD52" s="816"/>
      <c r="AE52" s="816"/>
      <c r="AF52" s="816"/>
      <c r="AG52" s="816"/>
      <c r="AH52" s="816"/>
      <c r="AI52" s="1724"/>
      <c r="AJ52" s="56"/>
      <c r="AK52" s="1745"/>
      <c r="AL52" s="56"/>
      <c r="AM52" s="1725"/>
      <c r="AN52" s="817"/>
      <c r="AO52" s="817"/>
      <c r="AP52" s="817"/>
    </row>
    <row r="53" spans="1:44">
      <c r="A53" s="817" t="s">
        <v>446</v>
      </c>
      <c r="B53" s="1715">
        <f>'qtrP&amp;L'!F124</f>
        <v>255</v>
      </c>
      <c r="C53" s="1715">
        <f>'qtrP&amp;L'!J124</f>
        <v>257</v>
      </c>
      <c r="D53" s="1715">
        <f>'qtrP&amp;L'!N124</f>
        <v>290</v>
      </c>
      <c r="E53" s="1715">
        <f>'qtrP&amp;L'!R124</f>
        <v>254</v>
      </c>
      <c r="F53" s="1715">
        <f>'qtrP&amp;L'!V124</f>
        <v>296</v>
      </c>
      <c r="G53" s="1715">
        <f>'qtrP&amp;L'!Z124</f>
        <v>223</v>
      </c>
      <c r="H53" s="1715">
        <f>'qtrP&amp;L'!AD124</f>
        <v>241</v>
      </c>
      <c r="I53" s="1715">
        <f>'qtrP&amp;L'!AH124</f>
        <v>227.1</v>
      </c>
      <c r="J53" s="1715">
        <f>'qtrP&amp;L'!AL124</f>
        <v>253.8</v>
      </c>
      <c r="K53" s="1715">
        <f>'qtrP&amp;L'!AP124</f>
        <v>295</v>
      </c>
      <c r="L53" s="1715">
        <f>'qtrP&amp;L'!AT124</f>
        <v>311</v>
      </c>
      <c r="M53" s="1715">
        <f>'qtrP&amp;L'!AX124</f>
        <v>272</v>
      </c>
      <c r="N53" s="1715">
        <f>'qtrP&amp;L'!BB124</f>
        <v>349</v>
      </c>
      <c r="O53" s="1715">
        <f>+'qtrP&amp;L'!BF124</f>
        <v>374</v>
      </c>
      <c r="P53" s="1715">
        <f>+'qtrP&amp;L'!BJ124</f>
        <v>371</v>
      </c>
      <c r="Q53" s="1715">
        <f>'qtrP&amp;L'!BR124</f>
        <v>291</v>
      </c>
      <c r="R53" s="1715">
        <f>'qtrP&amp;L'!BV124</f>
        <v>422</v>
      </c>
      <c r="S53" s="1715">
        <f>'qtrP&amp;L'!BZ124</f>
        <v>294.89999999999998</v>
      </c>
      <c r="T53" s="1715">
        <f>'qtrP&amp;L'!CD124</f>
        <v>215.41200000000001</v>
      </c>
      <c r="U53" s="1715">
        <f>'qtrP&amp;L'!$CH$124</f>
        <v>238.99200000000002</v>
      </c>
      <c r="V53" s="1715">
        <f>'qtrP&amp;L'!$CL$124</f>
        <v>418.58500000000004</v>
      </c>
      <c r="W53" s="1715">
        <f>'qtrP&amp;L'!CP124</f>
        <v>484.48500000000001</v>
      </c>
      <c r="X53" s="1715">
        <f>'qtrP&amp;L'!CT124</f>
        <v>535.18730000000005</v>
      </c>
      <c r="Y53" s="1715">
        <f>'qtrP&amp;L'!CX124</f>
        <v>542.851</v>
      </c>
      <c r="Z53" s="1715">
        <f>'qtrP&amp;L'!DB124</f>
        <v>593.67099999999994</v>
      </c>
      <c r="AA53" s="1715">
        <f>'qtrP&amp;L'!DF124</f>
        <v>672.31</v>
      </c>
      <c r="AB53" s="1715">
        <f>'qtrP&amp;L'!DJ124</f>
        <v>567.92700000000002</v>
      </c>
      <c r="AC53" s="1715">
        <f>'qtrP&amp;L'!DN124</f>
        <v>437.88</v>
      </c>
      <c r="AD53" s="1715">
        <f>'qtrP&amp;L'!DR124</f>
        <v>337.49988524997912</v>
      </c>
      <c r="AE53" s="1715">
        <f>+AE54*AE50</f>
        <v>363.46530595619214</v>
      </c>
      <c r="AF53" s="1715">
        <f>+AF54*AF50</f>
        <v>393.99983106691138</v>
      </c>
      <c r="AG53" s="1715">
        <f>+AG54*AG50</f>
        <v>429.87497483825541</v>
      </c>
      <c r="AH53" s="1715">
        <f>+AH54*AH50</f>
        <v>465.9445408139768</v>
      </c>
      <c r="AI53" s="1724"/>
      <c r="AJ53" s="56"/>
      <c r="AK53" s="1745"/>
      <c r="AL53" s="56"/>
      <c r="AM53" s="1725"/>
      <c r="AN53" s="817"/>
      <c r="AO53" s="817"/>
      <c r="AP53" s="817"/>
    </row>
    <row r="54" spans="1:44">
      <c r="A54" s="817" t="s">
        <v>732</v>
      </c>
      <c r="B54" s="1756">
        <f t="shared" ref="B54:O54" si="55">B53/B50</f>
        <v>0.39024360383081513</v>
      </c>
      <c r="C54" s="1756">
        <f>C53/C50</f>
        <v>0.38921584365941686</v>
      </c>
      <c r="D54" s="1756">
        <f t="shared" si="55"/>
        <v>0.39381840897362741</v>
      </c>
      <c r="E54" s="1756">
        <f t="shared" si="55"/>
        <v>0.39540335812647298</v>
      </c>
      <c r="F54" s="1756">
        <f t="shared" si="55"/>
        <v>0.39766612972782694</v>
      </c>
      <c r="G54" s="1756">
        <f t="shared" si="55"/>
        <v>0.40100412872412328</v>
      </c>
      <c r="H54" s="1756">
        <f t="shared" si="55"/>
        <v>0.39232476025050217</v>
      </c>
      <c r="I54" s="1756">
        <f t="shared" si="55"/>
        <v>0.40021147237641996</v>
      </c>
      <c r="J54" s="1756">
        <f t="shared" si="55"/>
        <v>0.40019236985469719</v>
      </c>
      <c r="K54" s="1756">
        <f t="shared" si="55"/>
        <v>0.39702513774753506</v>
      </c>
      <c r="L54" s="1756">
        <f t="shared" si="55"/>
        <v>0.39779180779109163</v>
      </c>
      <c r="M54" s="1756">
        <f t="shared" si="55"/>
        <v>0.39773583029547932</v>
      </c>
      <c r="N54" s="1756">
        <f t="shared" si="55"/>
        <v>0.39786588841514836</v>
      </c>
      <c r="O54" s="1756">
        <f t="shared" si="55"/>
        <v>0.39049122543246384</v>
      </c>
      <c r="P54" s="1756">
        <f t="shared" ref="P54:AD54" si="56">P53/P50</f>
        <v>0.3679562657695542</v>
      </c>
      <c r="Q54" s="1756">
        <f t="shared" si="56"/>
        <v>0.30394184370495708</v>
      </c>
      <c r="R54" s="1756">
        <f t="shared" si="56"/>
        <v>0.38466832383968314</v>
      </c>
      <c r="S54" s="1756">
        <f t="shared" si="56"/>
        <v>0.38963561340853853</v>
      </c>
      <c r="T54" s="1756">
        <f t="shared" si="56"/>
        <v>0.37878233713618509</v>
      </c>
      <c r="U54" s="1756">
        <f t="shared" si="56"/>
        <v>0.37298324796568999</v>
      </c>
      <c r="V54" s="1756">
        <f t="shared" si="56"/>
        <v>0.37947446433347054</v>
      </c>
      <c r="W54" s="1756">
        <f t="shared" si="56"/>
        <v>0.37215717271623255</v>
      </c>
      <c r="X54" s="1756">
        <f t="shared" si="56"/>
        <v>0.38178523072445264</v>
      </c>
      <c r="Y54" s="1756">
        <f t="shared" si="56"/>
        <v>0.37544704639876569</v>
      </c>
      <c r="Z54" s="1756">
        <f t="shared" si="56"/>
        <v>0.3629430328284769</v>
      </c>
      <c r="AA54" s="1756">
        <f t="shared" si="56"/>
        <v>0.36217374276727249</v>
      </c>
      <c r="AB54" s="1756">
        <f t="shared" si="56"/>
        <v>0.34253284938318046</v>
      </c>
      <c r="AC54" s="1756">
        <f t="shared" si="56"/>
        <v>0.32262770495789195</v>
      </c>
      <c r="AD54" s="1756">
        <f t="shared" si="56"/>
        <v>0.27000000000000024</v>
      </c>
      <c r="AE54" s="1757">
        <v>0.27</v>
      </c>
      <c r="AF54" s="1757">
        <v>0.27</v>
      </c>
      <c r="AG54" s="1757">
        <v>0.27</v>
      </c>
      <c r="AH54" s="1757">
        <v>0.27</v>
      </c>
      <c r="AI54" s="1724"/>
      <c r="AJ54" s="56"/>
      <c r="AK54" s="1745"/>
      <c r="AL54" s="56"/>
      <c r="AM54" s="1725"/>
      <c r="AN54" s="817"/>
      <c r="AO54" s="817"/>
      <c r="AP54" s="817"/>
    </row>
    <row r="55" spans="1:44">
      <c r="A55" s="817"/>
      <c r="B55" s="816"/>
      <c r="C55" s="816"/>
      <c r="D55" s="816"/>
      <c r="E55" s="816"/>
      <c r="F55" s="816"/>
      <c r="G55" s="816"/>
      <c r="H55" s="816"/>
      <c r="I55" s="816"/>
      <c r="J55" s="816"/>
      <c r="K55" s="816"/>
      <c r="L55" s="816"/>
      <c r="M55" s="816"/>
      <c r="N55" s="816"/>
      <c r="O55" s="816"/>
      <c r="P55" s="816"/>
      <c r="Q55" s="816"/>
      <c r="R55" s="816"/>
      <c r="S55" s="816"/>
      <c r="T55" s="816"/>
      <c r="U55" s="816"/>
      <c r="V55" s="816"/>
      <c r="W55" s="816"/>
      <c r="X55" s="816"/>
      <c r="Y55" s="816"/>
      <c r="Z55" s="816"/>
      <c r="AA55" s="816"/>
      <c r="AB55" s="816"/>
      <c r="AC55" s="816"/>
      <c r="AD55" s="816"/>
      <c r="AE55" s="816"/>
      <c r="AF55" s="816"/>
      <c r="AG55" s="816"/>
      <c r="AH55" s="816"/>
      <c r="AI55" s="1724"/>
      <c r="AJ55" s="56"/>
      <c r="AK55" s="1755"/>
      <c r="AL55" s="56"/>
      <c r="AM55" s="1733"/>
      <c r="AN55" s="817"/>
      <c r="AO55" s="817"/>
      <c r="AP55" s="817"/>
    </row>
    <row r="56" spans="1:44">
      <c r="A56" s="817" t="s">
        <v>138</v>
      </c>
      <c r="B56" s="816">
        <f t="shared" ref="B56:P56" si="57">+B50-B53</f>
        <v>398.43799999999953</v>
      </c>
      <c r="C56" s="816">
        <f t="shared" si="57"/>
        <v>403.30199999999934</v>
      </c>
      <c r="D56" s="816">
        <f t="shared" si="57"/>
        <v>446.38000000000068</v>
      </c>
      <c r="E56" s="816">
        <f t="shared" si="57"/>
        <v>388.38200000000006</v>
      </c>
      <c r="F56" s="816">
        <f t="shared" si="57"/>
        <v>448.3430000000003</v>
      </c>
      <c r="G56" s="816">
        <f t="shared" si="57"/>
        <v>333.10400000000038</v>
      </c>
      <c r="H56" s="816">
        <f t="shared" si="57"/>
        <v>373.28699999999947</v>
      </c>
      <c r="I56" s="816">
        <f t="shared" si="57"/>
        <v>340.35000000000116</v>
      </c>
      <c r="J56" s="816">
        <f t="shared" si="57"/>
        <v>380.39500000000083</v>
      </c>
      <c r="K56" s="816">
        <f>+K50-K53</f>
        <v>448.02600000000007</v>
      </c>
      <c r="L56" s="816">
        <f t="shared" si="57"/>
        <v>470.8159999999998</v>
      </c>
      <c r="M56" s="816">
        <f t="shared" si="57"/>
        <v>411.87100000000066</v>
      </c>
      <c r="N56" s="816">
        <f t="shared" si="57"/>
        <v>528.1800000000004</v>
      </c>
      <c r="O56" s="816">
        <f t="shared" si="57"/>
        <v>583.76799999999992</v>
      </c>
      <c r="P56" s="816">
        <f t="shared" si="57"/>
        <v>637.27200000000005</v>
      </c>
      <c r="Q56" s="816">
        <f t="shared" ref="Q56:V56" si="58">+Q50-Q53</f>
        <v>666.42</v>
      </c>
      <c r="R56" s="816">
        <f t="shared" si="58"/>
        <v>675.04899999999861</v>
      </c>
      <c r="S56" s="1732">
        <f t="shared" si="58"/>
        <v>461.96100000000024</v>
      </c>
      <c r="T56" s="816">
        <f t="shared" si="58"/>
        <v>353.28400000000022</v>
      </c>
      <c r="U56" s="816">
        <f t="shared" si="58"/>
        <v>401.76600000000116</v>
      </c>
      <c r="V56" s="816">
        <f t="shared" si="58"/>
        <v>684.48000000000093</v>
      </c>
      <c r="W56" s="816">
        <f t="shared" ref="W56:AB56" si="59">+W50-W53</f>
        <v>817.34399999999926</v>
      </c>
      <c r="X56" s="816">
        <f t="shared" si="59"/>
        <v>866.61470000000236</v>
      </c>
      <c r="Y56" s="816">
        <f>+Y50-Y53</f>
        <v>903.02799999999741</v>
      </c>
      <c r="Z56" s="816">
        <f>+Z50-Z53</f>
        <v>1042.0430000000019</v>
      </c>
      <c r="AA56" s="816">
        <f>+AA50-AA53</f>
        <v>1184.0089999999987</v>
      </c>
      <c r="AB56" s="816">
        <f t="shared" si="59"/>
        <v>1090.0950000000012</v>
      </c>
      <c r="AC56" s="816">
        <f t="shared" ref="AC56:AH56" si="60">+AC50-AC53</f>
        <v>919.35000000000093</v>
      </c>
      <c r="AD56" s="816">
        <f t="shared" si="60"/>
        <v>912.49968974994249</v>
      </c>
      <c r="AE56" s="816">
        <f t="shared" si="60"/>
        <v>982.70249388155639</v>
      </c>
      <c r="AF56" s="816">
        <f t="shared" si="60"/>
        <v>1065.2588025142418</v>
      </c>
      <c r="AG56" s="816">
        <f t="shared" si="60"/>
        <v>1162.2545615997276</v>
      </c>
      <c r="AH56" s="816">
        <f t="shared" si="60"/>
        <v>1259.7759807192706</v>
      </c>
      <c r="AI56" s="1724"/>
      <c r="AJ56" s="56">
        <f>((AA56/V56)^(1/5)-1)*100</f>
        <v>11.583209281679551</v>
      </c>
      <c r="AK56" s="97" t="s">
        <v>1084</v>
      </c>
      <c r="AL56" s="56">
        <f>((AF56/AA56)^(1/5)-1)*100</f>
        <v>-2.0915837397588288</v>
      </c>
      <c r="AM56" s="1725" t="s">
        <v>1084</v>
      </c>
      <c r="AN56" s="817"/>
      <c r="AO56" s="817"/>
      <c r="AP56" s="817"/>
    </row>
    <row r="57" spans="1:44">
      <c r="A57" s="1758" t="s">
        <v>1133</v>
      </c>
      <c r="B57" s="1701">
        <f t="shared" ref="B57:N57" si="61">B56/B$7</f>
        <v>7.5842260858409019E-2</v>
      </c>
      <c r="C57" s="1701">
        <f>C56/C$7</f>
        <v>6.5585900516130571E-2</v>
      </c>
      <c r="D57" s="1701">
        <f t="shared" si="61"/>
        <v>6.4280094051290537E-2</v>
      </c>
      <c r="E57" s="1701">
        <f t="shared" si="61"/>
        <v>5.3606250193234381E-2</v>
      </c>
      <c r="F57" s="1701">
        <f t="shared" si="61"/>
        <v>6.1242417487069746E-2</v>
      </c>
      <c r="G57" s="1701">
        <f t="shared" si="61"/>
        <v>4.2264373869892048E-2</v>
      </c>
      <c r="H57" s="1701">
        <f t="shared" si="61"/>
        <v>4.3180569663280405E-2</v>
      </c>
      <c r="I57" s="1701">
        <f t="shared" si="61"/>
        <v>4.0678950630084629E-2</v>
      </c>
      <c r="J57" s="1701">
        <f t="shared" si="61"/>
        <v>4.304775795072787E-2</v>
      </c>
      <c r="K57" s="1701">
        <f t="shared" si="61"/>
        <v>5.879115601375004E-2</v>
      </c>
      <c r="L57" s="1701">
        <f t="shared" si="61"/>
        <v>5.7770443422166459E-2</v>
      </c>
      <c r="M57" s="1701">
        <f t="shared" si="61"/>
        <v>5.1955153704862672E-2</v>
      </c>
      <c r="N57" s="1701">
        <f t="shared" si="61"/>
        <v>6.2546079448607406E-2</v>
      </c>
      <c r="O57" s="1701">
        <f t="shared" ref="O57:AA57" si="62">O56/O$7</f>
        <v>6.5341622331807445E-2</v>
      </c>
      <c r="P57" s="1701">
        <f t="shared" si="62"/>
        <v>6.7734998584230627E-2</v>
      </c>
      <c r="Q57" s="1701">
        <f t="shared" si="62"/>
        <v>6.8710403003701001E-2</v>
      </c>
      <c r="R57" s="1701">
        <f>R56/R$7</f>
        <v>6.3262521626011689E-2</v>
      </c>
      <c r="S57" s="1701">
        <f t="shared" si="62"/>
        <v>4.5800529982645909E-2</v>
      </c>
      <c r="T57" s="1701">
        <f t="shared" si="62"/>
        <v>3.9068501918844666E-2</v>
      </c>
      <c r="U57" s="1701">
        <f t="shared" si="62"/>
        <v>4.6541159396920224E-2</v>
      </c>
      <c r="V57" s="1701">
        <f t="shared" si="62"/>
        <v>7.1201519398482072E-2</v>
      </c>
      <c r="W57" s="1701">
        <f t="shared" si="62"/>
        <v>7.8863774385135865E-2</v>
      </c>
      <c r="X57" s="1701">
        <f t="shared" si="62"/>
        <v>8.2861032186557326E-2</v>
      </c>
      <c r="Y57" s="1701">
        <f t="shared" si="62"/>
        <v>8.382162012792635E-2</v>
      </c>
      <c r="Z57" s="1701">
        <f t="shared" si="62"/>
        <v>9.097586358025031E-2</v>
      </c>
      <c r="AA57" s="1701">
        <f t="shared" si="62"/>
        <v>9.7418944187432507E-2</v>
      </c>
      <c r="AB57" s="1701">
        <f t="shared" ref="AB57:AG57" si="63">AB56/AB$7</f>
        <v>8.6693390292554434E-2</v>
      </c>
      <c r="AC57" s="1701">
        <f t="shared" si="63"/>
        <v>7.2777697560160115E-2</v>
      </c>
      <c r="AD57" s="1701">
        <f t="shared" si="63"/>
        <v>6.9411818081534529E-2</v>
      </c>
      <c r="AE57" s="1701">
        <f t="shared" si="63"/>
        <v>7.1441122169453655E-2</v>
      </c>
      <c r="AF57" s="1701">
        <f t="shared" si="63"/>
        <v>7.3953931056314995E-2</v>
      </c>
      <c r="AG57" s="1701">
        <f t="shared" si="63"/>
        <v>7.7179870548417906E-2</v>
      </c>
      <c r="AH57" s="1701">
        <f t="shared" ref="AH57" si="64">AH56/AH$7</f>
        <v>8.0153349892296319E-2</v>
      </c>
      <c r="AI57" s="1724"/>
      <c r="AJ57" s="56"/>
      <c r="AK57" s="1745"/>
      <c r="AL57" s="56"/>
      <c r="AM57" s="1725"/>
      <c r="AN57" s="817"/>
      <c r="AO57" s="817"/>
      <c r="AP57" s="817"/>
    </row>
    <row r="58" spans="1:44">
      <c r="A58" s="1758"/>
      <c r="B58" s="816"/>
      <c r="C58" s="816"/>
      <c r="D58" s="816"/>
      <c r="E58" s="816"/>
      <c r="F58" s="816"/>
      <c r="G58" s="816"/>
      <c r="H58" s="816"/>
      <c r="I58" s="816"/>
      <c r="J58" s="816"/>
      <c r="K58" s="816"/>
      <c r="L58" s="816"/>
      <c r="M58" s="816"/>
      <c r="N58" s="816"/>
      <c r="O58" s="816"/>
      <c r="P58" s="816"/>
      <c r="Q58" s="816"/>
      <c r="R58" s="1735"/>
      <c r="S58" s="1735"/>
      <c r="T58" s="1735"/>
      <c r="U58" s="1735"/>
      <c r="V58" s="1735"/>
      <c r="W58" s="1735"/>
      <c r="X58" s="1735"/>
      <c r="Y58" s="1735"/>
      <c r="Z58" s="1735"/>
      <c r="AA58" s="1735"/>
      <c r="AB58" s="1735"/>
      <c r="AC58" s="1735"/>
      <c r="AD58" s="1735"/>
      <c r="AE58" s="1735"/>
      <c r="AF58" s="1735"/>
      <c r="AG58" s="1735"/>
      <c r="AH58" s="1735"/>
      <c r="AI58" s="1724"/>
      <c r="AJ58" s="56"/>
      <c r="AK58" s="1745"/>
      <c r="AL58" s="56"/>
      <c r="AM58" s="1725"/>
      <c r="AN58" s="817"/>
      <c r="AO58" s="1759"/>
      <c r="AP58" s="1759"/>
      <c r="AQ58" s="139"/>
      <c r="AR58" s="139"/>
    </row>
    <row r="59" spans="1:44">
      <c r="A59" s="817" t="s">
        <v>139</v>
      </c>
      <c r="B59" s="1760">
        <f>B56/B65</f>
        <v>0.73368246216850164</v>
      </c>
      <c r="C59" s="1760">
        <f>C56/C65</f>
        <v>0.73947314862181324</v>
      </c>
      <c r="D59" s="1760">
        <f>D56/D65</f>
        <v>0.81813466469455254</v>
      </c>
      <c r="E59" s="1760">
        <f>E56/E65</f>
        <v>0.71282240465742019</v>
      </c>
      <c r="F59" s="1760">
        <f>F56/F65</f>
        <v>0.83350390359573334</v>
      </c>
      <c r="G59" s="1760">
        <f t="shared" ref="G59:O59" si="65">G56/G65</f>
        <v>0.61966323539944257</v>
      </c>
      <c r="H59" s="1760">
        <f t="shared" si="65"/>
        <v>0.88230935320666559</v>
      </c>
      <c r="I59" s="1760">
        <f t="shared" si="65"/>
        <v>0.74832459719974931</v>
      </c>
      <c r="J59" s="1760">
        <f t="shared" si="65"/>
        <v>0.81812062060985813</v>
      </c>
      <c r="K59" s="1760">
        <f t="shared" si="65"/>
        <v>0.81336676173549338</v>
      </c>
      <c r="L59" s="1760">
        <f t="shared" si="65"/>
        <v>0.87723913829275801</v>
      </c>
      <c r="M59" s="1760">
        <f t="shared" si="65"/>
        <v>0.78303364677163745</v>
      </c>
      <c r="N59" s="1760">
        <f t="shared" si="65"/>
        <v>0.99036133056951747</v>
      </c>
      <c r="O59" s="1760">
        <f t="shared" si="65"/>
        <v>1.1103929576152061</v>
      </c>
      <c r="P59" s="1760">
        <f t="shared" ref="P59:U59" si="66">P56/P65</f>
        <v>1.331475217343159</v>
      </c>
      <c r="Q59" s="1760">
        <f t="shared" si="66"/>
        <v>1.6217123834368368</v>
      </c>
      <c r="R59" s="1760">
        <f>R56/R65</f>
        <v>1.6771445394895355</v>
      </c>
      <c r="S59" s="1760">
        <f t="shared" si="66"/>
        <v>1.2149514767377645</v>
      </c>
      <c r="T59" s="1760">
        <f t="shared" si="66"/>
        <v>1.0473849766232541</v>
      </c>
      <c r="U59" s="1760">
        <f t="shared" si="66"/>
        <v>1.2295258060073788</v>
      </c>
      <c r="V59" s="1760">
        <f t="shared" ref="V59:AC59" si="67">V56/V65</f>
        <v>2.0562735449449367</v>
      </c>
      <c r="W59" s="1760">
        <f t="shared" si="67"/>
        <v>2.6005131067809009</v>
      </c>
      <c r="X59" s="1760">
        <f t="shared" si="67"/>
        <v>2.9201658529024335</v>
      </c>
      <c r="Y59" s="1760">
        <f>Y56/Y65</f>
        <v>3.0502035094830262</v>
      </c>
      <c r="Z59" s="1760">
        <f>Z56/Z65</f>
        <v>3.4972580212109077</v>
      </c>
      <c r="AA59" s="1760">
        <f>AA56/AA65</f>
        <v>3.9894065887042314</v>
      </c>
      <c r="AB59" s="1760">
        <f>AB56/AB65</f>
        <v>3.7451943723910506</v>
      </c>
      <c r="AC59" s="1760">
        <f t="shared" si="67"/>
        <v>3.2021943573667739</v>
      </c>
      <c r="AD59" s="1760">
        <f>AD56/AD65</f>
        <v>3.232948413640186</v>
      </c>
      <c r="AE59" s="1760">
        <f>AE56/AE65</f>
        <v>3.4992373669372929</v>
      </c>
      <c r="AF59" s="1760">
        <f>AF56/AF65</f>
        <v>3.7990039658315498</v>
      </c>
      <c r="AG59" s="1760">
        <f>AG56/AG65</f>
        <v>4.1486161209525827</v>
      </c>
      <c r="AH59" s="1760">
        <f>AH56/AH65</f>
        <v>4.5007307919538428</v>
      </c>
      <c r="AI59" s="1761"/>
      <c r="AJ59" s="56">
        <f>((AA59/V59)^(1/5)-1)*100</f>
        <v>14.173544138639006</v>
      </c>
      <c r="AK59" s="97" t="s">
        <v>1084</v>
      </c>
      <c r="AL59" s="56">
        <f>((AF59/AA59)^(1/5)-1)*100</f>
        <v>-0.97330397807324776</v>
      </c>
      <c r="AM59" s="1720" t="s">
        <v>1084</v>
      </c>
      <c r="AN59" s="1762"/>
      <c r="AO59" s="1763"/>
      <c r="AP59" s="817"/>
      <c r="AQ59" s="2612"/>
      <c r="AR59" s="139"/>
    </row>
    <row r="60" spans="1:44">
      <c r="A60" s="817" t="s">
        <v>1134</v>
      </c>
      <c r="B60" s="816"/>
      <c r="C60" s="1764">
        <f>C59/B59-1</f>
        <v>7.892633055717857E-3</v>
      </c>
      <c r="D60" s="1764">
        <f>D59/C59-1</f>
        <v>0.10637508098751658</v>
      </c>
      <c r="E60" s="1722">
        <f t="shared" ref="E60:O60" si="68">E59/D59-1</f>
        <v>-0.12872240302450733</v>
      </c>
      <c r="F60" s="1722">
        <f>F59/E59-1</f>
        <v>0.16930093407531466</v>
      </c>
      <c r="G60" s="1722">
        <f t="shared" si="68"/>
        <v>-0.25655628878735037</v>
      </c>
      <c r="H60" s="1722">
        <f t="shared" si="68"/>
        <v>0.4238529943412217</v>
      </c>
      <c r="I60" s="1722">
        <f t="shared" si="68"/>
        <v>-0.15185689182593609</v>
      </c>
      <c r="J60" s="1722">
        <f t="shared" si="68"/>
        <v>9.3269717006881026E-2</v>
      </c>
      <c r="K60" s="1722">
        <f t="shared" si="68"/>
        <v>-5.8107065811653369E-3</v>
      </c>
      <c r="L60" s="1722">
        <f t="shared" si="68"/>
        <v>7.8528382965858068E-2</v>
      </c>
      <c r="M60" s="1722">
        <f t="shared" si="68"/>
        <v>-0.10738860979739107</v>
      </c>
      <c r="N60" s="1722">
        <f t="shared" si="68"/>
        <v>0.26477493611247671</v>
      </c>
      <c r="O60" s="1764">
        <f t="shared" si="68"/>
        <v>0.12119983216293706</v>
      </c>
      <c r="P60" s="1764">
        <f t="shared" ref="P60:AA60" si="69">P59/O59-1</f>
        <v>0.19910272143905883</v>
      </c>
      <c r="Q60" s="1764">
        <f t="shared" si="69"/>
        <v>0.21798165096367339</v>
      </c>
      <c r="R60" s="1764">
        <f t="shared" si="69"/>
        <v>3.4181249781926937E-2</v>
      </c>
      <c r="S60" s="1764">
        <f t="shared" si="69"/>
        <v>-0.27558332145448028</v>
      </c>
      <c r="T60" s="1764">
        <f t="shared" si="69"/>
        <v>-0.13792032301112056</v>
      </c>
      <c r="U60" s="1764">
        <f t="shared" si="69"/>
        <v>0.17390055562124118</v>
      </c>
      <c r="V60" s="1764">
        <f t="shared" si="69"/>
        <v>0.67241186390568219</v>
      </c>
      <c r="W60" s="1764">
        <f t="shared" si="69"/>
        <v>0.26467274413654818</v>
      </c>
      <c r="X60" s="1764">
        <f t="shared" si="69"/>
        <v>0.12291910595952404</v>
      </c>
      <c r="Y60" s="1764">
        <f t="shared" si="69"/>
        <v>4.4530914725732007E-2</v>
      </c>
      <c r="Z60" s="1764">
        <f t="shared" si="69"/>
        <v>0.14656547025075461</v>
      </c>
      <c r="AA60" s="1764">
        <f t="shared" si="69"/>
        <v>0.14072412287238678</v>
      </c>
      <c r="AB60" s="1764">
        <f t="shared" ref="AB60:AH60" si="70">AB59/AA59-1</f>
        <v>-6.1215173455784977E-2</v>
      </c>
      <c r="AC60" s="1764">
        <f t="shared" si="70"/>
        <v>-0.1449858034144188</v>
      </c>
      <c r="AD60" s="1764">
        <f t="shared" si="70"/>
        <v>9.6040567314914504E-3</v>
      </c>
      <c r="AE60" s="1764">
        <f t="shared" si="70"/>
        <v>8.2367213832921893E-2</v>
      </c>
      <c r="AF60" s="1764">
        <f t="shared" si="70"/>
        <v>8.5666265948865172E-2</v>
      </c>
      <c r="AG60" s="1764">
        <f t="shared" si="70"/>
        <v>9.202732038857131E-2</v>
      </c>
      <c r="AH60" s="1764">
        <f t="shared" si="70"/>
        <v>8.4875211573060438E-2</v>
      </c>
      <c r="AI60" s="1761"/>
      <c r="AJ60" s="56"/>
      <c r="AK60" s="1745"/>
      <c r="AL60" s="56"/>
      <c r="AM60" s="1725"/>
      <c r="AN60" s="1762"/>
      <c r="AO60" s="1763"/>
      <c r="AP60" s="1763"/>
      <c r="AQ60" s="139"/>
      <c r="AR60" s="139"/>
    </row>
    <row r="61" spans="1:44">
      <c r="A61" s="1758"/>
      <c r="B61" s="816"/>
      <c r="C61" s="816"/>
      <c r="D61" s="816"/>
      <c r="E61" s="816"/>
      <c r="F61" s="816"/>
      <c r="G61" s="816"/>
      <c r="H61" s="816"/>
      <c r="I61" s="816"/>
      <c r="J61" s="816"/>
      <c r="K61" s="816"/>
      <c r="L61" s="1765"/>
      <c r="M61" s="1765"/>
      <c r="N61" s="1765"/>
      <c r="O61" s="1765"/>
      <c r="P61" s="1765"/>
      <c r="Q61" s="1765"/>
      <c r="R61" s="1742"/>
      <c r="S61" s="1742"/>
      <c r="T61" s="1742"/>
      <c r="U61" s="1742"/>
      <c r="V61" s="1742"/>
      <c r="W61" s="1742"/>
      <c r="X61" s="1742"/>
      <c r="Y61" s="1742"/>
      <c r="Z61" s="1760"/>
      <c r="AA61" s="1742"/>
      <c r="AB61" s="1742"/>
      <c r="AC61" s="1742"/>
      <c r="AD61" s="1742"/>
      <c r="AE61" s="1742"/>
      <c r="AF61" s="1199"/>
      <c r="AG61" s="1742"/>
      <c r="AH61" s="1742"/>
      <c r="AI61" s="1724"/>
      <c r="AJ61" s="56"/>
      <c r="AK61" s="1745"/>
      <c r="AL61" s="56"/>
      <c r="AM61" s="1725"/>
      <c r="AN61" s="1762"/>
      <c r="AO61" s="1763"/>
      <c r="AP61" s="1763"/>
      <c r="AQ61" s="139"/>
      <c r="AR61" s="139"/>
    </row>
    <row r="62" spans="1:44" ht="14.25" hidden="1" outlineLevel="1">
      <c r="A62" s="1766" t="s">
        <v>1271</v>
      </c>
      <c r="B62" s="1760">
        <f t="shared" ref="B62:H62" si="71">B56/B65</f>
        <v>0.73368246216850164</v>
      </c>
      <c r="C62" s="1760">
        <f t="shared" si="71"/>
        <v>0.73947314862181324</v>
      </c>
      <c r="D62" s="1760">
        <f t="shared" si="71"/>
        <v>0.81813466469455254</v>
      </c>
      <c r="E62" s="1760">
        <f t="shared" si="71"/>
        <v>0.71282240465742019</v>
      </c>
      <c r="F62" s="1760">
        <f t="shared" si="71"/>
        <v>0.83350390359573334</v>
      </c>
      <c r="G62" s="1760">
        <f t="shared" si="71"/>
        <v>0.61966323539944257</v>
      </c>
      <c r="H62" s="1760">
        <f t="shared" si="71"/>
        <v>0.88230935320666559</v>
      </c>
      <c r="I62" s="1767">
        <f>I56/I65</f>
        <v>0.74832459719974931</v>
      </c>
      <c r="J62" s="1767">
        <f t="shared" ref="J62:Q62" si="72">J56/J65</f>
        <v>0.81812062060985813</v>
      </c>
      <c r="K62" s="1767">
        <f t="shared" si="72"/>
        <v>0.81336676173549338</v>
      </c>
      <c r="L62" s="1767">
        <f t="shared" si="72"/>
        <v>0.87723913829275801</v>
      </c>
      <c r="M62" s="1767">
        <f t="shared" si="72"/>
        <v>0.78303364677163745</v>
      </c>
      <c r="N62" s="1767">
        <f t="shared" si="72"/>
        <v>0.99036133056951747</v>
      </c>
      <c r="O62" s="1767">
        <f t="shared" si="72"/>
        <v>1.1103929576152061</v>
      </c>
      <c r="P62" s="1767">
        <f t="shared" si="72"/>
        <v>1.331475217343159</v>
      </c>
      <c r="Q62" s="1767">
        <f t="shared" si="72"/>
        <v>1.6217123834368368</v>
      </c>
      <c r="R62" s="1767">
        <f t="shared" ref="R62:W62" si="73">(R56+(R28*(1-R54)))/R65</f>
        <v>1.7275942184037452</v>
      </c>
      <c r="S62" s="1767">
        <f t="shared" si="73"/>
        <v>1.2679247422810365</v>
      </c>
      <c r="T62" s="1767">
        <f t="shared" si="73"/>
        <v>1.0973475307530345</v>
      </c>
      <c r="U62" s="1767">
        <f t="shared" si="73"/>
        <v>1.279219450562963</v>
      </c>
      <c r="V62" s="1767">
        <f t="shared" si="73"/>
        <v>2.11003518881434</v>
      </c>
      <c r="W62" s="1767">
        <f t="shared" si="73"/>
        <v>2.6626219843008774</v>
      </c>
      <c r="X62" s="1767">
        <f t="shared" ref="X62:AC62" si="74">(X56+(X28*(1-X54)))/X65</f>
        <v>2.9855267207806144</v>
      </c>
      <c r="Y62" s="1767">
        <f t="shared" si="74"/>
        <v>3.118384496966629</v>
      </c>
      <c r="Z62" s="1767">
        <f>(Z56+(Z28*(1-Z54)))/Z65</f>
        <v>3.5707264940804264</v>
      </c>
      <c r="AA62" s="1767">
        <f>(AA56+(AA28*(1-AA54)))/AA65</f>
        <v>4.0677655247698024</v>
      </c>
      <c r="AB62" s="1767">
        <f t="shared" si="74"/>
        <v>3.8304030231617507</v>
      </c>
      <c r="AC62" s="1767">
        <f t="shared" si="74"/>
        <v>3.2916068208166132</v>
      </c>
      <c r="AD62" s="1767">
        <f>(AD56+(AD28*(1-AD54)))/AD65</f>
        <v>3.3349505974405771</v>
      </c>
      <c r="AE62" s="1767">
        <f>(AE56+(AE28*(1-AE54)))/AE65</f>
        <v>3.6065051365478511</v>
      </c>
      <c r="AF62" s="1767">
        <f>(AF56+(AF28*(1-AF54)))/AF65</f>
        <v>3.9115039853211915</v>
      </c>
      <c r="AG62" s="1767">
        <f>(AG56+(AG28*(1-AG54)))/AG65</f>
        <v>4.2663342414978418</v>
      </c>
      <c r="AH62" s="1767">
        <f>(AH56+(AH28*(1-AH54)))/AH65</f>
        <v>4.6237025760105723</v>
      </c>
      <c r="AI62" s="1761"/>
      <c r="AJ62" s="56">
        <f>((V62/AA62)^(1/5)-1)*100</f>
        <v>-12.302592023206616</v>
      </c>
      <c r="AK62" s="97" t="s">
        <v>1084</v>
      </c>
      <c r="AL62" s="56">
        <f>((AF62/AA62)^(1/5)-1)*100</f>
        <v>-0.78037685645747645</v>
      </c>
      <c r="AM62" s="1720" t="s">
        <v>1084</v>
      </c>
      <c r="AN62" s="1762"/>
      <c r="AO62" s="1763"/>
      <c r="AP62" s="817"/>
      <c r="AQ62" s="139"/>
      <c r="AR62" s="139"/>
    </row>
    <row r="63" spans="1:44" hidden="1" outlineLevel="1">
      <c r="A63" s="1766" t="s">
        <v>1134</v>
      </c>
      <c r="B63" s="816"/>
      <c r="C63" s="1764">
        <f t="shared" ref="C63:AA63" si="75">C62/B62-1</f>
        <v>7.892633055717857E-3</v>
      </c>
      <c r="D63" s="1764">
        <f t="shared" si="75"/>
        <v>0.10637508098751658</v>
      </c>
      <c r="E63" s="1722">
        <f t="shared" si="75"/>
        <v>-0.12872240302450733</v>
      </c>
      <c r="F63" s="1722">
        <f t="shared" si="75"/>
        <v>0.16930093407531466</v>
      </c>
      <c r="G63" s="1722">
        <f t="shared" si="75"/>
        <v>-0.25655628878735037</v>
      </c>
      <c r="H63" s="1722">
        <f t="shared" si="75"/>
        <v>0.4238529943412217</v>
      </c>
      <c r="I63" s="1768">
        <f t="shared" si="75"/>
        <v>-0.15185689182593609</v>
      </c>
      <c r="J63" s="1768">
        <f t="shared" si="75"/>
        <v>9.3269717006881026E-2</v>
      </c>
      <c r="K63" s="1768">
        <f t="shared" si="75"/>
        <v>-5.8107065811653369E-3</v>
      </c>
      <c r="L63" s="1768">
        <f t="shared" si="75"/>
        <v>7.8528382965858068E-2</v>
      </c>
      <c r="M63" s="1768">
        <f t="shared" si="75"/>
        <v>-0.10738860979739107</v>
      </c>
      <c r="N63" s="1768">
        <f t="shared" si="75"/>
        <v>0.26477493611247671</v>
      </c>
      <c r="O63" s="1769">
        <f t="shared" si="75"/>
        <v>0.12119983216293706</v>
      </c>
      <c r="P63" s="1769">
        <f t="shared" si="75"/>
        <v>0.19910272143905883</v>
      </c>
      <c r="Q63" s="1769">
        <f t="shared" si="75"/>
        <v>0.21798165096367339</v>
      </c>
      <c r="R63" s="1738">
        <f t="shared" si="75"/>
        <v>6.5290143954205293E-2</v>
      </c>
      <c r="S63" s="1769">
        <f t="shared" si="75"/>
        <v>-0.26607490996782335</v>
      </c>
      <c r="T63" s="1769">
        <f t="shared" si="75"/>
        <v>-0.13453259948309571</v>
      </c>
      <c r="U63" s="1769">
        <f t="shared" si="75"/>
        <v>0.16573775828804416</v>
      </c>
      <c r="V63" s="1769">
        <f t="shared" si="75"/>
        <v>0.64947084558927637</v>
      </c>
      <c r="W63" s="1769">
        <f t="shared" si="75"/>
        <v>0.26188510903320239</v>
      </c>
      <c r="X63" s="1769">
        <f t="shared" si="75"/>
        <v>0.12127321804733082</v>
      </c>
      <c r="Y63" s="1769">
        <f t="shared" si="75"/>
        <v>4.4500615339083893E-2</v>
      </c>
      <c r="Z63" s="1769">
        <f t="shared" si="75"/>
        <v>0.14505651806369868</v>
      </c>
      <c r="AA63" s="1769">
        <f t="shared" si="75"/>
        <v>0.13919829242406845</v>
      </c>
      <c r="AB63" s="1769">
        <f t="shared" ref="AB63:AH63" si="76">AB62/AA62-1</f>
        <v>-5.8352060895025204E-2</v>
      </c>
      <c r="AC63" s="1769">
        <f t="shared" si="76"/>
        <v>-0.14066305793075429</v>
      </c>
      <c r="AD63" s="1769">
        <f t="shared" si="76"/>
        <v>1.316796901435846E-2</v>
      </c>
      <c r="AE63" s="1769">
        <f t="shared" si="76"/>
        <v>8.1426855113140073E-2</v>
      </c>
      <c r="AF63" s="1769">
        <f t="shared" si="76"/>
        <v>8.4569087586351177E-2</v>
      </c>
      <c r="AG63" s="1769">
        <f t="shared" si="76"/>
        <v>9.0714532698479067E-2</v>
      </c>
      <c r="AH63" s="1769">
        <f t="shared" si="76"/>
        <v>8.3764729691517159E-2</v>
      </c>
      <c r="AI63" s="1761"/>
      <c r="AJ63" s="56"/>
      <c r="AK63" s="1745"/>
      <c r="AL63" s="56"/>
      <c r="AM63" s="1725"/>
      <c r="AN63" s="1762"/>
      <c r="AO63" s="1763"/>
      <c r="AP63" s="1763"/>
      <c r="AQ63" s="139"/>
      <c r="AR63" s="139"/>
    </row>
    <row r="64" spans="1:44" hidden="1" outlineLevel="1">
      <c r="A64" s="1758"/>
      <c r="B64" s="816"/>
      <c r="C64" s="816"/>
      <c r="D64" s="816"/>
      <c r="E64" s="816"/>
      <c r="F64" s="816"/>
      <c r="G64" s="816"/>
      <c r="H64" s="816"/>
      <c r="I64" s="816"/>
      <c r="J64" s="816"/>
      <c r="K64" s="816"/>
      <c r="L64" s="816"/>
      <c r="M64" s="816"/>
      <c r="N64" s="816"/>
      <c r="O64" s="816"/>
      <c r="P64" s="816"/>
      <c r="Q64" s="816"/>
      <c r="R64" s="816"/>
      <c r="S64" s="816"/>
      <c r="T64" s="816"/>
      <c r="U64" s="816"/>
      <c r="V64" s="816"/>
      <c r="W64" s="816"/>
      <c r="X64" s="816"/>
      <c r="Y64" s="816"/>
      <c r="Z64" s="816"/>
      <c r="AA64" s="816"/>
      <c r="AB64" s="816"/>
      <c r="AC64" s="816"/>
      <c r="AD64" s="816"/>
      <c r="AE64" s="816"/>
      <c r="AF64" s="816"/>
      <c r="AG64" s="816"/>
      <c r="AH64" s="816"/>
      <c r="AI64" s="1724"/>
      <c r="AJ64" s="56"/>
      <c r="AK64" s="1745"/>
      <c r="AL64" s="56"/>
      <c r="AM64" s="1725"/>
      <c r="AN64" s="1762"/>
      <c r="AO64" s="1763"/>
      <c r="AP64" s="1763"/>
      <c r="AQ64" s="139"/>
      <c r="AR64" s="139"/>
    </row>
    <row r="65" spans="1:42" collapsed="1">
      <c r="A65" s="817" t="s">
        <v>645</v>
      </c>
      <c r="B65" s="1770">
        <f>'qtrP&amp;L'!F164</f>
        <v>543.06600000000003</v>
      </c>
      <c r="C65" s="1770">
        <f>'qtrP&amp;L'!J164</f>
        <v>545.39099999999996</v>
      </c>
      <c r="D65" s="1770">
        <f>'qtrP&amp;L'!N164</f>
        <v>545.60699999999997</v>
      </c>
      <c r="E65" s="1770">
        <f>'qtrP&amp;L'!R164</f>
        <v>544.851</v>
      </c>
      <c r="F65" s="1770">
        <f>'qtrP&amp;L'!V164</f>
        <v>537.90149999999994</v>
      </c>
      <c r="G65" s="1770">
        <f>'qtrP&amp;L'!Z164</f>
        <v>537.55649999999991</v>
      </c>
      <c r="H65" s="1770">
        <f>'qtrP&amp;L'!AD164</f>
        <v>423.0795</v>
      </c>
      <c r="I65" s="1770">
        <f>'qtrP&amp;L'!AH164</f>
        <v>454.81599999999997</v>
      </c>
      <c r="J65" s="1770">
        <f>'qtrP&amp;L'!AL164</f>
        <v>464.96199999999999</v>
      </c>
      <c r="K65" s="1770">
        <f>'qtrP&amp;L'!AP164</f>
        <v>550.82899999999995</v>
      </c>
      <c r="L65" s="1770">
        <f>'qtrP&amp;L'!AT164</f>
        <v>536.702</v>
      </c>
      <c r="M65" s="1770">
        <f>'qtrP&amp;L'!AX164</f>
        <v>525.99400000000003</v>
      </c>
      <c r="N65" s="1770">
        <f>'qtrP&amp;L'!BB164</f>
        <v>533.32050000000004</v>
      </c>
      <c r="O65" s="1770">
        <f>+'qtrP&amp;L'!BF164</f>
        <v>525.73099999999999</v>
      </c>
      <c r="P65" s="1770">
        <f>+'qtrP&amp;L'!BJ164</f>
        <v>478.62099999999998</v>
      </c>
      <c r="Q65" s="1770">
        <f>'qtrP&amp;L'!BR164</f>
        <v>410.93599999999998</v>
      </c>
      <c r="R65" s="1770">
        <f>'qtrP&amp;L'!BV164</f>
        <v>402.49900000000002</v>
      </c>
      <c r="S65" s="1770">
        <f>'qtrP&amp;L'!BZ164</f>
        <v>380.23</v>
      </c>
      <c r="T65" s="1770">
        <f>'qtrP&amp;L'!CD164</f>
        <v>337.30099999999999</v>
      </c>
      <c r="U65" s="1770">
        <f>'qtrP&amp;L'!CH164</f>
        <v>326.76499999999999</v>
      </c>
      <c r="V65" s="1770">
        <f>'qtrP&amp;L'!$CL$164</f>
        <v>332.87400000000002</v>
      </c>
      <c r="W65" s="1770">
        <f>'qtrP&amp;L'!CP164</f>
        <v>314.30104999999998</v>
      </c>
      <c r="X65" s="1770">
        <f>'qtrP&amp;L'!CT164</f>
        <v>296.76900000000001</v>
      </c>
      <c r="Y65" s="1770">
        <f>'qtrP&amp;L'!CX164</f>
        <v>296.05500000000001</v>
      </c>
      <c r="Z65" s="1770">
        <f>'qtrP&amp;L'!DB164</f>
        <v>297.95999999999998</v>
      </c>
      <c r="AA65" s="1770">
        <f>'qtrP&amp;L'!DF164</f>
        <v>296.78825000000001</v>
      </c>
      <c r="AB65" s="1770">
        <f>'qtrP&amp;L'!DJ164</f>
        <v>291.065</v>
      </c>
      <c r="AC65" s="1770">
        <f>'qtrP&amp;L'!DN164</f>
        <v>287.10000000000002</v>
      </c>
      <c r="AD65" s="1770">
        <f>'qtrP&amp;L'!DR164</f>
        <v>282.25</v>
      </c>
      <c r="AE65" s="1770">
        <f>+'qtrP&amp;L'!DR163+1-(100/60)</f>
        <v>280.83333333333331</v>
      </c>
      <c r="AF65" s="1770">
        <f>+AE65+1-(100/70)</f>
        <v>280.40476190476187</v>
      </c>
      <c r="AG65" s="1770">
        <f>+AF65+1-(100/80)</f>
        <v>280.15476190476187</v>
      </c>
      <c r="AH65" s="1770">
        <f>+AG65+1-(100/80)</f>
        <v>279.90476190476187</v>
      </c>
      <c r="AI65" s="1771"/>
      <c r="AJ65" s="56">
        <f>((V65/AA65)^(1/5)-1)*100</f>
        <v>2.3214378521955181</v>
      </c>
      <c r="AK65" s="97" t="s">
        <v>1084</v>
      </c>
      <c r="AL65" s="56">
        <f>((AF65/AA65)^(1/5)-1)*100</f>
        <v>-1.1292710012641094</v>
      </c>
      <c r="AM65" s="1772" t="s">
        <v>1084</v>
      </c>
      <c r="AN65" s="817"/>
      <c r="AO65" s="817"/>
      <c r="AP65" s="817"/>
    </row>
    <row r="66" spans="1:42" hidden="1" outlineLevel="1">
      <c r="A66" s="817"/>
      <c r="B66" s="1770"/>
      <c r="C66" s="1770"/>
      <c r="D66" s="1770"/>
      <c r="E66" s="1770"/>
      <c r="F66" s="1770"/>
      <c r="G66" s="1770"/>
      <c r="H66" s="1770"/>
      <c r="I66" s="1770"/>
      <c r="J66" s="1770"/>
      <c r="K66" s="1770"/>
      <c r="L66" s="1770"/>
      <c r="M66" s="1770"/>
      <c r="N66" s="1770"/>
      <c r="O66" s="1770"/>
      <c r="P66" s="1770"/>
      <c r="Q66" s="1770"/>
      <c r="R66" s="1770"/>
      <c r="S66" s="1770"/>
      <c r="T66" s="1770"/>
      <c r="U66" s="1770"/>
      <c r="V66" s="1770"/>
      <c r="W66" s="1701">
        <f t="shared" ref="W66:AH66" si="77">W65/V65-1</f>
        <v>-5.5795736524931527E-2</v>
      </c>
      <c r="X66" s="1701">
        <f t="shared" si="77"/>
        <v>-5.5781073591704367E-2</v>
      </c>
      <c r="Y66" s="1701">
        <f t="shared" si="77"/>
        <v>-2.4059116686715454E-3</v>
      </c>
      <c r="Z66" s="1701">
        <f t="shared" si="77"/>
        <v>6.4346151897449744E-3</v>
      </c>
      <c r="AA66" s="1701">
        <f t="shared" si="77"/>
        <v>-3.9325748422606166E-3</v>
      </c>
      <c r="AB66" s="1701">
        <f t="shared" si="77"/>
        <v>-1.928395076287559E-2</v>
      </c>
      <c r="AC66" s="1701">
        <f t="shared" si="77"/>
        <v>-1.3622386752099924E-2</v>
      </c>
      <c r="AD66" s="1701">
        <f t="shared" si="77"/>
        <v>-1.689306861720663E-2</v>
      </c>
      <c r="AE66" s="1701">
        <f t="shared" si="77"/>
        <v>-5.0191910245055427E-3</v>
      </c>
      <c r="AF66" s="1701">
        <f t="shared" si="77"/>
        <v>-1.5260703688003696E-3</v>
      </c>
      <c r="AG66" s="1701">
        <f t="shared" si="77"/>
        <v>-8.9156831111492085E-4</v>
      </c>
      <c r="AH66" s="1701">
        <f t="shared" si="77"/>
        <v>-8.9236391450309149E-4</v>
      </c>
      <c r="AI66" s="1771"/>
      <c r="AJ66" s="56"/>
      <c r="AK66" s="97"/>
      <c r="AL66" s="56"/>
      <c r="AM66" s="1772"/>
      <c r="AN66" s="817"/>
      <c r="AO66" s="817"/>
      <c r="AP66" s="817"/>
    </row>
    <row r="67" spans="1:42" collapsed="1">
      <c r="A67" s="1758"/>
      <c r="B67" s="816"/>
      <c r="C67" s="816"/>
      <c r="D67" s="816"/>
      <c r="E67" s="816"/>
      <c r="F67" s="816"/>
      <c r="G67" s="816"/>
      <c r="H67" s="816"/>
      <c r="I67" s="816"/>
      <c r="J67" s="816"/>
      <c r="K67" s="816"/>
      <c r="L67" s="816"/>
      <c r="M67" s="816"/>
      <c r="N67" s="816"/>
      <c r="O67" s="1740"/>
      <c r="P67" s="1740"/>
      <c r="Q67" s="1740"/>
      <c r="R67" s="1740"/>
      <c r="S67" s="1740"/>
      <c r="T67" s="1740"/>
      <c r="U67" s="1740"/>
      <c r="V67" s="1701"/>
      <c r="W67" s="1701"/>
      <c r="X67" s="1701"/>
      <c r="Y67" s="1701"/>
      <c r="Z67" s="1701"/>
      <c r="AA67" s="1701"/>
      <c r="AB67" s="1701"/>
      <c r="AC67" s="1701"/>
      <c r="AD67" s="1701"/>
      <c r="AE67" s="1701"/>
      <c r="AF67" s="1701"/>
      <c r="AG67" s="1701"/>
      <c r="AH67" s="1701"/>
      <c r="AI67" s="1724"/>
      <c r="AJ67" s="139"/>
      <c r="AK67" s="139"/>
      <c r="AL67" s="139"/>
      <c r="AM67" s="537"/>
      <c r="AN67" s="817"/>
      <c r="AO67" s="817"/>
      <c r="AP67" s="817"/>
    </row>
    <row r="68" spans="1:42">
      <c r="A68" s="1758" t="s">
        <v>611</v>
      </c>
      <c r="B68" s="1760">
        <f>+'qtrP&amp;L'!F174</f>
        <v>0.12</v>
      </c>
      <c r="C68" s="1760">
        <f>+'qtrP&amp;L'!J174</f>
        <v>0.14000000000000001</v>
      </c>
      <c r="D68" s="1760">
        <f>+'qtrP&amp;L'!N174</f>
        <v>0.14000000000000001</v>
      </c>
      <c r="E68" s="1760">
        <f>+'qtrP&amp;L'!R174</f>
        <v>0.18</v>
      </c>
      <c r="F68" s="1760">
        <f>+'qtrP&amp;L'!V174</f>
        <v>0.18</v>
      </c>
      <c r="G68" s="1760">
        <f>+'qtrP&amp;L'!Z174</f>
        <v>0.2</v>
      </c>
      <c r="H68" s="1760">
        <f>+'qtrP&amp;L'!AD174</f>
        <v>0.2</v>
      </c>
      <c r="I68" s="1760">
        <f>+'qtrP&amp;L'!AH174</f>
        <v>0.24</v>
      </c>
      <c r="J68" s="1760">
        <f>+'qtrP&amp;L'!AL174</f>
        <v>0.26</v>
      </c>
      <c r="K68" s="1760">
        <f>+'qtrP&amp;L'!AP174</f>
        <v>0.3</v>
      </c>
      <c r="L68" s="1760">
        <f>+'qtrP&amp;L'!AT174</f>
        <v>0.3</v>
      </c>
      <c r="M68" s="1760">
        <f>+'qtrP&amp;L'!AX174</f>
        <v>0.3</v>
      </c>
      <c r="N68" s="1760">
        <f>+'qtrP&amp;L'!BB174</f>
        <v>0.3</v>
      </c>
      <c r="O68" s="1760">
        <f>+'qtrP&amp;L'!BF174</f>
        <v>0.4</v>
      </c>
      <c r="P68" s="1760">
        <f>'qtrP&amp;L'!BJ174</f>
        <v>1.71</v>
      </c>
      <c r="Q68" s="1760">
        <f>'qtrP&amp;L'!BR174</f>
        <v>0.6</v>
      </c>
      <c r="R68" s="1760">
        <f>'qtrP&amp;L'!BV174</f>
        <v>0.6</v>
      </c>
      <c r="S68" s="1760">
        <f>'qtrP&amp;L'!BZ174</f>
        <v>0.6</v>
      </c>
      <c r="T68" s="1760">
        <f>S68</f>
        <v>0.6</v>
      </c>
      <c r="U68" s="1760">
        <f>T68</f>
        <v>0.6</v>
      </c>
      <c r="V68" s="1760">
        <f>U68+5</f>
        <v>5.6</v>
      </c>
      <c r="W68" s="1760">
        <f>+'qtrP&amp;L'!CP174+3</f>
        <v>3.8</v>
      </c>
      <c r="X68" s="1760">
        <f>+'qtrP&amp;L'!CT174+1+3</f>
        <v>5</v>
      </c>
      <c r="Y68" s="1760">
        <f>+'qtrP&amp;L'!CX174+1</f>
        <v>2.2000000000000002</v>
      </c>
      <c r="Z68" s="1760">
        <f>'qtrP&amp;L'!DB174+2</f>
        <v>3.3600000000000003</v>
      </c>
      <c r="AA68" s="1760">
        <f>'qtrP&amp;L'!DF174+2</f>
        <v>4</v>
      </c>
      <c r="AB68" s="1760">
        <f>'qtrP&amp;L'!DJ174</f>
        <v>2.4</v>
      </c>
      <c r="AC68" s="1760">
        <f>'qtrP&amp;L'!DN174</f>
        <v>2.4</v>
      </c>
      <c r="AD68" s="1760">
        <f>'qtrP&amp;L'!DR174</f>
        <v>2.4</v>
      </c>
      <c r="AE68" s="1760">
        <f>AD68</f>
        <v>2.4</v>
      </c>
      <c r="AF68" s="1760">
        <f>AE68</f>
        <v>2.4</v>
      </c>
      <c r="AG68" s="1760">
        <f>AF68</f>
        <v>2.4</v>
      </c>
      <c r="AH68" s="1760">
        <f>AG68</f>
        <v>2.4</v>
      </c>
      <c r="AI68" s="1773"/>
      <c r="AJ68" s="137"/>
      <c r="AK68" s="137"/>
      <c r="AL68" s="137"/>
      <c r="AM68" s="540"/>
      <c r="AN68" s="817"/>
      <c r="AO68" s="817"/>
      <c r="AP68" s="817"/>
    </row>
    <row r="69" spans="1:42">
      <c r="A69" s="1758"/>
      <c r="B69" s="1760"/>
      <c r="C69" s="1760"/>
      <c r="D69" s="1760"/>
      <c r="E69" s="1760"/>
      <c r="F69" s="1760"/>
      <c r="G69" s="1760"/>
      <c r="H69" s="1760"/>
      <c r="I69" s="1760"/>
      <c r="J69" s="1760"/>
      <c r="K69" s="1760"/>
      <c r="L69" s="1760"/>
      <c r="M69" s="1760"/>
      <c r="N69" s="1760"/>
      <c r="O69" s="1760"/>
      <c r="P69" s="1760"/>
      <c r="Q69" s="1760"/>
      <c r="R69" s="1760"/>
      <c r="S69" s="1760"/>
      <c r="T69" s="1760"/>
      <c r="U69" s="1760"/>
      <c r="V69" s="1760"/>
      <c r="W69" s="1760"/>
      <c r="X69" s="1774"/>
      <c r="Y69" s="1760"/>
      <c r="Z69" s="1760"/>
      <c r="AA69" s="1760"/>
      <c r="AB69" s="1760"/>
      <c r="AC69" s="1760"/>
      <c r="AD69" s="1760"/>
      <c r="AE69" s="1760"/>
      <c r="AF69" s="1760"/>
      <c r="AG69" s="1760"/>
      <c r="AH69" s="1760"/>
      <c r="AI69" s="816"/>
      <c r="AJ69" s="139"/>
      <c r="AK69" s="139"/>
      <c r="AL69" s="139"/>
      <c r="AM69" s="139"/>
      <c r="AN69" s="817"/>
      <c r="AO69" s="817"/>
      <c r="AP69" s="817"/>
    </row>
    <row r="70" spans="1:42" hidden="1" outlineLevel="1">
      <c r="A70" s="815"/>
      <c r="B70" s="816"/>
      <c r="C70" s="816"/>
      <c r="D70" s="817"/>
      <c r="E70" s="817"/>
      <c r="M70" s="818"/>
      <c r="N70" s="819"/>
      <c r="O70" s="819"/>
      <c r="P70" s="819"/>
      <c r="Q70" s="819"/>
      <c r="R70" s="819"/>
      <c r="S70" s="819"/>
      <c r="T70" s="819"/>
      <c r="U70" s="961"/>
      <c r="V70" s="961"/>
      <c r="W70" s="961"/>
      <c r="X70" s="961"/>
      <c r="Y70" s="814"/>
      <c r="Z70" s="814"/>
      <c r="AA70" s="814"/>
      <c r="AB70" s="814"/>
      <c r="AC70" s="814"/>
      <c r="AD70" s="814"/>
      <c r="AE70" s="814"/>
      <c r="AF70" s="814"/>
      <c r="AG70" s="814"/>
      <c r="AH70" s="814"/>
      <c r="AJ70" s="139"/>
      <c r="AK70" s="139"/>
      <c r="AL70" s="139"/>
      <c r="AM70" s="139"/>
      <c r="AN70" s="817"/>
      <c r="AO70" s="817"/>
      <c r="AP70" s="817"/>
    </row>
    <row r="71" spans="1:42" hidden="1" outlineLevel="1">
      <c r="A71" s="815"/>
      <c r="B71" s="816"/>
      <c r="C71" s="816"/>
      <c r="D71" s="817"/>
      <c r="E71" s="817"/>
      <c r="M71" s="818"/>
      <c r="N71" s="819"/>
      <c r="O71" s="819"/>
      <c r="P71" s="819"/>
      <c r="Q71" s="819"/>
      <c r="R71" s="819"/>
      <c r="S71" s="819"/>
      <c r="T71" s="819"/>
      <c r="U71" s="819"/>
      <c r="V71" s="814"/>
      <c r="W71" s="814"/>
      <c r="X71" s="814"/>
      <c r="Y71" s="814"/>
      <c r="Z71" s="814"/>
      <c r="AA71" s="814"/>
      <c r="AB71" s="814"/>
      <c r="AC71" s="814"/>
      <c r="AD71" s="814"/>
      <c r="AE71" s="814"/>
      <c r="AF71" s="814"/>
      <c r="AG71" s="814"/>
      <c r="AH71" s="814"/>
      <c r="AJ71" s="139"/>
      <c r="AK71" s="139"/>
      <c r="AL71" s="139"/>
      <c r="AM71" s="139"/>
      <c r="AN71" s="817"/>
      <c r="AO71" s="817"/>
      <c r="AP71" s="817"/>
    </row>
    <row r="72" spans="1:42" hidden="1" outlineLevel="1">
      <c r="A72" s="1758"/>
      <c r="B72" s="1760"/>
      <c r="C72" s="1760"/>
      <c r="D72" s="1760"/>
      <c r="E72" s="1760"/>
      <c r="F72" s="1760"/>
      <c r="G72" s="1760"/>
      <c r="H72" s="1760"/>
      <c r="I72" s="1760"/>
      <c r="J72" s="1760"/>
      <c r="K72" s="1760"/>
      <c r="L72" s="1760"/>
      <c r="M72" s="1760"/>
      <c r="N72" s="1760"/>
      <c r="O72" s="1760"/>
      <c r="P72" s="1760"/>
      <c r="Q72" s="1760"/>
      <c r="R72" s="1760"/>
      <c r="S72" s="1760"/>
      <c r="T72" s="1760"/>
      <c r="U72" s="1760"/>
      <c r="V72" s="1760"/>
      <c r="W72" s="1760"/>
      <c r="X72" s="1760"/>
      <c r="Y72" s="1760"/>
      <c r="Z72" s="1760"/>
      <c r="AA72" s="1760"/>
      <c r="AB72" s="1760"/>
      <c r="AC72" s="1760"/>
      <c r="AD72" s="1760"/>
      <c r="AE72" s="1760"/>
      <c r="AF72" s="1760"/>
      <c r="AG72" s="1760"/>
      <c r="AH72" s="1760"/>
      <c r="AI72" s="816"/>
      <c r="AJ72" s="139"/>
      <c r="AK72" s="139"/>
      <c r="AL72" s="139"/>
      <c r="AM72" s="139"/>
      <c r="AN72" s="817"/>
      <c r="AO72" s="817"/>
      <c r="AP72" s="817"/>
    </row>
    <row r="73" spans="1:42" hidden="1" outlineLevel="1">
      <c r="A73" s="1775" t="s">
        <v>475</v>
      </c>
      <c r="B73" s="1776"/>
      <c r="C73" s="1776"/>
      <c r="D73" s="1776"/>
      <c r="E73" s="1776"/>
      <c r="F73" s="1776"/>
      <c r="G73" s="1776"/>
      <c r="H73" s="1776"/>
      <c r="I73" s="1777"/>
      <c r="J73" s="1777"/>
      <c r="K73" s="1777">
        <f>'qtrP&amp;L'!AP184</f>
        <v>429.928</v>
      </c>
      <c r="L73" s="1777">
        <f>'qtrP&amp;L'!AT184</f>
        <v>426.40159999999997</v>
      </c>
      <c r="M73" s="1777">
        <f>'qtrP&amp;L'!AX184</f>
        <v>429</v>
      </c>
      <c r="N73" s="1777">
        <f>'qtrP&amp;L'!BB184</f>
        <v>523</v>
      </c>
      <c r="O73" s="1777">
        <f>'qtrP&amp;L'!BF184</f>
        <v>518</v>
      </c>
      <c r="P73" s="1777">
        <f>'qtrP&amp;L'!BJ184</f>
        <v>432.86262412765518</v>
      </c>
      <c r="Q73" s="1778">
        <f t="shared" ref="Q73:AA73" si="78">Q65/P65*P73</f>
        <v>371.64862241423197</v>
      </c>
      <c r="R73" s="1778">
        <f t="shared" si="78"/>
        <v>364.01823854105254</v>
      </c>
      <c r="S73" s="1778">
        <f t="shared" si="78"/>
        <v>343.87825768626607</v>
      </c>
      <c r="T73" s="1778">
        <f t="shared" si="78"/>
        <v>305.05346815305268</v>
      </c>
      <c r="U73" s="1778">
        <f t="shared" si="78"/>
        <v>295.5247583642867</v>
      </c>
      <c r="V73" s="1778">
        <f t="shared" si="78"/>
        <v>301.04970977844499</v>
      </c>
      <c r="W73" s="1778">
        <f t="shared" si="78"/>
        <v>284.25241949073978</v>
      </c>
      <c r="X73" s="1778">
        <f t="shared" si="78"/>
        <v>268.39651436050679</v>
      </c>
      <c r="Y73" s="1778">
        <f t="shared" si="78"/>
        <v>267.75077605477605</v>
      </c>
      <c r="Z73" s="1778">
        <f t="shared" si="78"/>
        <v>269.47364926544412</v>
      </c>
      <c r="AA73" s="1778">
        <f t="shared" si="78"/>
        <v>268.41392397169068</v>
      </c>
      <c r="AB73" s="1778">
        <f t="shared" ref="AB73:AH73" si="79">AB65/AA65*AA73</f>
        <v>263.23784307775037</v>
      </c>
      <c r="AC73" s="1778">
        <f t="shared" si="79"/>
        <v>259.65191537155664</v>
      </c>
      <c r="AD73" s="1778">
        <f t="shared" si="79"/>
        <v>255.26559774859581</v>
      </c>
      <c r="AE73" s="1778">
        <f t="shared" si="79"/>
        <v>253.98437095151101</v>
      </c>
      <c r="AF73" s="1778">
        <f t="shared" si="79"/>
        <v>253.59677292886352</v>
      </c>
      <c r="AG73" s="1778">
        <f t="shared" si="79"/>
        <v>253.37067408231914</v>
      </c>
      <c r="AH73" s="1778">
        <f t="shared" si="79"/>
        <v>253.14457523577477</v>
      </c>
      <c r="AI73" s="816"/>
      <c r="AJ73" s="139"/>
      <c r="AK73" s="139"/>
      <c r="AL73" s="139"/>
      <c r="AM73" s="139"/>
      <c r="AN73" s="817"/>
      <c r="AO73" s="817"/>
      <c r="AP73" s="817"/>
    </row>
    <row r="74" spans="1:42" hidden="1" outlineLevel="1">
      <c r="A74" s="1775" t="s">
        <v>476</v>
      </c>
      <c r="B74" s="1776"/>
      <c r="C74" s="1776"/>
      <c r="D74" s="1776"/>
      <c r="E74" s="1776"/>
      <c r="F74" s="1776"/>
      <c r="G74" s="1776"/>
      <c r="H74" s="1776"/>
      <c r="I74" s="1777"/>
      <c r="J74" s="1777"/>
      <c r="K74" s="1777">
        <f>'qtrP&amp;L'!AP192</f>
        <v>444.94200000000001</v>
      </c>
      <c r="L74" s="1777">
        <f>'qtrP&amp;L'!AT192</f>
        <v>430.99124999999998</v>
      </c>
      <c r="M74" s="1777">
        <f>'qtrP&amp;L'!AX192</f>
        <v>429.45149999999995</v>
      </c>
      <c r="N74" s="1777">
        <f>'qtrP&amp;L'!BB192</f>
        <v>512.38724999999999</v>
      </c>
      <c r="O74" s="1777">
        <f>'qtrP&amp;L'!BF192</f>
        <v>519.24549999999999</v>
      </c>
      <c r="P74" s="1777">
        <f>'qtrP&amp;L'!BJ192</f>
        <v>469.26550000000003</v>
      </c>
      <c r="Q74" s="1778">
        <f t="shared" ref="Q74:AA74" si="80">Q65/P65*P74</f>
        <v>402.90352389051048</v>
      </c>
      <c r="R74" s="1778">
        <f t="shared" si="80"/>
        <v>394.63144008411678</v>
      </c>
      <c r="S74" s="1778">
        <f t="shared" si="80"/>
        <v>372.79772735630081</v>
      </c>
      <c r="T74" s="1778">
        <f t="shared" si="80"/>
        <v>330.70785112959948</v>
      </c>
      <c r="U74" s="1778">
        <f t="shared" si="80"/>
        <v>320.37779601709917</v>
      </c>
      <c r="V74" s="1778">
        <f t="shared" si="80"/>
        <v>326.36738473029811</v>
      </c>
      <c r="W74" s="1778">
        <f t="shared" si="80"/>
        <v>308.15747612155542</v>
      </c>
      <c r="X74" s="1778">
        <f t="shared" si="80"/>
        <v>290.96812126818503</v>
      </c>
      <c r="Y74" s="1778">
        <f t="shared" si="80"/>
        <v>290.26807767001446</v>
      </c>
      <c r="Z74" s="1778">
        <f t="shared" si="80"/>
        <v>292.13584105168803</v>
      </c>
      <c r="AA74" s="1778">
        <f t="shared" si="80"/>
        <v>290.98699499264552</v>
      </c>
      <c r="AB74" s="1778">
        <f t="shared" ref="AB74:AH74" si="81">AB65/AA65*AA74</f>
        <v>285.37561610857023</v>
      </c>
      <c r="AC74" s="1778">
        <f t="shared" si="81"/>
        <v>281.48811909632047</v>
      </c>
      <c r="AD74" s="1778">
        <f t="shared" si="81"/>
        <v>276.73292098549791</v>
      </c>
      <c r="AE74" s="1778">
        <f t="shared" si="81"/>
        <v>275.3439455923023</v>
      </c>
      <c r="AF74" s="1778">
        <f t="shared" si="81"/>
        <v>274.92375135570529</v>
      </c>
      <c r="AG74" s="1778">
        <f t="shared" si="81"/>
        <v>274.67863805102371</v>
      </c>
      <c r="AH74" s="1778">
        <f t="shared" si="81"/>
        <v>274.43352474634213</v>
      </c>
      <c r="AI74" s="816"/>
      <c r="AJ74" s="139"/>
      <c r="AK74" s="139"/>
      <c r="AL74" s="139"/>
      <c r="AM74" s="139"/>
      <c r="AN74" s="817"/>
      <c r="AO74" s="817"/>
      <c r="AP74" s="817"/>
    </row>
    <row r="75" spans="1:42" ht="21" customHeight="1" collapsed="1">
      <c r="A75" s="1758"/>
      <c r="B75" s="816"/>
      <c r="C75" s="816"/>
      <c r="D75" s="816"/>
      <c r="E75" s="816"/>
      <c r="F75" s="816"/>
      <c r="G75" s="816"/>
      <c r="H75" s="816"/>
      <c r="I75" s="816"/>
      <c r="J75" s="816"/>
      <c r="K75" s="1760"/>
      <c r="L75" s="1760"/>
      <c r="M75" s="1760"/>
      <c r="N75" s="1760"/>
      <c r="O75" s="816"/>
      <c r="P75" s="816"/>
      <c r="Q75" s="816"/>
      <c r="R75" s="816"/>
      <c r="S75" s="816"/>
      <c r="T75" s="816"/>
      <c r="U75" s="816"/>
      <c r="V75" s="816"/>
      <c r="W75" s="816"/>
      <c r="X75" s="816"/>
      <c r="Y75" s="816"/>
      <c r="Z75" s="816"/>
      <c r="AB75"/>
      <c r="AC75"/>
      <c r="AD75"/>
      <c r="AE75"/>
      <c r="AF75"/>
      <c r="AG75"/>
      <c r="AH75" s="2702"/>
      <c r="AI75" s="816"/>
      <c r="AJ75" s="139"/>
      <c r="AK75" s="139"/>
      <c r="AL75" s="139"/>
      <c r="AM75" s="139"/>
      <c r="AN75" s="817"/>
      <c r="AO75" s="817"/>
      <c r="AP75" s="817"/>
    </row>
    <row r="76" spans="1:42" hidden="1" outlineLevel="1">
      <c r="A76" s="1779" t="s">
        <v>646</v>
      </c>
      <c r="B76" s="816"/>
      <c r="C76" s="816"/>
      <c r="D76" s="816"/>
      <c r="E76" s="816"/>
      <c r="F76" s="816"/>
      <c r="G76" s="816"/>
      <c r="H76" s="816"/>
      <c r="I76" s="816"/>
      <c r="J76" s="816"/>
      <c r="K76" s="816"/>
      <c r="L76" s="816"/>
      <c r="M76" s="816"/>
      <c r="N76" s="816"/>
      <c r="O76" s="816"/>
      <c r="P76" s="816"/>
      <c r="Q76" s="816"/>
      <c r="R76" s="816"/>
      <c r="S76" s="816"/>
      <c r="T76" s="816"/>
      <c r="U76" s="816"/>
      <c r="V76" s="816"/>
      <c r="W76" s="816"/>
      <c r="X76" s="816"/>
      <c r="Y76" s="816"/>
      <c r="Z76" s="816"/>
      <c r="AA76" s="816"/>
      <c r="AB76" s="816"/>
      <c r="AC76" s="816"/>
      <c r="AD76" s="816"/>
      <c r="AE76" s="816"/>
      <c r="AF76" s="816"/>
      <c r="AG76" s="816"/>
      <c r="AH76" s="816"/>
      <c r="AI76" s="1780"/>
      <c r="AJ76" s="535"/>
      <c r="AK76" s="535"/>
      <c r="AL76" s="535"/>
      <c r="AM76" s="536"/>
      <c r="AN76" s="817"/>
      <c r="AO76" s="817"/>
      <c r="AP76" s="817"/>
    </row>
    <row r="77" spans="1:42" hidden="1" outlineLevel="1">
      <c r="A77" s="1758" t="s">
        <v>651</v>
      </c>
      <c r="B77" s="816">
        <f>+'qtrP&amp;L'!F213</f>
        <v>697.53699999999969</v>
      </c>
      <c r="C77" s="816">
        <f>+'qtrP&amp;L'!J213</f>
        <v>712.69999999999948</v>
      </c>
      <c r="D77" s="816">
        <f>+'qtrP&amp;L'!N213</f>
        <v>788.69800000000089</v>
      </c>
      <c r="E77" s="816">
        <f>+'qtrP&amp;L'!R213</f>
        <v>701.55600000000049</v>
      </c>
      <c r="F77" s="816">
        <f>+'qtrP&amp;L'!V213</f>
        <v>798.98900000000049</v>
      </c>
      <c r="G77" s="816">
        <f>+'qtrP&amp;L'!Z213</f>
        <v>613.34900000000016</v>
      </c>
      <c r="H77" s="816">
        <f>+'qtrP&amp;L'!AD213</f>
        <v>636.06700000000012</v>
      </c>
      <c r="I77" s="816">
        <f>+'qtrP&amp;L'!AH213</f>
        <v>386.0920000000005</v>
      </c>
      <c r="J77" s="816">
        <f>+'qtrP&amp;L'!AL213</f>
        <v>637.70799999999986</v>
      </c>
      <c r="K77" s="816">
        <f>+'qtrP&amp;L'!AP213</f>
        <v>796.45600000000002</v>
      </c>
      <c r="L77" s="816">
        <f>+'qtrP&amp;L'!AT213</f>
        <v>802.28199999999981</v>
      </c>
      <c r="M77" s="816">
        <f>+'qtrP&amp;L'!AX213</f>
        <v>688.00800000000027</v>
      </c>
      <c r="N77" s="816">
        <f>+'qtrP&amp;L'!BB213</f>
        <v>837.92599999999993</v>
      </c>
      <c r="O77" s="816">
        <f>+'qtrP&amp;L'!BF213</f>
        <v>963.08200000000011</v>
      </c>
      <c r="P77" s="816">
        <f t="shared" ref="P77:U77" si="82">+P37</f>
        <v>1026.808</v>
      </c>
      <c r="Q77" s="816">
        <f>+Q37</f>
        <v>985.78099999999995</v>
      </c>
      <c r="R77" s="816">
        <f t="shared" si="82"/>
        <v>1176.0849999999987</v>
      </c>
      <c r="S77" s="816">
        <f t="shared" si="82"/>
        <v>861.04500000000019</v>
      </c>
      <c r="T77" s="816">
        <f t="shared" si="82"/>
        <v>717.46900000000028</v>
      </c>
      <c r="U77" s="816">
        <f t="shared" si="82"/>
        <v>858.28400000000124</v>
      </c>
      <c r="V77" s="816">
        <f>+V37</f>
        <v>1284.0330000000008</v>
      </c>
      <c r="W77" s="816">
        <f>+W37</f>
        <v>1546.4249999999993</v>
      </c>
      <c r="X77" s="816">
        <f>+X37</f>
        <v>1707.3260000000023</v>
      </c>
      <c r="Y77" s="816">
        <f>+Y37</f>
        <v>1743.4869999999974</v>
      </c>
      <c r="Z77" s="816">
        <f>+Z37</f>
        <v>1953.1020000000017</v>
      </c>
      <c r="AA77" s="816">
        <f t="shared" ref="AA77:AF77" si="83">+AA37</f>
        <v>2191.5069999999987</v>
      </c>
      <c r="AB77" s="816">
        <f t="shared" si="83"/>
        <v>2037.4020000000012</v>
      </c>
      <c r="AC77" s="816">
        <f t="shared" si="83"/>
        <v>1728.2610000000009</v>
      </c>
      <c r="AD77" s="816">
        <f t="shared" si="83"/>
        <v>1620.9995749999216</v>
      </c>
      <c r="AE77" s="816">
        <f t="shared" si="83"/>
        <v>1714.1677998377486</v>
      </c>
      <c r="AF77" s="816">
        <f t="shared" si="83"/>
        <v>1808.5919669144864</v>
      </c>
      <c r="AG77" s="816">
        <f>+AG37</f>
        <v>1882.442036437983</v>
      </c>
      <c r="AH77" s="816">
        <f>+AH37</f>
        <v>1952.5955215332474</v>
      </c>
      <c r="AI77" s="1724"/>
      <c r="AJ77" s="56">
        <f>((Z77/U77)^(1/5)-1)*100</f>
        <v>17.874206349778142</v>
      </c>
      <c r="AK77" s="406" t="s">
        <v>1084</v>
      </c>
      <c r="AL77" s="56">
        <f>((AE77/Z77)^(1/5)-1)*100</f>
        <v>-2.5760617146728282</v>
      </c>
      <c r="AM77" s="1781" t="s">
        <v>1084</v>
      </c>
      <c r="AN77" s="817"/>
      <c r="AO77" s="817"/>
      <c r="AP77" s="817"/>
    </row>
    <row r="78" spans="1:42" hidden="1" outlineLevel="1">
      <c r="A78" s="817" t="s">
        <v>826</v>
      </c>
      <c r="B78" s="1701">
        <f t="shared" ref="B78:Z78" si="84">+B77/B7</f>
        <v>0.13277544589720883</v>
      </c>
      <c r="C78" s="1701">
        <f t="shared" si="84"/>
        <v>0.11590091618153717</v>
      </c>
      <c r="D78" s="1701">
        <f t="shared" si="84"/>
        <v>0.11357493977791282</v>
      </c>
      <c r="E78" s="1701">
        <f t="shared" si="84"/>
        <v>9.6831950143324769E-2</v>
      </c>
      <c r="F78" s="1701">
        <f t="shared" si="84"/>
        <v>0.10913969417516581</v>
      </c>
      <c r="G78" s="1701">
        <f t="shared" si="84"/>
        <v>7.7821975865568702E-2</v>
      </c>
      <c r="H78" s="1701">
        <f t="shared" si="84"/>
        <v>7.3578065681402849E-2</v>
      </c>
      <c r="I78" s="1701">
        <f t="shared" si="84"/>
        <v>4.6146077292994275E-2</v>
      </c>
      <c r="J78" s="1722">
        <f t="shared" si="84"/>
        <v>7.2166825608230137E-2</v>
      </c>
      <c r="K78" s="1701">
        <f t="shared" si="84"/>
        <v>0.10451306163947471</v>
      </c>
      <c r="L78" s="1701">
        <f t="shared" si="84"/>
        <v>9.8442251090919933E-2</v>
      </c>
      <c r="M78" s="1701">
        <f t="shared" si="84"/>
        <v>8.678824532481072E-2</v>
      </c>
      <c r="N78" s="1701">
        <f t="shared" si="84"/>
        <v>9.9225616585356835E-2</v>
      </c>
      <c r="O78" s="1701">
        <f t="shared" si="84"/>
        <v>0.10779854380260959</v>
      </c>
      <c r="P78" s="1701">
        <f t="shared" si="84"/>
        <v>0.10913838741742408</v>
      </c>
      <c r="Q78" s="1701">
        <f>+Q77/Q7</f>
        <v>0.1016377206317208</v>
      </c>
      <c r="R78" s="1701">
        <f t="shared" si="84"/>
        <v>0.11021733644006292</v>
      </c>
      <c r="S78" s="1701">
        <f t="shared" si="84"/>
        <v>8.5367200562184539E-2</v>
      </c>
      <c r="T78" s="1701">
        <f t="shared" si="84"/>
        <v>7.9342509151876559E-2</v>
      </c>
      <c r="U78" s="1701">
        <f t="shared" si="84"/>
        <v>9.9424870327071535E-2</v>
      </c>
      <c r="V78" s="1701">
        <f t="shared" si="84"/>
        <v>0.13356869529831561</v>
      </c>
      <c r="W78" s="1701">
        <f t="shared" si="84"/>
        <v>0.14921124068144354</v>
      </c>
      <c r="X78" s="1701">
        <f t="shared" si="84"/>
        <v>0.1632453207162837</v>
      </c>
      <c r="Y78" s="1701">
        <f t="shared" si="84"/>
        <v>0.16183540821766118</v>
      </c>
      <c r="Z78" s="1701">
        <f t="shared" si="84"/>
        <v>0.17051613139794985</v>
      </c>
      <c r="AA78" s="1701">
        <f t="shared" ref="AA78:AF78" si="85">+AA77/AA7</f>
        <v>0.18031475953254392</v>
      </c>
      <c r="AB78" s="1701">
        <f t="shared" si="85"/>
        <v>0.16203109524292003</v>
      </c>
      <c r="AC78" s="1701">
        <f t="shared" si="85"/>
        <v>0.13681280944473795</v>
      </c>
      <c r="AD78" s="1701">
        <f t="shared" si="85"/>
        <v>0.12330582560633295</v>
      </c>
      <c r="AE78" s="1701">
        <f t="shared" si="85"/>
        <v>0.12461764569604557</v>
      </c>
      <c r="AF78" s="1701">
        <f t="shared" si="85"/>
        <v>0.12555867674082036</v>
      </c>
      <c r="AG78" s="1701">
        <f>+AG77/AG7</f>
        <v>0.12500414064816501</v>
      </c>
      <c r="AH78" s="1701">
        <f>+AH77/AH7</f>
        <v>0.1242340498873675</v>
      </c>
      <c r="AI78" s="1724"/>
      <c r="AJ78" s="56"/>
      <c r="AK78" s="139"/>
      <c r="AL78" s="56"/>
      <c r="AM78" s="1781"/>
      <c r="AN78" s="817"/>
      <c r="AO78" s="817"/>
      <c r="AP78" s="817"/>
    </row>
    <row r="79" spans="1:42" hidden="1" outlineLevel="1">
      <c r="A79" s="1758"/>
      <c r="B79" s="816"/>
      <c r="C79" s="816"/>
      <c r="D79" s="816"/>
      <c r="E79" s="816"/>
      <c r="F79" s="816"/>
      <c r="G79" s="816"/>
      <c r="H79" s="816"/>
      <c r="I79" s="816"/>
      <c r="J79" s="816"/>
      <c r="K79" s="816"/>
      <c r="L79" s="816"/>
      <c r="M79" s="816"/>
      <c r="N79" s="816"/>
      <c r="O79" s="816"/>
      <c r="P79" s="816"/>
      <c r="Q79" s="816"/>
      <c r="R79" s="816"/>
      <c r="S79" s="816"/>
      <c r="T79" s="816"/>
      <c r="U79" s="816"/>
      <c r="V79" s="816"/>
      <c r="W79" s="816"/>
      <c r="X79" s="816"/>
      <c r="Y79" s="816"/>
      <c r="Z79" s="816"/>
      <c r="AA79" s="816"/>
      <c r="AB79" s="816"/>
      <c r="AC79" s="816"/>
      <c r="AD79" s="816"/>
      <c r="AE79" s="816"/>
      <c r="AF79" s="816"/>
      <c r="AG79" s="816"/>
      <c r="AH79" s="816"/>
      <c r="AI79" s="1724"/>
      <c r="AJ79" s="56"/>
      <c r="AK79" s="139"/>
      <c r="AL79" s="56"/>
      <c r="AM79" s="1781"/>
      <c r="AN79" s="817"/>
      <c r="AO79" s="817"/>
      <c r="AP79" s="817"/>
    </row>
    <row r="80" spans="1:42" hidden="1" outlineLevel="1">
      <c r="A80" s="1758" t="s">
        <v>1177</v>
      </c>
      <c r="B80" s="816">
        <f>+'qtrP&amp;L'!F223</f>
        <v>398.43799999999965</v>
      </c>
      <c r="C80" s="816">
        <f>+'qtrP&amp;L'!J223</f>
        <v>403.30199999999945</v>
      </c>
      <c r="D80" s="816">
        <f>+'qtrP&amp;L'!N223</f>
        <v>446.3800000000009</v>
      </c>
      <c r="E80" s="816">
        <f>+'qtrP&amp;L'!R223</f>
        <v>390.99900000000048</v>
      </c>
      <c r="F80" s="816">
        <f>+'qtrP&amp;L'!V223</f>
        <v>448.34300000000053</v>
      </c>
      <c r="G80" s="816">
        <f>+'qtrP&amp;L'!Z223</f>
        <v>334.41800000000012</v>
      </c>
      <c r="H80" s="816">
        <f>+'qtrP&amp;L'!AD223</f>
        <v>361.28700000000015</v>
      </c>
      <c r="I80" s="816">
        <f>+'qtrP&amp;L'!AH223</f>
        <v>127.15000000000046</v>
      </c>
      <c r="J80" s="816">
        <f>+'qtrP&amp;L'!AL223</f>
        <v>375.29499999999979</v>
      </c>
      <c r="K80" s="816">
        <f>+'qtrP&amp;L'!AP223</f>
        <v>471.52700000000004</v>
      </c>
      <c r="L80" s="816">
        <f>+'qtrP&amp;L'!AT223</f>
        <v>460.91599999999983</v>
      </c>
      <c r="M80" s="816">
        <f>+'qtrP&amp;L'!AX223</f>
        <v>411.87100000000021</v>
      </c>
      <c r="N80" s="816">
        <f>+'qtrP&amp;L'!BB223</f>
        <v>494.37199999999996</v>
      </c>
      <c r="O80" s="816">
        <f>+'qtrP&amp;L'!BF223</f>
        <v>583.76800000000026</v>
      </c>
      <c r="P80" s="816">
        <f>+P56</f>
        <v>637.27200000000005</v>
      </c>
      <c r="Q80" s="816">
        <f>+Q56</f>
        <v>666.42</v>
      </c>
      <c r="R80" s="816">
        <f>+R56</f>
        <v>675.04899999999861</v>
      </c>
      <c r="S80" s="816">
        <f>+S56</f>
        <v>461.96100000000024</v>
      </c>
      <c r="T80" s="816">
        <f>'qtrP&amp;L'!CD223</f>
        <v>220.1009999999996</v>
      </c>
      <c r="U80" s="816">
        <f>'qtrP&amp;L'!CH223</f>
        <v>447.87899999999991</v>
      </c>
      <c r="V80" s="816">
        <f>+V56</f>
        <v>684.48000000000093</v>
      </c>
      <c r="W80" s="816">
        <f>'qtrP&amp;L'!CP223</f>
        <v>850.08299999999997</v>
      </c>
      <c r="X80" s="816">
        <f>+X56</f>
        <v>866.61470000000236</v>
      </c>
      <c r="Y80" s="816">
        <f>+Y56</f>
        <v>903.02799999999741</v>
      </c>
      <c r="Z80" s="816">
        <f>+Z56</f>
        <v>1042.0430000000019</v>
      </c>
      <c r="AA80" s="816">
        <v>1253</v>
      </c>
      <c r="AB80" s="816">
        <f t="shared" ref="AB80:AG80" si="86">+AB56</f>
        <v>1090.0950000000012</v>
      </c>
      <c r="AC80" s="816">
        <f t="shared" si="86"/>
        <v>919.35000000000093</v>
      </c>
      <c r="AD80" s="816">
        <f t="shared" si="86"/>
        <v>912.49968974994249</v>
      </c>
      <c r="AE80" s="816">
        <f t="shared" si="86"/>
        <v>982.70249388155639</v>
      </c>
      <c r="AF80" s="816">
        <f t="shared" si="86"/>
        <v>1065.2588025142418</v>
      </c>
      <c r="AG80" s="816">
        <f t="shared" si="86"/>
        <v>1162.2545615997276</v>
      </c>
      <c r="AH80" s="816">
        <f t="shared" ref="AH80" si="87">+AH56</f>
        <v>1259.7759807192706</v>
      </c>
      <c r="AI80" s="1724"/>
      <c r="AJ80" s="56">
        <f>((Z80/U80)^(1/5)-1)*100</f>
        <v>18.398169533545939</v>
      </c>
      <c r="AK80" s="406" t="s">
        <v>1084</v>
      </c>
      <c r="AL80" s="56">
        <f>((AE80/Z80)^(1/5)-1)*100</f>
        <v>-1.1657926601452151</v>
      </c>
      <c r="AM80" s="1781" t="s">
        <v>1084</v>
      </c>
      <c r="AN80" s="817"/>
      <c r="AO80" s="817"/>
      <c r="AP80" s="817"/>
    </row>
    <row r="81" spans="1:44" hidden="1" outlineLevel="1">
      <c r="A81" s="817" t="s">
        <v>826</v>
      </c>
      <c r="B81" s="1701">
        <f t="shared" ref="B81:Z81" si="88">+B80/B11</f>
        <v>0.11586929305824745</v>
      </c>
      <c r="C81" s="1701">
        <f t="shared" si="88"/>
        <v>9.7581406152461303E-2</v>
      </c>
      <c r="D81" s="1701">
        <f t="shared" si="88"/>
        <v>9.4841709870375268E-2</v>
      </c>
      <c r="E81" s="1701">
        <f t="shared" si="88"/>
        <v>7.7967456978205049E-2</v>
      </c>
      <c r="F81" s="1701">
        <f t="shared" si="88"/>
        <v>9.0784504978292282E-2</v>
      </c>
      <c r="G81" s="1701">
        <f t="shared" si="88"/>
        <v>6.0714783689807754E-2</v>
      </c>
      <c r="H81" s="1701">
        <f t="shared" si="88"/>
        <v>6.1668130903638783E-2</v>
      </c>
      <c r="I81" s="1701">
        <f t="shared" si="88"/>
        <v>2.2745389027545707E-2</v>
      </c>
      <c r="J81" s="1722">
        <f t="shared" si="88"/>
        <v>6.4844634298516987E-2</v>
      </c>
      <c r="K81" s="1701">
        <f t="shared" si="88"/>
        <v>0.10168939217163755</v>
      </c>
      <c r="L81" s="1701">
        <f t="shared" si="88"/>
        <v>9.326064017595273E-2</v>
      </c>
      <c r="M81" s="1701">
        <f t="shared" si="88"/>
        <v>8.600521998025859E-2</v>
      </c>
      <c r="N81" s="1701">
        <f t="shared" si="88"/>
        <v>9.7410610752226276E-2</v>
      </c>
      <c r="O81" s="1701">
        <f t="shared" si="88"/>
        <v>0.10842407242931901</v>
      </c>
      <c r="P81" s="1701">
        <f t="shared" si="88"/>
        <v>0.11218066580821422</v>
      </c>
      <c r="Q81" s="1701">
        <f t="shared" si="88"/>
        <v>0.1125620474597616</v>
      </c>
      <c r="R81" s="1701">
        <f t="shared" si="88"/>
        <v>0.10645240850409404</v>
      </c>
      <c r="S81" s="1701">
        <f t="shared" si="88"/>
        <v>7.3668308981403433E-2</v>
      </c>
      <c r="T81" s="1701">
        <f t="shared" si="88"/>
        <v>3.8658654414452195E-2</v>
      </c>
      <c r="U81" s="1701">
        <f t="shared" si="88"/>
        <v>8.5352311566742847E-2</v>
      </c>
      <c r="V81" s="1701">
        <f t="shared" si="88"/>
        <v>0.12188911025650723</v>
      </c>
      <c r="W81" s="1701">
        <f t="shared" si="88"/>
        <v>0.14325021194748519</v>
      </c>
      <c r="X81" s="1701">
        <f t="shared" si="88"/>
        <v>0.15259665229824382</v>
      </c>
      <c r="Y81" s="1701">
        <f t="shared" si="88"/>
        <v>0.15110455173706236</v>
      </c>
      <c r="Z81" s="1701">
        <f t="shared" si="88"/>
        <v>0.16676372811336423</v>
      </c>
      <c r="AA81" s="1701">
        <f t="shared" ref="AA81:AF81" si="89">+AA80/AA11</f>
        <v>0.19172723747828338</v>
      </c>
      <c r="AB81" s="1701">
        <f t="shared" si="89"/>
        <v>0.15648297692536614</v>
      </c>
      <c r="AC81" s="1701">
        <f t="shared" si="89"/>
        <v>0.12861051264162943</v>
      </c>
      <c r="AD81" s="1701">
        <f t="shared" si="89"/>
        <v>0.12274708382170207</v>
      </c>
      <c r="AE81" s="1701">
        <f t="shared" si="89"/>
        <v>0.12743689291732727</v>
      </c>
      <c r="AF81" s="1701">
        <f t="shared" si="89"/>
        <v>0.13267658962381593</v>
      </c>
      <c r="AG81" s="1701">
        <f>+AG80/AG11</f>
        <v>0.13918822461391869</v>
      </c>
      <c r="AH81" s="1701">
        <f>+AH80/AH11</f>
        <v>0.14531064157414128</v>
      </c>
      <c r="AI81" s="1724"/>
      <c r="AJ81" s="56"/>
      <c r="AK81" s="139"/>
      <c r="AL81" s="56"/>
      <c r="AM81" s="1781"/>
      <c r="AN81" s="817"/>
      <c r="AO81" s="817"/>
      <c r="AP81" s="817"/>
    </row>
    <row r="82" spans="1:44" hidden="1" outlineLevel="1">
      <c r="A82" s="1758"/>
      <c r="B82" s="816"/>
      <c r="C82" s="816"/>
      <c r="D82" s="816"/>
      <c r="E82" s="816"/>
      <c r="G82" s="816"/>
      <c r="H82" s="816"/>
      <c r="I82" s="816"/>
      <c r="J82" s="816"/>
      <c r="K82" s="816"/>
      <c r="L82" s="816"/>
      <c r="M82" s="816"/>
      <c r="N82" s="816"/>
      <c r="O82" s="816"/>
      <c r="P82" s="816"/>
      <c r="Q82" s="816"/>
      <c r="R82" s="816"/>
      <c r="S82" s="816"/>
      <c r="T82" s="816"/>
      <c r="U82" s="816"/>
      <c r="V82" s="816"/>
      <c r="W82" s="816"/>
      <c r="X82" s="816"/>
      <c r="Y82" s="816"/>
      <c r="Z82" s="816"/>
      <c r="AA82" s="816"/>
      <c r="AB82" s="816"/>
      <c r="AC82" s="816"/>
      <c r="AD82" s="816"/>
      <c r="AE82" s="816"/>
      <c r="AF82" s="816"/>
      <c r="AG82" s="816"/>
      <c r="AH82" s="816"/>
      <c r="AI82" s="1724"/>
      <c r="AJ82" s="56"/>
      <c r="AK82" s="139"/>
      <c r="AL82" s="56"/>
      <c r="AM82" s="1781"/>
      <c r="AN82" s="817"/>
      <c r="AO82" s="817"/>
      <c r="AP82" s="817"/>
    </row>
    <row r="83" spans="1:44" hidden="1" outlineLevel="1">
      <c r="A83" s="1758" t="s">
        <v>551</v>
      </c>
      <c r="B83" s="1760">
        <f t="shared" ref="B83:U83" si="90">+B80/B65</f>
        <v>0.73368246216850186</v>
      </c>
      <c r="C83" s="1760">
        <f t="shared" si="90"/>
        <v>0.73947314862181346</v>
      </c>
      <c r="D83" s="1760">
        <f t="shared" si="90"/>
        <v>0.81813466469455287</v>
      </c>
      <c r="E83" s="1760">
        <f t="shared" si="90"/>
        <v>0.71762555267403472</v>
      </c>
      <c r="F83" s="1760">
        <f t="shared" si="90"/>
        <v>0.83350390359573379</v>
      </c>
      <c r="G83" s="1760">
        <f t="shared" si="90"/>
        <v>0.62210762961660804</v>
      </c>
      <c r="H83" s="1760">
        <f t="shared" si="90"/>
        <v>0.85394588960230911</v>
      </c>
      <c r="I83" s="1760">
        <f t="shared" si="90"/>
        <v>0.27956360374305317</v>
      </c>
      <c r="J83" s="1760">
        <f t="shared" si="90"/>
        <v>0.8071519823125326</v>
      </c>
      <c r="K83" s="1760">
        <f t="shared" si="90"/>
        <v>0.85603154518008329</v>
      </c>
      <c r="L83" s="1760">
        <f t="shared" si="90"/>
        <v>0.85879314778033211</v>
      </c>
      <c r="M83" s="1760">
        <f t="shared" si="90"/>
        <v>0.78303364677163656</v>
      </c>
      <c r="N83" s="1760">
        <f t="shared" si="90"/>
        <v>0.92696980521093775</v>
      </c>
      <c r="O83" s="1760">
        <f t="shared" si="90"/>
        <v>1.1103929576152067</v>
      </c>
      <c r="P83" s="1760">
        <f t="shared" si="90"/>
        <v>1.331475217343159</v>
      </c>
      <c r="Q83" s="1760">
        <f t="shared" si="90"/>
        <v>1.6217123834368368</v>
      </c>
      <c r="R83" s="1760">
        <f t="shared" si="90"/>
        <v>1.6771445394895355</v>
      </c>
      <c r="S83" s="1760">
        <f t="shared" si="90"/>
        <v>1.2149514767377645</v>
      </c>
      <c r="T83" s="1760">
        <f t="shared" si="90"/>
        <v>0.65253586559185894</v>
      </c>
      <c r="U83" s="1760">
        <f t="shared" si="90"/>
        <v>1.3706455709760834</v>
      </c>
      <c r="V83" s="1760">
        <f>+V80/V65</f>
        <v>2.0562735449449367</v>
      </c>
      <c r="W83" s="1760">
        <f>+W80/W65</f>
        <v>2.7046775694831435</v>
      </c>
      <c r="X83" s="1760">
        <f>+X80/X65</f>
        <v>2.9201658529024335</v>
      </c>
      <c r="Y83" s="1760">
        <f>+Y80/Y65</f>
        <v>3.0502035094830262</v>
      </c>
      <c r="Z83" s="1760">
        <f>+Z80/Z65</f>
        <v>3.4972580212109077</v>
      </c>
      <c r="AA83" s="1760">
        <f t="shared" ref="AA83:AF83" si="91">+AA80/AA65</f>
        <v>4.221865252414811</v>
      </c>
      <c r="AB83" s="1760">
        <f t="shared" si="91"/>
        <v>3.7451943723910506</v>
      </c>
      <c r="AC83" s="1760">
        <f t="shared" si="91"/>
        <v>3.2021943573667739</v>
      </c>
      <c r="AD83" s="1760">
        <f t="shared" si="91"/>
        <v>3.232948413640186</v>
      </c>
      <c r="AE83" s="1760">
        <f t="shared" si="91"/>
        <v>3.4992373669372929</v>
      </c>
      <c r="AF83" s="1760">
        <f t="shared" si="91"/>
        <v>3.7990039658315498</v>
      </c>
      <c r="AG83" s="1760">
        <f>+AG80/AG65</f>
        <v>4.1486161209525827</v>
      </c>
      <c r="AH83" s="1760">
        <f>+AH80/AH65</f>
        <v>4.5007307919538428</v>
      </c>
      <c r="AI83" s="1724"/>
      <c r="AJ83" s="56">
        <f>((Z83/U83)^(1/5)-1)*100</f>
        <v>20.603663856686481</v>
      </c>
      <c r="AK83" s="406" t="s">
        <v>1084</v>
      </c>
      <c r="AL83" s="56">
        <f>((AE83/Z83)^(1/5)-1)*100</f>
        <v>1.1316853179144104E-2</v>
      </c>
      <c r="AM83" s="1781" t="s">
        <v>1084</v>
      </c>
      <c r="AN83" s="817"/>
      <c r="AO83" s="817"/>
      <c r="AP83" s="817"/>
    </row>
    <row r="84" spans="1:44" hidden="1" outlineLevel="1">
      <c r="A84" s="1758"/>
      <c r="B84" s="816"/>
      <c r="C84" s="1764">
        <f t="shared" ref="C84:Z84" si="92">C83/B83-1</f>
        <v>7.892633055717857E-3</v>
      </c>
      <c r="D84" s="1764">
        <f t="shared" si="92"/>
        <v>0.1063750809875168</v>
      </c>
      <c r="E84" s="1722">
        <f t="shared" si="92"/>
        <v>-0.12285155043276741</v>
      </c>
      <c r="F84" s="1722">
        <f t="shared" si="92"/>
        <v>0.16147467225757239</v>
      </c>
      <c r="G84" s="1722">
        <f t="shared" si="92"/>
        <v>-0.25362361599887262</v>
      </c>
      <c r="H84" s="1722">
        <f t="shared" si="92"/>
        <v>0.37266583618107707</v>
      </c>
      <c r="I84" s="1722">
        <f t="shared" si="92"/>
        <v>-0.67262140710900464</v>
      </c>
      <c r="J84" s="1722">
        <f t="shared" si="92"/>
        <v>1.8871854973453046</v>
      </c>
      <c r="K84" s="1722">
        <f t="shared" si="92"/>
        <v>6.0558065814951156E-2</v>
      </c>
      <c r="L84" s="1722">
        <f t="shared" si="92"/>
        <v>3.2260523759879423E-3</v>
      </c>
      <c r="M84" s="1722">
        <f t="shared" si="92"/>
        <v>-8.8216238339239528E-2</v>
      </c>
      <c r="N84" s="1764">
        <f t="shared" si="92"/>
        <v>0.18381861243477138</v>
      </c>
      <c r="O84" s="1764">
        <f t="shared" si="92"/>
        <v>0.1978739235875433</v>
      </c>
      <c r="P84" s="1722">
        <f t="shared" si="92"/>
        <v>0.19910272143905794</v>
      </c>
      <c r="Q84" s="1764">
        <f t="shared" si="92"/>
        <v>0.21798165096367339</v>
      </c>
      <c r="R84" s="1764">
        <f t="shared" si="92"/>
        <v>3.4181249781926937E-2</v>
      </c>
      <c r="S84" s="1764">
        <f t="shared" si="92"/>
        <v>-0.27558332145448028</v>
      </c>
      <c r="T84" s="1764">
        <f t="shared" si="92"/>
        <v>-0.46291199435884756</v>
      </c>
      <c r="U84" s="1764">
        <f t="shared" si="92"/>
        <v>1.1004907825762023</v>
      </c>
      <c r="V84" s="1764">
        <f t="shared" si="92"/>
        <v>0.50022266039249974</v>
      </c>
      <c r="W84" s="1764">
        <f t="shared" si="92"/>
        <v>0.31532965355325326</v>
      </c>
      <c r="X84" s="1764">
        <f t="shared" si="92"/>
        <v>7.9672448150804653E-2</v>
      </c>
      <c r="Y84" s="1764">
        <f t="shared" si="92"/>
        <v>4.4530914725732007E-2</v>
      </c>
      <c r="Z84" s="1764">
        <f t="shared" si="92"/>
        <v>0.14656547025075461</v>
      </c>
      <c r="AA84" s="1764">
        <f t="shared" ref="AA84:AH84" si="93">AA83/Z83-1</f>
        <v>0.20719295711358798</v>
      </c>
      <c r="AB84" s="1764">
        <f t="shared" si="93"/>
        <v>-0.11290528037367265</v>
      </c>
      <c r="AC84" s="1764">
        <f t="shared" si="93"/>
        <v>-0.1449858034144188</v>
      </c>
      <c r="AD84" s="1764">
        <f t="shared" si="93"/>
        <v>9.6040567314914504E-3</v>
      </c>
      <c r="AE84" s="1764">
        <f t="shared" si="93"/>
        <v>8.2367213832921893E-2</v>
      </c>
      <c r="AF84" s="1764">
        <f t="shared" si="93"/>
        <v>8.5666265948865172E-2</v>
      </c>
      <c r="AG84" s="1764">
        <f t="shared" si="93"/>
        <v>9.202732038857131E-2</v>
      </c>
      <c r="AH84" s="1764">
        <f t="shared" si="93"/>
        <v>8.4875211573060438E-2</v>
      </c>
      <c r="AI84" s="1773"/>
      <c r="AJ84" s="137"/>
      <c r="AK84" s="137"/>
      <c r="AL84" s="137"/>
      <c r="AM84" s="540"/>
      <c r="AN84" s="817"/>
      <c r="AO84" s="817"/>
      <c r="AP84" s="817"/>
    </row>
    <row r="85" spans="1:44" collapsed="1">
      <c r="A85" s="1779" t="s">
        <v>546</v>
      </c>
      <c r="B85" s="816"/>
      <c r="C85" s="816"/>
      <c r="D85" s="816"/>
      <c r="E85" s="816"/>
      <c r="F85" s="816"/>
      <c r="G85" s="816"/>
      <c r="H85" s="816"/>
      <c r="I85" s="816"/>
      <c r="J85" s="816"/>
      <c r="K85" s="816"/>
      <c r="L85" s="816"/>
      <c r="M85" s="816"/>
      <c r="N85" s="816"/>
      <c r="O85" s="816"/>
      <c r="P85" s="816"/>
      <c r="Q85" s="816"/>
      <c r="R85" s="816"/>
      <c r="S85" s="816"/>
      <c r="T85" s="816"/>
      <c r="U85" s="816"/>
      <c r="V85" s="816"/>
      <c r="W85" s="816"/>
      <c r="X85" s="816"/>
      <c r="Y85" s="816"/>
      <c r="Z85" s="816"/>
      <c r="AA85" s="816"/>
      <c r="AB85" s="816"/>
      <c r="AC85" s="816"/>
      <c r="AD85" s="816"/>
      <c r="AE85" s="816"/>
      <c r="AF85" s="816"/>
      <c r="AG85" s="816"/>
      <c r="AH85" s="816"/>
      <c r="AI85" s="816"/>
      <c r="AJ85" s="2"/>
      <c r="AK85" s="2"/>
      <c r="AL85" s="7"/>
      <c r="AM85" s="2"/>
      <c r="AN85" s="817"/>
      <c r="AO85" s="817"/>
      <c r="AP85" s="817"/>
    </row>
    <row r="86" spans="1:44">
      <c r="A86" s="1700" t="s">
        <v>545</v>
      </c>
      <c r="B86" s="1699"/>
      <c r="C86" s="1782"/>
      <c r="D86" s="1782"/>
      <c r="E86" s="1782"/>
      <c r="F86" s="1782"/>
      <c r="G86" s="1782"/>
      <c r="H86" s="1782"/>
      <c r="I86" s="1782"/>
      <c r="J86" s="1782"/>
      <c r="K86" s="1782"/>
      <c r="L86" s="1782"/>
      <c r="M86" s="1782"/>
      <c r="N86" s="1782"/>
      <c r="O86" s="1782"/>
      <c r="P86" s="1782"/>
      <c r="Q86" s="1782"/>
      <c r="R86" s="1782"/>
      <c r="S86" s="1782"/>
      <c r="T86" s="1782"/>
      <c r="U86" s="1782"/>
      <c r="V86" s="1782"/>
      <c r="W86" s="1782"/>
      <c r="X86" s="1782"/>
      <c r="Y86" s="1782"/>
      <c r="Z86" s="1782"/>
      <c r="AA86" s="1782"/>
      <c r="AB86" s="1782"/>
      <c r="AC86" s="1782"/>
      <c r="AD86" s="1782"/>
      <c r="AE86" s="1782"/>
      <c r="AF86" s="1782"/>
      <c r="AG86" s="1782"/>
      <c r="AH86" s="1782"/>
      <c r="AI86" s="1782"/>
      <c r="AJ86" s="1783"/>
      <c r="AK86" s="1783"/>
      <c r="AL86" s="1784"/>
      <c r="AM86" s="1783"/>
      <c r="AN86" s="1785"/>
      <c r="AO86" s="1785"/>
      <c r="AP86" s="1785"/>
      <c r="AQ86" s="643"/>
      <c r="AR86" s="643"/>
    </row>
    <row r="87" spans="1:44">
      <c r="A87" s="1700" t="s">
        <v>522</v>
      </c>
      <c r="B87" s="1699"/>
      <c r="C87" s="1782"/>
      <c r="D87" s="1782"/>
      <c r="E87" s="1782"/>
      <c r="F87" s="1782"/>
      <c r="G87" s="1782"/>
      <c r="H87" s="1782"/>
      <c r="I87" s="1782"/>
      <c r="J87" s="1782"/>
      <c r="K87" s="1782"/>
      <c r="L87" s="1782"/>
      <c r="M87" s="1782"/>
      <c r="N87" s="1782"/>
      <c r="O87" s="1782"/>
      <c r="P87" s="1782"/>
      <c r="Q87" s="1782"/>
      <c r="R87" s="1782"/>
      <c r="S87" s="1782"/>
      <c r="T87" s="1782"/>
      <c r="U87" s="1782"/>
      <c r="V87" s="1782"/>
      <c r="W87" s="1782"/>
      <c r="X87" s="1782"/>
      <c r="Y87" s="1782"/>
      <c r="Z87" s="1782"/>
      <c r="AA87" s="1782"/>
      <c r="AB87" s="1782"/>
      <c r="AC87" s="1782"/>
      <c r="AD87" s="1782"/>
      <c r="AE87" s="1782"/>
      <c r="AF87" s="1782"/>
      <c r="AG87" s="1782"/>
      <c r="AH87" s="1782"/>
      <c r="AI87" s="1782"/>
      <c r="AJ87" s="1783"/>
      <c r="AK87" s="1783"/>
      <c r="AL87" s="1784"/>
      <c r="AM87" s="1783"/>
      <c r="AN87" s="1785"/>
      <c r="AO87" s="1785"/>
      <c r="AP87" s="1785"/>
      <c r="AQ87" s="643"/>
      <c r="AR87" s="643"/>
    </row>
    <row r="88" spans="1:44">
      <c r="A88" s="1700" t="s">
        <v>632</v>
      </c>
      <c r="B88" s="1699"/>
      <c r="C88" s="1782"/>
      <c r="D88" s="1782"/>
      <c r="E88" s="1782"/>
      <c r="F88" s="1782"/>
      <c r="G88" s="1782"/>
      <c r="H88" s="1782"/>
      <c r="I88" s="1782"/>
      <c r="J88" s="1782"/>
      <c r="K88" s="1782"/>
      <c r="L88" s="1782"/>
      <c r="M88" s="1782"/>
      <c r="N88" s="1782"/>
      <c r="O88" s="1782"/>
      <c r="P88" s="1782"/>
      <c r="Q88" s="1782"/>
      <c r="R88" s="1782"/>
      <c r="S88" s="1782"/>
      <c r="T88" s="1782"/>
      <c r="U88" s="1782"/>
      <c r="V88" s="1782"/>
      <c r="W88" s="1782"/>
      <c r="X88" s="1782"/>
      <c r="Y88" s="1782"/>
      <c r="Z88" s="1782"/>
      <c r="AA88" s="1782"/>
      <c r="AB88" s="1782"/>
      <c r="AC88" s="1782"/>
      <c r="AD88" s="1782"/>
      <c r="AE88" s="1782"/>
      <c r="AF88" s="1782"/>
      <c r="AG88" s="1782"/>
      <c r="AH88" s="1782"/>
      <c r="AI88" s="1782"/>
      <c r="AJ88" s="1783"/>
      <c r="AK88" s="1783"/>
      <c r="AL88" s="1784"/>
      <c r="AM88" s="1783"/>
      <c r="AN88" s="1785"/>
      <c r="AO88" s="1785"/>
      <c r="AP88" s="1785"/>
      <c r="AQ88" s="643"/>
      <c r="AR88" s="643"/>
    </row>
    <row r="89" spans="1:44">
      <c r="A89" s="1700" t="s">
        <v>990</v>
      </c>
      <c r="B89" s="1699"/>
      <c r="C89" s="1782"/>
      <c r="D89" s="1782"/>
      <c r="E89" s="1782"/>
      <c r="F89" s="1782"/>
      <c r="G89" s="1782"/>
      <c r="H89" s="1782"/>
      <c r="I89" s="1782"/>
      <c r="J89" s="1782"/>
      <c r="K89" s="1782"/>
      <c r="L89" s="1782"/>
      <c r="M89" s="1782"/>
      <c r="N89" s="1782"/>
      <c r="O89" s="1782"/>
      <c r="P89" s="1782"/>
      <c r="Q89" s="1782"/>
      <c r="R89" s="1782"/>
      <c r="S89" s="1782"/>
      <c r="T89" s="1782"/>
      <c r="U89" s="1782"/>
      <c r="V89" s="1782"/>
      <c r="W89" s="1782"/>
      <c r="X89" s="1782"/>
      <c r="Y89" s="1782"/>
      <c r="Z89" s="1782"/>
      <c r="AA89" s="1782"/>
      <c r="AB89" s="1782"/>
      <c r="AC89" s="1782"/>
      <c r="AD89" s="1782"/>
      <c r="AE89" s="1782"/>
      <c r="AF89" s="1782"/>
      <c r="AG89" s="1782"/>
      <c r="AH89" s="1782"/>
      <c r="AI89" s="1782"/>
      <c r="AJ89" s="1783"/>
      <c r="AK89" s="1783"/>
      <c r="AL89" s="1784"/>
      <c r="AM89" s="1783"/>
      <c r="AN89" s="1785"/>
      <c r="AO89" s="1785"/>
      <c r="AP89" s="1785"/>
      <c r="AQ89" s="643"/>
      <c r="AR89" s="643"/>
    </row>
    <row r="90" spans="1:44">
      <c r="A90" s="1700" t="s">
        <v>397</v>
      </c>
      <c r="B90" s="1699"/>
      <c r="C90" s="1782"/>
      <c r="D90" s="1782"/>
      <c r="E90" s="1782"/>
      <c r="F90" s="1782"/>
      <c r="G90" s="1782"/>
      <c r="H90" s="1782"/>
      <c r="I90" s="1782"/>
      <c r="J90" s="1782"/>
      <c r="K90" s="1782"/>
      <c r="L90" s="1782"/>
      <c r="M90" s="1782"/>
      <c r="N90" s="1782"/>
      <c r="O90" s="1782"/>
      <c r="P90" s="1782"/>
      <c r="Q90" s="1782"/>
      <c r="R90" s="1782"/>
      <c r="S90" s="1782"/>
      <c r="T90" s="1782"/>
      <c r="U90" s="1782"/>
      <c r="V90" s="1782"/>
      <c r="W90" s="1782"/>
      <c r="X90" s="1782"/>
      <c r="Y90" s="1782"/>
      <c r="Z90" s="1782"/>
      <c r="AA90" s="1782"/>
      <c r="AB90" s="1782"/>
      <c r="AC90" s="1782"/>
      <c r="AD90" s="1782"/>
      <c r="AE90" s="1782"/>
      <c r="AF90" s="1782"/>
      <c r="AG90" s="1782"/>
      <c r="AH90" s="1782"/>
      <c r="AI90" s="1782"/>
      <c r="AJ90" s="1783"/>
      <c r="AK90" s="1783"/>
      <c r="AL90" s="1784"/>
      <c r="AM90" s="1783"/>
      <c r="AN90" s="1785"/>
      <c r="AO90" s="1785"/>
      <c r="AP90" s="1785"/>
      <c r="AQ90" s="643"/>
      <c r="AR90" s="643"/>
    </row>
    <row r="91" spans="1:44">
      <c r="A91" s="1700" t="s">
        <v>219</v>
      </c>
      <c r="B91" s="1699"/>
      <c r="C91" s="1782"/>
      <c r="D91" s="1782"/>
      <c r="E91" s="1782"/>
      <c r="F91" s="1782"/>
      <c r="G91" s="1782"/>
      <c r="H91" s="1782"/>
      <c r="I91" s="1782"/>
      <c r="J91" s="1782"/>
      <c r="K91" s="1782"/>
      <c r="L91" s="1782"/>
      <c r="M91" s="1782"/>
      <c r="N91" s="1782"/>
      <c r="O91" s="1782"/>
      <c r="P91" s="1782"/>
      <c r="Q91" s="1782"/>
      <c r="R91" s="1782"/>
      <c r="S91" s="1782"/>
      <c r="T91" s="1782"/>
      <c r="U91" s="1782"/>
      <c r="V91" s="1782"/>
      <c r="W91" s="1782"/>
      <c r="X91" s="1782"/>
      <c r="Y91" s="1782"/>
      <c r="Z91" s="1782"/>
      <c r="AA91" s="1782"/>
      <c r="AB91" s="1782"/>
      <c r="AC91" s="1782"/>
      <c r="AD91" s="1782"/>
      <c r="AE91" s="1782"/>
      <c r="AF91" s="1782"/>
      <c r="AG91" s="1782"/>
      <c r="AH91" s="1782"/>
      <c r="AI91" s="1782"/>
      <c r="AJ91" s="1783"/>
      <c r="AK91" s="1783"/>
      <c r="AL91" s="1784"/>
      <c r="AM91" s="1783"/>
      <c r="AN91" s="1785"/>
      <c r="AO91" s="1785"/>
      <c r="AP91" s="1785"/>
      <c r="AQ91" s="643"/>
      <c r="AR91" s="643"/>
    </row>
    <row r="92" spans="1:44">
      <c r="A92" s="1700"/>
      <c r="B92" s="1699"/>
      <c r="C92" s="1782"/>
      <c r="D92" s="1782"/>
      <c r="E92" s="1782"/>
      <c r="F92" s="1782"/>
      <c r="G92" s="1782"/>
      <c r="H92" s="1782"/>
      <c r="I92" s="1782"/>
      <c r="J92" s="1782"/>
      <c r="K92" s="1782"/>
      <c r="L92" s="1782"/>
      <c r="M92" s="1782"/>
      <c r="N92" s="1782"/>
      <c r="O92" s="1782"/>
      <c r="P92" s="1782"/>
      <c r="Q92" s="1782"/>
      <c r="R92" s="1782"/>
      <c r="S92" s="1782"/>
      <c r="T92" s="1782"/>
      <c r="U92" s="1782"/>
      <c r="V92" s="1782"/>
      <c r="W92" s="1782"/>
      <c r="X92" s="1782"/>
      <c r="Y92" s="1782"/>
      <c r="Z92" s="1782"/>
      <c r="AA92" s="1782"/>
      <c r="AB92" s="1782"/>
      <c r="AC92" s="1782"/>
      <c r="AD92" s="1782"/>
      <c r="AE92" s="1782"/>
      <c r="AF92" s="1782"/>
      <c r="AG92" s="1782"/>
      <c r="AH92" s="1782"/>
      <c r="AI92" s="1782"/>
      <c r="AJ92" s="1783"/>
      <c r="AK92" s="1783"/>
      <c r="AL92" s="1784"/>
      <c r="AM92" s="1783"/>
      <c r="AN92" s="1785"/>
      <c r="AO92" s="1785"/>
      <c r="AP92" s="1785"/>
      <c r="AQ92" s="643"/>
      <c r="AR92" s="643"/>
    </row>
    <row r="93" spans="1:44">
      <c r="A93" s="1786" t="s">
        <v>1272</v>
      </c>
      <c r="B93" s="1699"/>
      <c r="C93" s="1782"/>
      <c r="D93" s="1782"/>
      <c r="E93" s="1782"/>
      <c r="F93" s="1782"/>
      <c r="G93" s="1782"/>
      <c r="H93" s="1782"/>
      <c r="I93" s="1782"/>
      <c r="J93" s="1782"/>
      <c r="K93" s="1782"/>
      <c r="L93" s="1782"/>
      <c r="M93" s="1782"/>
      <c r="N93" s="1782"/>
      <c r="O93" s="1782"/>
      <c r="P93" s="1782"/>
      <c r="Q93" s="1782"/>
      <c r="R93" s="1782"/>
      <c r="S93" s="1782"/>
      <c r="T93" s="1782"/>
      <c r="U93" s="1782"/>
      <c r="V93" s="1782"/>
      <c r="W93" s="1782"/>
      <c r="X93" s="1782"/>
      <c r="Y93" s="1782"/>
      <c r="Z93" s="1782"/>
      <c r="AA93" s="1782"/>
      <c r="AB93" s="1782"/>
      <c r="AC93" s="1782"/>
      <c r="AD93" s="1782"/>
      <c r="AE93" s="1782"/>
      <c r="AF93" s="1782"/>
      <c r="AG93" s="1782"/>
      <c r="AH93" s="1782"/>
      <c r="AI93" s="1782"/>
      <c r="AJ93" s="1783"/>
      <c r="AK93" s="1783"/>
      <c r="AL93" s="1784"/>
      <c r="AM93" s="1783"/>
      <c r="AN93" s="1785"/>
      <c r="AO93" s="1785"/>
      <c r="AP93" s="1785"/>
      <c r="AQ93" s="643"/>
      <c r="AR93" s="643"/>
    </row>
    <row r="94" spans="1:44">
      <c r="A94" s="23" t="s">
        <v>549</v>
      </c>
      <c r="B94" s="1787"/>
      <c r="C94" s="1787"/>
      <c r="D94" s="1788"/>
      <c r="E94" s="1787"/>
      <c r="F94" s="1787"/>
      <c r="G94" s="1782"/>
      <c r="H94" s="1782"/>
      <c r="I94" s="1785"/>
      <c r="J94" s="1785"/>
      <c r="K94" s="1785"/>
      <c r="L94" s="1785"/>
      <c r="M94" s="1785"/>
      <c r="N94" s="1785"/>
      <c r="O94" s="1785"/>
      <c r="P94" s="1785"/>
      <c r="Q94" s="1785"/>
      <c r="R94" s="1785"/>
      <c r="S94" s="1785"/>
      <c r="T94" s="1785"/>
      <c r="U94" s="1785"/>
      <c r="V94" s="1785"/>
      <c r="W94" s="1785"/>
      <c r="X94" s="1785"/>
      <c r="Y94" s="1785"/>
      <c r="Z94" s="1785"/>
      <c r="AA94" s="1785"/>
      <c r="AB94" s="1785"/>
      <c r="AC94" s="1785"/>
      <c r="AD94" s="1785"/>
      <c r="AE94" s="1785"/>
      <c r="AF94" s="1785"/>
      <c r="AG94" s="1785"/>
      <c r="AH94" s="1785"/>
      <c r="AI94" s="1785"/>
      <c r="AJ94" s="1785"/>
      <c r="AK94" s="1785"/>
      <c r="AL94" s="1785"/>
      <c r="AM94" s="1785"/>
      <c r="AN94" s="1785"/>
      <c r="AO94" s="1785"/>
      <c r="AP94" s="1785"/>
      <c r="AQ94" s="643"/>
      <c r="AR94" s="643"/>
    </row>
    <row r="96" spans="1:44">
      <c r="A96" s="1700" t="s">
        <v>743</v>
      </c>
    </row>
    <row r="97" spans="1:44">
      <c r="A97" s="1700"/>
    </row>
    <row r="98" spans="1:44">
      <c r="A98" s="1700" t="s">
        <v>16</v>
      </c>
      <c r="V98" s="1937">
        <f>V37+V31+V13</f>
        <v>2171.9260000000008</v>
      </c>
      <c r="W98" s="1937">
        <f t="shared" ref="W98:AF98" si="94">W37+W31+W13</f>
        <v>2451.4249999999993</v>
      </c>
      <c r="X98" s="1937">
        <f t="shared" si="94"/>
        <v>2640.8910000000024</v>
      </c>
      <c r="Y98" s="1937">
        <f t="shared" si="94"/>
        <v>2724.4549999999972</v>
      </c>
      <c r="Z98" s="1937">
        <f t="shared" si="94"/>
        <v>2997.9100000000017</v>
      </c>
      <c r="AA98" s="1937">
        <f t="shared" si="94"/>
        <v>3291.4789999999989</v>
      </c>
      <c r="AB98" s="1937">
        <f t="shared" si="94"/>
        <v>3273.9320000000012</v>
      </c>
      <c r="AC98" s="1937">
        <f t="shared" si="94"/>
        <v>3055.9420000000009</v>
      </c>
      <c r="AD98" s="1937">
        <f t="shared" si="94"/>
        <v>3035.5007460263732</v>
      </c>
      <c r="AE98" s="1937">
        <f t="shared" si="94"/>
        <v>3238.0253841901185</v>
      </c>
      <c r="AF98" s="1937">
        <f t="shared" si="94"/>
        <v>3451.2838660064367</v>
      </c>
      <c r="AG98" s="1937">
        <f>AG37+AG31+AG13</f>
        <v>3651.8165835886011</v>
      </c>
      <c r="AH98" s="1937">
        <f>AH37+AH31+AH13</f>
        <v>3856.9694976431911</v>
      </c>
    </row>
    <row r="99" spans="1:44">
      <c r="A99" s="1700"/>
    </row>
    <row r="100" spans="1:44" hidden="1" outlineLevel="1">
      <c r="A100" s="25" t="s">
        <v>346</v>
      </c>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row>
    <row r="101" spans="1:44" hidden="1" outlineLevel="1">
      <c r="A101" s="199" t="s">
        <v>609</v>
      </c>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row>
    <row r="102" spans="1:44" hidden="1" outlineLevel="1"/>
    <row r="103" spans="1:44" hidden="1" outlineLevel="1">
      <c r="A103" s="25" t="s">
        <v>608</v>
      </c>
    </row>
    <row r="104" spans="1:44" hidden="1" outlineLevel="1">
      <c r="A104" s="23" t="s">
        <v>1160</v>
      </c>
      <c r="K104" s="468">
        <f>+'segSales&amp;OM'!CT63</f>
        <v>497.37199999999996</v>
      </c>
      <c r="L104" s="468">
        <f>+'segSales&amp;OM'!CT70</f>
        <v>468.572</v>
      </c>
      <c r="M104" s="468">
        <f>+'segSales&amp;OM'!CT77</f>
        <v>453.59799999999996</v>
      </c>
      <c r="N104" s="468">
        <f>+'segSales&amp;OM'!CT84</f>
        <v>614</v>
      </c>
      <c r="O104" s="468">
        <f>+'segSales&amp;OM'!CT91</f>
        <v>710.58600000000001</v>
      </c>
      <c r="P104" s="1789">
        <f>+P111*yrSales!Z65</f>
        <v>719.46380000000011</v>
      </c>
      <c r="Q104" s="1789">
        <f>+Q111*yrSales!AA65</f>
        <v>756.09420999999998</v>
      </c>
      <c r="R104" s="1789">
        <f>+R111*yrSales!AB65</f>
        <v>869.66270999999995</v>
      </c>
      <c r="S104" s="1789">
        <f>+S111*yrSales!AC65</f>
        <v>870.23629000000005</v>
      </c>
      <c r="T104" s="1789">
        <f>+T111*yrSales!AD65</f>
        <v>869.12500000000011</v>
      </c>
      <c r="U104" s="1789">
        <f>+U111*yrSales!AE65</f>
        <v>830.12700000000007</v>
      </c>
      <c r="V104" s="1789">
        <f>+V111*yrSales!AS65</f>
        <v>0</v>
      </c>
      <c r="W104" s="1789">
        <f>+W111*yrSales!AT65</f>
        <v>0</v>
      </c>
      <c r="X104" s="1789">
        <f>+X111*yrSales!AU65</f>
        <v>0</v>
      </c>
      <c r="Y104" s="1789">
        <f>+Y111*yrSales!AV65</f>
        <v>0</v>
      </c>
      <c r="Z104" s="1789" t="e">
        <f>+Z111*yrSales!AW65</f>
        <v>#VALUE!</v>
      </c>
      <c r="AA104" s="1789" t="e">
        <f>+AA111*yrSales!AX65</f>
        <v>#VALUE!</v>
      </c>
      <c r="AB104" s="1789"/>
      <c r="AC104" s="1789"/>
      <c r="AD104" s="1789"/>
      <c r="AE104" s="1789"/>
      <c r="AF104" s="1789"/>
      <c r="AG104" s="1789"/>
      <c r="AH104" s="1789"/>
    </row>
    <row r="105" spans="1:44" hidden="1" outlineLevel="1">
      <c r="A105" s="23" t="s">
        <v>606</v>
      </c>
      <c r="K105" s="468">
        <f>+'segSales&amp;OM'!DA63</f>
        <v>394.10500000000002</v>
      </c>
      <c r="L105" s="468">
        <f>+'segSales&amp;OM'!DA70</f>
        <v>417.916</v>
      </c>
      <c r="M105" s="468">
        <f>+'segSales&amp;OM'!DA77</f>
        <v>347.03300000000002</v>
      </c>
      <c r="N105" s="468">
        <f>+'segSales&amp;OM'!DA84</f>
        <v>300</v>
      </c>
      <c r="O105" s="468">
        <f>+'segSales&amp;OM'!DA91</f>
        <v>355.18399999999997</v>
      </c>
      <c r="P105" s="1789">
        <f>+P112*yrSales!Z113</f>
        <v>381.68134400000002</v>
      </c>
      <c r="Q105" s="1789">
        <f>+Q112*yrSales!AA113</f>
        <v>413.54011199999997</v>
      </c>
      <c r="R105" s="1789">
        <f>+R112*yrSales!AB113</f>
        <v>475.30532999999997</v>
      </c>
      <c r="S105" s="1789">
        <f>+S112*yrSales!AC113</f>
        <v>476.36660600000005</v>
      </c>
      <c r="T105" s="1789">
        <f>+T112*yrSales!AD113</f>
        <v>453.35970099999997</v>
      </c>
      <c r="U105" s="1789">
        <f>+U112*yrSales!AE113</f>
        <v>455.073353</v>
      </c>
      <c r="V105" s="1789">
        <f>+V112*yrSales!AS113</f>
        <v>0</v>
      </c>
      <c r="W105" s="1789">
        <f>+W112*yrSales!AT113</f>
        <v>1.40470893506047</v>
      </c>
      <c r="X105" s="1789" t="e">
        <f>+X112*yrSales!AU113</f>
        <v>#VALUE!</v>
      </c>
      <c r="Y105" s="1789">
        <f>+Y112*yrSales!AV113</f>
        <v>1.1094077536667422</v>
      </c>
      <c r="Z105" s="1789" t="e">
        <f>+Z112*yrSales!AW113</f>
        <v>#VALUE!</v>
      </c>
      <c r="AA105" s="1789">
        <f>+AA112*yrSales!AX113</f>
        <v>0</v>
      </c>
      <c r="AB105" s="1789"/>
      <c r="AC105" s="1789"/>
      <c r="AD105" s="1789"/>
      <c r="AE105" s="1789"/>
      <c r="AF105" s="1789"/>
      <c r="AG105" s="1789"/>
      <c r="AH105" s="1789"/>
    </row>
    <row r="106" spans="1:44" hidden="1" outlineLevel="1">
      <c r="A106" s="23" t="s">
        <v>376</v>
      </c>
      <c r="K106" s="468">
        <f>+'segSales&amp;OM'!DH63</f>
        <v>44.822000000000003</v>
      </c>
      <c r="L106" s="468">
        <f>+'segSales&amp;OM'!DH70</f>
        <v>74.774000000000001</v>
      </c>
      <c r="M106" s="468">
        <f>+'segSales&amp;OM'!DH77</f>
        <v>55.231000000000002</v>
      </c>
      <c r="N106" s="468">
        <f>+'segSales&amp;OM'!DH84</f>
        <v>115</v>
      </c>
      <c r="O106" s="468">
        <f>+'segSales&amp;OM'!DH91</f>
        <v>90.897000000000006</v>
      </c>
      <c r="P106" s="1789">
        <f>+P113*(yrSales!Z159+yrSales!Z234)</f>
        <v>107.07210699999999</v>
      </c>
      <c r="Q106" s="1789">
        <f>+Q113*(yrSales!AA159+yrSales!AA234)</f>
        <v>105.26210999999999</v>
      </c>
      <c r="R106" s="1789">
        <f>+R113*(yrSales!AB159+yrSales!AB234)</f>
        <v>105.38340000000001</v>
      </c>
      <c r="S106" s="1789">
        <f>+S113*(yrSales!AC159+yrSales!AC234)</f>
        <v>107.75679099822442</v>
      </c>
      <c r="T106" s="1789">
        <f>+T113*(yrSales!AD159+yrSales!AD234)</f>
        <v>115.30577879447691</v>
      </c>
      <c r="U106" s="1789">
        <f>+U113*(yrSales!AE159+yrSales!AE234)</f>
        <v>117.05939437036643</v>
      </c>
      <c r="V106" s="1789">
        <f>+V113*(yrSales!AS159+yrSales!AS234)</f>
        <v>0</v>
      </c>
      <c r="W106" s="1789">
        <f>+W113*(yrSales!AT159+yrSales!AT234)</f>
        <v>-0.10576838596182137</v>
      </c>
      <c r="X106" s="1789" t="e">
        <f>+X113*(yrSales!AU159+yrSales!AU234)</f>
        <v>#VALUE!</v>
      </c>
      <c r="Y106" s="1789">
        <f>+Y113*(yrSales!AV159+yrSales!AV234)</f>
        <v>6.9765341555564353E-2</v>
      </c>
      <c r="Z106" s="1789" t="e">
        <f>+Z113*(yrSales!AW159+yrSales!AW234)</f>
        <v>#VALUE!</v>
      </c>
      <c r="AA106" s="1789">
        <f>+AA113*(yrSales!AX159+yrSales!AX234)</f>
        <v>0</v>
      </c>
      <c r="AB106" s="1789"/>
      <c r="AC106" s="1789"/>
      <c r="AD106" s="1789"/>
      <c r="AE106" s="1789"/>
      <c r="AF106" s="1789"/>
      <c r="AG106" s="1789"/>
      <c r="AH106" s="1789"/>
    </row>
    <row r="107" spans="1:44" hidden="1" outlineLevel="1">
      <c r="A107" s="23" t="s">
        <v>889</v>
      </c>
      <c r="K107" s="1790">
        <f>+'segSales&amp;OM'!DT63</f>
        <v>-163.34399999999999</v>
      </c>
      <c r="L107" s="1790">
        <f>+'segSales&amp;OM'!DT70</f>
        <v>-149.07999999999998</v>
      </c>
      <c r="M107" s="1791">
        <f>+'segSales&amp;OM'!DT77</f>
        <v>-167.85399999999998</v>
      </c>
      <c r="N107" s="1791">
        <f>+'segSales&amp;OM'!DT84</f>
        <v>-157</v>
      </c>
      <c r="O107" s="1791">
        <f>+'segSales&amp;OM'!DT91</f>
        <v>-193.58499999999998</v>
      </c>
      <c r="P107" s="1792">
        <v>-140</v>
      </c>
      <c r="Q107" s="1792">
        <v>-140</v>
      </c>
      <c r="R107" s="1792">
        <v>-140</v>
      </c>
      <c r="S107" s="1792">
        <v>-140</v>
      </c>
      <c r="T107" s="1792">
        <v>-140</v>
      </c>
      <c r="U107" s="1792">
        <v>-140</v>
      </c>
      <c r="V107" s="1792">
        <v>-140</v>
      </c>
      <c r="W107" s="1792">
        <v>-140</v>
      </c>
      <c r="X107" s="1792">
        <v>-140</v>
      </c>
      <c r="Y107" s="1792">
        <v>-140</v>
      </c>
      <c r="Z107" s="1792">
        <v>-140</v>
      </c>
      <c r="AA107" s="1792">
        <v>-140</v>
      </c>
      <c r="AB107" s="1792"/>
      <c r="AC107" s="1792"/>
      <c r="AD107" s="1792"/>
      <c r="AE107" s="1792"/>
      <c r="AF107" s="1792"/>
      <c r="AG107" s="1792"/>
      <c r="AH107" s="1792"/>
    </row>
    <row r="108" spans="1:44" hidden="1" outlineLevel="1">
      <c r="A108" s="23" t="s">
        <v>360</v>
      </c>
      <c r="K108" s="468">
        <f t="shared" ref="K108:AA108" si="95">+SUM(K104:K107)</f>
        <v>772.95499999999993</v>
      </c>
      <c r="L108" s="468">
        <f t="shared" si="95"/>
        <v>812.18200000000002</v>
      </c>
      <c r="M108" s="468">
        <f t="shared" si="95"/>
        <v>688.00800000000004</v>
      </c>
      <c r="N108" s="468">
        <f t="shared" si="95"/>
        <v>872</v>
      </c>
      <c r="O108" s="468">
        <f t="shared" si="95"/>
        <v>963.08199999999988</v>
      </c>
      <c r="P108" s="1789">
        <f t="shared" si="95"/>
        <v>1068.217251</v>
      </c>
      <c r="Q108" s="1789">
        <f t="shared" si="95"/>
        <v>1134.8964319999998</v>
      </c>
      <c r="R108" s="1789">
        <f t="shared" si="95"/>
        <v>1310.3514399999999</v>
      </c>
      <c r="S108" s="1789">
        <f t="shared" si="95"/>
        <v>1314.3596869982246</v>
      </c>
      <c r="T108" s="1789">
        <f t="shared" si="95"/>
        <v>1297.7904797944771</v>
      </c>
      <c r="U108" s="1789">
        <f t="shared" si="95"/>
        <v>1262.2597473703665</v>
      </c>
      <c r="V108" s="1789">
        <f t="shared" si="95"/>
        <v>-140</v>
      </c>
      <c r="W108" s="1789">
        <f t="shared" si="95"/>
        <v>-138.70105945090134</v>
      </c>
      <c r="X108" s="1789" t="e">
        <f t="shared" si="95"/>
        <v>#VALUE!</v>
      </c>
      <c r="Y108" s="1789">
        <f t="shared" si="95"/>
        <v>-138.8208269047777</v>
      </c>
      <c r="Z108" s="1789" t="e">
        <f t="shared" si="95"/>
        <v>#VALUE!</v>
      </c>
      <c r="AA108" s="1789" t="e">
        <f t="shared" si="95"/>
        <v>#VALUE!</v>
      </c>
      <c r="AB108" s="1789"/>
      <c r="AC108" s="1789"/>
      <c r="AD108" s="1789"/>
      <c r="AE108" s="1789"/>
      <c r="AF108" s="1789"/>
      <c r="AG108" s="1789"/>
      <c r="AH108" s="1789"/>
    </row>
    <row r="109" spans="1:44" hidden="1" outlineLevel="1">
      <c r="K109" s="468"/>
      <c r="L109" s="468"/>
      <c r="M109" s="468"/>
      <c r="N109" s="468"/>
      <c r="O109" s="468"/>
      <c r="P109" s="1789"/>
      <c r="Q109" s="1789"/>
      <c r="R109" s="1789"/>
      <c r="S109" s="1789"/>
      <c r="T109" s="1789"/>
      <c r="U109" s="1789"/>
      <c r="V109" s="1789"/>
      <c r="W109" s="1789"/>
      <c r="X109" s="1789"/>
      <c r="Y109" s="1789"/>
      <c r="Z109" s="1789"/>
      <c r="AA109" s="1789"/>
      <c r="AB109" s="1789"/>
      <c r="AC109" s="1789"/>
      <c r="AD109" s="1789"/>
      <c r="AE109" s="1789"/>
      <c r="AF109" s="1789"/>
      <c r="AG109" s="1789"/>
      <c r="AH109" s="1789"/>
    </row>
    <row r="110" spans="1:44" hidden="1" outlineLevel="1">
      <c r="A110" s="25" t="s">
        <v>705</v>
      </c>
      <c r="K110" s="468"/>
      <c r="L110" s="468"/>
      <c r="M110" s="468"/>
      <c r="N110" s="468"/>
    </row>
    <row r="111" spans="1:44" hidden="1" outlineLevel="1">
      <c r="A111" s="23" t="str">
        <f>+A104</f>
        <v>Victoria's Secret</v>
      </c>
      <c r="K111" s="18">
        <f>+'segSales&amp;OM'!CV63/100</f>
        <v>0.16157590531781632</v>
      </c>
      <c r="L111" s="18">
        <f>+'segSales&amp;OM'!CV70/100</f>
        <v>0.14194011562479644</v>
      </c>
      <c r="M111" s="18">
        <f>+'segSales&amp;OM'!CV77/100</f>
        <v>0.13862464552916737</v>
      </c>
      <c r="N111" s="18">
        <f>+'segSales&amp;OM'!CV84/100</f>
        <v>0.17122141662018964</v>
      </c>
      <c r="O111" s="18">
        <f>+'segSales&amp;OM'!CV91/100</f>
        <v>0.18618259983734248</v>
      </c>
      <c r="P111" s="1793">
        <v>0.17</v>
      </c>
      <c r="Q111" s="1793">
        <v>0.17</v>
      </c>
      <c r="R111" s="1793">
        <v>0.17</v>
      </c>
      <c r="S111" s="1793">
        <v>0.17</v>
      </c>
      <c r="T111" s="1793">
        <v>0.17</v>
      </c>
      <c r="U111" s="1793">
        <v>0.17</v>
      </c>
      <c r="V111" s="1793">
        <v>0.17</v>
      </c>
      <c r="W111" s="1793">
        <v>0.17</v>
      </c>
      <c r="X111" s="1793">
        <v>0.17</v>
      </c>
      <c r="Y111" s="1793">
        <v>0.17</v>
      </c>
      <c r="Z111" s="1793">
        <v>0.17</v>
      </c>
      <c r="AA111" s="1793">
        <v>0.17</v>
      </c>
      <c r="AB111" s="1793"/>
      <c r="AC111" s="1793"/>
      <c r="AD111" s="1793"/>
      <c r="AE111" s="1793"/>
      <c r="AF111" s="1793"/>
      <c r="AG111" s="1793"/>
      <c r="AH111" s="1793"/>
    </row>
    <row r="112" spans="1:44" hidden="1" outlineLevel="1">
      <c r="A112" s="23" t="str">
        <f>+A105</f>
        <v>Bath &amp; Body Works</v>
      </c>
      <c r="K112" s="18">
        <f>+'segSales&amp;OM'!DC63/100</f>
        <v>0.25757638144088008</v>
      </c>
      <c r="L112" s="18">
        <f>+'segSales&amp;OM'!DC70/100</f>
        <v>0.23418105609987755</v>
      </c>
      <c r="M112" s="18">
        <f>+'segSales&amp;OM'!DC77/100</f>
        <v>0.19869401169148676</v>
      </c>
      <c r="N112" s="18">
        <f>+'segSales&amp;OM'!DC84/100</f>
        <v>0.16844469399213924</v>
      </c>
      <c r="O112" s="18">
        <f>+'segSales&amp;OM'!DC91/100</f>
        <v>0.18360781836481394</v>
      </c>
      <c r="P112" s="1793">
        <v>0.17599999999999999</v>
      </c>
      <c r="Q112" s="1793">
        <v>0.18099999999999999</v>
      </c>
      <c r="R112" s="1793">
        <v>0.186</v>
      </c>
      <c r="S112" s="1793">
        <v>0.191</v>
      </c>
      <c r="T112" s="1793">
        <v>0.191</v>
      </c>
      <c r="U112" s="1793">
        <v>0.191</v>
      </c>
      <c r="V112" s="1793">
        <v>0.191</v>
      </c>
      <c r="W112" s="1793">
        <v>0.191</v>
      </c>
      <c r="X112" s="1793">
        <v>0.191</v>
      </c>
      <c r="Y112" s="1793">
        <v>0.191</v>
      </c>
      <c r="Z112" s="1793">
        <v>0.191</v>
      </c>
      <c r="AA112" s="1793">
        <v>0.191</v>
      </c>
      <c r="AB112" s="1793"/>
      <c r="AC112" s="1793"/>
      <c r="AD112" s="1793"/>
      <c r="AE112" s="1793"/>
      <c r="AF112" s="1793"/>
      <c r="AG112" s="1793"/>
      <c r="AH112" s="1793"/>
    </row>
    <row r="113" spans="1:34" hidden="1" outlineLevel="1">
      <c r="A113" s="23" t="str">
        <f>+A106</f>
        <v>Apparel</v>
      </c>
      <c r="K113" s="18">
        <f>+'segSales&amp;OM'!DJ63/100</f>
        <v>1.6738661108772916E-2</v>
      </c>
      <c r="L113" s="18">
        <f>+'segSales&amp;OM'!DJ70/100</f>
        <v>2.6362773538366944E-2</v>
      </c>
      <c r="M113" s="18">
        <f>+'segSales&amp;OM'!DJ77/100</f>
        <v>2.0750646590914211E-2</v>
      </c>
      <c r="N113" s="18">
        <f>+'segSales&amp;OM'!DJ84/100</f>
        <v>4.2419771302102546E-2</v>
      </c>
      <c r="O113" s="18">
        <f>+'segSales&amp;OM'!DJ91/100</f>
        <v>3.3706515213487206E-2</v>
      </c>
      <c r="P113" s="1793">
        <v>4.2999999999999997E-2</v>
      </c>
      <c r="Q113" s="1793">
        <v>4.4999999999999998E-2</v>
      </c>
      <c r="R113" s="1793">
        <v>4.7E-2</v>
      </c>
      <c r="S113" s="1793">
        <v>0.05</v>
      </c>
      <c r="T113" s="1793">
        <v>0.05</v>
      </c>
      <c r="U113" s="1793">
        <v>0.05</v>
      </c>
      <c r="V113" s="1793">
        <v>0.05</v>
      </c>
      <c r="W113" s="1793">
        <v>0.05</v>
      </c>
      <c r="X113" s="1793">
        <v>0.05</v>
      </c>
      <c r="Y113" s="1793">
        <v>0.05</v>
      </c>
      <c r="Z113" s="1793">
        <v>0.05</v>
      </c>
      <c r="AA113" s="1793">
        <v>0.05</v>
      </c>
      <c r="AB113" s="1793"/>
      <c r="AC113" s="1793"/>
      <c r="AD113" s="1793"/>
      <c r="AE113" s="1793"/>
      <c r="AF113" s="1793"/>
      <c r="AG113" s="1793"/>
      <c r="AH113" s="1793"/>
    </row>
    <row r="114" spans="1:34" hidden="1" outlineLevel="1">
      <c r="A114" s="23" t="str">
        <f>+A107</f>
        <v>Other</v>
      </c>
      <c r="K114" s="1794">
        <f>+'segSales&amp;OM'!DV63/100</f>
        <v>-0.48821194586581224</v>
      </c>
      <c r="L114" s="1794">
        <f>+'segSales&amp;OM'!DV70/100</f>
        <v>-0.65487930769399716</v>
      </c>
      <c r="M114" s="1794">
        <f>+'segSales&amp;OM'!DV77/100</f>
        <v>-0.67935081754897186</v>
      </c>
      <c r="N114" s="1794">
        <f>+'segSales&amp;OM'!DV84/100</f>
        <v>-0.42779291553133514</v>
      </c>
      <c r="O114" s="1794">
        <f>+'segSales&amp;OM'!DV91/100</f>
        <v>-0.39808304869697891</v>
      </c>
      <c r="P114" s="1794"/>
      <c r="Q114" s="1795"/>
      <c r="R114" s="1795"/>
      <c r="S114" s="1795"/>
      <c r="T114" s="1795"/>
      <c r="U114" s="1795"/>
      <c r="V114" s="1795"/>
      <c r="W114" s="1795"/>
      <c r="X114" s="1795"/>
      <c r="Y114" s="1795"/>
      <c r="Z114" s="1795"/>
      <c r="AA114" s="1795"/>
      <c r="AB114" s="1795"/>
      <c r="AC114" s="1795"/>
      <c r="AD114" s="1795"/>
      <c r="AE114" s="1795"/>
      <c r="AF114" s="1795"/>
      <c r="AG114" s="1795"/>
      <c r="AH114" s="1795"/>
    </row>
    <row r="115" spans="1:34" hidden="1" outlineLevel="1">
      <c r="A115" s="23" t="s">
        <v>360</v>
      </c>
      <c r="K115" s="18">
        <f>+'segSales&amp;OM'!DZ63/100</f>
        <v>0.10142919829788484</v>
      </c>
      <c r="L115" s="18">
        <f>+'segSales&amp;OM'!DZ70/100</f>
        <v>9.9657008851657569E-2</v>
      </c>
      <c r="M115" s="18">
        <f>+'segSales&amp;OM'!DZ77/100</f>
        <v>8.6788245324810692E-2</v>
      </c>
      <c r="N115" s="18">
        <f>+'segSales&amp;OM'!DZ84/100</f>
        <v>0.10325636471284785</v>
      </c>
      <c r="O115" s="18">
        <f>+'segSales&amp;OM'!DZ91/100</f>
        <v>0.10779864033051854</v>
      </c>
      <c r="P115" s="18">
        <f>+P108/yrSales!Z13</f>
        <v>0.11353973497052394</v>
      </c>
      <c r="Q115" s="18">
        <f>+Q108/yrSales!AA13</f>
        <v>0.1170120812853491</v>
      </c>
      <c r="R115" s="18">
        <f>+R108/yrSales!AB13</f>
        <v>0.12279992326594676</v>
      </c>
      <c r="S115" s="18">
        <f>+S108/yrSales!AC13</f>
        <v>0.12815167426851923</v>
      </c>
      <c r="T115" s="18">
        <f>+T108/yrSales!AD13</f>
        <v>0.14351744165449873</v>
      </c>
      <c r="U115" s="18">
        <f>+U108/yrSales!AE13</f>
        <v>0.14622270456689354</v>
      </c>
      <c r="V115" s="18" t="e">
        <f>+V108/yrSales!AS13</f>
        <v>#DIV/0!</v>
      </c>
      <c r="W115" s="18">
        <f>+W108/yrSales!AT13</f>
        <v>-28.889816666196069</v>
      </c>
      <c r="X115" s="18" t="e">
        <f>+X108/yrSales!AU13</f>
        <v>#VALUE!</v>
      </c>
      <c r="Y115" s="18">
        <f>+Y108/yrSales!AV13</f>
        <v>-40.165921748211922</v>
      </c>
      <c r="Z115" s="18" t="e">
        <f>+Z108/yrSales!AW13</f>
        <v>#VALUE!</v>
      </c>
      <c r="AA115" s="18" t="e">
        <f>+AA108/yrSales!AX13</f>
        <v>#VALUE!</v>
      </c>
      <c r="AB115" s="18"/>
      <c r="AC115" s="18"/>
      <c r="AD115" s="18"/>
      <c r="AE115" s="18"/>
      <c r="AF115" s="18"/>
      <c r="AG115" s="18"/>
      <c r="AH115" s="18"/>
    </row>
    <row r="116" spans="1:34" hidden="1" outlineLevel="1">
      <c r="K116" s="18"/>
      <c r="L116" s="18"/>
      <c r="M116" s="18"/>
      <c r="N116" s="18"/>
      <c r="O116" s="18"/>
      <c r="P116" s="18"/>
      <c r="Q116" s="18"/>
      <c r="R116" s="18"/>
      <c r="S116" s="18"/>
      <c r="T116" s="18"/>
      <c r="U116" s="18"/>
      <c r="V116" s="18"/>
      <c r="W116" s="18"/>
      <c r="X116" s="18"/>
      <c r="Y116" s="18"/>
      <c r="Z116" s="18"/>
      <c r="AA116" s="18"/>
      <c r="AB116" s="18"/>
      <c r="AC116" s="18"/>
      <c r="AD116" s="18"/>
      <c r="AE116" s="18"/>
      <c r="AF116" s="18"/>
      <c r="AG116" s="18"/>
      <c r="AH116" s="18"/>
    </row>
    <row r="117" spans="1:34" hidden="1" outlineLevel="1">
      <c r="A117" s="25" t="s">
        <v>607</v>
      </c>
      <c r="K117" s="950"/>
      <c r="L117" s="950"/>
      <c r="M117" s="950"/>
      <c r="N117" s="950"/>
      <c r="O117" s="950"/>
      <c r="P117" s="950"/>
    </row>
    <row r="118" spans="1:34" hidden="1" outlineLevel="1">
      <c r="A118" s="23" t="str">
        <f>+A104</f>
        <v>Victoria's Secret</v>
      </c>
      <c r="K118" s="18">
        <f t="shared" ref="K118:S118" si="96">+K104/K$108</f>
        <v>0.64346824847500828</v>
      </c>
      <c r="L118" s="18">
        <f t="shared" si="96"/>
        <v>0.57692980144844386</v>
      </c>
      <c r="M118" s="18">
        <f t="shared" si="96"/>
        <v>0.65929175242148341</v>
      </c>
      <c r="N118" s="18">
        <f t="shared" si="96"/>
        <v>0.70412844036697253</v>
      </c>
      <c r="O118" s="18">
        <f t="shared" si="96"/>
        <v>0.73782502424508001</v>
      </c>
      <c r="P118" s="18">
        <f t="shared" si="96"/>
        <v>0.673518237349642</v>
      </c>
      <c r="Q118" s="18">
        <f t="shared" si="96"/>
        <v>0.66622309197637875</v>
      </c>
      <c r="R118" s="18">
        <f t="shared" si="96"/>
        <v>0.66368661372249871</v>
      </c>
      <c r="S118" s="18">
        <f t="shared" si="96"/>
        <v>0.66209904230056893</v>
      </c>
      <c r="T118" s="18">
        <f t="shared" ref="T118:U120" si="97">+T104/T$108</f>
        <v>0.66969592821919754</v>
      </c>
      <c r="U118" s="18">
        <f t="shared" si="97"/>
        <v>0.65765148712805144</v>
      </c>
      <c r="V118" s="18">
        <f t="shared" ref="V118:W120" si="98">+V104/V$108</f>
        <v>0</v>
      </c>
      <c r="W118" s="18">
        <f t="shared" si="98"/>
        <v>0</v>
      </c>
      <c r="X118" s="18" t="e">
        <f t="shared" ref="X118:Y120" si="99">+X104/X$108</f>
        <v>#VALUE!</v>
      </c>
      <c r="Y118" s="18">
        <f t="shared" si="99"/>
        <v>0</v>
      </c>
      <c r="Z118" s="18" t="e">
        <f t="shared" ref="Z118:AA120" si="100">+Z104/Z$108</f>
        <v>#VALUE!</v>
      </c>
      <c r="AA118" s="18" t="e">
        <f t="shared" si="100"/>
        <v>#VALUE!</v>
      </c>
      <c r="AB118" s="18"/>
      <c r="AC118" s="18"/>
      <c r="AD118" s="18"/>
      <c r="AE118" s="18"/>
      <c r="AF118" s="18"/>
      <c r="AG118" s="18"/>
      <c r="AH118" s="18"/>
    </row>
    <row r="119" spans="1:34" hidden="1" outlineLevel="1">
      <c r="A119" s="23" t="str">
        <f>+A105</f>
        <v>Bath &amp; Body Works</v>
      </c>
      <c r="K119" s="18">
        <f t="shared" ref="K119:S119" si="101">+K105/K$108</f>
        <v>0.50986797420289676</v>
      </c>
      <c r="L119" s="18">
        <f t="shared" si="101"/>
        <v>0.51455954453558439</v>
      </c>
      <c r="M119" s="18">
        <f t="shared" si="101"/>
        <v>0.50440256508645243</v>
      </c>
      <c r="N119" s="18">
        <f t="shared" si="101"/>
        <v>0.34403669724770641</v>
      </c>
      <c r="O119" s="18">
        <f t="shared" si="101"/>
        <v>0.36879933380542884</v>
      </c>
      <c r="P119" s="18">
        <f t="shared" si="101"/>
        <v>0.35730685274244839</v>
      </c>
      <c r="Q119" s="18">
        <f t="shared" si="101"/>
        <v>0.36438577154677321</v>
      </c>
      <c r="R119" s="18">
        <f t="shared" si="101"/>
        <v>0.36273118454389608</v>
      </c>
      <c r="S119" s="18">
        <f t="shared" si="101"/>
        <v>0.36243245339328756</v>
      </c>
      <c r="T119" s="18">
        <f t="shared" si="97"/>
        <v>0.34933196695339891</v>
      </c>
      <c r="U119" s="18">
        <f t="shared" si="97"/>
        <v>0.36052274814913704</v>
      </c>
      <c r="V119" s="18">
        <f t="shared" si="98"/>
        <v>0</v>
      </c>
      <c r="W119" s="18">
        <f t="shared" si="98"/>
        <v>-1.0127600615464092E-2</v>
      </c>
      <c r="X119" s="18" t="e">
        <f t="shared" si="99"/>
        <v>#VALUE!</v>
      </c>
      <c r="Y119" s="18">
        <f t="shared" si="99"/>
        <v>-7.9916521058308182E-3</v>
      </c>
      <c r="Z119" s="18" t="e">
        <f t="shared" si="100"/>
        <v>#VALUE!</v>
      </c>
      <c r="AA119" s="18" t="e">
        <f t="shared" si="100"/>
        <v>#VALUE!</v>
      </c>
      <c r="AB119" s="18"/>
      <c r="AC119" s="18"/>
      <c r="AD119" s="18"/>
      <c r="AE119" s="18"/>
      <c r="AF119" s="18"/>
      <c r="AG119" s="18"/>
      <c r="AH119" s="18"/>
    </row>
    <row r="120" spans="1:34" hidden="1" outlineLevel="1">
      <c r="A120" s="23" t="str">
        <f>+A106</f>
        <v>Apparel</v>
      </c>
      <c r="K120" s="18">
        <f t="shared" ref="K120:S120" si="102">+K106/K$108</f>
        <v>5.798785181543558E-2</v>
      </c>
      <c r="L120" s="18">
        <f t="shared" si="102"/>
        <v>9.2065571509834007E-2</v>
      </c>
      <c r="M120" s="18">
        <f t="shared" si="102"/>
        <v>8.0276682829269419E-2</v>
      </c>
      <c r="N120" s="18">
        <f t="shared" si="102"/>
        <v>0.13188073394495411</v>
      </c>
      <c r="O120" s="18">
        <f t="shared" si="102"/>
        <v>9.4381371472003442E-2</v>
      </c>
      <c r="P120" s="18">
        <f t="shared" si="102"/>
        <v>0.10023439230153379</v>
      </c>
      <c r="Q120" s="18">
        <f t="shared" si="102"/>
        <v>9.2750410550237777E-2</v>
      </c>
      <c r="R120" s="18">
        <f t="shared" si="102"/>
        <v>8.0423767840481039E-2</v>
      </c>
      <c r="S120" s="18">
        <f t="shared" si="102"/>
        <v>8.1984248348580077E-2</v>
      </c>
      <c r="T120" s="18">
        <f t="shared" si="97"/>
        <v>8.8847761321794533E-2</v>
      </c>
      <c r="U120" s="18">
        <f t="shared" si="97"/>
        <v>9.2737960324119725E-2</v>
      </c>
      <c r="V120" s="18">
        <f t="shared" si="98"/>
        <v>0</v>
      </c>
      <c r="W120" s="18">
        <f t="shared" si="98"/>
        <v>7.6256364861626894E-4</v>
      </c>
      <c r="X120" s="18" t="e">
        <f t="shared" si="99"/>
        <v>#VALUE!</v>
      </c>
      <c r="Y120" s="18">
        <f t="shared" si="99"/>
        <v>-5.0255673526148172E-4</v>
      </c>
      <c r="Z120" s="18" t="e">
        <f t="shared" si="100"/>
        <v>#VALUE!</v>
      </c>
      <c r="AA120" s="18" t="e">
        <f t="shared" si="100"/>
        <v>#VALUE!</v>
      </c>
      <c r="AB120" s="18"/>
      <c r="AC120" s="18"/>
      <c r="AD120" s="18"/>
      <c r="AE120" s="18"/>
      <c r="AF120" s="18"/>
      <c r="AG120" s="18"/>
      <c r="AH120" s="18"/>
    </row>
    <row r="121" spans="1:34" hidden="1" outlineLevel="1">
      <c r="A121" s="23" t="str">
        <f>+A107</f>
        <v>Other</v>
      </c>
      <c r="K121" s="1794">
        <f t="shared" ref="K121:O122" si="103">+K107/K$108</f>
        <v>-0.21132407449334051</v>
      </c>
      <c r="L121" s="1794">
        <f t="shared" si="103"/>
        <v>-0.18355491749386219</v>
      </c>
      <c r="M121" s="1794">
        <f t="shared" si="103"/>
        <v>-0.24397100033720534</v>
      </c>
      <c r="N121" s="1794">
        <f t="shared" si="103"/>
        <v>-0.18004587155963303</v>
      </c>
      <c r="O121" s="1794">
        <f t="shared" si="103"/>
        <v>-0.20100572952251211</v>
      </c>
      <c r="P121" s="1795">
        <f t="shared" ref="P121:AA121" si="104">+P122-SUM(P118:P120)</f>
        <v>-0.13105948239362419</v>
      </c>
      <c r="Q121" s="1795">
        <f t="shared" si="104"/>
        <v>-0.12335927407338976</v>
      </c>
      <c r="R121" s="1795">
        <f t="shared" si="104"/>
        <v>-0.10684156610687578</v>
      </c>
      <c r="S121" s="1795">
        <f t="shared" si="104"/>
        <v>-0.10651574404243647</v>
      </c>
      <c r="T121" s="1795">
        <f t="shared" si="104"/>
        <v>-0.10787565649439101</v>
      </c>
      <c r="U121" s="1795">
        <f t="shared" si="104"/>
        <v>-0.11091219560130816</v>
      </c>
      <c r="V121" s="1795">
        <f t="shared" si="104"/>
        <v>1</v>
      </c>
      <c r="W121" s="1795">
        <f t="shared" si="104"/>
        <v>1.0093650369668479</v>
      </c>
      <c r="X121" s="1795" t="e">
        <f t="shared" si="104"/>
        <v>#VALUE!</v>
      </c>
      <c r="Y121" s="1795">
        <f t="shared" si="104"/>
        <v>1.0084942088410922</v>
      </c>
      <c r="Z121" s="1795" t="e">
        <f t="shared" si="104"/>
        <v>#VALUE!</v>
      </c>
      <c r="AA121" s="1795" t="e">
        <f t="shared" si="104"/>
        <v>#VALUE!</v>
      </c>
      <c r="AB121" s="1795"/>
      <c r="AC121" s="1795"/>
      <c r="AD121" s="1795"/>
      <c r="AE121" s="1795"/>
      <c r="AF121" s="1795"/>
      <c r="AG121" s="1795"/>
      <c r="AH121" s="1795"/>
    </row>
    <row r="122" spans="1:34" hidden="1" outlineLevel="1">
      <c r="A122" s="23" t="s">
        <v>360</v>
      </c>
      <c r="K122" s="18">
        <f t="shared" si="103"/>
        <v>1</v>
      </c>
      <c r="L122" s="18">
        <f t="shared" si="103"/>
        <v>1</v>
      </c>
      <c r="M122" s="18">
        <f t="shared" si="103"/>
        <v>1</v>
      </c>
      <c r="N122" s="18">
        <f t="shared" si="103"/>
        <v>1</v>
      </c>
      <c r="O122" s="18">
        <f t="shared" si="103"/>
        <v>1</v>
      </c>
      <c r="P122" s="18">
        <f t="shared" ref="P122:U122" si="105">+P108/P$108</f>
        <v>1</v>
      </c>
      <c r="Q122" s="18">
        <f t="shared" si="105"/>
        <v>1</v>
      </c>
      <c r="R122" s="18">
        <f t="shared" si="105"/>
        <v>1</v>
      </c>
      <c r="S122" s="18">
        <f t="shared" si="105"/>
        <v>1</v>
      </c>
      <c r="T122" s="18">
        <f t="shared" si="105"/>
        <v>1</v>
      </c>
      <c r="U122" s="18">
        <f t="shared" si="105"/>
        <v>1</v>
      </c>
      <c r="V122" s="18">
        <f t="shared" ref="V122:AA122" si="106">+V108/V$108</f>
        <v>1</v>
      </c>
      <c r="W122" s="18">
        <f t="shared" si="106"/>
        <v>1</v>
      </c>
      <c r="X122" s="18" t="e">
        <f t="shared" si="106"/>
        <v>#VALUE!</v>
      </c>
      <c r="Y122" s="18">
        <f t="shared" si="106"/>
        <v>1</v>
      </c>
      <c r="Z122" s="18" t="e">
        <f t="shared" si="106"/>
        <v>#VALUE!</v>
      </c>
      <c r="AA122" s="18" t="e">
        <f t="shared" si="106"/>
        <v>#VALUE!</v>
      </c>
      <c r="AB122" s="18"/>
      <c r="AC122" s="18"/>
      <c r="AD122" s="18"/>
      <c r="AE122" s="18"/>
      <c r="AF122" s="18"/>
      <c r="AG122" s="18"/>
      <c r="AH122" s="18"/>
    </row>
    <row r="123" spans="1:34" hidden="1" outlineLevel="1"/>
    <row r="124" spans="1:34" hidden="1" outlineLevel="1"/>
    <row r="125" spans="1:34" hidden="1" outlineLevel="1">
      <c r="O125" s="23">
        <f>25*0.6</f>
        <v>15</v>
      </c>
    </row>
    <row r="126" spans="1:34" hidden="1" outlineLevel="1">
      <c r="O126" s="23">
        <f>+O125/520</f>
        <v>2.8846153846153848E-2</v>
      </c>
    </row>
    <row r="127" spans="1:34" collapsed="1"/>
    <row r="128" spans="1:34">
      <c r="A128" s="815"/>
      <c r="B128" s="816"/>
      <c r="C128" s="816"/>
      <c r="D128" s="817"/>
      <c r="E128" s="817"/>
      <c r="M128" s="818"/>
      <c r="N128" s="819"/>
      <c r="O128" s="819"/>
      <c r="P128" s="819"/>
      <c r="Q128" s="819"/>
      <c r="R128" s="819"/>
      <c r="S128" s="819"/>
      <c r="T128" s="819"/>
      <c r="U128" s="819"/>
      <c r="V128" s="814"/>
      <c r="W128" s="814"/>
      <c r="X128" s="814"/>
      <c r="Y128" s="814"/>
      <c r="Z128" s="814"/>
      <c r="AA128" s="814"/>
      <c r="AB128" s="814"/>
      <c r="AC128" s="814"/>
      <c r="AD128" s="814"/>
      <c r="AE128" s="814"/>
      <c r="AF128" s="814"/>
      <c r="AG128" s="814"/>
      <c r="AH128" s="814"/>
    </row>
    <row r="129" spans="1:34">
      <c r="A129" s="815"/>
      <c r="B129" s="816"/>
      <c r="C129" s="816"/>
      <c r="D129" s="817"/>
      <c r="E129" s="817"/>
      <c r="M129" s="818"/>
      <c r="N129" s="819"/>
      <c r="O129" s="819"/>
      <c r="P129" s="819"/>
      <c r="Q129" s="819"/>
      <c r="R129" s="819"/>
      <c r="S129" s="819"/>
      <c r="T129" s="819"/>
      <c r="U129" s="819"/>
      <c r="V129" s="819"/>
      <c r="W129" s="814"/>
      <c r="X129" s="814"/>
      <c r="Y129" s="814"/>
      <c r="Z129" s="814"/>
      <c r="AA129" s="814"/>
      <c r="AB129" s="814"/>
      <c r="AC129" s="814"/>
      <c r="AD129" s="814"/>
      <c r="AE129" s="814"/>
      <c r="AF129" s="814"/>
      <c r="AG129" s="814"/>
      <c r="AH129" s="814"/>
    </row>
    <row r="135" spans="1:34">
      <c r="M135" s="816" t="s">
        <v>1094</v>
      </c>
    </row>
    <row r="137" spans="1:34">
      <c r="N137" s="1732"/>
      <c r="O137" s="1732"/>
      <c r="P137" s="1732"/>
      <c r="Q137" s="1718"/>
      <c r="R137" s="1732"/>
    </row>
    <row r="138" spans="1:34">
      <c r="N138" s="1796"/>
      <c r="O138" s="1796"/>
      <c r="P138" s="1796"/>
      <c r="Q138" s="1796"/>
      <c r="R138" s="1797"/>
    </row>
    <row r="139" spans="1:34">
      <c r="N139" s="127"/>
      <c r="O139" s="127"/>
      <c r="P139" s="127"/>
      <c r="Q139" s="127"/>
      <c r="R139" s="127"/>
    </row>
    <row r="142" spans="1:34">
      <c r="E142" s="1798">
        <f>E5</f>
        <v>1993</v>
      </c>
      <c r="F142" s="1798">
        <f t="shared" ref="F142:W142" si="107">F5</f>
        <v>1994</v>
      </c>
      <c r="G142" s="1798">
        <f t="shared" si="107"/>
        <v>1995</v>
      </c>
      <c r="H142" s="1798">
        <f t="shared" si="107"/>
        <v>1996</v>
      </c>
      <c r="I142" s="1798">
        <f t="shared" si="107"/>
        <v>1997</v>
      </c>
      <c r="J142" s="1798">
        <f t="shared" si="107"/>
        <v>1998</v>
      </c>
      <c r="K142" s="1798">
        <f t="shared" si="107"/>
        <v>1999</v>
      </c>
      <c r="L142" s="1798">
        <f t="shared" si="107"/>
        <v>2000</v>
      </c>
      <c r="M142" s="1798">
        <f t="shared" si="107"/>
        <v>2001</v>
      </c>
      <c r="N142" s="1798">
        <f t="shared" si="107"/>
        <v>2002</v>
      </c>
      <c r="O142" s="1798">
        <f t="shared" si="107"/>
        <v>2003</v>
      </c>
      <c r="P142" s="1798">
        <f t="shared" si="107"/>
        <v>2004</v>
      </c>
      <c r="Q142" s="1798">
        <f t="shared" si="107"/>
        <v>2005</v>
      </c>
      <c r="R142" s="1798">
        <f t="shared" si="107"/>
        <v>2006</v>
      </c>
      <c r="S142" s="1798">
        <f t="shared" si="107"/>
        <v>2007</v>
      </c>
      <c r="T142" s="1798">
        <f t="shared" si="107"/>
        <v>2008</v>
      </c>
      <c r="U142" s="1798">
        <f t="shared" si="107"/>
        <v>2009</v>
      </c>
      <c r="V142" s="1799">
        <f t="shared" si="107"/>
        <v>2010</v>
      </c>
      <c r="W142" s="1799">
        <f t="shared" si="107"/>
        <v>2011</v>
      </c>
      <c r="X142" s="1799">
        <f>X5</f>
        <v>2012</v>
      </c>
    </row>
    <row r="143" spans="1:34">
      <c r="E143" s="547">
        <f>E7-'segSales&amp;OM'!$AP$21</f>
        <v>2221.0879999999997</v>
      </c>
      <c r="F143" s="547">
        <f>F7-'segSales&amp;OM'!$AP$28</f>
        <v>2531.7920000000004</v>
      </c>
      <c r="G143" s="547">
        <f>G7-'segSales&amp;OM'!$AP$35</f>
        <v>3102.4369999999999</v>
      </c>
      <c r="H143" s="547">
        <f>H7-'segSales&amp;OM'!$AP$42</f>
        <v>3793.7909999999993</v>
      </c>
      <c r="I143" s="547">
        <f>I7-'segSales&amp;OM'!$AP$49</f>
        <v>3888.7350000000006</v>
      </c>
      <c r="J143" s="547">
        <f>J7-'segSales&amp;OM'!$AP$56</f>
        <v>4240.5810000000001</v>
      </c>
      <c r="K143" s="547">
        <f>K7-'segSales&amp;OM'!$AP$63</f>
        <v>4942.8829999999998</v>
      </c>
      <c r="L143" s="547">
        <f>L7-'segSales&amp;OM'!$AP$70</f>
        <v>5313.4250000000002</v>
      </c>
      <c r="M143" s="547">
        <f>M7-'segSales&amp;OM'!$AP$77</f>
        <v>5265.7810000000009</v>
      </c>
      <c r="N143" s="547">
        <f>N7-'segSales&amp;OM'!$AP$84</f>
        <v>5733.6540000000005</v>
      </c>
      <c r="O143" s="547">
        <f>O7-'segSales&amp;OM'!$AP$91</f>
        <v>6237.3720000000003</v>
      </c>
      <c r="P143" s="547">
        <f>P7-'segSales&amp;OM'!$AP$98</f>
        <v>6918.076</v>
      </c>
      <c r="Q143" s="547">
        <f>Q7-'segSales&amp;OM'!$AP$112</f>
        <v>7359.6590000000006</v>
      </c>
      <c r="R143" s="547">
        <f>R7-'segSales&amp;OM'!$AP$119</f>
        <v>8428.3449999999975</v>
      </c>
      <c r="S143" s="547">
        <f>S7-('segSales&amp;OM'!$AP$122+'segSales&amp;OM'!$AP$123)</f>
        <v>9216.8250000000007</v>
      </c>
      <c r="T143" s="547">
        <f>T7</f>
        <v>9042.6810000000005</v>
      </c>
      <c r="U143" s="547">
        <f>U7</f>
        <v>8632.4880000000012</v>
      </c>
      <c r="V143" s="547">
        <f>V7</f>
        <v>9613.2780000000002</v>
      </c>
      <c r="W143" s="547">
        <f>W7</f>
        <v>10363.998</v>
      </c>
      <c r="X143" s="547">
        <f>X7</f>
        <v>10458.652000000002</v>
      </c>
    </row>
    <row r="144" spans="1:34">
      <c r="E144" s="1800">
        <f>E37-'segSales&amp;OM'!$DH$21</f>
        <v>698.93900000000008</v>
      </c>
      <c r="F144" s="1800">
        <f>F37-'segSales&amp;OM'!$DH$28</f>
        <v>798.98900000000026</v>
      </c>
      <c r="G144" s="1800">
        <f>G37-'segSales&amp;OM'!$DH$35</f>
        <v>612.03500000000042</v>
      </c>
      <c r="H144" s="1800">
        <f>H37-'segSales&amp;OM'!$DH$42</f>
        <v>648.06699999999955</v>
      </c>
      <c r="I144" s="1800">
        <f>I37-'segSales&amp;OM'!$DH$49</f>
        <v>599.29200000000128</v>
      </c>
      <c r="J144" s="1800">
        <f>J37-'segSales&amp;OM'!$DH$56</f>
        <v>642.8080000000009</v>
      </c>
      <c r="K144" s="1800">
        <f>K37-'segSales&amp;OM'!$DH$63</f>
        <v>728.13300000000015</v>
      </c>
      <c r="L144" s="1800">
        <f>L37-'segSales&amp;OM'!$DH$70</f>
        <v>737.40799999999979</v>
      </c>
      <c r="M144" s="1800">
        <f>M37-'segSales&amp;OM'!$DH$77</f>
        <v>632.77700000000073</v>
      </c>
      <c r="N144" s="1800">
        <f>N37-'segSales&amp;OM'!$DH$84</f>
        <v>756.73400000000038</v>
      </c>
      <c r="O144" s="1800">
        <f>O37-'segSales&amp;OM'!$DH$91</f>
        <v>872.18499999999983</v>
      </c>
      <c r="P144" s="1800">
        <f>P37-'segSales&amp;OM'!$DH$98</f>
        <v>1010.802</v>
      </c>
      <c r="Q144" s="1800">
        <f>Q37-'segSales&amp;OM'!$DH$113</f>
        <v>1100.181</v>
      </c>
      <c r="R144" s="1800">
        <f>R37-'segSales&amp;OM'!$DH$119</f>
        <v>1176.9989999999987</v>
      </c>
      <c r="S144" s="1800">
        <f>S37-('segSales&amp;OM'!$DH$122+'segSales&amp;OM'!$DH$123)</f>
        <v>841.27700000000016</v>
      </c>
      <c r="T144" s="1800">
        <f>T37</f>
        <v>717.46900000000028</v>
      </c>
      <c r="U144" s="1800">
        <f>U37</f>
        <v>858.28400000000124</v>
      </c>
      <c r="V144" s="1800">
        <f>V37</f>
        <v>1284.0330000000008</v>
      </c>
      <c r="W144" s="1800">
        <f>W37</f>
        <v>1546.4249999999993</v>
      </c>
      <c r="X144" s="1800">
        <f>X37</f>
        <v>1707.3260000000023</v>
      </c>
    </row>
    <row r="145" spans="1:24">
      <c r="A145" s="23" t="s">
        <v>994</v>
      </c>
      <c r="E145" s="18">
        <f t="shared" ref="E145:X145" si="108">E144/E143</f>
        <v>0.31468316428705218</v>
      </c>
      <c r="F145" s="18">
        <f t="shared" si="108"/>
        <v>0.31558240171388491</v>
      </c>
      <c r="G145" s="18">
        <f t="shared" si="108"/>
        <v>0.1972755611153427</v>
      </c>
      <c r="H145" s="18">
        <f t="shared" si="108"/>
        <v>0.17082306326310534</v>
      </c>
      <c r="I145" s="18">
        <f t="shared" si="108"/>
        <v>0.15410975548603884</v>
      </c>
      <c r="J145" s="18">
        <f t="shared" si="108"/>
        <v>0.15158488895743316</v>
      </c>
      <c r="K145" s="18">
        <f t="shared" si="108"/>
        <v>0.14730937390183022</v>
      </c>
      <c r="L145" s="18">
        <f t="shared" si="108"/>
        <v>0.13878204736116531</v>
      </c>
      <c r="M145" s="18">
        <f t="shared" si="108"/>
        <v>0.12016773960026074</v>
      </c>
      <c r="N145" s="18">
        <f t="shared" si="108"/>
        <v>0.13198110663810553</v>
      </c>
      <c r="O145" s="18">
        <f t="shared" si="108"/>
        <v>0.13983212801801781</v>
      </c>
      <c r="P145" s="18">
        <f t="shared" si="108"/>
        <v>0.14611027690357839</v>
      </c>
      <c r="Q145" s="18">
        <f t="shared" si="108"/>
        <v>0.1494880401388162</v>
      </c>
      <c r="R145" s="18">
        <f t="shared" si="108"/>
        <v>0.13964770070517984</v>
      </c>
      <c r="S145" s="18">
        <f t="shared" si="108"/>
        <v>9.1276225815288894E-2</v>
      </c>
      <c r="T145" s="18">
        <f t="shared" si="108"/>
        <v>7.9342509151876559E-2</v>
      </c>
      <c r="U145" s="18">
        <f t="shared" si="108"/>
        <v>9.9424870327071535E-2</v>
      </c>
      <c r="V145" s="18">
        <f t="shared" si="108"/>
        <v>0.13356869529831561</v>
      </c>
      <c r="W145" s="18">
        <f t="shared" si="108"/>
        <v>0.14921124068144354</v>
      </c>
      <c r="X145" s="18">
        <f t="shared" si="108"/>
        <v>0.1632453207162837</v>
      </c>
    </row>
    <row r="146" spans="1:24">
      <c r="L146" s="950">
        <f>MEDIAN(L145:U145)</f>
        <v>0.13538157699963543</v>
      </c>
      <c r="S146" s="950">
        <f>AVERAGE(J145:S145)</f>
        <v>0.1356179528039676</v>
      </c>
      <c r="T146" s="950">
        <f>AVERAGE(K145:T145)</f>
        <v>0.12839371482341194</v>
      </c>
    </row>
  </sheetData>
  <phoneticPr fontId="0" type="noConversion"/>
  <dataValidations disablePrompts="1" count="1">
    <dataValidation type="custom" allowBlank="1" showInputMessage="1" showErrorMessage="1" sqref="R62:AH62 A128:E129 A70:E71 AX100:IW101 M128:AH129 M70:AH71">
      <formula1>-1</formula1>
    </dataValidation>
  </dataValidations>
  <printOptions horizontalCentered="1"/>
  <pageMargins left="0.25" right="0.25" top="0.35" bottom="0.3" header="0.5" footer="0.5"/>
  <pageSetup scale="61" orientation="landscape" r:id="rId1"/>
  <headerFooter alignWithMargins="0"/>
  <rowBreaks count="1" manualBreakCount="1">
    <brk id="99" max="16383" man="1"/>
  </rowBreaks>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BT433"/>
  <sheetViews>
    <sheetView showGridLines="0" zoomScale="85" zoomScaleNormal="100" workbookViewId="0">
      <selection activeCell="AN28" sqref="AN28"/>
    </sheetView>
  </sheetViews>
  <sheetFormatPr defaultRowHeight="12.75" outlineLevelRow="1" outlineLevelCol="1"/>
  <cols>
    <col min="1" max="1" width="37" style="23" customWidth="1"/>
    <col min="2" max="16" width="9.85546875" style="23" hidden="1" customWidth="1" outlineLevel="1"/>
    <col min="17" max="17" width="9.85546875" style="23" hidden="1" customWidth="1" outlineLevel="1" collapsed="1"/>
    <col min="18" max="18" width="9.5703125" style="23" hidden="1" customWidth="1" outlineLevel="1"/>
    <col min="19" max="19" width="10" style="23" hidden="1" customWidth="1" outlineLevel="1" collapsed="1"/>
    <col min="20" max="20" width="9.7109375" style="23" hidden="1" customWidth="1" outlineLevel="1"/>
    <col min="21" max="21" width="10" style="23" hidden="1" customWidth="1" outlineLevel="1" collapsed="1"/>
    <col min="22" max="22" width="10.140625" style="23" hidden="1" customWidth="1" outlineLevel="1"/>
    <col min="23" max="23" width="10.140625" style="23" hidden="1" customWidth="1" outlineLevel="1" collapsed="1"/>
    <col min="24" max="25" width="9.7109375" style="23" hidden="1" customWidth="1" outlineLevel="1" collapsed="1"/>
    <col min="26" max="27" width="9.7109375" style="23" hidden="1" customWidth="1" outlineLevel="1"/>
    <col min="28" max="30" width="8.42578125" style="23" hidden="1" customWidth="1" outlineLevel="1"/>
    <col min="31" max="32" width="9.7109375" style="23" hidden="1" customWidth="1" outlineLevel="1"/>
    <col min="33" max="33" width="8.5703125" style="23" customWidth="1" collapsed="1"/>
    <col min="34" max="34" width="9.5703125" style="23" customWidth="1"/>
    <col min="35" max="35" width="8.7109375" style="23" customWidth="1"/>
    <col min="36" max="36" width="9.140625" style="23" customWidth="1"/>
    <col min="37" max="37" width="9" style="23" customWidth="1"/>
    <col min="38" max="40" width="9.140625" style="23" customWidth="1"/>
    <col min="41" max="44" width="9" style="23" customWidth="1"/>
    <col min="45" max="45" width="2.28515625" style="23" customWidth="1"/>
    <col min="46" max="46" width="7.85546875" style="23" customWidth="1"/>
    <col min="47" max="47" width="2.140625" style="23" customWidth="1"/>
    <col min="48" max="48" width="7.85546875" style="23" customWidth="1"/>
    <col min="49" max="49" width="2.28515625" style="23" customWidth="1"/>
    <col min="50" max="50" width="9.140625" style="23"/>
    <col min="51" max="51" width="34.85546875" style="23" hidden="1" customWidth="1" outlineLevel="1"/>
    <col min="52" max="52" width="10.7109375" style="23" hidden="1" customWidth="1" outlineLevel="1"/>
    <col min="53" max="60" width="10.85546875" style="23" hidden="1" customWidth="1" outlineLevel="1"/>
    <col min="61" max="61" width="9.140625" style="23" hidden="1" customWidth="1" outlineLevel="1"/>
    <col min="62" max="64" width="9.85546875" style="23" hidden="1" customWidth="1" outlineLevel="1"/>
    <col min="65" max="65" width="9.7109375" style="23" hidden="1" customWidth="1" outlineLevel="1"/>
    <col min="66" max="67" width="9.5703125" style="23" hidden="1" customWidth="1" outlineLevel="1"/>
    <col min="68" max="68" width="9.7109375" style="23" hidden="1" customWidth="1" outlineLevel="1"/>
    <col min="69" max="71" width="0" style="23" hidden="1" customWidth="1" outlineLevel="1"/>
    <col min="72" max="72" width="9.140625" style="23" collapsed="1"/>
    <col min="73" max="16384" width="9.140625" style="23"/>
  </cols>
  <sheetData>
    <row r="1" spans="1:68">
      <c r="A1" s="25" t="s">
        <v>346</v>
      </c>
      <c r="B1" s="2"/>
      <c r="C1" s="2"/>
      <c r="D1" s="2"/>
      <c r="E1" s="2"/>
      <c r="F1" s="2"/>
      <c r="G1" s="2"/>
      <c r="H1" s="2"/>
      <c r="I1" s="2"/>
      <c r="J1" s="2"/>
      <c r="K1" s="2"/>
      <c r="L1" s="2"/>
      <c r="M1" s="2"/>
      <c r="N1" s="2"/>
      <c r="O1" s="2"/>
      <c r="P1" s="2"/>
      <c r="Q1" s="2"/>
      <c r="R1" s="2"/>
      <c r="S1" s="2"/>
      <c r="T1" s="2"/>
      <c r="U1" s="2"/>
      <c r="V1" s="2"/>
      <c r="W1" s="2"/>
      <c r="X1" s="2"/>
      <c r="Y1" s="2"/>
      <c r="AB1" s="547"/>
      <c r="AS1" s="2"/>
      <c r="AT1" s="2"/>
      <c r="AU1" s="2"/>
      <c r="AV1" s="2"/>
      <c r="AW1" s="2"/>
      <c r="AX1" s="2"/>
      <c r="AY1" s="2"/>
      <c r="AZ1" s="2"/>
      <c r="BA1" s="2"/>
      <c r="BB1" s="2"/>
      <c r="BC1" s="2"/>
      <c r="BD1" s="2"/>
      <c r="BE1" s="2"/>
      <c r="BF1" s="2"/>
      <c r="BG1" s="2"/>
      <c r="BH1" s="2"/>
      <c r="BI1" s="2"/>
      <c r="BJ1" s="2"/>
      <c r="BK1" s="2"/>
      <c r="BL1" s="2"/>
    </row>
    <row r="2" spans="1:68">
      <c r="A2" s="199" t="s">
        <v>303</v>
      </c>
      <c r="B2" s="3"/>
      <c r="C2" s="3"/>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2"/>
      <c r="AY2" s="2"/>
      <c r="AZ2" s="2"/>
      <c r="BA2" s="2"/>
      <c r="BB2" s="2"/>
      <c r="BC2" s="2"/>
      <c r="BD2" s="2"/>
      <c r="BE2" s="2"/>
      <c r="BF2" s="2"/>
      <c r="BG2" s="2"/>
      <c r="BH2" s="2"/>
      <c r="BI2" s="2"/>
      <c r="BJ2" s="2"/>
      <c r="BK2" s="2"/>
      <c r="BL2" s="2"/>
    </row>
    <row r="3" spans="1:68">
      <c r="A3" s="22"/>
      <c r="B3" s="57"/>
      <c r="C3" s="57"/>
      <c r="D3" s="57"/>
      <c r="E3" s="57"/>
      <c r="F3" s="57"/>
      <c r="G3" s="57"/>
      <c r="H3" s="57"/>
      <c r="I3" s="57"/>
      <c r="J3" s="57"/>
      <c r="K3" s="57"/>
      <c r="L3" s="57"/>
      <c r="M3" s="57"/>
      <c r="N3" s="57"/>
      <c r="O3" s="57"/>
      <c r="P3" s="57"/>
      <c r="Q3" s="57"/>
      <c r="R3" s="57"/>
      <c r="S3" s="57"/>
      <c r="T3" s="57"/>
      <c r="U3" s="57"/>
      <c r="V3" s="57"/>
      <c r="W3" s="57"/>
      <c r="X3" s="57"/>
      <c r="Y3" s="57"/>
      <c r="Z3" s="57"/>
      <c r="AA3" s="57"/>
      <c r="AB3" s="57"/>
      <c r="AC3" s="57"/>
      <c r="AD3" s="57"/>
      <c r="AE3" s="57"/>
      <c r="AF3" s="57"/>
      <c r="AG3" s="57"/>
      <c r="AH3" s="57"/>
      <c r="AI3" s="57"/>
      <c r="AJ3" s="1184" t="s">
        <v>420</v>
      </c>
      <c r="AK3" s="1184"/>
      <c r="AL3" s="1184"/>
      <c r="AM3" s="1184"/>
      <c r="AN3" s="1184"/>
      <c r="AO3" s="1184"/>
      <c r="AP3" s="1184"/>
      <c r="AQ3" s="1184"/>
      <c r="AR3" s="1184"/>
      <c r="AS3" s="57"/>
      <c r="AT3" s="57"/>
      <c r="AU3" s="57"/>
      <c r="AV3" s="57"/>
      <c r="AW3" s="57"/>
      <c r="AX3" s="2"/>
      <c r="AY3" s="2"/>
      <c r="AZ3" s="2"/>
      <c r="BA3" s="2"/>
      <c r="BB3" s="2"/>
      <c r="BC3" s="2"/>
      <c r="BD3" s="2"/>
      <c r="BE3" s="2"/>
      <c r="BF3" s="2"/>
      <c r="BG3" s="2"/>
      <c r="BH3" s="2"/>
      <c r="BI3" s="2"/>
      <c r="BJ3" s="2"/>
      <c r="BK3" s="2"/>
      <c r="BL3" s="2"/>
    </row>
    <row r="4" spans="1:68" ht="12.75" customHeight="1">
      <c r="A4" s="4"/>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111"/>
      <c r="AT4" s="126"/>
      <c r="AU4" s="109" t="s">
        <v>1083</v>
      </c>
      <c r="AV4" s="126"/>
      <c r="AW4" s="110"/>
      <c r="AX4" s="2"/>
      <c r="AY4" s="2"/>
      <c r="AZ4" s="2"/>
      <c r="BA4" s="2"/>
      <c r="BB4" s="2"/>
      <c r="BC4" s="2"/>
      <c r="BD4" s="2"/>
      <c r="BE4" s="2"/>
      <c r="BF4" s="2"/>
      <c r="BG4" s="2"/>
      <c r="BH4" s="2"/>
      <c r="BI4" s="2"/>
      <c r="BJ4" s="2"/>
      <c r="BK4" s="2"/>
      <c r="BL4" s="2"/>
    </row>
    <row r="5" spans="1:68">
      <c r="A5" s="5"/>
      <c r="B5" s="54">
        <v>1980</v>
      </c>
      <c r="C5" s="53">
        <f>+B5+1</f>
        <v>1981</v>
      </c>
      <c r="D5" s="53">
        <f t="shared" ref="D5:L5" si="0">+C5+1</f>
        <v>1982</v>
      </c>
      <c r="E5" s="53">
        <f t="shared" si="0"/>
        <v>1983</v>
      </c>
      <c r="F5" s="53">
        <f t="shared" si="0"/>
        <v>1984</v>
      </c>
      <c r="G5" s="53">
        <f t="shared" si="0"/>
        <v>1985</v>
      </c>
      <c r="H5" s="53">
        <f t="shared" si="0"/>
        <v>1986</v>
      </c>
      <c r="I5" s="53">
        <f t="shared" si="0"/>
        <v>1987</v>
      </c>
      <c r="J5" s="53">
        <f t="shared" si="0"/>
        <v>1988</v>
      </c>
      <c r="K5" s="53">
        <f t="shared" si="0"/>
        <v>1989</v>
      </c>
      <c r="L5" s="53">
        <f t="shared" si="0"/>
        <v>1990</v>
      </c>
      <c r="M5" s="53">
        <f t="shared" ref="M5:W5" si="1">L5+1</f>
        <v>1991</v>
      </c>
      <c r="N5" s="53">
        <f t="shared" si="1"/>
        <v>1992</v>
      </c>
      <c r="O5" s="53">
        <f t="shared" si="1"/>
        <v>1993</v>
      </c>
      <c r="P5" s="53">
        <f t="shared" si="1"/>
        <v>1994</v>
      </c>
      <c r="Q5" s="53">
        <f t="shared" si="1"/>
        <v>1995</v>
      </c>
      <c r="R5" s="53">
        <f t="shared" si="1"/>
        <v>1996</v>
      </c>
      <c r="S5" s="53">
        <f t="shared" si="1"/>
        <v>1997</v>
      </c>
      <c r="T5" s="53">
        <f>S5+1</f>
        <v>1998</v>
      </c>
      <c r="U5" s="53">
        <f t="shared" si="1"/>
        <v>1999</v>
      </c>
      <c r="V5" s="53">
        <f t="shared" si="1"/>
        <v>2000</v>
      </c>
      <c r="W5" s="53">
        <f t="shared" si="1"/>
        <v>2001</v>
      </c>
      <c r="X5" s="53">
        <f t="shared" ref="X5:AC5" si="2">W5+1</f>
        <v>2002</v>
      </c>
      <c r="Y5" s="53">
        <f t="shared" si="2"/>
        <v>2003</v>
      </c>
      <c r="Z5" s="53">
        <f t="shared" si="2"/>
        <v>2004</v>
      </c>
      <c r="AA5" s="586">
        <f t="shared" si="2"/>
        <v>2005</v>
      </c>
      <c r="AB5" s="586">
        <f t="shared" si="2"/>
        <v>2006</v>
      </c>
      <c r="AC5" s="586">
        <f t="shared" si="2"/>
        <v>2007</v>
      </c>
      <c r="AD5" s="586">
        <f t="shared" ref="AD5:AI5" si="3">AC5+1</f>
        <v>2008</v>
      </c>
      <c r="AE5" s="586">
        <f t="shared" si="3"/>
        <v>2009</v>
      </c>
      <c r="AF5" s="586">
        <f t="shared" si="3"/>
        <v>2010</v>
      </c>
      <c r="AG5" s="586">
        <f t="shared" si="3"/>
        <v>2011</v>
      </c>
      <c r="AH5" s="586">
        <f t="shared" si="3"/>
        <v>2012</v>
      </c>
      <c r="AI5" s="53">
        <f t="shared" si="3"/>
        <v>2013</v>
      </c>
      <c r="AJ5" s="53">
        <f t="shared" ref="AJ5:AR5" si="4">AI5+1</f>
        <v>2014</v>
      </c>
      <c r="AK5" s="53">
        <f t="shared" si="4"/>
        <v>2015</v>
      </c>
      <c r="AL5" s="586">
        <f t="shared" si="4"/>
        <v>2016</v>
      </c>
      <c r="AM5" s="586">
        <f t="shared" si="4"/>
        <v>2017</v>
      </c>
      <c r="AN5" s="532">
        <f t="shared" si="4"/>
        <v>2018</v>
      </c>
      <c r="AO5" s="532">
        <f t="shared" si="4"/>
        <v>2019</v>
      </c>
      <c r="AP5" s="532">
        <f t="shared" si="4"/>
        <v>2020</v>
      </c>
      <c r="AQ5" s="532">
        <f t="shared" si="4"/>
        <v>2021</v>
      </c>
      <c r="AR5" s="532">
        <f t="shared" si="4"/>
        <v>2022</v>
      </c>
      <c r="AS5" s="1121"/>
      <c r="AT5" s="109" t="str">
        <f>+'yrP&amp;L'!AJ5</f>
        <v>10-15E</v>
      </c>
      <c r="AU5" s="57"/>
      <c r="AV5" s="109" t="str">
        <f>+'yrP&amp;L'!AL5</f>
        <v>15-20E</v>
      </c>
      <c r="AW5" s="111"/>
      <c r="AX5" s="2"/>
      <c r="AY5" s="190" t="s">
        <v>518</v>
      </c>
      <c r="AZ5" s="493">
        <f t="shared" ref="AZ5:BP5" si="5">+Y5</f>
        <v>2003</v>
      </c>
      <c r="BA5" s="493">
        <f t="shared" si="5"/>
        <v>2004</v>
      </c>
      <c r="BB5" s="493">
        <f t="shared" si="5"/>
        <v>2005</v>
      </c>
      <c r="BC5" s="493">
        <f t="shared" si="5"/>
        <v>2006</v>
      </c>
      <c r="BD5" s="493">
        <f t="shared" si="5"/>
        <v>2007</v>
      </c>
      <c r="BE5" s="493">
        <f t="shared" si="5"/>
        <v>2008</v>
      </c>
      <c r="BF5" s="493">
        <f t="shared" si="5"/>
        <v>2009</v>
      </c>
      <c r="BG5" s="493">
        <f t="shared" si="5"/>
        <v>2010</v>
      </c>
      <c r="BH5" s="493">
        <f t="shared" si="5"/>
        <v>2011</v>
      </c>
      <c r="BI5" s="493">
        <f t="shared" si="5"/>
        <v>2012</v>
      </c>
      <c r="BJ5" s="493">
        <f t="shared" si="5"/>
        <v>2013</v>
      </c>
      <c r="BK5" s="493">
        <f t="shared" si="5"/>
        <v>2014</v>
      </c>
      <c r="BL5" s="493">
        <f t="shared" si="5"/>
        <v>2015</v>
      </c>
      <c r="BM5" s="493">
        <f t="shared" si="5"/>
        <v>2016</v>
      </c>
      <c r="BN5" s="493">
        <f t="shared" si="5"/>
        <v>2017</v>
      </c>
      <c r="BO5" s="493">
        <f t="shared" si="5"/>
        <v>2018</v>
      </c>
      <c r="BP5" s="493">
        <f t="shared" si="5"/>
        <v>2019</v>
      </c>
    </row>
    <row r="6" spans="1:68">
      <c r="A6" s="2"/>
      <c r="B6" s="2"/>
      <c r="C6" s="2"/>
      <c r="D6" s="2"/>
      <c r="E6" s="2"/>
      <c r="F6" s="2"/>
      <c r="G6" s="2"/>
      <c r="H6" s="2"/>
      <c r="I6" s="2"/>
      <c r="J6" s="2"/>
      <c r="K6" s="2"/>
      <c r="L6" s="2"/>
      <c r="M6" s="2"/>
      <c r="N6" s="2"/>
      <c r="O6" s="2"/>
      <c r="P6" s="2"/>
      <c r="Q6" s="2"/>
      <c r="R6" s="8"/>
      <c r="S6" s="8"/>
      <c r="T6" s="2"/>
      <c r="U6" s="2"/>
      <c r="V6" s="2"/>
      <c r="W6" s="2"/>
      <c r="X6" s="2"/>
      <c r="Y6" s="2"/>
      <c r="Z6" s="2"/>
      <c r="AA6" s="2"/>
      <c r="AB6" s="2"/>
      <c r="AC6" s="2"/>
      <c r="AD6" s="2"/>
      <c r="AE6" s="2"/>
      <c r="AF6" s="2"/>
      <c r="AG6" s="2"/>
      <c r="AH6" s="2"/>
      <c r="AI6" s="2"/>
      <c r="AJ6" s="2"/>
      <c r="AK6" s="2"/>
      <c r="AL6" s="2"/>
      <c r="AM6" s="2"/>
      <c r="AN6" s="2"/>
      <c r="AO6" s="2"/>
      <c r="AP6" s="2"/>
      <c r="AQ6" s="2"/>
      <c r="AR6" s="2"/>
      <c r="AS6" s="100"/>
      <c r="AT6" s="57"/>
      <c r="AU6" s="57"/>
      <c r="AV6" s="151"/>
      <c r="AW6" s="100"/>
      <c r="AX6" s="2"/>
      <c r="AY6" s="2"/>
      <c r="AZ6" s="2"/>
      <c r="BA6" s="2"/>
      <c r="BB6" s="2"/>
      <c r="BC6" s="2"/>
      <c r="BD6" s="2"/>
      <c r="BE6" s="2"/>
      <c r="BF6" s="2"/>
      <c r="BG6" s="2"/>
      <c r="BH6" s="2"/>
      <c r="BI6" s="2"/>
      <c r="BJ6" s="2"/>
      <c r="BK6" s="2"/>
      <c r="BL6" s="2"/>
      <c r="BM6" s="2"/>
      <c r="BN6" s="2"/>
      <c r="BO6" s="2"/>
      <c r="BP6" s="2"/>
    </row>
    <row r="7" spans="1:68">
      <c r="A7" s="2"/>
      <c r="B7" s="2"/>
      <c r="C7" s="2"/>
      <c r="D7" s="2"/>
      <c r="E7" s="2"/>
      <c r="F7" s="2"/>
      <c r="G7" s="2"/>
      <c r="H7" s="2"/>
      <c r="I7" s="2"/>
      <c r="J7" s="2"/>
      <c r="K7" s="2"/>
      <c r="L7" s="2"/>
      <c r="M7" s="2"/>
      <c r="N7" s="2"/>
      <c r="O7" s="2"/>
      <c r="P7" s="2"/>
      <c r="Q7" s="2"/>
      <c r="R7" s="8"/>
      <c r="S7" s="8"/>
      <c r="T7" s="2"/>
      <c r="U7" s="2"/>
      <c r="V7" s="2"/>
      <c r="W7" s="2"/>
      <c r="X7" s="2"/>
      <c r="Y7" s="2"/>
      <c r="Z7" s="2"/>
      <c r="AA7" s="2"/>
      <c r="AB7" s="2"/>
      <c r="AC7" s="2"/>
      <c r="AD7" s="2"/>
      <c r="AE7" s="2"/>
      <c r="AF7" s="945"/>
      <c r="AG7" s="2"/>
      <c r="AH7" s="2"/>
      <c r="AI7" s="2"/>
      <c r="AJ7" s="2"/>
      <c r="AK7" s="2"/>
      <c r="AL7" s="2"/>
      <c r="AM7" s="2"/>
      <c r="AN7" s="2"/>
      <c r="AO7" s="2"/>
      <c r="AP7" s="2"/>
      <c r="AQ7" s="2"/>
      <c r="AR7" s="2"/>
      <c r="AS7" s="100"/>
      <c r="AT7" s="57"/>
      <c r="AU7" s="57"/>
      <c r="AV7" s="151"/>
      <c r="AW7" s="100"/>
      <c r="AX7" s="2"/>
      <c r="AY7" s="500" t="s">
        <v>457</v>
      </c>
      <c r="AZ7" s="500"/>
      <c r="BA7" s="2"/>
      <c r="BB7" s="2"/>
      <c r="BC7" s="2"/>
      <c r="BD7" s="2"/>
      <c r="BE7" s="2"/>
      <c r="BF7" s="2"/>
      <c r="BG7" s="2"/>
      <c r="BH7" s="2"/>
      <c r="BI7" s="2"/>
      <c r="BJ7" s="2"/>
      <c r="BK7" s="2"/>
      <c r="BL7" s="2"/>
      <c r="BM7" s="2"/>
      <c r="BN7" s="2"/>
      <c r="BO7" s="2"/>
      <c r="BP7" s="2"/>
    </row>
    <row r="8" spans="1:68">
      <c r="A8" s="20" t="s">
        <v>418</v>
      </c>
      <c r="B8" s="2"/>
      <c r="C8" s="2"/>
      <c r="D8" s="2"/>
      <c r="E8" s="2"/>
      <c r="F8" s="2"/>
      <c r="G8" s="2"/>
      <c r="H8" s="2"/>
      <c r="I8" s="2"/>
      <c r="J8" s="2"/>
      <c r="K8" s="2"/>
      <c r="L8" s="2"/>
      <c r="M8" s="2"/>
      <c r="N8" s="16"/>
      <c r="O8" s="16">
        <f t="shared" ref="O8:AA8" si="6">+O59+O113+O159+O234</f>
        <v>4059</v>
      </c>
      <c r="P8" s="16">
        <f t="shared" si="6"/>
        <v>4252</v>
      </c>
      <c r="Q8" s="16">
        <f t="shared" si="6"/>
        <v>4632</v>
      </c>
      <c r="R8" s="16">
        <f t="shared" si="6"/>
        <v>5104</v>
      </c>
      <c r="S8" s="16">
        <f t="shared" si="6"/>
        <v>5384</v>
      </c>
      <c r="T8" s="16">
        <f t="shared" si="6"/>
        <v>5824</v>
      </c>
      <c r="U8" s="16">
        <f t="shared" si="6"/>
        <v>6330.0669999999991</v>
      </c>
      <c r="V8" s="16">
        <f t="shared" si="6"/>
        <v>6959.6849999999995</v>
      </c>
      <c r="W8" s="16">
        <f t="shared" si="6"/>
        <v>6811.4380000000001</v>
      </c>
      <c r="X8" s="16">
        <f t="shared" si="6"/>
        <v>7139</v>
      </c>
      <c r="Y8" s="16">
        <f t="shared" si="6"/>
        <v>7452.4710000000005</v>
      </c>
      <c r="Z8" s="16">
        <f t="shared" si="6"/>
        <v>7771.6320000000005</v>
      </c>
      <c r="AA8" s="16">
        <f t="shared" si="6"/>
        <v>7845.9229999999989</v>
      </c>
      <c r="AB8" s="16">
        <f>'segSales&amp;OM'!E119+'segSales&amp;OM'!W119</f>
        <v>6255.4049999999988</v>
      </c>
      <c r="AC8" s="16">
        <f>'segSales&amp;OM'!E126+'segSales&amp;OM'!W126</f>
        <v>6216.7029999999995</v>
      </c>
      <c r="AD8" s="16">
        <f t="shared" ref="AD8:AI8" si="7">+AD59+AD113</f>
        <v>5963.3109999999997</v>
      </c>
      <c r="AE8" s="16">
        <f t="shared" si="7"/>
        <v>5878.183</v>
      </c>
      <c r="AF8" s="16">
        <f t="shared" si="7"/>
        <v>6533.6260000000002</v>
      </c>
      <c r="AG8" s="16">
        <f t="shared" si="7"/>
        <v>7238.3420000000006</v>
      </c>
      <c r="AH8" s="16">
        <f t="shared" si="7"/>
        <v>8221.4650000000001</v>
      </c>
      <c r="AI8" s="16">
        <f t="shared" si="7"/>
        <v>8485.8599999999988</v>
      </c>
      <c r="AJ8" s="16">
        <f t="shared" ref="AJ8:AP8" si="8">+AJ59+AJ113</f>
        <v>9049.7090000000007</v>
      </c>
      <c r="AK8" s="16">
        <f t="shared" si="8"/>
        <v>9698.9609999999993</v>
      </c>
      <c r="AL8" s="16">
        <f t="shared" si="8"/>
        <v>10050.616</v>
      </c>
      <c r="AM8" s="16">
        <f t="shared" si="8"/>
        <v>10026.628000000001</v>
      </c>
      <c r="AN8" s="16">
        <f t="shared" si="8"/>
        <v>10209.817618081306</v>
      </c>
      <c r="AO8" s="16">
        <f t="shared" si="8"/>
        <v>10514.656615282363</v>
      </c>
      <c r="AP8" s="16">
        <f t="shared" si="8"/>
        <v>10850.112081325366</v>
      </c>
      <c r="AQ8" s="16">
        <f>+AQ59+AQ113</f>
        <v>11195.834511708435</v>
      </c>
      <c r="AR8" s="16">
        <f>+AR59+AR113</f>
        <v>11555.548035771546</v>
      </c>
      <c r="AS8" s="100"/>
      <c r="AT8" s="56">
        <f>((AK8/AF8)^(1/5)-1)*100</f>
        <v>8.221659301374995</v>
      </c>
      <c r="AU8" s="97" t="s">
        <v>1084</v>
      </c>
      <c r="AV8" s="56">
        <f>((AP8/AK8)^(1/5)-1)*100</f>
        <v>2.2684802686562699</v>
      </c>
      <c r="AW8" s="100" t="s">
        <v>1084</v>
      </c>
      <c r="AX8" s="2"/>
      <c r="AY8" s="2" t="s">
        <v>343</v>
      </c>
      <c r="AZ8" s="497">
        <f>+X8</f>
        <v>7139</v>
      </c>
      <c r="BA8" s="497">
        <f>+Y8</f>
        <v>7452.4710000000005</v>
      </c>
      <c r="BB8" s="497">
        <f t="shared" ref="BB8:BG8" si="9">+BA14</f>
        <v>7806.4104665677014</v>
      </c>
      <c r="BC8" s="497">
        <f t="shared" si="9"/>
        <v>7975.3054363419888</v>
      </c>
      <c r="BD8" s="497">
        <f t="shared" si="9"/>
        <v>8627.646213003849</v>
      </c>
      <c r="BE8" s="497">
        <f t="shared" si="9"/>
        <v>8732.3180061329967</v>
      </c>
      <c r="BF8" s="497">
        <f t="shared" si="9"/>
        <v>8386.6713554575035</v>
      </c>
      <c r="BG8" s="497">
        <f t="shared" si="9"/>
        <v>8265.2255569752961</v>
      </c>
      <c r="BH8" s="497">
        <f t="shared" ref="BH8:BP8" si="10">+BG14</f>
        <v>9003.7534647234424</v>
      </c>
      <c r="BI8" s="497">
        <f t="shared" si="10"/>
        <v>9772.7108379155088</v>
      </c>
      <c r="BJ8" s="497">
        <f t="shared" si="10"/>
        <v>10376.059915223534</v>
      </c>
      <c r="BK8" s="497">
        <f t="shared" si="10"/>
        <v>10823.271283761977</v>
      </c>
      <c r="BL8" s="497">
        <f t="shared" si="10"/>
        <v>11400.310652438377</v>
      </c>
      <c r="BM8" s="497">
        <f t="shared" si="10"/>
        <v>12029.601592122061</v>
      </c>
      <c r="BN8" s="497">
        <f t="shared" si="10"/>
        <v>12244.319359480218</v>
      </c>
      <c r="BO8" s="497">
        <f t="shared" si="10"/>
        <v>11982.843517612864</v>
      </c>
      <c r="BP8" s="497">
        <f t="shared" si="10"/>
        <v>12254.734385285388</v>
      </c>
    </row>
    <row r="9" spans="1:68">
      <c r="A9" s="213" t="s">
        <v>1085</v>
      </c>
      <c r="B9" s="2"/>
      <c r="C9" s="2"/>
      <c r="D9" s="2"/>
      <c r="E9" s="2"/>
      <c r="F9" s="2"/>
      <c r="G9" s="2"/>
      <c r="H9" s="2"/>
      <c r="I9" s="2"/>
      <c r="J9" s="2"/>
      <c r="K9" s="2"/>
      <c r="L9" s="2"/>
      <c r="M9" s="2"/>
      <c r="N9" s="480"/>
      <c r="O9" s="480" t="e">
        <f t="shared" ref="O9:AH9" si="11">+O8/N8-1</f>
        <v>#DIV/0!</v>
      </c>
      <c r="P9" s="480">
        <f t="shared" si="11"/>
        <v>4.7548657304754771E-2</v>
      </c>
      <c r="Q9" s="480">
        <f t="shared" si="11"/>
        <v>8.9369708372530665E-2</v>
      </c>
      <c r="R9" s="480">
        <f t="shared" si="11"/>
        <v>0.10189982728842839</v>
      </c>
      <c r="S9" s="480">
        <f t="shared" si="11"/>
        <v>5.4858934169278895E-2</v>
      </c>
      <c r="T9" s="480">
        <f t="shared" si="11"/>
        <v>8.172362555720647E-2</v>
      </c>
      <c r="U9" s="480">
        <f t="shared" si="11"/>
        <v>8.6893372252747181E-2</v>
      </c>
      <c r="V9" s="480">
        <f t="shared" si="11"/>
        <v>9.946466601380366E-2</v>
      </c>
      <c r="W9" s="13">
        <f t="shared" si="11"/>
        <v>-2.1300820367588402E-2</v>
      </c>
      <c r="X9" s="480">
        <f t="shared" si="11"/>
        <v>4.8089992157309469E-2</v>
      </c>
      <c r="Y9" s="480">
        <f t="shared" si="11"/>
        <v>4.3909651211654355E-2</v>
      </c>
      <c r="Z9" s="480">
        <f t="shared" si="11"/>
        <v>4.2826198183126163E-2</v>
      </c>
      <c r="AA9" s="480">
        <f>+AA8/Z8-1</f>
        <v>9.5592534489536973E-3</v>
      </c>
      <c r="AB9" s="480">
        <f t="shared" si="11"/>
        <v>-0.20271904274360075</v>
      </c>
      <c r="AC9" s="480">
        <f t="shared" si="11"/>
        <v>-6.186969508768736E-3</v>
      </c>
      <c r="AD9" s="480">
        <f>+AD8/AC8-1</f>
        <v>-4.0759869017387484E-2</v>
      </c>
      <c r="AE9" s="480">
        <f t="shared" si="11"/>
        <v>-1.4275291025405146E-2</v>
      </c>
      <c r="AF9" s="480">
        <f t="shared" si="11"/>
        <v>0.11150435432173511</v>
      </c>
      <c r="AG9" s="480">
        <f t="shared" si="11"/>
        <v>0.10785986219596899</v>
      </c>
      <c r="AH9" s="480">
        <f t="shared" si="11"/>
        <v>0.13582157350398738</v>
      </c>
      <c r="AI9" s="480">
        <f t="shared" ref="AI9:AR9" si="12">+AI8/AH8-1</f>
        <v>3.215911032887675E-2</v>
      </c>
      <c r="AJ9" s="480">
        <f t="shared" si="12"/>
        <v>6.6445710864897922E-2</v>
      </c>
      <c r="AK9" s="480">
        <f t="shared" si="12"/>
        <v>7.1742859356029864E-2</v>
      </c>
      <c r="AL9" s="480">
        <f>+AL8/AK8-1</f>
        <v>3.6256976391594975E-2</v>
      </c>
      <c r="AM9" s="480">
        <f>+AM8/AL8-1</f>
        <v>-2.3867193811801801E-3</v>
      </c>
      <c r="AN9" s="480">
        <f t="shared" si="12"/>
        <v>1.8270311622342605E-2</v>
      </c>
      <c r="AO9" s="480">
        <f t="shared" si="12"/>
        <v>2.9857438066395625E-2</v>
      </c>
      <c r="AP9" s="480">
        <f t="shared" si="12"/>
        <v>3.1903606395993878E-2</v>
      </c>
      <c r="AQ9" s="480">
        <f t="shared" si="12"/>
        <v>3.1863489316217297E-2</v>
      </c>
      <c r="AR9" s="480">
        <f t="shared" si="12"/>
        <v>3.212922839176735E-2</v>
      </c>
      <c r="AS9" s="100"/>
      <c r="AT9" s="56"/>
      <c r="AU9" s="57"/>
      <c r="AV9" s="56"/>
      <c r="AW9" s="100"/>
      <c r="AX9" s="494" t="s">
        <v>344</v>
      </c>
      <c r="AY9" s="2" t="s">
        <v>361</v>
      </c>
      <c r="AZ9" s="496">
        <f t="shared" ref="AZ9:BO9" si="13">+AZ63+AZ115+AZ161+AZ236</f>
        <v>248.35999999999999</v>
      </c>
      <c r="BA9" s="496">
        <f t="shared" si="13"/>
        <v>289.08252000000005</v>
      </c>
      <c r="BB9" s="496">
        <f t="shared" si="13"/>
        <v>96.060062514497133</v>
      </c>
      <c r="BC9" s="496">
        <f t="shared" si="13"/>
        <v>549.8905745927301</v>
      </c>
      <c r="BD9" s="496">
        <f t="shared" si="13"/>
        <v>-65.301031445385817</v>
      </c>
      <c r="BE9" s="496">
        <f t="shared" si="13"/>
        <v>-490.69330276457219</v>
      </c>
      <c r="BF9" s="496">
        <f t="shared" si="13"/>
        <v>-192.99579848220921</v>
      </c>
      <c r="BG9" s="496">
        <f t="shared" si="13"/>
        <v>655.33690774814659</v>
      </c>
      <c r="BH9" s="496">
        <f t="shared" si="13"/>
        <v>744.113373192067</v>
      </c>
      <c r="BI9" s="496">
        <f t="shared" si="13"/>
        <v>532.84007730802227</v>
      </c>
      <c r="BJ9" s="496">
        <f t="shared" si="13"/>
        <v>206.19398853844251</v>
      </c>
      <c r="BK9" s="496">
        <f t="shared" si="13"/>
        <v>380.62532907640099</v>
      </c>
      <c r="BL9" s="496">
        <f t="shared" si="13"/>
        <v>515.18680962568419</v>
      </c>
      <c r="BM9" s="496">
        <f t="shared" si="13"/>
        <v>75.513311120569355</v>
      </c>
      <c r="BN9" s="496">
        <f t="shared" si="13"/>
        <v>-273.05904553752237</v>
      </c>
      <c r="BO9" s="496">
        <f t="shared" si="13"/>
        <v>-13.671976609837401</v>
      </c>
      <c r="BP9" s="496">
        <f>+BP63+BP115+BP161+BP236</f>
        <v>186.57189113189833</v>
      </c>
    </row>
    <row r="10" spans="1:68">
      <c r="A10" s="213" t="s">
        <v>421</v>
      </c>
      <c r="B10" s="2"/>
      <c r="C10" s="2"/>
      <c r="D10" s="2"/>
      <c r="E10" s="2"/>
      <c r="F10" s="2"/>
      <c r="G10" s="2"/>
      <c r="H10" s="2"/>
      <c r="I10" s="2"/>
      <c r="J10" s="2"/>
      <c r="K10" s="2"/>
      <c r="L10" s="2"/>
      <c r="M10" s="2"/>
      <c r="N10" s="480"/>
      <c r="O10" s="480"/>
      <c r="P10" s="480"/>
      <c r="Q10" s="480"/>
      <c r="R10" s="480"/>
      <c r="S10" s="480"/>
      <c r="T10" s="480"/>
      <c r="U10" s="480"/>
      <c r="V10" s="480"/>
      <c r="W10" s="13"/>
      <c r="X10" s="480"/>
      <c r="Y10" s="480"/>
      <c r="Z10" s="480"/>
      <c r="AA10" s="480"/>
      <c r="AB10" s="480"/>
      <c r="AC10" s="480"/>
      <c r="AD10" s="480"/>
      <c r="AE10" s="480"/>
      <c r="AF10" s="480"/>
      <c r="AG10" s="480"/>
      <c r="AH10" s="16">
        <f>'segSales&amp;OM'!AG206</f>
        <v>132.00300000000001</v>
      </c>
      <c r="AI10" s="16">
        <f>'segSales&amp;OM'!AG213</f>
        <v>221.79599999999999</v>
      </c>
      <c r="AJ10" s="16">
        <f>'segSales&amp;OM'!AG220</f>
        <v>335.88599999999997</v>
      </c>
      <c r="AK10" s="16">
        <f>'segSales&amp;OM'!AG227</f>
        <v>385.23899999999998</v>
      </c>
      <c r="AL10" s="16">
        <f>'segSales&amp;OM'!AG234</f>
        <v>422.733</v>
      </c>
      <c r="AM10" s="16">
        <f>'segSales&amp;OM'!AG241</f>
        <v>502.44700000000006</v>
      </c>
      <c r="AN10" s="2790">
        <f>'segSales&amp;OM'!AG248</f>
        <v>661.9588</v>
      </c>
      <c r="AO10" s="345">
        <f>AN10*1.17</f>
        <v>774.49179599999991</v>
      </c>
      <c r="AP10" s="345">
        <f>AO10*1.15</f>
        <v>890.66556539999988</v>
      </c>
      <c r="AQ10" s="345">
        <f>AP10*1.15</f>
        <v>1024.2654002099998</v>
      </c>
      <c r="AR10" s="345">
        <f>AQ10*1.15</f>
        <v>1177.9052102414996</v>
      </c>
      <c r="AS10" s="100"/>
      <c r="AT10" s="56"/>
      <c r="AU10" s="57"/>
      <c r="AV10" s="56"/>
      <c r="AW10" s="100"/>
      <c r="AX10" s="494"/>
      <c r="AY10" s="2"/>
      <c r="AZ10" s="496"/>
      <c r="BA10" s="496"/>
      <c r="BB10" s="496"/>
      <c r="BC10" s="496"/>
      <c r="BD10" s="496"/>
      <c r="BE10" s="496"/>
      <c r="BF10" s="496"/>
      <c r="BG10" s="496"/>
      <c r="BH10" s="496"/>
      <c r="BI10" s="496"/>
      <c r="BJ10" s="496"/>
      <c r="BK10" s="496"/>
      <c r="BL10" s="496"/>
      <c r="BM10" s="496"/>
      <c r="BN10" s="496"/>
      <c r="BO10" s="496"/>
      <c r="BP10" s="496"/>
    </row>
    <row r="11" spans="1:68">
      <c r="A11" s="2" t="s">
        <v>225</v>
      </c>
      <c r="B11" s="2"/>
      <c r="C11" s="2"/>
      <c r="D11" s="2"/>
      <c r="E11" s="2"/>
      <c r="F11" s="2"/>
      <c r="G11" s="2"/>
      <c r="H11" s="2"/>
      <c r="I11" s="2"/>
      <c r="J11" s="2"/>
      <c r="K11" s="2"/>
      <c r="L11" s="2"/>
      <c r="M11" s="2"/>
      <c r="N11" s="343">
        <f t="shared" ref="N11:AC11" si="14">+N63</f>
        <v>367</v>
      </c>
      <c r="O11" s="343">
        <f t="shared" si="14"/>
        <v>436</v>
      </c>
      <c r="P11" s="343">
        <f t="shared" si="14"/>
        <v>569</v>
      </c>
      <c r="Q11" s="343">
        <f t="shared" si="14"/>
        <v>661</v>
      </c>
      <c r="R11" s="343">
        <f t="shared" si="14"/>
        <v>684</v>
      </c>
      <c r="S11" s="343">
        <f t="shared" si="14"/>
        <v>734</v>
      </c>
      <c r="T11" s="343">
        <f t="shared" si="14"/>
        <v>759</v>
      </c>
      <c r="U11" s="343">
        <f t="shared" si="14"/>
        <v>955.99300000000005</v>
      </c>
      <c r="V11" s="343">
        <f t="shared" si="14"/>
        <v>962.44299999999998</v>
      </c>
      <c r="W11" s="343">
        <f t="shared" si="14"/>
        <v>869.07500000000005</v>
      </c>
      <c r="X11" s="343">
        <f t="shared" si="14"/>
        <v>939</v>
      </c>
      <c r="Y11" s="343">
        <f t="shared" si="14"/>
        <v>995.3</v>
      </c>
      <c r="Z11" s="343">
        <f t="shared" si="14"/>
        <v>1119.201</v>
      </c>
      <c r="AA11" s="343">
        <f t="shared" si="14"/>
        <v>1225.5999999999999</v>
      </c>
      <c r="AB11" s="343">
        <f t="shared" si="14"/>
        <v>1415.663</v>
      </c>
      <c r="AC11" s="343">
        <f t="shared" si="14"/>
        <v>1396.4</v>
      </c>
      <c r="AD11" s="343">
        <f t="shared" ref="AD11:AJ11" si="15">+AD63</f>
        <v>1522.8</v>
      </c>
      <c r="AE11" s="343">
        <f t="shared" si="15"/>
        <v>1387.5</v>
      </c>
      <c r="AF11" s="343">
        <f t="shared" si="15"/>
        <v>1502.1</v>
      </c>
      <c r="AG11" s="343">
        <f t="shared" si="15"/>
        <v>1557.4499999999998</v>
      </c>
      <c r="AH11" s="343">
        <f t="shared" si="15"/>
        <v>1593.2</v>
      </c>
      <c r="AI11" s="343">
        <f>+AI63</f>
        <v>1516.1999999999998</v>
      </c>
      <c r="AJ11" s="343">
        <f t="shared" si="15"/>
        <v>1507.5</v>
      </c>
      <c r="AK11" s="343">
        <f t="shared" ref="AK11:AP11" si="16">+AK63</f>
        <v>1559.7</v>
      </c>
      <c r="AL11" s="343">
        <f t="shared" si="16"/>
        <v>1582.3000000000002</v>
      </c>
      <c r="AM11" s="343">
        <f>+AM63</f>
        <v>1508.3</v>
      </c>
      <c r="AN11" s="343">
        <f t="shared" si="16"/>
        <v>1681.6378638641006</v>
      </c>
      <c r="AO11" s="343">
        <f t="shared" si="16"/>
        <v>1849.8016502505109</v>
      </c>
      <c r="AP11" s="343">
        <f t="shared" si="16"/>
        <v>2034.7818152755622</v>
      </c>
      <c r="AQ11" s="343">
        <f>+AQ63</f>
        <v>2197.5643604976071</v>
      </c>
      <c r="AR11" s="343">
        <f>+AR63</f>
        <v>2329.4182221274637</v>
      </c>
      <c r="AS11" s="100"/>
      <c r="AT11" s="56">
        <f>((AK11/AF11)^(1/5)-1)*100</f>
        <v>0.75542637711096816</v>
      </c>
      <c r="AU11" s="97" t="s">
        <v>1084</v>
      </c>
      <c r="AV11" s="56">
        <f>((AP11/AK11)^(1/5)-1)*100</f>
        <v>5.4618426431448652</v>
      </c>
      <c r="AW11" s="100" t="s">
        <v>1084</v>
      </c>
      <c r="AX11" s="494" t="s">
        <v>344</v>
      </c>
      <c r="AY11" s="2" t="s">
        <v>319</v>
      </c>
      <c r="AZ11" s="496">
        <f t="shared" ref="AZ11:BG11" si="17">+AZ64+AZ116+AZ162+AZ237</f>
        <v>54.685749999999999</v>
      </c>
      <c r="BA11" s="496">
        <f t="shared" si="17"/>
        <v>99.684705190660168</v>
      </c>
      <c r="BB11" s="496">
        <f t="shared" si="17"/>
        <v>121.06266588274821</v>
      </c>
      <c r="BC11" s="496">
        <f t="shared" si="17"/>
        <v>92.077960692088041</v>
      </c>
      <c r="BD11" s="496">
        <f t="shared" si="17"/>
        <v>207.41139397544632</v>
      </c>
      <c r="BE11" s="496">
        <f t="shared" si="17"/>
        <v>261.29490173022003</v>
      </c>
      <c r="BF11" s="496">
        <f t="shared" si="17"/>
        <v>162.70000000000002</v>
      </c>
      <c r="BG11" s="496">
        <f t="shared" si="17"/>
        <v>140.77600000000001</v>
      </c>
      <c r="BH11" s="496">
        <f t="shared" ref="BH11:BN11" si="18">+BH64+BH116+BH162+BH237</f>
        <v>122.04400000000001</v>
      </c>
      <c r="BI11" s="496">
        <f t="shared" si="18"/>
        <v>167.40400000000002</v>
      </c>
      <c r="BJ11" s="496">
        <f t="shared" si="18"/>
        <v>344.81200000000001</v>
      </c>
      <c r="BK11" s="496">
        <f t="shared" si="18"/>
        <v>293.06799999999998</v>
      </c>
      <c r="BL11" s="496">
        <f t="shared" si="18"/>
        <v>242.02540000000002</v>
      </c>
      <c r="BM11" s="496">
        <f t="shared" si="18"/>
        <v>182.88567360000002</v>
      </c>
      <c r="BN11" s="496">
        <f t="shared" si="18"/>
        <v>135.20532765600001</v>
      </c>
      <c r="BO11" s="496">
        <f>+BO64+BO116+BO162+BO237</f>
        <v>285.34634020693034</v>
      </c>
      <c r="BP11" s="496">
        <f>+BP64+BP116+BP162+BP237</f>
        <v>191.48643205733032</v>
      </c>
    </row>
    <row r="12" spans="1:68">
      <c r="A12" s="2" t="s">
        <v>419</v>
      </c>
      <c r="B12" s="2"/>
      <c r="C12" s="2"/>
      <c r="D12" s="2"/>
      <c r="E12" s="2"/>
      <c r="F12" s="2"/>
      <c r="G12" s="2"/>
      <c r="H12" s="2"/>
      <c r="I12" s="2"/>
      <c r="J12" s="2"/>
      <c r="K12" s="2"/>
      <c r="L12" s="2"/>
      <c r="M12" s="2"/>
      <c r="N12" s="343">
        <f t="shared" ref="N12:X12" si="19">+N13-N11-N8</f>
        <v>6577.2960000000003</v>
      </c>
      <c r="O12" s="343">
        <f t="shared" si="19"/>
        <v>2750.0879999999997</v>
      </c>
      <c r="P12" s="343">
        <f t="shared" si="19"/>
        <v>2499.7920000000004</v>
      </c>
      <c r="Q12" s="343">
        <f t="shared" si="19"/>
        <v>2588.4369999999999</v>
      </c>
      <c r="R12" s="343">
        <f t="shared" si="19"/>
        <v>2856.7909999999993</v>
      </c>
      <c r="S12" s="343">
        <f t="shared" si="19"/>
        <v>2248.7350000000006</v>
      </c>
      <c r="T12" s="343">
        <f t="shared" si="19"/>
        <v>2253.5810000000001</v>
      </c>
      <c r="U12" s="343">
        <f t="shared" si="19"/>
        <v>334.57600000000093</v>
      </c>
      <c r="V12" s="343">
        <f t="shared" si="19"/>
        <v>227.64500000000044</v>
      </c>
      <c r="W12" s="343">
        <f t="shared" si="19"/>
        <v>246.92000000000098</v>
      </c>
      <c r="X12" s="343">
        <f t="shared" si="19"/>
        <v>366.65400000000045</v>
      </c>
      <c r="Y12" s="343">
        <f>+'segSales&amp;OM'!BE91</f>
        <v>486.29300000000001</v>
      </c>
      <c r="Z12" s="343">
        <f>+'segSales&amp;OM'!BE98</f>
        <v>517.34500000000003</v>
      </c>
      <c r="AA12" s="547">
        <f>'segSales&amp;OM'!$BE$112</f>
        <v>626.971</v>
      </c>
      <c r="AB12" s="547">
        <f>'segSales&amp;OM'!BE119+'segSales&amp;OM'!AP119+'segSales&amp;OM'!N119</f>
        <v>2999.5529999999999</v>
      </c>
      <c r="AC12" s="547">
        <f>'segSales&amp;OM'!AP126+'segSales&amp;OM'!N126</f>
        <v>2643.1788199644884</v>
      </c>
      <c r="AD12" s="547">
        <f>'segSales&amp;OM'!BE161</f>
        <v>1556.6260000000002</v>
      </c>
      <c r="AE12" s="547">
        <f>'segSales&amp;OM'!BE168</f>
        <v>1366.7639999999999</v>
      </c>
      <c r="AF12" s="547">
        <f>'segSales&amp;OM'!BE175</f>
        <v>1577.8219999999999</v>
      </c>
      <c r="AG12" s="547">
        <f>'segSales&amp;OM'!BE182</f>
        <v>1568.3</v>
      </c>
      <c r="AH12" s="547">
        <f>'segSales&amp;OM'!BE206</f>
        <v>511.98400000000004</v>
      </c>
      <c r="AI12" s="547">
        <f>'segSales&amp;OM'!BE213</f>
        <v>549.35500000000002</v>
      </c>
      <c r="AJ12" s="547">
        <f>'segSales&amp;OM'!BE220</f>
        <v>560.96500000000003</v>
      </c>
      <c r="AK12" s="547">
        <f>'segSales&amp;OM'!BE227</f>
        <v>509.88599999999997</v>
      </c>
      <c r="AL12" s="547">
        <f>'segSales&amp;OM'!BE234</f>
        <v>518.49300000000005</v>
      </c>
      <c r="AM12" s="547">
        <f>'segSales&amp;OM'!BE241</f>
        <v>594.92900000000009</v>
      </c>
      <c r="AN12" s="2791">
        <f>'segSales&amp;OM'!BE248</f>
        <v>592.75757999999996</v>
      </c>
      <c r="AO12" s="930">
        <f>AN12*1.04</f>
        <v>616.46788319999996</v>
      </c>
      <c r="AP12" s="930">
        <f>AO12*1.02</f>
        <v>628.79724086399995</v>
      </c>
      <c r="AQ12" s="930">
        <f>AP12*1.02</f>
        <v>641.37318568128001</v>
      </c>
      <c r="AR12" s="930">
        <f>AQ12*1.02</f>
        <v>654.20064939490567</v>
      </c>
      <c r="AS12" s="100"/>
      <c r="AT12" s="56"/>
      <c r="AU12" s="97"/>
      <c r="AV12" s="56">
        <f>((AP12/AK12)^(1/5)-1)*100</f>
        <v>4.2815572553215109</v>
      </c>
      <c r="AW12" s="100" t="s">
        <v>1084</v>
      </c>
      <c r="AX12" s="494" t="s">
        <v>344</v>
      </c>
      <c r="AY12" s="2" t="s">
        <v>992</v>
      </c>
      <c r="AZ12" s="496">
        <f t="shared" ref="AZ12:BF12" si="20">+AZ65+AZ117+AZ163+AZ164+AZ238</f>
        <v>84.292241377042004</v>
      </c>
      <c r="BA12" s="496">
        <f t="shared" si="20"/>
        <v>110.27224137704201</v>
      </c>
      <c r="BB12" s="496">
        <f t="shared" si="20"/>
        <v>129.47224137704202</v>
      </c>
      <c r="BC12" s="496">
        <f t="shared" si="20"/>
        <v>128.67224137704201</v>
      </c>
      <c r="BD12" s="496">
        <f t="shared" si="20"/>
        <v>75.761430599088428</v>
      </c>
      <c r="BE12" s="496">
        <f t="shared" si="20"/>
        <v>18.951750358860235</v>
      </c>
      <c r="BF12" s="496">
        <f t="shared" si="20"/>
        <v>26.650000000000009</v>
      </c>
      <c r="BG12" s="496">
        <f t="shared" ref="BG12:BN12" si="21">+BG65+BG117+BG163+BG164+BG238</f>
        <v>53.84500000000002</v>
      </c>
      <c r="BH12" s="496">
        <f t="shared" si="21"/>
        <v>36.550000000000026</v>
      </c>
      <c r="BI12" s="496">
        <f t="shared" si="21"/>
        <v>34.075000000000017</v>
      </c>
      <c r="BJ12" s="496">
        <f t="shared" si="21"/>
        <v>31.52575000000002</v>
      </c>
      <c r="BK12" s="496">
        <f t="shared" si="21"/>
        <v>28.900022500000023</v>
      </c>
      <c r="BL12" s="496">
        <f t="shared" si="21"/>
        <v>26.286523175000024</v>
      </c>
      <c r="BM12" s="496">
        <f t="shared" si="21"/>
        <v>27.210308870250046</v>
      </c>
      <c r="BN12" s="496">
        <f t="shared" si="21"/>
        <v>18.359329736357545</v>
      </c>
      <c r="BO12" s="496">
        <f>+BO65+BO117+BO163+BO164+BO238</f>
        <v>118.04563501434551</v>
      </c>
      <c r="BP12" s="496">
        <f>+BP65+BP117+BP163+BP164+BP238</f>
        <v>126.83160373336071</v>
      </c>
    </row>
    <row r="13" spans="1:68">
      <c r="A13" s="213" t="s">
        <v>467</v>
      </c>
      <c r="B13" s="51">
        <v>295.01600000000002</v>
      </c>
      <c r="C13" s="51">
        <v>364.9</v>
      </c>
      <c r="D13" s="51">
        <v>721.39400000000001</v>
      </c>
      <c r="E13" s="51">
        <v>1085.8900000000001</v>
      </c>
      <c r="F13" s="51">
        <v>1343.134</v>
      </c>
      <c r="G13" s="51">
        <v>2387.11</v>
      </c>
      <c r="H13" s="51">
        <v>3142.6959999999999</v>
      </c>
      <c r="I13" s="51">
        <v>3527.9409999999998</v>
      </c>
      <c r="J13" s="51">
        <v>4070.777</v>
      </c>
      <c r="K13" s="51">
        <f>+'qtrP&amp;L'!D14</f>
        <v>4647.9160000000002</v>
      </c>
      <c r="L13" s="6">
        <f>'qtrP&amp;L'!F14</f>
        <v>5253.509</v>
      </c>
      <c r="M13" s="6">
        <f>'qtrP&amp;L'!J14</f>
        <v>6149.2179999999989</v>
      </c>
      <c r="N13" s="6">
        <f>'qtrP&amp;L'!N14</f>
        <v>6944.2960000000003</v>
      </c>
      <c r="O13" s="6">
        <f>'qtrP&amp;L'!R14</f>
        <v>7245.0879999999997</v>
      </c>
      <c r="P13" s="6">
        <f>'qtrP&amp;L'!V14</f>
        <v>7320.7920000000004</v>
      </c>
      <c r="Q13" s="6">
        <f>'qtrP&amp;L'!Z14</f>
        <v>7881.4369999999999</v>
      </c>
      <c r="R13" s="6">
        <f>'qtrP&amp;L'!AD14</f>
        <v>8644.7909999999993</v>
      </c>
      <c r="S13" s="6">
        <f>'qtrP&amp;L'!AH14</f>
        <v>8366.7350000000006</v>
      </c>
      <c r="T13" s="6">
        <f>'qtrP&amp;L'!AL14</f>
        <v>8836.5810000000001</v>
      </c>
      <c r="U13" s="6">
        <f>+'qtrP&amp;L'!AP14</f>
        <v>7620.6360000000004</v>
      </c>
      <c r="V13" s="6">
        <f>+'qtrP&amp;L'!AT14</f>
        <v>8149.7730000000001</v>
      </c>
      <c r="W13" s="16">
        <f>+'qtrP&amp;L'!AX14</f>
        <v>7927.4330000000009</v>
      </c>
      <c r="X13" s="16">
        <f>+'qtrP&amp;L'!BB14</f>
        <v>8444.6540000000005</v>
      </c>
      <c r="Y13" s="16">
        <f>'qtrP&amp;L'!$BF$14</f>
        <v>8934.0910000000003</v>
      </c>
      <c r="Z13" s="16">
        <f>'qtrP&amp;L'!$BJ$14</f>
        <v>9408.3119999999999</v>
      </c>
      <c r="AA13" s="16">
        <f>'qtrP&amp;L'!$BR$14</f>
        <v>9698.9680000000008</v>
      </c>
      <c r="AB13" s="16">
        <f t="shared" ref="AB13:AG13" si="22">+AB8+AB11+AB12</f>
        <v>10670.620999999999</v>
      </c>
      <c r="AC13" s="16">
        <f t="shared" si="22"/>
        <v>10256.281819964488</v>
      </c>
      <c r="AD13" s="16">
        <f t="shared" si="22"/>
        <v>9042.737000000001</v>
      </c>
      <c r="AE13" s="16">
        <f t="shared" si="22"/>
        <v>8632.4470000000001</v>
      </c>
      <c r="AF13" s="16">
        <f t="shared" si="22"/>
        <v>9613.5480000000007</v>
      </c>
      <c r="AG13" s="16">
        <f t="shared" si="22"/>
        <v>10364.092000000001</v>
      </c>
      <c r="AH13" s="16">
        <f>+AH8+AH11+AH12+AH10</f>
        <v>10458.652000000002</v>
      </c>
      <c r="AI13" s="16">
        <f>+AI8+AI11+AI12+AI10</f>
        <v>10773.210999999998</v>
      </c>
      <c r="AJ13" s="16">
        <f>+AJ8+AJ11+AJ12+AJ10</f>
        <v>11454.060000000001</v>
      </c>
      <c r="AK13" s="16">
        <f t="shared" ref="AK13:AP13" si="23">+AK8+AK11+AK12+AK10</f>
        <v>12153.786</v>
      </c>
      <c r="AL13" s="16">
        <f t="shared" si="23"/>
        <v>12574.142000000002</v>
      </c>
      <c r="AM13" s="16">
        <f t="shared" si="23"/>
        <v>12632.304</v>
      </c>
      <c r="AN13" s="16">
        <f>+AN8+AN11+AN12+AN10</f>
        <v>13146.171861945406</v>
      </c>
      <c r="AO13" s="16">
        <f t="shared" si="23"/>
        <v>13755.417944732873</v>
      </c>
      <c r="AP13" s="16">
        <f t="shared" si="23"/>
        <v>14404.356702864929</v>
      </c>
      <c r="AQ13" s="16">
        <f>+AQ8+AQ11+AQ12+AQ10</f>
        <v>15059.037458097322</v>
      </c>
      <c r="AR13" s="16">
        <f>+AR8+AR11+AR12+AR10</f>
        <v>15717.072117535414</v>
      </c>
      <c r="AS13" s="100"/>
      <c r="AT13" s="56">
        <f>((AK13/AF13)^(1/5)-1)*100</f>
        <v>4.8010363324041183</v>
      </c>
      <c r="AU13" s="97" t="s">
        <v>1084</v>
      </c>
      <c r="AV13" s="56">
        <f>((AP13/AK13)^(1/5)-1)*100</f>
        <v>3.4561842692171663</v>
      </c>
      <c r="AW13" s="100" t="s">
        <v>1084</v>
      </c>
      <c r="AX13" s="494" t="s">
        <v>320</v>
      </c>
      <c r="AY13" s="2" t="s">
        <v>321</v>
      </c>
      <c r="AZ13" s="501">
        <f t="shared" ref="AZ13:BF13" si="24">+AZ66+AZ118+AZ165+AZ239</f>
        <v>-135.85000000000002</v>
      </c>
      <c r="BA13" s="501">
        <f t="shared" si="24"/>
        <v>-145.1</v>
      </c>
      <c r="BB13" s="501">
        <f t="shared" si="24"/>
        <v>-177.7</v>
      </c>
      <c r="BC13" s="501">
        <f t="shared" si="24"/>
        <v>-118.3</v>
      </c>
      <c r="BD13" s="501">
        <f t="shared" si="24"/>
        <v>-113.2</v>
      </c>
      <c r="BE13" s="501">
        <f t="shared" si="24"/>
        <v>-135.19999999999999</v>
      </c>
      <c r="BF13" s="501">
        <f t="shared" si="24"/>
        <v>-117.8</v>
      </c>
      <c r="BG13" s="501">
        <f t="shared" ref="BG13:BN13" si="25">+BG66+BG118+BG165+BG239</f>
        <v>-111.43</v>
      </c>
      <c r="BH13" s="501">
        <f t="shared" si="25"/>
        <v>-133.75</v>
      </c>
      <c r="BI13" s="501">
        <f t="shared" si="25"/>
        <v>-130.97</v>
      </c>
      <c r="BJ13" s="501">
        <f t="shared" si="25"/>
        <v>-135.32037</v>
      </c>
      <c r="BK13" s="501">
        <f t="shared" si="25"/>
        <v>-125.55398289999999</v>
      </c>
      <c r="BL13" s="501">
        <f t="shared" si="25"/>
        <v>-154.20779311699999</v>
      </c>
      <c r="BM13" s="501">
        <f t="shared" si="25"/>
        <v>-70.891526232659999</v>
      </c>
      <c r="BN13" s="501">
        <f t="shared" si="25"/>
        <v>-141.98145372218821</v>
      </c>
      <c r="BO13" s="501">
        <f>+BO66+BO118+BO165+BO239</f>
        <v>-117.82913093891401</v>
      </c>
      <c r="BP13" s="501">
        <f>+BP66+BP118+BP165+BP239</f>
        <v>-117.82913093891401</v>
      </c>
    </row>
    <row r="14" spans="1:68">
      <c r="A14" s="213" t="s">
        <v>1085</v>
      </c>
      <c r="B14" s="401">
        <f>+B13/252.693-1</f>
        <v>0.16748782119013983</v>
      </c>
      <c r="C14" s="13">
        <f t="shared" ref="C14:P14" si="26">C13/B13-1</f>
        <v>0.23688206741329276</v>
      </c>
      <c r="D14" s="13">
        <f t="shared" si="26"/>
        <v>0.97696355165798865</v>
      </c>
      <c r="E14" s="13">
        <f t="shared" si="26"/>
        <v>0.50526619295419706</v>
      </c>
      <c r="F14" s="13">
        <f t="shared" si="26"/>
        <v>0.23689692326110379</v>
      </c>
      <c r="G14" s="13">
        <f t="shared" si="26"/>
        <v>0.77726868651973668</v>
      </c>
      <c r="H14" s="13">
        <f t="shared" si="26"/>
        <v>0.3165275165367325</v>
      </c>
      <c r="I14" s="13">
        <f t="shared" si="26"/>
        <v>0.12258423977374844</v>
      </c>
      <c r="J14" s="13">
        <f t="shared" si="26"/>
        <v>0.15386765254861134</v>
      </c>
      <c r="K14" s="13">
        <f t="shared" si="26"/>
        <v>0.14177612775153237</v>
      </c>
      <c r="L14" s="13">
        <f t="shared" si="26"/>
        <v>0.13029344764406248</v>
      </c>
      <c r="M14" s="13">
        <f t="shared" si="26"/>
        <v>0.17049728096021144</v>
      </c>
      <c r="N14" s="13">
        <f t="shared" si="26"/>
        <v>0.12929741635440495</v>
      </c>
      <c r="O14" s="13">
        <f t="shared" si="26"/>
        <v>4.3314973900882014E-2</v>
      </c>
      <c r="P14" s="13">
        <f t="shared" si="26"/>
        <v>1.0449010419197213E-2</v>
      </c>
      <c r="Q14" s="13">
        <f t="shared" ref="Q14:AJ14" si="27">Q13/P13-1</f>
        <v>7.6582561012524364E-2</v>
      </c>
      <c r="R14" s="13">
        <f t="shared" si="27"/>
        <v>9.6854672567959321E-2</v>
      </c>
      <c r="S14" s="13">
        <f t="shared" si="27"/>
        <v>-3.2164571705666334E-2</v>
      </c>
      <c r="T14" s="13">
        <f>T13/S13-1</f>
        <v>5.6156433782114545E-2</v>
      </c>
      <c r="U14" s="187" t="s">
        <v>886</v>
      </c>
      <c r="V14" s="13">
        <f>V13/U13-1</f>
        <v>6.9434755839276274E-2</v>
      </c>
      <c r="W14" s="13">
        <f>W13/V13-1</f>
        <v>-2.7281741466909426E-2</v>
      </c>
      <c r="X14" s="13">
        <f>X13/W13-1</f>
        <v>6.5244449243531788E-2</v>
      </c>
      <c r="Y14" s="13">
        <f t="shared" si="27"/>
        <v>5.7958206458192274E-2</v>
      </c>
      <c r="Z14" s="13">
        <f t="shared" si="27"/>
        <v>5.3079938406716431E-2</v>
      </c>
      <c r="AA14" s="13">
        <f>AA13/Z13-1</f>
        <v>3.0893533292688513E-2</v>
      </c>
      <c r="AB14" s="13">
        <f t="shared" si="27"/>
        <v>0.10018107081083238</v>
      </c>
      <c r="AC14" s="13">
        <f t="shared" si="27"/>
        <v>-3.8829903155168877E-2</v>
      </c>
      <c r="AD14" s="13">
        <f t="shared" si="27"/>
        <v>-0.11832210164138113</v>
      </c>
      <c r="AE14" s="13">
        <f t="shared" si="27"/>
        <v>-4.5372324772908978E-2</v>
      </c>
      <c r="AF14" s="13">
        <f t="shared" si="27"/>
        <v>0.11365271052344728</v>
      </c>
      <c r="AG14" s="13">
        <f t="shared" si="27"/>
        <v>7.8071488278833145E-2</v>
      </c>
      <c r="AH14" s="13">
        <f t="shared" si="27"/>
        <v>9.123809398835947E-3</v>
      </c>
      <c r="AI14" s="13">
        <f t="shared" si="27"/>
        <v>3.0076438149007734E-2</v>
      </c>
      <c r="AJ14" s="13">
        <f t="shared" si="27"/>
        <v>6.3198335203868528E-2</v>
      </c>
      <c r="AK14" s="13">
        <f t="shared" ref="AK14:AR14" si="28">AK13/AJ13-1</f>
        <v>6.1089779519227116E-2</v>
      </c>
      <c r="AL14" s="13">
        <f t="shared" si="28"/>
        <v>3.4586424345467437E-2</v>
      </c>
      <c r="AM14" s="13">
        <f t="shared" si="28"/>
        <v>4.6255243498918297E-3</v>
      </c>
      <c r="AN14" s="13">
        <f t="shared" si="28"/>
        <v>4.0678870770162412E-2</v>
      </c>
      <c r="AO14" s="13">
        <f t="shared" si="28"/>
        <v>4.6343991938144979E-2</v>
      </c>
      <c r="AP14" s="13">
        <f t="shared" si="28"/>
        <v>4.7176956799087399E-2</v>
      </c>
      <c r="AQ14" s="13">
        <f t="shared" si="28"/>
        <v>4.5450190434549675E-2</v>
      </c>
      <c r="AR14" s="13">
        <f t="shared" si="28"/>
        <v>4.3696993335006429E-2</v>
      </c>
      <c r="AS14" s="100"/>
      <c r="AT14" s="56"/>
      <c r="AU14" s="57"/>
      <c r="AV14" s="56"/>
      <c r="AW14" s="100"/>
      <c r="AX14" s="494" t="s">
        <v>756</v>
      </c>
      <c r="AY14" s="472" t="s">
        <v>456</v>
      </c>
      <c r="AZ14" s="502">
        <f t="shared" ref="AZ14:BG14" si="29">+SUM(AZ8:AZ13)</f>
        <v>7390.487991377041</v>
      </c>
      <c r="BA14" s="502">
        <f t="shared" si="29"/>
        <v>7806.4104665677014</v>
      </c>
      <c r="BB14" s="502">
        <f t="shared" si="29"/>
        <v>7975.3054363419888</v>
      </c>
      <c r="BC14" s="502">
        <f t="shared" si="29"/>
        <v>8627.646213003849</v>
      </c>
      <c r="BD14" s="502">
        <f t="shared" si="29"/>
        <v>8732.3180061329967</v>
      </c>
      <c r="BE14" s="502">
        <f t="shared" si="29"/>
        <v>8386.6713554575035</v>
      </c>
      <c r="BF14" s="502">
        <f t="shared" si="29"/>
        <v>8265.2255569752961</v>
      </c>
      <c r="BG14" s="502">
        <f t="shared" si="29"/>
        <v>9003.7534647234424</v>
      </c>
      <c r="BH14" s="502">
        <f t="shared" ref="BH14:BO14" si="30">+SUM(BH8:BH13)</f>
        <v>9772.7108379155088</v>
      </c>
      <c r="BI14" s="502">
        <f t="shared" si="30"/>
        <v>10376.059915223534</v>
      </c>
      <c r="BJ14" s="502">
        <f t="shared" si="30"/>
        <v>10823.271283761977</v>
      </c>
      <c r="BK14" s="502">
        <f t="shared" si="30"/>
        <v>11400.310652438377</v>
      </c>
      <c r="BL14" s="502">
        <f t="shared" si="30"/>
        <v>12029.601592122061</v>
      </c>
      <c r="BM14" s="502">
        <f t="shared" si="30"/>
        <v>12244.319359480218</v>
      </c>
      <c r="BN14" s="502">
        <f t="shared" si="30"/>
        <v>11982.843517612864</v>
      </c>
      <c r="BO14" s="502">
        <f t="shared" si="30"/>
        <v>12254.734385285388</v>
      </c>
      <c r="BP14" s="502">
        <f>+SUM(BP8:BP13)</f>
        <v>12641.795181269064</v>
      </c>
    </row>
    <row r="15" spans="1:68">
      <c r="A15" s="2"/>
      <c r="B15" s="2"/>
      <c r="C15" s="2"/>
      <c r="D15" s="2"/>
      <c r="E15" s="2"/>
      <c r="F15" s="2"/>
      <c r="G15" s="2"/>
      <c r="H15" s="2"/>
      <c r="I15" s="2"/>
      <c r="J15" s="2"/>
      <c r="K15" s="2"/>
      <c r="L15" s="2"/>
      <c r="M15" s="2"/>
      <c r="N15" s="2"/>
      <c r="O15" s="2"/>
      <c r="P15" s="2"/>
      <c r="Q15" s="2"/>
      <c r="R15" s="8"/>
      <c r="S15" s="8"/>
      <c r="T15" s="2"/>
      <c r="U15" s="2"/>
      <c r="V15" s="2"/>
      <c r="W15" s="2"/>
      <c r="X15" s="492"/>
      <c r="Y15" s="492"/>
      <c r="Z15" s="492"/>
      <c r="AA15" s="924"/>
      <c r="AB15" s="1199"/>
      <c r="AC15" s="1199"/>
      <c r="AD15" s="924"/>
      <c r="AE15" s="1199"/>
      <c r="AF15" s="749"/>
      <c r="AG15" s="749"/>
      <c r="AH15" s="749"/>
      <c r="AI15" s="749"/>
      <c r="AJ15" s="749"/>
      <c r="AK15" s="749"/>
      <c r="AL15" s="749"/>
      <c r="AM15" s="749"/>
      <c r="AN15" s="749"/>
      <c r="AO15" s="749"/>
      <c r="AP15" s="749"/>
      <c r="AQ15" s="749"/>
      <c r="AR15" s="749"/>
      <c r="AS15" s="100"/>
      <c r="AT15" s="56"/>
      <c r="AU15" s="57"/>
      <c r="AV15" s="56"/>
      <c r="AW15" s="100"/>
      <c r="AX15" s="57"/>
      <c r="AY15" s="178" t="s">
        <v>926</v>
      </c>
      <c r="AZ15" s="57"/>
      <c r="BA15" s="57"/>
      <c r="BB15" s="57"/>
      <c r="BC15" s="2"/>
      <c r="BD15" s="2"/>
      <c r="BE15" s="2"/>
      <c r="BF15" s="2"/>
      <c r="BG15" s="2"/>
      <c r="BH15" s="2"/>
      <c r="BI15" s="2"/>
      <c r="BJ15" s="2"/>
      <c r="BK15" s="2"/>
      <c r="BL15" s="2"/>
      <c r="BM15" s="2"/>
      <c r="BN15" s="2"/>
      <c r="BO15" s="2"/>
      <c r="BP15" s="2"/>
    </row>
    <row r="16" spans="1:68">
      <c r="A16" s="213" t="s">
        <v>1086</v>
      </c>
      <c r="B16" s="346">
        <v>309</v>
      </c>
      <c r="C16" s="343">
        <f t="shared" ref="C16:M16" si="31">+B20</f>
        <v>352</v>
      </c>
      <c r="D16" s="343">
        <f t="shared" si="31"/>
        <v>430</v>
      </c>
      <c r="E16" s="343">
        <f t="shared" si="31"/>
        <v>825</v>
      </c>
      <c r="F16" s="343">
        <f t="shared" si="31"/>
        <v>937</v>
      </c>
      <c r="G16" s="343">
        <f t="shared" si="31"/>
        <v>1412</v>
      </c>
      <c r="H16" s="343">
        <f t="shared" si="31"/>
        <v>2353</v>
      </c>
      <c r="I16" s="343">
        <f t="shared" si="31"/>
        <v>2682</v>
      </c>
      <c r="J16" s="343">
        <f t="shared" si="31"/>
        <v>3115</v>
      </c>
      <c r="K16" s="343">
        <f t="shared" si="31"/>
        <v>3497</v>
      </c>
      <c r="L16" s="343">
        <f t="shared" si="31"/>
        <v>3344</v>
      </c>
      <c r="M16" s="343">
        <f t="shared" si="31"/>
        <v>3760</v>
      </c>
      <c r="N16" s="343">
        <f>M20</f>
        <v>4194</v>
      </c>
      <c r="O16" s="343">
        <f>N20</f>
        <v>4425</v>
      </c>
      <c r="P16" s="343">
        <f>O20</f>
        <v>4623</v>
      </c>
      <c r="Q16" s="343">
        <f t="shared" ref="Q16:AJ16" si="32">P20</f>
        <v>4867</v>
      </c>
      <c r="R16" s="343">
        <f t="shared" si="32"/>
        <v>5298</v>
      </c>
      <c r="S16" s="343">
        <f>+'store&amp;sf'!AQ56</f>
        <v>5633</v>
      </c>
      <c r="T16" s="343">
        <f>S20</f>
        <v>5640</v>
      </c>
      <c r="U16" s="343">
        <f t="shared" si="32"/>
        <v>5382</v>
      </c>
      <c r="V16" s="343">
        <f t="shared" si="32"/>
        <v>5023</v>
      </c>
      <c r="W16" s="343">
        <f t="shared" si="32"/>
        <v>5129</v>
      </c>
      <c r="X16" s="343">
        <f t="shared" si="32"/>
        <v>4614</v>
      </c>
      <c r="Y16" s="343">
        <f t="shared" si="32"/>
        <v>4036</v>
      </c>
      <c r="Z16" s="343">
        <f t="shared" si="32"/>
        <v>3911</v>
      </c>
      <c r="AA16" s="343">
        <f>Z20</f>
        <v>3779</v>
      </c>
      <c r="AB16" s="343">
        <f t="shared" si="32"/>
        <v>3590</v>
      </c>
      <c r="AC16" s="343">
        <f t="shared" si="32"/>
        <v>3766</v>
      </c>
      <c r="AD16" s="343">
        <f t="shared" si="32"/>
        <v>2926</v>
      </c>
      <c r="AE16" s="343">
        <f t="shared" si="32"/>
        <v>3014</v>
      </c>
      <c r="AF16" s="343">
        <f t="shared" si="32"/>
        <v>2971</v>
      </c>
      <c r="AG16" s="343">
        <f t="shared" si="32"/>
        <v>2968</v>
      </c>
      <c r="AH16" s="343">
        <f t="shared" si="32"/>
        <v>2941</v>
      </c>
      <c r="AI16" s="343">
        <f t="shared" si="32"/>
        <v>2876</v>
      </c>
      <c r="AJ16" s="343">
        <f t="shared" si="32"/>
        <v>2918</v>
      </c>
      <c r="AK16" s="343">
        <f t="shared" ref="AK16:AR16" si="33">AJ20</f>
        <v>2959</v>
      </c>
      <c r="AL16" s="343">
        <f t="shared" si="33"/>
        <v>2995</v>
      </c>
      <c r="AM16" s="343">
        <f t="shared" si="33"/>
        <v>3029</v>
      </c>
      <c r="AN16" s="343">
        <f t="shared" si="33"/>
        <v>3021</v>
      </c>
      <c r="AO16" s="343">
        <f t="shared" si="33"/>
        <v>3045</v>
      </c>
      <c r="AP16" s="343">
        <f t="shared" si="33"/>
        <v>3040</v>
      </c>
      <c r="AQ16" s="343">
        <f t="shared" si="33"/>
        <v>3035</v>
      </c>
      <c r="AR16" s="343">
        <f t="shared" si="33"/>
        <v>3020</v>
      </c>
      <c r="AS16" s="100"/>
      <c r="AT16" s="56"/>
      <c r="AU16" s="57"/>
      <c r="AV16" s="56"/>
      <c r="AW16" s="100"/>
      <c r="AX16" s="57"/>
      <c r="AY16" s="57" t="s">
        <v>788</v>
      </c>
      <c r="AZ16" s="512">
        <f t="shared" ref="AZ16:BF16" si="34">+(AZ8+AZ9)/AZ8-1</f>
        <v>3.4789186160526731E-2</v>
      </c>
      <c r="BA16" s="512">
        <f t="shared" si="34"/>
        <v>3.8790156982831503E-2</v>
      </c>
      <c r="BB16" s="512">
        <f t="shared" si="34"/>
        <v>1.2305279478435072E-2</v>
      </c>
      <c r="BC16" s="512">
        <f t="shared" si="34"/>
        <v>6.8949155487761038E-2</v>
      </c>
      <c r="BD16" s="512">
        <f t="shared" si="34"/>
        <v>-7.5688119138406229E-3</v>
      </c>
      <c r="BE16" s="512">
        <f t="shared" si="34"/>
        <v>-5.6192788950189643E-2</v>
      </c>
      <c r="BF16" s="512">
        <f t="shared" si="34"/>
        <v>-2.301220475947463E-2</v>
      </c>
      <c r="BG16" s="512">
        <f t="shared" ref="BG16:BN16" si="35">+(BG8+BG9)/BG8-1</f>
        <v>7.9288448116831667E-2</v>
      </c>
      <c r="BH16" s="512">
        <f t="shared" si="35"/>
        <v>8.2644796540408461E-2</v>
      </c>
      <c r="BI16" s="512">
        <f t="shared" si="35"/>
        <v>5.4523262393147531E-2</v>
      </c>
      <c r="BJ16" s="512">
        <f t="shared" si="35"/>
        <v>1.9872089234557855E-2</v>
      </c>
      <c r="BK16" s="512">
        <f t="shared" si="35"/>
        <v>3.5167309318713036E-2</v>
      </c>
      <c r="BL16" s="512">
        <f t="shared" si="35"/>
        <v>4.5190593952410651E-2</v>
      </c>
      <c r="BM16" s="512">
        <f t="shared" si="35"/>
        <v>6.2772911091271144E-3</v>
      </c>
      <c r="BN16" s="512">
        <f t="shared" si="35"/>
        <v>-2.2300875820108756E-2</v>
      </c>
      <c r="BO16" s="512">
        <f>+(BO8+BO9)/BO8-1</f>
        <v>-1.1409626262532946E-3</v>
      </c>
      <c r="BP16" s="512">
        <f>+(BP8+BP9)/BP8-1</f>
        <v>1.522447449827391E-2</v>
      </c>
    </row>
    <row r="17" spans="1:68">
      <c r="A17" s="214" t="s">
        <v>937</v>
      </c>
      <c r="B17" s="404" t="s">
        <v>520</v>
      </c>
      <c r="C17" s="404" t="s">
        <v>520</v>
      </c>
      <c r="D17" s="404" t="s">
        <v>520</v>
      </c>
      <c r="E17" s="404" t="s">
        <v>520</v>
      </c>
      <c r="F17" s="404" t="s">
        <v>520</v>
      </c>
      <c r="G17" s="403">
        <f>799+267</f>
        <v>1066</v>
      </c>
      <c r="H17" s="403">
        <v>431</v>
      </c>
      <c r="I17" s="403">
        <v>468</v>
      </c>
      <c r="J17" s="300">
        <f>25+409</f>
        <v>434</v>
      </c>
      <c r="K17" s="300">
        <v>296</v>
      </c>
      <c r="L17" s="300">
        <f>7+456</f>
        <v>463</v>
      </c>
      <c r="M17" s="300">
        <v>484</v>
      </c>
      <c r="N17" s="300">
        <v>323</v>
      </c>
      <c r="O17" s="192">
        <v>322</v>
      </c>
      <c r="P17" s="192">
        <v>358</v>
      </c>
      <c r="Q17" s="300">
        <f>504+6</f>
        <v>510</v>
      </c>
      <c r="R17" s="300">
        <v>470</v>
      </c>
      <c r="S17" s="343">
        <f>+'store&amp;sf'!DH63</f>
        <v>315</v>
      </c>
      <c r="T17" s="343">
        <f>+'store&amp;sf'!DH69</f>
        <v>251</v>
      </c>
      <c r="U17" s="343">
        <f>+'store&amp;sf'!DH75</f>
        <v>295</v>
      </c>
      <c r="V17" s="343">
        <f>+'store&amp;sf'!DH81</f>
        <v>330</v>
      </c>
      <c r="W17" s="590">
        <f>+'store&amp;sf'!DH87</f>
        <v>282</v>
      </c>
      <c r="X17" s="343">
        <f>+'store&amp;sf'!DH93</f>
        <v>108</v>
      </c>
      <c r="Y17" s="344">
        <f>+Y69+Y117+Y164+Y238+Y382-X382</f>
        <v>25</v>
      </c>
      <c r="Z17" s="344">
        <f>+Z69+Z117+Z164+Z238+Z382-Y382</f>
        <v>39</v>
      </c>
      <c r="AA17" s="344">
        <f>+AA69+AA117+AA164+AA238+AA382-Z382</f>
        <v>50</v>
      </c>
      <c r="AB17" s="344">
        <f>+AB69+AB117+AB164+AB238+AB382-AA382+'store&amp;sf'!BC116+'store&amp;sf'!CM117</f>
        <v>343</v>
      </c>
      <c r="AC17" s="344">
        <f>+AC69+AC117+AC382-AB382+'store&amp;sf'!BC123</f>
        <v>129</v>
      </c>
      <c r="AD17" s="344">
        <f>+AD69+AD117+AD382-AC382+'store&amp;sf'!BC129</f>
        <v>146</v>
      </c>
      <c r="AE17" s="344">
        <f>+AE69+AE117+AE382-AD382+'store&amp;sf'!BC135</f>
        <v>59</v>
      </c>
      <c r="AF17" s="344">
        <f>'store&amp;sf'!BC141+'store&amp;sf'!BG141+'store&amp;sf'!BK141+'store&amp;sf'!BO141</f>
        <v>43</v>
      </c>
      <c r="AG17" s="344">
        <f>+'store&amp;sf'!DH147</f>
        <v>40</v>
      </c>
      <c r="AH17" s="344">
        <f>+'store&amp;sf'!DH153</f>
        <v>48</v>
      </c>
      <c r="AI17" s="344">
        <f>+'store&amp;sf'!DH159</f>
        <v>85</v>
      </c>
      <c r="AJ17" s="344">
        <f>+'store&amp;sf'!DH165</f>
        <v>76</v>
      </c>
      <c r="AK17" s="344">
        <f>'store&amp;sf'!DH171</f>
        <v>72</v>
      </c>
      <c r="AL17" s="344">
        <f t="shared" ref="AL17:AR17" si="36">+AL69+AL117+AL382-AK382</f>
        <v>62</v>
      </c>
      <c r="AM17" s="344">
        <f t="shared" si="36"/>
        <v>49</v>
      </c>
      <c r="AN17" s="344">
        <f t="shared" si="36"/>
        <v>74</v>
      </c>
      <c r="AO17" s="344">
        <f t="shared" si="36"/>
        <v>45</v>
      </c>
      <c r="AP17" s="344">
        <f t="shared" si="36"/>
        <v>45</v>
      </c>
      <c r="AQ17" s="344">
        <f t="shared" si="36"/>
        <v>35</v>
      </c>
      <c r="AR17" s="344">
        <f t="shared" si="36"/>
        <v>35</v>
      </c>
      <c r="AS17" s="100"/>
      <c r="AT17" s="56"/>
      <c r="AU17" s="57"/>
      <c r="AV17" s="56"/>
      <c r="AW17" s="100"/>
      <c r="AX17" s="57"/>
      <c r="AY17" s="57" t="s">
        <v>359</v>
      </c>
      <c r="AZ17" s="512">
        <f t="shared" ref="AZ17:BF17" si="37">+(AZ8+AZ11)/AZ8-1</f>
        <v>7.6601414763972642E-3</v>
      </c>
      <c r="BA17" s="512">
        <f t="shared" si="37"/>
        <v>1.3376060797909872E-2</v>
      </c>
      <c r="BB17" s="512">
        <f t="shared" si="37"/>
        <v>1.5508109188111519E-2</v>
      </c>
      <c r="BC17" s="512">
        <f t="shared" si="37"/>
        <v>1.1545383612833859E-2</v>
      </c>
      <c r="BD17" s="512">
        <f t="shared" si="37"/>
        <v>2.4040322105793877E-2</v>
      </c>
      <c r="BE17" s="512">
        <f t="shared" si="37"/>
        <v>2.9922742340201536E-2</v>
      </c>
      <c r="BF17" s="512">
        <f t="shared" si="37"/>
        <v>1.9399830171493049E-2</v>
      </c>
      <c r="BG17" s="512">
        <f t="shared" ref="BG17:BN17" si="38">+(BG8+BG11)/BG8-1</f>
        <v>1.7032324046038161E-2</v>
      </c>
      <c r="BH17" s="512">
        <f t="shared" si="38"/>
        <v>1.3554791396517718E-2</v>
      </c>
      <c r="BI17" s="512">
        <f t="shared" si="38"/>
        <v>1.7129740435020135E-2</v>
      </c>
      <c r="BJ17" s="512">
        <f t="shared" si="38"/>
        <v>3.3231496619839263E-2</v>
      </c>
      <c r="BK17" s="512">
        <f t="shared" si="38"/>
        <v>2.7077580549947466E-2</v>
      </c>
      <c r="BL17" s="512">
        <f t="shared" si="38"/>
        <v>2.1229719731210572E-2</v>
      </c>
      <c r="BM17" s="512">
        <f t="shared" si="38"/>
        <v>1.5202970123280535E-2</v>
      </c>
      <c r="BN17" s="512">
        <f t="shared" si="38"/>
        <v>1.1042290198949756E-2</v>
      </c>
      <c r="BO17" s="512">
        <f>+(BO8+BO11)/BO8-1</f>
        <v>2.3812907160768448E-2</v>
      </c>
      <c r="BP17" s="512">
        <f>+(BP8+BP11)/BP8-1</f>
        <v>1.562550652156558E-2</v>
      </c>
    </row>
    <row r="18" spans="1:68">
      <c r="A18" s="213" t="s">
        <v>1087</v>
      </c>
      <c r="B18" s="404" t="s">
        <v>520</v>
      </c>
      <c r="C18" s="404" t="s">
        <v>520</v>
      </c>
      <c r="D18" s="404" t="s">
        <v>520</v>
      </c>
      <c r="E18" s="404" t="s">
        <v>520</v>
      </c>
      <c r="F18" s="404" t="s">
        <v>520</v>
      </c>
      <c r="G18" s="50">
        <v>-125</v>
      </c>
      <c r="H18" s="50">
        <v>-102</v>
      </c>
      <c r="I18" s="50">
        <v>-35</v>
      </c>
      <c r="J18" s="50">
        <v>-52</v>
      </c>
      <c r="K18" s="50">
        <v>-65</v>
      </c>
      <c r="L18" s="50">
        <v>-47</v>
      </c>
      <c r="M18" s="50">
        <v>-50</v>
      </c>
      <c r="N18" s="50">
        <v>-92</v>
      </c>
      <c r="O18" s="50">
        <v>-124</v>
      </c>
      <c r="P18" s="50">
        <v>-114</v>
      </c>
      <c r="Q18" s="50">
        <v>-79</v>
      </c>
      <c r="R18" s="50">
        <v>-135</v>
      </c>
      <c r="S18" s="343">
        <f>+'store&amp;sf'!DI63</f>
        <v>-304</v>
      </c>
      <c r="T18" s="343">
        <f>+'store&amp;sf'!DI69</f>
        <v>-350</v>
      </c>
      <c r="U18" s="343">
        <f>+'store&amp;sf'!DI75</f>
        <v>-303</v>
      </c>
      <c r="V18" s="343">
        <f>+'store&amp;sf'!DI81</f>
        <v>-224</v>
      </c>
      <c r="W18" s="590">
        <f>+'store&amp;sf'!DI87</f>
        <v>-146</v>
      </c>
      <c r="X18" s="343">
        <f>+'store&amp;sf'!DI93-yrSales!X19</f>
        <v>-174</v>
      </c>
      <c r="Y18" s="344">
        <f>+Y70+Y118+Y174+Y239+Y169</f>
        <v>-150</v>
      </c>
      <c r="Z18" s="344">
        <f>+Z70+Z118+Z174+Z239+Z169</f>
        <v>-171</v>
      </c>
      <c r="AA18" s="344">
        <f>+AA70+AA118+AA174+AA239+AA169</f>
        <v>-239.00000000000006</v>
      </c>
      <c r="AB18" s="344">
        <f>+AB70+AB118+AB174+AB239+AB169</f>
        <v>-167</v>
      </c>
      <c r="AC18" s="344">
        <f>+AC70+AC118+'store&amp;sf'!BD123</f>
        <v>-45</v>
      </c>
      <c r="AD18" s="344">
        <f>+AD70+AD118+'store&amp;sf'!BD129</f>
        <v>-58</v>
      </c>
      <c r="AE18" s="344">
        <f>+AE70+AE118+'store&amp;sf'!BD135</f>
        <v>-102</v>
      </c>
      <c r="AF18" s="344">
        <f>'store&amp;sf'!BD141+'store&amp;sf'!BH141+'store&amp;sf'!BL141+'store&amp;sf'!BP141</f>
        <v>-46</v>
      </c>
      <c r="AG18" s="344">
        <f>+'store&amp;sf'!DI147</f>
        <v>-67</v>
      </c>
      <c r="AH18" s="344">
        <f>+'store&amp;sf'!DI153</f>
        <v>-113</v>
      </c>
      <c r="AI18" s="344">
        <f>+'store&amp;sf'!DI159</f>
        <v>-43</v>
      </c>
      <c r="AJ18" s="344">
        <f>+'store&amp;sf'!DI165</f>
        <v>-35</v>
      </c>
      <c r="AK18" s="344">
        <f>'store&amp;sf'!DI171</f>
        <v>-36</v>
      </c>
      <c r="AL18" s="344">
        <f t="shared" ref="AL18:AQ18" si="39">+AL70+AL118</f>
        <v>-28</v>
      </c>
      <c r="AM18" s="344">
        <f t="shared" si="39"/>
        <v>-57</v>
      </c>
      <c r="AN18" s="344">
        <f t="shared" si="39"/>
        <v>-50</v>
      </c>
      <c r="AO18" s="344">
        <f t="shared" si="39"/>
        <v>-50</v>
      </c>
      <c r="AP18" s="344">
        <f t="shared" si="39"/>
        <v>-50</v>
      </c>
      <c r="AQ18" s="344">
        <f t="shared" si="39"/>
        <v>-50</v>
      </c>
      <c r="AR18" s="344">
        <f t="shared" ref="AR18" si="40">+AR70+AR118</f>
        <v>-50</v>
      </c>
      <c r="AS18" s="100"/>
      <c r="AT18" s="56"/>
      <c r="AU18" s="57"/>
      <c r="AV18" s="56"/>
      <c r="AW18" s="100"/>
      <c r="AX18" s="2"/>
      <c r="AY18" s="57" t="s">
        <v>145</v>
      </c>
      <c r="AZ18" s="18">
        <f t="shared" ref="AZ18:BF18" si="41">+(AZ8+AZ12)/AZ8-1</f>
        <v>1.1807289729239612E-2</v>
      </c>
      <c r="BA18" s="18">
        <f t="shared" si="41"/>
        <v>1.4796735388442617E-2</v>
      </c>
      <c r="BB18" s="18">
        <f t="shared" si="41"/>
        <v>1.6585374536930875E-2</v>
      </c>
      <c r="BC18" s="18">
        <f t="shared" si="41"/>
        <v>1.6133832416086014E-2</v>
      </c>
      <c r="BD18" s="18">
        <f t="shared" si="41"/>
        <v>8.7812398339768283E-3</v>
      </c>
      <c r="BE18" s="18">
        <f t="shared" si="41"/>
        <v>2.1703000675821205E-3</v>
      </c>
      <c r="BF18" s="18">
        <f t="shared" si="41"/>
        <v>3.1776611805180988E-3</v>
      </c>
      <c r="BG18" s="18">
        <f t="shared" ref="BG18:BN18" si="42">+(BG8+BG12)/BG8-1</f>
        <v>6.5146437479322028E-3</v>
      </c>
      <c r="BH18" s="18">
        <f t="shared" si="42"/>
        <v>4.0594181241413452E-3</v>
      </c>
      <c r="BI18" s="18">
        <f t="shared" si="42"/>
        <v>3.4867500497199888E-3</v>
      </c>
      <c r="BJ18" s="18">
        <f t="shared" si="42"/>
        <v>3.0383161101206202E-3</v>
      </c>
      <c r="BK18" s="18">
        <f t="shared" si="42"/>
        <v>2.6701744548673911E-3</v>
      </c>
      <c r="BL18" s="18">
        <f t="shared" si="42"/>
        <v>2.3057725334334478E-3</v>
      </c>
      <c r="BM18" s="18">
        <f t="shared" si="42"/>
        <v>2.2619459723478563E-3</v>
      </c>
      <c r="BN18" s="18">
        <f t="shared" si="42"/>
        <v>1.4994161126762329E-3</v>
      </c>
      <c r="BO18" s="18">
        <f>+(BO8+BO12)/BO8-1</f>
        <v>9.8512206089345078E-3</v>
      </c>
      <c r="BP18" s="18">
        <f>+(BP8+BP12)/BP8-1</f>
        <v>1.0349600386741153E-2</v>
      </c>
    </row>
    <row r="19" spans="1:68">
      <c r="A19" s="214" t="s">
        <v>1124</v>
      </c>
      <c r="B19" s="404" t="s">
        <v>520</v>
      </c>
      <c r="C19" s="404" t="s">
        <v>520</v>
      </c>
      <c r="D19" s="404" t="s">
        <v>520</v>
      </c>
      <c r="E19" s="404" t="s">
        <v>520</v>
      </c>
      <c r="F19" s="404" t="s">
        <v>520</v>
      </c>
      <c r="G19" s="50">
        <v>0</v>
      </c>
      <c r="H19" s="50">
        <v>0</v>
      </c>
      <c r="I19" s="50">
        <v>0</v>
      </c>
      <c r="J19" s="50">
        <v>0</v>
      </c>
      <c r="K19" s="50">
        <v>-384</v>
      </c>
      <c r="L19" s="300">
        <v>0</v>
      </c>
      <c r="M19" s="300">
        <v>0</v>
      </c>
      <c r="N19" s="379">
        <v>0</v>
      </c>
      <c r="O19" s="379">
        <v>0</v>
      </c>
      <c r="P19" s="379">
        <v>0</v>
      </c>
      <c r="Q19" s="379">
        <v>0</v>
      </c>
      <c r="R19" s="379">
        <v>0</v>
      </c>
      <c r="S19" s="379">
        <v>-4</v>
      </c>
      <c r="T19" s="343">
        <f>-'store&amp;sf'!AL65-'store&amp;sf'!DE66-'store&amp;sf'!DF66</f>
        <v>-159</v>
      </c>
      <c r="U19" s="343">
        <f>-'store&amp;sf'!AF72-'store&amp;sf'!AH72-'store&amp;sf'!CV73-'store&amp;sf'!CW73-'store&amp;sf'!CY73-'store&amp;sf'!CZ73</f>
        <v>-351</v>
      </c>
      <c r="V19" s="346">
        <v>0</v>
      </c>
      <c r="W19" s="343">
        <f>-'store&amp;sf'!AD84-'store&amp;sf'!CS85-'store&amp;sf'!CT85</f>
        <v>-651</v>
      </c>
      <c r="X19" s="379">
        <v>-512</v>
      </c>
      <c r="Y19" s="346">
        <v>0</v>
      </c>
      <c r="Z19" s="346">
        <v>0</v>
      </c>
      <c r="AA19" s="346">
        <v>0</v>
      </c>
      <c r="AB19" s="346">
        <v>0</v>
      </c>
      <c r="AC19" s="346">
        <f>-('store&amp;sf'!N116+'store&amp;sf'!P116+'store&amp;sf'!R116+'store&amp;sf'!T116+'store&amp;sf'!Z116)</f>
        <v>-924</v>
      </c>
      <c r="AD19" s="346">
        <v>0</v>
      </c>
      <c r="AE19" s="346">
        <v>0</v>
      </c>
      <c r="AF19" s="346">
        <v>0</v>
      </c>
      <c r="AG19" s="346">
        <v>0</v>
      </c>
      <c r="AH19" s="346">
        <v>0</v>
      </c>
      <c r="AI19" s="346">
        <v>0</v>
      </c>
      <c r="AJ19" s="346">
        <v>0</v>
      </c>
      <c r="AK19" s="346">
        <v>0</v>
      </c>
      <c r="AL19" s="346">
        <v>0</v>
      </c>
      <c r="AM19" s="346">
        <v>0</v>
      </c>
      <c r="AN19" s="346">
        <v>0</v>
      </c>
      <c r="AO19" s="346">
        <v>0</v>
      </c>
      <c r="AP19" s="346">
        <v>0</v>
      </c>
      <c r="AQ19" s="346">
        <v>0</v>
      </c>
      <c r="AR19" s="346">
        <v>0</v>
      </c>
      <c r="AS19" s="100"/>
      <c r="AT19" s="56"/>
      <c r="AU19" s="57"/>
      <c r="AV19" s="56"/>
      <c r="AW19" s="100"/>
      <c r="AX19" s="2"/>
      <c r="AY19" s="57" t="s">
        <v>561</v>
      </c>
      <c r="AZ19" s="510">
        <f t="shared" ref="AZ19:BF19" si="43">+(AZ8+AZ13)/AZ8-1</f>
        <v>-1.9029275808936874E-2</v>
      </c>
      <c r="BA19" s="510">
        <f t="shared" si="43"/>
        <v>-1.9470052281988171E-2</v>
      </c>
      <c r="BB19" s="510">
        <f t="shared" si="43"/>
        <v>-2.2763343121788293E-2</v>
      </c>
      <c r="BC19" s="510">
        <f t="shared" si="43"/>
        <v>-1.4833287695908082E-2</v>
      </c>
      <c r="BD19" s="510">
        <f t="shared" si="43"/>
        <v>-1.3120612181498847E-2</v>
      </c>
      <c r="BE19" s="510">
        <f t="shared" si="43"/>
        <v>-1.5482716033136334E-2</v>
      </c>
      <c r="BF19" s="510">
        <f t="shared" si="43"/>
        <v>-1.4046097075610664E-2</v>
      </c>
      <c r="BG19" s="510">
        <f t="shared" ref="BG19:BN19" si="44">+(BG8+BG13)/BG8-1</f>
        <v>-1.3481785733719165E-2</v>
      </c>
      <c r="BH19" s="510">
        <f t="shared" si="44"/>
        <v>-1.4854915844156547E-2</v>
      </c>
      <c r="BI19" s="510">
        <f t="shared" si="44"/>
        <v>-1.3401603932848505E-2</v>
      </c>
      <c r="BJ19" s="510">
        <f t="shared" si="44"/>
        <v>-1.3041594893015263E-2</v>
      </c>
      <c r="BK19" s="510">
        <f t="shared" si="44"/>
        <v>-1.1600372900970157E-2</v>
      </c>
      <c r="BL19" s="510">
        <f t="shared" si="44"/>
        <v>-1.3526630792645822E-2</v>
      </c>
      <c r="BM19" s="510">
        <f t="shared" si="44"/>
        <v>-5.8930901152274284E-3</v>
      </c>
      <c r="BN19" s="510">
        <f t="shared" si="44"/>
        <v>-1.1595699977578477E-2</v>
      </c>
      <c r="BO19" s="510">
        <f>+(BO8+BO13)/BO8-1</f>
        <v>-9.8331527709364375E-3</v>
      </c>
      <c r="BP19" s="510">
        <f>+(BP8+BP13)/BP8-1</f>
        <v>-9.614988561514215E-3</v>
      </c>
    </row>
    <row r="20" spans="1:68">
      <c r="A20" s="213" t="s">
        <v>1088</v>
      </c>
      <c r="B20" s="346">
        <v>352</v>
      </c>
      <c r="C20" s="346">
        <v>430</v>
      </c>
      <c r="D20" s="346">
        <v>825</v>
      </c>
      <c r="E20" s="346">
        <v>937</v>
      </c>
      <c r="F20" s="346">
        <v>1412</v>
      </c>
      <c r="G20" s="343">
        <f t="shared" ref="G20:L20" si="45">+G16+G17+G18+G19</f>
        <v>2353</v>
      </c>
      <c r="H20" s="343">
        <f t="shared" si="45"/>
        <v>2682</v>
      </c>
      <c r="I20" s="343">
        <f t="shared" si="45"/>
        <v>3115</v>
      </c>
      <c r="J20" s="343">
        <f t="shared" si="45"/>
        <v>3497</v>
      </c>
      <c r="K20" s="343">
        <f t="shared" si="45"/>
        <v>3344</v>
      </c>
      <c r="L20" s="343">
        <f t="shared" si="45"/>
        <v>3760</v>
      </c>
      <c r="M20" s="343">
        <f>+M16+M17+M18</f>
        <v>4194</v>
      </c>
      <c r="N20" s="343">
        <f>+N16+N17+N18</f>
        <v>4425</v>
      </c>
      <c r="O20" s="343">
        <f>+O16+O17+O18</f>
        <v>4623</v>
      </c>
      <c r="P20" s="343">
        <f>+P16+P17+P18</f>
        <v>4867</v>
      </c>
      <c r="Q20" s="343">
        <f>+Q16+Q17+Q18</f>
        <v>5298</v>
      </c>
      <c r="R20" s="343">
        <f t="shared" ref="R20:AI20" si="46">+R16+R17+R18+R19</f>
        <v>5633</v>
      </c>
      <c r="S20" s="343">
        <f t="shared" si="46"/>
        <v>5640</v>
      </c>
      <c r="T20" s="344">
        <f>+T16+T17+T18+T19</f>
        <v>5382</v>
      </c>
      <c r="U20" s="344">
        <f>+U16+U17+U18+U19</f>
        <v>5023</v>
      </c>
      <c r="V20" s="344">
        <f t="shared" si="46"/>
        <v>5129</v>
      </c>
      <c r="W20" s="344">
        <f t="shared" si="46"/>
        <v>4614</v>
      </c>
      <c r="X20" s="344">
        <f t="shared" si="46"/>
        <v>4036</v>
      </c>
      <c r="Y20" s="344">
        <f t="shared" si="46"/>
        <v>3911</v>
      </c>
      <c r="Z20" s="344">
        <f t="shared" si="46"/>
        <v>3779</v>
      </c>
      <c r="AA20" s="344">
        <f t="shared" si="46"/>
        <v>3590</v>
      </c>
      <c r="AB20" s="344">
        <f>+AB16+AB17+AB18+AB19</f>
        <v>3766</v>
      </c>
      <c r="AC20" s="344">
        <f t="shared" si="46"/>
        <v>2926</v>
      </c>
      <c r="AD20" s="344">
        <f t="shared" si="46"/>
        <v>3014</v>
      </c>
      <c r="AE20" s="344">
        <f>+AE16+AE17+AE18+AE19</f>
        <v>2971</v>
      </c>
      <c r="AF20" s="344">
        <f t="shared" si="46"/>
        <v>2968</v>
      </c>
      <c r="AG20" s="344">
        <f t="shared" si="46"/>
        <v>2941</v>
      </c>
      <c r="AH20" s="344">
        <f t="shared" si="46"/>
        <v>2876</v>
      </c>
      <c r="AI20" s="344">
        <f t="shared" si="46"/>
        <v>2918</v>
      </c>
      <c r="AJ20" s="344">
        <f t="shared" ref="AJ20:AP20" si="47">+AJ16+AJ17+AJ18+AJ19</f>
        <v>2959</v>
      </c>
      <c r="AK20" s="344">
        <f t="shared" si="47"/>
        <v>2995</v>
      </c>
      <c r="AL20" s="344">
        <f t="shared" si="47"/>
        <v>3029</v>
      </c>
      <c r="AM20" s="344">
        <f t="shared" si="47"/>
        <v>3021</v>
      </c>
      <c r="AN20" s="344">
        <f t="shared" si="47"/>
        <v>3045</v>
      </c>
      <c r="AO20" s="344">
        <f t="shared" si="47"/>
        <v>3040</v>
      </c>
      <c r="AP20" s="344">
        <f t="shared" si="47"/>
        <v>3035</v>
      </c>
      <c r="AQ20" s="344">
        <f>+AQ16+AQ17+AQ18+AQ19</f>
        <v>3020</v>
      </c>
      <c r="AR20" s="344">
        <f>+AR16+AR17+AR18+AR19</f>
        <v>3005</v>
      </c>
      <c r="AS20" s="100"/>
      <c r="AT20" s="56">
        <f>((AK20/AF20)^(1/5)-1)*100</f>
        <v>0.1812822431895178</v>
      </c>
      <c r="AU20" s="97" t="s">
        <v>1084</v>
      </c>
      <c r="AV20" s="56">
        <f>((AP20/AK20)^(1/5)-1)*100</f>
        <v>0.26569620727423526</v>
      </c>
      <c r="AW20" s="100" t="s">
        <v>1084</v>
      </c>
      <c r="AX20" s="2"/>
      <c r="AY20" s="2" t="s">
        <v>146</v>
      </c>
      <c r="AZ20" s="18">
        <f t="shared" ref="AZ20:BG20" si="48">+SUM(AZ16:AZ19)</f>
        <v>3.5227341557226732E-2</v>
      </c>
      <c r="BA20" s="18">
        <f t="shared" si="48"/>
        <v>4.7492900887195821E-2</v>
      </c>
      <c r="BB20" s="18">
        <f t="shared" si="48"/>
        <v>2.1635420081689172E-2</v>
      </c>
      <c r="BC20" s="18">
        <f t="shared" si="48"/>
        <v>8.1795083820772829E-2</v>
      </c>
      <c r="BD20" s="18">
        <f t="shared" si="48"/>
        <v>1.2132137844431234E-2</v>
      </c>
      <c r="BE20" s="18">
        <f t="shared" si="48"/>
        <v>-3.9582462575542321E-2</v>
      </c>
      <c r="BF20" s="18">
        <f t="shared" si="48"/>
        <v>-1.4480810483074147E-2</v>
      </c>
      <c r="BG20" s="18">
        <f t="shared" si="48"/>
        <v>8.9353630177082866E-2</v>
      </c>
      <c r="BH20" s="18">
        <f t="shared" ref="BH20:BO20" si="49">+SUM(BH16:BH19)</f>
        <v>8.5404090216910977E-2</v>
      </c>
      <c r="BI20" s="18">
        <f t="shared" si="49"/>
        <v>6.1738148945039151E-2</v>
      </c>
      <c r="BJ20" s="18">
        <f t="shared" si="49"/>
        <v>4.3100307071502475E-2</v>
      </c>
      <c r="BK20" s="18">
        <f t="shared" si="49"/>
        <v>5.3314691422557736E-2</v>
      </c>
      <c r="BL20" s="18">
        <f t="shared" si="49"/>
        <v>5.519945542440885E-2</v>
      </c>
      <c r="BM20" s="18">
        <f t="shared" si="49"/>
        <v>1.7849117089528077E-2</v>
      </c>
      <c r="BN20" s="18">
        <f t="shared" si="49"/>
        <v>-2.1354869486061245E-2</v>
      </c>
      <c r="BO20" s="18">
        <f t="shared" si="49"/>
        <v>2.2690012372513224E-2</v>
      </c>
      <c r="BP20" s="18">
        <f>+SUM(BP16:BP19)</f>
        <v>3.1584592845066428E-2</v>
      </c>
    </row>
    <row r="21" spans="1:68">
      <c r="A21" s="213" t="s">
        <v>819</v>
      </c>
      <c r="B21" s="343">
        <f t="shared" ref="B21:P21" si="50">(+B20+B16)/2</f>
        <v>330.5</v>
      </c>
      <c r="C21" s="343">
        <f t="shared" si="50"/>
        <v>391</v>
      </c>
      <c r="D21" s="343">
        <f t="shared" si="50"/>
        <v>627.5</v>
      </c>
      <c r="E21" s="343">
        <f t="shared" si="50"/>
        <v>881</v>
      </c>
      <c r="F21" s="343">
        <f t="shared" si="50"/>
        <v>1174.5</v>
      </c>
      <c r="G21" s="343">
        <f t="shared" si="50"/>
        <v>1882.5</v>
      </c>
      <c r="H21" s="343">
        <f t="shared" si="50"/>
        <v>2517.5</v>
      </c>
      <c r="I21" s="343">
        <f t="shared" si="50"/>
        <v>2898.5</v>
      </c>
      <c r="J21" s="343">
        <f t="shared" si="50"/>
        <v>3306</v>
      </c>
      <c r="K21" s="343">
        <f t="shared" si="50"/>
        <v>3420.5</v>
      </c>
      <c r="L21" s="343">
        <f t="shared" si="50"/>
        <v>3552</v>
      </c>
      <c r="M21" s="343">
        <f t="shared" si="50"/>
        <v>3977</v>
      </c>
      <c r="N21" s="343">
        <f t="shared" si="50"/>
        <v>4309.5</v>
      </c>
      <c r="O21" s="343">
        <f t="shared" si="50"/>
        <v>4524</v>
      </c>
      <c r="P21" s="343">
        <f t="shared" si="50"/>
        <v>4745</v>
      </c>
      <c r="Q21" s="343">
        <f t="shared" ref="Q21:AK21" si="51">(+Q20+Q16)/2</f>
        <v>5082.5</v>
      </c>
      <c r="R21" s="343">
        <f t="shared" si="51"/>
        <v>5465.5</v>
      </c>
      <c r="S21" s="343">
        <f t="shared" si="51"/>
        <v>5636.5</v>
      </c>
      <c r="T21" s="343">
        <f t="shared" si="51"/>
        <v>5511</v>
      </c>
      <c r="U21" s="343">
        <f t="shared" si="51"/>
        <v>5202.5</v>
      </c>
      <c r="V21" s="343">
        <f t="shared" si="51"/>
        <v>5076</v>
      </c>
      <c r="W21" s="343">
        <f t="shared" si="51"/>
        <v>4871.5</v>
      </c>
      <c r="X21" s="343">
        <f t="shared" si="51"/>
        <v>4325</v>
      </c>
      <c r="Y21" s="343">
        <f t="shared" si="51"/>
        <v>3973.5</v>
      </c>
      <c r="Z21" s="343">
        <f t="shared" si="51"/>
        <v>3845</v>
      </c>
      <c r="AA21" s="343">
        <f t="shared" si="51"/>
        <v>3684.5</v>
      </c>
      <c r="AB21" s="343">
        <f t="shared" si="51"/>
        <v>3678</v>
      </c>
      <c r="AC21" s="343">
        <f t="shared" si="51"/>
        <v>3346</v>
      </c>
      <c r="AD21" s="343">
        <f t="shared" si="51"/>
        <v>2970</v>
      </c>
      <c r="AE21" s="343">
        <f t="shared" si="51"/>
        <v>2992.5</v>
      </c>
      <c r="AF21" s="343">
        <f t="shared" si="51"/>
        <v>2969.5</v>
      </c>
      <c r="AG21" s="343">
        <f t="shared" si="51"/>
        <v>2954.5</v>
      </c>
      <c r="AH21" s="343">
        <f t="shared" si="51"/>
        <v>2908.5</v>
      </c>
      <c r="AI21" s="343">
        <f t="shared" si="51"/>
        <v>2897</v>
      </c>
      <c r="AJ21" s="343">
        <f t="shared" si="51"/>
        <v>2938.5</v>
      </c>
      <c r="AK21" s="343">
        <f t="shared" si="51"/>
        <v>2977</v>
      </c>
      <c r="AL21" s="343">
        <f t="shared" ref="AL21:AQ21" si="52">(+AL20+AL16)/2</f>
        <v>3012</v>
      </c>
      <c r="AM21" s="343">
        <f t="shared" si="52"/>
        <v>3025</v>
      </c>
      <c r="AN21" s="343">
        <f t="shared" si="52"/>
        <v>3033</v>
      </c>
      <c r="AO21" s="343">
        <f t="shared" si="52"/>
        <v>3042.5</v>
      </c>
      <c r="AP21" s="343">
        <f t="shared" si="52"/>
        <v>3037.5</v>
      </c>
      <c r="AQ21" s="343">
        <f t="shared" si="52"/>
        <v>3027.5</v>
      </c>
      <c r="AR21" s="343">
        <f t="shared" ref="AR21" si="53">(+AR20+AR16)/2</f>
        <v>3012.5</v>
      </c>
      <c r="AS21" s="104"/>
      <c r="AT21" s="56"/>
      <c r="AU21" s="98"/>
      <c r="AV21" s="56"/>
      <c r="AW21" s="104"/>
      <c r="AX21" s="2"/>
      <c r="AY21" s="2"/>
      <c r="AZ21" s="2"/>
      <c r="BA21" s="2"/>
      <c r="BB21" s="2"/>
      <c r="BC21" s="2"/>
      <c r="BD21" s="2"/>
      <c r="BE21" s="2"/>
      <c r="BF21" s="2"/>
      <c r="BG21" s="2"/>
      <c r="BH21" s="2"/>
      <c r="BI21" s="2"/>
      <c r="BJ21" s="2"/>
      <c r="BK21" s="2"/>
      <c r="BL21" s="2"/>
    </row>
    <row r="22" spans="1:68">
      <c r="A22" s="213" t="s">
        <v>820</v>
      </c>
      <c r="B22" s="259"/>
      <c r="C22" s="13">
        <f t="shared" ref="C22:P22" si="54">(C21/B21-1)</f>
        <v>0.18305597579425115</v>
      </c>
      <c r="D22" s="13">
        <f t="shared" si="54"/>
        <v>0.60485933503836309</v>
      </c>
      <c r="E22" s="13">
        <f t="shared" si="54"/>
        <v>0.40398406374501983</v>
      </c>
      <c r="F22" s="13">
        <f t="shared" si="54"/>
        <v>0.33314415437003397</v>
      </c>
      <c r="G22" s="13">
        <f t="shared" si="54"/>
        <v>0.60280970625798203</v>
      </c>
      <c r="H22" s="13">
        <f t="shared" si="54"/>
        <v>0.33731739707835318</v>
      </c>
      <c r="I22" s="13">
        <f t="shared" si="54"/>
        <v>0.15134061569016888</v>
      </c>
      <c r="J22" s="13">
        <f t="shared" si="54"/>
        <v>0.14058996032430571</v>
      </c>
      <c r="K22" s="13">
        <f t="shared" si="54"/>
        <v>3.4633998790078557E-2</v>
      </c>
      <c r="L22" s="13">
        <f t="shared" si="54"/>
        <v>3.8444671831603605E-2</v>
      </c>
      <c r="M22" s="13">
        <f t="shared" si="54"/>
        <v>0.1196509009009008</v>
      </c>
      <c r="N22" s="13">
        <f t="shared" si="54"/>
        <v>8.3605732964546098E-2</v>
      </c>
      <c r="O22" s="13">
        <f t="shared" si="54"/>
        <v>4.9773755656108642E-2</v>
      </c>
      <c r="P22" s="13">
        <f t="shared" si="54"/>
        <v>4.8850574712643757E-2</v>
      </c>
      <c r="Q22" s="13">
        <f t="shared" ref="Q22:AK22" si="55">(Q21/P21-1)</f>
        <v>7.1127502634351858E-2</v>
      </c>
      <c r="R22" s="13">
        <f t="shared" si="55"/>
        <v>7.5356615838662044E-2</v>
      </c>
      <c r="S22" s="13">
        <f t="shared" si="55"/>
        <v>3.1287164943738066E-2</v>
      </c>
      <c r="T22" s="13">
        <f>(T21/S21-1)</f>
        <v>-2.2265590348620634E-2</v>
      </c>
      <c r="U22" s="13">
        <f t="shared" si="55"/>
        <v>-5.5978951188532022E-2</v>
      </c>
      <c r="V22" s="13">
        <f t="shared" si="55"/>
        <v>-2.4315233061028341E-2</v>
      </c>
      <c r="W22" s="13">
        <f t="shared" si="55"/>
        <v>-4.0287628053585545E-2</v>
      </c>
      <c r="X22" s="13">
        <f t="shared" si="55"/>
        <v>-0.11218310581956281</v>
      </c>
      <c r="Y22" s="13">
        <f t="shared" si="55"/>
        <v>-8.1271676300578077E-2</v>
      </c>
      <c r="Z22" s="13">
        <f t="shared" si="55"/>
        <v>-3.2339247514785452E-2</v>
      </c>
      <c r="AA22" s="13">
        <f t="shared" si="55"/>
        <v>-4.1742522756826994E-2</v>
      </c>
      <c r="AB22" s="13">
        <f t="shared" si="55"/>
        <v>-1.7641471027276534E-3</v>
      </c>
      <c r="AC22" s="13">
        <f t="shared" si="55"/>
        <v>-9.0266449157150652E-2</v>
      </c>
      <c r="AD22" s="13">
        <f t="shared" si="55"/>
        <v>-0.1123729826658697</v>
      </c>
      <c r="AE22" s="13">
        <f t="shared" si="55"/>
        <v>7.575757575757569E-3</v>
      </c>
      <c r="AF22" s="13">
        <f t="shared" si="55"/>
        <v>-7.6858813700918516E-3</v>
      </c>
      <c r="AG22" s="13">
        <f t="shared" si="55"/>
        <v>-5.0513554470449362E-3</v>
      </c>
      <c r="AH22" s="13">
        <f t="shared" si="55"/>
        <v>-1.5569470299543031E-2</v>
      </c>
      <c r="AI22" s="13">
        <f t="shared" si="55"/>
        <v>-3.9539281416537397E-3</v>
      </c>
      <c r="AJ22" s="13">
        <f t="shared" si="55"/>
        <v>1.4325163962719989E-2</v>
      </c>
      <c r="AK22" s="13">
        <f t="shared" si="55"/>
        <v>1.3101922749702233E-2</v>
      </c>
      <c r="AL22" s="13">
        <f t="shared" ref="AL22:AR22" si="56">(AL21/AK21-1)</f>
        <v>1.1756802149815337E-2</v>
      </c>
      <c r="AM22" s="13">
        <f t="shared" si="56"/>
        <v>4.3160690571049098E-3</v>
      </c>
      <c r="AN22" s="13">
        <f t="shared" si="56"/>
        <v>2.6446280991736515E-3</v>
      </c>
      <c r="AO22" s="13">
        <f t="shared" si="56"/>
        <v>3.1322123310253414E-3</v>
      </c>
      <c r="AP22" s="13">
        <f t="shared" si="56"/>
        <v>-1.6433853738702098E-3</v>
      </c>
      <c r="AQ22" s="13">
        <f t="shared" si="56"/>
        <v>-3.2921810699588772E-3</v>
      </c>
      <c r="AR22" s="13">
        <f t="shared" si="56"/>
        <v>-4.9545829892650994E-3</v>
      </c>
      <c r="AS22" s="100"/>
      <c r="AT22" s="56"/>
      <c r="AU22" s="57"/>
      <c r="AV22" s="56"/>
      <c r="AW22" s="100"/>
      <c r="AX22" s="2"/>
      <c r="AY22" s="2"/>
      <c r="AZ22" s="2"/>
      <c r="BA22" s="2"/>
      <c r="BB22" s="2"/>
      <c r="BC22" s="2"/>
      <c r="BD22" s="2"/>
      <c r="BE22" s="2"/>
      <c r="BF22" s="2"/>
      <c r="BG22" s="2"/>
      <c r="BH22" s="2"/>
      <c r="BI22" s="2"/>
      <c r="BJ22" s="2"/>
      <c r="BK22" s="2"/>
      <c r="BL22" s="2"/>
    </row>
    <row r="23" spans="1:68">
      <c r="A23" s="2"/>
      <c r="B23" s="2"/>
      <c r="C23" s="2"/>
      <c r="D23" s="2"/>
      <c r="E23" s="2"/>
      <c r="F23" s="2"/>
      <c r="G23" s="2"/>
      <c r="H23" s="2"/>
      <c r="I23" s="2"/>
      <c r="J23" s="2"/>
      <c r="K23" s="2"/>
      <c r="L23" s="2"/>
      <c r="M23" s="2"/>
      <c r="N23" s="2"/>
      <c r="O23" s="2"/>
      <c r="P23" s="2"/>
      <c r="Q23" s="2"/>
      <c r="R23" s="8"/>
      <c r="S23" s="8"/>
      <c r="T23" s="2"/>
      <c r="U23" s="2"/>
      <c r="V23" s="2"/>
      <c r="W23" s="2"/>
      <c r="X23" s="2"/>
      <c r="Y23" s="2"/>
      <c r="Z23" s="2"/>
      <c r="AA23" s="2"/>
      <c r="AB23" s="2"/>
      <c r="AC23" s="2"/>
      <c r="AD23" s="2"/>
      <c r="AE23" s="2"/>
      <c r="AF23" s="18"/>
      <c r="AG23" s="2"/>
      <c r="AH23" s="2"/>
      <c r="AI23" s="2"/>
      <c r="AJ23" s="2"/>
      <c r="AK23" s="2"/>
      <c r="AL23" s="2"/>
      <c r="AM23" s="2"/>
      <c r="AN23" s="2"/>
      <c r="AO23" s="2"/>
      <c r="AP23" s="2"/>
      <c r="AQ23" s="2"/>
      <c r="AR23" s="2"/>
      <c r="AS23" s="100"/>
      <c r="AT23" s="56"/>
      <c r="AU23" s="57"/>
      <c r="AV23" s="56"/>
      <c r="AW23" s="100"/>
      <c r="AX23" s="2"/>
      <c r="AY23" s="2"/>
      <c r="AZ23" s="2"/>
      <c r="BA23" s="2"/>
      <c r="BB23" s="2"/>
      <c r="BC23" s="2"/>
      <c r="BD23" s="2"/>
      <c r="BE23" s="2"/>
      <c r="BF23" s="2"/>
      <c r="BG23" s="2"/>
      <c r="BH23" s="2"/>
      <c r="BI23" s="2"/>
      <c r="BJ23" s="2"/>
      <c r="BK23" s="2"/>
      <c r="BL23" s="2"/>
    </row>
    <row r="24" spans="1:68">
      <c r="A24" s="10" t="s">
        <v>821</v>
      </c>
      <c r="B24" s="12">
        <f t="shared" ref="B24:M24" si="57">B13/B21</f>
        <v>0.89263540090771565</v>
      </c>
      <c r="C24" s="12">
        <f t="shared" si="57"/>
        <v>0.93324808184143215</v>
      </c>
      <c r="D24" s="12">
        <f t="shared" si="57"/>
        <v>1.1496318725099601</v>
      </c>
      <c r="E24" s="12">
        <f t="shared" si="57"/>
        <v>1.2325652667423384</v>
      </c>
      <c r="F24" s="12">
        <f t="shared" si="57"/>
        <v>1.1435793954874416</v>
      </c>
      <c r="G24" s="12">
        <f t="shared" si="57"/>
        <v>1.2680531208499337</v>
      </c>
      <c r="H24" s="12">
        <f t="shared" si="57"/>
        <v>1.2483400198609731</v>
      </c>
      <c r="I24" s="12">
        <f t="shared" si="57"/>
        <v>1.2171609453165431</v>
      </c>
      <c r="J24" s="12">
        <f t="shared" si="57"/>
        <v>1.2313300060496069</v>
      </c>
      <c r="K24" s="12">
        <f t="shared" si="57"/>
        <v>1.3588411051015934</v>
      </c>
      <c r="L24" s="12">
        <f t="shared" si="57"/>
        <v>1.4790284346846847</v>
      </c>
      <c r="M24" s="12">
        <f t="shared" si="57"/>
        <v>1.5461951219512193</v>
      </c>
      <c r="N24" s="12">
        <f t="shared" ref="N24:AF24" si="58">SUM(N8,N12)/N21</f>
        <v>1.5262318134354333</v>
      </c>
      <c r="O24" s="12">
        <f t="shared" si="58"/>
        <v>1.5051034482758621</v>
      </c>
      <c r="P24" s="12">
        <f t="shared" si="58"/>
        <v>1.422927713382508</v>
      </c>
      <c r="Q24" s="12">
        <f t="shared" si="58"/>
        <v>1.4206467289719626</v>
      </c>
      <c r="R24" s="12">
        <f t="shared" si="58"/>
        <v>1.4565531058457597</v>
      </c>
      <c r="S24" s="12">
        <f t="shared" si="58"/>
        <v>1.3541621573671605</v>
      </c>
      <c r="T24" s="12">
        <f t="shared" si="58"/>
        <v>1.4657196516058792</v>
      </c>
      <c r="U24" s="12">
        <f t="shared" si="58"/>
        <v>1.2810462277751082</v>
      </c>
      <c r="V24" s="12">
        <f t="shared" si="58"/>
        <v>1.4159436564223797</v>
      </c>
      <c r="W24" s="12">
        <f t="shared" si="58"/>
        <v>1.4489085497280101</v>
      </c>
      <c r="X24" s="12">
        <f t="shared" si="58"/>
        <v>1.7354113294797688</v>
      </c>
      <c r="Y24" s="12">
        <f t="shared" si="58"/>
        <v>1.9979272681515037</v>
      </c>
      <c r="Z24" s="12">
        <f t="shared" si="58"/>
        <v>2.1557807542262681</v>
      </c>
      <c r="AA24" s="12">
        <f t="shared" si="58"/>
        <v>2.2996048310489887</v>
      </c>
      <c r="AB24" s="12">
        <f t="shared" si="58"/>
        <v>2.5163017944535069</v>
      </c>
      <c r="AC24" s="12">
        <f t="shared" si="58"/>
        <v>2.6479025164269241</v>
      </c>
      <c r="AD24" s="12">
        <f t="shared" si="58"/>
        <v>2.53196531986532</v>
      </c>
      <c r="AE24" s="12">
        <f t="shared" si="58"/>
        <v>2.4210349206349209</v>
      </c>
      <c r="AF24" s="12">
        <f t="shared" si="58"/>
        <v>2.7315871358814618</v>
      </c>
      <c r="AG24" s="12">
        <f t="shared" ref="AG24:AM24" si="59">SUM(AG8,AG12)/AG21</f>
        <v>2.9807554577762736</v>
      </c>
      <c r="AH24" s="12">
        <f t="shared" si="59"/>
        <v>3.002733023895479</v>
      </c>
      <c r="AI24" s="12">
        <f t="shared" si="59"/>
        <v>3.118817742492233</v>
      </c>
      <c r="AJ24" s="12">
        <f>SUM(AJ8,AJ12)/AJ21</f>
        <v>3.2706054109239413</v>
      </c>
      <c r="AK24" s="12">
        <f>SUM(AK8,AK12)/AK21</f>
        <v>3.4292398387638561</v>
      </c>
      <c r="AL24" s="12">
        <f t="shared" si="59"/>
        <v>3.509000332005312</v>
      </c>
      <c r="AM24" s="12">
        <f t="shared" si="59"/>
        <v>3.5112585123966946</v>
      </c>
      <c r="AN24" s="12">
        <f>SUM(AN8,AN12)/AN21</f>
        <v>3.5616799202378191</v>
      </c>
      <c r="AO24" s="12">
        <f>SUM(AO8,AO12)/AO21</f>
        <v>3.6585454391067755</v>
      </c>
      <c r="AP24" s="12">
        <f>SUM(AP8,AP12)/AP21</f>
        <v>3.7790647974285978</v>
      </c>
      <c r="AQ24" s="12">
        <f>SUM(AQ8,AQ12)/AQ21</f>
        <v>3.9098951931923089</v>
      </c>
      <c r="AR24" s="12">
        <f>SUM(AR8,AR12)/AR21</f>
        <v>4.0530286091838841</v>
      </c>
      <c r="AS24" s="100"/>
      <c r="AT24" s="56"/>
      <c r="AU24" s="57"/>
      <c r="AV24" s="56"/>
      <c r="AW24" s="100"/>
      <c r="AX24" s="2"/>
      <c r="AY24" s="2"/>
      <c r="AZ24" s="2"/>
      <c r="BA24" s="2"/>
      <c r="BB24" s="2"/>
      <c r="BC24" s="2"/>
      <c r="BD24" s="2"/>
      <c r="BE24" s="2"/>
      <c r="BF24" s="2"/>
      <c r="BG24" s="2"/>
      <c r="BH24" s="2"/>
      <c r="BI24" s="2"/>
      <c r="BJ24" s="2"/>
      <c r="BK24" s="2"/>
      <c r="BL24" s="2"/>
    </row>
    <row r="25" spans="1:68">
      <c r="A25" s="10" t="s">
        <v>1085</v>
      </c>
      <c r="B25" s="13"/>
      <c r="C25" s="13">
        <f t="shared" ref="C25:P25" si="60">C24/B24-1</f>
        <v>4.5497501995123368E-2</v>
      </c>
      <c r="D25" s="13">
        <f t="shared" si="60"/>
        <v>0.23186095410083429</v>
      </c>
      <c r="E25" s="13">
        <f t="shared" si="60"/>
        <v>7.2139087490078024E-2</v>
      </c>
      <c r="F25" s="13">
        <f t="shared" si="60"/>
        <v>-7.2195666757741583E-2</v>
      </c>
      <c r="G25" s="13">
        <f t="shared" si="60"/>
        <v>0.10884572234657663</v>
      </c>
      <c r="H25" s="13">
        <f t="shared" si="60"/>
        <v>-1.554595833946415E-2</v>
      </c>
      <c r="I25" s="13">
        <f t="shared" si="60"/>
        <v>-2.497642793499677E-2</v>
      </c>
      <c r="J25" s="13">
        <f t="shared" si="60"/>
        <v>1.1641074081109926E-2</v>
      </c>
      <c r="K25" s="13">
        <f t="shared" si="60"/>
        <v>0.10355558495733552</v>
      </c>
      <c r="L25" s="13">
        <f t="shared" si="60"/>
        <v>8.8448405874582026E-2</v>
      </c>
      <c r="M25" s="13">
        <f t="shared" si="60"/>
        <v>4.5412708566927584E-2</v>
      </c>
      <c r="N25" s="13">
        <f t="shared" si="60"/>
        <v>-1.2911247896444822E-2</v>
      </c>
      <c r="O25" s="13">
        <f t="shared" si="60"/>
        <v>-1.3843483652730915E-2</v>
      </c>
      <c r="P25" s="13">
        <f t="shared" si="60"/>
        <v>-5.4598064330720009E-2</v>
      </c>
      <c r="Q25" s="13">
        <f t="shared" ref="Q25:AK25" si="61">Q24/P24-1</f>
        <v>-1.603021987057307E-3</v>
      </c>
      <c r="R25" s="13">
        <f t="shared" si="61"/>
        <v>2.5274669727202603E-2</v>
      </c>
      <c r="S25" s="13">
        <f t="shared" si="61"/>
        <v>-7.0296749268983993E-2</v>
      </c>
      <c r="T25" s="13">
        <f>T24/S24-1</f>
        <v>8.2381193147218923E-2</v>
      </c>
      <c r="U25" s="13">
        <f t="shared" si="61"/>
        <v>-0.12599505207454798</v>
      </c>
      <c r="V25" s="13">
        <f t="shared" si="61"/>
        <v>0.10530254546829143</v>
      </c>
      <c r="W25" s="13">
        <f t="shared" si="61"/>
        <v>2.3281218257597658E-2</v>
      </c>
      <c r="X25" s="13">
        <f t="shared" si="61"/>
        <v>0.19773696539063224</v>
      </c>
      <c r="Y25" s="13">
        <f t="shared" si="61"/>
        <v>0.15127015377410857</v>
      </c>
      <c r="Z25" s="13">
        <f t="shared" si="61"/>
        <v>7.9008624883933676E-2</v>
      </c>
      <c r="AA25" s="13">
        <f t="shared" si="61"/>
        <v>6.6715539852910677E-2</v>
      </c>
      <c r="AB25" s="13">
        <f t="shared" si="61"/>
        <v>9.4232261334078693E-2</v>
      </c>
      <c r="AC25" s="13">
        <f t="shared" si="61"/>
        <v>5.2299260074246456E-2</v>
      </c>
      <c r="AD25" s="13">
        <f t="shared" si="61"/>
        <v>-4.3784541100874597E-2</v>
      </c>
      <c r="AE25" s="13">
        <f t="shared" si="61"/>
        <v>-4.3811974184662095E-2</v>
      </c>
      <c r="AF25" s="13">
        <f t="shared" si="61"/>
        <v>0.12827250553044411</v>
      </c>
      <c r="AG25" s="13">
        <f t="shared" si="61"/>
        <v>9.1217416651952155E-2</v>
      </c>
      <c r="AH25" s="13">
        <f t="shared" si="61"/>
        <v>7.3731530246365917E-3</v>
      </c>
      <c r="AI25" s="13">
        <f t="shared" si="61"/>
        <v>3.8659686916206804E-2</v>
      </c>
      <c r="AJ25" s="13">
        <f t="shared" si="61"/>
        <v>4.8668335556670161E-2</v>
      </c>
      <c r="AK25" s="13">
        <f t="shared" si="61"/>
        <v>4.850307753728722E-2</v>
      </c>
      <c r="AL25" s="13">
        <f t="shared" ref="AL25:AR25" si="62">AL24/AK24-1</f>
        <v>2.3258942795382653E-2</v>
      </c>
      <c r="AM25" s="13">
        <f t="shared" si="62"/>
        <v>6.4353952058260333E-4</v>
      </c>
      <c r="AN25" s="13">
        <f t="shared" si="62"/>
        <v>1.4359924700248827E-2</v>
      </c>
      <c r="AO25" s="13">
        <f t="shared" si="62"/>
        <v>2.7196581680054122E-2</v>
      </c>
      <c r="AP25" s="13">
        <f t="shared" si="62"/>
        <v>3.2941878221210974E-2</v>
      </c>
      <c r="AQ25" s="13">
        <f t="shared" si="62"/>
        <v>3.4619781024324503E-2</v>
      </c>
      <c r="AR25" s="13">
        <f t="shared" si="62"/>
        <v>3.6607993032854447E-2</v>
      </c>
      <c r="AS25" s="100"/>
      <c r="AT25" s="56"/>
      <c r="AU25" s="57"/>
      <c r="AV25" s="56"/>
      <c r="AW25" s="100"/>
      <c r="AX25" s="2"/>
      <c r="AY25" s="2"/>
      <c r="AZ25" s="2"/>
      <c r="BA25" s="2"/>
      <c r="BB25" s="2"/>
      <c r="BC25" s="2"/>
      <c r="BD25" s="2"/>
      <c r="BE25" s="2"/>
      <c r="BF25" s="2"/>
      <c r="BG25" s="2"/>
      <c r="BH25" s="2"/>
      <c r="BI25" s="2"/>
      <c r="BJ25" s="2"/>
      <c r="BK25" s="2"/>
      <c r="BL25" s="2"/>
    </row>
    <row r="26" spans="1:68">
      <c r="A26" s="14"/>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100"/>
      <c r="AT26" s="56"/>
      <c r="AU26" s="57"/>
      <c r="AV26" s="56"/>
      <c r="AW26" s="100"/>
      <c r="AX26" s="2"/>
      <c r="AY26" s="2"/>
      <c r="AZ26" s="2"/>
      <c r="BA26" s="2"/>
      <c r="BB26" s="2"/>
      <c r="BC26" s="2"/>
      <c r="BD26" s="2"/>
      <c r="BE26" s="2"/>
      <c r="BF26" s="2"/>
      <c r="BG26" s="2"/>
      <c r="BH26" s="2"/>
      <c r="BI26" s="2"/>
      <c r="BJ26" s="2"/>
      <c r="BK26" s="2"/>
      <c r="BL26" s="2"/>
    </row>
    <row r="27" spans="1:68">
      <c r="A27" s="10" t="s">
        <v>377</v>
      </c>
      <c r="B27" s="402">
        <f>+(B30+1.082)/2</f>
        <v>1.157</v>
      </c>
      <c r="C27" s="11">
        <f t="shared" ref="C27:P27" si="63">+(C30+B30)/2</f>
        <v>1.3614999999999999</v>
      </c>
      <c r="D27" s="11">
        <f t="shared" si="63"/>
        <v>2.3740000000000001</v>
      </c>
      <c r="E27" s="11">
        <f t="shared" si="63"/>
        <v>3.4619999999999997</v>
      </c>
      <c r="F27" s="11">
        <f t="shared" si="63"/>
        <v>4.4165000000000001</v>
      </c>
      <c r="G27" s="11">
        <f t="shared" si="63"/>
        <v>7.8130000000000006</v>
      </c>
      <c r="H27" s="11">
        <f t="shared" si="63"/>
        <v>10.89</v>
      </c>
      <c r="I27" s="11">
        <f t="shared" si="63"/>
        <v>12.057500000000001</v>
      </c>
      <c r="J27" s="11">
        <f t="shared" si="63"/>
        <v>13.545500000000001</v>
      </c>
      <c r="K27" s="11">
        <f t="shared" si="63"/>
        <v>14.335000000000001</v>
      </c>
      <c r="L27" s="11">
        <f t="shared" si="63"/>
        <v>15.690999999999999</v>
      </c>
      <c r="M27" s="11">
        <f t="shared" si="63"/>
        <v>18.6815</v>
      </c>
      <c r="N27" s="11">
        <f t="shared" si="63"/>
        <v>21.609000000000002</v>
      </c>
      <c r="O27" s="11">
        <f t="shared" si="63"/>
        <v>23.644500000000001</v>
      </c>
      <c r="P27" s="11">
        <f t="shared" si="63"/>
        <v>25.026500000000002</v>
      </c>
      <c r="Q27" s="11">
        <f t="shared" ref="Q27:AK27" si="64">+(Q30+P30)/2</f>
        <v>26.515000000000001</v>
      </c>
      <c r="R27" s="11">
        <f t="shared" si="64"/>
        <v>27.903999999999996</v>
      </c>
      <c r="S27" s="11">
        <f t="shared" si="64"/>
        <v>28.402499999999996</v>
      </c>
      <c r="T27" s="11">
        <f>+(T30+S30)/2</f>
        <v>27.357999999999997</v>
      </c>
      <c r="U27" s="11">
        <f t="shared" si="64"/>
        <v>24.954000000000001</v>
      </c>
      <c r="V27" s="11">
        <f t="shared" si="64"/>
        <v>23.408000000000001</v>
      </c>
      <c r="W27" s="11">
        <f t="shared" si="64"/>
        <v>21.685000000000002</v>
      </c>
      <c r="X27" s="11">
        <f t="shared" si="64"/>
        <v>18.221499999999999</v>
      </c>
      <c r="Y27" s="11">
        <f t="shared" si="64"/>
        <v>16.167500000000004</v>
      </c>
      <c r="Z27" s="11">
        <f t="shared" si="64"/>
        <v>15.919500000000003</v>
      </c>
      <c r="AA27" s="11">
        <f t="shared" si="64"/>
        <v>15.566500000000001</v>
      </c>
      <c r="AB27" s="11">
        <f t="shared" si="64"/>
        <v>15.051500000000003</v>
      </c>
      <c r="AC27" s="11">
        <f t="shared" si="64"/>
        <v>12.540500000000002</v>
      </c>
      <c r="AD27" s="11">
        <f t="shared" si="64"/>
        <v>10.603999999999999</v>
      </c>
      <c r="AE27" s="11">
        <f t="shared" si="64"/>
        <v>10.916</v>
      </c>
      <c r="AF27" s="11">
        <f t="shared" si="64"/>
        <v>10.954499999999999</v>
      </c>
      <c r="AG27" s="11">
        <f t="shared" si="64"/>
        <v>10.958500000000001</v>
      </c>
      <c r="AH27" s="11">
        <f t="shared" si="64"/>
        <v>10.8955</v>
      </c>
      <c r="AI27" s="11">
        <f t="shared" si="64"/>
        <v>11.009</v>
      </c>
      <c r="AJ27" s="11">
        <f t="shared" si="64"/>
        <v>11.352499999999999</v>
      </c>
      <c r="AK27" s="11">
        <f t="shared" si="64"/>
        <v>11.718999999999999</v>
      </c>
      <c r="AL27" s="11">
        <f t="shared" ref="AL27:AR27" si="65">+(AL30+AK30)/2</f>
        <v>12.1531</v>
      </c>
      <c r="AM27" s="11">
        <f t="shared" si="65"/>
        <v>12.568691250000001</v>
      </c>
      <c r="AN27" s="11">
        <f t="shared" si="65"/>
        <v>12.782262773013272</v>
      </c>
      <c r="AO27" s="11">
        <f t="shared" si="65"/>
        <v>12.940210370836546</v>
      </c>
      <c r="AP27" s="11">
        <f t="shared" si="65"/>
        <v>13.070980342161548</v>
      </c>
      <c r="AQ27" s="11">
        <f t="shared" si="65"/>
        <v>13.166882988676548</v>
      </c>
      <c r="AR27" s="11">
        <f t="shared" si="65"/>
        <v>13.244960753855299</v>
      </c>
      <c r="AS27" s="100"/>
      <c r="AT27" s="56">
        <f>((AK27/AF27)^(1/5)-1)*100</f>
        <v>1.358365591415267</v>
      </c>
      <c r="AU27" s="97" t="s">
        <v>1084</v>
      </c>
      <c r="AV27" s="56">
        <f>((AP27/AK27)^(1/5)-1)*100</f>
        <v>2.2076778935466335</v>
      </c>
      <c r="AW27" s="100" t="s">
        <v>1084</v>
      </c>
      <c r="AX27" s="2"/>
      <c r="AY27" s="2"/>
      <c r="AZ27" s="2"/>
      <c r="BA27" s="2"/>
      <c r="BB27" s="2"/>
      <c r="BC27" s="2"/>
      <c r="BD27" s="2"/>
      <c r="BE27" s="2"/>
      <c r="BF27" s="2"/>
      <c r="BG27" s="2"/>
      <c r="BH27" s="2"/>
      <c r="BI27" s="2"/>
      <c r="BJ27" s="2"/>
      <c r="BK27" s="2"/>
      <c r="BL27" s="2"/>
    </row>
    <row r="28" spans="1:68">
      <c r="A28" s="921" t="s">
        <v>131</v>
      </c>
      <c r="B28" s="8"/>
      <c r="C28" s="13">
        <f t="shared" ref="C28:P28" si="66">C27/B27-1</f>
        <v>0.17675021607605879</v>
      </c>
      <c r="D28" s="13">
        <f t="shared" si="66"/>
        <v>0.74366507528461279</v>
      </c>
      <c r="E28" s="13">
        <f t="shared" si="66"/>
        <v>0.45829823083403531</v>
      </c>
      <c r="F28" s="13">
        <f t="shared" si="66"/>
        <v>0.27570768341998853</v>
      </c>
      <c r="G28" s="13">
        <f t="shared" si="66"/>
        <v>0.76904788859956996</v>
      </c>
      <c r="H28" s="13">
        <f t="shared" si="66"/>
        <v>0.39383079482913086</v>
      </c>
      <c r="I28" s="13">
        <f t="shared" si="66"/>
        <v>0.10720844811753905</v>
      </c>
      <c r="J28" s="13">
        <f t="shared" si="66"/>
        <v>0.12340866680489326</v>
      </c>
      <c r="K28" s="13">
        <f t="shared" si="66"/>
        <v>5.8285039311948728E-2</v>
      </c>
      <c r="L28" s="13">
        <f t="shared" si="66"/>
        <v>9.45936519009416E-2</v>
      </c>
      <c r="M28" s="13">
        <f t="shared" si="66"/>
        <v>0.19058696067809588</v>
      </c>
      <c r="N28" s="13">
        <f t="shared" si="66"/>
        <v>0.15670583197280741</v>
      </c>
      <c r="O28" s="13">
        <f t="shared" si="66"/>
        <v>9.4196862418436611E-2</v>
      </c>
      <c r="P28" s="13">
        <f t="shared" si="66"/>
        <v>5.8449110786863878E-2</v>
      </c>
      <c r="Q28" s="13">
        <f t="shared" ref="Q28:AK28" si="67">Q27/P27-1</f>
        <v>5.9476954428306028E-2</v>
      </c>
      <c r="R28" s="13">
        <f t="shared" si="67"/>
        <v>5.2385442202526722E-2</v>
      </c>
      <c r="S28" s="13">
        <f t="shared" si="67"/>
        <v>1.7864822247706469E-2</v>
      </c>
      <c r="T28" s="13">
        <f>T27/S27-1</f>
        <v>-3.6774931784173903E-2</v>
      </c>
      <c r="U28" s="13">
        <f t="shared" si="67"/>
        <v>-8.7871920462021968E-2</v>
      </c>
      <c r="V28" s="13">
        <f t="shared" si="67"/>
        <v>-6.1953995351446633E-2</v>
      </c>
      <c r="W28" s="13">
        <f t="shared" si="67"/>
        <v>-7.3607313738892621E-2</v>
      </c>
      <c r="X28" s="13">
        <f t="shared" si="67"/>
        <v>-0.15971869956190932</v>
      </c>
      <c r="Y28" s="13">
        <f t="shared" si="67"/>
        <v>-0.11272397991383776</v>
      </c>
      <c r="Z28" s="13">
        <f t="shared" si="67"/>
        <v>-1.5339415494046715E-2</v>
      </c>
      <c r="AA28" s="13">
        <f t="shared" si="67"/>
        <v>-2.2174063255755661E-2</v>
      </c>
      <c r="AB28" s="13">
        <f t="shared" si="67"/>
        <v>-3.308386599428248E-2</v>
      </c>
      <c r="AC28" s="13">
        <f t="shared" si="67"/>
        <v>-0.16682722652227355</v>
      </c>
      <c r="AD28" s="13">
        <f t="shared" si="67"/>
        <v>-0.15441968023603536</v>
      </c>
      <c r="AE28" s="13">
        <f t="shared" si="67"/>
        <v>2.9422859298378068E-2</v>
      </c>
      <c r="AF28" s="13">
        <f t="shared" si="67"/>
        <v>3.5269329424696405E-3</v>
      </c>
      <c r="AG28" s="13">
        <f t="shared" si="67"/>
        <v>3.6514674334764408E-4</v>
      </c>
      <c r="AH28" s="13">
        <f t="shared" si="67"/>
        <v>-5.7489619929735891E-3</v>
      </c>
      <c r="AI28" s="13">
        <f t="shared" si="67"/>
        <v>1.0417144692763003E-2</v>
      </c>
      <c r="AJ28" s="13">
        <f t="shared" si="67"/>
        <v>3.1201744027613554E-2</v>
      </c>
      <c r="AK28" s="13">
        <f t="shared" si="67"/>
        <v>3.2283637965205836E-2</v>
      </c>
      <c r="AL28" s="13">
        <f t="shared" ref="AL28:AR28" si="68">AL27/AK27-1</f>
        <v>3.7042409761925077E-2</v>
      </c>
      <c r="AM28" s="13">
        <f t="shared" si="68"/>
        <v>3.4196316166245744E-2</v>
      </c>
      <c r="AN28" s="13">
        <f t="shared" si="68"/>
        <v>1.6992343814100197E-2</v>
      </c>
      <c r="AO28" s="13">
        <f t="shared" si="68"/>
        <v>1.2356779126520667E-2</v>
      </c>
      <c r="AP28" s="13">
        <f t="shared" si="68"/>
        <v>1.0105706752628896E-2</v>
      </c>
      <c r="AQ28" s="13">
        <f t="shared" si="68"/>
        <v>7.3370660810847532E-3</v>
      </c>
      <c r="AR28" s="13">
        <f t="shared" si="68"/>
        <v>5.9298594242767066E-3</v>
      </c>
      <c r="AS28" s="100"/>
      <c r="AT28" s="56"/>
      <c r="AU28" s="57"/>
      <c r="AV28" s="56"/>
      <c r="AW28" s="100"/>
      <c r="AX28" s="2"/>
      <c r="AY28" s="2"/>
      <c r="AZ28" s="2"/>
      <c r="BA28" s="2"/>
      <c r="BB28" s="2"/>
      <c r="BC28" s="2"/>
      <c r="BD28" s="2"/>
      <c r="BE28" s="2"/>
      <c r="BF28" s="2"/>
      <c r="BG28" s="2"/>
      <c r="BH28" s="2"/>
      <c r="BI28" s="2"/>
      <c r="BJ28" s="2"/>
      <c r="BK28" s="2"/>
      <c r="BL28" s="2"/>
    </row>
    <row r="29" spans="1:68">
      <c r="A29" s="10"/>
      <c r="B29" s="8"/>
      <c r="C29" s="8"/>
      <c r="D29" s="8"/>
      <c r="E29" s="8"/>
      <c r="F29" s="8"/>
      <c r="G29" s="8"/>
      <c r="H29" s="8"/>
      <c r="I29" s="8"/>
      <c r="J29" s="8"/>
      <c r="K29" s="8"/>
      <c r="L29" s="8"/>
      <c r="M29" s="8"/>
      <c r="N29" s="8"/>
      <c r="O29" s="8"/>
      <c r="P29" s="8"/>
      <c r="Q29" s="8"/>
      <c r="R29" s="8"/>
      <c r="S29" s="8"/>
      <c r="T29" s="8"/>
      <c r="U29" s="8"/>
      <c r="V29" s="125"/>
      <c r="W29" s="8"/>
      <c r="X29" s="8"/>
      <c r="Y29" s="8"/>
      <c r="Z29" s="8"/>
      <c r="AA29" s="8"/>
      <c r="AB29" s="8"/>
      <c r="AC29" s="8"/>
      <c r="AD29" s="8"/>
      <c r="AE29" s="8"/>
      <c r="AF29" s="8"/>
      <c r="AG29" s="8"/>
      <c r="AH29" s="8"/>
      <c r="AI29" s="8"/>
      <c r="AJ29" s="8"/>
      <c r="AK29" s="8"/>
      <c r="AL29" s="8"/>
      <c r="AM29" s="8"/>
      <c r="AN29" s="8"/>
      <c r="AO29" s="8"/>
      <c r="AP29" s="8"/>
      <c r="AQ29" s="8"/>
      <c r="AR29" s="8"/>
      <c r="AS29" s="100"/>
      <c r="AT29" s="56"/>
      <c r="AU29" s="57"/>
      <c r="AV29" s="56"/>
      <c r="AW29" s="100"/>
      <c r="AX29" s="2"/>
      <c r="AY29" s="2"/>
      <c r="AZ29" s="2"/>
      <c r="BA29" s="2"/>
      <c r="BB29" s="2"/>
      <c r="BC29" s="2"/>
      <c r="BD29" s="2"/>
      <c r="BE29" s="2"/>
      <c r="BF29" s="2"/>
      <c r="BG29" s="2"/>
      <c r="BH29" s="2"/>
      <c r="BI29" s="2"/>
      <c r="BJ29" s="2"/>
      <c r="BK29" s="2"/>
      <c r="BL29" s="2"/>
    </row>
    <row r="30" spans="1:68">
      <c r="A30" s="10" t="s">
        <v>1125</v>
      </c>
      <c r="B30" s="289">
        <v>1.232</v>
      </c>
      <c r="C30" s="289">
        <v>1.4910000000000001</v>
      </c>
      <c r="D30" s="289">
        <v>3.2570000000000001</v>
      </c>
      <c r="E30" s="289">
        <v>3.6669999999999998</v>
      </c>
      <c r="F30" s="289">
        <v>5.1660000000000004</v>
      </c>
      <c r="G30" s="289">
        <v>10.46</v>
      </c>
      <c r="H30" s="289">
        <v>11.32</v>
      </c>
      <c r="I30" s="289">
        <v>12.795</v>
      </c>
      <c r="J30" s="289">
        <v>14.295999999999999</v>
      </c>
      <c r="K30" s="289">
        <v>14.374000000000001</v>
      </c>
      <c r="L30" s="289">
        <v>17.007999999999999</v>
      </c>
      <c r="M30" s="289">
        <v>20.355</v>
      </c>
      <c r="N30" s="289">
        <v>22.863</v>
      </c>
      <c r="O30" s="125">
        <f>+'store&amp;sf'!AQ220</f>
        <v>24.426000000000002</v>
      </c>
      <c r="P30" s="125">
        <f>+'store&amp;sf'!AQ226</f>
        <v>25.627000000000002</v>
      </c>
      <c r="Q30" s="125">
        <f>+'store&amp;sf'!AQ232</f>
        <v>27.402999999999995</v>
      </c>
      <c r="R30" s="125">
        <f>+'store&amp;sf'!AQ238</f>
        <v>28.404999999999998</v>
      </c>
      <c r="S30" s="396">
        <f>+'store&amp;sf'!AQ244</f>
        <v>28.4</v>
      </c>
      <c r="T30" s="125">
        <f>+'store&amp;sf'!AQ250</f>
        <v>26.315999999999999</v>
      </c>
      <c r="U30" s="125">
        <f>+'store&amp;sf'!AQ256</f>
        <v>23.591999999999999</v>
      </c>
      <c r="V30" s="125">
        <f>+'store&amp;sf'!AQ262</f>
        <v>23.224</v>
      </c>
      <c r="W30" s="125">
        <f>+'store&amp;sf'!AQ268</f>
        <v>20.146000000000001</v>
      </c>
      <c r="X30" s="125">
        <f>+'store&amp;sf'!AQ274</f>
        <v>16.297000000000001</v>
      </c>
      <c r="Y30" s="125">
        <f>+'store&amp;sf'!AQ280</f>
        <v>16.038000000000004</v>
      </c>
      <c r="Z30" s="125">
        <f>'store&amp;sf'!AQ286</f>
        <v>15.801</v>
      </c>
      <c r="AA30" s="125">
        <f>'store&amp;sf'!AQ292</f>
        <v>15.332000000000003</v>
      </c>
      <c r="AB30" s="125">
        <f>+'store&amp;sf'!AQ298</f>
        <v>14.771000000000003</v>
      </c>
      <c r="AC30" s="125">
        <f>'store&amp;sf'!AQ304</f>
        <v>10.31</v>
      </c>
      <c r="AD30" s="125">
        <f>'store&amp;sf'!$AQ$310</f>
        <v>10.898</v>
      </c>
      <c r="AE30" s="125">
        <f>'store&amp;sf'!$AQ$316</f>
        <v>10.933999999999999</v>
      </c>
      <c r="AF30" s="125">
        <f>'store&amp;sf'!$AQ$322</f>
        <v>10.975</v>
      </c>
      <c r="AG30" s="125">
        <f>'store&amp;sf'!$AQ$328</f>
        <v>10.942</v>
      </c>
      <c r="AH30" s="125">
        <f>'store&amp;sf'!$AQ$334</f>
        <v>10.849</v>
      </c>
      <c r="AI30" s="125">
        <f>'store&amp;sf'!$AQ$340</f>
        <v>11.169</v>
      </c>
      <c r="AJ30" s="125">
        <f>'store&amp;sf'!$AQ$346</f>
        <v>11.536</v>
      </c>
      <c r="AK30" s="125">
        <f>'store&amp;sf'!AQ352</f>
        <v>11.901999999999999</v>
      </c>
      <c r="AL30" s="125">
        <f>+AL81+AL129+('store&amp;sf'!$V$352+'store&amp;sf'!$H$352+'store&amp;sf'!X352)*1.1</f>
        <v>12.404200000000001</v>
      </c>
      <c r="AM30" s="125">
        <f>+AM81+AM129+('store&amp;sf'!$V$364+'store&amp;sf'!$H$364+'store&amp;sf'!X364)*1.05^2</f>
        <v>12.733182499999998</v>
      </c>
      <c r="AN30" s="125">
        <f>+AN81+AN129+('store&amp;sf'!$V$352+'store&amp;sf'!$H$352+'store&amp;sf'!X352)*1.03^3</f>
        <v>12.831343046026547</v>
      </c>
      <c r="AO30" s="125">
        <f>+AO81+AO129+('store&amp;sf'!$V$352+'store&amp;sf'!$H$352+'store&amp;sf'!X352)*1.03^4</f>
        <v>13.049077695646547</v>
      </c>
      <c r="AP30" s="125">
        <f>+AP81+AP129+('store&amp;sf'!$V$352+'store&amp;sf'!$H$352+'store&amp;sf'!Y352)*1.03^4</f>
        <v>13.092882988676548</v>
      </c>
      <c r="AQ30" s="125">
        <f>+AQ81+AQ129+('store&amp;sf'!$V$352+'store&amp;sf'!$H$352+'store&amp;sf'!Z352)*1.03^4</f>
        <v>13.24088298867655</v>
      </c>
      <c r="AR30" s="125">
        <f>+AR81+AR129+('store&amp;sf'!$V$352+'store&amp;sf'!$H$352+'store&amp;sf'!AA352)*1.03^4</f>
        <v>13.24903851903405</v>
      </c>
      <c r="AS30" s="100"/>
      <c r="AT30" s="56">
        <f>((AK30/AF30)^(1/5)-1)*100</f>
        <v>1.6349512995129434</v>
      </c>
      <c r="AU30" s="97" t="s">
        <v>1084</v>
      </c>
      <c r="AV30" s="56">
        <f>((AP30/AK30)^(1/5)-1)*100</f>
        <v>1.9255510581731805</v>
      </c>
      <c r="AW30" s="100" t="s">
        <v>1084</v>
      </c>
      <c r="AX30" s="2"/>
      <c r="AY30" s="2"/>
      <c r="AZ30" s="2"/>
      <c r="BA30" s="2"/>
      <c r="BB30" s="2"/>
      <c r="BC30" s="2"/>
      <c r="BD30" s="2"/>
      <c r="BE30" s="2"/>
      <c r="BF30" s="2"/>
      <c r="BG30" s="2"/>
      <c r="BH30" s="2"/>
      <c r="BI30" s="2"/>
      <c r="BJ30" s="2"/>
      <c r="BK30" s="2"/>
      <c r="BL30" s="2"/>
    </row>
    <row r="31" spans="1:68">
      <c r="A31" s="10" t="s">
        <v>1085</v>
      </c>
      <c r="B31" s="370">
        <f>+B30/1.082-1</f>
        <v>0.1386321626617375</v>
      </c>
      <c r="C31" s="13">
        <f t="shared" ref="C31:P31" si="69">C30/B30-1</f>
        <v>0.21022727272727293</v>
      </c>
      <c r="D31" s="13">
        <f t="shared" si="69"/>
        <v>1.1844399731723674</v>
      </c>
      <c r="E31" s="13">
        <f t="shared" si="69"/>
        <v>0.12588271415412944</v>
      </c>
      <c r="F31" s="13">
        <f t="shared" si="69"/>
        <v>0.40878101990728122</v>
      </c>
      <c r="G31" s="13">
        <f t="shared" si="69"/>
        <v>1.0247773906310491</v>
      </c>
      <c r="H31" s="13">
        <f t="shared" si="69"/>
        <v>8.2217973231357488E-2</v>
      </c>
      <c r="I31" s="13">
        <f t="shared" si="69"/>
        <v>0.1303003533568905</v>
      </c>
      <c r="J31" s="13">
        <f t="shared" si="69"/>
        <v>0.11731144978507224</v>
      </c>
      <c r="K31" s="13">
        <f t="shared" si="69"/>
        <v>5.456071628427539E-3</v>
      </c>
      <c r="L31" s="13">
        <f t="shared" si="69"/>
        <v>0.1832475302629748</v>
      </c>
      <c r="M31" s="13">
        <f t="shared" si="69"/>
        <v>0.19678974600188148</v>
      </c>
      <c r="N31" s="13">
        <f t="shared" si="69"/>
        <v>0.12321296978629315</v>
      </c>
      <c r="O31" s="13">
        <f t="shared" si="69"/>
        <v>6.8363731793728011E-2</v>
      </c>
      <c r="P31" s="13">
        <f t="shared" si="69"/>
        <v>4.9168918365675829E-2</v>
      </c>
      <c r="Q31" s="13">
        <f t="shared" ref="Q31:AK31" si="70">Q30/P30-1</f>
        <v>6.9301908143754254E-2</v>
      </c>
      <c r="R31" s="13">
        <f t="shared" si="70"/>
        <v>3.6565339561362098E-2</v>
      </c>
      <c r="S31" s="13">
        <f t="shared" si="70"/>
        <v>-1.7602534765004396E-4</v>
      </c>
      <c r="T31" s="13">
        <f>T30/S30-1</f>
        <v>-7.3380281690140881E-2</v>
      </c>
      <c r="U31" s="13">
        <f t="shared" si="70"/>
        <v>-0.10351117191062476</v>
      </c>
      <c r="V31" s="13">
        <f t="shared" si="70"/>
        <v>-1.559850796880291E-2</v>
      </c>
      <c r="W31" s="13">
        <f t="shared" si="70"/>
        <v>-0.13253530830175675</v>
      </c>
      <c r="X31" s="13">
        <f t="shared" si="70"/>
        <v>-0.19105529633674179</v>
      </c>
      <c r="Y31" s="13">
        <f t="shared" si="70"/>
        <v>-1.5892495551328323E-2</v>
      </c>
      <c r="Z31" s="13">
        <f t="shared" si="70"/>
        <v>-1.4777403666292765E-2</v>
      </c>
      <c r="AA31" s="13">
        <f t="shared" si="70"/>
        <v>-2.9681665717359529E-2</v>
      </c>
      <c r="AB31" s="13">
        <f t="shared" si="70"/>
        <v>-3.6590138272893258E-2</v>
      </c>
      <c r="AC31" s="13">
        <f t="shared" si="70"/>
        <v>-0.302010696635299</v>
      </c>
      <c r="AD31" s="13">
        <f t="shared" si="70"/>
        <v>5.7032007759456826E-2</v>
      </c>
      <c r="AE31" s="13">
        <f t="shared" si="70"/>
        <v>3.3033584143880024E-3</v>
      </c>
      <c r="AF31" s="13">
        <f t="shared" si="70"/>
        <v>3.7497713554051071E-3</v>
      </c>
      <c r="AG31" s="13">
        <f t="shared" si="70"/>
        <v>-3.0068337129840472E-3</v>
      </c>
      <c r="AH31" s="13">
        <f t="shared" si="70"/>
        <v>-8.4993602632059684E-3</v>
      </c>
      <c r="AI31" s="13">
        <f t="shared" si="70"/>
        <v>2.9495806065075181E-2</v>
      </c>
      <c r="AJ31" s="13">
        <f t="shared" si="70"/>
        <v>3.2858805622705711E-2</v>
      </c>
      <c r="AK31" s="13">
        <f t="shared" si="70"/>
        <v>3.1726768377253745E-2</v>
      </c>
      <c r="AL31" s="13">
        <f t="shared" ref="AL31:AR31" si="71">AL30/AK30-1</f>
        <v>4.2194589144681771E-2</v>
      </c>
      <c r="AM31" s="13">
        <f>AM30/AL30-1</f>
        <v>2.652186356234143E-2</v>
      </c>
      <c r="AN31" s="13">
        <f t="shared" si="71"/>
        <v>7.7090347229804568E-3</v>
      </c>
      <c r="AO31" s="13">
        <f t="shared" si="71"/>
        <v>1.6968968005841356E-2</v>
      </c>
      <c r="AP31" s="13">
        <f t="shared" si="71"/>
        <v>3.3569646875974968E-3</v>
      </c>
      <c r="AQ31" s="13">
        <f t="shared" si="71"/>
        <v>1.1303851117282493E-2</v>
      </c>
      <c r="AR31" s="13">
        <f t="shared" si="71"/>
        <v>6.1593553575511883E-4</v>
      </c>
      <c r="AS31" s="100"/>
      <c r="AT31" s="56"/>
      <c r="AU31" s="57"/>
      <c r="AV31" s="56"/>
      <c r="AW31" s="100"/>
      <c r="AX31" s="2"/>
      <c r="AY31" s="2"/>
      <c r="AZ31" s="2"/>
      <c r="BA31" s="2"/>
      <c r="BB31" s="2"/>
      <c r="BC31" s="2"/>
      <c r="BD31" s="2"/>
      <c r="BE31" s="2"/>
      <c r="BF31" s="2"/>
      <c r="BG31" s="2"/>
      <c r="BH31" s="2"/>
      <c r="BI31" s="2"/>
      <c r="BJ31" s="2"/>
      <c r="BK31" s="2"/>
      <c r="BL31" s="2"/>
    </row>
    <row r="32" spans="1:68">
      <c r="A32" s="14"/>
      <c r="B32" s="2"/>
      <c r="C32" s="2"/>
      <c r="D32" s="2"/>
      <c r="E32" s="2"/>
      <c r="F32" s="2"/>
      <c r="G32" s="2"/>
      <c r="H32" s="2"/>
      <c r="I32" s="2"/>
      <c r="J32" s="2"/>
      <c r="K32" s="2"/>
      <c r="L32" s="2"/>
      <c r="M32" s="2"/>
      <c r="N32" s="2"/>
      <c r="O32" s="2"/>
      <c r="P32" s="2"/>
      <c r="Q32" s="2"/>
      <c r="R32" s="2"/>
      <c r="S32" s="2"/>
      <c r="T32" s="2"/>
      <c r="U32" s="2"/>
      <c r="V32" s="8"/>
      <c r="W32" s="2"/>
      <c r="X32" s="2"/>
      <c r="Y32" s="2"/>
      <c r="Z32" s="2"/>
      <c r="AA32" s="2"/>
      <c r="AB32" s="2"/>
      <c r="AC32" s="2"/>
      <c r="AD32" s="2"/>
      <c r="AE32" s="2"/>
      <c r="AF32" s="2"/>
      <c r="AG32" s="2"/>
      <c r="AH32" s="2"/>
      <c r="AI32" s="2"/>
      <c r="AJ32" s="2"/>
      <c r="AK32" s="2"/>
      <c r="AL32" s="2"/>
      <c r="AM32" s="2"/>
      <c r="AN32" s="2"/>
      <c r="AO32" s="2"/>
      <c r="AP32" s="2"/>
      <c r="AQ32" s="2"/>
      <c r="AR32" s="2"/>
      <c r="AS32" s="100"/>
      <c r="AT32" s="56"/>
      <c r="AU32" s="57"/>
      <c r="AV32" s="56"/>
      <c r="AW32" s="100"/>
      <c r="AX32" s="2"/>
      <c r="AY32" s="2"/>
      <c r="AZ32" s="2"/>
      <c r="BA32" s="2"/>
      <c r="BB32" s="2"/>
      <c r="BC32" s="2"/>
      <c r="BD32" s="2"/>
      <c r="BE32" s="2"/>
      <c r="BF32" s="2"/>
      <c r="BG32" s="2"/>
      <c r="BH32" s="2"/>
      <c r="BI32" s="2"/>
      <c r="BJ32" s="2"/>
      <c r="BK32" s="2"/>
      <c r="BL32" s="2"/>
    </row>
    <row r="33" spans="1:64">
      <c r="A33" s="10" t="s">
        <v>1109</v>
      </c>
      <c r="B33" s="9">
        <f t="shared" ref="B33:AC33" si="72">B30/B20*1000000</f>
        <v>3500</v>
      </c>
      <c r="C33" s="9">
        <f t="shared" si="72"/>
        <v>3467.4418604651164</v>
      </c>
      <c r="D33" s="9">
        <f t="shared" si="72"/>
        <v>3947.8787878787884</v>
      </c>
      <c r="E33" s="9">
        <f t="shared" si="72"/>
        <v>3913.5538954108852</v>
      </c>
      <c r="F33" s="9">
        <f t="shared" si="72"/>
        <v>3658.6402266288951</v>
      </c>
      <c r="G33" s="9">
        <f t="shared" si="72"/>
        <v>4445.3888652783689</v>
      </c>
      <c r="H33" s="9">
        <f t="shared" si="72"/>
        <v>4220.730797912006</v>
      </c>
      <c r="I33" s="9">
        <f t="shared" si="72"/>
        <v>4107.5441412520058</v>
      </c>
      <c r="J33" s="9">
        <f t="shared" si="72"/>
        <v>4088.0754932799541</v>
      </c>
      <c r="K33" s="9">
        <f t="shared" si="72"/>
        <v>4298.4449760765547</v>
      </c>
      <c r="L33" s="9">
        <f t="shared" si="72"/>
        <v>4523.4042553191484</v>
      </c>
      <c r="M33" s="9">
        <f t="shared" si="72"/>
        <v>4853.3619456366241</v>
      </c>
      <c r="N33" s="9">
        <f t="shared" si="72"/>
        <v>5166.7796610169489</v>
      </c>
      <c r="O33" s="9">
        <f t="shared" si="72"/>
        <v>5283.5820895522393</v>
      </c>
      <c r="P33" s="9">
        <f t="shared" si="72"/>
        <v>5265.4612697760431</v>
      </c>
      <c r="Q33" s="9">
        <f t="shared" si="72"/>
        <v>5172.3291808229515</v>
      </c>
      <c r="R33" s="9">
        <f t="shared" si="72"/>
        <v>5042.6060713651686</v>
      </c>
      <c r="S33" s="9">
        <f t="shared" si="72"/>
        <v>5035.4609929078015</v>
      </c>
      <c r="T33" s="9">
        <f t="shared" si="72"/>
        <v>4889.6321070234117</v>
      </c>
      <c r="U33" s="9">
        <f t="shared" si="72"/>
        <v>4696.7947441767865</v>
      </c>
      <c r="V33" s="9">
        <f t="shared" si="72"/>
        <v>4527.978163384676</v>
      </c>
      <c r="W33" s="9">
        <f t="shared" si="72"/>
        <v>4366.276549631556</v>
      </c>
      <c r="X33" s="9">
        <f t="shared" si="72"/>
        <v>4037.9088206144702</v>
      </c>
      <c r="Y33" s="9">
        <f t="shared" si="72"/>
        <v>4100.7414983380213</v>
      </c>
      <c r="Z33" s="9">
        <f t="shared" si="72"/>
        <v>4181.2648848901827</v>
      </c>
      <c r="AA33" s="9">
        <f t="shared" si="72"/>
        <v>4270.7520891364911</v>
      </c>
      <c r="AB33" s="9">
        <f t="shared" si="72"/>
        <v>3922.1986192246422</v>
      </c>
      <c r="AC33" s="9">
        <f t="shared" si="72"/>
        <v>3523.5816814764185</v>
      </c>
      <c r="AD33" s="9">
        <f t="shared" ref="AD33:AI33" si="73">AD30/AD20*1000000</f>
        <v>3615.7929661579296</v>
      </c>
      <c r="AE33" s="9">
        <f t="shared" si="73"/>
        <v>3680.2423426455734</v>
      </c>
      <c r="AF33" s="9">
        <f t="shared" si="73"/>
        <v>3697.77628032345</v>
      </c>
      <c r="AG33" s="9">
        <f t="shared" si="73"/>
        <v>3720.5032301938113</v>
      </c>
      <c r="AH33" s="9">
        <f t="shared" si="73"/>
        <v>3772.2531293463144</v>
      </c>
      <c r="AI33" s="9">
        <f t="shared" si="73"/>
        <v>3827.6216586703226</v>
      </c>
      <c r="AJ33" s="9">
        <f t="shared" ref="AJ33:AO33" si="74">AJ30/AJ20*1000000</f>
        <v>3898.6143967556604</v>
      </c>
      <c r="AK33" s="9">
        <f t="shared" si="74"/>
        <v>3973.9565943238731</v>
      </c>
      <c r="AL33" s="9">
        <f t="shared" si="74"/>
        <v>4095.1469131726644</v>
      </c>
      <c r="AM33" s="9">
        <f t="shared" si="74"/>
        <v>4214.8899371069174</v>
      </c>
      <c r="AN33" s="9">
        <f t="shared" si="74"/>
        <v>4213.9057622418868</v>
      </c>
      <c r="AO33" s="9">
        <f t="shared" si="74"/>
        <v>4292.459768304785</v>
      </c>
      <c r="AP33" s="9">
        <f>AP30/AP20*1000000</f>
        <v>4313.9647409148429</v>
      </c>
      <c r="AQ33" s="9">
        <f>AQ30/AQ20*1000000</f>
        <v>4384.3983406213747</v>
      </c>
      <c r="AR33" s="9">
        <f>AR30/AR20*1000000</f>
        <v>4408.997843272562</v>
      </c>
      <c r="AS33" s="104"/>
      <c r="AT33" s="56"/>
      <c r="AU33" s="98"/>
      <c r="AV33" s="56"/>
      <c r="AW33" s="104"/>
      <c r="AX33" s="9"/>
      <c r="AY33" s="9"/>
      <c r="AZ33" s="9"/>
      <c r="BA33" s="9"/>
      <c r="BB33" s="9"/>
      <c r="BC33" s="2"/>
      <c r="BD33" s="2"/>
      <c r="BE33" s="2"/>
      <c r="BF33" s="2"/>
      <c r="BG33" s="2"/>
      <c r="BH33" s="2"/>
      <c r="BI33" s="2"/>
      <c r="BJ33" s="2"/>
      <c r="BK33" s="2"/>
      <c r="BL33" s="2"/>
    </row>
    <row r="34" spans="1:64">
      <c r="A34" s="10" t="s">
        <v>1085</v>
      </c>
      <c r="B34" s="13"/>
      <c r="C34" s="13">
        <f t="shared" ref="C34:P34" si="75">C33/B33-1</f>
        <v>-9.302325581395321E-3</v>
      </c>
      <c r="D34" s="13">
        <f t="shared" si="75"/>
        <v>0.13855659207771898</v>
      </c>
      <c r="E34" s="13">
        <f t="shared" si="75"/>
        <v>-8.694515285852078E-3</v>
      </c>
      <c r="F34" s="13">
        <f t="shared" si="75"/>
        <v>-6.5136107894389061E-2</v>
      </c>
      <c r="G34" s="13">
        <f t="shared" si="75"/>
        <v>0.21503853615428903</v>
      </c>
      <c r="H34" s="13">
        <f t="shared" si="75"/>
        <v>-5.0537326244077585E-2</v>
      </c>
      <c r="I34" s="13">
        <f t="shared" si="75"/>
        <v>-2.6816838618561878E-2</v>
      </c>
      <c r="J34" s="13">
        <f t="shared" si="75"/>
        <v>-4.7397294593936046E-3</v>
      </c>
      <c r="K34" s="13">
        <f t="shared" si="75"/>
        <v>5.1459295001378802E-2</v>
      </c>
      <c r="L34" s="13">
        <f t="shared" si="75"/>
        <v>5.2335037553028707E-2</v>
      </c>
      <c r="M34" s="13">
        <f t="shared" si="75"/>
        <v>7.2944550540551933E-2</v>
      </c>
      <c r="N34" s="13">
        <f t="shared" si="75"/>
        <v>6.4577445261856159E-2</v>
      </c>
      <c r="O34" s="13">
        <f t="shared" si="75"/>
        <v>2.2606427252270578E-2</v>
      </c>
      <c r="P34" s="13">
        <f t="shared" si="75"/>
        <v>-3.429646680805476E-3</v>
      </c>
      <c r="Q34" s="13">
        <f t="shared" ref="Q34:AK34" si="76">Q33/P33-1</f>
        <v>-1.7687356184285963E-2</v>
      </c>
      <c r="R34" s="13">
        <f t="shared" si="76"/>
        <v>-2.5080211433322397E-2</v>
      </c>
      <c r="S34" s="13">
        <f t="shared" si="76"/>
        <v>-1.4169416282467928E-3</v>
      </c>
      <c r="T34" s="13">
        <f>T33/S33-1</f>
        <v>-2.8960384379857707E-2</v>
      </c>
      <c r="U34" s="13">
        <f t="shared" si="76"/>
        <v>-3.943801059585561E-2</v>
      </c>
      <c r="V34" s="13">
        <f t="shared" si="76"/>
        <v>-3.5942933423142254E-2</v>
      </c>
      <c r="W34" s="13">
        <f t="shared" si="76"/>
        <v>-3.5711659358411696E-2</v>
      </c>
      <c r="X34" s="13">
        <f t="shared" si="76"/>
        <v>-7.5205435405779508E-2</v>
      </c>
      <c r="Y34" s="13">
        <f t="shared" si="76"/>
        <v>1.5560697508268495E-2</v>
      </c>
      <c r="Z34" s="13">
        <f t="shared" si="76"/>
        <v>1.9636299090005194E-2</v>
      </c>
      <c r="AA34" s="13">
        <f t="shared" si="76"/>
        <v>2.1401945753230844E-2</v>
      </c>
      <c r="AB34" s="13">
        <f t="shared" si="76"/>
        <v>-8.1614072331303023E-2</v>
      </c>
      <c r="AC34" s="13">
        <f t="shared" si="76"/>
        <v>-0.10163099232007378</v>
      </c>
      <c r="AD34" s="13">
        <f t="shared" si="76"/>
        <v>2.6169759357720812E-2</v>
      </c>
      <c r="AE34" s="13">
        <f t="shared" si="76"/>
        <v>1.7824410050812922E-2</v>
      </c>
      <c r="AF34" s="13">
        <f t="shared" si="76"/>
        <v>4.7643432267212571E-3</v>
      </c>
      <c r="AG34" s="13">
        <f t="shared" si="76"/>
        <v>6.146112730317288E-3</v>
      </c>
      <c r="AH34" s="13">
        <f t="shared" si="76"/>
        <v>1.3909381594545023E-2</v>
      </c>
      <c r="AI34" s="13">
        <f t="shared" si="76"/>
        <v>1.467784038490616E-2</v>
      </c>
      <c r="AJ34" s="13">
        <f t="shared" si="76"/>
        <v>1.8547480502553171E-2</v>
      </c>
      <c r="AK34" s="13">
        <f t="shared" si="76"/>
        <v>1.9325378173053132E-2</v>
      </c>
      <c r="AL34" s="13">
        <f t="shared" ref="AL34:AR34" si="77">AL33/AK33-1</f>
        <v>3.0496135519419321E-2</v>
      </c>
      <c r="AM34" s="13">
        <f t="shared" si="77"/>
        <v>2.9240226656846335E-2</v>
      </c>
      <c r="AN34" s="13">
        <f t="shared" si="77"/>
        <v>-2.3349954084594948E-4</v>
      </c>
      <c r="AO34" s="13">
        <f t="shared" si="77"/>
        <v>1.8641614334798495E-2</v>
      </c>
      <c r="AP34" s="13">
        <f t="shared" si="77"/>
        <v>5.0099415651718715E-3</v>
      </c>
      <c r="AQ34" s="13">
        <f t="shared" si="77"/>
        <v>1.6326883490381805E-2</v>
      </c>
      <c r="AR34" s="13">
        <f t="shared" si="77"/>
        <v>5.6106906216237817E-3</v>
      </c>
      <c r="AS34" s="100"/>
      <c r="AT34" s="56"/>
      <c r="AU34" s="57"/>
      <c r="AV34" s="56"/>
      <c r="AW34" s="100"/>
      <c r="AX34" s="2"/>
      <c r="AY34" s="2"/>
      <c r="AZ34" s="2"/>
      <c r="BA34" s="2"/>
      <c r="BB34" s="2"/>
      <c r="BC34" s="2"/>
      <c r="BD34" s="2"/>
      <c r="BE34" s="2"/>
      <c r="BF34" s="2"/>
      <c r="BG34" s="2"/>
      <c r="BH34" s="2"/>
      <c r="BI34" s="2"/>
      <c r="BJ34" s="2"/>
      <c r="BK34" s="2"/>
      <c r="BL34" s="2"/>
    </row>
    <row r="35" spans="1:64">
      <c r="A35" s="14"/>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100"/>
      <c r="AT35" s="56"/>
      <c r="AU35" s="57"/>
      <c r="AV35" s="56"/>
      <c r="AW35" s="100"/>
      <c r="AX35" s="2"/>
      <c r="AY35" s="2"/>
      <c r="AZ35" s="2"/>
      <c r="BA35" s="2"/>
      <c r="BB35" s="2"/>
      <c r="BC35" s="2"/>
      <c r="BD35" s="2"/>
      <c r="BE35" s="2"/>
      <c r="BF35" s="2"/>
      <c r="BG35" s="2"/>
      <c r="BH35" s="2"/>
      <c r="BI35" s="2"/>
      <c r="BJ35" s="2"/>
      <c r="BK35" s="2"/>
      <c r="BL35" s="2"/>
    </row>
    <row r="36" spans="1:64">
      <c r="A36" s="10" t="s">
        <v>1126</v>
      </c>
      <c r="B36" s="16">
        <f t="shared" ref="B36:M36" si="78">B13/(B27)</f>
        <v>254.98357821953329</v>
      </c>
      <c r="C36" s="16">
        <f t="shared" si="78"/>
        <v>268.01322071244948</v>
      </c>
      <c r="D36" s="16">
        <f t="shared" si="78"/>
        <v>303.87278854254424</v>
      </c>
      <c r="E36" s="16">
        <f t="shared" si="78"/>
        <v>313.65973425765458</v>
      </c>
      <c r="F36" s="16">
        <f t="shared" si="78"/>
        <v>304.11728744480922</v>
      </c>
      <c r="G36" s="16">
        <f t="shared" si="78"/>
        <v>305.53052604633302</v>
      </c>
      <c r="H36" s="16">
        <f t="shared" si="78"/>
        <v>288.58549127640032</v>
      </c>
      <c r="I36" s="16">
        <f t="shared" si="78"/>
        <v>292.5930748496786</v>
      </c>
      <c r="J36" s="16">
        <f t="shared" si="78"/>
        <v>300.52615259680334</v>
      </c>
      <c r="K36" s="16">
        <f t="shared" si="78"/>
        <v>324.235507499128</v>
      </c>
      <c r="L36" s="16">
        <f t="shared" si="78"/>
        <v>334.8103371359378</v>
      </c>
      <c r="M36" s="16">
        <f t="shared" si="78"/>
        <v>329.16082755667367</v>
      </c>
      <c r="N36" s="16">
        <f t="shared" ref="N36:AG36" si="79">SUM(N8,N12)/(N27)</f>
        <v>304.37762043592949</v>
      </c>
      <c r="O36" s="16">
        <f t="shared" si="79"/>
        <v>287.97766922540126</v>
      </c>
      <c r="P36" s="16">
        <f t="shared" si="79"/>
        <v>269.78570715042054</v>
      </c>
      <c r="Q36" s="16">
        <f t="shared" si="79"/>
        <v>272.31518008674334</v>
      </c>
      <c r="R36" s="16">
        <f t="shared" si="79"/>
        <v>285.29210865825689</v>
      </c>
      <c r="S36" s="16">
        <f t="shared" si="79"/>
        <v>268.73461843147618</v>
      </c>
      <c r="T36" s="16">
        <f t="shared" si="79"/>
        <v>295.25480663791217</v>
      </c>
      <c r="U36" s="16">
        <f t="shared" si="79"/>
        <v>267.07714194117176</v>
      </c>
      <c r="V36" s="16">
        <f t="shared" si="79"/>
        <v>307.04588174982911</v>
      </c>
      <c r="W36" s="16">
        <f t="shared" si="79"/>
        <v>325.49495042656213</v>
      </c>
      <c r="X36" s="16">
        <f t="shared" si="79"/>
        <v>411.91197212084631</v>
      </c>
      <c r="Y36" s="16">
        <f t="shared" si="79"/>
        <v>491.03225606927469</v>
      </c>
      <c r="Z36" s="16">
        <f t="shared" si="79"/>
        <v>520.68073746034736</v>
      </c>
      <c r="AA36" s="16">
        <f t="shared" si="79"/>
        <v>544.30308675681738</v>
      </c>
      <c r="AB36" s="16">
        <f t="shared" si="79"/>
        <v>614.88609108726689</v>
      </c>
      <c r="AC36" s="16">
        <f t="shared" si="79"/>
        <v>706.50148079936901</v>
      </c>
      <c r="AD36" s="16">
        <f t="shared" si="79"/>
        <v>709.16041116559791</v>
      </c>
      <c r="AE36" s="16">
        <f t="shared" si="79"/>
        <v>663.69979846097465</v>
      </c>
      <c r="AF36" s="16">
        <f t="shared" si="79"/>
        <v>740.46720525811315</v>
      </c>
      <c r="AG36" s="16">
        <f t="shared" si="79"/>
        <v>803.63571656704835</v>
      </c>
      <c r="AH36" s="16">
        <f t="shared" ref="AH36:AM36" si="80">SUM(AH8,AH12)/(AH27)</f>
        <v>801.56477444816676</v>
      </c>
      <c r="AI36" s="16">
        <f t="shared" si="80"/>
        <v>820.71169043509838</v>
      </c>
      <c r="AJ36" s="16">
        <f>SUM(AJ8,AJ12)/(AJ27)</f>
        <v>846.56894957057932</v>
      </c>
      <c r="AK36" s="16">
        <f>SUM(AK8,AK12)/(AK27)</f>
        <v>871.13635975765851</v>
      </c>
      <c r="AL36" s="16">
        <f t="shared" si="80"/>
        <v>869.66362491874497</v>
      </c>
      <c r="AM36" s="16">
        <f t="shared" si="80"/>
        <v>845.08058864123984</v>
      </c>
      <c r="AN36" s="16">
        <f>SUM(AN8,AN12)/(AN27)</f>
        <v>845.12229093649921</v>
      </c>
      <c r="AO36" s="16">
        <f>SUM(AO8,AO12)/(AO27)</f>
        <v>860.19656400398765</v>
      </c>
      <c r="AP36" s="16">
        <f>SUM(AP8,AP12)/(AP27)</f>
        <v>878.198040369105</v>
      </c>
      <c r="AQ36" s="16">
        <f>SUM(AQ8,AQ12)/(AQ27)</f>
        <v>899.0136623504327</v>
      </c>
      <c r="AR36" s="16">
        <f>SUM(AR8,AR12)/(AR27)</f>
        <v>921.84106182515325</v>
      </c>
      <c r="AS36" s="100"/>
      <c r="AT36" s="56">
        <f>((AK36/AF36)^(1/5)-1)*100</f>
        <v>3.3037441532989709</v>
      </c>
      <c r="AU36" s="97" t="s">
        <v>1084</v>
      </c>
      <c r="AV36" s="56">
        <f>((AP36/AK36)^(1/5)-1)*100</f>
        <v>0.16160257052115767</v>
      </c>
      <c r="AW36" s="100" t="s">
        <v>1084</v>
      </c>
      <c r="AX36" s="2"/>
      <c r="AY36" s="2"/>
      <c r="AZ36" s="2"/>
      <c r="BA36" s="2"/>
      <c r="BB36" s="2"/>
      <c r="BC36" s="2"/>
      <c r="BD36" s="2"/>
      <c r="BE36" s="2"/>
      <c r="BF36" s="2"/>
      <c r="BG36" s="2"/>
      <c r="BH36" s="2"/>
      <c r="BI36" s="2"/>
      <c r="BJ36" s="2"/>
      <c r="BK36" s="2"/>
      <c r="BL36" s="2"/>
    </row>
    <row r="37" spans="1:64">
      <c r="A37" s="10" t="s">
        <v>1085</v>
      </c>
      <c r="B37" s="13"/>
      <c r="C37" s="13">
        <f t="shared" ref="C37:P37" si="81">C36/B36-1</f>
        <v>5.1099928018494056E-2</v>
      </c>
      <c r="D37" s="13">
        <f t="shared" si="81"/>
        <v>0.13379775719559883</v>
      </c>
      <c r="E37" s="13">
        <f t="shared" si="81"/>
        <v>3.2207377837453421E-2</v>
      </c>
      <c r="F37" s="13">
        <f t="shared" si="81"/>
        <v>-3.0422925771552034E-2</v>
      </c>
      <c r="G37" s="13">
        <f t="shared" si="81"/>
        <v>4.6470183046738445E-3</v>
      </c>
      <c r="H37" s="13">
        <f t="shared" si="81"/>
        <v>-5.5461020504913527E-2</v>
      </c>
      <c r="I37" s="13">
        <f t="shared" si="81"/>
        <v>1.3886989105214242E-2</v>
      </c>
      <c r="J37" s="13">
        <f t="shared" si="81"/>
        <v>2.7113005839938031E-2</v>
      </c>
      <c r="K37" s="13">
        <f t="shared" si="81"/>
        <v>7.8892817471809096E-2</v>
      </c>
      <c r="L37" s="13">
        <f t="shared" si="81"/>
        <v>3.2614656298364242E-2</v>
      </c>
      <c r="M37" s="13">
        <f t="shared" si="81"/>
        <v>-1.6873760910704361E-2</v>
      </c>
      <c r="N37" s="13">
        <f t="shared" si="81"/>
        <v>-7.5292091421410356E-2</v>
      </c>
      <c r="O37" s="13">
        <f t="shared" si="81"/>
        <v>-5.3880279328816005E-2</v>
      </c>
      <c r="P37" s="13">
        <f t="shared" si="81"/>
        <v>-6.3171433131996801E-2</v>
      </c>
      <c r="Q37" s="13">
        <f t="shared" ref="Q37:AK37" si="82">Q36/P36-1</f>
        <v>9.3758596889363943E-3</v>
      </c>
      <c r="R37" s="13">
        <f t="shared" si="82"/>
        <v>4.7654077041830334E-2</v>
      </c>
      <c r="S37" s="13">
        <f t="shared" si="82"/>
        <v>-5.8036972367204398E-2</v>
      </c>
      <c r="T37" s="13">
        <f>T36/S36-1</f>
        <v>9.8685418206357012E-2</v>
      </c>
      <c r="U37" s="187" t="s">
        <v>971</v>
      </c>
      <c r="V37" s="13">
        <f t="shared" si="82"/>
        <v>0.14965241696895615</v>
      </c>
      <c r="W37" s="13">
        <f t="shared" si="82"/>
        <v>6.0085706317223098E-2</v>
      </c>
      <c r="X37" s="13">
        <f t="shared" si="82"/>
        <v>0.26549420069661434</v>
      </c>
      <c r="Y37" s="13">
        <f t="shared" si="82"/>
        <v>0.19208056406094487</v>
      </c>
      <c r="Z37" s="13">
        <f t="shared" si="82"/>
        <v>6.0379905850604265E-2</v>
      </c>
      <c r="AA37" s="13">
        <f t="shared" si="82"/>
        <v>4.5368202810208702E-2</v>
      </c>
      <c r="AB37" s="13">
        <f t="shared" si="82"/>
        <v>0.12967592146319107</v>
      </c>
      <c r="AC37" s="13">
        <f t="shared" si="82"/>
        <v>0.14899571000232581</v>
      </c>
      <c r="AD37" s="13">
        <f t="shared" si="82"/>
        <v>3.7635170463059531E-3</v>
      </c>
      <c r="AE37" s="13">
        <f t="shared" si="82"/>
        <v>-6.4104837197415998E-2</v>
      </c>
      <c r="AF37" s="13">
        <f t="shared" si="82"/>
        <v>0.11566585823161502</v>
      </c>
      <c r="AG37" s="13">
        <f t="shared" si="82"/>
        <v>8.5308992566275554E-2</v>
      </c>
      <c r="AH37" s="13">
        <f t="shared" si="82"/>
        <v>-2.576966249992263E-3</v>
      </c>
      <c r="AI37" s="13">
        <f t="shared" si="82"/>
        <v>2.3886922925365761E-2</v>
      </c>
      <c r="AJ37" s="13">
        <f t="shared" si="82"/>
        <v>3.1505898401146037E-2</v>
      </c>
      <c r="AK37" s="13">
        <f t="shared" si="82"/>
        <v>2.9019975513560947E-2</v>
      </c>
      <c r="AL37" s="13">
        <f t="shared" ref="AL37:AR37" si="83">AL36/AK36-1</f>
        <v>-1.6905904826693963E-3</v>
      </c>
      <c r="AM37" s="13">
        <f t="shared" si="83"/>
        <v>-2.8267292747586215E-2</v>
      </c>
      <c r="AN37" s="13">
        <f t="shared" si="83"/>
        <v>4.9347122416332212E-5</v>
      </c>
      <c r="AO37" s="13">
        <f t="shared" si="83"/>
        <v>1.7836795016711982E-2</v>
      </c>
      <c r="AP37" s="13">
        <f t="shared" si="83"/>
        <v>2.0927166090184413E-2</v>
      </c>
      <c r="AQ37" s="13">
        <f t="shared" si="83"/>
        <v>2.3702651366175775E-2</v>
      </c>
      <c r="AR37" s="13">
        <f t="shared" si="83"/>
        <v>2.5391604633726361E-2</v>
      </c>
      <c r="AS37" s="100"/>
      <c r="AT37" s="56"/>
      <c r="AU37" s="57"/>
      <c r="AV37" s="56"/>
      <c r="AW37" s="100"/>
      <c r="AX37" s="2"/>
      <c r="AY37" s="2"/>
      <c r="AZ37" s="2"/>
      <c r="BA37" s="2"/>
      <c r="BB37" s="2"/>
      <c r="BC37" s="2"/>
      <c r="BD37" s="2"/>
      <c r="BE37" s="2"/>
      <c r="BF37" s="2"/>
      <c r="BG37" s="2"/>
      <c r="BH37" s="2"/>
      <c r="BI37" s="2"/>
      <c r="BJ37" s="2"/>
      <c r="BK37" s="2"/>
      <c r="BL37" s="2"/>
    </row>
    <row r="38" spans="1:64" ht="13.5" customHeight="1">
      <c r="A38" s="14"/>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100"/>
      <c r="AT38" s="56"/>
      <c r="AU38" s="57"/>
      <c r="AV38" s="56"/>
      <c r="AW38" s="100"/>
      <c r="AX38" s="2"/>
      <c r="AY38" s="2"/>
      <c r="AZ38" s="2"/>
      <c r="BA38" s="2"/>
      <c r="BB38" s="2"/>
      <c r="BC38" s="2"/>
      <c r="BD38" s="2"/>
      <c r="BE38" s="2"/>
      <c r="BF38" s="2"/>
      <c r="BG38" s="2"/>
      <c r="BH38" s="2"/>
      <c r="BI38" s="2"/>
      <c r="BJ38" s="2"/>
      <c r="BK38" s="2"/>
      <c r="BL38" s="2"/>
    </row>
    <row r="39" spans="1:64">
      <c r="A39" s="10" t="s">
        <v>823</v>
      </c>
      <c r="B39" s="15"/>
      <c r="C39" s="15"/>
      <c r="D39" s="15"/>
      <c r="E39" s="15"/>
      <c r="F39" s="15"/>
      <c r="G39" s="15"/>
      <c r="H39" s="15"/>
      <c r="I39" s="15"/>
      <c r="J39" s="15"/>
      <c r="K39" s="471">
        <v>0.09</v>
      </c>
      <c r="L39" s="462">
        <f>'qtrP&amp;L'!H14/100</f>
        <v>0.03</v>
      </c>
      <c r="M39" s="462">
        <f>'qtrP&amp;L'!L14/100</f>
        <v>0.03</v>
      </c>
      <c r="N39" s="462">
        <f>'qtrP&amp;L'!P14/100</f>
        <v>0.02</v>
      </c>
      <c r="O39" s="462">
        <f>'qtrP&amp;L'!T14/100</f>
        <v>-0.01</v>
      </c>
      <c r="P39" s="462">
        <f>'qtrP&amp;L'!X14/100</f>
        <v>-0.03</v>
      </c>
      <c r="Q39" s="462">
        <f>'qtrP&amp;L'!AB14/100</f>
        <v>-0.02</v>
      </c>
      <c r="R39" s="443">
        <f>'qtrP&amp;L'!AF14/100</f>
        <v>0.03</v>
      </c>
      <c r="S39" s="443">
        <f>'qtrP&amp;L'!AJ14/100</f>
        <v>0</v>
      </c>
      <c r="T39" s="443">
        <f>'qtrP&amp;L'!AN14/100</f>
        <v>0.06</v>
      </c>
      <c r="U39" s="443">
        <f>'qtrP&amp;L'!AR14/100</f>
        <v>0.08</v>
      </c>
      <c r="V39" s="443">
        <f>'qtrP&amp;L'!AV14/100</f>
        <v>0.05</v>
      </c>
      <c r="W39" s="443">
        <f>'qtrP&amp;L'!AZ14/100</f>
        <v>-0.03</v>
      </c>
      <c r="X39" s="443">
        <f>qtrSales!F107/100</f>
        <v>0.03</v>
      </c>
      <c r="Y39" s="443">
        <f>'qtrP&amp;L'!$BH$14/100</f>
        <v>0.04</v>
      </c>
      <c r="Z39" s="443">
        <f>'qtrP&amp;L'!BL14/100</f>
        <v>0.04</v>
      </c>
      <c r="AA39" s="443">
        <f>'qtrP&amp;L'!BT14/100</f>
        <v>-0.01</v>
      </c>
      <c r="AB39" s="443">
        <f>'qtrP&amp;L'!BX14/100</f>
        <v>7.0000000000000007E-2</v>
      </c>
      <c r="AC39" s="443">
        <f>'qtrP&amp;L'!CB14/100</f>
        <v>-0.02</v>
      </c>
      <c r="AD39" s="443">
        <f>'qtrP&amp;L'!CF14/100</f>
        <v>-0.09</v>
      </c>
      <c r="AE39" s="443">
        <f>'qtrP&amp;L'!$CJ$14*0.01</f>
        <v>-0.04</v>
      </c>
      <c r="AF39" s="443">
        <f>'qtrP&amp;L'!$CN$14*0.01</f>
        <v>0.09</v>
      </c>
      <c r="AG39" s="443">
        <f>'qtrP&amp;L'!$CR$14*0.01</f>
        <v>9.5188161934013527E-2</v>
      </c>
      <c r="AH39" s="443">
        <f>'qtrP&amp;L'!$CV$14*0.01</f>
        <v>0.06</v>
      </c>
      <c r="AI39" s="443">
        <f>'qtrP&amp;L'!$CZ$14*0.01</f>
        <v>0.02</v>
      </c>
      <c r="AJ39" s="462">
        <f>'qtrP&amp;L'!DD14/100</f>
        <v>0.04</v>
      </c>
      <c r="AK39" s="462">
        <f>'qtrP&amp;L'!DH14/100</f>
        <v>0.05</v>
      </c>
      <c r="AL39" s="462">
        <f>'qtrP&amp;L'!DL14/100</f>
        <v>2.0243884366354766E-2</v>
      </c>
      <c r="AM39" s="462">
        <f>'qtrP&amp;L'!DP14/100</f>
        <v>-0.03</v>
      </c>
      <c r="AN39" s="462">
        <f>'qtrP&amp;L'!DT14/100</f>
        <v>2.1757017117429368E-2</v>
      </c>
      <c r="AO39" s="462">
        <f>+(AO90*AO59/(AO59+AO113+AO11))+(AO138*AO113/(AO59+AO113+AO11))+(AO64*AO63/(AO59+AO113+AO11))</f>
        <v>3.0805458257625769E-2</v>
      </c>
      <c r="AP39" s="462">
        <f>+(AP90*AP59/(AP59+AP113+AP11))+(AP138*AP113/(AP59+AP113+AP11))+(AP64*AP63/(AP59+AP113+AP11))</f>
        <v>3.1595720783191367E-2</v>
      </c>
      <c r="AQ39" s="462">
        <f>+(AQ90*AQ59/(AQ59+AQ113+AQ11))+(AQ138*AQ113/(AQ59+AQ113+AQ11))+(AQ64*AQ63/(AQ59+AQ113+AQ11))</f>
        <v>2.8918741129678141E-2</v>
      </c>
      <c r="AR39" s="462">
        <f>+(AR90*AR59/(AR59+AR113+AR11))+(AR138*AR113/(AR59+AR113+AR11))+(AR64*AR63/(AR59+AR113+AR11))</f>
        <v>2.5886897902520134E-2</v>
      </c>
      <c r="AS39" s="1122"/>
      <c r="AT39" s="56"/>
      <c r="AU39" s="57"/>
      <c r="AV39" s="56"/>
      <c r="AW39" s="100"/>
      <c r="AX39" s="2"/>
      <c r="AY39" s="2"/>
      <c r="AZ39" s="2"/>
      <c r="BA39" s="2"/>
      <c r="BB39" s="2"/>
      <c r="BC39" s="2"/>
      <c r="BD39" s="2"/>
      <c r="BE39" s="2"/>
      <c r="BF39" s="2"/>
      <c r="BG39" s="2"/>
      <c r="BH39" s="2"/>
      <c r="BI39" s="2"/>
      <c r="BJ39" s="2"/>
      <c r="BK39" s="2"/>
      <c r="BL39" s="2"/>
    </row>
    <row r="40" spans="1:64" ht="13.5" customHeight="1">
      <c r="A40" s="14"/>
      <c r="B40" s="2"/>
      <c r="C40" s="2"/>
      <c r="D40" s="2"/>
      <c r="E40" s="2"/>
      <c r="F40" s="2"/>
      <c r="G40" s="2"/>
      <c r="H40" s="2"/>
      <c r="I40" s="2"/>
      <c r="J40" s="2"/>
      <c r="K40" s="2"/>
      <c r="L40" s="2"/>
      <c r="M40" s="2"/>
      <c r="N40" s="2"/>
      <c r="O40" s="2"/>
      <c r="P40" s="2"/>
      <c r="Q40" s="2"/>
      <c r="R40" s="2"/>
      <c r="S40" s="2"/>
      <c r="T40" s="2"/>
      <c r="U40" s="2"/>
      <c r="V40" s="2"/>
      <c r="W40" s="2"/>
      <c r="X40" s="2"/>
      <c r="Y40" s="2"/>
      <c r="Z40" s="492"/>
      <c r="AA40" s="2"/>
      <c r="AB40" s="2"/>
      <c r="AC40" s="2"/>
      <c r="AD40" s="2"/>
      <c r="AE40" s="2"/>
      <c r="AF40" s="2"/>
      <c r="AG40" s="2"/>
      <c r="AH40" s="2"/>
      <c r="AI40" s="2"/>
      <c r="AJ40" s="2"/>
      <c r="AK40" s="2"/>
      <c r="AL40" s="2"/>
      <c r="AM40" s="2"/>
      <c r="AN40" s="2"/>
      <c r="AO40" s="2"/>
      <c r="AP40" s="2"/>
      <c r="AQ40" s="2"/>
      <c r="AR40" s="2"/>
      <c r="AS40" s="100"/>
      <c r="AT40" s="56"/>
      <c r="AU40" s="57"/>
      <c r="AV40" s="56"/>
      <c r="AW40" s="100"/>
      <c r="AX40" s="2"/>
      <c r="AY40" s="2"/>
      <c r="AZ40" s="2"/>
      <c r="BA40" s="2"/>
      <c r="BB40" s="2"/>
      <c r="BC40" s="2"/>
      <c r="BD40" s="2"/>
      <c r="BE40" s="2"/>
      <c r="BF40" s="2"/>
      <c r="BG40" s="2"/>
      <c r="BH40" s="2"/>
      <c r="BI40" s="2"/>
      <c r="BJ40" s="2"/>
      <c r="BK40" s="2"/>
      <c r="BL40" s="2"/>
    </row>
    <row r="41" spans="1:64">
      <c r="A41" s="10" t="s">
        <v>824</v>
      </c>
      <c r="B41" s="15"/>
      <c r="C41" s="15"/>
      <c r="D41" s="15"/>
      <c r="E41" s="15"/>
      <c r="F41" s="15"/>
      <c r="G41" s="15"/>
      <c r="H41" s="15"/>
      <c r="I41" s="15"/>
      <c r="J41" s="15"/>
      <c r="K41" s="13"/>
      <c r="L41" s="13"/>
      <c r="M41" s="13"/>
      <c r="N41" s="13"/>
      <c r="O41" s="13" t="e">
        <f>(O9-O39)/O28</f>
        <v>#DIV/0!</v>
      </c>
      <c r="P41" s="13">
        <f t="shared" ref="P41:AC41" si="84">(P9-P39)/P28</f>
        <v>1.3267722341839872</v>
      </c>
      <c r="Q41" s="13">
        <f t="shared" si="84"/>
        <v>1.8388585868895784</v>
      </c>
      <c r="R41" s="13">
        <f t="shared" si="84"/>
        <v>1.3725154215642075</v>
      </c>
      <c r="S41" s="13">
        <f t="shared" si="84"/>
        <v>3.0707797373311019</v>
      </c>
      <c r="T41" s="13">
        <f t="shared" si="84"/>
        <v>-0.59071831008957132</v>
      </c>
      <c r="U41" s="13">
        <f t="shared" si="84"/>
        <v>-7.8447952616746072E-2</v>
      </c>
      <c r="V41" s="13">
        <f t="shared" si="84"/>
        <v>-0.7984096220623913</v>
      </c>
      <c r="W41" s="13">
        <f t="shared" si="84"/>
        <v>-0.11818363136128313</v>
      </c>
      <c r="X41" s="13">
        <f>(X9-X39)/X28</f>
        <v>-0.11326157930742181</v>
      </c>
      <c r="Y41" s="13">
        <f t="shared" si="84"/>
        <v>-3.4683402898325215E-2</v>
      </c>
      <c r="Z41" s="13">
        <f t="shared" si="84"/>
        <v>-0.18424419002295231</v>
      </c>
      <c r="AA41" s="13">
        <f>(AA9-AA39)/AA28</f>
        <v>-0.88207800362780864</v>
      </c>
      <c r="AB41" s="13">
        <f t="shared" si="84"/>
        <v>8.243264036637429</v>
      </c>
      <c r="AC41" s="13">
        <f t="shared" si="84"/>
        <v>-8.2798418334833673E-2</v>
      </c>
      <c r="AD41" s="13">
        <f t="shared" ref="AD41:AI41" si="85">(AD9-AD39)/AD28</f>
        <v>-0.31887212113991825</v>
      </c>
      <c r="AE41" s="13">
        <f t="shared" si="85"/>
        <v>0.87431030117500941</v>
      </c>
      <c r="AF41" s="13">
        <f t="shared" si="85"/>
        <v>6.0971826435342615</v>
      </c>
      <c r="AG41" s="15">
        <f t="shared" si="85"/>
        <v>34.703035129882458</v>
      </c>
      <c r="AH41" s="15">
        <f t="shared" si="85"/>
        <v>-13.188741480054469</v>
      </c>
      <c r="AI41" s="13">
        <f t="shared" si="85"/>
        <v>1.1672210272094929</v>
      </c>
      <c r="AJ41" s="13">
        <f t="shared" ref="AJ41:AO41" si="86">(AJ9-AJ39)/AJ28</f>
        <v>0.84757156015040247</v>
      </c>
      <c r="AK41" s="13">
        <f t="shared" si="86"/>
        <v>0.67349470897497821</v>
      </c>
      <c r="AL41" s="13">
        <f>(AL9-AL39)/AL28</f>
        <v>0.43229077503752594</v>
      </c>
      <c r="AM41" s="13">
        <f t="shared" si="86"/>
        <v>0.80749284468471894</v>
      </c>
      <c r="AN41" s="13">
        <f t="shared" si="86"/>
        <v>-0.2051927346357896</v>
      </c>
      <c r="AO41" s="13">
        <f t="shared" si="86"/>
        <v>-7.6720655238990285E-2</v>
      </c>
      <c r="AP41" s="13">
        <f>(AP9-AP39)/AP28</f>
        <v>3.0466509699820614E-2</v>
      </c>
      <c r="AQ41" s="13">
        <f>(AQ9-AQ39)/AQ28</f>
        <v>0.40135227814437074</v>
      </c>
      <c r="AR41" s="13">
        <f>(AR9-AR39)/AR28</f>
        <v>1.052694514762232</v>
      </c>
      <c r="AS41" s="100"/>
      <c r="AT41" s="56"/>
      <c r="AU41" s="57"/>
      <c r="AV41" s="56"/>
      <c r="AW41" s="100"/>
      <c r="AX41" s="2"/>
      <c r="AY41" s="2"/>
      <c r="AZ41" s="2"/>
      <c r="BA41" s="2"/>
      <c r="BB41" s="2"/>
      <c r="BC41" s="2"/>
      <c r="BD41" s="2"/>
      <c r="BE41" s="2"/>
      <c r="BF41" s="2"/>
      <c r="BG41" s="2"/>
      <c r="BH41" s="2"/>
      <c r="BI41" s="2"/>
      <c r="BJ41" s="2"/>
      <c r="BK41" s="2"/>
      <c r="BL41" s="2"/>
    </row>
    <row r="42" spans="1:64" ht="13.5" customHeight="1">
      <c r="A42" s="14"/>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100"/>
      <c r="AT42" s="56"/>
      <c r="AU42" s="57"/>
      <c r="AV42" s="56"/>
      <c r="AW42" s="100"/>
      <c r="AX42" s="2"/>
      <c r="AY42" s="2"/>
      <c r="AZ42" s="2"/>
      <c r="BA42" s="2"/>
      <c r="BB42" s="2"/>
      <c r="BC42" s="2"/>
      <c r="BD42" s="2"/>
      <c r="BE42" s="2"/>
      <c r="BF42" s="2"/>
      <c r="BG42" s="2"/>
      <c r="BH42" s="2"/>
      <c r="BI42" s="2"/>
      <c r="BJ42" s="2"/>
      <c r="BK42" s="2"/>
      <c r="BL42" s="2"/>
    </row>
    <row r="43" spans="1:64" outlineLevel="1">
      <c r="A43" s="14" t="s">
        <v>825</v>
      </c>
      <c r="B43" s="51">
        <v>23.190999999999999</v>
      </c>
      <c r="C43" s="51">
        <v>38.386000000000003</v>
      </c>
      <c r="D43" s="51">
        <v>70.942999999999998</v>
      </c>
      <c r="E43" s="51">
        <v>135.37700000000001</v>
      </c>
      <c r="F43" s="51">
        <v>173.102</v>
      </c>
      <c r="G43" s="51">
        <v>276.21199999999999</v>
      </c>
      <c r="H43" s="51">
        <v>438.22899999999998</v>
      </c>
      <c r="I43" s="51">
        <v>408.87200000000001</v>
      </c>
      <c r="J43" s="51">
        <v>467.41800000000001</v>
      </c>
      <c r="K43" s="51">
        <f>+'qtrP&amp;L'!D64</f>
        <v>625.25400000000036</v>
      </c>
      <c r="L43" s="6">
        <f>'qtrP&amp;L'!F64</f>
        <v>697.53699999999969</v>
      </c>
      <c r="M43" s="6">
        <f>'qtrP&amp;L'!J64</f>
        <v>712.69999999999948</v>
      </c>
      <c r="N43" s="6">
        <f>'qtrP&amp;L'!N64</f>
        <v>788.69800000000089</v>
      </c>
      <c r="O43" s="6">
        <f>'qtrP&amp;L'!R64</f>
        <v>698.93900000000053</v>
      </c>
      <c r="P43" s="6">
        <f>'qtrP&amp;L'!V64</f>
        <v>798.98900000000049</v>
      </c>
      <c r="Q43" s="6">
        <f>'qtrP&amp;L'!Z64</f>
        <v>612.0350000000002</v>
      </c>
      <c r="R43" s="6">
        <f>'qtrP&amp;L'!AD64</f>
        <v>648.06700000000012</v>
      </c>
      <c r="S43" s="6">
        <f>'qtrP&amp;L'!AH64</f>
        <v>599.29200000000048</v>
      </c>
      <c r="T43" s="6">
        <f>'qtrP&amp;L'!AL64</f>
        <v>642.80799999999988</v>
      </c>
      <c r="U43" s="6">
        <f>'qtrP&amp;L'!AP64</f>
        <v>772.95499999999993</v>
      </c>
      <c r="V43" s="6">
        <f>'qtrP&amp;L'!AT64</f>
        <v>812.18199999999979</v>
      </c>
      <c r="W43" s="6">
        <f>'qtrP&amp;L'!AX64</f>
        <v>688.00800000000027</v>
      </c>
      <c r="X43" s="6">
        <f>'qtrP&amp;L'!BB64</f>
        <v>871.73399999999992</v>
      </c>
      <c r="Y43" s="6">
        <f>+'yrP&amp;L'!O37</f>
        <v>963.08199999999988</v>
      </c>
      <c r="Z43" s="6">
        <f>+'yrP&amp;L'!P37</f>
        <v>1026.808</v>
      </c>
      <c r="AA43" s="6">
        <f>+'yrP&amp;L'!Q37</f>
        <v>985.78099999999995</v>
      </c>
      <c r="AB43" s="6">
        <f>+'yrP&amp;L'!R37</f>
        <v>1176.0849999999987</v>
      </c>
      <c r="AC43" s="6">
        <f>+'yrP&amp;L'!S37</f>
        <v>861.04500000000019</v>
      </c>
      <c r="AD43" s="6">
        <f>+'yrP&amp;L'!T37</f>
        <v>717.46900000000028</v>
      </c>
      <c r="AE43" s="6">
        <f>+'yrP&amp;L'!U37</f>
        <v>858.28400000000124</v>
      </c>
      <c r="AF43" s="6">
        <f>+'yrP&amp;L'!V37</f>
        <v>1284.0330000000008</v>
      </c>
      <c r="AG43" s="6">
        <f>+'yrP&amp;L'!W37</f>
        <v>1546.4249999999993</v>
      </c>
      <c r="AH43" s="6">
        <f>+'yrP&amp;L'!X37</f>
        <v>1707.3260000000023</v>
      </c>
      <c r="AI43" s="6">
        <f>+'yrP&amp;L'!Y37</f>
        <v>1743.4869999999974</v>
      </c>
      <c r="AJ43" s="16">
        <f>+'yrP&amp;L'!Z37</f>
        <v>1953.1020000000017</v>
      </c>
      <c r="AK43" s="6">
        <f>+'yrP&amp;L'!AA37</f>
        <v>2191.5069999999987</v>
      </c>
      <c r="AL43" s="6">
        <f>+'yrP&amp;L'!AB37</f>
        <v>2037.4020000000012</v>
      </c>
      <c r="AM43" s="6">
        <f>+'yrP&amp;L'!AC37</f>
        <v>1728.2610000000009</v>
      </c>
      <c r="AN43" s="6">
        <f>+'yrP&amp;L'!AD37</f>
        <v>1620.9995749999216</v>
      </c>
      <c r="AO43" s="6">
        <f>+'yrP&amp;L'!AE37</f>
        <v>1714.1677998377486</v>
      </c>
      <c r="AP43" s="6">
        <f>+'yrP&amp;L'!AF37</f>
        <v>1808.5919669144864</v>
      </c>
      <c r="AQ43" s="6">
        <f>+'yrP&amp;L'!AG37</f>
        <v>1882.442036437983</v>
      </c>
      <c r="AR43" s="6">
        <f>+'yrP&amp;L'!AI37</f>
        <v>0</v>
      </c>
      <c r="AS43" s="1123"/>
      <c r="AT43" s="56">
        <f>((AK43/AF43)^(1/5)-1)*100</f>
        <v>11.284155740690727</v>
      </c>
      <c r="AU43" s="97" t="s">
        <v>1084</v>
      </c>
      <c r="AV43" s="56">
        <f>((AP43/AK43)^(1/5)-1)*100</f>
        <v>-3.76799220211258</v>
      </c>
      <c r="AW43" s="100" t="s">
        <v>1084</v>
      </c>
      <c r="AX43" s="56"/>
      <c r="AY43" s="2"/>
      <c r="AZ43" s="2"/>
      <c r="BA43" s="2"/>
      <c r="BB43" s="2"/>
      <c r="BC43" s="2"/>
      <c r="BD43" s="2"/>
      <c r="BE43" s="2"/>
      <c r="BF43" s="2"/>
      <c r="BG43" s="2"/>
      <c r="BH43" s="2"/>
      <c r="BI43" s="2"/>
      <c r="BJ43" s="2"/>
      <c r="BK43" s="2"/>
      <c r="BL43" s="2"/>
    </row>
    <row r="44" spans="1:64" outlineLevel="1">
      <c r="A44" s="17" t="s">
        <v>826</v>
      </c>
      <c r="B44" s="18">
        <f t="shared" ref="B44:AK44" si="87">B43/B13</f>
        <v>7.8609295767009243E-2</v>
      </c>
      <c r="C44" s="18">
        <f t="shared" si="87"/>
        <v>0.10519594409427242</v>
      </c>
      <c r="D44" s="18">
        <f t="shared" si="87"/>
        <v>9.8341544287864874E-2</v>
      </c>
      <c r="E44" s="18">
        <f t="shared" si="87"/>
        <v>0.12466916538507583</v>
      </c>
      <c r="F44" s="18">
        <f t="shared" si="87"/>
        <v>0.12887917363420179</v>
      </c>
      <c r="G44" s="18">
        <f t="shared" si="87"/>
        <v>0.11570979133764257</v>
      </c>
      <c r="H44" s="18">
        <f t="shared" si="87"/>
        <v>0.13944364965621875</v>
      </c>
      <c r="I44" s="18">
        <f t="shared" si="87"/>
        <v>0.11589536219568299</v>
      </c>
      <c r="J44" s="18">
        <f t="shared" si="87"/>
        <v>0.11482279672897827</v>
      </c>
      <c r="K44" s="18">
        <f t="shared" si="87"/>
        <v>0.13452351548521968</v>
      </c>
      <c r="L44" s="18">
        <f t="shared" si="87"/>
        <v>0.13277544589720883</v>
      </c>
      <c r="M44" s="18">
        <f t="shared" si="87"/>
        <v>0.11590091618153717</v>
      </c>
      <c r="N44" s="18">
        <f t="shared" si="87"/>
        <v>0.11357493977791282</v>
      </c>
      <c r="O44" s="18">
        <f t="shared" si="87"/>
        <v>9.6470739899915711E-2</v>
      </c>
      <c r="P44" s="18">
        <f t="shared" si="87"/>
        <v>0.10913969417516581</v>
      </c>
      <c r="Q44" s="18">
        <f t="shared" si="87"/>
        <v>7.7655254999817958E-2</v>
      </c>
      <c r="R44" s="18">
        <f t="shared" si="87"/>
        <v>7.4966184838939451E-2</v>
      </c>
      <c r="S44" s="18">
        <f t="shared" si="87"/>
        <v>7.1627940887335428E-2</v>
      </c>
      <c r="T44" s="18">
        <f t="shared" si="87"/>
        <v>7.2743971904970922E-2</v>
      </c>
      <c r="U44" s="18">
        <f t="shared" si="87"/>
        <v>0.10142919829788484</v>
      </c>
      <c r="V44" s="18">
        <f t="shared" si="87"/>
        <v>9.9657008851657555E-2</v>
      </c>
      <c r="W44" s="18">
        <f t="shared" si="87"/>
        <v>8.678824532481072E-2</v>
      </c>
      <c r="X44" s="18">
        <f t="shared" si="87"/>
        <v>0.10322909618321839</v>
      </c>
      <c r="Y44" s="18">
        <f t="shared" si="87"/>
        <v>0.10779854380260956</v>
      </c>
      <c r="Z44" s="18">
        <f t="shared" si="87"/>
        <v>0.10913838741742408</v>
      </c>
      <c r="AA44" s="18">
        <f t="shared" si="87"/>
        <v>0.1016377206317208</v>
      </c>
      <c r="AB44" s="18">
        <f t="shared" si="87"/>
        <v>0.11021710920104826</v>
      </c>
      <c r="AC44" s="18">
        <f t="shared" si="87"/>
        <v>8.3952938805164537E-2</v>
      </c>
      <c r="AD44" s="18">
        <f t="shared" si="87"/>
        <v>7.9342017798372355E-2</v>
      </c>
      <c r="AE44" s="18">
        <f t="shared" si="87"/>
        <v>9.9425342547715762E-2</v>
      </c>
      <c r="AF44" s="18">
        <f t="shared" si="87"/>
        <v>0.13356494397281843</v>
      </c>
      <c r="AG44" s="18">
        <f t="shared" si="87"/>
        <v>0.14920988736881138</v>
      </c>
      <c r="AH44" s="18">
        <f t="shared" si="87"/>
        <v>0.1632453207162837</v>
      </c>
      <c r="AI44" s="18">
        <f t="shared" si="87"/>
        <v>0.16183540821766118</v>
      </c>
      <c r="AJ44" s="18">
        <f t="shared" si="87"/>
        <v>0.17051613139794985</v>
      </c>
      <c r="AK44" s="18">
        <f t="shared" si="87"/>
        <v>0.18031475953254392</v>
      </c>
      <c r="AL44" s="18">
        <f t="shared" ref="AL44:AQ44" si="88">AL43/AL13</f>
        <v>0.16203109524292003</v>
      </c>
      <c r="AM44" s="18">
        <f t="shared" si="88"/>
        <v>0.13681280944473795</v>
      </c>
      <c r="AN44" s="18">
        <f t="shared" si="88"/>
        <v>0.12330582560633295</v>
      </c>
      <c r="AO44" s="18">
        <f t="shared" si="88"/>
        <v>0.12461764569604557</v>
      </c>
      <c r="AP44" s="18">
        <f t="shared" si="88"/>
        <v>0.12555867674082036</v>
      </c>
      <c r="AQ44" s="18">
        <f t="shared" si="88"/>
        <v>0.12500414064816501</v>
      </c>
      <c r="AR44" s="18">
        <f t="shared" ref="AR44" si="89">AR43/AR13</f>
        <v>0</v>
      </c>
      <c r="AS44" s="100"/>
      <c r="AT44" s="57"/>
      <c r="AU44" s="57"/>
      <c r="AV44" s="56"/>
      <c r="AW44" s="100"/>
      <c r="AX44" s="2"/>
      <c r="AY44" s="2"/>
      <c r="AZ44" s="2"/>
      <c r="BA44" s="2"/>
      <c r="BB44" s="2"/>
      <c r="BC44" s="2"/>
      <c r="BD44" s="2"/>
      <c r="BE44" s="2"/>
      <c r="BF44" s="2"/>
      <c r="BG44" s="2"/>
      <c r="BH44" s="2"/>
      <c r="BI44" s="2"/>
      <c r="BJ44" s="2"/>
      <c r="BK44" s="2"/>
      <c r="BL44" s="2"/>
    </row>
    <row r="45" spans="1:64">
      <c r="AS45" s="537"/>
      <c r="AT45" s="139"/>
      <c r="AU45" s="139"/>
      <c r="AV45" s="56"/>
      <c r="AW45" s="537"/>
    </row>
    <row r="46" spans="1:64">
      <c r="A46" s="14" t="s">
        <v>1107</v>
      </c>
      <c r="B46" s="475">
        <f>+B30/'store&amp;sf'!$AR$373</f>
        <v>1.5399999999999998</v>
      </c>
      <c r="C46" s="475">
        <f>+C30/'store&amp;sf'!$AR$373</f>
        <v>1.86375</v>
      </c>
      <c r="D46" s="475">
        <f>+D30/'store&amp;sf'!$AR$373</f>
        <v>4.07125</v>
      </c>
      <c r="E46" s="475">
        <f>+E30/'store&amp;sf'!$AR$373</f>
        <v>4.5837499999999993</v>
      </c>
      <c r="F46" s="475">
        <f>+F30/'store&amp;sf'!$AR$373</f>
        <v>6.4575000000000005</v>
      </c>
      <c r="G46" s="475">
        <f>+G30/'store&amp;sf'!$AR$373</f>
        <v>13.075000000000001</v>
      </c>
      <c r="H46" s="475">
        <f>+H30/'store&amp;sf'!$AR$373</f>
        <v>14.15</v>
      </c>
      <c r="I46" s="475">
        <f>+I30/'store&amp;sf'!$AR$373</f>
        <v>15.993749999999999</v>
      </c>
      <c r="J46" s="475">
        <f>+J30/'store&amp;sf'!$AR$373</f>
        <v>17.869999999999997</v>
      </c>
      <c r="K46" s="475">
        <f>+'store&amp;sf'!AQ378</f>
        <v>17.967500000000001</v>
      </c>
      <c r="L46" s="475">
        <f>+'store&amp;sf'!AQ384</f>
        <v>21.259999999999998</v>
      </c>
      <c r="M46" s="475">
        <f>+'store&amp;sf'!AQ390</f>
        <v>25.443749999999998</v>
      </c>
      <c r="N46" s="475">
        <f>+'store&amp;sf'!AQ396</f>
        <v>28.578749999999999</v>
      </c>
      <c r="O46" s="475">
        <f>+'store&amp;sf'!AQ402</f>
        <v>30.532499999999999</v>
      </c>
      <c r="P46" s="475">
        <f>+'store&amp;sf'!AQ408</f>
        <v>32.033749999999998</v>
      </c>
      <c r="Q46" s="475">
        <f>+'store&amp;sf'!AQ414</f>
        <v>34.253750000000004</v>
      </c>
      <c r="R46" s="475">
        <f>+'store&amp;sf'!AQ420</f>
        <v>35.506249999999994</v>
      </c>
      <c r="S46" s="475">
        <f>+'store&amp;sf'!AQ426</f>
        <v>35.499999999999993</v>
      </c>
      <c r="T46" s="475">
        <f>+'store&amp;sf'!AQ432</f>
        <v>32.894999999999996</v>
      </c>
      <c r="U46" s="475">
        <f>+'store&amp;sf'!AQ438</f>
        <v>29.49</v>
      </c>
      <c r="V46" s="475">
        <f>+'store&amp;sf'!AQ444</f>
        <v>29.029999999999998</v>
      </c>
      <c r="W46" s="475">
        <f>+'store&amp;sf'!AQ450</f>
        <v>25.182499999999997</v>
      </c>
      <c r="X46" s="236">
        <f>+'store&amp;sf'!AQ456</f>
        <v>20.371249999999996</v>
      </c>
      <c r="Y46" s="475">
        <f>+'store&amp;sf'!AQ462</f>
        <v>20.047499999999999</v>
      </c>
      <c r="Z46" s="475">
        <f>+Z30/'store&amp;sf'!$AR$373</f>
        <v>19.751249999999999</v>
      </c>
      <c r="AA46" s="475">
        <f>+AA30/'store&amp;sf'!$AR$373</f>
        <v>19.165000000000003</v>
      </c>
      <c r="AB46" s="475">
        <f>+AB30/'store&amp;sf'!$AR$373</f>
        <v>18.463750000000001</v>
      </c>
      <c r="AC46" s="475">
        <f>+AC30/'store&amp;sf'!$AR$373</f>
        <v>12.887499999999999</v>
      </c>
      <c r="AD46" s="475">
        <f>+AD30/'store&amp;sf'!$AR$373</f>
        <v>13.622499999999999</v>
      </c>
      <c r="AE46" s="475">
        <f>+AE30/'store&amp;sf'!$AR$373</f>
        <v>13.667499999999999</v>
      </c>
      <c r="AF46" s="475">
        <f>+AF30/'store&amp;sf'!$AR$373</f>
        <v>13.718749999999998</v>
      </c>
      <c r="AG46" s="475">
        <f>+AG30/'store&amp;sf'!$AR$373</f>
        <v>13.6775</v>
      </c>
      <c r="AH46" s="475">
        <f>+AH30/'store&amp;sf'!$AR$373</f>
        <v>13.561249999999999</v>
      </c>
      <c r="AI46" s="475">
        <f>+AI30/'store&amp;sf'!$AR$373</f>
        <v>13.96125</v>
      </c>
      <c r="AJ46" s="1162">
        <f>+AJ30/'store&amp;sf'!$AR$373</f>
        <v>14.419999999999998</v>
      </c>
      <c r="AK46" s="475">
        <f>+AK30/'store&amp;sf'!$AR$373</f>
        <v>14.877499999999998</v>
      </c>
      <c r="AL46" s="475">
        <f>+AL30/'store&amp;sf'!$AR$373</f>
        <v>15.50525</v>
      </c>
      <c r="AM46" s="475">
        <f>+AM30/'store&amp;sf'!$AR$373</f>
        <v>15.916478124999998</v>
      </c>
      <c r="AN46" s="475">
        <f>+AN30/'store&amp;sf'!$AR$373</f>
        <v>16.039178807533183</v>
      </c>
      <c r="AO46" s="475">
        <f>+AO30/'store&amp;sf'!$AR$373</f>
        <v>16.311347119558182</v>
      </c>
      <c r="AP46" s="475">
        <f>+AP30/'store&amp;sf'!$AR$373</f>
        <v>16.366103735845684</v>
      </c>
      <c r="AQ46" s="475">
        <f>+AQ30/'store&amp;sf'!$AR$373</f>
        <v>16.551103735845686</v>
      </c>
      <c r="AR46" s="475">
        <f>+AR30/'store&amp;sf'!$AR$373</f>
        <v>16.561298148792563</v>
      </c>
      <c r="AS46" s="100"/>
      <c r="AT46" s="57"/>
      <c r="AU46" s="57"/>
      <c r="AV46" s="56">
        <f>((AP46/AK46)^(1/5)-1)*100</f>
        <v>1.9255510581731805</v>
      </c>
      <c r="AW46" s="100" t="s">
        <v>1084</v>
      </c>
      <c r="AX46" s="2"/>
      <c r="AY46" s="2"/>
      <c r="AZ46" s="2"/>
      <c r="BA46" s="2"/>
      <c r="BB46" s="2"/>
      <c r="BC46" s="2"/>
      <c r="BD46" s="2"/>
      <c r="BE46" s="2"/>
      <c r="BF46" s="2"/>
      <c r="BG46" s="2"/>
      <c r="BH46" s="2"/>
      <c r="BI46" s="2"/>
      <c r="BJ46" s="2"/>
      <c r="BK46" s="2"/>
      <c r="BL46" s="2"/>
    </row>
    <row r="47" spans="1:64">
      <c r="A47" s="14" t="s">
        <v>822</v>
      </c>
      <c r="B47" s="2"/>
      <c r="C47" s="475">
        <f t="shared" ref="C47:AK47" si="90">+(B46+C46)/2</f>
        <v>1.7018749999999998</v>
      </c>
      <c r="D47" s="475">
        <f t="shared" si="90"/>
        <v>2.9675000000000002</v>
      </c>
      <c r="E47" s="475">
        <f t="shared" si="90"/>
        <v>4.3274999999999997</v>
      </c>
      <c r="F47" s="475">
        <f t="shared" si="90"/>
        <v>5.5206249999999999</v>
      </c>
      <c r="G47" s="475">
        <f t="shared" si="90"/>
        <v>9.7662500000000012</v>
      </c>
      <c r="H47" s="475">
        <f t="shared" si="90"/>
        <v>13.612500000000001</v>
      </c>
      <c r="I47" s="475">
        <f t="shared" si="90"/>
        <v>15.071874999999999</v>
      </c>
      <c r="J47" s="475">
        <f t="shared" si="90"/>
        <v>16.931874999999998</v>
      </c>
      <c r="K47" s="475">
        <f t="shared" si="90"/>
        <v>17.918749999999999</v>
      </c>
      <c r="L47" s="475">
        <f t="shared" si="90"/>
        <v>19.61375</v>
      </c>
      <c r="M47" s="475">
        <f t="shared" si="90"/>
        <v>23.351875</v>
      </c>
      <c r="N47" s="475">
        <f t="shared" si="90"/>
        <v>27.011249999999997</v>
      </c>
      <c r="O47" s="475">
        <f t="shared" si="90"/>
        <v>29.555624999999999</v>
      </c>
      <c r="P47" s="475">
        <f t="shared" si="90"/>
        <v>31.283124999999998</v>
      </c>
      <c r="Q47" s="475">
        <f t="shared" si="90"/>
        <v>33.143749999999997</v>
      </c>
      <c r="R47" s="475">
        <f t="shared" si="90"/>
        <v>34.879999999999995</v>
      </c>
      <c r="S47" s="475">
        <f t="shared" si="90"/>
        <v>35.503124999999997</v>
      </c>
      <c r="T47" s="475">
        <f t="shared" si="90"/>
        <v>34.197499999999991</v>
      </c>
      <c r="U47" s="475">
        <f t="shared" si="90"/>
        <v>31.192499999999995</v>
      </c>
      <c r="V47" s="475">
        <f t="shared" si="90"/>
        <v>29.259999999999998</v>
      </c>
      <c r="W47" s="475">
        <f t="shared" si="90"/>
        <v>27.106249999999996</v>
      </c>
      <c r="X47" s="475">
        <f t="shared" si="90"/>
        <v>22.776874999999997</v>
      </c>
      <c r="Y47" s="475">
        <f t="shared" si="90"/>
        <v>20.209374999999998</v>
      </c>
      <c r="Z47" s="475">
        <f t="shared" si="90"/>
        <v>19.899374999999999</v>
      </c>
      <c r="AA47" s="475">
        <f t="shared" si="90"/>
        <v>19.458125000000003</v>
      </c>
      <c r="AB47" s="475">
        <f t="shared" si="90"/>
        <v>18.814375000000002</v>
      </c>
      <c r="AC47" s="475">
        <f t="shared" si="90"/>
        <v>15.675625</v>
      </c>
      <c r="AD47" s="475">
        <f t="shared" si="90"/>
        <v>13.254999999999999</v>
      </c>
      <c r="AE47" s="475">
        <f t="shared" si="90"/>
        <v>13.645</v>
      </c>
      <c r="AF47" s="475">
        <f t="shared" si="90"/>
        <v>13.693124999999998</v>
      </c>
      <c r="AG47" s="475">
        <f t="shared" si="90"/>
        <v>13.698124999999999</v>
      </c>
      <c r="AH47" s="475">
        <f t="shared" si="90"/>
        <v>13.619375</v>
      </c>
      <c r="AI47" s="475">
        <f t="shared" si="90"/>
        <v>13.76125</v>
      </c>
      <c r="AJ47" s="475">
        <f t="shared" si="90"/>
        <v>14.190624999999999</v>
      </c>
      <c r="AK47" s="475">
        <f t="shared" si="90"/>
        <v>14.648749999999998</v>
      </c>
      <c r="AL47" s="475">
        <f t="shared" ref="AL47:AR47" si="91">+(AK46+AL46)/2</f>
        <v>15.191374999999999</v>
      </c>
      <c r="AM47" s="475">
        <f t="shared" si="91"/>
        <v>15.710864062499999</v>
      </c>
      <c r="AN47" s="475">
        <f t="shared" si="91"/>
        <v>15.97782846626659</v>
      </c>
      <c r="AO47" s="475">
        <f t="shared" si="91"/>
        <v>16.175262963545684</v>
      </c>
      <c r="AP47" s="475">
        <f t="shared" si="91"/>
        <v>16.338725427701931</v>
      </c>
      <c r="AQ47" s="475">
        <f t="shared" si="91"/>
        <v>16.458603735845685</v>
      </c>
      <c r="AR47" s="475">
        <f t="shared" si="91"/>
        <v>16.556200942319123</v>
      </c>
      <c r="AS47" s="100"/>
      <c r="AT47" s="57"/>
      <c r="AU47" s="57"/>
      <c r="AV47" s="56">
        <f>((AP47/AK47)^(1/5)-1)*100</f>
        <v>2.2076778935466335</v>
      </c>
      <c r="AW47" s="100" t="s">
        <v>1084</v>
      </c>
      <c r="AX47" s="962"/>
      <c r="AY47" s="2"/>
      <c r="AZ47" s="2"/>
      <c r="BA47" s="2"/>
      <c r="BB47" s="2"/>
      <c r="BC47" s="2"/>
      <c r="BD47" s="2"/>
      <c r="BE47" s="2"/>
      <c r="BF47" s="2"/>
      <c r="BG47" s="2"/>
      <c r="BH47" s="2"/>
      <c r="BI47" s="2"/>
      <c r="BJ47" s="2"/>
      <c r="BK47" s="2"/>
      <c r="BL47" s="2"/>
    </row>
    <row r="48" spans="1:64">
      <c r="A48" s="14" t="s">
        <v>603</v>
      </c>
      <c r="B48" s="2"/>
      <c r="C48" s="477">
        <f t="shared" ref="C48:AC48" si="92">+C46/C20*1000000</f>
        <v>4334.3023255813951</v>
      </c>
      <c r="D48" s="477">
        <f t="shared" si="92"/>
        <v>4934.848484848485</v>
      </c>
      <c r="E48" s="477">
        <f t="shared" si="92"/>
        <v>4891.9423692636065</v>
      </c>
      <c r="F48" s="477">
        <f t="shared" si="92"/>
        <v>4573.3002832861193</v>
      </c>
      <c r="G48" s="477">
        <f t="shared" si="92"/>
        <v>5556.7360815979609</v>
      </c>
      <c r="H48" s="477">
        <f t="shared" si="92"/>
        <v>5275.9134973900082</v>
      </c>
      <c r="I48" s="477">
        <f t="shared" si="92"/>
        <v>5134.430176565008</v>
      </c>
      <c r="J48" s="477">
        <f t="shared" si="92"/>
        <v>5110.0943665999421</v>
      </c>
      <c r="K48" s="477">
        <f t="shared" si="92"/>
        <v>5373.0562200956947</v>
      </c>
      <c r="L48" s="477">
        <f t="shared" si="92"/>
        <v>5654.255319148936</v>
      </c>
      <c r="M48" s="477">
        <f t="shared" si="92"/>
        <v>6066.7024320457795</v>
      </c>
      <c r="N48" s="477">
        <f t="shared" si="92"/>
        <v>6458.4745762711864</v>
      </c>
      <c r="O48" s="477">
        <f t="shared" si="92"/>
        <v>6604.4776119402977</v>
      </c>
      <c r="P48" s="477">
        <f t="shared" si="92"/>
        <v>6581.8265872200527</v>
      </c>
      <c r="Q48" s="477">
        <f t="shared" si="92"/>
        <v>6465.4114760286911</v>
      </c>
      <c r="R48" s="477">
        <f t="shared" si="92"/>
        <v>6303.2575892064606</v>
      </c>
      <c r="S48" s="477">
        <f t="shared" si="92"/>
        <v>6294.3262411347505</v>
      </c>
      <c r="T48" s="477">
        <f t="shared" si="92"/>
        <v>6112.0401337792637</v>
      </c>
      <c r="U48" s="477">
        <f t="shared" si="92"/>
        <v>5870.9934302209831</v>
      </c>
      <c r="V48" s="477">
        <f t="shared" si="92"/>
        <v>5659.9727042308441</v>
      </c>
      <c r="W48" s="477">
        <f t="shared" si="92"/>
        <v>5457.8456870394448</v>
      </c>
      <c r="X48" s="477">
        <f t="shared" si="92"/>
        <v>5047.3860257680863</v>
      </c>
      <c r="Y48" s="477">
        <f t="shared" si="92"/>
        <v>5125.9268729225259</v>
      </c>
      <c r="Z48" s="477">
        <f t="shared" si="92"/>
        <v>5226.5811061127279</v>
      </c>
      <c r="AA48" s="477">
        <f t="shared" si="92"/>
        <v>5338.4401114206139</v>
      </c>
      <c r="AB48" s="477">
        <f t="shared" si="92"/>
        <v>4902.7482740308023</v>
      </c>
      <c r="AC48" s="477">
        <f t="shared" si="92"/>
        <v>4404.4771018455231</v>
      </c>
      <c r="AD48" s="477">
        <f t="shared" ref="AD48:AI48" si="93">+AD46/AD20*1000000</f>
        <v>4519.7412076974124</v>
      </c>
      <c r="AE48" s="477">
        <f t="shared" si="93"/>
        <v>4600.3029283069664</v>
      </c>
      <c r="AF48" s="477">
        <f t="shared" si="93"/>
        <v>4622.2203504043118</v>
      </c>
      <c r="AG48" s="477">
        <f t="shared" si="93"/>
        <v>4650.6290377422647</v>
      </c>
      <c r="AH48" s="477">
        <f t="shared" si="93"/>
        <v>4715.3164116828921</v>
      </c>
      <c r="AI48" s="477">
        <f t="shared" si="93"/>
        <v>4784.5270733379029</v>
      </c>
      <c r="AJ48" s="477">
        <f t="shared" ref="AJ48:AO48" si="94">+AJ46/AJ20*1000000</f>
        <v>4873.2679959445759</v>
      </c>
      <c r="AK48" s="477">
        <f t="shared" si="94"/>
        <v>4967.4457429048407</v>
      </c>
      <c r="AL48" s="477">
        <f t="shared" si="94"/>
        <v>5118.9336414658301</v>
      </c>
      <c r="AM48" s="477">
        <f t="shared" si="94"/>
        <v>5268.6124213836474</v>
      </c>
      <c r="AN48" s="477">
        <f t="shared" si="94"/>
        <v>5267.3822028023596</v>
      </c>
      <c r="AO48" s="477">
        <f t="shared" si="94"/>
        <v>5365.5747103809808</v>
      </c>
      <c r="AP48" s="477">
        <f>+AP46/AP20*1000000</f>
        <v>5392.4559261435534</v>
      </c>
      <c r="AQ48" s="477">
        <f>+AQ46/AQ20*1000000</f>
        <v>5480.4979257767172</v>
      </c>
      <c r="AR48" s="477">
        <f>+AR46/AR20*1000000</f>
        <v>5511.2473040907034</v>
      </c>
      <c r="AS48" s="100"/>
      <c r="AT48" s="57"/>
      <c r="AU48" s="57"/>
      <c r="AV48" s="56"/>
      <c r="AW48" s="100"/>
      <c r="AX48" s="2"/>
      <c r="AY48" s="2"/>
      <c r="AZ48" s="2"/>
      <c r="BA48" s="2"/>
      <c r="BB48" s="2"/>
      <c r="BC48" s="2"/>
      <c r="BD48" s="2"/>
      <c r="BE48" s="2"/>
      <c r="BF48" s="2"/>
      <c r="BG48" s="2"/>
      <c r="BH48" s="2"/>
      <c r="BI48" s="2"/>
      <c r="BJ48" s="2"/>
      <c r="BK48" s="2"/>
      <c r="BL48" s="2"/>
    </row>
    <row r="49" spans="1:71">
      <c r="A49" s="14" t="s">
        <v>604</v>
      </c>
      <c r="B49" s="16"/>
      <c r="C49" s="16">
        <f t="shared" ref="C49:T49" si="95">(C13-C11)/C47</f>
        <v>214.4105765699596</v>
      </c>
      <c r="D49" s="16">
        <f t="shared" si="95"/>
        <v>243.09823083403538</v>
      </c>
      <c r="E49" s="16">
        <f t="shared" si="95"/>
        <v>250.92778740612366</v>
      </c>
      <c r="F49" s="16">
        <f t="shared" si="95"/>
        <v>243.2938299558474</v>
      </c>
      <c r="G49" s="16">
        <f t="shared" si="95"/>
        <v>244.42442083706641</v>
      </c>
      <c r="H49" s="16">
        <f t="shared" si="95"/>
        <v>230.86839302112028</v>
      </c>
      <c r="I49" s="16">
        <f t="shared" si="95"/>
        <v>234.0744598797429</v>
      </c>
      <c r="J49" s="16">
        <f t="shared" si="95"/>
        <v>240.42092207744273</v>
      </c>
      <c r="K49" s="16">
        <f t="shared" si="95"/>
        <v>259.38840599930245</v>
      </c>
      <c r="L49" s="16">
        <f t="shared" si="95"/>
        <v>267.84826970875025</v>
      </c>
      <c r="M49" s="16">
        <f t="shared" si="95"/>
        <v>263.32866204533894</v>
      </c>
      <c r="N49" s="16">
        <f t="shared" si="95"/>
        <v>243.50209634874361</v>
      </c>
      <c r="O49" s="16">
        <f t="shared" si="95"/>
        <v>230.38213538032099</v>
      </c>
      <c r="P49" s="16">
        <f t="shared" si="95"/>
        <v>215.82856572033646</v>
      </c>
      <c r="Q49" s="16">
        <f t="shared" si="95"/>
        <v>217.85214406939471</v>
      </c>
      <c r="R49" s="16">
        <f t="shared" si="95"/>
        <v>228.23368692660551</v>
      </c>
      <c r="S49" s="16">
        <f t="shared" si="95"/>
        <v>214.9876947451809</v>
      </c>
      <c r="T49" s="16">
        <f t="shared" si="95"/>
        <v>236.20384531032977</v>
      </c>
      <c r="U49" s="16">
        <f t="shared" ref="U49:AC49" si="96">(U8)/U47</f>
        <v>202.93554540354251</v>
      </c>
      <c r="V49" s="16">
        <f t="shared" si="96"/>
        <v>237.85663021189336</v>
      </c>
      <c r="W49" s="16">
        <f t="shared" si="96"/>
        <v>251.28662208900167</v>
      </c>
      <c r="X49" s="16">
        <f t="shared" si="96"/>
        <v>313.43193480229405</v>
      </c>
      <c r="Y49" s="16">
        <f t="shared" si="96"/>
        <v>368.76306169785067</v>
      </c>
      <c r="Z49" s="16">
        <f t="shared" si="96"/>
        <v>390.5465372656177</v>
      </c>
      <c r="AA49" s="16">
        <f>(AA8)/AA47</f>
        <v>403.22091671217026</v>
      </c>
      <c r="AB49" s="16">
        <f t="shared" si="96"/>
        <v>332.48008504135788</v>
      </c>
      <c r="AC49" s="16">
        <f t="shared" si="96"/>
        <v>396.58405964674449</v>
      </c>
      <c r="AD49" s="16">
        <f t="shared" ref="AD49:AI49" si="97">(AD8)/AD47</f>
        <v>449.89143719351188</v>
      </c>
      <c r="AE49" s="16">
        <f t="shared" si="97"/>
        <v>430.79391718578233</v>
      </c>
      <c r="AF49" s="16">
        <f t="shared" si="97"/>
        <v>477.14645123008819</v>
      </c>
      <c r="AG49" s="16">
        <f t="shared" si="97"/>
        <v>528.41845143039654</v>
      </c>
      <c r="AH49" s="16">
        <f t="shared" si="97"/>
        <v>603.65949245101194</v>
      </c>
      <c r="AI49" s="16">
        <f t="shared" si="97"/>
        <v>616.64892360795704</v>
      </c>
      <c r="AJ49" s="16">
        <f t="shared" ref="AJ49:AO49" si="98">(AJ8)/AJ47</f>
        <v>637.72448359392217</v>
      </c>
      <c r="AK49" s="16">
        <f>(AK8)/AK47</f>
        <v>662.10161276559438</v>
      </c>
      <c r="AL49" s="16">
        <f t="shared" si="98"/>
        <v>661.60015140170003</v>
      </c>
      <c r="AM49" s="16">
        <f t="shared" si="98"/>
        <v>638.19710743550968</v>
      </c>
      <c r="AN49" s="16">
        <f t="shared" si="98"/>
        <v>638.99907547742941</v>
      </c>
      <c r="AO49" s="16">
        <f t="shared" si="98"/>
        <v>650.04548235038442</v>
      </c>
      <c r="AP49" s="16">
        <f>(AP8)/AP47</f>
        <v>664.07334705124867</v>
      </c>
      <c r="AQ49" s="16">
        <f>(AQ8)/AQ47</f>
        <v>680.24206010408363</v>
      </c>
      <c r="AR49" s="16">
        <f>(AR8)/AR47</f>
        <v>697.95891436872671</v>
      </c>
      <c r="AS49" s="100"/>
      <c r="AT49" s="3"/>
      <c r="AU49" s="3"/>
      <c r="AV49" s="107"/>
      <c r="AW49" s="108"/>
      <c r="AX49" s="2"/>
      <c r="AY49" s="2"/>
      <c r="AZ49" s="2"/>
      <c r="BA49" s="2"/>
      <c r="BB49" s="2"/>
      <c r="BC49" s="2"/>
      <c r="BD49" s="2"/>
      <c r="BE49" s="2"/>
      <c r="BF49" s="2"/>
      <c r="BG49" s="2"/>
      <c r="BH49" s="2"/>
      <c r="BI49" s="2"/>
      <c r="BJ49" s="2"/>
      <c r="BK49" s="2"/>
      <c r="BL49" s="2"/>
    </row>
    <row r="50" spans="1:71">
      <c r="A50" s="14"/>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57"/>
      <c r="AT50" s="57"/>
      <c r="AU50" s="57"/>
      <c r="AV50" s="56"/>
      <c r="AW50" s="57"/>
      <c r="AX50" s="2"/>
      <c r="AY50" s="2"/>
      <c r="AZ50" s="2"/>
      <c r="BA50" s="2"/>
      <c r="BB50" s="2"/>
      <c r="BC50" s="2"/>
      <c r="BD50" s="2"/>
      <c r="BE50" s="2"/>
      <c r="BF50" s="2"/>
      <c r="BG50" s="2"/>
      <c r="BH50" s="2"/>
      <c r="BI50" s="2"/>
      <c r="BJ50" s="2"/>
      <c r="BK50" s="2"/>
      <c r="BL50" s="2"/>
    </row>
    <row r="51" spans="1:71">
      <c r="A51" s="23" t="s">
        <v>549</v>
      </c>
      <c r="B51" s="2"/>
      <c r="C51" s="2"/>
      <c r="D51" s="2"/>
      <c r="E51" s="2"/>
      <c r="F51" s="2"/>
      <c r="G51" s="2"/>
      <c r="H51" s="2"/>
      <c r="I51" s="2"/>
      <c r="J51" s="2"/>
      <c r="K51" s="2"/>
      <c r="L51" s="2"/>
      <c r="M51" s="2"/>
      <c r="N51" s="2"/>
      <c r="O51" s="2"/>
      <c r="P51" s="2"/>
      <c r="Q51" s="2"/>
      <c r="R51" s="2"/>
      <c r="S51" s="20"/>
      <c r="T51" s="2"/>
      <c r="U51" s="2"/>
      <c r="V51" s="2"/>
      <c r="W51" s="2"/>
      <c r="X51" s="2"/>
      <c r="Y51" s="2"/>
      <c r="AS51" s="2"/>
      <c r="AT51" s="2"/>
      <c r="AU51" s="2"/>
      <c r="AV51" s="7"/>
      <c r="AW51" s="2"/>
      <c r="AX51" s="2"/>
      <c r="AY51" s="2"/>
      <c r="AZ51" s="2"/>
      <c r="BA51" s="2"/>
      <c r="BB51" s="2"/>
      <c r="BC51" s="2"/>
      <c r="BD51" s="2"/>
      <c r="BE51" s="2"/>
      <c r="BF51" s="2"/>
      <c r="BG51" s="2"/>
      <c r="BH51" s="2"/>
      <c r="BI51" s="2"/>
      <c r="BJ51" s="2"/>
      <c r="BK51" s="2"/>
      <c r="BL51" s="2"/>
    </row>
    <row r="52" spans="1:71">
      <c r="A52" s="19"/>
      <c r="B52" s="2"/>
      <c r="C52" s="2"/>
      <c r="D52" s="2"/>
      <c r="E52" s="2"/>
      <c r="F52" s="2"/>
      <c r="G52" s="2"/>
      <c r="H52" s="2"/>
      <c r="I52" s="2"/>
      <c r="J52" s="2"/>
      <c r="K52" s="2"/>
      <c r="L52" s="2"/>
      <c r="M52" s="2"/>
      <c r="N52" s="2"/>
      <c r="O52" s="2"/>
      <c r="P52" s="2"/>
      <c r="Q52" s="2"/>
      <c r="R52" s="2"/>
      <c r="S52" s="20"/>
      <c r="T52" s="2"/>
      <c r="U52" s="2"/>
      <c r="V52" s="2"/>
      <c r="W52" s="2"/>
      <c r="X52" s="2"/>
      <c r="Y52" s="2"/>
      <c r="AS52" s="2"/>
      <c r="AT52" s="2"/>
      <c r="AU52" s="2"/>
      <c r="AV52" s="7"/>
      <c r="AW52" s="2"/>
      <c r="AX52" s="2"/>
      <c r="AY52" s="2"/>
      <c r="AZ52" s="2"/>
      <c r="BA52" s="2"/>
      <c r="BB52" s="2"/>
      <c r="BC52" s="2"/>
      <c r="BD52" s="2"/>
      <c r="BE52" s="2"/>
      <c r="BF52" s="2"/>
      <c r="BG52" s="2"/>
      <c r="BH52" s="2"/>
      <c r="BI52" s="2"/>
      <c r="BJ52" s="2"/>
      <c r="BK52" s="2"/>
      <c r="BL52" s="2"/>
    </row>
    <row r="53" spans="1:71">
      <c r="A53" s="191" t="s">
        <v>1160</v>
      </c>
      <c r="B53" s="2"/>
      <c r="C53" s="2"/>
      <c r="D53" s="2"/>
      <c r="E53" s="2"/>
      <c r="F53" s="2"/>
      <c r="G53" s="2"/>
      <c r="H53" s="2"/>
      <c r="I53" s="2"/>
      <c r="J53" s="2"/>
      <c r="K53" s="2"/>
      <c r="L53" s="2"/>
      <c r="M53" s="2"/>
      <c r="N53" s="2"/>
      <c r="O53" s="2"/>
      <c r="P53" s="2"/>
      <c r="Q53" s="2"/>
      <c r="R53" s="2"/>
      <c r="S53" s="2"/>
      <c r="T53" s="2"/>
      <c r="U53" s="2"/>
      <c r="V53" s="2"/>
      <c r="W53" s="2"/>
      <c r="X53" s="2"/>
      <c r="Y53" s="2"/>
      <c r="AS53" s="2"/>
      <c r="AT53" s="2"/>
      <c r="AU53" s="2"/>
      <c r="AV53" s="2"/>
      <c r="AW53" s="2"/>
      <c r="AX53" s="2"/>
      <c r="AY53" s="2"/>
      <c r="AZ53" s="2"/>
      <c r="BA53" s="2"/>
      <c r="BB53" s="2"/>
      <c r="BC53" s="2"/>
      <c r="BD53" s="2"/>
      <c r="BE53" s="2"/>
      <c r="BF53" s="2"/>
      <c r="BG53" s="2"/>
      <c r="BH53" s="2"/>
      <c r="BI53" s="2"/>
      <c r="BJ53" s="2"/>
      <c r="BK53" s="2"/>
      <c r="BL53" s="2"/>
    </row>
    <row r="54" spans="1:71">
      <c r="A54" s="199" t="s">
        <v>345</v>
      </c>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2"/>
      <c r="AY54" s="2"/>
      <c r="AZ54" s="2"/>
      <c r="BA54" s="2"/>
      <c r="BB54" s="2"/>
      <c r="BC54" s="2"/>
      <c r="BD54" s="2"/>
      <c r="BE54" s="2"/>
      <c r="BF54" s="2"/>
      <c r="BG54" s="2"/>
      <c r="BH54" s="2"/>
      <c r="BI54" s="2"/>
      <c r="BJ54" s="2"/>
      <c r="BK54" s="2"/>
      <c r="BL54" s="2"/>
    </row>
    <row r="55" spans="1:71">
      <c r="A55" s="21"/>
      <c r="B55" s="57"/>
      <c r="C55" s="57"/>
      <c r="D55" s="57"/>
      <c r="E55" s="57"/>
      <c r="F55" s="57"/>
      <c r="G55" s="57"/>
      <c r="H55" s="57"/>
      <c r="I55" s="57"/>
      <c r="J55" s="57"/>
      <c r="K55" s="57"/>
      <c r="L55" s="57"/>
      <c r="M55" s="57"/>
      <c r="N55" s="57"/>
      <c r="O55" s="57"/>
      <c r="P55" s="57"/>
      <c r="Q55" s="57"/>
      <c r="R55" s="57"/>
      <c r="S55" s="57"/>
      <c r="T55" s="57"/>
      <c r="U55" s="57"/>
      <c r="V55" s="57"/>
      <c r="W55" s="57"/>
      <c r="X55" s="57"/>
      <c r="Y55" s="57"/>
      <c r="Z55" s="57"/>
      <c r="AA55" s="57"/>
      <c r="AB55" s="57"/>
      <c r="AC55" s="57"/>
      <c r="AD55" s="57"/>
      <c r="AE55" s="57"/>
      <c r="AF55" s="57"/>
      <c r="AG55" s="57"/>
      <c r="AH55" s="57"/>
      <c r="AI55" s="57"/>
      <c r="AJ55" s="57"/>
      <c r="AK55" s="57"/>
      <c r="AL55" s="57"/>
      <c r="AM55" s="57"/>
      <c r="AN55" s="57"/>
      <c r="AO55" s="57"/>
      <c r="AP55" s="57"/>
      <c r="AQ55" s="57"/>
      <c r="AR55" s="57"/>
      <c r="AS55" s="57"/>
      <c r="AT55" s="3"/>
      <c r="AU55" s="3"/>
      <c r="AV55" s="3"/>
      <c r="AW55" s="57"/>
      <c r="AX55" s="2"/>
      <c r="AY55" s="2"/>
      <c r="AZ55" s="2"/>
      <c r="BA55" s="2"/>
      <c r="BB55" s="2"/>
      <c r="BC55" s="2"/>
      <c r="BD55" s="2"/>
      <c r="BE55" s="2"/>
      <c r="BF55" s="2"/>
      <c r="BG55" s="2"/>
      <c r="BH55" s="2"/>
      <c r="BI55" s="2"/>
      <c r="BJ55" s="2"/>
      <c r="BK55" s="2"/>
      <c r="BL55" s="2"/>
    </row>
    <row r="56" spans="1:71">
      <c r="A56" s="4"/>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100"/>
      <c r="AT56" s="126"/>
      <c r="AU56" s="109" t="str">
        <f>+AU4</f>
        <v>CAGR</v>
      </c>
      <c r="AV56" s="126"/>
      <c r="AW56" s="184"/>
      <c r="AX56" s="2"/>
      <c r="AY56" s="2"/>
      <c r="AZ56" s="2"/>
      <c r="BA56" s="2"/>
      <c r="BB56" s="2"/>
      <c r="BC56" s="2"/>
      <c r="BD56" s="2"/>
      <c r="BE56" s="2"/>
      <c r="BF56" s="2"/>
      <c r="BG56" s="2"/>
      <c r="BH56" s="2"/>
      <c r="BI56" s="2"/>
      <c r="BJ56" s="2"/>
      <c r="BK56" s="2"/>
      <c r="BL56" s="2"/>
    </row>
    <row r="57" spans="1:71">
      <c r="A57" s="5"/>
      <c r="B57" s="53"/>
      <c r="C57" s="53"/>
      <c r="D57" s="53"/>
      <c r="E57" s="53"/>
      <c r="F57" s="53"/>
      <c r="G57" s="53"/>
      <c r="H57" s="53"/>
      <c r="I57" s="53"/>
      <c r="J57" s="53"/>
      <c r="K57" s="53"/>
      <c r="L57" s="53">
        <f>+L$5</f>
        <v>1990</v>
      </c>
      <c r="M57" s="53">
        <f t="shared" ref="M57:AR57" si="99">+M$5</f>
        <v>1991</v>
      </c>
      <c r="N57" s="53">
        <f t="shared" si="99"/>
        <v>1992</v>
      </c>
      <c r="O57" s="53">
        <f t="shared" si="99"/>
        <v>1993</v>
      </c>
      <c r="P57" s="53">
        <f t="shared" si="99"/>
        <v>1994</v>
      </c>
      <c r="Q57" s="53">
        <f t="shared" si="99"/>
        <v>1995</v>
      </c>
      <c r="R57" s="53">
        <f t="shared" si="99"/>
        <v>1996</v>
      </c>
      <c r="S57" s="53">
        <f t="shared" si="99"/>
        <v>1997</v>
      </c>
      <c r="T57" s="53">
        <f t="shared" si="99"/>
        <v>1998</v>
      </c>
      <c r="U57" s="53">
        <f t="shared" si="99"/>
        <v>1999</v>
      </c>
      <c r="V57" s="53">
        <f t="shared" si="99"/>
        <v>2000</v>
      </c>
      <c r="W57" s="53">
        <f t="shared" si="99"/>
        <v>2001</v>
      </c>
      <c r="X57" s="53">
        <f t="shared" si="99"/>
        <v>2002</v>
      </c>
      <c r="Y57" s="53">
        <f t="shared" si="99"/>
        <v>2003</v>
      </c>
      <c r="Z57" s="55">
        <f t="shared" si="99"/>
        <v>2004</v>
      </c>
      <c r="AA57" s="586">
        <f t="shared" si="99"/>
        <v>2005</v>
      </c>
      <c r="AB57" s="586">
        <f t="shared" si="99"/>
        <v>2006</v>
      </c>
      <c r="AC57" s="586">
        <f t="shared" si="99"/>
        <v>2007</v>
      </c>
      <c r="AD57" s="586">
        <f t="shared" si="99"/>
        <v>2008</v>
      </c>
      <c r="AE57" s="586">
        <f t="shared" si="99"/>
        <v>2009</v>
      </c>
      <c r="AF57" s="586">
        <f t="shared" si="99"/>
        <v>2010</v>
      </c>
      <c r="AG57" s="586">
        <f t="shared" si="99"/>
        <v>2011</v>
      </c>
      <c r="AH57" s="586">
        <f t="shared" si="99"/>
        <v>2012</v>
      </c>
      <c r="AI57" s="586">
        <f t="shared" si="99"/>
        <v>2013</v>
      </c>
      <c r="AJ57" s="586">
        <f t="shared" si="99"/>
        <v>2014</v>
      </c>
      <c r="AK57" s="586">
        <f t="shared" si="99"/>
        <v>2015</v>
      </c>
      <c r="AL57" s="586">
        <f t="shared" si="99"/>
        <v>2016</v>
      </c>
      <c r="AM57" s="586">
        <f t="shared" si="99"/>
        <v>2017</v>
      </c>
      <c r="AN57" s="55">
        <f t="shared" si="99"/>
        <v>2018</v>
      </c>
      <c r="AO57" s="55">
        <f t="shared" si="99"/>
        <v>2019</v>
      </c>
      <c r="AP57" s="55">
        <f t="shared" si="99"/>
        <v>2020</v>
      </c>
      <c r="AQ57" s="55">
        <f t="shared" si="99"/>
        <v>2021</v>
      </c>
      <c r="AR57" s="55">
        <f t="shared" si="99"/>
        <v>2022</v>
      </c>
      <c r="AS57" s="1121"/>
      <c r="AT57" s="109" t="str">
        <f>AT$5</f>
        <v>10-15E</v>
      </c>
      <c r="AU57" s="57"/>
      <c r="AV57" s="109" t="str">
        <f>AV$5</f>
        <v>15-20E</v>
      </c>
      <c r="AW57" s="111"/>
      <c r="AX57" s="2"/>
      <c r="AY57" s="190" t="s">
        <v>1160</v>
      </c>
      <c r="AZ57" s="493">
        <f t="shared" ref="AZ57:BS57" si="100">+Y57</f>
        <v>2003</v>
      </c>
      <c r="BA57" s="493">
        <f t="shared" si="100"/>
        <v>2004</v>
      </c>
      <c r="BB57" s="493">
        <f t="shared" si="100"/>
        <v>2005</v>
      </c>
      <c r="BC57" s="493">
        <f t="shared" si="100"/>
        <v>2006</v>
      </c>
      <c r="BD57" s="493">
        <f t="shared" si="100"/>
        <v>2007</v>
      </c>
      <c r="BE57" s="493">
        <f t="shared" si="100"/>
        <v>2008</v>
      </c>
      <c r="BF57" s="493">
        <f t="shared" si="100"/>
        <v>2009</v>
      </c>
      <c r="BG57" s="493">
        <f t="shared" si="100"/>
        <v>2010</v>
      </c>
      <c r="BH57" s="493">
        <f t="shared" si="100"/>
        <v>2011</v>
      </c>
      <c r="BI57" s="493">
        <f t="shared" si="100"/>
        <v>2012</v>
      </c>
      <c r="BJ57" s="493">
        <f t="shared" si="100"/>
        <v>2013</v>
      </c>
      <c r="BK57" s="493">
        <f t="shared" si="100"/>
        <v>2014</v>
      </c>
      <c r="BL57" s="493">
        <f t="shared" si="100"/>
        <v>2015</v>
      </c>
      <c r="BM57" s="493">
        <f t="shared" si="100"/>
        <v>2016</v>
      </c>
      <c r="BN57" s="493">
        <f t="shared" si="100"/>
        <v>2017</v>
      </c>
      <c r="BO57" s="493">
        <f t="shared" si="100"/>
        <v>2018</v>
      </c>
      <c r="BP57" s="493">
        <f t="shared" si="100"/>
        <v>2019</v>
      </c>
      <c r="BQ57" s="493">
        <f t="shared" si="100"/>
        <v>2020</v>
      </c>
      <c r="BR57" s="493">
        <f t="shared" si="100"/>
        <v>2021</v>
      </c>
      <c r="BS57" s="493">
        <f t="shared" si="100"/>
        <v>2022</v>
      </c>
    </row>
    <row r="58" spans="1:71">
      <c r="A58" s="5"/>
      <c r="B58" s="5"/>
      <c r="C58" s="5"/>
      <c r="D58" s="5"/>
      <c r="E58" s="5"/>
      <c r="F58" s="5"/>
      <c r="G58" s="5"/>
      <c r="H58" s="5"/>
      <c r="I58" s="5"/>
      <c r="J58" s="5"/>
      <c r="K58" s="5"/>
      <c r="L58" s="5"/>
      <c r="M58" s="5"/>
      <c r="N58" s="5"/>
      <c r="O58" s="5"/>
      <c r="P58" s="5"/>
      <c r="Q58" s="5"/>
      <c r="R58" s="5"/>
      <c r="S58" s="2"/>
      <c r="T58" s="2"/>
      <c r="U58" s="2"/>
      <c r="V58" s="2"/>
      <c r="W58" s="2"/>
      <c r="X58" s="2"/>
      <c r="Y58" s="2"/>
      <c r="AE58" s="492"/>
      <c r="AH58" s="1801"/>
      <c r="AS58" s="100"/>
      <c r="AT58" s="57"/>
      <c r="AU58" s="57"/>
      <c r="AV58" s="57"/>
      <c r="AW58" s="100"/>
      <c r="AX58" s="2"/>
      <c r="AY58" s="2"/>
      <c r="AZ58" s="2"/>
      <c r="BA58" s="2"/>
      <c r="BB58" s="2"/>
      <c r="BC58" s="2"/>
      <c r="BD58" s="2"/>
      <c r="BE58" s="2"/>
      <c r="BF58" s="2"/>
      <c r="BG58" s="2"/>
      <c r="BH58" s="2"/>
      <c r="BI58" s="2"/>
      <c r="BJ58" s="2"/>
      <c r="BK58" s="2"/>
      <c r="BL58" s="2"/>
      <c r="BM58" s="2"/>
      <c r="BN58" s="2"/>
      <c r="BO58" s="2"/>
      <c r="BP58" s="2"/>
      <c r="BQ58" s="2"/>
      <c r="BR58" s="2"/>
      <c r="BS58" s="2"/>
    </row>
    <row r="59" spans="1:71">
      <c r="A59" s="213" t="s">
        <v>605</v>
      </c>
      <c r="B59" s="8"/>
      <c r="C59" s="8"/>
      <c r="D59" s="8"/>
      <c r="E59" s="8"/>
      <c r="F59" s="8"/>
      <c r="G59" s="8"/>
      <c r="H59" s="8"/>
      <c r="I59" s="8"/>
      <c r="J59" s="8"/>
      <c r="K59" s="8"/>
      <c r="L59" s="8"/>
      <c r="M59" s="51"/>
      <c r="N59" s="6">
        <f>+'segSales&amp;OM'!E14</f>
        <v>840</v>
      </c>
      <c r="O59" s="6">
        <f>+'segSales&amp;OM'!E21</f>
        <v>992</v>
      </c>
      <c r="P59" s="6">
        <f>+'segSales&amp;OM'!E28</f>
        <v>1181</v>
      </c>
      <c r="Q59" s="6">
        <f>+'segSales&amp;OM'!E35</f>
        <v>1286</v>
      </c>
      <c r="R59" s="6">
        <f>+'segSales&amp;OM'!E42</f>
        <v>1450</v>
      </c>
      <c r="S59" s="6">
        <f>+'segSales&amp;OM'!E49</f>
        <v>1702</v>
      </c>
      <c r="T59" s="6">
        <f>+'segSales&amp;OM'!E56</f>
        <v>1829</v>
      </c>
      <c r="U59" s="6">
        <f>+'segSales&amp;OM'!E63</f>
        <v>2122.2629999999999</v>
      </c>
      <c r="V59" s="6">
        <f>+'segSales&amp;OM'!E70</f>
        <v>2338.752</v>
      </c>
      <c r="W59" s="6">
        <f>+'segSales&amp;OM'!E77</f>
        <v>2403.056</v>
      </c>
      <c r="X59" s="16">
        <f>+'segSales&amp;OM'!E84</f>
        <v>2647</v>
      </c>
      <c r="Y59" s="16">
        <f>+'segSales&amp;OM'!E91</f>
        <v>2821.3</v>
      </c>
      <c r="Z59" s="6">
        <f>+'segSales&amp;OM'!E98</f>
        <v>3112.9390000000003</v>
      </c>
      <c r="AA59" s="6">
        <f>'segSales&amp;OM'!E112</f>
        <v>3222.0129999999999</v>
      </c>
      <c r="AB59" s="6">
        <f>'segSales&amp;OM'!E119</f>
        <v>3699.9999999999995</v>
      </c>
      <c r="AC59" s="6">
        <f>'segSales&amp;OM'!$E$126</f>
        <v>3722.6369999999997</v>
      </c>
      <c r="AD59" s="6">
        <f>'segSales&amp;OM'!$E$161</f>
        <v>3589.7</v>
      </c>
      <c r="AE59" s="6">
        <f>'segSales&amp;OM'!$E$168</f>
        <v>3495.6</v>
      </c>
      <c r="AF59" s="6">
        <f>'segSales&amp;OM'!$E$175</f>
        <v>4018.4</v>
      </c>
      <c r="AG59" s="6">
        <f>'segSales&amp;OM'!E182</f>
        <v>4564</v>
      </c>
      <c r="AH59" s="6">
        <f>'segSales&amp;OM'!E206</f>
        <v>5147.0259999999998</v>
      </c>
      <c r="AI59" s="6">
        <f>'segSales&amp;OM'!E213</f>
        <v>5367.9959999999992</v>
      </c>
      <c r="AJ59" s="6">
        <f>'segSales&amp;OM'!E220</f>
        <v>5700.1</v>
      </c>
      <c r="AK59" s="6">
        <f>'segSales&amp;OM'!E227</f>
        <v>6112.4</v>
      </c>
      <c r="AL59" s="6">
        <f>'segSales&amp;OM'!E234</f>
        <v>6198.9000000000005</v>
      </c>
      <c r="AM59" s="6">
        <f>'segSales&amp;OM'!E241</f>
        <v>5878.8</v>
      </c>
      <c r="AN59" s="6">
        <f>'segSales&amp;OM'!E248</f>
        <v>5938.6146749999998</v>
      </c>
      <c r="AO59" s="6">
        <f>+BP67</f>
        <v>5976.3530253246572</v>
      </c>
      <c r="AP59" s="6">
        <f>+BQ67</f>
        <v>6093.7017044633767</v>
      </c>
      <c r="AQ59" s="6">
        <f>+BR67</f>
        <v>6217.9974679605939</v>
      </c>
      <c r="AR59" s="6">
        <f>+BS67</f>
        <v>6349.6415251312756</v>
      </c>
      <c r="AS59" s="100"/>
      <c r="AT59" s="56">
        <f>((AK59/AF59)^(1/5)-1)*100</f>
        <v>8.7506146870078858</v>
      </c>
      <c r="AU59" s="97" t="s">
        <v>1084</v>
      </c>
      <c r="AV59" s="56">
        <f>((AP59/AK59)^(1/5)-1)*100</f>
        <v>-6.1256519283736655E-2</v>
      </c>
      <c r="AW59" s="100" t="s">
        <v>1084</v>
      </c>
      <c r="AX59" s="2"/>
      <c r="AY59" s="500" t="s">
        <v>457</v>
      </c>
      <c r="AZ59" s="500"/>
      <c r="BA59" s="2"/>
      <c r="BB59" s="2"/>
      <c r="BC59" s="2"/>
      <c r="BD59" s="2"/>
      <c r="BE59" s="2"/>
      <c r="BF59" s="2"/>
      <c r="BG59" s="2"/>
      <c r="BH59" s="2"/>
      <c r="BI59" s="2"/>
      <c r="BJ59" s="2"/>
      <c r="BK59" s="2"/>
      <c r="BL59" s="2"/>
      <c r="BM59" s="2"/>
      <c r="BN59" s="2"/>
      <c r="BO59" s="2"/>
      <c r="BP59" s="2"/>
      <c r="BQ59" s="2"/>
      <c r="BR59" s="2"/>
      <c r="BS59" s="2"/>
    </row>
    <row r="60" spans="1:71">
      <c r="A60" s="213" t="s">
        <v>1085</v>
      </c>
      <c r="B60" s="8"/>
      <c r="C60" s="8"/>
      <c r="D60" s="8"/>
      <c r="E60" s="8"/>
      <c r="F60" s="8"/>
      <c r="G60" s="8"/>
      <c r="H60" s="8"/>
      <c r="I60" s="8"/>
      <c r="J60" s="8"/>
      <c r="K60" s="8"/>
      <c r="L60" s="8"/>
      <c r="M60" s="51"/>
      <c r="N60" s="479"/>
      <c r="O60" s="480">
        <f t="shared" ref="O60:Y60" si="101">+O59/N59-1</f>
        <v>0.18095238095238098</v>
      </c>
      <c r="P60" s="480">
        <f t="shared" si="101"/>
        <v>0.19052419354838701</v>
      </c>
      <c r="Q60" s="480">
        <f t="shared" si="101"/>
        <v>8.8907705334462239E-2</v>
      </c>
      <c r="R60" s="480">
        <f t="shared" si="101"/>
        <v>0.12752721617418361</v>
      </c>
      <c r="S60" s="480">
        <f t="shared" si="101"/>
        <v>0.17379310344827581</v>
      </c>
      <c r="T60" s="480">
        <f t="shared" si="101"/>
        <v>7.4618096357226715E-2</v>
      </c>
      <c r="U60" s="480">
        <f t="shared" si="101"/>
        <v>0.16034062329141596</v>
      </c>
      <c r="V60" s="480">
        <f t="shared" si="101"/>
        <v>0.10200856350037668</v>
      </c>
      <c r="W60" s="480">
        <f t="shared" si="101"/>
        <v>2.7495005883479751E-2</v>
      </c>
      <c r="X60" s="480">
        <f t="shared" si="101"/>
        <v>0.1015140720815495</v>
      </c>
      <c r="Y60" s="480">
        <f t="shared" si="101"/>
        <v>6.5848129958443691E-2</v>
      </c>
      <c r="Z60" s="186">
        <f t="shared" ref="Z60:AJ60" si="102">+Z59/Y59-1</f>
        <v>0.10337043207032215</v>
      </c>
      <c r="AA60" s="186">
        <f t="shared" si="102"/>
        <v>3.5038913386995274E-2</v>
      </c>
      <c r="AB60" s="186">
        <f t="shared" si="102"/>
        <v>0.14835042565005163</v>
      </c>
      <c r="AC60" s="186">
        <f t="shared" si="102"/>
        <v>6.118108108108089E-3</v>
      </c>
      <c r="AD60" s="186">
        <f t="shared" si="102"/>
        <v>-3.5710438595006666E-2</v>
      </c>
      <c r="AE60" s="186">
        <f t="shared" si="102"/>
        <v>-2.6213889740089646E-2</v>
      </c>
      <c r="AF60" s="186">
        <f t="shared" si="102"/>
        <v>0.14955944616088801</v>
      </c>
      <c r="AG60" s="186">
        <f t="shared" si="102"/>
        <v>0.13577543300816242</v>
      </c>
      <c r="AH60" s="186">
        <f t="shared" si="102"/>
        <v>0.12774452234881672</v>
      </c>
      <c r="AI60" s="186">
        <f t="shared" si="102"/>
        <v>4.293158806658437E-2</v>
      </c>
      <c r="AJ60" s="186">
        <f t="shared" si="102"/>
        <v>6.186740824695125E-2</v>
      </c>
      <c r="AK60" s="186">
        <f t="shared" ref="AK60:AR60" si="103">+AK59/AJ59-1</f>
        <v>7.2332064349748038E-2</v>
      </c>
      <c r="AL60" s="186">
        <f t="shared" si="103"/>
        <v>1.4151560761730408E-2</v>
      </c>
      <c r="AM60" s="186">
        <f t="shared" si="103"/>
        <v>-5.163819387310653E-2</v>
      </c>
      <c r="AN60" s="186">
        <f>+AN59/AM59-1</f>
        <v>1.0174640232700538E-2</v>
      </c>
      <c r="AO60" s="186">
        <f t="shared" si="103"/>
        <v>6.3547396808762979E-3</v>
      </c>
      <c r="AP60" s="186">
        <f t="shared" si="103"/>
        <v>1.9635499884537833E-2</v>
      </c>
      <c r="AQ60" s="186">
        <f t="shared" si="103"/>
        <v>2.0397415155089638E-2</v>
      </c>
      <c r="AR60" s="186">
        <f t="shared" si="103"/>
        <v>2.1171455576976861E-2</v>
      </c>
      <c r="AS60" s="100"/>
      <c r="AT60" s="56"/>
      <c r="AU60" s="57"/>
      <c r="AV60" s="56"/>
      <c r="AW60" s="100"/>
      <c r="AX60" s="2"/>
      <c r="AY60" s="2" t="s">
        <v>343</v>
      </c>
      <c r="AZ60" s="497">
        <f>+X59</f>
        <v>2647</v>
      </c>
      <c r="BA60" s="497">
        <f>$Y$59</f>
        <v>2821.3</v>
      </c>
      <c r="BB60" s="497">
        <f>$Z$59</f>
        <v>3112.9390000000003</v>
      </c>
      <c r="BC60" s="497">
        <f>$AA$59</f>
        <v>3222.0129999999999</v>
      </c>
      <c r="BD60" s="497">
        <f>$AB$59</f>
        <v>3699.9999999999995</v>
      </c>
      <c r="BE60" s="497">
        <f>$AC$59</f>
        <v>3722.6369999999997</v>
      </c>
      <c r="BF60" s="497">
        <f>$AD$59</f>
        <v>3589.7</v>
      </c>
      <c r="BG60" s="497">
        <f>$AE$59</f>
        <v>3495.6</v>
      </c>
      <c r="BH60" s="497">
        <f>$AF$59</f>
        <v>4018.4</v>
      </c>
      <c r="BI60" s="497">
        <f>$AG$59</f>
        <v>4564</v>
      </c>
      <c r="BJ60" s="497">
        <f t="shared" ref="BJ60:BS60" si="104">+BI67</f>
        <v>4960.6750355319755</v>
      </c>
      <c r="BK60" s="497">
        <f t="shared" si="104"/>
        <v>5316.7652547078214</v>
      </c>
      <c r="BL60" s="497">
        <f t="shared" si="104"/>
        <v>5700.1</v>
      </c>
      <c r="BM60" s="497">
        <f>+BL67</f>
        <v>6041.2513741257972</v>
      </c>
      <c r="BN60" s="497">
        <f t="shared" si="104"/>
        <v>6084.0577268076531</v>
      </c>
      <c r="BO60" s="497">
        <f>+AM59</f>
        <v>5878.8</v>
      </c>
      <c r="BP60" s="497">
        <f t="shared" si="104"/>
        <v>5862.7991723531168</v>
      </c>
      <c r="BQ60" s="497">
        <f t="shared" si="104"/>
        <v>5976.3530253246572</v>
      </c>
      <c r="BR60" s="497">
        <f t="shared" si="104"/>
        <v>6093.7017044633767</v>
      </c>
      <c r="BS60" s="497">
        <f t="shared" si="104"/>
        <v>6217.9974679605939</v>
      </c>
    </row>
    <row r="61" spans="1:71">
      <c r="A61" s="213" t="s">
        <v>954</v>
      </c>
      <c r="B61" s="8"/>
      <c r="C61" s="8"/>
      <c r="D61" s="8"/>
      <c r="E61" s="8"/>
      <c r="F61" s="8"/>
      <c r="G61" s="8"/>
      <c r="H61" s="8"/>
      <c r="I61" s="8"/>
      <c r="J61" s="8"/>
      <c r="K61" s="8"/>
      <c r="L61" s="8"/>
      <c r="M61" s="51"/>
      <c r="N61" s="479"/>
      <c r="O61" s="480"/>
      <c r="P61" s="480"/>
      <c r="Q61" s="480"/>
      <c r="R61" s="480"/>
      <c r="S61" s="480"/>
      <c r="T61" s="480"/>
      <c r="U61" s="480"/>
      <c r="V61" s="480"/>
      <c r="W61" s="480"/>
      <c r="X61" s="480"/>
      <c r="Y61" s="480"/>
      <c r="Z61" s="186"/>
      <c r="AA61" s="186"/>
      <c r="AB61" s="186"/>
      <c r="AC61" s="6">
        <f>+'segSales&amp;OM'!$N$126</f>
        <v>488</v>
      </c>
      <c r="AD61" s="6">
        <f>+'segSales&amp;OM'!$AZ$161</f>
        <v>491.5</v>
      </c>
      <c r="AE61" s="6">
        <f>'segSales&amp;OM'!$AZ$168</f>
        <v>423.4</v>
      </c>
      <c r="AF61" s="6">
        <f>'segSales&amp;OM'!$AZ$175</f>
        <v>398.2</v>
      </c>
      <c r="AG61" s="6">
        <f>'segSales&amp;OM'!AZ182</f>
        <v>414.8</v>
      </c>
      <c r="AH61" s="6">
        <f>'segSales&amp;OM'!AZ206</f>
        <v>355.5</v>
      </c>
      <c r="AI61" s="6">
        <f>'segSales&amp;OM'!AZ213</f>
        <v>326.79999999999995</v>
      </c>
      <c r="AJ61" s="16">
        <f>'segSales&amp;OM'!AZ220</f>
        <v>259.7</v>
      </c>
      <c r="AK61" s="16">
        <f>'segSales&amp;OM'!AZ227</f>
        <v>214.5</v>
      </c>
      <c r="AL61" s="16">
        <f>'segSales&amp;OM'!AZ234</f>
        <v>216</v>
      </c>
      <c r="AM61" s="16">
        <f>'segSales&amp;OM'!AZ241</f>
        <v>228</v>
      </c>
      <c r="AN61" s="16">
        <f>'segSales&amp;OM'!AZ248</f>
        <v>224.25</v>
      </c>
      <c r="AO61" s="16">
        <f>AN61*(1+AO62)</f>
        <v>224.25</v>
      </c>
      <c r="AP61" s="16">
        <f>AO61*(1+AP62)</f>
        <v>224.25</v>
      </c>
      <c r="AQ61" s="16">
        <f>AP61*(1+AQ62)</f>
        <v>224.25</v>
      </c>
      <c r="AR61" s="16">
        <f>AQ61*(1+AR62)</f>
        <v>224.25</v>
      </c>
      <c r="AS61" s="100"/>
      <c r="AT61" s="56"/>
      <c r="AU61" s="57"/>
      <c r="AV61" s="56"/>
      <c r="AW61" s="100"/>
      <c r="AX61" s="2"/>
      <c r="AY61" s="2"/>
      <c r="AZ61" s="497"/>
      <c r="BA61" s="497"/>
      <c r="BB61" s="497"/>
      <c r="BC61" s="497"/>
      <c r="BD61" s="497"/>
      <c r="BE61" s="497"/>
      <c r="BF61" s="497"/>
      <c r="BG61" s="497"/>
      <c r="BH61" s="497"/>
      <c r="BI61" s="497"/>
      <c r="BJ61" s="497"/>
      <c r="BK61" s="497"/>
      <c r="BL61" s="497"/>
      <c r="BM61" s="497"/>
      <c r="BN61" s="497"/>
      <c r="BO61" s="497"/>
      <c r="BP61" s="497"/>
      <c r="BQ61" s="497"/>
      <c r="BR61" s="497"/>
      <c r="BS61" s="497"/>
    </row>
    <row r="62" spans="1:71">
      <c r="A62" s="213" t="s">
        <v>1085</v>
      </c>
      <c r="B62" s="8"/>
      <c r="C62" s="8"/>
      <c r="D62" s="8"/>
      <c r="E62" s="8"/>
      <c r="F62" s="8"/>
      <c r="G62" s="8"/>
      <c r="H62" s="8"/>
      <c r="I62" s="8"/>
      <c r="J62" s="8"/>
      <c r="K62" s="8"/>
      <c r="L62" s="8"/>
      <c r="M62" s="51"/>
      <c r="N62" s="479"/>
      <c r="O62" s="480"/>
      <c r="P62" s="480"/>
      <c r="Q62" s="480"/>
      <c r="R62" s="480"/>
      <c r="S62" s="480"/>
      <c r="T62" s="480"/>
      <c r="U62" s="480"/>
      <c r="V62" s="480"/>
      <c r="W62" s="480"/>
      <c r="X62" s="480"/>
      <c r="Y62" s="480"/>
      <c r="Z62" s="186"/>
      <c r="AA62" s="186"/>
      <c r="AB62" s="186"/>
      <c r="AC62" s="186"/>
      <c r="AD62" s="186">
        <f t="shared" ref="AD62:AN62" si="105">+AD61/AC61-1</f>
        <v>7.1721311475410054E-3</v>
      </c>
      <c r="AE62" s="186">
        <f t="shared" si="105"/>
        <v>-0.13855544252288921</v>
      </c>
      <c r="AF62" s="186">
        <f t="shared" si="105"/>
        <v>-5.951818611242321E-2</v>
      </c>
      <c r="AG62" s="186">
        <f t="shared" si="105"/>
        <v>4.1687594173781983E-2</v>
      </c>
      <c r="AH62" s="186">
        <f t="shared" si="105"/>
        <v>-0.14296046287367403</v>
      </c>
      <c r="AI62" s="186">
        <f t="shared" si="105"/>
        <v>-8.0731364275668183E-2</v>
      </c>
      <c r="AJ62" s="186">
        <f t="shared" si="105"/>
        <v>-0.20532435740514066</v>
      </c>
      <c r="AK62" s="186">
        <f t="shared" si="105"/>
        <v>-0.17404697728147855</v>
      </c>
      <c r="AL62" s="186">
        <f t="shared" si="105"/>
        <v>6.9930069930070893E-3</v>
      </c>
      <c r="AM62" s="186">
        <f t="shared" si="105"/>
        <v>5.555555555555558E-2</v>
      </c>
      <c r="AN62" s="186">
        <f t="shared" si="105"/>
        <v>-1.6447368421052655E-2</v>
      </c>
      <c r="AO62" s="1097">
        <v>0</v>
      </c>
      <c r="AP62" s="1097">
        <v>0</v>
      </c>
      <c r="AQ62" s="1097">
        <v>0</v>
      </c>
      <c r="AR62" s="1097">
        <v>0</v>
      </c>
      <c r="AS62" s="100"/>
      <c r="AT62" s="56"/>
      <c r="AU62" s="57"/>
      <c r="AV62" s="56"/>
      <c r="AW62" s="100"/>
      <c r="AX62" s="2"/>
      <c r="AY62" s="2"/>
      <c r="AZ62" s="497"/>
      <c r="BA62" s="497"/>
      <c r="BB62" s="497"/>
      <c r="BC62" s="497"/>
      <c r="BD62" s="497"/>
      <c r="BE62" s="497"/>
      <c r="BF62" s="497"/>
      <c r="BG62" s="497"/>
      <c r="BH62" s="497"/>
      <c r="BI62" s="497"/>
      <c r="BJ62" s="497"/>
      <c r="BK62" s="497"/>
      <c r="BL62" s="497"/>
      <c r="BM62" s="497"/>
      <c r="BN62" s="497"/>
      <c r="BO62" s="497"/>
      <c r="BP62" s="497"/>
      <c r="BQ62" s="497"/>
      <c r="BR62" s="497"/>
      <c r="BS62" s="497"/>
    </row>
    <row r="63" spans="1:71">
      <c r="A63" s="213" t="s">
        <v>225</v>
      </c>
      <c r="B63" s="51"/>
      <c r="C63" s="51"/>
      <c r="D63" s="51"/>
      <c r="E63" s="51"/>
      <c r="F63" s="51"/>
      <c r="G63" s="51"/>
      <c r="H63" s="51"/>
      <c r="I63" s="51"/>
      <c r="J63" s="51"/>
      <c r="K63" s="51"/>
      <c r="L63" s="51"/>
      <c r="M63" s="51"/>
      <c r="N63" s="6">
        <f>+'segSales&amp;OM'!K14</f>
        <v>367</v>
      </c>
      <c r="O63" s="6">
        <f>+'segSales&amp;OM'!K21</f>
        <v>436</v>
      </c>
      <c r="P63" s="6">
        <f>+'segSales&amp;OM'!K28</f>
        <v>569</v>
      </c>
      <c r="Q63" s="6">
        <f>+'segSales&amp;OM'!K35</f>
        <v>661</v>
      </c>
      <c r="R63" s="6">
        <f>+'segSales&amp;OM'!K42</f>
        <v>684</v>
      </c>
      <c r="S63" s="6">
        <f>+'segSales&amp;OM'!K49</f>
        <v>734</v>
      </c>
      <c r="T63" s="6">
        <f>+'segSales&amp;OM'!K56</f>
        <v>759</v>
      </c>
      <c r="U63" s="6">
        <f>+'segSales&amp;OM'!K63</f>
        <v>955.99300000000005</v>
      </c>
      <c r="V63" s="6">
        <f>+'segSales&amp;OM'!K70</f>
        <v>962.44299999999998</v>
      </c>
      <c r="W63" s="6">
        <f>+'segSales&amp;OM'!K77</f>
        <v>869.07500000000005</v>
      </c>
      <c r="X63" s="16">
        <f>+'segSales&amp;OM'!K84</f>
        <v>939</v>
      </c>
      <c r="Y63" s="16">
        <f>+'segSales&amp;OM'!K91</f>
        <v>995.3</v>
      </c>
      <c r="Z63" s="16">
        <f>+'segSales&amp;OM'!K98</f>
        <v>1119.201</v>
      </c>
      <c r="AA63" s="16">
        <f>'segSales&amp;OM'!K112</f>
        <v>1225.5999999999999</v>
      </c>
      <c r="AB63" s="16">
        <f>'segSales&amp;OM'!K119</f>
        <v>1415.663</v>
      </c>
      <c r="AC63" s="16">
        <f>'segSales&amp;OM'!$K$126</f>
        <v>1396.4</v>
      </c>
      <c r="AD63" s="16">
        <f>'segSales&amp;OM'!$K$161</f>
        <v>1522.8</v>
      </c>
      <c r="AE63" s="16">
        <f>'segSales&amp;OM'!$K$168</f>
        <v>1387.5</v>
      </c>
      <c r="AF63" s="16">
        <f>'segSales&amp;OM'!$K$175</f>
        <v>1502.1</v>
      </c>
      <c r="AG63" s="16">
        <f>'segSales&amp;OM'!K182</f>
        <v>1557.4499999999998</v>
      </c>
      <c r="AH63" s="16">
        <f>'segSales&amp;OM'!K206</f>
        <v>1593.2</v>
      </c>
      <c r="AI63" s="16">
        <f>'segSales&amp;OM'!K213</f>
        <v>1516.1999999999998</v>
      </c>
      <c r="AJ63" s="16">
        <f>'segSales&amp;OM'!K220</f>
        <v>1507.5</v>
      </c>
      <c r="AK63" s="16">
        <f>'segSales&amp;OM'!K227</f>
        <v>1559.7</v>
      </c>
      <c r="AL63" s="16">
        <f>'segSales&amp;OM'!K234</f>
        <v>1582.3000000000002</v>
      </c>
      <c r="AM63" s="16">
        <f>'segSales&amp;OM'!K241</f>
        <v>1508.3</v>
      </c>
      <c r="AN63" s="16">
        <f>'segSales&amp;OM'!K248</f>
        <v>1681.6378638641006</v>
      </c>
      <c r="AO63" s="16">
        <f>+AN63*(1+AO64)</f>
        <v>1849.8016502505109</v>
      </c>
      <c r="AP63" s="16">
        <f>+AO63*(1+AP64)</f>
        <v>2034.7818152755622</v>
      </c>
      <c r="AQ63" s="16">
        <f>+AP63*(1+AQ64)</f>
        <v>2197.5643604976071</v>
      </c>
      <c r="AR63" s="16">
        <f>+AQ63*(1+AR64)</f>
        <v>2329.4182221274637</v>
      </c>
      <c r="AS63" s="100"/>
      <c r="AT63" s="56">
        <f>((AK63/AF63)^(1/5)-1)*100</f>
        <v>0.75542637711096816</v>
      </c>
      <c r="AU63" s="97" t="s">
        <v>1084</v>
      </c>
      <c r="AV63" s="56">
        <f>((AP63/AK63)^(1/5)-1)*100</f>
        <v>5.4618426431448652</v>
      </c>
      <c r="AW63" s="100" t="s">
        <v>1084</v>
      </c>
      <c r="AX63" s="494" t="s">
        <v>344</v>
      </c>
      <c r="AY63" s="2" t="s">
        <v>361</v>
      </c>
      <c r="AZ63" s="496">
        <f t="shared" ref="AZ63:BS63" si="106">+AZ60*Y90</f>
        <v>105.88</v>
      </c>
      <c r="BA63" s="496">
        <f t="shared" si="106"/>
        <v>253.917</v>
      </c>
      <c r="BB63" s="496">
        <f t="shared" si="106"/>
        <v>31.129390000000004</v>
      </c>
      <c r="BC63" s="496">
        <f t="shared" si="106"/>
        <v>354.42142999999999</v>
      </c>
      <c r="BD63" s="496">
        <f t="shared" si="106"/>
        <v>-73.999999999999986</v>
      </c>
      <c r="BE63" s="496">
        <f t="shared" si="106"/>
        <v>-314.49578232303537</v>
      </c>
      <c r="BF63" s="496">
        <f t="shared" si="106"/>
        <v>-215.38199999999998</v>
      </c>
      <c r="BG63" s="496">
        <f t="shared" si="106"/>
        <v>489.38400000000001</v>
      </c>
      <c r="BH63" s="496">
        <f t="shared" si="106"/>
        <v>551.30440560911484</v>
      </c>
      <c r="BI63" s="496">
        <f t="shared" si="106"/>
        <v>309.72603553197519</v>
      </c>
      <c r="BJ63" s="496">
        <f t="shared" si="106"/>
        <v>118.72283917584598</v>
      </c>
      <c r="BK63" s="496">
        <f t="shared" si="106"/>
        <v>165.74211884695745</v>
      </c>
      <c r="BL63" s="496">
        <f t="shared" si="106"/>
        <v>282.10664406779665</v>
      </c>
      <c r="BM63" s="496">
        <f t="shared" si="106"/>
        <v>-37.49066755573493</v>
      </c>
      <c r="BN63" s="496">
        <f t="shared" si="106"/>
        <v>-372.92123584368744</v>
      </c>
      <c r="BO63" s="496">
        <f t="shared" si="106"/>
        <v>-59.621880271985397</v>
      </c>
      <c r="BP63" s="496">
        <f t="shared" si="106"/>
        <v>58.627991723531167</v>
      </c>
      <c r="BQ63" s="496">
        <f t="shared" si="106"/>
        <v>59.763530253246572</v>
      </c>
      <c r="BR63" s="496">
        <f t="shared" si="106"/>
        <v>60.93701704463377</v>
      </c>
      <c r="BS63" s="496">
        <f t="shared" si="106"/>
        <v>62.179974679605941</v>
      </c>
    </row>
    <row r="64" spans="1:71">
      <c r="A64" s="213" t="s">
        <v>1085</v>
      </c>
      <c r="B64" s="8"/>
      <c r="C64" s="8"/>
      <c r="D64" s="8"/>
      <c r="E64" s="8"/>
      <c r="F64" s="8"/>
      <c r="G64" s="8"/>
      <c r="H64" s="8"/>
      <c r="I64" s="8"/>
      <c r="J64" s="8"/>
      <c r="K64" s="8"/>
      <c r="L64" s="8"/>
      <c r="M64" s="8"/>
      <c r="N64" s="13"/>
      <c r="O64" s="13">
        <f t="shared" ref="O64:AH64" si="107">O63/N63-1</f>
        <v>0.18801089918256131</v>
      </c>
      <c r="P64" s="13">
        <f t="shared" si="107"/>
        <v>0.30504587155963292</v>
      </c>
      <c r="Q64" s="13">
        <f t="shared" si="107"/>
        <v>0.16168717047451664</v>
      </c>
      <c r="R64" s="13">
        <f t="shared" si="107"/>
        <v>3.4795763993948459E-2</v>
      </c>
      <c r="S64" s="13">
        <f t="shared" si="107"/>
        <v>7.3099415204678442E-2</v>
      </c>
      <c r="T64" s="13">
        <f t="shared" si="107"/>
        <v>3.4059945504087086E-2</v>
      </c>
      <c r="U64" s="13">
        <f t="shared" si="107"/>
        <v>0.25954281949934122</v>
      </c>
      <c r="V64" s="13">
        <f t="shared" si="107"/>
        <v>6.7469113267564218E-3</v>
      </c>
      <c r="W64" s="13">
        <f t="shared" si="107"/>
        <v>-9.7011459379932052E-2</v>
      </c>
      <c r="X64" s="13">
        <f t="shared" si="107"/>
        <v>8.0459108822598768E-2</v>
      </c>
      <c r="Y64" s="13">
        <f t="shared" si="107"/>
        <v>5.9957401490947859E-2</v>
      </c>
      <c r="Z64" s="15">
        <f t="shared" si="107"/>
        <v>0.12448608459760879</v>
      </c>
      <c r="AA64" s="15">
        <f t="shared" si="107"/>
        <v>9.5066927209678909E-2</v>
      </c>
      <c r="AB64" s="15">
        <f t="shared" si="107"/>
        <v>0.15507751305483031</v>
      </c>
      <c r="AC64" s="15">
        <f t="shared" si="107"/>
        <v>-1.3607051960812688E-2</v>
      </c>
      <c r="AD64" s="15">
        <f t="shared" si="107"/>
        <v>9.0518476081351995E-2</v>
      </c>
      <c r="AE64" s="15">
        <f t="shared" si="107"/>
        <v>-8.8849487785657932E-2</v>
      </c>
      <c r="AF64" s="15">
        <f t="shared" si="107"/>
        <v>8.2594594594594506E-2</v>
      </c>
      <c r="AG64" s="15">
        <f t="shared" si="107"/>
        <v>3.6848412222887816E-2</v>
      </c>
      <c r="AH64" s="15">
        <f t="shared" si="107"/>
        <v>2.2954187935407377E-2</v>
      </c>
      <c r="AI64" s="15">
        <f t="shared" ref="AI64:AN64" si="108">AI63/AH63-1</f>
        <v>-4.8330404217926337E-2</v>
      </c>
      <c r="AJ64" s="15">
        <f t="shared" si="108"/>
        <v>-5.7380292837355684E-3</v>
      </c>
      <c r="AK64" s="15">
        <f t="shared" si="108"/>
        <v>3.4626865671641749E-2</v>
      </c>
      <c r="AL64" s="15">
        <f t="shared" si="108"/>
        <v>1.4489966019106237E-2</v>
      </c>
      <c r="AM64" s="15">
        <f t="shared" si="108"/>
        <v>-4.6767363963850284E-2</v>
      </c>
      <c r="AN64" s="15">
        <f t="shared" si="108"/>
        <v>0.11492267046615434</v>
      </c>
      <c r="AO64" s="645">
        <v>0.1</v>
      </c>
      <c r="AP64" s="645">
        <v>0.1</v>
      </c>
      <c r="AQ64" s="645">
        <v>0.08</v>
      </c>
      <c r="AR64" s="645">
        <v>0.06</v>
      </c>
      <c r="AS64" s="100"/>
      <c r="AT64" s="56"/>
      <c r="AU64" s="57"/>
      <c r="AV64" s="56"/>
      <c r="AW64" s="100"/>
      <c r="AX64" s="494" t="s">
        <v>344</v>
      </c>
      <c r="AY64" s="2" t="s">
        <v>319</v>
      </c>
      <c r="AZ64" s="496">
        <f t="shared" ref="AZ64:BS64" si="109">+Y69*AZ72</f>
        <v>27</v>
      </c>
      <c r="BA64" s="496">
        <f t="shared" si="109"/>
        <v>35.1</v>
      </c>
      <c r="BB64" s="496">
        <f t="shared" si="109"/>
        <v>40.5</v>
      </c>
      <c r="BC64" s="496">
        <f t="shared" si="109"/>
        <v>64.800000000000011</v>
      </c>
      <c r="BD64" s="496">
        <f t="shared" si="109"/>
        <v>133.1334332833583</v>
      </c>
      <c r="BE64" s="496">
        <f t="shared" si="109"/>
        <v>151.70000000000002</v>
      </c>
      <c r="BF64" s="496">
        <f t="shared" si="109"/>
        <v>71.400000000000006</v>
      </c>
      <c r="BG64" s="496">
        <f t="shared" si="109"/>
        <v>59.976000000000013</v>
      </c>
      <c r="BH64" s="496">
        <f t="shared" si="109"/>
        <v>68.544000000000011</v>
      </c>
      <c r="BI64" s="496">
        <f t="shared" si="109"/>
        <v>132.80400000000003</v>
      </c>
      <c r="BJ64" s="496">
        <f t="shared" si="109"/>
        <v>291.31200000000007</v>
      </c>
      <c r="BK64" s="496">
        <f t="shared" si="109"/>
        <v>222.76800000000003</v>
      </c>
      <c r="BL64" s="496">
        <f t="shared" si="109"/>
        <v>151.43940000000003</v>
      </c>
      <c r="BM64" s="496">
        <f t="shared" si="109"/>
        <v>119.16117360000003</v>
      </c>
      <c r="BN64" s="496">
        <f t="shared" si="109"/>
        <v>75.777679656000018</v>
      </c>
      <c r="BO64" s="496">
        <f t="shared" si="109"/>
        <v>79.311011826544032</v>
      </c>
      <c r="BP64" s="496">
        <f t="shared" si="109"/>
        <v>86.408414583333339</v>
      </c>
      <c r="BQ64" s="496">
        <f t="shared" si="109"/>
        <v>87.381324694600664</v>
      </c>
      <c r="BR64" s="496">
        <f t="shared" si="109"/>
        <v>89.493616487446133</v>
      </c>
      <c r="BS64" s="496">
        <f t="shared" si="109"/>
        <v>91.727276013723554</v>
      </c>
    </row>
    <row r="65" spans="1:71" outlineLevel="1">
      <c r="A65" s="5" t="s">
        <v>224</v>
      </c>
      <c r="B65" s="5"/>
      <c r="C65" s="5"/>
      <c r="D65" s="5"/>
      <c r="E65" s="5"/>
      <c r="F65" s="5"/>
      <c r="G65" s="5"/>
      <c r="H65" s="5"/>
      <c r="I65" s="5"/>
      <c r="J65" s="5"/>
      <c r="K65" s="5"/>
      <c r="L65" s="5"/>
      <c r="M65" s="5"/>
      <c r="N65" s="6">
        <f t="shared" ref="N65:Y65" si="110">+N63+N59</f>
        <v>1207</v>
      </c>
      <c r="O65" s="6">
        <f t="shared" si="110"/>
        <v>1428</v>
      </c>
      <c r="P65" s="6">
        <f t="shared" si="110"/>
        <v>1750</v>
      </c>
      <c r="Q65" s="6">
        <f t="shared" si="110"/>
        <v>1947</v>
      </c>
      <c r="R65" s="6">
        <f t="shared" si="110"/>
        <v>2134</v>
      </c>
      <c r="S65" s="6">
        <f t="shared" si="110"/>
        <v>2436</v>
      </c>
      <c r="T65" s="6">
        <f t="shared" si="110"/>
        <v>2588</v>
      </c>
      <c r="U65" s="6">
        <f t="shared" si="110"/>
        <v>3078.2559999999999</v>
      </c>
      <c r="V65" s="6">
        <f t="shared" si="110"/>
        <v>3301.1949999999997</v>
      </c>
      <c r="W65" s="6">
        <f t="shared" si="110"/>
        <v>3272.1310000000003</v>
      </c>
      <c r="X65" s="6">
        <f t="shared" si="110"/>
        <v>3586</v>
      </c>
      <c r="Y65" s="6">
        <f t="shared" si="110"/>
        <v>3816.6000000000004</v>
      </c>
      <c r="Z65" s="6">
        <f t="shared" ref="Z65:AE65" si="111">+Z59+Z63</f>
        <v>4232.1400000000003</v>
      </c>
      <c r="AA65" s="6">
        <f>+AA59+AA63</f>
        <v>4447.6129999999994</v>
      </c>
      <c r="AB65" s="6">
        <f t="shared" si="111"/>
        <v>5115.6629999999996</v>
      </c>
      <c r="AC65" s="6">
        <f t="shared" si="111"/>
        <v>5119.0370000000003</v>
      </c>
      <c r="AD65" s="6">
        <f t="shared" si="111"/>
        <v>5112.5</v>
      </c>
      <c r="AE65" s="6">
        <f t="shared" si="111"/>
        <v>4883.1000000000004</v>
      </c>
      <c r="AF65" s="6">
        <f t="shared" ref="AF65:AK65" si="112">+AF59+AF63</f>
        <v>5520.5</v>
      </c>
      <c r="AG65" s="6">
        <f t="shared" si="112"/>
        <v>6121.45</v>
      </c>
      <c r="AH65" s="6">
        <f t="shared" si="112"/>
        <v>6740.2259999999997</v>
      </c>
      <c r="AI65" s="6">
        <f t="shared" si="112"/>
        <v>6884.195999999999</v>
      </c>
      <c r="AJ65" s="16">
        <f t="shared" si="112"/>
        <v>7207.6</v>
      </c>
      <c r="AK65" s="16">
        <f t="shared" si="112"/>
        <v>7672.0999999999995</v>
      </c>
      <c r="AL65" s="16"/>
      <c r="AM65" s="16"/>
      <c r="AN65" s="16"/>
      <c r="AO65" s="16"/>
      <c r="AP65" s="16"/>
      <c r="AQ65" s="16"/>
      <c r="AR65" s="16"/>
      <c r="AS65" s="100"/>
      <c r="AT65" s="56"/>
      <c r="AU65" s="97"/>
      <c r="AV65" s="56"/>
      <c r="AW65" s="102" t="s">
        <v>1084</v>
      </c>
      <c r="AX65" s="494" t="s">
        <v>344</v>
      </c>
      <c r="AY65" s="2" t="s">
        <v>992</v>
      </c>
      <c r="AZ65" s="496">
        <f>+AZ77*(AZ74-AZ72)</f>
        <v>30.772241377042004</v>
      </c>
      <c r="BA65" s="496">
        <f>+BA77*(BA74-BA72)</f>
        <v>30.772241377042004</v>
      </c>
      <c r="BB65" s="496">
        <f>+BB77*(BB74-BB72)</f>
        <v>30.772241377042004</v>
      </c>
      <c r="BC65" s="496">
        <f>+BC77*(BC74-BC72)</f>
        <v>30.772241377042004</v>
      </c>
      <c r="BD65" s="496">
        <f>+BD77*(BD74-3.7)</f>
        <v>-14.938569400911565</v>
      </c>
      <c r="BE65" s="496">
        <f>+BE77*(BE74-3.7)*(1+BE80)</f>
        <v>-8.5482496411397673</v>
      </c>
      <c r="BF65" s="496">
        <f t="shared" ref="BF65:BK65" si="113">+BF77*(BF74-BF73)</f>
        <v>14.000000000000004</v>
      </c>
      <c r="BG65" s="496">
        <f t="shared" si="113"/>
        <v>41.475000000000016</v>
      </c>
      <c r="BH65" s="496">
        <f t="shared" si="113"/>
        <v>24.600000000000023</v>
      </c>
      <c r="BI65" s="496">
        <f t="shared" si="113"/>
        <v>22.125000000000018</v>
      </c>
      <c r="BJ65" s="496">
        <f t="shared" si="113"/>
        <v>19.575750000000014</v>
      </c>
      <c r="BK65" s="496">
        <f t="shared" si="113"/>
        <v>16.950022500000017</v>
      </c>
      <c r="BL65" s="496">
        <f t="shared" ref="BL65:BQ65" si="114">+BL77*(BL74-BL73)</f>
        <v>15.316523175000018</v>
      </c>
      <c r="BM65" s="496">
        <f t="shared" si="114"/>
        <v>14.694308870250017</v>
      </c>
      <c r="BN65" s="496">
        <f t="shared" si="114"/>
        <v>12.928449736357518</v>
      </c>
      <c r="BO65" s="496">
        <f t="shared" si="114"/>
        <v>43.117492369471847</v>
      </c>
      <c r="BP65" s="496">
        <f>+BP77*(BP74-BP73)</f>
        <v>47.324898235589586</v>
      </c>
      <c r="BQ65" s="496">
        <f t="shared" si="114"/>
        <v>49.011275761786273</v>
      </c>
      <c r="BR65" s="496">
        <f>+BR77*(BR74-BR73)</f>
        <v>52.672581536051752</v>
      </c>
      <c r="BS65" s="496">
        <f>+BS77*(BS74-BS73)</f>
        <v>56.544258048265966</v>
      </c>
    </row>
    <row r="66" spans="1:71" outlineLevel="1">
      <c r="A66" s="213" t="s">
        <v>1085</v>
      </c>
      <c r="B66" s="8"/>
      <c r="C66" s="8"/>
      <c r="D66" s="8"/>
      <c r="E66" s="8"/>
      <c r="F66" s="8"/>
      <c r="G66" s="8"/>
      <c r="H66" s="8"/>
      <c r="I66" s="8"/>
      <c r="J66" s="8"/>
      <c r="K66" s="8"/>
      <c r="L66" s="8"/>
      <c r="M66" s="8"/>
      <c r="N66" s="8"/>
      <c r="O66" s="8">
        <f t="shared" ref="O66:AI66" si="115">O65/N65-1</f>
        <v>0.18309859154929575</v>
      </c>
      <c r="P66" s="13">
        <f t="shared" si="115"/>
        <v>0.22549019607843146</v>
      </c>
      <c r="Q66" s="13">
        <f t="shared" si="115"/>
        <v>0.11257142857142854</v>
      </c>
      <c r="R66" s="13">
        <f t="shared" si="115"/>
        <v>9.6045197740112886E-2</v>
      </c>
      <c r="S66" s="13">
        <f t="shared" si="115"/>
        <v>0.14151827553889418</v>
      </c>
      <c r="T66" s="13">
        <f t="shared" si="115"/>
        <v>6.2397372742200252E-2</v>
      </c>
      <c r="U66" s="13">
        <f t="shared" si="115"/>
        <v>0.18943431221020091</v>
      </c>
      <c r="V66" s="13">
        <f t="shared" si="115"/>
        <v>7.2423801009402711E-2</v>
      </c>
      <c r="W66" s="13">
        <f t="shared" si="115"/>
        <v>-8.8040845814922886E-3</v>
      </c>
      <c r="X66" s="8">
        <f t="shared" si="115"/>
        <v>9.5921893102690392E-2</v>
      </c>
      <c r="Y66" s="8">
        <f t="shared" si="115"/>
        <v>6.4305633017289532E-2</v>
      </c>
      <c r="Z66" s="8">
        <f t="shared" si="115"/>
        <v>0.10887701095215641</v>
      </c>
      <c r="AA66" s="8">
        <f t="shared" si="115"/>
        <v>5.0913485848766538E-2</v>
      </c>
      <c r="AB66" s="8">
        <f t="shared" si="115"/>
        <v>0.15020416569517181</v>
      </c>
      <c r="AC66" s="8">
        <f t="shared" si="115"/>
        <v>6.5954305434123839E-4</v>
      </c>
      <c r="AD66" s="8">
        <f t="shared" si="115"/>
        <v>-1.2769979978656254E-3</v>
      </c>
      <c r="AE66" s="8">
        <f t="shared" si="115"/>
        <v>-4.4870415647921713E-2</v>
      </c>
      <c r="AF66" s="8">
        <f t="shared" si="115"/>
        <v>0.13053183428559723</v>
      </c>
      <c r="AG66" s="8">
        <f t="shared" si="115"/>
        <v>0.10885789330676565</v>
      </c>
      <c r="AH66" s="8">
        <f t="shared" si="115"/>
        <v>0.10108324008200675</v>
      </c>
      <c r="AI66" s="8">
        <f t="shared" si="115"/>
        <v>2.1359817905215461E-2</v>
      </c>
      <c r="AJ66" s="193">
        <f>AJ65/AI65-1</f>
        <v>4.6977744387289633E-2</v>
      </c>
      <c r="AK66" s="193">
        <f>AK65/AJ65-1</f>
        <v>6.4445862700482692E-2</v>
      </c>
      <c r="AL66" s="193"/>
      <c r="AM66" s="193"/>
      <c r="AN66" s="193"/>
      <c r="AO66" s="193"/>
      <c r="AP66" s="193"/>
      <c r="AQ66" s="193"/>
      <c r="AR66" s="193"/>
      <c r="AS66" s="100"/>
      <c r="AT66" s="56"/>
      <c r="AU66" s="57"/>
      <c r="AV66" s="56"/>
      <c r="AW66" s="100"/>
      <c r="AX66" s="494" t="s">
        <v>320</v>
      </c>
      <c r="AY66" s="2" t="s">
        <v>321</v>
      </c>
      <c r="AZ66" s="501">
        <f t="shared" ref="AZ66:BS66" si="116">+Y70*AZ73</f>
        <v>-30</v>
      </c>
      <c r="BA66" s="501">
        <f t="shared" si="116"/>
        <v>-42</v>
      </c>
      <c r="BB66" s="501">
        <f t="shared" si="116"/>
        <v>-36</v>
      </c>
      <c r="BC66" s="501">
        <f t="shared" si="116"/>
        <v>-38</v>
      </c>
      <c r="BD66" s="501">
        <f t="shared" si="116"/>
        <v>-47.5</v>
      </c>
      <c r="BE66" s="501">
        <f t="shared" si="116"/>
        <v>-68.399999999999991</v>
      </c>
      <c r="BF66" s="501">
        <f t="shared" si="116"/>
        <v>-56</v>
      </c>
      <c r="BG66" s="501">
        <f t="shared" si="116"/>
        <v>-47.25</v>
      </c>
      <c r="BH66" s="501">
        <f t="shared" si="116"/>
        <v>-66</v>
      </c>
      <c r="BI66" s="501">
        <f t="shared" si="116"/>
        <v>-67.98</v>
      </c>
      <c r="BJ66" s="501">
        <f t="shared" si="116"/>
        <v>-73.52037</v>
      </c>
      <c r="BK66" s="501">
        <f t="shared" si="116"/>
        <v>-68.513982900000002</v>
      </c>
      <c r="BL66" s="501">
        <f t="shared" si="116"/>
        <v>-107.71119311699999</v>
      </c>
      <c r="BM66" s="501">
        <f t="shared" si="116"/>
        <v>-53.558462232660005</v>
      </c>
      <c r="BN66" s="501">
        <f t="shared" si="116"/>
        <v>-102.4496870421882</v>
      </c>
      <c r="BO66" s="501">
        <f t="shared" si="116"/>
        <v>-78.807451570913997</v>
      </c>
      <c r="BP66" s="501">
        <f t="shared" si="116"/>
        <v>-78.807451570913997</v>
      </c>
      <c r="BQ66" s="501">
        <f t="shared" si="116"/>
        <v>-78.807451570913997</v>
      </c>
      <c r="BR66" s="501">
        <f t="shared" si="116"/>
        <v>-78.807451570913997</v>
      </c>
      <c r="BS66" s="501">
        <f t="shared" si="116"/>
        <v>-78.807451570913997</v>
      </c>
    </row>
    <row r="67" spans="1:71">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14"/>
      <c r="AK67" s="14"/>
      <c r="AL67" s="14"/>
      <c r="AM67" s="14"/>
      <c r="AN67" s="14"/>
      <c r="AO67" s="14"/>
      <c r="AP67" s="14"/>
      <c r="AQ67" s="14"/>
      <c r="AR67" s="14"/>
      <c r="AS67" s="100"/>
      <c r="AT67" s="56"/>
      <c r="AU67" s="57"/>
      <c r="AV67" s="56"/>
      <c r="AW67" s="100"/>
      <c r="AX67" s="494" t="s">
        <v>756</v>
      </c>
      <c r="AY67" s="472" t="s">
        <v>456</v>
      </c>
      <c r="AZ67" s="502">
        <f t="shared" ref="AZ67:BJ67" si="117">+SUM(AZ60:AZ66)</f>
        <v>2780.6522413770422</v>
      </c>
      <c r="BA67" s="502">
        <f t="shared" si="117"/>
        <v>3099.0892413770421</v>
      </c>
      <c r="BB67" s="502">
        <f t="shared" si="117"/>
        <v>3179.3406313770424</v>
      </c>
      <c r="BC67" s="502">
        <f t="shared" si="117"/>
        <v>3634.006671377042</v>
      </c>
      <c r="BD67" s="502">
        <f t="shared" si="117"/>
        <v>3696.6948638824465</v>
      </c>
      <c r="BE67" s="502">
        <f t="shared" si="117"/>
        <v>3482.8929680358247</v>
      </c>
      <c r="BF67" s="502">
        <f t="shared" si="117"/>
        <v>3403.7179999999998</v>
      </c>
      <c r="BG67" s="502">
        <f t="shared" si="117"/>
        <v>4039.1849999999999</v>
      </c>
      <c r="BH67" s="502">
        <f t="shared" si="117"/>
        <v>4596.8484056091147</v>
      </c>
      <c r="BI67" s="502">
        <f t="shared" si="117"/>
        <v>4960.6750355319755</v>
      </c>
      <c r="BJ67" s="502">
        <f t="shared" si="117"/>
        <v>5316.7652547078214</v>
      </c>
      <c r="BK67" s="502">
        <f>AJ59</f>
        <v>5700.1</v>
      </c>
      <c r="BL67" s="502">
        <f>+SUM(BL60:BL66)</f>
        <v>6041.2513741257972</v>
      </c>
      <c r="BM67" s="502">
        <f>+SUM(BM60:BM66)</f>
        <v>6084.0577268076531</v>
      </c>
      <c r="BN67" s="502">
        <f>+SUM(BN60:BN66)</f>
        <v>5697.3929333141359</v>
      </c>
      <c r="BO67" s="502">
        <f t="shared" ref="BO67:BR67" si="118">+SUM(BO60:BO66)</f>
        <v>5862.7991723531168</v>
      </c>
      <c r="BP67" s="502">
        <f t="shared" si="118"/>
        <v>5976.3530253246572</v>
      </c>
      <c r="BQ67" s="502">
        <f t="shared" si="118"/>
        <v>6093.7017044633767</v>
      </c>
      <c r="BR67" s="502">
        <f t="shared" si="118"/>
        <v>6217.9974679605939</v>
      </c>
      <c r="BS67" s="502">
        <f t="shared" ref="BS67" si="119">+SUM(BS60:BS66)</f>
        <v>6349.6415251312756</v>
      </c>
    </row>
    <row r="68" spans="1:71">
      <c r="A68" s="213" t="s">
        <v>1086</v>
      </c>
      <c r="B68" s="260"/>
      <c r="C68" s="260"/>
      <c r="D68" s="260"/>
      <c r="E68" s="260"/>
      <c r="F68" s="260"/>
      <c r="G68" s="260"/>
      <c r="H68" s="260"/>
      <c r="I68" s="260"/>
      <c r="J68" s="260"/>
      <c r="K68" s="260">
        <v>328</v>
      </c>
      <c r="L68" s="5">
        <f>+K71</f>
        <v>384</v>
      </c>
      <c r="M68" s="5">
        <f t="shared" ref="M68:AK68" si="120">L71</f>
        <v>442</v>
      </c>
      <c r="N68" s="5">
        <f t="shared" si="120"/>
        <v>507</v>
      </c>
      <c r="O68" s="5">
        <f t="shared" si="120"/>
        <v>545</v>
      </c>
      <c r="P68" s="5">
        <f t="shared" si="120"/>
        <v>570</v>
      </c>
      <c r="Q68" s="5">
        <f t="shared" si="120"/>
        <v>601</v>
      </c>
      <c r="R68" s="5">
        <f t="shared" si="120"/>
        <v>671</v>
      </c>
      <c r="S68" s="5">
        <f t="shared" si="120"/>
        <v>736</v>
      </c>
      <c r="T68" s="5">
        <f t="shared" si="120"/>
        <v>789</v>
      </c>
      <c r="U68" s="5">
        <f t="shared" si="120"/>
        <v>829</v>
      </c>
      <c r="V68" s="5">
        <f t="shared" si="120"/>
        <v>896</v>
      </c>
      <c r="W68" s="5">
        <f t="shared" si="120"/>
        <v>958</v>
      </c>
      <c r="X68" s="343">
        <f t="shared" si="120"/>
        <v>1002</v>
      </c>
      <c r="Y68" s="343">
        <f t="shared" si="120"/>
        <v>1014</v>
      </c>
      <c r="Z68" s="343">
        <f t="shared" si="120"/>
        <v>1009</v>
      </c>
      <c r="AA68" s="343">
        <f t="shared" si="120"/>
        <v>1001</v>
      </c>
      <c r="AB68" s="343">
        <f t="shared" si="120"/>
        <v>998</v>
      </c>
      <c r="AC68" s="343">
        <f t="shared" si="120"/>
        <v>1003</v>
      </c>
      <c r="AD68" s="343">
        <f t="shared" si="120"/>
        <v>1020</v>
      </c>
      <c r="AE68" s="343">
        <f t="shared" si="120"/>
        <v>1043</v>
      </c>
      <c r="AF68" s="343">
        <f t="shared" si="120"/>
        <v>1044</v>
      </c>
      <c r="AG68" s="343">
        <f t="shared" si="120"/>
        <v>1040</v>
      </c>
      <c r="AH68" s="343">
        <f t="shared" si="120"/>
        <v>1036</v>
      </c>
      <c r="AI68" s="343">
        <f t="shared" si="120"/>
        <v>1047</v>
      </c>
      <c r="AJ68" s="343">
        <f t="shared" si="120"/>
        <v>1094</v>
      </c>
      <c r="AK68" s="343">
        <f t="shared" si="120"/>
        <v>1127</v>
      </c>
      <c r="AL68" s="343">
        <f t="shared" ref="AL68:AR68" si="121">AK71</f>
        <v>1133</v>
      </c>
      <c r="AM68" s="343">
        <f t="shared" si="121"/>
        <v>1146</v>
      </c>
      <c r="AN68" s="343">
        <f t="shared" si="121"/>
        <v>1137</v>
      </c>
      <c r="AO68" s="343">
        <f t="shared" si="121"/>
        <v>1131</v>
      </c>
      <c r="AP68" s="343">
        <f t="shared" si="121"/>
        <v>1126</v>
      </c>
      <c r="AQ68" s="343">
        <f t="shared" si="121"/>
        <v>1121</v>
      </c>
      <c r="AR68" s="343">
        <f t="shared" si="121"/>
        <v>1116</v>
      </c>
      <c r="AS68" s="100"/>
      <c r="AT68" s="56"/>
      <c r="AU68" s="57"/>
      <c r="AV68" s="56"/>
      <c r="AW68" s="100"/>
      <c r="AX68" s="494"/>
      <c r="AY68" s="2"/>
      <c r="AZ68" s="655"/>
      <c r="BA68" s="655"/>
      <c r="BB68" s="655"/>
      <c r="BC68" s="655"/>
      <c r="BD68" s="655"/>
      <c r="BE68" s="655"/>
      <c r="BF68" s="749"/>
      <c r="BG68" s="492"/>
      <c r="BH68" s="492"/>
      <c r="BI68" s="492"/>
      <c r="BJ68" s="492"/>
      <c r="BK68" s="492"/>
      <c r="BL68" s="492"/>
      <c r="BM68" s="492"/>
      <c r="BN68" s="492"/>
      <c r="BO68" s="492"/>
      <c r="BP68" s="492"/>
      <c r="BQ68" s="492"/>
      <c r="BR68" s="492"/>
      <c r="BS68" s="492"/>
    </row>
    <row r="69" spans="1:71">
      <c r="A69" s="213" t="s">
        <v>937</v>
      </c>
      <c r="B69" s="260"/>
      <c r="C69" s="260"/>
      <c r="D69" s="260"/>
      <c r="E69" s="260"/>
      <c r="F69" s="260"/>
      <c r="G69" s="260"/>
      <c r="H69" s="260"/>
      <c r="I69" s="260"/>
      <c r="J69" s="260"/>
      <c r="K69" s="260"/>
      <c r="L69" s="5">
        <f>+'store&amp;sf'!D20-'store&amp;sf'!J14</f>
        <v>58</v>
      </c>
      <c r="M69" s="192">
        <f>+'store&amp;sf'!D26-'store&amp;sf'!J20</f>
        <v>65</v>
      </c>
      <c r="N69" s="260">
        <f>545-507</f>
        <v>38</v>
      </c>
      <c r="O69" s="260">
        <f>570-545</f>
        <v>25</v>
      </c>
      <c r="P69" s="260">
        <f>601-570</f>
        <v>31</v>
      </c>
      <c r="Q69" s="260">
        <f>671-601</f>
        <v>70</v>
      </c>
      <c r="R69" s="260">
        <f>730-671+6</f>
        <v>65</v>
      </c>
      <c r="S69" s="343">
        <f>+'store&amp;sf'!BG63</f>
        <v>58</v>
      </c>
      <c r="T69" s="343">
        <f>+'store&amp;sf'!BG69</f>
        <v>55</v>
      </c>
      <c r="U69" s="343">
        <f>+'store&amp;sf'!BG75</f>
        <v>79</v>
      </c>
      <c r="V69" s="343">
        <f>+'store&amp;sf'!BG81</f>
        <v>75</v>
      </c>
      <c r="W69" s="343">
        <f>+'store&amp;sf'!BG87</f>
        <v>60</v>
      </c>
      <c r="X69" s="343">
        <f>+'store&amp;sf'!BG93</f>
        <v>33</v>
      </c>
      <c r="Y69" s="343">
        <f>'store&amp;sf'!BG99</f>
        <v>10</v>
      </c>
      <c r="Z69" s="343">
        <f>'store&amp;sf'!BG105</f>
        <v>13</v>
      </c>
      <c r="AA69" s="343">
        <f>+'store&amp;sf'!BG111</f>
        <v>15</v>
      </c>
      <c r="AB69" s="5">
        <f>'store&amp;sf'!$BG$117</f>
        <v>24</v>
      </c>
      <c r="AC69" s="5">
        <f>+'store&amp;sf'!$BG$123</f>
        <v>36</v>
      </c>
      <c r="AD69" s="5">
        <f>+'store&amp;sf'!$BG$129</f>
        <v>41</v>
      </c>
      <c r="AE69" s="5">
        <f>'store&amp;sf'!BG135</f>
        <v>17</v>
      </c>
      <c r="AF69" s="5">
        <f>'store&amp;sf'!$BG$141</f>
        <v>14</v>
      </c>
      <c r="AG69" s="5">
        <f>'store&amp;sf'!$BG$147</f>
        <v>16</v>
      </c>
      <c r="AH69" s="5">
        <f>'store&amp;sf'!$BG$153</f>
        <v>31</v>
      </c>
      <c r="AI69" s="5">
        <f>'store&amp;sf'!$BG$159</f>
        <v>68</v>
      </c>
      <c r="AJ69" s="5">
        <f>'store&amp;sf'!BG165+'store&amp;sf'!BC165</f>
        <v>52</v>
      </c>
      <c r="AK69" s="5">
        <f>'store&amp;sf'!BG171+'store&amp;sf'!BC171</f>
        <v>35</v>
      </c>
      <c r="AL69" s="5">
        <f>'store&amp;sf'!BC177+'store&amp;sf'!BG177</f>
        <v>27</v>
      </c>
      <c r="AM69" s="5">
        <f>'store&amp;sf'!BC183+'store&amp;sf'!BG183</f>
        <v>17</v>
      </c>
      <c r="AN69" s="464">
        <f>'store&amp;sf'!BC189+'store&amp;sf'!BG189</f>
        <v>14</v>
      </c>
      <c r="AO69" s="260">
        <v>15</v>
      </c>
      <c r="AP69" s="260">
        <v>15</v>
      </c>
      <c r="AQ69" s="260">
        <v>15</v>
      </c>
      <c r="AR69" s="260">
        <v>15</v>
      </c>
      <c r="AS69" s="100"/>
      <c r="AT69" s="56"/>
      <c r="AU69" s="57"/>
      <c r="AV69" s="56"/>
      <c r="AW69" s="100"/>
      <c r="AX69" s="2"/>
      <c r="AY69" s="2"/>
      <c r="AZ69" s="2"/>
      <c r="BA69" s="2"/>
      <c r="BB69" s="2"/>
      <c r="BC69" s="2"/>
      <c r="BD69" s="2"/>
      <c r="BE69" s="2"/>
      <c r="BF69" s="2"/>
      <c r="BG69" s="2"/>
      <c r="BH69" s="2"/>
      <c r="BI69" s="2"/>
      <c r="BJ69" s="2"/>
      <c r="BK69" s="2"/>
      <c r="BL69" s="2"/>
      <c r="BM69" s="2"/>
      <c r="BN69" s="2"/>
      <c r="BO69" s="2"/>
      <c r="BP69" s="2"/>
      <c r="BQ69" s="2"/>
      <c r="BR69" s="2"/>
      <c r="BS69" s="2"/>
    </row>
    <row r="70" spans="1:71">
      <c r="A70" s="214" t="s">
        <v>887</v>
      </c>
      <c r="B70" s="260"/>
      <c r="C70" s="260"/>
      <c r="D70" s="260"/>
      <c r="E70" s="260"/>
      <c r="F70" s="260"/>
      <c r="G70" s="260"/>
      <c r="H70" s="260"/>
      <c r="I70" s="260"/>
      <c r="J70" s="260"/>
      <c r="K70" s="260"/>
      <c r="L70" s="260"/>
      <c r="M70" s="260"/>
      <c r="N70" s="260"/>
      <c r="O70" s="260"/>
      <c r="P70" s="260"/>
      <c r="Q70" s="260"/>
      <c r="R70" s="260"/>
      <c r="S70" s="343">
        <f>+'store&amp;sf'!BH63</f>
        <v>-5</v>
      </c>
      <c r="T70" s="343">
        <f>+'store&amp;sf'!BH69</f>
        <v>-15</v>
      </c>
      <c r="U70" s="343">
        <f>+'store&amp;sf'!BH75</f>
        <v>-12</v>
      </c>
      <c r="V70" s="343">
        <f>+'store&amp;sf'!BH81</f>
        <v>-13</v>
      </c>
      <c r="W70" s="343">
        <f>+'store&amp;sf'!BH87</f>
        <v>-16</v>
      </c>
      <c r="X70" s="343">
        <f>+'store&amp;sf'!BH93</f>
        <v>-21</v>
      </c>
      <c r="Y70" s="343">
        <f>+'store&amp;sf'!BH99</f>
        <v>-15</v>
      </c>
      <c r="Z70" s="343">
        <f>+'store&amp;sf'!BH105</f>
        <v>-21</v>
      </c>
      <c r="AA70" s="343">
        <f>+'store&amp;sf'!BH111</f>
        <v>-18</v>
      </c>
      <c r="AB70" s="192">
        <f>'store&amp;sf'!$BH$117</f>
        <v>-19</v>
      </c>
      <c r="AC70" s="192">
        <f>'store&amp;sf'!$BH123</f>
        <v>-19</v>
      </c>
      <c r="AD70" s="192">
        <f>'store&amp;sf'!$BH129</f>
        <v>-18</v>
      </c>
      <c r="AE70" s="192">
        <f>'store&amp;sf'!BH135</f>
        <v>-16</v>
      </c>
      <c r="AF70" s="192">
        <f>'store&amp;sf'!$BH$141</f>
        <v>-18</v>
      </c>
      <c r="AG70" s="192">
        <f>'store&amp;sf'!$BH$147</f>
        <v>-20</v>
      </c>
      <c r="AH70" s="192">
        <f>'store&amp;sf'!$BH$153</f>
        <v>-20</v>
      </c>
      <c r="AI70" s="192">
        <f>'store&amp;sf'!$BH$159</f>
        <v>-21</v>
      </c>
      <c r="AJ70" s="192">
        <f>'store&amp;sf'!BH165+'store&amp;sf'!BD165</f>
        <v>-19</v>
      </c>
      <c r="AK70" s="192">
        <f>'store&amp;sf'!BH171+'store&amp;sf'!BD171</f>
        <v>-29</v>
      </c>
      <c r="AL70" s="192">
        <f>'store&amp;sf'!BD177+'store&amp;sf'!BH177</f>
        <v>-14</v>
      </c>
      <c r="AM70" s="192">
        <f>'store&amp;sf'!BD183+'store&amp;sf'!BH183</f>
        <v>-26</v>
      </c>
      <c r="AN70" s="192">
        <f>'store&amp;sf'!BD189+'store&amp;sf'!BH189</f>
        <v>-20</v>
      </c>
      <c r="AO70" s="300">
        <f>AN70</f>
        <v>-20</v>
      </c>
      <c r="AP70" s="300">
        <f>AO70</f>
        <v>-20</v>
      </c>
      <c r="AQ70" s="300">
        <f>AP70</f>
        <v>-20</v>
      </c>
      <c r="AR70" s="300">
        <f>AQ70</f>
        <v>-20</v>
      </c>
      <c r="AS70" s="100"/>
      <c r="AT70" s="56"/>
      <c r="AU70" s="57"/>
      <c r="AV70" s="56"/>
      <c r="AW70" s="100"/>
      <c r="AX70" s="2"/>
      <c r="AY70" s="500" t="s">
        <v>1117</v>
      </c>
      <c r="AZ70" s="500"/>
      <c r="BA70" s="2"/>
      <c r="BB70" s="2"/>
      <c r="BC70" s="2"/>
      <c r="BD70" s="2"/>
      <c r="BE70" s="2"/>
      <c r="BF70" s="2"/>
      <c r="BG70" s="2"/>
      <c r="BH70" s="2"/>
      <c r="BI70" s="2"/>
      <c r="BJ70" s="2"/>
      <c r="BK70" s="2"/>
      <c r="BL70" s="2"/>
      <c r="BM70" s="2"/>
      <c r="BN70" s="2"/>
      <c r="BO70" s="2"/>
      <c r="BP70" s="2"/>
      <c r="BQ70" s="2"/>
      <c r="BR70" s="2"/>
      <c r="BS70" s="2"/>
    </row>
    <row r="71" spans="1:71">
      <c r="A71" s="213" t="s">
        <v>1088</v>
      </c>
      <c r="B71" s="5"/>
      <c r="C71" s="5"/>
      <c r="D71" s="5"/>
      <c r="E71" s="5"/>
      <c r="F71" s="5"/>
      <c r="G71" s="5"/>
      <c r="H71" s="5"/>
      <c r="I71" s="5"/>
      <c r="J71" s="5"/>
      <c r="K71" s="5">
        <f>+'store&amp;sf'!J14</f>
        <v>384</v>
      </c>
      <c r="L71" s="5">
        <f t="shared" ref="L71:W71" si="122">+L68+L69+L70</f>
        <v>442</v>
      </c>
      <c r="M71" s="5">
        <f t="shared" si="122"/>
        <v>507</v>
      </c>
      <c r="N71" s="5">
        <f t="shared" si="122"/>
        <v>545</v>
      </c>
      <c r="O71" s="5">
        <f t="shared" si="122"/>
        <v>570</v>
      </c>
      <c r="P71" s="5">
        <f t="shared" si="122"/>
        <v>601</v>
      </c>
      <c r="Q71" s="5">
        <f t="shared" si="122"/>
        <v>671</v>
      </c>
      <c r="R71" s="5">
        <f t="shared" si="122"/>
        <v>736</v>
      </c>
      <c r="S71" s="5">
        <f t="shared" si="122"/>
        <v>789</v>
      </c>
      <c r="T71" s="5">
        <f t="shared" si="122"/>
        <v>829</v>
      </c>
      <c r="U71" s="5">
        <f t="shared" si="122"/>
        <v>896</v>
      </c>
      <c r="V71" s="5">
        <f t="shared" si="122"/>
        <v>958</v>
      </c>
      <c r="W71" s="343">
        <f t="shared" si="122"/>
        <v>1002</v>
      </c>
      <c r="X71" s="343">
        <f t="shared" ref="X71:AK71" si="123">+SUM(X68:X70)</f>
        <v>1014</v>
      </c>
      <c r="Y71" s="343">
        <f t="shared" si="123"/>
        <v>1009</v>
      </c>
      <c r="Z71" s="343">
        <f t="shared" si="123"/>
        <v>1001</v>
      </c>
      <c r="AA71" s="343">
        <f t="shared" si="123"/>
        <v>998</v>
      </c>
      <c r="AB71" s="343">
        <f t="shared" si="123"/>
        <v>1003</v>
      </c>
      <c r="AC71" s="343">
        <f t="shared" si="123"/>
        <v>1020</v>
      </c>
      <c r="AD71" s="343">
        <f t="shared" si="123"/>
        <v>1043</v>
      </c>
      <c r="AE71" s="343">
        <f t="shared" si="123"/>
        <v>1044</v>
      </c>
      <c r="AF71" s="343">
        <f t="shared" si="123"/>
        <v>1040</v>
      </c>
      <c r="AG71" s="343">
        <f t="shared" si="123"/>
        <v>1036</v>
      </c>
      <c r="AH71" s="343">
        <f t="shared" si="123"/>
        <v>1047</v>
      </c>
      <c r="AI71" s="343">
        <f t="shared" si="123"/>
        <v>1094</v>
      </c>
      <c r="AJ71" s="343">
        <f t="shared" si="123"/>
        <v>1127</v>
      </c>
      <c r="AK71" s="343">
        <f t="shared" si="123"/>
        <v>1133</v>
      </c>
      <c r="AL71" s="343">
        <f t="shared" ref="AL71:AQ71" si="124">+SUM(AL68:AL70)</f>
        <v>1146</v>
      </c>
      <c r="AM71" s="343">
        <f t="shared" si="124"/>
        <v>1137</v>
      </c>
      <c r="AN71" s="343">
        <f t="shared" si="124"/>
        <v>1131</v>
      </c>
      <c r="AO71" s="343">
        <f t="shared" si="124"/>
        <v>1126</v>
      </c>
      <c r="AP71" s="343">
        <f t="shared" si="124"/>
        <v>1121</v>
      </c>
      <c r="AQ71" s="343">
        <f t="shared" si="124"/>
        <v>1116</v>
      </c>
      <c r="AR71" s="343">
        <f t="shared" ref="AR71" si="125">+SUM(AR68:AR70)</f>
        <v>1111</v>
      </c>
      <c r="AS71" s="100"/>
      <c r="AT71" s="56">
        <f>((AK71/AF71)^(1/5)-1)*100</f>
        <v>1.7277207609109668</v>
      </c>
      <c r="AU71" s="97" t="s">
        <v>1084</v>
      </c>
      <c r="AV71" s="56">
        <f>((AP71/AK71)^(1/5)-1)*100</f>
        <v>-0.21273016708688308</v>
      </c>
      <c r="AW71" s="100" t="s">
        <v>1084</v>
      </c>
      <c r="AX71" s="2"/>
      <c r="AY71" s="2" t="s">
        <v>1121</v>
      </c>
      <c r="AZ71" s="499">
        <v>4700</v>
      </c>
      <c r="BA71" s="499">
        <v>4700</v>
      </c>
      <c r="BB71" s="503">
        <f t="shared" ref="BB71:BC74" si="126">+BA71</f>
        <v>4700</v>
      </c>
      <c r="BC71" s="503">
        <f t="shared" si="126"/>
        <v>4700</v>
      </c>
      <c r="BD71" s="925">
        <f t="shared" ref="BD71:BO71" si="127">AB84</f>
        <v>5110.6679960119636</v>
      </c>
      <c r="BE71" s="925">
        <f t="shared" si="127"/>
        <v>5489.2156862745096</v>
      </c>
      <c r="BF71" s="925">
        <f t="shared" si="127"/>
        <v>5726.7497603068068</v>
      </c>
      <c r="BG71" s="925">
        <f t="shared" si="127"/>
        <v>5821.8390804597693</v>
      </c>
      <c r="BH71" s="925">
        <f t="shared" si="127"/>
        <v>5892.3076923076924</v>
      </c>
      <c r="BI71" s="925">
        <f t="shared" si="127"/>
        <v>5960.4247104247097</v>
      </c>
      <c r="BJ71" s="925">
        <f t="shared" si="127"/>
        <v>6081.1843361986621</v>
      </c>
      <c r="BK71" s="925">
        <f t="shared" si="127"/>
        <v>6133.455210237661</v>
      </c>
      <c r="BL71" s="925">
        <f t="shared" si="127"/>
        <v>6216.5039929015084</v>
      </c>
      <c r="BM71" s="925">
        <f t="shared" si="127"/>
        <v>6451.0150044130633</v>
      </c>
      <c r="BN71" s="925">
        <f t="shared" si="127"/>
        <v>6611.6928446771381</v>
      </c>
      <c r="BO71" s="925">
        <f t="shared" si="127"/>
        <v>6699.2084432717684</v>
      </c>
      <c r="BP71" s="925">
        <f t="shared" ref="BP71" si="128">AN84</f>
        <v>6774.7562876880684</v>
      </c>
      <c r="BQ71" s="925">
        <f t="shared" ref="BQ71" si="129">AO84</f>
        <v>6893.6495216476069</v>
      </c>
      <c r="BR71" s="925">
        <f t="shared" ref="BR71:BS71" si="130">AP84</f>
        <v>7013.6033553748493</v>
      </c>
      <c r="BS71" s="925">
        <f t="shared" si="130"/>
        <v>7134.6320442430169</v>
      </c>
    </row>
    <row r="72" spans="1:71">
      <c r="A72" s="213" t="s">
        <v>819</v>
      </c>
      <c r="B72" s="9"/>
      <c r="C72" s="9"/>
      <c r="D72" s="9"/>
      <c r="E72" s="9"/>
      <c r="F72" s="9"/>
      <c r="G72" s="9"/>
      <c r="H72" s="9"/>
      <c r="I72" s="9"/>
      <c r="J72" s="9"/>
      <c r="K72" s="9">
        <f t="shared" ref="K72:AK72" si="131">(+K71+K68)/2</f>
        <v>356</v>
      </c>
      <c r="L72" s="9">
        <f t="shared" si="131"/>
        <v>413</v>
      </c>
      <c r="M72" s="9">
        <f t="shared" si="131"/>
        <v>474.5</v>
      </c>
      <c r="N72" s="9">
        <f t="shared" si="131"/>
        <v>526</v>
      </c>
      <c r="O72" s="9">
        <f t="shared" si="131"/>
        <v>557.5</v>
      </c>
      <c r="P72" s="9">
        <f t="shared" si="131"/>
        <v>585.5</v>
      </c>
      <c r="Q72" s="9">
        <f t="shared" si="131"/>
        <v>636</v>
      </c>
      <c r="R72" s="9">
        <f t="shared" si="131"/>
        <v>703.5</v>
      </c>
      <c r="S72" s="9">
        <f t="shared" si="131"/>
        <v>762.5</v>
      </c>
      <c r="T72" s="9">
        <f t="shared" si="131"/>
        <v>809</v>
      </c>
      <c r="U72" s="9">
        <f t="shared" si="131"/>
        <v>862.5</v>
      </c>
      <c r="V72" s="9">
        <f t="shared" si="131"/>
        <v>927</v>
      </c>
      <c r="W72" s="9">
        <f t="shared" si="131"/>
        <v>980</v>
      </c>
      <c r="X72" s="9">
        <f t="shared" si="131"/>
        <v>1008</v>
      </c>
      <c r="Y72" s="9">
        <f t="shared" si="131"/>
        <v>1011.5</v>
      </c>
      <c r="Z72" s="9">
        <f t="shared" si="131"/>
        <v>1005</v>
      </c>
      <c r="AA72" s="9">
        <f t="shared" si="131"/>
        <v>999.5</v>
      </c>
      <c r="AB72" s="9">
        <f t="shared" si="131"/>
        <v>1000.5</v>
      </c>
      <c r="AC72" s="9">
        <f t="shared" si="131"/>
        <v>1011.5</v>
      </c>
      <c r="AD72" s="9">
        <f t="shared" si="131"/>
        <v>1031.5</v>
      </c>
      <c r="AE72" s="9">
        <f t="shared" si="131"/>
        <v>1043.5</v>
      </c>
      <c r="AF72" s="9">
        <f t="shared" si="131"/>
        <v>1042</v>
      </c>
      <c r="AG72" s="9">
        <f t="shared" si="131"/>
        <v>1038</v>
      </c>
      <c r="AH72" s="9">
        <f t="shared" si="131"/>
        <v>1041.5</v>
      </c>
      <c r="AI72" s="9">
        <f t="shared" si="131"/>
        <v>1070.5</v>
      </c>
      <c r="AJ72" s="9">
        <f t="shared" si="131"/>
        <v>1110.5</v>
      </c>
      <c r="AK72" s="9">
        <f t="shared" si="131"/>
        <v>1130</v>
      </c>
      <c r="AL72" s="9">
        <f t="shared" ref="AL72:AQ72" si="132">(+AL71+AL68)/2</f>
        <v>1139.5</v>
      </c>
      <c r="AM72" s="9">
        <f t="shared" si="132"/>
        <v>1141.5</v>
      </c>
      <c r="AN72" s="9">
        <f t="shared" si="132"/>
        <v>1134</v>
      </c>
      <c r="AO72" s="9">
        <f t="shared" si="132"/>
        <v>1128.5</v>
      </c>
      <c r="AP72" s="9">
        <f t="shared" si="132"/>
        <v>1123.5</v>
      </c>
      <c r="AQ72" s="9">
        <f t="shared" si="132"/>
        <v>1118.5</v>
      </c>
      <c r="AR72" s="9">
        <f t="shared" ref="AR72" si="133">(+AR71+AR68)/2</f>
        <v>1113.5</v>
      </c>
      <c r="AS72" s="104"/>
      <c r="AT72" s="56"/>
      <c r="AU72" s="98"/>
      <c r="AV72" s="56"/>
      <c r="AW72" s="104"/>
      <c r="AX72" s="2"/>
      <c r="AY72" s="2" t="s">
        <v>393</v>
      </c>
      <c r="AZ72" s="495">
        <v>2.7</v>
      </c>
      <c r="BA72" s="495">
        <v>2.7</v>
      </c>
      <c r="BB72" s="12">
        <f t="shared" si="126"/>
        <v>2.7</v>
      </c>
      <c r="BC72" s="12">
        <f t="shared" si="126"/>
        <v>2.7</v>
      </c>
      <c r="BD72" s="926">
        <f>AB75</f>
        <v>3.6981509245377309</v>
      </c>
      <c r="BE72" s="926">
        <v>3.7</v>
      </c>
      <c r="BF72" s="927">
        <v>4.2</v>
      </c>
      <c r="BG72" s="926">
        <f>BF72*1.02</f>
        <v>4.2840000000000007</v>
      </c>
      <c r="BH72" s="926">
        <f>BG72</f>
        <v>4.2840000000000007</v>
      </c>
      <c r="BI72" s="926">
        <f>BH72*1</f>
        <v>4.2840000000000007</v>
      </c>
      <c r="BJ72" s="926">
        <f>BI72*1</f>
        <v>4.2840000000000007</v>
      </c>
      <c r="BK72" s="926">
        <f>BJ72*1</f>
        <v>4.2840000000000007</v>
      </c>
      <c r="BL72" s="926">
        <f>BK72*1.01</f>
        <v>4.3268400000000007</v>
      </c>
      <c r="BM72" s="2363">
        <f>BL72*1.02</f>
        <v>4.4133768000000009</v>
      </c>
      <c r="BN72" s="926">
        <f>BM72*1.01</f>
        <v>4.4575105680000009</v>
      </c>
      <c r="BO72" s="2363">
        <f>AM75*1.1</f>
        <v>5.665072273324574</v>
      </c>
      <c r="BP72" s="2363">
        <f>AN75*1.1</f>
        <v>5.7605609722222226</v>
      </c>
      <c r="BQ72" s="2363">
        <f t="shared" ref="BQ72:BS72" si="134">AO75*1.1</f>
        <v>5.8254216463067108</v>
      </c>
      <c r="BR72" s="2363">
        <f t="shared" si="134"/>
        <v>5.9662410991630752</v>
      </c>
      <c r="BS72" s="2363">
        <f t="shared" si="134"/>
        <v>6.1151517342482373</v>
      </c>
    </row>
    <row r="73" spans="1:71">
      <c r="A73" s="213" t="s">
        <v>820</v>
      </c>
      <c r="B73" s="8"/>
      <c r="C73" s="8"/>
      <c r="D73" s="8"/>
      <c r="E73" s="8"/>
      <c r="F73" s="8"/>
      <c r="G73" s="8"/>
      <c r="H73" s="8"/>
      <c r="I73" s="8"/>
      <c r="J73" s="8"/>
      <c r="K73" s="8"/>
      <c r="L73" s="8">
        <f t="shared" ref="L73:AK73" si="135">(L72/K72-1)</f>
        <v>0.1601123595505618</v>
      </c>
      <c r="M73" s="8">
        <f t="shared" si="135"/>
        <v>0.14891041162227614</v>
      </c>
      <c r="N73" s="8">
        <f t="shared" si="135"/>
        <v>0.10853530031612224</v>
      </c>
      <c r="O73" s="8">
        <f t="shared" si="135"/>
        <v>5.988593155893529E-2</v>
      </c>
      <c r="P73" s="8">
        <f t="shared" si="135"/>
        <v>5.0224215246636783E-2</v>
      </c>
      <c r="Q73" s="8">
        <f t="shared" si="135"/>
        <v>8.6251067463706255E-2</v>
      </c>
      <c r="R73" s="8">
        <f t="shared" si="135"/>
        <v>0.10613207547169812</v>
      </c>
      <c r="S73" s="8">
        <f t="shared" si="135"/>
        <v>8.3866382373845028E-2</v>
      </c>
      <c r="T73" s="8">
        <f t="shared" si="135"/>
        <v>6.0983606557377001E-2</v>
      </c>
      <c r="U73" s="8">
        <f t="shared" si="135"/>
        <v>6.6131025957972822E-2</v>
      </c>
      <c r="V73" s="8">
        <f t="shared" si="135"/>
        <v>7.4782608695652231E-2</v>
      </c>
      <c r="W73" s="8">
        <f t="shared" si="135"/>
        <v>5.7173678532901784E-2</v>
      </c>
      <c r="X73" s="8">
        <f t="shared" si="135"/>
        <v>2.857142857142847E-2</v>
      </c>
      <c r="Y73" s="8">
        <f t="shared" si="135"/>
        <v>3.4722222222223209E-3</v>
      </c>
      <c r="Z73" s="8">
        <f t="shared" si="135"/>
        <v>-6.4260998517053913E-3</v>
      </c>
      <c r="AA73" s="8">
        <f t="shared" si="135"/>
        <v>-5.472636815920362E-3</v>
      </c>
      <c r="AB73" s="8">
        <f t="shared" si="135"/>
        <v>1.0005002501249916E-3</v>
      </c>
      <c r="AC73" s="8">
        <f t="shared" si="135"/>
        <v>1.099450274862579E-2</v>
      </c>
      <c r="AD73" s="8">
        <f t="shared" si="135"/>
        <v>1.9772614928324161E-2</v>
      </c>
      <c r="AE73" s="8">
        <f t="shared" si="135"/>
        <v>1.1633543383422262E-2</v>
      </c>
      <c r="AF73" s="8">
        <f t="shared" si="135"/>
        <v>-1.4374700527072237E-3</v>
      </c>
      <c r="AG73" s="8">
        <f t="shared" si="135"/>
        <v>-3.8387715930902067E-3</v>
      </c>
      <c r="AH73" s="8">
        <f t="shared" si="135"/>
        <v>3.3718689788053702E-3</v>
      </c>
      <c r="AI73" s="8">
        <f t="shared" si="135"/>
        <v>2.7844455112818078E-2</v>
      </c>
      <c r="AJ73" s="8">
        <f t="shared" si="135"/>
        <v>3.736571695469415E-2</v>
      </c>
      <c r="AK73" s="8">
        <f t="shared" si="135"/>
        <v>1.755965781179647E-2</v>
      </c>
      <c r="AL73" s="8">
        <f t="shared" ref="AL73:AR73" si="136">(AL72/AK72-1)</f>
        <v>8.4070796460176123E-3</v>
      </c>
      <c r="AM73" s="8">
        <f t="shared" si="136"/>
        <v>1.7551557700745679E-3</v>
      </c>
      <c r="AN73" s="8">
        <f t="shared" si="136"/>
        <v>-6.5703022339027584E-3</v>
      </c>
      <c r="AO73" s="8">
        <f t="shared" si="136"/>
        <v>-4.8500881834214749E-3</v>
      </c>
      <c r="AP73" s="8">
        <f t="shared" si="136"/>
        <v>-4.4306601683651303E-3</v>
      </c>
      <c r="AQ73" s="8">
        <f t="shared" si="136"/>
        <v>-4.4503782821539994E-3</v>
      </c>
      <c r="AR73" s="8">
        <f t="shared" si="136"/>
        <v>-4.4702726866339138E-3</v>
      </c>
      <c r="AS73" s="100"/>
      <c r="AT73" s="56"/>
      <c r="AU73" s="57"/>
      <c r="AV73" s="56"/>
      <c r="AW73" s="100"/>
      <c r="AX73" s="2"/>
      <c r="AY73" s="2" t="s">
        <v>394</v>
      </c>
      <c r="AZ73" s="495">
        <v>2</v>
      </c>
      <c r="BA73" s="495">
        <v>2</v>
      </c>
      <c r="BB73" s="12">
        <f t="shared" si="126"/>
        <v>2</v>
      </c>
      <c r="BC73" s="12">
        <f t="shared" si="126"/>
        <v>2</v>
      </c>
      <c r="BD73" s="926">
        <v>2.5</v>
      </c>
      <c r="BE73" s="926">
        <v>3.8</v>
      </c>
      <c r="BF73" s="927">
        <v>3.5</v>
      </c>
      <c r="BG73" s="926">
        <f>BF73*0.75</f>
        <v>2.625</v>
      </c>
      <c r="BH73" s="926">
        <v>3.3</v>
      </c>
      <c r="BI73" s="926">
        <f t="shared" ref="BI73:BN73" si="137">BH73*1.03</f>
        <v>3.399</v>
      </c>
      <c r="BJ73" s="926">
        <f t="shared" si="137"/>
        <v>3.5009700000000001</v>
      </c>
      <c r="BK73" s="926">
        <f t="shared" si="137"/>
        <v>3.6059991</v>
      </c>
      <c r="BL73" s="926">
        <f t="shared" si="137"/>
        <v>3.7141790729999999</v>
      </c>
      <c r="BM73" s="926">
        <f t="shared" si="137"/>
        <v>3.8256044451900002</v>
      </c>
      <c r="BN73" s="926">
        <f t="shared" si="137"/>
        <v>3.9403725785457002</v>
      </c>
      <c r="BO73" s="926">
        <f>BN73</f>
        <v>3.9403725785457002</v>
      </c>
      <c r="BP73" s="926">
        <f t="shared" ref="BP73:BS73" si="138">BO73</f>
        <v>3.9403725785457002</v>
      </c>
      <c r="BQ73" s="926">
        <f t="shared" si="138"/>
        <v>3.9403725785457002</v>
      </c>
      <c r="BR73" s="926">
        <f t="shared" si="138"/>
        <v>3.9403725785457002</v>
      </c>
      <c r="BS73" s="926">
        <f t="shared" si="138"/>
        <v>3.9403725785457002</v>
      </c>
    </row>
    <row r="74" spans="1:71">
      <c r="A74" s="2"/>
      <c r="B74" s="2"/>
      <c r="C74" s="2"/>
      <c r="D74" s="2"/>
      <c r="E74" s="2"/>
      <c r="F74" s="2"/>
      <c r="G74" s="2"/>
      <c r="H74" s="2"/>
      <c r="I74" s="2"/>
      <c r="J74" s="2"/>
      <c r="K74" s="2"/>
      <c r="L74" s="2"/>
      <c r="M74" s="2"/>
      <c r="N74" s="2"/>
      <c r="O74" s="2"/>
      <c r="P74" s="2"/>
      <c r="Q74" s="2"/>
      <c r="R74" s="8"/>
      <c r="S74" s="8"/>
      <c r="T74" s="2"/>
      <c r="U74" s="2"/>
      <c r="V74" s="2"/>
      <c r="W74" s="2"/>
      <c r="X74" s="2"/>
      <c r="Y74" s="2"/>
      <c r="Z74" s="2"/>
      <c r="AA74" s="2"/>
      <c r="AB74" s="2"/>
      <c r="AC74" s="2"/>
      <c r="AD74" s="2"/>
      <c r="AE74" s="2"/>
      <c r="AF74" s="2"/>
      <c r="AG74" s="2"/>
      <c r="AH74" s="2"/>
      <c r="AI74" s="2"/>
      <c r="AJ74" s="2"/>
      <c r="AK74" s="2"/>
      <c r="AL74" s="2"/>
      <c r="AM74" s="2"/>
      <c r="AN74" s="2"/>
      <c r="AO74" s="2"/>
      <c r="AP74" s="2"/>
      <c r="AQ74" s="2"/>
      <c r="AR74" s="2"/>
      <c r="AS74" s="100"/>
      <c r="AT74" s="56"/>
      <c r="AU74" s="57"/>
      <c r="AV74" s="56"/>
      <c r="AW74" s="100"/>
      <c r="AX74" s="2"/>
      <c r="AY74" s="2" t="s">
        <v>395</v>
      </c>
      <c r="AZ74" s="12">
        <f>+X87*(1+AZ80)*((AZ71+AZ79)/1000000)</f>
        <v>3.5316821993795138</v>
      </c>
      <c r="BA74" s="12">
        <f>+X87*(1+BA80)*((BA71+BA79)/1000000)</f>
        <v>3.5316821993795138</v>
      </c>
      <c r="BB74" s="12">
        <f t="shared" si="126"/>
        <v>3.5316821993795138</v>
      </c>
      <c r="BC74" s="12">
        <f t="shared" si="126"/>
        <v>3.5316821993795138</v>
      </c>
      <c r="BD74" s="926">
        <f>+AB87*(1+BD80)*((BD71+BD79)/1000000)</f>
        <v>3.5850879276852958</v>
      </c>
      <c r="BE74" s="926">
        <f>+AC87*(1+BE80)*((BE71+BE79)/1000000)</f>
        <v>3.5495026471630324</v>
      </c>
      <c r="BF74" s="927">
        <v>4.2</v>
      </c>
      <c r="BG74" s="926">
        <f t="shared" ref="BG74:BL74" si="139">BG72</f>
        <v>4.2840000000000007</v>
      </c>
      <c r="BH74" s="926">
        <f t="shared" si="139"/>
        <v>4.2840000000000007</v>
      </c>
      <c r="BI74" s="926">
        <f t="shared" si="139"/>
        <v>4.2840000000000007</v>
      </c>
      <c r="BJ74" s="926">
        <f t="shared" si="139"/>
        <v>4.2840000000000007</v>
      </c>
      <c r="BK74" s="926">
        <f t="shared" si="139"/>
        <v>4.2840000000000007</v>
      </c>
      <c r="BL74" s="926">
        <f t="shared" si="139"/>
        <v>4.3268400000000007</v>
      </c>
      <c r="BM74" s="926">
        <f t="shared" ref="BM74:BO74" si="140">BM72</f>
        <v>4.4133768000000009</v>
      </c>
      <c r="BN74" s="926">
        <f t="shared" si="140"/>
        <v>4.4575105680000009</v>
      </c>
      <c r="BO74" s="926">
        <f t="shared" si="140"/>
        <v>5.665072273324574</v>
      </c>
      <c r="BP74" s="926">
        <f t="shared" ref="BP74:BR74" si="141">BP72</f>
        <v>5.7605609722222226</v>
      </c>
      <c r="BQ74" s="926">
        <f t="shared" si="141"/>
        <v>5.8254216463067108</v>
      </c>
      <c r="BR74" s="926">
        <f t="shared" si="141"/>
        <v>5.9662410991630752</v>
      </c>
      <c r="BS74" s="926">
        <f t="shared" ref="BS74" si="142">BS72</f>
        <v>6.1151517342482373</v>
      </c>
    </row>
    <row r="75" spans="1:71">
      <c r="A75" s="213" t="s">
        <v>888</v>
      </c>
      <c r="B75" s="12"/>
      <c r="C75" s="12"/>
      <c r="D75" s="12"/>
      <c r="E75" s="12"/>
      <c r="F75" s="12"/>
      <c r="G75" s="12"/>
      <c r="H75" s="12"/>
      <c r="I75" s="12"/>
      <c r="J75" s="12"/>
      <c r="K75" s="12"/>
      <c r="L75" s="12"/>
      <c r="M75" s="12"/>
      <c r="N75" s="12">
        <f t="shared" ref="N75:AF75" si="143">(N59)/N72</f>
        <v>1.5969581749049431</v>
      </c>
      <c r="O75" s="12">
        <f t="shared" si="143"/>
        <v>1.779372197309417</v>
      </c>
      <c r="P75" s="12">
        <f t="shared" si="143"/>
        <v>2.0170794192997437</v>
      </c>
      <c r="Q75" s="12">
        <f t="shared" si="143"/>
        <v>2.0220125786163523</v>
      </c>
      <c r="R75" s="12">
        <f t="shared" si="143"/>
        <v>2.0611229566453448</v>
      </c>
      <c r="S75" s="12">
        <f t="shared" si="143"/>
        <v>2.2321311475409837</v>
      </c>
      <c r="T75" s="12">
        <f t="shared" si="143"/>
        <v>2.2608158220024723</v>
      </c>
      <c r="U75" s="12">
        <f t="shared" si="143"/>
        <v>2.4605947826086956</v>
      </c>
      <c r="V75" s="12">
        <f t="shared" si="143"/>
        <v>2.5229255663430421</v>
      </c>
      <c r="W75" s="12">
        <f t="shared" si="143"/>
        <v>2.4520979591836736</v>
      </c>
      <c r="X75" s="12">
        <f t="shared" si="143"/>
        <v>2.6259920634920637</v>
      </c>
      <c r="Y75" s="12">
        <f t="shared" si="143"/>
        <v>2.7892239248640633</v>
      </c>
      <c r="Z75" s="12">
        <f t="shared" si="143"/>
        <v>3.0974517412935327</v>
      </c>
      <c r="AA75" s="12">
        <f t="shared" si="143"/>
        <v>3.2236248124062028</v>
      </c>
      <c r="AB75" s="12">
        <f t="shared" si="143"/>
        <v>3.6981509245377309</v>
      </c>
      <c r="AC75" s="12">
        <f t="shared" si="143"/>
        <v>3.6803133959466137</v>
      </c>
      <c r="AD75" s="12">
        <f t="shared" si="143"/>
        <v>3.4800775569558895</v>
      </c>
      <c r="AE75" s="12">
        <f t="shared" si="143"/>
        <v>3.3498802108289412</v>
      </c>
      <c r="AF75" s="12">
        <f t="shared" si="143"/>
        <v>3.8564299424184263</v>
      </c>
      <c r="AG75" s="12">
        <f t="shared" ref="AG75:AM75" si="144">(AG59)/AG72</f>
        <v>4.3969171483622347</v>
      </c>
      <c r="AH75" s="12">
        <f t="shared" si="144"/>
        <v>4.9419356697071528</v>
      </c>
      <c r="AI75" s="12">
        <f t="shared" si="144"/>
        <v>5.0144754787482473</v>
      </c>
      <c r="AJ75" s="12">
        <f>(AJ59)/AJ72</f>
        <v>5.1329131022062136</v>
      </c>
      <c r="AK75" s="12">
        <f>(AK59)/AK72</f>
        <v>5.4092035398230083</v>
      </c>
      <c r="AL75" s="12">
        <f t="shared" si="144"/>
        <v>5.4400175515577009</v>
      </c>
      <c r="AM75" s="12">
        <f t="shared" si="144"/>
        <v>5.1500657030223396</v>
      </c>
      <c r="AN75" s="12">
        <f>(AN59)/AN72</f>
        <v>5.2368736111111112</v>
      </c>
      <c r="AO75" s="12">
        <f>(AO59)/AO72</f>
        <v>5.2958378602788274</v>
      </c>
      <c r="AP75" s="12">
        <f>(AP59)/AP72</f>
        <v>5.423855544693704</v>
      </c>
      <c r="AQ75" s="12">
        <f>(AQ59)/AQ72</f>
        <v>5.5592288493165789</v>
      </c>
      <c r="AR75" s="12">
        <f>(AR59)/AR72</f>
        <v>5.7024171756904138</v>
      </c>
      <c r="AS75" s="100"/>
      <c r="AT75" s="56"/>
      <c r="AU75" s="57"/>
      <c r="AV75" s="56"/>
      <c r="AW75" s="100"/>
      <c r="AX75" s="2"/>
      <c r="AY75" s="2"/>
      <c r="AZ75" s="2"/>
      <c r="BA75" s="2"/>
      <c r="BB75" s="2"/>
      <c r="BC75" s="2"/>
      <c r="BD75" s="14"/>
      <c r="BE75" s="14"/>
      <c r="BF75" s="14"/>
      <c r="BG75" s="14"/>
      <c r="BH75" s="14"/>
      <c r="BI75" s="14"/>
      <c r="BJ75" s="14"/>
      <c r="BK75" s="14"/>
      <c r="BL75" s="14"/>
      <c r="BM75" s="14"/>
      <c r="BN75" s="14"/>
      <c r="BO75" s="14"/>
      <c r="BP75" s="14"/>
      <c r="BQ75" s="14"/>
      <c r="BR75" s="14"/>
      <c r="BS75" s="14"/>
    </row>
    <row r="76" spans="1:71">
      <c r="A76" s="213" t="s">
        <v>1085</v>
      </c>
      <c r="B76" s="13"/>
      <c r="C76" s="13"/>
      <c r="D76" s="13"/>
      <c r="E76" s="13"/>
      <c r="F76" s="13"/>
      <c r="G76" s="13"/>
      <c r="H76" s="13"/>
      <c r="I76" s="13"/>
      <c r="J76" s="13"/>
      <c r="K76" s="13"/>
      <c r="L76" s="13"/>
      <c r="M76" s="13"/>
      <c r="N76" s="13"/>
      <c r="O76" s="13">
        <f t="shared" ref="O76:AK76" si="145">O75/N75-1</f>
        <v>0.11422592355327765</v>
      </c>
      <c r="P76" s="13">
        <f t="shared" si="145"/>
        <v>0.13359050026170083</v>
      </c>
      <c r="Q76" s="13">
        <f t="shared" si="145"/>
        <v>2.4456941404524812E-3</v>
      </c>
      <c r="R76" s="13">
        <f t="shared" si="145"/>
        <v>1.9342302042332227E-2</v>
      </c>
      <c r="S76" s="13">
        <f t="shared" si="145"/>
        <v>8.2968456755228903E-2</v>
      </c>
      <c r="T76" s="13">
        <f t="shared" si="145"/>
        <v>1.2850801572787951E-2</v>
      </c>
      <c r="U76" s="13">
        <f t="shared" si="145"/>
        <v>8.8365871585803557E-2</v>
      </c>
      <c r="V76" s="13">
        <f t="shared" si="145"/>
        <v>2.5331592253586832E-2</v>
      </c>
      <c r="W76" s="13">
        <f t="shared" si="145"/>
        <v>-2.8073601577565555E-2</v>
      </c>
      <c r="X76" s="13">
        <f t="shared" si="145"/>
        <v>7.0916458968173224E-2</v>
      </c>
      <c r="Y76" s="13">
        <f t="shared" si="145"/>
        <v>6.2160074145438449E-2</v>
      </c>
      <c r="Z76" s="13">
        <f t="shared" si="145"/>
        <v>0.110506658745404</v>
      </c>
      <c r="AA76" s="13">
        <f t="shared" si="145"/>
        <v>4.0734475191525954E-2</v>
      </c>
      <c r="AB76" s="13">
        <f t="shared" si="145"/>
        <v>0.14720264911267034</v>
      </c>
      <c r="AC76" s="13">
        <f t="shared" si="145"/>
        <v>-4.823364150111531E-3</v>
      </c>
      <c r="AD76" s="13">
        <f t="shared" si="145"/>
        <v>-5.4407279339650283E-2</v>
      </c>
      <c r="AE76" s="13">
        <f t="shared" si="145"/>
        <v>-3.7412196710016721E-2</v>
      </c>
      <c r="AF76" s="13">
        <f t="shared" si="145"/>
        <v>0.151214282215822</v>
      </c>
      <c r="AG76" s="13">
        <f t="shared" si="145"/>
        <v>0.14015221695039037</v>
      </c>
      <c r="AH76" s="13">
        <f t="shared" si="145"/>
        <v>0.12395469438124995</v>
      </c>
      <c r="AI76" s="13">
        <f t="shared" si="145"/>
        <v>1.4678420337550291E-2</v>
      </c>
      <c r="AJ76" s="13">
        <f t="shared" si="145"/>
        <v>2.3619145005278064E-2</v>
      </c>
      <c r="AK76" s="13">
        <f t="shared" si="145"/>
        <v>5.3827218991500336E-2</v>
      </c>
      <c r="AL76" s="13">
        <f t="shared" ref="AL76:AR76" si="146">AL75/AK75-1</f>
        <v>5.6965894346250323E-3</v>
      </c>
      <c r="AM76" s="13">
        <f t="shared" si="146"/>
        <v>-5.3299800191331403E-2</v>
      </c>
      <c r="AN76" s="13">
        <f t="shared" si="146"/>
        <v>1.6855689440588684E-2</v>
      </c>
      <c r="AO76" s="13">
        <f t="shared" si="146"/>
        <v>1.1259437127260741E-2</v>
      </c>
      <c r="AP76" s="13">
        <f t="shared" si="146"/>
        <v>2.417326356893712E-2</v>
      </c>
      <c r="AQ76" s="13">
        <f t="shared" si="146"/>
        <v>2.4958869849569298E-2</v>
      </c>
      <c r="AR76" s="13">
        <f t="shared" si="146"/>
        <v>2.5756868489311691E-2</v>
      </c>
      <c r="AS76" s="100"/>
      <c r="AT76" s="56"/>
      <c r="AU76" s="57"/>
      <c r="AV76" s="56"/>
      <c r="AW76" s="100"/>
      <c r="AX76" s="2"/>
      <c r="AY76" s="500" t="s">
        <v>1118</v>
      </c>
      <c r="AZ76" s="500"/>
      <c r="BA76" s="2"/>
      <c r="BB76" s="2"/>
      <c r="BC76" s="2"/>
      <c r="BD76" s="14"/>
      <c r="BE76" s="14"/>
      <c r="BF76" s="14"/>
      <c r="BG76" s="14"/>
      <c r="BH76" s="14"/>
      <c r="BI76" s="14"/>
      <c r="BJ76" s="14"/>
      <c r="BK76" s="14"/>
      <c r="BL76" s="14"/>
      <c r="BM76" s="14"/>
      <c r="BN76" s="14"/>
      <c r="BO76" s="14"/>
      <c r="BP76" s="14"/>
      <c r="BQ76" s="14"/>
      <c r="BR76" s="14"/>
      <c r="BS76" s="14"/>
    </row>
    <row r="77" spans="1:71">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100"/>
      <c r="AT77" s="56"/>
      <c r="AU77" s="57"/>
      <c r="AV77" s="56"/>
      <c r="AW77" s="100"/>
      <c r="AX77" s="2"/>
      <c r="AY77" s="2" t="s">
        <v>1186</v>
      </c>
      <c r="AZ77" s="446">
        <v>37</v>
      </c>
      <c r="BA77" s="446">
        <v>37</v>
      </c>
      <c r="BB77" s="2">
        <f>+BA77</f>
        <v>37</v>
      </c>
      <c r="BC77" s="2">
        <f>+BB77</f>
        <v>37</v>
      </c>
      <c r="BD77" s="14">
        <v>130</v>
      </c>
      <c r="BE77" s="14">
        <v>71</v>
      </c>
      <c r="BF77" s="14">
        <v>20</v>
      </c>
      <c r="BG77" s="14">
        <v>25</v>
      </c>
      <c r="BH77" s="14">
        <v>25</v>
      </c>
      <c r="BI77" s="14">
        <v>25</v>
      </c>
      <c r="BJ77" s="14">
        <v>25</v>
      </c>
      <c r="BK77" s="14">
        <v>25</v>
      </c>
      <c r="BL77" s="14">
        <v>25</v>
      </c>
      <c r="BM77" s="14">
        <v>25</v>
      </c>
      <c r="BN77" s="14">
        <v>25</v>
      </c>
      <c r="BO77" s="14">
        <v>25</v>
      </c>
      <c r="BP77" s="14">
        <v>26</v>
      </c>
      <c r="BQ77" s="14">
        <v>26</v>
      </c>
      <c r="BR77" s="14">
        <v>26</v>
      </c>
      <c r="BS77" s="14">
        <v>26</v>
      </c>
    </row>
    <row r="78" spans="1:71">
      <c r="A78" s="213" t="s">
        <v>377</v>
      </c>
      <c r="B78" s="11"/>
      <c r="C78" s="11"/>
      <c r="D78" s="11"/>
      <c r="E78" s="11"/>
      <c r="F78" s="11"/>
      <c r="G78" s="11"/>
      <c r="H78" s="11"/>
      <c r="I78" s="11"/>
      <c r="J78" s="11"/>
      <c r="K78" s="11"/>
      <c r="L78" s="11"/>
      <c r="M78" s="11">
        <f t="shared" ref="M78:AJ78" si="147">+(L81+M81)/2</f>
        <v>1.476</v>
      </c>
      <c r="N78" s="11">
        <f t="shared" si="147"/>
        <v>1.8474999999999999</v>
      </c>
      <c r="O78" s="11">
        <f t="shared" si="147"/>
        <v>2.1875</v>
      </c>
      <c r="P78" s="11">
        <f t="shared" si="147"/>
        <v>2.4660000000000002</v>
      </c>
      <c r="Q78" s="11">
        <f t="shared" si="147"/>
        <v>2.8</v>
      </c>
      <c r="R78" s="11">
        <f t="shared" si="147"/>
        <v>3.17</v>
      </c>
      <c r="S78" s="11">
        <f t="shared" si="147"/>
        <v>3.4405000000000001</v>
      </c>
      <c r="T78" s="11">
        <f t="shared" si="147"/>
        <v>3.6284999999999998</v>
      </c>
      <c r="U78" s="11">
        <f t="shared" si="147"/>
        <v>3.839</v>
      </c>
      <c r="V78" s="11">
        <f t="shared" si="147"/>
        <v>4.0914999999999999</v>
      </c>
      <c r="W78" s="11">
        <f t="shared" si="147"/>
        <v>4.3324999999999996</v>
      </c>
      <c r="X78" s="11">
        <f t="shared" si="147"/>
        <v>4.5605000000000002</v>
      </c>
      <c r="Y78" s="11">
        <f t="shared" si="147"/>
        <v>4.6989999999999998</v>
      </c>
      <c r="Z78" s="11">
        <f t="shared" si="147"/>
        <v>4.8015000000000008</v>
      </c>
      <c r="AA78" s="11">
        <f t="shared" si="147"/>
        <v>4.9344999999999999</v>
      </c>
      <c r="AB78" s="11">
        <f t="shared" si="147"/>
        <v>5.0635000000000003</v>
      </c>
      <c r="AC78" s="11">
        <f t="shared" si="147"/>
        <v>5.3625000000000007</v>
      </c>
      <c r="AD78" s="11">
        <f t="shared" si="147"/>
        <v>5.7859999999999996</v>
      </c>
      <c r="AE78" s="11">
        <f t="shared" si="147"/>
        <v>6.0254999999999992</v>
      </c>
      <c r="AF78" s="11">
        <f t="shared" si="147"/>
        <v>6.1029999999999998</v>
      </c>
      <c r="AG78" s="11">
        <f t="shared" si="147"/>
        <v>6.1515000000000004</v>
      </c>
      <c r="AH78" s="11">
        <f t="shared" si="147"/>
        <v>6.270999999999999</v>
      </c>
      <c r="AI78" s="11">
        <f t="shared" si="147"/>
        <v>6.5385</v>
      </c>
      <c r="AJ78" s="11">
        <f t="shared" si="147"/>
        <v>6.8580000000000005</v>
      </c>
      <c r="AK78" s="11">
        <f t="shared" ref="AK78:AR78" si="148">+(AJ81+AK81)/2</f>
        <v>7.1575000000000006</v>
      </c>
      <c r="AL78" s="11">
        <f t="shared" si="148"/>
        <v>7.4429999999999996</v>
      </c>
      <c r="AM78" s="11">
        <f>+(AL81+AM81)/2</f>
        <v>7.5969999999999995</v>
      </c>
      <c r="AN78" s="11">
        <f t="shared" si="148"/>
        <v>7.6396246806876027</v>
      </c>
      <c r="AO78" s="11">
        <f t="shared" si="148"/>
        <v>7.7122493613752052</v>
      </c>
      <c r="AP78" s="11">
        <f t="shared" si="148"/>
        <v>7.8122493613752066</v>
      </c>
      <c r="AQ78" s="11">
        <f t="shared" si="148"/>
        <v>7.9122493613752063</v>
      </c>
      <c r="AR78" s="11">
        <f t="shared" si="148"/>
        <v>8.0122493613752077</v>
      </c>
      <c r="AS78" s="100"/>
      <c r="AT78" s="56">
        <f>((AK78/AF78)^(1/5)-1)*100</f>
        <v>3.2389543929735698</v>
      </c>
      <c r="AU78" s="97" t="s">
        <v>1084</v>
      </c>
      <c r="AV78" s="56">
        <f>((AP78/AK78)^(1/5)-1)*100</f>
        <v>1.7660570737563441</v>
      </c>
      <c r="AW78" s="100" t="s">
        <v>1084</v>
      </c>
      <c r="AX78" s="2"/>
      <c r="AY78" s="2" t="s">
        <v>1120</v>
      </c>
      <c r="AZ78" s="2">
        <f>+Z92</f>
        <v>0.10199999999999999</v>
      </c>
      <c r="BA78" s="2">
        <f>+Z92</f>
        <v>0.10199999999999999</v>
      </c>
      <c r="BB78" s="2">
        <f>+BA78</f>
        <v>0.10199999999999999</v>
      </c>
      <c r="BC78" s="2">
        <f>+BB78</f>
        <v>0.10199999999999999</v>
      </c>
      <c r="BD78" s="633">
        <v>0.4</v>
      </c>
      <c r="BE78" s="633">
        <v>0.4</v>
      </c>
      <c r="BF78" s="633">
        <v>0.4</v>
      </c>
      <c r="BG78" s="633">
        <f t="shared" ref="BG78:BL78" si="149">+BF78</f>
        <v>0.4</v>
      </c>
      <c r="BH78" s="633">
        <f t="shared" si="149"/>
        <v>0.4</v>
      </c>
      <c r="BI78" s="633">
        <f t="shared" si="149"/>
        <v>0.4</v>
      </c>
      <c r="BJ78" s="633">
        <f t="shared" si="149"/>
        <v>0.4</v>
      </c>
      <c r="BK78" s="633">
        <f t="shared" si="149"/>
        <v>0.4</v>
      </c>
      <c r="BL78" s="633">
        <f t="shared" si="149"/>
        <v>0.4</v>
      </c>
      <c r="BM78" s="633">
        <f t="shared" ref="BM78:BS78" si="150">+BL78</f>
        <v>0.4</v>
      </c>
      <c r="BN78" s="633">
        <f t="shared" si="150"/>
        <v>0.4</v>
      </c>
      <c r="BO78" s="633">
        <f t="shared" si="150"/>
        <v>0.4</v>
      </c>
      <c r="BP78" s="633">
        <f t="shared" si="150"/>
        <v>0.4</v>
      </c>
      <c r="BQ78" s="633">
        <f t="shared" si="150"/>
        <v>0.4</v>
      </c>
      <c r="BR78" s="633">
        <f t="shared" si="150"/>
        <v>0.4</v>
      </c>
      <c r="BS78" s="633">
        <f t="shared" si="150"/>
        <v>0.4</v>
      </c>
    </row>
    <row r="79" spans="1:71">
      <c r="A79" s="921" t="s">
        <v>1085</v>
      </c>
      <c r="B79" s="8"/>
      <c r="C79" s="8"/>
      <c r="D79" s="8"/>
      <c r="E79" s="8"/>
      <c r="F79" s="8"/>
      <c r="G79" s="8"/>
      <c r="H79" s="8"/>
      <c r="I79" s="8"/>
      <c r="J79" s="8"/>
      <c r="K79" s="8"/>
      <c r="L79" s="8"/>
      <c r="M79" s="8"/>
      <c r="N79" s="8">
        <f t="shared" ref="N79:AJ79" si="151">N78/M78-1</f>
        <v>0.25169376693766932</v>
      </c>
      <c r="O79" s="8">
        <f t="shared" si="151"/>
        <v>0.1840324763193506</v>
      </c>
      <c r="P79" s="8">
        <f t="shared" si="151"/>
        <v>0.12731428571428571</v>
      </c>
      <c r="Q79" s="8">
        <f t="shared" si="151"/>
        <v>0.13544201135441991</v>
      </c>
      <c r="R79" s="8">
        <f t="shared" si="151"/>
        <v>0.13214285714285712</v>
      </c>
      <c r="S79" s="8">
        <f t="shared" si="151"/>
        <v>8.5331230283911763E-2</v>
      </c>
      <c r="T79" s="8">
        <f t="shared" si="151"/>
        <v>5.4643220462142095E-2</v>
      </c>
      <c r="U79" s="8">
        <f t="shared" si="151"/>
        <v>5.8012953010886159E-2</v>
      </c>
      <c r="V79" s="8">
        <f t="shared" si="151"/>
        <v>6.5772336545975474E-2</v>
      </c>
      <c r="W79" s="8">
        <f t="shared" si="151"/>
        <v>5.8902602957350503E-2</v>
      </c>
      <c r="X79" s="8">
        <f t="shared" si="151"/>
        <v>5.2625504904789455E-2</v>
      </c>
      <c r="Y79" s="8">
        <f t="shared" si="151"/>
        <v>3.0369477031027214E-2</v>
      </c>
      <c r="Z79" s="8">
        <f t="shared" si="151"/>
        <v>2.1813151734411784E-2</v>
      </c>
      <c r="AA79" s="8">
        <f t="shared" si="151"/>
        <v>2.7699677184213067E-2</v>
      </c>
      <c r="AB79" s="8">
        <f t="shared" si="151"/>
        <v>2.6142466308643364E-2</v>
      </c>
      <c r="AC79" s="8">
        <f t="shared" si="151"/>
        <v>5.9050064184852369E-2</v>
      </c>
      <c r="AD79" s="8">
        <f t="shared" si="151"/>
        <v>7.8974358974358783E-2</v>
      </c>
      <c r="AE79" s="8">
        <f t="shared" si="151"/>
        <v>4.139301762875891E-2</v>
      </c>
      <c r="AF79" s="8">
        <f t="shared" si="151"/>
        <v>1.2862003153265356E-2</v>
      </c>
      <c r="AG79" s="8">
        <f t="shared" si="151"/>
        <v>7.9469113550714177E-3</v>
      </c>
      <c r="AH79" s="8">
        <f t="shared" si="151"/>
        <v>1.9426156222059454E-2</v>
      </c>
      <c r="AI79" s="8">
        <f t="shared" si="151"/>
        <v>4.2656673576782156E-2</v>
      </c>
      <c r="AJ79" s="8">
        <f t="shared" si="151"/>
        <v>4.8864418444597435E-2</v>
      </c>
      <c r="AK79" s="8">
        <f t="shared" ref="AK79:AR79" si="152">AK78/AJ78-1</f>
        <v>4.3671624380285712E-2</v>
      </c>
      <c r="AL79" s="8">
        <f t="shared" si="152"/>
        <v>3.9888229130282671E-2</v>
      </c>
      <c r="AM79" s="8">
        <f>AM78/AL78-1</f>
        <v>2.0690581754668758E-2</v>
      </c>
      <c r="AN79" s="8">
        <f t="shared" si="152"/>
        <v>5.6107253768069576E-3</v>
      </c>
      <c r="AO79" s="8">
        <f t="shared" si="152"/>
        <v>9.506315260642717E-3</v>
      </c>
      <c r="AP79" s="8">
        <f t="shared" si="152"/>
        <v>1.2966385721502327E-2</v>
      </c>
      <c r="AQ79" s="8">
        <f t="shared" si="152"/>
        <v>1.2800410659497441E-2</v>
      </c>
      <c r="AR79" s="8">
        <f t="shared" si="152"/>
        <v>1.2638630992618305E-2</v>
      </c>
      <c r="AS79" s="100"/>
      <c r="AT79" s="56"/>
      <c r="AU79" s="57"/>
      <c r="AV79" s="56"/>
      <c r="AW79" s="100"/>
      <c r="AX79" s="2"/>
      <c r="AY79" s="2" t="s">
        <v>396</v>
      </c>
      <c r="AZ79" s="503">
        <f>+AZ78/AZ77*1000000</f>
        <v>2756.7567567567567</v>
      </c>
      <c r="BA79" s="503">
        <f>+BA78/BA77*1000000</f>
        <v>2756.7567567567567</v>
      </c>
      <c r="BB79" s="503">
        <f>+BB78/BB77*1000000</f>
        <v>2756.7567567567567</v>
      </c>
      <c r="BC79" s="503">
        <f>+BC78/BC77*1000000</f>
        <v>2756.7567567567567</v>
      </c>
      <c r="BD79" s="632">
        <f>+BD71*0.5</f>
        <v>2555.3339980059818</v>
      </c>
      <c r="BE79" s="632">
        <v>2500</v>
      </c>
      <c r="BF79" s="632">
        <f>+BE79</f>
        <v>2500</v>
      </c>
      <c r="BG79" s="632">
        <f>+BF79</f>
        <v>2500</v>
      </c>
      <c r="BH79" s="632">
        <f>+BG79</f>
        <v>2500</v>
      </c>
      <c r="BI79" s="632">
        <v>2757</v>
      </c>
      <c r="BJ79" s="632">
        <v>2757</v>
      </c>
      <c r="BK79" s="632">
        <v>2757</v>
      </c>
      <c r="BL79" s="632">
        <v>2757</v>
      </c>
      <c r="BM79" s="632">
        <v>2758</v>
      </c>
      <c r="BN79" s="632">
        <v>2759</v>
      </c>
      <c r="BO79" s="632">
        <v>2759</v>
      </c>
      <c r="BP79" s="632">
        <v>2760</v>
      </c>
      <c r="BQ79" s="632">
        <v>2760</v>
      </c>
      <c r="BR79" s="632">
        <v>2760</v>
      </c>
      <c r="BS79" s="632">
        <v>2760</v>
      </c>
    </row>
    <row r="80" spans="1:71">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100"/>
      <c r="AT80" s="56"/>
      <c r="AU80" s="57"/>
      <c r="AV80" s="56"/>
      <c r="AW80" s="100"/>
      <c r="AX80" s="2"/>
      <c r="AY80" s="2" t="s">
        <v>1119</v>
      </c>
      <c r="AZ80" s="498">
        <v>0.02</v>
      </c>
      <c r="BA80" s="498">
        <v>0.02</v>
      </c>
      <c r="BB80" s="492">
        <f>+BA80</f>
        <v>0.02</v>
      </c>
      <c r="BC80" s="492">
        <f>+BB80</f>
        <v>0.02</v>
      </c>
      <c r="BD80" s="634">
        <v>-0.2</v>
      </c>
      <c r="BE80" s="634">
        <v>-0.2</v>
      </c>
      <c r="BF80" s="634">
        <v>-0.14000000000000001</v>
      </c>
      <c r="BG80" s="634">
        <v>-0.15</v>
      </c>
      <c r="BH80" s="634">
        <v>-0.15</v>
      </c>
      <c r="BI80" s="634">
        <v>-0.12</v>
      </c>
      <c r="BJ80" s="634">
        <v>-0.12</v>
      </c>
      <c r="BK80" s="634">
        <v>-0.12</v>
      </c>
      <c r="BL80" s="634">
        <v>-0.12</v>
      </c>
      <c r="BM80" s="634">
        <v>0.88</v>
      </c>
      <c r="BN80" s="634">
        <v>1.88</v>
      </c>
      <c r="BO80" s="634">
        <v>1.88</v>
      </c>
      <c r="BP80" s="634">
        <v>2.88</v>
      </c>
      <c r="BQ80" s="634">
        <v>2.88</v>
      </c>
      <c r="BR80" s="634">
        <v>2.88</v>
      </c>
      <c r="BS80" s="634">
        <v>2.88</v>
      </c>
    </row>
    <row r="81" spans="1:71">
      <c r="A81" s="10" t="s">
        <v>1125</v>
      </c>
      <c r="B81" s="189"/>
      <c r="C81" s="189"/>
      <c r="D81" s="189"/>
      <c r="E81" s="189"/>
      <c r="F81" s="189"/>
      <c r="G81" s="189"/>
      <c r="H81" s="189"/>
      <c r="I81" s="189"/>
      <c r="J81" s="189"/>
      <c r="K81" s="236">
        <f>+'store&amp;sf'!J196</f>
        <v>0.96599999999999997</v>
      </c>
      <c r="L81" s="236">
        <f>+'store&amp;sf'!J202</f>
        <v>1.286</v>
      </c>
      <c r="M81" s="236">
        <f>+'store&amp;sf'!J208</f>
        <v>1.6659999999999999</v>
      </c>
      <c r="N81" s="236">
        <f>+'store&amp;sf'!J214</f>
        <v>2.0289999999999999</v>
      </c>
      <c r="O81" s="236">
        <f>+'store&amp;sf'!J220</f>
        <v>2.3460000000000001</v>
      </c>
      <c r="P81" s="236">
        <f>+'store&amp;sf'!J226</f>
        <v>2.5859999999999999</v>
      </c>
      <c r="Q81" s="236">
        <f>+'store&amp;sf'!J232</f>
        <v>3.0139999999999998</v>
      </c>
      <c r="R81" s="236">
        <f>+'store&amp;sf'!J238</f>
        <v>3.3260000000000001</v>
      </c>
      <c r="S81" s="236">
        <f>+'store&amp;sf'!J244</f>
        <v>3.5550000000000002</v>
      </c>
      <c r="T81" s="236">
        <f>+'store&amp;sf'!J250</f>
        <v>3.702</v>
      </c>
      <c r="U81" s="236">
        <f>+'store&amp;sf'!J256</f>
        <v>3.976</v>
      </c>
      <c r="V81" s="236">
        <f>+'store&amp;sf'!J262</f>
        <v>4.2069999999999999</v>
      </c>
      <c r="W81" s="236">
        <f>+'store&amp;sf'!J268</f>
        <v>4.4580000000000002</v>
      </c>
      <c r="X81" s="236">
        <f>+'store&amp;sf'!J274</f>
        <v>4.6630000000000003</v>
      </c>
      <c r="Y81" s="2">
        <f>+'store&amp;sf'!J280</f>
        <v>4.7350000000000003</v>
      </c>
      <c r="Z81" s="2">
        <f>+'store&amp;sf'!J286</f>
        <v>4.8680000000000003</v>
      </c>
      <c r="AA81" s="2">
        <f>+'store&amp;sf'!J292</f>
        <v>5.0010000000000003</v>
      </c>
      <c r="AB81" s="2">
        <f>+'store&amp;sf'!J298</f>
        <v>5.1260000000000003</v>
      </c>
      <c r="AC81" s="654">
        <f>+'store&amp;sf'!J304</f>
        <v>5.5990000000000002</v>
      </c>
      <c r="AD81" s="837">
        <f>+'store&amp;sf'!J310</f>
        <v>5.9729999999999999</v>
      </c>
      <c r="AE81" s="236">
        <f>'store&amp;sf'!$J$316</f>
        <v>6.0779999999999994</v>
      </c>
      <c r="AF81" s="236">
        <f>'store&amp;sf'!$J$322</f>
        <v>6.1280000000000001</v>
      </c>
      <c r="AG81" s="236">
        <f>'store&amp;sf'!$J$328</f>
        <v>6.1749999999999998</v>
      </c>
      <c r="AH81" s="236">
        <f>'store&amp;sf'!$J$334</f>
        <v>6.3669999999999991</v>
      </c>
      <c r="AI81" s="236">
        <f>'store&amp;sf'!$J$340</f>
        <v>6.7100000000000009</v>
      </c>
      <c r="AJ81" s="236">
        <f>'store&amp;sf'!J346</f>
        <v>7.0060000000000002</v>
      </c>
      <c r="AK81" s="236">
        <f>'store&amp;sf'!J352</f>
        <v>7.3090000000000002</v>
      </c>
      <c r="AL81" s="236">
        <f>'store&amp;sf'!J358</f>
        <v>7.577</v>
      </c>
      <c r="AM81" s="236">
        <f>'store&amp;sf'!J364</f>
        <v>7.617</v>
      </c>
      <c r="AN81" s="236">
        <f>'store&amp;sf'!J370</f>
        <v>7.6622493613752054</v>
      </c>
      <c r="AO81" s="236">
        <f>+AN81+(AO69*AO93/1000000)+(AO70*AO94/1000000)+AO92</f>
        <v>7.7622493613752059</v>
      </c>
      <c r="AP81" s="236">
        <f>+AO81+(AP69*AP93/1000000)+(AP70*AP94/1000000)+AP92</f>
        <v>7.8622493613752065</v>
      </c>
      <c r="AQ81" s="236">
        <f>+AP81+(AQ69*AQ93/1000000)+(AQ70*AQ94/1000000)+AQ92</f>
        <v>7.962249361375207</v>
      </c>
      <c r="AR81" s="236">
        <f>+AQ81+(AR69*AR93/1000000)+(AR70*AR94/1000000)+AR92</f>
        <v>8.0622493613752066</v>
      </c>
      <c r="AS81" s="100"/>
      <c r="AT81" s="56">
        <f>((AK81/AF81)^(1/5)-1)*100</f>
        <v>3.5876166836074752</v>
      </c>
      <c r="AU81" s="97" t="s">
        <v>1084</v>
      </c>
      <c r="AV81" s="56">
        <f>((AP81/AK81)^(1/5)-1)*100</f>
        <v>1.4700257080198176</v>
      </c>
      <c r="AW81" s="100" t="s">
        <v>1084</v>
      </c>
      <c r="AX81" s="2"/>
      <c r="AY81" s="2"/>
      <c r="AZ81" s="2"/>
      <c r="BA81" s="2"/>
      <c r="BB81" s="2"/>
      <c r="BC81" s="2"/>
      <c r="BD81" s="2"/>
      <c r="BE81" s="2"/>
      <c r="BF81" s="2"/>
      <c r="BG81" s="2"/>
      <c r="BH81" s="2"/>
      <c r="BI81" s="2"/>
      <c r="BJ81" s="2"/>
      <c r="BK81" s="2"/>
      <c r="BL81" s="2"/>
      <c r="BM81" s="2"/>
      <c r="BN81" s="2"/>
      <c r="BO81" s="2"/>
      <c r="BP81" s="2"/>
      <c r="BQ81" s="2"/>
      <c r="BR81" s="2"/>
      <c r="BS81" s="2"/>
    </row>
    <row r="82" spans="1:71">
      <c r="A82" s="10" t="s">
        <v>1085</v>
      </c>
      <c r="B82" s="8"/>
      <c r="C82" s="8"/>
      <c r="D82" s="8"/>
      <c r="E82" s="8"/>
      <c r="F82" s="8"/>
      <c r="G82" s="8"/>
      <c r="H82" s="8"/>
      <c r="I82" s="8"/>
      <c r="J82" s="8"/>
      <c r="K82" s="8"/>
      <c r="L82" s="13">
        <f t="shared" ref="L82:AK82" si="153">L81/K81-1</f>
        <v>0.33126293995859224</v>
      </c>
      <c r="M82" s="13">
        <f t="shared" si="153"/>
        <v>0.29548989113530322</v>
      </c>
      <c r="N82" s="13">
        <f t="shared" si="153"/>
        <v>0.21788715486194477</v>
      </c>
      <c r="O82" s="13">
        <f t="shared" si="153"/>
        <v>0.15623459832429787</v>
      </c>
      <c r="P82" s="13">
        <f t="shared" si="153"/>
        <v>0.10230179028132991</v>
      </c>
      <c r="Q82" s="13">
        <f t="shared" si="153"/>
        <v>0.16550657385924206</v>
      </c>
      <c r="R82" s="13">
        <f t="shared" si="153"/>
        <v>0.10351692103516941</v>
      </c>
      <c r="S82" s="13">
        <f t="shared" si="153"/>
        <v>6.8851473241130501E-2</v>
      </c>
      <c r="T82" s="13">
        <f t="shared" si="153"/>
        <v>4.1350210970463985E-2</v>
      </c>
      <c r="U82" s="13">
        <f t="shared" si="153"/>
        <v>7.4014046461372329E-2</v>
      </c>
      <c r="V82" s="13">
        <f t="shared" si="153"/>
        <v>5.8098591549295753E-2</v>
      </c>
      <c r="W82" s="13">
        <f t="shared" si="153"/>
        <v>5.9662467316377477E-2</v>
      </c>
      <c r="X82" s="8">
        <f t="shared" si="153"/>
        <v>4.5984746523104469E-2</v>
      </c>
      <c r="Y82" s="8">
        <f t="shared" si="153"/>
        <v>1.5440703409822065E-2</v>
      </c>
      <c r="Z82" s="8">
        <f t="shared" si="153"/>
        <v>2.8088701161562923E-2</v>
      </c>
      <c r="AA82" s="8">
        <f t="shared" si="153"/>
        <v>2.7321281840591682E-2</v>
      </c>
      <c r="AB82" s="8">
        <f t="shared" si="153"/>
        <v>2.4995000999800121E-2</v>
      </c>
      <c r="AC82" s="8">
        <f t="shared" si="153"/>
        <v>9.227467811158796E-2</v>
      </c>
      <c r="AD82" s="8">
        <f t="shared" si="153"/>
        <v>6.6797642436149163E-2</v>
      </c>
      <c r="AE82" s="8">
        <f t="shared" si="153"/>
        <v>1.7579105976895937E-2</v>
      </c>
      <c r="AF82" s="8">
        <f t="shared" si="153"/>
        <v>8.2263902599539751E-3</v>
      </c>
      <c r="AG82" s="8">
        <f t="shared" si="153"/>
        <v>7.6697127937337406E-3</v>
      </c>
      <c r="AH82" s="8">
        <f t="shared" si="153"/>
        <v>3.1093117408906856E-2</v>
      </c>
      <c r="AI82" s="8">
        <f t="shared" si="153"/>
        <v>5.3871525051044644E-2</v>
      </c>
      <c r="AJ82" s="8">
        <f t="shared" si="153"/>
        <v>4.4113263785394929E-2</v>
      </c>
      <c r="AK82" s="8">
        <f t="shared" si="153"/>
        <v>4.3248644019411975E-2</v>
      </c>
      <c r="AL82" s="8">
        <f t="shared" ref="AL82:AR82" si="154">AL81/AK81-1</f>
        <v>3.6667122725406953E-2</v>
      </c>
      <c r="AM82" s="8">
        <f t="shared" si="154"/>
        <v>5.2791342219875581E-3</v>
      </c>
      <c r="AN82" s="8">
        <f t="shared" si="154"/>
        <v>5.9405752100833986E-3</v>
      </c>
      <c r="AO82" s="8">
        <f t="shared" si="154"/>
        <v>1.3050997857638524E-2</v>
      </c>
      <c r="AP82" s="8">
        <f t="shared" si="154"/>
        <v>1.2882863631977326E-2</v>
      </c>
      <c r="AQ82" s="8">
        <f t="shared" si="154"/>
        <v>1.2719006406902933E-2</v>
      </c>
      <c r="AR82" s="8">
        <f t="shared" si="154"/>
        <v>1.2559265034463696E-2</v>
      </c>
      <c r="AS82" s="100"/>
      <c r="AT82" s="56"/>
      <c r="AU82" s="57"/>
      <c r="AV82" s="56"/>
      <c r="AW82" s="100"/>
      <c r="AX82" s="2"/>
      <c r="AY82" s="178" t="s">
        <v>926</v>
      </c>
      <c r="AZ82" s="57"/>
      <c r="BA82" s="57"/>
      <c r="BB82" s="57"/>
      <c r="BC82" s="2"/>
      <c r="BD82" s="2"/>
      <c r="BE82" s="2"/>
      <c r="BF82" s="2"/>
      <c r="BG82" s="2"/>
      <c r="BH82" s="2"/>
      <c r="BI82" s="2"/>
      <c r="BJ82" s="2"/>
      <c r="BK82" s="2"/>
      <c r="BL82" s="2"/>
      <c r="BM82" s="2"/>
      <c r="BN82" s="2"/>
      <c r="BO82" s="2"/>
      <c r="BP82" s="2"/>
      <c r="BQ82" s="2"/>
      <c r="BR82" s="2"/>
      <c r="BS82" s="2"/>
    </row>
    <row r="83" spans="1:71">
      <c r="A83" s="14"/>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100"/>
      <c r="AT83" s="56"/>
      <c r="AU83" s="57"/>
      <c r="AV83" s="56"/>
      <c r="AW83" s="100"/>
      <c r="AX83" s="2"/>
      <c r="AY83" s="57" t="s">
        <v>788</v>
      </c>
      <c r="AZ83" s="181">
        <f t="shared" ref="AZ83:BF83" si="155">+(AZ60+AZ63)/AZ60-1</f>
        <v>4.0000000000000036E-2</v>
      </c>
      <c r="BA83" s="181">
        <f t="shared" si="155"/>
        <v>8.9999999999999858E-2</v>
      </c>
      <c r="BB83" s="181">
        <f t="shared" si="155"/>
        <v>1.0000000000000009E-2</v>
      </c>
      <c r="BC83" s="181">
        <f t="shared" si="155"/>
        <v>0.10999999999999988</v>
      </c>
      <c r="BD83" s="181">
        <f t="shared" si="155"/>
        <v>-2.0000000000000018E-2</v>
      </c>
      <c r="BE83" s="181">
        <f t="shared" si="155"/>
        <v>-8.4481990138451701E-2</v>
      </c>
      <c r="BF83" s="181">
        <f t="shared" si="155"/>
        <v>-6.0000000000000053E-2</v>
      </c>
      <c r="BG83" s="181">
        <f t="shared" ref="BG83:BL83" si="156">+(BG60+BG63)/BG60-1</f>
        <v>0.1399999999999999</v>
      </c>
      <c r="BH83" s="181">
        <f t="shared" si="156"/>
        <v>0.13719500438212084</v>
      </c>
      <c r="BI83" s="181">
        <f t="shared" si="156"/>
        <v>6.7862847399643877E-2</v>
      </c>
      <c r="BJ83" s="181">
        <f t="shared" si="156"/>
        <v>2.3932799130252702E-2</v>
      </c>
      <c r="BK83" s="181">
        <f t="shared" si="156"/>
        <v>3.1173488184417675E-2</v>
      </c>
      <c r="BL83" s="181">
        <f t="shared" si="156"/>
        <v>4.9491525423728921E-2</v>
      </c>
      <c r="BM83" s="181">
        <f t="shared" ref="BM83:BR83" si="157">+(BM60+BM63)/BM60-1</f>
        <v>-6.2057784445627151E-3</v>
      </c>
      <c r="BN83" s="181">
        <f t="shared" si="157"/>
        <v>-6.1294822072531785E-2</v>
      </c>
      <c r="BO83" s="181">
        <f t="shared" si="157"/>
        <v>-1.0141845320811194E-2</v>
      </c>
      <c r="BP83" s="181">
        <f t="shared" si="157"/>
        <v>1.0000000000000009E-2</v>
      </c>
      <c r="BQ83" s="181">
        <f t="shared" si="157"/>
        <v>1.0000000000000009E-2</v>
      </c>
      <c r="BR83" s="181">
        <f t="shared" si="157"/>
        <v>1.0000000000000009E-2</v>
      </c>
      <c r="BS83" s="181">
        <f t="shared" ref="BS83" si="158">+(BS60+BS63)/BS60-1</f>
        <v>1.0000000000000009E-2</v>
      </c>
    </row>
    <row r="84" spans="1:71">
      <c r="A84" s="10" t="s">
        <v>383</v>
      </c>
      <c r="B84" s="9"/>
      <c r="C84" s="9"/>
      <c r="D84" s="9"/>
      <c r="E84" s="9"/>
      <c r="F84" s="9"/>
      <c r="G84" s="9"/>
      <c r="H84" s="9"/>
      <c r="I84" s="9"/>
      <c r="J84" s="9"/>
      <c r="K84" s="9">
        <f t="shared" ref="K84:AC84" si="159">K81/K71*1000000</f>
        <v>2515.625</v>
      </c>
      <c r="L84" s="9">
        <f t="shared" si="159"/>
        <v>2909.5022624434391</v>
      </c>
      <c r="M84" s="9">
        <f t="shared" si="159"/>
        <v>3285.9960552268244</v>
      </c>
      <c r="N84" s="9">
        <f t="shared" si="159"/>
        <v>3722.9357798165138</v>
      </c>
      <c r="O84" s="9">
        <f t="shared" si="159"/>
        <v>4115.7894736842109</v>
      </c>
      <c r="P84" s="9">
        <f t="shared" si="159"/>
        <v>4302.8286189683859</v>
      </c>
      <c r="Q84" s="9">
        <f t="shared" si="159"/>
        <v>4491.8032786885242</v>
      </c>
      <c r="R84" s="9">
        <f t="shared" si="159"/>
        <v>4519.021739130435</v>
      </c>
      <c r="S84" s="9">
        <f t="shared" si="159"/>
        <v>4505.7034220532323</v>
      </c>
      <c r="T84" s="9">
        <f t="shared" si="159"/>
        <v>4465.6212303980701</v>
      </c>
      <c r="U84" s="9">
        <f t="shared" si="159"/>
        <v>4437.5</v>
      </c>
      <c r="V84" s="9">
        <f t="shared" si="159"/>
        <v>4391.4405010438413</v>
      </c>
      <c r="W84" s="9">
        <f t="shared" si="159"/>
        <v>4449.1017964071852</v>
      </c>
      <c r="X84" s="9">
        <f t="shared" si="159"/>
        <v>4598.6193293885608</v>
      </c>
      <c r="Y84" s="9">
        <f t="shared" si="159"/>
        <v>4692.7651139742329</v>
      </c>
      <c r="Z84" s="9">
        <f t="shared" si="159"/>
        <v>4863.1368631368641</v>
      </c>
      <c r="AA84" s="9">
        <f t="shared" si="159"/>
        <v>5011.0220440881767</v>
      </c>
      <c r="AB84" s="9">
        <f t="shared" si="159"/>
        <v>5110.6679960119636</v>
      </c>
      <c r="AC84" s="9">
        <f t="shared" si="159"/>
        <v>5489.2156862745096</v>
      </c>
      <c r="AD84" s="9">
        <f t="shared" ref="AD84:AK84" si="160">AD81/AD71*1000000</f>
        <v>5726.7497603068068</v>
      </c>
      <c r="AE84" s="9">
        <f t="shared" si="160"/>
        <v>5821.8390804597693</v>
      </c>
      <c r="AF84" s="9">
        <f t="shared" si="160"/>
        <v>5892.3076923076924</v>
      </c>
      <c r="AG84" s="9">
        <f t="shared" si="160"/>
        <v>5960.4247104247097</v>
      </c>
      <c r="AH84" s="9">
        <f t="shared" si="160"/>
        <v>6081.1843361986621</v>
      </c>
      <c r="AI84" s="461">
        <f t="shared" si="160"/>
        <v>6133.455210237661</v>
      </c>
      <c r="AJ84" s="461">
        <f t="shared" si="160"/>
        <v>6216.5039929015084</v>
      </c>
      <c r="AK84" s="461">
        <f t="shared" si="160"/>
        <v>6451.0150044130633</v>
      </c>
      <c r="AL84" s="461">
        <f t="shared" ref="AL84:AQ84" si="161">AL81/AL71*1000000</f>
        <v>6611.6928446771381</v>
      </c>
      <c r="AM84" s="461">
        <f t="shared" si="161"/>
        <v>6699.2084432717684</v>
      </c>
      <c r="AN84" s="461">
        <f t="shared" si="161"/>
        <v>6774.7562876880684</v>
      </c>
      <c r="AO84" s="461">
        <f t="shared" si="161"/>
        <v>6893.6495216476069</v>
      </c>
      <c r="AP84" s="461">
        <f t="shared" si="161"/>
        <v>7013.6033553748493</v>
      </c>
      <c r="AQ84" s="461">
        <f t="shared" si="161"/>
        <v>7134.6320442430169</v>
      </c>
      <c r="AR84" s="461">
        <f t="shared" ref="AR84" si="162">AR81/AR71*1000000</f>
        <v>7256.7501002477102</v>
      </c>
      <c r="AS84" s="104"/>
      <c r="AT84" s="56"/>
      <c r="AU84" s="98"/>
      <c r="AV84" s="56"/>
      <c r="AW84" s="104"/>
      <c r="AX84" s="2"/>
      <c r="AY84" s="57" t="s">
        <v>359</v>
      </c>
      <c r="AZ84" s="512">
        <f t="shared" ref="AZ84:BF84" si="163">+(AZ60+AZ64)/AZ60-1</f>
        <v>1.0200226671703838E-2</v>
      </c>
      <c r="BA84" s="512">
        <f t="shared" si="163"/>
        <v>1.2441073264098046E-2</v>
      </c>
      <c r="BB84" s="512">
        <f t="shared" si="163"/>
        <v>1.301021317796458E-2</v>
      </c>
      <c r="BC84" s="512">
        <f t="shared" si="163"/>
        <v>2.0111650697871131E-2</v>
      </c>
      <c r="BD84" s="512">
        <f t="shared" si="163"/>
        <v>3.5982008995502301E-2</v>
      </c>
      <c r="BE84" s="512">
        <f t="shared" si="163"/>
        <v>4.0750682916437908E-2</v>
      </c>
      <c r="BF84" s="512">
        <f t="shared" si="163"/>
        <v>1.9890241524361363E-2</v>
      </c>
      <c r="BG84" s="512">
        <f t="shared" ref="BG84:BL84" si="164">+(BG60+BG64)/BG60-1</f>
        <v>1.7157569515962923E-2</v>
      </c>
      <c r="BH84" s="512">
        <f t="shared" si="164"/>
        <v>1.7057535337447804E-2</v>
      </c>
      <c r="BI84" s="512">
        <f t="shared" si="164"/>
        <v>2.9098159509202581E-2</v>
      </c>
      <c r="BJ84" s="512">
        <f t="shared" si="164"/>
        <v>5.872426593425506E-2</v>
      </c>
      <c r="BK84" s="512">
        <f t="shared" si="164"/>
        <v>4.1899160359345711E-2</v>
      </c>
      <c r="BL84" s="512">
        <f t="shared" si="164"/>
        <v>2.6567849686847556E-2</v>
      </c>
      <c r="BM84" s="512">
        <f t="shared" ref="BM84:BR84" si="165">+(BM60+BM64)/BM60-1</f>
        <v>1.9724584563780567E-2</v>
      </c>
      <c r="BN84" s="512">
        <f t="shared" si="165"/>
        <v>1.2455121739247677E-2</v>
      </c>
      <c r="BO84" s="512">
        <f t="shared" si="165"/>
        <v>1.3491020586946956E-2</v>
      </c>
      <c r="BP84" s="512">
        <f t="shared" si="165"/>
        <v>1.4738423071150919E-2</v>
      </c>
      <c r="BQ84" s="512">
        <f t="shared" si="165"/>
        <v>1.4621178555604963E-2</v>
      </c>
      <c r="BR84" s="512">
        <f t="shared" si="165"/>
        <v>1.4686248331108098E-2</v>
      </c>
      <c r="BS84" s="512">
        <f t="shared" ref="BS84" si="166">+(BS60+BS64)/BS60-1</f>
        <v>1.4751899865891982E-2</v>
      </c>
    </row>
    <row r="85" spans="1:71">
      <c r="A85" s="10" t="s">
        <v>1085</v>
      </c>
      <c r="B85" s="13"/>
      <c r="C85" s="13"/>
      <c r="D85" s="13"/>
      <c r="E85" s="13"/>
      <c r="F85" s="13"/>
      <c r="G85" s="13"/>
      <c r="H85" s="13"/>
      <c r="I85" s="13"/>
      <c r="J85" s="13"/>
      <c r="K85" s="13"/>
      <c r="L85" s="13">
        <f t="shared" ref="L85:AK85" si="167">L84/K84-1</f>
        <v>0.15657232792782683</v>
      </c>
      <c r="M85" s="13">
        <f t="shared" si="167"/>
        <v>0.12940144355385397</v>
      </c>
      <c r="N85" s="13">
        <f t="shared" si="167"/>
        <v>0.13297025232111204</v>
      </c>
      <c r="O85" s="13">
        <f t="shared" si="167"/>
        <v>0.10552255453814441</v>
      </c>
      <c r="P85" s="13">
        <f t="shared" si="167"/>
        <v>4.5444293611244468E-2</v>
      </c>
      <c r="Q85" s="13">
        <f t="shared" si="167"/>
        <v>4.3918704753210802E-2</v>
      </c>
      <c r="R85" s="13">
        <f t="shared" si="167"/>
        <v>6.0595842589654669E-3</v>
      </c>
      <c r="S85" s="13">
        <f t="shared" si="167"/>
        <v>-2.9471681806437777E-3</v>
      </c>
      <c r="T85" s="13">
        <f t="shared" si="167"/>
        <v>-8.8958788230444341E-3</v>
      </c>
      <c r="U85" s="13">
        <f t="shared" si="167"/>
        <v>-6.2972717450027194E-3</v>
      </c>
      <c r="V85" s="13">
        <f t="shared" si="167"/>
        <v>-1.0379605398570968E-2</v>
      </c>
      <c r="W85" s="13">
        <f t="shared" si="167"/>
        <v>1.3130382923242978E-2</v>
      </c>
      <c r="X85" s="13">
        <f t="shared" si="167"/>
        <v>3.3606228812772088E-2</v>
      </c>
      <c r="Y85" s="13">
        <f t="shared" si="167"/>
        <v>2.0472619680435677E-2</v>
      </c>
      <c r="Z85" s="13">
        <f t="shared" si="167"/>
        <v>3.6305194277739039E-2</v>
      </c>
      <c r="AA85" s="13">
        <f t="shared" si="167"/>
        <v>3.0409421966364869E-2</v>
      </c>
      <c r="AB85" s="13">
        <f t="shared" si="167"/>
        <v>1.9885354933001365E-2</v>
      </c>
      <c r="AC85" s="13">
        <f t="shared" si="167"/>
        <v>7.4070100143061479E-2</v>
      </c>
      <c r="AD85" s="13">
        <f t="shared" si="167"/>
        <v>4.3272862209848828E-2</v>
      </c>
      <c r="AE85" s="13">
        <f t="shared" si="167"/>
        <v>1.660441334664986E-2</v>
      </c>
      <c r="AF85" s="13">
        <f t="shared" si="167"/>
        <v>1.2104184068646218E-2</v>
      </c>
      <c r="AG85" s="13">
        <f t="shared" si="167"/>
        <v>1.1560329445446715E-2</v>
      </c>
      <c r="AH85" s="13">
        <f t="shared" si="167"/>
        <v>2.0260238429443689E-2</v>
      </c>
      <c r="AI85" s="13">
        <f t="shared" si="167"/>
        <v>8.5955088925446788E-3</v>
      </c>
      <c r="AJ85" s="13">
        <f t="shared" si="167"/>
        <v>1.354029332850204E-2</v>
      </c>
      <c r="AK85" s="13">
        <f t="shared" si="167"/>
        <v>3.7723938049318173E-2</v>
      </c>
      <c r="AL85" s="13">
        <f t="shared" ref="AL85:AR85" si="168">AL84/AK84-1</f>
        <v>2.490737351473471E-2</v>
      </c>
      <c r="AM85" s="13">
        <f t="shared" si="168"/>
        <v>1.3236488846436023E-2</v>
      </c>
      <c r="AN85" s="13">
        <f t="shared" si="168"/>
        <v>1.1277129985733714E-2</v>
      </c>
      <c r="AO85" s="13">
        <f t="shared" si="168"/>
        <v>1.7549448114555277E-2</v>
      </c>
      <c r="AP85" s="13">
        <f t="shared" si="168"/>
        <v>1.7400628411781138E-2</v>
      </c>
      <c r="AQ85" s="13">
        <f t="shared" si="168"/>
        <v>1.7256277940984166E-2</v>
      </c>
      <c r="AR85" s="13">
        <f t="shared" si="168"/>
        <v>1.7116237424357639E-2</v>
      </c>
      <c r="AS85" s="100"/>
      <c r="AT85" s="56"/>
      <c r="AU85" s="57"/>
      <c r="AV85" s="56"/>
      <c r="AW85" s="100"/>
      <c r="AX85" s="2"/>
      <c r="AY85" s="57" t="s">
        <v>145</v>
      </c>
      <c r="AZ85" s="18">
        <f t="shared" ref="AZ85:BG85" si="169">+(AZ60+AZ65)/AZ60-1</f>
        <v>1.1625327305267108E-2</v>
      </c>
      <c r="BA85" s="18">
        <f t="shared" si="169"/>
        <v>1.090711422997992E-2</v>
      </c>
      <c r="BB85" s="18">
        <f t="shared" si="169"/>
        <v>9.8852696365210324E-3</v>
      </c>
      <c r="BC85" s="18">
        <f t="shared" si="169"/>
        <v>9.5506260766304862E-3</v>
      </c>
      <c r="BD85" s="18">
        <f t="shared" si="169"/>
        <v>-4.037451189435548E-3</v>
      </c>
      <c r="BE85" s="18">
        <f t="shared" si="169"/>
        <v>-2.2962887977365787E-3</v>
      </c>
      <c r="BF85" s="18">
        <f t="shared" si="169"/>
        <v>3.9000473577179839E-3</v>
      </c>
      <c r="BG85" s="18">
        <f t="shared" si="169"/>
        <v>1.186491589426697E-2</v>
      </c>
      <c r="BH85" s="18">
        <f t="shared" ref="BH85:BN85" si="170">+(BH60+BH65)/BH60-1</f>
        <v>6.1218395381246182E-3</v>
      </c>
      <c r="BI85" s="18">
        <f t="shared" si="170"/>
        <v>4.8477212971078654E-3</v>
      </c>
      <c r="BJ85" s="18">
        <f t="shared" si="170"/>
        <v>3.9461867305929932E-3</v>
      </c>
      <c r="BK85" s="18">
        <f t="shared" si="170"/>
        <v>3.1880328899214216E-3</v>
      </c>
      <c r="BL85" s="18">
        <f t="shared" si="170"/>
        <v>2.6870621875054734E-3</v>
      </c>
      <c r="BM85" s="18">
        <f t="shared" si="170"/>
        <v>2.4323286617711215E-3</v>
      </c>
      <c r="BN85" s="18">
        <f t="shared" si="170"/>
        <v>2.1249715760243149E-3</v>
      </c>
      <c r="BO85" s="18">
        <f>+(BO60+BO65)/BO60-1</f>
        <v>7.3344036826343828E-3</v>
      </c>
      <c r="BP85" s="18">
        <f>+(BP60+BP65)/BP60-1</f>
        <v>8.0720653811163778E-3</v>
      </c>
      <c r="BQ85" s="18">
        <f>+(BQ60+BQ65)/BQ60-1</f>
        <v>8.2008669089830288E-3</v>
      </c>
      <c r="BR85" s="18">
        <f>+(BR60+BR65)/BR60-1</f>
        <v>8.6437741935203594E-3</v>
      </c>
      <c r="BS85" s="18">
        <f>+(BS60+BS65)/BS60-1</f>
        <v>9.0936444312852416E-3</v>
      </c>
    </row>
    <row r="86" spans="1:71">
      <c r="A86" s="14"/>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100"/>
      <c r="AT86" s="56"/>
      <c r="AU86" s="57"/>
      <c r="AV86" s="56"/>
      <c r="AW86" s="100"/>
      <c r="AX86" s="2"/>
      <c r="AY86" s="57" t="s">
        <v>561</v>
      </c>
      <c r="AZ86" s="510">
        <f t="shared" ref="AZ86:BG86" si="171">+(AZ60+AZ66)/AZ60-1</f>
        <v>-1.1333585190781981E-2</v>
      </c>
      <c r="BA86" s="510">
        <f t="shared" si="171"/>
        <v>-1.488675433310882E-2</v>
      </c>
      <c r="BB86" s="510">
        <f t="shared" si="171"/>
        <v>-1.1564633935968516E-2</v>
      </c>
      <c r="BC86" s="510">
        <f t="shared" si="171"/>
        <v>-1.1793869236405907E-2</v>
      </c>
      <c r="BD86" s="510">
        <f t="shared" si="171"/>
        <v>-1.2837837837837873E-2</v>
      </c>
      <c r="BE86" s="510">
        <f t="shared" si="171"/>
        <v>-1.8374071928044633E-2</v>
      </c>
      <c r="BF86" s="510">
        <f t="shared" si="171"/>
        <v>-1.5600189430871714E-2</v>
      </c>
      <c r="BG86" s="510">
        <f t="shared" si="171"/>
        <v>-1.351699279093721E-2</v>
      </c>
      <c r="BH86" s="510">
        <f t="shared" ref="BH86:BN86" si="172">+(BH60+BH66)/BH60-1</f>
        <v>-1.6424447541310006E-2</v>
      </c>
      <c r="BI86" s="510">
        <f t="shared" si="172"/>
        <v>-1.4894829097283013E-2</v>
      </c>
      <c r="BJ86" s="510">
        <f t="shared" si="172"/>
        <v>-1.4820638214233628E-2</v>
      </c>
      <c r="BK86" s="510">
        <f t="shared" si="172"/>
        <v>-1.2886403596497509E-2</v>
      </c>
      <c r="BL86" s="510">
        <f t="shared" si="172"/>
        <v>-1.8896369031595972E-2</v>
      </c>
      <c r="BM86" s="510">
        <f t="shared" si="172"/>
        <v>-8.8654583158128686E-3</v>
      </c>
      <c r="BN86" s="510">
        <f t="shared" si="172"/>
        <v>-1.683903927978414E-2</v>
      </c>
      <c r="BO86" s="510">
        <f>+(BO60+BO66)/BO60-1</f>
        <v>-1.340536360667377E-2</v>
      </c>
      <c r="BP86" s="510">
        <f>+(BP60+BP66)/BP60-1</f>
        <v>-1.3441949699137257E-2</v>
      </c>
      <c r="BQ86" s="510">
        <f>+(BQ60+BQ66)/BQ60-1</f>
        <v>-1.3186545580050169E-2</v>
      </c>
      <c r="BR86" s="510">
        <f>+(BR60+BR66)/BR60-1</f>
        <v>-1.2932607369538829E-2</v>
      </c>
      <c r="BS86" s="510">
        <f>+(BS60+BS66)/BS60-1</f>
        <v>-1.2674088720200372E-2</v>
      </c>
    </row>
    <row r="87" spans="1:71">
      <c r="A87" s="10" t="s">
        <v>1106</v>
      </c>
      <c r="B87" s="6"/>
      <c r="C87" s="6"/>
      <c r="D87" s="6"/>
      <c r="E87" s="6"/>
      <c r="F87" s="6"/>
      <c r="G87" s="6"/>
      <c r="H87" s="6"/>
      <c r="I87" s="6"/>
      <c r="J87" s="6"/>
      <c r="K87" s="6"/>
      <c r="L87" s="6"/>
      <c r="M87" s="6"/>
      <c r="N87" s="6">
        <f t="shared" ref="N87:W87" si="173">+N59/N78</f>
        <v>454.6684709066306</v>
      </c>
      <c r="O87" s="6">
        <f t="shared" si="173"/>
        <v>453.48571428571427</v>
      </c>
      <c r="P87" s="6">
        <f t="shared" si="173"/>
        <v>478.91321978913214</v>
      </c>
      <c r="Q87" s="6">
        <f t="shared" si="173"/>
        <v>459.28571428571433</v>
      </c>
      <c r="R87" s="6">
        <f t="shared" si="173"/>
        <v>457.41324921135646</v>
      </c>
      <c r="S87" s="6">
        <f t="shared" si="173"/>
        <v>494.69553843918032</v>
      </c>
      <c r="T87" s="6">
        <f t="shared" si="173"/>
        <v>504.0650406504065</v>
      </c>
      <c r="U87" s="6">
        <f t="shared" si="173"/>
        <v>552.81661891117471</v>
      </c>
      <c r="V87" s="6">
        <f t="shared" si="173"/>
        <v>571.61236710252967</v>
      </c>
      <c r="W87" s="6">
        <f t="shared" si="173"/>
        <v>554.65804962492791</v>
      </c>
      <c r="X87" s="6">
        <f>+X59/(X78/0.8)</f>
        <v>464.3350509812521</v>
      </c>
      <c r="Y87" s="6">
        <f t="shared" ref="Y87:AI87" si="174">+Y59/(Y78/0.8)</f>
        <v>480.32347307937869</v>
      </c>
      <c r="Z87" s="6">
        <f t="shared" si="174"/>
        <v>518.66108507757986</v>
      </c>
      <c r="AA87" s="6">
        <f t="shared" si="174"/>
        <v>522.36506231634405</v>
      </c>
      <c r="AB87" s="6">
        <f>+AB59/(AB78/0.8)</f>
        <v>584.57588624469236</v>
      </c>
      <c r="AC87" s="6">
        <f t="shared" si="174"/>
        <v>555.3584335664334</v>
      </c>
      <c r="AD87" s="6">
        <f t="shared" si="174"/>
        <v>496.3290701693744</v>
      </c>
      <c r="AE87" s="6">
        <f t="shared" si="174"/>
        <v>464.10754294249449</v>
      </c>
      <c r="AF87" s="6">
        <f>+AF59/(AF78/0.8)</f>
        <v>526.7442241520564</v>
      </c>
      <c r="AG87" s="6">
        <f t="shared" si="174"/>
        <v>593.54628952288056</v>
      </c>
      <c r="AH87" s="6">
        <f t="shared" si="174"/>
        <v>656.61310795726376</v>
      </c>
      <c r="AI87" s="16">
        <f t="shared" si="174"/>
        <v>656.78623537508599</v>
      </c>
      <c r="AJ87" s="16">
        <f t="shared" ref="AJ87:AO87" si="175">+AJ59/(AJ78/0.8)</f>
        <v>664.92855059784199</v>
      </c>
      <c r="AK87" s="16">
        <f>+AK59/(AK78/0.8)</f>
        <v>683.18826405867969</v>
      </c>
      <c r="AL87" s="16">
        <f t="shared" si="175"/>
        <v>666.27972591696914</v>
      </c>
      <c r="AM87" s="16">
        <f t="shared" si="175"/>
        <v>619.06542056074784</v>
      </c>
      <c r="AN87" s="16">
        <f t="shared" si="175"/>
        <v>621.87501854769096</v>
      </c>
      <c r="AO87" s="16">
        <f t="shared" si="175"/>
        <v>619.93358827380951</v>
      </c>
      <c r="AP87" s="16">
        <f>+AP59/(AP78/0.8)</f>
        <v>624.01507402889047</v>
      </c>
      <c r="AQ87" s="16">
        <f>+AQ59/(AQ78/0.8)</f>
        <v>628.6958040847046</v>
      </c>
      <c r="AR87" s="16">
        <f>+AR59/(AR78/0.8)</f>
        <v>633.99340072874975</v>
      </c>
      <c r="AS87" s="100"/>
      <c r="AT87" s="56">
        <f>((AK87/AF87)^(1/5)-1)*100</f>
        <v>5.3387409107753081</v>
      </c>
      <c r="AU87" s="97" t="s">
        <v>1084</v>
      </c>
      <c r="AV87" s="56">
        <f>((AP87/AK87)^(1/5)-1)*100</f>
        <v>-1.7956022327913379</v>
      </c>
      <c r="AW87" s="100" t="s">
        <v>1084</v>
      </c>
      <c r="AX87" s="2"/>
      <c r="AY87" s="2" t="s">
        <v>146</v>
      </c>
      <c r="AZ87" s="18">
        <f t="shared" ref="AZ87:BL87" si="176">+SUM(AZ83:AZ86)</f>
        <v>5.0491968786189001E-2</v>
      </c>
      <c r="BA87" s="18">
        <f t="shared" si="176"/>
        <v>9.8461433160969003E-2</v>
      </c>
      <c r="BB87" s="18">
        <f t="shared" si="176"/>
        <v>2.1330848878517106E-2</v>
      </c>
      <c r="BC87" s="18">
        <f t="shared" si="176"/>
        <v>0.12786840753809559</v>
      </c>
      <c r="BD87" s="18">
        <f t="shared" si="176"/>
        <v>-8.9328003177113757E-4</v>
      </c>
      <c r="BE87" s="18">
        <f t="shared" si="176"/>
        <v>-6.4401667947795005E-2</v>
      </c>
      <c r="BF87" s="18">
        <f t="shared" si="176"/>
        <v>-5.180990054879242E-2</v>
      </c>
      <c r="BG87" s="18">
        <f t="shared" si="176"/>
        <v>0.15550549261929258</v>
      </c>
      <c r="BH87" s="18">
        <f t="shared" si="176"/>
        <v>0.14394993171638326</v>
      </c>
      <c r="BI87" s="18">
        <f t="shared" si="176"/>
        <v>8.6913899108671311E-2</v>
      </c>
      <c r="BJ87" s="18">
        <f t="shared" si="176"/>
        <v>7.1782613580867127E-2</v>
      </c>
      <c r="BK87" s="18">
        <f t="shared" si="176"/>
        <v>6.3374277837187298E-2</v>
      </c>
      <c r="BL87" s="18">
        <f t="shared" si="176"/>
        <v>5.9850068266485978E-2</v>
      </c>
      <c r="BM87" s="18">
        <f t="shared" ref="BM87:BR87" si="177">+SUM(BM83:BM86)</f>
        <v>7.0856764651761051E-3</v>
      </c>
      <c r="BN87" s="18">
        <f t="shared" si="177"/>
        <v>-6.3553768037043934E-2</v>
      </c>
      <c r="BO87" s="18">
        <f t="shared" si="177"/>
        <v>-2.7217846579036253E-3</v>
      </c>
      <c r="BP87" s="18">
        <f t="shared" si="177"/>
        <v>1.9368538753130049E-2</v>
      </c>
      <c r="BQ87" s="18">
        <f t="shared" si="177"/>
        <v>1.9635499884537833E-2</v>
      </c>
      <c r="BR87" s="18">
        <f t="shared" si="177"/>
        <v>2.0397415155089638E-2</v>
      </c>
      <c r="BS87" s="18">
        <f t="shared" ref="BS87" si="178">+SUM(BS83:BS86)</f>
        <v>2.1171455576976861E-2</v>
      </c>
    </row>
    <row r="88" spans="1:71">
      <c r="A88" s="10" t="s">
        <v>1085</v>
      </c>
      <c r="B88" s="13"/>
      <c r="C88" s="13"/>
      <c r="D88" s="13"/>
      <c r="E88" s="13"/>
      <c r="F88" s="13"/>
      <c r="G88" s="13"/>
      <c r="H88" s="13"/>
      <c r="I88" s="13"/>
      <c r="J88" s="13"/>
      <c r="K88" s="13"/>
      <c r="L88" s="13"/>
      <c r="M88" s="13"/>
      <c r="N88" s="13"/>
      <c r="O88" s="13">
        <f t="shared" ref="O88:AK88" si="179">O87/N87-1</f>
        <v>-2.601360544217779E-3</v>
      </c>
      <c r="P88" s="13">
        <f t="shared" si="179"/>
        <v>5.6071238194280948E-2</v>
      </c>
      <c r="Q88" s="13">
        <f t="shared" si="179"/>
        <v>-4.0983428087576934E-2</v>
      </c>
      <c r="R88" s="13">
        <f t="shared" si="179"/>
        <v>-4.0769068493017313E-3</v>
      </c>
      <c r="S88" s="13">
        <f t="shared" si="179"/>
        <v>8.1506797829104638E-2</v>
      </c>
      <c r="T88" s="13">
        <f t="shared" si="179"/>
        <v>1.8939936755419273E-2</v>
      </c>
      <c r="U88" s="13">
        <f t="shared" si="179"/>
        <v>9.6716840743136911E-2</v>
      </c>
      <c r="V88" s="13">
        <f t="shared" si="179"/>
        <v>3.3999969516790296E-2</v>
      </c>
      <c r="W88" s="13">
        <f t="shared" si="179"/>
        <v>-2.9660515505537832E-2</v>
      </c>
      <c r="X88" s="13">
        <f t="shared" si="179"/>
        <v>-0.16284447454563078</v>
      </c>
      <c r="Y88" s="13">
        <f t="shared" si="179"/>
        <v>3.4432942471905204E-2</v>
      </c>
      <c r="Z88" s="13">
        <f t="shared" si="179"/>
        <v>7.9816236654887573E-2</v>
      </c>
      <c r="AA88" s="13">
        <f t="shared" si="179"/>
        <v>7.1414211424984941E-3</v>
      </c>
      <c r="AB88" s="13">
        <f t="shared" si="179"/>
        <v>0.119094534486063</v>
      </c>
      <c r="AC88" s="13">
        <f t="shared" si="179"/>
        <v>-4.9980598525798725E-2</v>
      </c>
      <c r="AD88" s="13">
        <f t="shared" si="179"/>
        <v>-0.10629056808947834</v>
      </c>
      <c r="AE88" s="13">
        <f t="shared" si="179"/>
        <v>-6.491968567523998E-2</v>
      </c>
      <c r="AF88" s="13">
        <f t="shared" si="179"/>
        <v>0.13496156690847605</v>
      </c>
      <c r="AG88" s="13">
        <f t="shared" si="179"/>
        <v>0.12682068888056808</v>
      </c>
      <c r="AH88" s="13">
        <f t="shared" si="179"/>
        <v>0.10625425438187674</v>
      </c>
      <c r="AI88" s="15">
        <f t="shared" si="179"/>
        <v>2.6366731904103879E-4</v>
      </c>
      <c r="AJ88" s="15">
        <f t="shared" si="179"/>
        <v>1.2397207469041938E-2</v>
      </c>
      <c r="AK88" s="15">
        <f t="shared" si="179"/>
        <v>2.7461166232703116E-2</v>
      </c>
      <c r="AL88" s="15">
        <f t="shared" ref="AL88:AR88" si="180">AL87/AK87-1</f>
        <v>-2.4749456381555013E-2</v>
      </c>
      <c r="AM88" s="15">
        <f t="shared" si="180"/>
        <v>-7.0862587468412785E-2</v>
      </c>
      <c r="AN88" s="15">
        <f t="shared" si="180"/>
        <v>4.5384508545125435E-3</v>
      </c>
      <c r="AO88" s="15">
        <f t="shared" si="180"/>
        <v>-3.121897834737597E-3</v>
      </c>
      <c r="AP88" s="15">
        <f t="shared" si="180"/>
        <v>6.5837467630134316E-3</v>
      </c>
      <c r="AQ88" s="15">
        <f t="shared" si="180"/>
        <v>7.500988759123306E-3</v>
      </c>
      <c r="AR88" s="15">
        <f t="shared" si="180"/>
        <v>8.4263273424540763E-3</v>
      </c>
      <c r="AS88" s="100"/>
      <c r="AT88" s="57"/>
      <c r="AU88" s="57"/>
      <c r="AV88" s="56"/>
      <c r="AW88" s="100"/>
      <c r="AX88" s="2"/>
      <c r="AY88" s="2"/>
      <c r="AZ88" s="2"/>
      <c r="BA88" s="2"/>
      <c r="BB88" s="2"/>
      <c r="BC88" s="2"/>
      <c r="BD88" s="2"/>
      <c r="BE88" s="2"/>
      <c r="BF88" s="2"/>
      <c r="BG88" s="2"/>
      <c r="BH88" s="2"/>
      <c r="BI88" s="2"/>
      <c r="BJ88" s="2"/>
      <c r="BK88" s="2"/>
      <c r="BL88" s="2"/>
    </row>
    <row r="89" spans="1:71">
      <c r="A89" s="14"/>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14"/>
      <c r="AJ89" s="14"/>
      <c r="AK89" s="14"/>
      <c r="AL89" s="14"/>
      <c r="AM89" s="14"/>
      <c r="AN89" s="14"/>
      <c r="AO89" s="14"/>
      <c r="AP89" s="14"/>
      <c r="AQ89" s="14"/>
      <c r="AR89" s="14"/>
      <c r="AS89" s="100"/>
      <c r="AT89" s="57"/>
      <c r="AU89" s="57"/>
      <c r="AV89" s="56"/>
      <c r="AW89" s="100"/>
      <c r="AX89" s="2"/>
      <c r="AY89" s="2"/>
      <c r="AZ89" s="2"/>
      <c r="BA89" s="2"/>
      <c r="BB89" s="2"/>
      <c r="BC89" s="2"/>
      <c r="BD89" s="2"/>
      <c r="BE89" s="2"/>
      <c r="BF89" s="2"/>
      <c r="BG89" s="2"/>
      <c r="BH89" s="2"/>
      <c r="BI89" s="2"/>
      <c r="BJ89" s="2"/>
      <c r="BK89" s="2"/>
      <c r="BL89" s="2"/>
    </row>
    <row r="90" spans="1:71">
      <c r="A90" s="10" t="s">
        <v>823</v>
      </c>
      <c r="B90" s="443"/>
      <c r="C90" s="443"/>
      <c r="D90" s="443"/>
      <c r="E90" s="443"/>
      <c r="F90" s="443"/>
      <c r="G90" s="443"/>
      <c r="H90" s="443"/>
      <c r="I90" s="443"/>
      <c r="J90" s="443"/>
      <c r="K90" s="443"/>
      <c r="L90" s="443"/>
      <c r="M90" s="443"/>
      <c r="N90" s="443"/>
      <c r="O90" s="443"/>
      <c r="P90" s="443">
        <v>0.12</v>
      </c>
      <c r="Q90" s="443">
        <v>-0.01</v>
      </c>
      <c r="R90" s="444">
        <v>0.05</v>
      </c>
      <c r="S90" s="444">
        <v>0.11</v>
      </c>
      <c r="T90" s="444">
        <v>0.04</v>
      </c>
      <c r="U90" s="444">
        <v>0.12</v>
      </c>
      <c r="V90" s="444">
        <v>0.05</v>
      </c>
      <c r="W90" s="444">
        <v>0</v>
      </c>
      <c r="X90" s="444">
        <v>0.06</v>
      </c>
      <c r="Y90" s="444">
        <v>0.04</v>
      </c>
      <c r="Z90" s="444">
        <v>0.09</v>
      </c>
      <c r="AA90" s="564">
        <f>segqtrSales!F107/100</f>
        <v>0.01</v>
      </c>
      <c r="AB90" s="462">
        <f>segqtrSales!F114/100</f>
        <v>0.11</v>
      </c>
      <c r="AC90" s="462">
        <f>segqtrSales!$F$121/100</f>
        <v>-0.02</v>
      </c>
      <c r="AD90" s="462">
        <f>segqtrSales!$F$128/100</f>
        <v>-8.4481990138451687E-2</v>
      </c>
      <c r="AE90" s="462">
        <f>segqtrSales!F135*0.01</f>
        <v>-0.06</v>
      </c>
      <c r="AF90" s="462">
        <f>segqtrSales!$F$142*0.01</f>
        <v>0.14000000000000001</v>
      </c>
      <c r="AG90" s="462">
        <f>segqtrSales!F149*0.01</f>
        <v>0.13719500438212096</v>
      </c>
      <c r="AH90" s="462">
        <f>segqtrSales!F156*0.01</f>
        <v>6.7862847399643988E-2</v>
      </c>
      <c r="AI90" s="462">
        <f>segqtrSales!F163*0.01</f>
        <v>2.3932799130252706E-2</v>
      </c>
      <c r="AJ90" s="15">
        <f>segqtrSales!F170/100</f>
        <v>3.1173488184417817E-2</v>
      </c>
      <c r="AK90" s="15">
        <f>segqtrSales!F177/100</f>
        <v>4.9491525423728817E-2</v>
      </c>
      <c r="AL90" s="15">
        <f>segqtrSales!F184/100</f>
        <v>-6.2057784445627437E-3</v>
      </c>
      <c r="AM90" s="15">
        <f>segqtrSales!F191/100</f>
        <v>-6.1294822072531813E-2</v>
      </c>
      <c r="AN90" s="15">
        <f>segqtrSales!F198/100</f>
        <v>-1.0141845320811287E-2</v>
      </c>
      <c r="AO90" s="645">
        <v>0.01</v>
      </c>
      <c r="AP90" s="645">
        <v>0.01</v>
      </c>
      <c r="AQ90" s="645">
        <v>0.01</v>
      </c>
      <c r="AR90" s="645">
        <v>0.01</v>
      </c>
      <c r="AS90" s="1122"/>
      <c r="AT90" s="57"/>
      <c r="AU90" s="57"/>
      <c r="AV90" s="56"/>
      <c r="AW90" s="100"/>
      <c r="AX90" s="2"/>
      <c r="AY90" s="2"/>
      <c r="AZ90" s="2"/>
      <c r="BA90" s="2"/>
      <c r="BB90" s="2"/>
      <c r="BC90" s="2"/>
      <c r="BD90" s="2"/>
      <c r="BE90" s="2"/>
      <c r="BF90" s="2"/>
      <c r="BG90" s="2"/>
      <c r="BH90" s="2"/>
      <c r="BI90" s="2"/>
      <c r="BJ90" s="2"/>
      <c r="BK90" s="2"/>
      <c r="BL90" s="2"/>
    </row>
    <row r="91" spans="1:71">
      <c r="A91" s="14"/>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14"/>
      <c r="AJ91" s="14"/>
      <c r="AK91" s="14"/>
      <c r="AL91" s="14"/>
      <c r="AM91" s="14"/>
      <c r="AN91" s="14"/>
      <c r="AO91" s="14"/>
      <c r="AP91" s="14"/>
      <c r="AQ91" s="14"/>
      <c r="AR91" s="14"/>
      <c r="AS91" s="100"/>
      <c r="AT91" s="57"/>
      <c r="AU91" s="57"/>
      <c r="AV91" s="56"/>
      <c r="AW91" s="100"/>
      <c r="AX91" s="2"/>
      <c r="AY91" s="2"/>
      <c r="AZ91" s="2"/>
      <c r="BA91" s="2"/>
      <c r="BB91" s="2"/>
      <c r="BC91" s="2"/>
      <c r="BD91" s="2"/>
      <c r="BE91" s="2"/>
      <c r="BF91" s="2"/>
      <c r="BG91" s="2"/>
      <c r="BH91" s="2"/>
      <c r="BI91" s="2"/>
      <c r="BJ91" s="2"/>
      <c r="BK91" s="2"/>
      <c r="BL91" s="2"/>
    </row>
    <row r="92" spans="1:71" hidden="1" outlineLevel="1">
      <c r="A92" s="2" t="s">
        <v>256</v>
      </c>
      <c r="B92" s="2"/>
      <c r="C92" s="2"/>
      <c r="D92" s="2"/>
      <c r="E92" s="2"/>
      <c r="F92" s="2"/>
      <c r="G92" s="2"/>
      <c r="H92" s="2"/>
      <c r="I92" s="2"/>
      <c r="J92" s="2"/>
      <c r="K92" s="2"/>
      <c r="L92" s="2"/>
      <c r="M92" s="2"/>
      <c r="N92" s="2"/>
      <c r="O92" s="2"/>
      <c r="P92" s="2"/>
      <c r="Q92" s="2"/>
      <c r="R92" s="2"/>
      <c r="S92" s="2"/>
      <c r="T92" s="2"/>
      <c r="U92" s="2"/>
      <c r="V92" s="2"/>
      <c r="W92" s="2"/>
      <c r="X92" s="2"/>
      <c r="Y92" s="2"/>
      <c r="Z92" s="529">
        <f>'store&amp;sf'!$BI$286</f>
        <v>0.10199999999999999</v>
      </c>
      <c r="AA92" s="2">
        <f>'store&amp;sf'!$BI$292</f>
        <v>6.8000000000000005E-2</v>
      </c>
      <c r="AB92" s="2">
        <f>'store&amp;sf'!$BI$298</f>
        <v>6.8000000000000005E-2</v>
      </c>
      <c r="AC92" s="2">
        <f>'store&amp;sf'!$BI$304</f>
        <v>0.29899999999999999</v>
      </c>
      <c r="AD92" s="2">
        <f>'store&amp;sf'!$BI$310</f>
        <v>0.183</v>
      </c>
      <c r="AE92" s="654">
        <f>'store&amp;sf'!$BI$316</f>
        <v>6.3E-2</v>
      </c>
      <c r="AF92" s="446">
        <f>AE92</f>
        <v>6.3E-2</v>
      </c>
      <c r="AG92" s="446">
        <f>AF92</f>
        <v>6.3E-2</v>
      </c>
      <c r="AH92" s="446">
        <f>AG92</f>
        <v>6.3E-2</v>
      </c>
      <c r="AI92" s="446">
        <f>AH92</f>
        <v>6.3E-2</v>
      </c>
      <c r="AJ92" s="446">
        <f>AI92</f>
        <v>6.3E-2</v>
      </c>
      <c r="AK92" s="446">
        <v>0.08</v>
      </c>
      <c r="AL92" s="446">
        <f t="shared" ref="AL92:AR92" si="181">AK92</f>
        <v>0.08</v>
      </c>
      <c r="AM92" s="446">
        <f t="shared" si="181"/>
        <v>0.08</v>
      </c>
      <c r="AN92" s="446">
        <f t="shared" si="181"/>
        <v>0.08</v>
      </c>
      <c r="AO92" s="446">
        <f t="shared" si="181"/>
        <v>0.08</v>
      </c>
      <c r="AP92" s="446">
        <f t="shared" si="181"/>
        <v>0.08</v>
      </c>
      <c r="AQ92" s="446">
        <f t="shared" si="181"/>
        <v>0.08</v>
      </c>
      <c r="AR92" s="446">
        <f t="shared" si="181"/>
        <v>0.08</v>
      </c>
      <c r="AS92" s="100"/>
      <c r="AT92" s="57"/>
      <c r="AU92" s="57"/>
      <c r="AV92" s="56"/>
      <c r="AW92" s="100"/>
      <c r="AX92" s="2"/>
      <c r="AY92" s="2"/>
      <c r="AZ92" s="2"/>
      <c r="BA92" s="2"/>
      <c r="BB92" s="2"/>
      <c r="BC92" s="2"/>
      <c r="BD92" s="2"/>
      <c r="BE92" s="2"/>
      <c r="BF92" s="2"/>
      <c r="BG92" s="2"/>
      <c r="BH92" s="2"/>
      <c r="BI92" s="2"/>
      <c r="BJ92" s="2"/>
      <c r="BK92" s="2"/>
      <c r="BL92" s="2"/>
    </row>
    <row r="93" spans="1:71" hidden="1" outlineLevel="1">
      <c r="A93" s="10" t="s">
        <v>390</v>
      </c>
      <c r="B93" s="9"/>
      <c r="C93" s="9"/>
      <c r="D93" s="9"/>
      <c r="E93" s="9"/>
      <c r="F93" s="9"/>
      <c r="G93" s="9"/>
      <c r="H93" s="9"/>
      <c r="I93" s="9"/>
      <c r="J93" s="9"/>
      <c r="K93" s="9"/>
      <c r="L93" s="9"/>
      <c r="M93" s="9"/>
      <c r="N93" s="9"/>
      <c r="O93" s="9"/>
      <c r="P93" s="9"/>
      <c r="Q93" s="9"/>
      <c r="R93" s="9"/>
      <c r="S93" s="9"/>
      <c r="T93" s="9"/>
      <c r="U93" s="9"/>
      <c r="V93" s="9"/>
      <c r="W93" s="9"/>
      <c r="X93" s="9"/>
      <c r="Y93" s="50">
        <f>48000/10</f>
        <v>4800</v>
      </c>
      <c r="Z93" s="50">
        <v>4800</v>
      </c>
      <c r="AA93" s="50">
        <v>4800</v>
      </c>
      <c r="AB93" s="50">
        <v>4800</v>
      </c>
      <c r="AC93" s="647">
        <v>6860</v>
      </c>
      <c r="AD93" s="647">
        <v>7500</v>
      </c>
      <c r="AE93" s="647">
        <v>7500</v>
      </c>
      <c r="AF93" s="647">
        <v>7200</v>
      </c>
      <c r="AG93" s="647">
        <v>7000</v>
      </c>
      <c r="AH93" s="647">
        <v>7000</v>
      </c>
      <c r="AI93" s="647">
        <v>7500</v>
      </c>
      <c r="AJ93" s="647">
        <v>7650</v>
      </c>
      <c r="AK93" s="647">
        <v>8000</v>
      </c>
      <c r="AL93" s="647">
        <v>8000</v>
      </c>
      <c r="AM93" s="647">
        <v>8000</v>
      </c>
      <c r="AN93" s="647">
        <v>8000</v>
      </c>
      <c r="AO93" s="647">
        <v>8000</v>
      </c>
      <c r="AP93" s="647">
        <v>8000</v>
      </c>
      <c r="AQ93" s="647">
        <v>8000</v>
      </c>
      <c r="AR93" s="647">
        <v>8000</v>
      </c>
      <c r="AS93" s="104"/>
      <c r="AT93" s="660"/>
      <c r="AU93" s="98"/>
      <c r="AV93" s="56"/>
      <c r="AW93" s="100"/>
      <c r="AX93" s="2"/>
      <c r="AY93" s="2"/>
      <c r="AZ93" s="2"/>
      <c r="BA93" s="2"/>
      <c r="BB93" s="2"/>
      <c r="BC93" s="2"/>
      <c r="BD93" s="2"/>
      <c r="BE93" s="2"/>
      <c r="BF93" s="2"/>
      <c r="BG93" s="2"/>
      <c r="BH93" s="2"/>
      <c r="BI93" s="2"/>
      <c r="BJ93" s="2"/>
      <c r="BK93" s="2"/>
      <c r="BL93" s="2"/>
    </row>
    <row r="94" spans="1:71" hidden="1" outlineLevel="1">
      <c r="A94" s="10" t="s">
        <v>391</v>
      </c>
      <c r="B94" s="9"/>
      <c r="C94" s="9"/>
      <c r="D94" s="9"/>
      <c r="E94" s="9"/>
      <c r="F94" s="9"/>
      <c r="G94" s="9"/>
      <c r="H94" s="9"/>
      <c r="I94" s="9"/>
      <c r="J94" s="9"/>
      <c r="K94" s="9"/>
      <c r="L94" s="9"/>
      <c r="M94" s="9"/>
      <c r="N94" s="9"/>
      <c r="O94" s="9"/>
      <c r="P94" s="9"/>
      <c r="Q94" s="9"/>
      <c r="R94" s="9"/>
      <c r="S94" s="9"/>
      <c r="T94" s="9"/>
      <c r="U94" s="9"/>
      <c r="V94" s="9"/>
      <c r="W94" s="9"/>
      <c r="X94" s="9"/>
      <c r="Y94" s="50">
        <v>4500</v>
      </c>
      <c r="Z94" s="50">
        <v>4500</v>
      </c>
      <c r="AA94" s="50">
        <v>4500</v>
      </c>
      <c r="AB94" s="50">
        <v>4500</v>
      </c>
      <c r="AC94" s="647">
        <v>3260</v>
      </c>
      <c r="AD94" s="647">
        <v>3000</v>
      </c>
      <c r="AE94" s="647">
        <v>4300</v>
      </c>
      <c r="AF94" s="647">
        <v>5000</v>
      </c>
      <c r="AG94" s="647">
        <v>5000</v>
      </c>
      <c r="AH94" s="647">
        <v>5000</v>
      </c>
      <c r="AI94" s="647">
        <v>5000</v>
      </c>
      <c r="AJ94" s="647">
        <v>5000</v>
      </c>
      <c r="AK94" s="647">
        <v>5000</v>
      </c>
      <c r="AL94" s="647">
        <v>5000</v>
      </c>
      <c r="AM94" s="647">
        <v>5000</v>
      </c>
      <c r="AN94" s="647">
        <v>5000</v>
      </c>
      <c r="AO94" s="647">
        <v>5000</v>
      </c>
      <c r="AP94" s="647">
        <v>5000</v>
      </c>
      <c r="AQ94" s="647">
        <v>5000</v>
      </c>
      <c r="AR94" s="647">
        <v>5000</v>
      </c>
      <c r="AS94" s="104"/>
      <c r="AT94" s="98"/>
      <c r="AU94" s="98"/>
      <c r="AV94" s="56"/>
      <c r="AW94" s="100"/>
      <c r="AX94" s="2"/>
      <c r="AY94" s="2"/>
      <c r="AZ94" s="2"/>
      <c r="BA94" s="2"/>
      <c r="BB94" s="2"/>
      <c r="BC94" s="2"/>
      <c r="BD94" s="2"/>
      <c r="BE94" s="2"/>
      <c r="BF94" s="2"/>
      <c r="BG94" s="2"/>
      <c r="BH94" s="2"/>
      <c r="BI94" s="2"/>
      <c r="BJ94" s="2"/>
      <c r="BK94" s="2"/>
      <c r="BL94" s="2"/>
    </row>
    <row r="95" spans="1:71" hidden="1" outlineLevel="1">
      <c r="A95" s="10" t="s">
        <v>759</v>
      </c>
      <c r="B95" s="9"/>
      <c r="C95" s="9"/>
      <c r="D95" s="9"/>
      <c r="E95" s="9"/>
      <c r="F95" s="9"/>
      <c r="G95" s="9"/>
      <c r="H95" s="9"/>
      <c r="I95" s="9"/>
      <c r="J95" s="9"/>
      <c r="K95" s="9"/>
      <c r="L95" s="9"/>
      <c r="M95" s="9"/>
      <c r="N95" s="9"/>
      <c r="O95" s="9"/>
      <c r="P95" s="9"/>
      <c r="Q95" s="9"/>
      <c r="R95" s="9"/>
      <c r="S95" s="9"/>
      <c r="T95" s="9"/>
      <c r="U95" s="9"/>
      <c r="V95" s="9"/>
      <c r="W95" s="9"/>
      <c r="X95" s="9"/>
      <c r="Y95" s="50">
        <v>8000</v>
      </c>
      <c r="Z95" s="50">
        <v>8000</v>
      </c>
      <c r="AA95" s="50">
        <v>8000</v>
      </c>
      <c r="AB95" s="50">
        <v>8000</v>
      </c>
      <c r="AC95" s="647">
        <v>8500</v>
      </c>
      <c r="AD95" s="647">
        <v>8500</v>
      </c>
      <c r="AE95" s="647">
        <v>8500</v>
      </c>
      <c r="AF95" s="647">
        <v>8500</v>
      </c>
      <c r="AG95" s="647">
        <v>8500</v>
      </c>
      <c r="AH95" s="647">
        <v>8500</v>
      </c>
      <c r="AI95" s="647">
        <v>8500</v>
      </c>
      <c r="AJ95" s="647">
        <v>8500</v>
      </c>
      <c r="AK95" s="647">
        <v>8500</v>
      </c>
      <c r="AL95" s="647">
        <v>8500</v>
      </c>
      <c r="AM95" s="647">
        <v>8500</v>
      </c>
      <c r="AN95" s="647">
        <v>8500</v>
      </c>
      <c r="AO95" s="647">
        <v>8500</v>
      </c>
      <c r="AP95" s="647">
        <v>8500</v>
      </c>
      <c r="AQ95" s="647">
        <v>8500</v>
      </c>
      <c r="AR95" s="647">
        <v>8500</v>
      </c>
      <c r="AS95" s="104"/>
      <c r="AT95" s="98"/>
      <c r="AU95" s="98"/>
      <c r="AV95" s="56"/>
      <c r="AW95" s="100"/>
      <c r="AX95" s="2"/>
      <c r="AY95" s="2"/>
      <c r="AZ95" s="2"/>
      <c r="BA95" s="2"/>
      <c r="BB95" s="2"/>
      <c r="BC95" s="2"/>
      <c r="BD95" s="2"/>
      <c r="BE95" s="2"/>
      <c r="BF95" s="2"/>
      <c r="BG95" s="2"/>
      <c r="BH95" s="2"/>
      <c r="BI95" s="2"/>
      <c r="BJ95" s="2"/>
      <c r="BK95" s="2"/>
      <c r="BL95" s="2"/>
    </row>
    <row r="96" spans="1:71" hidden="1" outlineLevel="1">
      <c r="A96" s="2"/>
      <c r="B96" s="2"/>
      <c r="C96" s="2"/>
      <c r="D96" s="2"/>
      <c r="E96" s="2"/>
      <c r="F96" s="2"/>
      <c r="G96" s="2"/>
      <c r="H96" s="2"/>
      <c r="I96" s="2"/>
      <c r="J96" s="2"/>
      <c r="K96" s="2"/>
      <c r="L96" s="2"/>
      <c r="M96" s="2"/>
      <c r="N96" s="2"/>
      <c r="O96" s="2"/>
      <c r="P96" s="2"/>
      <c r="Q96" s="2"/>
      <c r="R96" s="2"/>
      <c r="S96" s="2"/>
      <c r="T96" s="2"/>
      <c r="U96" s="2"/>
      <c r="V96" s="190"/>
      <c r="W96" s="2"/>
      <c r="X96" s="2"/>
      <c r="Y96" s="2"/>
      <c r="Z96" s="18"/>
      <c r="AA96" s="2"/>
      <c r="AB96" s="2"/>
      <c r="AC96" s="2"/>
      <c r="AD96" s="2"/>
      <c r="AE96" s="2"/>
      <c r="AF96" s="2"/>
      <c r="AG96" s="2"/>
      <c r="AH96" s="2"/>
      <c r="AI96" s="2"/>
      <c r="AJ96" s="2"/>
      <c r="AK96" s="2"/>
      <c r="AL96" s="2"/>
      <c r="AM96" s="2"/>
      <c r="AN96" s="2"/>
      <c r="AO96" s="2"/>
      <c r="AP96" s="2"/>
      <c r="AQ96" s="2"/>
      <c r="AR96" s="2"/>
      <c r="AS96" s="100"/>
      <c r="AT96" s="57"/>
      <c r="AU96" s="57"/>
      <c r="AV96" s="56"/>
      <c r="AW96" s="100"/>
      <c r="AX96" s="2"/>
      <c r="AY96" s="2"/>
      <c r="AZ96" s="2"/>
      <c r="BA96" s="2"/>
      <c r="BB96" s="2"/>
      <c r="BC96" s="2"/>
      <c r="BD96" s="2"/>
      <c r="BE96" s="2"/>
      <c r="BF96" s="2"/>
      <c r="BG96" s="2"/>
      <c r="BH96" s="2"/>
      <c r="BI96" s="2"/>
      <c r="BJ96" s="2"/>
      <c r="BK96" s="2"/>
      <c r="BL96" s="2"/>
    </row>
    <row r="97" spans="1:71" collapsed="1">
      <c r="A97" s="213" t="s">
        <v>392</v>
      </c>
      <c r="B97" s="8"/>
      <c r="C97" s="8"/>
      <c r="D97" s="8"/>
      <c r="E97" s="8"/>
      <c r="F97" s="8"/>
      <c r="G97" s="8"/>
      <c r="H97" s="8"/>
      <c r="I97" s="8"/>
      <c r="J97" s="8"/>
      <c r="K97" s="8"/>
      <c r="L97" s="8"/>
      <c r="M97" s="8"/>
      <c r="N97" s="180"/>
      <c r="O97" s="180"/>
      <c r="P97" s="180">
        <f t="shared" ref="P97:AF97" si="182">(P60-P90)/P79</f>
        <v>0.55393778595007759</v>
      </c>
      <c r="Q97" s="180">
        <f t="shared" si="182"/>
        <v>0.73025868669097072</v>
      </c>
      <c r="R97" s="180">
        <f t="shared" si="182"/>
        <v>0.5866924467235517</v>
      </c>
      <c r="S97" s="180">
        <f t="shared" si="182"/>
        <v>0.74759385556759372</v>
      </c>
      <c r="T97" s="180">
        <f t="shared" si="182"/>
        <v>0.6335295772182904</v>
      </c>
      <c r="U97" s="180">
        <f t="shared" si="182"/>
        <v>0.69537269174775551</v>
      </c>
      <c r="V97" s="180">
        <f t="shared" si="182"/>
        <v>0.79073613971463841</v>
      </c>
      <c r="W97" s="180">
        <f t="shared" si="182"/>
        <v>0.46678762063177426</v>
      </c>
      <c r="X97" s="180">
        <f t="shared" si="182"/>
        <v>0.78885840918119721</v>
      </c>
      <c r="Y97" s="180">
        <f>(Y60-Y90)/Y79</f>
        <v>0.85112199765691532</v>
      </c>
      <c r="Z97" s="180">
        <f t="shared" si="182"/>
        <v>0.61295278339944581</v>
      </c>
      <c r="AA97" s="180">
        <f t="shared" si="182"/>
        <v>0.90394242577186967</v>
      </c>
      <c r="AB97" s="180">
        <f t="shared" si="182"/>
        <v>1.4669781036447966</v>
      </c>
      <c r="AC97" s="180">
        <f t="shared" si="182"/>
        <v>0.44230448296122182</v>
      </c>
      <c r="AD97" s="180">
        <f t="shared" si="182"/>
        <v>0.61756185395920793</v>
      </c>
      <c r="AE97" s="180">
        <f t="shared" si="182"/>
        <v>0.81622728168618819</v>
      </c>
      <c r="AF97" s="180">
        <f t="shared" si="182"/>
        <v>0.74323152054748809</v>
      </c>
      <c r="AG97" s="180">
        <f t="shared" ref="AG97:AM97" si="183">(AG60-AG90)/AG79</f>
        <v>-0.17863183701585175</v>
      </c>
      <c r="AH97" s="180">
        <f t="shared" si="183"/>
        <v>3.0825282297057739</v>
      </c>
      <c r="AI97" s="180">
        <f t="shared" si="183"/>
        <v>0.44538843147564661</v>
      </c>
      <c r="AJ97" s="180">
        <f>(AJ60-AJ90)/AJ79</f>
        <v>0.62814458944874696</v>
      </c>
      <c r="AK97" s="180">
        <f>(AK60-AK90)/AK79</f>
        <v>0.52300639717742947</v>
      </c>
      <c r="AL97" s="180">
        <f>(AL60-AL90)/AL79</f>
        <v>0.51035956346425271</v>
      </c>
      <c r="AM97" s="180">
        <f t="shared" si="183"/>
        <v>0.46671612784625049</v>
      </c>
      <c r="AN97" s="180">
        <f>(AN60-AN90)/AN79</f>
        <v>3.6210087268740749</v>
      </c>
      <c r="AO97" s="180">
        <f>(AO60-AO90)/AO79</f>
        <v>-0.38345670422014261</v>
      </c>
      <c r="AP97" s="180">
        <f>(AP60-AP90)/AP79</f>
        <v>0.7431137783105709</v>
      </c>
      <c r="AQ97" s="180">
        <f>(AQ60-AQ90)/AQ79</f>
        <v>0.81227199905302505</v>
      </c>
      <c r="AR97" s="180">
        <f>(AR60-AR90)/AR79</f>
        <v>0.88391342254565708</v>
      </c>
      <c r="AS97" s="100"/>
      <c r="AT97" s="57"/>
      <c r="AU97" s="57"/>
      <c r="AV97" s="56"/>
      <c r="AW97" s="100"/>
      <c r="AX97" s="2"/>
      <c r="AY97" s="2"/>
      <c r="AZ97" s="2"/>
      <c r="BA97" s="2"/>
      <c r="BB97" s="2"/>
      <c r="BC97" s="2"/>
      <c r="BD97" s="2"/>
      <c r="BE97" s="2"/>
      <c r="BF97" s="2"/>
      <c r="BG97" s="2"/>
      <c r="BH97" s="2"/>
      <c r="BI97" s="2"/>
      <c r="BJ97" s="2"/>
      <c r="BK97" s="2"/>
      <c r="BL97" s="2"/>
    </row>
    <row r="98" spans="1:71">
      <c r="A98" s="213"/>
      <c r="B98" s="8"/>
      <c r="C98" s="8"/>
      <c r="D98" s="8"/>
      <c r="E98" s="8"/>
      <c r="F98" s="8"/>
      <c r="G98" s="8"/>
      <c r="H98" s="8"/>
      <c r="I98" s="8"/>
      <c r="J98" s="8"/>
      <c r="K98" s="8"/>
      <c r="L98" s="8"/>
      <c r="M98" s="8"/>
      <c r="N98" s="180"/>
      <c r="O98" s="180"/>
      <c r="P98" s="180"/>
      <c r="Q98" s="180"/>
      <c r="R98" s="180"/>
      <c r="S98" s="180"/>
      <c r="T98" s="180"/>
      <c r="U98" s="180"/>
      <c r="V98" s="180"/>
      <c r="W98" s="180"/>
      <c r="X98" s="180"/>
      <c r="Y98" s="180"/>
      <c r="Z98" s="180"/>
      <c r="AA98" s="180"/>
      <c r="AB98" s="180"/>
      <c r="AC98" s="180"/>
      <c r="AD98" s="180"/>
      <c r="AE98" s="180"/>
      <c r="AF98" s="180"/>
      <c r="AG98" s="180"/>
      <c r="AH98" s="180"/>
      <c r="AI98" s="180"/>
      <c r="AJ98" s="180"/>
      <c r="AK98" s="180"/>
      <c r="AL98" s="180"/>
      <c r="AM98" s="180"/>
      <c r="AN98" s="180"/>
      <c r="AO98" s="180"/>
      <c r="AP98" s="180"/>
      <c r="AQ98" s="180"/>
      <c r="AR98" s="180"/>
      <c r="AS98" s="100"/>
      <c r="AT98" s="57"/>
      <c r="AU98" s="57"/>
      <c r="AV98" s="56"/>
      <c r="AW98" s="100"/>
      <c r="AX98" s="2"/>
      <c r="AY98" s="2"/>
      <c r="AZ98" s="2"/>
      <c r="BA98" s="2"/>
      <c r="BB98" s="2"/>
      <c r="BC98" s="2"/>
      <c r="BD98" s="2"/>
      <c r="BE98" s="2"/>
      <c r="BF98" s="2"/>
      <c r="BG98" s="2"/>
      <c r="BH98" s="2"/>
      <c r="BI98" s="2"/>
      <c r="BJ98" s="2"/>
      <c r="BK98" s="2"/>
      <c r="BL98" s="2"/>
    </row>
    <row r="99" spans="1:71">
      <c r="A99" s="14" t="s">
        <v>1107</v>
      </c>
      <c r="B99" s="2"/>
      <c r="C99" s="2"/>
      <c r="D99" s="2"/>
      <c r="E99" s="2"/>
      <c r="F99" s="2"/>
      <c r="G99" s="2"/>
      <c r="H99" s="2"/>
      <c r="I99" s="2"/>
      <c r="J99" s="2"/>
      <c r="K99" s="475">
        <f>+'store&amp;sf'!J378</f>
        <v>1.2074999999999998</v>
      </c>
      <c r="L99" s="475">
        <f>+'store&amp;sf'!J384</f>
        <v>1.6074999999999999</v>
      </c>
      <c r="M99" s="475">
        <f>+'store&amp;sf'!J390</f>
        <v>2.0824999999999996</v>
      </c>
      <c r="N99" s="475">
        <f>+'store&amp;sf'!J396</f>
        <v>2.5362499999999999</v>
      </c>
      <c r="O99" s="475">
        <f>+'store&amp;sf'!J402</f>
        <v>2.9325000000000001</v>
      </c>
      <c r="P99" s="475">
        <f>+'store&amp;sf'!J408</f>
        <v>3.2324999999999995</v>
      </c>
      <c r="Q99" s="475">
        <f>+'store&amp;sf'!J414</f>
        <v>3.7674999999999996</v>
      </c>
      <c r="R99" s="475">
        <f>+'store&amp;sf'!J420</f>
        <v>4.1574999999999998</v>
      </c>
      <c r="S99" s="475">
        <f>+'store&amp;sf'!J426</f>
        <v>4.4437499999999996</v>
      </c>
      <c r="T99" s="475">
        <f>+'store&amp;sf'!J432</f>
        <v>4.6274999999999995</v>
      </c>
      <c r="U99" s="475">
        <f>+'store&amp;sf'!J438</f>
        <v>4.97</v>
      </c>
      <c r="V99" s="475">
        <f>+'store&amp;sf'!J444</f>
        <v>5.2587499999999991</v>
      </c>
      <c r="W99" s="475">
        <f>+'store&amp;sf'!J450</f>
        <v>5.5724999999999998</v>
      </c>
      <c r="X99" s="236">
        <f>+'store&amp;sf'!J456</f>
        <v>5.8287500000000003</v>
      </c>
      <c r="Y99" s="475">
        <f>+'store&amp;sf'!J462</f>
        <v>5.9187500000000002</v>
      </c>
      <c r="Z99" s="475">
        <f>+Z81/'store&amp;sf'!$AR$373</f>
        <v>6.085</v>
      </c>
      <c r="AA99" s="475">
        <f>+AA81/'store&amp;sf'!$AR$373</f>
        <v>6.2512499999999998</v>
      </c>
      <c r="AB99" s="475">
        <f>+AB81/'store&amp;sf'!$AR$373</f>
        <v>6.4074999999999998</v>
      </c>
      <c r="AC99" s="475">
        <f>+AC81/'store&amp;sf'!$AR$373</f>
        <v>6.9987500000000002</v>
      </c>
      <c r="AD99" s="475">
        <f>+AD81/'store&amp;sf'!$AR$373</f>
        <v>7.4662499999999996</v>
      </c>
      <c r="AE99" s="475">
        <f>+AE81/'store&amp;sf'!$AR$373</f>
        <v>7.5974999999999993</v>
      </c>
      <c r="AF99" s="475">
        <f>+AF81/'store&amp;sf'!$AR$373</f>
        <v>7.66</v>
      </c>
      <c r="AG99" s="475">
        <f>+AG81/'store&amp;sf'!$AR$373</f>
        <v>7.7187499999999991</v>
      </c>
      <c r="AH99" s="475">
        <f>+AH81/'store&amp;sf'!$AR$373</f>
        <v>7.9587499999999984</v>
      </c>
      <c r="AI99" s="475">
        <f>+AI81/'store&amp;sf'!$AR$373</f>
        <v>8.3875000000000011</v>
      </c>
      <c r="AJ99" s="475">
        <f>+AJ81/'store&amp;sf'!$AR$373</f>
        <v>8.7575000000000003</v>
      </c>
      <c r="AK99" s="475">
        <f>+AK81/'store&amp;sf'!$AR$373</f>
        <v>9.1362500000000004</v>
      </c>
      <c r="AL99" s="475">
        <f>+AL81/'store&amp;sf'!$AR$373</f>
        <v>9.4712499999999995</v>
      </c>
      <c r="AM99" s="475">
        <f>+AM81/'store&amp;sf'!$AR$373</f>
        <v>9.5212500000000002</v>
      </c>
      <c r="AN99" s="475">
        <f>+AN81/'store&amp;sf'!$AR$373</f>
        <v>9.577811701719007</v>
      </c>
      <c r="AO99" s="475">
        <f>+AO81/'store&amp;sf'!$AR$373</f>
        <v>9.702811701719007</v>
      </c>
      <c r="AP99" s="475">
        <f>+AP81/'store&amp;sf'!$AR$373</f>
        <v>9.827811701719007</v>
      </c>
      <c r="AQ99" s="475">
        <f>+AQ81/'store&amp;sf'!$AR$373</f>
        <v>9.9528117017190088</v>
      </c>
      <c r="AR99" s="475">
        <f>+AR81/'store&amp;sf'!$AR$373</f>
        <v>10.077811701719007</v>
      </c>
      <c r="AS99" s="100"/>
      <c r="AT99" s="57"/>
      <c r="AU99" s="57"/>
      <c r="AV99" s="56"/>
      <c r="AW99" s="100"/>
      <c r="AX99" s="2"/>
      <c r="AY99" s="2"/>
      <c r="AZ99" s="2"/>
      <c r="BA99" s="2"/>
      <c r="BB99" s="2"/>
      <c r="BC99" s="2"/>
      <c r="BD99" s="2"/>
      <c r="BE99" s="2"/>
      <c r="BF99" s="2"/>
      <c r="BG99" s="2"/>
      <c r="BH99" s="2"/>
      <c r="BI99" s="2"/>
      <c r="BJ99" s="2"/>
      <c r="BK99" s="2"/>
      <c r="BL99" s="2"/>
    </row>
    <row r="100" spans="1:71">
      <c r="A100" s="14" t="s">
        <v>1108</v>
      </c>
      <c r="B100" s="2"/>
      <c r="C100" s="2"/>
      <c r="D100" s="2"/>
      <c r="E100" s="2"/>
      <c r="F100" s="2"/>
      <c r="G100" s="2"/>
      <c r="H100" s="2"/>
      <c r="I100" s="2"/>
      <c r="J100" s="2"/>
      <c r="K100" s="475"/>
      <c r="L100" s="475">
        <f t="shared" ref="L100:AK100" si="184">+(K99+L99)/2</f>
        <v>1.4074999999999998</v>
      </c>
      <c r="M100" s="475">
        <f t="shared" si="184"/>
        <v>1.8449999999999998</v>
      </c>
      <c r="N100" s="475">
        <f t="shared" si="184"/>
        <v>2.3093749999999997</v>
      </c>
      <c r="O100" s="475">
        <f t="shared" si="184"/>
        <v>2.734375</v>
      </c>
      <c r="P100" s="475">
        <f t="shared" si="184"/>
        <v>3.0824999999999996</v>
      </c>
      <c r="Q100" s="475">
        <f t="shared" si="184"/>
        <v>3.4999999999999996</v>
      </c>
      <c r="R100" s="475">
        <f t="shared" si="184"/>
        <v>3.9624999999999995</v>
      </c>
      <c r="S100" s="475">
        <f t="shared" si="184"/>
        <v>4.3006250000000001</v>
      </c>
      <c r="T100" s="475">
        <f t="shared" si="184"/>
        <v>4.5356249999999996</v>
      </c>
      <c r="U100" s="475">
        <f t="shared" si="184"/>
        <v>4.7987500000000001</v>
      </c>
      <c r="V100" s="475">
        <f t="shared" si="184"/>
        <v>5.114374999999999</v>
      </c>
      <c r="W100" s="475">
        <f t="shared" si="184"/>
        <v>5.4156249999999995</v>
      </c>
      <c r="X100" s="475">
        <f t="shared" si="184"/>
        <v>5.7006250000000005</v>
      </c>
      <c r="Y100" s="475">
        <f t="shared" si="184"/>
        <v>5.8737500000000002</v>
      </c>
      <c r="Z100" s="475">
        <f t="shared" si="184"/>
        <v>6.0018750000000001</v>
      </c>
      <c r="AA100" s="475">
        <f t="shared" si="184"/>
        <v>6.1681249999999999</v>
      </c>
      <c r="AB100" s="475">
        <f t="shared" si="184"/>
        <v>6.3293749999999998</v>
      </c>
      <c r="AC100" s="475">
        <f t="shared" si="184"/>
        <v>6.703125</v>
      </c>
      <c r="AD100" s="475">
        <f t="shared" si="184"/>
        <v>7.2324999999999999</v>
      </c>
      <c r="AE100" s="475">
        <f t="shared" si="184"/>
        <v>7.5318749999999994</v>
      </c>
      <c r="AF100" s="475">
        <f t="shared" si="184"/>
        <v>7.6287500000000001</v>
      </c>
      <c r="AG100" s="475">
        <f t="shared" si="184"/>
        <v>7.6893750000000001</v>
      </c>
      <c r="AH100" s="475">
        <f t="shared" si="184"/>
        <v>7.8387499999999992</v>
      </c>
      <c r="AI100" s="475">
        <f t="shared" si="184"/>
        <v>8.1731249999999989</v>
      </c>
      <c r="AJ100" s="475">
        <f t="shared" si="184"/>
        <v>8.5725000000000016</v>
      </c>
      <c r="AK100" s="475">
        <f t="shared" si="184"/>
        <v>8.9468750000000004</v>
      </c>
      <c r="AL100" s="475">
        <f t="shared" ref="AL100:AR100" si="185">+(AK99+AL99)/2</f>
        <v>9.3037500000000009</v>
      </c>
      <c r="AM100" s="475">
        <f t="shared" si="185"/>
        <v>9.4962499999999999</v>
      </c>
      <c r="AN100" s="475">
        <f t="shared" si="185"/>
        <v>9.5495308508595045</v>
      </c>
      <c r="AO100" s="475">
        <f t="shared" si="185"/>
        <v>9.640311701719007</v>
      </c>
      <c r="AP100" s="475">
        <f t="shared" si="185"/>
        <v>9.765311701719007</v>
      </c>
      <c r="AQ100" s="475">
        <f t="shared" si="185"/>
        <v>9.890311701719007</v>
      </c>
      <c r="AR100" s="475">
        <f t="shared" si="185"/>
        <v>10.015311701719007</v>
      </c>
      <c r="AS100" s="100"/>
      <c r="AT100" s="57"/>
      <c r="AU100" s="57"/>
      <c r="AV100" s="56"/>
      <c r="AW100" s="100"/>
      <c r="AX100" s="2"/>
      <c r="AY100" s="2"/>
      <c r="AZ100" s="2"/>
      <c r="BA100" s="2"/>
      <c r="BB100" s="2"/>
      <c r="BC100" s="2"/>
      <c r="BD100" s="2"/>
      <c r="BE100" s="2"/>
      <c r="BF100" s="2"/>
      <c r="BG100" s="2"/>
      <c r="BH100" s="2"/>
      <c r="BI100" s="2"/>
      <c r="BJ100" s="2"/>
      <c r="BK100" s="2"/>
      <c r="BL100" s="2"/>
    </row>
    <row r="101" spans="1:71">
      <c r="A101" s="14" t="s">
        <v>1105</v>
      </c>
      <c r="B101" s="2"/>
      <c r="C101" s="2"/>
      <c r="D101" s="2"/>
      <c r="E101" s="2"/>
      <c r="F101" s="2"/>
      <c r="G101" s="2"/>
      <c r="H101" s="2"/>
      <c r="I101" s="2"/>
      <c r="J101" s="2"/>
      <c r="K101" s="9">
        <f>+K84/'store&amp;sf'!$AR$373</f>
        <v>3144.53125</v>
      </c>
      <c r="L101" s="9">
        <f>+L84/'store&amp;sf'!$AR$373</f>
        <v>3636.8778280542988</v>
      </c>
      <c r="M101" s="9">
        <f>+M84/'store&amp;sf'!$AR$373</f>
        <v>4107.4950690335299</v>
      </c>
      <c r="N101" s="9">
        <f>+N84/'store&amp;sf'!$AR$373</f>
        <v>4653.6697247706416</v>
      </c>
      <c r="O101" s="9">
        <f>+O84/'store&amp;sf'!$AR$373</f>
        <v>5144.7368421052633</v>
      </c>
      <c r="P101" s="9">
        <f>+P84/'store&amp;sf'!$AR$373</f>
        <v>5378.5357737104823</v>
      </c>
      <c r="Q101" s="9">
        <f>+Q84/'store&amp;sf'!$AR$373</f>
        <v>5614.754098360655</v>
      </c>
      <c r="R101" s="9">
        <f>+R84/'store&amp;sf'!$AR$373</f>
        <v>5648.777173913043</v>
      </c>
      <c r="S101" s="9">
        <f>+S84/'store&amp;sf'!$AR$373</f>
        <v>5632.1292775665397</v>
      </c>
      <c r="T101" s="9">
        <f>+T84/'store&amp;sf'!$AR$373</f>
        <v>5582.0265379975872</v>
      </c>
      <c r="U101" s="9">
        <f>+U84/'store&amp;sf'!$AR$373</f>
        <v>5546.875</v>
      </c>
      <c r="V101" s="9">
        <f>+V84/'store&amp;sf'!$AR$373</f>
        <v>5489.300626304801</v>
      </c>
      <c r="W101" s="9">
        <f>+W84/'store&amp;sf'!$AR$373</f>
        <v>5561.3772455089811</v>
      </c>
      <c r="X101" s="9">
        <f>+X84/'store&amp;sf'!$AR$373</f>
        <v>5748.2741617357005</v>
      </c>
      <c r="Y101" s="9">
        <f>+Y84/'store&amp;sf'!$AR$373</f>
        <v>5865.9563924677905</v>
      </c>
      <c r="Z101" s="9">
        <f>+Z84/'store&amp;sf'!$AR$373</f>
        <v>6078.9210789210802</v>
      </c>
      <c r="AA101" s="9">
        <f>+AA84/'store&amp;sf'!$AR$373</f>
        <v>6263.7775551102204</v>
      </c>
      <c r="AB101" s="9">
        <f>+AB84/'store&amp;sf'!$AR$373</f>
        <v>6388.3349950149541</v>
      </c>
      <c r="AC101" s="9">
        <f>+AC84/'store&amp;sf'!$AR$373</f>
        <v>6861.5196078431363</v>
      </c>
      <c r="AD101" s="9">
        <f>+AD84/'store&amp;sf'!$AR$373</f>
        <v>7158.4372003835078</v>
      </c>
      <c r="AE101" s="9">
        <f>+AE84/'store&amp;sf'!$AR$373</f>
        <v>7277.2988505747117</v>
      </c>
      <c r="AF101" s="9">
        <f>+AF84/'store&amp;sf'!$AR$373</f>
        <v>7365.3846153846152</v>
      </c>
      <c r="AG101" s="9">
        <f>+AG84/'store&amp;sf'!$AR$373</f>
        <v>7450.5308880308867</v>
      </c>
      <c r="AH101" s="9">
        <f>+AH84/'store&amp;sf'!$AR$373</f>
        <v>7601.4804202483274</v>
      </c>
      <c r="AI101" s="9">
        <f>+AI84/'store&amp;sf'!$AR$373</f>
        <v>7666.8190127970756</v>
      </c>
      <c r="AJ101" s="9">
        <f>+AJ84/'store&amp;sf'!$AR$373</f>
        <v>7770.6299911268852</v>
      </c>
      <c r="AK101" s="9">
        <f>+AK84/'store&amp;sf'!$AR$373</f>
        <v>8063.7687555163284</v>
      </c>
      <c r="AL101" s="9">
        <f>+AL84/'store&amp;sf'!$AR$373</f>
        <v>8264.6160558464217</v>
      </c>
      <c r="AM101" s="9">
        <f>+AM84/'store&amp;sf'!$AR$373</f>
        <v>8374.0105540897093</v>
      </c>
      <c r="AN101" s="9">
        <f>+AN84/'store&amp;sf'!$AR$373</f>
        <v>8468.4453596100848</v>
      </c>
      <c r="AO101" s="9">
        <f>+AO84/'store&amp;sf'!$AR$373</f>
        <v>8617.0619020595077</v>
      </c>
      <c r="AP101" s="9">
        <f>+AP84/'store&amp;sf'!$AR$373</f>
        <v>8767.0041942185617</v>
      </c>
      <c r="AQ101" s="9">
        <f>+AQ84/'store&amp;sf'!$AR$373</f>
        <v>8918.2900553037707</v>
      </c>
      <c r="AR101" s="9">
        <f>+AR84/'store&amp;sf'!$AR$373</f>
        <v>9070.937625309638</v>
      </c>
      <c r="AS101" s="100"/>
      <c r="AT101" s="57"/>
      <c r="AU101" s="57"/>
      <c r="AV101" s="56"/>
      <c r="AW101" s="100"/>
      <c r="AX101" s="2"/>
      <c r="AY101" s="2"/>
      <c r="AZ101" s="2"/>
      <c r="BA101" s="2"/>
      <c r="BB101" s="2"/>
      <c r="BC101" s="2"/>
      <c r="BD101" s="2"/>
      <c r="BE101" s="2"/>
      <c r="BF101" s="2"/>
      <c r="BG101" s="2"/>
      <c r="BH101" s="2"/>
      <c r="BI101" s="2"/>
      <c r="BJ101" s="2"/>
      <c r="BK101" s="2"/>
      <c r="BL101" s="2"/>
    </row>
    <row r="102" spans="1:71">
      <c r="A102" s="14" t="s">
        <v>1106</v>
      </c>
      <c r="B102" s="2"/>
      <c r="C102" s="2"/>
      <c r="D102" s="2"/>
      <c r="E102" s="2"/>
      <c r="F102" s="2"/>
      <c r="G102" s="2"/>
      <c r="H102" s="2"/>
      <c r="I102" s="2"/>
      <c r="J102" s="2"/>
      <c r="K102" s="2"/>
      <c r="L102" s="2"/>
      <c r="M102" s="6"/>
      <c r="N102" s="6">
        <f t="shared" ref="N102:AF102" si="186">+N59/N100</f>
        <v>363.73477672530453</v>
      </c>
      <c r="O102" s="6">
        <f t="shared" si="186"/>
        <v>362.7885714285714</v>
      </c>
      <c r="P102" s="6">
        <f t="shared" si="186"/>
        <v>383.1305758313058</v>
      </c>
      <c r="Q102" s="6">
        <f t="shared" si="186"/>
        <v>367.4285714285715</v>
      </c>
      <c r="R102" s="6">
        <f t="shared" si="186"/>
        <v>365.9305993690852</v>
      </c>
      <c r="S102" s="6">
        <f t="shared" si="186"/>
        <v>395.75643075134428</v>
      </c>
      <c r="T102" s="6">
        <f t="shared" si="186"/>
        <v>403.25203252032526</v>
      </c>
      <c r="U102" s="6">
        <f t="shared" si="186"/>
        <v>442.25329512893978</v>
      </c>
      <c r="V102" s="6">
        <f t="shared" si="186"/>
        <v>457.28989368202377</v>
      </c>
      <c r="W102" s="6">
        <f t="shared" si="186"/>
        <v>443.72643969994238</v>
      </c>
      <c r="X102" s="6">
        <f t="shared" si="186"/>
        <v>464.33505098125204</v>
      </c>
      <c r="Y102" s="6">
        <f t="shared" si="186"/>
        <v>480.32347307937863</v>
      </c>
      <c r="Z102" s="6">
        <f t="shared" si="186"/>
        <v>518.66108507757997</v>
      </c>
      <c r="AA102" s="6">
        <f t="shared" si="186"/>
        <v>522.36506231634405</v>
      </c>
      <c r="AB102" s="6">
        <f t="shared" si="186"/>
        <v>584.57588624469236</v>
      </c>
      <c r="AC102" s="6">
        <f t="shared" si="186"/>
        <v>555.35843356643352</v>
      </c>
      <c r="AD102" s="6">
        <f t="shared" si="186"/>
        <v>496.32907016937435</v>
      </c>
      <c r="AE102" s="6">
        <f t="shared" si="186"/>
        <v>464.10754294249443</v>
      </c>
      <c r="AF102" s="6">
        <f t="shared" si="186"/>
        <v>526.7442241520564</v>
      </c>
      <c r="AG102" s="6">
        <f t="shared" ref="AG102:AM102" si="187">+AG59/AG100</f>
        <v>593.54628952288056</v>
      </c>
      <c r="AH102" s="6">
        <f t="shared" si="187"/>
        <v>656.61310795726365</v>
      </c>
      <c r="AI102" s="6">
        <f t="shared" si="187"/>
        <v>656.78623537508599</v>
      </c>
      <c r="AJ102" s="6">
        <f>+AJ59/AJ100</f>
        <v>664.92855059784188</v>
      </c>
      <c r="AK102" s="6">
        <f>+AK59/AK100</f>
        <v>683.18826405867969</v>
      </c>
      <c r="AL102" s="6">
        <f t="shared" si="187"/>
        <v>666.27972591696891</v>
      </c>
      <c r="AM102" s="6">
        <f t="shared" si="187"/>
        <v>619.06542056074773</v>
      </c>
      <c r="AN102" s="6">
        <f>+AN59/AN100</f>
        <v>621.87501854769084</v>
      </c>
      <c r="AO102" s="6">
        <f>+AO59/AO100</f>
        <v>619.93358827380939</v>
      </c>
      <c r="AP102" s="6">
        <f>+AP59/AP100</f>
        <v>624.01507402889047</v>
      </c>
      <c r="AQ102" s="6">
        <f>+AQ59/AQ100</f>
        <v>628.6958040847046</v>
      </c>
      <c r="AR102" s="6">
        <f>+AR59/AR100</f>
        <v>633.99340072874986</v>
      </c>
      <c r="AS102" s="100"/>
      <c r="AT102" s="3"/>
      <c r="AU102" s="3"/>
      <c r="AV102" s="107"/>
      <c r="AW102" s="108"/>
      <c r="AX102" s="2"/>
      <c r="AY102" s="2"/>
      <c r="AZ102" s="2"/>
      <c r="BA102" s="2"/>
      <c r="BB102" s="2"/>
      <c r="BC102" s="2"/>
      <c r="BD102" s="2"/>
      <c r="BE102" s="2"/>
      <c r="BF102" s="2"/>
      <c r="BG102" s="2"/>
      <c r="BH102" s="2"/>
      <c r="BI102" s="2"/>
      <c r="BJ102" s="2"/>
      <c r="BK102" s="2"/>
      <c r="BL102" s="2"/>
    </row>
    <row r="103" spans="1:71">
      <c r="A103" s="14"/>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57"/>
      <c r="AT103" s="57"/>
      <c r="AU103" s="57"/>
      <c r="AV103" s="56"/>
      <c r="AW103" s="57"/>
      <c r="AX103" s="2"/>
      <c r="AY103" s="2"/>
      <c r="AZ103" s="2"/>
      <c r="BA103" s="2"/>
      <c r="BB103" s="2"/>
      <c r="BC103" s="2"/>
      <c r="BD103" s="2"/>
      <c r="BE103" s="2"/>
      <c r="BF103" s="2"/>
      <c r="BG103" s="2"/>
      <c r="BH103" s="2"/>
      <c r="BI103" s="2"/>
      <c r="BJ103" s="2"/>
      <c r="BK103" s="2"/>
      <c r="BL103" s="2"/>
    </row>
    <row r="104" spans="1:71">
      <c r="A104" s="23" t="s">
        <v>549</v>
      </c>
      <c r="B104" s="2"/>
      <c r="C104" s="2"/>
      <c r="D104" s="2"/>
      <c r="E104" s="2"/>
      <c r="F104" s="2"/>
      <c r="G104" s="2"/>
      <c r="H104" s="2"/>
      <c r="I104" s="2"/>
      <c r="J104" s="2"/>
      <c r="K104" s="2"/>
      <c r="L104" s="2"/>
      <c r="M104" s="2"/>
      <c r="N104" s="2"/>
      <c r="O104" s="2"/>
      <c r="P104" s="2"/>
      <c r="Q104" s="2"/>
      <c r="R104" s="2"/>
      <c r="S104" s="20"/>
      <c r="T104" s="2"/>
      <c r="U104" s="2"/>
      <c r="V104" s="2"/>
      <c r="W104" s="2"/>
      <c r="X104" s="2"/>
      <c r="Y104" s="2"/>
      <c r="AS104" s="2"/>
      <c r="AT104" s="2"/>
      <c r="AU104" s="2"/>
      <c r="AV104" s="7"/>
      <c r="AW104" s="2"/>
      <c r="AX104" s="2"/>
      <c r="AY104" s="2"/>
      <c r="AZ104" s="2"/>
      <c r="BA104" s="2"/>
      <c r="BB104" s="2"/>
      <c r="BC104" s="2"/>
      <c r="BD104" s="2"/>
      <c r="BE104" s="2"/>
      <c r="BF104" s="2"/>
      <c r="BG104" s="2"/>
      <c r="BH104" s="2"/>
      <c r="BI104" s="2"/>
      <c r="BJ104" s="2"/>
      <c r="BK104" s="2"/>
      <c r="BL104" s="2"/>
    </row>
    <row r="107" spans="1:71">
      <c r="A107" s="191" t="s">
        <v>672</v>
      </c>
      <c r="B107" s="2"/>
      <c r="C107" s="2"/>
      <c r="D107" s="2"/>
      <c r="E107" s="2"/>
      <c r="F107" s="2"/>
      <c r="G107" s="2"/>
      <c r="H107" s="2"/>
      <c r="I107" s="2"/>
      <c r="J107" s="2"/>
      <c r="K107" s="2"/>
      <c r="L107" s="2"/>
      <c r="M107" s="2"/>
      <c r="N107" s="2"/>
      <c r="O107" s="2"/>
      <c r="P107" s="2"/>
      <c r="Q107" s="2"/>
      <c r="R107" s="2"/>
      <c r="S107" s="2"/>
      <c r="T107" s="2"/>
      <c r="U107" s="2"/>
      <c r="V107" s="2"/>
      <c r="W107" s="2"/>
      <c r="X107" s="2"/>
      <c r="Y107" s="2"/>
      <c r="AS107" s="2"/>
      <c r="AT107" s="2"/>
      <c r="AU107" s="2"/>
      <c r="AV107" s="2"/>
      <c r="AW107" s="2"/>
      <c r="AX107" s="2"/>
      <c r="AY107" s="2"/>
      <c r="AZ107" s="2"/>
      <c r="BA107" s="2"/>
      <c r="BB107" s="2"/>
      <c r="BC107" s="2"/>
      <c r="BD107" s="2"/>
      <c r="BE107" s="2"/>
      <c r="BF107" s="2"/>
      <c r="BG107" s="2"/>
      <c r="BH107" s="2"/>
      <c r="BI107" s="2"/>
      <c r="BJ107" s="2"/>
      <c r="BK107" s="2"/>
      <c r="BL107" s="2"/>
    </row>
    <row r="108" spans="1:71">
      <c r="A108" s="199" t="s">
        <v>345</v>
      </c>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2"/>
      <c r="AY108" s="2"/>
      <c r="AZ108" s="2"/>
      <c r="BA108" s="2"/>
      <c r="BB108" s="2"/>
      <c r="BC108" s="2"/>
      <c r="BD108" s="2"/>
      <c r="BE108" s="2"/>
      <c r="BF108" s="2"/>
      <c r="BG108" s="2"/>
      <c r="BH108" s="2"/>
      <c r="BI108" s="2"/>
      <c r="BJ108" s="2"/>
      <c r="BK108" s="2"/>
      <c r="BL108" s="2"/>
    </row>
    <row r="109" spans="1:71">
      <c r="A109" s="21"/>
      <c r="B109" s="57"/>
      <c r="C109" s="57"/>
      <c r="D109" s="57"/>
      <c r="E109" s="57"/>
      <c r="F109" s="57"/>
      <c r="G109" s="57"/>
      <c r="H109" s="57"/>
      <c r="I109" s="57"/>
      <c r="J109" s="57"/>
      <c r="K109" s="57"/>
      <c r="L109" s="57"/>
      <c r="M109" s="57"/>
      <c r="N109" s="57"/>
      <c r="O109" s="57"/>
      <c r="P109" s="57"/>
      <c r="Q109" s="57"/>
      <c r="R109" s="57"/>
      <c r="S109" s="57"/>
      <c r="T109" s="57"/>
      <c r="U109" s="57"/>
      <c r="V109" s="57"/>
      <c r="W109" s="57"/>
      <c r="X109" s="57"/>
      <c r="Y109" s="57"/>
      <c r="Z109" s="57"/>
      <c r="AA109" s="57"/>
      <c r="AB109" s="57"/>
      <c r="AC109" s="57"/>
      <c r="AD109" s="57"/>
      <c r="AE109" s="57"/>
      <c r="AF109" s="57"/>
      <c r="AG109" s="57"/>
      <c r="AH109" s="57"/>
      <c r="AI109" s="57"/>
      <c r="AJ109" s="57"/>
      <c r="AK109" s="57"/>
      <c r="AL109" s="57"/>
      <c r="AM109" s="57"/>
      <c r="AN109" s="57"/>
      <c r="AO109" s="57"/>
      <c r="AP109" s="57"/>
      <c r="AQ109" s="57"/>
      <c r="AR109" s="57"/>
      <c r="AS109" s="57"/>
      <c r="AT109" s="3"/>
      <c r="AU109" s="3"/>
      <c r="AV109" s="3"/>
      <c r="AW109" s="57"/>
      <c r="AX109" s="2"/>
      <c r="AY109" s="2"/>
      <c r="AZ109" s="2"/>
      <c r="BA109" s="2"/>
      <c r="BB109" s="2"/>
      <c r="BC109" s="2"/>
      <c r="BD109" s="2"/>
      <c r="BE109" s="2"/>
      <c r="BF109" s="2"/>
      <c r="BG109" s="2"/>
      <c r="BH109" s="2"/>
      <c r="BI109" s="2"/>
      <c r="BJ109" s="2"/>
      <c r="BK109" s="2"/>
      <c r="BL109" s="2"/>
    </row>
    <row r="110" spans="1:71">
      <c r="A110" s="4"/>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100"/>
      <c r="AT110" s="126"/>
      <c r="AU110" s="109" t="s">
        <v>1083</v>
      </c>
      <c r="AV110" s="126"/>
      <c r="AW110" s="184"/>
      <c r="AX110" s="2"/>
      <c r="AY110" s="2"/>
      <c r="AZ110" s="2"/>
      <c r="BA110" s="2"/>
      <c r="BB110" s="2"/>
      <c r="BC110" s="2"/>
      <c r="BD110" s="2"/>
      <c r="BE110" s="2"/>
      <c r="BF110" s="2"/>
      <c r="BG110" s="2"/>
      <c r="BH110" s="2"/>
      <c r="BI110" s="2"/>
      <c r="BJ110" s="2"/>
      <c r="BK110" s="2"/>
      <c r="BL110" s="2"/>
    </row>
    <row r="111" spans="1:71">
      <c r="A111" s="5"/>
      <c r="B111" s="53"/>
      <c r="C111" s="53"/>
      <c r="D111" s="53"/>
      <c r="E111" s="53"/>
      <c r="F111" s="53"/>
      <c r="G111" s="53"/>
      <c r="H111" s="53"/>
      <c r="I111" s="53"/>
      <c r="J111" s="53"/>
      <c r="K111" s="53"/>
      <c r="L111" s="53">
        <f>+L$5</f>
        <v>1990</v>
      </c>
      <c r="M111" s="53">
        <f t="shared" ref="M111:AR111" si="188">+M$5</f>
        <v>1991</v>
      </c>
      <c r="N111" s="53">
        <f t="shared" si="188"/>
        <v>1992</v>
      </c>
      <c r="O111" s="53">
        <f t="shared" si="188"/>
        <v>1993</v>
      </c>
      <c r="P111" s="53">
        <f t="shared" si="188"/>
        <v>1994</v>
      </c>
      <c r="Q111" s="53">
        <f t="shared" si="188"/>
        <v>1995</v>
      </c>
      <c r="R111" s="53">
        <f t="shared" si="188"/>
        <v>1996</v>
      </c>
      <c r="S111" s="53">
        <f t="shared" si="188"/>
        <v>1997</v>
      </c>
      <c r="T111" s="53">
        <f t="shared" si="188"/>
        <v>1998</v>
      </c>
      <c r="U111" s="53">
        <f t="shared" si="188"/>
        <v>1999</v>
      </c>
      <c r="V111" s="53">
        <f t="shared" si="188"/>
        <v>2000</v>
      </c>
      <c r="W111" s="53">
        <f t="shared" si="188"/>
        <v>2001</v>
      </c>
      <c r="X111" s="53">
        <f t="shared" si="188"/>
        <v>2002</v>
      </c>
      <c r="Y111" s="55">
        <f t="shared" si="188"/>
        <v>2003</v>
      </c>
      <c r="Z111" s="55">
        <f t="shared" si="188"/>
        <v>2004</v>
      </c>
      <c r="AA111" s="586">
        <f t="shared" si="188"/>
        <v>2005</v>
      </c>
      <c r="AB111" s="586">
        <f t="shared" si="188"/>
        <v>2006</v>
      </c>
      <c r="AC111" s="586">
        <f t="shared" si="188"/>
        <v>2007</v>
      </c>
      <c r="AD111" s="586">
        <f t="shared" si="188"/>
        <v>2008</v>
      </c>
      <c r="AE111" s="586">
        <f t="shared" si="188"/>
        <v>2009</v>
      </c>
      <c r="AF111" s="586">
        <f t="shared" si="188"/>
        <v>2010</v>
      </c>
      <c r="AG111" s="586">
        <f t="shared" si="188"/>
        <v>2011</v>
      </c>
      <c r="AH111" s="586">
        <f t="shared" si="188"/>
        <v>2012</v>
      </c>
      <c r="AI111" s="586">
        <f t="shared" si="188"/>
        <v>2013</v>
      </c>
      <c r="AJ111" s="586">
        <f t="shared" si="188"/>
        <v>2014</v>
      </c>
      <c r="AK111" s="586">
        <f t="shared" si="188"/>
        <v>2015</v>
      </c>
      <c r="AL111" s="586">
        <f t="shared" si="188"/>
        <v>2016</v>
      </c>
      <c r="AM111" s="586">
        <f t="shared" si="188"/>
        <v>2017</v>
      </c>
      <c r="AN111" s="55">
        <f t="shared" si="188"/>
        <v>2018</v>
      </c>
      <c r="AO111" s="55">
        <f t="shared" si="188"/>
        <v>2019</v>
      </c>
      <c r="AP111" s="55">
        <f t="shared" si="188"/>
        <v>2020</v>
      </c>
      <c r="AQ111" s="55">
        <f t="shared" si="188"/>
        <v>2021</v>
      </c>
      <c r="AR111" s="55">
        <f t="shared" si="188"/>
        <v>2022</v>
      </c>
      <c r="AS111" s="1121"/>
      <c r="AT111" s="109" t="str">
        <f>AT$5</f>
        <v>10-15E</v>
      </c>
      <c r="AU111" s="57"/>
      <c r="AV111" s="109" t="str">
        <f>AV$5</f>
        <v>15-20E</v>
      </c>
      <c r="AW111" s="111"/>
      <c r="AX111" s="2"/>
      <c r="AY111" s="190" t="s">
        <v>606</v>
      </c>
      <c r="AZ111" s="493">
        <f t="shared" ref="AZ111:BS111" si="189">+Y111</f>
        <v>2003</v>
      </c>
      <c r="BA111" s="493">
        <f t="shared" si="189"/>
        <v>2004</v>
      </c>
      <c r="BB111" s="493">
        <f t="shared" si="189"/>
        <v>2005</v>
      </c>
      <c r="BC111" s="493">
        <f t="shared" si="189"/>
        <v>2006</v>
      </c>
      <c r="BD111" s="493">
        <f t="shared" si="189"/>
        <v>2007</v>
      </c>
      <c r="BE111" s="493">
        <f t="shared" si="189"/>
        <v>2008</v>
      </c>
      <c r="BF111" s="493">
        <f t="shared" si="189"/>
        <v>2009</v>
      </c>
      <c r="BG111" s="493">
        <f t="shared" si="189"/>
        <v>2010</v>
      </c>
      <c r="BH111" s="493">
        <f t="shared" si="189"/>
        <v>2011</v>
      </c>
      <c r="BI111" s="493">
        <f t="shared" si="189"/>
        <v>2012</v>
      </c>
      <c r="BJ111" s="493">
        <f t="shared" si="189"/>
        <v>2013</v>
      </c>
      <c r="BK111" s="493">
        <f t="shared" si="189"/>
        <v>2014</v>
      </c>
      <c r="BL111" s="493">
        <f t="shared" si="189"/>
        <v>2015</v>
      </c>
      <c r="BM111" s="493">
        <f t="shared" si="189"/>
        <v>2016</v>
      </c>
      <c r="BN111" s="493">
        <f t="shared" si="189"/>
        <v>2017</v>
      </c>
      <c r="BO111" s="493">
        <f t="shared" si="189"/>
        <v>2018</v>
      </c>
      <c r="BP111" s="493">
        <f t="shared" si="189"/>
        <v>2019</v>
      </c>
      <c r="BQ111" s="493">
        <f t="shared" si="189"/>
        <v>2020</v>
      </c>
      <c r="BR111" s="493">
        <f t="shared" si="189"/>
        <v>2021</v>
      </c>
      <c r="BS111" s="493">
        <f t="shared" si="189"/>
        <v>2022</v>
      </c>
    </row>
    <row r="112" spans="1:71">
      <c r="A112" s="5"/>
      <c r="B112" s="5"/>
      <c r="C112" s="5"/>
      <c r="D112" s="5"/>
      <c r="E112" s="5"/>
      <c r="F112" s="5"/>
      <c r="G112" s="5"/>
      <c r="H112" s="5"/>
      <c r="I112" s="5"/>
      <c r="J112" s="5"/>
      <c r="K112" s="5"/>
      <c r="L112" s="5"/>
      <c r="M112" s="5"/>
      <c r="N112" s="5"/>
      <c r="O112" s="5"/>
      <c r="P112" s="5"/>
      <c r="Q112" s="5"/>
      <c r="R112" s="5"/>
      <c r="S112" s="2"/>
      <c r="T112" s="2"/>
      <c r="U112" s="2"/>
      <c r="V112" s="2"/>
      <c r="W112" s="2"/>
      <c r="X112" s="2"/>
      <c r="Y112" s="2"/>
      <c r="AS112" s="100"/>
      <c r="AT112" s="57"/>
      <c r="AU112" s="57"/>
      <c r="AV112" s="57"/>
      <c r="AW112" s="100"/>
      <c r="AX112" s="2"/>
      <c r="AY112" s="2"/>
      <c r="AZ112" s="2"/>
      <c r="BA112" s="2"/>
      <c r="BB112" s="2"/>
      <c r="BC112" s="2"/>
      <c r="BD112" s="2"/>
      <c r="BE112" s="2"/>
      <c r="BF112" s="2"/>
      <c r="BG112" s="2"/>
      <c r="BH112" s="2"/>
      <c r="BI112" s="2"/>
      <c r="BJ112" s="2"/>
      <c r="BK112" s="2"/>
      <c r="BL112" s="2"/>
      <c r="BM112" s="2"/>
      <c r="BN112" s="2"/>
      <c r="BO112" s="2"/>
      <c r="BP112" s="2"/>
      <c r="BQ112" s="2"/>
      <c r="BR112" s="2"/>
      <c r="BS112" s="2"/>
    </row>
    <row r="113" spans="1:71">
      <c r="A113" s="213" t="s">
        <v>460</v>
      </c>
      <c r="B113" s="8"/>
      <c r="C113" s="8"/>
      <c r="D113" s="8"/>
      <c r="E113" s="8"/>
      <c r="F113" s="8"/>
      <c r="G113" s="8"/>
      <c r="H113" s="8"/>
      <c r="I113" s="8"/>
      <c r="J113" s="8"/>
      <c r="K113" s="8"/>
      <c r="L113" s="8"/>
      <c r="M113" s="8"/>
      <c r="N113" s="6">
        <f>+'segSales&amp;OM'!W14</f>
        <v>57</v>
      </c>
      <c r="O113" s="6">
        <f>+'segSales&amp;OM'!W21</f>
        <v>112</v>
      </c>
      <c r="P113" s="6">
        <f>+'segSales&amp;OM'!W28</f>
        <v>260</v>
      </c>
      <c r="Q113" s="6">
        <f>+'segSales&amp;OM'!W35</f>
        <v>475</v>
      </c>
      <c r="R113" s="6">
        <f>+'segSales&amp;OM'!W42</f>
        <v>753</v>
      </c>
      <c r="S113" s="6">
        <f>+'segSales&amp;OM'!W49</f>
        <v>1057</v>
      </c>
      <c r="T113" s="6">
        <f>+'segSales&amp;OM'!W56</f>
        <v>1272</v>
      </c>
      <c r="U113" s="6">
        <f>+'segSales&amp;OM'!W63</f>
        <v>1530.0509999999999</v>
      </c>
      <c r="V113" s="6">
        <f>+'segSales&amp;OM'!W70</f>
        <v>1784.585</v>
      </c>
      <c r="W113" s="6">
        <f>+'segSales&amp;OM'!W77</f>
        <v>1746.57</v>
      </c>
      <c r="X113" s="16">
        <f>+'segSales&amp;OM'!W84</f>
        <v>1781</v>
      </c>
      <c r="Y113" s="16">
        <f>+'segSales&amp;OM'!W91</f>
        <v>1934.471</v>
      </c>
      <c r="Z113" s="6">
        <f>+'segSales&amp;OM'!W98</f>
        <v>2168.6440000000002</v>
      </c>
      <c r="AA113" s="6">
        <f>'segSales&amp;OM'!W112</f>
        <v>2284.752</v>
      </c>
      <c r="AB113" s="6">
        <f>'segSales&amp;OM'!W119</f>
        <v>2555.4049999999997</v>
      </c>
      <c r="AC113" s="6">
        <f>'segSales&amp;OM'!$W$126</f>
        <v>2494.0660000000003</v>
      </c>
      <c r="AD113" s="6">
        <f>'segSales&amp;OM'!$W$161</f>
        <v>2373.6109999999999</v>
      </c>
      <c r="AE113" s="6">
        <f>'segSales&amp;OM'!$W$168</f>
        <v>2382.5830000000001</v>
      </c>
      <c r="AF113" s="6">
        <f>'segSales&amp;OM'!$W$175</f>
        <v>2515.2259999999997</v>
      </c>
      <c r="AG113" s="6">
        <f>'segSales&amp;OM'!$W$182</f>
        <v>2674.3420000000001</v>
      </c>
      <c r="AH113" s="6">
        <f>'segSales&amp;OM'!$W$206</f>
        <v>3074.4390000000003</v>
      </c>
      <c r="AI113" s="6">
        <f>'segSales&amp;OM'!$W$213</f>
        <v>3117.8639999999996</v>
      </c>
      <c r="AJ113" s="6">
        <f>'segSales&amp;OM'!W220</f>
        <v>3349.6089999999999</v>
      </c>
      <c r="AK113" s="6">
        <f>'segSales&amp;OM'!W227</f>
        <v>3586.5610000000001</v>
      </c>
      <c r="AL113" s="6">
        <f>'segSales&amp;OM'!W234</f>
        <v>3851.7159999999994</v>
      </c>
      <c r="AM113" s="6">
        <f>'segSales&amp;OM'!W241</f>
        <v>4147.8279999999995</v>
      </c>
      <c r="AN113" s="6">
        <f>'segSales&amp;OM'!W248</f>
        <v>4271.2029430813063</v>
      </c>
      <c r="AO113" s="6">
        <f>+BP119</f>
        <v>4538.3035899577062</v>
      </c>
      <c r="AP113" s="6">
        <f>+BQ119</f>
        <v>4756.410376861988</v>
      </c>
      <c r="AQ113" s="6">
        <f>+BR119</f>
        <v>4977.8370437478416</v>
      </c>
      <c r="AR113" s="6">
        <f>+BS119</f>
        <v>5205.9065106402713</v>
      </c>
      <c r="AS113" s="100"/>
      <c r="AT113" s="56">
        <f>((AK113/AF113)^(1/5)-1)*100</f>
        <v>7.3544970422014133</v>
      </c>
      <c r="AU113" s="97" t="s">
        <v>1084</v>
      </c>
      <c r="AV113" s="56">
        <f>((AP113/AK113)^(1/5)-1)*100</f>
        <v>5.808417558464618</v>
      </c>
      <c r="AW113" s="100" t="s">
        <v>1084</v>
      </c>
      <c r="AX113" s="2"/>
      <c r="AY113" s="500" t="s">
        <v>457</v>
      </c>
      <c r="AZ113" s="500"/>
      <c r="BA113" s="2"/>
      <c r="BB113" s="2"/>
      <c r="BC113" s="2"/>
      <c r="BD113" s="2"/>
      <c r="BE113" s="2"/>
      <c r="BF113" s="2"/>
      <c r="BG113" s="2"/>
      <c r="BH113" s="2"/>
      <c r="BI113" s="2"/>
      <c r="BJ113" s="2"/>
      <c r="BK113" s="2"/>
      <c r="BL113" s="2"/>
      <c r="BM113" s="2"/>
      <c r="BN113" s="2"/>
      <c r="BO113" s="2"/>
      <c r="BP113" s="2"/>
      <c r="BQ113" s="2"/>
      <c r="BR113" s="2"/>
      <c r="BS113" s="2"/>
    </row>
    <row r="114" spans="1:71">
      <c r="A114" s="213" t="s">
        <v>257</v>
      </c>
      <c r="B114" s="8"/>
      <c r="C114" s="8"/>
      <c r="D114" s="8"/>
      <c r="E114" s="8"/>
      <c r="F114" s="8"/>
      <c r="G114" s="8"/>
      <c r="H114" s="8"/>
      <c r="I114" s="8"/>
      <c r="J114" s="8"/>
      <c r="K114" s="8"/>
      <c r="L114" s="8"/>
      <c r="M114" s="8"/>
      <c r="N114" s="480"/>
      <c r="O114" s="480">
        <f t="shared" ref="O114:Z114" si="190">+O113/N113-1</f>
        <v>0.96491228070175428</v>
      </c>
      <c r="P114" s="480">
        <f t="shared" si="190"/>
        <v>1.3214285714285716</v>
      </c>
      <c r="Q114" s="480">
        <f t="shared" si="190"/>
        <v>0.82692307692307687</v>
      </c>
      <c r="R114" s="480">
        <f t="shared" si="190"/>
        <v>0.58526315789473693</v>
      </c>
      <c r="S114" s="480">
        <f t="shared" si="190"/>
        <v>0.40371845949535201</v>
      </c>
      <c r="T114" s="480">
        <f t="shared" si="190"/>
        <v>0.20340586565752128</v>
      </c>
      <c r="U114" s="480">
        <f t="shared" si="190"/>
        <v>0.20287028301886778</v>
      </c>
      <c r="V114" s="13">
        <f t="shared" si="190"/>
        <v>0.16635654628505847</v>
      </c>
      <c r="W114" s="13">
        <f t="shared" si="190"/>
        <v>-2.1301871303412323E-2</v>
      </c>
      <c r="X114" s="13">
        <f t="shared" si="190"/>
        <v>1.9712923043450958E-2</v>
      </c>
      <c r="Y114" s="13">
        <f t="shared" si="190"/>
        <v>8.6171252105558649E-2</v>
      </c>
      <c r="Z114" s="13">
        <f t="shared" si="190"/>
        <v>0.12105273224566315</v>
      </c>
      <c r="AA114" s="13">
        <f t="shared" ref="AA114:AK114" si="191">AA113/Z113-1</f>
        <v>5.3539446769501842E-2</v>
      </c>
      <c r="AB114" s="13">
        <f t="shared" si="191"/>
        <v>0.11846055939550548</v>
      </c>
      <c r="AC114" s="13">
        <f t="shared" si="191"/>
        <v>-2.4003631518291435E-2</v>
      </c>
      <c r="AD114" s="13">
        <f t="shared" si="191"/>
        <v>-4.8296636897339651E-2</v>
      </c>
      <c r="AE114" s="13">
        <f t="shared" si="191"/>
        <v>3.779894852189436E-3</v>
      </c>
      <c r="AF114" s="13">
        <f t="shared" si="191"/>
        <v>5.5671932520293899E-2</v>
      </c>
      <c r="AG114" s="13">
        <f t="shared" si="191"/>
        <v>6.3261114508199379E-2</v>
      </c>
      <c r="AH114" s="13">
        <f t="shared" si="191"/>
        <v>0.14960577218620519</v>
      </c>
      <c r="AI114" s="13">
        <f t="shared" si="191"/>
        <v>1.4124528084635601E-2</v>
      </c>
      <c r="AJ114" s="13">
        <f t="shared" si="191"/>
        <v>7.4328129770894646E-2</v>
      </c>
      <c r="AK114" s="13">
        <f t="shared" si="191"/>
        <v>7.0740196840885172E-2</v>
      </c>
      <c r="AL114" s="13">
        <f t="shared" ref="AL114:AR114" si="192">AL113/AK113-1</f>
        <v>7.3930152031430385E-2</v>
      </c>
      <c r="AM114" s="13">
        <f t="shared" si="192"/>
        <v>7.6877942195115123E-2</v>
      </c>
      <c r="AN114" s="13">
        <f t="shared" si="192"/>
        <v>2.9744469414186625E-2</v>
      </c>
      <c r="AO114" s="13">
        <f t="shared" si="192"/>
        <v>6.2535227296811602E-2</v>
      </c>
      <c r="AP114" s="13">
        <f>AP113/AO113-1</f>
        <v>4.8059100186004677E-2</v>
      </c>
      <c r="AQ114" s="13">
        <f t="shared" si="192"/>
        <v>4.6553314231043696E-2</v>
      </c>
      <c r="AR114" s="13">
        <f t="shared" si="192"/>
        <v>4.5816981329046325E-2</v>
      </c>
      <c r="AS114" s="100"/>
      <c r="AT114" s="56"/>
      <c r="AU114" s="57"/>
      <c r="AV114" s="56"/>
      <c r="AW114" s="100"/>
      <c r="AX114" s="2"/>
      <c r="AY114" s="2" t="s">
        <v>343</v>
      </c>
      <c r="AZ114" s="497">
        <f>+X113</f>
        <v>1781</v>
      </c>
      <c r="BA114" s="497">
        <f>+Y113</f>
        <v>1934.471</v>
      </c>
      <c r="BB114" s="497">
        <f>+BA119</f>
        <v>2165.10752</v>
      </c>
      <c r="BC114" s="497">
        <f>+BB119</f>
        <v>2267.0118208000004</v>
      </c>
      <c r="BD114" s="497">
        <f>+BC119</f>
        <v>2513.41300288</v>
      </c>
      <c r="BE114" s="497">
        <f>$AC$113</f>
        <v>2494.0660000000003</v>
      </c>
      <c r="BF114" s="497">
        <f>AD113</f>
        <v>2373.6109999999999</v>
      </c>
      <c r="BG114" s="497">
        <f>AE113</f>
        <v>2382.5830000000001</v>
      </c>
      <c r="BH114" s="497">
        <f>AF113</f>
        <v>2515.2259999999997</v>
      </c>
      <c r="BI114" s="497">
        <f t="shared" ref="BI114:BS114" si="193">+BH119</f>
        <v>2669.2457346798424</v>
      </c>
      <c r="BJ114" s="497">
        <f t="shared" si="193"/>
        <v>2838.7007588947176</v>
      </c>
      <c r="BK114" s="497">
        <f>+BJ119</f>
        <v>2891.8585103449191</v>
      </c>
      <c r="BL114" s="497">
        <f>+BK119</f>
        <v>3349.6089999999999</v>
      </c>
      <c r="BM114" s="497">
        <f>+BL119</f>
        <v>3586.5610000000001</v>
      </c>
      <c r="BN114" s="497">
        <f>+BM119</f>
        <v>3851.7159999999994</v>
      </c>
      <c r="BO114" s="497">
        <f t="shared" si="193"/>
        <v>3976.9049516261639</v>
      </c>
      <c r="BP114" s="497">
        <f t="shared" si="193"/>
        <v>4264.7966469455714</v>
      </c>
      <c r="BQ114" s="497">
        <f t="shared" si="193"/>
        <v>4538.3035899577062</v>
      </c>
      <c r="BR114" s="497">
        <f t="shared" si="193"/>
        <v>4756.410376861988</v>
      </c>
      <c r="BS114" s="497">
        <f t="shared" si="193"/>
        <v>4977.8370437478416</v>
      </c>
    </row>
    <row r="115" spans="1:71">
      <c r="A115" s="2"/>
      <c r="B115" s="2"/>
      <c r="C115" s="2"/>
      <c r="D115" s="2"/>
      <c r="E115" s="2"/>
      <c r="F115" s="2"/>
      <c r="G115" s="2"/>
      <c r="H115" s="2"/>
      <c r="I115" s="2"/>
      <c r="J115" s="2"/>
      <c r="K115" s="2"/>
      <c r="L115" s="2"/>
      <c r="M115" s="2"/>
      <c r="N115" s="2"/>
      <c r="O115" s="2"/>
      <c r="P115" s="2"/>
      <c r="Q115" s="2"/>
      <c r="R115" s="2"/>
      <c r="S115" s="2"/>
      <c r="T115" s="2"/>
      <c r="U115" s="2"/>
      <c r="V115" s="2"/>
      <c r="W115" s="2"/>
      <c r="X115" s="14"/>
      <c r="Y115" s="14"/>
      <c r="Z115" s="14"/>
      <c r="AA115" s="14"/>
      <c r="AB115" s="14"/>
      <c r="AC115" s="14"/>
      <c r="AD115" s="14"/>
      <c r="AE115" s="14"/>
      <c r="AF115" s="14"/>
      <c r="AG115" s="14"/>
      <c r="AH115" s="14"/>
      <c r="AI115" s="14"/>
      <c r="AJ115" s="14"/>
      <c r="AK115" s="14"/>
      <c r="AL115" s="14"/>
      <c r="AM115" s="14"/>
      <c r="AN115" s="14"/>
      <c r="AO115" s="14"/>
      <c r="AP115" s="14"/>
      <c r="AQ115" s="14"/>
      <c r="AR115" s="14"/>
      <c r="AS115" s="1124"/>
      <c r="AT115" s="56"/>
      <c r="AU115" s="57"/>
      <c r="AV115" s="56"/>
      <c r="AW115" s="100"/>
      <c r="AX115" s="494" t="s">
        <v>344</v>
      </c>
      <c r="AY115" s="2" t="s">
        <v>361</v>
      </c>
      <c r="AZ115" s="496">
        <f t="shared" ref="AZ115:BS115" si="194">+AZ114*Y138</f>
        <v>142.47999999999999</v>
      </c>
      <c r="BA115" s="496">
        <f t="shared" si="194"/>
        <v>232.13651999999999</v>
      </c>
      <c r="BB115" s="496">
        <f t="shared" si="194"/>
        <v>86.604300800000004</v>
      </c>
      <c r="BC115" s="496">
        <f t="shared" si="194"/>
        <v>226.70118208000005</v>
      </c>
      <c r="BD115" s="496">
        <f t="shared" si="194"/>
        <v>-100.53652011520001</v>
      </c>
      <c r="BE115" s="496">
        <f t="shared" si="194"/>
        <v>-239.08237463636632</v>
      </c>
      <c r="BF115" s="496">
        <f t="shared" si="194"/>
        <v>-23.73611</v>
      </c>
      <c r="BG115" s="496">
        <f t="shared" si="194"/>
        <v>119.12915000000001</v>
      </c>
      <c r="BH115" s="496">
        <f t="shared" si="194"/>
        <v>145.26973467984271</v>
      </c>
      <c r="BI115" s="496">
        <f t="shared" si="194"/>
        <v>174.84502421487534</v>
      </c>
      <c r="BJ115" s="496">
        <f t="shared" si="194"/>
        <v>38.4577514502014</v>
      </c>
      <c r="BK115" s="496">
        <f t="shared" si="194"/>
        <v>165.11054435880047</v>
      </c>
      <c r="BL115" s="496">
        <f t="shared" si="194"/>
        <v>182.53304636983168</v>
      </c>
      <c r="BM115" s="496">
        <f t="shared" si="194"/>
        <v>113.00397867630429</v>
      </c>
      <c r="BN115" s="496">
        <f t="shared" si="194"/>
        <v>99.862190306165061</v>
      </c>
      <c r="BO115" s="496">
        <f t="shared" si="194"/>
        <v>45.949903662147996</v>
      </c>
      <c r="BP115" s="496">
        <f t="shared" si="194"/>
        <v>127.94389940836714</v>
      </c>
      <c r="BQ115" s="496">
        <f t="shared" si="194"/>
        <v>136.14910769873117</v>
      </c>
      <c r="BR115" s="496">
        <f t="shared" si="194"/>
        <v>142.69231130585965</v>
      </c>
      <c r="BS115" s="496">
        <f t="shared" si="194"/>
        <v>149.33511131243523</v>
      </c>
    </row>
    <row r="116" spans="1:71">
      <c r="A116" s="213" t="s">
        <v>1086</v>
      </c>
      <c r="B116" s="260"/>
      <c r="C116" s="260"/>
      <c r="D116" s="260"/>
      <c r="E116" s="260"/>
      <c r="F116" s="260"/>
      <c r="G116" s="260"/>
      <c r="H116" s="260"/>
      <c r="I116" s="260"/>
      <c r="J116" s="260"/>
      <c r="K116" s="260"/>
      <c r="L116" s="260">
        <f>+'store&amp;sf'!L14</f>
        <v>6</v>
      </c>
      <c r="M116" s="5">
        <f t="shared" ref="M116:AK116" si="195">L119</f>
        <v>27</v>
      </c>
      <c r="N116" s="5">
        <f t="shared" si="195"/>
        <v>95</v>
      </c>
      <c r="O116" s="5">
        <f t="shared" si="195"/>
        <v>121</v>
      </c>
      <c r="P116" s="5">
        <f t="shared" si="195"/>
        <v>194</v>
      </c>
      <c r="Q116" s="5">
        <f t="shared" si="195"/>
        <v>318</v>
      </c>
      <c r="R116" s="5">
        <f t="shared" si="195"/>
        <v>498</v>
      </c>
      <c r="S116" s="5">
        <f t="shared" si="195"/>
        <v>750</v>
      </c>
      <c r="T116" s="5">
        <f t="shared" si="195"/>
        <v>921</v>
      </c>
      <c r="U116" s="5">
        <f t="shared" si="195"/>
        <v>1061</v>
      </c>
      <c r="V116" s="9">
        <f t="shared" si="195"/>
        <v>1214</v>
      </c>
      <c r="W116" s="9">
        <f t="shared" si="195"/>
        <v>1432</v>
      </c>
      <c r="X116" s="9">
        <f t="shared" si="195"/>
        <v>1615</v>
      </c>
      <c r="Y116" s="9">
        <f t="shared" si="195"/>
        <v>1639</v>
      </c>
      <c r="Z116" s="9">
        <f t="shared" si="195"/>
        <v>1604</v>
      </c>
      <c r="AA116" s="9">
        <f t="shared" si="195"/>
        <v>1569</v>
      </c>
      <c r="AB116" s="9">
        <f t="shared" si="195"/>
        <v>1555</v>
      </c>
      <c r="AC116" s="9">
        <f t="shared" si="195"/>
        <v>1546</v>
      </c>
      <c r="AD116" s="9">
        <f t="shared" si="195"/>
        <v>1592</v>
      </c>
      <c r="AE116" s="9">
        <f t="shared" si="195"/>
        <v>1644</v>
      </c>
      <c r="AF116" s="9">
        <f t="shared" si="195"/>
        <v>1658</v>
      </c>
      <c r="AG116" s="9">
        <f t="shared" si="195"/>
        <v>1665</v>
      </c>
      <c r="AH116" s="9">
        <f t="shared" si="195"/>
        <v>1656</v>
      </c>
      <c r="AI116" s="9">
        <f t="shared" si="195"/>
        <v>1642</v>
      </c>
      <c r="AJ116" s="9">
        <f t="shared" si="195"/>
        <v>1638</v>
      </c>
      <c r="AK116" s="9">
        <f t="shared" si="195"/>
        <v>1646</v>
      </c>
      <c r="AL116" s="9">
        <f t="shared" ref="AL116:AR116" si="196">AK119</f>
        <v>1672</v>
      </c>
      <c r="AM116" s="9">
        <f t="shared" si="196"/>
        <v>1693</v>
      </c>
      <c r="AN116" s="9">
        <f t="shared" si="196"/>
        <v>1694</v>
      </c>
      <c r="AO116" s="9">
        <f t="shared" si="196"/>
        <v>1724</v>
      </c>
      <c r="AP116" s="9">
        <f t="shared" si="196"/>
        <v>1724</v>
      </c>
      <c r="AQ116" s="9">
        <f t="shared" si="196"/>
        <v>1724</v>
      </c>
      <c r="AR116" s="9">
        <f t="shared" si="196"/>
        <v>1714</v>
      </c>
      <c r="AS116" s="100"/>
      <c r="AT116" s="56"/>
      <c r="AU116" s="57"/>
      <c r="AV116" s="56"/>
      <c r="AW116" s="100"/>
      <c r="AX116" s="494" t="s">
        <v>344</v>
      </c>
      <c r="AY116" s="2" t="s">
        <v>319</v>
      </c>
      <c r="AZ116" s="496">
        <f t="shared" ref="AZ116:BE116" si="197">+Y117*AZ124</f>
        <v>7.1999999999999993</v>
      </c>
      <c r="BA116" s="496">
        <f t="shared" si="197"/>
        <v>10</v>
      </c>
      <c r="BB116" s="496">
        <f t="shared" si="197"/>
        <v>17</v>
      </c>
      <c r="BC116" s="496">
        <f t="shared" si="197"/>
        <v>20</v>
      </c>
      <c r="BD116" s="496">
        <f t="shared" si="197"/>
        <v>67</v>
      </c>
      <c r="BE116" s="496">
        <f t="shared" si="197"/>
        <v>86</v>
      </c>
      <c r="BF116" s="496">
        <f t="shared" ref="BF116:BL116" si="198">+AE117*BF124*1.5</f>
        <v>71.399999999999991</v>
      </c>
      <c r="BG116" s="496">
        <f t="shared" si="198"/>
        <v>60.899999999999991</v>
      </c>
      <c r="BH116" s="496">
        <f t="shared" si="198"/>
        <v>33.599999999999994</v>
      </c>
      <c r="BI116" s="496">
        <f t="shared" si="198"/>
        <v>14.7</v>
      </c>
      <c r="BJ116" s="496">
        <f t="shared" si="198"/>
        <v>33.599999999999994</v>
      </c>
      <c r="BK116" s="496">
        <f t="shared" si="198"/>
        <v>50.399999999999991</v>
      </c>
      <c r="BL116" s="496">
        <f t="shared" si="198"/>
        <v>70.685999999999993</v>
      </c>
      <c r="BM116" s="496">
        <f>+AL117*BM124*1.25</f>
        <v>63.724499999999999</v>
      </c>
      <c r="BN116" s="496">
        <f>+AM117*BN124*1.25</f>
        <v>59.427647999999991</v>
      </c>
      <c r="BO116" s="496">
        <f>+AN117*BO124*1.5</f>
        <v>206.03532838038629</v>
      </c>
      <c r="BP116" s="496">
        <f>+AO117*BP124*1.5</f>
        <v>105.07801747399699</v>
      </c>
      <c r="BQ116" s="496">
        <f>+AP117*BQ124*1.5</f>
        <v>105.07801747399699</v>
      </c>
      <c r="BR116" s="496">
        <f>+AQ117*BR124*1.5</f>
        <v>70.052011649331348</v>
      </c>
      <c r="BS116" s="496">
        <f>+AR117*BS124*1.5</f>
        <v>70.052011649331348</v>
      </c>
    </row>
    <row r="117" spans="1:71">
      <c r="A117" s="213" t="s">
        <v>937</v>
      </c>
      <c r="B117" s="260"/>
      <c r="C117" s="260"/>
      <c r="D117" s="260"/>
      <c r="E117" s="260"/>
      <c r="F117" s="260"/>
      <c r="G117" s="260"/>
      <c r="H117" s="260"/>
      <c r="I117" s="260"/>
      <c r="J117" s="260"/>
      <c r="K117" s="260"/>
      <c r="L117" s="5">
        <f>+'store&amp;sf'!L20-'store&amp;sf'!L14</f>
        <v>21</v>
      </c>
      <c r="M117" s="5">
        <f>+'store&amp;sf'!L26-'store&amp;sf'!L20</f>
        <v>68</v>
      </c>
      <c r="N117" s="5">
        <f>+'store&amp;sf'!L32-'store&amp;sf'!L26</f>
        <v>26</v>
      </c>
      <c r="O117" s="5">
        <f>+'store&amp;sf'!L38-'store&amp;sf'!L32</f>
        <v>73</v>
      </c>
      <c r="P117" s="5">
        <f>+'store&amp;sf'!L44-'store&amp;sf'!L38</f>
        <v>124</v>
      </c>
      <c r="Q117" s="5">
        <f>+'store&amp;sf'!L50-'store&amp;sf'!L44</f>
        <v>180</v>
      </c>
      <c r="R117" s="5">
        <f>+'store&amp;sf'!L56-'store&amp;sf'!L50</f>
        <v>252</v>
      </c>
      <c r="S117" s="5">
        <f>+'store&amp;sf'!BK63</f>
        <v>174</v>
      </c>
      <c r="T117" s="5">
        <f>+'store&amp;sf'!BK69</f>
        <v>146</v>
      </c>
      <c r="U117" s="5">
        <f>+'store&amp;sf'!BK75</f>
        <v>162</v>
      </c>
      <c r="V117" s="9">
        <f>+'store&amp;sf'!BK81</f>
        <v>230</v>
      </c>
      <c r="W117" s="9">
        <f>+'store&amp;sf'!BK87</f>
        <v>191</v>
      </c>
      <c r="X117" s="9">
        <f>+'store&amp;sf'!BK93</f>
        <v>51</v>
      </c>
      <c r="Y117" s="9">
        <f>+'store&amp;sf'!BK99</f>
        <v>6</v>
      </c>
      <c r="Z117" s="9">
        <f>'store&amp;sf'!BK105</f>
        <v>10</v>
      </c>
      <c r="AA117" s="461">
        <f>'store&amp;sf'!BK111</f>
        <v>17</v>
      </c>
      <c r="AB117" s="461">
        <f>'store&amp;sf'!BK117</f>
        <v>20</v>
      </c>
      <c r="AC117" s="461">
        <f>'store&amp;sf'!$BK$123</f>
        <v>67</v>
      </c>
      <c r="AD117" s="461">
        <f>'store&amp;sf'!$BK$129</f>
        <v>86</v>
      </c>
      <c r="AE117" s="461">
        <f>'store&amp;sf'!BK135</f>
        <v>34</v>
      </c>
      <c r="AF117" s="461">
        <f>'store&amp;sf'!$BK$141</f>
        <v>29</v>
      </c>
      <c r="AG117" s="461">
        <f>'store&amp;sf'!$BK$147</f>
        <v>16</v>
      </c>
      <c r="AH117" s="461">
        <f>'store&amp;sf'!$BK$153</f>
        <v>7</v>
      </c>
      <c r="AI117" s="461">
        <f>'store&amp;sf'!$BK$159</f>
        <v>16</v>
      </c>
      <c r="AJ117" s="461">
        <f>'store&amp;sf'!$BK$165</f>
        <v>24</v>
      </c>
      <c r="AK117" s="461">
        <f>'store&amp;sf'!BK171</f>
        <v>33</v>
      </c>
      <c r="AL117" s="461">
        <f>'store&amp;sf'!BK177</f>
        <v>35</v>
      </c>
      <c r="AM117" s="461">
        <f>'store&amp;sf'!BK183</f>
        <v>32</v>
      </c>
      <c r="AN117" s="461">
        <f>'store&amp;sf'!BK189</f>
        <v>60</v>
      </c>
      <c r="AO117" s="379">
        <v>30</v>
      </c>
      <c r="AP117" s="379">
        <v>30</v>
      </c>
      <c r="AQ117" s="379">
        <v>20</v>
      </c>
      <c r="AR117" s="379">
        <v>20</v>
      </c>
      <c r="AS117" s="100"/>
      <c r="AT117" s="56"/>
      <c r="AU117" s="57"/>
      <c r="AV117" s="56"/>
      <c r="AW117" s="100"/>
      <c r="AX117" s="494" t="s">
        <v>344</v>
      </c>
      <c r="AY117" s="2" t="s">
        <v>992</v>
      </c>
      <c r="AZ117" s="496">
        <f t="shared" ref="AZ117:BF117" si="199">+(AZ127-AZ124)*AZ130</f>
        <v>27.369999999999997</v>
      </c>
      <c r="BA117" s="496">
        <f t="shared" si="199"/>
        <v>20</v>
      </c>
      <c r="BB117" s="496">
        <f t="shared" si="199"/>
        <v>20</v>
      </c>
      <c r="BC117" s="496">
        <f t="shared" si="199"/>
        <v>20</v>
      </c>
      <c r="BD117" s="496">
        <f t="shared" si="199"/>
        <v>20</v>
      </c>
      <c r="BE117" s="496">
        <f t="shared" si="199"/>
        <v>20</v>
      </c>
      <c r="BF117" s="496">
        <f t="shared" si="199"/>
        <v>5.600000000000005</v>
      </c>
      <c r="BG117" s="496">
        <f t="shared" ref="BG117:BL117" si="200">+(BG127-BG124)*BG130</f>
        <v>5.3200000000000047</v>
      </c>
      <c r="BH117" s="496">
        <f t="shared" si="200"/>
        <v>4.9000000000000039</v>
      </c>
      <c r="BI117" s="496">
        <f t="shared" si="200"/>
        <v>4.9000000000000039</v>
      </c>
      <c r="BJ117" s="496">
        <f t="shared" si="200"/>
        <v>4.9000000000000039</v>
      </c>
      <c r="BK117" s="496">
        <f t="shared" si="200"/>
        <v>4.9000000000000039</v>
      </c>
      <c r="BL117" s="496">
        <f t="shared" si="200"/>
        <v>3.9200000000000035</v>
      </c>
      <c r="BM117" s="496">
        <f>+(BM127-BM124)*BM130</f>
        <v>12.516000000000027</v>
      </c>
      <c r="BN117" s="496">
        <f>+(BN127-BN124)*BN130</f>
        <v>5.4308800000000268</v>
      </c>
      <c r="BO117" s="496">
        <f>-(BO127-BO124)*BO130</f>
        <v>74.92814264487366</v>
      </c>
      <c r="BP117" s="496">
        <f>-(BP127-BP124)*BP130</f>
        <v>79.506705497771122</v>
      </c>
      <c r="BQ117" s="496">
        <f>-(BQ127-BQ124)*BQ130</f>
        <v>15.901341099554225</v>
      </c>
      <c r="BR117" s="496">
        <f>-(BR127-BR124)*BR130</f>
        <v>47.704023298662676</v>
      </c>
      <c r="BS117" s="496">
        <f>-(BS127-BS124)*BS130</f>
        <v>47.704023298662676</v>
      </c>
    </row>
    <row r="118" spans="1:71">
      <c r="A118" s="214" t="s">
        <v>1087</v>
      </c>
      <c r="B118" s="260"/>
      <c r="C118" s="260"/>
      <c r="D118" s="260"/>
      <c r="E118" s="260"/>
      <c r="F118" s="260"/>
      <c r="G118" s="260"/>
      <c r="H118" s="260"/>
      <c r="I118" s="260"/>
      <c r="J118" s="260"/>
      <c r="K118" s="260"/>
      <c r="L118" s="260"/>
      <c r="M118" s="260"/>
      <c r="N118" s="260"/>
      <c r="O118" s="260"/>
      <c r="P118" s="260"/>
      <c r="Q118" s="260"/>
      <c r="R118" s="260"/>
      <c r="S118" s="179">
        <f>+'store&amp;sf'!BL63</f>
        <v>-3</v>
      </c>
      <c r="T118" s="179">
        <f>+'store&amp;sf'!BL69</f>
        <v>-6</v>
      </c>
      <c r="U118" s="179">
        <f>+'store&amp;sf'!BL75</f>
        <v>-9</v>
      </c>
      <c r="V118" s="179">
        <f>+'store&amp;sf'!BL81</f>
        <v>-12</v>
      </c>
      <c r="W118" s="179">
        <f>+'store&amp;sf'!BL87</f>
        <v>-8</v>
      </c>
      <c r="X118" s="179">
        <f>+'store&amp;sf'!BL93</f>
        <v>-27</v>
      </c>
      <c r="Y118" s="179">
        <f>+'store&amp;sf'!BL99</f>
        <v>-41</v>
      </c>
      <c r="Z118" s="179">
        <f>'store&amp;sf'!BL105</f>
        <v>-45</v>
      </c>
      <c r="AA118" s="583">
        <f>'store&amp;sf'!BL111</f>
        <v>-31</v>
      </c>
      <c r="AB118" s="583">
        <f>'store&amp;sf'!BL117</f>
        <v>-29</v>
      </c>
      <c r="AC118" s="583">
        <f>'store&amp;sf'!$BL$123</f>
        <v>-21</v>
      </c>
      <c r="AD118" s="583">
        <f>'store&amp;sf'!$BL$129</f>
        <v>-34</v>
      </c>
      <c r="AE118" s="583">
        <f>'store&amp;sf'!BL135</f>
        <v>-20</v>
      </c>
      <c r="AF118" s="583">
        <f>'store&amp;sf'!$BL$141</f>
        <v>-22</v>
      </c>
      <c r="AG118" s="583">
        <f>'store&amp;sf'!$BL$147</f>
        <v>-25</v>
      </c>
      <c r="AH118" s="583">
        <f>'store&amp;sf'!$BL$153</f>
        <v>-21</v>
      </c>
      <c r="AI118" s="583">
        <f>'store&amp;sf'!$BL$159</f>
        <v>-20</v>
      </c>
      <c r="AJ118" s="583">
        <f>'store&amp;sf'!$BL$165</f>
        <v>-16</v>
      </c>
      <c r="AK118" s="583">
        <f>'store&amp;sf'!BL171</f>
        <v>-7</v>
      </c>
      <c r="AL118" s="583">
        <f>'store&amp;sf'!BL177</f>
        <v>-14</v>
      </c>
      <c r="AM118" s="583">
        <f>'store&amp;sf'!BL183</f>
        <v>-31</v>
      </c>
      <c r="AN118" s="583">
        <f>'store&amp;sf'!BL189</f>
        <v>-30</v>
      </c>
      <c r="AO118" s="491">
        <f>AN118</f>
        <v>-30</v>
      </c>
      <c r="AP118" s="491">
        <f>AO118</f>
        <v>-30</v>
      </c>
      <c r="AQ118" s="491">
        <f>AP118</f>
        <v>-30</v>
      </c>
      <c r="AR118" s="491">
        <f>AQ118</f>
        <v>-30</v>
      </c>
      <c r="AS118" s="100"/>
      <c r="AT118" s="56"/>
      <c r="AU118" s="57"/>
      <c r="AV118" s="56"/>
      <c r="AW118" s="100"/>
      <c r="AX118" s="494" t="s">
        <v>320</v>
      </c>
      <c r="AY118" s="2" t="s">
        <v>321</v>
      </c>
      <c r="AZ118" s="501">
        <f t="shared" ref="AZ118:BS118" si="201">+Y118*AZ125</f>
        <v>-26.650000000000002</v>
      </c>
      <c r="BA118" s="501">
        <f t="shared" si="201"/>
        <v>-31.499999999999996</v>
      </c>
      <c r="BB118" s="501">
        <f t="shared" si="201"/>
        <v>-21.7</v>
      </c>
      <c r="BC118" s="501">
        <f t="shared" si="201"/>
        <v>-20.299999999999997</v>
      </c>
      <c r="BD118" s="501">
        <f t="shared" si="201"/>
        <v>-14.7</v>
      </c>
      <c r="BE118" s="501">
        <f t="shared" si="201"/>
        <v>-23.799999999999997</v>
      </c>
      <c r="BF118" s="501">
        <f t="shared" si="201"/>
        <v>-23.799999999999997</v>
      </c>
      <c r="BG118" s="501">
        <f t="shared" si="201"/>
        <v>-26.18</v>
      </c>
      <c r="BH118" s="501">
        <f t="shared" si="201"/>
        <v>-29.75</v>
      </c>
      <c r="BI118" s="501">
        <f t="shared" si="201"/>
        <v>-24.99</v>
      </c>
      <c r="BJ118" s="501">
        <f t="shared" si="201"/>
        <v>-23.799999999999997</v>
      </c>
      <c r="BK118" s="501">
        <f t="shared" si="201"/>
        <v>-19.04</v>
      </c>
      <c r="BL118" s="501">
        <f t="shared" si="201"/>
        <v>-8.4966000000000008</v>
      </c>
      <c r="BM118" s="501">
        <f t="shared" si="201"/>
        <v>-17.333064</v>
      </c>
      <c r="BN118" s="501">
        <f t="shared" si="201"/>
        <v>-39.531766680000004</v>
      </c>
      <c r="BO118" s="501">
        <f t="shared" si="201"/>
        <v>-39.021679368000001</v>
      </c>
      <c r="BP118" s="501">
        <f t="shared" si="201"/>
        <v>-39.021679368000001</v>
      </c>
      <c r="BQ118" s="501">
        <f t="shared" si="201"/>
        <v>-39.021679368000001</v>
      </c>
      <c r="BR118" s="501">
        <f t="shared" si="201"/>
        <v>-39.021679368000001</v>
      </c>
      <c r="BS118" s="501">
        <f t="shared" si="201"/>
        <v>-39.021679368000001</v>
      </c>
    </row>
    <row r="119" spans="1:71">
      <c r="A119" s="213" t="s">
        <v>1088</v>
      </c>
      <c r="B119" s="5"/>
      <c r="C119" s="5"/>
      <c r="D119" s="5"/>
      <c r="E119" s="5"/>
      <c r="F119" s="5"/>
      <c r="G119" s="5"/>
      <c r="H119" s="5"/>
      <c r="I119" s="5"/>
      <c r="J119" s="5"/>
      <c r="K119" s="5"/>
      <c r="L119" s="5">
        <f t="shared" ref="L119:X119" si="202">+L116+L117+L118</f>
        <v>27</v>
      </c>
      <c r="M119" s="5">
        <f t="shared" si="202"/>
        <v>95</v>
      </c>
      <c r="N119" s="5">
        <f t="shared" si="202"/>
        <v>121</v>
      </c>
      <c r="O119" s="5">
        <f t="shared" si="202"/>
        <v>194</v>
      </c>
      <c r="P119" s="5">
        <f t="shared" si="202"/>
        <v>318</v>
      </c>
      <c r="Q119" s="5">
        <f t="shared" si="202"/>
        <v>498</v>
      </c>
      <c r="R119" s="5">
        <f t="shared" si="202"/>
        <v>750</v>
      </c>
      <c r="S119" s="5">
        <f t="shared" si="202"/>
        <v>921</v>
      </c>
      <c r="T119" s="5">
        <f t="shared" si="202"/>
        <v>1061</v>
      </c>
      <c r="U119" s="5">
        <f t="shared" si="202"/>
        <v>1214</v>
      </c>
      <c r="V119" s="9">
        <f t="shared" si="202"/>
        <v>1432</v>
      </c>
      <c r="W119" s="9">
        <f t="shared" si="202"/>
        <v>1615</v>
      </c>
      <c r="X119" s="9">
        <f t="shared" si="202"/>
        <v>1639</v>
      </c>
      <c r="Y119" s="9">
        <f t="shared" ref="Y119:AK119" si="203">+SUM(Y116:Y118)</f>
        <v>1604</v>
      </c>
      <c r="Z119" s="9">
        <f t="shared" si="203"/>
        <v>1569</v>
      </c>
      <c r="AA119" s="9">
        <f t="shared" si="203"/>
        <v>1555</v>
      </c>
      <c r="AB119" s="9">
        <f t="shared" si="203"/>
        <v>1546</v>
      </c>
      <c r="AC119" s="9">
        <f t="shared" si="203"/>
        <v>1592</v>
      </c>
      <c r="AD119" s="9">
        <f t="shared" si="203"/>
        <v>1644</v>
      </c>
      <c r="AE119" s="9">
        <f t="shared" si="203"/>
        <v>1658</v>
      </c>
      <c r="AF119" s="9">
        <f t="shared" si="203"/>
        <v>1665</v>
      </c>
      <c r="AG119" s="9">
        <f t="shared" si="203"/>
        <v>1656</v>
      </c>
      <c r="AH119" s="9">
        <f t="shared" si="203"/>
        <v>1642</v>
      </c>
      <c r="AI119" s="9">
        <f t="shared" si="203"/>
        <v>1638</v>
      </c>
      <c r="AJ119" s="9">
        <f t="shared" si="203"/>
        <v>1646</v>
      </c>
      <c r="AK119" s="9">
        <f t="shared" si="203"/>
        <v>1672</v>
      </c>
      <c r="AL119" s="9">
        <f t="shared" ref="AL119:AQ119" si="204">+SUM(AL116:AL118)</f>
        <v>1693</v>
      </c>
      <c r="AM119" s="9">
        <f t="shared" si="204"/>
        <v>1694</v>
      </c>
      <c r="AN119" s="9">
        <f t="shared" si="204"/>
        <v>1724</v>
      </c>
      <c r="AO119" s="9">
        <f t="shared" si="204"/>
        <v>1724</v>
      </c>
      <c r="AP119" s="9">
        <f t="shared" si="204"/>
        <v>1724</v>
      </c>
      <c r="AQ119" s="9">
        <f t="shared" si="204"/>
        <v>1714</v>
      </c>
      <c r="AR119" s="9">
        <f t="shared" ref="AR119" si="205">+SUM(AR116:AR118)</f>
        <v>1704</v>
      </c>
      <c r="AS119" s="100"/>
      <c r="AT119" s="56">
        <f>((AK119/AF119)^(1/5)-1)*100</f>
        <v>8.3943037065181692E-2</v>
      </c>
      <c r="AU119" s="97" t="s">
        <v>1084</v>
      </c>
      <c r="AV119" s="56">
        <f>((AP119/AK119)^(1/5)-1)*100</f>
        <v>0.6144129721034064</v>
      </c>
      <c r="AW119" s="100" t="s">
        <v>1084</v>
      </c>
      <c r="AX119" s="494" t="s">
        <v>756</v>
      </c>
      <c r="AY119" s="472" t="s">
        <v>456</v>
      </c>
      <c r="AZ119" s="502">
        <f t="shared" ref="AZ119:BJ119" si="206">+SUM(AZ114:AZ118)</f>
        <v>1931.3999999999999</v>
      </c>
      <c r="BA119" s="502">
        <f t="shared" si="206"/>
        <v>2165.10752</v>
      </c>
      <c r="BB119" s="502">
        <f t="shared" si="206"/>
        <v>2267.0118208000004</v>
      </c>
      <c r="BC119" s="502">
        <f t="shared" si="206"/>
        <v>2513.41300288</v>
      </c>
      <c r="BD119" s="502">
        <f t="shared" si="206"/>
        <v>2485.1764827648003</v>
      </c>
      <c r="BE119" s="502">
        <f t="shared" si="206"/>
        <v>2337.1836253636338</v>
      </c>
      <c r="BF119" s="502">
        <f t="shared" si="206"/>
        <v>2403.0748899999999</v>
      </c>
      <c r="BG119" s="502">
        <f t="shared" si="206"/>
        <v>2541.7521500000007</v>
      </c>
      <c r="BH119" s="502">
        <f t="shared" si="206"/>
        <v>2669.2457346798424</v>
      </c>
      <c r="BI119" s="502">
        <f t="shared" si="206"/>
        <v>2838.7007588947176</v>
      </c>
      <c r="BJ119" s="502">
        <f t="shared" si="206"/>
        <v>2891.8585103449191</v>
      </c>
      <c r="BK119" s="502">
        <f>AJ113</f>
        <v>3349.6089999999999</v>
      </c>
      <c r="BL119" s="502">
        <f>AK113</f>
        <v>3586.5610000000001</v>
      </c>
      <c r="BM119" s="502">
        <f>AL113</f>
        <v>3851.7159999999994</v>
      </c>
      <c r="BN119" s="502">
        <f t="shared" ref="BN119:BS119" si="207">+SUM(BN114:BN118)</f>
        <v>3976.9049516261639</v>
      </c>
      <c r="BO119" s="502">
        <f t="shared" si="207"/>
        <v>4264.7966469455714</v>
      </c>
      <c r="BP119" s="502">
        <f>+SUM(BP114:BP118)</f>
        <v>4538.3035899577062</v>
      </c>
      <c r="BQ119" s="502">
        <f>+SUM(BQ114:BQ118)</f>
        <v>4756.410376861988</v>
      </c>
      <c r="BR119" s="502">
        <f t="shared" si="207"/>
        <v>4977.8370437478416</v>
      </c>
      <c r="BS119" s="502">
        <f t="shared" si="207"/>
        <v>5205.9065106402713</v>
      </c>
    </row>
    <row r="120" spans="1:71">
      <c r="A120" s="213" t="s">
        <v>819</v>
      </c>
      <c r="B120" s="9"/>
      <c r="C120" s="9"/>
      <c r="D120" s="9"/>
      <c r="E120" s="9"/>
      <c r="F120" s="9"/>
      <c r="G120" s="9"/>
      <c r="H120" s="9"/>
      <c r="I120" s="9"/>
      <c r="J120" s="9"/>
      <c r="K120" s="9"/>
      <c r="L120" s="9">
        <f t="shared" ref="L120:AJ120" si="208">(+L119+L116)/2</f>
        <v>16.5</v>
      </c>
      <c r="M120" s="9">
        <f t="shared" si="208"/>
        <v>61</v>
      </c>
      <c r="N120" s="9">
        <f t="shared" si="208"/>
        <v>108</v>
      </c>
      <c r="O120" s="9">
        <f t="shared" si="208"/>
        <v>157.5</v>
      </c>
      <c r="P120" s="9">
        <f t="shared" si="208"/>
        <v>256</v>
      </c>
      <c r="Q120" s="9">
        <f t="shared" si="208"/>
        <v>408</v>
      </c>
      <c r="R120" s="9">
        <f t="shared" si="208"/>
        <v>624</v>
      </c>
      <c r="S120" s="9">
        <f t="shared" si="208"/>
        <v>835.5</v>
      </c>
      <c r="T120" s="9">
        <f t="shared" si="208"/>
        <v>991</v>
      </c>
      <c r="U120" s="9">
        <f t="shared" si="208"/>
        <v>1137.5</v>
      </c>
      <c r="V120" s="9">
        <f t="shared" si="208"/>
        <v>1323</v>
      </c>
      <c r="W120" s="9">
        <f t="shared" si="208"/>
        <v>1523.5</v>
      </c>
      <c r="X120" s="9">
        <f t="shared" si="208"/>
        <v>1627</v>
      </c>
      <c r="Y120" s="9">
        <f t="shared" si="208"/>
        <v>1621.5</v>
      </c>
      <c r="Z120" s="9">
        <f t="shared" si="208"/>
        <v>1586.5</v>
      </c>
      <c r="AA120" s="9">
        <f t="shared" si="208"/>
        <v>1562</v>
      </c>
      <c r="AB120" s="9">
        <f t="shared" si="208"/>
        <v>1550.5</v>
      </c>
      <c r="AC120" s="9">
        <f t="shared" si="208"/>
        <v>1569</v>
      </c>
      <c r="AD120" s="9">
        <f t="shared" si="208"/>
        <v>1618</v>
      </c>
      <c r="AE120" s="9">
        <f t="shared" si="208"/>
        <v>1651</v>
      </c>
      <c r="AF120" s="9">
        <f t="shared" si="208"/>
        <v>1661.5</v>
      </c>
      <c r="AG120" s="9">
        <f t="shared" si="208"/>
        <v>1660.5</v>
      </c>
      <c r="AH120" s="9">
        <f t="shared" si="208"/>
        <v>1649</v>
      </c>
      <c r="AI120" s="9">
        <f t="shared" si="208"/>
        <v>1640</v>
      </c>
      <c r="AJ120" s="9">
        <f t="shared" si="208"/>
        <v>1642</v>
      </c>
      <c r="AK120" s="9">
        <f t="shared" ref="AK120:AP120" si="209">(+AK119+AK116)/2</f>
        <v>1659</v>
      </c>
      <c r="AL120" s="9">
        <f t="shared" si="209"/>
        <v>1682.5</v>
      </c>
      <c r="AM120" s="9">
        <f t="shared" si="209"/>
        <v>1693.5</v>
      </c>
      <c r="AN120" s="9">
        <f t="shared" si="209"/>
        <v>1709</v>
      </c>
      <c r="AO120" s="9">
        <f t="shared" si="209"/>
        <v>1724</v>
      </c>
      <c r="AP120" s="9">
        <f t="shared" si="209"/>
        <v>1724</v>
      </c>
      <c r="AQ120" s="9">
        <f>(+AQ119+AQ116)/2</f>
        <v>1719</v>
      </c>
      <c r="AR120" s="9">
        <f>(+AR119+AR116)/2</f>
        <v>1709</v>
      </c>
      <c r="AS120" s="104"/>
      <c r="AT120" s="56"/>
      <c r="AU120" s="98"/>
      <c r="AV120" s="56"/>
      <c r="AW120" s="104"/>
      <c r="AX120" s="494"/>
      <c r="AY120" s="2"/>
      <c r="AZ120" s="2"/>
      <c r="BA120" s="2"/>
      <c r="BB120" s="2"/>
      <c r="BC120" s="2"/>
      <c r="BD120" s="2"/>
      <c r="BE120" s="2"/>
      <c r="BF120" s="2"/>
      <c r="BG120" s="2"/>
      <c r="BH120" s="2"/>
      <c r="BI120" s="2"/>
      <c r="BJ120" s="2"/>
      <c r="BK120" s="2"/>
      <c r="BL120" s="2"/>
      <c r="BM120" s="2"/>
      <c r="BN120" s="2"/>
      <c r="BO120" s="2"/>
      <c r="BP120" s="2"/>
      <c r="BQ120" s="2"/>
      <c r="BR120" s="2"/>
      <c r="BS120" s="2"/>
    </row>
    <row r="121" spans="1:71">
      <c r="A121" s="213" t="s">
        <v>820</v>
      </c>
      <c r="B121" s="8"/>
      <c r="C121" s="8"/>
      <c r="D121" s="8"/>
      <c r="E121" s="8"/>
      <c r="F121" s="8"/>
      <c r="G121" s="8"/>
      <c r="H121" s="8"/>
      <c r="I121" s="8"/>
      <c r="J121" s="8"/>
      <c r="K121" s="8"/>
      <c r="L121" s="8"/>
      <c r="M121" s="8">
        <f t="shared" ref="M121:AK121" si="210">(M120/L120-1)</f>
        <v>2.6969696969696968</v>
      </c>
      <c r="N121" s="8">
        <f t="shared" si="210"/>
        <v>0.77049180327868849</v>
      </c>
      <c r="O121" s="8">
        <f t="shared" si="210"/>
        <v>0.45833333333333326</v>
      </c>
      <c r="P121" s="8">
        <f t="shared" si="210"/>
        <v>0.6253968253968254</v>
      </c>
      <c r="Q121" s="8">
        <f t="shared" si="210"/>
        <v>0.59375</v>
      </c>
      <c r="R121" s="8">
        <f t="shared" si="210"/>
        <v>0.52941176470588225</v>
      </c>
      <c r="S121" s="8">
        <f t="shared" si="210"/>
        <v>0.33894230769230771</v>
      </c>
      <c r="T121" s="8">
        <f t="shared" si="210"/>
        <v>0.18611609814482355</v>
      </c>
      <c r="U121" s="8">
        <f t="shared" si="210"/>
        <v>0.14783047426841578</v>
      </c>
      <c r="V121" s="8">
        <f t="shared" si="210"/>
        <v>0.16307692307692312</v>
      </c>
      <c r="W121" s="8">
        <f t="shared" si="210"/>
        <v>0.15154950869236594</v>
      </c>
      <c r="X121" s="13">
        <f t="shared" si="210"/>
        <v>6.7935674433869275E-2</v>
      </c>
      <c r="Y121" s="13">
        <f t="shared" si="210"/>
        <v>-3.3804548248309585E-3</v>
      </c>
      <c r="Z121" s="13">
        <f t="shared" si="210"/>
        <v>-2.1584952204748653E-2</v>
      </c>
      <c r="AA121" s="13">
        <f t="shared" si="210"/>
        <v>-1.5442798613299669E-2</v>
      </c>
      <c r="AB121" s="13">
        <f t="shared" si="210"/>
        <v>-7.3623559539052197E-3</v>
      </c>
      <c r="AC121" s="13">
        <f t="shared" si="210"/>
        <v>1.1931634956465764E-2</v>
      </c>
      <c r="AD121" s="13">
        <f t="shared" si="210"/>
        <v>3.1230082855321806E-2</v>
      </c>
      <c r="AE121" s="13">
        <f t="shared" si="210"/>
        <v>2.0395550061804713E-2</v>
      </c>
      <c r="AF121" s="13">
        <f t="shared" si="210"/>
        <v>6.3597819503331543E-3</v>
      </c>
      <c r="AG121" s="13">
        <f t="shared" si="210"/>
        <v>-6.0186578393017776E-4</v>
      </c>
      <c r="AH121" s="13">
        <f t="shared" si="210"/>
        <v>-6.9256248118036989E-3</v>
      </c>
      <c r="AI121" s="13">
        <f t="shared" si="210"/>
        <v>-5.4578532443905203E-3</v>
      </c>
      <c r="AJ121" s="13">
        <f t="shared" si="210"/>
        <v>1.2195121951219523E-3</v>
      </c>
      <c r="AK121" s="13">
        <f t="shared" si="210"/>
        <v>1.0353227771010998E-2</v>
      </c>
      <c r="AL121" s="13">
        <f t="shared" ref="AL121:AR121" si="211">(AL120/AK120-1)</f>
        <v>1.4165159734780053E-2</v>
      </c>
      <c r="AM121" s="13">
        <f t="shared" si="211"/>
        <v>6.5378900445764998E-3</v>
      </c>
      <c r="AN121" s="13">
        <f t="shared" si="211"/>
        <v>9.1526424564511988E-3</v>
      </c>
      <c r="AO121" s="13">
        <f t="shared" si="211"/>
        <v>8.7770626097132265E-3</v>
      </c>
      <c r="AP121" s="13">
        <f t="shared" si="211"/>
        <v>0</v>
      </c>
      <c r="AQ121" s="13">
        <f t="shared" si="211"/>
        <v>-2.9002320185614883E-3</v>
      </c>
      <c r="AR121" s="13">
        <f t="shared" si="211"/>
        <v>-5.8173356602676529E-3</v>
      </c>
      <c r="AS121" s="100"/>
      <c r="AT121" s="56"/>
      <c r="AU121" s="57"/>
      <c r="AV121" s="56"/>
      <c r="AW121" s="100"/>
      <c r="AX121" s="2"/>
      <c r="AY121" s="2"/>
      <c r="AZ121" s="2"/>
      <c r="BA121" s="2"/>
      <c r="BB121" s="2"/>
      <c r="BC121" s="2"/>
      <c r="BD121" s="2"/>
      <c r="BE121" s="2"/>
      <c r="BF121" s="2">
        <f>1.54*0.94*0.92</f>
        <v>1.3317920000000001</v>
      </c>
      <c r="BG121" s="2"/>
      <c r="BH121" s="2"/>
      <c r="BI121" s="2"/>
      <c r="BJ121" s="2"/>
      <c r="BK121" s="2"/>
      <c r="BL121" s="2"/>
      <c r="BM121" s="2"/>
      <c r="BN121" s="2"/>
      <c r="BO121" s="2"/>
      <c r="BP121" s="2"/>
      <c r="BQ121" s="2"/>
      <c r="BR121" s="2"/>
      <c r="BS121" s="2"/>
    </row>
    <row r="122" spans="1:71">
      <c r="A122" s="2"/>
      <c r="B122" s="2"/>
      <c r="C122" s="2"/>
      <c r="D122" s="2"/>
      <c r="E122" s="2"/>
      <c r="F122" s="2"/>
      <c r="G122" s="2"/>
      <c r="H122" s="2"/>
      <c r="I122" s="2"/>
      <c r="J122" s="2"/>
      <c r="K122" s="2"/>
      <c r="L122" s="2"/>
      <c r="M122" s="2"/>
      <c r="N122" s="2"/>
      <c r="O122" s="2"/>
      <c r="P122" s="2"/>
      <c r="Q122" s="2"/>
      <c r="R122" s="8"/>
      <c r="S122" s="8"/>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100"/>
      <c r="AT122" s="56"/>
      <c r="AU122" s="57"/>
      <c r="AV122" s="56"/>
      <c r="AW122" s="100"/>
      <c r="AX122" s="2"/>
      <c r="AY122" s="500" t="s">
        <v>1117</v>
      </c>
      <c r="AZ122" s="500"/>
      <c r="BA122" s="2"/>
      <c r="BB122" s="2"/>
      <c r="BC122" s="2"/>
      <c r="BD122" s="2"/>
      <c r="BE122" s="2"/>
      <c r="BF122" s="2"/>
      <c r="BG122" s="2"/>
      <c r="BH122" s="2"/>
      <c r="BI122" s="2"/>
      <c r="BJ122" s="2"/>
      <c r="BK122" s="2"/>
      <c r="BL122" s="2"/>
      <c r="BM122" s="2"/>
      <c r="BN122" s="2"/>
      <c r="BO122" s="2"/>
      <c r="BP122" s="2"/>
      <c r="BQ122" s="2"/>
      <c r="BR122" s="2"/>
      <c r="BS122" s="2"/>
    </row>
    <row r="123" spans="1:71">
      <c r="A123" s="213" t="s">
        <v>888</v>
      </c>
      <c r="B123" s="12"/>
      <c r="C123" s="12"/>
      <c r="D123" s="12"/>
      <c r="E123" s="12"/>
      <c r="F123" s="12"/>
      <c r="G123" s="12"/>
      <c r="H123" s="12"/>
      <c r="I123" s="12"/>
      <c r="J123" s="12"/>
      <c r="K123" s="12"/>
      <c r="L123" s="12"/>
      <c r="M123" s="12"/>
      <c r="N123" s="12">
        <f t="shared" ref="N123:AC123" si="212">(N113)/N120</f>
        <v>0.52777777777777779</v>
      </c>
      <c r="O123" s="12">
        <f t="shared" si="212"/>
        <v>0.71111111111111114</v>
      </c>
      <c r="P123" s="12">
        <f t="shared" si="212"/>
        <v>1.015625</v>
      </c>
      <c r="Q123" s="12">
        <f t="shared" si="212"/>
        <v>1.1642156862745099</v>
      </c>
      <c r="R123" s="12">
        <f t="shared" si="212"/>
        <v>1.2067307692307692</v>
      </c>
      <c r="S123" s="12">
        <f t="shared" si="212"/>
        <v>1.2651107121484142</v>
      </c>
      <c r="T123" s="12">
        <f t="shared" si="212"/>
        <v>1.2835519677093845</v>
      </c>
      <c r="U123" s="12">
        <f t="shared" si="212"/>
        <v>1.3450997802197802</v>
      </c>
      <c r="V123" s="12">
        <f t="shared" si="212"/>
        <v>1.3488926681783824</v>
      </c>
      <c r="W123" s="12">
        <f t="shared" si="212"/>
        <v>1.1464194289465046</v>
      </c>
      <c r="X123" s="12">
        <f t="shared" si="212"/>
        <v>1.0946527350952673</v>
      </c>
      <c r="Y123" s="12">
        <f t="shared" si="212"/>
        <v>1.1930132593277829</v>
      </c>
      <c r="Z123" s="12">
        <f t="shared" si="212"/>
        <v>1.3669360226914593</v>
      </c>
      <c r="AA123" s="12">
        <f t="shared" si="212"/>
        <v>1.4627093469910371</v>
      </c>
      <c r="AB123" s="12">
        <f t="shared" si="212"/>
        <v>1.648116736536601</v>
      </c>
      <c r="AC123" s="12">
        <f t="shared" si="212"/>
        <v>1.5895895474824731</v>
      </c>
      <c r="AD123" s="12">
        <f t="shared" ref="AD123:AI123" si="213">(AD113)/AD120</f>
        <v>1.4670030902348579</v>
      </c>
      <c r="AE123" s="12">
        <f t="shared" si="213"/>
        <v>1.4431150817686251</v>
      </c>
      <c r="AF123" s="12">
        <f t="shared" si="213"/>
        <v>1.5138284682515797</v>
      </c>
      <c r="AG123" s="12">
        <f t="shared" si="213"/>
        <v>1.610564287865101</v>
      </c>
      <c r="AH123" s="12">
        <f t="shared" si="213"/>
        <v>1.8644263189812009</v>
      </c>
      <c r="AI123" s="12">
        <f t="shared" si="213"/>
        <v>1.9011365853658535</v>
      </c>
      <c r="AJ123" s="12">
        <f t="shared" ref="AJ123:AO123" si="214">(AJ113)/AJ120</f>
        <v>2.039956760048721</v>
      </c>
      <c r="AK123" s="12">
        <f>(AK113)/AK120</f>
        <v>2.16188125376733</v>
      </c>
      <c r="AL123" s="12">
        <f>(AL113)/AL120</f>
        <v>2.2892814264487367</v>
      </c>
      <c r="AM123" s="12">
        <f t="shared" si="214"/>
        <v>2.4492636551520515</v>
      </c>
      <c r="AN123" s="12">
        <f t="shared" si="214"/>
        <v>2.4992410433477508</v>
      </c>
      <c r="AO123" s="12">
        <f t="shared" si="214"/>
        <v>2.6324266763095743</v>
      </c>
      <c r="AP123" s="12">
        <f>(AP113)/AP120</f>
        <v>2.7589387336786473</v>
      </c>
      <c r="AQ123" s="12">
        <f>(AQ113)/AQ120</f>
        <v>2.8957748945595356</v>
      </c>
      <c r="AR123" s="12">
        <f>(AR113)/AR120</f>
        <v>3.0461711589469114</v>
      </c>
      <c r="AS123" s="100"/>
      <c r="AT123" s="56"/>
      <c r="AU123" s="57"/>
      <c r="AV123" s="56"/>
      <c r="AW123" s="100"/>
      <c r="AX123" s="2"/>
      <c r="AY123" s="2" t="s">
        <v>1121</v>
      </c>
      <c r="AZ123" s="499">
        <v>2200</v>
      </c>
      <c r="BA123" s="499">
        <v>2200</v>
      </c>
      <c r="BB123" s="503">
        <f t="shared" ref="BB123:BD127" si="215">+BA123</f>
        <v>2200</v>
      </c>
      <c r="BC123" s="503">
        <f t="shared" si="215"/>
        <v>2200</v>
      </c>
      <c r="BD123" s="503">
        <f t="shared" si="215"/>
        <v>2200</v>
      </c>
      <c r="BE123" s="503">
        <f t="shared" ref="BE123:BF126" si="216">+BD123</f>
        <v>2200</v>
      </c>
      <c r="BF123" s="499">
        <v>2300</v>
      </c>
      <c r="BG123" s="503">
        <f t="shared" ref="BG123:BL123" si="217">+BF123</f>
        <v>2300</v>
      </c>
      <c r="BH123" s="503">
        <f t="shared" si="217"/>
        <v>2300</v>
      </c>
      <c r="BI123" s="503">
        <f t="shared" si="217"/>
        <v>2300</v>
      </c>
      <c r="BJ123" s="503">
        <f t="shared" si="217"/>
        <v>2300</v>
      </c>
      <c r="BK123" s="503">
        <f t="shared" si="217"/>
        <v>2300</v>
      </c>
      <c r="BL123" s="503">
        <f t="shared" si="217"/>
        <v>2300</v>
      </c>
      <c r="BM123" s="503">
        <f t="shared" ref="BM123:BS123" si="218">+BL123</f>
        <v>2300</v>
      </c>
      <c r="BN123" s="503">
        <f t="shared" si="218"/>
        <v>2300</v>
      </c>
      <c r="BO123" s="503">
        <f t="shared" si="218"/>
        <v>2300</v>
      </c>
      <c r="BP123" s="503">
        <f t="shared" si="218"/>
        <v>2300</v>
      </c>
      <c r="BQ123" s="503">
        <f t="shared" si="218"/>
        <v>2300</v>
      </c>
      <c r="BR123" s="503">
        <f t="shared" si="218"/>
        <v>2300</v>
      </c>
      <c r="BS123" s="503">
        <f t="shared" si="218"/>
        <v>2300</v>
      </c>
    </row>
    <row r="124" spans="1:71">
      <c r="A124" s="213" t="s">
        <v>1085</v>
      </c>
      <c r="B124" s="13"/>
      <c r="C124" s="13"/>
      <c r="D124" s="13"/>
      <c r="E124" s="13"/>
      <c r="F124" s="13"/>
      <c r="G124" s="13"/>
      <c r="H124" s="13"/>
      <c r="I124" s="13"/>
      <c r="J124" s="13"/>
      <c r="K124" s="13"/>
      <c r="L124" s="13"/>
      <c r="M124" s="13"/>
      <c r="N124" s="13"/>
      <c r="O124" s="13">
        <f t="shared" ref="O124:AK124" si="219">O123/N123-1</f>
        <v>0.34736842105263155</v>
      </c>
      <c r="P124" s="13">
        <f t="shared" si="219"/>
        <v>0.42822265625</v>
      </c>
      <c r="Q124" s="13">
        <f t="shared" si="219"/>
        <v>0.14630467571644057</v>
      </c>
      <c r="R124" s="13">
        <f t="shared" si="219"/>
        <v>3.6518218623481591E-2</v>
      </c>
      <c r="S124" s="13">
        <f t="shared" si="219"/>
        <v>4.8378598115020655E-2</v>
      </c>
      <c r="T124" s="13">
        <f t="shared" si="219"/>
        <v>1.4576791883813334E-2</v>
      </c>
      <c r="U124" s="13">
        <f t="shared" si="219"/>
        <v>4.795116524984433E-2</v>
      </c>
      <c r="V124" s="13">
        <f t="shared" si="219"/>
        <v>2.8197818588464596E-3</v>
      </c>
      <c r="W124" s="13">
        <f t="shared" si="219"/>
        <v>-0.15010329880827999</v>
      </c>
      <c r="X124" s="13">
        <f t="shared" si="219"/>
        <v>-4.5155108631409036E-2</v>
      </c>
      <c r="Y124" s="13">
        <f t="shared" si="219"/>
        <v>8.9855459251152681E-2</v>
      </c>
      <c r="Z124" s="13">
        <f t="shared" si="219"/>
        <v>0.14578443450131906</v>
      </c>
      <c r="AA124" s="13">
        <f t="shared" si="219"/>
        <v>7.0064233226514006E-2</v>
      </c>
      <c r="AB124" s="13">
        <f t="shared" si="219"/>
        <v>0.12675613916528827</v>
      </c>
      <c r="AC124" s="13">
        <f t="shared" si="219"/>
        <v>-3.5511555557113383E-2</v>
      </c>
      <c r="AD124" s="13">
        <f t="shared" si="219"/>
        <v>-7.711830858586266E-2</v>
      </c>
      <c r="AE124" s="13">
        <f t="shared" si="219"/>
        <v>-1.6283543385316568E-2</v>
      </c>
      <c r="AF124" s="13">
        <f t="shared" si="219"/>
        <v>4.9000517960280154E-2</v>
      </c>
      <c r="AG124" s="13">
        <f t="shared" si="219"/>
        <v>6.3901440382639896E-2</v>
      </c>
      <c r="AH124" s="13">
        <f t="shared" si="219"/>
        <v>0.15762303500011732</v>
      </c>
      <c r="AI124" s="13">
        <f t="shared" si="219"/>
        <v>1.9689845616807533E-2</v>
      </c>
      <c r="AJ124" s="13">
        <f t="shared" si="219"/>
        <v>7.3019569320503575E-2</v>
      </c>
      <c r="AK124" s="13">
        <f t="shared" si="219"/>
        <v>5.9768175535101609E-2</v>
      </c>
      <c r="AL124" s="13">
        <f t="shared" ref="AL124:AR124" si="220">AL123/AK123-1</f>
        <v>5.8930236089238086E-2</v>
      </c>
      <c r="AM124" s="13">
        <f t="shared" si="220"/>
        <v>6.9883163710233953E-2</v>
      </c>
      <c r="AN124" s="13">
        <f t="shared" si="220"/>
        <v>2.0405066678130579E-2</v>
      </c>
      <c r="AO124" s="13">
        <f t="shared" si="220"/>
        <v>5.3290431235644364E-2</v>
      </c>
      <c r="AP124" s="13">
        <f t="shared" si="220"/>
        <v>4.8059100186004677E-2</v>
      </c>
      <c r="AQ124" s="13">
        <f t="shared" si="220"/>
        <v>4.9597390188667489E-2</v>
      </c>
      <c r="AR124" s="13">
        <f t="shared" si="220"/>
        <v>5.1936448744663855E-2</v>
      </c>
      <c r="AS124" s="100"/>
      <c r="AT124" s="56"/>
      <c r="AU124" s="57"/>
      <c r="AV124" s="56"/>
      <c r="AW124" s="100"/>
      <c r="AX124" s="2"/>
      <c r="AY124" s="2" t="s">
        <v>393</v>
      </c>
      <c r="AZ124" s="495">
        <v>1.2</v>
      </c>
      <c r="BA124" s="495">
        <v>1</v>
      </c>
      <c r="BB124" s="12">
        <f t="shared" si="215"/>
        <v>1</v>
      </c>
      <c r="BC124" s="12">
        <f t="shared" si="215"/>
        <v>1</v>
      </c>
      <c r="BD124" s="12">
        <f t="shared" si="215"/>
        <v>1</v>
      </c>
      <c r="BE124" s="495">
        <v>1</v>
      </c>
      <c r="BF124" s="495">
        <f>1.4</f>
        <v>1.4</v>
      </c>
      <c r="BG124" s="12">
        <v>1.4</v>
      </c>
      <c r="BH124" s="12">
        <f>BG124*1</f>
        <v>1.4</v>
      </c>
      <c r="BI124" s="12">
        <f>BH124*1</f>
        <v>1.4</v>
      </c>
      <c r="BJ124" s="12">
        <f>BI124*1</f>
        <v>1.4</v>
      </c>
      <c r="BK124" s="12">
        <f>BJ124*1</f>
        <v>1.4</v>
      </c>
      <c r="BL124" s="2364">
        <f t="shared" ref="BL124:BP125" si="221">BK124*1.02</f>
        <v>1.4279999999999999</v>
      </c>
      <c r="BM124" s="2364">
        <f t="shared" si="221"/>
        <v>1.4565599999999999</v>
      </c>
      <c r="BN124" s="2364">
        <f t="shared" si="221"/>
        <v>1.4856911999999998</v>
      </c>
      <c r="BO124" s="2364">
        <f>AL123</f>
        <v>2.2892814264487367</v>
      </c>
      <c r="BP124" s="2364">
        <f t="shared" si="221"/>
        <v>2.3350670549777113</v>
      </c>
      <c r="BQ124" s="2364">
        <f>BP124*1</f>
        <v>2.3350670549777113</v>
      </c>
      <c r="BR124" s="2364">
        <f t="shared" ref="BR124:BS124" si="222">BQ124*1</f>
        <v>2.3350670549777113</v>
      </c>
      <c r="BS124" s="2364">
        <f t="shared" si="222"/>
        <v>2.3350670549777113</v>
      </c>
    </row>
    <row r="125" spans="1:7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100"/>
      <c r="AT125" s="56"/>
      <c r="AU125" s="57"/>
      <c r="AV125" s="56"/>
      <c r="AW125" s="100"/>
      <c r="AX125" s="2"/>
      <c r="AY125" s="2" t="s">
        <v>394</v>
      </c>
      <c r="AZ125" s="495">
        <v>0.65</v>
      </c>
      <c r="BA125" s="495">
        <v>0.7</v>
      </c>
      <c r="BB125" s="12">
        <f t="shared" si="215"/>
        <v>0.7</v>
      </c>
      <c r="BC125" s="12">
        <f t="shared" si="215"/>
        <v>0.7</v>
      </c>
      <c r="BD125" s="12">
        <f t="shared" si="215"/>
        <v>0.7</v>
      </c>
      <c r="BE125" s="12">
        <f t="shared" si="216"/>
        <v>0.7</v>
      </c>
      <c r="BF125" s="495">
        <f>1.4*0.85</f>
        <v>1.19</v>
      </c>
      <c r="BG125" s="12">
        <f>BF125*1</f>
        <v>1.19</v>
      </c>
      <c r="BH125" s="12">
        <f>BG125</f>
        <v>1.19</v>
      </c>
      <c r="BI125" s="12">
        <f>BH125*1</f>
        <v>1.19</v>
      </c>
      <c r="BJ125" s="12">
        <f>BI125*1</f>
        <v>1.19</v>
      </c>
      <c r="BK125" s="12">
        <f>BJ125*1</f>
        <v>1.19</v>
      </c>
      <c r="BL125" s="2364">
        <f>BK125*1.02</f>
        <v>1.2138</v>
      </c>
      <c r="BM125" s="2364">
        <f t="shared" si="221"/>
        <v>1.238076</v>
      </c>
      <c r="BN125" s="2364">
        <f>BM125*1.03</f>
        <v>1.27521828</v>
      </c>
      <c r="BO125" s="2364">
        <f t="shared" si="221"/>
        <v>1.3007226456000001</v>
      </c>
      <c r="BP125" s="2364">
        <f>+BO125</f>
        <v>1.3007226456000001</v>
      </c>
      <c r="BQ125" s="2364">
        <f t="shared" ref="BQ125:BS125" si="223">+BP125</f>
        <v>1.3007226456000001</v>
      </c>
      <c r="BR125" s="2364">
        <f t="shared" si="223"/>
        <v>1.3007226456000001</v>
      </c>
      <c r="BS125" s="2364">
        <f t="shared" si="223"/>
        <v>1.3007226456000001</v>
      </c>
    </row>
    <row r="126" spans="1:71">
      <c r="A126" s="213" t="s">
        <v>377</v>
      </c>
      <c r="B126" s="188"/>
      <c r="C126" s="188"/>
      <c r="D126" s="188"/>
      <c r="E126" s="188"/>
      <c r="F126" s="188"/>
      <c r="G126" s="188"/>
      <c r="H126" s="188"/>
      <c r="I126" s="188"/>
      <c r="J126" s="188"/>
      <c r="K126" s="188"/>
      <c r="L126" s="188"/>
      <c r="M126" s="11">
        <f t="shared" ref="M126:AK126" si="224">+(L129+M129)/2</f>
        <v>6.1499999999999999E-2</v>
      </c>
      <c r="N126" s="11">
        <f t="shared" si="224"/>
        <v>0.11550000000000001</v>
      </c>
      <c r="O126" s="11">
        <f t="shared" si="224"/>
        <v>0.19</v>
      </c>
      <c r="P126" s="11">
        <f t="shared" si="224"/>
        <v>0.36849999999999999</v>
      </c>
      <c r="Q126" s="11">
        <f t="shared" si="224"/>
        <v>0.66849999999999998</v>
      </c>
      <c r="R126" s="11">
        <f t="shared" si="224"/>
        <v>1.101</v>
      </c>
      <c r="S126" s="11">
        <f t="shared" si="224"/>
        <v>1.5634999999999999</v>
      </c>
      <c r="T126" s="11">
        <f t="shared" si="224"/>
        <v>1.9325000000000001</v>
      </c>
      <c r="U126" s="11">
        <f t="shared" si="224"/>
        <v>2.2910000000000004</v>
      </c>
      <c r="V126" s="11">
        <f t="shared" si="224"/>
        <v>2.7645</v>
      </c>
      <c r="W126" s="11">
        <f t="shared" si="224"/>
        <v>3.2510000000000003</v>
      </c>
      <c r="X126" s="11">
        <f t="shared" si="224"/>
        <v>3.5155000000000003</v>
      </c>
      <c r="Y126" s="11">
        <f t="shared" si="224"/>
        <v>3.5549999999999997</v>
      </c>
      <c r="Z126" s="11">
        <f t="shared" si="224"/>
        <v>3.5489999999999999</v>
      </c>
      <c r="AA126" s="11">
        <f t="shared" si="224"/>
        <v>3.5629999999999997</v>
      </c>
      <c r="AB126" s="11">
        <f t="shared" si="224"/>
        <v>3.5869999999999997</v>
      </c>
      <c r="AC126" s="11">
        <f t="shared" si="224"/>
        <v>3.6885000000000003</v>
      </c>
      <c r="AD126" s="11">
        <f t="shared" si="224"/>
        <v>3.8410000000000002</v>
      </c>
      <c r="AE126" s="11">
        <f t="shared" si="224"/>
        <v>3.9215</v>
      </c>
      <c r="AF126" s="11">
        <f t="shared" si="224"/>
        <v>3.9429999999999996</v>
      </c>
      <c r="AG126" s="11">
        <f t="shared" si="224"/>
        <v>3.9470000000000001</v>
      </c>
      <c r="AH126" s="11">
        <f t="shared" si="224"/>
        <v>3.9169999999999998</v>
      </c>
      <c r="AI126" s="11">
        <f t="shared" si="224"/>
        <v>3.8850000000000002</v>
      </c>
      <c r="AJ126" s="11">
        <f>+(AI129+AJ129)/2</f>
        <v>3.8849999999999998</v>
      </c>
      <c r="AK126" s="11">
        <f t="shared" si="224"/>
        <v>3.9415</v>
      </c>
      <c r="AL126" s="11">
        <f t="shared" ref="AL126:AR126" si="225">+(AK129+AL129)/2</f>
        <v>4.0780000000000003</v>
      </c>
      <c r="AM126" s="11">
        <f t="shared" si="225"/>
        <v>4.2255000000000003</v>
      </c>
      <c r="AN126" s="11">
        <f t="shared" si="225"/>
        <v>4.3986360153256703</v>
      </c>
      <c r="AO126" s="11">
        <f t="shared" si="225"/>
        <v>4.5602720306513413</v>
      </c>
      <c r="AP126" s="11">
        <f t="shared" si="225"/>
        <v>4.6582720306513421</v>
      </c>
      <c r="AQ126" s="11">
        <f t="shared" si="225"/>
        <v>4.7312720306513425</v>
      </c>
      <c r="AR126" s="11">
        <f t="shared" si="225"/>
        <v>4.7792720306513425</v>
      </c>
      <c r="AS126" s="100"/>
      <c r="AT126" s="56">
        <f>((AK126/AF126)^(1/5)-1)*100</f>
        <v>-7.609578010203677E-3</v>
      </c>
      <c r="AU126" s="97" t="s">
        <v>1084</v>
      </c>
      <c r="AV126" s="56">
        <f>((AP126/AK126)^(1/5)-1)*100</f>
        <v>3.3981249313913553</v>
      </c>
      <c r="AW126" s="100" t="s">
        <v>1084</v>
      </c>
      <c r="AX126" s="2"/>
      <c r="AY126" s="2" t="s">
        <v>790</v>
      </c>
      <c r="AZ126" s="12">
        <f>+W135*(1+AZ133)*((AZ123+AZ132)/1000000)</f>
        <v>1.625737525577414</v>
      </c>
      <c r="BA126" s="12">
        <f>+X135*(1+BA133)*((BA123+BA132)/1000000)</f>
        <v>1.8440733892760632</v>
      </c>
      <c r="BB126" s="12">
        <f t="shared" si="215"/>
        <v>1.8440733892760632</v>
      </c>
      <c r="BC126" s="12">
        <f t="shared" si="215"/>
        <v>1.8440733892760632</v>
      </c>
      <c r="BD126" s="12">
        <f t="shared" si="215"/>
        <v>1.8440733892760632</v>
      </c>
      <c r="BE126" s="12">
        <f t="shared" si="216"/>
        <v>1.8440733892760632</v>
      </c>
      <c r="BF126" s="12">
        <f t="shared" si="216"/>
        <v>1.8440733892760632</v>
      </c>
      <c r="BG126" s="12">
        <f>+BF126*0.95</f>
        <v>1.7518697198122599</v>
      </c>
      <c r="BH126" s="12">
        <f>+BG126</f>
        <v>1.7518697198122599</v>
      </c>
      <c r="BI126" s="12">
        <f>+BH126*1</f>
        <v>1.7518697198122599</v>
      </c>
      <c r="BJ126" s="12">
        <f>+BI126</f>
        <v>1.7518697198122599</v>
      </c>
      <c r="BK126" s="12">
        <f>+BJ126</f>
        <v>1.7518697198122599</v>
      </c>
      <c r="BL126" s="12">
        <f t="shared" ref="BL126:BS126" si="226">+BK126*1.01</f>
        <v>1.7693884170103826</v>
      </c>
      <c r="BM126" s="12">
        <f t="shared" si="226"/>
        <v>1.7870823011804864</v>
      </c>
      <c r="BN126" s="12">
        <f t="shared" si="226"/>
        <v>1.8049531241922914</v>
      </c>
      <c r="BO126" s="12">
        <f t="shared" si="226"/>
        <v>1.8230026554342142</v>
      </c>
      <c r="BP126" s="12">
        <f t="shared" si="226"/>
        <v>1.8412326819885565</v>
      </c>
      <c r="BQ126" s="12">
        <f t="shared" si="226"/>
        <v>1.859645008808442</v>
      </c>
      <c r="BR126" s="12">
        <f t="shared" si="226"/>
        <v>1.8782414588965264</v>
      </c>
      <c r="BS126" s="12">
        <f t="shared" si="226"/>
        <v>1.8970238734854916</v>
      </c>
    </row>
    <row r="127" spans="1:71">
      <c r="A127" s="213" t="s">
        <v>1085</v>
      </c>
      <c r="B127" s="8"/>
      <c r="C127" s="8"/>
      <c r="D127" s="8"/>
      <c r="E127" s="8"/>
      <c r="F127" s="8"/>
      <c r="G127" s="8"/>
      <c r="H127" s="8"/>
      <c r="I127" s="8"/>
      <c r="J127" s="8"/>
      <c r="K127" s="8"/>
      <c r="L127" s="8"/>
      <c r="M127" s="8"/>
      <c r="N127" s="8">
        <f t="shared" ref="N127:AK127" si="227">N126/M126-1</f>
        <v>0.87804878048780499</v>
      </c>
      <c r="O127" s="8">
        <f t="shared" si="227"/>
        <v>0.64502164502164505</v>
      </c>
      <c r="P127" s="8">
        <f t="shared" si="227"/>
        <v>0.93947368421052624</v>
      </c>
      <c r="Q127" s="8">
        <f t="shared" si="227"/>
        <v>0.81411126187245597</v>
      </c>
      <c r="R127" s="8">
        <f t="shared" si="227"/>
        <v>0.64697083021690349</v>
      </c>
      <c r="S127" s="8">
        <f t="shared" si="227"/>
        <v>0.42007266121707532</v>
      </c>
      <c r="T127" s="8">
        <f t="shared" si="227"/>
        <v>0.23600895426926782</v>
      </c>
      <c r="U127" s="8">
        <f t="shared" si="227"/>
        <v>0.18551099611901689</v>
      </c>
      <c r="V127" s="8">
        <f t="shared" si="227"/>
        <v>0.20667830641641194</v>
      </c>
      <c r="W127" s="8">
        <f t="shared" si="227"/>
        <v>0.17598119008862367</v>
      </c>
      <c r="X127" s="8">
        <f t="shared" si="227"/>
        <v>8.135958166717927E-2</v>
      </c>
      <c r="Y127" s="8">
        <f t="shared" si="227"/>
        <v>1.1235955056179581E-2</v>
      </c>
      <c r="Z127" s="13">
        <f t="shared" si="227"/>
        <v>-1.6877637130801038E-3</v>
      </c>
      <c r="AA127" s="13">
        <f t="shared" si="227"/>
        <v>3.9447731755424265E-3</v>
      </c>
      <c r="AB127" s="13">
        <f t="shared" si="227"/>
        <v>6.7358967162503003E-3</v>
      </c>
      <c r="AC127" s="13">
        <f t="shared" si="227"/>
        <v>2.8296626707555284E-2</v>
      </c>
      <c r="AD127" s="13">
        <f t="shared" si="227"/>
        <v>4.1344720075911612E-2</v>
      </c>
      <c r="AE127" s="13">
        <f t="shared" si="227"/>
        <v>2.0958083832335328E-2</v>
      </c>
      <c r="AF127" s="13">
        <f t="shared" si="227"/>
        <v>5.4825959454289919E-3</v>
      </c>
      <c r="AG127" s="13">
        <f t="shared" si="227"/>
        <v>1.0144559979712309E-3</v>
      </c>
      <c r="AH127" s="13">
        <f t="shared" si="227"/>
        <v>-7.6007093995440478E-3</v>
      </c>
      <c r="AI127" s="13">
        <f t="shared" si="227"/>
        <v>-8.1695174878733123E-3</v>
      </c>
      <c r="AJ127" s="13">
        <f>AJ126/AI126-1</f>
        <v>0</v>
      </c>
      <c r="AK127" s="13">
        <f t="shared" si="227"/>
        <v>1.4543114543114521E-2</v>
      </c>
      <c r="AL127" s="13">
        <f t="shared" ref="AL127:AR127" si="228">AL126/AK126-1</f>
        <v>3.4631485475073109E-2</v>
      </c>
      <c r="AM127" s="13">
        <f t="shared" si="228"/>
        <v>3.6169691025012218E-2</v>
      </c>
      <c r="AN127" s="13">
        <f t="shared" si="228"/>
        <v>4.0974089533941438E-2</v>
      </c>
      <c r="AO127" s="13">
        <f t="shared" si="228"/>
        <v>3.6746849423889838E-2</v>
      </c>
      <c r="AP127" s="13">
        <f t="shared" si="228"/>
        <v>2.1489946069292554E-2</v>
      </c>
      <c r="AQ127" s="13">
        <f t="shared" si="228"/>
        <v>1.5671047014786055E-2</v>
      </c>
      <c r="AR127" s="13">
        <f t="shared" si="228"/>
        <v>1.0145263195401544E-2</v>
      </c>
      <c r="AS127" s="100"/>
      <c r="AT127" s="56"/>
      <c r="AU127" s="57"/>
      <c r="AV127" s="56"/>
      <c r="AW127" s="100"/>
      <c r="AX127" s="2"/>
      <c r="AY127" s="2" t="s">
        <v>791</v>
      </c>
      <c r="AZ127" s="495">
        <v>1.7949999999999999</v>
      </c>
      <c r="BA127" s="495">
        <v>1.5</v>
      </c>
      <c r="BB127" s="12">
        <f t="shared" si="215"/>
        <v>1.5</v>
      </c>
      <c r="BC127" s="12">
        <f t="shared" si="215"/>
        <v>1.5</v>
      </c>
      <c r="BD127" s="12">
        <f t="shared" si="215"/>
        <v>1.5</v>
      </c>
      <c r="BE127" s="495">
        <v>1.5</v>
      </c>
      <c r="BF127" s="495">
        <v>1.54</v>
      </c>
      <c r="BG127" s="12">
        <f>BF127</f>
        <v>1.54</v>
      </c>
      <c r="BH127" s="12">
        <f t="shared" ref="BH127:BN127" si="229">BG127*1</f>
        <v>1.54</v>
      </c>
      <c r="BI127" s="12">
        <f t="shared" si="229"/>
        <v>1.54</v>
      </c>
      <c r="BJ127" s="12">
        <f t="shared" si="229"/>
        <v>1.54</v>
      </c>
      <c r="BK127" s="12">
        <f t="shared" si="229"/>
        <v>1.54</v>
      </c>
      <c r="BL127" s="12">
        <f t="shared" si="229"/>
        <v>1.54</v>
      </c>
      <c r="BM127" s="12">
        <f t="shared" si="229"/>
        <v>1.54</v>
      </c>
      <c r="BN127" s="12">
        <f t="shared" si="229"/>
        <v>1.54</v>
      </c>
      <c r="BO127" s="12">
        <f>BN127*1</f>
        <v>1.54</v>
      </c>
      <c r="BP127" s="12">
        <f>BO127*1</f>
        <v>1.54</v>
      </c>
      <c r="BQ127" s="12">
        <f>BP127*1</f>
        <v>1.54</v>
      </c>
      <c r="BR127" s="12">
        <f>BQ127*1</f>
        <v>1.54</v>
      </c>
      <c r="BS127" s="12">
        <f>BR127*1</f>
        <v>1.54</v>
      </c>
    </row>
    <row r="128" spans="1:7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100"/>
      <c r="AT128" s="56"/>
      <c r="AU128" s="57"/>
      <c r="AV128" s="56"/>
      <c r="AW128" s="100"/>
      <c r="AX128" s="2"/>
      <c r="AY128" s="2"/>
      <c r="AZ128" s="2"/>
      <c r="BA128" s="2"/>
      <c r="BB128" s="2"/>
      <c r="BC128" s="2"/>
      <c r="BD128" s="2"/>
      <c r="BE128" s="2"/>
      <c r="BF128" s="2"/>
      <c r="BG128" s="492">
        <f t="shared" ref="BG128:BS128" si="230">AF144</f>
        <v>1.0345341106201269</v>
      </c>
      <c r="BH128" s="492">
        <f t="shared" si="230"/>
        <v>5.4265326612174745</v>
      </c>
      <c r="BI128" s="492">
        <f t="shared" si="230"/>
        <v>-11.065051360208228</v>
      </c>
      <c r="BJ128" s="492">
        <f t="shared" si="230"/>
        <v>-7.0612313879340416E-2</v>
      </c>
      <c r="BK128" s="492">
        <f t="shared" si="230"/>
        <v>1.7233170329359824</v>
      </c>
      <c r="BL128" s="492">
        <f t="shared" si="230"/>
        <v>1.1171169654875148</v>
      </c>
      <c r="BM128" s="492">
        <f t="shared" si="230"/>
        <v>1.22497021713564</v>
      </c>
      <c r="BN128" s="492">
        <f t="shared" si="230"/>
        <v>1.4086729909059772</v>
      </c>
      <c r="BO128" s="492">
        <f t="shared" si="230"/>
        <v>0.44394598094519117</v>
      </c>
      <c r="BP128" s="492">
        <f t="shared" si="230"/>
        <v>0.88538821169413839</v>
      </c>
      <c r="BQ128" s="492">
        <f>AP144</f>
        <v>0.84035111711190913</v>
      </c>
      <c r="BR128" s="492">
        <f t="shared" si="230"/>
        <v>1.0562991876308712</v>
      </c>
      <c r="BS128" s="492">
        <f t="shared" si="230"/>
        <v>1.5590508619052439</v>
      </c>
    </row>
    <row r="129" spans="1:71">
      <c r="A129" s="10" t="s">
        <v>1125</v>
      </c>
      <c r="B129" s="188"/>
      <c r="C129" s="188"/>
      <c r="D129" s="188"/>
      <c r="E129" s="188"/>
      <c r="F129" s="188"/>
      <c r="G129" s="188"/>
      <c r="H129" s="188"/>
      <c r="I129" s="188"/>
      <c r="J129" s="188"/>
      <c r="K129" s="11">
        <f>+'store&amp;sf'!L196</f>
        <v>2E-3</v>
      </c>
      <c r="L129" s="11">
        <f>+'store&amp;sf'!L202</f>
        <v>2.4E-2</v>
      </c>
      <c r="M129" s="236">
        <f>+'store&amp;sf'!L208</f>
        <v>9.9000000000000005E-2</v>
      </c>
      <c r="N129" s="236">
        <f>+'store&amp;sf'!L214</f>
        <v>0.13200000000000001</v>
      </c>
      <c r="O129" s="236">
        <f>+'store&amp;sf'!L220</f>
        <v>0.248</v>
      </c>
      <c r="P129" s="236">
        <f>+'store&amp;sf'!L226</f>
        <v>0.48899999999999999</v>
      </c>
      <c r="Q129" s="236">
        <f>+'store&amp;sf'!L232</f>
        <v>0.84799999999999998</v>
      </c>
      <c r="R129" s="236">
        <f>+'store&amp;sf'!L238</f>
        <v>1.3540000000000001</v>
      </c>
      <c r="S129" s="236">
        <f>+'store&amp;sf'!L244</f>
        <v>1.7729999999999999</v>
      </c>
      <c r="T129" s="236">
        <f>+'store&amp;sf'!L250</f>
        <v>2.0920000000000001</v>
      </c>
      <c r="U129" s="236">
        <f>+'store&amp;sf'!L256</f>
        <v>2.4900000000000002</v>
      </c>
      <c r="V129" s="236">
        <f>+'store&amp;sf'!L262</f>
        <v>3.0390000000000001</v>
      </c>
      <c r="W129" s="236">
        <f>+'store&amp;sf'!L268</f>
        <v>3.4630000000000001</v>
      </c>
      <c r="X129" s="236">
        <f>+'store&amp;sf'!L274</f>
        <v>3.5680000000000001</v>
      </c>
      <c r="Y129" s="11">
        <f>+'store&amp;sf'!L280</f>
        <v>3.5419999999999998</v>
      </c>
      <c r="Z129" s="11">
        <f>+'store&amp;sf'!L286</f>
        <v>3.556</v>
      </c>
      <c r="AA129" s="11">
        <f>+'store&amp;sf'!L292</f>
        <v>3.57</v>
      </c>
      <c r="AB129" s="11">
        <f>+'store&amp;sf'!L298</f>
        <v>3.6040000000000001</v>
      </c>
      <c r="AC129" s="11">
        <f>'store&amp;sf'!$L$304</f>
        <v>3.7730000000000001</v>
      </c>
      <c r="AD129" s="11">
        <f>'store&amp;sf'!$L$310</f>
        <v>3.9089999999999998</v>
      </c>
      <c r="AE129" s="11">
        <f>'store&amp;sf'!$L$316</f>
        <v>3.9339999999999997</v>
      </c>
      <c r="AF129" s="11">
        <f>'store&amp;sf'!$L$322</f>
        <v>3.952</v>
      </c>
      <c r="AG129" s="11">
        <f>'store&amp;sf'!$L$328</f>
        <v>3.9419999999999997</v>
      </c>
      <c r="AH129" s="11">
        <f>'store&amp;sf'!$L$334</f>
        <v>3.8920000000000003</v>
      </c>
      <c r="AI129" s="11">
        <f>'store&amp;sf'!$L$340</f>
        <v>3.8780000000000001</v>
      </c>
      <c r="AJ129" s="11">
        <f>'store&amp;sf'!$L$346</f>
        <v>3.8919999999999999</v>
      </c>
      <c r="AK129" s="11">
        <f>'store&amp;sf'!L352</f>
        <v>3.9910000000000001</v>
      </c>
      <c r="AL129" s="11">
        <f>'store&amp;sf'!L358</f>
        <v>4.165</v>
      </c>
      <c r="AM129" s="11">
        <f>'store&amp;sf'!L364</f>
        <v>4.2859999999999996</v>
      </c>
      <c r="AN129" s="125">
        <f>'store&amp;sf'!L370</f>
        <v>4.511272030651341</v>
      </c>
      <c r="AO129" s="11">
        <f>+AN129+(AO117*AO141/1000000)+(AO118*AO142/1000000)+AO140</f>
        <v>4.6092720306513417</v>
      </c>
      <c r="AP129" s="11">
        <f>+AO129+(AP117*AP141/1000000)+(AP118*AP142/1000000)+AP140</f>
        <v>4.7072720306513425</v>
      </c>
      <c r="AQ129" s="11">
        <f>+AP129+(AQ117*AQ141/1000000)+(AQ118*AQ142/1000000)+AQ140</f>
        <v>4.7552720306513425</v>
      </c>
      <c r="AR129" s="11">
        <f>+AQ129+(AR117*AR141/1000000)+(AR118*AR142/1000000)+AR140</f>
        <v>4.8032720306513426</v>
      </c>
      <c r="AS129" s="100"/>
      <c r="AT129" s="56">
        <f>((AK129/AF129)^(1/5)-1)*100</f>
        <v>0.19659391655946212</v>
      </c>
      <c r="AU129" s="97" t="s">
        <v>1084</v>
      </c>
      <c r="AV129" s="56">
        <f>((AP129/AK129)^(1/5)-1)*100</f>
        <v>3.3564332575884093</v>
      </c>
      <c r="AW129" s="100" t="s">
        <v>1084</v>
      </c>
      <c r="AX129" s="2"/>
      <c r="AY129" s="500" t="s">
        <v>1118</v>
      </c>
      <c r="AZ129" s="2"/>
      <c r="BA129" s="2"/>
      <c r="BB129" s="2"/>
      <c r="BC129" s="2"/>
      <c r="BD129" s="2"/>
      <c r="BE129" s="2"/>
      <c r="BF129" s="2"/>
      <c r="BG129" s="2"/>
      <c r="BH129" s="2"/>
      <c r="BI129" s="2"/>
      <c r="BJ129" s="2"/>
      <c r="BK129" s="2"/>
      <c r="BL129" s="2"/>
      <c r="BM129" s="2"/>
      <c r="BN129" s="2"/>
      <c r="BO129" s="2"/>
      <c r="BP129" s="2"/>
      <c r="BQ129" s="2"/>
      <c r="BR129" s="2"/>
      <c r="BS129" s="2"/>
    </row>
    <row r="130" spans="1:71">
      <c r="A130" s="10" t="s">
        <v>1085</v>
      </c>
      <c r="B130" s="8"/>
      <c r="C130" s="8"/>
      <c r="D130" s="8"/>
      <c r="E130" s="8"/>
      <c r="F130" s="8"/>
      <c r="G130" s="8"/>
      <c r="H130" s="8"/>
      <c r="I130" s="8"/>
      <c r="J130" s="8"/>
      <c r="K130" s="8"/>
      <c r="L130" s="8">
        <f t="shared" ref="L130:AK130" si="231">L129/K129-1</f>
        <v>11</v>
      </c>
      <c r="M130" s="8">
        <f t="shared" si="231"/>
        <v>3.125</v>
      </c>
      <c r="N130" s="8">
        <f t="shared" si="231"/>
        <v>0.33333333333333326</v>
      </c>
      <c r="O130" s="8">
        <f t="shared" si="231"/>
        <v>0.87878787878787867</v>
      </c>
      <c r="P130" s="8">
        <f t="shared" si="231"/>
        <v>0.97177419354838701</v>
      </c>
      <c r="Q130" s="8">
        <f t="shared" si="231"/>
        <v>0.73415132924335369</v>
      </c>
      <c r="R130" s="13">
        <f t="shared" si="231"/>
        <v>0.59669811320754729</v>
      </c>
      <c r="S130" s="13">
        <f t="shared" si="231"/>
        <v>0.30945347119645472</v>
      </c>
      <c r="T130" s="13">
        <f t="shared" si="231"/>
        <v>0.1799210377890581</v>
      </c>
      <c r="U130" s="13">
        <f t="shared" si="231"/>
        <v>0.19024856596558326</v>
      </c>
      <c r="V130" s="13">
        <f t="shared" si="231"/>
        <v>0.22048192771084341</v>
      </c>
      <c r="W130" s="13">
        <f t="shared" si="231"/>
        <v>0.1395195788088186</v>
      </c>
      <c r="X130" s="13">
        <f t="shared" si="231"/>
        <v>3.0320531331215594E-2</v>
      </c>
      <c r="Y130" s="13">
        <f t="shared" si="231"/>
        <v>-7.2869955156951161E-3</v>
      </c>
      <c r="Z130" s="13">
        <f t="shared" si="231"/>
        <v>3.9525691699604515E-3</v>
      </c>
      <c r="AA130" s="13">
        <f t="shared" si="231"/>
        <v>3.937007874015741E-3</v>
      </c>
      <c r="AB130" s="13">
        <f t="shared" si="231"/>
        <v>9.52380952380949E-3</v>
      </c>
      <c r="AC130" s="13">
        <f t="shared" si="231"/>
        <v>4.6892341842397434E-2</v>
      </c>
      <c r="AD130" s="13">
        <f t="shared" si="231"/>
        <v>3.6045587065995033E-2</v>
      </c>
      <c r="AE130" s="13">
        <f t="shared" si="231"/>
        <v>6.3954975697109173E-3</v>
      </c>
      <c r="AF130" s="13">
        <f t="shared" si="231"/>
        <v>4.5754956786985268E-3</v>
      </c>
      <c r="AG130" s="13">
        <f t="shared" si="231"/>
        <v>-2.5303643724696734E-3</v>
      </c>
      <c r="AH130" s="13">
        <f t="shared" si="231"/>
        <v>-1.2683916793505667E-2</v>
      </c>
      <c r="AI130" s="13">
        <f t="shared" si="231"/>
        <v>-3.597122302158362E-3</v>
      </c>
      <c r="AJ130" s="13">
        <f t="shared" si="231"/>
        <v>3.6101083032491488E-3</v>
      </c>
      <c r="AK130" s="13">
        <f t="shared" si="231"/>
        <v>2.5436793422404902E-2</v>
      </c>
      <c r="AL130" s="13">
        <f t="shared" ref="AL130:AR130" si="232">AL129/AK129-1</f>
        <v>4.3598095715359442E-2</v>
      </c>
      <c r="AM130" s="13">
        <f>AM129/AL129-1</f>
        <v>2.9051620648259169E-2</v>
      </c>
      <c r="AN130" s="13">
        <f t="shared" si="232"/>
        <v>5.2559969820658248E-2</v>
      </c>
      <c r="AO130" s="13">
        <f t="shared" si="232"/>
        <v>2.172336301915534E-2</v>
      </c>
      <c r="AP130" s="13">
        <f t="shared" si="232"/>
        <v>2.1261491912021535E-2</v>
      </c>
      <c r="AQ130" s="13">
        <f t="shared" si="232"/>
        <v>1.0196988762801285E-2</v>
      </c>
      <c r="AR130" s="13">
        <f t="shared" si="232"/>
        <v>1.0094059748969819E-2</v>
      </c>
      <c r="AS130" s="100"/>
      <c r="AT130" s="56"/>
      <c r="AU130" s="57"/>
      <c r="AV130" s="56"/>
      <c r="AW130" s="100"/>
      <c r="AX130" s="2"/>
      <c r="AY130" s="2" t="s">
        <v>1186</v>
      </c>
      <c r="AZ130" s="446">
        <v>46</v>
      </c>
      <c r="BA130" s="446">
        <v>40</v>
      </c>
      <c r="BB130" s="2">
        <f t="shared" ref="BB130:BD131" si="233">+BA130</f>
        <v>40</v>
      </c>
      <c r="BC130" s="2">
        <f t="shared" si="233"/>
        <v>40</v>
      </c>
      <c r="BD130" s="2">
        <f t="shared" si="233"/>
        <v>40</v>
      </c>
      <c r="BE130" s="2">
        <f t="shared" ref="BE130:BG131" si="234">+BD130</f>
        <v>40</v>
      </c>
      <c r="BF130" s="446">
        <v>40</v>
      </c>
      <c r="BG130" s="446">
        <v>38</v>
      </c>
      <c r="BH130" s="2">
        <v>35</v>
      </c>
      <c r="BI130" s="2">
        <v>35</v>
      </c>
      <c r="BJ130" s="2">
        <f t="shared" ref="BH130:BJ131" si="235">+BI130</f>
        <v>35</v>
      </c>
      <c r="BK130" s="2">
        <f t="shared" ref="BK130:BN131" si="236">+BJ130</f>
        <v>35</v>
      </c>
      <c r="BL130" s="2">
        <f t="shared" si="236"/>
        <v>35</v>
      </c>
      <c r="BM130" s="2">
        <v>150</v>
      </c>
      <c r="BN130" s="2">
        <v>100</v>
      </c>
      <c r="BO130" s="2">
        <f t="shared" ref="BO130:BS131" si="237">+BN130</f>
        <v>100</v>
      </c>
      <c r="BP130" s="2">
        <f t="shared" si="237"/>
        <v>100</v>
      </c>
      <c r="BQ130" s="2">
        <v>20</v>
      </c>
      <c r="BR130" s="2">
        <v>60</v>
      </c>
      <c r="BS130" s="2">
        <f t="shared" si="237"/>
        <v>60</v>
      </c>
    </row>
    <row r="131" spans="1:71">
      <c r="A131" s="14"/>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100"/>
      <c r="AT131" s="56"/>
      <c r="AU131" s="57"/>
      <c r="AV131" s="56"/>
      <c r="AW131" s="100"/>
      <c r="AX131" s="2"/>
      <c r="AY131" s="2" t="s">
        <v>1120</v>
      </c>
      <c r="AZ131" s="446">
        <v>3.7999999999999999E-2</v>
      </c>
      <c r="BA131" s="446">
        <f>+Z140</f>
        <v>9.4E-2</v>
      </c>
      <c r="BB131" s="2">
        <f>+AA140</f>
        <v>0.1</v>
      </c>
      <c r="BC131" s="2">
        <f t="shared" si="233"/>
        <v>0.1</v>
      </c>
      <c r="BD131" s="2">
        <f t="shared" si="233"/>
        <v>0.1</v>
      </c>
      <c r="BE131" s="2">
        <f t="shared" si="234"/>
        <v>0.1</v>
      </c>
      <c r="BF131" s="2">
        <f t="shared" si="234"/>
        <v>0.1</v>
      </c>
      <c r="BG131" s="2">
        <f t="shared" si="234"/>
        <v>0.1</v>
      </c>
      <c r="BH131" s="2">
        <f t="shared" si="235"/>
        <v>0.1</v>
      </c>
      <c r="BI131" s="2">
        <f t="shared" si="235"/>
        <v>0.1</v>
      </c>
      <c r="BJ131" s="2">
        <f t="shared" si="235"/>
        <v>0.1</v>
      </c>
      <c r="BK131" s="2">
        <f t="shared" si="236"/>
        <v>0.1</v>
      </c>
      <c r="BL131" s="2">
        <f t="shared" si="236"/>
        <v>0.1</v>
      </c>
      <c r="BM131" s="2">
        <f t="shared" si="236"/>
        <v>0.1</v>
      </c>
      <c r="BN131" s="2">
        <f t="shared" si="236"/>
        <v>0.1</v>
      </c>
      <c r="BO131" s="2">
        <f t="shared" si="237"/>
        <v>0.1</v>
      </c>
      <c r="BP131" s="2">
        <f t="shared" si="237"/>
        <v>0.1</v>
      </c>
      <c r="BQ131" s="2">
        <f t="shared" si="237"/>
        <v>0.1</v>
      </c>
      <c r="BR131" s="2">
        <f t="shared" si="237"/>
        <v>0.1</v>
      </c>
      <c r="BS131" s="2">
        <f t="shared" si="237"/>
        <v>0.1</v>
      </c>
    </row>
    <row r="132" spans="1:71">
      <c r="A132" s="10" t="s">
        <v>383</v>
      </c>
      <c r="B132" s="9"/>
      <c r="C132" s="9"/>
      <c r="D132" s="9"/>
      <c r="E132" s="9"/>
      <c r="F132" s="9"/>
      <c r="G132" s="9"/>
      <c r="H132" s="9"/>
      <c r="I132" s="9"/>
      <c r="J132" s="9"/>
      <c r="K132" s="9"/>
      <c r="L132" s="9">
        <f t="shared" ref="L132:AC132" si="238">L129/L119*1000000</f>
        <v>888.88888888888891</v>
      </c>
      <c r="M132" s="9">
        <f t="shared" si="238"/>
        <v>1042.1052631578948</v>
      </c>
      <c r="N132" s="9">
        <f t="shared" si="238"/>
        <v>1090.909090909091</v>
      </c>
      <c r="O132" s="9">
        <f t="shared" si="238"/>
        <v>1278.3505154639176</v>
      </c>
      <c r="P132" s="9">
        <f t="shared" si="238"/>
        <v>1537.7358490566039</v>
      </c>
      <c r="Q132" s="9">
        <f t="shared" si="238"/>
        <v>1702.8112449799196</v>
      </c>
      <c r="R132" s="9">
        <f t="shared" si="238"/>
        <v>1805.3333333333335</v>
      </c>
      <c r="S132" s="9">
        <f t="shared" si="238"/>
        <v>1925.0814332247558</v>
      </c>
      <c r="T132" s="9">
        <f t="shared" si="238"/>
        <v>1971.7247879359095</v>
      </c>
      <c r="U132" s="9">
        <f t="shared" si="238"/>
        <v>2051.070840197694</v>
      </c>
      <c r="V132" s="9">
        <f t="shared" si="238"/>
        <v>2122.2067039106146</v>
      </c>
      <c r="W132" s="9">
        <f t="shared" si="238"/>
        <v>2144.2724458204334</v>
      </c>
      <c r="X132" s="9">
        <f t="shared" si="238"/>
        <v>2176.9371568029287</v>
      </c>
      <c r="Y132" s="9">
        <f t="shared" si="238"/>
        <v>2208.2294264339148</v>
      </c>
      <c r="Z132" s="9">
        <f t="shared" si="238"/>
        <v>2266.4117272147864</v>
      </c>
      <c r="AA132" s="9">
        <f t="shared" si="238"/>
        <v>2295.8199356913183</v>
      </c>
      <c r="AB132" s="9">
        <f t="shared" si="238"/>
        <v>2331.1772315653302</v>
      </c>
      <c r="AC132" s="9">
        <f t="shared" si="238"/>
        <v>2369.9748743718596</v>
      </c>
      <c r="AD132" s="9">
        <f t="shared" ref="AD132:AI132" si="239">AD129/AD119*1000000</f>
        <v>2377.7372262773724</v>
      </c>
      <c r="AE132" s="9">
        <f t="shared" si="239"/>
        <v>2372.7382388419778</v>
      </c>
      <c r="AF132" s="9">
        <f t="shared" si="239"/>
        <v>2373.5735735735734</v>
      </c>
      <c r="AG132" s="9">
        <f t="shared" si="239"/>
        <v>2380.4347826086955</v>
      </c>
      <c r="AH132" s="9">
        <f t="shared" si="239"/>
        <v>2370.2801461632157</v>
      </c>
      <c r="AI132" s="9">
        <f t="shared" si="239"/>
        <v>2367.5213675213677</v>
      </c>
      <c r="AJ132" s="9">
        <f t="shared" ref="AJ132:AO132" si="240">AJ129/AJ119*1000000</f>
        <v>2364.5200486026733</v>
      </c>
      <c r="AK132" s="9">
        <f>AK129/AK119*1000000</f>
        <v>2386.9617224880385</v>
      </c>
      <c r="AL132" s="9">
        <f>AL129/AL119*1000000</f>
        <v>2460.1299468399293</v>
      </c>
      <c r="AM132" s="9">
        <f>AM129/AM119*1000000</f>
        <v>2530.1062573789841</v>
      </c>
      <c r="AN132" s="9">
        <f t="shared" si="240"/>
        <v>2616.7471175471815</v>
      </c>
      <c r="AO132" s="9">
        <f t="shared" si="240"/>
        <v>2673.5916651109869</v>
      </c>
      <c r="AP132" s="9">
        <f>AP129/AP119*1000000</f>
        <v>2730.4362126747924</v>
      </c>
      <c r="AQ132" s="9">
        <f>AQ129/AQ119*1000000</f>
        <v>2774.3710797265708</v>
      </c>
      <c r="AR132" s="9">
        <f>AR129/AR119*1000000</f>
        <v>2818.8216142320084</v>
      </c>
      <c r="AS132" s="104"/>
      <c r="AT132" s="56"/>
      <c r="AU132" s="98"/>
      <c r="AV132" s="56"/>
      <c r="AW132" s="104"/>
      <c r="AX132" s="2"/>
      <c r="AY132" s="2" t="s">
        <v>396</v>
      </c>
      <c r="AZ132" s="503">
        <f t="shared" ref="AZ132:BL132" si="241">+AZ131/AZ130*1000000</f>
        <v>826.08695652173901</v>
      </c>
      <c r="BA132" s="503">
        <f t="shared" si="241"/>
        <v>2350</v>
      </c>
      <c r="BB132" s="503">
        <f t="shared" si="241"/>
        <v>2500</v>
      </c>
      <c r="BC132" s="503">
        <f t="shared" si="241"/>
        <v>2500</v>
      </c>
      <c r="BD132" s="503">
        <f t="shared" si="241"/>
        <v>2500</v>
      </c>
      <c r="BE132" s="503">
        <f t="shared" si="241"/>
        <v>2500</v>
      </c>
      <c r="BF132" s="503">
        <f t="shared" si="241"/>
        <v>2500</v>
      </c>
      <c r="BG132" s="503">
        <f t="shared" si="241"/>
        <v>2631.5789473684208</v>
      </c>
      <c r="BH132" s="503">
        <f t="shared" si="241"/>
        <v>2857.1428571428573</v>
      </c>
      <c r="BI132" s="503">
        <f t="shared" si="241"/>
        <v>2857.1428571428573</v>
      </c>
      <c r="BJ132" s="503">
        <f t="shared" si="241"/>
        <v>2857.1428571428573</v>
      </c>
      <c r="BK132" s="503">
        <f t="shared" si="241"/>
        <v>2857.1428571428573</v>
      </c>
      <c r="BL132" s="503">
        <f t="shared" si="241"/>
        <v>2857.1428571428573</v>
      </c>
      <c r="BM132" s="503">
        <f t="shared" ref="BM132:BR132" si="242">+BM131/BM130*1000000</f>
        <v>666.66666666666674</v>
      </c>
      <c r="BN132" s="503">
        <f t="shared" si="242"/>
        <v>1000</v>
      </c>
      <c r="BO132" s="503">
        <f t="shared" si="242"/>
        <v>1000</v>
      </c>
      <c r="BP132" s="503">
        <f t="shared" si="242"/>
        <v>1000</v>
      </c>
      <c r="BQ132" s="503">
        <f t="shared" si="242"/>
        <v>5000</v>
      </c>
      <c r="BR132" s="503">
        <f t="shared" si="242"/>
        <v>1666.6666666666667</v>
      </c>
      <c r="BS132" s="503">
        <f t="shared" ref="BS132" si="243">+BS131/BS130*1000000</f>
        <v>1666.6666666666667</v>
      </c>
    </row>
    <row r="133" spans="1:71">
      <c r="A133" s="10" t="s">
        <v>1085</v>
      </c>
      <c r="B133" s="13"/>
      <c r="C133" s="13"/>
      <c r="D133" s="13"/>
      <c r="E133" s="13"/>
      <c r="F133" s="13"/>
      <c r="G133" s="13"/>
      <c r="H133" s="13"/>
      <c r="I133" s="13"/>
      <c r="J133" s="13"/>
      <c r="K133" s="13"/>
      <c r="L133" s="13"/>
      <c r="M133" s="13">
        <f t="shared" ref="M133:AK133" si="244">M132/L132-1</f>
        <v>0.1723684210526315</v>
      </c>
      <c r="N133" s="13">
        <f t="shared" si="244"/>
        <v>4.6831955922864932E-2</v>
      </c>
      <c r="O133" s="13">
        <f t="shared" si="244"/>
        <v>0.17182130584192445</v>
      </c>
      <c r="P133" s="13">
        <f t="shared" si="244"/>
        <v>0.20290626902008513</v>
      </c>
      <c r="Q133" s="13">
        <f t="shared" si="244"/>
        <v>0.1073496439746715</v>
      </c>
      <c r="R133" s="13">
        <f t="shared" si="244"/>
        <v>6.020754716981136E-2</v>
      </c>
      <c r="S133" s="13">
        <f t="shared" si="244"/>
        <v>6.6330188270728785E-2</v>
      </c>
      <c r="T133" s="13">
        <f t="shared" si="244"/>
        <v>2.4229289164677148E-2</v>
      </c>
      <c r="U133" s="13">
        <f t="shared" si="244"/>
        <v>4.0241950979805541E-2</v>
      </c>
      <c r="V133" s="13">
        <f t="shared" si="244"/>
        <v>3.4682304637544403E-2</v>
      </c>
      <c r="W133" s="13">
        <f t="shared" si="244"/>
        <v>1.0397546039769834E-2</v>
      </c>
      <c r="X133" s="13">
        <f t="shared" si="244"/>
        <v>1.523347046974588E-2</v>
      </c>
      <c r="Y133" s="13">
        <f t="shared" si="244"/>
        <v>1.4374447848987115E-2</v>
      </c>
      <c r="Z133" s="13">
        <f t="shared" si="244"/>
        <v>2.6347941968525745E-2</v>
      </c>
      <c r="AA133" s="13">
        <f t="shared" si="244"/>
        <v>1.2975669038154836E-2</v>
      </c>
      <c r="AB133" s="13">
        <f t="shared" si="244"/>
        <v>1.5400726914310603E-2</v>
      </c>
      <c r="AC133" s="13">
        <f t="shared" si="244"/>
        <v>1.6642940005242579E-2</v>
      </c>
      <c r="AD133" s="13">
        <f t="shared" si="244"/>
        <v>3.2752886916449508E-3</v>
      </c>
      <c r="AE133" s="13">
        <f t="shared" si="244"/>
        <v>-2.1024137487307692E-3</v>
      </c>
      <c r="AF133" s="13">
        <f t="shared" si="244"/>
        <v>3.5205515632585893E-4</v>
      </c>
      <c r="AG133" s="13">
        <f t="shared" si="244"/>
        <v>2.8906662559409213E-3</v>
      </c>
      <c r="AH133" s="13">
        <f t="shared" si="244"/>
        <v>-4.2658746711604634E-3</v>
      </c>
      <c r="AI133" s="13">
        <f t="shared" si="244"/>
        <v>-1.1639040416018265E-3</v>
      </c>
      <c r="AJ133" s="13">
        <f t="shared" si="244"/>
        <v>-1.2677051028420205E-3</v>
      </c>
      <c r="AK133" s="13">
        <f t="shared" si="244"/>
        <v>9.4910059648796175E-3</v>
      </c>
      <c r="AL133" s="13">
        <f t="shared" ref="AL133:AR133" si="245">AL132/AK132-1</f>
        <v>3.0653287676362106E-2</v>
      </c>
      <c r="AM133" s="13">
        <f t="shared" si="245"/>
        <v>2.8444152159092351E-2</v>
      </c>
      <c r="AN133" s="13">
        <f t="shared" si="245"/>
        <v>3.4243961065078432E-2</v>
      </c>
      <c r="AO133" s="13">
        <f t="shared" si="245"/>
        <v>2.1723363019155117E-2</v>
      </c>
      <c r="AP133" s="13">
        <f t="shared" si="245"/>
        <v>2.1261491912021535E-2</v>
      </c>
      <c r="AQ133" s="13">
        <f t="shared" si="245"/>
        <v>1.6090786830262216E-2</v>
      </c>
      <c r="AR133" s="13">
        <f t="shared" si="245"/>
        <v>1.6021841789750191E-2</v>
      </c>
      <c r="AS133" s="100"/>
      <c r="AT133" s="56"/>
      <c r="AU133" s="57"/>
      <c r="AV133" s="56"/>
      <c r="AW133" s="100"/>
      <c r="AX133" s="2"/>
      <c r="AY133" s="2" t="s">
        <v>1119</v>
      </c>
      <c r="AZ133" s="498">
        <v>0</v>
      </c>
      <c r="BA133" s="498">
        <v>0</v>
      </c>
      <c r="BB133" s="492">
        <f t="shared" ref="BB133:BG133" si="246">+BA133</f>
        <v>0</v>
      </c>
      <c r="BC133" s="492">
        <f t="shared" si="246"/>
        <v>0</v>
      </c>
      <c r="BD133" s="492">
        <f t="shared" si="246"/>
        <v>0</v>
      </c>
      <c r="BE133" s="492">
        <f t="shared" si="246"/>
        <v>0</v>
      </c>
      <c r="BF133" s="492">
        <f t="shared" si="246"/>
        <v>0</v>
      </c>
      <c r="BG133" s="492">
        <f t="shared" si="246"/>
        <v>0</v>
      </c>
      <c r="BH133" s="492">
        <f t="shared" ref="BH133:BN133" si="247">+BG133</f>
        <v>0</v>
      </c>
      <c r="BI133" s="492">
        <f t="shared" si="247"/>
        <v>0</v>
      </c>
      <c r="BJ133" s="492">
        <f t="shared" si="247"/>
        <v>0</v>
      </c>
      <c r="BK133" s="492">
        <f t="shared" si="247"/>
        <v>0</v>
      </c>
      <c r="BL133" s="492">
        <f t="shared" si="247"/>
        <v>0</v>
      </c>
      <c r="BM133" s="492">
        <f t="shared" si="247"/>
        <v>0</v>
      </c>
      <c r="BN133" s="492">
        <f t="shared" si="247"/>
        <v>0</v>
      </c>
      <c r="BO133" s="492">
        <f>+BN133</f>
        <v>0</v>
      </c>
      <c r="BP133" s="492">
        <f>+BO133</f>
        <v>0</v>
      </c>
      <c r="BQ133" s="492">
        <f>+BP133</f>
        <v>0</v>
      </c>
      <c r="BR133" s="492">
        <f>+BQ133</f>
        <v>0</v>
      </c>
      <c r="BS133" s="492">
        <f>+BR133</f>
        <v>0</v>
      </c>
    </row>
    <row r="134" spans="1:71">
      <c r="A134" s="14"/>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100"/>
      <c r="AT134" s="56"/>
      <c r="AU134" s="57"/>
      <c r="AV134" s="56"/>
      <c r="AW134" s="100"/>
      <c r="AX134" s="2"/>
      <c r="AY134" s="2"/>
      <c r="AZ134" s="2"/>
      <c r="BA134" s="2"/>
      <c r="BB134" s="2"/>
      <c r="BC134" s="2"/>
      <c r="BD134" s="2"/>
      <c r="BE134" s="2"/>
      <c r="BF134" s="2"/>
      <c r="BG134" s="2"/>
      <c r="BH134" s="2"/>
      <c r="BI134" s="2"/>
      <c r="BJ134" s="2"/>
      <c r="BK134" s="2"/>
      <c r="BL134" s="2"/>
      <c r="BM134" s="2"/>
      <c r="BN134" s="2"/>
      <c r="BO134" s="2"/>
      <c r="BP134" s="2"/>
      <c r="BQ134" s="2"/>
      <c r="BR134" s="2"/>
      <c r="BS134" s="2"/>
    </row>
    <row r="135" spans="1:71">
      <c r="A135" s="10" t="s">
        <v>559</v>
      </c>
      <c r="B135" s="6"/>
      <c r="C135" s="6"/>
      <c r="D135" s="6"/>
      <c r="E135" s="6"/>
      <c r="F135" s="6"/>
      <c r="G135" s="6"/>
      <c r="H135" s="6"/>
      <c r="I135" s="6"/>
      <c r="J135" s="6"/>
      <c r="K135" s="6"/>
      <c r="L135" s="6"/>
      <c r="M135" s="6"/>
      <c r="N135" s="6">
        <f t="shared" ref="N135:W135" si="248">+N113/N126</f>
        <v>493.50649350649348</v>
      </c>
      <c r="O135" s="6">
        <f t="shared" si="248"/>
        <v>589.47368421052636</v>
      </c>
      <c r="P135" s="6">
        <f t="shared" si="248"/>
        <v>705.56309362279512</v>
      </c>
      <c r="Q135" s="6">
        <f t="shared" si="248"/>
        <v>710.54599850411375</v>
      </c>
      <c r="R135" s="6">
        <f t="shared" si="248"/>
        <v>683.92370572207085</v>
      </c>
      <c r="S135" s="6">
        <f t="shared" si="248"/>
        <v>676.04732970898624</v>
      </c>
      <c r="T135" s="6">
        <f t="shared" si="248"/>
        <v>658.21474773609316</v>
      </c>
      <c r="U135" s="6">
        <f t="shared" si="248"/>
        <v>667.85290266259267</v>
      </c>
      <c r="V135" s="6">
        <f t="shared" si="248"/>
        <v>645.53626333875934</v>
      </c>
      <c r="W135" s="6">
        <f t="shared" si="248"/>
        <v>537.24084896954776</v>
      </c>
      <c r="X135" s="6">
        <f>+X113/(X126/0.8)</f>
        <v>405.29085478594794</v>
      </c>
      <c r="Y135" s="6">
        <f t="shared" ref="Y135:AI135" si="249">+Y113/(Y126/0.8)</f>
        <v>435.32399437412101</v>
      </c>
      <c r="Z135" s="6">
        <f t="shared" si="249"/>
        <v>488.84621020005648</v>
      </c>
      <c r="AA135" s="6">
        <f t="shared" si="249"/>
        <v>512.99511647488077</v>
      </c>
      <c r="AB135" s="6">
        <f t="shared" si="249"/>
        <v>569.92584332311117</v>
      </c>
      <c r="AC135" s="6">
        <f t="shared" si="249"/>
        <v>540.93880981428777</v>
      </c>
      <c r="AD135" s="6">
        <f t="shared" si="249"/>
        <v>494.37354855506379</v>
      </c>
      <c r="AE135" s="6">
        <f t="shared" si="249"/>
        <v>486.05543797016452</v>
      </c>
      <c r="AF135" s="6">
        <f>+AF113/(AF126/0.8)</f>
        <v>510.31722039056558</v>
      </c>
      <c r="AG135" s="6">
        <f t="shared" si="249"/>
        <v>542.05057005320498</v>
      </c>
      <c r="AH135" s="6">
        <f t="shared" si="249"/>
        <v>627.91707939749824</v>
      </c>
      <c r="AI135" s="6">
        <f t="shared" si="249"/>
        <v>642.03119691119684</v>
      </c>
      <c r="AJ135" s="6">
        <f t="shared" ref="AJ135:AP135" si="250">+AJ113/(AJ126/0.8)</f>
        <v>689.75217503217516</v>
      </c>
      <c r="AK135" s="6">
        <f t="shared" si="250"/>
        <v>727.95859444373968</v>
      </c>
      <c r="AL135" s="6">
        <f t="shared" si="250"/>
        <v>755.60882785679246</v>
      </c>
      <c r="AM135" s="6">
        <f t="shared" si="250"/>
        <v>785.29461602177241</v>
      </c>
      <c r="AN135" s="6">
        <f t="shared" si="250"/>
        <v>776.82316576313883</v>
      </c>
      <c r="AO135" s="6">
        <f t="shared" si="250"/>
        <v>796.14611750422318</v>
      </c>
      <c r="AP135" s="6">
        <f t="shared" si="250"/>
        <v>816.85403438268918</v>
      </c>
      <c r="AQ135" s="6">
        <f>+AQ113/(AQ126/0.8)</f>
        <v>841.69111587736052</v>
      </c>
      <c r="AR135" s="6">
        <f>+AR113/(AR126/0.8)</f>
        <v>871.41413625384871</v>
      </c>
      <c r="AS135" s="100"/>
      <c r="AT135" s="56">
        <f>((AK135/AF135)^(1/5)-1)*100</f>
        <v>7.3626668880920842</v>
      </c>
      <c r="AU135" s="97" t="s">
        <v>1084</v>
      </c>
      <c r="AV135" s="56">
        <f>((AP135/AK135)^(1/5)-1)*100</f>
        <v>2.3310796290286762</v>
      </c>
      <c r="AW135" s="100" t="s">
        <v>1084</v>
      </c>
      <c r="AX135" s="2"/>
      <c r="AY135" s="178" t="s">
        <v>926</v>
      </c>
      <c r="AZ135" s="57"/>
      <c r="BA135" s="57"/>
      <c r="BB135" s="57"/>
      <c r="BC135" s="2"/>
      <c r="BD135" s="2"/>
      <c r="BE135" s="2"/>
      <c r="BF135" s="2"/>
      <c r="BG135" s="2"/>
      <c r="BH135" s="2"/>
      <c r="BI135" s="2"/>
      <c r="BJ135" s="2"/>
      <c r="BK135" s="2"/>
      <c r="BL135" s="2"/>
      <c r="BM135" s="2"/>
      <c r="BN135" s="2"/>
      <c r="BO135" s="2"/>
      <c r="BP135" s="2"/>
      <c r="BQ135" s="2"/>
      <c r="BR135" s="2"/>
      <c r="BS135" s="2"/>
    </row>
    <row r="136" spans="1:71">
      <c r="A136" s="10" t="s">
        <v>1085</v>
      </c>
      <c r="B136" s="13"/>
      <c r="C136" s="13"/>
      <c r="D136" s="13"/>
      <c r="E136" s="13"/>
      <c r="F136" s="13"/>
      <c r="G136" s="13"/>
      <c r="H136" s="13"/>
      <c r="I136" s="13"/>
      <c r="J136" s="13"/>
      <c r="K136" s="13"/>
      <c r="L136" s="13"/>
      <c r="M136" s="13"/>
      <c r="N136" s="13"/>
      <c r="O136" s="13">
        <f t="shared" ref="O136:AK136" si="251">O135/N135-1</f>
        <v>0.19445983379501408</v>
      </c>
      <c r="P136" s="13">
        <f t="shared" si="251"/>
        <v>0.19693739096724161</v>
      </c>
      <c r="Q136" s="13">
        <f t="shared" si="251"/>
        <v>7.0623094183304147E-3</v>
      </c>
      <c r="R136" s="13">
        <f t="shared" si="251"/>
        <v>-3.7467374157464595E-2</v>
      </c>
      <c r="S136" s="13">
        <f t="shared" si="251"/>
        <v>-1.1516454170526047E-2</v>
      </c>
      <c r="T136" s="13">
        <f t="shared" si="251"/>
        <v>-2.6377712312789292E-2</v>
      </c>
      <c r="U136" s="13">
        <f t="shared" si="251"/>
        <v>1.4642872952405961E-2</v>
      </c>
      <c r="V136" s="13">
        <f t="shared" si="251"/>
        <v>-3.3415500980622292E-2</v>
      </c>
      <c r="W136" s="13">
        <f t="shared" si="251"/>
        <v>-0.16776038856299103</v>
      </c>
      <c r="X136" s="13">
        <f t="shared" si="251"/>
        <v>-0.2456067784806123</v>
      </c>
      <c r="Y136" s="13">
        <f t="shared" si="251"/>
        <v>7.4102682637719353E-2</v>
      </c>
      <c r="Z136" s="13">
        <f t="shared" si="251"/>
        <v>0.12294800313703358</v>
      </c>
      <c r="AA136" s="13">
        <f t="shared" si="251"/>
        <v>4.9399802577873242E-2</v>
      </c>
      <c r="AB136" s="13">
        <f t="shared" si="251"/>
        <v>0.11097713217903138</v>
      </c>
      <c r="AC136" s="13">
        <f t="shared" si="251"/>
        <v>-5.0861061747623948E-2</v>
      </c>
      <c r="AD136" s="13">
        <f t="shared" si="251"/>
        <v>-8.6082308043696321E-2</v>
      </c>
      <c r="AE136" s="13">
        <f t="shared" si="251"/>
        <v>-1.6825557534805635E-2</v>
      </c>
      <c r="AF136" s="13">
        <f t="shared" si="251"/>
        <v>4.9915669129681373E-2</v>
      </c>
      <c r="AG136" s="13">
        <f t="shared" si="251"/>
        <v>6.218357600857094E-2</v>
      </c>
      <c r="AH136" s="13">
        <f t="shared" si="251"/>
        <v>0.1584105138674885</v>
      </c>
      <c r="AI136" s="13">
        <f t="shared" si="251"/>
        <v>2.2477677350712266E-2</v>
      </c>
      <c r="AJ136" s="13">
        <f t="shared" si="251"/>
        <v>7.4328129770894646E-2</v>
      </c>
      <c r="AK136" s="13">
        <f t="shared" si="251"/>
        <v>5.5391517119583344E-2</v>
      </c>
      <c r="AL136" s="13">
        <f t="shared" ref="AL136:AR136" si="252">AL135/AK135-1</f>
        <v>3.798325017947124E-2</v>
      </c>
      <c r="AM136" s="13">
        <f t="shared" si="252"/>
        <v>3.9287243704100971E-2</v>
      </c>
      <c r="AN136" s="13">
        <f t="shared" si="252"/>
        <v>-1.0787607715368241E-2</v>
      </c>
      <c r="AO136" s="13">
        <f t="shared" si="252"/>
        <v>2.4874324804798675E-2</v>
      </c>
      <c r="AP136" s="13">
        <f t="shared" si="252"/>
        <v>2.601019639884905E-2</v>
      </c>
      <c r="AQ136" s="13">
        <f t="shared" si="252"/>
        <v>3.0405776857601152E-2</v>
      </c>
      <c r="AR136" s="13">
        <f t="shared" si="252"/>
        <v>3.5313453849997734E-2</v>
      </c>
      <c r="AS136" s="100"/>
      <c r="AT136" s="57"/>
      <c r="AU136" s="57"/>
      <c r="AV136" s="56"/>
      <c r="AW136" s="100"/>
      <c r="AX136" s="2"/>
      <c r="AY136" s="57" t="s">
        <v>788</v>
      </c>
      <c r="AZ136" s="181">
        <f t="shared" ref="AZ136:BF136" si="253">+(AZ114+AZ115)/AZ114-1</f>
        <v>8.0000000000000071E-2</v>
      </c>
      <c r="BA136" s="181">
        <f t="shared" si="253"/>
        <v>0.12000000000000011</v>
      </c>
      <c r="BB136" s="181">
        <f t="shared" si="253"/>
        <v>4.0000000000000036E-2</v>
      </c>
      <c r="BC136" s="181">
        <f t="shared" si="253"/>
        <v>9.9999999999999867E-2</v>
      </c>
      <c r="BD136" s="181">
        <f t="shared" si="253"/>
        <v>-3.9999999999999925E-2</v>
      </c>
      <c r="BE136" s="181">
        <f t="shared" si="253"/>
        <v>-9.5860484300081206E-2</v>
      </c>
      <c r="BF136" s="181">
        <f t="shared" si="253"/>
        <v>-9.9999999999998979E-3</v>
      </c>
      <c r="BG136" s="181">
        <f t="shared" ref="BG136:BL136" si="254">+(BG114+BG115)/BG114-1</f>
        <v>5.0000000000000044E-2</v>
      </c>
      <c r="BH136" s="181">
        <f t="shared" si="254"/>
        <v>5.7756135901840588E-2</v>
      </c>
      <c r="BI136" s="181">
        <f t="shared" si="254"/>
        <v>6.5503532306232737E-2</v>
      </c>
      <c r="BJ136" s="181">
        <f t="shared" si="254"/>
        <v>1.3547659551539137E-2</v>
      </c>
      <c r="BK136" s="181">
        <f t="shared" si="254"/>
        <v>5.7094959441534865E-2</v>
      </c>
      <c r="BL136" s="181">
        <f t="shared" si="254"/>
        <v>5.449383685374376E-2</v>
      </c>
      <c r="BM136" s="181">
        <f t="shared" ref="BM136:BR136" si="255">+(BM114+BM115)/BM114-1</f>
        <v>3.1507613749300223E-2</v>
      </c>
      <c r="BN136" s="181">
        <f t="shared" si="255"/>
        <v>2.5926675358766138E-2</v>
      </c>
      <c r="BO136" s="181">
        <f t="shared" si="255"/>
        <v>1.1554187042704944E-2</v>
      </c>
      <c r="BP136" s="181">
        <f t="shared" si="255"/>
        <v>3.0000000000000027E-2</v>
      </c>
      <c r="BQ136" s="181">
        <f t="shared" si="255"/>
        <v>3.0000000000000027E-2</v>
      </c>
      <c r="BR136" s="181">
        <f t="shared" si="255"/>
        <v>2.9999999999999805E-2</v>
      </c>
      <c r="BS136" s="181">
        <f t="shared" ref="BS136" si="256">+(BS114+BS115)/BS114-1</f>
        <v>3.0000000000000027E-2</v>
      </c>
    </row>
    <row r="137" spans="1:71">
      <c r="A137" s="14"/>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14"/>
      <c r="AJ137" s="14"/>
      <c r="AK137" s="14"/>
      <c r="AL137" s="14"/>
      <c r="AM137" s="14"/>
      <c r="AN137" s="14"/>
      <c r="AO137" s="14"/>
      <c r="AP137" s="14"/>
      <c r="AQ137" s="14"/>
      <c r="AR137" s="14"/>
      <c r="AS137" s="100"/>
      <c r="AT137" s="57"/>
      <c r="AU137" s="57"/>
      <c r="AV137" s="56"/>
      <c r="AW137" s="100"/>
      <c r="AX137" s="2"/>
      <c r="AY137" s="57" t="s">
        <v>359</v>
      </c>
      <c r="AZ137" s="512">
        <f t="shared" ref="AZ137:BF137" si="257">+(AZ114+AZ116)/AZ114-1</f>
        <v>4.0426726558113746E-3</v>
      </c>
      <c r="BA137" s="512">
        <f t="shared" si="257"/>
        <v>5.1693718851304471E-3</v>
      </c>
      <c r="BB137" s="512">
        <f t="shared" si="257"/>
        <v>7.8518040526689425E-3</v>
      </c>
      <c r="BC137" s="512">
        <f t="shared" si="257"/>
        <v>8.8221860232480243E-3</v>
      </c>
      <c r="BD137" s="512">
        <f t="shared" si="257"/>
        <v>2.6656979940514303E-2</v>
      </c>
      <c r="BE137" s="512">
        <f t="shared" si="257"/>
        <v>3.4481846109926551E-2</v>
      </c>
      <c r="BF137" s="512">
        <f t="shared" si="257"/>
        <v>3.0080750384119392E-2</v>
      </c>
      <c r="BG137" s="512">
        <f t="shared" ref="BG137:BL137" si="258">+(BG114+BG116)/BG114-1</f>
        <v>2.5560494639641052E-2</v>
      </c>
      <c r="BH137" s="512">
        <f t="shared" si="258"/>
        <v>1.3358640535681365E-2</v>
      </c>
      <c r="BI137" s="512">
        <f t="shared" si="258"/>
        <v>5.5071737341421123E-3</v>
      </c>
      <c r="BJ137" s="512">
        <f t="shared" si="258"/>
        <v>1.1836400823411308E-2</v>
      </c>
      <c r="BK137" s="512">
        <f t="shared" si="258"/>
        <v>1.7428238559980214E-2</v>
      </c>
      <c r="BL137" s="512">
        <f t="shared" si="258"/>
        <v>2.1102761546198501E-2</v>
      </c>
      <c r="BM137" s="512">
        <f t="shared" ref="BM137:BR137" si="259">+(BM114+BM116)/BM114-1</f>
        <v>1.7767577353347663E-2</v>
      </c>
      <c r="BN137" s="512">
        <f t="shared" si="259"/>
        <v>1.5428875856890789E-2</v>
      </c>
      <c r="BO137" s="512">
        <f t="shared" si="259"/>
        <v>5.1807958924474207E-2</v>
      </c>
      <c r="BP137" s="512">
        <f t="shared" si="259"/>
        <v>2.4638459033973659E-2</v>
      </c>
      <c r="BQ137" s="512">
        <f t="shared" si="259"/>
        <v>2.3153589307359557E-2</v>
      </c>
      <c r="BR137" s="512">
        <f t="shared" si="259"/>
        <v>1.4727915822845494E-2</v>
      </c>
      <c r="BS137" s="512">
        <f t="shared" ref="BS137" si="260">+(BS114+BS116)/BS114-1</f>
        <v>1.4072781216756924E-2</v>
      </c>
    </row>
    <row r="138" spans="1:71">
      <c r="A138" s="10" t="s">
        <v>823</v>
      </c>
      <c r="B138" s="13"/>
      <c r="C138" s="13"/>
      <c r="D138" s="13"/>
      <c r="E138" s="13"/>
      <c r="F138" s="13"/>
      <c r="G138" s="13"/>
      <c r="H138" s="13"/>
      <c r="I138" s="13"/>
      <c r="J138" s="13"/>
      <c r="K138" s="13"/>
      <c r="L138" s="13"/>
      <c r="M138" s="13"/>
      <c r="N138" s="13"/>
      <c r="O138" s="13"/>
      <c r="P138" s="13">
        <v>0.39</v>
      </c>
      <c r="Q138" s="443">
        <v>0.21</v>
      </c>
      <c r="R138" s="444">
        <v>0.11</v>
      </c>
      <c r="S138" s="444">
        <v>0.11</v>
      </c>
      <c r="T138" s="444">
        <v>7.0000000000000007E-2</v>
      </c>
      <c r="U138" s="444">
        <v>0.11</v>
      </c>
      <c r="V138" s="444">
        <v>0.01</v>
      </c>
      <c r="W138" s="443">
        <v>-0.11</v>
      </c>
      <c r="X138" s="443">
        <v>-0.03</v>
      </c>
      <c r="Y138" s="444">
        <v>0.08</v>
      </c>
      <c r="Z138" s="443">
        <v>0.12</v>
      </c>
      <c r="AA138" s="462">
        <f>segqtrSales!F290/100</f>
        <v>0.04</v>
      </c>
      <c r="AB138" s="462">
        <f>segqtrSales!F297/100</f>
        <v>0.1</v>
      </c>
      <c r="AC138" s="462">
        <f>segqtrSales!$F$304/100</f>
        <v>-0.04</v>
      </c>
      <c r="AD138" s="462">
        <f>segqtrSales!$F$311/100</f>
        <v>-9.5860484300081192E-2</v>
      </c>
      <c r="AE138" s="462">
        <f>segqtrSales!F318*0.01</f>
        <v>-0.01</v>
      </c>
      <c r="AF138" s="462">
        <f>segqtrSales!$F$325*0.01</f>
        <v>0.05</v>
      </c>
      <c r="AG138" s="462">
        <f>segqtrSales!F332*0.01</f>
        <v>5.7756135901840526E-2</v>
      </c>
      <c r="AH138" s="462">
        <f>segqtrSales!F339*0.01</f>
        <v>6.5503532306232862E-2</v>
      </c>
      <c r="AI138" s="462">
        <f>segqtrSales!F346*0.01</f>
        <v>1.354765955153913E-2</v>
      </c>
      <c r="AJ138" s="462">
        <f>segqtrSales!F353/100</f>
        <v>5.7094959441534823E-2</v>
      </c>
      <c r="AK138" s="462">
        <f>segqtrSales!F360/100</f>
        <v>5.4493836853743732E-2</v>
      </c>
      <c r="AL138" s="462">
        <f>segqtrSales!F367/100</f>
        <v>3.1507613749300313E-2</v>
      </c>
      <c r="AM138" s="462">
        <f>segqtrSales!F374/100</f>
        <v>2.5926675358766086E-2</v>
      </c>
      <c r="AN138" s="2792">
        <f>segqtrSales!F381/100</f>
        <v>1.1554187042704904E-2</v>
      </c>
      <c r="AO138" s="471">
        <v>0.03</v>
      </c>
      <c r="AP138" s="471">
        <v>0.03</v>
      </c>
      <c r="AQ138" s="471">
        <v>0.03</v>
      </c>
      <c r="AR138" s="471">
        <v>0.03</v>
      </c>
      <c r="AS138" s="1122"/>
      <c r="AT138" s="57"/>
      <c r="AU138" s="57"/>
      <c r="AV138" s="56"/>
      <c r="AW138" s="100"/>
      <c r="AX138" s="2"/>
      <c r="AY138" s="57" t="s">
        <v>145</v>
      </c>
      <c r="AZ138" s="18">
        <f t="shared" ref="AZ138:BF138" si="261">+(AZ114+AZ117)/AZ114-1</f>
        <v>1.5367770915216017E-2</v>
      </c>
      <c r="BA138" s="18">
        <f t="shared" si="261"/>
        <v>1.0338743770260672E-2</v>
      </c>
      <c r="BB138" s="18">
        <f t="shared" si="261"/>
        <v>9.2374165325517232E-3</v>
      </c>
      <c r="BC138" s="18">
        <f t="shared" si="261"/>
        <v>8.8221860232480243E-3</v>
      </c>
      <c r="BD138" s="18">
        <f t="shared" si="261"/>
        <v>7.9573074449297287E-3</v>
      </c>
      <c r="BE138" s="18">
        <f t="shared" si="261"/>
        <v>8.019033979052681E-3</v>
      </c>
      <c r="BF138" s="18">
        <f t="shared" si="261"/>
        <v>2.3592745399307891E-3</v>
      </c>
      <c r="BG138" s="18">
        <f t="shared" ref="BG138:BL138" si="262">+(BG114+BG117)/BG114-1</f>
        <v>2.2328707961065675E-3</v>
      </c>
      <c r="BH138" s="18">
        <f t="shared" si="262"/>
        <v>1.9481350781203055E-3</v>
      </c>
      <c r="BI138" s="18">
        <f t="shared" si="262"/>
        <v>1.8357245780473708E-3</v>
      </c>
      <c r="BJ138" s="18">
        <f t="shared" si="262"/>
        <v>1.7261417867475704E-3</v>
      </c>
      <c r="BK138" s="18">
        <f t="shared" si="262"/>
        <v>1.6944120822204312E-3</v>
      </c>
      <c r="BL138" s="18">
        <f t="shared" si="262"/>
        <v>1.1702858453030984E-3</v>
      </c>
      <c r="BM138" s="18">
        <f t="shared" ref="BM138:BR138" si="263">+(BM114+BM117)/BM114-1</f>
        <v>3.489693887821721E-3</v>
      </c>
      <c r="BN138" s="18">
        <f t="shared" si="263"/>
        <v>1.4099897292532138E-3</v>
      </c>
      <c r="BO138" s="18">
        <f t="shared" si="263"/>
        <v>1.8840818062356712E-2</v>
      </c>
      <c r="BP138" s="18">
        <f t="shared" si="263"/>
        <v>1.864255486945976E-2</v>
      </c>
      <c r="BQ138" s="18">
        <f t="shared" si="263"/>
        <v>3.5038072672661791E-3</v>
      </c>
      <c r="BR138" s="18">
        <f t="shared" si="263"/>
        <v>1.0029417043307287E-2</v>
      </c>
      <c r="BS138" s="18">
        <f t="shared" ref="BS138" si="264">+(BS114+BS117)/BS114-1</f>
        <v>9.5832834380504828E-3</v>
      </c>
    </row>
    <row r="139" spans="1:71">
      <c r="A139" s="14"/>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100"/>
      <c r="AT139" s="57"/>
      <c r="AU139" s="57"/>
      <c r="AV139" s="56"/>
      <c r="AW139" s="100"/>
      <c r="AX139" s="2"/>
      <c r="AY139" s="57" t="s">
        <v>561</v>
      </c>
      <c r="AZ139" s="510">
        <f t="shared" ref="AZ139:BF139" si="265">+(AZ114+AZ118)/AZ114-1</f>
        <v>-1.4963503649635057E-2</v>
      </c>
      <c r="BA139" s="510">
        <f t="shared" si="265"/>
        <v>-1.6283521438160586E-2</v>
      </c>
      <c r="BB139" s="510">
        <f t="shared" si="265"/>
        <v>-1.0022596937818484E-2</v>
      </c>
      <c r="BC139" s="510">
        <f t="shared" si="265"/>
        <v>-8.954518813596879E-3</v>
      </c>
      <c r="BD139" s="510">
        <f t="shared" si="265"/>
        <v>-5.8486209720232107E-3</v>
      </c>
      <c r="BE139" s="510">
        <f t="shared" si="265"/>
        <v>-9.5426504350727415E-3</v>
      </c>
      <c r="BF139" s="510">
        <f t="shared" si="265"/>
        <v>-1.0026916794706575E-2</v>
      </c>
      <c r="BG139" s="510">
        <f t="shared" ref="BG139:BL139" si="266">+(BG114+BG118)/BG114-1</f>
        <v>-1.0988074707156015E-2</v>
      </c>
      <c r="BH139" s="510">
        <f t="shared" si="266"/>
        <v>-1.1827962974301331E-2</v>
      </c>
      <c r="BI139" s="510">
        <f t="shared" si="266"/>
        <v>-9.3621953480417242E-3</v>
      </c>
      <c r="BJ139" s="510">
        <f t="shared" si="266"/>
        <v>-8.3841172499165006E-3</v>
      </c>
      <c r="BK139" s="510">
        <f t="shared" si="266"/>
        <v>-6.5840012337702314E-3</v>
      </c>
      <c r="BL139" s="510">
        <f t="shared" si="266"/>
        <v>-2.5365945696945724E-3</v>
      </c>
      <c r="BM139" s="510">
        <f t="shared" ref="BM139:BR139" si="267">+(BM114+BM118)/BM114-1</f>
        <v>-4.8327810401105342E-3</v>
      </c>
      <c r="BN139" s="510">
        <f t="shared" si="267"/>
        <v>-1.0263416793969249E-2</v>
      </c>
      <c r="BO139" s="510">
        <f t="shared" si="267"/>
        <v>-9.8120724137609194E-3</v>
      </c>
      <c r="BP139" s="510">
        <f t="shared" si="267"/>
        <v>-9.1497162932603349E-3</v>
      </c>
      <c r="BQ139" s="510">
        <f t="shared" si="267"/>
        <v>-8.5982963886211961E-3</v>
      </c>
      <c r="BR139" s="510">
        <f t="shared" si="267"/>
        <v>-8.2040186351086675E-3</v>
      </c>
      <c r="BS139" s="510">
        <f t="shared" ref="BS139" si="268">+(BS114+BS118)/BS114-1</f>
        <v>-7.8390833257612202E-3</v>
      </c>
    </row>
    <row r="140" spans="1:71" hidden="1" outlineLevel="1">
      <c r="A140" s="2" t="s">
        <v>256</v>
      </c>
      <c r="B140" s="2"/>
      <c r="C140" s="2"/>
      <c r="D140" s="2"/>
      <c r="E140" s="2"/>
      <c r="F140" s="2"/>
      <c r="G140" s="2"/>
      <c r="H140" s="2"/>
      <c r="I140" s="2"/>
      <c r="J140" s="2"/>
      <c r="K140" s="2"/>
      <c r="L140" s="2"/>
      <c r="M140" s="2"/>
      <c r="N140" s="2"/>
      <c r="O140" s="2"/>
      <c r="P140" s="2"/>
      <c r="Q140" s="2"/>
      <c r="R140" s="2"/>
      <c r="S140" s="2"/>
      <c r="T140" s="2"/>
      <c r="U140" s="2"/>
      <c r="V140" s="2"/>
      <c r="W140" s="2"/>
      <c r="X140" s="2"/>
      <c r="Y140" s="2"/>
      <c r="Z140" s="528">
        <f>+'store&amp;sf'!BM286</f>
        <v>9.4E-2</v>
      </c>
      <c r="AA140" s="504">
        <v>0.1</v>
      </c>
      <c r="AB140" s="504">
        <v>0.1</v>
      </c>
      <c r="AC140" s="504">
        <v>0.1</v>
      </c>
      <c r="AD140" s="504">
        <v>3.0000000000000001E-3</v>
      </c>
      <c r="AE140" s="504">
        <f t="shared" ref="AE140:AJ140" si="269">+AD140</f>
        <v>3.0000000000000001E-3</v>
      </c>
      <c r="AF140" s="504">
        <f t="shared" si="269"/>
        <v>3.0000000000000001E-3</v>
      </c>
      <c r="AG140" s="504">
        <f t="shared" si="269"/>
        <v>3.0000000000000001E-3</v>
      </c>
      <c r="AH140" s="504">
        <f t="shared" si="269"/>
        <v>3.0000000000000001E-3</v>
      </c>
      <c r="AI140" s="504">
        <f t="shared" si="269"/>
        <v>3.0000000000000001E-3</v>
      </c>
      <c r="AJ140" s="504">
        <f t="shared" si="269"/>
        <v>3.0000000000000001E-3</v>
      </c>
      <c r="AK140" s="504">
        <f>+AJ140</f>
        <v>3.0000000000000001E-3</v>
      </c>
      <c r="AL140" s="504">
        <v>8.0000000000000002E-3</v>
      </c>
      <c r="AM140" s="504">
        <f t="shared" ref="AM140:AR140" si="270">+AL140</f>
        <v>8.0000000000000002E-3</v>
      </c>
      <c r="AN140" s="504">
        <f t="shared" si="270"/>
        <v>8.0000000000000002E-3</v>
      </c>
      <c r="AO140" s="504">
        <f t="shared" si="270"/>
        <v>8.0000000000000002E-3</v>
      </c>
      <c r="AP140" s="504">
        <f t="shared" si="270"/>
        <v>8.0000000000000002E-3</v>
      </c>
      <c r="AQ140" s="504">
        <f t="shared" si="270"/>
        <v>8.0000000000000002E-3</v>
      </c>
      <c r="AR140" s="504">
        <f t="shared" si="270"/>
        <v>8.0000000000000002E-3</v>
      </c>
      <c r="AS140" s="100"/>
      <c r="AT140" s="57"/>
      <c r="AU140" s="57"/>
      <c r="AV140" s="56"/>
      <c r="AW140" s="100"/>
      <c r="AX140" s="2"/>
      <c r="AY140" s="2" t="s">
        <v>146</v>
      </c>
      <c r="AZ140" s="18">
        <f t="shared" ref="AZ140:BL140" si="271">+SUM(AZ136:AZ139)</f>
        <v>8.4446939921392405E-2</v>
      </c>
      <c r="BA140" s="18">
        <f t="shared" si="271"/>
        <v>0.11922459421723064</v>
      </c>
      <c r="BB140" s="18">
        <f t="shared" si="271"/>
        <v>4.7066623647402217E-2</v>
      </c>
      <c r="BC140" s="18">
        <f t="shared" si="271"/>
        <v>0.10868985323289904</v>
      </c>
      <c r="BD140" s="18">
        <f t="shared" si="271"/>
        <v>-1.1234333586579104E-2</v>
      </c>
      <c r="BE140" s="18">
        <f t="shared" si="271"/>
        <v>-6.2902254646174716E-2</v>
      </c>
      <c r="BF140" s="18">
        <f t="shared" si="271"/>
        <v>1.2413108129343708E-2</v>
      </c>
      <c r="BG140" s="18">
        <f t="shared" si="271"/>
        <v>6.6805290728591649E-2</v>
      </c>
      <c r="BH140" s="18">
        <f t="shared" si="271"/>
        <v>6.1234948541340928E-2</v>
      </c>
      <c r="BI140" s="18">
        <f t="shared" si="271"/>
        <v>6.3484235270380496E-2</v>
      </c>
      <c r="BJ140" s="18">
        <f t="shared" si="271"/>
        <v>1.8726084911781515E-2</v>
      </c>
      <c r="BK140" s="18">
        <f t="shared" si="271"/>
        <v>6.9633608849965278E-2</v>
      </c>
      <c r="BL140" s="18">
        <f t="shared" si="271"/>
        <v>7.4230289675550787E-2</v>
      </c>
      <c r="BM140" s="18">
        <f>+SUM(BM136:BM139)</f>
        <v>4.7932103950359073E-2</v>
      </c>
      <c r="BN140" s="18">
        <f>+SUM(BN136:BN139)</f>
        <v>3.2502124150940892E-2</v>
      </c>
      <c r="BO140" s="18">
        <f>+SUM(BO136:BO139)</f>
        <v>7.2390891615774944E-2</v>
      </c>
    </row>
    <row r="141" spans="1:71" hidden="1" outlineLevel="1">
      <c r="A141" s="10" t="s">
        <v>323</v>
      </c>
      <c r="B141" s="9"/>
      <c r="C141" s="9"/>
      <c r="D141" s="9"/>
      <c r="E141" s="9"/>
      <c r="F141" s="9"/>
      <c r="G141" s="9"/>
      <c r="H141" s="9"/>
      <c r="I141" s="9"/>
      <c r="J141" s="9"/>
      <c r="K141" s="9"/>
      <c r="L141" s="9"/>
      <c r="M141" s="9"/>
      <c r="N141" s="9"/>
      <c r="O141" s="9"/>
      <c r="P141" s="9"/>
      <c r="Q141" s="9"/>
      <c r="R141" s="50"/>
      <c r="S141" s="50"/>
      <c r="T141" s="50"/>
      <c r="U141" s="9"/>
      <c r="V141" s="9"/>
      <c r="W141" s="9"/>
      <c r="X141" s="489"/>
      <c r="Y141" s="50">
        <v>3140</v>
      </c>
      <c r="Z141" s="50">
        <v>4500</v>
      </c>
      <c r="AA141" s="50">
        <v>4500</v>
      </c>
      <c r="AB141" s="50">
        <v>4500</v>
      </c>
      <c r="AC141" s="50">
        <v>2700</v>
      </c>
      <c r="AD141" s="50">
        <v>2400</v>
      </c>
      <c r="AE141" s="50">
        <v>2400</v>
      </c>
      <c r="AF141" s="50">
        <v>2400</v>
      </c>
      <c r="AG141" s="50">
        <v>2400</v>
      </c>
      <c r="AH141" s="50">
        <v>2500</v>
      </c>
      <c r="AI141" s="50">
        <v>2500</v>
      </c>
      <c r="AJ141" s="50">
        <v>2500</v>
      </c>
      <c r="AK141" s="50">
        <v>2500</v>
      </c>
      <c r="AL141" s="50">
        <v>5000</v>
      </c>
      <c r="AM141" s="50">
        <v>5000</v>
      </c>
      <c r="AN141" s="50">
        <v>5000</v>
      </c>
      <c r="AO141" s="50">
        <v>5000</v>
      </c>
      <c r="AP141" s="50">
        <v>5000</v>
      </c>
      <c r="AQ141" s="50">
        <v>5000</v>
      </c>
      <c r="AR141" s="50">
        <v>5000</v>
      </c>
      <c r="AS141" s="104"/>
      <c r="AT141" s="98"/>
      <c r="AU141" s="98"/>
      <c r="AV141" s="56"/>
      <c r="AW141" s="100"/>
      <c r="AX141" s="2"/>
      <c r="AY141" s="2"/>
      <c r="AZ141" s="2"/>
      <c r="BA141" s="2"/>
      <c r="BB141" s="2"/>
      <c r="BC141" s="2"/>
      <c r="BD141" s="2"/>
      <c r="BE141" s="2"/>
      <c r="BF141" s="2"/>
      <c r="BG141" s="2"/>
      <c r="BH141" s="2"/>
      <c r="BI141" s="2"/>
      <c r="BJ141" s="2"/>
      <c r="BK141" s="2"/>
      <c r="BL141" s="2"/>
    </row>
    <row r="142" spans="1:71" hidden="1" outlineLevel="1">
      <c r="A142" s="10" t="s">
        <v>391</v>
      </c>
      <c r="B142" s="9"/>
      <c r="C142" s="9"/>
      <c r="D142" s="9"/>
      <c r="E142" s="9"/>
      <c r="F142" s="9"/>
      <c r="G142" s="9"/>
      <c r="H142" s="9"/>
      <c r="I142" s="9"/>
      <c r="J142" s="9"/>
      <c r="K142" s="9"/>
      <c r="L142" s="9"/>
      <c r="M142" s="9"/>
      <c r="N142" s="9"/>
      <c r="O142" s="9"/>
      <c r="P142" s="9"/>
      <c r="Q142" s="9"/>
      <c r="R142" s="50"/>
      <c r="S142" s="50"/>
      <c r="T142" s="50"/>
      <c r="U142" s="9"/>
      <c r="V142" s="9"/>
      <c r="W142" s="9"/>
      <c r="X142" s="490"/>
      <c r="Y142" s="50">
        <v>2000</v>
      </c>
      <c r="Z142" s="50">
        <v>2000</v>
      </c>
      <c r="AA142" s="50">
        <v>2000</v>
      </c>
      <c r="AB142" s="50">
        <v>2000</v>
      </c>
      <c r="AC142" s="50">
        <v>2080</v>
      </c>
      <c r="AD142" s="50">
        <v>2130</v>
      </c>
      <c r="AE142" s="50">
        <v>2000</v>
      </c>
      <c r="AF142" s="50">
        <v>2000</v>
      </c>
      <c r="AG142" s="50">
        <v>2000</v>
      </c>
      <c r="AH142" s="50">
        <v>2000</v>
      </c>
      <c r="AI142" s="50">
        <v>2000</v>
      </c>
      <c r="AJ142" s="50">
        <v>2000</v>
      </c>
      <c r="AK142" s="50">
        <v>2000</v>
      </c>
      <c r="AL142" s="50">
        <v>2000</v>
      </c>
      <c r="AM142" s="50">
        <v>2000</v>
      </c>
      <c r="AN142" s="50">
        <v>2000</v>
      </c>
      <c r="AO142" s="50">
        <v>2000</v>
      </c>
      <c r="AP142" s="50">
        <v>2000</v>
      </c>
      <c r="AQ142" s="50">
        <v>2000</v>
      </c>
      <c r="AR142" s="50">
        <v>2000</v>
      </c>
      <c r="AS142" s="104"/>
      <c r="AT142" s="98"/>
      <c r="AU142" s="98"/>
      <c r="AV142" s="56"/>
      <c r="AW142" s="100"/>
      <c r="AX142" s="2"/>
      <c r="AY142" s="2"/>
      <c r="AZ142" s="2"/>
      <c r="BA142" s="2"/>
      <c r="BB142" s="2"/>
      <c r="BC142" s="2"/>
      <c r="BD142" s="2"/>
      <c r="BE142" s="2"/>
      <c r="BF142" s="2"/>
      <c r="BG142" s="2"/>
      <c r="BH142" s="2"/>
      <c r="BI142" s="2"/>
      <c r="BJ142" s="2"/>
      <c r="BK142" s="2"/>
      <c r="BL142" s="2"/>
    </row>
    <row r="143" spans="1:71" hidden="1" outlineLevel="1">
      <c r="A143" s="10"/>
      <c r="B143" s="9"/>
      <c r="C143" s="9"/>
      <c r="D143" s="9"/>
      <c r="E143" s="9"/>
      <c r="F143" s="9"/>
      <c r="G143" s="9"/>
      <c r="H143" s="9"/>
      <c r="I143" s="9"/>
      <c r="J143" s="9"/>
      <c r="K143" s="9"/>
      <c r="L143" s="9"/>
      <c r="M143" s="9"/>
      <c r="N143" s="9"/>
      <c r="O143" s="9"/>
      <c r="P143" s="9"/>
      <c r="Q143" s="9"/>
      <c r="R143" s="50"/>
      <c r="S143" s="50"/>
      <c r="T143" s="50"/>
      <c r="U143" s="9"/>
      <c r="V143" s="9"/>
      <c r="W143" s="9"/>
      <c r="X143" s="488"/>
      <c r="Y143" s="50"/>
      <c r="Z143" s="465"/>
      <c r="AA143" s="9"/>
      <c r="AB143" s="9"/>
      <c r="AC143" s="507"/>
      <c r="AD143" s="507"/>
      <c r="AE143" s="9"/>
      <c r="AF143" s="9"/>
      <c r="AG143" s="9"/>
      <c r="AH143" s="9"/>
      <c r="AI143" s="9"/>
      <c r="AJ143" s="9"/>
      <c r="AK143" s="9"/>
      <c r="AL143" s="9"/>
      <c r="AM143" s="9"/>
      <c r="AN143" s="9"/>
      <c r="AO143" s="9"/>
      <c r="AP143" s="9"/>
      <c r="AQ143" s="9"/>
      <c r="AR143" s="9"/>
      <c r="AS143" s="104"/>
      <c r="AT143" s="98"/>
      <c r="AU143" s="98"/>
      <c r="AV143" s="56"/>
      <c r="AW143" s="100"/>
      <c r="AX143" s="2"/>
      <c r="AY143" s="2"/>
      <c r="AZ143" s="2"/>
      <c r="BA143" s="2"/>
      <c r="BB143" s="2"/>
      <c r="BC143" s="2"/>
      <c r="BD143" s="2"/>
      <c r="BE143" s="2"/>
      <c r="BF143" s="2"/>
      <c r="BG143" s="2"/>
      <c r="BH143" s="2"/>
      <c r="BI143" s="2"/>
      <c r="BJ143" s="2"/>
      <c r="BK143" s="2"/>
      <c r="BL143" s="2"/>
    </row>
    <row r="144" spans="1:71" collapsed="1">
      <c r="A144" s="213" t="s">
        <v>392</v>
      </c>
      <c r="B144" s="8"/>
      <c r="C144" s="8"/>
      <c r="D144" s="8"/>
      <c r="E144" s="8"/>
      <c r="F144" s="8"/>
      <c r="G144" s="8"/>
      <c r="H144" s="8"/>
      <c r="I144" s="8"/>
      <c r="J144" s="8"/>
      <c r="K144" s="8"/>
      <c r="L144" s="8"/>
      <c r="M144" s="8"/>
      <c r="N144" s="180"/>
      <c r="O144" s="180"/>
      <c r="P144" s="180">
        <f t="shared" ref="P144:AC144" si="272">(P114-P138)/P127</f>
        <v>0.99143657462985224</v>
      </c>
      <c r="Q144" s="180">
        <f t="shared" si="272"/>
        <v>0.75778717948717944</v>
      </c>
      <c r="R144" s="180">
        <f t="shared" si="272"/>
        <v>0.73459750532400381</v>
      </c>
      <c r="S144" s="180">
        <f t="shared" si="272"/>
        <v>0.69920870033380034</v>
      </c>
      <c r="T144" s="180">
        <f t="shared" si="272"/>
        <v>0.56525764486594676</v>
      </c>
      <c r="U144" s="180">
        <f t="shared" si="272"/>
        <v>0.50061875016446833</v>
      </c>
      <c r="V144" s="180">
        <f t="shared" si="272"/>
        <v>0.75652132532010374</v>
      </c>
      <c r="W144" s="180">
        <f t="shared" si="272"/>
        <v>0.50402050725943792</v>
      </c>
      <c r="X144" s="180">
        <f t="shared" si="272"/>
        <v>0.61102726961912734</v>
      </c>
      <c r="Y144" s="180">
        <f t="shared" si="272"/>
        <v>0.54924143739472908</v>
      </c>
      <c r="Z144" s="180">
        <f t="shared" si="272"/>
        <v>-0.62374385555544465</v>
      </c>
      <c r="AA144" s="180">
        <f>(AA114-AA138)/AA127</f>
        <v>3.4322497560686993</v>
      </c>
      <c r="AB144" s="180">
        <f t="shared" si="272"/>
        <v>2.7406238802577714</v>
      </c>
      <c r="AC144" s="180">
        <f t="shared" si="272"/>
        <v>0.56531008614668155</v>
      </c>
      <c r="AD144" s="180">
        <f t="shared" ref="AD144:AI144" si="273">(AD114-AD138)/AD127</f>
        <v>1.1504213189836865</v>
      </c>
      <c r="AE144" s="180">
        <f t="shared" si="273"/>
        <v>0.65749784009018175</v>
      </c>
      <c r="AF144" s="180">
        <f t="shared" si="273"/>
        <v>1.0345341106201269</v>
      </c>
      <c r="AG144" s="180">
        <f t="shared" si="273"/>
        <v>5.4265326612174745</v>
      </c>
      <c r="AH144" s="180">
        <f t="shared" si="273"/>
        <v>-11.065051360208228</v>
      </c>
      <c r="AI144" s="180">
        <f t="shared" si="273"/>
        <v>-7.0612313879340416E-2</v>
      </c>
      <c r="AJ144" s="180">
        <f>(AJ114-AJ138)/(AJ127+0.01)</f>
        <v>1.7233170329359824</v>
      </c>
      <c r="AK144" s="180">
        <f t="shared" ref="AK144:AO144" si="274">(AK114-AK138)/AK127</f>
        <v>1.1171169654875148</v>
      </c>
      <c r="AL144" s="180">
        <f t="shared" si="274"/>
        <v>1.22497021713564</v>
      </c>
      <c r="AM144" s="180">
        <f t="shared" si="274"/>
        <v>1.4086729909059772</v>
      </c>
      <c r="AN144" s="180">
        <f t="shared" si="274"/>
        <v>0.44394598094519117</v>
      </c>
      <c r="AO144" s="180">
        <f t="shared" si="274"/>
        <v>0.88538821169413839</v>
      </c>
      <c r="AP144" s="180">
        <f>(AP114-AP138)/AP127</f>
        <v>0.84035111711190913</v>
      </c>
      <c r="AQ144" s="180">
        <f>(AQ114-AQ138)/AQ127</f>
        <v>1.0562991876308712</v>
      </c>
      <c r="AR144" s="180">
        <f>(AR114-AR138)/AR127</f>
        <v>1.5590508619052439</v>
      </c>
      <c r="AS144" s="100"/>
      <c r="AT144" s="57"/>
      <c r="AU144" s="57"/>
      <c r="AV144" s="56"/>
      <c r="AW144" s="100"/>
      <c r="AX144" s="2"/>
      <c r="AY144" s="2"/>
      <c r="AZ144" s="2"/>
      <c r="BA144" s="2"/>
      <c r="BB144" s="2"/>
      <c r="BC144" s="2"/>
      <c r="BD144" s="2"/>
      <c r="BE144" s="2"/>
      <c r="BF144" s="2"/>
      <c r="BG144" s="2"/>
      <c r="BH144" s="2"/>
      <c r="BI144" s="2"/>
      <c r="BJ144" s="2"/>
      <c r="BK144" s="2"/>
      <c r="BL144" s="2"/>
    </row>
    <row r="145" spans="1:64">
      <c r="AS145" s="537"/>
      <c r="AT145" s="139"/>
      <c r="AU145" s="139"/>
      <c r="AV145" s="139"/>
      <c r="AW145" s="537"/>
    </row>
    <row r="146" spans="1:64">
      <c r="A146" s="14" t="s">
        <v>1107</v>
      </c>
      <c r="B146" s="2"/>
      <c r="C146" s="2"/>
      <c r="D146" s="2"/>
      <c r="E146" s="2"/>
      <c r="F146" s="2"/>
      <c r="G146" s="2"/>
      <c r="H146" s="2"/>
      <c r="I146" s="2"/>
      <c r="J146" s="2"/>
      <c r="K146" s="475">
        <f>+'store&amp;sf'!L378</f>
        <v>2.5000000000000001E-3</v>
      </c>
      <c r="L146" s="475">
        <f>+'store&amp;sf'!L384</f>
        <v>0.03</v>
      </c>
      <c r="M146" s="475">
        <f>+'store&amp;sf'!L390</f>
        <v>0.12375</v>
      </c>
      <c r="N146" s="475">
        <f>+'store&amp;sf'!L396</f>
        <v>0.16500000000000001</v>
      </c>
      <c r="O146" s="475">
        <f>+'store&amp;sf'!L402</f>
        <v>0.31</v>
      </c>
      <c r="P146" s="475">
        <f>+'store&amp;sf'!L408</f>
        <v>0.61124999999999996</v>
      </c>
      <c r="Q146" s="475">
        <f>+'store&amp;sf'!L414</f>
        <v>1.0599999999999998</v>
      </c>
      <c r="R146" s="475">
        <f>+'store&amp;sf'!L420</f>
        <v>1.6925000000000001</v>
      </c>
      <c r="S146" s="475">
        <f>+'store&amp;sf'!L426</f>
        <v>2.2162499999999996</v>
      </c>
      <c r="T146" s="475">
        <f>+'store&amp;sf'!L432</f>
        <v>2.6149999999999998</v>
      </c>
      <c r="U146" s="475">
        <f>+'store&amp;sf'!L438</f>
        <v>3.1125000000000003</v>
      </c>
      <c r="V146" s="475">
        <f>+'store&amp;sf'!L444</f>
        <v>3.7987500000000001</v>
      </c>
      <c r="W146" s="475">
        <f>+'store&amp;sf'!L450</f>
        <v>4.3287499999999994</v>
      </c>
      <c r="X146" s="236">
        <f>+'store&amp;sf'!L456</f>
        <v>4.46</v>
      </c>
      <c r="Y146" s="475">
        <f>+'store&amp;sf'!L462</f>
        <v>4.4274999999999993</v>
      </c>
      <c r="Z146" s="475">
        <f>+Z129/'store&amp;sf'!$AR$373</f>
        <v>4.4449999999999994</v>
      </c>
      <c r="AA146" s="475">
        <f>+AA129/'store&amp;sf'!$AR$373</f>
        <v>4.4624999999999995</v>
      </c>
      <c r="AB146" s="475">
        <f>+AB129/'store&amp;sf'!$AR$373</f>
        <v>4.5049999999999999</v>
      </c>
      <c r="AC146" s="475">
        <f>+AC129/'store&amp;sf'!$AR$373</f>
        <v>4.7162499999999996</v>
      </c>
      <c r="AD146" s="475">
        <f>+AD129/'store&amp;sf'!$AR$373</f>
        <v>4.8862499999999995</v>
      </c>
      <c r="AE146" s="475">
        <f>+AE129/'store&amp;sf'!$AR$373</f>
        <v>4.9174999999999995</v>
      </c>
      <c r="AF146" s="475">
        <f>+AF129/'store&amp;sf'!$AR$373</f>
        <v>4.9399999999999995</v>
      </c>
      <c r="AG146" s="475">
        <f>+AG129/'store&amp;sf'!$AR$373</f>
        <v>4.9274999999999993</v>
      </c>
      <c r="AH146" s="475">
        <f>+AH129/'store&amp;sf'!$AR$373</f>
        <v>4.8650000000000002</v>
      </c>
      <c r="AI146" s="475">
        <f>+AI129/'store&amp;sf'!$AR$373</f>
        <v>4.8475000000000001</v>
      </c>
      <c r="AJ146" s="475">
        <f>+AJ129/'store&amp;sf'!$AR$373</f>
        <v>4.8649999999999993</v>
      </c>
      <c r="AK146" s="475">
        <f>+AK129/'store&amp;sf'!$AR$373</f>
        <v>4.9887499999999996</v>
      </c>
      <c r="AL146" s="475">
        <f>+AL129/'store&amp;sf'!$AR$373</f>
        <v>5.2062499999999998</v>
      </c>
      <c r="AM146" s="475">
        <f>+AM129/'store&amp;sf'!$AR$373</f>
        <v>5.357499999999999</v>
      </c>
      <c r="AN146" s="475">
        <f>+AN129/'store&amp;sf'!$AR$373</f>
        <v>5.6390900383141762</v>
      </c>
      <c r="AO146" s="475">
        <f>+AO129/'store&amp;sf'!$AR$373</f>
        <v>5.7615900383141767</v>
      </c>
      <c r="AP146" s="475">
        <f>+AP129/'store&amp;sf'!$AR$373</f>
        <v>5.8840900383141781</v>
      </c>
      <c r="AQ146" s="475">
        <f>+AQ129/'store&amp;sf'!$AR$373</f>
        <v>5.9440900383141777</v>
      </c>
      <c r="AR146" s="475">
        <f>+AR129/'store&amp;sf'!$AR$373</f>
        <v>6.0040900383141782</v>
      </c>
      <c r="AS146" s="100"/>
      <c r="AT146" s="57"/>
      <c r="AU146" s="57"/>
      <c r="AV146" s="56"/>
      <c r="AW146" s="100"/>
      <c r="AX146" s="2"/>
      <c r="AY146" s="2"/>
      <c r="AZ146" s="2"/>
      <c r="BA146" s="2"/>
      <c r="BB146" s="2"/>
      <c r="BC146" s="2"/>
      <c r="BD146" s="2"/>
      <c r="BE146" s="2"/>
      <c r="BF146" s="2"/>
      <c r="BG146" s="2"/>
      <c r="BH146" s="2"/>
      <c r="BI146" s="2"/>
      <c r="BJ146" s="2"/>
      <c r="BK146" s="2"/>
      <c r="BL146" s="2"/>
    </row>
    <row r="147" spans="1:64">
      <c r="A147" s="14" t="s">
        <v>1108</v>
      </c>
      <c r="B147" s="2"/>
      <c r="C147" s="2"/>
      <c r="D147" s="2"/>
      <c r="E147" s="2"/>
      <c r="F147" s="2"/>
      <c r="G147" s="2"/>
      <c r="H147" s="2"/>
      <c r="I147" s="2"/>
      <c r="J147" s="2"/>
      <c r="K147" s="475"/>
      <c r="L147" s="475">
        <f t="shared" ref="L147:AK147" si="275">+(K146+L146)/2</f>
        <v>1.6250000000000001E-2</v>
      </c>
      <c r="M147" s="475">
        <f t="shared" si="275"/>
        <v>7.6874999999999999E-2</v>
      </c>
      <c r="N147" s="475">
        <f t="shared" si="275"/>
        <v>0.144375</v>
      </c>
      <c r="O147" s="475">
        <f t="shared" si="275"/>
        <v>0.23749999999999999</v>
      </c>
      <c r="P147" s="475">
        <f t="shared" si="275"/>
        <v>0.46062499999999995</v>
      </c>
      <c r="Q147" s="475">
        <f t="shared" si="275"/>
        <v>0.83562499999999984</v>
      </c>
      <c r="R147" s="475">
        <f t="shared" si="275"/>
        <v>1.37625</v>
      </c>
      <c r="S147" s="475">
        <f t="shared" si="275"/>
        <v>1.9543749999999998</v>
      </c>
      <c r="T147" s="475">
        <f t="shared" si="275"/>
        <v>2.4156249999999995</v>
      </c>
      <c r="U147" s="475">
        <f t="shared" si="275"/>
        <v>2.86375</v>
      </c>
      <c r="V147" s="475">
        <f t="shared" si="275"/>
        <v>3.4556250000000004</v>
      </c>
      <c r="W147" s="475">
        <f t="shared" si="275"/>
        <v>4.0637499999999998</v>
      </c>
      <c r="X147" s="475">
        <f t="shared" si="275"/>
        <v>4.3943750000000001</v>
      </c>
      <c r="Y147" s="475">
        <f t="shared" si="275"/>
        <v>4.4437499999999996</v>
      </c>
      <c r="Z147" s="475">
        <f t="shared" si="275"/>
        <v>4.4362499999999994</v>
      </c>
      <c r="AA147" s="475">
        <f t="shared" si="275"/>
        <v>4.4537499999999994</v>
      </c>
      <c r="AB147" s="475">
        <f t="shared" si="275"/>
        <v>4.4837499999999997</v>
      </c>
      <c r="AC147" s="475">
        <f t="shared" si="275"/>
        <v>4.6106249999999998</v>
      </c>
      <c r="AD147" s="475">
        <f t="shared" si="275"/>
        <v>4.8012499999999996</v>
      </c>
      <c r="AE147" s="475">
        <f t="shared" si="275"/>
        <v>4.9018749999999995</v>
      </c>
      <c r="AF147" s="475">
        <f t="shared" si="275"/>
        <v>4.9287499999999991</v>
      </c>
      <c r="AG147" s="475">
        <f t="shared" si="275"/>
        <v>4.9337499999999999</v>
      </c>
      <c r="AH147" s="475">
        <f t="shared" si="275"/>
        <v>4.8962500000000002</v>
      </c>
      <c r="AI147" s="475">
        <f t="shared" si="275"/>
        <v>4.8562500000000002</v>
      </c>
      <c r="AJ147" s="475">
        <f t="shared" si="275"/>
        <v>4.8562499999999993</v>
      </c>
      <c r="AK147" s="475">
        <f t="shared" si="275"/>
        <v>4.926874999999999</v>
      </c>
      <c r="AL147" s="475">
        <f t="shared" ref="AL147:AR147" si="276">+(AK146+AL146)/2</f>
        <v>5.0975000000000001</v>
      </c>
      <c r="AM147" s="475">
        <f t="shared" si="276"/>
        <v>5.2818749999999994</v>
      </c>
      <c r="AN147" s="475">
        <f t="shared" si="276"/>
        <v>5.4982950191570872</v>
      </c>
      <c r="AO147" s="475">
        <f t="shared" si="276"/>
        <v>5.7003400383141765</v>
      </c>
      <c r="AP147" s="475">
        <f t="shared" si="276"/>
        <v>5.8228400383141778</v>
      </c>
      <c r="AQ147" s="475">
        <f t="shared" si="276"/>
        <v>5.9140900383141783</v>
      </c>
      <c r="AR147" s="475">
        <f t="shared" si="276"/>
        <v>5.974090038314178</v>
      </c>
      <c r="AS147" s="100"/>
      <c r="AT147" s="57"/>
      <c r="AU147" s="57"/>
      <c r="AV147" s="56"/>
      <c r="AW147" s="100"/>
      <c r="AX147" s="2"/>
      <c r="AY147" s="2"/>
      <c r="AZ147" s="2"/>
      <c r="BA147" s="2"/>
      <c r="BB147" s="2"/>
      <c r="BC147" s="2"/>
      <c r="BD147" s="2"/>
      <c r="BE147" s="2"/>
      <c r="BF147" s="2"/>
      <c r="BG147" s="2"/>
      <c r="BH147" s="2"/>
      <c r="BI147" s="2"/>
      <c r="BJ147" s="2"/>
      <c r="BK147" s="2"/>
      <c r="BL147" s="2"/>
    </row>
    <row r="148" spans="1:64">
      <c r="A148" s="14" t="s">
        <v>1105</v>
      </c>
      <c r="B148" s="2"/>
      <c r="C148" s="2"/>
      <c r="D148" s="2"/>
      <c r="E148" s="2"/>
      <c r="F148" s="2"/>
      <c r="G148" s="2"/>
      <c r="H148" s="2"/>
      <c r="I148" s="2"/>
      <c r="J148" s="2"/>
      <c r="K148" s="9"/>
      <c r="L148" s="9">
        <f>+L132/'store&amp;sf'!$AR$373</f>
        <v>1111.1111111111111</v>
      </c>
      <c r="M148" s="9">
        <f>+M132/'store&amp;sf'!$AR$373</f>
        <v>1302.6315789473683</v>
      </c>
      <c r="N148" s="9">
        <f>+N132/'store&amp;sf'!$AR$373</f>
        <v>1363.6363636363637</v>
      </c>
      <c r="O148" s="9">
        <f>+O132/'store&amp;sf'!$AR$373</f>
        <v>1597.9381443298969</v>
      </c>
      <c r="P148" s="9">
        <f>+P132/'store&amp;sf'!$AR$373</f>
        <v>1922.1698113207549</v>
      </c>
      <c r="Q148" s="9">
        <f>+Q132/'store&amp;sf'!$AR$373</f>
        <v>2128.5140562248994</v>
      </c>
      <c r="R148" s="9">
        <f>+R132/'store&amp;sf'!$AR$373</f>
        <v>2256.6666666666665</v>
      </c>
      <c r="S148" s="9">
        <f>+S132/'store&amp;sf'!$AR$373</f>
        <v>2406.3517915309444</v>
      </c>
      <c r="T148" s="9">
        <f>+T132/'store&amp;sf'!$AR$373</f>
        <v>2464.6559849198866</v>
      </c>
      <c r="U148" s="9">
        <f>+U132/'store&amp;sf'!$AR$373</f>
        <v>2563.8385502471174</v>
      </c>
      <c r="V148" s="9">
        <f>+V132/'store&amp;sf'!$AR$373</f>
        <v>2652.7583798882679</v>
      </c>
      <c r="W148" s="9">
        <f>+W132/'store&amp;sf'!$AR$373</f>
        <v>2680.3405572755414</v>
      </c>
      <c r="X148" s="9">
        <f>+X132/'store&amp;sf'!$AR$373</f>
        <v>2721.1714460036605</v>
      </c>
      <c r="Y148" s="9">
        <f>+Y132/'store&amp;sf'!$AR$373</f>
        <v>2760.2867830423934</v>
      </c>
      <c r="Z148" s="9">
        <f>+Z132/'store&amp;sf'!$AR$373</f>
        <v>2833.0146590184827</v>
      </c>
      <c r="AA148" s="9">
        <f>+AA132/'store&amp;sf'!$AR$373</f>
        <v>2869.7749196141476</v>
      </c>
      <c r="AB148" s="9">
        <f>+AB132/'store&amp;sf'!$AR$373</f>
        <v>2913.9715394566624</v>
      </c>
      <c r="AC148" s="9">
        <f>+AC132/'store&amp;sf'!$AR$373</f>
        <v>2962.4685929648244</v>
      </c>
      <c r="AD148" s="9">
        <f>+AD132/'store&amp;sf'!$AR$373</f>
        <v>2972.1715328467153</v>
      </c>
      <c r="AE148" s="9">
        <f>+AE132/'store&amp;sf'!$AR$373</f>
        <v>2965.9227985524722</v>
      </c>
      <c r="AF148" s="9">
        <f>+AF132/'store&amp;sf'!$AR$373</f>
        <v>2966.9669669669665</v>
      </c>
      <c r="AG148" s="9">
        <f>+AG132/'store&amp;sf'!$AR$373</f>
        <v>2975.5434782608691</v>
      </c>
      <c r="AH148" s="9">
        <f>+AH132/'store&amp;sf'!$AR$373</f>
        <v>2962.8501827040195</v>
      </c>
      <c r="AI148" s="9">
        <f>+AI132/'store&amp;sf'!$AR$373</f>
        <v>2959.4017094017095</v>
      </c>
      <c r="AJ148" s="9">
        <f>+AJ132/'store&amp;sf'!$AR$373</f>
        <v>2955.6500607533417</v>
      </c>
      <c r="AK148" s="9">
        <f>+AK132/'store&amp;sf'!$AR$373</f>
        <v>2983.7021531100481</v>
      </c>
      <c r="AL148" s="9">
        <f>+AL132/'store&amp;sf'!$AR$373</f>
        <v>3075.1624335499114</v>
      </c>
      <c r="AM148" s="9">
        <f>+AM132/'store&amp;sf'!$AR$373</f>
        <v>3162.6328217237301</v>
      </c>
      <c r="AN148" s="9">
        <f>+AN132/'store&amp;sf'!$AR$373</f>
        <v>3270.9338969339765</v>
      </c>
      <c r="AO148" s="9">
        <f>+AO132/'store&amp;sf'!$AR$373</f>
        <v>3341.9895813887333</v>
      </c>
      <c r="AP148" s="9">
        <f>+AP132/'store&amp;sf'!$AR$373</f>
        <v>3413.0452658434901</v>
      </c>
      <c r="AQ148" s="9">
        <f>+AQ132/'store&amp;sf'!$AR$373</f>
        <v>3467.9638496582133</v>
      </c>
      <c r="AR148" s="9">
        <f>+AR132/'store&amp;sf'!$AR$373</f>
        <v>3523.5270177900102</v>
      </c>
      <c r="AS148" s="100"/>
      <c r="AT148" s="57"/>
      <c r="AU148" s="57"/>
      <c r="AV148" s="56"/>
      <c r="AW148" s="100"/>
      <c r="AX148" s="2"/>
      <c r="AY148" s="2"/>
      <c r="AZ148" s="2"/>
      <c r="BA148" s="2"/>
      <c r="BB148" s="2"/>
      <c r="BC148" s="2"/>
      <c r="BD148" s="2"/>
      <c r="BE148" s="2"/>
      <c r="BF148" s="2"/>
      <c r="BG148" s="2"/>
      <c r="BH148" s="2"/>
      <c r="BI148" s="2"/>
      <c r="BJ148" s="2"/>
      <c r="BK148" s="2"/>
      <c r="BL148" s="2"/>
    </row>
    <row r="149" spans="1:64">
      <c r="A149" s="14" t="s">
        <v>1106</v>
      </c>
      <c r="B149" s="2"/>
      <c r="C149" s="2"/>
      <c r="D149" s="2"/>
      <c r="E149" s="2"/>
      <c r="F149" s="2"/>
      <c r="G149" s="2"/>
      <c r="H149" s="2"/>
      <c r="I149" s="2"/>
      <c r="J149" s="2"/>
      <c r="K149" s="2"/>
      <c r="L149" s="2"/>
      <c r="M149" s="6"/>
      <c r="N149" s="6">
        <f t="shared" ref="N149:AC149" si="277">+N113/N147</f>
        <v>394.80519480519479</v>
      </c>
      <c r="O149" s="6">
        <f t="shared" si="277"/>
        <v>471.5789473684211</v>
      </c>
      <c r="P149" s="6">
        <f t="shared" si="277"/>
        <v>564.45047489823617</v>
      </c>
      <c r="Q149" s="6">
        <f t="shared" si="277"/>
        <v>568.43679880329103</v>
      </c>
      <c r="R149" s="6">
        <f t="shared" si="277"/>
        <v>547.13896457765668</v>
      </c>
      <c r="S149" s="6">
        <f t="shared" si="277"/>
        <v>540.83786376718911</v>
      </c>
      <c r="T149" s="6">
        <f t="shared" si="277"/>
        <v>526.5717981888746</v>
      </c>
      <c r="U149" s="6">
        <f t="shared" si="277"/>
        <v>534.28232213007414</v>
      </c>
      <c r="V149" s="6">
        <f t="shared" si="277"/>
        <v>516.4290106710074</v>
      </c>
      <c r="W149" s="6">
        <f t="shared" si="277"/>
        <v>429.79267917563828</v>
      </c>
      <c r="X149" s="6">
        <f t="shared" si="277"/>
        <v>405.29085478594794</v>
      </c>
      <c r="Y149" s="6">
        <f t="shared" si="277"/>
        <v>435.32399437412101</v>
      </c>
      <c r="Z149" s="6">
        <f t="shared" si="277"/>
        <v>488.84621020005648</v>
      </c>
      <c r="AA149" s="6">
        <f t="shared" si="277"/>
        <v>512.99511647488077</v>
      </c>
      <c r="AB149" s="6">
        <f t="shared" si="277"/>
        <v>569.92584332311117</v>
      </c>
      <c r="AC149" s="6">
        <f t="shared" si="277"/>
        <v>540.93880981428777</v>
      </c>
      <c r="AD149" s="6">
        <f t="shared" ref="AD149:AI149" si="278">+AD113/AD147</f>
        <v>494.37354855506379</v>
      </c>
      <c r="AE149" s="6">
        <f t="shared" si="278"/>
        <v>486.05543797016452</v>
      </c>
      <c r="AF149" s="6">
        <f t="shared" si="278"/>
        <v>510.31722039056558</v>
      </c>
      <c r="AG149" s="6">
        <f t="shared" si="278"/>
        <v>542.05057005320498</v>
      </c>
      <c r="AH149" s="6">
        <f t="shared" si="278"/>
        <v>627.91707939749813</v>
      </c>
      <c r="AI149" s="6">
        <f t="shared" si="278"/>
        <v>642.03119691119684</v>
      </c>
      <c r="AJ149" s="6">
        <f t="shared" ref="AJ149:AO149" si="279">+AJ113/AJ147</f>
        <v>689.75217503217516</v>
      </c>
      <c r="AK149" s="6">
        <f t="shared" si="279"/>
        <v>727.95859444373991</v>
      </c>
      <c r="AL149" s="6">
        <f t="shared" si="279"/>
        <v>755.60882785679246</v>
      </c>
      <c r="AM149" s="6">
        <f t="shared" si="279"/>
        <v>785.29461602177253</v>
      </c>
      <c r="AN149" s="6">
        <f t="shared" si="279"/>
        <v>776.82316576313883</v>
      </c>
      <c r="AO149" s="6">
        <f t="shared" si="279"/>
        <v>796.14611750422318</v>
      </c>
      <c r="AP149" s="6">
        <f>+AP113/AP147</f>
        <v>816.85403438268906</v>
      </c>
      <c r="AQ149" s="6">
        <f>+AQ113/AQ147</f>
        <v>841.69111587736029</v>
      </c>
      <c r="AR149" s="6">
        <f>+AR113/AR147</f>
        <v>871.41413625384871</v>
      </c>
      <c r="AS149" s="100"/>
      <c r="AT149" s="3"/>
      <c r="AU149" s="3"/>
      <c r="AV149" s="107"/>
      <c r="AW149" s="108"/>
      <c r="AX149" s="2"/>
      <c r="AY149" s="2"/>
      <c r="AZ149" s="2"/>
      <c r="BA149" s="2"/>
      <c r="BB149" s="2"/>
      <c r="BC149" s="2"/>
      <c r="BD149" s="2"/>
      <c r="BE149" s="2"/>
      <c r="BF149" s="2"/>
      <c r="BG149" s="2"/>
      <c r="BH149" s="2"/>
      <c r="BI149" s="2"/>
      <c r="BJ149" s="2"/>
      <c r="BK149" s="2"/>
      <c r="BL149" s="2"/>
    </row>
    <row r="150" spans="1:64">
      <c r="A150" s="14"/>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57"/>
      <c r="AT150" s="57"/>
      <c r="AU150" s="57"/>
      <c r="AV150" s="56"/>
      <c r="AW150" s="57"/>
      <c r="AX150" s="2"/>
      <c r="AY150" s="2"/>
      <c r="AZ150" s="2"/>
      <c r="BA150" s="2"/>
      <c r="BB150" s="2"/>
      <c r="BC150" s="2"/>
      <c r="BD150" s="2"/>
      <c r="BE150" s="2"/>
      <c r="BF150" s="2"/>
      <c r="BG150" s="2"/>
      <c r="BH150" s="2"/>
      <c r="BI150" s="2"/>
      <c r="BJ150" s="2"/>
      <c r="BK150" s="2"/>
      <c r="BL150" s="2"/>
    </row>
    <row r="151" spans="1:64">
      <c r="A151" s="23" t="s">
        <v>549</v>
      </c>
      <c r="B151" s="2"/>
      <c r="C151" s="2"/>
      <c r="D151" s="2"/>
      <c r="E151" s="2"/>
      <c r="F151" s="2"/>
      <c r="G151" s="2"/>
      <c r="H151" s="2"/>
      <c r="I151" s="2"/>
      <c r="J151" s="2"/>
      <c r="K151" s="2"/>
      <c r="L151" s="2"/>
      <c r="M151" s="2"/>
      <c r="N151" s="2"/>
      <c r="O151" s="2"/>
      <c r="P151" s="2"/>
      <c r="Q151" s="2"/>
      <c r="R151" s="2"/>
      <c r="S151" s="20"/>
      <c r="T151" s="2"/>
      <c r="U151" s="2"/>
      <c r="V151" s="2"/>
      <c r="W151" s="2"/>
      <c r="X151" s="2"/>
      <c r="Y151" s="2"/>
      <c r="AJ151" s="161"/>
      <c r="AS151" s="2"/>
      <c r="AT151" s="2"/>
      <c r="AU151" s="2"/>
      <c r="AV151" s="7"/>
      <c r="AW151" s="2"/>
      <c r="AX151" s="2"/>
      <c r="AY151" s="2"/>
      <c r="AZ151" s="2"/>
      <c r="BA151" s="2"/>
      <c r="BB151" s="2"/>
      <c r="BC151" s="2"/>
      <c r="BD151" s="2"/>
      <c r="BE151" s="2"/>
      <c r="BF151" s="2"/>
      <c r="BG151" s="2"/>
      <c r="BH151" s="2"/>
      <c r="BI151" s="2"/>
      <c r="BJ151" s="2"/>
      <c r="BK151" s="2"/>
      <c r="BL151" s="2"/>
    </row>
    <row r="152" spans="1:64">
      <c r="A152" s="19"/>
      <c r="B152" s="2"/>
      <c r="C152" s="2"/>
      <c r="D152" s="2"/>
      <c r="E152" s="2"/>
      <c r="F152" s="2"/>
      <c r="G152" s="2"/>
      <c r="H152" s="2"/>
      <c r="I152" s="2"/>
      <c r="J152" s="2"/>
      <c r="K152" s="2"/>
      <c r="L152" s="2"/>
      <c r="M152" s="2"/>
      <c r="N152" s="2"/>
      <c r="O152" s="2"/>
      <c r="P152" s="2"/>
      <c r="Q152" s="2"/>
      <c r="R152" s="2"/>
      <c r="S152" s="20"/>
      <c r="T152" s="2"/>
      <c r="U152" s="2"/>
      <c r="V152" s="2"/>
      <c r="W152" s="2"/>
      <c r="X152" s="2"/>
      <c r="Y152" s="2"/>
      <c r="AJ152" s="161"/>
      <c r="AS152" s="2"/>
      <c r="AT152" s="2"/>
      <c r="AU152" s="2"/>
      <c r="AV152" s="7"/>
      <c r="AW152" s="2"/>
      <c r="AX152" s="2"/>
      <c r="AY152" s="2"/>
      <c r="AZ152" s="2"/>
      <c r="BA152" s="2"/>
      <c r="BB152" s="2"/>
      <c r="BC152" s="2"/>
      <c r="BD152" s="2"/>
      <c r="BE152" s="2"/>
      <c r="BF152" s="2"/>
      <c r="BG152" s="2"/>
      <c r="BH152" s="2"/>
      <c r="BI152" s="2"/>
      <c r="BJ152" s="2"/>
      <c r="BK152" s="2"/>
      <c r="BL152" s="2"/>
    </row>
    <row r="153" spans="1:64" hidden="1" outlineLevel="1">
      <c r="A153" s="191" t="s">
        <v>378</v>
      </c>
      <c r="B153" s="2"/>
      <c r="C153" s="2"/>
      <c r="D153" s="2"/>
      <c r="E153" s="2"/>
      <c r="F153" s="2"/>
      <c r="G153" s="2"/>
      <c r="H153" s="2"/>
      <c r="I153" s="2"/>
      <c r="J153" s="2"/>
      <c r="K153" s="2"/>
      <c r="L153" s="2"/>
      <c r="M153" s="2"/>
      <c r="N153" s="2"/>
      <c r="O153" s="2"/>
      <c r="P153" s="2"/>
      <c r="Q153" s="2"/>
      <c r="R153" s="2"/>
      <c r="S153" s="2"/>
      <c r="T153" s="2"/>
      <c r="U153" s="2"/>
      <c r="V153" s="2"/>
      <c r="W153" s="2"/>
      <c r="X153" s="2"/>
      <c r="Y153" s="2"/>
      <c r="AA153" s="23" t="s">
        <v>533</v>
      </c>
      <c r="AJ153" s="161"/>
      <c r="AS153" s="2"/>
      <c r="AT153" s="2"/>
      <c r="AU153" s="2"/>
      <c r="AV153" s="2"/>
      <c r="AW153" s="2"/>
      <c r="AX153" s="2"/>
      <c r="AY153" s="2"/>
      <c r="AZ153" s="2"/>
      <c r="BA153" s="2"/>
      <c r="BB153" s="2"/>
      <c r="BC153" s="2"/>
      <c r="BD153" s="2"/>
      <c r="BE153" s="2"/>
      <c r="BF153" s="2"/>
      <c r="BG153" s="2"/>
      <c r="BH153" s="2"/>
      <c r="BI153" s="2"/>
      <c r="BJ153" s="2"/>
      <c r="BK153" s="2"/>
      <c r="BL153" s="2"/>
    </row>
    <row r="154" spans="1:64" hidden="1" outlineLevel="1">
      <c r="A154" s="199" t="s">
        <v>345</v>
      </c>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1166"/>
      <c r="AK154" s="3"/>
      <c r="AL154" s="3"/>
      <c r="AM154" s="3"/>
      <c r="AN154" s="3"/>
      <c r="AO154" s="3"/>
      <c r="AP154" s="3"/>
      <c r="AQ154" s="3"/>
      <c r="AR154" s="3"/>
      <c r="AS154" s="3"/>
      <c r="AT154" s="3"/>
      <c r="AU154" s="3"/>
      <c r="AV154" s="3"/>
      <c r="AW154" s="3"/>
      <c r="AX154" s="2"/>
      <c r="AY154" s="2"/>
      <c r="AZ154" s="2"/>
      <c r="BA154" s="2"/>
      <c r="BB154" s="2"/>
      <c r="BC154" s="2"/>
      <c r="BD154" s="2"/>
      <c r="BE154" s="2"/>
      <c r="BF154" s="2"/>
      <c r="BG154" s="2"/>
      <c r="BH154" s="2"/>
      <c r="BI154" s="2"/>
      <c r="BJ154" s="2"/>
      <c r="BK154" s="2"/>
      <c r="BL154" s="2"/>
    </row>
    <row r="155" spans="1:64" hidden="1" outlineLevel="1">
      <c r="A155" s="22"/>
      <c r="B155" s="57"/>
      <c r="C155" s="57"/>
      <c r="D155" s="57"/>
      <c r="E155" s="57"/>
      <c r="F155" s="57"/>
      <c r="G155" s="57"/>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c r="AE155" s="57"/>
      <c r="AF155" s="57"/>
      <c r="AG155" s="57"/>
      <c r="AH155" s="57"/>
      <c r="AI155" s="57"/>
      <c r="AJ155" s="1167"/>
      <c r="AK155" s="57"/>
      <c r="AL155" s="57"/>
      <c r="AM155" s="57"/>
      <c r="AN155" s="57"/>
      <c r="AO155" s="57"/>
      <c r="AP155" s="57"/>
      <c r="AQ155" s="57"/>
      <c r="AR155" s="57"/>
      <c r="AS155" s="57"/>
      <c r="AT155" s="57"/>
      <c r="AU155" s="57"/>
      <c r="AV155" s="57"/>
      <c r="AW155" s="57"/>
      <c r="AX155" s="2"/>
      <c r="AY155" s="2"/>
      <c r="AZ155" s="2"/>
      <c r="BA155" s="2"/>
      <c r="BB155" s="2"/>
      <c r="BC155" s="2"/>
      <c r="BD155" s="2"/>
      <c r="BE155" s="2"/>
      <c r="BF155" s="2"/>
      <c r="BG155" s="2"/>
      <c r="BH155" s="2"/>
      <c r="BI155" s="2"/>
      <c r="BJ155" s="2"/>
      <c r="BK155" s="2"/>
      <c r="BL155" s="2"/>
    </row>
    <row r="156" spans="1:64" hidden="1" outlineLevel="1">
      <c r="A156" s="4"/>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14"/>
      <c r="AK156" s="2"/>
      <c r="AL156" s="2"/>
      <c r="AM156" s="2"/>
      <c r="AN156" s="2"/>
      <c r="AO156" s="2"/>
      <c r="AP156" s="2"/>
      <c r="AQ156" s="2"/>
      <c r="AR156" s="2"/>
      <c r="AS156" s="183"/>
      <c r="AT156" s="126"/>
      <c r="AU156" s="109" t="s">
        <v>1083</v>
      </c>
      <c r="AV156" s="126"/>
      <c r="AW156" s="184"/>
      <c r="AX156" s="2"/>
      <c r="AY156" s="2"/>
      <c r="AZ156" s="2"/>
      <c r="BA156" s="2"/>
      <c r="BB156" s="2"/>
      <c r="BC156" s="2"/>
      <c r="BD156" s="2"/>
      <c r="BE156" s="2"/>
      <c r="BF156" s="2"/>
      <c r="BG156" s="2"/>
      <c r="BH156" s="2"/>
      <c r="BI156" s="2"/>
      <c r="BJ156" s="2"/>
      <c r="BK156" s="2"/>
      <c r="BL156" s="2"/>
    </row>
    <row r="157" spans="1:64" hidden="1" outlineLevel="1">
      <c r="A157" s="5"/>
      <c r="B157" s="53"/>
      <c r="C157" s="53"/>
      <c r="D157" s="53"/>
      <c r="E157" s="53"/>
      <c r="F157" s="53"/>
      <c r="G157" s="53"/>
      <c r="H157" s="53"/>
      <c r="I157" s="53"/>
      <c r="J157" s="53"/>
      <c r="K157" s="53"/>
      <c r="L157" s="53">
        <f>+L$5</f>
        <v>1990</v>
      </c>
      <c r="M157" s="53">
        <f t="shared" ref="M157:AK157" si="280">+M$5</f>
        <v>1991</v>
      </c>
      <c r="N157" s="53">
        <f t="shared" si="280"/>
        <v>1992</v>
      </c>
      <c r="O157" s="53">
        <f t="shared" si="280"/>
        <v>1993</v>
      </c>
      <c r="P157" s="53">
        <f t="shared" si="280"/>
        <v>1994</v>
      </c>
      <c r="Q157" s="53">
        <f t="shared" si="280"/>
        <v>1995</v>
      </c>
      <c r="R157" s="53">
        <f t="shared" si="280"/>
        <v>1996</v>
      </c>
      <c r="S157" s="53">
        <f t="shared" si="280"/>
        <v>1997</v>
      </c>
      <c r="T157" s="53">
        <f t="shared" si="280"/>
        <v>1998</v>
      </c>
      <c r="U157" s="53">
        <f t="shared" si="280"/>
        <v>1999</v>
      </c>
      <c r="V157" s="53">
        <f t="shared" si="280"/>
        <v>2000</v>
      </c>
      <c r="W157" s="53">
        <f t="shared" si="280"/>
        <v>2001</v>
      </c>
      <c r="X157" s="53">
        <f t="shared" si="280"/>
        <v>2002</v>
      </c>
      <c r="Y157" s="55">
        <f t="shared" si="280"/>
        <v>2003</v>
      </c>
      <c r="Z157" s="55">
        <f t="shared" si="280"/>
        <v>2004</v>
      </c>
      <c r="AA157" s="586">
        <f t="shared" si="280"/>
        <v>2005</v>
      </c>
      <c r="AB157" s="586">
        <f t="shared" si="280"/>
        <v>2006</v>
      </c>
      <c r="AC157" s="586">
        <f t="shared" si="280"/>
        <v>2007</v>
      </c>
      <c r="AD157" s="55">
        <f t="shared" si="280"/>
        <v>2008</v>
      </c>
      <c r="AE157" s="55">
        <f t="shared" si="280"/>
        <v>2009</v>
      </c>
      <c r="AF157" s="55">
        <f t="shared" si="280"/>
        <v>2010</v>
      </c>
      <c r="AG157" s="55">
        <f t="shared" si="280"/>
        <v>2011</v>
      </c>
      <c r="AH157" s="55">
        <f t="shared" si="280"/>
        <v>2012</v>
      </c>
      <c r="AI157" s="55">
        <f t="shared" si="280"/>
        <v>2013</v>
      </c>
      <c r="AJ157" s="55">
        <f t="shared" si="280"/>
        <v>2014</v>
      </c>
      <c r="AK157" s="55">
        <f t="shared" si="280"/>
        <v>2015</v>
      </c>
      <c r="AL157" s="1098"/>
      <c r="AM157" s="1098"/>
      <c r="AN157" s="1098"/>
      <c r="AO157" s="1098"/>
      <c r="AP157" s="1098"/>
      <c r="AQ157" s="1098"/>
      <c r="AR157" s="1098"/>
      <c r="AS157" s="99"/>
      <c r="AT157" s="109" t="str">
        <f>AT$5</f>
        <v>10-15E</v>
      </c>
      <c r="AU157" s="57"/>
      <c r="AV157" s="109" t="str">
        <f>AV$5</f>
        <v>15-20E</v>
      </c>
      <c r="AW157" s="111"/>
      <c r="AX157" s="2"/>
      <c r="AY157" s="190" t="s">
        <v>673</v>
      </c>
      <c r="AZ157" s="493">
        <f t="shared" ref="AZ157:BL157" si="281">+Y157</f>
        <v>2003</v>
      </c>
      <c r="BA157" s="493">
        <f t="shared" si="281"/>
        <v>2004</v>
      </c>
      <c r="BB157" s="493">
        <f t="shared" si="281"/>
        <v>2005</v>
      </c>
      <c r="BC157" s="493">
        <f t="shared" si="281"/>
        <v>2006</v>
      </c>
      <c r="BD157" s="493">
        <f t="shared" si="281"/>
        <v>2007</v>
      </c>
      <c r="BE157" s="493">
        <f t="shared" si="281"/>
        <v>2008</v>
      </c>
      <c r="BF157" s="493">
        <f t="shared" si="281"/>
        <v>2009</v>
      </c>
      <c r="BG157" s="493">
        <f t="shared" si="281"/>
        <v>2010</v>
      </c>
      <c r="BH157" s="493">
        <f t="shared" si="281"/>
        <v>2011</v>
      </c>
      <c r="BI157" s="493">
        <f t="shared" si="281"/>
        <v>2012</v>
      </c>
      <c r="BJ157" s="493">
        <f t="shared" si="281"/>
        <v>2013</v>
      </c>
      <c r="BK157" s="493">
        <f t="shared" si="281"/>
        <v>2014</v>
      </c>
      <c r="BL157" s="493">
        <f t="shared" si="281"/>
        <v>2015</v>
      </c>
    </row>
    <row r="158" spans="1:64" hidden="1" outlineLevel="1">
      <c r="A158" s="5"/>
      <c r="B158" s="5"/>
      <c r="C158" s="5"/>
      <c r="D158" s="5"/>
      <c r="E158" s="5"/>
      <c r="F158" s="5"/>
      <c r="G158" s="5"/>
      <c r="H158" s="5"/>
      <c r="I158" s="5"/>
      <c r="J158" s="5"/>
      <c r="K158" s="5"/>
      <c r="L158" s="5"/>
      <c r="M158" s="5"/>
      <c r="N158" s="5"/>
      <c r="O158" s="5"/>
      <c r="P158" s="5"/>
      <c r="Q158" s="5"/>
      <c r="R158" s="5"/>
      <c r="S158" s="2"/>
      <c r="T158" s="2"/>
      <c r="U158" s="2"/>
      <c r="V158" s="2"/>
      <c r="W158" s="2"/>
      <c r="X158" s="2"/>
      <c r="Y158" s="2"/>
      <c r="AJ158" s="161"/>
      <c r="AS158" s="101"/>
      <c r="AT158" s="57"/>
      <c r="AU158" s="57"/>
      <c r="AV158" s="57"/>
      <c r="AW158" s="100"/>
      <c r="AX158" s="2"/>
      <c r="AY158" s="2"/>
      <c r="AZ158" s="2"/>
      <c r="BA158" s="2"/>
      <c r="BB158" s="2"/>
      <c r="BC158" s="2"/>
      <c r="BD158" s="2"/>
      <c r="BE158" s="2"/>
      <c r="BF158" s="2"/>
      <c r="BG158" s="2"/>
      <c r="BH158" s="2"/>
      <c r="BI158" s="2"/>
      <c r="BJ158" s="2"/>
      <c r="BK158" s="2"/>
      <c r="BL158" s="2"/>
    </row>
    <row r="159" spans="1:64" hidden="1" outlineLevel="1">
      <c r="A159" s="447" t="s">
        <v>259</v>
      </c>
      <c r="B159" s="8"/>
      <c r="C159" s="8"/>
      <c r="D159" s="8"/>
      <c r="E159" s="8"/>
      <c r="F159" s="8"/>
      <c r="G159" s="8"/>
      <c r="H159" s="8"/>
      <c r="I159" s="8"/>
      <c r="J159" s="8"/>
      <c r="K159" s="8"/>
      <c r="L159" s="8"/>
      <c r="M159" s="8"/>
      <c r="N159" s="6">
        <f>+'segSales&amp;OM'!AJ14+'segSales&amp;OM'!AK14</f>
        <v>1630</v>
      </c>
      <c r="O159" s="6">
        <f>+'segSales&amp;OM'!AJ21+'segSales&amp;OM'!AK21</f>
        <v>1871</v>
      </c>
      <c r="P159" s="6">
        <f>+'segSales&amp;OM'!AJ28+'segSales&amp;OM'!AK28</f>
        <v>1942</v>
      </c>
      <c r="Q159" s="6">
        <f>+'segSales&amp;OM'!AJ35+'segSales&amp;OM'!AK35</f>
        <v>2021</v>
      </c>
      <c r="R159" s="6">
        <f>+'segSales&amp;OM'!AJ42+'segSales&amp;OM'!AK42</f>
        <v>2046</v>
      </c>
      <c r="S159" s="6">
        <f>+'segSales&amp;OM'!AJ49+'segSales&amp;OM'!AK49</f>
        <v>1849</v>
      </c>
      <c r="T159" s="6">
        <f>+'segSales&amp;OM'!AJ56+'segSales&amp;OM'!AK56</f>
        <v>1966</v>
      </c>
      <c r="U159" s="6">
        <f>+'segSales&amp;OM'!AJ63+'segSales&amp;OM'!AK63</f>
        <v>1973.5279999999998</v>
      </c>
      <c r="V159" s="6">
        <f>+'segSales&amp;OM'!AJ70+'segSales&amp;OM'!AK70</f>
        <v>2163.7159999999999</v>
      </c>
      <c r="W159" s="51">
        <v>2044</v>
      </c>
      <c r="X159" s="6">
        <f>+'segSales&amp;OM'!AL84</f>
        <v>2073</v>
      </c>
      <c r="Y159" s="6">
        <f>+'segSales&amp;OM'!AL91</f>
        <v>2071.1999999999998</v>
      </c>
      <c r="Z159" s="16">
        <f>+'segSales&amp;OM'!AL98</f>
        <v>1912.8490000000002</v>
      </c>
      <c r="AA159" s="16">
        <f>'segSales&amp;OM'!AL112</f>
        <v>1793.9879999999998</v>
      </c>
      <c r="AB159" s="16">
        <f>'segSales&amp;OM'!AL119</f>
        <v>1748.8000000000002</v>
      </c>
      <c r="AC159" s="16">
        <f>'segSales&amp;OM'!$AL$126</f>
        <v>1678.2137795539732</v>
      </c>
      <c r="AD159" s="16">
        <f t="shared" ref="AD159:AI159" si="282">+BE166</f>
        <v>1830.9550946708123</v>
      </c>
      <c r="AE159" s="16">
        <f t="shared" si="282"/>
        <v>1862.8241965642285</v>
      </c>
      <c r="AF159" s="16">
        <f t="shared" si="282"/>
        <v>1895.330680495513</v>
      </c>
      <c r="AG159" s="16">
        <f t="shared" si="282"/>
        <v>1928.4872941054232</v>
      </c>
      <c r="AH159" s="16">
        <f t="shared" si="282"/>
        <v>1962.3070399875317</v>
      </c>
      <c r="AI159" s="16">
        <f t="shared" si="282"/>
        <v>1996.8031807872824</v>
      </c>
      <c r="AJ159" s="16">
        <f>+BI166</f>
        <v>1962.3070399875317</v>
      </c>
      <c r="AK159" s="16">
        <f>+BJ166</f>
        <v>1996.8031807872824</v>
      </c>
      <c r="AL159" s="16"/>
      <c r="AM159" s="16"/>
      <c r="AN159" s="16"/>
      <c r="AO159" s="16"/>
      <c r="AP159" s="16"/>
      <c r="AQ159" s="16"/>
      <c r="AR159" s="16"/>
      <c r="AS159" s="101"/>
      <c r="AT159" s="56">
        <f>((AE159/X159)^(1/5)-1)*100</f>
        <v>-2.1153677192364273</v>
      </c>
      <c r="AU159" s="97" t="s">
        <v>1084</v>
      </c>
      <c r="AV159" s="56">
        <f>((AJ159/AD159)^(1/5)-1)*100</f>
        <v>1.3953068311112871</v>
      </c>
      <c r="AW159" s="102" t="s">
        <v>1084</v>
      </c>
      <c r="AX159" s="2"/>
      <c r="AY159" s="500" t="s">
        <v>457</v>
      </c>
      <c r="AZ159" s="500"/>
      <c r="BA159" s="2"/>
      <c r="BB159" s="2"/>
      <c r="BC159" s="2"/>
      <c r="BD159" s="2"/>
      <c r="BE159" s="2"/>
      <c r="BF159" s="2"/>
      <c r="BG159" s="2"/>
      <c r="BH159" s="2"/>
      <c r="BI159" s="2"/>
      <c r="BJ159" s="2"/>
      <c r="BK159" s="2"/>
      <c r="BL159" s="2"/>
    </row>
    <row r="160" spans="1:64" hidden="1" outlineLevel="1">
      <c r="A160" s="213" t="s">
        <v>1085</v>
      </c>
      <c r="B160" s="8"/>
      <c r="C160" s="8"/>
      <c r="D160" s="8"/>
      <c r="E160" s="8"/>
      <c r="F160" s="8"/>
      <c r="G160" s="8"/>
      <c r="H160" s="8"/>
      <c r="I160" s="8"/>
      <c r="J160" s="8"/>
      <c r="K160" s="8"/>
      <c r="L160" s="8"/>
      <c r="M160" s="8"/>
      <c r="N160" s="8"/>
      <c r="O160" s="8">
        <f t="shared" ref="O160:Y160" si="283">O159/N159-1</f>
        <v>0.14785276073619635</v>
      </c>
      <c r="P160" s="8">
        <f t="shared" si="283"/>
        <v>3.794762159273124E-2</v>
      </c>
      <c r="Q160" s="8">
        <f t="shared" si="283"/>
        <v>4.067971163748707E-2</v>
      </c>
      <c r="R160" s="8">
        <f t="shared" si="283"/>
        <v>1.2370113805046934E-2</v>
      </c>
      <c r="S160" s="239">
        <f t="shared" si="283"/>
        <v>-9.628543499511244E-2</v>
      </c>
      <c r="T160" s="8">
        <f t="shared" si="283"/>
        <v>6.3277447268794029E-2</v>
      </c>
      <c r="U160" s="8">
        <f t="shared" si="283"/>
        <v>3.8290946083416877E-3</v>
      </c>
      <c r="V160" s="8">
        <f t="shared" si="283"/>
        <v>9.6369547328439387E-2</v>
      </c>
      <c r="W160" s="239">
        <f t="shared" si="283"/>
        <v>-5.5328887894714462E-2</v>
      </c>
      <c r="X160" s="239">
        <f t="shared" si="283"/>
        <v>1.4187866927592996E-2</v>
      </c>
      <c r="Y160" s="239">
        <f t="shared" si="283"/>
        <v>-8.6830680173666241E-4</v>
      </c>
      <c r="Z160" s="239">
        <f t="shared" ref="Z160:AK160" si="284">+Z159/Y159-1</f>
        <v>-7.6453746620316565E-2</v>
      </c>
      <c r="AA160" s="239">
        <f t="shared" si="284"/>
        <v>-6.2138203276892345E-2</v>
      </c>
      <c r="AB160" s="239">
        <f t="shared" si="284"/>
        <v>-2.5188574282547949E-2</v>
      </c>
      <c r="AC160" s="239">
        <f t="shared" si="284"/>
        <v>-4.0362660364837044E-2</v>
      </c>
      <c r="AD160" s="239">
        <f t="shared" si="284"/>
        <v>9.1014218198967489E-2</v>
      </c>
      <c r="AE160" s="239">
        <f t="shared" si="284"/>
        <v>1.7405725561579599E-2</v>
      </c>
      <c r="AF160" s="239">
        <f t="shared" si="284"/>
        <v>1.7450108277119902E-2</v>
      </c>
      <c r="AG160" s="239">
        <f t="shared" si="284"/>
        <v>1.7493841022634626E-2</v>
      </c>
      <c r="AH160" s="239">
        <f t="shared" si="284"/>
        <v>1.7536929584903715E-2</v>
      </c>
      <c r="AI160" s="239">
        <f t="shared" si="284"/>
        <v>1.7579379830370501E-2</v>
      </c>
      <c r="AJ160" s="1168">
        <f t="shared" si="284"/>
        <v>-1.7275684019168014E-2</v>
      </c>
      <c r="AK160" s="239">
        <f t="shared" si="284"/>
        <v>1.7579379830370501E-2</v>
      </c>
      <c r="AL160" s="239"/>
      <c r="AM160" s="239"/>
      <c r="AN160" s="239"/>
      <c r="AO160" s="239"/>
      <c r="AP160" s="239"/>
      <c r="AQ160" s="239"/>
      <c r="AR160" s="239"/>
      <c r="AS160" s="101"/>
      <c r="AT160" s="57"/>
      <c r="AU160" s="57"/>
      <c r="AV160" s="56"/>
      <c r="AW160" s="100"/>
      <c r="AX160" s="2"/>
      <c r="AY160" s="2" t="s">
        <v>343</v>
      </c>
      <c r="AZ160" s="497">
        <f>+X159</f>
        <v>2073</v>
      </c>
      <c r="BA160" s="497">
        <f>+Y159</f>
        <v>2071.1999999999998</v>
      </c>
      <c r="BB160" s="497">
        <f>+BA166</f>
        <v>1965.6887051906601</v>
      </c>
      <c r="BC160" s="497">
        <f>+BB166</f>
        <v>2012.9094796406303</v>
      </c>
      <c r="BD160" s="497">
        <f>+BC166</f>
        <v>2060.7703241024433</v>
      </c>
      <c r="BE160" s="497">
        <f>$AC$159+100</f>
        <v>1778.2137795539732</v>
      </c>
      <c r="BF160" s="497">
        <f t="shared" ref="BF160:BL160" si="285">+BE166</f>
        <v>1830.9550946708123</v>
      </c>
      <c r="BG160" s="497">
        <f t="shared" si="285"/>
        <v>1862.8241965642285</v>
      </c>
      <c r="BH160" s="497">
        <f t="shared" si="285"/>
        <v>1895.330680495513</v>
      </c>
      <c r="BI160" s="497">
        <f t="shared" si="285"/>
        <v>1928.4872941054232</v>
      </c>
      <c r="BJ160" s="497">
        <f t="shared" si="285"/>
        <v>1962.3070399875317</v>
      </c>
      <c r="BK160" s="497">
        <f t="shared" si="285"/>
        <v>1996.8031807872824</v>
      </c>
      <c r="BL160" s="497">
        <f t="shared" si="285"/>
        <v>2031.9892444030284</v>
      </c>
    </row>
    <row r="161" spans="1:64" hidden="1" outlineLevel="1">
      <c r="A161" s="213"/>
      <c r="B161" s="8"/>
      <c r="C161" s="8"/>
      <c r="D161" s="8"/>
      <c r="E161" s="8"/>
      <c r="F161" s="8"/>
      <c r="G161" s="8"/>
      <c r="H161" s="8"/>
      <c r="I161" s="8"/>
      <c r="J161" s="8"/>
      <c r="K161" s="8"/>
      <c r="L161" s="8"/>
      <c r="M161" s="8"/>
      <c r="N161" s="8"/>
      <c r="O161" s="8"/>
      <c r="P161" s="8"/>
      <c r="Q161" s="8"/>
      <c r="R161" s="8"/>
      <c r="S161" s="8"/>
      <c r="T161" s="8"/>
      <c r="U161" s="8"/>
      <c r="V161" s="8"/>
      <c r="W161" s="8"/>
      <c r="X161" s="193"/>
      <c r="Y161" s="8"/>
      <c r="Z161" s="8"/>
      <c r="AA161" s="8"/>
      <c r="AB161" s="8"/>
      <c r="AC161" s="8"/>
      <c r="AD161" s="8"/>
      <c r="AE161" s="8"/>
      <c r="AF161" s="8"/>
      <c r="AG161" s="8"/>
      <c r="AH161" s="8"/>
      <c r="AI161" s="8"/>
      <c r="AJ161" s="193"/>
      <c r="AK161" s="8"/>
      <c r="AL161" s="8"/>
      <c r="AM161" s="8"/>
      <c r="AN161" s="8"/>
      <c r="AO161" s="8"/>
      <c r="AP161" s="8"/>
      <c r="AQ161" s="8"/>
      <c r="AR161" s="8"/>
      <c r="AS161" s="101"/>
      <c r="AT161" s="57"/>
      <c r="AU161" s="57"/>
      <c r="AV161" s="56"/>
      <c r="AW161" s="100"/>
      <c r="AX161" s="494" t="s">
        <v>344</v>
      </c>
      <c r="AY161" s="2" t="s">
        <v>361</v>
      </c>
      <c r="AZ161" s="496">
        <f t="shared" ref="AZ161:BL161" si="286">+AZ160*Y212</f>
        <v>0</v>
      </c>
      <c r="BA161" s="496">
        <f t="shared" si="286"/>
        <v>-165.696</v>
      </c>
      <c r="BB161" s="496">
        <f t="shared" si="286"/>
        <v>-5.0418914327780318</v>
      </c>
      <c r="BC161" s="496">
        <f t="shared" si="286"/>
        <v>-9.017116230274878</v>
      </c>
      <c r="BD161" s="496">
        <f t="shared" si="286"/>
        <v>93.848334800080394</v>
      </c>
      <c r="BE161" s="496">
        <f t="shared" si="286"/>
        <v>53.34641338661919</v>
      </c>
      <c r="BF161" s="496">
        <f t="shared" si="286"/>
        <v>36.61910189341625</v>
      </c>
      <c r="BG161" s="496">
        <f t="shared" si="286"/>
        <v>37.256483931284571</v>
      </c>
      <c r="BH161" s="496">
        <f t="shared" si="286"/>
        <v>37.906613609910259</v>
      </c>
      <c r="BI161" s="496">
        <f t="shared" si="286"/>
        <v>38.569745882108464</v>
      </c>
      <c r="BJ161" s="496">
        <f t="shared" si="286"/>
        <v>39.246140799750634</v>
      </c>
      <c r="BK161" s="496">
        <f t="shared" si="286"/>
        <v>39.936063615745645</v>
      </c>
      <c r="BL161" s="496">
        <f t="shared" si="286"/>
        <v>40.639784888060568</v>
      </c>
    </row>
    <row r="162" spans="1:64" hidden="1" outlineLevel="1">
      <c r="A162" s="213" t="s">
        <v>1086</v>
      </c>
      <c r="B162" s="260"/>
      <c r="C162" s="260"/>
      <c r="D162" s="260"/>
      <c r="E162" s="260"/>
      <c r="F162" s="260"/>
      <c r="G162" s="260"/>
      <c r="H162" s="260"/>
      <c r="I162" s="260"/>
      <c r="J162" s="260"/>
      <c r="K162" s="260"/>
      <c r="L162" s="5">
        <f>+'store&amp;sf'!N14+'store&amp;sf'!P14</f>
        <v>536</v>
      </c>
      <c r="M162" s="5">
        <f t="shared" ref="M162:U162" si="287">L179</f>
        <v>701</v>
      </c>
      <c r="N162" s="5">
        <f t="shared" si="287"/>
        <v>851</v>
      </c>
      <c r="O162" s="9">
        <f t="shared" si="287"/>
        <v>970</v>
      </c>
      <c r="P162" s="9">
        <f t="shared" si="287"/>
        <v>1067</v>
      </c>
      <c r="Q162" s="9">
        <f t="shared" si="287"/>
        <v>1182</v>
      </c>
      <c r="R162" s="9">
        <f t="shared" si="287"/>
        <v>1255</v>
      </c>
      <c r="S162" s="9">
        <f t="shared" si="287"/>
        <v>1295</v>
      </c>
      <c r="T162" s="9">
        <f t="shared" si="287"/>
        <v>1297</v>
      </c>
      <c r="U162" s="9">
        <f t="shared" si="287"/>
        <v>1234</v>
      </c>
      <c r="V162" s="9">
        <f>+U179</f>
        <v>1187</v>
      </c>
      <c r="W162" s="9">
        <f>+V179</f>
        <v>1136</v>
      </c>
      <c r="X162" s="9">
        <f t="shared" ref="X162:AK162" si="288">W179</f>
        <v>1106</v>
      </c>
      <c r="Y162" s="9">
        <f t="shared" si="288"/>
        <v>1031</v>
      </c>
      <c r="Z162" s="9">
        <f t="shared" si="288"/>
        <v>956</v>
      </c>
      <c r="AA162" s="9">
        <f t="shared" si="288"/>
        <v>884</v>
      </c>
      <c r="AB162" s="9">
        <f t="shared" si="288"/>
        <v>743</v>
      </c>
      <c r="AC162" s="9">
        <f t="shared" si="288"/>
        <v>658</v>
      </c>
      <c r="AD162" s="9">
        <f t="shared" si="288"/>
        <v>583</v>
      </c>
      <c r="AE162" s="9">
        <f t="shared" si="288"/>
        <v>517</v>
      </c>
      <c r="AF162" s="9">
        <f t="shared" si="288"/>
        <v>455</v>
      </c>
      <c r="AG162" s="9">
        <f t="shared" si="288"/>
        <v>393</v>
      </c>
      <c r="AH162" s="9">
        <f t="shared" si="288"/>
        <v>331</v>
      </c>
      <c r="AI162" s="9">
        <f t="shared" si="288"/>
        <v>269</v>
      </c>
      <c r="AJ162" s="461">
        <f t="shared" si="288"/>
        <v>207</v>
      </c>
      <c r="AK162" s="9">
        <f t="shared" si="288"/>
        <v>145</v>
      </c>
      <c r="AL162" s="9"/>
      <c r="AM162" s="9"/>
      <c r="AN162" s="9"/>
      <c r="AO162" s="9"/>
      <c r="AP162" s="9"/>
      <c r="AQ162" s="9"/>
      <c r="AR162" s="9"/>
      <c r="AS162" s="101"/>
      <c r="AT162" s="57"/>
      <c r="AU162" s="57"/>
      <c r="AV162" s="56"/>
      <c r="AW162" s="100"/>
      <c r="AX162" s="494" t="s">
        <v>344</v>
      </c>
      <c r="AY162" s="2" t="s">
        <v>538</v>
      </c>
      <c r="AZ162" s="496">
        <f t="shared" ref="AZ162:BL162" si="289">+Y165*AZ175+Y167*AZ176</f>
        <v>20.485749999999999</v>
      </c>
      <c r="BA162" s="496">
        <f t="shared" si="289"/>
        <v>54.584705190660173</v>
      </c>
      <c r="BB162" s="496">
        <f t="shared" si="289"/>
        <v>61.862665882748203</v>
      </c>
      <c r="BC162" s="496">
        <f t="shared" si="289"/>
        <v>7.2779606920880235</v>
      </c>
      <c r="BD162" s="496">
        <f t="shared" si="289"/>
        <v>7.2779606920880235</v>
      </c>
      <c r="BE162" s="496">
        <f t="shared" si="289"/>
        <v>20.19490173022006</v>
      </c>
      <c r="BF162" s="496">
        <f t="shared" si="289"/>
        <v>16.5</v>
      </c>
      <c r="BG162" s="496">
        <f t="shared" si="289"/>
        <v>16.5</v>
      </c>
      <c r="BH162" s="496">
        <f t="shared" si="289"/>
        <v>16.5</v>
      </c>
      <c r="BI162" s="496">
        <f t="shared" si="289"/>
        <v>16.5</v>
      </c>
      <c r="BJ162" s="496">
        <f t="shared" si="289"/>
        <v>16.5</v>
      </c>
      <c r="BK162" s="496">
        <f t="shared" si="289"/>
        <v>16.5</v>
      </c>
      <c r="BL162" s="496">
        <f t="shared" si="289"/>
        <v>16.5</v>
      </c>
    </row>
    <row r="163" spans="1:64" hidden="1" outlineLevel="1">
      <c r="A163" s="213"/>
      <c r="B163" s="8"/>
      <c r="C163" s="8"/>
      <c r="D163" s="8"/>
      <c r="E163" s="8"/>
      <c r="F163" s="8"/>
      <c r="G163" s="8"/>
      <c r="H163" s="8"/>
      <c r="I163" s="8"/>
      <c r="J163" s="8"/>
      <c r="K163" s="8"/>
      <c r="L163" s="8"/>
      <c r="M163" s="8"/>
      <c r="N163" s="8"/>
      <c r="O163" s="8"/>
      <c r="P163" s="8"/>
      <c r="Q163" s="8"/>
      <c r="R163" s="8"/>
      <c r="S163" s="8"/>
      <c r="T163" s="8"/>
      <c r="U163" s="8"/>
      <c r="V163" s="8"/>
      <c r="W163" s="8"/>
      <c r="X163" s="8"/>
      <c r="Y163" s="8"/>
      <c r="Z163" s="8"/>
      <c r="AA163" s="8"/>
      <c r="AB163" s="8"/>
      <c r="AC163" s="8"/>
      <c r="AD163" s="8"/>
      <c r="AE163" s="8"/>
      <c r="AF163" s="8"/>
      <c r="AG163" s="8"/>
      <c r="AH163" s="8"/>
      <c r="AI163" s="8"/>
      <c r="AJ163" s="193"/>
      <c r="AK163" s="8"/>
      <c r="AL163" s="8"/>
      <c r="AM163" s="8"/>
      <c r="AN163" s="8"/>
      <c r="AO163" s="8"/>
      <c r="AP163" s="8"/>
      <c r="AQ163" s="8"/>
      <c r="AR163" s="8"/>
      <c r="AS163" s="101"/>
      <c r="AT163" s="57"/>
      <c r="AU163" s="57"/>
      <c r="AV163" s="56"/>
      <c r="AW163" s="100"/>
      <c r="AX163" s="494" t="s">
        <v>344</v>
      </c>
      <c r="AY163" s="2" t="s">
        <v>536</v>
      </c>
      <c r="AZ163" s="496">
        <f t="shared" ref="AZ163:BL163" si="290">+Y172*AZ177</f>
        <v>18.5</v>
      </c>
      <c r="BA163" s="496">
        <f t="shared" si="290"/>
        <v>44.4</v>
      </c>
      <c r="BB163" s="496">
        <f t="shared" si="290"/>
        <v>58.8</v>
      </c>
      <c r="BC163" s="496">
        <f t="shared" si="290"/>
        <v>58.199999999999996</v>
      </c>
      <c r="BD163" s="496">
        <f t="shared" si="290"/>
        <v>52.8</v>
      </c>
      <c r="BE163" s="496">
        <f t="shared" si="290"/>
        <v>5.3999999999999995</v>
      </c>
      <c r="BF163" s="496">
        <f t="shared" si="290"/>
        <v>5.3999999999999995</v>
      </c>
      <c r="BG163" s="496">
        <f t="shared" si="290"/>
        <v>5.3999999999999995</v>
      </c>
      <c r="BH163" s="496">
        <f t="shared" si="290"/>
        <v>5.3999999999999995</v>
      </c>
      <c r="BI163" s="496">
        <f t="shared" si="290"/>
        <v>5.3999999999999995</v>
      </c>
      <c r="BJ163" s="496">
        <f t="shared" si="290"/>
        <v>5.3999999999999995</v>
      </c>
      <c r="BK163" s="496">
        <f t="shared" si="290"/>
        <v>5.3999999999999995</v>
      </c>
      <c r="BL163" s="496">
        <f t="shared" si="290"/>
        <v>5.3999999999999995</v>
      </c>
    </row>
    <row r="164" spans="1:64" hidden="1" outlineLevel="1">
      <c r="A164" s="213" t="s">
        <v>937</v>
      </c>
      <c r="B164" s="5"/>
      <c r="C164" s="5"/>
      <c r="D164" s="5"/>
      <c r="E164" s="5"/>
      <c r="F164" s="5"/>
      <c r="G164" s="5"/>
      <c r="H164" s="5"/>
      <c r="I164" s="5"/>
      <c r="J164" s="5"/>
      <c r="K164" s="5"/>
      <c r="L164" s="5">
        <f t="shared" ref="L164:AC164" si="291">+L165+L166+L167</f>
        <v>165</v>
      </c>
      <c r="M164" s="5">
        <f t="shared" si="291"/>
        <v>150</v>
      </c>
      <c r="N164" s="5">
        <f t="shared" si="291"/>
        <v>119</v>
      </c>
      <c r="O164" s="5">
        <f t="shared" si="291"/>
        <v>97</v>
      </c>
      <c r="P164" s="5">
        <f t="shared" si="291"/>
        <v>115</v>
      </c>
      <c r="Q164" s="5">
        <f t="shared" si="291"/>
        <v>73</v>
      </c>
      <c r="R164" s="5">
        <f t="shared" si="291"/>
        <v>40</v>
      </c>
      <c r="S164" s="5">
        <f t="shared" si="291"/>
        <v>16</v>
      </c>
      <c r="T164" s="5">
        <f t="shared" si="291"/>
        <v>4</v>
      </c>
      <c r="U164" s="5">
        <f t="shared" si="291"/>
        <v>9</v>
      </c>
      <c r="V164" s="5">
        <f t="shared" si="291"/>
        <v>4</v>
      </c>
      <c r="W164" s="5">
        <f t="shared" si="291"/>
        <v>16</v>
      </c>
      <c r="X164" s="5">
        <f t="shared" si="291"/>
        <v>21</v>
      </c>
      <c r="Y164" s="5">
        <f t="shared" si="291"/>
        <v>7</v>
      </c>
      <c r="Z164" s="5">
        <f t="shared" si="291"/>
        <v>15</v>
      </c>
      <c r="AA164" s="5">
        <f t="shared" si="291"/>
        <v>17</v>
      </c>
      <c r="AB164" s="5">
        <f t="shared" si="291"/>
        <v>2</v>
      </c>
      <c r="AC164" s="5">
        <f t="shared" si="291"/>
        <v>2</v>
      </c>
      <c r="AD164" s="5">
        <f t="shared" ref="AD164:AI164" si="292">+AD165+AD166+AD167</f>
        <v>6</v>
      </c>
      <c r="AE164" s="5">
        <f t="shared" si="292"/>
        <v>6</v>
      </c>
      <c r="AF164" s="5">
        <f t="shared" si="292"/>
        <v>6</v>
      </c>
      <c r="AG164" s="5">
        <f t="shared" si="292"/>
        <v>6</v>
      </c>
      <c r="AH164" s="5">
        <f t="shared" si="292"/>
        <v>6</v>
      </c>
      <c r="AI164" s="5">
        <f t="shared" si="292"/>
        <v>6</v>
      </c>
      <c r="AJ164" s="464">
        <f>+AJ165+AJ166+AJ167</f>
        <v>6</v>
      </c>
      <c r="AK164" s="5">
        <f>+AK165+AK166+AK167</f>
        <v>6</v>
      </c>
      <c r="AL164" s="5"/>
      <c r="AM164" s="5"/>
      <c r="AN164" s="5"/>
      <c r="AO164" s="5"/>
      <c r="AP164" s="5"/>
      <c r="AQ164" s="5"/>
      <c r="AR164" s="5"/>
      <c r="AS164" s="101"/>
      <c r="AT164" s="57"/>
      <c r="AU164" s="57"/>
      <c r="AV164" s="56"/>
      <c r="AW164" s="100"/>
      <c r="AX164" s="494" t="s">
        <v>344</v>
      </c>
      <c r="AY164" s="2" t="s">
        <v>537</v>
      </c>
      <c r="AZ164" s="496">
        <f>+Y172*AZ175*$AZ$183</f>
        <v>7.6499999999999995</v>
      </c>
      <c r="BA164" s="496">
        <f t="shared" ref="BA164:BL164" si="293">+Z172*BA175*$BA$183</f>
        <v>14.8</v>
      </c>
      <c r="BB164" s="496">
        <f t="shared" si="293"/>
        <v>19.600000000000001</v>
      </c>
      <c r="BC164" s="496">
        <f t="shared" si="293"/>
        <v>19.400000000000002</v>
      </c>
      <c r="BD164" s="496">
        <f t="shared" si="293"/>
        <v>17.600000000000001</v>
      </c>
      <c r="BE164" s="496">
        <f t="shared" si="293"/>
        <v>1.8</v>
      </c>
      <c r="BF164" s="496">
        <f t="shared" si="293"/>
        <v>1.35</v>
      </c>
      <c r="BG164" s="496">
        <f t="shared" si="293"/>
        <v>1.35</v>
      </c>
      <c r="BH164" s="496">
        <f t="shared" si="293"/>
        <v>1.35</v>
      </c>
      <c r="BI164" s="496">
        <f t="shared" si="293"/>
        <v>1.35</v>
      </c>
      <c r="BJ164" s="496">
        <f t="shared" si="293"/>
        <v>1.35</v>
      </c>
      <c r="BK164" s="496">
        <f t="shared" si="293"/>
        <v>1.35</v>
      </c>
      <c r="BL164" s="496">
        <f t="shared" si="293"/>
        <v>1.35</v>
      </c>
    </row>
    <row r="165" spans="1:64" hidden="1" outlineLevel="1">
      <c r="A165" s="459" t="s">
        <v>379</v>
      </c>
      <c r="B165" s="260"/>
      <c r="C165" s="260"/>
      <c r="D165" s="260"/>
      <c r="E165" s="260"/>
      <c r="F165" s="260"/>
      <c r="G165" s="260"/>
      <c r="H165" s="260"/>
      <c r="I165" s="260"/>
      <c r="J165" s="260"/>
      <c r="K165" s="260"/>
      <c r="L165" s="5">
        <f>+'store&amp;sf'!N20-'store&amp;sf'!N14</f>
        <v>82</v>
      </c>
      <c r="M165" s="5">
        <f>+'store&amp;sf'!N26-'store&amp;sf'!N20</f>
        <v>62</v>
      </c>
      <c r="N165" s="5">
        <f>+'store&amp;sf'!N32-'store&amp;sf'!N26</f>
        <v>29</v>
      </c>
      <c r="O165" s="5">
        <f>+'store&amp;sf'!N38-'store&amp;sf'!N32</f>
        <v>33</v>
      </c>
      <c r="P165" s="5">
        <f>+'store&amp;sf'!N44-'store&amp;sf'!N38</f>
        <v>43</v>
      </c>
      <c r="Q165" s="5">
        <f>+'store&amp;sf'!N50-'store&amp;sf'!N44</f>
        <v>21</v>
      </c>
      <c r="R165" s="5">
        <f>+'store&amp;sf'!N56-'store&amp;sf'!N50</f>
        <v>16</v>
      </c>
      <c r="S165" s="5">
        <f>+'store&amp;sf'!BT63</f>
        <v>9</v>
      </c>
      <c r="T165" s="5">
        <f>+'store&amp;sf'!BT69</f>
        <v>3</v>
      </c>
      <c r="U165" s="5">
        <f>+'store&amp;sf'!BT75</f>
        <v>8</v>
      </c>
      <c r="V165" s="235">
        <f>+'store&amp;sf'!BT81</f>
        <v>4</v>
      </c>
      <c r="W165" s="235">
        <f>+'store&amp;sf'!BT87</f>
        <v>14</v>
      </c>
      <c r="X165" s="464">
        <f>+'store&amp;sf'!BT93</f>
        <v>10</v>
      </c>
      <c r="Y165" s="5">
        <f>+'store&amp;sf'!BT99</f>
        <v>2</v>
      </c>
      <c r="Z165" s="5">
        <f>'store&amp;sf'!BT105</f>
        <v>0</v>
      </c>
      <c r="AA165" s="5">
        <f>'store&amp;sf'!BT111</f>
        <v>0</v>
      </c>
      <c r="AB165" s="5">
        <f>'store&amp;sf'!BT117</f>
        <v>0</v>
      </c>
      <c r="AC165" s="5">
        <f>'store&amp;sf'!BT117</f>
        <v>0</v>
      </c>
      <c r="AD165" s="260">
        <v>1</v>
      </c>
      <c r="AE165" s="260">
        <v>1</v>
      </c>
      <c r="AF165" s="260">
        <v>1</v>
      </c>
      <c r="AG165" s="260">
        <v>1</v>
      </c>
      <c r="AH165" s="260">
        <v>1</v>
      </c>
      <c r="AI165" s="260">
        <v>1</v>
      </c>
      <c r="AJ165" s="1169">
        <v>1</v>
      </c>
      <c r="AK165" s="260">
        <v>1</v>
      </c>
      <c r="AL165" s="260"/>
      <c r="AM165" s="260"/>
      <c r="AN165" s="260"/>
      <c r="AO165" s="260"/>
      <c r="AP165" s="260"/>
      <c r="AQ165" s="260"/>
      <c r="AR165" s="260"/>
      <c r="AS165" s="101"/>
      <c r="AT165" s="57"/>
      <c r="AU165" s="57"/>
      <c r="AV165" s="56"/>
      <c r="AW165" s="100"/>
      <c r="AX165" s="494" t="s">
        <v>320</v>
      </c>
      <c r="AY165" s="2" t="s">
        <v>755</v>
      </c>
      <c r="AZ165" s="501">
        <f t="shared" ref="AZ165:BL165" si="294">+Y176*AZ179</f>
        <v>-61.2</v>
      </c>
      <c r="BA165" s="501">
        <f t="shared" si="294"/>
        <v>-53.6</v>
      </c>
      <c r="BB165" s="501">
        <f t="shared" si="294"/>
        <v>-88</v>
      </c>
      <c r="BC165" s="501">
        <f t="shared" si="294"/>
        <v>-28</v>
      </c>
      <c r="BD165" s="501">
        <f t="shared" si="294"/>
        <v>-24</v>
      </c>
      <c r="BE165" s="501">
        <f t="shared" si="294"/>
        <v>-28</v>
      </c>
      <c r="BF165" s="501">
        <f t="shared" si="294"/>
        <v>-28</v>
      </c>
      <c r="BG165" s="501">
        <f t="shared" si="294"/>
        <v>-28</v>
      </c>
      <c r="BH165" s="501">
        <f t="shared" si="294"/>
        <v>-28</v>
      </c>
      <c r="BI165" s="501">
        <f t="shared" si="294"/>
        <v>-28</v>
      </c>
      <c r="BJ165" s="501">
        <f t="shared" si="294"/>
        <v>-28</v>
      </c>
      <c r="BK165" s="501">
        <f t="shared" si="294"/>
        <v>-28</v>
      </c>
      <c r="BL165" s="501">
        <f t="shared" si="294"/>
        <v>-28</v>
      </c>
    </row>
    <row r="166" spans="1:64" hidden="1" outlineLevel="1">
      <c r="A166" s="459" t="s">
        <v>380</v>
      </c>
      <c r="B166" s="260"/>
      <c r="C166" s="260"/>
      <c r="D166" s="260"/>
      <c r="E166" s="260"/>
      <c r="F166" s="260"/>
      <c r="G166" s="260"/>
      <c r="H166" s="260"/>
      <c r="I166" s="260"/>
      <c r="J166" s="260"/>
      <c r="K166" s="260"/>
      <c r="L166" s="5">
        <f>+'store&amp;sf'!P20-'store&amp;sf'!P14</f>
        <v>83</v>
      </c>
      <c r="M166" s="5">
        <f>+'store&amp;sf'!P26-'store&amp;sf'!P20</f>
        <v>88</v>
      </c>
      <c r="N166" s="5">
        <f>+'store&amp;sf'!P32-'store&amp;sf'!P26</f>
        <v>90</v>
      </c>
      <c r="O166" s="5">
        <f>+'store&amp;sf'!P38-'store&amp;sf'!P32</f>
        <v>64</v>
      </c>
      <c r="P166" s="5">
        <f>+'store&amp;sf'!P44-'store&amp;sf'!P38</f>
        <v>72</v>
      </c>
      <c r="Q166" s="5">
        <f>+'store&amp;sf'!P50-'store&amp;sf'!P44</f>
        <v>52</v>
      </c>
      <c r="R166" s="5">
        <f>+'store&amp;sf'!P56-'store&amp;sf'!P50</f>
        <v>24</v>
      </c>
      <c r="S166" s="5">
        <f>+'store&amp;sf'!BY63</f>
        <v>7</v>
      </c>
      <c r="T166" s="5">
        <f>+'store&amp;sf'!BY69</f>
        <v>1</v>
      </c>
      <c r="U166" s="5">
        <f>+'store&amp;sf'!BY75</f>
        <v>1</v>
      </c>
      <c r="V166" s="235">
        <f>+'store&amp;sf'!BY81</f>
        <v>0</v>
      </c>
      <c r="W166" s="235">
        <f>+'store&amp;sf'!BY87</f>
        <v>2</v>
      </c>
      <c r="X166" s="5">
        <f>+'store&amp;sf'!BY93</f>
        <v>0</v>
      </c>
      <c r="Y166" s="5">
        <f>+'store&amp;sf'!BY99</f>
        <v>0</v>
      </c>
      <c r="Z166" s="5">
        <f>'store&amp;sf'!BY105</f>
        <v>0</v>
      </c>
      <c r="AA166" s="5">
        <f>'store&amp;sf'!BY111</f>
        <v>0</v>
      </c>
      <c r="AB166" s="5">
        <f>'store&amp;sf'!$BY$117</f>
        <v>0</v>
      </c>
      <c r="AC166" s="5">
        <f>'store&amp;sf'!$BY$123</f>
        <v>0</v>
      </c>
      <c r="AD166" s="260">
        <v>0</v>
      </c>
      <c r="AE166" s="260">
        <v>0</v>
      </c>
      <c r="AF166" s="260">
        <v>0</v>
      </c>
      <c r="AG166" s="260">
        <v>0</v>
      </c>
      <c r="AH166" s="260">
        <v>0</v>
      </c>
      <c r="AI166" s="260">
        <v>0</v>
      </c>
      <c r="AJ166" s="1169">
        <v>0</v>
      </c>
      <c r="AK166" s="260">
        <v>0</v>
      </c>
      <c r="AL166" s="260"/>
      <c r="AM166" s="260"/>
      <c r="AN166" s="260"/>
      <c r="AO166" s="260"/>
      <c r="AP166" s="260"/>
      <c r="AQ166" s="260"/>
      <c r="AR166" s="260"/>
      <c r="AS166" s="101"/>
      <c r="AT166" s="57"/>
      <c r="AU166" s="57"/>
      <c r="AV166" s="56"/>
      <c r="AW166" s="100"/>
      <c r="AX166" s="494" t="s">
        <v>756</v>
      </c>
      <c r="AY166" s="472" t="s">
        <v>456</v>
      </c>
      <c r="AZ166" s="502">
        <f t="shared" ref="AZ166:BL166" si="295">+SUM(AZ160:AZ165)</f>
        <v>2058.4357500000001</v>
      </c>
      <c r="BA166" s="502">
        <f t="shared" si="295"/>
        <v>1965.6887051906601</v>
      </c>
      <c r="BB166" s="502">
        <f t="shared" si="295"/>
        <v>2012.9094796406303</v>
      </c>
      <c r="BC166" s="502">
        <f t="shared" si="295"/>
        <v>2060.7703241024433</v>
      </c>
      <c r="BD166" s="502">
        <f t="shared" si="295"/>
        <v>2208.2966195946119</v>
      </c>
      <c r="BE166" s="502">
        <f t="shared" si="295"/>
        <v>1830.9550946708123</v>
      </c>
      <c r="BF166" s="502">
        <f t="shared" si="295"/>
        <v>1862.8241965642285</v>
      </c>
      <c r="BG166" s="502">
        <f t="shared" si="295"/>
        <v>1895.330680495513</v>
      </c>
      <c r="BH166" s="502">
        <f t="shared" si="295"/>
        <v>1928.4872941054232</v>
      </c>
      <c r="BI166" s="502">
        <f t="shared" si="295"/>
        <v>1962.3070399875317</v>
      </c>
      <c r="BJ166" s="502">
        <f t="shared" si="295"/>
        <v>1996.8031807872824</v>
      </c>
      <c r="BK166" s="502">
        <f t="shared" si="295"/>
        <v>2031.9892444030284</v>
      </c>
      <c r="BL166" s="502">
        <f t="shared" si="295"/>
        <v>2067.879029291089</v>
      </c>
    </row>
    <row r="167" spans="1:64" hidden="1" outlineLevel="1">
      <c r="A167" s="459" t="s">
        <v>381</v>
      </c>
      <c r="B167" s="260"/>
      <c r="C167" s="260"/>
      <c r="D167" s="260"/>
      <c r="E167" s="260"/>
      <c r="F167" s="260"/>
      <c r="G167" s="260"/>
      <c r="H167" s="260"/>
      <c r="I167" s="260"/>
      <c r="J167" s="260"/>
      <c r="K167" s="260"/>
      <c r="L167" s="5">
        <f>+'store&amp;sf'!R20-'store&amp;sf'!R14</f>
        <v>0</v>
      </c>
      <c r="M167" s="5">
        <f>+'store&amp;sf'!R26-'store&amp;sf'!R20</f>
        <v>0</v>
      </c>
      <c r="N167" s="5">
        <f>+'store&amp;sf'!R32-'store&amp;sf'!R26</f>
        <v>0</v>
      </c>
      <c r="O167" s="5">
        <f>+'store&amp;sf'!R38-'store&amp;sf'!R32</f>
        <v>0</v>
      </c>
      <c r="P167" s="5">
        <f>+'store&amp;sf'!R44-'store&amp;sf'!R38</f>
        <v>0</v>
      </c>
      <c r="Q167" s="5">
        <f>+'store&amp;sf'!R50-'store&amp;sf'!R44</f>
        <v>0</v>
      </c>
      <c r="R167" s="5">
        <f>+'store&amp;sf'!R56-'store&amp;sf'!R50</f>
        <v>0</v>
      </c>
      <c r="S167" s="5">
        <f>+'store&amp;sf'!CD63</f>
        <v>0</v>
      </c>
      <c r="T167" s="5">
        <f>+'store&amp;sf'!CD69</f>
        <v>0</v>
      </c>
      <c r="U167" s="5">
        <f>+'store&amp;sf'!CD75</f>
        <v>0</v>
      </c>
      <c r="V167" s="235">
        <f>+'store&amp;sf'!CD81</f>
        <v>0</v>
      </c>
      <c r="W167" s="235">
        <f>+'store&amp;sf'!CD87</f>
        <v>0</v>
      </c>
      <c r="X167" s="464">
        <f>+'store&amp;sf'!CD93</f>
        <v>11</v>
      </c>
      <c r="Y167" s="5">
        <f>+'store&amp;sf'!CD99</f>
        <v>5</v>
      </c>
      <c r="Z167" s="5">
        <f>'store&amp;sf'!CD105</f>
        <v>15</v>
      </c>
      <c r="AA167" s="5">
        <f>'store&amp;sf'!CD111</f>
        <v>17</v>
      </c>
      <c r="AB167" s="5">
        <f>'store&amp;sf'!$CD$117</f>
        <v>2</v>
      </c>
      <c r="AC167" s="5">
        <f>'store&amp;sf'!$CD$123</f>
        <v>2</v>
      </c>
      <c r="AD167" s="260">
        <v>5</v>
      </c>
      <c r="AE167" s="260">
        <v>5</v>
      </c>
      <c r="AF167" s="260">
        <v>5</v>
      </c>
      <c r="AG167" s="260">
        <v>5</v>
      </c>
      <c r="AH167" s="260">
        <v>5</v>
      </c>
      <c r="AI167" s="260">
        <v>5</v>
      </c>
      <c r="AJ167" s="1169">
        <v>5</v>
      </c>
      <c r="AK167" s="260">
        <v>5</v>
      </c>
      <c r="AL167" s="260"/>
      <c r="AM167" s="260"/>
      <c r="AN167" s="260"/>
      <c r="AO167" s="260"/>
      <c r="AP167" s="260"/>
      <c r="AQ167" s="260"/>
      <c r="AR167" s="260"/>
      <c r="AS167" s="101"/>
      <c r="AT167" s="57"/>
      <c r="AU167" s="57"/>
      <c r="AV167" s="56"/>
      <c r="AW167" s="100"/>
      <c r="AX167" s="2"/>
      <c r="AY167" s="508" t="s">
        <v>926</v>
      </c>
      <c r="AZ167" s="508"/>
      <c r="BA167" s="2"/>
      <c r="BB167" s="2"/>
      <c r="BC167" s="2"/>
      <c r="BD167" s="2"/>
      <c r="BE167" s="2"/>
      <c r="BF167" s="2"/>
      <c r="BG167" s="2"/>
      <c r="BH167" s="2"/>
      <c r="BI167" s="2"/>
      <c r="BJ167" s="2"/>
      <c r="BK167" s="2"/>
      <c r="BL167" s="2"/>
    </row>
    <row r="168" spans="1:64" ht="12.75" hidden="1" customHeight="1" outlineLevel="1" collapsed="1">
      <c r="A168" s="459"/>
      <c r="B168" s="260"/>
      <c r="C168" s="260"/>
      <c r="D168" s="260"/>
      <c r="E168" s="260"/>
      <c r="F168" s="260"/>
      <c r="G168" s="260"/>
      <c r="H168" s="260"/>
      <c r="I168" s="260"/>
      <c r="J168" s="260"/>
      <c r="K168" s="260"/>
      <c r="L168" s="5"/>
      <c r="M168" s="5"/>
      <c r="N168" s="5"/>
      <c r="O168" s="5"/>
      <c r="P168" s="5"/>
      <c r="Q168" s="5"/>
      <c r="R168" s="5"/>
      <c r="S168" s="5"/>
      <c r="T168" s="5"/>
      <c r="U168" s="5"/>
      <c r="V168" s="235"/>
      <c r="W168" s="235"/>
      <c r="X168" s="464"/>
      <c r="Y168" s="260"/>
      <c r="Z168" s="260"/>
      <c r="AA168" s="260"/>
      <c r="AB168" s="260"/>
      <c r="AC168" s="260"/>
      <c r="AD168" s="260"/>
      <c r="AE168" s="260"/>
      <c r="AF168" s="260"/>
      <c r="AG168" s="260"/>
      <c r="AH168" s="260"/>
      <c r="AI168" s="260"/>
      <c r="AJ168" s="1169"/>
      <c r="AK168" s="260"/>
      <c r="AL168" s="260"/>
      <c r="AM168" s="260"/>
      <c r="AN168" s="260"/>
      <c r="AO168" s="260"/>
      <c r="AP168" s="260"/>
      <c r="AQ168" s="260"/>
      <c r="AR168" s="260"/>
      <c r="AS168" s="101"/>
      <c r="AT168" s="57"/>
      <c r="AU168" s="57"/>
      <c r="AV168" s="56"/>
      <c r="AW168" s="100"/>
      <c r="AX168" s="2"/>
      <c r="AY168" s="2" t="s">
        <v>359</v>
      </c>
      <c r="AZ168" s="18">
        <f t="shared" ref="AZ168:BF168" si="296">+(AZ160+AZ162)/AZ160-1</f>
        <v>9.8821755909308528E-3</v>
      </c>
      <c r="BA168" s="18">
        <f t="shared" si="296"/>
        <v>2.6354145032184473E-2</v>
      </c>
      <c r="BB168" s="18">
        <f t="shared" si="296"/>
        <v>3.147124248076083E-2</v>
      </c>
      <c r="BC168" s="18">
        <f t="shared" si="296"/>
        <v>3.6156423156135098E-3</v>
      </c>
      <c r="BD168" s="18">
        <f t="shared" si="296"/>
        <v>3.5316699813492392E-3</v>
      </c>
      <c r="BE168" s="18">
        <f t="shared" si="296"/>
        <v>1.135684694518857E-2</v>
      </c>
      <c r="BF168" s="18">
        <f t="shared" si="296"/>
        <v>9.0116901545127526E-3</v>
      </c>
      <c r="BG168" s="18">
        <f t="shared" ref="BG168:BL168" si="297">+(BG160+BG162)/BG160-1</f>
        <v>8.8575186163204478E-3</v>
      </c>
      <c r="BH168" s="18">
        <f t="shared" si="297"/>
        <v>8.7056048687430554E-3</v>
      </c>
      <c r="BI168" s="18">
        <f t="shared" si="297"/>
        <v>8.5559288103342901E-3</v>
      </c>
      <c r="BJ168" s="18">
        <f t="shared" si="297"/>
        <v>8.4084700629238895E-3</v>
      </c>
      <c r="BK168" s="18">
        <f t="shared" si="297"/>
        <v>8.2632079910323064E-3</v>
      </c>
      <c r="BL168" s="18">
        <f t="shared" si="297"/>
        <v>8.1201217208448639E-3</v>
      </c>
    </row>
    <row r="169" spans="1:64" hidden="1" outlineLevel="1">
      <c r="A169" s="214" t="s">
        <v>464</v>
      </c>
      <c r="B169" s="260"/>
      <c r="C169" s="260"/>
      <c r="D169" s="260"/>
      <c r="E169" s="260"/>
      <c r="F169" s="260"/>
      <c r="G169" s="260"/>
      <c r="H169" s="260"/>
      <c r="I169" s="260"/>
      <c r="J169" s="260"/>
      <c r="K169" s="260"/>
      <c r="L169" s="5"/>
      <c r="M169" s="5"/>
      <c r="N169" s="5"/>
      <c r="O169" s="5"/>
      <c r="P169" s="5"/>
      <c r="Q169" s="5"/>
      <c r="R169" s="5"/>
      <c r="S169" s="5"/>
      <c r="T169" s="5"/>
      <c r="U169" s="5"/>
      <c r="V169" s="235"/>
      <c r="W169" s="235"/>
      <c r="X169" s="179">
        <f t="shared" ref="X169:AC169" si="298">+X170+X171+X172</f>
        <v>-16</v>
      </c>
      <c r="Y169" s="179">
        <f t="shared" si="298"/>
        <v>0</v>
      </c>
      <c r="Z169" s="179">
        <f t="shared" si="298"/>
        <v>12</v>
      </c>
      <c r="AA169" s="179">
        <f t="shared" si="298"/>
        <v>42</v>
      </c>
      <c r="AB169" s="179">
        <f>+AB170+AB171+AB172</f>
        <v>-7</v>
      </c>
      <c r="AC169" s="179">
        <f t="shared" si="298"/>
        <v>0</v>
      </c>
      <c r="AD169" s="179">
        <f t="shared" ref="AD169:AI169" si="299">+AD170+AD171+AD172</f>
        <v>-1</v>
      </c>
      <c r="AE169" s="179">
        <f t="shared" si="299"/>
        <v>0</v>
      </c>
      <c r="AF169" s="179">
        <f t="shared" si="299"/>
        <v>0</v>
      </c>
      <c r="AG169" s="179">
        <f t="shared" si="299"/>
        <v>0</v>
      </c>
      <c r="AH169" s="179">
        <f t="shared" si="299"/>
        <v>0</v>
      </c>
      <c r="AI169" s="179">
        <f t="shared" si="299"/>
        <v>0</v>
      </c>
      <c r="AJ169" s="1170">
        <f>+AJ170+AJ171+AJ172</f>
        <v>0</v>
      </c>
      <c r="AK169" s="179">
        <f>+AK170+AK171+AK172</f>
        <v>0</v>
      </c>
      <c r="AL169" s="179"/>
      <c r="AM169" s="179"/>
      <c r="AN169" s="179"/>
      <c r="AO169" s="179"/>
      <c r="AP169" s="179"/>
      <c r="AQ169" s="179"/>
      <c r="AR169" s="179"/>
      <c r="AS169" s="101"/>
      <c r="AT169" s="57"/>
      <c r="AU169" s="57"/>
      <c r="AV169" s="56"/>
      <c r="AW169" s="100"/>
      <c r="AX169" s="2"/>
      <c r="AY169" s="2" t="s">
        <v>179</v>
      </c>
      <c r="AZ169" s="18">
        <f t="shared" ref="AZ169:BF169" si="300">+(AZ160+AZ163+AZ164)/AZ160-1</f>
        <v>1.2614568258562553E-2</v>
      </c>
      <c r="BA169" s="18">
        <f t="shared" si="300"/>
        <v>2.8582464271919905E-2</v>
      </c>
      <c r="BB169" s="18">
        <f t="shared" si="300"/>
        <v>3.9884239957717726E-2</v>
      </c>
      <c r="BC169" s="18">
        <f t="shared" si="300"/>
        <v>3.8551162277726592E-2</v>
      </c>
      <c r="BD169" s="18">
        <f t="shared" si="300"/>
        <v>3.4161982622038289E-2</v>
      </c>
      <c r="BE169" s="18">
        <f t="shared" si="300"/>
        <v>4.0490069769936188E-3</v>
      </c>
      <c r="BF169" s="18">
        <f t="shared" si="300"/>
        <v>3.6866005177551564E-3</v>
      </c>
      <c r="BG169" s="18">
        <f t="shared" ref="BG169:BL169" si="301">+(BG160+BG163+BG164)/BG160-1</f>
        <v>3.6235303430403043E-3</v>
      </c>
      <c r="BH169" s="18">
        <f t="shared" si="301"/>
        <v>3.5613838099404216E-3</v>
      </c>
      <c r="BI169" s="18">
        <f t="shared" si="301"/>
        <v>3.5001526951368156E-3</v>
      </c>
      <c r="BJ169" s="18">
        <f t="shared" si="301"/>
        <v>3.4398286621053487E-3</v>
      </c>
      <c r="BK169" s="18">
        <f t="shared" si="301"/>
        <v>3.3804032690585295E-3</v>
      </c>
      <c r="BL169" s="18">
        <f t="shared" si="301"/>
        <v>3.3218679767093029E-3</v>
      </c>
    </row>
    <row r="170" spans="1:64" hidden="1" outlineLevel="1">
      <c r="A170" s="459" t="s">
        <v>637</v>
      </c>
      <c r="B170" s="260"/>
      <c r="C170" s="260"/>
      <c r="D170" s="260"/>
      <c r="E170" s="260"/>
      <c r="F170" s="260"/>
      <c r="G170" s="260"/>
      <c r="H170" s="260"/>
      <c r="I170" s="260"/>
      <c r="J170" s="260"/>
      <c r="K170" s="260"/>
      <c r="L170" s="5"/>
      <c r="M170" s="5"/>
      <c r="N170" s="5"/>
      <c r="O170" s="5"/>
      <c r="P170" s="5"/>
      <c r="Q170" s="5"/>
      <c r="R170" s="5"/>
      <c r="S170" s="5"/>
      <c r="T170" s="5"/>
      <c r="U170" s="5"/>
      <c r="V170" s="235"/>
      <c r="W170" s="235"/>
      <c r="X170" s="179">
        <f>+'store&amp;sf'!BV93</f>
        <v>-38</v>
      </c>
      <c r="Y170" s="179">
        <f>+'store&amp;sf'!BV99</f>
        <v>-50</v>
      </c>
      <c r="Z170" s="179">
        <f>'store&amp;sf'!BV105</f>
        <v>-62</v>
      </c>
      <c r="AA170" s="179">
        <f>'store&amp;sf'!BV111</f>
        <v>-56</v>
      </c>
      <c r="AB170" s="192">
        <f>'store&amp;sf'!$BV$117</f>
        <v>-95</v>
      </c>
      <c r="AC170" s="192">
        <f>'store&amp;sf'!$BV$123</f>
        <v>-88</v>
      </c>
      <c r="AD170" s="300">
        <v>-10</v>
      </c>
      <c r="AE170" s="300">
        <v>-9</v>
      </c>
      <c r="AF170" s="300">
        <v>-9</v>
      </c>
      <c r="AG170" s="300">
        <v>-9</v>
      </c>
      <c r="AH170" s="300">
        <v>-9</v>
      </c>
      <c r="AI170" s="300">
        <v>-9</v>
      </c>
      <c r="AJ170" s="491">
        <v>-9</v>
      </c>
      <c r="AK170" s="300">
        <v>-9</v>
      </c>
      <c r="AL170" s="300"/>
      <c r="AM170" s="300"/>
      <c r="AN170" s="300"/>
      <c r="AO170" s="300"/>
      <c r="AP170" s="300"/>
      <c r="AQ170" s="300"/>
      <c r="AR170" s="300"/>
      <c r="AS170" s="101"/>
      <c r="AT170" s="57"/>
      <c r="AU170" s="57"/>
      <c r="AV170" s="56"/>
      <c r="AW170" s="100"/>
      <c r="AX170" s="2"/>
      <c r="AY170" s="2" t="s">
        <v>561</v>
      </c>
      <c r="AZ170" s="239">
        <f t="shared" ref="AZ170:BF170" si="302">+(AZ160+AZ165)/AZ160-1</f>
        <v>-2.9522431259044857E-2</v>
      </c>
      <c r="BA170" s="239">
        <f t="shared" si="302"/>
        <v>-2.5878717651602878E-2</v>
      </c>
      <c r="BB170" s="239">
        <f t="shared" si="302"/>
        <v>-4.4768024442336407E-2</v>
      </c>
      <c r="BC170" s="239">
        <f t="shared" si="302"/>
        <v>-1.3910213192994125E-2</v>
      </c>
      <c r="BD170" s="239">
        <f t="shared" si="302"/>
        <v>-1.164613043933127E-2</v>
      </c>
      <c r="BE170" s="239">
        <f t="shared" si="302"/>
        <v>-1.5746138243863617E-2</v>
      </c>
      <c r="BF170" s="239">
        <f t="shared" si="302"/>
        <v>-1.5292565110688328E-2</v>
      </c>
      <c r="BG170" s="239">
        <f t="shared" ref="BG170:BL170" si="303">+(BG160+BG165)/BG160-1</f>
        <v>-1.5030940682240868E-2</v>
      </c>
      <c r="BH170" s="239">
        <f t="shared" si="303"/>
        <v>-1.4773147656048979E-2</v>
      </c>
      <c r="BI170" s="239">
        <f t="shared" si="303"/>
        <v>-1.4519151920567075E-2</v>
      </c>
      <c r="BJ170" s="239">
        <f t="shared" si="303"/>
        <v>-1.4268918894658755E-2</v>
      </c>
      <c r="BK170" s="239">
        <f t="shared" si="303"/>
        <v>-1.402241356053946E-2</v>
      </c>
      <c r="BL170" s="239">
        <f t="shared" si="303"/>
        <v>-1.3779600495979039E-2</v>
      </c>
    </row>
    <row r="171" spans="1:64" hidden="1" outlineLevel="1">
      <c r="A171" s="459" t="s">
        <v>638</v>
      </c>
      <c r="B171" s="260"/>
      <c r="C171" s="260"/>
      <c r="D171" s="260"/>
      <c r="E171" s="260"/>
      <c r="F171" s="260"/>
      <c r="G171" s="260"/>
      <c r="H171" s="260"/>
      <c r="I171" s="260"/>
      <c r="J171" s="260"/>
      <c r="K171" s="260"/>
      <c r="L171" s="5"/>
      <c r="M171" s="5"/>
      <c r="N171" s="5"/>
      <c r="O171" s="5"/>
      <c r="P171" s="5"/>
      <c r="Q171" s="5"/>
      <c r="R171" s="5"/>
      <c r="S171" s="5"/>
      <c r="T171" s="5"/>
      <c r="U171" s="5"/>
      <c r="V171" s="235"/>
      <c r="W171" s="235"/>
      <c r="X171" s="179">
        <f>+'store&amp;sf'!CA93</f>
        <v>-16</v>
      </c>
      <c r="Y171" s="179">
        <f>+'store&amp;sf'!CA99</f>
        <v>0</v>
      </c>
      <c r="Z171" s="179">
        <f>'store&amp;sf'!CB105</f>
        <v>0</v>
      </c>
      <c r="AA171" s="179">
        <f>'store&amp;sf'!CA111</f>
        <v>0</v>
      </c>
      <c r="AB171" s="192">
        <f>'store&amp;sf'!$CA$117</f>
        <v>-9</v>
      </c>
      <c r="AC171" s="192">
        <f>'store&amp;sf'!$CA$123</f>
        <v>0</v>
      </c>
      <c r="AD171" s="260">
        <v>0</v>
      </c>
      <c r="AE171" s="260">
        <v>0</v>
      </c>
      <c r="AF171" s="260">
        <v>0</v>
      </c>
      <c r="AG171" s="260">
        <v>0</v>
      </c>
      <c r="AH171" s="260">
        <v>0</v>
      </c>
      <c r="AI171" s="260">
        <v>0</v>
      </c>
      <c r="AJ171" s="1169">
        <v>0</v>
      </c>
      <c r="AK171" s="260">
        <v>0</v>
      </c>
      <c r="AL171" s="260"/>
      <c r="AM171" s="260"/>
      <c r="AN171" s="260"/>
      <c r="AO171" s="260"/>
      <c r="AP171" s="260"/>
      <c r="AQ171" s="260"/>
      <c r="AR171" s="260"/>
      <c r="AS171" s="101"/>
      <c r="AT171" s="57"/>
      <c r="AU171" s="57"/>
      <c r="AV171" s="56"/>
      <c r="AW171" s="100"/>
      <c r="AX171" s="2"/>
      <c r="AY171" s="2" t="s">
        <v>788</v>
      </c>
      <c r="AZ171" s="509">
        <f t="shared" ref="AZ171:BF171" si="304">+(AZ160+AZ161)/AZ160-1</f>
        <v>0</v>
      </c>
      <c r="BA171" s="509">
        <f t="shared" si="304"/>
        <v>-7.999999999999996E-2</v>
      </c>
      <c r="BB171" s="509">
        <f t="shared" si="304"/>
        <v>-2.5649490783888895E-3</v>
      </c>
      <c r="BC171" s="509">
        <f t="shared" si="304"/>
        <v>-4.479643183897597E-3</v>
      </c>
      <c r="BD171" s="509">
        <f t="shared" si="304"/>
        <v>4.5540414524823714E-2</v>
      </c>
      <c r="BE171" s="509">
        <f t="shared" si="304"/>
        <v>3.0000000000000027E-2</v>
      </c>
      <c r="BF171" s="509">
        <f t="shared" si="304"/>
        <v>2.0000000000000018E-2</v>
      </c>
      <c r="BG171" s="509">
        <f t="shared" ref="BG171:BL171" si="305">+(BG160+BG161)/BG160-1</f>
        <v>2.0000000000000018E-2</v>
      </c>
      <c r="BH171" s="509">
        <f t="shared" si="305"/>
        <v>2.0000000000000018E-2</v>
      </c>
      <c r="BI171" s="509">
        <f t="shared" si="305"/>
        <v>2.0000000000000018E-2</v>
      </c>
      <c r="BJ171" s="509">
        <f t="shared" si="305"/>
        <v>2.0000000000000018E-2</v>
      </c>
      <c r="BK171" s="509">
        <f t="shared" si="305"/>
        <v>2.0000000000000018E-2</v>
      </c>
      <c r="BL171" s="509">
        <f t="shared" si="305"/>
        <v>2.0000000000000018E-2</v>
      </c>
    </row>
    <row r="172" spans="1:64" hidden="1" outlineLevel="1">
      <c r="A172" s="459" t="s">
        <v>463</v>
      </c>
      <c r="B172" s="260"/>
      <c r="C172" s="260"/>
      <c r="D172" s="260"/>
      <c r="E172" s="260"/>
      <c r="F172" s="260"/>
      <c r="G172" s="260"/>
      <c r="H172" s="260"/>
      <c r="I172" s="260"/>
      <c r="J172" s="260"/>
      <c r="K172" s="260"/>
      <c r="L172" s="5"/>
      <c r="M172" s="5"/>
      <c r="N172" s="5"/>
      <c r="O172" s="5"/>
      <c r="P172" s="5"/>
      <c r="Q172" s="5"/>
      <c r="R172" s="5"/>
      <c r="S172" s="5"/>
      <c r="T172" s="5"/>
      <c r="U172" s="5"/>
      <c r="V172" s="235"/>
      <c r="W172" s="235"/>
      <c r="X172" s="179">
        <f>+'store&amp;sf'!CF93</f>
        <v>38</v>
      </c>
      <c r="Y172" s="5">
        <f>+'store&amp;sf'!CF99</f>
        <v>50</v>
      </c>
      <c r="Z172" s="5">
        <f>'store&amp;sf'!CF105</f>
        <v>74</v>
      </c>
      <c r="AA172" s="5">
        <f>'store&amp;sf'!CF111</f>
        <v>98</v>
      </c>
      <c r="AB172" s="5">
        <f>'store&amp;sf'!$CF$117</f>
        <v>97</v>
      </c>
      <c r="AC172" s="5">
        <f>'store&amp;sf'!$CF$123</f>
        <v>88</v>
      </c>
      <c r="AD172" s="260">
        <v>9</v>
      </c>
      <c r="AE172" s="5">
        <f t="shared" ref="AE172:AJ172" si="306">+-AE170</f>
        <v>9</v>
      </c>
      <c r="AF172" s="5">
        <f t="shared" si="306"/>
        <v>9</v>
      </c>
      <c r="AG172" s="5">
        <f t="shared" si="306"/>
        <v>9</v>
      </c>
      <c r="AH172" s="5">
        <f t="shared" si="306"/>
        <v>9</v>
      </c>
      <c r="AI172" s="5">
        <f t="shared" si="306"/>
        <v>9</v>
      </c>
      <c r="AJ172" s="464">
        <f t="shared" si="306"/>
        <v>9</v>
      </c>
      <c r="AK172" s="5">
        <f>+-AK170</f>
        <v>9</v>
      </c>
      <c r="AL172" s="5"/>
      <c r="AM172" s="5"/>
      <c r="AN172" s="5"/>
      <c r="AO172" s="5"/>
      <c r="AP172" s="5"/>
      <c r="AQ172" s="5"/>
      <c r="AR172" s="5"/>
      <c r="AS172" s="101"/>
      <c r="AT172" s="57"/>
      <c r="AU172" s="57"/>
      <c r="AV172" s="56"/>
      <c r="AW172" s="100"/>
      <c r="AX172" s="2"/>
      <c r="AY172" s="2" t="s">
        <v>789</v>
      </c>
      <c r="AZ172" s="18">
        <f t="shared" ref="AZ172:BL172" si="307">+AZ168+AZ169+AZ170+AZ171</f>
        <v>-7.025687409551451E-3</v>
      </c>
      <c r="BA172" s="18">
        <f t="shared" si="307"/>
        <v>-5.094210834749846E-2</v>
      </c>
      <c r="BB172" s="18">
        <f t="shared" si="307"/>
        <v>2.402250891775326E-2</v>
      </c>
      <c r="BC172" s="18">
        <f t="shared" si="307"/>
        <v>2.3776948216448379E-2</v>
      </c>
      <c r="BD172" s="18">
        <f t="shared" si="307"/>
        <v>7.1587936688879972E-2</v>
      </c>
      <c r="BE172" s="18">
        <f t="shared" si="307"/>
        <v>2.9659715678318599E-2</v>
      </c>
      <c r="BF172" s="18">
        <f t="shared" si="307"/>
        <v>1.7405725561579599E-2</v>
      </c>
      <c r="BG172" s="18">
        <f t="shared" si="307"/>
        <v>1.7450108277119902E-2</v>
      </c>
      <c r="BH172" s="18">
        <f t="shared" si="307"/>
        <v>1.7493841022634515E-2</v>
      </c>
      <c r="BI172" s="18">
        <f t="shared" si="307"/>
        <v>1.7536929584904049E-2</v>
      </c>
      <c r="BJ172" s="18">
        <f t="shared" si="307"/>
        <v>1.7579379830370501E-2</v>
      </c>
      <c r="BK172" s="18">
        <f t="shared" si="307"/>
        <v>1.7621197699551394E-2</v>
      </c>
      <c r="BL172" s="18">
        <f t="shared" si="307"/>
        <v>1.7662389201575146E-2</v>
      </c>
    </row>
    <row r="173" spans="1:64" ht="12.75" hidden="1" customHeight="1" outlineLevel="1" collapsed="1">
      <c r="A173" s="460"/>
      <c r="B173" s="260"/>
      <c r="C173" s="260"/>
      <c r="D173" s="260"/>
      <c r="E173" s="260"/>
      <c r="F173" s="260"/>
      <c r="G173" s="260"/>
      <c r="H173" s="260"/>
      <c r="I173" s="260"/>
      <c r="J173" s="260"/>
      <c r="K173" s="260"/>
      <c r="L173" s="5"/>
      <c r="M173" s="5"/>
      <c r="N173" s="5"/>
      <c r="O173" s="5"/>
      <c r="P173" s="5"/>
      <c r="Q173" s="5"/>
      <c r="R173" s="5"/>
      <c r="S173" s="5"/>
      <c r="T173" s="5"/>
      <c r="U173" s="5"/>
      <c r="V173" s="235"/>
      <c r="W173" s="235"/>
      <c r="X173" s="5"/>
      <c r="Y173" s="5"/>
      <c r="Z173" s="260"/>
      <c r="AA173" s="260"/>
      <c r="AB173" s="260"/>
      <c r="AC173" s="260"/>
      <c r="AD173" s="260"/>
      <c r="AE173" s="260"/>
      <c r="AF173" s="260"/>
      <c r="AG173" s="260"/>
      <c r="AH173" s="260"/>
      <c r="AI173" s="260"/>
      <c r="AJ173" s="1169"/>
      <c r="AK173" s="260"/>
      <c r="AL173" s="260"/>
      <c r="AM173" s="260"/>
      <c r="AN173" s="260"/>
      <c r="AO173" s="260"/>
      <c r="AP173" s="260"/>
      <c r="AQ173" s="260"/>
      <c r="AR173" s="260"/>
      <c r="AS173" s="101"/>
      <c r="AT173" s="57"/>
      <c r="AU173" s="57"/>
      <c r="AV173" s="56"/>
      <c r="AW173" s="100"/>
      <c r="AX173" s="2"/>
      <c r="AY173" s="2"/>
      <c r="AZ173" s="2"/>
      <c r="BA173" s="2"/>
      <c r="BB173" s="2"/>
      <c r="BC173" s="2"/>
      <c r="BD173" s="2"/>
      <c r="BE173" s="2"/>
      <c r="BF173" s="2"/>
      <c r="BG173" s="2"/>
      <c r="BH173" s="2"/>
      <c r="BI173" s="2"/>
      <c r="BJ173" s="2"/>
      <c r="BK173" s="2"/>
      <c r="BL173" s="2"/>
    </row>
    <row r="174" spans="1:64" hidden="1" outlineLevel="1">
      <c r="A174" s="214" t="s">
        <v>1087</v>
      </c>
      <c r="B174" s="260"/>
      <c r="C174" s="260"/>
      <c r="D174" s="260"/>
      <c r="E174" s="260"/>
      <c r="F174" s="260"/>
      <c r="G174" s="260"/>
      <c r="H174" s="260"/>
      <c r="I174" s="260"/>
      <c r="J174" s="260"/>
      <c r="K174" s="260"/>
      <c r="L174" s="260"/>
      <c r="M174" s="260"/>
      <c r="N174" s="260"/>
      <c r="O174" s="5"/>
      <c r="P174" s="5"/>
      <c r="Q174" s="5"/>
      <c r="R174" s="5"/>
      <c r="S174" s="179">
        <f t="shared" ref="S174:Y174" si="308">+S175+S176</f>
        <v>-14</v>
      </c>
      <c r="T174" s="179">
        <f t="shared" si="308"/>
        <v>-67</v>
      </c>
      <c r="U174" s="179">
        <f t="shared" si="308"/>
        <v>-56</v>
      </c>
      <c r="V174" s="179">
        <f t="shared" si="308"/>
        <v>-55</v>
      </c>
      <c r="W174" s="179">
        <f t="shared" si="308"/>
        <v>-46</v>
      </c>
      <c r="X174" s="179">
        <f t="shared" si="308"/>
        <v>-80</v>
      </c>
      <c r="Y174" s="179">
        <f t="shared" si="308"/>
        <v>-82</v>
      </c>
      <c r="Z174" s="179">
        <f>+Z175+Z176</f>
        <v>-99</v>
      </c>
      <c r="AA174" s="179">
        <f t="shared" ref="AA174:AF174" si="309">+AA175+AA176+AA177</f>
        <v>-200.00000000000006</v>
      </c>
      <c r="AB174" s="179">
        <f t="shared" si="309"/>
        <v>-80</v>
      </c>
      <c r="AC174" s="179">
        <f t="shared" si="309"/>
        <v>-77</v>
      </c>
      <c r="AD174" s="179">
        <v>-71</v>
      </c>
      <c r="AE174" s="179">
        <f t="shared" si="309"/>
        <v>-68</v>
      </c>
      <c r="AF174" s="179">
        <f t="shared" si="309"/>
        <v>-68</v>
      </c>
      <c r="AG174" s="179">
        <f>+AG175+AG176+AG177</f>
        <v>-68</v>
      </c>
      <c r="AH174" s="179">
        <f>+AH175+AH176+AH177</f>
        <v>-68</v>
      </c>
      <c r="AI174" s="179">
        <f>+AI175+AI176+AI177</f>
        <v>-68</v>
      </c>
      <c r="AJ174" s="1170">
        <f>+AJ175+AJ176+AJ177</f>
        <v>-68</v>
      </c>
      <c r="AK174" s="179">
        <f>+AK175+AK176+AK177</f>
        <v>-68</v>
      </c>
      <c r="AL174" s="179"/>
      <c r="AM174" s="179"/>
      <c r="AN174" s="179"/>
      <c r="AO174" s="179"/>
      <c r="AP174" s="179"/>
      <c r="AQ174" s="179"/>
      <c r="AR174" s="179"/>
      <c r="AS174" s="101"/>
      <c r="AT174" s="57"/>
      <c r="AU174" s="57"/>
      <c r="AV174" s="56"/>
      <c r="AW174" s="100"/>
      <c r="AX174" s="2"/>
      <c r="AY174" s="500" t="s">
        <v>1117</v>
      </c>
      <c r="AZ174" s="500"/>
      <c r="BA174" s="2"/>
      <c r="BB174" s="2"/>
      <c r="BC174" s="2"/>
      <c r="BD174" s="2"/>
      <c r="BE174" s="2"/>
      <c r="BF174" s="2"/>
      <c r="BG174" s="2"/>
      <c r="BH174" s="2"/>
      <c r="BI174" s="2"/>
      <c r="BJ174" s="2"/>
      <c r="BK174" s="2"/>
      <c r="BL174" s="2"/>
    </row>
    <row r="175" spans="1:64" hidden="1" outlineLevel="1">
      <c r="A175" s="460" t="str">
        <f>+A165</f>
        <v>Express Women</v>
      </c>
      <c r="B175" s="260"/>
      <c r="C175" s="260"/>
      <c r="D175" s="260"/>
      <c r="E175" s="260"/>
      <c r="F175" s="260"/>
      <c r="G175" s="260"/>
      <c r="H175" s="260"/>
      <c r="I175" s="260"/>
      <c r="J175" s="260"/>
      <c r="K175" s="260"/>
      <c r="L175" s="260"/>
      <c r="M175" s="260"/>
      <c r="N175" s="260"/>
      <c r="O175" s="5"/>
      <c r="P175" s="5"/>
      <c r="Q175" s="5"/>
      <c r="R175" s="5"/>
      <c r="S175" s="179">
        <f>+'store&amp;sf'!BU63</f>
        <v>-9</v>
      </c>
      <c r="T175" s="179">
        <f>+'store&amp;sf'!BU69</f>
        <v>-54</v>
      </c>
      <c r="U175" s="179">
        <f>+'store&amp;sf'!BU75</f>
        <v>-22</v>
      </c>
      <c r="V175" s="179">
        <f>+'store&amp;sf'!BU81</f>
        <v>-25</v>
      </c>
      <c r="W175" s="179">
        <f>+'store&amp;sf'!BU87</f>
        <v>-14</v>
      </c>
      <c r="X175" s="179">
        <f>+'store&amp;sf'!BU93</f>
        <v>-15</v>
      </c>
      <c r="Y175" s="351">
        <f>+'store&amp;sf'!BU99</f>
        <v>-14</v>
      </c>
      <c r="Z175" s="351">
        <f>+'store&amp;sf'!BU105</f>
        <v>-32</v>
      </c>
      <c r="AA175" s="192">
        <f>'store&amp;sf'!BU111</f>
        <v>-85.000000000000071</v>
      </c>
      <c r="AB175" s="192">
        <f>'store&amp;sf'!$BU$117</f>
        <v>-37</v>
      </c>
      <c r="AC175" s="192">
        <f>'store&amp;sf'!$BU$123</f>
        <v>-32</v>
      </c>
      <c r="AD175" s="300">
        <v>-29</v>
      </c>
      <c r="AE175" s="300">
        <v>-28</v>
      </c>
      <c r="AF175" s="300">
        <v>-28</v>
      </c>
      <c r="AG175" s="300">
        <v>-28</v>
      </c>
      <c r="AH175" s="300">
        <v>-28</v>
      </c>
      <c r="AI175" s="300">
        <v>-28</v>
      </c>
      <c r="AJ175" s="491">
        <v>-28</v>
      </c>
      <c r="AK175" s="300">
        <v>-28</v>
      </c>
      <c r="AL175" s="300"/>
      <c r="AM175" s="300"/>
      <c r="AN175" s="300"/>
      <c r="AO175" s="300"/>
      <c r="AP175" s="300"/>
      <c r="AQ175" s="300"/>
      <c r="AR175" s="300"/>
      <c r="AS175" s="101"/>
      <c r="AT175" s="57"/>
      <c r="AU175" s="57"/>
      <c r="AV175" s="56"/>
      <c r="AW175" s="100"/>
      <c r="AX175" s="2"/>
      <c r="AY175" s="2" t="s">
        <v>1066</v>
      </c>
      <c r="AZ175" s="495">
        <v>1.7</v>
      </c>
      <c r="BA175" s="495">
        <v>2</v>
      </c>
      <c r="BB175" s="12">
        <f t="shared" ref="BB175:BD179" si="310">+BA175</f>
        <v>2</v>
      </c>
      <c r="BC175" s="12">
        <f t="shared" si="310"/>
        <v>2</v>
      </c>
      <c r="BD175" s="12">
        <f t="shared" si="310"/>
        <v>2</v>
      </c>
      <c r="BE175" s="12">
        <f t="shared" ref="BE175:BF179" si="311">+BD175</f>
        <v>2</v>
      </c>
      <c r="BF175" s="12">
        <v>1.5</v>
      </c>
      <c r="BG175" s="12">
        <f t="shared" ref="BG175:BH177" si="312">+BF175</f>
        <v>1.5</v>
      </c>
      <c r="BH175" s="12">
        <f t="shared" si="312"/>
        <v>1.5</v>
      </c>
      <c r="BI175" s="12">
        <f t="shared" ref="BI175:BJ177" si="313">+BH175</f>
        <v>1.5</v>
      </c>
      <c r="BJ175" s="12">
        <f t="shared" si="313"/>
        <v>1.5</v>
      </c>
      <c r="BK175" s="12">
        <f t="shared" ref="BK175:BL177" si="314">+BJ175</f>
        <v>1.5</v>
      </c>
      <c r="BL175" s="12">
        <f t="shared" si="314"/>
        <v>1.5</v>
      </c>
    </row>
    <row r="176" spans="1:64" hidden="1" outlineLevel="1">
      <c r="A176" s="460" t="str">
        <f>+A166</f>
        <v>Express Men</v>
      </c>
      <c r="B176" s="260"/>
      <c r="C176" s="260"/>
      <c r="D176" s="260"/>
      <c r="E176" s="260"/>
      <c r="F176" s="260"/>
      <c r="G176" s="260"/>
      <c r="H176" s="260"/>
      <c r="I176" s="260"/>
      <c r="J176" s="260"/>
      <c r="K176" s="260"/>
      <c r="L176" s="260"/>
      <c r="M176" s="260"/>
      <c r="N176" s="260"/>
      <c r="O176" s="5"/>
      <c r="P176" s="5"/>
      <c r="Q176" s="5"/>
      <c r="R176" s="5"/>
      <c r="S176" s="179">
        <f>+'store&amp;sf'!BZ63+'store&amp;sf'!CE63</f>
        <v>-5</v>
      </c>
      <c r="T176" s="179">
        <f>+'store&amp;sf'!BZ69</f>
        <v>-13</v>
      </c>
      <c r="U176" s="179">
        <f>+'store&amp;sf'!BZ75</f>
        <v>-34</v>
      </c>
      <c r="V176" s="179">
        <f>+'store&amp;sf'!BZ81</f>
        <v>-30</v>
      </c>
      <c r="W176" s="179">
        <f>+'store&amp;sf'!BZ87</f>
        <v>-32</v>
      </c>
      <c r="X176" s="179">
        <f>+'store&amp;sf'!BZ93</f>
        <v>-65</v>
      </c>
      <c r="Y176" s="179">
        <f>+'store&amp;sf'!BZ99</f>
        <v>-68</v>
      </c>
      <c r="Z176" s="179">
        <f>+'store&amp;sf'!BZ105</f>
        <v>-67</v>
      </c>
      <c r="AA176" s="192">
        <f>'store&amp;sf'!BZ111</f>
        <v>-110</v>
      </c>
      <c r="AB176" s="192">
        <f>'store&amp;sf'!$BZ$117</f>
        <v>-35</v>
      </c>
      <c r="AC176" s="192">
        <f>'store&amp;sf'!$BZ$123</f>
        <v>-30</v>
      </c>
      <c r="AD176" s="300">
        <v>-35</v>
      </c>
      <c r="AE176" s="300">
        <v>-35</v>
      </c>
      <c r="AF176" s="300">
        <v>-35</v>
      </c>
      <c r="AG176" s="300">
        <v>-35</v>
      </c>
      <c r="AH176" s="300">
        <v>-35</v>
      </c>
      <c r="AI176" s="300">
        <v>-35</v>
      </c>
      <c r="AJ176" s="491">
        <v>-35</v>
      </c>
      <c r="AK176" s="300">
        <v>-35</v>
      </c>
      <c r="AL176" s="300"/>
      <c r="AM176" s="300"/>
      <c r="AN176" s="300"/>
      <c r="AO176" s="300"/>
      <c r="AP176" s="300"/>
      <c r="AQ176" s="300"/>
      <c r="AR176" s="300"/>
      <c r="AS176" s="101"/>
      <c r="AT176" s="57"/>
      <c r="AU176" s="57"/>
      <c r="AV176" s="56"/>
      <c r="AW176" s="100"/>
      <c r="AX176" s="2"/>
      <c r="AY176" s="2" t="s">
        <v>322</v>
      </c>
      <c r="AZ176" s="12">
        <f>+AZ182*(1+AZ183)*AZ184/1000000</f>
        <v>3.4171500000000004</v>
      </c>
      <c r="BA176" s="12">
        <f>+BA182*(1+BA183)*BA184/1000000</f>
        <v>3.6389803460440118</v>
      </c>
      <c r="BB176" s="506">
        <f t="shared" si="310"/>
        <v>3.6389803460440118</v>
      </c>
      <c r="BC176" s="506">
        <f t="shared" si="310"/>
        <v>3.6389803460440118</v>
      </c>
      <c r="BD176" s="506">
        <f t="shared" si="310"/>
        <v>3.6389803460440118</v>
      </c>
      <c r="BE176" s="506">
        <f t="shared" si="311"/>
        <v>3.6389803460440118</v>
      </c>
      <c r="BF176" s="506">
        <v>3</v>
      </c>
      <c r="BG176" s="506">
        <f t="shared" si="312"/>
        <v>3</v>
      </c>
      <c r="BH176" s="506">
        <f t="shared" si="312"/>
        <v>3</v>
      </c>
      <c r="BI176" s="506">
        <f t="shared" si="313"/>
        <v>3</v>
      </c>
      <c r="BJ176" s="506">
        <f t="shared" si="313"/>
        <v>3</v>
      </c>
      <c r="BK176" s="506">
        <f t="shared" si="314"/>
        <v>3</v>
      </c>
      <c r="BL176" s="506">
        <f t="shared" si="314"/>
        <v>3</v>
      </c>
    </row>
    <row r="177" spans="1:64" ht="12.75" hidden="1" customHeight="1" outlineLevel="1">
      <c r="A177" s="459" t="s">
        <v>454</v>
      </c>
      <c r="B177" s="260"/>
      <c r="C177" s="260"/>
      <c r="D177" s="260"/>
      <c r="E177" s="260"/>
      <c r="F177" s="260"/>
      <c r="G177" s="260"/>
      <c r="H177" s="260"/>
      <c r="I177" s="260"/>
      <c r="J177" s="260"/>
      <c r="K177" s="260"/>
      <c r="L177" s="260"/>
      <c r="M177" s="260"/>
      <c r="N177" s="260"/>
      <c r="O177" s="5"/>
      <c r="P177" s="5"/>
      <c r="Q177" s="5"/>
      <c r="R177" s="5"/>
      <c r="S177" s="179"/>
      <c r="T177" s="179"/>
      <c r="U177" s="179"/>
      <c r="V177" s="179"/>
      <c r="W177" s="179"/>
      <c r="X177" s="179"/>
      <c r="Y177" s="300"/>
      <c r="Z177" s="300"/>
      <c r="AA177" s="192">
        <f>'store&amp;sf'!CE111</f>
        <v>-5</v>
      </c>
      <c r="AB177" s="192">
        <f>'store&amp;sf'!$CE$117</f>
        <v>-8</v>
      </c>
      <c r="AC177" s="192">
        <f>'store&amp;sf'!$CE$123</f>
        <v>-15</v>
      </c>
      <c r="AD177" s="300">
        <v>-7</v>
      </c>
      <c r="AE177" s="300">
        <v>-5</v>
      </c>
      <c r="AF177" s="300">
        <v>-5</v>
      </c>
      <c r="AG177" s="300">
        <v>-5</v>
      </c>
      <c r="AH177" s="300">
        <v>-5</v>
      </c>
      <c r="AI177" s="300">
        <v>-5</v>
      </c>
      <c r="AJ177" s="491">
        <v>-5</v>
      </c>
      <c r="AK177" s="300">
        <v>-5</v>
      </c>
      <c r="AL177" s="300"/>
      <c r="AM177" s="300"/>
      <c r="AN177" s="300"/>
      <c r="AO177" s="300"/>
      <c r="AP177" s="300"/>
      <c r="AQ177" s="300"/>
      <c r="AR177" s="300"/>
      <c r="AS177" s="101"/>
      <c r="AT177" s="57"/>
      <c r="AU177" s="57"/>
      <c r="AV177" s="56"/>
      <c r="AW177" s="100"/>
      <c r="AX177" s="2"/>
      <c r="AY177" s="2" t="s">
        <v>754</v>
      </c>
      <c r="AZ177" s="495">
        <v>0.37</v>
      </c>
      <c r="BA177" s="495">
        <v>0.6</v>
      </c>
      <c r="BB177" s="12">
        <f t="shared" si="310"/>
        <v>0.6</v>
      </c>
      <c r="BC177" s="12">
        <f t="shared" si="310"/>
        <v>0.6</v>
      </c>
      <c r="BD177" s="12">
        <f t="shared" si="310"/>
        <v>0.6</v>
      </c>
      <c r="BE177" s="12">
        <f t="shared" si="311"/>
        <v>0.6</v>
      </c>
      <c r="BF177" s="12">
        <f t="shared" si="311"/>
        <v>0.6</v>
      </c>
      <c r="BG177" s="12">
        <f t="shared" si="312"/>
        <v>0.6</v>
      </c>
      <c r="BH177" s="12">
        <f t="shared" si="312"/>
        <v>0.6</v>
      </c>
      <c r="BI177" s="12">
        <f t="shared" si="313"/>
        <v>0.6</v>
      </c>
      <c r="BJ177" s="12">
        <f t="shared" si="313"/>
        <v>0.6</v>
      </c>
      <c r="BK177" s="12">
        <f t="shared" si="314"/>
        <v>0.6</v>
      </c>
      <c r="BL177" s="12">
        <f t="shared" si="314"/>
        <v>0.6</v>
      </c>
    </row>
    <row r="178" spans="1:64" ht="12.75" hidden="1" customHeight="1" outlineLevel="1">
      <c r="A178" s="459"/>
      <c r="B178" s="260"/>
      <c r="C178" s="260"/>
      <c r="D178" s="260"/>
      <c r="E178" s="260"/>
      <c r="F178" s="260"/>
      <c r="G178" s="260"/>
      <c r="H178" s="260"/>
      <c r="I178" s="260"/>
      <c r="J178" s="260"/>
      <c r="K178" s="260"/>
      <c r="L178" s="260"/>
      <c r="M178" s="260"/>
      <c r="N178" s="260"/>
      <c r="O178" s="5"/>
      <c r="P178" s="5"/>
      <c r="Q178" s="5"/>
      <c r="R178" s="5"/>
      <c r="S178" s="179"/>
      <c r="T178" s="179"/>
      <c r="U178" s="179"/>
      <c r="V178" s="179"/>
      <c r="W178" s="179"/>
      <c r="X178" s="179"/>
      <c r="Y178" s="300"/>
      <c r="Z178" s="300"/>
      <c r="AA178" s="192"/>
      <c r="AB178" s="300"/>
      <c r="AC178" s="300"/>
      <c r="AD178" s="300"/>
      <c r="AE178" s="300"/>
      <c r="AF178" s="300"/>
      <c r="AG178" s="300"/>
      <c r="AH178" s="300"/>
      <c r="AI178" s="300"/>
      <c r="AJ178" s="491"/>
      <c r="AK178" s="300"/>
      <c r="AL178" s="300"/>
      <c r="AM178" s="300"/>
      <c r="AN178" s="300"/>
      <c r="AO178" s="300"/>
      <c r="AP178" s="300"/>
      <c r="AQ178" s="300"/>
      <c r="AR178" s="300"/>
      <c r="AS178" s="101"/>
      <c r="AT178" s="57"/>
      <c r="AU178" s="57"/>
      <c r="AV178" s="56"/>
      <c r="AW178" s="100"/>
      <c r="AX178" s="2"/>
      <c r="AY178" s="2"/>
      <c r="AZ178" s="495"/>
      <c r="BA178" s="495"/>
      <c r="BB178" s="12"/>
      <c r="BC178" s="12"/>
      <c r="BD178" s="12"/>
      <c r="BE178" s="12"/>
      <c r="BF178" s="12"/>
      <c r="BG178" s="12"/>
      <c r="BH178" s="12"/>
      <c r="BI178" s="12"/>
      <c r="BJ178" s="12"/>
      <c r="BK178" s="12"/>
      <c r="BL178" s="12"/>
    </row>
    <row r="179" spans="1:64" hidden="1" outlineLevel="1">
      <c r="A179" s="213" t="s">
        <v>1088</v>
      </c>
      <c r="B179" s="5"/>
      <c r="C179" s="5"/>
      <c r="D179" s="5"/>
      <c r="E179" s="5"/>
      <c r="F179" s="5"/>
      <c r="G179" s="5"/>
      <c r="H179" s="5"/>
      <c r="I179" s="5"/>
      <c r="J179" s="5"/>
      <c r="K179" s="5"/>
      <c r="L179" s="5">
        <f t="shared" ref="L179:W179" si="315">+L162+L164+L174</f>
        <v>701</v>
      </c>
      <c r="M179" s="5">
        <f t="shared" si="315"/>
        <v>851</v>
      </c>
      <c r="N179" s="5">
        <f t="shared" si="315"/>
        <v>970</v>
      </c>
      <c r="O179" s="9">
        <f t="shared" si="315"/>
        <v>1067</v>
      </c>
      <c r="P179" s="9">
        <f t="shared" si="315"/>
        <v>1182</v>
      </c>
      <c r="Q179" s="9">
        <f t="shared" si="315"/>
        <v>1255</v>
      </c>
      <c r="R179" s="9">
        <f t="shared" si="315"/>
        <v>1295</v>
      </c>
      <c r="S179" s="9">
        <f t="shared" si="315"/>
        <v>1297</v>
      </c>
      <c r="T179" s="9">
        <f t="shared" si="315"/>
        <v>1234</v>
      </c>
      <c r="U179" s="9">
        <f t="shared" si="315"/>
        <v>1187</v>
      </c>
      <c r="V179" s="9">
        <f t="shared" si="315"/>
        <v>1136</v>
      </c>
      <c r="W179" s="9">
        <f t="shared" si="315"/>
        <v>1106</v>
      </c>
      <c r="X179" s="461">
        <f t="shared" ref="X179:AC179" si="316">+X162+X164+X174+X169</f>
        <v>1031</v>
      </c>
      <c r="Y179" s="461">
        <f t="shared" si="316"/>
        <v>956</v>
      </c>
      <c r="Z179" s="461">
        <f t="shared" si="316"/>
        <v>884</v>
      </c>
      <c r="AA179" s="461">
        <f t="shared" si="316"/>
        <v>743</v>
      </c>
      <c r="AB179" s="461">
        <f t="shared" si="316"/>
        <v>658</v>
      </c>
      <c r="AC179" s="461">
        <f t="shared" si="316"/>
        <v>583</v>
      </c>
      <c r="AD179" s="461">
        <f t="shared" ref="AD179:AI179" si="317">+AD162+AD164+AD174+AD169</f>
        <v>517</v>
      </c>
      <c r="AE179" s="461">
        <f t="shared" si="317"/>
        <v>455</v>
      </c>
      <c r="AF179" s="461">
        <f t="shared" si="317"/>
        <v>393</v>
      </c>
      <c r="AG179" s="461">
        <f t="shared" si="317"/>
        <v>331</v>
      </c>
      <c r="AH179" s="461">
        <f t="shared" si="317"/>
        <v>269</v>
      </c>
      <c r="AI179" s="461">
        <f t="shared" si="317"/>
        <v>207</v>
      </c>
      <c r="AJ179" s="461">
        <f>+AJ162+AJ164+AJ174+AJ169</f>
        <v>145</v>
      </c>
      <c r="AK179" s="461">
        <f>+AK162+AK164+AK174+AK169</f>
        <v>83</v>
      </c>
      <c r="AL179" s="461"/>
      <c r="AM179" s="461"/>
      <c r="AN179" s="461"/>
      <c r="AO179" s="461"/>
      <c r="AP179" s="461"/>
      <c r="AQ179" s="461"/>
      <c r="AR179" s="461"/>
      <c r="AS179" s="101"/>
      <c r="AT179" s="56">
        <f>((AE179/X179)^(1/5)-1)*100</f>
        <v>-15.091621683692901</v>
      </c>
      <c r="AU179" s="97" t="s">
        <v>1084</v>
      </c>
      <c r="AV179" s="56">
        <f>((AJ179/AD179)^(1/5)-1)*100</f>
        <v>-22.451126797348497</v>
      </c>
      <c r="AW179" s="102" t="s">
        <v>1084</v>
      </c>
      <c r="AX179" s="2"/>
      <c r="AY179" s="2" t="s">
        <v>1067</v>
      </c>
      <c r="AZ179" s="495">
        <v>0.9</v>
      </c>
      <c r="BA179" s="495">
        <v>0.8</v>
      </c>
      <c r="BB179" s="12">
        <f t="shared" si="310"/>
        <v>0.8</v>
      </c>
      <c r="BC179" s="12">
        <f t="shared" si="310"/>
        <v>0.8</v>
      </c>
      <c r="BD179" s="12">
        <f t="shared" si="310"/>
        <v>0.8</v>
      </c>
      <c r="BE179" s="12">
        <f t="shared" si="311"/>
        <v>0.8</v>
      </c>
      <c r="BF179" s="12">
        <f t="shared" si="311"/>
        <v>0.8</v>
      </c>
      <c r="BG179" s="12">
        <f t="shared" ref="BG179:BL179" si="318">+BF179</f>
        <v>0.8</v>
      </c>
      <c r="BH179" s="12">
        <f t="shared" si="318"/>
        <v>0.8</v>
      </c>
      <c r="BI179" s="12">
        <f t="shared" si="318"/>
        <v>0.8</v>
      </c>
      <c r="BJ179" s="12">
        <f t="shared" si="318"/>
        <v>0.8</v>
      </c>
      <c r="BK179" s="12">
        <f t="shared" si="318"/>
        <v>0.8</v>
      </c>
      <c r="BL179" s="12">
        <f t="shared" si="318"/>
        <v>0.8</v>
      </c>
    </row>
    <row r="180" spans="1:64" hidden="1" outlineLevel="1">
      <c r="A180" s="213" t="s">
        <v>819</v>
      </c>
      <c r="B180" s="9"/>
      <c r="C180" s="9"/>
      <c r="D180" s="9"/>
      <c r="E180" s="9"/>
      <c r="F180" s="9"/>
      <c r="G180" s="9"/>
      <c r="H180" s="9"/>
      <c r="I180" s="9"/>
      <c r="J180" s="9"/>
      <c r="K180" s="9"/>
      <c r="L180" s="9">
        <f t="shared" ref="L180:AK180" si="319">(+L179+L162)/2</f>
        <v>618.5</v>
      </c>
      <c r="M180" s="9">
        <f t="shared" si="319"/>
        <v>776</v>
      </c>
      <c r="N180" s="9">
        <f t="shared" si="319"/>
        <v>910.5</v>
      </c>
      <c r="O180" s="9">
        <f t="shared" si="319"/>
        <v>1018.5</v>
      </c>
      <c r="P180" s="9">
        <f t="shared" si="319"/>
        <v>1124.5</v>
      </c>
      <c r="Q180" s="9">
        <f t="shared" si="319"/>
        <v>1218.5</v>
      </c>
      <c r="R180" s="9">
        <f t="shared" si="319"/>
        <v>1275</v>
      </c>
      <c r="S180" s="9">
        <f t="shared" si="319"/>
        <v>1296</v>
      </c>
      <c r="T180" s="9">
        <f t="shared" si="319"/>
        <v>1265.5</v>
      </c>
      <c r="U180" s="9">
        <f t="shared" si="319"/>
        <v>1210.5</v>
      </c>
      <c r="V180" s="9">
        <f t="shared" si="319"/>
        <v>1161.5</v>
      </c>
      <c r="W180" s="9">
        <f t="shared" si="319"/>
        <v>1121</v>
      </c>
      <c r="X180" s="9">
        <f t="shared" si="319"/>
        <v>1068.5</v>
      </c>
      <c r="Y180" s="9">
        <f t="shared" si="319"/>
        <v>993.5</v>
      </c>
      <c r="Z180" s="9">
        <f t="shared" si="319"/>
        <v>920</v>
      </c>
      <c r="AA180" s="9">
        <f t="shared" si="319"/>
        <v>813.5</v>
      </c>
      <c r="AB180" s="9">
        <f t="shared" si="319"/>
        <v>700.5</v>
      </c>
      <c r="AC180" s="9">
        <f t="shared" si="319"/>
        <v>620.5</v>
      </c>
      <c r="AD180" s="9">
        <f t="shared" si="319"/>
        <v>550</v>
      </c>
      <c r="AE180" s="9">
        <f t="shared" si="319"/>
        <v>486</v>
      </c>
      <c r="AF180" s="9">
        <f t="shared" si="319"/>
        <v>424</v>
      </c>
      <c r="AG180" s="9">
        <f t="shared" si="319"/>
        <v>362</v>
      </c>
      <c r="AH180" s="9">
        <f t="shared" si="319"/>
        <v>300</v>
      </c>
      <c r="AI180" s="9">
        <f t="shared" si="319"/>
        <v>238</v>
      </c>
      <c r="AJ180" s="461">
        <f t="shared" si="319"/>
        <v>176</v>
      </c>
      <c r="AK180" s="9">
        <f t="shared" si="319"/>
        <v>114</v>
      </c>
      <c r="AL180" s="9"/>
      <c r="AM180" s="9"/>
      <c r="AN180" s="9"/>
      <c r="AO180" s="9"/>
      <c r="AP180" s="9"/>
      <c r="AQ180" s="9"/>
      <c r="AR180" s="9"/>
      <c r="AS180" s="103"/>
      <c r="AT180" s="98"/>
      <c r="AU180" s="98"/>
      <c r="AV180" s="98"/>
      <c r="AW180" s="104"/>
      <c r="AX180" s="2"/>
      <c r="AY180" s="2"/>
      <c r="AZ180" s="2"/>
      <c r="BA180" s="2"/>
      <c r="BB180" s="2"/>
      <c r="BC180" s="2"/>
      <c r="BD180" s="2"/>
      <c r="BE180" s="2"/>
      <c r="BF180" s="2"/>
      <c r="BG180" s="2"/>
      <c r="BH180" s="2"/>
      <c r="BI180" s="2"/>
      <c r="BJ180" s="2"/>
      <c r="BK180" s="2"/>
      <c r="BL180" s="2"/>
    </row>
    <row r="181" spans="1:64" hidden="1" outlineLevel="1">
      <c r="A181" s="213" t="s">
        <v>820</v>
      </c>
      <c r="B181" s="8"/>
      <c r="C181" s="8"/>
      <c r="D181" s="8"/>
      <c r="E181" s="8"/>
      <c r="F181" s="8"/>
      <c r="G181" s="8"/>
      <c r="H181" s="8"/>
      <c r="I181" s="8"/>
      <c r="J181" s="8"/>
      <c r="K181" s="8"/>
      <c r="L181" s="8"/>
      <c r="M181" s="8">
        <f t="shared" ref="M181:AK181" si="320">(M180/L180-1)</f>
        <v>0.25464834276475345</v>
      </c>
      <c r="N181" s="8">
        <f t="shared" si="320"/>
        <v>0.17332474226804129</v>
      </c>
      <c r="O181" s="8">
        <f t="shared" si="320"/>
        <v>0.11861614497528827</v>
      </c>
      <c r="P181" s="8">
        <f t="shared" si="320"/>
        <v>0.10407461953853714</v>
      </c>
      <c r="Q181" s="8">
        <f t="shared" si="320"/>
        <v>8.3592707870164595E-2</v>
      </c>
      <c r="R181" s="8">
        <f t="shared" si="320"/>
        <v>4.6368485843249818E-2</v>
      </c>
      <c r="S181" s="8">
        <f t="shared" si="320"/>
        <v>1.6470588235294015E-2</v>
      </c>
      <c r="T181" s="239">
        <f t="shared" si="320"/>
        <v>-2.3533950617283916E-2</v>
      </c>
      <c r="U181" s="239">
        <f t="shared" si="320"/>
        <v>-4.3461082576056853E-2</v>
      </c>
      <c r="V181" s="239">
        <f t="shared" si="320"/>
        <v>-4.0479140850888107E-2</v>
      </c>
      <c r="W181" s="239">
        <f t="shared" si="320"/>
        <v>-3.4868704261730499E-2</v>
      </c>
      <c r="X181" s="239">
        <f t="shared" si="320"/>
        <v>-4.6833184656556615E-2</v>
      </c>
      <c r="Y181" s="239">
        <f t="shared" si="320"/>
        <v>-7.0191857744501651E-2</v>
      </c>
      <c r="Z181" s="239">
        <f t="shared" si="320"/>
        <v>-7.398087569199796E-2</v>
      </c>
      <c r="AA181" s="239">
        <f t="shared" si="320"/>
        <v>-0.11576086956521736</v>
      </c>
      <c r="AB181" s="239">
        <f t="shared" si="320"/>
        <v>-0.13890596189305471</v>
      </c>
      <c r="AC181" s="239">
        <f t="shared" si="320"/>
        <v>-0.11420413990007139</v>
      </c>
      <c r="AD181" s="239">
        <f t="shared" si="320"/>
        <v>-0.11361804995970992</v>
      </c>
      <c r="AE181" s="239">
        <f t="shared" si="320"/>
        <v>-0.11636363636363634</v>
      </c>
      <c r="AF181" s="239">
        <f t="shared" si="320"/>
        <v>-0.12757201646090532</v>
      </c>
      <c r="AG181" s="239">
        <f t="shared" si="320"/>
        <v>-0.14622641509433965</v>
      </c>
      <c r="AH181" s="239">
        <f t="shared" si="320"/>
        <v>-0.17127071823204421</v>
      </c>
      <c r="AI181" s="239">
        <f t="shared" si="320"/>
        <v>-0.20666666666666667</v>
      </c>
      <c r="AJ181" s="1168">
        <f t="shared" si="320"/>
        <v>-0.26050420168067223</v>
      </c>
      <c r="AK181" s="239">
        <f t="shared" si="320"/>
        <v>-0.35227272727272729</v>
      </c>
      <c r="AL181" s="239"/>
      <c r="AM181" s="239"/>
      <c r="AN181" s="239"/>
      <c r="AO181" s="239"/>
      <c r="AP181" s="239"/>
      <c r="AQ181" s="239"/>
      <c r="AR181" s="239"/>
      <c r="AS181" s="101"/>
      <c r="AT181" s="57"/>
      <c r="AU181" s="57"/>
      <c r="AV181" s="56"/>
      <c r="AW181" s="100"/>
      <c r="AX181" s="2"/>
      <c r="AY181" s="500" t="s">
        <v>757</v>
      </c>
      <c r="AZ181" s="2"/>
      <c r="BA181" s="2"/>
      <c r="BB181" s="2"/>
      <c r="BC181" s="2"/>
      <c r="BD181" s="2"/>
      <c r="BE181" s="2"/>
      <c r="BF181" s="2"/>
      <c r="BG181" s="2"/>
      <c r="BH181" s="2"/>
      <c r="BI181" s="2"/>
      <c r="BJ181" s="2"/>
      <c r="BK181" s="2"/>
      <c r="BL181" s="2"/>
    </row>
    <row r="182" spans="1:64" hidden="1" outlineLevel="1">
      <c r="A182" s="213"/>
      <c r="B182" s="8"/>
      <c r="C182" s="8"/>
      <c r="D182" s="8"/>
      <c r="E182" s="8"/>
      <c r="F182" s="8"/>
      <c r="G182" s="8"/>
      <c r="H182" s="8"/>
      <c r="I182" s="8"/>
      <c r="J182" s="8"/>
      <c r="K182" s="8"/>
      <c r="L182" s="8"/>
      <c r="M182" s="8"/>
      <c r="N182" s="8"/>
      <c r="O182" s="8"/>
      <c r="P182" s="8"/>
      <c r="Q182" s="8"/>
      <c r="R182" s="8"/>
      <c r="S182" s="8"/>
      <c r="T182" s="8"/>
      <c r="U182" s="8"/>
      <c r="V182" s="8"/>
      <c r="W182" s="8"/>
      <c r="X182" s="8"/>
      <c r="Y182" s="8"/>
      <c r="Z182" s="8"/>
      <c r="AA182" s="8"/>
      <c r="AB182" s="8"/>
      <c r="AC182" s="8"/>
      <c r="AD182" s="8"/>
      <c r="AE182" s="8"/>
      <c r="AF182" s="8"/>
      <c r="AG182" s="8"/>
      <c r="AH182" s="8"/>
      <c r="AI182" s="8"/>
      <c r="AJ182" s="193"/>
      <c r="AK182" s="8"/>
      <c r="AL182" s="8"/>
      <c r="AM182" s="8"/>
      <c r="AN182" s="8"/>
      <c r="AO182" s="8"/>
      <c r="AP182" s="8"/>
      <c r="AQ182" s="8"/>
      <c r="AR182" s="8"/>
      <c r="AS182" s="101"/>
      <c r="AT182" s="57"/>
      <c r="AU182" s="57"/>
      <c r="AV182" s="56"/>
      <c r="AW182" s="100"/>
      <c r="AX182" s="2"/>
      <c r="AY182" s="2" t="s">
        <v>758</v>
      </c>
      <c r="AZ182" s="513">
        <v>330</v>
      </c>
      <c r="BA182" s="505">
        <f>+X209</f>
        <v>348.22778431043173</v>
      </c>
      <c r="BB182" s="2"/>
      <c r="BC182" s="2"/>
      <c r="BD182" s="2"/>
      <c r="BE182" s="2"/>
      <c r="BF182" s="2"/>
      <c r="BG182" s="2"/>
      <c r="BH182" s="2"/>
      <c r="BI182" s="2"/>
      <c r="BJ182" s="2"/>
      <c r="BK182" s="2"/>
      <c r="BL182" s="2"/>
    </row>
    <row r="183" spans="1:64" hidden="1" outlineLevel="1">
      <c r="A183" s="213" t="s">
        <v>382</v>
      </c>
      <c r="B183" s="5"/>
      <c r="C183" s="5"/>
      <c r="D183" s="5"/>
      <c r="E183" s="5"/>
      <c r="F183" s="5"/>
      <c r="G183" s="5"/>
      <c r="H183" s="5"/>
      <c r="I183" s="5"/>
      <c r="J183" s="5"/>
      <c r="K183" s="5"/>
      <c r="L183" s="5">
        <f t="shared" ref="L183:AC183" si="321">+L184+L185+L186</f>
        <v>701</v>
      </c>
      <c r="M183" s="5">
        <f t="shared" si="321"/>
        <v>851</v>
      </c>
      <c r="N183" s="5">
        <f t="shared" si="321"/>
        <v>970</v>
      </c>
      <c r="O183" s="9">
        <f t="shared" si="321"/>
        <v>1067</v>
      </c>
      <c r="P183" s="9">
        <f t="shared" si="321"/>
        <v>1182</v>
      </c>
      <c r="Q183" s="9">
        <f t="shared" si="321"/>
        <v>1255</v>
      </c>
      <c r="R183" s="9">
        <f t="shared" si="321"/>
        <v>1295</v>
      </c>
      <c r="S183" s="9">
        <f t="shared" si="321"/>
        <v>1297</v>
      </c>
      <c r="T183" s="9">
        <f t="shared" si="321"/>
        <v>1234</v>
      </c>
      <c r="U183" s="9">
        <f t="shared" si="321"/>
        <v>1187</v>
      </c>
      <c r="V183" s="9">
        <f t="shared" si="321"/>
        <v>1136</v>
      </c>
      <c r="W183" s="9">
        <f t="shared" si="321"/>
        <v>1106</v>
      </c>
      <c r="X183" s="9">
        <f t="shared" si="321"/>
        <v>1031</v>
      </c>
      <c r="Y183" s="9">
        <f t="shared" si="321"/>
        <v>956</v>
      </c>
      <c r="Z183" s="9">
        <f t="shared" si="321"/>
        <v>884</v>
      </c>
      <c r="AA183" s="9">
        <f t="shared" si="321"/>
        <v>743</v>
      </c>
      <c r="AB183" s="9">
        <f t="shared" si="321"/>
        <v>658</v>
      </c>
      <c r="AC183" s="9">
        <f t="shared" si="321"/>
        <v>583</v>
      </c>
      <c r="AD183" s="9">
        <f t="shared" ref="AD183:AI183" si="322">+AD184+AD185+AD186</f>
        <v>517</v>
      </c>
      <c r="AE183" s="9">
        <f t="shared" si="322"/>
        <v>454.99999999999994</v>
      </c>
      <c r="AF183" s="9">
        <f t="shared" si="322"/>
        <v>392.99999999999994</v>
      </c>
      <c r="AG183" s="9">
        <f t="shared" si="322"/>
        <v>330.99999999999994</v>
      </c>
      <c r="AH183" s="9">
        <f t="shared" si="322"/>
        <v>268.99999999999994</v>
      </c>
      <c r="AI183" s="9">
        <f t="shared" si="322"/>
        <v>206.99999999999994</v>
      </c>
      <c r="AJ183" s="461">
        <f>+AJ184+AJ185+AJ186</f>
        <v>144.99999999999994</v>
      </c>
      <c r="AK183" s="9">
        <f>+AK184+AK185+AK186</f>
        <v>82.999999999999943</v>
      </c>
      <c r="AL183" s="9"/>
      <c r="AM183" s="9"/>
      <c r="AN183" s="9"/>
      <c r="AO183" s="9"/>
      <c r="AP183" s="9"/>
      <c r="AQ183" s="9"/>
      <c r="AR183" s="9"/>
      <c r="AS183" s="101"/>
      <c r="AT183" s="57"/>
      <c r="AU183" s="57"/>
      <c r="AV183" s="56"/>
      <c r="AW183" s="100"/>
      <c r="AX183" s="2"/>
      <c r="AY183" s="2" t="s">
        <v>1119</v>
      </c>
      <c r="AZ183" s="498">
        <v>0.09</v>
      </c>
      <c r="BA183" s="498">
        <v>0.1</v>
      </c>
      <c r="BB183" s="2"/>
      <c r="BC183" s="2"/>
      <c r="BD183" s="2"/>
      <c r="BE183" s="2"/>
      <c r="BF183" s="2"/>
      <c r="BG183" s="2"/>
      <c r="BH183" s="2"/>
      <c r="BI183" s="2"/>
      <c r="BJ183" s="2"/>
      <c r="BK183" s="2"/>
      <c r="BL183" s="2"/>
    </row>
    <row r="184" spans="1:64" hidden="1" outlineLevel="1">
      <c r="A184" s="459" t="str">
        <f>+A165</f>
        <v>Express Women</v>
      </c>
      <c r="B184" s="260"/>
      <c r="C184" s="260"/>
      <c r="D184" s="260"/>
      <c r="E184" s="260"/>
      <c r="F184" s="260"/>
      <c r="G184" s="260"/>
      <c r="H184" s="260"/>
      <c r="I184" s="260"/>
      <c r="J184" s="260"/>
      <c r="K184" s="260"/>
      <c r="L184" s="5">
        <f>+'store&amp;sf'!N20</f>
        <v>549</v>
      </c>
      <c r="M184" s="9">
        <f t="shared" ref="M184:W184" si="323">+L184+M165+M175</f>
        <v>611</v>
      </c>
      <c r="N184" s="9">
        <f t="shared" si="323"/>
        <v>640</v>
      </c>
      <c r="O184" s="9">
        <f t="shared" si="323"/>
        <v>673</v>
      </c>
      <c r="P184" s="9">
        <f t="shared" si="323"/>
        <v>716</v>
      </c>
      <c r="Q184" s="9">
        <f t="shared" si="323"/>
        <v>737</v>
      </c>
      <c r="R184" s="9">
        <f t="shared" si="323"/>
        <v>753</v>
      </c>
      <c r="S184" s="9">
        <f t="shared" si="323"/>
        <v>753</v>
      </c>
      <c r="T184" s="9">
        <f t="shared" si="323"/>
        <v>702</v>
      </c>
      <c r="U184" s="9">
        <f t="shared" si="323"/>
        <v>688</v>
      </c>
      <c r="V184" s="9">
        <f t="shared" si="323"/>
        <v>667</v>
      </c>
      <c r="W184" s="9">
        <f t="shared" si="323"/>
        <v>667</v>
      </c>
      <c r="X184" s="461">
        <f t="shared" ref="X184:AE185" si="324">+W184+X165+X170+X175</f>
        <v>624</v>
      </c>
      <c r="Y184" s="461">
        <f t="shared" si="324"/>
        <v>562</v>
      </c>
      <c r="Z184" s="461">
        <f t="shared" si="324"/>
        <v>468</v>
      </c>
      <c r="AA184" s="461">
        <f t="shared" si="324"/>
        <v>326.99999999999994</v>
      </c>
      <c r="AB184" s="461">
        <f t="shared" si="324"/>
        <v>194.99999999999994</v>
      </c>
      <c r="AC184" s="461">
        <f t="shared" si="324"/>
        <v>74.999999999999943</v>
      </c>
      <c r="AD184" s="461">
        <f t="shared" si="324"/>
        <v>36.999999999999943</v>
      </c>
      <c r="AE184" s="461">
        <f t="shared" si="324"/>
        <v>0.99999999999994316</v>
      </c>
      <c r="AF184" s="461">
        <f t="shared" ref="AF184:AG186" si="325">+AE184+AF165+AF170+AF175</f>
        <v>-35.000000000000057</v>
      </c>
      <c r="AG184" s="461">
        <f t="shared" si="325"/>
        <v>-71.000000000000057</v>
      </c>
      <c r="AH184" s="461">
        <f t="shared" ref="AH184:AK186" si="326">+AG184+AH165+AH170+AH175</f>
        <v>-107.00000000000006</v>
      </c>
      <c r="AI184" s="461">
        <f t="shared" si="326"/>
        <v>-143.00000000000006</v>
      </c>
      <c r="AJ184" s="461">
        <f t="shared" si="326"/>
        <v>-179.00000000000006</v>
      </c>
      <c r="AK184" s="461">
        <f t="shared" si="326"/>
        <v>-215.00000000000006</v>
      </c>
      <c r="AL184" s="461"/>
      <c r="AM184" s="461"/>
      <c r="AN184" s="461"/>
      <c r="AO184" s="461"/>
      <c r="AP184" s="461"/>
      <c r="AQ184" s="461"/>
      <c r="AR184" s="461"/>
      <c r="AS184" s="101"/>
      <c r="AT184" s="57"/>
      <c r="AU184" s="57"/>
      <c r="AV184" s="56"/>
      <c r="AW184" s="100"/>
      <c r="AX184" s="2"/>
      <c r="AY184" s="2" t="s">
        <v>1068</v>
      </c>
      <c r="AZ184" s="499">
        <v>9500</v>
      </c>
      <c r="BA184" s="499">
        <v>9500</v>
      </c>
      <c r="BB184" s="2"/>
      <c r="BC184" s="2"/>
      <c r="BD184" s="2"/>
      <c r="BE184" s="2"/>
      <c r="BF184" s="2"/>
      <c r="BG184" s="2"/>
      <c r="BH184" s="2"/>
      <c r="BI184" s="2"/>
      <c r="BJ184" s="2"/>
      <c r="BK184" s="2"/>
      <c r="BL184" s="2"/>
    </row>
    <row r="185" spans="1:64" hidden="1" outlineLevel="1">
      <c r="A185" s="459" t="str">
        <f>+A166</f>
        <v>Express Men</v>
      </c>
      <c r="B185" s="260"/>
      <c r="C185" s="260"/>
      <c r="D185" s="260"/>
      <c r="E185" s="260"/>
      <c r="F185" s="260"/>
      <c r="G185" s="260"/>
      <c r="H185" s="260"/>
      <c r="I185" s="260"/>
      <c r="J185" s="260"/>
      <c r="K185" s="260"/>
      <c r="L185" s="5">
        <f>+'store&amp;sf'!P20</f>
        <v>152</v>
      </c>
      <c r="M185" s="5">
        <f t="shared" ref="M185:W185" si="327">+L185+M166+M176</f>
        <v>240</v>
      </c>
      <c r="N185" s="5">
        <f t="shared" si="327"/>
        <v>330</v>
      </c>
      <c r="O185" s="5">
        <f t="shared" si="327"/>
        <v>394</v>
      </c>
      <c r="P185" s="5">
        <f t="shared" si="327"/>
        <v>466</v>
      </c>
      <c r="Q185" s="5">
        <f t="shared" si="327"/>
        <v>518</v>
      </c>
      <c r="R185" s="5">
        <f t="shared" si="327"/>
        <v>542</v>
      </c>
      <c r="S185" s="5">
        <f t="shared" si="327"/>
        <v>544</v>
      </c>
      <c r="T185" s="5">
        <f t="shared" si="327"/>
        <v>532</v>
      </c>
      <c r="U185" s="5">
        <f t="shared" si="327"/>
        <v>499</v>
      </c>
      <c r="V185" s="5">
        <f t="shared" si="327"/>
        <v>469</v>
      </c>
      <c r="W185" s="5">
        <f t="shared" si="327"/>
        <v>439</v>
      </c>
      <c r="X185" s="464">
        <f t="shared" si="324"/>
        <v>358</v>
      </c>
      <c r="Y185" s="5">
        <f t="shared" si="324"/>
        <v>290</v>
      </c>
      <c r="Z185" s="5">
        <f t="shared" si="324"/>
        <v>223</v>
      </c>
      <c r="AA185" s="5">
        <f t="shared" si="324"/>
        <v>113</v>
      </c>
      <c r="AB185" s="5">
        <f t="shared" si="324"/>
        <v>69</v>
      </c>
      <c r="AC185" s="5">
        <f t="shared" si="324"/>
        <v>39</v>
      </c>
      <c r="AD185" s="5">
        <f t="shared" si="324"/>
        <v>4</v>
      </c>
      <c r="AE185" s="5">
        <f t="shared" si="324"/>
        <v>-31</v>
      </c>
      <c r="AF185" s="5">
        <f t="shared" si="325"/>
        <v>-66</v>
      </c>
      <c r="AG185" s="5">
        <f t="shared" si="325"/>
        <v>-101</v>
      </c>
      <c r="AH185" s="5">
        <f t="shared" si="326"/>
        <v>-136</v>
      </c>
      <c r="AI185" s="5">
        <f t="shared" si="326"/>
        <v>-171</v>
      </c>
      <c r="AJ185" s="464">
        <f t="shared" si="326"/>
        <v>-206</v>
      </c>
      <c r="AK185" s="5">
        <f t="shared" si="326"/>
        <v>-241</v>
      </c>
      <c r="AL185" s="5"/>
      <c r="AM185" s="5"/>
      <c r="AN185" s="5"/>
      <c r="AO185" s="5"/>
      <c r="AP185" s="5"/>
      <c r="AQ185" s="5"/>
      <c r="AR185" s="5"/>
      <c r="AS185" s="101"/>
      <c r="AT185" s="57"/>
      <c r="AU185" s="57"/>
      <c r="AV185" s="56"/>
      <c r="AW185" s="100"/>
      <c r="AX185" s="2"/>
      <c r="AY185" s="178"/>
      <c r="AZ185" s="57"/>
      <c r="BA185" s="57"/>
      <c r="BB185" s="57"/>
      <c r="BC185" s="57"/>
      <c r="BD185" s="57"/>
      <c r="BE185" s="57"/>
      <c r="BF185" s="57"/>
      <c r="BG185" s="57"/>
      <c r="BH185" s="2"/>
      <c r="BI185" s="2"/>
      <c r="BJ185" s="2"/>
      <c r="BK185" s="2"/>
      <c r="BL185" s="2"/>
    </row>
    <row r="186" spans="1:64" hidden="1" outlineLevel="1">
      <c r="A186" s="459" t="str">
        <f>+A167</f>
        <v>Express Dual Gender</v>
      </c>
      <c r="B186" s="260"/>
      <c r="C186" s="260"/>
      <c r="D186" s="260"/>
      <c r="E186" s="260"/>
      <c r="F186" s="260"/>
      <c r="G186" s="260"/>
      <c r="H186" s="260"/>
      <c r="I186" s="260"/>
      <c r="J186" s="260"/>
      <c r="K186" s="260"/>
      <c r="L186" s="5">
        <f>+'store&amp;sf'!R20</f>
        <v>0</v>
      </c>
      <c r="M186" s="5">
        <f t="shared" ref="M186:W186" si="328">+L186+M167</f>
        <v>0</v>
      </c>
      <c r="N186" s="5">
        <f t="shared" si="328"/>
        <v>0</v>
      </c>
      <c r="O186" s="5">
        <f t="shared" si="328"/>
        <v>0</v>
      </c>
      <c r="P186" s="5">
        <f t="shared" si="328"/>
        <v>0</v>
      </c>
      <c r="Q186" s="5">
        <f t="shared" si="328"/>
        <v>0</v>
      </c>
      <c r="R186" s="5">
        <f t="shared" si="328"/>
        <v>0</v>
      </c>
      <c r="S186" s="5">
        <f t="shared" si="328"/>
        <v>0</v>
      </c>
      <c r="T186" s="5">
        <f t="shared" si="328"/>
        <v>0</v>
      </c>
      <c r="U186" s="5">
        <f t="shared" si="328"/>
        <v>0</v>
      </c>
      <c r="V186" s="5">
        <f t="shared" si="328"/>
        <v>0</v>
      </c>
      <c r="W186" s="5">
        <f t="shared" si="328"/>
        <v>0</v>
      </c>
      <c r="X186" s="5">
        <f>+W186+X167+X172</f>
        <v>49</v>
      </c>
      <c r="Y186" s="5">
        <f>+X186+Y167+Y172</f>
        <v>104</v>
      </c>
      <c r="Z186" s="5">
        <f>+Y186+Z167+Z172</f>
        <v>193</v>
      </c>
      <c r="AA186" s="5">
        <f>+Z186+AA167+AA172+AA177</f>
        <v>303</v>
      </c>
      <c r="AB186" s="5">
        <f>+AA186+AB167+AB172+AB177</f>
        <v>394</v>
      </c>
      <c r="AC186" s="5">
        <f>+AB186+AC167+AC172+AC177</f>
        <v>469</v>
      </c>
      <c r="AD186" s="5">
        <f>+AC186+AD167+AD172+AD177</f>
        <v>476</v>
      </c>
      <c r="AE186" s="5">
        <f>+AD186+AE167+AE172+AE177</f>
        <v>485</v>
      </c>
      <c r="AF186" s="5">
        <f t="shared" si="325"/>
        <v>494</v>
      </c>
      <c r="AG186" s="5">
        <f t="shared" si="325"/>
        <v>503</v>
      </c>
      <c r="AH186" s="5">
        <f t="shared" si="326"/>
        <v>512</v>
      </c>
      <c r="AI186" s="5">
        <f t="shared" si="326"/>
        <v>521</v>
      </c>
      <c r="AJ186" s="464">
        <f t="shared" si="326"/>
        <v>530</v>
      </c>
      <c r="AK186" s="5">
        <f t="shared" si="326"/>
        <v>539</v>
      </c>
      <c r="AL186" s="5"/>
      <c r="AM186" s="5"/>
      <c r="AN186" s="5"/>
      <c r="AO186" s="5"/>
      <c r="AP186" s="5"/>
      <c r="AQ186" s="5"/>
      <c r="AR186" s="5"/>
      <c r="AS186" s="101"/>
      <c r="AT186" s="57"/>
      <c r="AU186" s="57"/>
      <c r="AV186" s="56"/>
      <c r="AW186" s="100"/>
      <c r="AX186" s="2"/>
      <c r="AY186" s="57"/>
      <c r="AZ186" s="181"/>
      <c r="BA186" s="181"/>
      <c r="BB186" s="181"/>
      <c r="BC186" s="181"/>
      <c r="BD186" s="181"/>
      <c r="BE186" s="181"/>
      <c r="BF186" s="181"/>
      <c r="BG186" s="181"/>
      <c r="BH186" s="2"/>
      <c r="BI186" s="2"/>
      <c r="BJ186" s="2"/>
      <c r="BK186" s="2"/>
      <c r="BL186" s="2"/>
    </row>
    <row r="187" spans="1:64" hidden="1" outlineLevel="1">
      <c r="A187" s="2"/>
      <c r="B187" s="2"/>
      <c r="C187" s="2"/>
      <c r="D187" s="2"/>
      <c r="E187" s="2"/>
      <c r="F187" s="2"/>
      <c r="G187" s="2"/>
      <c r="H187" s="2"/>
      <c r="I187" s="2"/>
      <c r="J187" s="2"/>
      <c r="K187" s="2"/>
      <c r="L187" s="2"/>
      <c r="M187" s="2"/>
      <c r="N187" s="2"/>
      <c r="O187" s="2"/>
      <c r="P187" s="2"/>
      <c r="Q187" s="2"/>
      <c r="R187" s="8"/>
      <c r="S187" s="8"/>
      <c r="T187" s="2"/>
      <c r="U187" s="2"/>
      <c r="V187" s="2"/>
      <c r="W187" s="2"/>
      <c r="X187" s="2"/>
      <c r="Y187" s="2"/>
      <c r="Z187" s="2"/>
      <c r="AA187" s="2"/>
      <c r="AB187" s="2"/>
      <c r="AC187" s="2"/>
      <c r="AD187" s="2"/>
      <c r="AE187" s="2"/>
      <c r="AF187" s="2"/>
      <c r="AG187" s="2"/>
      <c r="AH187" s="2"/>
      <c r="AI187" s="2"/>
      <c r="AJ187" s="14"/>
      <c r="AK187" s="2"/>
      <c r="AL187" s="2"/>
      <c r="AM187" s="2"/>
      <c r="AN187" s="2"/>
      <c r="AO187" s="2"/>
      <c r="AP187" s="2"/>
      <c r="AQ187" s="2"/>
      <c r="AR187" s="2"/>
      <c r="AS187" s="101"/>
      <c r="AT187" s="57"/>
      <c r="AU187" s="57"/>
      <c r="AV187" s="56"/>
      <c r="AW187" s="100"/>
      <c r="AX187" s="2"/>
      <c r="AY187" s="57"/>
      <c r="AZ187" s="512"/>
      <c r="BA187" s="512"/>
      <c r="BB187" s="512"/>
      <c r="BC187" s="512"/>
      <c r="BD187" s="512"/>
      <c r="BE187" s="512"/>
      <c r="BF187" s="512"/>
      <c r="BG187" s="512"/>
      <c r="BH187" s="2"/>
      <c r="BI187" s="2"/>
      <c r="BJ187" s="2"/>
      <c r="BK187" s="2"/>
      <c r="BL187" s="2"/>
    </row>
    <row r="188" spans="1:64" hidden="1" outlineLevel="1">
      <c r="A188" s="213" t="s">
        <v>888</v>
      </c>
      <c r="B188" s="12"/>
      <c r="C188" s="12"/>
      <c r="D188" s="12"/>
      <c r="E188" s="12"/>
      <c r="F188" s="12"/>
      <c r="G188" s="12"/>
      <c r="H188" s="12"/>
      <c r="I188" s="12"/>
      <c r="J188" s="12"/>
      <c r="K188" s="12"/>
      <c r="L188" s="12" t="e">
        <f>(#REF!)/L180</f>
        <v>#REF!</v>
      </c>
      <c r="M188" s="12" t="e">
        <f>(#REF!)/M180</f>
        <v>#REF!</v>
      </c>
      <c r="N188" s="12">
        <f t="shared" ref="N188:AC188" si="329">(N159)/N180</f>
        <v>1.7902251510159253</v>
      </c>
      <c r="O188" s="12">
        <f t="shared" si="329"/>
        <v>1.8370152184585173</v>
      </c>
      <c r="P188" s="12">
        <f t="shared" si="329"/>
        <v>1.7269897732325479</v>
      </c>
      <c r="Q188" s="12">
        <f t="shared" si="329"/>
        <v>1.6585966352072219</v>
      </c>
      <c r="R188" s="12">
        <f t="shared" si="329"/>
        <v>1.6047058823529412</v>
      </c>
      <c r="S188" s="12">
        <f t="shared" si="329"/>
        <v>1.4266975308641976</v>
      </c>
      <c r="T188" s="12">
        <f t="shared" si="329"/>
        <v>1.5535361517186883</v>
      </c>
      <c r="U188" s="12">
        <f t="shared" si="329"/>
        <v>1.6303411813300288</v>
      </c>
      <c r="V188" s="12">
        <f t="shared" si="329"/>
        <v>1.8628635385277656</v>
      </c>
      <c r="W188" s="12">
        <f t="shared" si="329"/>
        <v>1.823371989295272</v>
      </c>
      <c r="X188" s="12">
        <f t="shared" si="329"/>
        <v>1.9401029480580252</v>
      </c>
      <c r="Y188" s="12">
        <f t="shared" si="329"/>
        <v>2.0847508807247106</v>
      </c>
      <c r="Z188" s="12">
        <f t="shared" si="329"/>
        <v>2.0791836956521741</v>
      </c>
      <c r="AA188" s="12">
        <f t="shared" si="329"/>
        <v>2.2052710510141362</v>
      </c>
      <c r="AB188" s="12">
        <f t="shared" si="329"/>
        <v>2.4965024982155604</v>
      </c>
      <c r="AC188" s="12">
        <f t="shared" si="329"/>
        <v>2.7046152772827932</v>
      </c>
      <c r="AD188" s="12">
        <f t="shared" ref="AD188:AI188" si="330">(AD159)/AD180</f>
        <v>3.3290092630378405</v>
      </c>
      <c r="AE188" s="12">
        <f t="shared" si="330"/>
        <v>3.8329715978687831</v>
      </c>
      <c r="AF188" s="12">
        <f t="shared" si="330"/>
        <v>4.4701195294705496</v>
      </c>
      <c r="AG188" s="12">
        <f t="shared" si="330"/>
        <v>5.3273129671420527</v>
      </c>
      <c r="AH188" s="12">
        <f t="shared" si="330"/>
        <v>6.5410234666251057</v>
      </c>
      <c r="AI188" s="12">
        <f t="shared" si="330"/>
        <v>8.3899293310390011</v>
      </c>
      <c r="AJ188" s="926">
        <f>(AJ159)/AJ180</f>
        <v>11.149471818110975</v>
      </c>
      <c r="AK188" s="12">
        <f>(AK159)/AK180</f>
        <v>17.515817375327039</v>
      </c>
      <c r="AL188" s="12"/>
      <c r="AM188" s="12"/>
      <c r="AN188" s="12"/>
      <c r="AO188" s="12"/>
      <c r="AP188" s="12"/>
      <c r="AQ188" s="12"/>
      <c r="AR188" s="12"/>
      <c r="AS188" s="101"/>
      <c r="AT188" s="57"/>
      <c r="AU188" s="57"/>
      <c r="AV188" s="56"/>
      <c r="AW188" s="100"/>
      <c r="AX188" s="2"/>
      <c r="AY188" s="57"/>
      <c r="AZ188" s="512"/>
      <c r="BA188" s="512"/>
      <c r="BB188" s="512"/>
      <c r="BC188" s="512"/>
      <c r="BD188" s="512"/>
      <c r="BE188" s="512"/>
      <c r="BF188" s="512"/>
      <c r="BG188" s="512"/>
      <c r="BH188" s="2"/>
      <c r="BI188" s="2"/>
      <c r="BJ188" s="2"/>
      <c r="BK188" s="2"/>
      <c r="BL188" s="2"/>
    </row>
    <row r="189" spans="1:64" hidden="1" outlineLevel="1">
      <c r="A189" s="213" t="s">
        <v>1085</v>
      </c>
      <c r="B189" s="13"/>
      <c r="C189" s="13"/>
      <c r="D189" s="13"/>
      <c r="E189" s="13"/>
      <c r="F189" s="13"/>
      <c r="G189" s="13"/>
      <c r="H189" s="13"/>
      <c r="I189" s="13"/>
      <c r="J189" s="13"/>
      <c r="K189" s="13"/>
      <c r="L189" s="13"/>
      <c r="M189" s="239" t="e">
        <f t="shared" ref="M189:AK189" si="331">M188/L188-1</f>
        <v>#REF!</v>
      </c>
      <c r="N189" s="239" t="e">
        <f t="shared" si="331"/>
        <v>#REF!</v>
      </c>
      <c r="O189" s="239">
        <f t="shared" si="331"/>
        <v>2.613641497330077E-2</v>
      </c>
      <c r="P189" s="239">
        <f t="shared" si="331"/>
        <v>-5.9893594849091292E-2</v>
      </c>
      <c r="Q189" s="239">
        <f t="shared" si="331"/>
        <v>-3.9602514783459886E-2</v>
      </c>
      <c r="R189" s="239">
        <f t="shared" si="331"/>
        <v>-3.249177751258836E-2</v>
      </c>
      <c r="S189" s="239">
        <f t="shared" si="331"/>
        <v>-0.11092895803917302</v>
      </c>
      <c r="T189" s="239">
        <f t="shared" si="331"/>
        <v>8.8903652042952919E-2</v>
      </c>
      <c r="U189" s="239">
        <f t="shared" si="331"/>
        <v>4.9438842814420791E-2</v>
      </c>
      <c r="V189" s="239">
        <f t="shared" si="331"/>
        <v>0.14262190016450771</v>
      </c>
      <c r="W189" s="239">
        <f t="shared" si="331"/>
        <v>-2.1199378492159471E-2</v>
      </c>
      <c r="X189" s="239">
        <f t="shared" si="331"/>
        <v>6.4019278264699775E-2</v>
      </c>
      <c r="Y189" s="239">
        <f t="shared" si="331"/>
        <v>7.4556833600749384E-2</v>
      </c>
      <c r="Z189" s="239">
        <f t="shared" si="331"/>
        <v>-2.6704318122658943E-3</v>
      </c>
      <c r="AA189" s="239">
        <f t="shared" si="331"/>
        <v>6.064272032607132E-2</v>
      </c>
      <c r="AB189" s="239">
        <f t="shared" si="331"/>
        <v>0.13206152008729077</v>
      </c>
      <c r="AC189" s="239">
        <f t="shared" si="331"/>
        <v>8.3361734753314654E-2</v>
      </c>
      <c r="AD189" s="239">
        <f t="shared" si="331"/>
        <v>0.23086240434992589</v>
      </c>
      <c r="AE189" s="239">
        <f t="shared" si="331"/>
        <v>0.15138508036804277</v>
      </c>
      <c r="AF189" s="239">
        <f t="shared" si="331"/>
        <v>0.16622819014783063</v>
      </c>
      <c r="AG189" s="239">
        <f t="shared" si="331"/>
        <v>0.19176074197126236</v>
      </c>
      <c r="AH189" s="239">
        <f t="shared" si="331"/>
        <v>0.2278278950324506</v>
      </c>
      <c r="AI189" s="239">
        <f t="shared" si="331"/>
        <v>0.28266308381979455</v>
      </c>
      <c r="AJ189" s="1168">
        <f t="shared" si="331"/>
        <v>0.32891129092862514</v>
      </c>
      <c r="AK189" s="239">
        <f t="shared" si="331"/>
        <v>0.57099974429951939</v>
      </c>
      <c r="AL189" s="239"/>
      <c r="AM189" s="239"/>
      <c r="AN189" s="239"/>
      <c r="AO189" s="239"/>
      <c r="AP189" s="239"/>
      <c r="AQ189" s="239"/>
      <c r="AR189" s="239"/>
      <c r="AS189" s="101"/>
      <c r="AT189" s="57"/>
      <c r="AU189" s="57"/>
      <c r="AV189" s="56"/>
      <c r="AW189" s="100"/>
      <c r="AX189" s="2"/>
      <c r="AY189" s="57"/>
      <c r="AZ189" s="511"/>
      <c r="BA189" s="511"/>
      <c r="BB189" s="511"/>
      <c r="BC189" s="511"/>
      <c r="BD189" s="511"/>
      <c r="BE189" s="511"/>
      <c r="BF189" s="511"/>
      <c r="BG189" s="511"/>
      <c r="BH189" s="2"/>
      <c r="BI189" s="2"/>
      <c r="BJ189" s="2"/>
      <c r="BK189" s="2"/>
      <c r="BL189" s="2"/>
    </row>
    <row r="190" spans="1:64" hidden="1" outlineLevel="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14"/>
      <c r="AK190" s="2"/>
      <c r="AL190" s="2"/>
      <c r="AM190" s="2"/>
      <c r="AN190" s="2"/>
      <c r="AO190" s="2"/>
      <c r="AP190" s="2"/>
      <c r="AQ190" s="2"/>
      <c r="AR190" s="2"/>
      <c r="AS190" s="101"/>
      <c r="AT190" s="57"/>
      <c r="AU190" s="57"/>
      <c r="AV190" s="56"/>
      <c r="AW190" s="100"/>
      <c r="AX190" s="18"/>
      <c r="AY190" s="57"/>
      <c r="AZ190" s="512"/>
      <c r="BA190" s="512"/>
      <c r="BB190" s="512"/>
      <c r="BC190" s="512"/>
      <c r="BD190" s="512"/>
      <c r="BE190" s="512"/>
      <c r="BF190" s="512"/>
      <c r="BG190" s="512"/>
      <c r="BH190" s="2"/>
      <c r="BI190" s="2"/>
      <c r="BJ190" s="2"/>
      <c r="BK190" s="2"/>
      <c r="BL190" s="2"/>
    </row>
    <row r="191" spans="1:64" hidden="1" outlineLevel="1">
      <c r="A191" s="213" t="s">
        <v>377</v>
      </c>
      <c r="B191" s="11"/>
      <c r="C191" s="11"/>
      <c r="D191" s="11"/>
      <c r="E191" s="11"/>
      <c r="F191" s="11"/>
      <c r="G191" s="11"/>
      <c r="H191" s="11"/>
      <c r="I191" s="11"/>
      <c r="J191" s="11"/>
      <c r="K191" s="11"/>
      <c r="L191" s="11"/>
      <c r="M191" s="11">
        <f t="shared" ref="M191:AK191" si="332">+(L194+M194)/2</f>
        <v>3.0540000000000003</v>
      </c>
      <c r="N191" s="11">
        <f t="shared" si="332"/>
        <v>4.0739999999999998</v>
      </c>
      <c r="O191" s="11">
        <f t="shared" si="332"/>
        <v>4.9284999999999997</v>
      </c>
      <c r="P191" s="11">
        <f t="shared" si="332"/>
        <v>5.7115</v>
      </c>
      <c r="Q191" s="11">
        <f t="shared" si="332"/>
        <v>6.3465000000000007</v>
      </c>
      <c r="R191" s="11">
        <f t="shared" si="332"/>
        <v>6.7119999999999997</v>
      </c>
      <c r="S191" s="11">
        <f t="shared" si="332"/>
        <v>6.8624999999999998</v>
      </c>
      <c r="T191" s="11">
        <f t="shared" si="332"/>
        <v>6.7554999999999996</v>
      </c>
      <c r="U191" s="11">
        <f t="shared" si="332"/>
        <v>6.5179999999999998</v>
      </c>
      <c r="V191" s="11">
        <f t="shared" si="332"/>
        <v>6.29</v>
      </c>
      <c r="W191" s="11">
        <f t="shared" si="332"/>
        <v>6.1135000000000002</v>
      </c>
      <c r="X191" s="11">
        <f t="shared" si="332"/>
        <v>5.9529999999999994</v>
      </c>
      <c r="Y191" s="11">
        <f t="shared" si="332"/>
        <v>5.7389999999999999</v>
      </c>
      <c r="Z191" s="11">
        <f t="shared" si="332"/>
        <v>5.5069999999999997</v>
      </c>
      <c r="AA191" s="11">
        <f t="shared" si="332"/>
        <v>5.1994999999999996</v>
      </c>
      <c r="AB191" s="11">
        <f t="shared" si="332"/>
        <v>4.7594999999999992</v>
      </c>
      <c r="AC191" s="11">
        <f t="shared" si="332"/>
        <v>4.232475</v>
      </c>
      <c r="AD191" s="11">
        <f t="shared" si="332"/>
        <v>3.7544000000000004</v>
      </c>
      <c r="AE191" s="11">
        <f t="shared" si="332"/>
        <v>3.3996500000000003</v>
      </c>
      <c r="AF191" s="11">
        <f t="shared" si="332"/>
        <v>3.0993000000000004</v>
      </c>
      <c r="AG191" s="11">
        <f t="shared" si="332"/>
        <v>2.8029999999999999</v>
      </c>
      <c r="AH191" s="11">
        <f t="shared" si="332"/>
        <v>2.5066999999999995</v>
      </c>
      <c r="AI191" s="11">
        <f t="shared" si="332"/>
        <v>2.2103999999999995</v>
      </c>
      <c r="AJ191" s="125">
        <f t="shared" si="332"/>
        <v>1.9140999999999992</v>
      </c>
      <c r="AK191" s="11">
        <f t="shared" si="332"/>
        <v>1.617799999999999</v>
      </c>
      <c r="AL191" s="11"/>
      <c r="AM191" s="11"/>
      <c r="AN191" s="11"/>
      <c r="AO191" s="11"/>
      <c r="AP191" s="11"/>
      <c r="AQ191" s="11"/>
      <c r="AR191" s="11"/>
      <c r="AS191" s="101"/>
      <c r="AT191" s="56">
        <f>((AE191/X191)^(1/5)-1)*100</f>
        <v>-10.599558183773915</v>
      </c>
      <c r="AU191" s="97" t="s">
        <v>1084</v>
      </c>
      <c r="AV191" s="56">
        <f>((AJ191/AD191)^(1/5)-1)*100</f>
        <v>-12.605356242669652</v>
      </c>
      <c r="AW191" s="102" t="s">
        <v>1084</v>
      </c>
      <c r="AX191" s="2"/>
      <c r="AY191" s="2"/>
      <c r="AZ191" s="2"/>
      <c r="BA191" s="2"/>
      <c r="BB191" s="2"/>
      <c r="BC191" s="2"/>
      <c r="BD191" s="2"/>
      <c r="BE191" s="2"/>
      <c r="BF191" s="2"/>
      <c r="BG191" s="2"/>
      <c r="BH191" s="2"/>
      <c r="BI191" s="2"/>
      <c r="BJ191" s="2"/>
      <c r="BK191" s="2"/>
      <c r="BL191" s="2"/>
    </row>
    <row r="192" spans="1:64" hidden="1" outlineLevel="1">
      <c r="A192" s="213" t="s">
        <v>1085</v>
      </c>
      <c r="B192" s="8"/>
      <c r="C192" s="8"/>
      <c r="D192" s="8"/>
      <c r="E192" s="8"/>
      <c r="F192" s="8"/>
      <c r="G192" s="8"/>
      <c r="H192" s="8"/>
      <c r="I192" s="8"/>
      <c r="J192" s="8"/>
      <c r="K192" s="8"/>
      <c r="L192" s="8"/>
      <c r="M192" s="400"/>
      <c r="N192" s="400">
        <f t="shared" ref="N192:AK192" si="333">+N191/M191-1</f>
        <v>0.33398821218074648</v>
      </c>
      <c r="O192" s="400">
        <f t="shared" si="333"/>
        <v>0.20974472263132049</v>
      </c>
      <c r="P192" s="400">
        <f t="shared" si="333"/>
        <v>0.1588718677082277</v>
      </c>
      <c r="Q192" s="400">
        <f t="shared" si="333"/>
        <v>0.11117919985993185</v>
      </c>
      <c r="R192" s="400">
        <f t="shared" si="333"/>
        <v>5.7590798077680416E-2</v>
      </c>
      <c r="S192" s="400">
        <f t="shared" si="333"/>
        <v>2.242252681764012E-2</v>
      </c>
      <c r="T192" s="239">
        <f t="shared" si="333"/>
        <v>-1.5591985428051069E-2</v>
      </c>
      <c r="U192" s="239">
        <f t="shared" si="333"/>
        <v>-3.5156539116275587E-2</v>
      </c>
      <c r="V192" s="239">
        <f t="shared" si="333"/>
        <v>-3.4980055231666141E-2</v>
      </c>
      <c r="W192" s="239">
        <f t="shared" si="333"/>
        <v>-2.8060413354531022E-2</v>
      </c>
      <c r="X192" s="239">
        <f t="shared" si="333"/>
        <v>-2.6253373681197512E-2</v>
      </c>
      <c r="Y192" s="239">
        <f t="shared" si="333"/>
        <v>-3.5948261380816304E-2</v>
      </c>
      <c r="Z192" s="239">
        <f t="shared" si="333"/>
        <v>-4.0425161177905622E-2</v>
      </c>
      <c r="AA192" s="239">
        <f t="shared" si="333"/>
        <v>-5.5838024332667491E-2</v>
      </c>
      <c r="AB192" s="239">
        <f t="shared" si="333"/>
        <v>-8.4623521492451226E-2</v>
      </c>
      <c r="AC192" s="239">
        <f t="shared" si="333"/>
        <v>-0.11073116924046633</v>
      </c>
      <c r="AD192" s="239">
        <f t="shared" si="333"/>
        <v>-0.11295400445365877</v>
      </c>
      <c r="AE192" s="239">
        <f t="shared" si="333"/>
        <v>-9.4489132750905647E-2</v>
      </c>
      <c r="AF192" s="239">
        <f t="shared" si="333"/>
        <v>-8.8347329872192737E-2</v>
      </c>
      <c r="AG192" s="239">
        <f t="shared" si="333"/>
        <v>-9.5602232762236783E-2</v>
      </c>
      <c r="AH192" s="239">
        <f t="shared" si="333"/>
        <v>-0.1057081698180522</v>
      </c>
      <c r="AI192" s="239">
        <f t="shared" si="333"/>
        <v>-0.11820321538277423</v>
      </c>
      <c r="AJ192" s="1168">
        <f t="shared" si="333"/>
        <v>-0.13404813608396682</v>
      </c>
      <c r="AK192" s="239">
        <f t="shared" si="333"/>
        <v>-0.15479859986416611</v>
      </c>
      <c r="AL192" s="239"/>
      <c r="AM192" s="239"/>
      <c r="AN192" s="239"/>
      <c r="AO192" s="239"/>
      <c r="AP192" s="239"/>
      <c r="AQ192" s="239"/>
      <c r="AR192" s="239"/>
      <c r="AS192" s="101"/>
      <c r="AT192" s="57"/>
      <c r="AU192" s="57"/>
      <c r="AV192" s="56"/>
      <c r="AW192" s="100"/>
      <c r="AX192" s="2"/>
      <c r="AY192" s="2"/>
      <c r="AZ192" s="2"/>
      <c r="BA192" s="2"/>
      <c r="BB192" s="2"/>
      <c r="BC192" s="2"/>
      <c r="BD192" s="2"/>
      <c r="BE192" s="2"/>
      <c r="BF192" s="2"/>
      <c r="BG192" s="2"/>
      <c r="BH192" s="2"/>
      <c r="BI192" s="2"/>
      <c r="BJ192" s="2"/>
      <c r="BK192" s="2"/>
      <c r="BL192" s="2"/>
    </row>
    <row r="193" spans="1:64" hidden="1" outlineLevel="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14"/>
      <c r="AK193" s="2"/>
      <c r="AL193" s="2"/>
      <c r="AM193" s="2"/>
      <c r="AN193" s="2"/>
      <c r="AO193" s="2"/>
      <c r="AP193" s="2"/>
      <c r="AQ193" s="2"/>
      <c r="AR193" s="2"/>
      <c r="AS193" s="101"/>
      <c r="AT193" s="57"/>
      <c r="AU193" s="57"/>
      <c r="AV193" s="56"/>
      <c r="AW193" s="100"/>
      <c r="AX193" s="2"/>
      <c r="AY193" s="2"/>
      <c r="AZ193" s="2"/>
      <c r="BA193" s="2"/>
      <c r="BB193" s="2"/>
      <c r="BC193" s="2"/>
      <c r="BD193" s="2"/>
      <c r="BE193" s="2"/>
      <c r="BF193" s="2"/>
      <c r="BG193" s="2"/>
      <c r="BH193" s="2"/>
      <c r="BI193" s="2"/>
      <c r="BJ193" s="2"/>
      <c r="BK193" s="2"/>
      <c r="BL193" s="2"/>
    </row>
    <row r="194" spans="1:64" hidden="1" outlineLevel="1">
      <c r="A194" s="213" t="s">
        <v>1125</v>
      </c>
      <c r="B194" s="11"/>
      <c r="C194" s="11"/>
      <c r="D194" s="11"/>
      <c r="E194" s="11"/>
      <c r="F194" s="11"/>
      <c r="G194" s="11"/>
      <c r="H194" s="11"/>
      <c r="I194" s="11"/>
      <c r="J194" s="11"/>
      <c r="K194" s="11"/>
      <c r="L194" s="11">
        <f t="shared" ref="L194:Y194" si="334">+L196+L198+L200</f>
        <v>2.5059999999999998</v>
      </c>
      <c r="M194" s="11">
        <f t="shared" si="334"/>
        <v>3.6020000000000003</v>
      </c>
      <c r="N194" s="11">
        <f t="shared" si="334"/>
        <v>4.5460000000000003</v>
      </c>
      <c r="O194" s="11">
        <f t="shared" si="334"/>
        <v>5.3109999999999999</v>
      </c>
      <c r="P194" s="11">
        <f t="shared" si="334"/>
        <v>6.1120000000000001</v>
      </c>
      <c r="Q194" s="11">
        <f t="shared" si="334"/>
        <v>6.5810000000000004</v>
      </c>
      <c r="R194" s="11">
        <f t="shared" si="334"/>
        <v>6.843</v>
      </c>
      <c r="S194" s="11">
        <f t="shared" si="334"/>
        <v>6.8819999999999997</v>
      </c>
      <c r="T194" s="11">
        <f t="shared" si="334"/>
        <v>6.6289999999999996</v>
      </c>
      <c r="U194" s="11">
        <f t="shared" si="334"/>
        <v>6.407</v>
      </c>
      <c r="V194" s="11">
        <f t="shared" si="334"/>
        <v>6.173</v>
      </c>
      <c r="W194" s="11">
        <f t="shared" si="334"/>
        <v>6.0540000000000003</v>
      </c>
      <c r="X194" s="11">
        <f t="shared" si="334"/>
        <v>5.8519999999999994</v>
      </c>
      <c r="Y194" s="11">
        <f t="shared" si="334"/>
        <v>5.6260000000000003</v>
      </c>
      <c r="Z194" s="11">
        <f t="shared" ref="Z194:AE194" si="335">+Z196+Z198+Z200+Z214</f>
        <v>5.3879999999999999</v>
      </c>
      <c r="AA194" s="11">
        <f t="shared" si="335"/>
        <v>5.0109999999999992</v>
      </c>
      <c r="AB194" s="11">
        <f>+AB196+AB198+AB200</f>
        <v>4.508</v>
      </c>
      <c r="AC194" s="11">
        <f>+AC196+AC198+AC200</f>
        <v>3.9569500000000004</v>
      </c>
      <c r="AD194" s="11">
        <f t="shared" si="335"/>
        <v>3.5518500000000004</v>
      </c>
      <c r="AE194" s="11">
        <f t="shared" si="335"/>
        <v>3.2474500000000002</v>
      </c>
      <c r="AF194" s="11">
        <f t="shared" ref="AF194:AK194" si="336">+AF196+AF198+AF200+AF214</f>
        <v>2.9511500000000002</v>
      </c>
      <c r="AG194" s="11">
        <f t="shared" si="336"/>
        <v>2.6548499999999997</v>
      </c>
      <c r="AH194" s="11">
        <f t="shared" si="336"/>
        <v>2.3585499999999997</v>
      </c>
      <c r="AI194" s="11">
        <f t="shared" si="336"/>
        <v>2.0622499999999993</v>
      </c>
      <c r="AJ194" s="125">
        <f t="shared" si="336"/>
        <v>1.7659499999999992</v>
      </c>
      <c r="AK194" s="11">
        <f t="shared" si="336"/>
        <v>1.4696499999999988</v>
      </c>
      <c r="AL194" s="11"/>
      <c r="AM194" s="11"/>
      <c r="AN194" s="11"/>
      <c r="AO194" s="11"/>
      <c r="AP194" s="11"/>
      <c r="AQ194" s="11"/>
      <c r="AR194" s="11"/>
      <c r="AS194" s="101"/>
      <c r="AT194" s="56">
        <f>((AE194/X194)^(1/5)-1)*100</f>
        <v>-11.11107967805105</v>
      </c>
      <c r="AU194" s="97" t="s">
        <v>1084</v>
      </c>
      <c r="AV194" s="56">
        <f>((AJ194/AD194)^(1/5)-1)*100</f>
        <v>-13.042958144923167</v>
      </c>
      <c r="AW194" s="102" t="s">
        <v>1084</v>
      </c>
      <c r="AX194" s="2"/>
      <c r="AY194" s="2"/>
      <c r="AZ194" s="2"/>
      <c r="BA194" s="2"/>
      <c r="BB194" s="2"/>
      <c r="BC194" s="2"/>
      <c r="BD194" s="2"/>
      <c r="BE194" s="2"/>
      <c r="BF194" s="2"/>
      <c r="BG194" s="2"/>
      <c r="BH194" s="2"/>
      <c r="BI194" s="2"/>
      <c r="BJ194" s="2"/>
      <c r="BK194" s="2"/>
      <c r="BL194" s="2"/>
    </row>
    <row r="195" spans="1:64" hidden="1" outlineLevel="1">
      <c r="A195" s="213" t="s">
        <v>1085</v>
      </c>
      <c r="B195" s="8"/>
      <c r="C195" s="8"/>
      <c r="D195" s="8"/>
      <c r="E195" s="8"/>
      <c r="F195" s="8"/>
      <c r="G195" s="8"/>
      <c r="H195" s="8"/>
      <c r="I195" s="8"/>
      <c r="J195" s="8"/>
      <c r="K195" s="8"/>
      <c r="L195" s="8"/>
      <c r="M195" s="8">
        <f t="shared" ref="M195:AK195" si="337">+M194/L194-1</f>
        <v>0.43735035913806897</v>
      </c>
      <c r="N195" s="8">
        <f t="shared" si="337"/>
        <v>0.26207662409772348</v>
      </c>
      <c r="O195" s="8">
        <f t="shared" si="337"/>
        <v>0.16827980642322915</v>
      </c>
      <c r="P195" s="8">
        <f t="shared" si="337"/>
        <v>0.15081905479194124</v>
      </c>
      <c r="Q195" s="400">
        <f t="shared" si="337"/>
        <v>7.6734293193717384E-2</v>
      </c>
      <c r="R195" s="400">
        <f t="shared" si="337"/>
        <v>3.9811578787418256E-2</v>
      </c>
      <c r="S195" s="400">
        <f t="shared" si="337"/>
        <v>5.6992547128451587E-3</v>
      </c>
      <c r="T195" s="239">
        <f t="shared" si="337"/>
        <v>-3.6762569020633573E-2</v>
      </c>
      <c r="U195" s="239">
        <f t="shared" si="337"/>
        <v>-3.3489214059435723E-2</v>
      </c>
      <c r="V195" s="239">
        <f t="shared" si="337"/>
        <v>-3.652255345715627E-2</v>
      </c>
      <c r="W195" s="239">
        <f t="shared" si="337"/>
        <v>-1.9277498785031599E-2</v>
      </c>
      <c r="X195" s="239">
        <f t="shared" si="337"/>
        <v>-3.3366369342583524E-2</v>
      </c>
      <c r="Y195" s="239">
        <f t="shared" si="337"/>
        <v>-3.8619275461380553E-2</v>
      </c>
      <c r="Z195" s="239">
        <f t="shared" si="337"/>
        <v>-4.2303590472804964E-2</v>
      </c>
      <c r="AA195" s="239">
        <f t="shared" si="337"/>
        <v>-6.9970304380104098E-2</v>
      </c>
      <c r="AB195" s="239">
        <f t="shared" si="337"/>
        <v>-0.10037916583516249</v>
      </c>
      <c r="AC195" s="239">
        <f t="shared" si="337"/>
        <v>-0.1222382431233362</v>
      </c>
      <c r="AD195" s="239">
        <f t="shared" si="337"/>
        <v>-0.10237683063976044</v>
      </c>
      <c r="AE195" s="239">
        <f t="shared" si="337"/>
        <v>-8.5701817362782817E-2</v>
      </c>
      <c r="AF195" s="239">
        <f t="shared" si="337"/>
        <v>-9.1240819720088018E-2</v>
      </c>
      <c r="AG195" s="239">
        <f t="shared" si="337"/>
        <v>-0.1004015383833422</v>
      </c>
      <c r="AH195" s="239">
        <f t="shared" si="337"/>
        <v>-0.1116070587792154</v>
      </c>
      <c r="AI195" s="239">
        <f t="shared" si="337"/>
        <v>-0.12562803417353907</v>
      </c>
      <c r="AJ195" s="1168">
        <f t="shared" si="337"/>
        <v>-0.14367802157837317</v>
      </c>
      <c r="AK195" s="239">
        <f t="shared" si="337"/>
        <v>-0.16778504487669554</v>
      </c>
      <c r="AL195" s="239"/>
      <c r="AM195" s="239"/>
      <c r="AN195" s="239"/>
      <c r="AO195" s="239"/>
      <c r="AP195" s="239"/>
      <c r="AQ195" s="239"/>
      <c r="AR195" s="239"/>
      <c r="AS195" s="101"/>
      <c r="AT195" s="57"/>
      <c r="AU195" s="57"/>
      <c r="AV195" s="56"/>
      <c r="AW195" s="100"/>
      <c r="AX195" s="2"/>
      <c r="AY195" s="2"/>
      <c r="AZ195" s="2"/>
      <c r="BA195" s="2"/>
      <c r="BB195" s="2"/>
      <c r="BC195" s="2"/>
      <c r="BD195" s="2"/>
      <c r="BE195" s="2"/>
      <c r="BF195" s="2"/>
      <c r="BG195" s="2"/>
      <c r="BH195" s="2"/>
      <c r="BI195" s="2"/>
      <c r="BJ195" s="2"/>
      <c r="BK195" s="2"/>
      <c r="BL195" s="2"/>
    </row>
    <row r="196" spans="1:64" hidden="1" outlineLevel="1">
      <c r="A196" s="347" t="str">
        <f>+A165</f>
        <v>Express Women</v>
      </c>
      <c r="B196" s="260"/>
      <c r="C196" s="260"/>
      <c r="D196" s="260"/>
      <c r="E196" s="260"/>
      <c r="F196" s="260"/>
      <c r="G196" s="260"/>
      <c r="H196" s="260"/>
      <c r="I196" s="260"/>
      <c r="J196" s="260"/>
      <c r="K196" s="260"/>
      <c r="L196" s="5">
        <f>+'store&amp;sf'!N202</f>
        <v>2.1509999999999998</v>
      </c>
      <c r="M196" s="5">
        <f>+'store&amp;sf'!N208</f>
        <v>2.9260000000000002</v>
      </c>
      <c r="N196" s="5">
        <f>+'store&amp;sf'!N214</f>
        <v>3.47</v>
      </c>
      <c r="O196" s="5">
        <f>+'store&amp;sf'!N220</f>
        <v>3.9020000000000001</v>
      </c>
      <c r="P196" s="5">
        <f>+'store&amp;sf'!N226</f>
        <v>4.3570000000000002</v>
      </c>
      <c r="Q196" s="5">
        <f>+'store&amp;sf'!N232</f>
        <v>4.5880000000000001</v>
      </c>
      <c r="R196" s="5">
        <f>+'store&amp;sf'!N238</f>
        <v>4.726</v>
      </c>
      <c r="S196" s="5">
        <f>+'store&amp;sf'!N244</f>
        <v>4.7389999999999999</v>
      </c>
      <c r="T196" s="5">
        <f>+'store&amp;sf'!N250</f>
        <v>4.5110000000000001</v>
      </c>
      <c r="U196" s="5">
        <f>+'store&amp;sf'!N256</f>
        <v>4.4290000000000003</v>
      </c>
      <c r="V196" s="5">
        <f>+'store&amp;sf'!N262</f>
        <v>4.2880000000000003</v>
      </c>
      <c r="W196" s="350">
        <f>+'store&amp;sf'!N268</f>
        <v>4.28</v>
      </c>
      <c r="X196" s="350">
        <f>+'store&amp;sf'!N274</f>
        <v>3.927</v>
      </c>
      <c r="Y196" s="350">
        <f>+'store&amp;sf'!N280</f>
        <v>3.5030000000000001</v>
      </c>
      <c r="Z196" s="350">
        <f>+'store&amp;sf'!N286</f>
        <v>2.8879999999999999</v>
      </c>
      <c r="AA196" s="350">
        <f>+'store&amp;sf'!N292</f>
        <v>1.9830000000000001</v>
      </c>
      <c r="AB196" s="350">
        <f>+'store&amp;sf'!N298</f>
        <v>1.1499999999999999</v>
      </c>
      <c r="AC196" s="350">
        <f>'store&amp;sf'!$N$304</f>
        <v>0.39550000000000018</v>
      </c>
      <c r="AD196" s="350">
        <f t="shared" ref="AD196:AI196" si="338">+AC196+(AD165+AD175)*AD216/1000000+(AD170*AD218/1000000)</f>
        <v>0.1759000000000002</v>
      </c>
      <c r="AE196" s="350">
        <f t="shared" si="338"/>
        <v>-3.1999999999999813E-2</v>
      </c>
      <c r="AF196" s="350">
        <f t="shared" si="338"/>
        <v>-0.23179999999999981</v>
      </c>
      <c r="AG196" s="350">
        <f t="shared" si="338"/>
        <v>-0.43159999999999982</v>
      </c>
      <c r="AH196" s="350">
        <f t="shared" si="338"/>
        <v>-0.63139999999999985</v>
      </c>
      <c r="AI196" s="350">
        <f t="shared" si="338"/>
        <v>-0.83119999999999994</v>
      </c>
      <c r="AJ196" s="1171">
        <f>+AI196+(AJ165+AJ175)*AJ216/1000000+(AJ170*AJ218/1000000)</f>
        <v>-1.0309999999999999</v>
      </c>
      <c r="AK196" s="350">
        <f>+AJ196+(AK165+AK175)*AK216/1000000+(AK170*AK218/1000000)</f>
        <v>-1.2307999999999999</v>
      </c>
      <c r="AL196" s="350"/>
      <c r="AM196" s="350"/>
      <c r="AN196" s="350"/>
      <c r="AO196" s="350"/>
      <c r="AP196" s="350"/>
      <c r="AQ196" s="350"/>
      <c r="AR196" s="350"/>
      <c r="AS196" s="101"/>
      <c r="AT196" s="57"/>
      <c r="AU196" s="57"/>
      <c r="AV196" s="657"/>
      <c r="AW196" s="100"/>
      <c r="AX196" s="2"/>
      <c r="AY196" s="2"/>
      <c r="AZ196" s="2"/>
      <c r="BA196" s="2"/>
      <c r="BB196" s="2"/>
      <c r="BC196" s="2"/>
      <c r="BD196" s="2"/>
      <c r="BE196" s="2"/>
      <c r="BF196" s="2"/>
      <c r="BG196" s="2"/>
      <c r="BH196" s="2"/>
      <c r="BI196" s="2"/>
      <c r="BJ196" s="2"/>
      <c r="BK196" s="2"/>
      <c r="BL196" s="2"/>
    </row>
    <row r="197" spans="1:64" hidden="1" outlineLevel="1">
      <c r="A197" s="213" t="s">
        <v>1085</v>
      </c>
      <c r="B197" s="260"/>
      <c r="C197" s="260"/>
      <c r="D197" s="260"/>
      <c r="E197" s="260"/>
      <c r="F197" s="260"/>
      <c r="G197" s="260"/>
      <c r="H197" s="260"/>
      <c r="I197" s="260"/>
      <c r="J197" s="260"/>
      <c r="K197" s="260"/>
      <c r="L197" s="5"/>
      <c r="M197" s="465">
        <f t="shared" ref="M197:AK197" si="339">+M196/L196-1</f>
        <v>0.36029753602975378</v>
      </c>
      <c r="N197" s="465">
        <f t="shared" si="339"/>
        <v>0.18591934381408071</v>
      </c>
      <c r="O197" s="465">
        <f t="shared" si="339"/>
        <v>0.12449567723342936</v>
      </c>
      <c r="P197" s="465">
        <f t="shared" si="339"/>
        <v>0.11660686827268063</v>
      </c>
      <c r="Q197" s="465">
        <f t="shared" si="339"/>
        <v>5.3018131742024188E-2</v>
      </c>
      <c r="R197" s="465">
        <f t="shared" si="339"/>
        <v>3.0078465562336509E-2</v>
      </c>
      <c r="S197" s="465">
        <f t="shared" si="339"/>
        <v>2.7507405840032639E-3</v>
      </c>
      <c r="T197" s="239">
        <f t="shared" si="339"/>
        <v>-4.8111415910529587E-2</v>
      </c>
      <c r="U197" s="239">
        <f t="shared" si="339"/>
        <v>-1.8177787630237141E-2</v>
      </c>
      <c r="V197" s="239">
        <f t="shared" si="339"/>
        <v>-3.1835628810115146E-2</v>
      </c>
      <c r="W197" s="239">
        <f t="shared" si="339"/>
        <v>-1.8656716417910779E-3</v>
      </c>
      <c r="X197" s="239">
        <f t="shared" si="339"/>
        <v>-8.2476635514018737E-2</v>
      </c>
      <c r="Y197" s="239">
        <f t="shared" si="339"/>
        <v>-0.10797046091163731</v>
      </c>
      <c r="Z197" s="239">
        <f t="shared" si="339"/>
        <v>-0.17556380245503855</v>
      </c>
      <c r="AA197" s="239">
        <f t="shared" si="339"/>
        <v>-0.31336565096952906</v>
      </c>
      <c r="AB197" s="239">
        <f t="shared" si="339"/>
        <v>-0.42007060010085739</v>
      </c>
      <c r="AC197" s="239">
        <f t="shared" si="339"/>
        <v>-0.65608695652173887</v>
      </c>
      <c r="AD197" s="239">
        <f t="shared" si="339"/>
        <v>-0.55524652338811609</v>
      </c>
      <c r="AE197" s="239">
        <f t="shared" si="339"/>
        <v>-1.1819215463331425</v>
      </c>
      <c r="AF197" s="239">
        <f t="shared" si="339"/>
        <v>6.2437500000000368</v>
      </c>
      <c r="AG197" s="239">
        <f t="shared" si="339"/>
        <v>0.86194995685936227</v>
      </c>
      <c r="AH197" s="239">
        <f t="shared" si="339"/>
        <v>0.46292863762743308</v>
      </c>
      <c r="AI197" s="239">
        <f t="shared" si="339"/>
        <v>0.31643965790307282</v>
      </c>
      <c r="AJ197" s="1168">
        <f t="shared" si="339"/>
        <v>0.24037536092396539</v>
      </c>
      <c r="AK197" s="239">
        <f t="shared" si="339"/>
        <v>0.19379243452958295</v>
      </c>
      <c r="AL197" s="239"/>
      <c r="AM197" s="239"/>
      <c r="AN197" s="239"/>
      <c r="AO197" s="239"/>
      <c r="AP197" s="239"/>
      <c r="AQ197" s="239"/>
      <c r="AR197" s="239"/>
      <c r="AS197" s="101"/>
      <c r="AT197" s="57"/>
      <c r="AU197" s="57"/>
      <c r="AV197" s="56"/>
      <c r="AW197" s="100"/>
      <c r="AX197" s="2"/>
      <c r="AY197" s="2"/>
      <c r="AZ197" s="2"/>
      <c r="BA197" s="2"/>
      <c r="BB197" s="2"/>
      <c r="BC197" s="2"/>
      <c r="BD197" s="2"/>
      <c r="BE197" s="2"/>
      <c r="BF197" s="2"/>
      <c r="BG197" s="2"/>
      <c r="BH197" s="2"/>
      <c r="BI197" s="2"/>
      <c r="BJ197" s="2"/>
      <c r="BK197" s="2"/>
      <c r="BL197" s="2"/>
    </row>
    <row r="198" spans="1:64" hidden="1" outlineLevel="1">
      <c r="A198" s="347" t="str">
        <f>+A166</f>
        <v>Express Men</v>
      </c>
      <c r="B198" s="260"/>
      <c r="C198" s="260"/>
      <c r="D198" s="260"/>
      <c r="E198" s="260"/>
      <c r="F198" s="260"/>
      <c r="G198" s="260"/>
      <c r="H198" s="260"/>
      <c r="I198" s="260"/>
      <c r="J198" s="260"/>
      <c r="K198" s="260"/>
      <c r="L198" s="5">
        <f>+'store&amp;sf'!P202</f>
        <v>0.35499999999999998</v>
      </c>
      <c r="M198" s="5">
        <f>+'store&amp;sf'!P208</f>
        <v>0.67600000000000005</v>
      </c>
      <c r="N198" s="5">
        <f>+'store&amp;sf'!P214</f>
        <v>1.0760000000000001</v>
      </c>
      <c r="O198" s="5">
        <f>+'store&amp;sf'!P220</f>
        <v>1.409</v>
      </c>
      <c r="P198" s="5">
        <f>+'store&amp;sf'!P226</f>
        <v>1.7549999999999999</v>
      </c>
      <c r="Q198" s="5">
        <f>+'store&amp;sf'!P232</f>
        <v>1.9930000000000001</v>
      </c>
      <c r="R198" s="5">
        <f>+'store&amp;sf'!P238</f>
        <v>2.117</v>
      </c>
      <c r="S198" s="5">
        <f>+'store&amp;sf'!P244</f>
        <v>2.1429999999999998</v>
      </c>
      <c r="T198" s="5">
        <f>+'store&amp;sf'!P250</f>
        <v>2.1179999999999999</v>
      </c>
      <c r="U198" s="5">
        <f>+'store&amp;sf'!P256</f>
        <v>1.978</v>
      </c>
      <c r="V198" s="5">
        <f>+'store&amp;sf'!P262</f>
        <v>1.885</v>
      </c>
      <c r="W198" s="5">
        <f>+'store&amp;sf'!P268</f>
        <v>1.774</v>
      </c>
      <c r="X198" s="5">
        <f>+'store&amp;sf'!P274</f>
        <v>1.458</v>
      </c>
      <c r="Y198" s="5">
        <f>+'store&amp;sf'!P280</f>
        <v>1.179</v>
      </c>
      <c r="Z198" s="5">
        <f>+'store&amp;sf'!P286</f>
        <v>0.90400000000000003</v>
      </c>
      <c r="AA198" s="5">
        <f>+'store&amp;sf'!P292</f>
        <v>0.48599999999999999</v>
      </c>
      <c r="AB198" s="5">
        <f>+'store&amp;sf'!P298</f>
        <v>0.28499999999999998</v>
      </c>
      <c r="AC198" s="349">
        <f>'store&amp;sf'!$P$304</f>
        <v>0.15089999999999998</v>
      </c>
      <c r="AD198" s="349">
        <f t="shared" ref="AD198:AI198" si="340">+AC198+(AD166+AD171+AD176)*AD217/1000000</f>
        <v>3.999999999999837E-4</v>
      </c>
      <c r="AE198" s="349">
        <f t="shared" si="340"/>
        <v>-0.15010000000000001</v>
      </c>
      <c r="AF198" s="349">
        <f t="shared" si="340"/>
        <v>-0.30059999999999998</v>
      </c>
      <c r="AG198" s="349">
        <f t="shared" si="340"/>
        <v>-0.45109999999999995</v>
      </c>
      <c r="AH198" s="349">
        <f t="shared" si="340"/>
        <v>-0.60159999999999991</v>
      </c>
      <c r="AI198" s="349">
        <f t="shared" si="340"/>
        <v>-0.75209999999999988</v>
      </c>
      <c r="AJ198" s="1172">
        <f>+AI198+(AJ166+AJ171+AJ176)*AJ217/1000000</f>
        <v>-0.90259999999999985</v>
      </c>
      <c r="AK198" s="349">
        <f>+AJ198+(AK166+AK171+AK176)*AK217/1000000</f>
        <v>-1.0530999999999999</v>
      </c>
      <c r="AL198" s="349"/>
      <c r="AM198" s="349"/>
      <c r="AN198" s="349"/>
      <c r="AO198" s="349"/>
      <c r="AP198" s="349"/>
      <c r="AQ198" s="349"/>
      <c r="AR198" s="349"/>
      <c r="AS198" s="101"/>
      <c r="AT198" s="57"/>
      <c r="AU198" s="57"/>
      <c r="AV198" s="56"/>
      <c r="AW198" s="100"/>
      <c r="AX198" s="2"/>
      <c r="AY198" s="2"/>
      <c r="AZ198" s="2"/>
      <c r="BA198" s="2"/>
      <c r="BB198" s="2"/>
      <c r="BC198" s="2"/>
      <c r="BD198" s="2"/>
      <c r="BE198" s="2"/>
      <c r="BF198" s="2"/>
      <c r="BG198" s="2"/>
      <c r="BH198" s="2"/>
      <c r="BI198" s="2"/>
      <c r="BJ198" s="2"/>
      <c r="BK198" s="2"/>
      <c r="BL198" s="2"/>
    </row>
    <row r="199" spans="1:64" hidden="1" outlineLevel="1">
      <c r="A199" s="213" t="s">
        <v>1085</v>
      </c>
      <c r="B199" s="260"/>
      <c r="C199" s="260"/>
      <c r="D199" s="260"/>
      <c r="E199" s="260"/>
      <c r="F199" s="260"/>
      <c r="G199" s="260"/>
      <c r="H199" s="260"/>
      <c r="I199" s="260"/>
      <c r="J199" s="260"/>
      <c r="K199" s="260"/>
      <c r="L199" s="5"/>
      <c r="M199" s="465">
        <f t="shared" ref="M199:AK199" si="341">+M198/L198-1</f>
        <v>0.90422535211267618</v>
      </c>
      <c r="N199" s="465">
        <f t="shared" si="341"/>
        <v>0.59171597633136086</v>
      </c>
      <c r="O199" s="465">
        <f t="shared" si="341"/>
        <v>0.30947955390334569</v>
      </c>
      <c r="P199" s="465">
        <f t="shared" si="341"/>
        <v>0.24556422995031935</v>
      </c>
      <c r="Q199" s="465">
        <f t="shared" si="341"/>
        <v>0.13561253561253572</v>
      </c>
      <c r="R199" s="465">
        <f t="shared" si="341"/>
        <v>6.2217762167586566E-2</v>
      </c>
      <c r="S199" s="465">
        <f t="shared" si="341"/>
        <v>1.2281530467642687E-2</v>
      </c>
      <c r="T199" s="239">
        <f t="shared" si="341"/>
        <v>-1.1665888940737279E-2</v>
      </c>
      <c r="U199" s="239">
        <f t="shared" si="341"/>
        <v>-6.6100094428706235E-2</v>
      </c>
      <c r="V199" s="239">
        <f t="shared" si="341"/>
        <v>-4.7017189079878619E-2</v>
      </c>
      <c r="W199" s="239">
        <f t="shared" si="341"/>
        <v>-5.888594164456229E-2</v>
      </c>
      <c r="X199" s="239">
        <f t="shared" si="341"/>
        <v>-0.1781285231116122</v>
      </c>
      <c r="Y199" s="239">
        <f t="shared" si="341"/>
        <v>-0.19135802469135799</v>
      </c>
      <c r="Z199" s="239">
        <f t="shared" si="341"/>
        <v>-0.23324851569126381</v>
      </c>
      <c r="AA199" s="239">
        <f t="shared" si="341"/>
        <v>-0.46238938053097345</v>
      </c>
      <c r="AB199" s="239">
        <f t="shared" si="341"/>
        <v>-0.41358024691358031</v>
      </c>
      <c r="AC199" s="239">
        <f t="shared" si="341"/>
        <v>-0.47052631578947368</v>
      </c>
      <c r="AD199" s="239">
        <f t="shared" si="341"/>
        <v>-0.99734923790589802</v>
      </c>
      <c r="AE199" s="239">
        <f t="shared" si="341"/>
        <v>-376.25000000001529</v>
      </c>
      <c r="AF199" s="239">
        <f t="shared" si="341"/>
        <v>1.0026648900732842</v>
      </c>
      <c r="AG199" s="239">
        <f t="shared" si="341"/>
        <v>0.50066533599467733</v>
      </c>
      <c r="AH199" s="239">
        <f t="shared" si="341"/>
        <v>0.33362890711593884</v>
      </c>
      <c r="AI199" s="239">
        <f t="shared" si="341"/>
        <v>0.25016622340425521</v>
      </c>
      <c r="AJ199" s="1168">
        <f t="shared" si="341"/>
        <v>0.20010636883393174</v>
      </c>
      <c r="AK199" s="239">
        <f t="shared" si="341"/>
        <v>0.16674052736538902</v>
      </c>
      <c r="AL199" s="239"/>
      <c r="AM199" s="239"/>
      <c r="AN199" s="239"/>
      <c r="AO199" s="239"/>
      <c r="AP199" s="239"/>
      <c r="AQ199" s="239"/>
      <c r="AR199" s="239"/>
      <c r="AS199" s="101"/>
      <c r="AT199" s="57"/>
      <c r="AU199" s="57"/>
      <c r="AV199" s="56"/>
      <c r="AW199" s="100"/>
      <c r="AX199" s="2"/>
      <c r="AY199" s="2"/>
      <c r="AZ199" s="2"/>
      <c r="BA199" s="2"/>
      <c r="BB199" s="2"/>
      <c r="BC199" s="2"/>
      <c r="BD199" s="2"/>
      <c r="BE199" s="2"/>
      <c r="BF199" s="2"/>
      <c r="BG199" s="2"/>
      <c r="BH199" s="2"/>
      <c r="BI199" s="2"/>
      <c r="BJ199" s="2"/>
      <c r="BK199" s="2"/>
      <c r="BL199" s="2"/>
    </row>
    <row r="200" spans="1:64" hidden="1" outlineLevel="1">
      <c r="A200" s="347" t="str">
        <f>+A167</f>
        <v>Express Dual Gender</v>
      </c>
      <c r="B200" s="348"/>
      <c r="C200" s="348"/>
      <c r="D200" s="348"/>
      <c r="E200" s="348"/>
      <c r="F200" s="348"/>
      <c r="G200" s="348"/>
      <c r="H200" s="348"/>
      <c r="I200" s="348"/>
      <c r="J200" s="348"/>
      <c r="K200" s="348"/>
      <c r="L200" s="348"/>
      <c r="M200" s="348"/>
      <c r="N200" s="348"/>
      <c r="O200" s="348"/>
      <c r="P200" s="348"/>
      <c r="Q200" s="349"/>
      <c r="R200" s="349"/>
      <c r="S200" s="349"/>
      <c r="T200" s="349"/>
      <c r="U200" s="349"/>
      <c r="V200" s="349"/>
      <c r="W200" s="349"/>
      <c r="X200" s="349">
        <f>+'store&amp;sf'!R274</f>
        <v>0.46700000000000003</v>
      </c>
      <c r="Y200" s="349">
        <f>+'store&amp;sf'!R280</f>
        <v>0.94399999999999995</v>
      </c>
      <c r="Z200" s="349">
        <f>+'store&amp;sf'!R286</f>
        <v>1.6</v>
      </c>
      <c r="AA200" s="349">
        <f>+'store&amp;sf'!R292</f>
        <v>2.5379999999999998</v>
      </c>
      <c r="AB200" s="349">
        <f>+'store&amp;sf'!R298</f>
        <v>3.073</v>
      </c>
      <c r="AC200" s="349">
        <f>'store&amp;sf'!$R$304</f>
        <v>3.4105500000000002</v>
      </c>
      <c r="AD200" s="349">
        <f t="shared" ref="AD200:AI200" si="342">+AC200+((AD167+AD172+AD177)*AD218/1000000)</f>
        <v>3.45255</v>
      </c>
      <c r="AE200" s="349">
        <f t="shared" si="342"/>
        <v>3.5065499999999998</v>
      </c>
      <c r="AF200" s="349">
        <f t="shared" si="342"/>
        <v>3.5605499999999997</v>
      </c>
      <c r="AG200" s="349">
        <f t="shared" si="342"/>
        <v>3.6145499999999995</v>
      </c>
      <c r="AH200" s="349">
        <f t="shared" si="342"/>
        <v>3.6685499999999993</v>
      </c>
      <c r="AI200" s="349">
        <f t="shared" si="342"/>
        <v>3.7225499999999991</v>
      </c>
      <c r="AJ200" s="1172">
        <f>+AI200+((AJ167+AJ172+AJ177)*AJ218/1000000)</f>
        <v>3.776549999999999</v>
      </c>
      <c r="AK200" s="349">
        <f>+AJ200+((AK167+AK172+AK177)*AK218/1000000)</f>
        <v>3.8305499999999988</v>
      </c>
      <c r="AL200" s="349"/>
      <c r="AM200" s="349"/>
      <c r="AN200" s="349"/>
      <c r="AO200" s="349"/>
      <c r="AP200" s="349"/>
      <c r="AQ200" s="349"/>
      <c r="AR200" s="349"/>
      <c r="AS200" s="101"/>
      <c r="AT200" s="57"/>
      <c r="AU200" s="57"/>
      <c r="AV200" s="56"/>
      <c r="AW200" s="100"/>
      <c r="AX200" s="2"/>
      <c r="AY200" s="2"/>
      <c r="AZ200" s="2"/>
      <c r="BA200" s="2"/>
      <c r="BB200" s="2"/>
      <c r="BC200" s="2"/>
      <c r="BD200" s="2"/>
      <c r="BE200" s="2"/>
      <c r="BF200" s="2"/>
      <c r="BG200" s="2"/>
      <c r="BH200" s="2"/>
      <c r="BI200" s="2"/>
      <c r="BJ200" s="2"/>
      <c r="BK200" s="2"/>
      <c r="BL200" s="2"/>
    </row>
    <row r="201" spans="1:64" hidden="1" outlineLevel="1">
      <c r="A201" s="213" t="s">
        <v>1085</v>
      </c>
      <c r="B201" s="348"/>
      <c r="C201" s="348"/>
      <c r="D201" s="348"/>
      <c r="E201" s="348"/>
      <c r="F201" s="348"/>
      <c r="G201" s="348"/>
      <c r="H201" s="348"/>
      <c r="I201" s="348"/>
      <c r="J201" s="348"/>
      <c r="K201" s="348"/>
      <c r="L201" s="348"/>
      <c r="M201" s="348"/>
      <c r="N201" s="348"/>
      <c r="O201" s="348"/>
      <c r="P201" s="348"/>
      <c r="Q201" s="349"/>
      <c r="R201" s="349"/>
      <c r="S201" s="349"/>
      <c r="T201" s="349"/>
      <c r="U201" s="349"/>
      <c r="V201" s="349"/>
      <c r="W201" s="349"/>
      <c r="X201" s="239"/>
      <c r="Y201" s="239">
        <f t="shared" ref="Y201:AK201" si="343">+Y200/X200-1</f>
        <v>1.0214132762312631</v>
      </c>
      <c r="Z201" s="239">
        <f t="shared" si="343"/>
        <v>0.69491525423728828</v>
      </c>
      <c r="AA201" s="239">
        <f t="shared" si="343"/>
        <v>0.58624999999999972</v>
      </c>
      <c r="AB201" s="239">
        <f t="shared" si="343"/>
        <v>0.21079590228526413</v>
      </c>
      <c r="AC201" s="239">
        <f t="shared" si="343"/>
        <v>0.10984380084607892</v>
      </c>
      <c r="AD201" s="239">
        <f t="shared" si="343"/>
        <v>1.2314729295861415E-2</v>
      </c>
      <c r="AE201" s="239">
        <f t="shared" si="343"/>
        <v>1.5640613459616759E-2</v>
      </c>
      <c r="AF201" s="239">
        <f t="shared" si="343"/>
        <v>1.5399751892886115E-2</v>
      </c>
      <c r="AG201" s="239">
        <f t="shared" si="343"/>
        <v>1.5166196233727947E-2</v>
      </c>
      <c r="AH201" s="239">
        <f t="shared" si="343"/>
        <v>1.4939619039714414E-2</v>
      </c>
      <c r="AI201" s="239">
        <f t="shared" si="343"/>
        <v>1.4719712147851283E-2</v>
      </c>
      <c r="AJ201" s="1168">
        <f t="shared" si="343"/>
        <v>1.4506185276221828E-2</v>
      </c>
      <c r="AK201" s="239">
        <f t="shared" si="343"/>
        <v>1.4298764745601211E-2</v>
      </c>
      <c r="AL201" s="239"/>
      <c r="AM201" s="239"/>
      <c r="AN201" s="239"/>
      <c r="AO201" s="239"/>
      <c r="AP201" s="239"/>
      <c r="AQ201" s="239"/>
      <c r="AR201" s="239"/>
      <c r="AS201" s="101"/>
      <c r="AT201" s="57"/>
      <c r="AU201" s="57"/>
      <c r="AV201" s="56"/>
      <c r="AW201" s="100"/>
      <c r="AX201" s="2"/>
      <c r="AY201" s="2"/>
      <c r="AZ201" s="2"/>
      <c r="BA201" s="2"/>
      <c r="BB201" s="2"/>
      <c r="BC201" s="2"/>
      <c r="BD201" s="2"/>
      <c r="BE201" s="2"/>
      <c r="BF201" s="2"/>
      <c r="BG201" s="2"/>
      <c r="BH201" s="2"/>
      <c r="BI201" s="2"/>
      <c r="BJ201" s="2"/>
      <c r="BK201" s="2"/>
      <c r="BL201" s="2"/>
    </row>
    <row r="202" spans="1:64" hidden="1" outlineLevel="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14"/>
      <c r="AK202" s="2"/>
      <c r="AL202" s="2"/>
      <c r="AM202" s="2"/>
      <c r="AN202" s="2"/>
      <c r="AO202" s="2"/>
      <c r="AP202" s="2"/>
      <c r="AQ202" s="2"/>
      <c r="AR202" s="2"/>
      <c r="AS202" s="101"/>
      <c r="AT202" s="57"/>
      <c r="AU202" s="57"/>
      <c r="AV202" s="56"/>
      <c r="AW202" s="100"/>
      <c r="AX202" s="2"/>
      <c r="AY202" s="2"/>
      <c r="AZ202" s="2"/>
      <c r="BA202" s="2"/>
      <c r="BB202" s="2"/>
      <c r="BC202" s="2"/>
      <c r="BD202" s="2"/>
      <c r="BE202" s="2"/>
      <c r="BF202" s="2"/>
      <c r="BG202" s="2"/>
      <c r="BH202" s="2"/>
      <c r="BI202" s="2"/>
      <c r="BJ202" s="2"/>
      <c r="BK202" s="2"/>
      <c r="BL202" s="2"/>
    </row>
    <row r="203" spans="1:64" hidden="1" outlineLevel="1">
      <c r="A203" s="213" t="s">
        <v>1109</v>
      </c>
      <c r="B203" s="9"/>
      <c r="C203" s="9"/>
      <c r="D203" s="9"/>
      <c r="E203" s="9"/>
      <c r="F203" s="9"/>
      <c r="G203" s="9"/>
      <c r="H203" s="9"/>
      <c r="I203" s="9"/>
      <c r="J203" s="9"/>
      <c r="K203" s="9"/>
      <c r="L203" s="9">
        <f t="shared" ref="L203:AC203" si="344">L194/L183*1000000</f>
        <v>3574.8930099857344</v>
      </c>
      <c r="M203" s="9">
        <f t="shared" si="344"/>
        <v>4232.6674500587551</v>
      </c>
      <c r="N203" s="9">
        <f t="shared" si="344"/>
        <v>4686.5979381443303</v>
      </c>
      <c r="O203" s="9">
        <f t="shared" si="344"/>
        <v>4977.5070290534213</v>
      </c>
      <c r="P203" s="9">
        <f t="shared" si="344"/>
        <v>5170.8967851099833</v>
      </c>
      <c r="Q203" s="9">
        <f t="shared" si="344"/>
        <v>5243.8247011952189</v>
      </c>
      <c r="R203" s="9">
        <f t="shared" si="344"/>
        <v>5284.1698841698844</v>
      </c>
      <c r="S203" s="9">
        <f t="shared" si="344"/>
        <v>5306.0909791827289</v>
      </c>
      <c r="T203" s="9">
        <f t="shared" si="344"/>
        <v>5371.9611021069686</v>
      </c>
      <c r="U203" s="9">
        <f t="shared" si="344"/>
        <v>5397.6411120471776</v>
      </c>
      <c r="V203" s="9">
        <f t="shared" si="344"/>
        <v>5433.9788732394363</v>
      </c>
      <c r="W203" s="9">
        <f t="shared" si="344"/>
        <v>5473.7793851717897</v>
      </c>
      <c r="X203" s="9">
        <f t="shared" si="344"/>
        <v>5676.0426770126087</v>
      </c>
      <c r="Y203" s="9">
        <f t="shared" si="344"/>
        <v>5884.9372384937242</v>
      </c>
      <c r="Z203" s="9">
        <f t="shared" si="344"/>
        <v>6095.0226244343894</v>
      </c>
      <c r="AA203" s="9">
        <f t="shared" si="344"/>
        <v>6744.279946164198</v>
      </c>
      <c r="AB203" s="9">
        <f t="shared" si="344"/>
        <v>6851.0638297872338</v>
      </c>
      <c r="AC203" s="9">
        <f t="shared" si="344"/>
        <v>6787.2212692967414</v>
      </c>
      <c r="AD203" s="9">
        <f t="shared" ref="AD203:AI203" si="345">AD194/AD183*1000000</f>
        <v>6870.1160541586078</v>
      </c>
      <c r="AE203" s="9">
        <f t="shared" si="345"/>
        <v>7137.2527472527481</v>
      </c>
      <c r="AF203" s="9">
        <f t="shared" si="345"/>
        <v>7509.2875318066172</v>
      </c>
      <c r="AG203" s="9">
        <f t="shared" si="345"/>
        <v>8020.6948640483379</v>
      </c>
      <c r="AH203" s="9">
        <f t="shared" si="345"/>
        <v>8767.8438661710043</v>
      </c>
      <c r="AI203" s="9">
        <f t="shared" si="345"/>
        <v>9962.5603864734276</v>
      </c>
      <c r="AJ203" s="461">
        <f>AJ194/AJ183*1000000</f>
        <v>12178.965517241379</v>
      </c>
      <c r="AK203" s="9">
        <f>AK194/AK183*1000000</f>
        <v>17706.626506024095</v>
      </c>
      <c r="AL203" s="9"/>
      <c r="AM203" s="9"/>
      <c r="AN203" s="9"/>
      <c r="AO203" s="9"/>
      <c r="AP203" s="9"/>
      <c r="AQ203" s="9"/>
      <c r="AR203" s="9"/>
      <c r="AS203" s="103"/>
      <c r="AT203" s="98"/>
      <c r="AU203" s="98"/>
      <c r="AV203" s="56"/>
      <c r="AW203" s="104"/>
      <c r="AX203" s="2"/>
      <c r="AY203" s="2"/>
      <c r="AZ203" s="2"/>
      <c r="BA203" s="2"/>
      <c r="BB203" s="2"/>
      <c r="BC203" s="2"/>
      <c r="BD203" s="2"/>
      <c r="BE203" s="2"/>
      <c r="BF203" s="2"/>
      <c r="BG203" s="2"/>
      <c r="BH203" s="2"/>
      <c r="BI203" s="2"/>
      <c r="BJ203" s="2"/>
      <c r="BK203" s="2"/>
      <c r="BL203" s="2"/>
    </row>
    <row r="204" spans="1:64" hidden="1" outlineLevel="1">
      <c r="A204" s="213" t="s">
        <v>1085</v>
      </c>
      <c r="B204" s="13"/>
      <c r="C204" s="13"/>
      <c r="D204" s="13"/>
      <c r="E204" s="13"/>
      <c r="F204" s="13"/>
      <c r="G204" s="13"/>
      <c r="H204" s="13"/>
      <c r="I204" s="13"/>
      <c r="J204" s="13"/>
      <c r="K204" s="13"/>
      <c r="L204" s="13"/>
      <c r="M204" s="13">
        <f t="shared" ref="M204:AK204" si="346">+M203/L203-1</f>
        <v>0.18399835693981936</v>
      </c>
      <c r="N204" s="13">
        <f t="shared" si="346"/>
        <v>0.107244543409446</v>
      </c>
      <c r="O204" s="13">
        <f t="shared" si="346"/>
        <v>6.2072551293844702E-2</v>
      </c>
      <c r="P204" s="13">
        <f t="shared" si="346"/>
        <v>3.8852733894248148E-2</v>
      </c>
      <c r="Q204" s="13">
        <f t="shared" si="346"/>
        <v>1.4103533509939314E-2</v>
      </c>
      <c r="R204" s="13">
        <f t="shared" si="346"/>
        <v>7.6938466241005532E-3</v>
      </c>
      <c r="S204" s="13">
        <f t="shared" si="346"/>
        <v>4.1484463015686313E-3</v>
      </c>
      <c r="T204" s="13">
        <f t="shared" si="346"/>
        <v>1.2414058330825206E-2</v>
      </c>
      <c r="U204" s="13">
        <f t="shared" si="346"/>
        <v>4.7803789811762254E-3</v>
      </c>
      <c r="V204" s="13">
        <f t="shared" si="346"/>
        <v>6.7321558506650003E-3</v>
      </c>
      <c r="W204" s="13">
        <f t="shared" si="346"/>
        <v>7.3243773781230814E-3</v>
      </c>
      <c r="X204" s="13">
        <f t="shared" si="346"/>
        <v>3.6951305050536121E-2</v>
      </c>
      <c r="Y204" s="13">
        <f t="shared" si="346"/>
        <v>3.6802852509745465E-2</v>
      </c>
      <c r="Z204" s="13">
        <f t="shared" si="346"/>
        <v>3.5698832022622806E-2</v>
      </c>
      <c r="AA204" s="13">
        <f t="shared" si="346"/>
        <v>0.10652254499056246</v>
      </c>
      <c r="AB204" s="13">
        <f t="shared" si="346"/>
        <v>1.5833251952088512E-2</v>
      </c>
      <c r="AC204" s="13">
        <f t="shared" si="346"/>
        <v>-9.318634605755105E-3</v>
      </c>
      <c r="AD204" s="13">
        <f t="shared" si="346"/>
        <v>1.2213361193461614E-2</v>
      </c>
      <c r="AE204" s="13">
        <f t="shared" si="346"/>
        <v>3.8883869062508403E-2</v>
      </c>
      <c r="AF204" s="13">
        <f t="shared" si="346"/>
        <v>5.2125768517455429E-2</v>
      </c>
      <c r="AG204" s="13">
        <f t="shared" si="346"/>
        <v>6.8103309411922774E-2</v>
      </c>
      <c r="AH204" s="13">
        <f t="shared" si="346"/>
        <v>9.3152652580221984E-2</v>
      </c>
      <c r="AI204" s="13">
        <f t="shared" si="346"/>
        <v>0.13626115365854097</v>
      </c>
      <c r="AJ204" s="15">
        <f t="shared" si="346"/>
        <v>0.22247344505708133</v>
      </c>
      <c r="AK204" s="13">
        <f t="shared" si="346"/>
        <v>0.453869499914207</v>
      </c>
      <c r="AL204" s="13"/>
      <c r="AM204" s="13"/>
      <c r="AN204" s="13"/>
      <c r="AO204" s="13"/>
      <c r="AP204" s="13"/>
      <c r="AQ204" s="13"/>
      <c r="AR204" s="13"/>
      <c r="AS204" s="101"/>
      <c r="AT204" s="57"/>
      <c r="AU204" s="57"/>
      <c r="AV204" s="56"/>
      <c r="AW204" s="100"/>
      <c r="AX204" s="2"/>
      <c r="AY204" s="2"/>
      <c r="AZ204" s="2"/>
      <c r="BA204" s="2"/>
      <c r="BB204" s="2"/>
      <c r="BC204" s="2"/>
      <c r="BD204" s="2"/>
      <c r="BE204" s="2"/>
      <c r="BF204" s="2"/>
      <c r="BG204" s="2"/>
      <c r="BH204" s="2"/>
      <c r="BI204" s="2"/>
      <c r="BJ204" s="2"/>
      <c r="BK204" s="2"/>
      <c r="BL204" s="2"/>
    </row>
    <row r="205" spans="1:64" hidden="1" outlineLevel="1">
      <c r="A205" s="347" t="str">
        <f>+A196</f>
        <v>Express Women</v>
      </c>
      <c r="B205" s="13"/>
      <c r="C205" s="13"/>
      <c r="D205" s="13"/>
      <c r="E205" s="13"/>
      <c r="F205" s="13"/>
      <c r="G205" s="13"/>
      <c r="H205" s="13"/>
      <c r="I205" s="13"/>
      <c r="J205" s="13"/>
      <c r="K205" s="13"/>
      <c r="L205" s="9">
        <f t="shared" ref="L205:AC205" si="347">L196/L184*1000000</f>
        <v>3918.0327868852455</v>
      </c>
      <c r="M205" s="9">
        <f t="shared" si="347"/>
        <v>4788.8707037643208</v>
      </c>
      <c r="N205" s="9">
        <f t="shared" si="347"/>
        <v>5421.8750000000009</v>
      </c>
      <c r="O205" s="9">
        <f t="shared" si="347"/>
        <v>5797.9197622585443</v>
      </c>
      <c r="P205" s="9">
        <f t="shared" si="347"/>
        <v>6085.1955307262569</v>
      </c>
      <c r="Q205" s="9">
        <f t="shared" si="347"/>
        <v>6225.2374491180462</v>
      </c>
      <c r="R205" s="9">
        <f t="shared" si="347"/>
        <v>6276.2284196547143</v>
      </c>
      <c r="S205" s="9">
        <f t="shared" si="347"/>
        <v>6293.4926958831338</v>
      </c>
      <c r="T205" s="9">
        <f t="shared" si="347"/>
        <v>6425.9259259259261</v>
      </c>
      <c r="U205" s="9">
        <f t="shared" si="347"/>
        <v>6437.5000000000009</v>
      </c>
      <c r="V205" s="9">
        <f t="shared" si="347"/>
        <v>6428.7856071964015</v>
      </c>
      <c r="W205" s="9">
        <f t="shared" si="347"/>
        <v>6416.7916041979015</v>
      </c>
      <c r="X205" s="9">
        <f t="shared" si="347"/>
        <v>6293.2692307692305</v>
      </c>
      <c r="Y205" s="461">
        <f t="shared" si="347"/>
        <v>6233.0960854092527</v>
      </c>
      <c r="Z205" s="461">
        <f t="shared" si="347"/>
        <v>6170.9401709401709</v>
      </c>
      <c r="AA205" s="461">
        <f t="shared" si="347"/>
        <v>6064.2201834862399</v>
      </c>
      <c r="AB205" s="461">
        <f t="shared" si="347"/>
        <v>5897.4358974358984</v>
      </c>
      <c r="AC205" s="461">
        <f t="shared" si="347"/>
        <v>5273.3333333333403</v>
      </c>
      <c r="AD205" s="461">
        <f t="shared" ref="AD205:AI205" si="348">AD196/AD184*1000000</f>
        <v>4754.0540540540669</v>
      </c>
      <c r="AE205" s="461">
        <f t="shared" si="348"/>
        <v>-32000.00000000163</v>
      </c>
      <c r="AF205" s="461">
        <f t="shared" si="348"/>
        <v>6622.8571428571267</v>
      </c>
      <c r="AG205" s="461">
        <f t="shared" si="348"/>
        <v>6078.8732394366125</v>
      </c>
      <c r="AH205" s="461">
        <f t="shared" si="348"/>
        <v>5900.9345794392475</v>
      </c>
      <c r="AI205" s="461">
        <f t="shared" si="348"/>
        <v>5812.5874125874097</v>
      </c>
      <c r="AJ205" s="461">
        <f>AJ196/AJ184*1000000</f>
        <v>5759.7765363128465</v>
      </c>
      <c r="AK205" s="461">
        <f>AK196/AK184*1000000</f>
        <v>5724.6511627906957</v>
      </c>
      <c r="AL205" s="461"/>
      <c r="AM205" s="461"/>
      <c r="AN205" s="461"/>
      <c r="AO205" s="461"/>
      <c r="AP205" s="461"/>
      <c r="AQ205" s="461"/>
      <c r="AR205" s="461"/>
      <c r="AS205" s="101"/>
      <c r="AT205" s="57"/>
      <c r="AU205" s="57"/>
      <c r="AV205" s="56"/>
      <c r="AW205" s="100"/>
      <c r="AX205" s="2"/>
      <c r="AY205" s="2"/>
      <c r="AZ205" s="2"/>
      <c r="BA205" s="2"/>
      <c r="BB205" s="2"/>
      <c r="BC205" s="2"/>
      <c r="BD205" s="2"/>
      <c r="BE205" s="2"/>
      <c r="BF205" s="2"/>
      <c r="BG205" s="2"/>
      <c r="BH205" s="2"/>
      <c r="BI205" s="2"/>
      <c r="BJ205" s="2"/>
      <c r="BK205" s="2"/>
      <c r="BL205" s="2"/>
    </row>
    <row r="206" spans="1:64" hidden="1" outlineLevel="1">
      <c r="A206" s="347" t="str">
        <f>+A198</f>
        <v>Express Men</v>
      </c>
      <c r="B206" s="13"/>
      <c r="C206" s="13"/>
      <c r="D206" s="13"/>
      <c r="E206" s="13"/>
      <c r="F206" s="13"/>
      <c r="G206" s="13"/>
      <c r="H206" s="13"/>
      <c r="I206" s="13"/>
      <c r="J206" s="13"/>
      <c r="K206" s="13"/>
      <c r="L206" s="9">
        <f t="shared" ref="L206:AC206" si="349">L198/L185*1000000</f>
        <v>2335.5263157894738</v>
      </c>
      <c r="M206" s="9">
        <f t="shared" si="349"/>
        <v>2816.666666666667</v>
      </c>
      <c r="N206" s="9">
        <f t="shared" si="349"/>
        <v>3260.6060606060605</v>
      </c>
      <c r="O206" s="9">
        <f t="shared" si="349"/>
        <v>3576.1421319796955</v>
      </c>
      <c r="P206" s="9">
        <f t="shared" si="349"/>
        <v>3766.094420600858</v>
      </c>
      <c r="Q206" s="9">
        <f t="shared" si="349"/>
        <v>3847.4903474903476</v>
      </c>
      <c r="R206" s="9">
        <f t="shared" si="349"/>
        <v>3905.9040590405907</v>
      </c>
      <c r="S206" s="9">
        <f t="shared" si="349"/>
        <v>3939.3382352941171</v>
      </c>
      <c r="T206" s="9">
        <f t="shared" si="349"/>
        <v>3981.2030075187963</v>
      </c>
      <c r="U206" s="9">
        <f t="shared" si="349"/>
        <v>3963.9278557114226</v>
      </c>
      <c r="V206" s="9">
        <f t="shared" si="349"/>
        <v>4019.1897654584227</v>
      </c>
      <c r="W206" s="9">
        <f t="shared" si="349"/>
        <v>4041.0022779043284</v>
      </c>
      <c r="X206" s="9">
        <f t="shared" si="349"/>
        <v>4072.6256983240228</v>
      </c>
      <c r="Y206" s="9">
        <f t="shared" si="349"/>
        <v>4065.5172413793107</v>
      </c>
      <c r="Z206" s="9">
        <f t="shared" si="349"/>
        <v>4053.8116591928256</v>
      </c>
      <c r="AA206" s="9">
        <f t="shared" si="349"/>
        <v>4300.8849557522126</v>
      </c>
      <c r="AB206" s="9">
        <f t="shared" si="349"/>
        <v>4130.4347826086951</v>
      </c>
      <c r="AC206" s="9">
        <f t="shared" si="349"/>
        <v>3869.2307692307686</v>
      </c>
      <c r="AD206" s="9">
        <f t="shared" ref="AD206:AI206" si="350">AD198/AD185*1000000</f>
        <v>99.999999999995921</v>
      </c>
      <c r="AE206" s="9">
        <f t="shared" si="350"/>
        <v>4841.9354838709678</v>
      </c>
      <c r="AF206" s="9">
        <f t="shared" si="350"/>
        <v>4554.545454545454</v>
      </c>
      <c r="AG206" s="9">
        <f t="shared" si="350"/>
        <v>4466.3366336633662</v>
      </c>
      <c r="AH206" s="9">
        <f t="shared" si="350"/>
        <v>4423.5294117647054</v>
      </c>
      <c r="AI206" s="9">
        <f t="shared" si="350"/>
        <v>4398.2456140350869</v>
      </c>
      <c r="AJ206" s="461">
        <f>AJ198/AJ185*1000000</f>
        <v>4381.5533980582522</v>
      </c>
      <c r="AK206" s="9">
        <f>AK198/AK185*1000000</f>
        <v>4369.7095435684651</v>
      </c>
      <c r="AL206" s="9"/>
      <c r="AM206" s="9"/>
      <c r="AN206" s="9"/>
      <c r="AO206" s="9"/>
      <c r="AP206" s="9"/>
      <c r="AQ206" s="9"/>
      <c r="AR206" s="9"/>
      <c r="AS206" s="101"/>
      <c r="AT206" s="57"/>
      <c r="AU206" s="57"/>
      <c r="AV206" s="56"/>
      <c r="AW206" s="100"/>
      <c r="AX206" s="2"/>
      <c r="AY206" s="2"/>
      <c r="AZ206" s="2"/>
      <c r="BA206" s="2"/>
      <c r="BB206" s="2"/>
      <c r="BC206" s="2"/>
      <c r="BD206" s="2"/>
      <c r="BE206" s="2"/>
      <c r="BF206" s="2"/>
      <c r="BG206" s="2"/>
      <c r="BH206" s="2"/>
      <c r="BI206" s="2"/>
      <c r="BJ206" s="2"/>
      <c r="BK206" s="2"/>
      <c r="BL206" s="2"/>
    </row>
    <row r="207" spans="1:64" hidden="1" outlineLevel="1">
      <c r="A207" s="347" t="str">
        <f>+A200</f>
        <v>Express Dual Gender</v>
      </c>
      <c r="B207" s="13"/>
      <c r="C207" s="13"/>
      <c r="D207" s="13"/>
      <c r="E207" s="13"/>
      <c r="F207" s="13"/>
      <c r="G207" s="13"/>
      <c r="H207" s="13"/>
      <c r="I207" s="13"/>
      <c r="J207" s="13"/>
      <c r="K207" s="13"/>
      <c r="L207" s="13"/>
      <c r="M207" s="13"/>
      <c r="N207" s="13"/>
      <c r="O207" s="13"/>
      <c r="P207" s="13"/>
      <c r="Q207" s="13"/>
      <c r="R207" s="13"/>
      <c r="S207" s="13"/>
      <c r="T207" s="13"/>
      <c r="U207" s="13"/>
      <c r="V207" s="9"/>
      <c r="W207" s="9"/>
      <c r="X207" s="9">
        <f t="shared" ref="X207:AC207" si="351">X200/X186*1000000</f>
        <v>9530.6122448979604</v>
      </c>
      <c r="Y207" s="9">
        <f t="shared" si="351"/>
        <v>9076.9230769230762</v>
      </c>
      <c r="Z207" s="9">
        <f t="shared" si="351"/>
        <v>8290.1554404145081</v>
      </c>
      <c r="AA207" s="9">
        <f t="shared" si="351"/>
        <v>8376.2376237623757</v>
      </c>
      <c r="AB207" s="9">
        <f t="shared" si="351"/>
        <v>7799.4923857868016</v>
      </c>
      <c r="AC207" s="9">
        <f t="shared" si="351"/>
        <v>7271.9616204690838</v>
      </c>
      <c r="AD207" s="9">
        <f t="shared" ref="AD207:AI207" si="352">AD200/AD186*1000000</f>
        <v>7253.2563025210084</v>
      </c>
      <c r="AE207" s="9">
        <f t="shared" si="352"/>
        <v>7229.9999999999991</v>
      </c>
      <c r="AF207" s="9">
        <f t="shared" si="352"/>
        <v>7207.5910931174085</v>
      </c>
      <c r="AG207" s="9">
        <f t="shared" si="352"/>
        <v>7185.9840954274341</v>
      </c>
      <c r="AH207" s="9">
        <f t="shared" si="352"/>
        <v>7165.1367187499991</v>
      </c>
      <c r="AI207" s="9">
        <f t="shared" si="352"/>
        <v>7145.0095969289814</v>
      </c>
      <c r="AJ207" s="461">
        <f>AJ200/AJ186*1000000</f>
        <v>7125.5660377358472</v>
      </c>
      <c r="AK207" s="9">
        <f>AK200/AK186*1000000</f>
        <v>7106.7717996289402</v>
      </c>
      <c r="AL207" s="9"/>
      <c r="AM207" s="9"/>
      <c r="AN207" s="9"/>
      <c r="AO207" s="9"/>
      <c r="AP207" s="9"/>
      <c r="AQ207" s="9"/>
      <c r="AR207" s="9"/>
      <c r="AS207" s="101"/>
      <c r="AT207" s="57"/>
      <c r="AU207" s="57"/>
      <c r="AV207" s="56"/>
      <c r="AW207" s="100"/>
      <c r="AX207" s="2"/>
      <c r="AY207" s="2"/>
      <c r="AZ207" s="2"/>
      <c r="BA207" s="2"/>
      <c r="BB207" s="2"/>
      <c r="BC207" s="2"/>
      <c r="BD207" s="2"/>
      <c r="BE207" s="2"/>
      <c r="BF207" s="2"/>
      <c r="BG207" s="2"/>
      <c r="BH207" s="2"/>
      <c r="BI207" s="2"/>
      <c r="BJ207" s="2"/>
      <c r="BK207" s="2"/>
      <c r="BL207" s="2"/>
    </row>
    <row r="208" spans="1:64" hidden="1" outlineLevel="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14"/>
      <c r="AK208" s="2"/>
      <c r="AL208" s="2"/>
      <c r="AM208" s="2"/>
      <c r="AN208" s="2"/>
      <c r="AO208" s="2"/>
      <c r="AP208" s="2"/>
      <c r="AQ208" s="2"/>
      <c r="AR208" s="2"/>
      <c r="AS208" s="101"/>
      <c r="AT208" s="57"/>
      <c r="AU208" s="57"/>
      <c r="AV208" s="56"/>
      <c r="AW208" s="100"/>
      <c r="AX208" s="2"/>
      <c r="AY208" s="2"/>
      <c r="AZ208" s="2"/>
      <c r="BA208" s="2"/>
      <c r="BB208" s="2"/>
      <c r="BC208" s="2"/>
      <c r="BD208" s="2"/>
      <c r="BE208" s="2"/>
      <c r="BF208" s="2"/>
      <c r="BG208" s="2"/>
      <c r="BH208" s="2"/>
      <c r="BI208" s="2"/>
      <c r="BJ208" s="2"/>
      <c r="BK208" s="2"/>
      <c r="BL208" s="2"/>
    </row>
    <row r="209" spans="1:64" hidden="1" outlineLevel="1">
      <c r="A209" s="213" t="s">
        <v>324</v>
      </c>
      <c r="B209" s="6"/>
      <c r="C209" s="6"/>
      <c r="D209" s="6"/>
      <c r="E209" s="6"/>
      <c r="F209" s="6"/>
      <c r="G209" s="6"/>
      <c r="H209" s="6"/>
      <c r="I209" s="6"/>
      <c r="J209" s="6"/>
      <c r="K209" s="6"/>
      <c r="L209" s="6"/>
      <c r="M209" s="6"/>
      <c r="N209" s="6">
        <f t="shared" ref="N209:AC209" si="353">+N159/N191</f>
        <v>400.09818360333827</v>
      </c>
      <c r="O209" s="6">
        <f t="shared" si="353"/>
        <v>379.62869027087351</v>
      </c>
      <c r="P209" s="6">
        <f t="shared" si="353"/>
        <v>340.0157576818699</v>
      </c>
      <c r="Q209" s="6">
        <f t="shared" si="353"/>
        <v>318.44323642952804</v>
      </c>
      <c r="R209" s="6">
        <f t="shared" si="353"/>
        <v>304.82717520858165</v>
      </c>
      <c r="S209" s="6">
        <f t="shared" si="353"/>
        <v>269.43533697632057</v>
      </c>
      <c r="T209" s="6">
        <f t="shared" si="353"/>
        <v>291.02213011620165</v>
      </c>
      <c r="U209" s="6">
        <f t="shared" si="353"/>
        <v>302.78122123350721</v>
      </c>
      <c r="V209" s="6">
        <f t="shared" si="353"/>
        <v>343.99300476947536</v>
      </c>
      <c r="W209" s="6">
        <f t="shared" si="353"/>
        <v>334.34202993375317</v>
      </c>
      <c r="X209" s="6">
        <f t="shared" si="353"/>
        <v>348.22778431043173</v>
      </c>
      <c r="Y209" s="6">
        <f>+Y159/Y191</f>
        <v>360.89911134343959</v>
      </c>
      <c r="Z209" s="6">
        <f t="shared" si="353"/>
        <v>347.34864717632109</v>
      </c>
      <c r="AA209" s="6">
        <f t="shared" si="353"/>
        <v>345.0308683527262</v>
      </c>
      <c r="AB209" s="6">
        <f t="shared" si="353"/>
        <v>367.43355394474219</v>
      </c>
      <c r="AC209" s="6">
        <f t="shared" si="353"/>
        <v>396.50884637333314</v>
      </c>
      <c r="AD209" s="6">
        <f t="shared" ref="AD209:AI209" si="354">+AD159/AD191</f>
        <v>487.68247780492544</v>
      </c>
      <c r="AE209" s="6">
        <f t="shared" si="354"/>
        <v>547.94587577080824</v>
      </c>
      <c r="AF209" s="6">
        <f t="shared" si="354"/>
        <v>611.53508227519524</v>
      </c>
      <c r="AG209" s="6">
        <f t="shared" si="354"/>
        <v>688.00831041934475</v>
      </c>
      <c r="AH209" s="6">
        <f t="shared" si="354"/>
        <v>782.82484540931591</v>
      </c>
      <c r="AI209" s="6">
        <f t="shared" si="354"/>
        <v>903.36734563304503</v>
      </c>
      <c r="AJ209" s="16">
        <f>+AJ159/AJ191</f>
        <v>1025.1852254258044</v>
      </c>
      <c r="AK209" s="6">
        <f>+AK159/AK191</f>
        <v>1234.2707261634835</v>
      </c>
      <c r="AL209" s="6"/>
      <c r="AM209" s="6"/>
      <c r="AN209" s="6"/>
      <c r="AO209" s="6"/>
      <c r="AP209" s="6"/>
      <c r="AQ209" s="6"/>
      <c r="AR209" s="6"/>
      <c r="AS209" s="101"/>
      <c r="AT209" s="56">
        <f>((AE209/X209)^(1/5)-1)*100</f>
        <v>9.4900990332663184</v>
      </c>
      <c r="AU209" s="97" t="s">
        <v>1084</v>
      </c>
      <c r="AV209" s="56">
        <f>((AJ209/AD209)^(1/5)-1)*100</f>
        <v>16.020047078235944</v>
      </c>
      <c r="AW209" s="102" t="s">
        <v>1084</v>
      </c>
      <c r="AX209" s="2"/>
      <c r="AY209" s="2"/>
      <c r="AZ209" s="2"/>
      <c r="BA209" s="2"/>
      <c r="BB209" s="2"/>
      <c r="BC209" s="2"/>
      <c r="BD209" s="2"/>
      <c r="BE209" s="2"/>
      <c r="BF209" s="2"/>
      <c r="BG209" s="2"/>
      <c r="BH209" s="2"/>
      <c r="BI209" s="2"/>
      <c r="BJ209" s="2"/>
      <c r="BK209" s="2"/>
      <c r="BL209" s="2"/>
    </row>
    <row r="210" spans="1:64" hidden="1" outlineLevel="1">
      <c r="A210" s="213" t="s">
        <v>1085</v>
      </c>
      <c r="B210" s="13"/>
      <c r="C210" s="13"/>
      <c r="D210" s="13"/>
      <c r="E210" s="13"/>
      <c r="F210" s="13"/>
      <c r="G210" s="13"/>
      <c r="H210" s="13"/>
      <c r="I210" s="13"/>
      <c r="J210" s="13"/>
      <c r="K210" s="13"/>
      <c r="L210" s="13"/>
      <c r="M210" s="13"/>
      <c r="N210" s="13"/>
      <c r="O210" s="13">
        <f t="shared" ref="O210:AK210" si="355">+O209/N209-1</f>
        <v>-5.1161175359792255E-2</v>
      </c>
      <c r="P210" s="13">
        <f t="shared" si="355"/>
        <v>-0.10434651964986863</v>
      </c>
      <c r="Q210" s="13">
        <f t="shared" si="355"/>
        <v>-6.3445651458676866E-2</v>
      </c>
      <c r="R210" s="13">
        <f t="shared" si="355"/>
        <v>-4.2758205115653758E-2</v>
      </c>
      <c r="S210" s="13">
        <f t="shared" si="355"/>
        <v>-0.11610460323310667</v>
      </c>
      <c r="T210" s="13">
        <f t="shared" si="355"/>
        <v>8.0118641385848566E-2</v>
      </c>
      <c r="U210" s="13">
        <f t="shared" si="355"/>
        <v>4.0406174996417965E-2</v>
      </c>
      <c r="V210" s="13">
        <f t="shared" si="355"/>
        <v>0.13611076462428717</v>
      </c>
      <c r="W210" s="13">
        <f t="shared" si="355"/>
        <v>-2.8055729918664229E-2</v>
      </c>
      <c r="X210" s="13">
        <f t="shared" si="355"/>
        <v>4.1531584824767265E-2</v>
      </c>
      <c r="Y210" s="13">
        <f t="shared" si="355"/>
        <v>3.6388041402554583E-2</v>
      </c>
      <c r="Z210" s="13">
        <f t="shared" si="355"/>
        <v>-3.7546404912655928E-2</v>
      </c>
      <c r="AA210" s="13">
        <f t="shared" si="355"/>
        <v>-6.6727734293386964E-3</v>
      </c>
      <c r="AB210" s="13">
        <f t="shared" si="355"/>
        <v>6.4929511086856184E-2</v>
      </c>
      <c r="AC210" s="13">
        <f t="shared" si="355"/>
        <v>7.91307492645692E-2</v>
      </c>
      <c r="AD210" s="13">
        <f t="shared" si="355"/>
        <v>0.22994097676637382</v>
      </c>
      <c r="AE210" s="13">
        <f t="shared" si="355"/>
        <v>0.12357097232020786</v>
      </c>
      <c r="AF210" s="13">
        <f t="shared" si="355"/>
        <v>0.11605015990846645</v>
      </c>
      <c r="AG210" s="13">
        <f t="shared" si="355"/>
        <v>0.12505125275827766</v>
      </c>
      <c r="AH210" s="13">
        <f t="shared" si="355"/>
        <v>0.1378130664325552</v>
      </c>
      <c r="AI210" s="13">
        <f t="shared" si="355"/>
        <v>0.15398399901411031</v>
      </c>
      <c r="AJ210" s="15">
        <f t="shared" si="355"/>
        <v>0.13484866414713514</v>
      </c>
      <c r="AK210" s="13">
        <f t="shared" si="355"/>
        <v>0.20394899921703091</v>
      </c>
      <c r="AL210" s="13"/>
      <c r="AM210" s="13"/>
      <c r="AN210" s="13"/>
      <c r="AO210" s="13"/>
      <c r="AP210" s="13"/>
      <c r="AQ210" s="13"/>
      <c r="AR210" s="13"/>
      <c r="AS210" s="101"/>
      <c r="AT210" s="57"/>
      <c r="AU210" s="57"/>
      <c r="AV210" s="56"/>
      <c r="AW210" s="100"/>
      <c r="AX210" s="2"/>
      <c r="AY210" s="2"/>
      <c r="AZ210" s="2"/>
      <c r="BA210" s="2"/>
      <c r="BB210" s="2"/>
      <c r="BC210" s="2"/>
      <c r="BD210" s="2"/>
      <c r="BE210" s="2"/>
      <c r="BF210" s="2"/>
      <c r="BG210" s="2"/>
      <c r="BH210" s="2"/>
      <c r="BI210" s="2"/>
      <c r="BJ210" s="2"/>
      <c r="BK210" s="2"/>
      <c r="BL210" s="2"/>
    </row>
    <row r="211" spans="1:64" hidden="1" outlineLevel="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14"/>
      <c r="AK211" s="2"/>
      <c r="AL211" s="2"/>
      <c r="AM211" s="2"/>
      <c r="AN211" s="2"/>
      <c r="AO211" s="2"/>
      <c r="AP211" s="2"/>
      <c r="AQ211" s="2"/>
      <c r="AR211" s="2"/>
      <c r="AS211" s="101"/>
      <c r="AT211" s="57"/>
      <c r="AU211" s="57"/>
      <c r="AV211" s="56"/>
      <c r="AW211" s="100"/>
      <c r="AX211" s="2"/>
      <c r="AY211" s="2"/>
      <c r="AZ211" s="2"/>
      <c r="BA211" s="2"/>
      <c r="BB211" s="2"/>
      <c r="BC211" s="2"/>
      <c r="BD211" s="2"/>
      <c r="BE211" s="2"/>
      <c r="BF211" s="2"/>
      <c r="BG211" s="2"/>
      <c r="BH211" s="2"/>
      <c r="BI211" s="2"/>
      <c r="BJ211" s="2"/>
      <c r="BK211" s="2"/>
      <c r="BL211" s="2"/>
    </row>
    <row r="212" spans="1:64" hidden="1" outlineLevel="1">
      <c r="A212" s="213" t="s">
        <v>823</v>
      </c>
      <c r="B212" s="15"/>
      <c r="C212" s="15"/>
      <c r="D212" s="15"/>
      <c r="E212" s="15"/>
      <c r="F212" s="15"/>
      <c r="G212" s="15"/>
      <c r="H212" s="15"/>
      <c r="I212" s="15"/>
      <c r="J212" s="15"/>
      <c r="K212" s="15"/>
      <c r="L212" s="15"/>
      <c r="M212" s="15"/>
      <c r="N212" s="15"/>
      <c r="O212" s="15"/>
      <c r="P212" s="462">
        <f>+segqtrSales!F633/100</f>
        <v>-3.0514159474377616E-2</v>
      </c>
      <c r="Q212" s="462">
        <f>+segqtrSales!F640/100</f>
        <v>-4.8254475451871379E-2</v>
      </c>
      <c r="R212" s="462">
        <f>+segqtrSales!F647/100</f>
        <v>-1.4500000000000006E-2</v>
      </c>
      <c r="S212" s="462">
        <f>+segqtrSales!F654/100</f>
        <v>-0.1073758471360432</v>
      </c>
      <c r="T212" s="462">
        <f>+segqtrSales!F661/100</f>
        <v>8.7999999999999995E-2</v>
      </c>
      <c r="U212" s="462">
        <v>0.05</v>
      </c>
      <c r="V212" s="462">
        <v>0.1</v>
      </c>
      <c r="W212" s="444">
        <v>-0.03</v>
      </c>
      <c r="X212" s="443">
        <v>0.02</v>
      </c>
      <c r="Y212" s="443">
        <v>0</v>
      </c>
      <c r="Z212" s="443">
        <v>-0.08</v>
      </c>
      <c r="AA212" s="462">
        <f>segqtrSales!H710/100</f>
        <v>-2.5649490783887872E-3</v>
      </c>
      <c r="AB212" s="462">
        <f>segqtrSales!F717/100</f>
        <v>-4.4796431838975328E-3</v>
      </c>
      <c r="AC212" s="462">
        <f>segqtrSales!$F$724/100</f>
        <v>4.5540414524823623E-2</v>
      </c>
      <c r="AD212" s="471">
        <v>0.03</v>
      </c>
      <c r="AE212" s="471">
        <v>0.02</v>
      </c>
      <c r="AF212" s="471">
        <v>0.02</v>
      </c>
      <c r="AG212" s="471">
        <v>0.02</v>
      </c>
      <c r="AH212" s="471">
        <v>0.02</v>
      </c>
      <c r="AI212" s="471">
        <v>0.02</v>
      </c>
      <c r="AJ212" s="471">
        <v>0.02</v>
      </c>
      <c r="AK212" s="471">
        <v>0.02</v>
      </c>
      <c r="AL212" s="471"/>
      <c r="AM212" s="471"/>
      <c r="AN212" s="471"/>
      <c r="AO212" s="471"/>
      <c r="AP212" s="471"/>
      <c r="AQ212" s="471"/>
      <c r="AR212" s="471"/>
      <c r="AS212" s="105"/>
      <c r="AT212" s="57"/>
      <c r="AU212" s="57"/>
      <c r="AV212" s="56"/>
      <c r="AW212" s="100"/>
      <c r="AX212" s="2"/>
      <c r="AY212" s="2"/>
      <c r="AZ212" s="2"/>
      <c r="BA212" s="2"/>
      <c r="BB212" s="2"/>
      <c r="BC212" s="2"/>
      <c r="BD212" s="2"/>
      <c r="BE212" s="2"/>
      <c r="BF212" s="2"/>
      <c r="BG212" s="2"/>
      <c r="BH212" s="2"/>
      <c r="BI212" s="2"/>
      <c r="BJ212" s="2"/>
      <c r="BK212" s="2"/>
      <c r="BL212" s="2"/>
    </row>
    <row r="213" spans="1:64" hidden="1" outlineLevel="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14"/>
      <c r="AK213" s="2"/>
      <c r="AL213" s="2"/>
      <c r="AM213" s="2"/>
      <c r="AN213" s="2"/>
      <c r="AO213" s="2"/>
      <c r="AP213" s="2"/>
      <c r="AQ213" s="2"/>
      <c r="AR213" s="2"/>
      <c r="AS213" s="101"/>
      <c r="AT213" s="57"/>
      <c r="AU213" s="57"/>
      <c r="AV213" s="56"/>
      <c r="AW213" s="100"/>
      <c r="AX213" s="2"/>
      <c r="AY213" s="2"/>
      <c r="AZ213" s="2"/>
      <c r="BA213" s="2"/>
      <c r="BB213" s="2"/>
      <c r="BC213" s="2"/>
      <c r="BD213" s="2"/>
      <c r="BE213" s="2"/>
      <c r="BF213" s="2"/>
      <c r="BG213" s="2"/>
      <c r="BH213" s="2"/>
      <c r="BI213" s="2"/>
      <c r="BJ213" s="2"/>
      <c r="BK213" s="2"/>
      <c r="BL213" s="2"/>
    </row>
    <row r="214" spans="1:64" hidden="1" outlineLevel="1">
      <c r="A214" s="2" t="s">
        <v>256</v>
      </c>
      <c r="B214" s="2"/>
      <c r="C214" s="2"/>
      <c r="D214" s="2"/>
      <c r="E214" s="2"/>
      <c r="F214" s="2"/>
      <c r="G214" s="2"/>
      <c r="H214" s="2"/>
      <c r="I214" s="2"/>
      <c r="J214" s="2"/>
      <c r="K214" s="2"/>
      <c r="L214" s="2"/>
      <c r="M214" s="2"/>
      <c r="N214" s="2"/>
      <c r="O214" s="2"/>
      <c r="P214" s="2"/>
      <c r="Q214" s="2"/>
      <c r="R214" s="2"/>
      <c r="S214" s="2"/>
      <c r="T214" s="2"/>
      <c r="U214" s="2"/>
      <c r="V214" s="2"/>
      <c r="W214" s="2"/>
      <c r="X214" s="2"/>
      <c r="Y214" s="2"/>
      <c r="Z214" s="529">
        <f>+'store&amp;sf'!BW286+'store&amp;sf'!CB286+'store&amp;sf'!CG286</f>
        <v>-4.0000000000000001E-3</v>
      </c>
      <c r="AA214" s="529">
        <f>+'store&amp;sf'!BW292+'store&amp;sf'!CB292+'store&amp;sf'!CG292</f>
        <v>4.0000000000000001E-3</v>
      </c>
      <c r="AB214" s="529">
        <f>+'store&amp;sf'!BW298+'store&amp;sf'!CB298+'store&amp;sf'!CG298</f>
        <v>4.0000000000000001E-3</v>
      </c>
      <c r="AC214" s="529">
        <f>+'store&amp;sf'!BW304+'store&amp;sf'!CB304+'store&amp;sf'!CG304</f>
        <v>-7.6999999999999999E-2</v>
      </c>
      <c r="AD214" s="594">
        <f t="shared" ref="AD214:AI214" si="356">+AC214</f>
        <v>-7.6999999999999999E-2</v>
      </c>
      <c r="AE214" s="594">
        <f t="shared" si="356"/>
        <v>-7.6999999999999999E-2</v>
      </c>
      <c r="AF214" s="594">
        <f t="shared" si="356"/>
        <v>-7.6999999999999999E-2</v>
      </c>
      <c r="AG214" s="594">
        <f t="shared" si="356"/>
        <v>-7.6999999999999999E-2</v>
      </c>
      <c r="AH214" s="594">
        <f t="shared" si="356"/>
        <v>-7.6999999999999999E-2</v>
      </c>
      <c r="AI214" s="594">
        <f t="shared" si="356"/>
        <v>-7.6999999999999999E-2</v>
      </c>
      <c r="AJ214" s="1173">
        <f>+AI214</f>
        <v>-7.6999999999999999E-2</v>
      </c>
      <c r="AK214" s="594">
        <f>+AJ214</f>
        <v>-7.6999999999999999E-2</v>
      </c>
      <c r="AL214" s="594"/>
      <c r="AM214" s="594"/>
      <c r="AN214" s="594"/>
      <c r="AO214" s="594"/>
      <c r="AP214" s="594"/>
      <c r="AQ214" s="594"/>
      <c r="AR214" s="594"/>
      <c r="AS214" s="101"/>
      <c r="AT214" s="57"/>
      <c r="AU214" s="57"/>
      <c r="AV214" s="56"/>
      <c r="AW214" s="100"/>
      <c r="AX214" s="2"/>
      <c r="AY214" s="2"/>
      <c r="AZ214" s="2"/>
      <c r="BA214" s="2"/>
      <c r="BB214" s="2"/>
      <c r="BC214" s="2"/>
      <c r="BD214" s="2"/>
      <c r="BE214" s="2"/>
      <c r="BF214" s="2"/>
      <c r="BG214" s="2"/>
      <c r="BH214" s="2"/>
      <c r="BI214" s="2"/>
      <c r="BJ214" s="2"/>
      <c r="BK214" s="2"/>
      <c r="BL214" s="2"/>
    </row>
    <row r="215" spans="1:64" hidden="1" outlineLevel="1">
      <c r="A215" s="213" t="s">
        <v>227</v>
      </c>
      <c r="B215" s="9"/>
      <c r="C215" s="9"/>
      <c r="D215" s="9"/>
      <c r="E215" s="9"/>
      <c r="F215" s="9"/>
      <c r="G215" s="9"/>
      <c r="H215" s="9"/>
      <c r="I215" s="9"/>
      <c r="J215" s="9"/>
      <c r="K215" s="9"/>
      <c r="L215" s="9"/>
      <c r="M215" s="9"/>
      <c r="N215" s="9"/>
      <c r="O215" s="9"/>
      <c r="P215" s="9"/>
      <c r="Q215" s="9"/>
      <c r="R215" s="9"/>
      <c r="S215" s="9"/>
      <c r="T215" s="9"/>
      <c r="U215" s="9"/>
      <c r="V215" s="9"/>
      <c r="W215" s="9"/>
      <c r="X215" s="9"/>
      <c r="Y215" s="9"/>
      <c r="Z215" s="507"/>
      <c r="AA215" s="9"/>
      <c r="AB215" s="9"/>
      <c r="AC215" s="9"/>
      <c r="AD215" s="9"/>
      <c r="AE215" s="9"/>
      <c r="AF215" s="9"/>
      <c r="AG215" s="9"/>
      <c r="AH215" s="9"/>
      <c r="AI215" s="9"/>
      <c r="AJ215" s="461"/>
      <c r="AK215" s="9"/>
      <c r="AL215" s="9"/>
      <c r="AM215" s="9"/>
      <c r="AN215" s="9"/>
      <c r="AO215" s="9"/>
      <c r="AP215" s="9"/>
      <c r="AQ215" s="9"/>
      <c r="AR215" s="9"/>
      <c r="AS215" s="103"/>
      <c r="AT215" s="98"/>
      <c r="AU215" s="98"/>
      <c r="AV215" s="56"/>
      <c r="AW215" s="104"/>
      <c r="AX215" s="2"/>
      <c r="AY215" s="2"/>
      <c r="AZ215" s="2"/>
      <c r="BA215" s="2"/>
      <c r="BB215" s="2"/>
      <c r="BC215" s="2"/>
      <c r="BD215" s="2"/>
      <c r="BE215" s="2"/>
      <c r="BF215" s="2"/>
      <c r="BG215" s="2"/>
      <c r="BH215" s="2"/>
      <c r="BI215" s="2"/>
      <c r="BJ215" s="2"/>
      <c r="BK215" s="2"/>
      <c r="BL215" s="2"/>
    </row>
    <row r="216" spans="1:64" hidden="1" outlineLevel="1">
      <c r="A216" s="347" t="str">
        <f>+A205</f>
        <v>Express Women</v>
      </c>
      <c r="B216" s="2"/>
      <c r="C216" s="2"/>
      <c r="D216" s="2"/>
      <c r="E216" s="2"/>
      <c r="F216" s="2"/>
      <c r="G216" s="2"/>
      <c r="H216" s="2"/>
      <c r="I216" s="2"/>
      <c r="J216" s="2"/>
      <c r="K216" s="2"/>
      <c r="L216" s="2"/>
      <c r="M216" s="13"/>
      <c r="N216" s="13"/>
      <c r="O216" s="13"/>
      <c r="P216" s="13"/>
      <c r="Q216" s="13"/>
      <c r="R216" s="13"/>
      <c r="S216" s="13"/>
      <c r="T216" s="13"/>
      <c r="U216" s="13"/>
      <c r="V216" s="13"/>
      <c r="W216" s="13"/>
      <c r="X216" s="13"/>
      <c r="Y216" s="50">
        <v>5000</v>
      </c>
      <c r="Z216" s="50">
        <v>5000</v>
      </c>
      <c r="AA216" s="50">
        <v>5000</v>
      </c>
      <c r="AB216" s="50">
        <v>5000</v>
      </c>
      <c r="AC216" s="50">
        <v>3500</v>
      </c>
      <c r="AD216" s="50">
        <v>5700</v>
      </c>
      <c r="AE216" s="50">
        <v>5700</v>
      </c>
      <c r="AF216" s="50">
        <v>5400</v>
      </c>
      <c r="AG216" s="50">
        <v>5400</v>
      </c>
      <c r="AH216" s="50">
        <v>5400</v>
      </c>
      <c r="AI216" s="50">
        <v>5400</v>
      </c>
      <c r="AJ216" s="379">
        <v>5400</v>
      </c>
      <c r="AK216" s="50">
        <v>5400</v>
      </c>
      <c r="AL216" s="50"/>
      <c r="AM216" s="50"/>
      <c r="AN216" s="50"/>
      <c r="AO216" s="50"/>
      <c r="AP216" s="50"/>
      <c r="AQ216" s="50"/>
      <c r="AR216" s="50"/>
      <c r="AS216" s="101"/>
      <c r="AT216" s="57"/>
      <c r="AU216" s="57"/>
      <c r="AV216" s="56"/>
      <c r="AW216" s="100"/>
      <c r="AX216" s="2"/>
      <c r="AY216" s="2"/>
      <c r="AZ216" s="2"/>
      <c r="BA216" s="2"/>
      <c r="BB216" s="2"/>
      <c r="BC216" s="2"/>
      <c r="BD216" s="2"/>
      <c r="BE216" s="2"/>
      <c r="BF216" s="2"/>
      <c r="BG216" s="2"/>
      <c r="BH216" s="2"/>
      <c r="BI216" s="2"/>
      <c r="BJ216" s="2"/>
      <c r="BK216" s="2"/>
      <c r="BL216" s="2"/>
    </row>
    <row r="217" spans="1:64" hidden="1" outlineLevel="1">
      <c r="A217" s="347" t="str">
        <f>+A206</f>
        <v>Express Men</v>
      </c>
      <c r="B217" s="2"/>
      <c r="C217" s="2"/>
      <c r="D217" s="2"/>
      <c r="E217" s="2"/>
      <c r="F217" s="2"/>
      <c r="G217" s="2"/>
      <c r="H217" s="2"/>
      <c r="I217" s="2"/>
      <c r="J217" s="2"/>
      <c r="K217" s="2"/>
      <c r="L217" s="2"/>
      <c r="M217" s="13"/>
      <c r="N217" s="13"/>
      <c r="O217" s="13"/>
      <c r="P217" s="13"/>
      <c r="Q217" s="13"/>
      <c r="R217" s="13"/>
      <c r="S217" s="13"/>
      <c r="T217" s="13"/>
      <c r="U217" s="13"/>
      <c r="V217" s="13"/>
      <c r="W217" s="13"/>
      <c r="X217" s="13"/>
      <c r="Y217" s="50">
        <v>4100</v>
      </c>
      <c r="Z217" s="50">
        <v>4100</v>
      </c>
      <c r="AA217" s="50">
        <v>4100</v>
      </c>
      <c r="AB217" s="50">
        <v>4100</v>
      </c>
      <c r="AC217" s="50">
        <v>4355</v>
      </c>
      <c r="AD217" s="50">
        <v>4300</v>
      </c>
      <c r="AE217" s="50">
        <v>4300</v>
      </c>
      <c r="AF217" s="50">
        <v>4300</v>
      </c>
      <c r="AG217" s="50">
        <v>4300</v>
      </c>
      <c r="AH217" s="50">
        <v>4300</v>
      </c>
      <c r="AI217" s="50">
        <v>4300</v>
      </c>
      <c r="AJ217" s="379">
        <v>4300</v>
      </c>
      <c r="AK217" s="50">
        <v>4300</v>
      </c>
      <c r="AL217" s="50"/>
      <c r="AM217" s="50"/>
      <c r="AN217" s="50"/>
      <c r="AO217" s="50"/>
      <c r="AP217" s="50"/>
      <c r="AQ217" s="50"/>
      <c r="AR217" s="50"/>
      <c r="AS217" s="101"/>
      <c r="AT217" s="57"/>
      <c r="AU217" s="57"/>
      <c r="AV217" s="659"/>
      <c r="AW217" s="100"/>
      <c r="AX217" s="2"/>
      <c r="AY217" s="2"/>
      <c r="AZ217" s="2"/>
      <c r="BA217" s="2"/>
      <c r="BB217" s="2"/>
      <c r="BC217" s="2"/>
      <c r="BD217" s="2"/>
      <c r="BE217" s="2"/>
      <c r="BF217" s="2"/>
      <c r="BG217" s="2"/>
      <c r="BH217" s="2"/>
      <c r="BI217" s="2"/>
      <c r="BJ217" s="2"/>
      <c r="BK217" s="2"/>
      <c r="BL217" s="2"/>
    </row>
    <row r="218" spans="1:64" hidden="1" outlineLevel="1">
      <c r="A218" s="347" t="str">
        <f>+A207</f>
        <v>Express Dual Gender</v>
      </c>
      <c r="B218" s="2"/>
      <c r="C218" s="2"/>
      <c r="D218" s="2"/>
      <c r="E218" s="2"/>
      <c r="F218" s="2"/>
      <c r="G218" s="2"/>
      <c r="H218" s="2"/>
      <c r="I218" s="2"/>
      <c r="J218" s="2"/>
      <c r="K218" s="2"/>
      <c r="L218" s="2"/>
      <c r="M218" s="13"/>
      <c r="N218" s="13"/>
      <c r="O218" s="13"/>
      <c r="P218" s="13"/>
      <c r="Q218" s="13"/>
      <c r="R218" s="13"/>
      <c r="S218" s="13"/>
      <c r="T218" s="13"/>
      <c r="U218" s="13"/>
      <c r="V218" s="13"/>
      <c r="W218" s="13"/>
      <c r="X218" s="13"/>
      <c r="Y218" s="50">
        <v>9500</v>
      </c>
      <c r="Z218" s="50">
        <v>9500</v>
      </c>
      <c r="AA218" s="50">
        <v>9500</v>
      </c>
      <c r="AB218" s="50">
        <v>9500</v>
      </c>
      <c r="AC218" s="50">
        <v>5850</v>
      </c>
      <c r="AD218" s="50">
        <v>6000</v>
      </c>
      <c r="AE218" s="50">
        <v>6000</v>
      </c>
      <c r="AF218" s="50">
        <v>6000</v>
      </c>
      <c r="AG218" s="50">
        <v>6000</v>
      </c>
      <c r="AH218" s="50">
        <v>6000</v>
      </c>
      <c r="AI218" s="50">
        <v>6000</v>
      </c>
      <c r="AJ218" s="379">
        <v>6000</v>
      </c>
      <c r="AK218" s="50">
        <v>6000</v>
      </c>
      <c r="AL218" s="50"/>
      <c r="AM218" s="50"/>
      <c r="AN218" s="50"/>
      <c r="AO218" s="50"/>
      <c r="AP218" s="50"/>
      <c r="AQ218" s="50"/>
      <c r="AR218" s="50"/>
      <c r="AS218" s="101"/>
      <c r="AT218" s="57"/>
      <c r="AU218" s="57"/>
      <c r="AV218" s="56"/>
      <c r="AW218" s="100"/>
      <c r="AX218" s="2"/>
      <c r="AY218" s="2"/>
      <c r="AZ218" s="2"/>
      <c r="BA218" s="2"/>
      <c r="BB218" s="2"/>
      <c r="BC218" s="2"/>
      <c r="BD218" s="2"/>
      <c r="BE218" s="2"/>
      <c r="BF218" s="2"/>
      <c r="BG218" s="2"/>
      <c r="BH218" s="2"/>
      <c r="BI218" s="2"/>
      <c r="BJ218" s="2"/>
      <c r="BK218" s="2"/>
      <c r="BL218" s="2"/>
    </row>
    <row r="219" spans="1:64" hidden="1" outlineLevel="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14"/>
      <c r="AK219" s="2"/>
      <c r="AL219" s="2"/>
      <c r="AM219" s="2"/>
      <c r="AN219" s="2"/>
      <c r="AO219" s="2"/>
      <c r="AP219" s="2"/>
      <c r="AQ219" s="2"/>
      <c r="AR219" s="2"/>
      <c r="AS219" s="101"/>
      <c r="AT219" s="57"/>
      <c r="AU219" s="57"/>
      <c r="AV219" s="56"/>
      <c r="AW219" s="100"/>
      <c r="AX219" s="2"/>
      <c r="AY219" s="2"/>
      <c r="AZ219" s="2"/>
      <c r="BA219" s="2"/>
      <c r="BB219" s="2"/>
      <c r="BC219" s="2"/>
      <c r="BD219" s="2"/>
      <c r="BE219" s="2"/>
      <c r="BF219" s="2"/>
      <c r="BG219" s="2"/>
      <c r="BH219" s="2"/>
      <c r="BI219" s="2"/>
      <c r="BJ219" s="2"/>
      <c r="BK219" s="2"/>
      <c r="BL219" s="2"/>
    </row>
    <row r="220" spans="1:64" hidden="1" outlineLevel="1">
      <c r="A220" s="213" t="s">
        <v>392</v>
      </c>
      <c r="B220" s="180"/>
      <c r="C220" s="180"/>
      <c r="D220" s="180"/>
      <c r="E220" s="180"/>
      <c r="F220" s="180"/>
      <c r="G220" s="180"/>
      <c r="H220" s="180"/>
      <c r="I220" s="180"/>
      <c r="J220" s="180"/>
      <c r="K220" s="180"/>
      <c r="L220" s="180"/>
      <c r="M220" s="180"/>
      <c r="N220" s="180"/>
      <c r="O220" s="180"/>
      <c r="P220" s="180"/>
      <c r="Q220" s="444">
        <f t="shared" ref="Q220:AC220" si="357">(Q160-Q212)/Q192</f>
        <v>0.79991749537144907</v>
      </c>
      <c r="R220" s="444">
        <f t="shared" si="357"/>
        <v>0.46656956843702047</v>
      </c>
      <c r="S220" s="444">
        <f t="shared" si="357"/>
        <v>0.49461027435167459</v>
      </c>
      <c r="T220" s="444">
        <f t="shared" si="357"/>
        <v>1.5855936272700955</v>
      </c>
      <c r="U220" s="444">
        <f t="shared" si="357"/>
        <v>1.3132949531509395</v>
      </c>
      <c r="V220" s="444">
        <f t="shared" si="357"/>
        <v>0.1037863619001409</v>
      </c>
      <c r="W220" s="444">
        <f t="shared" si="357"/>
        <v>0.90265555160200484</v>
      </c>
      <c r="X220" s="444">
        <f t="shared" si="357"/>
        <v>0.22138614042467292</v>
      </c>
      <c r="Y220" s="444">
        <f t="shared" si="357"/>
        <v>2.4154347620272732E-2</v>
      </c>
      <c r="Z220" s="444">
        <f t="shared" si="357"/>
        <v>-8.7723914422427635E-2</v>
      </c>
      <c r="AA220" s="444">
        <f t="shared" si="357"/>
        <v>1.0668940190932008</v>
      </c>
      <c r="AB220" s="444">
        <f t="shared" si="357"/>
        <v>0.24471838010780181</v>
      </c>
      <c r="AC220" s="444">
        <f t="shared" si="357"/>
        <v>0.77578043724176338</v>
      </c>
      <c r="AD220" s="444">
        <f t="shared" ref="AD220:AI220" si="358">(AD160-AD212)/AD192</f>
        <v>-0.54016870401438111</v>
      </c>
      <c r="AE220" s="444">
        <f t="shared" si="358"/>
        <v>2.7455796903750669E-2</v>
      </c>
      <c r="AF220" s="444">
        <f t="shared" si="358"/>
        <v>2.8862125505874227E-2</v>
      </c>
      <c r="AG220" s="444">
        <f t="shared" si="358"/>
        <v>2.6214439819603415E-2</v>
      </c>
      <c r="AH220" s="444">
        <f t="shared" si="358"/>
        <v>2.3300662752328314E-2</v>
      </c>
      <c r="AI220" s="444">
        <f t="shared" si="358"/>
        <v>2.0478462974047464E-2</v>
      </c>
      <c r="AJ220" s="564">
        <f>(AJ160-AJ212)/AJ192</f>
        <v>0.27807685439071522</v>
      </c>
      <c r="AK220" s="444">
        <f>(AK160-AK212)/AK192</f>
        <v>1.5637222634788457E-2</v>
      </c>
      <c r="AL220" s="444"/>
      <c r="AM220" s="444"/>
      <c r="AN220" s="444"/>
      <c r="AO220" s="444"/>
      <c r="AP220" s="444"/>
      <c r="AQ220" s="444"/>
      <c r="AR220" s="444"/>
      <c r="AS220" s="101"/>
      <c r="AT220" s="57"/>
      <c r="AU220" s="57"/>
      <c r="AV220" s="56"/>
      <c r="AW220" s="100"/>
      <c r="AX220" s="2"/>
      <c r="AY220" s="2"/>
      <c r="AZ220" s="2"/>
      <c r="BA220" s="2"/>
      <c r="BB220" s="2"/>
      <c r="BC220" s="2"/>
      <c r="BD220" s="2"/>
      <c r="BE220" s="2"/>
      <c r="BF220" s="2"/>
      <c r="BG220" s="2"/>
      <c r="BH220" s="2"/>
      <c r="BI220" s="2"/>
      <c r="BJ220" s="2"/>
      <c r="BK220" s="2"/>
      <c r="BL220" s="2"/>
    </row>
    <row r="221" spans="1:64" hidden="1" outlineLevel="1">
      <c r="AJ221" s="161"/>
      <c r="AS221" s="538"/>
      <c r="AT221" s="139"/>
      <c r="AU221" s="139"/>
      <c r="AV221" s="139"/>
      <c r="AW221" s="537"/>
    </row>
    <row r="222" spans="1:64" hidden="1" outlineLevel="1">
      <c r="A222" s="14" t="s">
        <v>1107</v>
      </c>
      <c r="B222" s="2"/>
      <c r="C222" s="2"/>
      <c r="D222" s="2"/>
      <c r="E222" s="2"/>
      <c r="F222" s="2"/>
      <c r="G222" s="2"/>
      <c r="H222" s="2"/>
      <c r="I222" s="2"/>
      <c r="J222" s="2"/>
      <c r="K222" s="475">
        <f>+'store&amp;sf'!N378+'store&amp;sf'!P378</f>
        <v>2.1662499999999998</v>
      </c>
      <c r="L222" s="475">
        <f>+'store&amp;sf'!N384+'store&amp;sf'!P384</f>
        <v>3.1324999999999998</v>
      </c>
      <c r="M222" s="475">
        <f>+'store&amp;sf'!N390+'store&amp;sf'!P390</f>
        <v>4.5025000000000004</v>
      </c>
      <c r="N222" s="475">
        <f>+'store&amp;sf'!N396+'store&amp;sf'!P396</f>
        <v>5.6825000000000001</v>
      </c>
      <c r="O222" s="475">
        <f>+'store&amp;sf'!N402+'store&amp;sf'!P402</f>
        <v>6.6387499999999999</v>
      </c>
      <c r="P222" s="475">
        <f>+'store&amp;sf'!N408+'store&amp;sf'!P408</f>
        <v>7.64</v>
      </c>
      <c r="Q222" s="475">
        <f>+'store&amp;sf'!N414+'store&amp;sf'!P414</f>
        <v>8.2262500000000003</v>
      </c>
      <c r="R222" s="475">
        <f>+'store&amp;sf'!N420+'store&amp;sf'!P420</f>
        <v>8.5537499999999991</v>
      </c>
      <c r="S222" s="475">
        <f>+'store&amp;sf'!N426+'store&amp;sf'!P426</f>
        <v>8.6024999999999991</v>
      </c>
      <c r="T222" s="475">
        <f>+'store&amp;sf'!N432+'store&amp;sf'!P432</f>
        <v>8.286249999999999</v>
      </c>
      <c r="U222" s="475">
        <f>+'store&amp;sf'!N438+'store&amp;sf'!P438</f>
        <v>8.0087499999999991</v>
      </c>
      <c r="V222" s="475">
        <f>+'store&amp;sf'!N444+'store&amp;sf'!P444</f>
        <v>7.7162500000000005</v>
      </c>
      <c r="W222" s="475">
        <f>+'store&amp;sf'!N450+'store&amp;sf'!P450</f>
        <v>7.567499999999999</v>
      </c>
      <c r="X222" s="236">
        <f>+'store&amp;sf'!N456+'store&amp;sf'!P456+'store&amp;sf'!R456</f>
        <v>7.3149999999999995</v>
      </c>
      <c r="Y222" s="475">
        <f>+'store&amp;sf'!N462+'store&amp;sf'!P462+'store&amp;sf'!R462</f>
        <v>7.0324999999999998</v>
      </c>
      <c r="Z222" s="475">
        <f>+Z194/'store&amp;sf'!$AR$373</f>
        <v>6.7349999999999994</v>
      </c>
      <c r="AA222" s="475">
        <f>+AA194/'store&amp;sf'!$AR$373</f>
        <v>6.263749999999999</v>
      </c>
      <c r="AB222" s="475">
        <f>+AB194/'store&amp;sf'!$AR$373</f>
        <v>5.6349999999999998</v>
      </c>
      <c r="AC222" s="475">
        <f>+AC194/'store&amp;sf'!$AR$373</f>
        <v>4.9461875000000006</v>
      </c>
      <c r="AD222" s="475">
        <f>+AD194/'store&amp;sf'!$AR$373</f>
        <v>4.4398125000000004</v>
      </c>
      <c r="AE222" s="475">
        <f>+AE194/'store&amp;sf'!$AR$373</f>
        <v>4.0593124999999999</v>
      </c>
      <c r="AF222" s="475">
        <f>+AF194/'store&amp;sf'!$AR$373</f>
        <v>3.6889375000000002</v>
      </c>
      <c r="AG222" s="475">
        <f>+AG194/'store&amp;sf'!$AR$373</f>
        <v>3.3185624999999996</v>
      </c>
      <c r="AH222" s="475">
        <f>+AH194/'store&amp;sf'!$AR$373</f>
        <v>2.9481874999999995</v>
      </c>
      <c r="AI222" s="475">
        <f>+AI194/'store&amp;sf'!$AR$373</f>
        <v>2.577812499999999</v>
      </c>
      <c r="AJ222" s="1162">
        <f>+AJ194/'store&amp;sf'!$AR$338</f>
        <v>2.4530856730769739</v>
      </c>
      <c r="AK222" s="475">
        <f>+AK194/'store&amp;sf'!$AR$338</f>
        <v>2.0414945833333746</v>
      </c>
      <c r="AL222" s="475"/>
      <c r="AM222" s="475"/>
      <c r="AN222" s="475"/>
      <c r="AO222" s="475"/>
      <c r="AP222" s="475"/>
      <c r="AQ222" s="475"/>
      <c r="AR222" s="475"/>
      <c r="AS222" s="101"/>
      <c r="AT222" s="57"/>
      <c r="AU222" s="57"/>
      <c r="AV222" s="56"/>
      <c r="AW222" s="100"/>
      <c r="AX222" s="2"/>
      <c r="AY222" s="2"/>
      <c r="AZ222" s="2"/>
      <c r="BA222" s="2"/>
      <c r="BB222" s="2"/>
      <c r="BC222" s="2"/>
      <c r="BD222" s="2"/>
      <c r="BE222" s="2"/>
      <c r="BF222" s="2"/>
      <c r="BG222" s="2"/>
      <c r="BH222" s="2"/>
      <c r="BI222" s="2"/>
      <c r="BJ222" s="2"/>
      <c r="BK222" s="2"/>
      <c r="BL222" s="2"/>
    </row>
    <row r="223" spans="1:64" hidden="1" outlineLevel="1">
      <c r="A223" s="14" t="s">
        <v>1108</v>
      </c>
      <c r="B223" s="2"/>
      <c r="C223" s="2"/>
      <c r="D223" s="2"/>
      <c r="E223" s="2"/>
      <c r="F223" s="2"/>
      <c r="G223" s="2"/>
      <c r="H223" s="2"/>
      <c r="I223" s="2"/>
      <c r="J223" s="2"/>
      <c r="K223" s="475"/>
      <c r="L223" s="475">
        <f t="shared" ref="L223:AK223" si="359">+(K222+L222)/2</f>
        <v>2.649375</v>
      </c>
      <c r="M223" s="475">
        <f t="shared" si="359"/>
        <v>3.8174999999999999</v>
      </c>
      <c r="N223" s="475">
        <f t="shared" si="359"/>
        <v>5.0925000000000002</v>
      </c>
      <c r="O223" s="475">
        <f t="shared" si="359"/>
        <v>6.1606249999999996</v>
      </c>
      <c r="P223" s="475">
        <f t="shared" si="359"/>
        <v>7.1393749999999994</v>
      </c>
      <c r="Q223" s="475">
        <f t="shared" si="359"/>
        <v>7.9331250000000004</v>
      </c>
      <c r="R223" s="475">
        <f t="shared" si="359"/>
        <v>8.39</v>
      </c>
      <c r="S223" s="475">
        <f t="shared" si="359"/>
        <v>8.578125</v>
      </c>
      <c r="T223" s="475">
        <f t="shared" si="359"/>
        <v>8.4443749999999991</v>
      </c>
      <c r="U223" s="475">
        <f t="shared" si="359"/>
        <v>8.1474999999999991</v>
      </c>
      <c r="V223" s="475">
        <f t="shared" si="359"/>
        <v>7.8624999999999998</v>
      </c>
      <c r="W223" s="475">
        <f t="shared" si="359"/>
        <v>7.6418749999999998</v>
      </c>
      <c r="X223" s="475">
        <f t="shared" si="359"/>
        <v>7.4412499999999993</v>
      </c>
      <c r="Y223" s="475">
        <f t="shared" si="359"/>
        <v>7.1737500000000001</v>
      </c>
      <c r="Z223" s="475">
        <f t="shared" si="359"/>
        <v>6.8837499999999991</v>
      </c>
      <c r="AA223" s="475">
        <f t="shared" si="359"/>
        <v>6.4993749999999988</v>
      </c>
      <c r="AB223" s="475">
        <f t="shared" si="359"/>
        <v>5.9493749999999999</v>
      </c>
      <c r="AC223" s="475">
        <f t="shared" si="359"/>
        <v>5.2905937500000002</v>
      </c>
      <c r="AD223" s="475">
        <f t="shared" si="359"/>
        <v>4.6930000000000005</v>
      </c>
      <c r="AE223" s="475">
        <f t="shared" si="359"/>
        <v>4.2495624999999997</v>
      </c>
      <c r="AF223" s="475">
        <f t="shared" si="359"/>
        <v>3.8741250000000003</v>
      </c>
      <c r="AG223" s="475">
        <f t="shared" si="359"/>
        <v>3.5037500000000001</v>
      </c>
      <c r="AH223" s="475">
        <f t="shared" si="359"/>
        <v>3.1333749999999996</v>
      </c>
      <c r="AI223" s="475">
        <f t="shared" si="359"/>
        <v>2.762999999999999</v>
      </c>
      <c r="AJ223" s="1162">
        <f t="shared" si="359"/>
        <v>2.5154490865384864</v>
      </c>
      <c r="AK223" s="475">
        <f t="shared" si="359"/>
        <v>2.247290128205174</v>
      </c>
      <c r="AL223" s="475"/>
      <c r="AM223" s="475"/>
      <c r="AN223" s="475"/>
      <c r="AO223" s="475"/>
      <c r="AP223" s="475"/>
      <c r="AQ223" s="475"/>
      <c r="AR223" s="475"/>
      <c r="AS223" s="101"/>
      <c r="AT223" s="57"/>
      <c r="AU223" s="57"/>
      <c r="AV223" s="56"/>
      <c r="AW223" s="100"/>
      <c r="AX223" s="2"/>
      <c r="AY223" s="2"/>
      <c r="AZ223" s="2"/>
      <c r="BA223" s="2"/>
      <c r="BB223" s="2"/>
      <c r="BC223" s="2"/>
      <c r="BD223" s="2"/>
      <c r="BE223" s="2"/>
      <c r="BF223" s="2"/>
      <c r="BG223" s="2"/>
      <c r="BH223" s="2"/>
      <c r="BI223" s="2"/>
      <c r="BJ223" s="2"/>
      <c r="BK223" s="2"/>
      <c r="BL223" s="2"/>
    </row>
    <row r="224" spans="1:64" hidden="1" outlineLevel="1">
      <c r="A224" s="14" t="s">
        <v>1105</v>
      </c>
      <c r="B224" s="2"/>
      <c r="C224" s="2"/>
      <c r="D224" s="2"/>
      <c r="E224" s="2"/>
      <c r="F224" s="2"/>
      <c r="G224" s="2"/>
      <c r="H224" s="2"/>
      <c r="I224" s="2"/>
      <c r="J224" s="2"/>
      <c r="K224" s="9"/>
      <c r="L224" s="9">
        <f t="shared" ref="L224:AC224" si="360">+L222/L183*1000000</f>
        <v>4468.6162624821682</v>
      </c>
      <c r="M224" s="9">
        <f t="shared" si="360"/>
        <v>5290.8343125734427</v>
      </c>
      <c r="N224" s="9">
        <f t="shared" si="360"/>
        <v>5858.2474226804125</v>
      </c>
      <c r="O224" s="9">
        <f t="shared" si="360"/>
        <v>6221.8837863167755</v>
      </c>
      <c r="P224" s="9">
        <f t="shared" si="360"/>
        <v>6463.6209813874784</v>
      </c>
      <c r="Q224" s="9">
        <f t="shared" si="360"/>
        <v>6554.7808764940246</v>
      </c>
      <c r="R224" s="9">
        <f t="shared" si="360"/>
        <v>6605.2123552123539</v>
      </c>
      <c r="S224" s="9">
        <f t="shared" si="360"/>
        <v>6632.6137239784111</v>
      </c>
      <c r="T224" s="9">
        <f t="shared" si="360"/>
        <v>6714.9513776337108</v>
      </c>
      <c r="U224" s="9">
        <f t="shared" si="360"/>
        <v>6747.0513900589713</v>
      </c>
      <c r="V224" s="9">
        <f t="shared" si="360"/>
        <v>6792.4735915492956</v>
      </c>
      <c r="W224" s="9">
        <f t="shared" si="360"/>
        <v>6842.2242314647374</v>
      </c>
      <c r="X224" s="9">
        <f t="shared" si="360"/>
        <v>7095.0533462657613</v>
      </c>
      <c r="Y224" s="9">
        <f t="shared" si="360"/>
        <v>7356.171548117155</v>
      </c>
      <c r="Z224" s="9">
        <f t="shared" si="360"/>
        <v>7618.7782805429861</v>
      </c>
      <c r="AA224" s="9">
        <f t="shared" si="360"/>
        <v>8430.3499327052486</v>
      </c>
      <c r="AB224" s="9">
        <f t="shared" si="360"/>
        <v>8563.8297872340427</v>
      </c>
      <c r="AC224" s="9">
        <f t="shared" si="360"/>
        <v>8484.0265866209284</v>
      </c>
      <c r="AD224" s="9">
        <f t="shared" ref="AD224:AI224" si="361">+AD222/AD183*1000000</f>
        <v>8587.6450676982604</v>
      </c>
      <c r="AE224" s="9">
        <f t="shared" si="361"/>
        <v>8921.5659340659349</v>
      </c>
      <c r="AF224" s="9">
        <f t="shared" si="361"/>
        <v>9386.6094147582717</v>
      </c>
      <c r="AG224" s="9">
        <f t="shared" si="361"/>
        <v>10025.868580060423</v>
      </c>
      <c r="AH224" s="9">
        <f t="shared" si="361"/>
        <v>10959.804832713755</v>
      </c>
      <c r="AI224" s="9">
        <f t="shared" si="361"/>
        <v>12453.200483091787</v>
      </c>
      <c r="AJ224" s="461">
        <f>+AJ222/AJ183*1000000</f>
        <v>16917.832228117066</v>
      </c>
      <c r="AK224" s="9">
        <f>+AK222/AK183*1000000</f>
        <v>24596.320281125012</v>
      </c>
      <c r="AL224" s="9"/>
      <c r="AM224" s="9"/>
      <c r="AN224" s="9"/>
      <c r="AO224" s="9"/>
      <c r="AP224" s="9"/>
      <c r="AQ224" s="9"/>
      <c r="AR224" s="9"/>
      <c r="AS224" s="101"/>
      <c r="AT224" s="57"/>
      <c r="AU224" s="57"/>
      <c r="AV224" s="56"/>
      <c r="AW224" s="100"/>
      <c r="AX224" s="2"/>
      <c r="AY224" s="2"/>
      <c r="AZ224" s="2"/>
      <c r="BA224" s="2"/>
      <c r="BB224" s="2"/>
      <c r="BC224" s="2"/>
      <c r="BD224" s="2"/>
      <c r="BE224" s="2"/>
      <c r="BF224" s="2"/>
      <c r="BG224" s="2"/>
      <c r="BH224" s="2"/>
      <c r="BI224" s="2"/>
      <c r="BJ224" s="2"/>
      <c r="BK224" s="2"/>
      <c r="BL224" s="2"/>
    </row>
    <row r="225" spans="1:64" hidden="1" outlineLevel="1">
      <c r="A225" s="14" t="s">
        <v>1106</v>
      </c>
      <c r="B225" s="2"/>
      <c r="C225" s="2"/>
      <c r="D225" s="2"/>
      <c r="E225" s="2"/>
      <c r="F225" s="2"/>
      <c r="G225" s="2"/>
      <c r="H225" s="2"/>
      <c r="I225" s="2"/>
      <c r="J225" s="2"/>
      <c r="K225" s="2"/>
      <c r="L225" s="2"/>
      <c r="M225" s="6"/>
      <c r="N225" s="6">
        <f t="shared" ref="N225:AC225" si="362">+N159/N223</f>
        <v>320.07854688267059</v>
      </c>
      <c r="O225" s="6">
        <f t="shared" si="362"/>
        <v>303.7029522166988</v>
      </c>
      <c r="P225" s="6">
        <f t="shared" si="362"/>
        <v>272.01260614549597</v>
      </c>
      <c r="Q225" s="6">
        <f t="shared" si="362"/>
        <v>254.75458914362247</v>
      </c>
      <c r="R225" s="6">
        <f t="shared" si="362"/>
        <v>243.8617401668653</v>
      </c>
      <c r="S225" s="6">
        <f t="shared" si="362"/>
        <v>215.54826958105647</v>
      </c>
      <c r="T225" s="6">
        <f t="shared" si="362"/>
        <v>232.81770409296132</v>
      </c>
      <c r="U225" s="6">
        <f t="shared" si="362"/>
        <v>242.22497698680576</v>
      </c>
      <c r="V225" s="6">
        <f t="shared" si="362"/>
        <v>275.1944038155803</v>
      </c>
      <c r="W225" s="6">
        <f t="shared" si="362"/>
        <v>267.47362394700252</v>
      </c>
      <c r="X225" s="6">
        <f t="shared" si="362"/>
        <v>278.58222744834541</v>
      </c>
      <c r="Y225" s="6">
        <f t="shared" si="362"/>
        <v>288.71928907475166</v>
      </c>
      <c r="Z225" s="6">
        <f t="shared" si="362"/>
        <v>277.87891774105691</v>
      </c>
      <c r="AA225" s="6">
        <f t="shared" si="362"/>
        <v>276.02469468218101</v>
      </c>
      <c r="AB225" s="6">
        <f t="shared" si="362"/>
        <v>293.94684315579372</v>
      </c>
      <c r="AC225" s="6">
        <f t="shared" si="362"/>
        <v>317.2070770986665</v>
      </c>
      <c r="AD225" s="6">
        <f t="shared" ref="AD225:AI225" si="363">+AD159/AD223</f>
        <v>390.14598224394035</v>
      </c>
      <c r="AE225" s="6">
        <f t="shared" si="363"/>
        <v>438.35670061664666</v>
      </c>
      <c r="AF225" s="6">
        <f t="shared" si="363"/>
        <v>489.22806582015625</v>
      </c>
      <c r="AG225" s="6">
        <f t="shared" si="363"/>
        <v>550.40664833547578</v>
      </c>
      <c r="AH225" s="6">
        <f t="shared" si="363"/>
        <v>626.25987632745262</v>
      </c>
      <c r="AI225" s="6">
        <f t="shared" si="363"/>
        <v>722.69387650643614</v>
      </c>
      <c r="AJ225" s="16">
        <f>+AJ159/AJ223</f>
        <v>780.1020702382275</v>
      </c>
      <c r="AK225" s="6">
        <f>+AK159/AK223</f>
        <v>888.53822464928191</v>
      </c>
      <c r="AL225" s="6"/>
      <c r="AM225" s="6"/>
      <c r="AN225" s="6"/>
      <c r="AO225" s="6"/>
      <c r="AP225" s="6"/>
      <c r="AQ225" s="6"/>
      <c r="AR225" s="6"/>
      <c r="AS225" s="106"/>
      <c r="AT225" s="3"/>
      <c r="AU225" s="3"/>
      <c r="AV225" s="107"/>
      <c r="AW225" s="108"/>
      <c r="AX225" s="2"/>
      <c r="AY225" s="2"/>
      <c r="AZ225" s="2"/>
      <c r="BA225" s="2"/>
      <c r="BB225" s="2"/>
      <c r="BC225" s="2"/>
      <c r="BD225" s="2"/>
      <c r="BE225" s="2"/>
      <c r="BF225" s="2"/>
      <c r="BG225" s="2"/>
      <c r="BH225" s="2"/>
      <c r="BI225" s="2"/>
      <c r="BJ225" s="2"/>
      <c r="BK225" s="2"/>
      <c r="BL225" s="2"/>
    </row>
    <row r="226" spans="1:64" hidden="1" outlineLevel="1">
      <c r="A226" s="14"/>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14"/>
      <c r="AK226" s="2"/>
      <c r="AL226" s="2"/>
      <c r="AM226" s="2"/>
      <c r="AN226" s="2"/>
      <c r="AO226" s="2"/>
      <c r="AP226" s="2"/>
      <c r="AQ226" s="2"/>
      <c r="AR226" s="2"/>
      <c r="AS226" s="57"/>
      <c r="AT226" s="57"/>
      <c r="AU226" s="57"/>
      <c r="AV226" s="56"/>
      <c r="AW226" s="57"/>
      <c r="AX226" s="2"/>
      <c r="AY226" s="2"/>
      <c r="AZ226" s="2"/>
      <c r="BA226" s="2"/>
      <c r="BB226" s="2"/>
      <c r="BC226" s="2"/>
      <c r="BD226" s="2"/>
      <c r="BE226" s="2"/>
      <c r="BF226" s="2"/>
      <c r="BG226" s="2"/>
      <c r="BH226" s="2"/>
      <c r="BI226" s="2"/>
      <c r="BJ226" s="2"/>
      <c r="BK226" s="2"/>
      <c r="BL226" s="2"/>
    </row>
    <row r="227" spans="1:64" hidden="1" outlineLevel="1">
      <c r="A227" s="23" t="s">
        <v>549</v>
      </c>
      <c r="B227" s="2"/>
      <c r="C227" s="2"/>
      <c r="D227" s="2"/>
      <c r="E227" s="2"/>
      <c r="F227" s="2"/>
      <c r="G227" s="2"/>
      <c r="H227" s="2"/>
      <c r="I227" s="2"/>
      <c r="J227" s="2"/>
      <c r="K227" s="2"/>
      <c r="L227" s="2"/>
      <c r="M227" s="2"/>
      <c r="N227" s="2"/>
      <c r="O227" s="2"/>
      <c r="P227" s="2"/>
      <c r="Q227" s="2"/>
      <c r="R227" s="2"/>
      <c r="S227" s="20"/>
      <c r="T227" s="2"/>
      <c r="U227" s="2"/>
      <c r="V227" s="2"/>
      <c r="W227" s="2"/>
      <c r="X227" s="2"/>
      <c r="Y227" s="2"/>
      <c r="AJ227" s="161"/>
      <c r="AS227" s="2"/>
      <c r="AT227" s="2"/>
      <c r="AU227" s="2"/>
      <c r="AV227" s="7"/>
      <c r="AW227" s="2"/>
      <c r="AX227" s="2"/>
      <c r="AY227" s="2"/>
      <c r="AZ227" s="2"/>
      <c r="BA227" s="2"/>
      <c r="BB227" s="2"/>
      <c r="BC227" s="2"/>
      <c r="BD227" s="2"/>
      <c r="BE227" s="2"/>
      <c r="BF227" s="2"/>
      <c r="BG227" s="2"/>
      <c r="BH227" s="2"/>
      <c r="BI227" s="2"/>
      <c r="BJ227" s="2"/>
      <c r="BK227" s="2"/>
      <c r="BL227" s="2"/>
    </row>
    <row r="228" spans="1:64" hidden="1" outlineLevel="1">
      <c r="A228" s="191" t="s">
        <v>674</v>
      </c>
      <c r="B228" s="2"/>
      <c r="C228" s="2"/>
      <c r="D228" s="2"/>
      <c r="E228" s="2"/>
      <c r="F228" s="2"/>
      <c r="G228" s="2"/>
      <c r="H228" s="2"/>
      <c r="I228" s="2"/>
      <c r="J228" s="2"/>
      <c r="K228" s="2"/>
      <c r="L228" s="2"/>
      <c r="M228" s="2"/>
      <c r="N228" s="2"/>
      <c r="O228" s="2"/>
      <c r="P228" s="2"/>
      <c r="Q228" s="2"/>
      <c r="R228" s="2"/>
      <c r="S228" s="2"/>
      <c r="T228" s="2"/>
      <c r="U228" s="2"/>
      <c r="V228" s="2"/>
      <c r="W228" s="2"/>
      <c r="X228" s="2"/>
      <c r="Y228" s="2"/>
      <c r="AJ228" s="161"/>
      <c r="AS228" s="2"/>
      <c r="AT228" s="2"/>
      <c r="AU228" s="2"/>
      <c r="AV228" s="2"/>
      <c r="AW228" s="2"/>
      <c r="AX228" s="2"/>
      <c r="AY228" s="2"/>
      <c r="AZ228" s="2"/>
      <c r="BA228" s="2"/>
      <c r="BB228" s="2"/>
      <c r="BC228" s="2"/>
      <c r="BD228" s="2"/>
      <c r="BE228" s="2"/>
      <c r="BF228" s="2"/>
      <c r="BG228" s="2"/>
      <c r="BH228" s="2"/>
      <c r="BI228" s="2"/>
      <c r="BJ228" s="2"/>
      <c r="BK228" s="2"/>
      <c r="BL228" s="2"/>
    </row>
    <row r="229" spans="1:64" hidden="1" outlineLevel="1">
      <c r="A229" s="199" t="s">
        <v>345</v>
      </c>
      <c r="B229" s="3"/>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1166"/>
      <c r="AK229" s="3"/>
      <c r="AL229" s="3"/>
      <c r="AM229" s="3"/>
      <c r="AN229" s="3"/>
      <c r="AO229" s="3"/>
      <c r="AP229" s="3"/>
      <c r="AQ229" s="3"/>
      <c r="AR229" s="3"/>
      <c r="AS229" s="3"/>
      <c r="AT229" s="3"/>
      <c r="AU229" s="3"/>
      <c r="AV229" s="3"/>
      <c r="AW229" s="3"/>
      <c r="AX229" s="2"/>
      <c r="AY229" s="2"/>
      <c r="AZ229" s="2"/>
      <c r="BA229" s="2"/>
      <c r="BB229" s="2"/>
      <c r="BC229" s="2"/>
      <c r="BD229" s="2"/>
      <c r="BE229" s="2"/>
      <c r="BF229" s="2"/>
      <c r="BG229" s="2"/>
      <c r="BH229" s="2"/>
      <c r="BI229" s="2"/>
      <c r="BJ229" s="2"/>
      <c r="BK229" s="2"/>
      <c r="BL229" s="2"/>
    </row>
    <row r="230" spans="1:64" hidden="1" outlineLevel="1">
      <c r="A230" s="21"/>
      <c r="B230" s="57"/>
      <c r="C230" s="57"/>
      <c r="D230" s="57"/>
      <c r="E230" s="57"/>
      <c r="F230" s="57"/>
      <c r="G230" s="57"/>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c r="AE230" s="57"/>
      <c r="AF230" s="57"/>
      <c r="AG230" s="57"/>
      <c r="AH230" s="57"/>
      <c r="AI230" s="57"/>
      <c r="AJ230" s="1167"/>
      <c r="AK230" s="57"/>
      <c r="AL230" s="57"/>
      <c r="AM230" s="57"/>
      <c r="AN230" s="57"/>
      <c r="AO230" s="57"/>
      <c r="AP230" s="57"/>
      <c r="AQ230" s="57"/>
      <c r="AR230" s="57"/>
      <c r="AS230" s="57"/>
      <c r="AT230" s="3"/>
      <c r="AU230" s="3"/>
      <c r="AV230" s="3"/>
      <c r="AW230" s="57"/>
      <c r="AX230" s="2"/>
      <c r="AY230" s="2"/>
      <c r="AZ230" s="2"/>
      <c r="BA230" s="2"/>
      <c r="BB230" s="2"/>
      <c r="BC230" s="2"/>
      <c r="BD230" s="2"/>
      <c r="BE230" s="2"/>
      <c r="BF230" s="2"/>
      <c r="BG230" s="2"/>
      <c r="BH230" s="2"/>
      <c r="BI230" s="2"/>
      <c r="BJ230" s="2"/>
      <c r="BK230" s="2"/>
      <c r="BL230" s="2"/>
    </row>
    <row r="231" spans="1:64" hidden="1" outlineLevel="1">
      <c r="A231" s="4"/>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14"/>
      <c r="AK231" s="2"/>
      <c r="AL231" s="2"/>
      <c r="AM231" s="2"/>
      <c r="AN231" s="2"/>
      <c r="AO231" s="2"/>
      <c r="AP231" s="2"/>
      <c r="AQ231" s="2"/>
      <c r="AR231" s="2"/>
      <c r="AS231" s="183"/>
      <c r="AT231" s="126"/>
      <c r="AU231" s="109" t="s">
        <v>1083</v>
      </c>
      <c r="AV231" s="126"/>
      <c r="AW231" s="184"/>
      <c r="AX231" s="2"/>
      <c r="AY231" s="2"/>
      <c r="AZ231" s="2"/>
      <c r="BA231" s="2"/>
      <c r="BB231" s="2"/>
      <c r="BC231" s="2"/>
      <c r="BD231" s="2"/>
      <c r="BE231" s="2"/>
      <c r="BF231" s="2"/>
      <c r="BG231" s="2"/>
      <c r="BH231" s="2"/>
      <c r="BI231" s="2"/>
      <c r="BJ231" s="2"/>
      <c r="BK231" s="2"/>
      <c r="BL231" s="2"/>
    </row>
    <row r="232" spans="1:64" hidden="1" outlineLevel="1">
      <c r="A232" s="5"/>
      <c r="B232" s="53"/>
      <c r="C232" s="53"/>
      <c r="D232" s="53"/>
      <c r="E232" s="53"/>
      <c r="F232" s="53"/>
      <c r="G232" s="53"/>
      <c r="H232" s="53"/>
      <c r="I232" s="53"/>
      <c r="J232" s="53"/>
      <c r="K232" s="53"/>
      <c r="L232" s="53">
        <f>+L$5</f>
        <v>1990</v>
      </c>
      <c r="M232" s="53">
        <f t="shared" ref="M232:AK232" si="364">+M$5</f>
        <v>1991</v>
      </c>
      <c r="N232" s="53">
        <f t="shared" si="364"/>
        <v>1992</v>
      </c>
      <c r="O232" s="53">
        <f t="shared" si="364"/>
        <v>1993</v>
      </c>
      <c r="P232" s="53">
        <f t="shared" si="364"/>
        <v>1994</v>
      </c>
      <c r="Q232" s="53">
        <f t="shared" si="364"/>
        <v>1995</v>
      </c>
      <c r="R232" s="53">
        <f t="shared" si="364"/>
        <v>1996</v>
      </c>
      <c r="S232" s="53">
        <f t="shared" si="364"/>
        <v>1997</v>
      </c>
      <c r="T232" s="53">
        <f t="shared" si="364"/>
        <v>1998</v>
      </c>
      <c r="U232" s="53">
        <f t="shared" si="364"/>
        <v>1999</v>
      </c>
      <c r="V232" s="53">
        <f t="shared" si="364"/>
        <v>2000</v>
      </c>
      <c r="W232" s="53">
        <f t="shared" si="364"/>
        <v>2001</v>
      </c>
      <c r="X232" s="53">
        <f t="shared" si="364"/>
        <v>2002</v>
      </c>
      <c r="Y232" s="53">
        <f t="shared" si="364"/>
        <v>2003</v>
      </c>
      <c r="Z232" s="53">
        <f t="shared" si="364"/>
        <v>2004</v>
      </c>
      <c r="AA232" s="586">
        <f t="shared" si="364"/>
        <v>2005</v>
      </c>
      <c r="AB232" s="586">
        <f t="shared" si="364"/>
        <v>2006</v>
      </c>
      <c r="AC232" s="53">
        <f t="shared" si="364"/>
        <v>2007</v>
      </c>
      <c r="AD232" s="55">
        <f t="shared" si="364"/>
        <v>2008</v>
      </c>
      <c r="AE232" s="55">
        <f t="shared" si="364"/>
        <v>2009</v>
      </c>
      <c r="AF232" s="55">
        <f t="shared" si="364"/>
        <v>2010</v>
      </c>
      <c r="AG232" s="55">
        <f t="shared" si="364"/>
        <v>2011</v>
      </c>
      <c r="AH232" s="55">
        <f t="shared" si="364"/>
        <v>2012</v>
      </c>
      <c r="AI232" s="55">
        <f t="shared" si="364"/>
        <v>2013</v>
      </c>
      <c r="AJ232" s="55">
        <f t="shared" si="364"/>
        <v>2014</v>
      </c>
      <c r="AK232" s="55">
        <f t="shared" si="364"/>
        <v>2015</v>
      </c>
      <c r="AL232" s="1098"/>
      <c r="AM232" s="1098"/>
      <c r="AN232" s="1098"/>
      <c r="AO232" s="1098"/>
      <c r="AP232" s="1098"/>
      <c r="AQ232" s="1098"/>
      <c r="AR232" s="1098"/>
      <c r="AS232" s="99"/>
      <c r="AT232" s="109" t="str">
        <f>AT$5</f>
        <v>10-15E</v>
      </c>
      <c r="AU232" s="57"/>
      <c r="AV232" s="109" t="str">
        <f>AV$5</f>
        <v>15-20E</v>
      </c>
      <c r="AW232" s="111"/>
      <c r="AX232" s="2"/>
      <c r="AY232" s="190" t="s">
        <v>674</v>
      </c>
      <c r="AZ232" s="493">
        <f t="shared" ref="AZ232:BL232" si="365">+Y232</f>
        <v>2003</v>
      </c>
      <c r="BA232" s="493">
        <f t="shared" si="365"/>
        <v>2004</v>
      </c>
      <c r="BB232" s="493">
        <f t="shared" si="365"/>
        <v>2005</v>
      </c>
      <c r="BC232" s="493">
        <f t="shared" si="365"/>
        <v>2006</v>
      </c>
      <c r="BD232" s="493">
        <f t="shared" si="365"/>
        <v>2007</v>
      </c>
      <c r="BE232" s="493">
        <f t="shared" si="365"/>
        <v>2008</v>
      </c>
      <c r="BF232" s="493">
        <f t="shared" si="365"/>
        <v>2009</v>
      </c>
      <c r="BG232" s="493">
        <f t="shared" si="365"/>
        <v>2010</v>
      </c>
      <c r="BH232" s="493">
        <f t="shared" si="365"/>
        <v>2011</v>
      </c>
      <c r="BI232" s="493">
        <f t="shared" si="365"/>
        <v>2012</v>
      </c>
      <c r="BJ232" s="493">
        <f t="shared" si="365"/>
        <v>2013</v>
      </c>
      <c r="BK232" s="493">
        <f t="shared" si="365"/>
        <v>2014</v>
      </c>
      <c r="BL232" s="493">
        <f t="shared" si="365"/>
        <v>2015</v>
      </c>
    </row>
    <row r="233" spans="1:64" hidden="1" outlineLevel="1">
      <c r="A233" s="5"/>
      <c r="B233" s="5"/>
      <c r="C233" s="5"/>
      <c r="D233" s="5"/>
      <c r="E233" s="5"/>
      <c r="F233" s="5"/>
      <c r="G233" s="5"/>
      <c r="H233" s="5"/>
      <c r="I233" s="5"/>
      <c r="J233" s="5"/>
      <c r="K233" s="5"/>
      <c r="L233" s="5"/>
      <c r="M233" s="5"/>
      <c r="N233" s="5"/>
      <c r="O233" s="5"/>
      <c r="P233" s="5"/>
      <c r="Q233" s="5"/>
      <c r="R233" s="5"/>
      <c r="S233" s="2"/>
      <c r="T233" s="2"/>
      <c r="U233" s="2"/>
      <c r="V233" s="2"/>
      <c r="W233" s="2"/>
      <c r="X233" s="2"/>
      <c r="Y233" s="2"/>
      <c r="AJ233" s="161"/>
      <c r="AS233" s="101"/>
      <c r="AT233" s="57"/>
      <c r="AU233" s="57"/>
      <c r="AV233" s="57"/>
      <c r="AW233" s="100"/>
      <c r="AX233" s="2"/>
      <c r="AY233" s="2"/>
      <c r="AZ233" s="2"/>
      <c r="BA233" s="2"/>
      <c r="BB233" s="2"/>
      <c r="BC233" s="2"/>
      <c r="BD233" s="2"/>
      <c r="BE233" s="2"/>
      <c r="BF233" s="2"/>
      <c r="BG233" s="2"/>
      <c r="BH233" s="2"/>
      <c r="BI233" s="2"/>
      <c r="BJ233" s="2"/>
      <c r="BK233" s="2"/>
      <c r="BL233" s="2"/>
    </row>
    <row r="234" spans="1:64" hidden="1" outlineLevel="1">
      <c r="A234" s="447" t="s">
        <v>259</v>
      </c>
      <c r="B234" s="8"/>
      <c r="C234" s="8"/>
      <c r="D234" s="8"/>
      <c r="E234" s="8"/>
      <c r="F234" s="8"/>
      <c r="G234" s="8"/>
      <c r="H234" s="8"/>
      <c r="I234" s="8"/>
      <c r="J234" s="8"/>
      <c r="K234" s="8"/>
      <c r="L234" s="8"/>
      <c r="M234" s="186"/>
      <c r="N234" s="6">
        <f>+'segSales&amp;OM'!AO14</f>
        <v>1205</v>
      </c>
      <c r="O234" s="6">
        <f>+'segSales&amp;OM'!AO21</f>
        <v>1084</v>
      </c>
      <c r="P234" s="6">
        <f>+'segSales&amp;OM'!AO28</f>
        <v>869</v>
      </c>
      <c r="Q234" s="6">
        <f>+'segSales&amp;OM'!AO35</f>
        <v>850</v>
      </c>
      <c r="R234" s="6">
        <f>+'segSales&amp;OM'!AO42</f>
        <v>855</v>
      </c>
      <c r="S234" s="6">
        <f>+'segSales&amp;OM'!AO49</f>
        <v>776</v>
      </c>
      <c r="T234" s="6">
        <f>+'segSales&amp;OM'!AO56</f>
        <v>757</v>
      </c>
      <c r="U234" s="6">
        <f>+'segSales&amp;OM'!AO63</f>
        <v>704.22499999999991</v>
      </c>
      <c r="V234" s="6">
        <f>+'segSales&amp;OM'!AO70</f>
        <v>672.63199999999995</v>
      </c>
      <c r="W234" s="6">
        <f>+'segSales&amp;OM'!AO77</f>
        <v>617.81200000000001</v>
      </c>
      <c r="X234" s="16">
        <f>+'segSales&amp;OM'!AO84</f>
        <v>638</v>
      </c>
      <c r="Y234" s="16">
        <f>+'segSales&amp;OM'!AO91</f>
        <v>625.5</v>
      </c>
      <c r="Z234" s="16">
        <f>+'segSales&amp;OM'!AO98</f>
        <v>577.20000000000005</v>
      </c>
      <c r="AA234" s="16">
        <f>'segSales&amp;OM'!AO112</f>
        <v>545.16999999999996</v>
      </c>
      <c r="AB234" s="16">
        <f>'segSales&amp;OM'!AO119</f>
        <v>493.4</v>
      </c>
      <c r="AC234" s="16">
        <f>'segSales&amp;OM'!$AO$126</f>
        <v>476.92204041051525</v>
      </c>
      <c r="AD234" s="16">
        <f t="shared" ref="AD234:AI234" si="366">+BE240</f>
        <v>475.16048121872552</v>
      </c>
      <c r="AE234" s="16">
        <f t="shared" si="366"/>
        <v>478.36369084310002</v>
      </c>
      <c r="AF234" s="16">
        <f t="shared" si="366"/>
        <v>481.63096465996199</v>
      </c>
      <c r="AG234" s="16">
        <f t="shared" si="366"/>
        <v>484.96358395316122</v>
      </c>
      <c r="AH234" s="16">
        <f t="shared" si="366"/>
        <v>488.36285563222441</v>
      </c>
      <c r="AI234" s="16">
        <f t="shared" si="366"/>
        <v>491.83011274486887</v>
      </c>
      <c r="AJ234" s="16">
        <f>+BI240</f>
        <v>488.36285563222441</v>
      </c>
      <c r="AK234" s="16">
        <f>+BJ240</f>
        <v>491.83011274486887</v>
      </c>
      <c r="AL234" s="16"/>
      <c r="AM234" s="16"/>
      <c r="AN234" s="16"/>
      <c r="AO234" s="16"/>
      <c r="AP234" s="16"/>
      <c r="AQ234" s="16"/>
      <c r="AR234" s="16"/>
      <c r="AS234" s="101"/>
      <c r="AT234" s="57"/>
      <c r="AU234" s="57"/>
      <c r="AV234" s="56"/>
      <c r="AW234" s="100"/>
      <c r="AX234" s="2"/>
      <c r="AY234" s="500" t="s">
        <v>457</v>
      </c>
      <c r="AZ234" s="500"/>
      <c r="BA234" s="2"/>
      <c r="BB234" s="2"/>
      <c r="BC234" s="2"/>
      <c r="BD234" s="2"/>
      <c r="BE234" s="2"/>
      <c r="BF234" s="2"/>
      <c r="BG234" s="2"/>
      <c r="BH234" s="2"/>
      <c r="BI234" s="2"/>
      <c r="BJ234" s="2"/>
      <c r="BK234" s="2"/>
      <c r="BL234" s="2"/>
    </row>
    <row r="235" spans="1:64" hidden="1" outlineLevel="1">
      <c r="A235" s="213" t="s">
        <v>1085</v>
      </c>
      <c r="B235" s="8"/>
      <c r="C235" s="8"/>
      <c r="D235" s="8"/>
      <c r="E235" s="8"/>
      <c r="F235" s="8"/>
      <c r="G235" s="8"/>
      <c r="H235" s="8"/>
      <c r="I235" s="8"/>
      <c r="J235" s="8"/>
      <c r="K235" s="8"/>
      <c r="L235" s="8"/>
      <c r="M235" s="186"/>
      <c r="N235" s="13"/>
      <c r="O235" s="13">
        <f t="shared" ref="O235:Y235" si="367">O234/N234-1</f>
        <v>-0.10041493775933608</v>
      </c>
      <c r="P235" s="13">
        <f t="shared" si="367"/>
        <v>-0.19833948339483398</v>
      </c>
      <c r="Q235" s="13">
        <f t="shared" si="367"/>
        <v>-2.1864211737629424E-2</v>
      </c>
      <c r="R235" s="13">
        <f t="shared" si="367"/>
        <v>5.8823529411764497E-3</v>
      </c>
      <c r="S235" s="13">
        <f t="shared" si="367"/>
        <v>-9.2397660818713478E-2</v>
      </c>
      <c r="T235" s="13">
        <f t="shared" si="367"/>
        <v>-2.4484536082474251E-2</v>
      </c>
      <c r="U235" s="13">
        <f t="shared" si="367"/>
        <v>-6.9715984147952548E-2</v>
      </c>
      <c r="V235" s="13">
        <f t="shared" si="367"/>
        <v>-4.4862082431041173E-2</v>
      </c>
      <c r="W235" s="13">
        <f t="shared" si="367"/>
        <v>-8.1500731454941078E-2</v>
      </c>
      <c r="X235" s="13">
        <f t="shared" si="367"/>
        <v>3.2676607123202528E-2</v>
      </c>
      <c r="Y235" s="13">
        <f t="shared" si="367"/>
        <v>-1.9592476489028177E-2</v>
      </c>
      <c r="Z235" s="13">
        <f t="shared" ref="Z235:AK235" si="368">+Z234/Y234-1</f>
        <v>-7.7218225419664166E-2</v>
      </c>
      <c r="AA235" s="13">
        <f t="shared" si="368"/>
        <v>-5.5492030492030664E-2</v>
      </c>
      <c r="AB235" s="13">
        <f t="shared" si="368"/>
        <v>-9.4961204761817353E-2</v>
      </c>
      <c r="AC235" s="13">
        <f t="shared" si="368"/>
        <v>-3.3396756362960578E-2</v>
      </c>
      <c r="AD235" s="13">
        <f t="shared" si="368"/>
        <v>-3.6935998811743476E-3</v>
      </c>
      <c r="AE235" s="13">
        <f t="shared" si="368"/>
        <v>6.7413216186638092E-3</v>
      </c>
      <c r="AF235" s="13">
        <f t="shared" si="368"/>
        <v>6.8301041224585468E-3</v>
      </c>
      <c r="AG235" s="13">
        <f t="shared" si="368"/>
        <v>6.9194456705086171E-3</v>
      </c>
      <c r="AH235" s="13">
        <f t="shared" si="368"/>
        <v>7.0093338789567472E-3</v>
      </c>
      <c r="AI235" s="13">
        <f t="shared" si="368"/>
        <v>7.0997559962986401E-3</v>
      </c>
      <c r="AJ235" s="15">
        <f t="shared" si="368"/>
        <v>-7.0497048122856176E-3</v>
      </c>
      <c r="AK235" s="13">
        <f t="shared" si="368"/>
        <v>7.0997559962986401E-3</v>
      </c>
      <c r="AL235" s="13"/>
      <c r="AM235" s="13"/>
      <c r="AN235" s="13"/>
      <c r="AO235" s="13"/>
      <c r="AP235" s="13"/>
      <c r="AQ235" s="13"/>
      <c r="AR235" s="13"/>
      <c r="AS235" s="101"/>
      <c r="AT235" s="57"/>
      <c r="AU235" s="57"/>
      <c r="AV235" s="56"/>
      <c r="AW235" s="100"/>
      <c r="AX235" s="2"/>
      <c r="AY235" s="2" t="s">
        <v>343</v>
      </c>
      <c r="AZ235" s="497">
        <f>+X234</f>
        <v>638</v>
      </c>
      <c r="BA235" s="497">
        <f>+Y234</f>
        <v>625.5</v>
      </c>
      <c r="BB235" s="497">
        <f>+BA240</f>
        <v>576.52499999999998</v>
      </c>
      <c r="BC235" s="497">
        <f>+BB240</f>
        <v>529.89326314727509</v>
      </c>
      <c r="BD235" s="497">
        <f>+BC240</f>
        <v>475.97834189027998</v>
      </c>
      <c r="BE235" s="497">
        <f>$AC$234</f>
        <v>476.92204041051525</v>
      </c>
      <c r="BF235" s="497">
        <f t="shared" ref="BF235:BL235" si="369">+BE240</f>
        <v>475.16048121872552</v>
      </c>
      <c r="BG235" s="497">
        <f t="shared" si="369"/>
        <v>478.36369084310002</v>
      </c>
      <c r="BH235" s="497">
        <f t="shared" si="369"/>
        <v>481.63096465996199</v>
      </c>
      <c r="BI235" s="497">
        <f t="shared" si="369"/>
        <v>484.96358395316122</v>
      </c>
      <c r="BJ235" s="497">
        <f t="shared" si="369"/>
        <v>488.36285563222441</v>
      </c>
      <c r="BK235" s="497">
        <f t="shared" si="369"/>
        <v>491.83011274486887</v>
      </c>
      <c r="BL235" s="497">
        <f t="shared" si="369"/>
        <v>495.36671499976626</v>
      </c>
    </row>
    <row r="236" spans="1:64" hidden="1" outlineLevel="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14"/>
      <c r="AK236" s="2"/>
      <c r="AL236" s="2"/>
      <c r="AM236" s="2"/>
      <c r="AN236" s="2"/>
      <c r="AO236" s="2"/>
      <c r="AP236" s="2"/>
      <c r="AQ236" s="2"/>
      <c r="AR236" s="2"/>
      <c r="AS236" s="101"/>
      <c r="AT236" s="57"/>
      <c r="AU236" s="57"/>
      <c r="AV236" s="56"/>
      <c r="AW236" s="100"/>
      <c r="AX236" s="494" t="s">
        <v>344</v>
      </c>
      <c r="AY236" s="2" t="s">
        <v>361</v>
      </c>
      <c r="AZ236" s="496">
        <f t="shared" ref="AZ236:BL236" si="370">+AZ235*Y259</f>
        <v>0</v>
      </c>
      <c r="BA236" s="496">
        <f t="shared" si="370"/>
        <v>-31.275000000000002</v>
      </c>
      <c r="BB236" s="496">
        <f t="shared" si="370"/>
        <v>-16.631736852724838</v>
      </c>
      <c r="BC236" s="496">
        <f t="shared" si="370"/>
        <v>-22.214921256995108</v>
      </c>
      <c r="BD236" s="496">
        <f t="shared" si="370"/>
        <v>15.38715386973379</v>
      </c>
      <c r="BE236" s="496">
        <f t="shared" si="370"/>
        <v>9.5384408082103054</v>
      </c>
      <c r="BF236" s="496">
        <f t="shared" si="370"/>
        <v>9.5032096243745112</v>
      </c>
      <c r="BG236" s="496">
        <f t="shared" si="370"/>
        <v>9.5672738168620004</v>
      </c>
      <c r="BH236" s="496">
        <f t="shared" si="370"/>
        <v>9.6326192931992392</v>
      </c>
      <c r="BI236" s="496">
        <f t="shared" si="370"/>
        <v>9.6992716790632247</v>
      </c>
      <c r="BJ236" s="496">
        <f t="shared" si="370"/>
        <v>9.7672571126444883</v>
      </c>
      <c r="BK236" s="496">
        <f t="shared" si="370"/>
        <v>9.8366022548973771</v>
      </c>
      <c r="BL236" s="496">
        <f t="shared" si="370"/>
        <v>9.9073342999953251</v>
      </c>
    </row>
    <row r="237" spans="1:64" hidden="1" outlineLevel="1">
      <c r="A237" s="213" t="s">
        <v>1086</v>
      </c>
      <c r="B237" s="260"/>
      <c r="C237" s="260"/>
      <c r="D237" s="260"/>
      <c r="E237" s="260"/>
      <c r="F237" s="260"/>
      <c r="G237" s="260"/>
      <c r="H237" s="260"/>
      <c r="I237" s="260"/>
      <c r="J237" s="260"/>
      <c r="K237" s="260"/>
      <c r="L237" s="5">
        <f>+K240</f>
        <v>763</v>
      </c>
      <c r="M237" s="5">
        <f t="shared" ref="M237:AK237" si="371">L240</f>
        <v>778</v>
      </c>
      <c r="N237" s="5">
        <f t="shared" si="371"/>
        <v>773</v>
      </c>
      <c r="O237" s="5">
        <f t="shared" si="371"/>
        <v>759</v>
      </c>
      <c r="P237" s="5">
        <f t="shared" si="371"/>
        <v>746</v>
      </c>
      <c r="Q237" s="5">
        <f t="shared" si="371"/>
        <v>709</v>
      </c>
      <c r="R237" s="5">
        <f t="shared" si="371"/>
        <v>689</v>
      </c>
      <c r="S237" s="5">
        <f t="shared" si="371"/>
        <v>663</v>
      </c>
      <c r="T237" s="5">
        <f t="shared" si="371"/>
        <v>629</v>
      </c>
      <c r="U237" s="5">
        <f t="shared" si="371"/>
        <v>551</v>
      </c>
      <c r="V237" s="5">
        <f t="shared" si="371"/>
        <v>443</v>
      </c>
      <c r="W237" s="5">
        <f t="shared" si="371"/>
        <v>389</v>
      </c>
      <c r="X237" s="5">
        <f t="shared" si="371"/>
        <v>368</v>
      </c>
      <c r="Y237" s="5">
        <f t="shared" si="371"/>
        <v>351</v>
      </c>
      <c r="Z237" s="5">
        <f t="shared" si="371"/>
        <v>341</v>
      </c>
      <c r="AA237" s="5">
        <f t="shared" si="371"/>
        <v>323</v>
      </c>
      <c r="AB237" s="5">
        <f t="shared" si="371"/>
        <v>292</v>
      </c>
      <c r="AC237" s="5">
        <f t="shared" si="371"/>
        <v>260</v>
      </c>
      <c r="AD237" s="5">
        <f t="shared" si="371"/>
        <v>233</v>
      </c>
      <c r="AE237" s="5">
        <f t="shared" si="371"/>
        <v>220</v>
      </c>
      <c r="AF237" s="5">
        <f t="shared" si="371"/>
        <v>212</v>
      </c>
      <c r="AG237" s="5">
        <f t="shared" si="371"/>
        <v>204</v>
      </c>
      <c r="AH237" s="5">
        <f t="shared" si="371"/>
        <v>196</v>
      </c>
      <c r="AI237" s="5">
        <f t="shared" si="371"/>
        <v>188</v>
      </c>
      <c r="AJ237" s="464">
        <f t="shared" si="371"/>
        <v>180</v>
      </c>
      <c r="AK237" s="5">
        <f t="shared" si="371"/>
        <v>172</v>
      </c>
      <c r="AL237" s="5"/>
      <c r="AM237" s="5"/>
      <c r="AN237" s="5"/>
      <c r="AO237" s="5"/>
      <c r="AP237" s="5"/>
      <c r="AQ237" s="5"/>
      <c r="AR237" s="5"/>
      <c r="AS237" s="101"/>
      <c r="AT237" s="57"/>
      <c r="AU237" s="57"/>
      <c r="AV237" s="56"/>
      <c r="AW237" s="100"/>
      <c r="AX237" s="494" t="s">
        <v>344</v>
      </c>
      <c r="AY237" s="2" t="s">
        <v>319</v>
      </c>
      <c r="AZ237" s="496">
        <f t="shared" ref="AZ237:BL237" si="372">+Y238*AZ249</f>
        <v>0</v>
      </c>
      <c r="BA237" s="496">
        <f t="shared" si="372"/>
        <v>0</v>
      </c>
      <c r="BB237" s="496">
        <f t="shared" si="372"/>
        <v>1.7</v>
      </c>
      <c r="BC237" s="496">
        <f t="shared" si="372"/>
        <v>0</v>
      </c>
      <c r="BD237" s="496">
        <f t="shared" si="372"/>
        <v>0</v>
      </c>
      <c r="BE237" s="496">
        <f t="shared" si="372"/>
        <v>3.4</v>
      </c>
      <c r="BF237" s="496">
        <f t="shared" si="372"/>
        <v>3.4</v>
      </c>
      <c r="BG237" s="496">
        <f t="shared" si="372"/>
        <v>3.4</v>
      </c>
      <c r="BH237" s="496">
        <f t="shared" si="372"/>
        <v>3.4</v>
      </c>
      <c r="BI237" s="496">
        <f t="shared" si="372"/>
        <v>3.4</v>
      </c>
      <c r="BJ237" s="496">
        <f t="shared" si="372"/>
        <v>3.4</v>
      </c>
      <c r="BK237" s="496">
        <f t="shared" si="372"/>
        <v>3.4</v>
      </c>
      <c r="BL237" s="496">
        <f t="shared" si="372"/>
        <v>3.4</v>
      </c>
    </row>
    <row r="238" spans="1:64" hidden="1" outlineLevel="1">
      <c r="A238" s="213" t="s">
        <v>937</v>
      </c>
      <c r="B238" s="260"/>
      <c r="C238" s="260"/>
      <c r="D238" s="260"/>
      <c r="E238" s="260"/>
      <c r="F238" s="260"/>
      <c r="G238" s="260"/>
      <c r="H238" s="260"/>
      <c r="I238" s="260"/>
      <c r="J238" s="260"/>
      <c r="K238" s="260"/>
      <c r="L238" s="5">
        <f>+'store&amp;sf'!T20-'store&amp;sf'!T14</f>
        <v>15</v>
      </c>
      <c r="M238" s="5"/>
      <c r="N238" s="5"/>
      <c r="O238" s="5"/>
      <c r="P238" s="5"/>
      <c r="Q238" s="5"/>
      <c r="R238" s="5"/>
      <c r="S238" s="5">
        <f>+'store&amp;sf'!CI63</f>
        <v>3</v>
      </c>
      <c r="T238" s="5">
        <f>+'store&amp;sf'!CI69</f>
        <v>1</v>
      </c>
      <c r="U238" s="5">
        <f>+'store&amp;sf'!CI75</f>
        <v>2</v>
      </c>
      <c r="V238" s="5">
        <f>+'store&amp;sf'!CI81</f>
        <v>0</v>
      </c>
      <c r="W238" s="5">
        <f>+'store&amp;sf'!CI87</f>
        <v>2</v>
      </c>
      <c r="X238" s="464">
        <f>+'store&amp;sf'!CI93</f>
        <v>1</v>
      </c>
      <c r="Y238" s="5">
        <f>+'store&amp;sf'!CI99</f>
        <v>2</v>
      </c>
      <c r="Z238" s="5">
        <f>+'store&amp;sf'!CI105</f>
        <v>0</v>
      </c>
      <c r="AA238" s="5">
        <f>'store&amp;sf'!CI111</f>
        <v>1</v>
      </c>
      <c r="AB238" s="5">
        <f>'store&amp;sf'!$CI$117</f>
        <v>0</v>
      </c>
      <c r="AC238" s="5">
        <f>'store&amp;sf'!$CI$123</f>
        <v>0</v>
      </c>
      <c r="AD238" s="260">
        <v>2</v>
      </c>
      <c r="AE238" s="260">
        <v>2</v>
      </c>
      <c r="AF238" s="260">
        <v>2</v>
      </c>
      <c r="AG238" s="260">
        <v>2</v>
      </c>
      <c r="AH238" s="260">
        <v>2</v>
      </c>
      <c r="AI238" s="260">
        <v>2</v>
      </c>
      <c r="AJ238" s="1169">
        <v>2</v>
      </c>
      <c r="AK238" s="260">
        <v>2</v>
      </c>
      <c r="AL238" s="260"/>
      <c r="AM238" s="260"/>
      <c r="AN238" s="260"/>
      <c r="AO238" s="260"/>
      <c r="AP238" s="260"/>
      <c r="AQ238" s="260"/>
      <c r="AR238" s="260"/>
      <c r="AS238" s="101"/>
      <c r="AT238" s="57"/>
      <c r="AU238" s="57"/>
      <c r="AV238" s="56"/>
      <c r="AW238" s="100"/>
      <c r="AX238" s="494" t="s">
        <v>344</v>
      </c>
      <c r="AY238" s="2" t="s">
        <v>480</v>
      </c>
      <c r="AZ238" s="496">
        <f>+AZ250*$AZ$253*$AZ$254</f>
        <v>0</v>
      </c>
      <c r="BA238" s="496">
        <f t="shared" ref="BA238:BF238" si="373">+BA250*$BA$253*$BA$254</f>
        <v>0.3</v>
      </c>
      <c r="BB238" s="496">
        <f t="shared" si="373"/>
        <v>0.3</v>
      </c>
      <c r="BC238" s="496">
        <f t="shared" si="373"/>
        <v>0.3</v>
      </c>
      <c r="BD238" s="496">
        <f t="shared" si="373"/>
        <v>0.3</v>
      </c>
      <c r="BE238" s="496">
        <f t="shared" si="373"/>
        <v>0.3</v>
      </c>
      <c r="BF238" s="496">
        <f t="shared" si="373"/>
        <v>0.3</v>
      </c>
      <c r="BG238" s="496">
        <f t="shared" ref="BG238:BL238" si="374">+BG250*$BA$253*$BA$254</f>
        <v>0.3</v>
      </c>
      <c r="BH238" s="496">
        <f t="shared" si="374"/>
        <v>0.3</v>
      </c>
      <c r="BI238" s="496">
        <f t="shared" si="374"/>
        <v>0.3</v>
      </c>
      <c r="BJ238" s="496">
        <f t="shared" si="374"/>
        <v>0.3</v>
      </c>
      <c r="BK238" s="496">
        <f t="shared" si="374"/>
        <v>0.3</v>
      </c>
      <c r="BL238" s="496">
        <f t="shared" si="374"/>
        <v>0.3</v>
      </c>
    </row>
    <row r="239" spans="1:64" hidden="1" outlineLevel="1">
      <c r="A239" s="214" t="s">
        <v>1087</v>
      </c>
      <c r="B239" s="5"/>
      <c r="C239" s="5"/>
      <c r="D239" s="5"/>
      <c r="E239" s="5"/>
      <c r="F239" s="5"/>
      <c r="G239" s="5"/>
      <c r="H239" s="5"/>
      <c r="I239" s="5"/>
      <c r="J239" s="5"/>
      <c r="K239" s="5"/>
      <c r="L239" s="5"/>
      <c r="M239" s="351">
        <f>+'store&amp;sf'!T26-'store&amp;sf'!T20</f>
        <v>-5</v>
      </c>
      <c r="N239" s="351">
        <f>+'store&amp;sf'!T32-'store&amp;sf'!T26</f>
        <v>-14</v>
      </c>
      <c r="O239" s="351">
        <f>+'store&amp;sf'!T38-'store&amp;sf'!T32</f>
        <v>-13</v>
      </c>
      <c r="P239" s="351">
        <f>+'store&amp;sf'!T44-'store&amp;sf'!T38</f>
        <v>-37</v>
      </c>
      <c r="Q239" s="351">
        <f>+'store&amp;sf'!T50-'store&amp;sf'!T44</f>
        <v>-20</v>
      </c>
      <c r="R239" s="351">
        <f>+'store&amp;sf'!T56-'store&amp;sf'!T50</f>
        <v>-26</v>
      </c>
      <c r="S239" s="351">
        <f>+'store&amp;sf'!CJ63</f>
        <v>-37</v>
      </c>
      <c r="T239" s="351">
        <f>+'store&amp;sf'!CJ69</f>
        <v>-79</v>
      </c>
      <c r="U239" s="351">
        <f>+'store&amp;sf'!CJ75</f>
        <v>-110</v>
      </c>
      <c r="V239" s="351">
        <f>+'store&amp;sf'!CJ81</f>
        <v>-54</v>
      </c>
      <c r="W239" s="351">
        <f>+'store&amp;sf'!CJ87</f>
        <v>-23</v>
      </c>
      <c r="X239" s="351">
        <f>+'store&amp;sf'!CJ93</f>
        <v>-18</v>
      </c>
      <c r="Y239" s="351">
        <f>+'store&amp;sf'!CJ99</f>
        <v>-12</v>
      </c>
      <c r="Z239" s="351">
        <f>+'store&amp;sf'!CJ105</f>
        <v>-18</v>
      </c>
      <c r="AA239" s="179">
        <f>'store&amp;sf'!CJ111</f>
        <v>-32</v>
      </c>
      <c r="AB239" s="192">
        <f>'store&amp;sf'!$CJ$117</f>
        <v>-32</v>
      </c>
      <c r="AC239" s="192">
        <f>'store&amp;sf'!$CJ$123</f>
        <v>-27</v>
      </c>
      <c r="AD239" s="300">
        <v>-15</v>
      </c>
      <c r="AE239" s="300">
        <v>-10</v>
      </c>
      <c r="AF239" s="300">
        <v>-10</v>
      </c>
      <c r="AG239" s="300">
        <v>-10</v>
      </c>
      <c r="AH239" s="300">
        <v>-10</v>
      </c>
      <c r="AI239" s="300">
        <v>-10</v>
      </c>
      <c r="AJ239" s="491">
        <v>-10</v>
      </c>
      <c r="AK239" s="300">
        <v>-10</v>
      </c>
      <c r="AL239" s="300"/>
      <c r="AM239" s="300"/>
      <c r="AN239" s="300"/>
      <c r="AO239" s="300"/>
      <c r="AP239" s="300"/>
      <c r="AQ239" s="300"/>
      <c r="AR239" s="300"/>
      <c r="AS239" s="101"/>
      <c r="AT239" s="57"/>
      <c r="AU239" s="57"/>
      <c r="AV239" s="56"/>
      <c r="AW239" s="100"/>
      <c r="AX239" s="494" t="s">
        <v>320</v>
      </c>
      <c r="AY239" s="2" t="s">
        <v>321</v>
      </c>
      <c r="AZ239" s="501">
        <f t="shared" ref="AZ239:BL239" si="375">+Y239*AZ250</f>
        <v>-18</v>
      </c>
      <c r="BA239" s="501">
        <f t="shared" si="375"/>
        <v>-18</v>
      </c>
      <c r="BB239" s="501">
        <f t="shared" si="375"/>
        <v>-32</v>
      </c>
      <c r="BC239" s="501">
        <f t="shared" si="375"/>
        <v>-32</v>
      </c>
      <c r="BD239" s="501">
        <f t="shared" si="375"/>
        <v>-27</v>
      </c>
      <c r="BE239" s="501">
        <f t="shared" si="375"/>
        <v>-15</v>
      </c>
      <c r="BF239" s="501">
        <f t="shared" si="375"/>
        <v>-10</v>
      </c>
      <c r="BG239" s="501">
        <f t="shared" si="375"/>
        <v>-10</v>
      </c>
      <c r="BH239" s="501">
        <f t="shared" si="375"/>
        <v>-10</v>
      </c>
      <c r="BI239" s="501">
        <f t="shared" si="375"/>
        <v>-10</v>
      </c>
      <c r="BJ239" s="501">
        <f t="shared" si="375"/>
        <v>-10</v>
      </c>
      <c r="BK239" s="501">
        <f t="shared" si="375"/>
        <v>-10</v>
      </c>
      <c r="BL239" s="501">
        <f t="shared" si="375"/>
        <v>-10</v>
      </c>
    </row>
    <row r="240" spans="1:64" hidden="1" outlineLevel="1">
      <c r="A240" s="213" t="s">
        <v>1088</v>
      </c>
      <c r="B240" s="5"/>
      <c r="C240" s="5"/>
      <c r="D240" s="5"/>
      <c r="E240" s="5"/>
      <c r="F240" s="5"/>
      <c r="G240" s="5"/>
      <c r="H240" s="5"/>
      <c r="I240" s="5"/>
      <c r="J240" s="5"/>
      <c r="K240" s="5">
        <f>+'store&amp;sf'!T14</f>
        <v>763</v>
      </c>
      <c r="L240" s="5">
        <f t="shared" ref="L240:AK240" si="376">+L237+L238+L239</f>
        <v>778</v>
      </c>
      <c r="M240" s="5">
        <f t="shared" si="376"/>
        <v>773</v>
      </c>
      <c r="N240" s="5">
        <f t="shared" si="376"/>
        <v>759</v>
      </c>
      <c r="O240" s="5">
        <f t="shared" si="376"/>
        <v>746</v>
      </c>
      <c r="P240" s="5">
        <f t="shared" si="376"/>
        <v>709</v>
      </c>
      <c r="Q240" s="5">
        <f t="shared" si="376"/>
        <v>689</v>
      </c>
      <c r="R240" s="5">
        <f t="shared" si="376"/>
        <v>663</v>
      </c>
      <c r="S240" s="5">
        <f t="shared" si="376"/>
        <v>629</v>
      </c>
      <c r="T240" s="5">
        <f t="shared" si="376"/>
        <v>551</v>
      </c>
      <c r="U240" s="5">
        <f t="shared" si="376"/>
        <v>443</v>
      </c>
      <c r="V240" s="5">
        <f t="shared" si="376"/>
        <v>389</v>
      </c>
      <c r="W240" s="5">
        <f t="shared" si="376"/>
        <v>368</v>
      </c>
      <c r="X240" s="5">
        <f t="shared" si="376"/>
        <v>351</v>
      </c>
      <c r="Y240" s="5">
        <f t="shared" si="376"/>
        <v>341</v>
      </c>
      <c r="Z240" s="5">
        <f t="shared" si="376"/>
        <v>323</v>
      </c>
      <c r="AA240" s="5">
        <f t="shared" si="376"/>
        <v>292</v>
      </c>
      <c r="AB240" s="5">
        <f t="shared" si="376"/>
        <v>260</v>
      </c>
      <c r="AC240" s="5">
        <f t="shared" si="376"/>
        <v>233</v>
      </c>
      <c r="AD240" s="5">
        <f t="shared" si="376"/>
        <v>220</v>
      </c>
      <c r="AE240" s="5">
        <f t="shared" si="376"/>
        <v>212</v>
      </c>
      <c r="AF240" s="5">
        <f t="shared" si="376"/>
        <v>204</v>
      </c>
      <c r="AG240" s="5">
        <f t="shared" si="376"/>
        <v>196</v>
      </c>
      <c r="AH240" s="5">
        <f t="shared" si="376"/>
        <v>188</v>
      </c>
      <c r="AI240" s="5">
        <f t="shared" si="376"/>
        <v>180</v>
      </c>
      <c r="AJ240" s="464">
        <f t="shared" si="376"/>
        <v>172</v>
      </c>
      <c r="AK240" s="5">
        <f t="shared" si="376"/>
        <v>164</v>
      </c>
      <c r="AL240" s="5"/>
      <c r="AM240" s="5"/>
      <c r="AN240" s="5"/>
      <c r="AO240" s="5"/>
      <c r="AP240" s="5"/>
      <c r="AQ240" s="5"/>
      <c r="AR240" s="5"/>
      <c r="AS240" s="101"/>
      <c r="AT240" s="56">
        <f>((AE240/X240)^(1/5)-1)*100</f>
        <v>-9.5922316999047403</v>
      </c>
      <c r="AU240" s="97" t="s">
        <v>1084</v>
      </c>
      <c r="AV240" s="56">
        <f>((AJ240/AD240)^(1/5)-1)*100</f>
        <v>-4.803462334096908</v>
      </c>
      <c r="AW240" s="102" t="s">
        <v>1084</v>
      </c>
      <c r="AX240" s="494" t="s">
        <v>756</v>
      </c>
      <c r="AY240" s="472" t="s">
        <v>456</v>
      </c>
      <c r="AZ240" s="502">
        <f t="shared" ref="AZ240:BL240" si="377">+SUM(AZ235:AZ239)</f>
        <v>620</v>
      </c>
      <c r="BA240" s="502">
        <f t="shared" si="377"/>
        <v>576.52499999999998</v>
      </c>
      <c r="BB240" s="502">
        <f t="shared" si="377"/>
        <v>529.89326314727509</v>
      </c>
      <c r="BC240" s="502">
        <f t="shared" si="377"/>
        <v>475.97834189027998</v>
      </c>
      <c r="BD240" s="502">
        <f t="shared" si="377"/>
        <v>464.66549576001375</v>
      </c>
      <c r="BE240" s="502">
        <f t="shared" si="377"/>
        <v>475.16048121872552</v>
      </c>
      <c r="BF240" s="502">
        <f t="shared" si="377"/>
        <v>478.36369084310002</v>
      </c>
      <c r="BG240" s="502">
        <f t="shared" si="377"/>
        <v>481.63096465996199</v>
      </c>
      <c r="BH240" s="502">
        <f t="shared" si="377"/>
        <v>484.96358395316122</v>
      </c>
      <c r="BI240" s="502">
        <f t="shared" si="377"/>
        <v>488.36285563222441</v>
      </c>
      <c r="BJ240" s="502">
        <f t="shared" si="377"/>
        <v>491.83011274486887</v>
      </c>
      <c r="BK240" s="502">
        <f t="shared" si="377"/>
        <v>495.36671499976626</v>
      </c>
      <c r="BL240" s="502">
        <f t="shared" si="377"/>
        <v>498.97404929976159</v>
      </c>
    </row>
    <row r="241" spans="1:64" hidden="1" outlineLevel="1">
      <c r="A241" s="213" t="s">
        <v>819</v>
      </c>
      <c r="B241" s="9"/>
      <c r="C241" s="9"/>
      <c r="D241" s="9"/>
      <c r="E241" s="9"/>
      <c r="F241" s="9"/>
      <c r="G241" s="9"/>
      <c r="H241" s="9"/>
      <c r="I241" s="9"/>
      <c r="J241" s="9"/>
      <c r="K241" s="9"/>
      <c r="L241" s="9"/>
      <c r="M241" s="9"/>
      <c r="N241" s="9"/>
      <c r="O241" s="9">
        <f t="shared" ref="O241:AK241" si="378">(+O240+O237)/2</f>
        <v>752.5</v>
      </c>
      <c r="P241" s="9">
        <f t="shared" si="378"/>
        <v>727.5</v>
      </c>
      <c r="Q241" s="9">
        <f t="shared" si="378"/>
        <v>699</v>
      </c>
      <c r="R241" s="9">
        <f t="shared" si="378"/>
        <v>676</v>
      </c>
      <c r="S241" s="9">
        <f t="shared" si="378"/>
        <v>646</v>
      </c>
      <c r="T241" s="9">
        <f t="shared" si="378"/>
        <v>590</v>
      </c>
      <c r="U241" s="9">
        <f t="shared" si="378"/>
        <v>497</v>
      </c>
      <c r="V241" s="9">
        <f t="shared" si="378"/>
        <v>416</v>
      </c>
      <c r="W241" s="9">
        <f t="shared" si="378"/>
        <v>378.5</v>
      </c>
      <c r="X241" s="9">
        <f t="shared" si="378"/>
        <v>359.5</v>
      </c>
      <c r="Y241" s="9">
        <f t="shared" si="378"/>
        <v>346</v>
      </c>
      <c r="Z241" s="9">
        <f t="shared" si="378"/>
        <v>332</v>
      </c>
      <c r="AA241" s="9">
        <f t="shared" si="378"/>
        <v>307.5</v>
      </c>
      <c r="AB241" s="9">
        <f t="shared" si="378"/>
        <v>276</v>
      </c>
      <c r="AC241" s="9">
        <f t="shared" si="378"/>
        <v>246.5</v>
      </c>
      <c r="AD241" s="9">
        <f t="shared" si="378"/>
        <v>226.5</v>
      </c>
      <c r="AE241" s="9">
        <f t="shared" si="378"/>
        <v>216</v>
      </c>
      <c r="AF241" s="9">
        <f t="shared" si="378"/>
        <v>208</v>
      </c>
      <c r="AG241" s="9">
        <f t="shared" si="378"/>
        <v>200</v>
      </c>
      <c r="AH241" s="9">
        <f t="shared" si="378"/>
        <v>192</v>
      </c>
      <c r="AI241" s="9">
        <f t="shared" si="378"/>
        <v>184</v>
      </c>
      <c r="AJ241" s="461">
        <f t="shared" si="378"/>
        <v>176</v>
      </c>
      <c r="AK241" s="9">
        <f t="shared" si="378"/>
        <v>168</v>
      </c>
      <c r="AL241" s="9"/>
      <c r="AM241" s="9"/>
      <c r="AN241" s="9"/>
      <c r="AO241" s="9"/>
      <c r="AP241" s="9"/>
      <c r="AQ241" s="9"/>
      <c r="AR241" s="9"/>
      <c r="AS241" s="103"/>
      <c r="AT241" s="98"/>
      <c r="AU241" s="98"/>
      <c r="AV241" s="98"/>
      <c r="AW241" s="104"/>
      <c r="AX241" s="494"/>
      <c r="AY241" s="508" t="s">
        <v>926</v>
      </c>
      <c r="AZ241" s="508"/>
      <c r="BA241" s="2"/>
      <c r="BB241" s="2"/>
      <c r="BC241" s="2"/>
      <c r="BD241" s="2"/>
      <c r="BE241" s="2"/>
      <c r="BF241" s="2"/>
      <c r="BG241" s="2"/>
      <c r="BH241" s="2"/>
      <c r="BI241" s="2"/>
      <c r="BJ241" s="2"/>
      <c r="BK241" s="2"/>
      <c r="BL241" s="2"/>
    </row>
    <row r="242" spans="1:64" hidden="1" outlineLevel="1">
      <c r="A242" s="213" t="s">
        <v>820</v>
      </c>
      <c r="B242" s="8"/>
      <c r="C242" s="8"/>
      <c r="D242" s="8"/>
      <c r="E242" s="8"/>
      <c r="F242" s="8"/>
      <c r="G242" s="8"/>
      <c r="H242" s="8"/>
      <c r="I242" s="8"/>
      <c r="J242" s="8"/>
      <c r="K242" s="8"/>
      <c r="L242" s="8"/>
      <c r="M242" s="8"/>
      <c r="N242" s="8"/>
      <c r="O242" s="8"/>
      <c r="P242" s="13">
        <f t="shared" ref="P242:AK242" si="379">(P241/O241-1)</f>
        <v>-3.3222591362126241E-2</v>
      </c>
      <c r="Q242" s="13">
        <f t="shared" si="379"/>
        <v>-3.9175257731958735E-2</v>
      </c>
      <c r="R242" s="13">
        <f t="shared" si="379"/>
        <v>-3.2904148783977072E-2</v>
      </c>
      <c r="S242" s="13">
        <f t="shared" si="379"/>
        <v>-4.4378698224852076E-2</v>
      </c>
      <c r="T242" s="13">
        <f t="shared" si="379"/>
        <v>-8.6687306501547989E-2</v>
      </c>
      <c r="U242" s="13">
        <f t="shared" si="379"/>
        <v>-0.15762711864406775</v>
      </c>
      <c r="V242" s="13">
        <f t="shared" si="379"/>
        <v>-0.16297786720321927</v>
      </c>
      <c r="W242" s="13">
        <f t="shared" si="379"/>
        <v>-9.0144230769230727E-2</v>
      </c>
      <c r="X242" s="13">
        <f t="shared" si="379"/>
        <v>-5.0198150594451763E-2</v>
      </c>
      <c r="Y242" s="13">
        <f t="shared" si="379"/>
        <v>-3.7552155771905404E-2</v>
      </c>
      <c r="Z242" s="13">
        <f t="shared" si="379"/>
        <v>-4.0462427745664775E-2</v>
      </c>
      <c r="AA242" s="13">
        <f t="shared" si="379"/>
        <v>-7.3795180722891596E-2</v>
      </c>
      <c r="AB242" s="13">
        <f t="shared" si="379"/>
        <v>-0.10243902439024388</v>
      </c>
      <c r="AC242" s="13">
        <f t="shared" si="379"/>
        <v>-0.10688405797101452</v>
      </c>
      <c r="AD242" s="13">
        <f t="shared" si="379"/>
        <v>-8.1135902636916835E-2</v>
      </c>
      <c r="AE242" s="13">
        <f t="shared" si="379"/>
        <v>-4.635761589403975E-2</v>
      </c>
      <c r="AF242" s="13">
        <f t="shared" si="379"/>
        <v>-3.703703703703709E-2</v>
      </c>
      <c r="AG242" s="13">
        <f t="shared" si="379"/>
        <v>-3.8461538461538436E-2</v>
      </c>
      <c r="AH242" s="13">
        <f t="shared" si="379"/>
        <v>-4.0000000000000036E-2</v>
      </c>
      <c r="AI242" s="13">
        <f t="shared" si="379"/>
        <v>-4.166666666666663E-2</v>
      </c>
      <c r="AJ242" s="15">
        <f t="shared" si="379"/>
        <v>-4.3478260869565188E-2</v>
      </c>
      <c r="AK242" s="13">
        <f t="shared" si="379"/>
        <v>-4.5454545454545414E-2</v>
      </c>
      <c r="AL242" s="13"/>
      <c r="AM242" s="13"/>
      <c r="AN242" s="13"/>
      <c r="AO242" s="13"/>
      <c r="AP242" s="13"/>
      <c r="AQ242" s="13"/>
      <c r="AR242" s="13"/>
      <c r="AS242" s="101"/>
      <c r="AT242" s="57"/>
      <c r="AU242" s="57"/>
      <c r="AV242" s="56"/>
      <c r="AW242" s="100"/>
      <c r="AX242" s="2"/>
      <c r="AY242" s="2" t="s">
        <v>359</v>
      </c>
      <c r="AZ242" s="18">
        <f t="shared" ref="AZ242:BF242" si="380">+(AZ235+AZ237)/AZ235-1</f>
        <v>0</v>
      </c>
      <c r="BA242" s="18">
        <f t="shared" si="380"/>
        <v>0</v>
      </c>
      <c r="BB242" s="18">
        <f t="shared" si="380"/>
        <v>2.9487012705433635E-3</v>
      </c>
      <c r="BC242" s="18">
        <f t="shared" si="380"/>
        <v>0</v>
      </c>
      <c r="BD242" s="18">
        <f t="shared" si="380"/>
        <v>0</v>
      </c>
      <c r="BE242" s="18">
        <f t="shared" si="380"/>
        <v>7.1290477518577422E-3</v>
      </c>
      <c r="BF242" s="18">
        <f t="shared" si="380"/>
        <v>7.1554772216735341E-3</v>
      </c>
      <c r="BG242" s="18">
        <f t="shared" ref="BG242:BL242" si="381">+(BG235+BG237)/BG235-1</f>
        <v>7.1075628545460567E-3</v>
      </c>
      <c r="BH242" s="18">
        <f t="shared" si="381"/>
        <v>7.0593467809954014E-3</v>
      </c>
      <c r="BI242" s="18">
        <f t="shared" si="381"/>
        <v>7.0108356843725517E-3</v>
      </c>
      <c r="BJ242" s="18">
        <f t="shared" si="381"/>
        <v>6.9620364464417772E-3</v>
      </c>
      <c r="BK242" s="18">
        <f t="shared" si="381"/>
        <v>6.9129561446021892E-3</v>
      </c>
      <c r="BL242" s="18">
        <f t="shared" si="381"/>
        <v>6.8636020488408445E-3</v>
      </c>
    </row>
    <row r="243" spans="1:64" hidden="1" outlineLevel="1">
      <c r="A243" s="2"/>
      <c r="B243" s="2"/>
      <c r="C243" s="2"/>
      <c r="D243" s="2"/>
      <c r="E243" s="2"/>
      <c r="F243" s="2"/>
      <c r="G243" s="2"/>
      <c r="H243" s="2"/>
      <c r="I243" s="2"/>
      <c r="J243" s="2"/>
      <c r="K243" s="2"/>
      <c r="L243" s="2"/>
      <c r="M243" s="2"/>
      <c r="N243" s="2"/>
      <c r="O243" s="2"/>
      <c r="P243" s="2"/>
      <c r="Q243" s="2"/>
      <c r="R243" s="8"/>
      <c r="S243" s="8"/>
      <c r="T243" s="2"/>
      <c r="U243" s="5"/>
      <c r="V243" s="5"/>
      <c r="W243" s="2"/>
      <c r="X243" s="2"/>
      <c r="Y243" s="2"/>
      <c r="Z243" s="2"/>
      <c r="AA243" s="2"/>
      <c r="AB243" s="2"/>
      <c r="AC243" s="2"/>
      <c r="AD243" s="2"/>
      <c r="AE243" s="2"/>
      <c r="AF243" s="2"/>
      <c r="AG243" s="2"/>
      <c r="AH243" s="2"/>
      <c r="AI243" s="2"/>
      <c r="AJ243" s="14"/>
      <c r="AK243" s="2"/>
      <c r="AL243" s="2"/>
      <c r="AM243" s="2"/>
      <c r="AN243" s="2"/>
      <c r="AO243" s="2"/>
      <c r="AP243" s="2"/>
      <c r="AQ243" s="2"/>
      <c r="AR243" s="2"/>
      <c r="AS243" s="101"/>
      <c r="AT243" s="57"/>
      <c r="AU243" s="57"/>
      <c r="AV243" s="56"/>
      <c r="AW243" s="100"/>
      <c r="AX243" s="2"/>
      <c r="AY243" s="2" t="s">
        <v>951</v>
      </c>
      <c r="AZ243" s="18">
        <f t="shared" ref="AZ243:BF243" si="382">+(AZ235+AZ238)/AZ235-1</f>
        <v>0</v>
      </c>
      <c r="BA243" s="18">
        <f t="shared" si="382"/>
        <v>4.7961630695425583E-4</v>
      </c>
      <c r="BB243" s="18">
        <f t="shared" si="382"/>
        <v>5.203590477429465E-4</v>
      </c>
      <c r="BC243" s="18">
        <f t="shared" si="382"/>
        <v>5.6615175331375944E-4</v>
      </c>
      <c r="BD243" s="18">
        <f t="shared" si="382"/>
        <v>6.3028077876103872E-4</v>
      </c>
      <c r="BE243" s="18">
        <f t="shared" si="382"/>
        <v>6.2903362516397721E-4</v>
      </c>
      <c r="BF243" s="18">
        <f t="shared" si="382"/>
        <v>6.3136563720656014E-4</v>
      </c>
      <c r="BG243" s="18">
        <f t="shared" ref="BG243:BL243" si="383">+(BG235+BG238)/BG235-1</f>
        <v>6.2713789893065197E-4</v>
      </c>
      <c r="BH243" s="18">
        <f t="shared" si="383"/>
        <v>6.2288353949968567E-4</v>
      </c>
      <c r="BI243" s="18">
        <f t="shared" si="383"/>
        <v>6.1860314862105525E-4</v>
      </c>
      <c r="BJ243" s="18">
        <f t="shared" si="383"/>
        <v>6.1429733350970572E-4</v>
      </c>
      <c r="BK243" s="18">
        <f t="shared" si="383"/>
        <v>6.0996671864144147E-4</v>
      </c>
      <c r="BL243" s="18">
        <f t="shared" si="383"/>
        <v>6.056119454860287E-4</v>
      </c>
    </row>
    <row r="244" spans="1:64" hidden="1" outlineLevel="1">
      <c r="A244" s="213" t="s">
        <v>888</v>
      </c>
      <c r="B244" s="12"/>
      <c r="C244" s="12"/>
      <c r="D244" s="12"/>
      <c r="E244" s="12"/>
      <c r="F244" s="12"/>
      <c r="G244" s="12"/>
      <c r="H244" s="12"/>
      <c r="I244" s="12"/>
      <c r="J244" s="12"/>
      <c r="K244" s="12"/>
      <c r="L244" s="12"/>
      <c r="M244" s="12"/>
      <c r="N244" s="12"/>
      <c r="O244" s="12">
        <f t="shared" ref="O244:AC244" si="384">(O234)/O241</f>
        <v>1.440531561461794</v>
      </c>
      <c r="P244" s="12">
        <f t="shared" si="384"/>
        <v>1.1945017182130584</v>
      </c>
      <c r="Q244" s="12">
        <f t="shared" si="384"/>
        <v>1.2160228898426324</v>
      </c>
      <c r="R244" s="12">
        <f t="shared" si="384"/>
        <v>1.264792899408284</v>
      </c>
      <c r="S244" s="12">
        <f t="shared" si="384"/>
        <v>1.2012383900928794</v>
      </c>
      <c r="T244" s="12">
        <f t="shared" si="384"/>
        <v>1.2830508474576272</v>
      </c>
      <c r="U244" s="12">
        <f t="shared" si="384"/>
        <v>1.4169517102615692</v>
      </c>
      <c r="V244" s="12">
        <f t="shared" si="384"/>
        <v>1.6169038461538461</v>
      </c>
      <c r="W244" s="12">
        <f t="shared" si="384"/>
        <v>1.6322642007926025</v>
      </c>
      <c r="X244" s="12">
        <f t="shared" si="384"/>
        <v>1.7746870653685674</v>
      </c>
      <c r="Y244" s="12">
        <f t="shared" si="384"/>
        <v>1.8078034682080926</v>
      </c>
      <c r="Z244" s="12">
        <f t="shared" si="384"/>
        <v>1.7385542168674699</v>
      </c>
      <c r="AA244" s="12">
        <f t="shared" si="384"/>
        <v>1.772910569105691</v>
      </c>
      <c r="AB244" s="12">
        <f t="shared" si="384"/>
        <v>1.7876811594202897</v>
      </c>
      <c r="AC244" s="12">
        <f t="shared" si="384"/>
        <v>1.9347750118073641</v>
      </c>
      <c r="AD244" s="12">
        <f t="shared" ref="AD244:AI244" si="385">(AD234)/AD241</f>
        <v>2.0978387691775962</v>
      </c>
      <c r="AE244" s="12">
        <f t="shared" si="385"/>
        <v>2.2146467168662038</v>
      </c>
      <c r="AF244" s="12">
        <f t="shared" si="385"/>
        <v>2.3155334839421249</v>
      </c>
      <c r="AG244" s="12">
        <f t="shared" si="385"/>
        <v>2.4248179197658062</v>
      </c>
      <c r="AH244" s="12">
        <f t="shared" si="385"/>
        <v>2.5435565397511688</v>
      </c>
      <c r="AI244" s="12">
        <f t="shared" si="385"/>
        <v>2.6729897431786354</v>
      </c>
      <c r="AJ244" s="926">
        <f>(AJ234)/AJ241</f>
        <v>2.7747889524558205</v>
      </c>
      <c r="AK244" s="12">
        <f>(AK234)/AK241</f>
        <v>2.9275601949099337</v>
      </c>
      <c r="AL244" s="12"/>
      <c r="AM244" s="12"/>
      <c r="AN244" s="12"/>
      <c r="AO244" s="12"/>
      <c r="AP244" s="12"/>
      <c r="AQ244" s="12"/>
      <c r="AR244" s="12"/>
      <c r="AS244" s="101"/>
      <c r="AT244" s="57"/>
      <c r="AU244" s="57"/>
      <c r="AV244" s="56"/>
      <c r="AW244" s="100"/>
      <c r="AX244" s="2"/>
      <c r="AY244" s="2" t="s">
        <v>788</v>
      </c>
      <c r="AZ244" s="511">
        <f t="shared" ref="AZ244:BF244" si="386">+(AZ235+AZ236)/AZ235-1</f>
        <v>0</v>
      </c>
      <c r="BA244" s="18">
        <f t="shared" si="386"/>
        <v>-4.9999999999999933E-2</v>
      </c>
      <c r="BB244" s="18">
        <f t="shared" si="386"/>
        <v>-2.8848249169983742E-2</v>
      </c>
      <c r="BC244" s="18">
        <f t="shared" si="386"/>
        <v>-4.1923388731252564E-2</v>
      </c>
      <c r="BD244" s="18">
        <f t="shared" si="386"/>
        <v>3.2327424413106431E-2</v>
      </c>
      <c r="BE244" s="18">
        <f t="shared" si="386"/>
        <v>2.0000000000000018E-2</v>
      </c>
      <c r="BF244" s="18">
        <f t="shared" si="386"/>
        <v>2.0000000000000018E-2</v>
      </c>
      <c r="BG244" s="18">
        <f t="shared" ref="BG244:BL244" si="387">+(BG235+BG236)/BG235-1</f>
        <v>2.0000000000000018E-2</v>
      </c>
      <c r="BH244" s="18">
        <f t="shared" si="387"/>
        <v>2.0000000000000018E-2</v>
      </c>
      <c r="BI244" s="18">
        <f t="shared" si="387"/>
        <v>2.0000000000000018E-2</v>
      </c>
      <c r="BJ244" s="18">
        <f t="shared" si="387"/>
        <v>2.0000000000000018E-2</v>
      </c>
      <c r="BK244" s="18">
        <f t="shared" si="387"/>
        <v>2.0000000000000018E-2</v>
      </c>
      <c r="BL244" s="18">
        <f t="shared" si="387"/>
        <v>2.0000000000000018E-2</v>
      </c>
    </row>
    <row r="245" spans="1:64" hidden="1" outlineLevel="1">
      <c r="A245" s="213" t="s">
        <v>1085</v>
      </c>
      <c r="B245" s="13"/>
      <c r="C245" s="13"/>
      <c r="D245" s="13"/>
      <c r="E245" s="13"/>
      <c r="F245" s="13"/>
      <c r="G245" s="13"/>
      <c r="H245" s="13"/>
      <c r="I245" s="13"/>
      <c r="J245" s="13"/>
      <c r="K245" s="13"/>
      <c r="L245" s="13"/>
      <c r="M245" s="13"/>
      <c r="N245" s="13"/>
      <c r="O245" s="13"/>
      <c r="P245" s="13">
        <f t="shared" ref="P245:AK245" si="388">P244/O244-1</f>
        <v>-0.17079101203383162</v>
      </c>
      <c r="Q245" s="13">
        <f t="shared" si="388"/>
        <v>1.8016861174355636E-2</v>
      </c>
      <c r="R245" s="13">
        <f t="shared" si="388"/>
        <v>4.0106160807518165E-2</v>
      </c>
      <c r="S245" s="13">
        <f t="shared" si="388"/>
        <v>-5.0248945376857979E-2</v>
      </c>
      <c r="T245" s="13">
        <f t="shared" si="388"/>
        <v>6.8106762187663872E-2</v>
      </c>
      <c r="U245" s="13">
        <f t="shared" si="388"/>
        <v>0.10436130654468401</v>
      </c>
      <c r="V245" s="13">
        <f t="shared" si="388"/>
        <v>0.14111429094176109</v>
      </c>
      <c r="W245" s="13">
        <f t="shared" si="388"/>
        <v>9.4998565779247368E-3</v>
      </c>
      <c r="X245" s="13">
        <f t="shared" si="388"/>
        <v>8.7254786637363413E-2</v>
      </c>
      <c r="Y245" s="13">
        <f t="shared" si="388"/>
        <v>1.866041821443476E-2</v>
      </c>
      <c r="Z245" s="13">
        <f t="shared" si="388"/>
        <v>-3.8305740949409195E-2</v>
      </c>
      <c r="AA245" s="13">
        <f t="shared" si="388"/>
        <v>1.9761450005352454E-2</v>
      </c>
      <c r="AB245" s="13">
        <f t="shared" si="388"/>
        <v>8.3312664338446307E-3</v>
      </c>
      <c r="AC245" s="13">
        <f t="shared" si="388"/>
        <v>8.2281927966827206E-2</v>
      </c>
      <c r="AD245" s="13">
        <f t="shared" si="388"/>
        <v>8.4280475184505654E-2</v>
      </c>
      <c r="AE245" s="13">
        <f t="shared" si="388"/>
        <v>5.5680135864015545E-2</v>
      </c>
      <c r="AF245" s="13">
        <f t="shared" si="388"/>
        <v>4.555433889639926E-2</v>
      </c>
      <c r="AG245" s="13">
        <f t="shared" si="388"/>
        <v>4.7196223497328882E-2</v>
      </c>
      <c r="AH245" s="13">
        <f t="shared" si="388"/>
        <v>4.8968056123913195E-2</v>
      </c>
      <c r="AI245" s="13">
        <f t="shared" si="388"/>
        <v>5.0886701909181431E-2</v>
      </c>
      <c r="AJ245" s="15">
        <f t="shared" si="388"/>
        <v>3.8084399514428657E-2</v>
      </c>
      <c r="AK245" s="13">
        <f t="shared" si="388"/>
        <v>5.5056887234217644E-2</v>
      </c>
      <c r="AL245" s="13"/>
      <c r="AM245" s="13"/>
      <c r="AN245" s="13"/>
      <c r="AO245" s="13"/>
      <c r="AP245" s="13"/>
      <c r="AQ245" s="13"/>
      <c r="AR245" s="13"/>
      <c r="AS245" s="101"/>
      <c r="AT245" s="57"/>
      <c r="AU245" s="57"/>
      <c r="AV245" s="56"/>
      <c r="AW245" s="100"/>
      <c r="AX245" s="2"/>
      <c r="AY245" s="2" t="s">
        <v>561</v>
      </c>
      <c r="AZ245" s="510">
        <f t="shared" ref="AZ245:BF245" si="389">+(AZ235+AZ239)/AZ235-1</f>
        <v>-2.8213166144200663E-2</v>
      </c>
      <c r="BA245" s="510">
        <f t="shared" si="389"/>
        <v>-2.877697841726623E-2</v>
      </c>
      <c r="BB245" s="510">
        <f t="shared" si="389"/>
        <v>-5.5504965092580516E-2</v>
      </c>
      <c r="BC245" s="510">
        <f t="shared" si="389"/>
        <v>-6.0389520353471893E-2</v>
      </c>
      <c r="BD245" s="510">
        <f t="shared" si="389"/>
        <v>-5.6725270088494706E-2</v>
      </c>
      <c r="BE245" s="510">
        <f t="shared" si="389"/>
        <v>-3.1451681258195974E-2</v>
      </c>
      <c r="BF245" s="510">
        <f t="shared" si="389"/>
        <v>-2.1045521240216081E-2</v>
      </c>
      <c r="BG245" s="510">
        <f t="shared" ref="BG245:BL245" si="390">+(BG235+BG239)/BG235-1</f>
        <v>-2.0904596631017958E-2</v>
      </c>
      <c r="BH245" s="510">
        <f t="shared" si="390"/>
        <v>-2.0762784649986377E-2</v>
      </c>
      <c r="BI245" s="510">
        <f t="shared" si="390"/>
        <v>-2.0620104954036766E-2</v>
      </c>
      <c r="BJ245" s="510">
        <f t="shared" si="390"/>
        <v>-2.047657778365275E-2</v>
      </c>
      <c r="BK245" s="510">
        <f t="shared" si="390"/>
        <v>-2.0332223954712125E-2</v>
      </c>
      <c r="BL245" s="510">
        <f t="shared" si="390"/>
        <v>-2.0187064849532144E-2</v>
      </c>
    </row>
    <row r="246" spans="1:64" hidden="1" outlineLevel="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14"/>
      <c r="AK246" s="2"/>
      <c r="AL246" s="2"/>
      <c r="AM246" s="2"/>
      <c r="AN246" s="2"/>
      <c r="AO246" s="2"/>
      <c r="AP246" s="2"/>
      <c r="AQ246" s="2"/>
      <c r="AR246" s="2"/>
      <c r="AS246" s="101"/>
      <c r="AT246" s="57"/>
      <c r="AU246" s="57"/>
      <c r="AV246" s="56"/>
      <c r="AW246" s="100"/>
      <c r="AX246" s="2"/>
      <c r="AY246" s="2" t="s">
        <v>789</v>
      </c>
      <c r="AZ246" s="511">
        <f t="shared" ref="AZ246:BL246" si="391">+SUM(AZ242:AZ245)</f>
        <v>-2.8213166144200663E-2</v>
      </c>
      <c r="BA246" s="511">
        <f t="shared" si="391"/>
        <v>-7.8297362110311908E-2</v>
      </c>
      <c r="BB246" s="511">
        <f t="shared" si="391"/>
        <v>-8.0884153944277948E-2</v>
      </c>
      <c r="BC246" s="511">
        <f t="shared" si="391"/>
        <v>-0.1017467573314107</v>
      </c>
      <c r="BD246" s="511">
        <f t="shared" si="391"/>
        <v>-2.3767564896627236E-2</v>
      </c>
      <c r="BE246" s="511">
        <f t="shared" si="391"/>
        <v>-3.6935998811742365E-3</v>
      </c>
      <c r="BF246" s="511">
        <f t="shared" si="391"/>
        <v>6.7413216186640312E-3</v>
      </c>
      <c r="BG246" s="511">
        <f t="shared" si="391"/>
        <v>6.8301041224587689E-3</v>
      </c>
      <c r="BH246" s="511">
        <f t="shared" si="391"/>
        <v>6.9194456705087282E-3</v>
      </c>
      <c r="BI246" s="511">
        <f t="shared" si="391"/>
        <v>7.0093338789568582E-3</v>
      </c>
      <c r="BJ246" s="511">
        <f t="shared" si="391"/>
        <v>7.0997559962987511E-3</v>
      </c>
      <c r="BK246" s="511">
        <f t="shared" si="391"/>
        <v>7.1906989085315232E-3</v>
      </c>
      <c r="BL246" s="511">
        <f t="shared" si="391"/>
        <v>7.2821491447947473E-3</v>
      </c>
    </row>
    <row r="247" spans="1:64" hidden="1" outlineLevel="1">
      <c r="A247" s="213" t="s">
        <v>377</v>
      </c>
      <c r="B247" s="11"/>
      <c r="C247" s="11"/>
      <c r="D247" s="11"/>
      <c r="E247" s="11"/>
      <c r="F247" s="11"/>
      <c r="G247" s="11"/>
      <c r="H247" s="11"/>
      <c r="I247" s="11"/>
      <c r="J247" s="11"/>
      <c r="K247" s="11"/>
      <c r="L247" s="11"/>
      <c r="M247" s="11">
        <f t="shared" ref="M247:AK247" si="392">+(L250+M250)/2</f>
        <v>3.7264999999999997</v>
      </c>
      <c r="N247" s="11">
        <f t="shared" si="392"/>
        <v>4.0919999999999996</v>
      </c>
      <c r="O247" s="11">
        <f t="shared" si="392"/>
        <v>4.3695000000000004</v>
      </c>
      <c r="P247" s="11">
        <f t="shared" si="392"/>
        <v>4.42</v>
      </c>
      <c r="Q247" s="11">
        <f t="shared" si="392"/>
        <v>4.2844999999999995</v>
      </c>
      <c r="R247" s="11">
        <f t="shared" si="392"/>
        <v>4.0940000000000003</v>
      </c>
      <c r="S247" s="11">
        <f t="shared" si="392"/>
        <v>3.8834999999999997</v>
      </c>
      <c r="T247" s="11">
        <f t="shared" si="392"/>
        <v>3.5804999999999998</v>
      </c>
      <c r="U247" s="11">
        <f t="shared" si="392"/>
        <v>3.06</v>
      </c>
      <c r="V247" s="11">
        <f t="shared" si="392"/>
        <v>2.597</v>
      </c>
      <c r="W247" s="11">
        <f t="shared" si="392"/>
        <v>2.379</v>
      </c>
      <c r="X247" s="11">
        <f t="shared" si="392"/>
        <v>2.246</v>
      </c>
      <c r="Y247" s="11">
        <f t="shared" si="392"/>
        <v>2.1395</v>
      </c>
      <c r="Z247" s="11">
        <f t="shared" si="392"/>
        <v>2.024</v>
      </c>
      <c r="AA247" s="11">
        <f t="shared" si="392"/>
        <v>1.8325</v>
      </c>
      <c r="AB247" s="11">
        <f t="shared" si="392"/>
        <v>1.6065</v>
      </c>
      <c r="AC247" s="11">
        <f t="shared" si="392"/>
        <v>1.376625</v>
      </c>
      <c r="AD247" s="11">
        <f t="shared" si="392"/>
        <v>1.19275</v>
      </c>
      <c r="AE247" s="11">
        <f t="shared" si="392"/>
        <v>1.0837499999999998</v>
      </c>
      <c r="AF247" s="11">
        <f t="shared" si="392"/>
        <v>0.9947499999999998</v>
      </c>
      <c r="AG247" s="11">
        <f t="shared" si="392"/>
        <v>0.90574999999999972</v>
      </c>
      <c r="AH247" s="11">
        <f t="shared" si="392"/>
        <v>0.81674999999999975</v>
      </c>
      <c r="AI247" s="11">
        <f t="shared" si="392"/>
        <v>0.72774999999999979</v>
      </c>
      <c r="AJ247" s="125">
        <f t="shared" si="392"/>
        <v>0.63874999999999982</v>
      </c>
      <c r="AK247" s="11">
        <f t="shared" si="392"/>
        <v>0.54974999999999985</v>
      </c>
      <c r="AL247" s="11"/>
      <c r="AM247" s="11"/>
      <c r="AN247" s="11"/>
      <c r="AO247" s="11"/>
      <c r="AP247" s="11"/>
      <c r="AQ247" s="11"/>
      <c r="AR247" s="11"/>
      <c r="AS247" s="101"/>
      <c r="AT247" s="56">
        <f>((AE247/X247)^(1/5)-1)*100</f>
        <v>-13.562166772216354</v>
      </c>
      <c r="AU247" s="97" t="s">
        <v>1084</v>
      </c>
      <c r="AV247" s="56">
        <f>((AJ247/AD247)^(1/5)-1)*100</f>
        <v>-11.741549693335784</v>
      </c>
      <c r="AW247" s="102" t="s">
        <v>1084</v>
      </c>
      <c r="AX247" s="2"/>
      <c r="AY247" s="2"/>
      <c r="AZ247" s="2"/>
      <c r="BA247" s="2"/>
      <c r="BB247" s="2"/>
      <c r="BC247" s="2"/>
      <c r="BD247" s="2"/>
      <c r="BE247" s="2"/>
      <c r="BF247" s="2"/>
      <c r="BG247" s="2"/>
      <c r="BH247" s="2"/>
      <c r="BI247" s="2"/>
      <c r="BJ247" s="2"/>
      <c r="BK247" s="2"/>
      <c r="BL247" s="2"/>
    </row>
    <row r="248" spans="1:64" hidden="1" outlineLevel="1">
      <c r="A248" s="213" t="s">
        <v>1085</v>
      </c>
      <c r="B248" s="8"/>
      <c r="C248" s="8"/>
      <c r="D248" s="8"/>
      <c r="E248" s="8"/>
      <c r="F248" s="8"/>
      <c r="G248" s="8"/>
      <c r="H248" s="8"/>
      <c r="I248" s="8"/>
      <c r="J248" s="8"/>
      <c r="K248" s="8"/>
      <c r="L248" s="8"/>
      <c r="M248" s="8"/>
      <c r="N248" s="8">
        <f t="shared" ref="N248:AK248" si="393">N247/M247-1</f>
        <v>9.8081309539782557E-2</v>
      </c>
      <c r="O248" s="8">
        <f t="shared" si="393"/>
        <v>6.7815249266862443E-2</v>
      </c>
      <c r="P248" s="13">
        <f t="shared" si="393"/>
        <v>1.1557386428653116E-2</v>
      </c>
      <c r="Q248" s="13">
        <f t="shared" si="393"/>
        <v>-3.0656108597285181E-2</v>
      </c>
      <c r="R248" s="13">
        <f t="shared" si="393"/>
        <v>-4.4462597736025011E-2</v>
      </c>
      <c r="S248" s="13">
        <f t="shared" si="393"/>
        <v>-5.141670737664894E-2</v>
      </c>
      <c r="T248" s="13">
        <f t="shared" si="393"/>
        <v>-7.8022402471996877E-2</v>
      </c>
      <c r="U248" s="13">
        <f t="shared" si="393"/>
        <v>-0.14537075827398405</v>
      </c>
      <c r="V248" s="13">
        <f t="shared" si="393"/>
        <v>-0.15130718954248368</v>
      </c>
      <c r="W248" s="13">
        <f t="shared" si="393"/>
        <v>-8.3943011166730863E-2</v>
      </c>
      <c r="X248" s="13">
        <f t="shared" si="393"/>
        <v>-5.5905842791088678E-2</v>
      </c>
      <c r="Y248" s="13">
        <f t="shared" si="393"/>
        <v>-4.7417631344612632E-2</v>
      </c>
      <c r="Z248" s="13">
        <f t="shared" si="393"/>
        <v>-5.3984575835475557E-2</v>
      </c>
      <c r="AA248" s="13">
        <f t="shared" si="393"/>
        <v>-9.4614624505928835E-2</v>
      </c>
      <c r="AB248" s="13">
        <f t="shared" si="393"/>
        <v>-0.12332878581173257</v>
      </c>
      <c r="AC248" s="13">
        <f t="shared" si="393"/>
        <v>-0.14309056956115784</v>
      </c>
      <c r="AD248" s="13">
        <f t="shared" si="393"/>
        <v>-0.13356941796059207</v>
      </c>
      <c r="AE248" s="13">
        <f t="shared" si="393"/>
        <v>-9.1385453783274118E-2</v>
      </c>
      <c r="AF248" s="13">
        <f t="shared" si="393"/>
        <v>-8.2122260668973435E-2</v>
      </c>
      <c r="AG248" s="13">
        <f t="shared" si="393"/>
        <v>-8.9469716009047628E-2</v>
      </c>
      <c r="AH248" s="13">
        <f t="shared" si="393"/>
        <v>-9.8261109577698069E-2</v>
      </c>
      <c r="AI248" s="13">
        <f t="shared" si="393"/>
        <v>-0.10896847260483622</v>
      </c>
      <c r="AJ248" s="15">
        <f t="shared" si="393"/>
        <v>-0.12229474407420127</v>
      </c>
      <c r="AK248" s="13">
        <f t="shared" si="393"/>
        <v>-0.13933463796477497</v>
      </c>
      <c r="AL248" s="13"/>
      <c r="AM248" s="13"/>
      <c r="AN248" s="13"/>
      <c r="AO248" s="13"/>
      <c r="AP248" s="13"/>
      <c r="AQ248" s="13"/>
      <c r="AR248" s="13"/>
      <c r="AS248" s="101"/>
      <c r="AT248" s="57"/>
      <c r="AU248" s="57"/>
      <c r="AV248" s="56"/>
      <c r="AW248" s="100"/>
      <c r="AX248" s="2"/>
      <c r="AY248" s="500" t="s">
        <v>1117</v>
      </c>
      <c r="AZ248" s="500"/>
      <c r="BA248" s="2"/>
      <c r="BB248" s="2"/>
      <c r="BC248" s="2"/>
      <c r="BD248" s="2"/>
      <c r="BE248" s="2"/>
      <c r="BF248" s="2"/>
      <c r="BG248" s="2"/>
      <c r="BH248" s="2"/>
      <c r="BI248" s="2"/>
      <c r="BJ248" s="2"/>
      <c r="BK248" s="2"/>
      <c r="BL248" s="2"/>
    </row>
    <row r="249" spans="1:64" hidden="1" outlineLevel="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14"/>
      <c r="AK249" s="2"/>
      <c r="AL249" s="2"/>
      <c r="AM249" s="2"/>
      <c r="AN249" s="2"/>
      <c r="AO249" s="2"/>
      <c r="AP249" s="2"/>
      <c r="AQ249" s="2"/>
      <c r="AR249" s="2"/>
      <c r="AS249" s="101"/>
      <c r="AT249" s="57"/>
      <c r="AU249" s="57"/>
      <c r="AV249" s="56"/>
      <c r="AW249" s="100"/>
      <c r="AX249" s="2"/>
      <c r="AY249" s="2" t="s">
        <v>393</v>
      </c>
      <c r="AZ249" s="495">
        <v>0</v>
      </c>
      <c r="BA249" s="495">
        <v>1.7</v>
      </c>
      <c r="BB249" s="12">
        <f t="shared" ref="BB249:BD250" si="394">+BA249</f>
        <v>1.7</v>
      </c>
      <c r="BC249" s="12">
        <f t="shared" si="394"/>
        <v>1.7</v>
      </c>
      <c r="BD249" s="12">
        <f t="shared" si="394"/>
        <v>1.7</v>
      </c>
      <c r="BE249" s="12">
        <f t="shared" ref="BE249:BG250" si="395">+BD249</f>
        <v>1.7</v>
      </c>
      <c r="BF249" s="12">
        <f t="shared" si="395"/>
        <v>1.7</v>
      </c>
      <c r="BG249" s="12">
        <f t="shared" si="395"/>
        <v>1.7</v>
      </c>
      <c r="BH249" s="12">
        <f t="shared" ref="BH249:BJ250" si="396">+BG249</f>
        <v>1.7</v>
      </c>
      <c r="BI249" s="12">
        <f t="shared" si="396"/>
        <v>1.7</v>
      </c>
      <c r="BJ249" s="12">
        <f t="shared" si="396"/>
        <v>1.7</v>
      </c>
      <c r="BK249" s="12">
        <f>+BJ249</f>
        <v>1.7</v>
      </c>
      <c r="BL249" s="12">
        <f>+BK249</f>
        <v>1.7</v>
      </c>
    </row>
    <row r="250" spans="1:64" hidden="1" outlineLevel="1">
      <c r="A250" s="213" t="s">
        <v>1125</v>
      </c>
      <c r="B250" s="188"/>
      <c r="C250" s="188"/>
      <c r="D250" s="188"/>
      <c r="E250" s="188"/>
      <c r="F250" s="188"/>
      <c r="G250" s="188"/>
      <c r="H250" s="188"/>
      <c r="I250" s="188"/>
      <c r="J250" s="188"/>
      <c r="K250" s="11">
        <f>'store&amp;sf'!T196</f>
        <v>3.1659999999999999</v>
      </c>
      <c r="L250" s="11">
        <f>+'store&amp;sf'!T202</f>
        <v>3.5259999999999998</v>
      </c>
      <c r="M250" s="236">
        <f>+'store&amp;sf'!T208</f>
        <v>3.927</v>
      </c>
      <c r="N250" s="236">
        <f>+'store&amp;sf'!T214</f>
        <v>4.2569999999999997</v>
      </c>
      <c r="O250" s="236">
        <f>+'store&amp;sf'!T220</f>
        <v>4.4820000000000002</v>
      </c>
      <c r="P250" s="236">
        <f>+'store&amp;sf'!T226</f>
        <v>4.3579999999999997</v>
      </c>
      <c r="Q250" s="236">
        <f>+'store&amp;sf'!T232</f>
        <v>4.2110000000000003</v>
      </c>
      <c r="R250" s="236">
        <f>+'store&amp;sf'!T238</f>
        <v>3.9769999999999999</v>
      </c>
      <c r="S250" s="236">
        <f>+'store&amp;sf'!T244</f>
        <v>3.79</v>
      </c>
      <c r="T250" s="236">
        <f>+'store&amp;sf'!T250</f>
        <v>3.371</v>
      </c>
      <c r="U250" s="236">
        <f>+'store&amp;sf'!T256</f>
        <v>2.7490000000000001</v>
      </c>
      <c r="V250" s="236">
        <f>+'store&amp;sf'!T262</f>
        <v>2.4449999999999998</v>
      </c>
      <c r="W250" s="236">
        <f>+'store&amp;sf'!T268</f>
        <v>2.3130000000000002</v>
      </c>
      <c r="X250" s="236">
        <f>+'store&amp;sf'!T274</f>
        <v>2.1789999999999998</v>
      </c>
      <c r="Y250" s="11">
        <f>+'store&amp;sf'!T280</f>
        <v>2.1</v>
      </c>
      <c r="Z250" s="11">
        <f>+'store&amp;sf'!T286</f>
        <v>1.948</v>
      </c>
      <c r="AA250" s="11">
        <f>+'store&amp;sf'!T292</f>
        <v>1.7170000000000001</v>
      </c>
      <c r="AB250" s="11">
        <f>+'store&amp;sf'!T298</f>
        <v>1.496</v>
      </c>
      <c r="AC250" s="11">
        <f>'store&amp;sf'!$T$304</f>
        <v>1.25725</v>
      </c>
      <c r="AD250" s="11">
        <f t="shared" ref="AD250:AI250" si="397">+AC250+AD238*AD262/1000000+AD239*AD263/1000000+AD261</f>
        <v>1.12825</v>
      </c>
      <c r="AE250" s="11">
        <f t="shared" si="397"/>
        <v>1.0392499999999998</v>
      </c>
      <c r="AF250" s="11">
        <f t="shared" si="397"/>
        <v>0.95024999999999971</v>
      </c>
      <c r="AG250" s="11">
        <f t="shared" si="397"/>
        <v>0.86124999999999974</v>
      </c>
      <c r="AH250" s="11">
        <f t="shared" si="397"/>
        <v>0.77224999999999977</v>
      </c>
      <c r="AI250" s="11">
        <f t="shared" si="397"/>
        <v>0.6832499999999998</v>
      </c>
      <c r="AJ250" s="125">
        <f>+AI250+AJ238*AJ262/1000000+AJ239*AJ263/1000000+AJ261</f>
        <v>0.59424999999999983</v>
      </c>
      <c r="AK250" s="11">
        <f>+AJ250+AK238*AK262/1000000+AK239*AK263/1000000+AK261</f>
        <v>0.50524999999999987</v>
      </c>
      <c r="AL250" s="11"/>
      <c r="AM250" s="11"/>
      <c r="AN250" s="11"/>
      <c r="AO250" s="11"/>
      <c r="AP250" s="11"/>
      <c r="AQ250" s="11"/>
      <c r="AR250" s="11"/>
      <c r="AS250" s="101"/>
      <c r="AT250" s="56">
        <f>((AE250/X250)^(1/5)-1)*100</f>
        <v>-13.763214323512473</v>
      </c>
      <c r="AU250" s="97" t="s">
        <v>1084</v>
      </c>
      <c r="AV250" s="56">
        <f>((AJ250/AD250)^(1/5)-1)*100</f>
        <v>-12.034420185260842</v>
      </c>
      <c r="AW250" s="102" t="s">
        <v>1084</v>
      </c>
      <c r="AX250" s="2"/>
      <c r="AY250" s="2" t="s">
        <v>394</v>
      </c>
      <c r="AZ250" s="495">
        <v>1.5</v>
      </c>
      <c r="BA250" s="495">
        <v>1</v>
      </c>
      <c r="BB250" s="12">
        <f t="shared" si="394"/>
        <v>1</v>
      </c>
      <c r="BC250" s="12">
        <f t="shared" si="394"/>
        <v>1</v>
      </c>
      <c r="BD250" s="12">
        <f t="shared" si="394"/>
        <v>1</v>
      </c>
      <c r="BE250" s="12">
        <f t="shared" si="395"/>
        <v>1</v>
      </c>
      <c r="BF250" s="12">
        <f t="shared" si="395"/>
        <v>1</v>
      </c>
      <c r="BG250" s="12">
        <f t="shared" si="395"/>
        <v>1</v>
      </c>
      <c r="BH250" s="12">
        <f t="shared" si="396"/>
        <v>1</v>
      </c>
      <c r="BI250" s="12">
        <f t="shared" si="396"/>
        <v>1</v>
      </c>
      <c r="BJ250" s="12">
        <f t="shared" si="396"/>
        <v>1</v>
      </c>
      <c r="BK250" s="12">
        <f>+BJ250</f>
        <v>1</v>
      </c>
      <c r="BL250" s="12">
        <f>+BK250</f>
        <v>1</v>
      </c>
    </row>
    <row r="251" spans="1:64" hidden="1" outlineLevel="1">
      <c r="A251" s="213" t="s">
        <v>1085</v>
      </c>
      <c r="B251" s="8"/>
      <c r="C251" s="8"/>
      <c r="D251" s="8"/>
      <c r="E251" s="8"/>
      <c r="F251" s="8"/>
      <c r="G251" s="8"/>
      <c r="H251" s="8"/>
      <c r="I251" s="8"/>
      <c r="J251" s="8"/>
      <c r="K251" s="8"/>
      <c r="L251" s="8">
        <f t="shared" ref="L251:AK251" si="398">L250/K250-1</f>
        <v>0.11370814908401772</v>
      </c>
      <c r="M251" s="8">
        <f t="shared" si="398"/>
        <v>0.11372660238230292</v>
      </c>
      <c r="N251" s="8">
        <f t="shared" si="398"/>
        <v>8.4033613445378075E-2</v>
      </c>
      <c r="O251" s="13">
        <f t="shared" si="398"/>
        <v>5.2854122621564636E-2</v>
      </c>
      <c r="P251" s="13">
        <f t="shared" si="398"/>
        <v>-2.7666220437304934E-2</v>
      </c>
      <c r="Q251" s="13">
        <f t="shared" si="398"/>
        <v>-3.3731069297842864E-2</v>
      </c>
      <c r="R251" s="13">
        <f t="shared" si="398"/>
        <v>-5.5568748515792077E-2</v>
      </c>
      <c r="S251" s="13">
        <f t="shared" si="398"/>
        <v>-4.7020367110887529E-2</v>
      </c>
      <c r="T251" s="13">
        <f t="shared" si="398"/>
        <v>-0.11055408970976255</v>
      </c>
      <c r="U251" s="13">
        <f t="shared" si="398"/>
        <v>-0.18451498071788786</v>
      </c>
      <c r="V251" s="13">
        <f t="shared" si="398"/>
        <v>-0.11058566751546028</v>
      </c>
      <c r="W251" s="13">
        <f t="shared" si="398"/>
        <v>-5.3987730061349604E-2</v>
      </c>
      <c r="X251" s="13">
        <f t="shared" si="398"/>
        <v>-5.7933419801124209E-2</v>
      </c>
      <c r="Y251" s="13">
        <f t="shared" si="398"/>
        <v>-3.6255162918769956E-2</v>
      </c>
      <c r="Z251" s="13">
        <f t="shared" si="398"/>
        <v>-7.2380952380952435E-2</v>
      </c>
      <c r="AA251" s="13">
        <f t="shared" si="398"/>
        <v>-0.11858316221765908</v>
      </c>
      <c r="AB251" s="13">
        <f t="shared" si="398"/>
        <v>-0.12871287128712872</v>
      </c>
      <c r="AC251" s="13">
        <f t="shared" si="398"/>
        <v>-0.15959224598930477</v>
      </c>
      <c r="AD251" s="13">
        <f t="shared" si="398"/>
        <v>-0.10260489162855435</v>
      </c>
      <c r="AE251" s="13">
        <f t="shared" si="398"/>
        <v>-7.8883226235320403E-2</v>
      </c>
      <c r="AF251" s="13">
        <f t="shared" si="398"/>
        <v>-8.5638681741640688E-2</v>
      </c>
      <c r="AG251" s="13">
        <f t="shared" si="398"/>
        <v>-9.3659563272822988E-2</v>
      </c>
      <c r="AH251" s="13">
        <f t="shared" si="398"/>
        <v>-0.10333817126269951</v>
      </c>
      <c r="AI251" s="13">
        <f t="shared" si="398"/>
        <v>-0.11524765296212369</v>
      </c>
      <c r="AJ251" s="15">
        <f t="shared" si="398"/>
        <v>-0.13025978777899738</v>
      </c>
      <c r="AK251" s="13">
        <f t="shared" si="398"/>
        <v>-0.14976861590239798</v>
      </c>
      <c r="AL251" s="13"/>
      <c r="AM251" s="13"/>
      <c r="AN251" s="13"/>
      <c r="AO251" s="13"/>
      <c r="AP251" s="13"/>
      <c r="AQ251" s="13"/>
      <c r="AR251" s="13"/>
      <c r="AS251" s="101"/>
      <c r="AT251" s="57"/>
      <c r="AU251" s="57"/>
      <c r="AV251" s="56"/>
      <c r="AW251" s="100"/>
      <c r="AX251" s="2"/>
      <c r="AY251" s="2"/>
      <c r="AZ251" s="2"/>
      <c r="BA251" s="2"/>
      <c r="BB251" s="2"/>
      <c r="BC251" s="2"/>
      <c r="BD251" s="12"/>
      <c r="BE251" s="12"/>
      <c r="BF251" s="12"/>
      <c r="BG251" s="12"/>
      <c r="BH251" s="2"/>
      <c r="BI251" s="2"/>
      <c r="BJ251" s="2"/>
      <c r="BK251" s="2"/>
      <c r="BL251" s="2"/>
    </row>
    <row r="252" spans="1:64" hidden="1" outlineLevel="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14"/>
      <c r="AK252" s="2"/>
      <c r="AL252" s="2"/>
      <c r="AM252" s="2"/>
      <c r="AN252" s="2"/>
      <c r="AO252" s="2"/>
      <c r="AP252" s="2"/>
      <c r="AQ252" s="2"/>
      <c r="AR252" s="2"/>
      <c r="AS252" s="101"/>
      <c r="AT252" s="57"/>
      <c r="AU252" s="57"/>
      <c r="AV252" s="56"/>
      <c r="AW252" s="100"/>
      <c r="AX252" s="2"/>
      <c r="AY252" s="500" t="s">
        <v>1118</v>
      </c>
      <c r="AZ252" s="2"/>
      <c r="BA252" s="2"/>
      <c r="BB252" s="12"/>
      <c r="BC252" s="12"/>
      <c r="BD252" s="2"/>
      <c r="BE252" s="2"/>
      <c r="BF252" s="2"/>
      <c r="BG252" s="2"/>
      <c r="BH252" s="2"/>
      <c r="BI252" s="2"/>
      <c r="BJ252" s="2"/>
      <c r="BK252" s="2"/>
      <c r="BL252" s="2"/>
    </row>
    <row r="253" spans="1:64" hidden="1" outlineLevel="1">
      <c r="A253" s="213" t="s">
        <v>383</v>
      </c>
      <c r="B253" s="9"/>
      <c r="C253" s="9"/>
      <c r="D253" s="9"/>
      <c r="E253" s="9"/>
      <c r="F253" s="9"/>
      <c r="G253" s="9"/>
      <c r="H253" s="9"/>
      <c r="I253" s="9"/>
      <c r="J253" s="9"/>
      <c r="K253" s="9"/>
      <c r="L253" s="9">
        <f t="shared" ref="L253:AC253" si="399">L250/L240*1000000</f>
        <v>4532.1336760925442</v>
      </c>
      <c r="M253" s="9">
        <f t="shared" si="399"/>
        <v>5080.2069857697279</v>
      </c>
      <c r="N253" s="9">
        <f t="shared" si="399"/>
        <v>5608.6956521739121</v>
      </c>
      <c r="O253" s="9">
        <f t="shared" si="399"/>
        <v>6008.0428954423596</v>
      </c>
      <c r="P253" s="9">
        <f t="shared" si="399"/>
        <v>6146.6854724964733</v>
      </c>
      <c r="Q253" s="9">
        <f t="shared" si="399"/>
        <v>6111.7561683599424</v>
      </c>
      <c r="R253" s="9">
        <f t="shared" si="399"/>
        <v>5998.491704374057</v>
      </c>
      <c r="S253" s="9">
        <f t="shared" si="399"/>
        <v>6025.43720190779</v>
      </c>
      <c r="T253" s="9">
        <f t="shared" si="399"/>
        <v>6117.9673321234122</v>
      </c>
      <c r="U253" s="9">
        <f t="shared" si="399"/>
        <v>6205.4176072234768</v>
      </c>
      <c r="V253" s="9">
        <f t="shared" si="399"/>
        <v>6285.3470437017995</v>
      </c>
      <c r="W253" s="9">
        <f t="shared" si="399"/>
        <v>6285.326086956522</v>
      </c>
      <c r="X253" s="9">
        <f t="shared" si="399"/>
        <v>6207.9772079772074</v>
      </c>
      <c r="Y253" s="9">
        <f t="shared" si="399"/>
        <v>6158.3577712609977</v>
      </c>
      <c r="Z253" s="9">
        <f t="shared" si="399"/>
        <v>6030.9597523219818</v>
      </c>
      <c r="AA253" s="9">
        <f t="shared" si="399"/>
        <v>5880.1369863013697</v>
      </c>
      <c r="AB253" s="9">
        <f t="shared" si="399"/>
        <v>5753.8461538461534</v>
      </c>
      <c r="AC253" s="9">
        <f t="shared" si="399"/>
        <v>5395.9227467811161</v>
      </c>
      <c r="AD253" s="9">
        <f t="shared" ref="AD253:AI253" si="400">AD250/AD240*1000000</f>
        <v>5128.409090909091</v>
      </c>
      <c r="AE253" s="9">
        <f t="shared" si="400"/>
        <v>4902.1226415094334</v>
      </c>
      <c r="AF253" s="9">
        <f t="shared" si="400"/>
        <v>4658.0882352941162</v>
      </c>
      <c r="AG253" s="9">
        <f t="shared" si="400"/>
        <v>4394.1326530612232</v>
      </c>
      <c r="AH253" s="9">
        <f t="shared" si="400"/>
        <v>4107.7127659574453</v>
      </c>
      <c r="AI253" s="9">
        <f t="shared" si="400"/>
        <v>3795.8333333333321</v>
      </c>
      <c r="AJ253" s="461">
        <f>AJ250/AJ240*1000000</f>
        <v>3454.9418604651155</v>
      </c>
      <c r="AK253" s="9">
        <f>AK250/AK240*1000000</f>
        <v>3080.7926829268285</v>
      </c>
      <c r="AL253" s="9"/>
      <c r="AM253" s="9"/>
      <c r="AN253" s="9"/>
      <c r="AO253" s="9"/>
      <c r="AP253" s="9"/>
      <c r="AQ253" s="9"/>
      <c r="AR253" s="9"/>
      <c r="AS253" s="103"/>
      <c r="AT253" s="98"/>
      <c r="AU253" s="98"/>
      <c r="AV253" s="56"/>
      <c r="AW253" s="104"/>
      <c r="AX253" s="2"/>
      <c r="AY253" s="2" t="s">
        <v>1186</v>
      </c>
      <c r="AZ253" s="260">
        <v>15</v>
      </c>
      <c r="BA253" s="260">
        <v>15</v>
      </c>
      <c r="BB253" s="12"/>
      <c r="BC253" s="12"/>
      <c r="BD253" s="12"/>
      <c r="BE253" s="12"/>
      <c r="BF253" s="12"/>
      <c r="BG253" s="12"/>
      <c r="BH253" s="2"/>
      <c r="BI253" s="2"/>
      <c r="BJ253" s="2"/>
      <c r="BK253" s="2"/>
      <c r="BL253" s="2"/>
    </row>
    <row r="254" spans="1:64" hidden="1" outlineLevel="1">
      <c r="A254" s="213" t="s">
        <v>1085</v>
      </c>
      <c r="B254" s="13"/>
      <c r="C254" s="13"/>
      <c r="D254" s="13"/>
      <c r="E254" s="13"/>
      <c r="F254" s="13"/>
      <c r="G254" s="13"/>
      <c r="H254" s="13"/>
      <c r="I254" s="13"/>
      <c r="J254" s="13"/>
      <c r="K254" s="13"/>
      <c r="L254" s="13"/>
      <c r="M254" s="13">
        <f t="shared" ref="M254:AK254" si="401">M253/L253-1</f>
        <v>0.12093052607170995</v>
      </c>
      <c r="N254" s="13">
        <f t="shared" si="401"/>
        <v>0.10402896336400169</v>
      </c>
      <c r="O254" s="13">
        <f t="shared" si="401"/>
        <v>7.1201446474219443E-2</v>
      </c>
      <c r="P254" s="13">
        <f t="shared" si="401"/>
        <v>2.3076162981340742E-2</v>
      </c>
      <c r="Q254" s="13">
        <f t="shared" si="401"/>
        <v>-5.6826242847178854E-3</v>
      </c>
      <c r="R254" s="13">
        <f t="shared" si="401"/>
        <v>-1.8532228849744703E-2</v>
      </c>
      <c r="S254" s="13">
        <f t="shared" si="401"/>
        <v>4.4920454777130914E-3</v>
      </c>
      <c r="T254" s="13">
        <f t="shared" si="401"/>
        <v>1.5356583616260355E-2</v>
      </c>
      <c r="U254" s="13">
        <f t="shared" si="401"/>
        <v>1.4294008181588769E-2</v>
      </c>
      <c r="V254" s="13">
        <f t="shared" si="401"/>
        <v>1.2880589436121026E-2</v>
      </c>
      <c r="W254" s="13">
        <f t="shared" si="401"/>
        <v>-3.3342224592392E-6</v>
      </c>
      <c r="X254" s="13">
        <f t="shared" si="401"/>
        <v>-1.2306263495195702E-2</v>
      </c>
      <c r="Y254" s="13">
        <f t="shared" si="401"/>
        <v>-7.992850980903965E-3</v>
      </c>
      <c r="Z254" s="13">
        <f t="shared" si="401"/>
        <v>-2.0687011646764009E-2</v>
      </c>
      <c r="AA254" s="13">
        <f t="shared" si="401"/>
        <v>-2.500808697364354E-2</v>
      </c>
      <c r="AB254" s="13">
        <f t="shared" si="401"/>
        <v>-2.1477532368621488E-2</v>
      </c>
      <c r="AC254" s="13">
        <f t="shared" si="401"/>
        <v>-6.220593973055466E-2</v>
      </c>
      <c r="AD254" s="13">
        <f t="shared" si="401"/>
        <v>-4.9576998861150745E-2</v>
      </c>
      <c r="AE254" s="13">
        <f t="shared" si="401"/>
        <v>-4.4124102697030487E-2</v>
      </c>
      <c r="AF254" s="13">
        <f t="shared" si="401"/>
        <v>-4.9781375143273743E-2</v>
      </c>
      <c r="AG254" s="13">
        <f t="shared" si="401"/>
        <v>-5.6666076059468717E-2</v>
      </c>
      <c r="AH254" s="13">
        <f t="shared" si="401"/>
        <v>-6.5182348763240028E-2</v>
      </c>
      <c r="AI254" s="13">
        <f t="shared" si="401"/>
        <v>-7.5925326427106921E-2</v>
      </c>
      <c r="AJ254" s="15">
        <f t="shared" si="401"/>
        <v>-8.9806754652439147E-2</v>
      </c>
      <c r="AK254" s="13">
        <f t="shared" si="401"/>
        <v>-0.10829391423910029</v>
      </c>
      <c r="AL254" s="13"/>
      <c r="AM254" s="13"/>
      <c r="AN254" s="13"/>
      <c r="AO254" s="13"/>
      <c r="AP254" s="13"/>
      <c r="AQ254" s="13"/>
      <c r="AR254" s="13"/>
      <c r="AS254" s="101"/>
      <c r="AT254" s="57"/>
      <c r="AU254" s="57"/>
      <c r="AV254" s="56"/>
      <c r="AW254" s="100"/>
      <c r="AX254" s="2"/>
      <c r="AY254" s="2" t="s">
        <v>1119</v>
      </c>
      <c r="AZ254" s="498">
        <v>0</v>
      </c>
      <c r="BA254" s="498">
        <v>0.02</v>
      </c>
      <c r="BB254" s="2"/>
      <c r="BC254" s="2"/>
      <c r="BD254" s="12"/>
      <c r="BE254" s="12"/>
      <c r="BF254" s="12"/>
      <c r="BG254" s="12"/>
      <c r="BH254" s="2"/>
      <c r="BI254" s="2"/>
      <c r="BJ254" s="2"/>
      <c r="BK254" s="2"/>
      <c r="BL254" s="2"/>
    </row>
    <row r="255" spans="1:64" hidden="1" outlineLevel="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14"/>
      <c r="AK255" s="2"/>
      <c r="AL255" s="2"/>
      <c r="AM255" s="2"/>
      <c r="AN255" s="2"/>
      <c r="AO255" s="2"/>
      <c r="AP255" s="2"/>
      <c r="AQ255" s="2"/>
      <c r="AR255" s="2"/>
      <c r="AS255" s="101"/>
      <c r="AT255" s="57"/>
      <c r="AU255" s="57"/>
      <c r="AV255" s="56"/>
      <c r="AW255" s="100"/>
      <c r="AX255" s="2"/>
      <c r="AY255" s="2"/>
      <c r="AZ255" s="2"/>
      <c r="BA255" s="2"/>
      <c r="BB255" s="2"/>
      <c r="BC255" s="2"/>
      <c r="BD255" s="2"/>
      <c r="BE255" s="2"/>
      <c r="BF255" s="2"/>
      <c r="BG255" s="2"/>
      <c r="BH255" s="2"/>
      <c r="BI255" s="2"/>
      <c r="BJ255" s="2"/>
      <c r="BK255" s="2"/>
      <c r="BL255" s="2"/>
    </row>
    <row r="256" spans="1:64" hidden="1" outlineLevel="1">
      <c r="A256" s="213" t="s">
        <v>325</v>
      </c>
      <c r="B256" s="6"/>
      <c r="C256" s="6"/>
      <c r="D256" s="6"/>
      <c r="E256" s="6"/>
      <c r="F256" s="6"/>
      <c r="G256" s="6"/>
      <c r="H256" s="6"/>
      <c r="I256" s="6"/>
      <c r="J256" s="6"/>
      <c r="K256" s="6"/>
      <c r="L256" s="6"/>
      <c r="M256" s="6"/>
      <c r="N256" s="6">
        <f t="shared" ref="N256:AC256" si="402">+N234/N247</f>
        <v>294.47702834799611</v>
      </c>
      <c r="O256" s="6">
        <f t="shared" si="402"/>
        <v>248.08330472594116</v>
      </c>
      <c r="P256" s="6">
        <f t="shared" si="402"/>
        <v>196.60633484162895</v>
      </c>
      <c r="Q256" s="6">
        <f t="shared" si="402"/>
        <v>198.38954370404952</v>
      </c>
      <c r="R256" s="6">
        <f t="shared" si="402"/>
        <v>208.84220810942841</v>
      </c>
      <c r="S256" s="6">
        <f t="shared" si="402"/>
        <v>199.81975022531222</v>
      </c>
      <c r="T256" s="6">
        <f t="shared" si="402"/>
        <v>211.42298561653402</v>
      </c>
      <c r="U256" s="6">
        <f t="shared" si="402"/>
        <v>230.13888888888886</v>
      </c>
      <c r="V256" s="6">
        <f t="shared" si="402"/>
        <v>259.00346553715826</v>
      </c>
      <c r="W256" s="6">
        <f t="shared" si="402"/>
        <v>259.69398907103823</v>
      </c>
      <c r="X256" s="6">
        <f t="shared" si="402"/>
        <v>284.0605520926091</v>
      </c>
      <c r="Y256" s="6">
        <f t="shared" si="402"/>
        <v>292.35802757653659</v>
      </c>
      <c r="Z256" s="6">
        <f t="shared" si="402"/>
        <v>285.17786561264825</v>
      </c>
      <c r="AA256" s="6">
        <f t="shared" si="402"/>
        <v>297.5006821282401</v>
      </c>
      <c r="AB256" s="6">
        <f t="shared" si="402"/>
        <v>307.12729536258945</v>
      </c>
      <c r="AC256" s="6">
        <f t="shared" si="402"/>
        <v>346.44296043622285</v>
      </c>
      <c r="AD256" s="6">
        <f t="shared" ref="AD256:AI256" si="403">+AD234/AD247</f>
        <v>398.37391005552342</v>
      </c>
      <c r="AE256" s="6">
        <f t="shared" si="403"/>
        <v>441.39671588752032</v>
      </c>
      <c r="AF256" s="6">
        <f t="shared" si="403"/>
        <v>484.17287223921795</v>
      </c>
      <c r="AG256" s="6">
        <f t="shared" si="403"/>
        <v>535.42763892151402</v>
      </c>
      <c r="AH256" s="6">
        <f t="shared" si="403"/>
        <v>597.93431972111978</v>
      </c>
      <c r="AI256" s="6">
        <f t="shared" si="403"/>
        <v>675.82289624853183</v>
      </c>
      <c r="AJ256" s="16">
        <f>+AJ234/AJ247</f>
        <v>764.56024365123221</v>
      </c>
      <c r="AK256" s="6">
        <f>+AK234/AK247</f>
        <v>894.64322463823373</v>
      </c>
      <c r="AL256" s="6"/>
      <c r="AM256" s="6"/>
      <c r="AN256" s="6"/>
      <c r="AO256" s="6"/>
      <c r="AP256" s="6"/>
      <c r="AQ256" s="6"/>
      <c r="AR256" s="6"/>
      <c r="AS256" s="101"/>
      <c r="AT256" s="56">
        <f>((AE256/X256)^(1/5)-1)*100</f>
        <v>9.215337997234796</v>
      </c>
      <c r="AU256" s="97" t="s">
        <v>1084</v>
      </c>
      <c r="AV256" s="56">
        <f>((AJ256/AD256)^(1/5)-1)*100</f>
        <v>13.926345030928399</v>
      </c>
      <c r="AW256" s="102" t="s">
        <v>1084</v>
      </c>
      <c r="AX256" s="2"/>
      <c r="AY256" s="2"/>
      <c r="AZ256" s="2"/>
      <c r="BA256" s="2"/>
      <c r="BB256" s="2"/>
      <c r="BC256" s="2"/>
      <c r="BD256" s="2"/>
      <c r="BE256" s="2"/>
      <c r="BF256" s="2"/>
      <c r="BG256" s="2"/>
      <c r="BH256" s="2"/>
      <c r="BI256" s="2"/>
      <c r="BJ256" s="2"/>
      <c r="BK256" s="2"/>
      <c r="BL256" s="2"/>
    </row>
    <row r="257" spans="1:64" hidden="1" outlineLevel="1">
      <c r="A257" s="213" t="s">
        <v>1085</v>
      </c>
      <c r="B257" s="13"/>
      <c r="C257" s="13"/>
      <c r="D257" s="13"/>
      <c r="E257" s="13"/>
      <c r="F257" s="13"/>
      <c r="G257" s="13"/>
      <c r="H257" s="13"/>
      <c r="I257" s="13"/>
      <c r="J257" s="13"/>
      <c r="K257" s="13"/>
      <c r="L257" s="13"/>
      <c r="M257" s="13"/>
      <c r="N257" s="13"/>
      <c r="O257" s="13">
        <f t="shared" ref="O257:AK257" si="404">O256/N256-1</f>
        <v>-0.15754615523771687</v>
      </c>
      <c r="P257" s="13">
        <f t="shared" si="404"/>
        <v>-0.20749872685378434</v>
      </c>
      <c r="Q257" s="13">
        <f t="shared" si="404"/>
        <v>9.0699461126568792E-3</v>
      </c>
      <c r="R257" s="13">
        <f t="shared" si="404"/>
        <v>5.2687577229230342E-2</v>
      </c>
      <c r="S257" s="13">
        <f t="shared" si="404"/>
        <v>-4.3202272020551713E-2</v>
      </c>
      <c r="T257" s="13">
        <f t="shared" si="404"/>
        <v>5.8068511136353029E-2</v>
      </c>
      <c r="U257" s="13">
        <f t="shared" si="404"/>
        <v>8.8523502862174919E-2</v>
      </c>
      <c r="V257" s="13">
        <f t="shared" si="404"/>
        <v>0.12542242116327085</v>
      </c>
      <c r="W257" s="13">
        <f t="shared" si="404"/>
        <v>2.6660783570902069E-3</v>
      </c>
      <c r="X257" s="13">
        <f t="shared" si="404"/>
        <v>9.3827982344656835E-2</v>
      </c>
      <c r="Y257" s="13">
        <f t="shared" si="404"/>
        <v>2.9210235010816765E-2</v>
      </c>
      <c r="Z257" s="13">
        <f t="shared" si="404"/>
        <v>-2.4559482848503733E-2</v>
      </c>
      <c r="AA257" s="13">
        <f t="shared" si="404"/>
        <v>4.3210985148229186E-2</v>
      </c>
      <c r="AB257" s="13">
        <f t="shared" si="404"/>
        <v>3.2358289619651037E-2</v>
      </c>
      <c r="AC257" s="13">
        <f t="shared" si="404"/>
        <v>0.12801097677501438</v>
      </c>
      <c r="AD257" s="13">
        <f t="shared" si="404"/>
        <v>0.14989754606043038</v>
      </c>
      <c r="AE257" s="13">
        <f t="shared" si="404"/>
        <v>0.10799604277800356</v>
      </c>
      <c r="AF257" s="13">
        <f t="shared" si="404"/>
        <v>9.6910907607654639E-2</v>
      </c>
      <c r="AG257" s="13">
        <f t="shared" si="404"/>
        <v>0.10586046765745349</v>
      </c>
      <c r="AH257" s="13">
        <f t="shared" si="404"/>
        <v>0.11674160289056035</v>
      </c>
      <c r="AI257" s="13">
        <f t="shared" si="404"/>
        <v>0.13026276291305661</v>
      </c>
      <c r="AJ257" s="15">
        <f t="shared" si="404"/>
        <v>0.13130266508471111</v>
      </c>
      <c r="AK257" s="13">
        <f t="shared" si="404"/>
        <v>0.17014091703981049</v>
      </c>
      <c r="AL257" s="13"/>
      <c r="AM257" s="13"/>
      <c r="AN257" s="13"/>
      <c r="AO257" s="13"/>
      <c r="AP257" s="13"/>
      <c r="AQ257" s="13"/>
      <c r="AR257" s="13"/>
      <c r="AS257" s="101"/>
      <c r="AT257" s="57"/>
      <c r="AU257" s="57"/>
      <c r="AV257" s="56"/>
      <c r="AW257" s="100"/>
      <c r="AX257" s="2"/>
      <c r="AY257" s="2"/>
      <c r="AZ257" s="2"/>
      <c r="BA257" s="2"/>
      <c r="BB257" s="2"/>
      <c r="BC257" s="2"/>
      <c r="BD257" s="2"/>
      <c r="BE257" s="2"/>
      <c r="BF257" s="2"/>
      <c r="BG257" s="2"/>
      <c r="BH257" s="2"/>
      <c r="BI257" s="2"/>
      <c r="BJ257" s="2"/>
      <c r="BK257" s="2"/>
      <c r="BL257" s="2"/>
    </row>
    <row r="258" spans="1:64" hidden="1" outlineLevel="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14"/>
      <c r="AK258" s="2"/>
      <c r="AL258" s="2"/>
      <c r="AM258" s="2"/>
      <c r="AN258" s="2"/>
      <c r="AO258" s="2"/>
      <c r="AP258" s="2"/>
      <c r="AQ258" s="2"/>
      <c r="AR258" s="2"/>
      <c r="AS258" s="101"/>
      <c r="AT258" s="57"/>
      <c r="AU258" s="57"/>
      <c r="AV258" s="56"/>
      <c r="AW258" s="100"/>
      <c r="AX258" s="2"/>
      <c r="AY258" s="2"/>
      <c r="AZ258" s="2"/>
      <c r="BA258" s="2"/>
      <c r="BB258" s="2"/>
      <c r="BC258" s="2"/>
      <c r="BD258" s="2"/>
      <c r="BE258" s="2"/>
      <c r="BF258" s="2"/>
      <c r="BG258" s="2"/>
      <c r="BH258" s="2"/>
      <c r="BI258" s="2"/>
      <c r="BJ258" s="2"/>
      <c r="BK258" s="2"/>
      <c r="BL258" s="2"/>
    </row>
    <row r="259" spans="1:64" hidden="1" outlineLevel="1">
      <c r="A259" s="213" t="s">
        <v>823</v>
      </c>
      <c r="B259" s="13"/>
      <c r="C259" s="13"/>
      <c r="D259" s="13"/>
      <c r="E259" s="13"/>
      <c r="F259" s="13"/>
      <c r="G259" s="13"/>
      <c r="H259" s="13"/>
      <c r="I259" s="13"/>
      <c r="J259" s="13"/>
      <c r="K259" s="13"/>
      <c r="L259" s="13"/>
      <c r="M259" s="13"/>
      <c r="N259" s="13"/>
      <c r="O259" s="13"/>
      <c r="P259" s="443">
        <v>-0.21</v>
      </c>
      <c r="Q259" s="443">
        <v>-0.04</v>
      </c>
      <c r="R259" s="444">
        <v>0.03</v>
      </c>
      <c r="S259" s="444">
        <v>-7.0000000000000007E-2</v>
      </c>
      <c r="T259" s="444">
        <v>0.01</v>
      </c>
      <c r="U259" s="444">
        <v>0.05</v>
      </c>
      <c r="V259" s="444">
        <v>0.05</v>
      </c>
      <c r="W259" s="444">
        <v>-0.02</v>
      </c>
      <c r="X259" s="444">
        <v>7.0000000000000007E-2</v>
      </c>
      <c r="Y259" s="444">
        <v>0</v>
      </c>
      <c r="Z259" s="444">
        <v>-0.05</v>
      </c>
      <c r="AA259" s="565">
        <f>segqtrSales!F809/100</f>
        <v>-2.8848249169983679E-2</v>
      </c>
      <c r="AB259" s="443">
        <f>segqtrSales!F816/100</f>
        <v>-4.1923388731252537E-2</v>
      </c>
      <c r="AC259" s="443">
        <f>segqtrSales!$F$823/100</f>
        <v>3.2327424413106501E-2</v>
      </c>
      <c r="AD259" s="445">
        <v>0.02</v>
      </c>
      <c r="AE259" s="445">
        <v>0.02</v>
      </c>
      <c r="AF259" s="445">
        <v>0.02</v>
      </c>
      <c r="AG259" s="445">
        <v>0.02</v>
      </c>
      <c r="AH259" s="445">
        <v>0.02</v>
      </c>
      <c r="AI259" s="445">
        <v>0.02</v>
      </c>
      <c r="AJ259" s="471">
        <v>0.02</v>
      </c>
      <c r="AK259" s="445">
        <v>0.02</v>
      </c>
      <c r="AL259" s="445"/>
      <c r="AM259" s="445"/>
      <c r="AN259" s="445"/>
      <c r="AO259" s="445"/>
      <c r="AP259" s="445"/>
      <c r="AQ259" s="445"/>
      <c r="AR259" s="445"/>
      <c r="AS259" s="105"/>
      <c r="AT259" s="57"/>
      <c r="AU259" s="57"/>
      <c r="AV259" s="56"/>
      <c r="AW259" s="100"/>
      <c r="AX259" s="2"/>
      <c r="AY259" s="2"/>
      <c r="AZ259" s="2"/>
      <c r="BA259" s="2"/>
      <c r="BB259" s="2"/>
      <c r="BC259" s="2"/>
      <c r="BD259" s="2"/>
      <c r="BE259" s="2"/>
      <c r="BF259" s="2"/>
      <c r="BG259" s="2"/>
      <c r="BH259" s="2"/>
      <c r="BI259" s="2"/>
      <c r="BJ259" s="2"/>
      <c r="BK259" s="2"/>
      <c r="BL259" s="2"/>
    </row>
    <row r="260" spans="1:64" hidden="1" outlineLevel="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14"/>
      <c r="AK260" s="2"/>
      <c r="AL260" s="2"/>
      <c r="AM260" s="2"/>
      <c r="AN260" s="2"/>
      <c r="AO260" s="2"/>
      <c r="AP260" s="2"/>
      <c r="AQ260" s="2"/>
      <c r="AR260" s="2"/>
      <c r="AS260" s="101"/>
      <c r="AT260" s="57"/>
      <c r="AU260" s="57"/>
      <c r="AV260" s="56"/>
      <c r="AW260" s="100"/>
      <c r="AX260" s="2"/>
      <c r="AY260" s="2"/>
      <c r="AZ260" s="2"/>
      <c r="BA260" s="2"/>
      <c r="BB260" s="2"/>
      <c r="BC260" s="2"/>
      <c r="BD260" s="2"/>
      <c r="BE260" s="2"/>
      <c r="BF260" s="2"/>
      <c r="BG260" s="2"/>
      <c r="BH260" s="2"/>
      <c r="BI260" s="2"/>
      <c r="BJ260" s="2"/>
      <c r="BK260" s="2"/>
      <c r="BL260" s="2"/>
    </row>
    <row r="261" spans="1:64" hidden="1" outlineLevel="1">
      <c r="A261" s="2" t="s">
        <v>256</v>
      </c>
      <c r="B261" s="2"/>
      <c r="C261" s="2"/>
      <c r="D261" s="2"/>
      <c r="E261" s="2"/>
      <c r="F261" s="2"/>
      <c r="G261" s="2"/>
      <c r="H261" s="2"/>
      <c r="I261" s="2"/>
      <c r="J261" s="2"/>
      <c r="K261" s="2"/>
      <c r="L261" s="2"/>
      <c r="M261" s="2"/>
      <c r="N261" s="2"/>
      <c r="O261" s="2"/>
      <c r="P261" s="2"/>
      <c r="Q261" s="2"/>
      <c r="R261" s="2"/>
      <c r="S261" s="2"/>
      <c r="T261" s="2"/>
      <c r="U261" s="2"/>
      <c r="V261" s="2"/>
      <c r="W261" s="2"/>
      <c r="X261" s="2"/>
      <c r="Y261" s="467"/>
      <c r="Z261" s="529">
        <f>+'store&amp;sf'!CK286</f>
        <v>-4.4999999999999998E-2</v>
      </c>
      <c r="AA261" s="466">
        <v>-0.02</v>
      </c>
      <c r="AB261" s="466">
        <v>-0.02</v>
      </c>
      <c r="AC261" s="466">
        <v>-0.02</v>
      </c>
      <c r="AD261" s="466">
        <v>-0.02</v>
      </c>
      <c r="AE261" s="466">
        <v>-0.02</v>
      </c>
      <c r="AF261" s="466">
        <v>-0.02</v>
      </c>
      <c r="AG261" s="466">
        <v>-0.02</v>
      </c>
      <c r="AH261" s="466">
        <v>-0.02</v>
      </c>
      <c r="AI261" s="466">
        <v>-0.02</v>
      </c>
      <c r="AJ261" s="1174">
        <v>-0.02</v>
      </c>
      <c r="AK261" s="466">
        <v>-0.02</v>
      </c>
      <c r="AL261" s="466"/>
      <c r="AM261" s="466"/>
      <c r="AN261" s="466"/>
      <c r="AO261" s="466"/>
      <c r="AP261" s="466"/>
      <c r="AQ261" s="466"/>
      <c r="AR261" s="466"/>
      <c r="AS261" s="101"/>
      <c r="AT261" s="57"/>
      <c r="AU261" s="57"/>
      <c r="AV261" s="56"/>
      <c r="AW261" s="100"/>
      <c r="AX261" s="2"/>
      <c r="AY261" s="2"/>
      <c r="AZ261" s="2"/>
      <c r="BA261" s="498"/>
      <c r="BB261" s="503"/>
      <c r="BC261" s="503"/>
      <c r="BD261" s="2"/>
      <c r="BE261" s="2"/>
      <c r="BF261" s="2"/>
      <c r="BG261" s="2"/>
      <c r="BH261" s="2"/>
      <c r="BI261" s="2"/>
      <c r="BJ261" s="2"/>
      <c r="BK261" s="2"/>
      <c r="BL261" s="2"/>
    </row>
    <row r="262" spans="1:64" hidden="1" outlineLevel="1">
      <c r="A262" s="213" t="s">
        <v>323</v>
      </c>
      <c r="B262" s="9"/>
      <c r="C262" s="9"/>
      <c r="D262" s="9"/>
      <c r="E262" s="9"/>
      <c r="F262" s="9"/>
      <c r="G262" s="9"/>
      <c r="H262" s="9"/>
      <c r="I262" s="9"/>
      <c r="J262" s="9"/>
      <c r="K262" s="9"/>
      <c r="L262" s="9"/>
      <c r="M262" s="9"/>
      <c r="N262" s="9"/>
      <c r="O262" s="9"/>
      <c r="P262" s="9">
        <f>+(P250-O250)*1000000/(P240-P237)</f>
        <v>3351.3513513513662</v>
      </c>
      <c r="Q262" s="9"/>
      <c r="R262" s="9"/>
      <c r="S262" s="9"/>
      <c r="T262" s="9"/>
      <c r="U262" s="9"/>
      <c r="V262" s="9"/>
      <c r="W262" s="9"/>
      <c r="X262" s="9"/>
      <c r="Y262" s="50">
        <v>5500</v>
      </c>
      <c r="Z262" s="50">
        <v>5500</v>
      </c>
      <c r="AA262" s="50">
        <v>5500</v>
      </c>
      <c r="AB262" s="50">
        <v>5500</v>
      </c>
      <c r="AC262" s="50">
        <v>5500</v>
      </c>
      <c r="AD262" s="50">
        <v>5500</v>
      </c>
      <c r="AE262" s="50">
        <v>5500</v>
      </c>
      <c r="AF262" s="50">
        <v>5500</v>
      </c>
      <c r="AG262" s="50">
        <v>5500</v>
      </c>
      <c r="AH262" s="50">
        <v>5500</v>
      </c>
      <c r="AI262" s="50">
        <v>5500</v>
      </c>
      <c r="AJ262" s="379">
        <v>5500</v>
      </c>
      <c r="AK262" s="50">
        <v>5500</v>
      </c>
      <c r="AL262" s="50"/>
      <c r="AM262" s="50"/>
      <c r="AN262" s="50"/>
      <c r="AO262" s="50"/>
      <c r="AP262" s="50"/>
      <c r="AQ262" s="50"/>
      <c r="AR262" s="50"/>
      <c r="AS262" s="103"/>
      <c r="AT262" s="98"/>
      <c r="AU262" s="98"/>
      <c r="AV262" s="56"/>
      <c r="AW262" s="100"/>
      <c r="AX262" s="2"/>
      <c r="AY262" s="2"/>
      <c r="AZ262" s="2"/>
      <c r="BA262" s="2"/>
      <c r="BB262" s="2"/>
      <c r="BC262" s="2"/>
      <c r="BD262" s="2"/>
      <c r="BE262" s="2"/>
      <c r="BF262" s="2"/>
      <c r="BG262" s="2"/>
      <c r="BH262" s="2"/>
      <c r="BI262" s="2"/>
      <c r="BJ262" s="2"/>
      <c r="BK262" s="2"/>
      <c r="BL262" s="2"/>
    </row>
    <row r="263" spans="1:64" hidden="1" outlineLevel="1">
      <c r="A263" s="213" t="s">
        <v>950</v>
      </c>
      <c r="B263" s="9"/>
      <c r="C263" s="9"/>
      <c r="D263" s="9"/>
      <c r="E263" s="9"/>
      <c r="F263" s="9"/>
      <c r="G263" s="9"/>
      <c r="H263" s="9"/>
      <c r="I263" s="9"/>
      <c r="J263" s="9"/>
      <c r="K263" s="9"/>
      <c r="L263" s="9"/>
      <c r="M263" s="9"/>
      <c r="N263" s="9"/>
      <c r="O263" s="9"/>
      <c r="P263" s="9"/>
      <c r="Q263" s="9"/>
      <c r="R263" s="9"/>
      <c r="S263" s="9"/>
      <c r="T263" s="9"/>
      <c r="U263" s="9"/>
      <c r="V263" s="9"/>
      <c r="W263" s="9"/>
      <c r="X263" s="9"/>
      <c r="Y263" s="50">
        <v>8000</v>
      </c>
      <c r="Z263" s="50">
        <v>8000</v>
      </c>
      <c r="AA263" s="50">
        <v>8000</v>
      </c>
      <c r="AB263" s="50">
        <v>8000</v>
      </c>
      <c r="AC263" s="50">
        <v>6200</v>
      </c>
      <c r="AD263" s="50">
        <v>8000</v>
      </c>
      <c r="AE263" s="50">
        <v>8000</v>
      </c>
      <c r="AF263" s="50">
        <v>8000</v>
      </c>
      <c r="AG263" s="50">
        <v>8000</v>
      </c>
      <c r="AH263" s="50">
        <v>8000</v>
      </c>
      <c r="AI263" s="50">
        <v>8000</v>
      </c>
      <c r="AJ263" s="379">
        <v>8000</v>
      </c>
      <c r="AK263" s="50">
        <v>8000</v>
      </c>
      <c r="AL263" s="50"/>
      <c r="AM263" s="50"/>
      <c r="AN263" s="50"/>
      <c r="AO263" s="50"/>
      <c r="AP263" s="50"/>
      <c r="AQ263" s="50"/>
      <c r="AR263" s="50"/>
      <c r="AS263" s="103"/>
      <c r="AT263" s="98"/>
      <c r="AU263" s="98"/>
      <c r="AV263" s="56"/>
      <c r="AW263" s="100"/>
      <c r="AX263" s="2"/>
      <c r="AY263" s="2"/>
      <c r="AZ263" s="2"/>
      <c r="BA263" s="2"/>
      <c r="BB263" s="2"/>
      <c r="BC263" s="2"/>
      <c r="BD263" s="2"/>
      <c r="BE263" s="2"/>
      <c r="BF263" s="2"/>
      <c r="BG263" s="2"/>
      <c r="BH263" s="2"/>
      <c r="BI263" s="2"/>
      <c r="BJ263" s="2"/>
      <c r="BK263" s="2"/>
      <c r="BL263" s="2"/>
    </row>
    <row r="264" spans="1:64" hidden="1" outlineLevel="1">
      <c r="A264" s="2"/>
      <c r="B264" s="2"/>
      <c r="C264" s="2"/>
      <c r="D264" s="2"/>
      <c r="E264" s="2"/>
      <c r="F264" s="2"/>
      <c r="G264" s="2"/>
      <c r="H264" s="2"/>
      <c r="I264" s="2"/>
      <c r="J264" s="2"/>
      <c r="K264" s="2"/>
      <c r="L264" s="2"/>
      <c r="M264" s="2"/>
      <c r="N264" s="2"/>
      <c r="O264" s="2"/>
      <c r="P264" s="2"/>
      <c r="Q264" s="2"/>
      <c r="R264" s="2"/>
      <c r="S264" s="2"/>
      <c r="T264" s="2"/>
      <c r="U264" s="2"/>
      <c r="V264" s="190"/>
      <c r="W264" s="2"/>
      <c r="X264" s="2"/>
      <c r="Y264" s="2"/>
      <c r="Z264" s="2"/>
      <c r="AA264" s="2"/>
      <c r="AB264" s="2"/>
      <c r="AC264" s="2"/>
      <c r="AD264" s="2"/>
      <c r="AE264" s="2"/>
      <c r="AF264" s="2"/>
      <c r="AG264" s="2"/>
      <c r="AH264" s="2"/>
      <c r="AI264" s="2"/>
      <c r="AJ264" s="14"/>
      <c r="AK264" s="2"/>
      <c r="AL264" s="2"/>
      <c r="AM264" s="2"/>
      <c r="AN264" s="2"/>
      <c r="AO264" s="2"/>
      <c r="AP264" s="2"/>
      <c r="AQ264" s="2"/>
      <c r="AR264" s="2"/>
      <c r="AS264" s="101"/>
      <c r="AT264" s="57"/>
      <c r="AU264" s="57"/>
      <c r="AV264" s="56"/>
      <c r="AW264" s="100"/>
      <c r="AX264" s="2"/>
      <c r="AY264" s="2"/>
      <c r="AZ264" s="2"/>
      <c r="BA264" s="2"/>
      <c r="BB264" s="2"/>
      <c r="BC264" s="2"/>
      <c r="BD264" s="2"/>
      <c r="BE264" s="2"/>
      <c r="BF264" s="2"/>
      <c r="BG264" s="2"/>
      <c r="BH264" s="2"/>
      <c r="BI264" s="2"/>
      <c r="BJ264" s="2"/>
      <c r="BK264" s="2"/>
      <c r="BL264" s="2"/>
    </row>
    <row r="265" spans="1:64" hidden="1" outlineLevel="1">
      <c r="A265" s="2" t="s">
        <v>258</v>
      </c>
      <c r="B265" s="2"/>
      <c r="C265" s="2"/>
      <c r="D265" s="2"/>
      <c r="E265" s="2"/>
      <c r="F265" s="2"/>
      <c r="G265" s="2"/>
      <c r="H265" s="2"/>
      <c r="I265" s="2"/>
      <c r="J265" s="2"/>
      <c r="K265" s="2"/>
      <c r="L265" s="2"/>
      <c r="M265" s="2"/>
      <c r="N265" s="2"/>
      <c r="O265" s="2"/>
      <c r="P265" s="2"/>
      <c r="Q265" s="2"/>
      <c r="R265" s="2"/>
      <c r="S265" s="2">
        <f t="shared" ref="S265:X265" si="405">+R250+S238*0.006</f>
        <v>3.9949999999999997</v>
      </c>
      <c r="T265" s="2">
        <f t="shared" si="405"/>
        <v>3.7959999999999998</v>
      </c>
      <c r="U265" s="2">
        <f t="shared" si="405"/>
        <v>3.383</v>
      </c>
      <c r="V265" s="2">
        <f t="shared" si="405"/>
        <v>2.7490000000000001</v>
      </c>
      <c r="W265" s="2">
        <f t="shared" si="405"/>
        <v>2.4569999999999999</v>
      </c>
      <c r="X265" s="2">
        <f t="shared" si="405"/>
        <v>2.319</v>
      </c>
      <c r="Y265" s="2">
        <f t="shared" ref="Y265:AK265" si="406">+X250+Y238*Y262/1000000</f>
        <v>2.19</v>
      </c>
      <c r="Z265" s="2">
        <f t="shared" si="406"/>
        <v>2.1</v>
      </c>
      <c r="AA265" s="2">
        <f t="shared" si="406"/>
        <v>1.9535</v>
      </c>
      <c r="AB265" s="2">
        <f t="shared" si="406"/>
        <v>1.7170000000000001</v>
      </c>
      <c r="AC265" s="2">
        <f t="shared" si="406"/>
        <v>1.496</v>
      </c>
      <c r="AD265" s="2">
        <f t="shared" si="406"/>
        <v>1.2682499999999999</v>
      </c>
      <c r="AE265" s="2">
        <f t="shared" si="406"/>
        <v>1.1392499999999999</v>
      </c>
      <c r="AF265" s="2">
        <f t="shared" si="406"/>
        <v>1.0502499999999997</v>
      </c>
      <c r="AG265" s="2">
        <f t="shared" si="406"/>
        <v>0.96124999999999972</v>
      </c>
      <c r="AH265" s="2">
        <f t="shared" si="406"/>
        <v>0.87224999999999975</v>
      </c>
      <c r="AI265" s="2">
        <f t="shared" si="406"/>
        <v>0.78324999999999978</v>
      </c>
      <c r="AJ265" s="14">
        <f t="shared" si="406"/>
        <v>0.69424999999999981</v>
      </c>
      <c r="AK265" s="2">
        <f t="shared" si="406"/>
        <v>0.60524999999999984</v>
      </c>
      <c r="AL265" s="2"/>
      <c r="AM265" s="2"/>
      <c r="AN265" s="2"/>
      <c r="AO265" s="2"/>
      <c r="AP265" s="2"/>
      <c r="AQ265" s="2"/>
      <c r="AR265" s="2"/>
      <c r="AS265" s="101"/>
      <c r="AT265" s="57"/>
      <c r="AU265" s="57"/>
      <c r="AV265" s="56"/>
      <c r="AW265" s="100"/>
      <c r="AX265" s="2"/>
      <c r="AY265" s="2"/>
      <c r="AZ265" s="2"/>
      <c r="BA265" s="2"/>
      <c r="BB265" s="2"/>
      <c r="BC265" s="2"/>
      <c r="BD265" s="2"/>
      <c r="BE265" s="2"/>
      <c r="BF265" s="2"/>
      <c r="BG265" s="2"/>
      <c r="BH265" s="2"/>
      <c r="BI265" s="2"/>
      <c r="BJ265" s="2"/>
      <c r="BK265" s="2"/>
      <c r="BL265" s="2"/>
    </row>
    <row r="266" spans="1:64" hidden="1" outlineLevel="1">
      <c r="A266" s="2" t="s">
        <v>1110</v>
      </c>
      <c r="B266" s="2"/>
      <c r="C266" s="2"/>
      <c r="D266" s="2"/>
      <c r="E266" s="2"/>
      <c r="F266" s="2"/>
      <c r="G266" s="2"/>
      <c r="H266" s="2"/>
      <c r="I266" s="2"/>
      <c r="J266" s="2"/>
      <c r="K266" s="2"/>
      <c r="L266" s="2"/>
      <c r="M266" s="2"/>
      <c r="N266" s="2"/>
      <c r="O266" s="2"/>
      <c r="P266" s="2"/>
      <c r="Q266" s="2"/>
      <c r="R266" s="2"/>
      <c r="S266" s="2"/>
      <c r="T266" s="18">
        <f t="shared" ref="T266:AK266" si="407">+T265/S250-1</f>
        <v>1.5831134564643357E-3</v>
      </c>
      <c r="U266" s="18">
        <f t="shared" si="407"/>
        <v>3.5597745476119158E-3</v>
      </c>
      <c r="V266" s="18">
        <f t="shared" si="407"/>
        <v>0</v>
      </c>
      <c r="W266" s="18">
        <f t="shared" si="407"/>
        <v>4.9079754601226711E-3</v>
      </c>
      <c r="X266" s="18">
        <f t="shared" si="407"/>
        <v>2.5940337224383825E-3</v>
      </c>
      <c r="Y266" s="18">
        <f t="shared" si="407"/>
        <v>5.0481872418541851E-3</v>
      </c>
      <c r="Z266" s="18">
        <f t="shared" si="407"/>
        <v>0</v>
      </c>
      <c r="AA266" s="18">
        <f t="shared" si="407"/>
        <v>2.8234086242300283E-3</v>
      </c>
      <c r="AB266" s="18">
        <f t="shared" si="407"/>
        <v>0</v>
      </c>
      <c r="AC266" s="18">
        <f t="shared" si="407"/>
        <v>0</v>
      </c>
      <c r="AD266" s="18">
        <f t="shared" si="407"/>
        <v>8.7492543249154675E-3</v>
      </c>
      <c r="AE266" s="18">
        <f t="shared" si="407"/>
        <v>9.7496122313316391E-3</v>
      </c>
      <c r="AF266" s="18">
        <f t="shared" si="407"/>
        <v>1.0584556170315063E-2</v>
      </c>
      <c r="AG266" s="18">
        <f t="shared" si="407"/>
        <v>1.1575901078663575E-2</v>
      </c>
      <c r="AH266" s="18">
        <f t="shared" si="407"/>
        <v>1.2772133526850471E-2</v>
      </c>
      <c r="AI266" s="18">
        <f t="shared" si="407"/>
        <v>1.4244091939138892E-2</v>
      </c>
      <c r="AJ266" s="1175">
        <f t="shared" si="407"/>
        <v>1.6099524332235715E-2</v>
      </c>
      <c r="AK266" s="18">
        <f t="shared" si="407"/>
        <v>1.8510727808161542E-2</v>
      </c>
      <c r="AL266" s="18"/>
      <c r="AM266" s="18"/>
      <c r="AN266" s="18"/>
      <c r="AO266" s="18"/>
      <c r="AP266" s="18"/>
      <c r="AQ266" s="18"/>
      <c r="AR266" s="18"/>
      <c r="AS266" s="101"/>
      <c r="AT266" s="57"/>
      <c r="AU266" s="57"/>
      <c r="AV266" s="56"/>
      <c r="AW266" s="100"/>
      <c r="AX266" s="2"/>
      <c r="AY266" s="2"/>
      <c r="AZ266" s="2"/>
      <c r="BA266" s="2"/>
      <c r="BB266" s="2"/>
      <c r="BC266" s="2"/>
      <c r="BD266" s="2"/>
      <c r="BE266" s="2"/>
      <c r="BF266" s="2"/>
      <c r="BG266" s="2"/>
      <c r="BH266" s="2"/>
      <c r="BI266" s="2"/>
      <c r="BJ266" s="2"/>
      <c r="BK266" s="2"/>
      <c r="BL266" s="2"/>
    </row>
    <row r="267" spans="1:64" hidden="1" outlineLevel="1">
      <c r="A267" s="213" t="s">
        <v>824</v>
      </c>
      <c r="B267" s="180"/>
      <c r="C267" s="180"/>
      <c r="D267" s="180"/>
      <c r="E267" s="180"/>
      <c r="F267" s="180"/>
      <c r="G267" s="180"/>
      <c r="H267" s="180"/>
      <c r="I267" s="180"/>
      <c r="J267" s="180"/>
      <c r="K267" s="180"/>
      <c r="L267" s="13"/>
      <c r="M267" s="13"/>
      <c r="N267" s="13"/>
      <c r="O267" s="13">
        <f t="shared" ref="O267:AC267" si="408">(O235-O259)/O248</f>
        <v>-1.4807132443646904</v>
      </c>
      <c r="P267" s="13">
        <f t="shared" si="408"/>
        <v>1.0089233129955069</v>
      </c>
      <c r="Q267" s="13">
        <f t="shared" si="408"/>
        <v>-0.5915880746839679</v>
      </c>
      <c r="R267" s="13">
        <f t="shared" si="408"/>
        <v>0.54242550563532788</v>
      </c>
      <c r="S267" s="13">
        <f t="shared" si="408"/>
        <v>0.43561056243141388</v>
      </c>
      <c r="T267" s="13">
        <f t="shared" si="408"/>
        <v>0.44198249464121719</v>
      </c>
      <c r="U267" s="13">
        <f t="shared" si="408"/>
        <v>0.82352176991689574</v>
      </c>
      <c r="V267" s="13">
        <f t="shared" si="408"/>
        <v>0.62695026401508847</v>
      </c>
      <c r="W267" s="13">
        <f t="shared" si="408"/>
        <v>0.73264862196551339</v>
      </c>
      <c r="X267" s="13">
        <f t="shared" si="408"/>
        <v>0.66761166657068594</v>
      </c>
      <c r="Y267" s="13">
        <f t="shared" si="408"/>
        <v>0.41318969196579619</v>
      </c>
      <c r="Z267" s="13">
        <f t="shared" si="408"/>
        <v>0.50418522324996973</v>
      </c>
      <c r="AA267" s="13">
        <f t="shared" si="408"/>
        <v>0.28160320311134784</v>
      </c>
      <c r="AB267" s="13">
        <f t="shared" si="408"/>
        <v>0.43005220299119495</v>
      </c>
      <c r="AC267" s="13">
        <f t="shared" si="408"/>
        <v>0.45931874460794664</v>
      </c>
      <c r="AD267" s="13">
        <f t="shared" ref="AD267:AI267" si="409">(AD235-AD259)/AD248</f>
        <v>0.17738790991935621</v>
      </c>
      <c r="AE267" s="13">
        <f t="shared" si="409"/>
        <v>0.14508521687466708</v>
      </c>
      <c r="AF267" s="13">
        <f t="shared" si="409"/>
        <v>0.16036937817174782</v>
      </c>
      <c r="AG267" s="13">
        <f t="shared" si="409"/>
        <v>0.1462009148231633</v>
      </c>
      <c r="AH267" s="13">
        <f t="shared" si="409"/>
        <v>0.13220557122623508</v>
      </c>
      <c r="AI267" s="13">
        <f t="shared" si="409"/>
        <v>0.11838510438228189</v>
      </c>
      <c r="AJ267" s="15">
        <f>(AJ235-AJ259)/AJ248</f>
        <v>0.22118452446225692</v>
      </c>
      <c r="AK267" s="13">
        <f>(AK235-AK259)/AK248</f>
        <v>9.2584616374879136E-2</v>
      </c>
      <c r="AL267" s="13"/>
      <c r="AM267" s="13"/>
      <c r="AN267" s="13"/>
      <c r="AO267" s="13"/>
      <c r="AP267" s="13"/>
      <c r="AQ267" s="13"/>
      <c r="AR267" s="13"/>
      <c r="AS267" s="101"/>
      <c r="AT267" s="57"/>
      <c r="AU267" s="57"/>
      <c r="AV267" s="56"/>
      <c r="AW267" s="100"/>
      <c r="AX267" s="2"/>
      <c r="AY267" s="2"/>
      <c r="AZ267" s="2"/>
      <c r="BA267" s="2"/>
      <c r="BB267" s="2"/>
      <c r="BC267" s="2"/>
      <c r="BD267" s="2"/>
      <c r="BE267" s="2"/>
      <c r="BF267" s="2"/>
      <c r="BG267" s="2"/>
      <c r="BH267" s="2"/>
      <c r="BI267" s="2"/>
      <c r="BJ267" s="2"/>
      <c r="BK267" s="2"/>
      <c r="BL267" s="2"/>
    </row>
    <row r="268" spans="1:64" hidden="1" outlineLevel="1">
      <c r="AJ268" s="161"/>
      <c r="AS268" s="538"/>
      <c r="AT268" s="139"/>
      <c r="AU268" s="139"/>
      <c r="AV268" s="139"/>
      <c r="AW268" s="537"/>
    </row>
    <row r="269" spans="1:64" hidden="1" outlineLevel="1">
      <c r="A269" s="14" t="s">
        <v>1107</v>
      </c>
      <c r="B269" s="2"/>
      <c r="C269" s="2"/>
      <c r="D269" s="2"/>
      <c r="E269" s="2"/>
      <c r="F269" s="2"/>
      <c r="G269" s="2"/>
      <c r="H269" s="2"/>
      <c r="I269" s="2"/>
      <c r="J269" s="2"/>
      <c r="K269" s="475">
        <f>+'store&amp;sf'!T378</f>
        <v>3.9574999999999996</v>
      </c>
      <c r="L269" s="475">
        <f>+'store&amp;sf'!T384</f>
        <v>4.4074999999999998</v>
      </c>
      <c r="M269" s="475">
        <f>+'store&amp;sf'!T390</f>
        <v>4.9087499999999995</v>
      </c>
      <c r="N269" s="475">
        <f>+'store&amp;sf'!T396</f>
        <v>5.3212499999999991</v>
      </c>
      <c r="O269" s="475">
        <f>+'store&amp;sf'!T402</f>
        <v>5.6025</v>
      </c>
      <c r="P269" s="475">
        <f>+'store&amp;sf'!T408</f>
        <v>5.4474999999999989</v>
      </c>
      <c r="Q269" s="475">
        <f>+'store&amp;sf'!T414</f>
        <v>5.2637499999999999</v>
      </c>
      <c r="R269" s="475">
        <f>+'store&amp;sf'!T420</f>
        <v>4.9712499999999995</v>
      </c>
      <c r="S269" s="475">
        <f>+'store&amp;sf'!T426</f>
        <v>4.7374999999999998</v>
      </c>
      <c r="T269" s="475">
        <f>+'store&amp;sf'!T432</f>
        <v>4.2137500000000001</v>
      </c>
      <c r="U269" s="475">
        <f>+'store&amp;sf'!T438</f>
        <v>3.4362499999999998</v>
      </c>
      <c r="V269" s="475">
        <f>+'store&amp;sf'!T444</f>
        <v>3.0562499999999995</v>
      </c>
      <c r="W269" s="475">
        <f>+'store&amp;sf'!T450</f>
        <v>2.8912499999999999</v>
      </c>
      <c r="X269" s="236">
        <f>+'store&amp;sf'!T456</f>
        <v>2.7237499999999994</v>
      </c>
      <c r="Y269" s="475">
        <f>+'store&amp;sf'!T462</f>
        <v>2.625</v>
      </c>
      <c r="Z269" s="475">
        <f>+Z250/'store&amp;sf'!$AR$373</f>
        <v>2.4349999999999996</v>
      </c>
      <c r="AA269" s="475">
        <f>+AA250/'store&amp;sf'!$AR$373</f>
        <v>2.1462499999999998</v>
      </c>
      <c r="AB269" s="475">
        <f>+AB250/'store&amp;sf'!$AR$373</f>
        <v>1.8699999999999999</v>
      </c>
      <c r="AC269" s="475">
        <f>+AC250/'store&amp;sf'!$AR$373</f>
        <v>1.5715625</v>
      </c>
      <c r="AD269" s="475">
        <f>+AD250/'store&amp;sf'!$AR$373</f>
        <v>1.4103124999999999</v>
      </c>
      <c r="AE269" s="475">
        <f>+AE250/'store&amp;sf'!$AR$373</f>
        <v>1.2990624999999996</v>
      </c>
      <c r="AF269" s="475">
        <f>+AF250/'store&amp;sf'!$AR$373</f>
        <v>1.1878124999999995</v>
      </c>
      <c r="AG269" s="475">
        <f>+AG250/'store&amp;sf'!$AR$373</f>
        <v>1.0765624999999996</v>
      </c>
      <c r="AH269" s="475">
        <f>+AH250/'store&amp;sf'!$AR$373</f>
        <v>0.96531249999999968</v>
      </c>
      <c r="AI269" s="475">
        <f>+AI250/'store&amp;sf'!$AR$373</f>
        <v>0.85406249999999972</v>
      </c>
      <c r="AJ269" s="1162">
        <f>+AJ250/'store&amp;sf'!$AR$338</f>
        <v>0.8254741987179659</v>
      </c>
      <c r="AK269" s="475">
        <f>+AK250/'store&amp;sf'!$AR$338</f>
        <v>0.70184407051283515</v>
      </c>
      <c r="AL269" s="475"/>
      <c r="AM269" s="475"/>
      <c r="AN269" s="475"/>
      <c r="AO269" s="475"/>
      <c r="AP269" s="475"/>
      <c r="AQ269" s="475"/>
      <c r="AR269" s="475"/>
      <c r="AS269" s="101"/>
      <c r="AT269" s="57"/>
      <c r="AU269" s="57"/>
      <c r="AV269" s="56"/>
      <c r="AW269" s="100"/>
      <c r="AX269" s="2"/>
      <c r="AY269" s="2"/>
      <c r="AZ269" s="2"/>
      <c r="BA269" s="2"/>
      <c r="BB269" s="2"/>
      <c r="BC269" s="2"/>
      <c r="BD269" s="2"/>
      <c r="BE269" s="2"/>
      <c r="BF269" s="2"/>
      <c r="BG269" s="2"/>
      <c r="BH269" s="2"/>
      <c r="BI269" s="2"/>
      <c r="BJ269" s="2"/>
      <c r="BK269" s="2"/>
      <c r="BL269" s="2"/>
    </row>
    <row r="270" spans="1:64" hidden="1" outlineLevel="1">
      <c r="A270" s="14" t="s">
        <v>1108</v>
      </c>
      <c r="B270" s="2"/>
      <c r="C270" s="2"/>
      <c r="D270" s="2"/>
      <c r="E270" s="2"/>
      <c r="F270" s="2"/>
      <c r="G270" s="2"/>
      <c r="H270" s="2"/>
      <c r="I270" s="2"/>
      <c r="J270" s="2"/>
      <c r="K270" s="475"/>
      <c r="L270" s="475">
        <f t="shared" ref="L270:AK270" si="410">+(K269+L269)/2</f>
        <v>4.1824999999999992</v>
      </c>
      <c r="M270" s="475">
        <f t="shared" si="410"/>
        <v>4.6581250000000001</v>
      </c>
      <c r="N270" s="475">
        <f t="shared" si="410"/>
        <v>5.1149999999999993</v>
      </c>
      <c r="O270" s="475">
        <f t="shared" si="410"/>
        <v>5.4618749999999991</v>
      </c>
      <c r="P270" s="475">
        <f t="shared" si="410"/>
        <v>5.5249999999999995</v>
      </c>
      <c r="Q270" s="475">
        <f t="shared" si="410"/>
        <v>5.3556249999999999</v>
      </c>
      <c r="R270" s="475">
        <f t="shared" si="410"/>
        <v>5.1174999999999997</v>
      </c>
      <c r="S270" s="475">
        <f t="shared" si="410"/>
        <v>4.8543749999999992</v>
      </c>
      <c r="T270" s="475">
        <f t="shared" si="410"/>
        <v>4.475625</v>
      </c>
      <c r="U270" s="475">
        <f t="shared" si="410"/>
        <v>3.8250000000000002</v>
      </c>
      <c r="V270" s="475">
        <f t="shared" si="410"/>
        <v>3.2462499999999999</v>
      </c>
      <c r="W270" s="475">
        <f t="shared" si="410"/>
        <v>2.9737499999999999</v>
      </c>
      <c r="X270" s="475">
        <f t="shared" si="410"/>
        <v>2.8074999999999997</v>
      </c>
      <c r="Y270" s="475">
        <f t="shared" si="410"/>
        <v>2.6743749999999995</v>
      </c>
      <c r="Z270" s="475">
        <f t="shared" si="410"/>
        <v>2.5299999999999998</v>
      </c>
      <c r="AA270" s="475">
        <f t="shared" si="410"/>
        <v>2.2906249999999995</v>
      </c>
      <c r="AB270" s="475">
        <f t="shared" si="410"/>
        <v>2.0081249999999997</v>
      </c>
      <c r="AC270" s="475">
        <f t="shared" si="410"/>
        <v>1.7207812499999999</v>
      </c>
      <c r="AD270" s="475">
        <f t="shared" si="410"/>
        <v>1.4909374999999998</v>
      </c>
      <c r="AE270" s="475">
        <f t="shared" si="410"/>
        <v>1.3546874999999998</v>
      </c>
      <c r="AF270" s="475">
        <f t="shared" si="410"/>
        <v>1.2434374999999995</v>
      </c>
      <c r="AG270" s="475">
        <f t="shared" si="410"/>
        <v>1.1321874999999997</v>
      </c>
      <c r="AH270" s="475">
        <f t="shared" si="410"/>
        <v>1.0209374999999996</v>
      </c>
      <c r="AI270" s="475">
        <f t="shared" si="410"/>
        <v>0.90968749999999976</v>
      </c>
      <c r="AJ270" s="1162">
        <f t="shared" si="410"/>
        <v>0.83976834935898281</v>
      </c>
      <c r="AK270" s="475">
        <f t="shared" si="410"/>
        <v>0.76365913461540047</v>
      </c>
      <c r="AL270" s="475"/>
      <c r="AM270" s="475"/>
      <c r="AN270" s="475"/>
      <c r="AO270" s="475"/>
      <c r="AP270" s="475"/>
      <c r="AQ270" s="475"/>
      <c r="AR270" s="475"/>
      <c r="AS270" s="101"/>
      <c r="AT270" s="57"/>
      <c r="AU270" s="57"/>
      <c r="AV270" s="56"/>
      <c r="AW270" s="100"/>
      <c r="AX270" s="2"/>
      <c r="AY270" s="2"/>
      <c r="AZ270" s="2"/>
      <c r="BA270" s="2"/>
      <c r="BB270" s="2"/>
      <c r="BC270" s="2"/>
      <c r="BD270" s="2"/>
      <c r="BE270" s="2"/>
      <c r="BF270" s="2"/>
      <c r="BG270" s="2"/>
      <c r="BH270" s="2"/>
      <c r="BI270" s="2"/>
      <c r="BJ270" s="2"/>
      <c r="BK270" s="2"/>
      <c r="BL270" s="2"/>
    </row>
    <row r="271" spans="1:64" hidden="1" outlineLevel="1">
      <c r="A271" s="14" t="s">
        <v>1105</v>
      </c>
      <c r="B271" s="2"/>
      <c r="C271" s="2"/>
      <c r="D271" s="2"/>
      <c r="E271" s="2"/>
      <c r="F271" s="2"/>
      <c r="G271" s="2"/>
      <c r="H271" s="2"/>
      <c r="I271" s="2"/>
      <c r="J271" s="2"/>
      <c r="K271" s="9"/>
      <c r="L271" s="9">
        <f t="shared" ref="L271:AC271" si="411">+L269/L240*1000000</f>
        <v>5665.1670951156802</v>
      </c>
      <c r="M271" s="9">
        <f t="shared" si="411"/>
        <v>6350.2587322121599</v>
      </c>
      <c r="N271" s="9">
        <f t="shared" si="411"/>
        <v>7010.8695652173901</v>
      </c>
      <c r="O271" s="9">
        <f t="shared" si="411"/>
        <v>7510.0536193029493</v>
      </c>
      <c r="P271" s="9">
        <f t="shared" si="411"/>
        <v>7683.3568406205914</v>
      </c>
      <c r="Q271" s="9">
        <f t="shared" si="411"/>
        <v>7639.6952104499278</v>
      </c>
      <c r="R271" s="9">
        <f t="shared" si="411"/>
        <v>7498.1146304675704</v>
      </c>
      <c r="S271" s="9">
        <f t="shared" si="411"/>
        <v>7531.7965023847373</v>
      </c>
      <c r="T271" s="9">
        <f t="shared" si="411"/>
        <v>7647.4591651542651</v>
      </c>
      <c r="U271" s="9">
        <f t="shared" si="411"/>
        <v>7756.7720090293451</v>
      </c>
      <c r="V271" s="9">
        <f t="shared" si="411"/>
        <v>7856.6838046272478</v>
      </c>
      <c r="W271" s="9">
        <f t="shared" si="411"/>
        <v>7856.657608695652</v>
      </c>
      <c r="X271" s="9">
        <f t="shared" si="411"/>
        <v>7759.9715099715086</v>
      </c>
      <c r="Y271" s="9">
        <f t="shared" si="411"/>
        <v>7697.9472140762464</v>
      </c>
      <c r="Z271" s="9">
        <f t="shared" si="411"/>
        <v>7538.6996904024763</v>
      </c>
      <c r="AA271" s="9">
        <f t="shared" si="411"/>
        <v>7350.1712328767117</v>
      </c>
      <c r="AB271" s="9">
        <f t="shared" si="411"/>
        <v>7192.3076923076924</v>
      </c>
      <c r="AC271" s="9">
        <f t="shared" si="411"/>
        <v>6744.9034334763946</v>
      </c>
      <c r="AD271" s="9">
        <f t="shared" ref="AD271:AI271" si="412">+AD269/AD240*1000000</f>
        <v>6410.5113636363631</v>
      </c>
      <c r="AE271" s="9">
        <f t="shared" si="412"/>
        <v>6127.6533018867904</v>
      </c>
      <c r="AF271" s="9">
        <f t="shared" si="412"/>
        <v>5822.610294117645</v>
      </c>
      <c r="AG271" s="9">
        <f t="shared" si="412"/>
        <v>5492.6658163265292</v>
      </c>
      <c r="AH271" s="9">
        <f t="shared" si="412"/>
        <v>5134.6409574468071</v>
      </c>
      <c r="AI271" s="9">
        <f t="shared" si="412"/>
        <v>4744.7916666666652</v>
      </c>
      <c r="AJ271" s="461">
        <f>+AJ269/AJ240*1000000</f>
        <v>4799.2685971974761</v>
      </c>
      <c r="AK271" s="9">
        <f>+AK269/AK240*1000000</f>
        <v>4279.5370153221656</v>
      </c>
      <c r="AL271" s="9"/>
      <c r="AM271" s="9"/>
      <c r="AN271" s="9"/>
      <c r="AO271" s="9"/>
      <c r="AP271" s="9"/>
      <c r="AQ271" s="9"/>
      <c r="AR271" s="9"/>
      <c r="AS271" s="101"/>
      <c r="AT271" s="57"/>
      <c r="AU271" s="57"/>
      <c r="AV271" s="56"/>
      <c r="AW271" s="100"/>
      <c r="AX271" s="2"/>
      <c r="AY271" s="2"/>
      <c r="AZ271" s="2"/>
      <c r="BA271" s="2"/>
      <c r="BB271" s="2"/>
      <c r="BC271" s="2"/>
      <c r="BD271" s="2"/>
      <c r="BE271" s="2"/>
      <c r="BF271" s="2"/>
      <c r="BG271" s="2"/>
      <c r="BH271" s="2"/>
      <c r="BI271" s="2"/>
      <c r="BJ271" s="2"/>
      <c r="BK271" s="2"/>
      <c r="BL271" s="2"/>
    </row>
    <row r="272" spans="1:64" hidden="1" outlineLevel="1">
      <c r="A272" s="14" t="s">
        <v>1106</v>
      </c>
      <c r="B272" s="2"/>
      <c r="C272" s="2"/>
      <c r="D272" s="2"/>
      <c r="E272" s="2"/>
      <c r="F272" s="2"/>
      <c r="G272" s="2"/>
      <c r="H272" s="2"/>
      <c r="I272" s="2"/>
      <c r="J272" s="2"/>
      <c r="K272" s="2"/>
      <c r="L272" s="2"/>
      <c r="M272" s="6"/>
      <c r="N272" s="6">
        <f t="shared" ref="N272:AC272" si="413">+N234/N270</f>
        <v>235.58162267839691</v>
      </c>
      <c r="O272" s="6">
        <f t="shared" si="413"/>
        <v>198.46664378075297</v>
      </c>
      <c r="P272" s="6">
        <f t="shared" si="413"/>
        <v>157.28506787330318</v>
      </c>
      <c r="Q272" s="6">
        <f t="shared" si="413"/>
        <v>158.71163496323959</v>
      </c>
      <c r="R272" s="6">
        <f t="shared" si="413"/>
        <v>167.07376648754274</v>
      </c>
      <c r="S272" s="6">
        <f t="shared" si="413"/>
        <v>159.85580018024979</v>
      </c>
      <c r="T272" s="6">
        <f t="shared" si="413"/>
        <v>169.13838849322721</v>
      </c>
      <c r="U272" s="6">
        <f t="shared" si="413"/>
        <v>184.11111111111109</v>
      </c>
      <c r="V272" s="6">
        <f t="shared" si="413"/>
        <v>207.20277242972659</v>
      </c>
      <c r="W272" s="6">
        <f t="shared" si="413"/>
        <v>207.75519125683061</v>
      </c>
      <c r="X272" s="6">
        <f t="shared" si="413"/>
        <v>227.2484416740873</v>
      </c>
      <c r="Y272" s="6">
        <f t="shared" si="413"/>
        <v>233.8864220612293</v>
      </c>
      <c r="Z272" s="6">
        <f t="shared" si="413"/>
        <v>228.14229249011862</v>
      </c>
      <c r="AA272" s="6">
        <f t="shared" si="413"/>
        <v>238.00054570259212</v>
      </c>
      <c r="AB272" s="6">
        <f t="shared" si="413"/>
        <v>245.70183629007161</v>
      </c>
      <c r="AC272" s="6">
        <f t="shared" si="413"/>
        <v>277.15436834897827</v>
      </c>
      <c r="AD272" s="6">
        <f t="shared" ref="AD272:AI272" si="414">+AD234/AD270</f>
        <v>318.69912804441873</v>
      </c>
      <c r="AE272" s="6">
        <f t="shared" si="414"/>
        <v>353.11737271001618</v>
      </c>
      <c r="AF272" s="6">
        <f t="shared" si="414"/>
        <v>387.33829779137443</v>
      </c>
      <c r="AG272" s="6">
        <f t="shared" si="414"/>
        <v>428.34211113721125</v>
      </c>
      <c r="AH272" s="6">
        <f t="shared" si="414"/>
        <v>478.34745577689586</v>
      </c>
      <c r="AI272" s="6">
        <f t="shared" si="414"/>
        <v>540.6583169988254</v>
      </c>
      <c r="AJ272" s="16">
        <f>+AJ234/AJ270</f>
        <v>581.54472719173634</v>
      </c>
      <c r="AK272" s="6">
        <f>+AK234/AK270</f>
        <v>644.0440380413545</v>
      </c>
      <c r="AL272" s="6"/>
      <c r="AM272" s="6"/>
      <c r="AN272" s="6"/>
      <c r="AO272" s="6"/>
      <c r="AP272" s="6"/>
      <c r="AQ272" s="6"/>
      <c r="AR272" s="6"/>
      <c r="AS272" s="106"/>
      <c r="AT272" s="3"/>
      <c r="AU272" s="3"/>
      <c r="AV272" s="107"/>
      <c r="AW272" s="108"/>
      <c r="AX272" s="2"/>
      <c r="AY272" s="2"/>
      <c r="AZ272" s="2"/>
      <c r="BA272" s="2"/>
      <c r="BB272" s="2"/>
      <c r="BC272" s="2"/>
      <c r="BD272" s="2"/>
      <c r="BE272" s="2"/>
      <c r="BF272" s="2"/>
      <c r="BG272" s="2"/>
      <c r="BH272" s="2"/>
      <c r="BI272" s="2"/>
      <c r="BJ272" s="2"/>
      <c r="BK272" s="2"/>
      <c r="BL272" s="2"/>
    </row>
    <row r="273" spans="1:64" hidden="1" outlineLevel="1">
      <c r="A273" s="14"/>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14"/>
      <c r="AK273" s="2"/>
      <c r="AL273" s="2"/>
      <c r="AM273" s="2"/>
      <c r="AN273" s="2"/>
      <c r="AO273" s="2"/>
      <c r="AP273" s="2"/>
      <c r="AQ273" s="2"/>
      <c r="AR273" s="2"/>
      <c r="AS273" s="57"/>
      <c r="AT273" s="57"/>
      <c r="AU273" s="57"/>
      <c r="AV273" s="56"/>
      <c r="AW273" s="57"/>
      <c r="AX273" s="2"/>
      <c r="AY273" s="2"/>
      <c r="AZ273" s="2"/>
      <c r="BA273" s="2"/>
      <c r="BB273" s="2"/>
      <c r="BC273" s="2"/>
      <c r="BD273" s="2"/>
      <c r="BE273" s="2"/>
      <c r="BF273" s="2"/>
      <c r="BG273" s="2"/>
      <c r="BH273" s="2"/>
      <c r="BI273" s="2"/>
      <c r="BJ273" s="2"/>
      <c r="BK273" s="2"/>
      <c r="BL273" s="2"/>
    </row>
    <row r="274" spans="1:64" hidden="1" outlineLevel="1">
      <c r="A274" s="23" t="s">
        <v>549</v>
      </c>
      <c r="B274" s="2"/>
      <c r="C274" s="2"/>
      <c r="D274" s="2"/>
      <c r="E274" s="2"/>
      <c r="F274" s="2"/>
      <c r="G274" s="2"/>
      <c r="H274" s="2"/>
      <c r="I274" s="2"/>
      <c r="J274" s="2"/>
      <c r="K274" s="2"/>
      <c r="L274" s="2"/>
      <c r="M274" s="2"/>
      <c r="N274" s="2"/>
      <c r="O274" s="2"/>
      <c r="P274" s="2"/>
      <c r="Q274" s="2"/>
      <c r="R274" s="2"/>
      <c r="S274" s="20"/>
      <c r="T274" s="2"/>
      <c r="U274" s="2"/>
      <c r="V274" s="2"/>
      <c r="W274" s="2"/>
      <c r="X274" s="2"/>
      <c r="Y274" s="2"/>
      <c r="AJ274" s="161"/>
      <c r="AS274" s="2"/>
      <c r="AT274" s="2"/>
      <c r="AU274" s="2"/>
      <c r="AV274" s="7"/>
      <c r="AW274" s="2"/>
      <c r="AX274" s="2"/>
      <c r="AY274" s="2"/>
      <c r="AZ274" s="2"/>
      <c r="BA274" s="2"/>
      <c r="BB274" s="2"/>
      <c r="BC274" s="2"/>
      <c r="BD274" s="2"/>
      <c r="BE274" s="2"/>
      <c r="BF274" s="2"/>
      <c r="BG274" s="2"/>
      <c r="BH274" s="2"/>
      <c r="BI274" s="2"/>
      <c r="BJ274" s="2"/>
      <c r="BK274" s="2"/>
      <c r="BL274" s="2"/>
    </row>
    <row r="275" spans="1:64" collapsed="1">
      <c r="A275" s="213"/>
      <c r="B275" s="180"/>
      <c r="C275" s="180"/>
      <c r="D275" s="180"/>
      <c r="E275" s="180"/>
      <c r="F275" s="180"/>
      <c r="G275" s="180"/>
      <c r="H275" s="180"/>
      <c r="I275" s="180"/>
      <c r="J275" s="180"/>
      <c r="K275" s="180"/>
      <c r="L275" s="13"/>
      <c r="M275" s="13"/>
      <c r="N275" s="13"/>
      <c r="O275" s="13"/>
      <c r="P275" s="13"/>
      <c r="Q275" s="13"/>
      <c r="R275" s="13"/>
      <c r="S275" s="13"/>
      <c r="T275" s="13"/>
      <c r="U275" s="13"/>
      <c r="V275" s="13"/>
      <c r="W275" s="13"/>
      <c r="X275" s="13"/>
      <c r="Y275" s="13"/>
      <c r="Z275" s="13"/>
      <c r="AA275" s="13"/>
      <c r="AB275" s="13"/>
      <c r="AC275" s="13"/>
      <c r="AD275" s="13"/>
      <c r="AE275" s="13"/>
      <c r="AF275" s="13"/>
      <c r="AG275" s="13"/>
      <c r="AH275" s="13"/>
      <c r="AI275" s="13"/>
      <c r="AJ275" s="15"/>
      <c r="AK275" s="13"/>
      <c r="AL275" s="13"/>
      <c r="AM275" s="13"/>
      <c r="AN275" s="13"/>
      <c r="AO275" s="13"/>
      <c r="AP275" s="13"/>
      <c r="AQ275" s="13"/>
      <c r="AR275" s="13"/>
      <c r="AS275" s="57"/>
      <c r="AT275" s="57"/>
      <c r="AU275" s="57"/>
      <c r="AV275" s="56"/>
      <c r="AW275" s="57"/>
      <c r="AX275" s="2"/>
      <c r="AY275" s="2"/>
      <c r="AZ275" s="2"/>
      <c r="BA275" s="2"/>
      <c r="BB275" s="2"/>
      <c r="BC275" s="2"/>
      <c r="BD275" s="2"/>
      <c r="BE275" s="2"/>
      <c r="BF275" s="2"/>
      <c r="BG275" s="2"/>
      <c r="BH275" s="2"/>
      <c r="BI275" s="2"/>
      <c r="BJ275" s="2"/>
      <c r="BK275" s="2"/>
      <c r="BL275" s="2"/>
    </row>
    <row r="276" spans="1:64">
      <c r="A276" s="213"/>
      <c r="B276" s="180"/>
      <c r="C276" s="180"/>
      <c r="D276" s="180"/>
      <c r="E276" s="180"/>
      <c r="F276" s="180"/>
      <c r="G276" s="180"/>
      <c r="H276" s="180"/>
      <c r="I276" s="180"/>
      <c r="J276" s="180"/>
      <c r="K276" s="180"/>
      <c r="L276" s="13"/>
      <c r="M276" s="13"/>
      <c r="N276" s="13"/>
      <c r="O276" s="13"/>
      <c r="P276" s="13"/>
      <c r="Q276" s="13"/>
      <c r="R276" s="13"/>
      <c r="S276" s="13"/>
      <c r="T276" s="13"/>
      <c r="U276" s="13"/>
      <c r="V276" s="13"/>
      <c r="W276" s="13"/>
      <c r="X276" s="13"/>
      <c r="Y276" s="13"/>
      <c r="Z276" s="13"/>
      <c r="AA276" s="13"/>
      <c r="AB276" s="13"/>
      <c r="AC276" s="13"/>
      <c r="AD276" s="13"/>
      <c r="AE276" s="13"/>
      <c r="AF276" s="13"/>
      <c r="AG276" s="13"/>
      <c r="AH276" s="13"/>
      <c r="AI276" s="13"/>
      <c r="AJ276" s="15"/>
      <c r="AK276" s="13"/>
      <c r="AL276" s="13"/>
      <c r="AM276" s="13"/>
      <c r="AN276" s="13"/>
      <c r="AO276" s="13"/>
      <c r="AP276" s="13"/>
      <c r="AQ276" s="13"/>
      <c r="AR276" s="13"/>
      <c r="AS276" s="57"/>
      <c r="AT276" s="57"/>
      <c r="AU276" s="57"/>
      <c r="AV276" s="56"/>
      <c r="AW276" s="57"/>
      <c r="AX276" s="2"/>
      <c r="AY276" s="2"/>
      <c r="AZ276" s="2"/>
      <c r="BA276" s="2"/>
      <c r="BB276" s="2"/>
      <c r="BC276" s="2"/>
      <c r="BD276" s="2"/>
      <c r="BE276" s="2"/>
      <c r="BF276" s="2"/>
      <c r="BG276" s="2"/>
      <c r="BH276" s="2"/>
      <c r="BI276" s="2"/>
      <c r="BJ276" s="2"/>
      <c r="BK276" s="2"/>
      <c r="BL276" s="2"/>
    </row>
    <row r="277" spans="1:64" hidden="1" outlineLevel="1">
      <c r="A277" s="5"/>
      <c r="B277" s="5"/>
      <c r="C277" s="5"/>
      <c r="D277" s="5"/>
      <c r="E277" s="5"/>
      <c r="F277" s="5"/>
      <c r="G277" s="5"/>
      <c r="H277" s="5"/>
      <c r="I277" s="5"/>
      <c r="J277" s="5"/>
      <c r="K277" s="5"/>
      <c r="L277" s="5"/>
      <c r="M277" s="5"/>
      <c r="N277" s="5"/>
      <c r="O277" s="5"/>
      <c r="P277" s="5"/>
      <c r="Q277" s="5"/>
      <c r="R277" s="5"/>
      <c r="S277" s="2"/>
      <c r="T277" s="2"/>
      <c r="U277" s="2"/>
      <c r="V277" s="2"/>
      <c r="W277" s="2"/>
      <c r="X277" s="2"/>
      <c r="Y277" s="2"/>
      <c r="AJ277" s="161"/>
      <c r="AS277" s="101"/>
      <c r="AT277" s="57"/>
      <c r="AU277" s="57"/>
      <c r="AV277" s="57"/>
      <c r="AW277" s="100"/>
      <c r="AX277" s="2"/>
      <c r="AY277" s="2"/>
      <c r="AZ277" s="2"/>
      <c r="BA277" s="2"/>
      <c r="BB277" s="2"/>
      <c r="BC277" s="2"/>
      <c r="BD277" s="2"/>
      <c r="BE277" s="2"/>
      <c r="BF277" s="2"/>
      <c r="BG277" s="2"/>
      <c r="BH277" s="2"/>
      <c r="BI277" s="2"/>
      <c r="BJ277" s="2"/>
      <c r="BK277" s="2"/>
      <c r="BL277" s="2"/>
    </row>
    <row r="278" spans="1:64" hidden="1" outlineLevel="1">
      <c r="A278" s="213" t="s">
        <v>136</v>
      </c>
      <c r="B278" s="51"/>
      <c r="C278" s="51"/>
      <c r="D278" s="51"/>
      <c r="E278" s="51"/>
      <c r="F278" s="51"/>
      <c r="G278" s="51"/>
      <c r="H278" s="51"/>
      <c r="I278" s="51"/>
      <c r="J278" s="51"/>
      <c r="K278" s="51"/>
      <c r="L278" s="51"/>
      <c r="M278" s="51"/>
      <c r="N278" s="51"/>
      <c r="O278" s="51"/>
      <c r="P278" s="51"/>
      <c r="Q278" s="51"/>
      <c r="R278" s="51"/>
      <c r="S278" s="51">
        <v>946</v>
      </c>
      <c r="T278" s="51">
        <v>940</v>
      </c>
      <c r="U278" s="51">
        <v>1001</v>
      </c>
      <c r="V278" s="51">
        <v>1025</v>
      </c>
      <c r="W278" s="51">
        <v>940</v>
      </c>
      <c r="X278" s="16"/>
      <c r="Y278" s="345"/>
      <c r="Z278" s="345"/>
      <c r="AA278" s="345">
        <f t="shared" ref="AA278:AF278" si="415">+Z278*1.05</f>
        <v>0</v>
      </c>
      <c r="AB278" s="345">
        <f t="shared" si="415"/>
        <v>0</v>
      </c>
      <c r="AC278" s="345">
        <f t="shared" si="415"/>
        <v>0</v>
      </c>
      <c r="AD278" s="345">
        <f t="shared" si="415"/>
        <v>0</v>
      </c>
      <c r="AE278" s="345">
        <f t="shared" si="415"/>
        <v>0</v>
      </c>
      <c r="AF278" s="345">
        <f t="shared" si="415"/>
        <v>0</v>
      </c>
      <c r="AG278" s="345">
        <f>+AF278*1.05</f>
        <v>0</v>
      </c>
      <c r="AH278" s="345">
        <f>+AG278*1.05</f>
        <v>0</v>
      </c>
      <c r="AI278" s="345">
        <f>+AH278*1.05</f>
        <v>0</v>
      </c>
      <c r="AJ278" s="345">
        <f>+AI278*1.05</f>
        <v>0</v>
      </c>
      <c r="AK278" s="345">
        <f>+AJ278*1.05</f>
        <v>0</v>
      </c>
      <c r="AL278" s="345"/>
      <c r="AM278" s="345"/>
      <c r="AN278" s="345"/>
      <c r="AO278" s="345"/>
      <c r="AP278" s="345"/>
      <c r="AQ278" s="345"/>
      <c r="AR278" s="345"/>
      <c r="AS278" s="101"/>
      <c r="AT278" s="185" t="s">
        <v>886</v>
      </c>
      <c r="AU278" s="97"/>
      <c r="AV278" s="56" t="e">
        <f>RATE(5,,-Y278,AD278)*100</f>
        <v>#NUM!</v>
      </c>
      <c r="AW278" s="102" t="s">
        <v>1084</v>
      </c>
      <c r="AX278" s="2"/>
      <c r="AY278" s="2"/>
      <c r="AZ278" s="2"/>
      <c r="BA278" s="2"/>
      <c r="BB278" s="2"/>
      <c r="BC278" s="2"/>
      <c r="BD278" s="2"/>
      <c r="BE278" s="2"/>
      <c r="BF278" s="2"/>
      <c r="BG278" s="2"/>
      <c r="BH278" s="2"/>
      <c r="BI278" s="2"/>
      <c r="BJ278" s="2"/>
      <c r="BK278" s="2"/>
      <c r="BL278" s="2"/>
    </row>
    <row r="279" spans="1:64" hidden="1" outlineLevel="1">
      <c r="A279" s="213" t="s">
        <v>1085</v>
      </c>
      <c r="B279" s="8"/>
      <c r="C279" s="8"/>
      <c r="D279" s="8"/>
      <c r="E279" s="8"/>
      <c r="F279" s="8"/>
      <c r="G279" s="8"/>
      <c r="H279" s="8"/>
      <c r="I279" s="8"/>
      <c r="J279" s="8"/>
      <c r="K279" s="8"/>
      <c r="L279" s="8">
        <f>+L278/195-1</f>
        <v>-1</v>
      </c>
      <c r="M279" s="8" t="e">
        <f t="shared" ref="M279:AK279" si="416">M278/L278-1</f>
        <v>#DIV/0!</v>
      </c>
      <c r="N279" s="8" t="e">
        <f t="shared" si="416"/>
        <v>#DIV/0!</v>
      </c>
      <c r="O279" s="8" t="e">
        <f t="shared" si="416"/>
        <v>#DIV/0!</v>
      </c>
      <c r="P279" s="8" t="e">
        <f t="shared" si="416"/>
        <v>#DIV/0!</v>
      </c>
      <c r="Q279" s="8" t="e">
        <f t="shared" si="416"/>
        <v>#DIV/0!</v>
      </c>
      <c r="R279" s="8" t="e">
        <f t="shared" si="416"/>
        <v>#DIV/0!</v>
      </c>
      <c r="S279" s="8" t="e">
        <f t="shared" si="416"/>
        <v>#DIV/0!</v>
      </c>
      <c r="T279" s="8">
        <f t="shared" si="416"/>
        <v>-6.3424947145876986E-3</v>
      </c>
      <c r="U279" s="8">
        <f t="shared" si="416"/>
        <v>6.4893617021276606E-2</v>
      </c>
      <c r="V279" s="8">
        <f t="shared" si="416"/>
        <v>2.3976023976024052E-2</v>
      </c>
      <c r="W279" s="8">
        <f t="shared" si="416"/>
        <v>-8.2926829268292646E-2</v>
      </c>
      <c r="X279" s="8">
        <f t="shared" si="416"/>
        <v>-1</v>
      </c>
      <c r="Y279" s="8" t="e">
        <f t="shared" si="416"/>
        <v>#DIV/0!</v>
      </c>
      <c r="Z279" s="8" t="e">
        <f t="shared" si="416"/>
        <v>#DIV/0!</v>
      </c>
      <c r="AA279" s="8" t="e">
        <f t="shared" si="416"/>
        <v>#DIV/0!</v>
      </c>
      <c r="AB279" s="8" t="e">
        <f t="shared" si="416"/>
        <v>#DIV/0!</v>
      </c>
      <c r="AC279" s="8" t="e">
        <f t="shared" si="416"/>
        <v>#DIV/0!</v>
      </c>
      <c r="AD279" s="8" t="e">
        <f t="shared" si="416"/>
        <v>#DIV/0!</v>
      </c>
      <c r="AE279" s="8" t="e">
        <f t="shared" si="416"/>
        <v>#DIV/0!</v>
      </c>
      <c r="AF279" s="8" t="e">
        <f t="shared" si="416"/>
        <v>#DIV/0!</v>
      </c>
      <c r="AG279" s="8" t="e">
        <f t="shared" si="416"/>
        <v>#DIV/0!</v>
      </c>
      <c r="AH279" s="8" t="e">
        <f t="shared" si="416"/>
        <v>#DIV/0!</v>
      </c>
      <c r="AI279" s="8" t="e">
        <f t="shared" si="416"/>
        <v>#DIV/0!</v>
      </c>
      <c r="AJ279" s="8" t="e">
        <f t="shared" si="416"/>
        <v>#DIV/0!</v>
      </c>
      <c r="AK279" s="8" t="e">
        <f t="shared" si="416"/>
        <v>#DIV/0!</v>
      </c>
      <c r="AL279" s="8"/>
      <c r="AM279" s="8"/>
      <c r="AN279" s="8"/>
      <c r="AO279" s="8"/>
      <c r="AP279" s="8"/>
      <c r="AQ279" s="8"/>
      <c r="AR279" s="8"/>
      <c r="AS279" s="101"/>
      <c r="AT279" s="57"/>
      <c r="AU279" s="57"/>
      <c r="AV279" s="56"/>
      <c r="AW279" s="100"/>
      <c r="AX279" s="2"/>
      <c r="AY279" s="2"/>
      <c r="AZ279" s="2"/>
      <c r="BA279" s="2"/>
      <c r="BB279" s="2"/>
      <c r="BC279" s="2"/>
      <c r="BD279" s="2"/>
      <c r="BE279" s="2"/>
      <c r="BF279" s="2"/>
      <c r="BG279" s="2"/>
      <c r="BH279" s="2"/>
      <c r="BI279" s="2"/>
      <c r="BJ279" s="2"/>
      <c r="BK279" s="2"/>
      <c r="BL279" s="2"/>
    </row>
    <row r="280" spans="1:64" hidden="1" outlineLevel="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101"/>
      <c r="AT280" s="57"/>
      <c r="AU280" s="57"/>
      <c r="AV280" s="56"/>
      <c r="AW280" s="100"/>
      <c r="AX280" s="2"/>
      <c r="AY280" s="2"/>
      <c r="AZ280" s="2"/>
      <c r="BA280" s="2"/>
      <c r="BB280" s="2"/>
      <c r="BC280" s="2"/>
      <c r="BD280" s="2"/>
      <c r="BE280" s="2"/>
      <c r="BF280" s="2"/>
      <c r="BG280" s="2"/>
      <c r="BH280" s="2"/>
      <c r="BI280" s="2"/>
      <c r="BJ280" s="2"/>
      <c r="BK280" s="2"/>
      <c r="BL280" s="2"/>
    </row>
    <row r="281" spans="1:64" hidden="1" outlineLevel="1">
      <c r="A281" s="213" t="s">
        <v>1086</v>
      </c>
      <c r="B281" s="260"/>
      <c r="C281" s="260"/>
      <c r="D281" s="260"/>
      <c r="E281" s="260"/>
      <c r="F281" s="260"/>
      <c r="G281" s="260"/>
      <c r="H281" s="260"/>
      <c r="I281" s="260"/>
      <c r="J281" s="260"/>
      <c r="K281" s="260"/>
      <c r="L281" s="260">
        <v>802</v>
      </c>
      <c r="M281" s="5">
        <f t="shared" ref="M281:AK281" si="417">L284</f>
        <v>858</v>
      </c>
      <c r="N281" s="5">
        <f t="shared" si="417"/>
        <v>910</v>
      </c>
      <c r="O281" s="5">
        <f t="shared" si="417"/>
        <v>915</v>
      </c>
      <c r="P281" s="5">
        <f t="shared" si="417"/>
        <v>877</v>
      </c>
      <c r="Q281" s="5">
        <f t="shared" si="417"/>
        <v>846</v>
      </c>
      <c r="R281" s="5">
        <f t="shared" si="417"/>
        <v>835</v>
      </c>
      <c r="S281" s="5">
        <f t="shared" si="417"/>
        <v>784</v>
      </c>
      <c r="T281" s="5">
        <f t="shared" si="417"/>
        <v>746</v>
      </c>
      <c r="U281" s="5">
        <f t="shared" si="417"/>
        <v>643</v>
      </c>
      <c r="V281" s="5">
        <f t="shared" si="417"/>
        <v>594</v>
      </c>
      <c r="W281" s="5">
        <f t="shared" si="417"/>
        <v>560</v>
      </c>
      <c r="X281" s="5">
        <f t="shared" si="417"/>
        <v>522</v>
      </c>
      <c r="Y281" s="5">
        <f t="shared" si="417"/>
        <v>0</v>
      </c>
      <c r="Z281" s="5">
        <f t="shared" si="417"/>
        <v>0</v>
      </c>
      <c r="AA281" s="5">
        <f t="shared" si="417"/>
        <v>0</v>
      </c>
      <c r="AB281" s="5">
        <f t="shared" si="417"/>
        <v>0</v>
      </c>
      <c r="AC281" s="5">
        <f t="shared" si="417"/>
        <v>0</v>
      </c>
      <c r="AD281" s="5">
        <f t="shared" si="417"/>
        <v>0</v>
      </c>
      <c r="AE281" s="5">
        <f t="shared" si="417"/>
        <v>0</v>
      </c>
      <c r="AF281" s="5">
        <f t="shared" si="417"/>
        <v>0</v>
      </c>
      <c r="AG281" s="5">
        <f t="shared" si="417"/>
        <v>0</v>
      </c>
      <c r="AH281" s="5">
        <f t="shared" si="417"/>
        <v>0</v>
      </c>
      <c r="AI281" s="5">
        <f t="shared" si="417"/>
        <v>0</v>
      </c>
      <c r="AJ281" s="5">
        <f t="shared" si="417"/>
        <v>0</v>
      </c>
      <c r="AK281" s="5">
        <f t="shared" si="417"/>
        <v>0</v>
      </c>
      <c r="AL281" s="5"/>
      <c r="AM281" s="5"/>
      <c r="AN281" s="5"/>
      <c r="AO281" s="5"/>
      <c r="AP281" s="5"/>
      <c r="AQ281" s="5"/>
      <c r="AR281" s="5"/>
      <c r="AS281" s="101"/>
      <c r="AT281" s="57"/>
      <c r="AU281" s="57"/>
      <c r="AV281" s="56"/>
      <c r="AW281" s="100"/>
      <c r="AX281" s="2"/>
      <c r="AY281" s="2"/>
      <c r="AZ281" s="2"/>
      <c r="BA281" s="2"/>
      <c r="BB281" s="2"/>
      <c r="BC281" s="2"/>
      <c r="BD281" s="2"/>
      <c r="BE281" s="2"/>
      <c r="BF281" s="2"/>
      <c r="BG281" s="2"/>
      <c r="BH281" s="2"/>
      <c r="BI281" s="2"/>
      <c r="BJ281" s="2"/>
      <c r="BK281" s="2"/>
      <c r="BL281" s="2"/>
    </row>
    <row r="282" spans="1:64" hidden="1" outlineLevel="1">
      <c r="A282" s="213" t="s">
        <v>937</v>
      </c>
      <c r="B282" s="260"/>
      <c r="C282" s="260"/>
      <c r="D282" s="260"/>
      <c r="E282" s="260"/>
      <c r="F282" s="260"/>
      <c r="G282" s="260"/>
      <c r="H282" s="260"/>
      <c r="I282" s="260"/>
      <c r="J282" s="260"/>
      <c r="K282" s="260"/>
      <c r="L282" s="260">
        <f>858-802</f>
        <v>56</v>
      </c>
      <c r="M282" s="260">
        <f>910-858</f>
        <v>52</v>
      </c>
      <c r="N282" s="260">
        <f>915-910</f>
        <v>5</v>
      </c>
      <c r="O282" s="260"/>
      <c r="P282" s="260"/>
      <c r="Q282" s="260"/>
      <c r="R282" s="260"/>
      <c r="S282" s="5">
        <f>+'store&amp;sf'!CP63</f>
        <v>6</v>
      </c>
      <c r="T282" s="5">
        <f>+'store&amp;sf'!CP69</f>
        <v>9</v>
      </c>
      <c r="U282" s="5">
        <f>+'store&amp;sf'!CP75</f>
        <v>7</v>
      </c>
      <c r="V282" s="5">
        <f>+'store&amp;sf'!CP81</f>
        <v>5</v>
      </c>
      <c r="W282" s="5">
        <f>+'store&amp;sf'!CP87</f>
        <v>6</v>
      </c>
      <c r="X282" s="5">
        <f>+'store&amp;sf'!CP93</f>
        <v>2</v>
      </c>
      <c r="Y282" s="5"/>
      <c r="Z282" s="5"/>
      <c r="AA282" s="5"/>
      <c r="AB282" s="5"/>
      <c r="AC282" s="5"/>
      <c r="AD282" s="5"/>
      <c r="AE282" s="5"/>
      <c r="AF282" s="5"/>
      <c r="AG282" s="5"/>
      <c r="AH282" s="5"/>
      <c r="AI282" s="5"/>
      <c r="AJ282" s="5"/>
      <c r="AK282" s="5"/>
      <c r="AL282" s="5"/>
      <c r="AM282" s="5"/>
      <c r="AN282" s="5"/>
      <c r="AO282" s="5"/>
      <c r="AP282" s="5"/>
      <c r="AQ282" s="5"/>
      <c r="AR282" s="5"/>
      <c r="AS282" s="101"/>
      <c r="AT282" s="57"/>
      <c r="AU282" s="57"/>
      <c r="AV282" s="56"/>
      <c r="AW282" s="100"/>
      <c r="AX282" s="2"/>
      <c r="AY282" s="2"/>
      <c r="AZ282" s="2"/>
      <c r="BA282" s="2"/>
      <c r="BB282" s="2"/>
      <c r="BC282" s="2"/>
      <c r="BD282" s="2"/>
      <c r="BE282" s="2"/>
      <c r="BF282" s="2"/>
      <c r="BG282" s="2"/>
      <c r="BH282" s="2"/>
      <c r="BI282" s="2"/>
      <c r="BJ282" s="2"/>
      <c r="BK282" s="2"/>
      <c r="BL282" s="2"/>
    </row>
    <row r="283" spans="1:64" hidden="1" outlineLevel="1">
      <c r="A283" s="214" t="s">
        <v>1087</v>
      </c>
      <c r="B283" s="260"/>
      <c r="C283" s="260"/>
      <c r="D283" s="260"/>
      <c r="E283" s="260"/>
      <c r="F283" s="260"/>
      <c r="G283" s="260"/>
      <c r="H283" s="260"/>
      <c r="I283" s="260"/>
      <c r="J283" s="260"/>
      <c r="K283" s="260"/>
      <c r="L283" s="260"/>
      <c r="M283" s="260"/>
      <c r="N283" s="260"/>
      <c r="O283" s="300">
        <f>877-915</f>
        <v>-38</v>
      </c>
      <c r="P283" s="300">
        <f>846-877</f>
        <v>-31</v>
      </c>
      <c r="Q283" s="300">
        <f>835-846</f>
        <v>-11</v>
      </c>
      <c r="R283" s="300">
        <f>784-835</f>
        <v>-51</v>
      </c>
      <c r="S283" s="351">
        <f>+'store&amp;sf'!CQ63</f>
        <v>-44</v>
      </c>
      <c r="T283" s="351">
        <f>+'store&amp;sf'!CQ69</f>
        <v>-112</v>
      </c>
      <c r="U283" s="351">
        <f>+'store&amp;sf'!CQ75</f>
        <v>-56</v>
      </c>
      <c r="V283" s="351">
        <f>+'store&amp;sf'!CQ81</f>
        <v>-39</v>
      </c>
      <c r="W283" s="351">
        <f>+'store&amp;sf'!CQ87</f>
        <v>-44</v>
      </c>
      <c r="X283" s="351">
        <f>+'store&amp;sf'!CQ93</f>
        <v>-524</v>
      </c>
      <c r="Y283" s="5"/>
      <c r="Z283" s="5"/>
      <c r="AA283" s="5"/>
      <c r="AB283" s="5"/>
      <c r="AC283" s="5"/>
      <c r="AD283" s="5"/>
      <c r="AE283" s="5"/>
      <c r="AF283" s="5"/>
      <c r="AG283" s="5"/>
      <c r="AH283" s="5"/>
      <c r="AI283" s="5"/>
      <c r="AJ283" s="5"/>
      <c r="AK283" s="5"/>
      <c r="AL283" s="5"/>
      <c r="AM283" s="5"/>
      <c r="AN283" s="5"/>
      <c r="AO283" s="5"/>
      <c r="AP283" s="5"/>
      <c r="AQ283" s="5"/>
      <c r="AR283" s="5"/>
      <c r="AS283" s="101"/>
      <c r="AT283" s="57"/>
      <c r="AU283" s="57"/>
      <c r="AV283" s="56"/>
      <c r="AW283" s="100"/>
      <c r="AX283" s="2"/>
      <c r="AY283" s="2"/>
      <c r="AZ283" s="2"/>
      <c r="BA283" s="2"/>
      <c r="BB283" s="2"/>
      <c r="BC283" s="2"/>
      <c r="BD283" s="2"/>
      <c r="BE283" s="2"/>
      <c r="BF283" s="2"/>
      <c r="BG283" s="2"/>
      <c r="BH283" s="2"/>
      <c r="BI283" s="2"/>
      <c r="BJ283" s="2"/>
      <c r="BK283" s="2"/>
      <c r="BL283" s="2"/>
    </row>
    <row r="284" spans="1:64" hidden="1" outlineLevel="1">
      <c r="A284" s="213" t="s">
        <v>1088</v>
      </c>
      <c r="B284" s="5"/>
      <c r="C284" s="5"/>
      <c r="D284" s="5"/>
      <c r="E284" s="5"/>
      <c r="F284" s="5"/>
      <c r="G284" s="5"/>
      <c r="H284" s="5"/>
      <c r="I284" s="5"/>
      <c r="J284" s="5"/>
      <c r="K284" s="5"/>
      <c r="L284" s="5">
        <f t="shared" ref="L284:W284" si="418">+L281+L282+L283</f>
        <v>858</v>
      </c>
      <c r="M284" s="5">
        <f t="shared" si="418"/>
        <v>910</v>
      </c>
      <c r="N284" s="5">
        <f t="shared" si="418"/>
        <v>915</v>
      </c>
      <c r="O284" s="5">
        <f t="shared" si="418"/>
        <v>877</v>
      </c>
      <c r="P284" s="5">
        <f t="shared" si="418"/>
        <v>846</v>
      </c>
      <c r="Q284" s="5">
        <f t="shared" si="418"/>
        <v>835</v>
      </c>
      <c r="R284" s="5">
        <f t="shared" si="418"/>
        <v>784</v>
      </c>
      <c r="S284" s="5">
        <f t="shared" si="418"/>
        <v>746</v>
      </c>
      <c r="T284" s="5">
        <f t="shared" si="418"/>
        <v>643</v>
      </c>
      <c r="U284" s="5">
        <f t="shared" si="418"/>
        <v>594</v>
      </c>
      <c r="V284" s="5">
        <f t="shared" si="418"/>
        <v>560</v>
      </c>
      <c r="W284" s="5">
        <f t="shared" si="418"/>
        <v>522</v>
      </c>
      <c r="X284" s="5">
        <f t="shared" ref="X284:AK284" si="419">+SUM(X281:X283)</f>
        <v>0</v>
      </c>
      <c r="Y284" s="5">
        <f t="shared" si="419"/>
        <v>0</v>
      </c>
      <c r="Z284" s="5">
        <f t="shared" si="419"/>
        <v>0</v>
      </c>
      <c r="AA284" s="5">
        <f t="shared" si="419"/>
        <v>0</v>
      </c>
      <c r="AB284" s="5">
        <f t="shared" si="419"/>
        <v>0</v>
      </c>
      <c r="AC284" s="5">
        <f t="shared" si="419"/>
        <v>0</v>
      </c>
      <c r="AD284" s="5">
        <f t="shared" si="419"/>
        <v>0</v>
      </c>
      <c r="AE284" s="5">
        <f t="shared" si="419"/>
        <v>0</v>
      </c>
      <c r="AF284" s="5">
        <f t="shared" si="419"/>
        <v>0</v>
      </c>
      <c r="AG284" s="5">
        <f t="shared" si="419"/>
        <v>0</v>
      </c>
      <c r="AH284" s="5">
        <f t="shared" si="419"/>
        <v>0</v>
      </c>
      <c r="AI284" s="5">
        <f t="shared" si="419"/>
        <v>0</v>
      </c>
      <c r="AJ284" s="5">
        <f t="shared" si="419"/>
        <v>0</v>
      </c>
      <c r="AK284" s="5">
        <f t="shared" si="419"/>
        <v>0</v>
      </c>
      <c r="AL284" s="5"/>
      <c r="AM284" s="5"/>
      <c r="AN284" s="5"/>
      <c r="AO284" s="5"/>
      <c r="AP284" s="5"/>
      <c r="AQ284" s="5"/>
      <c r="AR284" s="5"/>
      <c r="AS284" s="101"/>
      <c r="AT284" s="185" t="s">
        <v>886</v>
      </c>
      <c r="AU284" s="97"/>
      <c r="AV284" s="56" t="e">
        <f>RATE(5,,-Y284,AD284)*100</f>
        <v>#NUM!</v>
      </c>
      <c r="AW284" s="102" t="s">
        <v>1084</v>
      </c>
      <c r="AX284" s="2"/>
      <c r="AY284" s="2"/>
      <c r="AZ284" s="2"/>
      <c r="BA284" s="2"/>
      <c r="BB284" s="2"/>
      <c r="BC284" s="2"/>
      <c r="BD284" s="2"/>
      <c r="BE284" s="2"/>
      <c r="BF284" s="2"/>
      <c r="BG284" s="2"/>
      <c r="BH284" s="2"/>
      <c r="BI284" s="2"/>
      <c r="BJ284" s="2"/>
      <c r="BK284" s="2"/>
      <c r="BL284" s="2"/>
    </row>
    <row r="285" spans="1:64" hidden="1" outlineLevel="1">
      <c r="A285" s="213" t="s">
        <v>819</v>
      </c>
      <c r="B285" s="9"/>
      <c r="C285" s="9"/>
      <c r="D285" s="9"/>
      <c r="E285" s="9"/>
      <c r="F285" s="9"/>
      <c r="G285" s="9"/>
      <c r="H285" s="9"/>
      <c r="I285" s="9"/>
      <c r="J285" s="9"/>
      <c r="K285" s="9"/>
      <c r="L285" s="9">
        <f t="shared" ref="L285:AK285" si="420">(+L284+L281)/2</f>
        <v>830</v>
      </c>
      <c r="M285" s="9">
        <f t="shared" si="420"/>
        <v>884</v>
      </c>
      <c r="N285" s="9">
        <f t="shared" si="420"/>
        <v>912.5</v>
      </c>
      <c r="O285" s="9">
        <f t="shared" si="420"/>
        <v>896</v>
      </c>
      <c r="P285" s="9">
        <f t="shared" si="420"/>
        <v>861.5</v>
      </c>
      <c r="Q285" s="9">
        <f t="shared" si="420"/>
        <v>840.5</v>
      </c>
      <c r="R285" s="9">
        <f t="shared" si="420"/>
        <v>809.5</v>
      </c>
      <c r="S285" s="9">
        <f t="shared" si="420"/>
        <v>765</v>
      </c>
      <c r="T285" s="9">
        <f t="shared" si="420"/>
        <v>694.5</v>
      </c>
      <c r="U285" s="9">
        <f t="shared" si="420"/>
        <v>618.5</v>
      </c>
      <c r="V285" s="9">
        <f t="shared" si="420"/>
        <v>577</v>
      </c>
      <c r="W285" s="9">
        <f t="shared" si="420"/>
        <v>541</v>
      </c>
      <c r="X285" s="9">
        <f t="shared" si="420"/>
        <v>261</v>
      </c>
      <c r="Y285" s="9">
        <f t="shared" si="420"/>
        <v>0</v>
      </c>
      <c r="Z285" s="9">
        <f t="shared" si="420"/>
        <v>0</v>
      </c>
      <c r="AA285" s="9">
        <f t="shared" si="420"/>
        <v>0</v>
      </c>
      <c r="AB285" s="9">
        <f t="shared" si="420"/>
        <v>0</v>
      </c>
      <c r="AC285" s="9">
        <f t="shared" si="420"/>
        <v>0</v>
      </c>
      <c r="AD285" s="9">
        <f t="shared" si="420"/>
        <v>0</v>
      </c>
      <c r="AE285" s="9">
        <f t="shared" si="420"/>
        <v>0</v>
      </c>
      <c r="AF285" s="9">
        <f t="shared" si="420"/>
        <v>0</v>
      </c>
      <c r="AG285" s="9">
        <f t="shared" si="420"/>
        <v>0</v>
      </c>
      <c r="AH285" s="9">
        <f t="shared" si="420"/>
        <v>0</v>
      </c>
      <c r="AI285" s="9">
        <f t="shared" si="420"/>
        <v>0</v>
      </c>
      <c r="AJ285" s="9">
        <f t="shared" si="420"/>
        <v>0</v>
      </c>
      <c r="AK285" s="9">
        <f t="shared" si="420"/>
        <v>0</v>
      </c>
      <c r="AL285" s="9"/>
      <c r="AM285" s="9"/>
      <c r="AN285" s="9"/>
      <c r="AO285" s="9"/>
      <c r="AP285" s="9"/>
      <c r="AQ285" s="9"/>
      <c r="AR285" s="9"/>
      <c r="AS285" s="103"/>
      <c r="AT285" s="98"/>
      <c r="AU285" s="98"/>
      <c r="AV285" s="98"/>
      <c r="AW285" s="104"/>
      <c r="AX285" s="2"/>
      <c r="AY285" s="2"/>
      <c r="AZ285" s="2"/>
      <c r="BA285" s="2"/>
      <c r="BB285" s="2"/>
      <c r="BC285" s="2"/>
      <c r="BD285" s="2"/>
      <c r="BE285" s="2"/>
      <c r="BF285" s="2"/>
      <c r="BG285" s="2"/>
      <c r="BH285" s="2"/>
      <c r="BI285" s="2"/>
      <c r="BJ285" s="2"/>
      <c r="BK285" s="2"/>
      <c r="BL285" s="2"/>
    </row>
    <row r="286" spans="1:64" hidden="1" outlineLevel="1">
      <c r="A286" s="213" t="s">
        <v>820</v>
      </c>
      <c r="B286" s="8"/>
      <c r="C286" s="8"/>
      <c r="D286" s="8"/>
      <c r="E286" s="8"/>
      <c r="F286" s="8"/>
      <c r="G286" s="8"/>
      <c r="H286" s="8"/>
      <c r="I286" s="8"/>
      <c r="J286" s="8"/>
      <c r="K286" s="8"/>
      <c r="L286" s="8"/>
      <c r="M286" s="8">
        <f t="shared" ref="M286:AK286" si="421">(M285/L285-1)</f>
        <v>6.5060240963855431E-2</v>
      </c>
      <c r="N286" s="8">
        <f t="shared" si="421"/>
        <v>3.2239819004524994E-2</v>
      </c>
      <c r="O286" s="8">
        <f t="shared" si="421"/>
        <v>-1.8082191780821932E-2</v>
      </c>
      <c r="P286" s="8">
        <f t="shared" si="421"/>
        <v>-3.8504464285714302E-2</v>
      </c>
      <c r="Q286" s="8">
        <f t="shared" si="421"/>
        <v>-2.4376088218224012E-2</v>
      </c>
      <c r="R286" s="8">
        <f t="shared" si="421"/>
        <v>-3.688280785246878E-2</v>
      </c>
      <c r="S286" s="8">
        <f t="shared" si="421"/>
        <v>-5.4972205064854895E-2</v>
      </c>
      <c r="T286" s="8">
        <f t="shared" si="421"/>
        <v>-9.2156862745098045E-2</v>
      </c>
      <c r="U286" s="8">
        <f t="shared" si="421"/>
        <v>-0.10943124550035999</v>
      </c>
      <c r="V286" s="8">
        <f t="shared" si="421"/>
        <v>-6.7097817299919149E-2</v>
      </c>
      <c r="W286" s="8">
        <f t="shared" si="421"/>
        <v>-6.2391681109185471E-2</v>
      </c>
      <c r="X286" s="8">
        <f t="shared" si="421"/>
        <v>-0.51756007393715342</v>
      </c>
      <c r="Y286" s="8">
        <f t="shared" si="421"/>
        <v>-1</v>
      </c>
      <c r="Z286" s="8" t="e">
        <f t="shared" si="421"/>
        <v>#DIV/0!</v>
      </c>
      <c r="AA286" s="8" t="e">
        <f t="shared" si="421"/>
        <v>#DIV/0!</v>
      </c>
      <c r="AB286" s="8" t="e">
        <f t="shared" si="421"/>
        <v>#DIV/0!</v>
      </c>
      <c r="AC286" s="8" t="e">
        <f t="shared" si="421"/>
        <v>#DIV/0!</v>
      </c>
      <c r="AD286" s="8" t="e">
        <f t="shared" si="421"/>
        <v>#DIV/0!</v>
      </c>
      <c r="AE286" s="8" t="e">
        <f t="shared" si="421"/>
        <v>#DIV/0!</v>
      </c>
      <c r="AF286" s="8" t="e">
        <f t="shared" si="421"/>
        <v>#DIV/0!</v>
      </c>
      <c r="AG286" s="8" t="e">
        <f t="shared" si="421"/>
        <v>#DIV/0!</v>
      </c>
      <c r="AH286" s="8" t="e">
        <f t="shared" si="421"/>
        <v>#DIV/0!</v>
      </c>
      <c r="AI286" s="8" t="e">
        <f t="shared" si="421"/>
        <v>#DIV/0!</v>
      </c>
      <c r="AJ286" s="8" t="e">
        <f t="shared" si="421"/>
        <v>#DIV/0!</v>
      </c>
      <c r="AK286" s="8" t="e">
        <f t="shared" si="421"/>
        <v>#DIV/0!</v>
      </c>
      <c r="AL286" s="8"/>
      <c r="AM286" s="8"/>
      <c r="AN286" s="8"/>
      <c r="AO286" s="8"/>
      <c r="AP286" s="8"/>
      <c r="AQ286" s="8"/>
      <c r="AR286" s="8"/>
      <c r="AS286" s="101"/>
      <c r="AT286" s="57"/>
      <c r="AU286" s="57"/>
      <c r="AV286" s="56"/>
      <c r="AW286" s="100"/>
      <c r="AX286" s="2"/>
      <c r="AY286" s="2"/>
      <c r="AZ286" s="2"/>
      <c r="BA286" s="2"/>
      <c r="BB286" s="2"/>
      <c r="BC286" s="2"/>
      <c r="BD286" s="2"/>
      <c r="BE286" s="2"/>
      <c r="BF286" s="2"/>
      <c r="BG286" s="2"/>
      <c r="BH286" s="2"/>
      <c r="BI286" s="2"/>
      <c r="BJ286" s="2"/>
      <c r="BK286" s="2"/>
      <c r="BL286" s="2"/>
    </row>
    <row r="287" spans="1:64" hidden="1" outlineLevel="1">
      <c r="A287" s="213" t="s">
        <v>669</v>
      </c>
      <c r="B287" s="8"/>
      <c r="C287" s="8"/>
      <c r="D287" s="8"/>
      <c r="E287" s="8"/>
      <c r="F287" s="8"/>
      <c r="G287" s="8"/>
      <c r="H287" s="8"/>
      <c r="I287" s="8"/>
      <c r="J287" s="8"/>
      <c r="K287" s="8"/>
      <c r="L287" s="8">
        <f t="shared" ref="L287:W287" si="422">+L284/L281-1</f>
        <v>6.9825436408977648E-2</v>
      </c>
      <c r="M287" s="8">
        <f t="shared" si="422"/>
        <v>6.0606060606060552E-2</v>
      </c>
      <c r="N287" s="8">
        <f t="shared" si="422"/>
        <v>5.494505494505475E-3</v>
      </c>
      <c r="O287" s="8">
        <f t="shared" si="422"/>
        <v>-4.1530054644808745E-2</v>
      </c>
      <c r="P287" s="8">
        <f t="shared" si="422"/>
        <v>-3.5347776510832429E-2</v>
      </c>
      <c r="Q287" s="8">
        <f t="shared" si="422"/>
        <v>-1.3002364066193817E-2</v>
      </c>
      <c r="R287" s="8">
        <f t="shared" si="422"/>
        <v>-6.1077844311377194E-2</v>
      </c>
      <c r="S287" s="8">
        <f t="shared" si="422"/>
        <v>-4.8469387755102011E-2</v>
      </c>
      <c r="T287" s="8">
        <f t="shared" si="422"/>
        <v>-0.13806970509383376</v>
      </c>
      <c r="U287" s="5">
        <f t="shared" si="422"/>
        <v>-7.6205287713841385E-2</v>
      </c>
      <c r="V287" s="5">
        <f t="shared" si="422"/>
        <v>-5.7239057239057201E-2</v>
      </c>
      <c r="W287" s="5">
        <f t="shared" si="422"/>
        <v>-6.7857142857142838E-2</v>
      </c>
      <c r="X287" s="8"/>
      <c r="Y287" s="8"/>
      <c r="Z287" s="8"/>
      <c r="AA287" s="8"/>
      <c r="AB287" s="8"/>
      <c r="AC287" s="8"/>
      <c r="AD287" s="8"/>
      <c r="AE287" s="8"/>
      <c r="AF287" s="8"/>
      <c r="AG287" s="8"/>
      <c r="AH287" s="8"/>
      <c r="AI287" s="8"/>
      <c r="AJ287" s="8"/>
      <c r="AK287" s="8"/>
      <c r="AL287" s="8"/>
      <c r="AM287" s="8"/>
      <c r="AN287" s="8"/>
      <c r="AO287" s="8"/>
      <c r="AP287" s="8"/>
      <c r="AQ287" s="8"/>
      <c r="AR287" s="8"/>
      <c r="AS287" s="101"/>
      <c r="AT287" s="57"/>
      <c r="AU287" s="57"/>
      <c r="AV287" s="56"/>
      <c r="AW287" s="100"/>
      <c r="AX287" s="2"/>
      <c r="AY287" s="2"/>
      <c r="AZ287" s="2"/>
      <c r="BA287" s="2"/>
      <c r="BB287" s="2"/>
      <c r="BC287" s="2"/>
      <c r="BD287" s="2"/>
      <c r="BE287" s="2"/>
      <c r="BF287" s="2"/>
      <c r="BG287" s="2"/>
      <c r="BH287" s="2"/>
      <c r="BI287" s="2"/>
      <c r="BJ287" s="2"/>
      <c r="BK287" s="2"/>
      <c r="BL287" s="2"/>
    </row>
    <row r="288" spans="1:64" hidden="1" outlineLevel="1">
      <c r="A288" s="2"/>
      <c r="B288" s="2"/>
      <c r="C288" s="2"/>
      <c r="D288" s="2"/>
      <c r="E288" s="2"/>
      <c r="F288" s="2"/>
      <c r="G288" s="2"/>
      <c r="H288" s="2"/>
      <c r="I288" s="2"/>
      <c r="J288" s="2"/>
      <c r="K288" s="2"/>
      <c r="L288" s="2"/>
      <c r="M288" s="2"/>
      <c r="N288" s="2"/>
      <c r="O288" s="2"/>
      <c r="P288" s="2"/>
      <c r="Q288" s="2"/>
      <c r="R288" s="8"/>
      <c r="S288" s="8"/>
      <c r="T288" s="2"/>
      <c r="U288" s="260"/>
      <c r="V288" s="260"/>
      <c r="W288" s="260"/>
      <c r="X288" s="2"/>
      <c r="Y288" s="2"/>
      <c r="Z288" s="2"/>
      <c r="AA288" s="2"/>
      <c r="AB288" s="2"/>
      <c r="AC288" s="2"/>
      <c r="AD288" s="2"/>
      <c r="AE288" s="2"/>
      <c r="AF288" s="2"/>
      <c r="AG288" s="2"/>
      <c r="AH288" s="2"/>
      <c r="AI288" s="2"/>
      <c r="AJ288" s="2"/>
      <c r="AK288" s="2"/>
      <c r="AL288" s="2"/>
      <c r="AM288" s="2"/>
      <c r="AN288" s="2"/>
      <c r="AO288" s="2"/>
      <c r="AP288" s="2"/>
      <c r="AQ288" s="2"/>
      <c r="AR288" s="2"/>
      <c r="AS288" s="101"/>
      <c r="AT288" s="57"/>
      <c r="AU288" s="57"/>
      <c r="AV288" s="56"/>
      <c r="AW288" s="100"/>
      <c r="AX288" s="2"/>
      <c r="AY288" s="2"/>
      <c r="AZ288" s="2"/>
      <c r="BA288" s="2"/>
      <c r="BB288" s="2"/>
      <c r="BC288" s="2"/>
      <c r="BD288" s="2"/>
      <c r="BE288" s="2"/>
      <c r="BF288" s="2"/>
      <c r="BG288" s="2"/>
      <c r="BH288" s="2"/>
      <c r="BI288" s="2"/>
      <c r="BJ288" s="2"/>
      <c r="BK288" s="2"/>
      <c r="BL288" s="2"/>
    </row>
    <row r="289" spans="1:64" hidden="1" outlineLevel="1">
      <c r="A289" s="213" t="s">
        <v>888</v>
      </c>
      <c r="B289" s="12"/>
      <c r="C289" s="12"/>
      <c r="D289" s="12"/>
      <c r="E289" s="12"/>
      <c r="F289" s="12"/>
      <c r="G289" s="12"/>
      <c r="H289" s="12"/>
      <c r="I289" s="12"/>
      <c r="J289" s="12"/>
      <c r="K289" s="12"/>
      <c r="L289" s="12">
        <f t="shared" ref="L289:AC289" si="423">(L278)/L285</f>
        <v>0</v>
      </c>
      <c r="M289" s="12">
        <f t="shared" si="423"/>
        <v>0</v>
      </c>
      <c r="N289" s="12">
        <f t="shared" si="423"/>
        <v>0</v>
      </c>
      <c r="O289" s="12">
        <f t="shared" si="423"/>
        <v>0</v>
      </c>
      <c r="P289" s="12">
        <f t="shared" si="423"/>
        <v>0</v>
      </c>
      <c r="Q289" s="12">
        <f t="shared" si="423"/>
        <v>0</v>
      </c>
      <c r="R289" s="12">
        <f t="shared" si="423"/>
        <v>0</v>
      </c>
      <c r="S289" s="12">
        <f t="shared" si="423"/>
        <v>1.2366013071895425</v>
      </c>
      <c r="T289" s="12">
        <f t="shared" si="423"/>
        <v>1.3534917206623469</v>
      </c>
      <c r="U289" s="12">
        <f t="shared" si="423"/>
        <v>1.618431689571544</v>
      </c>
      <c r="V289" s="12">
        <f t="shared" si="423"/>
        <v>1.7764298093587523</v>
      </c>
      <c r="W289" s="12">
        <f t="shared" si="423"/>
        <v>1.7375231053604436</v>
      </c>
      <c r="X289" s="12">
        <f t="shared" si="423"/>
        <v>0</v>
      </c>
      <c r="Y289" s="12" t="e">
        <f t="shared" si="423"/>
        <v>#DIV/0!</v>
      </c>
      <c r="Z289" s="12" t="e">
        <f t="shared" si="423"/>
        <v>#DIV/0!</v>
      </c>
      <c r="AA289" s="12" t="e">
        <f t="shared" si="423"/>
        <v>#DIV/0!</v>
      </c>
      <c r="AB289" s="12" t="e">
        <f t="shared" si="423"/>
        <v>#DIV/0!</v>
      </c>
      <c r="AC289" s="12" t="e">
        <f t="shared" si="423"/>
        <v>#DIV/0!</v>
      </c>
      <c r="AD289" s="12" t="e">
        <f t="shared" ref="AD289:AI289" si="424">(AD278)/AD285</f>
        <v>#DIV/0!</v>
      </c>
      <c r="AE289" s="12" t="e">
        <f t="shared" si="424"/>
        <v>#DIV/0!</v>
      </c>
      <c r="AF289" s="12" t="e">
        <f t="shared" si="424"/>
        <v>#DIV/0!</v>
      </c>
      <c r="AG289" s="12" t="e">
        <f t="shared" si="424"/>
        <v>#DIV/0!</v>
      </c>
      <c r="AH289" s="12" t="e">
        <f t="shared" si="424"/>
        <v>#DIV/0!</v>
      </c>
      <c r="AI289" s="12" t="e">
        <f t="shared" si="424"/>
        <v>#DIV/0!</v>
      </c>
      <c r="AJ289" s="12" t="e">
        <f>(AJ278)/AJ285</f>
        <v>#DIV/0!</v>
      </c>
      <c r="AK289" s="12" t="e">
        <f>(AK278)/AK285</f>
        <v>#DIV/0!</v>
      </c>
      <c r="AL289" s="12"/>
      <c r="AM289" s="12"/>
      <c r="AN289" s="12"/>
      <c r="AO289" s="12"/>
      <c r="AP289" s="12"/>
      <c r="AQ289" s="12"/>
      <c r="AR289" s="12"/>
      <c r="AS289" s="101"/>
      <c r="AT289" s="57"/>
      <c r="AU289" s="57"/>
      <c r="AV289" s="56"/>
      <c r="AW289" s="100"/>
      <c r="AX289" s="2"/>
      <c r="AY289" s="2"/>
      <c r="AZ289" s="2"/>
      <c r="BA289" s="2"/>
      <c r="BB289" s="2"/>
      <c r="BC289" s="2"/>
      <c r="BD289" s="2"/>
      <c r="BE289" s="2"/>
      <c r="BF289" s="2"/>
      <c r="BG289" s="2"/>
      <c r="BH289" s="2"/>
      <c r="BI289" s="2"/>
      <c r="BJ289" s="2"/>
      <c r="BK289" s="2"/>
      <c r="BL289" s="2"/>
    </row>
    <row r="290" spans="1:64" hidden="1" outlineLevel="1">
      <c r="A290" s="213" t="s">
        <v>1085</v>
      </c>
      <c r="B290" s="13"/>
      <c r="C290" s="13"/>
      <c r="D290" s="13"/>
      <c r="E290" s="13"/>
      <c r="F290" s="13"/>
      <c r="G290" s="13"/>
      <c r="H290" s="13"/>
      <c r="I290" s="13"/>
      <c r="J290" s="13"/>
      <c r="K290" s="13"/>
      <c r="L290" s="13"/>
      <c r="M290" s="13"/>
      <c r="N290" s="13" t="e">
        <f t="shared" ref="N290:AK290" si="425">N289/M289-1</f>
        <v>#DIV/0!</v>
      </c>
      <c r="O290" s="13" t="e">
        <f t="shared" si="425"/>
        <v>#DIV/0!</v>
      </c>
      <c r="P290" s="13" t="e">
        <f t="shared" si="425"/>
        <v>#DIV/0!</v>
      </c>
      <c r="Q290" s="13" t="e">
        <f t="shared" si="425"/>
        <v>#DIV/0!</v>
      </c>
      <c r="R290" s="13" t="e">
        <f t="shared" si="425"/>
        <v>#DIV/0!</v>
      </c>
      <c r="S290" s="13" t="e">
        <f t="shared" si="425"/>
        <v>#DIV/0!</v>
      </c>
      <c r="T290" s="13">
        <f t="shared" si="425"/>
        <v>9.4525545778747722E-2</v>
      </c>
      <c r="U290" s="13">
        <f t="shared" si="425"/>
        <v>0.19574554085897589</v>
      </c>
      <c r="V290" s="13">
        <f t="shared" si="425"/>
        <v>9.7624212875512706E-2</v>
      </c>
      <c r="W290" s="13">
        <f t="shared" si="425"/>
        <v>-2.1901627519047895E-2</v>
      </c>
      <c r="X290" s="13">
        <f t="shared" si="425"/>
        <v>-1</v>
      </c>
      <c r="Y290" s="13" t="e">
        <f t="shared" si="425"/>
        <v>#DIV/0!</v>
      </c>
      <c r="Z290" s="13" t="e">
        <f t="shared" si="425"/>
        <v>#DIV/0!</v>
      </c>
      <c r="AA290" s="13" t="e">
        <f t="shared" si="425"/>
        <v>#DIV/0!</v>
      </c>
      <c r="AB290" s="13" t="e">
        <f t="shared" si="425"/>
        <v>#DIV/0!</v>
      </c>
      <c r="AC290" s="13" t="e">
        <f t="shared" si="425"/>
        <v>#DIV/0!</v>
      </c>
      <c r="AD290" s="13" t="e">
        <f t="shared" si="425"/>
        <v>#DIV/0!</v>
      </c>
      <c r="AE290" s="13" t="e">
        <f t="shared" si="425"/>
        <v>#DIV/0!</v>
      </c>
      <c r="AF290" s="13" t="e">
        <f t="shared" si="425"/>
        <v>#DIV/0!</v>
      </c>
      <c r="AG290" s="13" t="e">
        <f t="shared" si="425"/>
        <v>#DIV/0!</v>
      </c>
      <c r="AH290" s="13" t="e">
        <f t="shared" si="425"/>
        <v>#DIV/0!</v>
      </c>
      <c r="AI290" s="13" t="e">
        <f t="shared" si="425"/>
        <v>#DIV/0!</v>
      </c>
      <c r="AJ290" s="13" t="e">
        <f t="shared" si="425"/>
        <v>#DIV/0!</v>
      </c>
      <c r="AK290" s="13" t="e">
        <f t="shared" si="425"/>
        <v>#DIV/0!</v>
      </c>
      <c r="AL290" s="13"/>
      <c r="AM290" s="13"/>
      <c r="AN290" s="13"/>
      <c r="AO290" s="13"/>
      <c r="AP290" s="13"/>
      <c r="AQ290" s="13"/>
      <c r="AR290" s="13"/>
      <c r="AS290" s="101"/>
      <c r="AT290" s="57"/>
      <c r="AU290" s="57"/>
      <c r="AV290" s="56"/>
      <c r="AW290" s="100"/>
      <c r="AX290" s="2"/>
      <c r="AY290" s="2"/>
      <c r="AZ290" s="2"/>
      <c r="BA290" s="2"/>
      <c r="BB290" s="2"/>
      <c r="BC290" s="2"/>
      <c r="BD290" s="2"/>
      <c r="BE290" s="2"/>
      <c r="BF290" s="2"/>
      <c r="BG290" s="2"/>
      <c r="BH290" s="2"/>
      <c r="BI290" s="2"/>
      <c r="BJ290" s="2"/>
      <c r="BK290" s="2"/>
      <c r="BL290" s="2"/>
    </row>
    <row r="291" spans="1:64" hidden="1" outlineLevel="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101"/>
      <c r="AT291" s="57"/>
      <c r="AU291" s="57"/>
      <c r="AV291" s="56"/>
      <c r="AW291" s="100"/>
      <c r="AX291" s="2"/>
      <c r="AY291" s="2"/>
      <c r="AZ291" s="2"/>
      <c r="BA291" s="2"/>
      <c r="BB291" s="2"/>
      <c r="BC291" s="2"/>
      <c r="BD291" s="2"/>
      <c r="BE291" s="2"/>
      <c r="BF291" s="2"/>
      <c r="BG291" s="2"/>
      <c r="BH291" s="2"/>
      <c r="BI291" s="2"/>
      <c r="BJ291" s="2"/>
      <c r="BK291" s="2"/>
      <c r="BL291" s="2"/>
    </row>
    <row r="292" spans="1:64" hidden="1" outlineLevel="1">
      <c r="A292" s="213" t="s">
        <v>377</v>
      </c>
      <c r="B292" s="188"/>
      <c r="C292" s="188"/>
      <c r="D292" s="188"/>
      <c r="E292" s="188"/>
      <c r="F292" s="188"/>
      <c r="G292" s="188"/>
      <c r="H292" s="188"/>
      <c r="I292" s="188"/>
      <c r="J292" s="188"/>
      <c r="K292" s="188"/>
      <c r="L292" s="188"/>
      <c r="M292" s="188"/>
      <c r="N292" s="11">
        <f t="shared" ref="N292:AK292" si="426">+(M295+N295)/2</f>
        <v>6.7774999999999999</v>
      </c>
      <c r="O292" s="11">
        <f t="shared" si="426"/>
        <v>6.8825000000000003</v>
      </c>
      <c r="P292" s="11">
        <f t="shared" si="426"/>
        <v>6.6909999999999998</v>
      </c>
      <c r="Q292" s="11">
        <f t="shared" si="426"/>
        <v>6.4864999999999995</v>
      </c>
      <c r="R292" s="11">
        <f t="shared" si="426"/>
        <v>6.1884999999999994</v>
      </c>
      <c r="S292" s="11">
        <f t="shared" si="426"/>
        <v>5.8410000000000002</v>
      </c>
      <c r="T292" s="11">
        <f t="shared" si="426"/>
        <v>5.3490000000000002</v>
      </c>
      <c r="U292" s="11">
        <f t="shared" si="426"/>
        <v>4.7959999999999994</v>
      </c>
      <c r="V292" s="11">
        <f t="shared" si="426"/>
        <v>4.3774999999999995</v>
      </c>
      <c r="W292" s="11">
        <f t="shared" si="426"/>
        <v>3.9930000000000003</v>
      </c>
      <c r="X292" s="11">
        <f t="shared" si="426"/>
        <v>1.9115</v>
      </c>
      <c r="Y292" s="11">
        <f t="shared" si="426"/>
        <v>0</v>
      </c>
      <c r="Z292" s="11">
        <f t="shared" si="426"/>
        <v>0</v>
      </c>
      <c r="AA292" s="11">
        <f t="shared" si="426"/>
        <v>0</v>
      </c>
      <c r="AB292" s="11">
        <f t="shared" si="426"/>
        <v>0</v>
      </c>
      <c r="AC292" s="11">
        <f t="shared" si="426"/>
        <v>0</v>
      </c>
      <c r="AD292" s="11">
        <f t="shared" si="426"/>
        <v>0</v>
      </c>
      <c r="AE292" s="11">
        <f t="shared" si="426"/>
        <v>0</v>
      </c>
      <c r="AF292" s="11">
        <f t="shared" si="426"/>
        <v>0</v>
      </c>
      <c r="AG292" s="11">
        <f t="shared" si="426"/>
        <v>0</v>
      </c>
      <c r="AH292" s="11">
        <f t="shared" si="426"/>
        <v>0</v>
      </c>
      <c r="AI292" s="11">
        <f t="shared" si="426"/>
        <v>0</v>
      </c>
      <c r="AJ292" s="11">
        <f t="shared" si="426"/>
        <v>0</v>
      </c>
      <c r="AK292" s="11">
        <f t="shared" si="426"/>
        <v>0</v>
      </c>
      <c r="AL292" s="11"/>
      <c r="AM292" s="11"/>
      <c r="AN292" s="11"/>
      <c r="AO292" s="11"/>
      <c r="AP292" s="11"/>
      <c r="AQ292" s="11"/>
      <c r="AR292" s="11"/>
      <c r="AS292" s="101"/>
      <c r="AT292" s="185" t="s">
        <v>886</v>
      </c>
      <c r="AU292" s="97"/>
      <c r="AV292" s="56" t="e">
        <f>RATE(5,,-Y292,AD292)*100</f>
        <v>#NUM!</v>
      </c>
      <c r="AW292" s="102" t="s">
        <v>1084</v>
      </c>
      <c r="AX292" s="2"/>
      <c r="AY292" s="2"/>
      <c r="AZ292" s="2"/>
      <c r="BA292" s="2"/>
      <c r="BB292" s="2"/>
      <c r="BC292" s="2"/>
      <c r="BD292" s="2"/>
      <c r="BE292" s="2"/>
      <c r="BF292" s="2"/>
      <c r="BG292" s="2"/>
      <c r="BH292" s="2"/>
      <c r="BI292" s="2"/>
      <c r="BJ292" s="2"/>
      <c r="BK292" s="2"/>
      <c r="BL292" s="2"/>
    </row>
    <row r="293" spans="1:64" hidden="1" outlineLevel="1">
      <c r="A293" s="213" t="s">
        <v>1085</v>
      </c>
      <c r="B293" s="8"/>
      <c r="C293" s="8"/>
      <c r="D293" s="8"/>
      <c r="E293" s="8"/>
      <c r="F293" s="8"/>
      <c r="G293" s="8"/>
      <c r="H293" s="8"/>
      <c r="I293" s="8"/>
      <c r="J293" s="8"/>
      <c r="K293" s="8"/>
      <c r="L293" s="8"/>
      <c r="M293" s="8"/>
      <c r="N293" s="8"/>
      <c r="O293" s="8">
        <f t="shared" ref="O293:AK293" si="427">O292/N292-1</f>
        <v>1.5492438214681048E-2</v>
      </c>
      <c r="P293" s="8">
        <f t="shared" si="427"/>
        <v>-2.7824191790773778E-2</v>
      </c>
      <c r="Q293" s="8">
        <f t="shared" si="427"/>
        <v>-3.0563443431475212E-2</v>
      </c>
      <c r="R293" s="8">
        <f t="shared" si="427"/>
        <v>-4.5941570955060573E-2</v>
      </c>
      <c r="S293" s="8">
        <f t="shared" si="427"/>
        <v>-5.615254100347411E-2</v>
      </c>
      <c r="T293" s="8">
        <f t="shared" si="427"/>
        <v>-8.4232152028762219E-2</v>
      </c>
      <c r="U293" s="8">
        <f t="shared" si="427"/>
        <v>-0.10338381005795494</v>
      </c>
      <c r="V293" s="8">
        <f t="shared" si="427"/>
        <v>-8.726021684737284E-2</v>
      </c>
      <c r="W293" s="8">
        <f t="shared" si="427"/>
        <v>-8.7835522558537771E-2</v>
      </c>
      <c r="X293" s="8">
        <f t="shared" si="427"/>
        <v>-0.52128725269221143</v>
      </c>
      <c r="Y293" s="8">
        <f t="shared" si="427"/>
        <v>-1</v>
      </c>
      <c r="Z293" s="8" t="e">
        <f t="shared" si="427"/>
        <v>#DIV/0!</v>
      </c>
      <c r="AA293" s="8" t="e">
        <f t="shared" si="427"/>
        <v>#DIV/0!</v>
      </c>
      <c r="AB293" s="8" t="e">
        <f t="shared" si="427"/>
        <v>#DIV/0!</v>
      </c>
      <c r="AC293" s="8" t="e">
        <f t="shared" si="427"/>
        <v>#DIV/0!</v>
      </c>
      <c r="AD293" s="8" t="e">
        <f t="shared" si="427"/>
        <v>#DIV/0!</v>
      </c>
      <c r="AE293" s="8" t="e">
        <f t="shared" si="427"/>
        <v>#DIV/0!</v>
      </c>
      <c r="AF293" s="8" t="e">
        <f t="shared" si="427"/>
        <v>#DIV/0!</v>
      </c>
      <c r="AG293" s="8" t="e">
        <f t="shared" si="427"/>
        <v>#DIV/0!</v>
      </c>
      <c r="AH293" s="8" t="e">
        <f t="shared" si="427"/>
        <v>#DIV/0!</v>
      </c>
      <c r="AI293" s="8" t="e">
        <f t="shared" si="427"/>
        <v>#DIV/0!</v>
      </c>
      <c r="AJ293" s="8" t="e">
        <f t="shared" si="427"/>
        <v>#DIV/0!</v>
      </c>
      <c r="AK293" s="8" t="e">
        <f t="shared" si="427"/>
        <v>#DIV/0!</v>
      </c>
      <c r="AL293" s="8"/>
      <c r="AM293" s="8"/>
      <c r="AN293" s="8"/>
      <c r="AO293" s="8"/>
      <c r="AP293" s="8"/>
      <c r="AQ293" s="8"/>
      <c r="AR293" s="8"/>
      <c r="AS293" s="101"/>
      <c r="AT293" s="57"/>
      <c r="AU293" s="57"/>
      <c r="AV293" s="56"/>
      <c r="AW293" s="100"/>
      <c r="AX293" s="2"/>
      <c r="AY293" s="2"/>
      <c r="AZ293" s="2"/>
      <c r="BA293" s="2"/>
      <c r="BB293" s="2"/>
      <c r="BC293" s="2"/>
      <c r="BD293" s="2"/>
      <c r="BE293" s="2"/>
      <c r="BF293" s="2"/>
      <c r="BG293" s="2"/>
      <c r="BH293" s="2"/>
      <c r="BI293" s="2"/>
      <c r="BJ293" s="2"/>
      <c r="BK293" s="2"/>
      <c r="BL293" s="2"/>
    </row>
    <row r="294" spans="1:64" hidden="1" outlineLevel="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101"/>
      <c r="AT294" s="57"/>
      <c r="AU294" s="57"/>
      <c r="AV294" s="56"/>
      <c r="AW294" s="100"/>
      <c r="AX294" s="2"/>
      <c r="AY294" s="2"/>
      <c r="AZ294" s="2"/>
      <c r="BA294" s="2"/>
      <c r="BB294" s="2"/>
      <c r="BC294" s="2"/>
      <c r="BD294" s="2"/>
      <c r="BE294" s="2"/>
      <c r="BF294" s="2"/>
      <c r="BG294" s="2"/>
      <c r="BH294" s="2"/>
      <c r="BI294" s="2"/>
      <c r="BJ294" s="2"/>
      <c r="BK294" s="2"/>
      <c r="BL294" s="2"/>
    </row>
    <row r="295" spans="1:64" hidden="1" outlineLevel="1">
      <c r="A295" s="213" t="s">
        <v>1125</v>
      </c>
      <c r="B295" s="188"/>
      <c r="C295" s="188"/>
      <c r="D295" s="188"/>
      <c r="E295" s="188"/>
      <c r="F295" s="188"/>
      <c r="G295" s="188"/>
      <c r="H295" s="188"/>
      <c r="I295" s="188"/>
      <c r="J295" s="188"/>
      <c r="K295" s="188"/>
      <c r="L295" s="188">
        <v>5.7210000000000001</v>
      </c>
      <c r="M295" s="236">
        <v>6.5919999999999996</v>
      </c>
      <c r="N295" s="236">
        <v>6.9630000000000001</v>
      </c>
      <c r="O295" s="236">
        <v>6.8019999999999996</v>
      </c>
      <c r="P295" s="236">
        <v>6.58</v>
      </c>
      <c r="Q295" s="236">
        <f>+'store&amp;sf'!AB232</f>
        <v>6.3929999999999998</v>
      </c>
      <c r="R295" s="236">
        <f>+'store&amp;sf'!AB238</f>
        <v>5.984</v>
      </c>
      <c r="S295" s="236">
        <f>+'store&amp;sf'!AB244</f>
        <v>5.6980000000000004</v>
      </c>
      <c r="T295" s="236">
        <f>+'store&amp;sf'!AB250</f>
        <v>5</v>
      </c>
      <c r="U295" s="236">
        <f>+'store&amp;sf'!AB256</f>
        <v>4.5919999999999996</v>
      </c>
      <c r="V295" s="236">
        <f>+'store&amp;sf'!AB262</f>
        <v>4.1630000000000003</v>
      </c>
      <c r="W295" s="236">
        <f>+'store&amp;sf'!AB268</f>
        <v>3.823</v>
      </c>
      <c r="X295" s="236">
        <f>+'store&amp;sf'!AB274</f>
        <v>0</v>
      </c>
      <c r="Y295" s="11"/>
      <c r="Z295" s="11"/>
      <c r="AA295" s="11"/>
      <c r="AB295" s="11"/>
      <c r="AC295" s="11"/>
      <c r="AD295" s="11"/>
      <c r="AE295" s="11"/>
      <c r="AF295" s="11"/>
      <c r="AG295" s="11"/>
      <c r="AH295" s="11"/>
      <c r="AI295" s="11"/>
      <c r="AJ295" s="11"/>
      <c r="AK295" s="11"/>
      <c r="AL295" s="11"/>
      <c r="AM295" s="11"/>
      <c r="AN295" s="11"/>
      <c r="AO295" s="11"/>
      <c r="AP295" s="11"/>
      <c r="AQ295" s="11"/>
      <c r="AR295" s="11"/>
      <c r="AS295" s="101"/>
      <c r="AT295" s="185" t="s">
        <v>886</v>
      </c>
      <c r="AU295" s="97"/>
      <c r="AV295" s="56" t="e">
        <f>RATE(5,,-Y295,AD295)*100</f>
        <v>#NUM!</v>
      </c>
      <c r="AW295" s="102" t="s">
        <v>1084</v>
      </c>
      <c r="AX295" s="2"/>
      <c r="AY295" s="2"/>
      <c r="AZ295" s="2"/>
      <c r="BA295" s="2"/>
      <c r="BB295" s="2"/>
      <c r="BC295" s="2"/>
      <c r="BD295" s="2"/>
      <c r="BE295" s="2"/>
      <c r="BF295" s="2"/>
      <c r="BG295" s="2"/>
      <c r="BH295" s="2"/>
      <c r="BI295" s="2"/>
      <c r="BJ295" s="2"/>
      <c r="BK295" s="2"/>
      <c r="BL295" s="2"/>
    </row>
    <row r="296" spans="1:64" hidden="1" outlineLevel="1">
      <c r="A296" s="213" t="s">
        <v>1085</v>
      </c>
      <c r="B296" s="8"/>
      <c r="C296" s="8"/>
      <c r="D296" s="8"/>
      <c r="E296" s="8"/>
      <c r="F296" s="8"/>
      <c r="G296" s="8"/>
      <c r="H296" s="8"/>
      <c r="I296" s="8"/>
      <c r="J296" s="8"/>
      <c r="K296" s="8"/>
      <c r="L296" s="8"/>
      <c r="M296" s="8"/>
      <c r="N296" s="8">
        <f t="shared" ref="N296:X296" si="428">N295/M295-1</f>
        <v>5.6280339805825363E-2</v>
      </c>
      <c r="O296" s="8">
        <f t="shared" si="428"/>
        <v>-2.3122217435013748E-2</v>
      </c>
      <c r="P296" s="8">
        <f t="shared" si="428"/>
        <v>-3.26374595707144E-2</v>
      </c>
      <c r="Q296" s="8">
        <f t="shared" si="428"/>
        <v>-2.8419452887537999E-2</v>
      </c>
      <c r="R296" s="8">
        <f t="shared" si="428"/>
        <v>-6.3976223994994474E-2</v>
      </c>
      <c r="S296" s="8">
        <f t="shared" si="428"/>
        <v>-4.7794117647058765E-2</v>
      </c>
      <c r="T296" s="8">
        <f t="shared" si="428"/>
        <v>-0.12249912249912254</v>
      </c>
      <c r="U296" s="8">
        <f t="shared" si="428"/>
        <v>-8.1600000000000117E-2</v>
      </c>
      <c r="V296" s="8">
        <f t="shared" si="428"/>
        <v>-9.3423344947735076E-2</v>
      </c>
      <c r="W296" s="8">
        <f t="shared" si="428"/>
        <v>-8.167187124669717E-2</v>
      </c>
      <c r="X296" s="8">
        <f t="shared" si="428"/>
        <v>-1</v>
      </c>
      <c r="Y296" s="8"/>
      <c r="Z296" s="8"/>
      <c r="AA296" s="8"/>
      <c r="AB296" s="8"/>
      <c r="AC296" s="8"/>
      <c r="AD296" s="8"/>
      <c r="AE296" s="8"/>
      <c r="AF296" s="8"/>
      <c r="AG296" s="8"/>
      <c r="AH296" s="8"/>
      <c r="AI296" s="8"/>
      <c r="AJ296" s="8"/>
      <c r="AK296" s="8"/>
      <c r="AL296" s="8"/>
      <c r="AM296" s="8"/>
      <c r="AN296" s="8"/>
      <c r="AO296" s="8"/>
      <c r="AP296" s="8"/>
      <c r="AQ296" s="8"/>
      <c r="AR296" s="8"/>
      <c r="AS296" s="101"/>
      <c r="AT296" s="57"/>
      <c r="AU296" s="57"/>
      <c r="AV296" s="56"/>
      <c r="AW296" s="100"/>
      <c r="AX296" s="2"/>
      <c r="AY296" s="2"/>
      <c r="AZ296" s="2"/>
      <c r="BA296" s="2"/>
      <c r="BB296" s="2"/>
      <c r="BC296" s="2"/>
      <c r="BD296" s="2"/>
      <c r="BE296" s="2"/>
      <c r="BF296" s="2"/>
      <c r="BG296" s="2"/>
      <c r="BH296" s="2"/>
      <c r="BI296" s="2"/>
      <c r="BJ296" s="2"/>
      <c r="BK296" s="2"/>
      <c r="BL296" s="2"/>
    </row>
    <row r="297" spans="1:64" hidden="1" outlineLevel="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101"/>
      <c r="AT297" s="57"/>
      <c r="AU297" s="57"/>
      <c r="AV297" s="56"/>
      <c r="AW297" s="100"/>
      <c r="AX297" s="2"/>
      <c r="AY297" s="2"/>
      <c r="AZ297" s="2"/>
      <c r="BA297" s="2"/>
      <c r="BB297" s="2"/>
      <c r="BC297" s="2"/>
      <c r="BD297" s="2"/>
      <c r="BE297" s="2"/>
      <c r="BF297" s="2"/>
      <c r="BG297" s="2"/>
      <c r="BH297" s="2"/>
      <c r="BI297" s="2"/>
      <c r="BJ297" s="2"/>
      <c r="BK297" s="2"/>
      <c r="BL297" s="2"/>
    </row>
    <row r="298" spans="1:64" hidden="1" outlineLevel="1">
      <c r="A298" s="213" t="s">
        <v>383</v>
      </c>
      <c r="B298" s="9"/>
      <c r="C298" s="9"/>
      <c r="D298" s="9"/>
      <c r="E298" s="9"/>
      <c r="F298" s="9"/>
      <c r="G298" s="9"/>
      <c r="H298" s="9"/>
      <c r="I298" s="9"/>
      <c r="J298" s="9"/>
      <c r="K298" s="9"/>
      <c r="L298" s="9"/>
      <c r="M298" s="9">
        <f t="shared" ref="M298:Y298" si="429">M295/M284*1000000</f>
        <v>7243.9560439560437</v>
      </c>
      <c r="N298" s="9">
        <f t="shared" si="429"/>
        <v>7609.8360655737706</v>
      </c>
      <c r="O298" s="9">
        <f t="shared" si="429"/>
        <v>7755.986316989738</v>
      </c>
      <c r="P298" s="9">
        <f t="shared" si="429"/>
        <v>7777.7777777777774</v>
      </c>
      <c r="Q298" s="9">
        <f t="shared" si="429"/>
        <v>7656.2874251497005</v>
      </c>
      <c r="R298" s="9">
        <f t="shared" si="429"/>
        <v>7632.6530612244896</v>
      </c>
      <c r="S298" s="9">
        <f t="shared" si="429"/>
        <v>7638.0697050938343</v>
      </c>
      <c r="T298" s="9">
        <f t="shared" si="429"/>
        <v>7776.0497667185073</v>
      </c>
      <c r="U298" s="9">
        <f t="shared" si="429"/>
        <v>7730.6397306397303</v>
      </c>
      <c r="V298" s="9">
        <f t="shared" si="429"/>
        <v>7433.9285714285725</v>
      </c>
      <c r="W298" s="9">
        <f t="shared" si="429"/>
        <v>7323.7547892720304</v>
      </c>
      <c r="X298" s="9" t="e">
        <f t="shared" si="429"/>
        <v>#DIV/0!</v>
      </c>
      <c r="Y298" s="9" t="e">
        <f t="shared" si="429"/>
        <v>#DIV/0!</v>
      </c>
      <c r="Z298" s="9"/>
      <c r="AA298" s="9"/>
      <c r="AB298" s="9"/>
      <c r="AC298" s="9"/>
      <c r="AD298" s="9"/>
      <c r="AE298" s="9"/>
      <c r="AF298" s="9"/>
      <c r="AG298" s="9"/>
      <c r="AH298" s="9"/>
      <c r="AI298" s="9"/>
      <c r="AJ298" s="9"/>
      <c r="AK298" s="9"/>
      <c r="AL298" s="9"/>
      <c r="AM298" s="9"/>
      <c r="AN298" s="9"/>
      <c r="AO298" s="9"/>
      <c r="AP298" s="9"/>
      <c r="AQ298" s="9"/>
      <c r="AR298" s="9"/>
      <c r="AS298" s="103"/>
      <c r="AT298" s="98"/>
      <c r="AU298" s="98"/>
      <c r="AV298" s="56"/>
      <c r="AW298" s="104"/>
      <c r="AX298" s="2"/>
      <c r="AY298" s="2"/>
      <c r="AZ298" s="2"/>
      <c r="BA298" s="2"/>
      <c r="BB298" s="2"/>
      <c r="BC298" s="2"/>
      <c r="BD298" s="2"/>
      <c r="BE298" s="2"/>
      <c r="BF298" s="2"/>
      <c r="BG298" s="2"/>
      <c r="BH298" s="2"/>
      <c r="BI298" s="2"/>
      <c r="BJ298" s="2"/>
      <c r="BK298" s="2"/>
      <c r="BL298" s="2"/>
    </row>
    <row r="299" spans="1:64" hidden="1" outlineLevel="1">
      <c r="A299" s="213" t="s">
        <v>1085</v>
      </c>
      <c r="B299" s="13"/>
      <c r="C299" s="13"/>
      <c r="D299" s="13"/>
      <c r="E299" s="13"/>
      <c r="F299" s="13"/>
      <c r="G299" s="13"/>
      <c r="H299" s="13"/>
      <c r="I299" s="13"/>
      <c r="J299" s="13"/>
      <c r="K299" s="13"/>
      <c r="L299" s="13"/>
      <c r="M299" s="13"/>
      <c r="N299" s="13">
        <f t="shared" ref="N299:Y299" si="430">N298/M298-1</f>
        <v>5.050831609103934E-2</v>
      </c>
      <c r="O299" s="13">
        <f t="shared" si="430"/>
        <v>1.9205440190379175E-2</v>
      </c>
      <c r="P299" s="13">
        <f t="shared" si="430"/>
        <v>2.8096311542356034E-3</v>
      </c>
      <c r="Q299" s="13">
        <f t="shared" si="430"/>
        <v>-1.5620188195038409E-2</v>
      </c>
      <c r="R299" s="13">
        <f t="shared" si="430"/>
        <v>-3.0869222395668583E-3</v>
      </c>
      <c r="S299" s="13">
        <f t="shared" si="430"/>
        <v>7.0966724491405841E-4</v>
      </c>
      <c r="T299" s="13">
        <f t="shared" si="430"/>
        <v>1.8064781672868735E-2</v>
      </c>
      <c r="U299" s="13">
        <f t="shared" si="430"/>
        <v>-5.8397306397307558E-3</v>
      </c>
      <c r="V299" s="13">
        <f t="shared" si="430"/>
        <v>-3.8381190890990347E-2</v>
      </c>
      <c r="W299" s="13">
        <f t="shared" si="430"/>
        <v>-1.4820398272318847E-2</v>
      </c>
      <c r="X299" s="13" t="e">
        <f t="shared" si="430"/>
        <v>#DIV/0!</v>
      </c>
      <c r="Y299" s="13" t="e">
        <f t="shared" si="430"/>
        <v>#DIV/0!</v>
      </c>
      <c r="Z299" s="13"/>
      <c r="AA299" s="13"/>
      <c r="AB299" s="13"/>
      <c r="AC299" s="13"/>
      <c r="AD299" s="13"/>
      <c r="AE299" s="13"/>
      <c r="AF299" s="13"/>
      <c r="AG299" s="13"/>
      <c r="AH299" s="13"/>
      <c r="AI299" s="13"/>
      <c r="AJ299" s="13"/>
      <c r="AK299" s="13"/>
      <c r="AL299" s="13"/>
      <c r="AM299" s="13"/>
      <c r="AN299" s="13"/>
      <c r="AO299" s="13"/>
      <c r="AP299" s="13"/>
      <c r="AQ299" s="13"/>
      <c r="AR299" s="13"/>
      <c r="AS299" s="101"/>
      <c r="AT299" s="57"/>
      <c r="AU299" s="57"/>
      <c r="AV299" s="56"/>
      <c r="AW299" s="100"/>
      <c r="AX299" s="2"/>
      <c r="AY299" s="2"/>
      <c r="AZ299" s="2"/>
      <c r="BA299" s="2"/>
      <c r="BB299" s="2"/>
      <c r="BC299" s="2"/>
      <c r="BD299" s="2"/>
      <c r="BE299" s="2"/>
      <c r="BF299" s="2"/>
      <c r="BG299" s="2"/>
      <c r="BH299" s="2"/>
      <c r="BI299" s="2"/>
      <c r="BJ299" s="2"/>
      <c r="BK299" s="2"/>
      <c r="BL299" s="2"/>
    </row>
    <row r="300" spans="1:64" hidden="1" outlineLevel="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101"/>
      <c r="AT300" s="57"/>
      <c r="AU300" s="57"/>
      <c r="AV300" s="56"/>
      <c r="AW300" s="100"/>
      <c r="AX300" s="2"/>
      <c r="AY300" s="2"/>
      <c r="AZ300" s="2"/>
      <c r="BA300" s="2"/>
      <c r="BB300" s="2"/>
      <c r="BC300" s="2"/>
      <c r="BD300" s="2"/>
      <c r="BE300" s="2"/>
      <c r="BF300" s="2"/>
      <c r="BG300" s="2"/>
      <c r="BH300" s="2"/>
      <c r="BI300" s="2"/>
      <c r="BJ300" s="2"/>
      <c r="BK300" s="2"/>
      <c r="BL300" s="2"/>
    </row>
    <row r="301" spans="1:64" hidden="1" outlineLevel="1">
      <c r="A301" s="213" t="s">
        <v>325</v>
      </c>
      <c r="B301" s="6"/>
      <c r="C301" s="6"/>
      <c r="D301" s="6"/>
      <c r="E301" s="6"/>
      <c r="F301" s="6"/>
      <c r="G301" s="6"/>
      <c r="H301" s="6"/>
      <c r="I301" s="6"/>
      <c r="J301" s="6"/>
      <c r="K301" s="6"/>
      <c r="L301" s="6"/>
      <c r="M301" s="6"/>
      <c r="N301" s="6">
        <f t="shared" ref="N301:Y301" si="431">+N278/N292</f>
        <v>0</v>
      </c>
      <c r="O301" s="6">
        <f t="shared" si="431"/>
        <v>0</v>
      </c>
      <c r="P301" s="6">
        <f t="shared" si="431"/>
        <v>0</v>
      </c>
      <c r="Q301" s="6">
        <f t="shared" si="431"/>
        <v>0</v>
      </c>
      <c r="R301" s="6">
        <f t="shared" si="431"/>
        <v>0</v>
      </c>
      <c r="S301" s="6">
        <f t="shared" si="431"/>
        <v>161.95856873822976</v>
      </c>
      <c r="T301" s="6">
        <f t="shared" si="431"/>
        <v>175.73378201532995</v>
      </c>
      <c r="U301" s="6">
        <f t="shared" si="431"/>
        <v>208.71559633027525</v>
      </c>
      <c r="V301" s="6">
        <f t="shared" si="431"/>
        <v>234.15191319246148</v>
      </c>
      <c r="W301" s="6">
        <f t="shared" si="431"/>
        <v>235.411970949161</v>
      </c>
      <c r="X301" s="6">
        <f t="shared" si="431"/>
        <v>0</v>
      </c>
      <c r="Y301" s="6" t="e">
        <f t="shared" si="431"/>
        <v>#DIV/0!</v>
      </c>
      <c r="Z301" s="6"/>
      <c r="AA301" s="6"/>
      <c r="AB301" s="6"/>
      <c r="AC301" s="6"/>
      <c r="AD301" s="6"/>
      <c r="AE301" s="6"/>
      <c r="AF301" s="6"/>
      <c r="AG301" s="6"/>
      <c r="AH301" s="6"/>
      <c r="AI301" s="6"/>
      <c r="AJ301" s="6"/>
      <c r="AK301" s="6"/>
      <c r="AL301" s="6"/>
      <c r="AM301" s="6"/>
      <c r="AN301" s="6"/>
      <c r="AO301" s="6"/>
      <c r="AP301" s="6"/>
      <c r="AQ301" s="6"/>
      <c r="AR301" s="6"/>
      <c r="AS301" s="101"/>
      <c r="AT301" s="185" t="s">
        <v>886</v>
      </c>
      <c r="AU301" s="97"/>
      <c r="AV301" s="56" t="e">
        <f>RATE(5,,-Y301,AD301)*100</f>
        <v>#DIV/0!</v>
      </c>
      <c r="AW301" s="102" t="s">
        <v>1084</v>
      </c>
      <c r="AX301" s="2"/>
      <c r="AY301" s="2"/>
      <c r="AZ301" s="2"/>
      <c r="BA301" s="2"/>
      <c r="BB301" s="2"/>
      <c r="BC301" s="2"/>
      <c r="BD301" s="2"/>
      <c r="BE301" s="2"/>
      <c r="BF301" s="2"/>
      <c r="BG301" s="2"/>
      <c r="BH301" s="2"/>
      <c r="BI301" s="2"/>
      <c r="BJ301" s="2"/>
      <c r="BK301" s="2"/>
      <c r="BL301" s="2"/>
    </row>
    <row r="302" spans="1:64" hidden="1" outlineLevel="1">
      <c r="A302" s="213" t="s">
        <v>1085</v>
      </c>
      <c r="B302" s="13"/>
      <c r="C302" s="13"/>
      <c r="D302" s="13"/>
      <c r="E302" s="13"/>
      <c r="F302" s="13"/>
      <c r="G302" s="13"/>
      <c r="H302" s="13"/>
      <c r="I302" s="13"/>
      <c r="J302" s="13"/>
      <c r="K302" s="13"/>
      <c r="L302" s="13"/>
      <c r="M302" s="13"/>
      <c r="N302" s="13"/>
      <c r="O302" s="13" t="e">
        <f t="shared" ref="O302:Y302" si="432">O301/N301-1</f>
        <v>#DIV/0!</v>
      </c>
      <c r="P302" s="13" t="e">
        <f t="shared" si="432"/>
        <v>#DIV/0!</v>
      </c>
      <c r="Q302" s="13" t="e">
        <f t="shared" si="432"/>
        <v>#DIV/0!</v>
      </c>
      <c r="R302" s="13" t="e">
        <f t="shared" si="432"/>
        <v>#DIV/0!</v>
      </c>
      <c r="S302" s="13" t="e">
        <f t="shared" si="432"/>
        <v>#DIV/0!</v>
      </c>
      <c r="T302" s="13">
        <f t="shared" si="432"/>
        <v>8.505393314116505E-2</v>
      </c>
      <c r="U302" s="13">
        <f t="shared" si="432"/>
        <v>0.18768055826664076</v>
      </c>
      <c r="V302" s="13">
        <f t="shared" si="432"/>
        <v>0.12187070496607899</v>
      </c>
      <c r="W302" s="13">
        <f t="shared" si="432"/>
        <v>5.3813686145873785E-3</v>
      </c>
      <c r="X302" s="13">
        <f t="shared" si="432"/>
        <v>-1</v>
      </c>
      <c r="Y302" s="13" t="e">
        <f t="shared" si="432"/>
        <v>#DIV/0!</v>
      </c>
      <c r="Z302" s="13"/>
      <c r="AA302" s="13"/>
      <c r="AB302" s="13"/>
      <c r="AC302" s="13"/>
      <c r="AD302" s="13"/>
      <c r="AE302" s="13"/>
      <c r="AF302" s="13"/>
      <c r="AG302" s="13"/>
      <c r="AH302" s="13"/>
      <c r="AI302" s="13"/>
      <c r="AJ302" s="13"/>
      <c r="AK302" s="13"/>
      <c r="AL302" s="13"/>
      <c r="AM302" s="13"/>
      <c r="AN302" s="13"/>
      <c r="AO302" s="13"/>
      <c r="AP302" s="13"/>
      <c r="AQ302" s="13"/>
      <c r="AR302" s="13"/>
      <c r="AS302" s="101"/>
      <c r="AT302" s="57"/>
      <c r="AU302" s="57"/>
      <c r="AV302" s="56"/>
      <c r="AW302" s="100"/>
      <c r="AX302" s="2"/>
      <c r="AY302" s="2"/>
      <c r="AZ302" s="2"/>
      <c r="BA302" s="2"/>
      <c r="BB302" s="2"/>
      <c r="BC302" s="2"/>
      <c r="BD302" s="2"/>
      <c r="BE302" s="2"/>
      <c r="BF302" s="2"/>
      <c r="BG302" s="2"/>
      <c r="BH302" s="2"/>
      <c r="BI302" s="2"/>
      <c r="BJ302" s="2"/>
      <c r="BK302" s="2"/>
      <c r="BL302" s="2"/>
    </row>
    <row r="303" spans="1:64" hidden="1" outlineLevel="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101"/>
      <c r="AT303" s="57"/>
      <c r="AU303" s="57"/>
      <c r="AV303" s="56"/>
      <c r="AW303" s="100"/>
      <c r="AX303" s="2"/>
      <c r="AY303" s="2"/>
      <c r="AZ303" s="2"/>
      <c r="BA303" s="2"/>
      <c r="BB303" s="2"/>
      <c r="BC303" s="2"/>
      <c r="BD303" s="2"/>
      <c r="BE303" s="2"/>
      <c r="BF303" s="2"/>
      <c r="BG303" s="2"/>
      <c r="BH303" s="2"/>
      <c r="BI303" s="2"/>
      <c r="BJ303" s="2"/>
      <c r="BK303" s="2"/>
      <c r="BL303" s="2"/>
    </row>
    <row r="304" spans="1:64" hidden="1" outlineLevel="1">
      <c r="A304" s="213" t="s">
        <v>823</v>
      </c>
      <c r="B304" s="13"/>
      <c r="C304" s="13"/>
      <c r="D304" s="13"/>
      <c r="E304" s="13"/>
      <c r="F304" s="13"/>
      <c r="G304" s="13"/>
      <c r="H304" s="13"/>
      <c r="I304" s="13"/>
      <c r="J304" s="13"/>
      <c r="K304" s="13"/>
      <c r="L304" s="13"/>
      <c r="M304" s="13"/>
      <c r="N304" s="13"/>
      <c r="O304" s="13"/>
      <c r="P304" s="13"/>
      <c r="Q304" s="13"/>
      <c r="R304" s="237"/>
      <c r="S304" s="237">
        <v>-0.05</v>
      </c>
      <c r="T304" s="237">
        <v>0.05</v>
      </c>
      <c r="U304" s="237">
        <v>0.12</v>
      </c>
      <c r="V304" s="187">
        <v>0.04</v>
      </c>
      <c r="W304" s="187">
        <v>-0.05</v>
      </c>
      <c r="X304" s="237"/>
      <c r="Y304" s="237"/>
      <c r="Z304" s="237"/>
      <c r="AA304" s="237"/>
      <c r="AB304" s="52"/>
      <c r="AC304" s="52"/>
      <c r="AD304" s="52"/>
      <c r="AE304" s="52"/>
      <c r="AF304" s="52"/>
      <c r="AG304" s="52"/>
      <c r="AH304" s="52"/>
      <c r="AI304" s="52"/>
      <c r="AJ304" s="52"/>
      <c r="AK304" s="52"/>
      <c r="AL304" s="52"/>
      <c r="AM304" s="52"/>
      <c r="AN304" s="52"/>
      <c r="AO304" s="52"/>
      <c r="AP304" s="52"/>
      <c r="AQ304" s="52"/>
      <c r="AR304" s="52"/>
      <c r="AS304" s="105"/>
      <c r="AT304" s="57"/>
      <c r="AU304" s="57"/>
      <c r="AV304" s="56"/>
      <c r="AW304" s="100"/>
      <c r="AX304" s="2"/>
      <c r="AY304" s="2"/>
      <c r="AZ304" s="2"/>
      <c r="BA304" s="2"/>
      <c r="BB304" s="2"/>
      <c r="BC304" s="2"/>
      <c r="BD304" s="2"/>
      <c r="BE304" s="2"/>
      <c r="BF304" s="2"/>
      <c r="BG304" s="2"/>
      <c r="BH304" s="2"/>
      <c r="BI304" s="2"/>
      <c r="BJ304" s="2"/>
      <c r="BK304" s="2"/>
      <c r="BL304" s="2"/>
    </row>
    <row r="305" spans="1:64" hidden="1" outlineLevel="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101"/>
      <c r="AT305" s="57"/>
      <c r="AU305" s="57"/>
      <c r="AV305" s="56"/>
      <c r="AW305" s="100"/>
      <c r="AX305" s="2"/>
      <c r="AY305" s="2"/>
      <c r="AZ305" s="2"/>
      <c r="BA305" s="2"/>
      <c r="BB305" s="2"/>
      <c r="BC305" s="2"/>
      <c r="BD305" s="2"/>
      <c r="BE305" s="2"/>
      <c r="BF305" s="2"/>
      <c r="BG305" s="2"/>
      <c r="BH305" s="2"/>
      <c r="BI305" s="2"/>
      <c r="BJ305" s="2"/>
      <c r="BK305" s="2"/>
      <c r="BL305" s="2"/>
    </row>
    <row r="306" spans="1:64" hidden="1" outlineLevel="1">
      <c r="A306" s="213" t="s">
        <v>326</v>
      </c>
      <c r="B306" s="9"/>
      <c r="C306" s="9"/>
      <c r="D306" s="9"/>
      <c r="E306" s="9"/>
      <c r="F306" s="9"/>
      <c r="G306" s="9"/>
      <c r="H306" s="9"/>
      <c r="I306" s="9"/>
      <c r="J306" s="9"/>
      <c r="K306" s="9"/>
      <c r="L306" s="9"/>
      <c r="M306" s="9"/>
      <c r="N306" s="9">
        <f>+(N295-M295)*1000000/(N284-N281)</f>
        <v>74200.000000000087</v>
      </c>
      <c r="O306" s="9">
        <f>+(O295-N295)*1000000/(O284-O281)</f>
        <v>4236.8421052631702</v>
      </c>
      <c r="P306" s="9">
        <f>+(P295-O295)*1000000/(P284-P281)</f>
        <v>7161.2903225806303</v>
      </c>
      <c r="Q306" s="9"/>
      <c r="R306" s="9"/>
      <c r="S306" s="9"/>
      <c r="T306" s="9"/>
      <c r="U306" s="9"/>
      <c r="V306" s="9"/>
      <c r="W306" s="9"/>
      <c r="X306" s="9"/>
      <c r="Y306" s="9"/>
      <c r="Z306" s="9"/>
      <c r="AA306" s="9"/>
      <c r="AB306" s="9"/>
      <c r="AC306" s="9"/>
      <c r="AD306" s="9"/>
      <c r="AE306" s="9"/>
      <c r="AF306" s="9"/>
      <c r="AG306" s="9"/>
      <c r="AH306" s="9"/>
      <c r="AI306" s="9"/>
      <c r="AJ306" s="9"/>
      <c r="AK306" s="9"/>
      <c r="AL306" s="9"/>
      <c r="AM306" s="9"/>
      <c r="AN306" s="9"/>
      <c r="AO306" s="9"/>
      <c r="AP306" s="9"/>
      <c r="AQ306" s="9"/>
      <c r="AR306" s="9"/>
      <c r="AS306" s="103"/>
      <c r="AT306" s="98"/>
      <c r="AU306" s="98"/>
      <c r="AV306" s="56"/>
      <c r="AW306" s="100"/>
      <c r="AX306" s="2"/>
      <c r="AY306" s="2"/>
      <c r="AZ306" s="2"/>
      <c r="BA306" s="2"/>
      <c r="BB306" s="2"/>
      <c r="BC306" s="2"/>
      <c r="BD306" s="2"/>
      <c r="BE306" s="2"/>
      <c r="BF306" s="2"/>
      <c r="BG306" s="2"/>
      <c r="BH306" s="2"/>
      <c r="BI306" s="2"/>
      <c r="BJ306" s="2"/>
      <c r="BK306" s="2"/>
      <c r="BL306" s="2"/>
    </row>
    <row r="307" spans="1:64" hidden="1" outlineLevel="1">
      <c r="A307" s="2"/>
      <c r="B307" s="2"/>
      <c r="C307" s="2"/>
      <c r="D307" s="2"/>
      <c r="E307" s="2"/>
      <c r="F307" s="2"/>
      <c r="G307" s="2"/>
      <c r="H307" s="2"/>
      <c r="I307" s="2"/>
      <c r="J307" s="2"/>
      <c r="K307" s="2"/>
      <c r="L307" s="2"/>
      <c r="M307" s="2"/>
      <c r="N307" s="2"/>
      <c r="O307" s="2"/>
      <c r="P307" s="2"/>
      <c r="Q307" s="2"/>
      <c r="R307" s="2"/>
      <c r="S307" s="2"/>
      <c r="T307" s="2"/>
      <c r="U307" s="2"/>
      <c r="V307" s="190"/>
      <c r="W307" s="2"/>
      <c r="X307" s="2"/>
      <c r="Y307" s="2"/>
      <c r="Z307" s="2"/>
      <c r="AA307" s="2"/>
      <c r="AB307" s="2"/>
      <c r="AC307" s="2"/>
      <c r="AD307" s="2"/>
      <c r="AE307" s="2"/>
      <c r="AF307" s="2"/>
      <c r="AG307" s="2"/>
      <c r="AH307" s="2"/>
      <c r="AI307" s="2"/>
      <c r="AJ307" s="2"/>
      <c r="AK307" s="2"/>
      <c r="AL307" s="2"/>
      <c r="AM307" s="2"/>
      <c r="AN307" s="2"/>
      <c r="AO307" s="2"/>
      <c r="AP307" s="2"/>
      <c r="AQ307" s="2"/>
      <c r="AR307" s="2"/>
      <c r="AS307" s="101"/>
      <c r="AT307" s="57"/>
      <c r="AU307" s="57"/>
      <c r="AV307" s="56"/>
      <c r="AW307" s="100"/>
      <c r="AX307" s="2"/>
      <c r="AY307" s="2"/>
      <c r="AZ307" s="2"/>
      <c r="BA307" s="2"/>
      <c r="BB307" s="2"/>
      <c r="BC307" s="2"/>
      <c r="BD307" s="2"/>
      <c r="BE307" s="2"/>
      <c r="BF307" s="2"/>
      <c r="BG307" s="2"/>
      <c r="BH307" s="2"/>
      <c r="BI307" s="2"/>
      <c r="BJ307" s="2"/>
      <c r="BK307" s="2"/>
      <c r="BL307" s="2"/>
    </row>
    <row r="308" spans="1:64" hidden="1" outlineLevel="1">
      <c r="A308" s="213" t="s">
        <v>824</v>
      </c>
      <c r="B308" s="180"/>
      <c r="C308" s="180"/>
      <c r="D308" s="180"/>
      <c r="E308" s="180"/>
      <c r="F308" s="180"/>
      <c r="G308" s="180"/>
      <c r="H308" s="180"/>
      <c r="I308" s="180"/>
      <c r="J308" s="180"/>
      <c r="K308" s="180"/>
      <c r="L308" s="180" t="e">
        <f t="shared" ref="L308:X308" si="433">(L279-L304)/L293</f>
        <v>#DIV/0!</v>
      </c>
      <c r="M308" s="180" t="e">
        <f t="shared" si="433"/>
        <v>#DIV/0!</v>
      </c>
      <c r="N308" s="180" t="e">
        <f t="shared" si="433"/>
        <v>#DIV/0!</v>
      </c>
      <c r="O308" s="180" t="e">
        <f t="shared" si="433"/>
        <v>#DIV/0!</v>
      </c>
      <c r="P308" s="180" t="e">
        <f t="shared" si="433"/>
        <v>#DIV/0!</v>
      </c>
      <c r="Q308" s="180" t="e">
        <f t="shared" si="433"/>
        <v>#DIV/0!</v>
      </c>
      <c r="R308" s="180" t="e">
        <f t="shared" si="433"/>
        <v>#DIV/0!</v>
      </c>
      <c r="S308" s="180" t="e">
        <f t="shared" si="433"/>
        <v>#DIV/0!</v>
      </c>
      <c r="T308" s="180">
        <f t="shared" si="433"/>
        <v>0.66889534883720869</v>
      </c>
      <c r="U308" s="180">
        <f t="shared" si="433"/>
        <v>0.53302720172367246</v>
      </c>
      <c r="V308" s="180">
        <f t="shared" si="433"/>
        <v>0.18363438234405885</v>
      </c>
      <c r="W308" s="180">
        <f t="shared" si="433"/>
        <v>0.37486916806749387</v>
      </c>
      <c r="X308" s="180">
        <f t="shared" si="433"/>
        <v>1.9183281287533027</v>
      </c>
      <c r="Y308" s="180"/>
      <c r="Z308" s="180"/>
      <c r="AA308" s="180"/>
      <c r="AB308" s="180"/>
      <c r="AC308" s="180"/>
      <c r="AD308" s="180"/>
      <c r="AE308" s="180"/>
      <c r="AF308" s="180"/>
      <c r="AG308" s="180"/>
      <c r="AH308" s="180"/>
      <c r="AI308" s="180"/>
      <c r="AJ308" s="180"/>
      <c r="AK308" s="180"/>
      <c r="AL308" s="180"/>
      <c r="AM308" s="180"/>
      <c r="AN308" s="180"/>
      <c r="AO308" s="180"/>
      <c r="AP308" s="180"/>
      <c r="AQ308" s="180"/>
      <c r="AR308" s="180"/>
      <c r="AS308" s="106"/>
      <c r="AT308" s="3"/>
      <c r="AU308" s="3"/>
      <c r="AV308" s="107"/>
      <c r="AW308" s="108"/>
      <c r="AX308" s="2"/>
      <c r="AY308" s="2"/>
      <c r="AZ308" s="2"/>
      <c r="BA308" s="2"/>
      <c r="BB308" s="2"/>
      <c r="BC308" s="2"/>
      <c r="BD308" s="2"/>
      <c r="BE308" s="2"/>
      <c r="BF308" s="2"/>
      <c r="BG308" s="2"/>
      <c r="BH308" s="2"/>
      <c r="BI308" s="2"/>
      <c r="BJ308" s="2"/>
      <c r="BK308" s="2"/>
      <c r="BL308" s="2"/>
    </row>
    <row r="309" spans="1:64" hidden="1" outlineLevel="1"/>
    <row r="310" spans="1:64" hidden="1" outlineLevel="1">
      <c r="A310" s="19" t="s">
        <v>1069</v>
      </c>
      <c r="B310" s="2"/>
      <c r="C310" s="2"/>
      <c r="D310" s="2"/>
      <c r="E310" s="2"/>
      <c r="F310" s="2"/>
      <c r="G310" s="2"/>
      <c r="H310" s="2"/>
      <c r="I310" s="2"/>
      <c r="J310" s="2"/>
      <c r="K310" s="2"/>
      <c r="L310" s="2"/>
      <c r="M310" s="2"/>
      <c r="N310" s="2"/>
      <c r="O310" s="2"/>
      <c r="P310" s="2"/>
      <c r="Q310" s="2"/>
      <c r="R310" s="2"/>
      <c r="S310" s="20"/>
      <c r="T310" s="2"/>
      <c r="U310" s="2"/>
      <c r="V310" s="2"/>
      <c r="W310" s="2"/>
      <c r="X310" s="2"/>
      <c r="Y310" s="2"/>
      <c r="AS310" s="2"/>
      <c r="AT310" s="2"/>
      <c r="AU310" s="2"/>
      <c r="AV310" s="7"/>
      <c r="AW310" s="2"/>
      <c r="AX310" s="2"/>
      <c r="AY310" s="2"/>
      <c r="AZ310" s="2"/>
      <c r="BA310" s="2"/>
      <c r="BB310" s="2"/>
      <c r="BC310" s="2"/>
      <c r="BD310" s="2"/>
      <c r="BE310" s="2"/>
      <c r="BF310" s="2"/>
      <c r="BG310" s="2"/>
      <c r="BH310" s="2"/>
      <c r="BI310" s="2"/>
      <c r="BJ310" s="2"/>
      <c r="BK310" s="2"/>
      <c r="BL310" s="2"/>
    </row>
    <row r="311" spans="1:64" hidden="1" outlineLevel="1">
      <c r="A311" s="2"/>
      <c r="B311" s="2"/>
      <c r="C311" s="2"/>
      <c r="D311" s="2"/>
      <c r="E311" s="2"/>
      <c r="F311" s="2"/>
      <c r="G311" s="2"/>
      <c r="H311" s="2"/>
      <c r="I311" s="2"/>
      <c r="J311" s="2"/>
      <c r="K311" s="2"/>
      <c r="L311" s="2"/>
      <c r="M311" s="2"/>
      <c r="N311" s="2"/>
      <c r="O311" s="2"/>
      <c r="P311" s="2"/>
      <c r="Q311" s="2"/>
      <c r="R311" s="2"/>
      <c r="S311" s="20"/>
      <c r="T311" s="2"/>
      <c r="U311" s="2"/>
      <c r="V311" s="2"/>
      <c r="W311" s="2"/>
      <c r="X311" s="2"/>
      <c r="Y311" s="2"/>
      <c r="AS311" s="2"/>
      <c r="AT311" s="2"/>
      <c r="AU311" s="2"/>
      <c r="AV311" s="7"/>
      <c r="AW311" s="2"/>
      <c r="AX311" s="2"/>
      <c r="AY311" s="2"/>
      <c r="AZ311" s="2"/>
      <c r="BA311" s="2"/>
      <c r="BB311" s="2"/>
      <c r="BC311" s="2"/>
      <c r="BD311" s="2"/>
      <c r="BE311" s="2"/>
      <c r="BF311" s="2"/>
      <c r="BG311" s="2"/>
      <c r="BH311" s="2"/>
      <c r="BI311" s="2"/>
      <c r="BJ311" s="2"/>
      <c r="BK311" s="2"/>
      <c r="BL311" s="2"/>
    </row>
    <row r="312" spans="1:64" hidden="1" outlineLevel="1">
      <c r="A312" s="48" t="str">
        <f>+A1</f>
        <v>Limited Brands, Inc. -- Consolidated Company</v>
      </c>
      <c r="B312" s="48"/>
      <c r="C312" s="48"/>
      <c r="D312" s="48"/>
      <c r="E312" s="48"/>
      <c r="F312" s="48"/>
      <c r="G312" s="48"/>
      <c r="H312" s="48"/>
      <c r="I312" s="48"/>
      <c r="J312" s="48"/>
      <c r="K312" s="48"/>
      <c r="L312" s="48"/>
      <c r="M312" s="48"/>
      <c r="N312" s="48"/>
      <c r="O312" s="48"/>
      <c r="P312" s="48"/>
      <c r="Q312" s="48"/>
      <c r="R312" s="48"/>
      <c r="S312" s="48"/>
      <c r="T312" s="48"/>
      <c r="U312" s="48"/>
      <c r="V312" s="48"/>
      <c r="W312" s="48"/>
      <c r="X312" s="48"/>
      <c r="Y312" s="48"/>
      <c r="Z312" s="48"/>
      <c r="AA312" s="48"/>
      <c r="AB312" s="48"/>
      <c r="AC312" s="48"/>
      <c r="AD312" s="48"/>
      <c r="AE312" s="48"/>
      <c r="AF312" s="48"/>
      <c r="AG312" s="48"/>
      <c r="AH312" s="48"/>
      <c r="AI312" s="48"/>
      <c r="AJ312" s="48"/>
      <c r="AK312" s="48"/>
      <c r="AL312" s="48"/>
      <c r="AM312" s="48"/>
      <c r="AN312" s="48"/>
      <c r="AO312" s="48"/>
      <c r="AP312" s="48"/>
      <c r="AQ312" s="48"/>
      <c r="AR312" s="48"/>
      <c r="AS312" s="48"/>
      <c r="AT312" s="48"/>
      <c r="AU312" s="515"/>
      <c r="AV312" s="48"/>
      <c r="AW312" s="48"/>
    </row>
    <row r="313" spans="1:64" hidden="1" outlineLevel="1">
      <c r="A313" s="26" t="s">
        <v>554</v>
      </c>
      <c r="B313" s="26"/>
      <c r="C313" s="26"/>
      <c r="D313" s="26"/>
      <c r="E313" s="26"/>
      <c r="F313" s="26"/>
      <c r="G313" s="26"/>
      <c r="H313" s="26"/>
      <c r="I313" s="26"/>
      <c r="J313" s="26"/>
      <c r="K313" s="26"/>
      <c r="L313" s="26"/>
      <c r="M313" s="26"/>
      <c r="N313" s="26"/>
      <c r="O313" s="26"/>
      <c r="P313" s="26"/>
      <c r="Q313" s="26"/>
      <c r="R313" s="26"/>
      <c r="S313" s="26"/>
      <c r="T313" s="26"/>
      <c r="U313" s="26"/>
      <c r="V313" s="26"/>
      <c r="W313" s="26"/>
      <c r="X313" s="26"/>
      <c r="Y313" s="26"/>
      <c r="Z313" s="26"/>
      <c r="AA313" s="26"/>
      <c r="AB313" s="26"/>
      <c r="AC313" s="26"/>
      <c r="AD313" s="26"/>
      <c r="AE313" s="26"/>
      <c r="AF313" s="26"/>
      <c r="AG313" s="26"/>
      <c r="AH313" s="26"/>
      <c r="AI313" s="26"/>
      <c r="AJ313" s="26"/>
      <c r="AK313" s="26"/>
      <c r="AL313" s="26"/>
      <c r="AM313" s="26"/>
      <c r="AN313" s="26"/>
      <c r="AO313" s="26"/>
      <c r="AP313" s="26"/>
      <c r="AQ313" s="26"/>
      <c r="AR313" s="26"/>
      <c r="AS313" s="26"/>
      <c r="AT313" s="486"/>
      <c r="AU313" s="26"/>
      <c r="AV313" s="486"/>
      <c r="AW313" s="26"/>
    </row>
    <row r="314" spans="1:64" hidden="1" outlineLevel="1">
      <c r="A314" s="48"/>
      <c r="B314" s="48"/>
      <c r="C314" s="48"/>
      <c r="D314" s="48"/>
      <c r="E314" s="48"/>
      <c r="F314" s="48"/>
      <c r="G314" s="48"/>
      <c r="H314" s="48"/>
      <c r="I314" s="48"/>
      <c r="J314" s="48"/>
      <c r="K314" s="48"/>
      <c r="L314" s="48"/>
      <c r="M314" s="48"/>
      <c r="N314" s="48"/>
      <c r="O314" s="48"/>
      <c r="P314" s="48"/>
      <c r="Q314" s="48"/>
      <c r="R314" s="48"/>
      <c r="S314" s="48"/>
      <c r="T314" s="48"/>
      <c r="U314" s="48"/>
      <c r="V314" s="48"/>
      <c r="W314" s="48"/>
      <c r="X314" s="48"/>
      <c r="Y314" s="48"/>
      <c r="Z314" s="48"/>
      <c r="AA314" s="48"/>
      <c r="AB314" s="48"/>
      <c r="AC314" s="48"/>
      <c r="AD314" s="48"/>
      <c r="AE314" s="48"/>
      <c r="AF314" s="48"/>
      <c r="AG314" s="48"/>
      <c r="AH314" s="48"/>
      <c r="AI314" s="48"/>
      <c r="AJ314" s="48"/>
      <c r="AK314" s="48"/>
      <c r="AL314" s="48"/>
      <c r="AM314" s="48"/>
      <c r="AN314" s="48"/>
      <c r="AO314" s="48"/>
      <c r="AP314" s="48"/>
      <c r="AQ314" s="48"/>
      <c r="AR314" s="48"/>
      <c r="AS314" s="636"/>
      <c r="AT314" s="238"/>
      <c r="AU314" s="637" t="str">
        <f>+AU4</f>
        <v>CAGR</v>
      </c>
      <c r="AV314" s="238"/>
      <c r="AW314" s="638"/>
    </row>
    <row r="315" spans="1:64" hidden="1" outlineLevel="1">
      <c r="A315" s="514"/>
      <c r="B315" s="514">
        <f t="shared" ref="B315:S315" si="434">+B5</f>
        <v>1980</v>
      </c>
      <c r="C315" s="514">
        <f t="shared" si="434"/>
        <v>1981</v>
      </c>
      <c r="D315" s="514">
        <f t="shared" si="434"/>
        <v>1982</v>
      </c>
      <c r="E315" s="514">
        <f t="shared" si="434"/>
        <v>1983</v>
      </c>
      <c r="F315" s="514">
        <f t="shared" si="434"/>
        <v>1984</v>
      </c>
      <c r="G315" s="514">
        <f t="shared" si="434"/>
        <v>1985</v>
      </c>
      <c r="H315" s="514">
        <f t="shared" si="434"/>
        <v>1986</v>
      </c>
      <c r="I315" s="514">
        <f t="shared" si="434"/>
        <v>1987</v>
      </c>
      <c r="J315" s="514">
        <f t="shared" si="434"/>
        <v>1988</v>
      </c>
      <c r="K315" s="514">
        <f t="shared" si="434"/>
        <v>1989</v>
      </c>
      <c r="L315" s="514">
        <f t="shared" si="434"/>
        <v>1990</v>
      </c>
      <c r="M315" s="514">
        <f t="shared" si="434"/>
        <v>1991</v>
      </c>
      <c r="N315" s="514">
        <f t="shared" si="434"/>
        <v>1992</v>
      </c>
      <c r="O315" s="514">
        <f t="shared" si="434"/>
        <v>1993</v>
      </c>
      <c r="P315" s="514">
        <f t="shared" si="434"/>
        <v>1994</v>
      </c>
      <c r="Q315" s="47">
        <f t="shared" si="434"/>
        <v>1995</v>
      </c>
      <c r="R315" s="47">
        <f t="shared" si="434"/>
        <v>1996</v>
      </c>
      <c r="S315" s="47">
        <f t="shared" si="434"/>
        <v>1997</v>
      </c>
      <c r="T315" s="47">
        <f t="shared" ref="T315:AC315" si="435">+T5</f>
        <v>1998</v>
      </c>
      <c r="U315" s="47">
        <f t="shared" si="435"/>
        <v>1999</v>
      </c>
      <c r="V315" s="47">
        <f t="shared" si="435"/>
        <v>2000</v>
      </c>
      <c r="W315" s="47">
        <f t="shared" si="435"/>
        <v>2001</v>
      </c>
      <c r="X315" s="47">
        <f t="shared" si="435"/>
        <v>2002</v>
      </c>
      <c r="Y315" s="53">
        <f t="shared" si="435"/>
        <v>2003</v>
      </c>
      <c r="Z315" s="55">
        <f t="shared" si="435"/>
        <v>2004</v>
      </c>
      <c r="AA315" s="586">
        <f t="shared" si="435"/>
        <v>2005</v>
      </c>
      <c r="AB315" s="586">
        <f t="shared" si="435"/>
        <v>2006</v>
      </c>
      <c r="AC315" s="55">
        <f t="shared" si="435"/>
        <v>2007</v>
      </c>
      <c r="AD315" s="55">
        <f t="shared" ref="AD315:AI315" si="436">+AD5</f>
        <v>2008</v>
      </c>
      <c r="AE315" s="55">
        <f t="shared" si="436"/>
        <v>2009</v>
      </c>
      <c r="AF315" s="55">
        <f t="shared" si="436"/>
        <v>2010</v>
      </c>
      <c r="AG315" s="55">
        <f t="shared" si="436"/>
        <v>2011</v>
      </c>
      <c r="AH315" s="55">
        <f t="shared" si="436"/>
        <v>2012</v>
      </c>
      <c r="AI315" s="55">
        <f t="shared" si="436"/>
        <v>2013</v>
      </c>
      <c r="AJ315" s="55">
        <f>+AJ5</f>
        <v>2014</v>
      </c>
      <c r="AK315" s="55">
        <f>+AK5</f>
        <v>2015</v>
      </c>
      <c r="AL315" s="1098"/>
      <c r="AM315" s="1098"/>
      <c r="AN315" s="1098"/>
      <c r="AO315" s="1098"/>
      <c r="AP315" s="1098"/>
      <c r="AQ315" s="1098"/>
      <c r="AR315" s="1098"/>
      <c r="AS315" s="641">
        <f>+AS5</f>
        <v>0</v>
      </c>
      <c r="AT315" s="47" t="str">
        <f>+AT5</f>
        <v>10-15E</v>
      </c>
      <c r="AU315" s="517"/>
      <c r="AV315" s="47" t="str">
        <f>+AV5</f>
        <v>15-20E</v>
      </c>
      <c r="AW315" s="640"/>
    </row>
    <row r="316" spans="1:64" hidden="1" outlineLevel="1">
      <c r="A316" s="518" t="s">
        <v>224</v>
      </c>
      <c r="B316" s="2"/>
      <c r="C316" s="2"/>
      <c r="D316" s="2"/>
      <c r="E316" s="2"/>
      <c r="F316" s="2"/>
      <c r="G316" s="2"/>
      <c r="H316" s="2"/>
      <c r="I316" s="2"/>
      <c r="J316" s="2"/>
      <c r="K316" s="2"/>
      <c r="L316" s="2"/>
      <c r="M316" s="2"/>
      <c r="N316" s="2"/>
      <c r="O316" s="2"/>
      <c r="P316" s="2"/>
      <c r="Q316" s="2"/>
      <c r="R316" s="2"/>
      <c r="S316" s="20"/>
      <c r="T316" s="2"/>
      <c r="U316" s="2"/>
      <c r="V316" s="2"/>
      <c r="W316" s="2"/>
      <c r="X316" s="2"/>
      <c r="Y316" s="2"/>
      <c r="AS316" s="101"/>
      <c r="AT316" s="57"/>
      <c r="AU316" s="57"/>
      <c r="AV316" s="56"/>
      <c r="AW316" s="100"/>
      <c r="AX316" s="2"/>
      <c r="AY316" s="2"/>
      <c r="AZ316" s="2"/>
      <c r="BA316" s="2"/>
      <c r="BB316" s="2"/>
      <c r="BC316" s="2"/>
      <c r="BD316" s="2"/>
      <c r="BE316" s="2"/>
      <c r="BF316" s="2"/>
      <c r="BG316" s="2"/>
      <c r="BH316" s="2"/>
      <c r="BI316" s="2"/>
      <c r="BJ316" s="2"/>
      <c r="BK316" s="2"/>
      <c r="BL316" s="2"/>
    </row>
    <row r="317" spans="1:64" hidden="1" outlineLevel="1">
      <c r="A317" s="23" t="str">
        <f>+A53</f>
        <v>Victoria's Secret</v>
      </c>
      <c r="B317" s="483"/>
      <c r="C317" s="483"/>
      <c r="D317" s="483"/>
      <c r="E317" s="483"/>
      <c r="F317" s="483"/>
      <c r="G317" s="483"/>
      <c r="H317" s="483"/>
      <c r="I317" s="483"/>
      <c r="J317" s="483"/>
      <c r="K317" s="483"/>
      <c r="L317" s="483"/>
      <c r="M317" s="483"/>
      <c r="N317" s="16">
        <f t="shared" ref="N317:AC317" si="437">+N65</f>
        <v>1207</v>
      </c>
      <c r="O317" s="16">
        <f t="shared" si="437"/>
        <v>1428</v>
      </c>
      <c r="P317" s="16">
        <f t="shared" si="437"/>
        <v>1750</v>
      </c>
      <c r="Q317" s="16">
        <f t="shared" si="437"/>
        <v>1947</v>
      </c>
      <c r="R317" s="16">
        <f t="shared" si="437"/>
        <v>2134</v>
      </c>
      <c r="S317" s="16">
        <f t="shared" si="437"/>
        <v>2436</v>
      </c>
      <c r="T317" s="16">
        <f t="shared" si="437"/>
        <v>2588</v>
      </c>
      <c r="U317" s="16">
        <f t="shared" si="437"/>
        <v>3078.2559999999999</v>
      </c>
      <c r="V317" s="16">
        <f t="shared" si="437"/>
        <v>3301.1949999999997</v>
      </c>
      <c r="W317" s="16">
        <f t="shared" si="437"/>
        <v>3272.1310000000003</v>
      </c>
      <c r="X317" s="16">
        <f t="shared" si="437"/>
        <v>3586</v>
      </c>
      <c r="Y317" s="16">
        <f t="shared" si="437"/>
        <v>3816.6000000000004</v>
      </c>
      <c r="Z317" s="16">
        <f t="shared" si="437"/>
        <v>4232.1400000000003</v>
      </c>
      <c r="AA317" s="16">
        <f t="shared" si="437"/>
        <v>4447.6129999999994</v>
      </c>
      <c r="AB317" s="16">
        <f t="shared" si="437"/>
        <v>5115.6629999999996</v>
      </c>
      <c r="AC317" s="16">
        <f t="shared" si="437"/>
        <v>5119.0370000000003</v>
      </c>
      <c r="AD317" s="16">
        <f t="shared" ref="AD317:AI317" si="438">+AD65</f>
        <v>5112.5</v>
      </c>
      <c r="AE317" s="16">
        <f t="shared" si="438"/>
        <v>4883.1000000000004</v>
      </c>
      <c r="AF317" s="16">
        <f t="shared" si="438"/>
        <v>5520.5</v>
      </c>
      <c r="AG317" s="16">
        <f t="shared" si="438"/>
        <v>6121.45</v>
      </c>
      <c r="AH317" s="16">
        <f t="shared" si="438"/>
        <v>6740.2259999999997</v>
      </c>
      <c r="AI317" s="16">
        <f t="shared" si="438"/>
        <v>6884.195999999999</v>
      </c>
      <c r="AJ317" s="16">
        <f>+AJ65</f>
        <v>7207.6</v>
      </c>
      <c r="AK317" s="16">
        <f>+AK65</f>
        <v>7672.0999999999995</v>
      </c>
      <c r="AL317" s="16"/>
      <c r="AM317" s="16"/>
      <c r="AN317" s="16"/>
      <c r="AO317" s="16"/>
      <c r="AP317" s="16"/>
      <c r="AQ317" s="16"/>
      <c r="AR317" s="16"/>
      <c r="AS317" s="538"/>
      <c r="AT317" s="56">
        <f t="shared" ref="AT317:AT322" si="439">((AF317/AA317)^(1/5)-1)*100</f>
        <v>4.416777192388377</v>
      </c>
      <c r="AU317" s="97" t="s">
        <v>1084</v>
      </c>
      <c r="AV317" s="56">
        <f t="shared" ref="AV317:AV322" si="440">((AK317/AF317)^(1/5)-1)*100</f>
        <v>6.8039139354303391</v>
      </c>
      <c r="AW317" s="100" t="s">
        <v>1084</v>
      </c>
    </row>
    <row r="318" spans="1:64" hidden="1" outlineLevel="1">
      <c r="A318" s="23" t="str">
        <f>+A107</f>
        <v>Bath and Body Works</v>
      </c>
      <c r="B318" s="470"/>
      <c r="C318" s="470"/>
      <c r="D318" s="470"/>
      <c r="E318" s="470"/>
      <c r="F318" s="470"/>
      <c r="G318" s="470"/>
      <c r="H318" s="470"/>
      <c r="I318" s="470"/>
      <c r="J318" s="470"/>
      <c r="K318" s="470"/>
      <c r="L318" s="470"/>
      <c r="M318" s="470"/>
      <c r="N318" s="468">
        <f t="shared" ref="N318:AC318" si="441">+N113</f>
        <v>57</v>
      </c>
      <c r="O318" s="468">
        <f t="shared" si="441"/>
        <v>112</v>
      </c>
      <c r="P318" s="468">
        <f t="shared" si="441"/>
        <v>260</v>
      </c>
      <c r="Q318" s="468">
        <f t="shared" si="441"/>
        <v>475</v>
      </c>
      <c r="R318" s="468">
        <f t="shared" si="441"/>
        <v>753</v>
      </c>
      <c r="S318" s="468">
        <f t="shared" si="441"/>
        <v>1057</v>
      </c>
      <c r="T318" s="468">
        <f t="shared" si="441"/>
        <v>1272</v>
      </c>
      <c r="U318" s="468">
        <f t="shared" si="441"/>
        <v>1530.0509999999999</v>
      </c>
      <c r="V318" s="468">
        <f t="shared" si="441"/>
        <v>1784.585</v>
      </c>
      <c r="W318" s="468">
        <f t="shared" si="441"/>
        <v>1746.57</v>
      </c>
      <c r="X318" s="468">
        <f t="shared" si="441"/>
        <v>1781</v>
      </c>
      <c r="Y318" s="468">
        <f t="shared" si="441"/>
        <v>1934.471</v>
      </c>
      <c r="Z318" s="468">
        <f t="shared" si="441"/>
        <v>2168.6440000000002</v>
      </c>
      <c r="AA318" s="468">
        <f t="shared" si="441"/>
        <v>2284.752</v>
      </c>
      <c r="AB318" s="468">
        <f t="shared" si="441"/>
        <v>2555.4049999999997</v>
      </c>
      <c r="AC318" s="468">
        <f t="shared" si="441"/>
        <v>2494.0660000000003</v>
      </c>
      <c r="AD318" s="468">
        <f t="shared" ref="AD318:AI318" si="442">+AD113</f>
        <v>2373.6109999999999</v>
      </c>
      <c r="AE318" s="468">
        <f t="shared" si="442"/>
        <v>2382.5830000000001</v>
      </c>
      <c r="AF318" s="468">
        <f t="shared" si="442"/>
        <v>2515.2259999999997</v>
      </c>
      <c r="AG318" s="468">
        <f t="shared" si="442"/>
        <v>2674.3420000000001</v>
      </c>
      <c r="AH318" s="468">
        <f t="shared" si="442"/>
        <v>3074.4390000000003</v>
      </c>
      <c r="AI318" s="468">
        <f t="shared" si="442"/>
        <v>3117.8639999999996</v>
      </c>
      <c r="AJ318" s="468">
        <f>+AJ113</f>
        <v>3349.6089999999999</v>
      </c>
      <c r="AK318" s="468">
        <f>+AK113</f>
        <v>3586.5610000000001</v>
      </c>
      <c r="AL318" s="468"/>
      <c r="AM318" s="468"/>
      <c r="AN318" s="468"/>
      <c r="AO318" s="468"/>
      <c r="AP318" s="468"/>
      <c r="AQ318" s="468"/>
      <c r="AR318" s="468"/>
      <c r="AS318" s="538"/>
      <c r="AT318" s="56">
        <f t="shared" si="439"/>
        <v>1.9406948496971888</v>
      </c>
      <c r="AU318" s="97" t="s">
        <v>1084</v>
      </c>
      <c r="AV318" s="56">
        <f t="shared" si="440"/>
        <v>7.3544970422014133</v>
      </c>
      <c r="AW318" s="100" t="s">
        <v>1084</v>
      </c>
    </row>
    <row r="319" spans="1:64" hidden="1" outlineLevel="1">
      <c r="A319" s="23" t="str">
        <f>+A153</f>
        <v>Express (Men's, Women's, and Dual Gender)</v>
      </c>
      <c r="B319" s="470"/>
      <c r="C319" s="470"/>
      <c r="D319" s="470"/>
      <c r="E319" s="470"/>
      <c r="F319" s="470"/>
      <c r="G319" s="470"/>
      <c r="H319" s="470"/>
      <c r="I319" s="470"/>
      <c r="J319" s="470"/>
      <c r="K319" s="470"/>
      <c r="L319" s="470"/>
      <c r="M319" s="470"/>
      <c r="N319" s="468">
        <f t="shared" ref="N319:AC319" si="443">+N159</f>
        <v>1630</v>
      </c>
      <c r="O319" s="468">
        <f t="shared" si="443"/>
        <v>1871</v>
      </c>
      <c r="P319" s="468">
        <f t="shared" si="443"/>
        <v>1942</v>
      </c>
      <c r="Q319" s="468">
        <f t="shared" si="443"/>
        <v>2021</v>
      </c>
      <c r="R319" s="468">
        <f t="shared" si="443"/>
        <v>2046</v>
      </c>
      <c r="S319" s="468">
        <f t="shared" si="443"/>
        <v>1849</v>
      </c>
      <c r="T319" s="468">
        <f t="shared" si="443"/>
        <v>1966</v>
      </c>
      <c r="U319" s="468">
        <f t="shared" si="443"/>
        <v>1973.5279999999998</v>
      </c>
      <c r="V319" s="468">
        <f t="shared" si="443"/>
        <v>2163.7159999999999</v>
      </c>
      <c r="W319" s="468">
        <f t="shared" si="443"/>
        <v>2044</v>
      </c>
      <c r="X319" s="468">
        <f t="shared" si="443"/>
        <v>2073</v>
      </c>
      <c r="Y319" s="468">
        <f t="shared" si="443"/>
        <v>2071.1999999999998</v>
      </c>
      <c r="Z319" s="468">
        <f t="shared" si="443"/>
        <v>1912.8490000000002</v>
      </c>
      <c r="AA319" s="468">
        <f t="shared" si="443"/>
        <v>1793.9879999999998</v>
      </c>
      <c r="AB319" s="468">
        <f t="shared" si="443"/>
        <v>1748.8000000000002</v>
      </c>
      <c r="AC319" s="468">
        <f t="shared" si="443"/>
        <v>1678.2137795539732</v>
      </c>
      <c r="AD319" s="468">
        <f t="shared" ref="AD319:AI319" si="444">+AD159</f>
        <v>1830.9550946708123</v>
      </c>
      <c r="AE319" s="468">
        <f t="shared" si="444"/>
        <v>1862.8241965642285</v>
      </c>
      <c r="AF319" s="468">
        <f t="shared" si="444"/>
        <v>1895.330680495513</v>
      </c>
      <c r="AG319" s="468">
        <f t="shared" si="444"/>
        <v>1928.4872941054232</v>
      </c>
      <c r="AH319" s="468">
        <f t="shared" si="444"/>
        <v>1962.3070399875317</v>
      </c>
      <c r="AI319" s="468">
        <f t="shared" si="444"/>
        <v>1996.8031807872824</v>
      </c>
      <c r="AJ319" s="468">
        <f>+AJ159</f>
        <v>1962.3070399875317</v>
      </c>
      <c r="AK319" s="468">
        <f>+AK159</f>
        <v>1996.8031807872824</v>
      </c>
      <c r="AL319" s="468"/>
      <c r="AM319" s="468"/>
      <c r="AN319" s="468"/>
      <c r="AO319" s="468"/>
      <c r="AP319" s="468"/>
      <c r="AQ319" s="468"/>
      <c r="AR319" s="468"/>
      <c r="AS319" s="538"/>
      <c r="AT319" s="56">
        <f t="shared" si="439"/>
        <v>1.1051066909553819</v>
      </c>
      <c r="AU319" s="97" t="s">
        <v>1084</v>
      </c>
      <c r="AV319" s="56">
        <f t="shared" si="440"/>
        <v>1.048542423575749</v>
      </c>
      <c r="AW319" s="100" t="s">
        <v>1084</v>
      </c>
    </row>
    <row r="320" spans="1:64" hidden="1" outlineLevel="1">
      <c r="A320" s="23" t="str">
        <f>+A228</f>
        <v>Limited Stores</v>
      </c>
      <c r="B320" s="470"/>
      <c r="C320" s="470"/>
      <c r="D320" s="470"/>
      <c r="E320" s="470"/>
      <c r="F320" s="470"/>
      <c r="G320" s="470"/>
      <c r="H320" s="470"/>
      <c r="I320" s="470"/>
      <c r="J320" s="470"/>
      <c r="K320" s="470"/>
      <c r="L320" s="470"/>
      <c r="M320" s="470"/>
      <c r="N320" s="468">
        <f t="shared" ref="N320:AC320" si="445">+N234</f>
        <v>1205</v>
      </c>
      <c r="O320" s="468">
        <f t="shared" si="445"/>
        <v>1084</v>
      </c>
      <c r="P320" s="468">
        <f t="shared" si="445"/>
        <v>869</v>
      </c>
      <c r="Q320" s="468">
        <f t="shared" si="445"/>
        <v>850</v>
      </c>
      <c r="R320" s="468">
        <f t="shared" si="445"/>
        <v>855</v>
      </c>
      <c r="S320" s="468">
        <f t="shared" si="445"/>
        <v>776</v>
      </c>
      <c r="T320" s="468">
        <f t="shared" si="445"/>
        <v>757</v>
      </c>
      <c r="U320" s="468">
        <f t="shared" si="445"/>
        <v>704.22499999999991</v>
      </c>
      <c r="V320" s="468">
        <f t="shared" si="445"/>
        <v>672.63199999999995</v>
      </c>
      <c r="W320" s="468">
        <f t="shared" si="445"/>
        <v>617.81200000000001</v>
      </c>
      <c r="X320" s="468">
        <f t="shared" si="445"/>
        <v>638</v>
      </c>
      <c r="Y320" s="468">
        <f t="shared" si="445"/>
        <v>625.5</v>
      </c>
      <c r="Z320" s="468">
        <f t="shared" si="445"/>
        <v>577.20000000000005</v>
      </c>
      <c r="AA320" s="468">
        <f t="shared" si="445"/>
        <v>545.16999999999996</v>
      </c>
      <c r="AB320" s="468">
        <f t="shared" si="445"/>
        <v>493.4</v>
      </c>
      <c r="AC320" s="468">
        <f t="shared" si="445"/>
        <v>476.92204041051525</v>
      </c>
      <c r="AD320" s="468">
        <f t="shared" ref="AD320:AI320" si="446">+AD234</f>
        <v>475.16048121872552</v>
      </c>
      <c r="AE320" s="468">
        <f t="shared" si="446"/>
        <v>478.36369084310002</v>
      </c>
      <c r="AF320" s="468">
        <f t="shared" si="446"/>
        <v>481.63096465996199</v>
      </c>
      <c r="AG320" s="468">
        <f t="shared" si="446"/>
        <v>484.96358395316122</v>
      </c>
      <c r="AH320" s="468">
        <f t="shared" si="446"/>
        <v>488.36285563222441</v>
      </c>
      <c r="AI320" s="468">
        <f t="shared" si="446"/>
        <v>491.83011274486887</v>
      </c>
      <c r="AJ320" s="468">
        <f>+AJ234</f>
        <v>488.36285563222441</v>
      </c>
      <c r="AK320" s="468">
        <f>+AK234</f>
        <v>491.83011274486887</v>
      </c>
      <c r="AL320" s="468"/>
      <c r="AM320" s="468"/>
      <c r="AN320" s="468"/>
      <c r="AO320" s="468"/>
      <c r="AP320" s="468"/>
      <c r="AQ320" s="468"/>
      <c r="AR320" s="468"/>
      <c r="AS320" s="538"/>
      <c r="AT320" s="56">
        <f t="shared" si="439"/>
        <v>-2.4479297859192339</v>
      </c>
      <c r="AU320" s="97" t="s">
        <v>1084</v>
      </c>
      <c r="AV320" s="56">
        <f t="shared" si="440"/>
        <v>0.41998287142939184</v>
      </c>
      <c r="AW320" s="100" t="s">
        <v>1084</v>
      </c>
    </row>
    <row r="321" spans="1:49" hidden="1" outlineLevel="1">
      <c r="A321" s="23" t="s">
        <v>889</v>
      </c>
      <c r="B321" s="470"/>
      <c r="C321" s="470"/>
      <c r="D321" s="470"/>
      <c r="E321" s="470"/>
      <c r="F321" s="470"/>
      <c r="G321" s="470"/>
      <c r="H321" s="470"/>
      <c r="I321" s="470"/>
      <c r="J321" s="470"/>
      <c r="K321" s="470"/>
      <c r="L321" s="470"/>
      <c r="M321" s="470"/>
      <c r="N321" s="469">
        <f t="shared" ref="N321:AC321" si="447">+N12</f>
        <v>6577.2960000000003</v>
      </c>
      <c r="O321" s="469">
        <f t="shared" si="447"/>
        <v>2750.0879999999997</v>
      </c>
      <c r="P321" s="469">
        <f t="shared" si="447"/>
        <v>2499.7920000000004</v>
      </c>
      <c r="Q321" s="469">
        <f t="shared" si="447"/>
        <v>2588.4369999999999</v>
      </c>
      <c r="R321" s="469">
        <f t="shared" si="447"/>
        <v>2856.7909999999993</v>
      </c>
      <c r="S321" s="469">
        <f t="shared" si="447"/>
        <v>2248.7350000000006</v>
      </c>
      <c r="T321" s="469">
        <f t="shared" si="447"/>
        <v>2253.5810000000001</v>
      </c>
      <c r="U321" s="469">
        <f t="shared" si="447"/>
        <v>334.57600000000093</v>
      </c>
      <c r="V321" s="469">
        <f t="shared" si="447"/>
        <v>227.64500000000044</v>
      </c>
      <c r="W321" s="469">
        <f t="shared" si="447"/>
        <v>246.92000000000098</v>
      </c>
      <c r="X321" s="469">
        <f t="shared" si="447"/>
        <v>366.65400000000045</v>
      </c>
      <c r="Y321" s="469">
        <f t="shared" si="447"/>
        <v>486.29300000000001</v>
      </c>
      <c r="Z321" s="469">
        <f t="shared" si="447"/>
        <v>517.34500000000003</v>
      </c>
      <c r="AA321" s="469">
        <f t="shared" si="447"/>
        <v>626.971</v>
      </c>
      <c r="AB321" s="469">
        <f t="shared" si="447"/>
        <v>2999.5529999999999</v>
      </c>
      <c r="AC321" s="469">
        <f t="shared" si="447"/>
        <v>2643.1788199644884</v>
      </c>
      <c r="AD321" s="469">
        <f t="shared" ref="AD321:AI321" si="448">+AD12</f>
        <v>1556.6260000000002</v>
      </c>
      <c r="AE321" s="469">
        <f t="shared" si="448"/>
        <v>1366.7639999999999</v>
      </c>
      <c r="AF321" s="469">
        <f t="shared" si="448"/>
        <v>1577.8219999999999</v>
      </c>
      <c r="AG321" s="469">
        <f t="shared" si="448"/>
        <v>1568.3</v>
      </c>
      <c r="AH321" s="469">
        <f t="shared" si="448"/>
        <v>511.98400000000004</v>
      </c>
      <c r="AI321" s="469">
        <f t="shared" si="448"/>
        <v>549.35500000000002</v>
      </c>
      <c r="AJ321" s="469">
        <f>+AJ12</f>
        <v>560.96500000000003</v>
      </c>
      <c r="AK321" s="469">
        <f>+AK12</f>
        <v>509.88599999999997</v>
      </c>
      <c r="AL321" s="470"/>
      <c r="AM321" s="470"/>
      <c r="AN321" s="470"/>
      <c r="AO321" s="470"/>
      <c r="AP321" s="470"/>
      <c r="AQ321" s="470"/>
      <c r="AR321" s="470"/>
      <c r="AS321" s="538"/>
      <c r="AT321" s="56">
        <f t="shared" si="439"/>
        <v>20.271329226275036</v>
      </c>
      <c r="AU321" s="97" t="s">
        <v>1084</v>
      </c>
      <c r="AV321" s="56">
        <f t="shared" si="440"/>
        <v>-20.22202359650921</v>
      </c>
      <c r="AW321" s="100" t="s">
        <v>1084</v>
      </c>
    </row>
    <row r="322" spans="1:49" hidden="1" outlineLevel="1">
      <c r="A322" s="482" t="s">
        <v>518</v>
      </c>
      <c r="B322" s="1802"/>
      <c r="C322" s="1802"/>
      <c r="D322" s="1802"/>
      <c r="E322" s="1802"/>
      <c r="F322" s="1802"/>
      <c r="G322" s="1802"/>
      <c r="H322" s="1802"/>
      <c r="I322" s="1802"/>
      <c r="J322" s="1802"/>
      <c r="K322" s="1802"/>
      <c r="L322" s="1802"/>
      <c r="M322" s="1802"/>
      <c r="N322" s="160">
        <f t="shared" ref="N322:AK322" si="449">+SUM(N317:N321)</f>
        <v>10676.296</v>
      </c>
      <c r="O322" s="160">
        <f t="shared" si="449"/>
        <v>7245.0879999999997</v>
      </c>
      <c r="P322" s="160">
        <f t="shared" si="449"/>
        <v>7320.7920000000004</v>
      </c>
      <c r="Q322" s="160">
        <f t="shared" si="449"/>
        <v>7881.4369999999999</v>
      </c>
      <c r="R322" s="160">
        <f t="shared" si="449"/>
        <v>8644.7909999999993</v>
      </c>
      <c r="S322" s="160">
        <f t="shared" si="449"/>
        <v>8366.7350000000006</v>
      </c>
      <c r="T322" s="160">
        <f t="shared" si="449"/>
        <v>8836.5810000000001</v>
      </c>
      <c r="U322" s="160">
        <f t="shared" si="449"/>
        <v>7620.6360000000004</v>
      </c>
      <c r="V322" s="160">
        <f t="shared" si="449"/>
        <v>8149.7729999999992</v>
      </c>
      <c r="W322" s="160">
        <f t="shared" si="449"/>
        <v>7927.4330000000009</v>
      </c>
      <c r="X322" s="160">
        <f t="shared" si="449"/>
        <v>8444.6540000000005</v>
      </c>
      <c r="Y322" s="160">
        <f t="shared" si="449"/>
        <v>8934.0640000000003</v>
      </c>
      <c r="Z322" s="160">
        <f t="shared" si="449"/>
        <v>9408.1780000000017</v>
      </c>
      <c r="AA322" s="160">
        <f t="shared" si="449"/>
        <v>9698.4939999999988</v>
      </c>
      <c r="AB322" s="160">
        <f t="shared" si="449"/>
        <v>12912.820999999998</v>
      </c>
      <c r="AC322" s="160">
        <f t="shared" si="449"/>
        <v>12411.417639928977</v>
      </c>
      <c r="AD322" s="160">
        <f t="shared" si="449"/>
        <v>11348.852575889538</v>
      </c>
      <c r="AE322" s="160">
        <f t="shared" si="449"/>
        <v>10973.634887407328</v>
      </c>
      <c r="AF322" s="160">
        <f t="shared" si="449"/>
        <v>11990.509645155475</v>
      </c>
      <c r="AG322" s="160">
        <f t="shared" si="449"/>
        <v>12777.542878058584</v>
      </c>
      <c r="AH322" s="160">
        <f t="shared" si="449"/>
        <v>12777.318895619757</v>
      </c>
      <c r="AI322" s="160">
        <f t="shared" si="449"/>
        <v>13040.048293532149</v>
      </c>
      <c r="AJ322" s="160">
        <f t="shared" si="449"/>
        <v>13568.843895619757</v>
      </c>
      <c r="AK322" s="160">
        <f t="shared" si="449"/>
        <v>14257.180293532152</v>
      </c>
      <c r="AL322" s="160"/>
      <c r="AM322" s="160"/>
      <c r="AN322" s="160"/>
      <c r="AO322" s="160"/>
      <c r="AP322" s="160"/>
      <c r="AQ322" s="160"/>
      <c r="AR322" s="160"/>
      <c r="AS322" s="538"/>
      <c r="AT322" s="56">
        <f t="shared" si="439"/>
        <v>4.3341946887635041</v>
      </c>
      <c r="AU322" s="97" t="s">
        <v>1084</v>
      </c>
      <c r="AV322" s="56">
        <f t="shared" si="440"/>
        <v>3.5235603676023741</v>
      </c>
      <c r="AW322" s="100" t="s">
        <v>1084</v>
      </c>
    </row>
    <row r="323" spans="1:49" hidden="1" outlineLevel="1">
      <c r="X323" s="468"/>
      <c r="AS323" s="538"/>
      <c r="AT323" s="139"/>
      <c r="AU323" s="139"/>
      <c r="AV323" s="139"/>
      <c r="AW323" s="537"/>
    </row>
    <row r="324" spans="1:49" hidden="1" outlineLevel="1">
      <c r="A324" s="156" t="s">
        <v>544</v>
      </c>
      <c r="AS324" s="538"/>
      <c r="AT324" s="139"/>
      <c r="AU324" s="139"/>
      <c r="AV324" s="139"/>
      <c r="AW324" s="537"/>
    </row>
    <row r="325" spans="1:49" hidden="1" outlineLevel="1">
      <c r="A325" s="23" t="str">
        <f t="shared" ref="A325:A330" si="450">+A317</f>
        <v>Victoria's Secret</v>
      </c>
      <c r="N325" s="18">
        <f t="shared" ref="N325:AC325" si="451">+N317/N$322</f>
        <v>0.11305419032967988</v>
      </c>
      <c r="O325" s="18">
        <f t="shared" si="451"/>
        <v>0.19709905524957047</v>
      </c>
      <c r="P325" s="18">
        <f t="shared" si="451"/>
        <v>0.23904517434725642</v>
      </c>
      <c r="Q325" s="18">
        <f t="shared" si="451"/>
        <v>0.24703616865807593</v>
      </c>
      <c r="R325" s="18">
        <f t="shared" si="451"/>
        <v>0.24685385684859243</v>
      </c>
      <c r="S325" s="18">
        <f t="shared" si="451"/>
        <v>0.29115300054322263</v>
      </c>
      <c r="T325" s="18">
        <f t="shared" si="451"/>
        <v>0.292873454110815</v>
      </c>
      <c r="U325" s="18">
        <f t="shared" si="451"/>
        <v>0.4039368892570121</v>
      </c>
      <c r="V325" s="18">
        <f t="shared" si="451"/>
        <v>0.40506588343012745</v>
      </c>
      <c r="W325" s="18">
        <f t="shared" si="451"/>
        <v>0.41276047366152446</v>
      </c>
      <c r="X325" s="18">
        <f t="shared" si="451"/>
        <v>0.42464735677743576</v>
      </c>
      <c r="Y325" s="18">
        <f t="shared" si="451"/>
        <v>0.42719640244350165</v>
      </c>
      <c r="Z325" s="18">
        <f t="shared" si="451"/>
        <v>0.44983630199173524</v>
      </c>
      <c r="AA325" s="18">
        <f t="shared" si="451"/>
        <v>0.45858800345703155</v>
      </c>
      <c r="AB325" s="18">
        <f t="shared" si="451"/>
        <v>0.39616928012864117</v>
      </c>
      <c r="AC325" s="18">
        <f t="shared" si="451"/>
        <v>0.4124457937449032</v>
      </c>
      <c r="AD325" s="18">
        <f t="shared" ref="AD325:AE330" si="452">+AD317/AD$322</f>
        <v>0.45048607035934429</v>
      </c>
      <c r="AE325" s="18">
        <f t="shared" si="452"/>
        <v>0.44498473387369092</v>
      </c>
      <c r="AF325" s="18">
        <f t="shared" ref="AF325:AG330" si="453">+AF317/AF$322</f>
        <v>0.46040578452229908</v>
      </c>
      <c r="AG325" s="18">
        <f t="shared" si="453"/>
        <v>0.47907880712430767</v>
      </c>
      <c r="AH325" s="18">
        <f t="shared" ref="AH325:AK330" si="454">+AH317/AH$322</f>
        <v>0.52751489221347081</v>
      </c>
      <c r="AI325" s="18">
        <f t="shared" si="454"/>
        <v>0.52792718593032772</v>
      </c>
      <c r="AJ325" s="18">
        <f t="shared" si="454"/>
        <v>0.53118748033697483</v>
      </c>
      <c r="AK325" s="18">
        <f t="shared" si="454"/>
        <v>0.53812183349329523</v>
      </c>
      <c r="AL325" s="18"/>
      <c r="AM325" s="18"/>
      <c r="AN325" s="18"/>
      <c r="AO325" s="18"/>
      <c r="AP325" s="18"/>
      <c r="AQ325" s="18"/>
      <c r="AR325" s="18"/>
      <c r="AS325" s="538"/>
      <c r="AT325" s="56"/>
      <c r="AU325" s="406"/>
      <c r="AV325" s="56"/>
      <c r="AW325" s="102"/>
    </row>
    <row r="326" spans="1:49" hidden="1" outlineLevel="1">
      <c r="A326" s="23" t="str">
        <f t="shared" si="450"/>
        <v>Bath and Body Works</v>
      </c>
      <c r="N326" s="18">
        <f t="shared" ref="N326:AC326" si="455">+N318/N$322</f>
        <v>5.3389302806891078E-3</v>
      </c>
      <c r="O326" s="18">
        <f t="shared" si="455"/>
        <v>1.5458749431338861E-2</v>
      </c>
      <c r="P326" s="18">
        <f t="shared" si="455"/>
        <v>3.5515283045878095E-2</v>
      </c>
      <c r="Q326" s="18">
        <f t="shared" si="455"/>
        <v>6.0268197284327717E-2</v>
      </c>
      <c r="R326" s="18">
        <f t="shared" si="455"/>
        <v>8.7104477135421784E-2</v>
      </c>
      <c r="S326" s="18">
        <f t="shared" si="455"/>
        <v>0.12633362954605351</v>
      </c>
      <c r="T326" s="18">
        <f t="shared" si="455"/>
        <v>0.1439470763635845</v>
      </c>
      <c r="U326" s="18">
        <f t="shared" si="455"/>
        <v>0.20077733669473255</v>
      </c>
      <c r="V326" s="18">
        <f t="shared" si="455"/>
        <v>0.21897358368141054</v>
      </c>
      <c r="W326" s="18">
        <f t="shared" si="455"/>
        <v>0.22031974284740088</v>
      </c>
      <c r="X326" s="18">
        <f t="shared" si="455"/>
        <v>0.21090266102080676</v>
      </c>
      <c r="Y326" s="18">
        <f t="shared" si="455"/>
        <v>0.21652755117939607</v>
      </c>
      <c r="Z326" s="18">
        <f t="shared" si="455"/>
        <v>0.23050626805742833</v>
      </c>
      <c r="AA326" s="18">
        <f t="shared" si="455"/>
        <v>0.2355780186078375</v>
      </c>
      <c r="AB326" s="18">
        <f t="shared" si="455"/>
        <v>0.19789672605234751</v>
      </c>
      <c r="AC326" s="18">
        <f t="shared" si="455"/>
        <v>0.20094932523874623</v>
      </c>
      <c r="AD326" s="18">
        <f t="shared" si="452"/>
        <v>0.20914986639642319</v>
      </c>
      <c r="AE326" s="18">
        <f t="shared" si="452"/>
        <v>0.21711885117793617</v>
      </c>
      <c r="AF326" s="18">
        <f t="shared" si="453"/>
        <v>0.2097680644472211</v>
      </c>
      <c r="AG326" s="18">
        <f t="shared" si="453"/>
        <v>0.20930017809545701</v>
      </c>
      <c r="AH326" s="18">
        <f t="shared" si="454"/>
        <v>0.24061691072404562</v>
      </c>
      <c r="AI326" s="18">
        <f t="shared" si="454"/>
        <v>0.23909911449840696</v>
      </c>
      <c r="AJ326" s="18">
        <f t="shared" si="454"/>
        <v>0.24686030923248428</v>
      </c>
      <c r="AK326" s="18">
        <f t="shared" si="454"/>
        <v>0.25156173423906714</v>
      </c>
      <c r="AL326" s="18"/>
      <c r="AM326" s="18"/>
      <c r="AN326" s="18"/>
      <c r="AO326" s="18"/>
      <c r="AP326" s="18"/>
      <c r="AQ326" s="18"/>
      <c r="AR326" s="18"/>
      <c r="AS326" s="538"/>
      <c r="AT326" s="56"/>
      <c r="AU326" s="406"/>
      <c r="AV326" s="56"/>
      <c r="AW326" s="102"/>
    </row>
    <row r="327" spans="1:49" hidden="1" outlineLevel="1">
      <c r="A327" s="23" t="str">
        <f t="shared" si="450"/>
        <v>Express (Men's, Women's, and Dual Gender)</v>
      </c>
      <c r="N327" s="18">
        <f t="shared" ref="N327:AC327" si="456">+N319/N$322</f>
        <v>0.1526746729390043</v>
      </c>
      <c r="O327" s="18">
        <f t="shared" si="456"/>
        <v>0.25824393023245545</v>
      </c>
      <c r="P327" s="18">
        <f t="shared" si="456"/>
        <v>0.26527184490421252</v>
      </c>
      <c r="Q327" s="18">
        <f t="shared" si="456"/>
        <v>0.25642531939289753</v>
      </c>
      <c r="R327" s="18">
        <f t="shared" si="456"/>
        <v>0.23667431635999067</v>
      </c>
      <c r="S327" s="18">
        <f t="shared" si="456"/>
        <v>0.22099421100345593</v>
      </c>
      <c r="T327" s="18">
        <f t="shared" si="456"/>
        <v>0.22248423909654649</v>
      </c>
      <c r="U327" s="18">
        <f t="shared" si="456"/>
        <v>0.25897156090384055</v>
      </c>
      <c r="V327" s="18">
        <f t="shared" si="456"/>
        <v>0.26549402050830129</v>
      </c>
      <c r="W327" s="18">
        <f t="shared" si="456"/>
        <v>0.25783882374029521</v>
      </c>
      <c r="X327" s="18">
        <f t="shared" si="456"/>
        <v>0.24548075030664368</v>
      </c>
      <c r="Y327" s="18">
        <f t="shared" si="456"/>
        <v>0.23183178450478972</v>
      </c>
      <c r="Z327" s="18">
        <f t="shared" si="456"/>
        <v>0.20331768807945597</v>
      </c>
      <c r="AA327" s="18">
        <f t="shared" si="456"/>
        <v>0.18497593543904858</v>
      </c>
      <c r="AB327" s="18">
        <f t="shared" si="456"/>
        <v>0.13543128956871628</v>
      </c>
      <c r="AC327" s="18">
        <f t="shared" si="456"/>
        <v>0.13521531772123788</v>
      </c>
      <c r="AD327" s="18">
        <f t="shared" si="452"/>
        <v>0.16133393948218591</v>
      </c>
      <c r="AE327" s="18">
        <f t="shared" si="452"/>
        <v>0.16975452670672428</v>
      </c>
      <c r="AF327" s="18">
        <f t="shared" si="453"/>
        <v>0.15806923446838503</v>
      </c>
      <c r="AG327" s="18">
        <f t="shared" si="453"/>
        <v>0.1509278671580116</v>
      </c>
      <c r="AH327" s="18">
        <f t="shared" si="454"/>
        <v>0.15357737065326263</v>
      </c>
      <c r="AI327" s="18">
        <f t="shared" si="454"/>
        <v>0.15312851117105869</v>
      </c>
      <c r="AJ327" s="18">
        <f t="shared" si="454"/>
        <v>0.14461858763228871</v>
      </c>
      <c r="AK327" s="18">
        <f t="shared" si="454"/>
        <v>0.14005596756696295</v>
      </c>
      <c r="AL327" s="18"/>
      <c r="AM327" s="18"/>
      <c r="AN327" s="18"/>
      <c r="AO327" s="18"/>
      <c r="AP327" s="18"/>
      <c r="AQ327" s="18"/>
      <c r="AR327" s="18"/>
      <c r="AS327" s="538"/>
      <c r="AT327" s="56"/>
      <c r="AU327" s="406"/>
      <c r="AV327" s="56"/>
      <c r="AW327" s="102"/>
    </row>
    <row r="328" spans="1:49" hidden="1" outlineLevel="1">
      <c r="A328" s="23" t="str">
        <f t="shared" si="450"/>
        <v>Limited Stores</v>
      </c>
      <c r="N328" s="18">
        <f t="shared" ref="N328:AC328" si="457">+N320/N$322</f>
        <v>0.11286685944263816</v>
      </c>
      <c r="O328" s="18">
        <f t="shared" si="457"/>
        <v>0.14961861056760112</v>
      </c>
      <c r="P328" s="18">
        <f t="shared" si="457"/>
        <v>0.11870300371872332</v>
      </c>
      <c r="Q328" s="18">
        <f t="shared" si="457"/>
        <v>0.10784835303511275</v>
      </c>
      <c r="R328" s="18">
        <f t="shared" si="457"/>
        <v>9.8903489974482908E-2</v>
      </c>
      <c r="S328" s="18">
        <f t="shared" si="457"/>
        <v>9.274824647846501E-2</v>
      </c>
      <c r="T328" s="18">
        <f t="shared" si="457"/>
        <v>8.5666616986818767E-2</v>
      </c>
      <c r="U328" s="18">
        <f t="shared" si="457"/>
        <v>9.2410266019791507E-2</v>
      </c>
      <c r="V328" s="18">
        <f t="shared" si="457"/>
        <v>8.2533832537421595E-2</v>
      </c>
      <c r="W328" s="18">
        <f t="shared" si="457"/>
        <v>7.7933424350606295E-2</v>
      </c>
      <c r="X328" s="18">
        <f t="shared" si="457"/>
        <v>7.5550756727273849E-2</v>
      </c>
      <c r="Y328" s="18">
        <f t="shared" si="457"/>
        <v>7.0012930285702005E-2</v>
      </c>
      <c r="Z328" s="18">
        <f t="shared" si="457"/>
        <v>6.135088005350238E-2</v>
      </c>
      <c r="AA328" s="18">
        <f t="shared" si="457"/>
        <v>5.6211820103203657E-2</v>
      </c>
      <c r="AB328" s="18">
        <f t="shared" si="457"/>
        <v>3.8210085929325593E-2</v>
      </c>
      <c r="AC328" s="18">
        <f t="shared" si="457"/>
        <v>3.8426073011692187E-2</v>
      </c>
      <c r="AD328" s="18">
        <f t="shared" si="452"/>
        <v>4.1868592268807563E-2</v>
      </c>
      <c r="AE328" s="18">
        <f t="shared" si="452"/>
        <v>4.35920910210017E-2</v>
      </c>
      <c r="AF328" s="18">
        <f t="shared" si="453"/>
        <v>4.0167680850376142E-2</v>
      </c>
      <c r="AG328" s="18">
        <f t="shared" si="453"/>
        <v>3.7954369520131592E-2</v>
      </c>
      <c r="AH328" s="18">
        <f t="shared" si="454"/>
        <v>3.8221074360102414E-2</v>
      </c>
      <c r="AI328" s="18">
        <f t="shared" si="454"/>
        <v>3.7716893501753064E-2</v>
      </c>
      <c r="AJ328" s="18">
        <f t="shared" si="454"/>
        <v>3.5991486038827215E-2</v>
      </c>
      <c r="AK328" s="18">
        <f t="shared" si="454"/>
        <v>3.4497011514120386E-2</v>
      </c>
      <c r="AL328" s="18"/>
      <c r="AM328" s="18"/>
      <c r="AN328" s="18"/>
      <c r="AO328" s="18"/>
      <c r="AP328" s="18"/>
      <c r="AQ328" s="18"/>
      <c r="AR328" s="18"/>
      <c r="AS328" s="538"/>
      <c r="AT328" s="56"/>
      <c r="AU328" s="406"/>
      <c r="AV328" s="56"/>
      <c r="AW328" s="102"/>
    </row>
    <row r="329" spans="1:49" hidden="1" outlineLevel="1">
      <c r="A329" s="23" t="str">
        <f t="shared" si="450"/>
        <v>Other</v>
      </c>
      <c r="N329" s="509">
        <f t="shared" ref="N329:AC329" si="458">+N321/N$322</f>
        <v>0.61606534700798854</v>
      </c>
      <c r="O329" s="509">
        <f t="shared" si="458"/>
        <v>0.37957965451903414</v>
      </c>
      <c r="P329" s="509">
        <f t="shared" si="458"/>
        <v>0.34146469398392965</v>
      </c>
      <c r="Q329" s="509">
        <f t="shared" si="458"/>
        <v>0.32842196162958609</v>
      </c>
      <c r="R329" s="509">
        <f t="shared" si="458"/>
        <v>0.33046385968151221</v>
      </c>
      <c r="S329" s="509">
        <f t="shared" si="458"/>
        <v>0.26877091242880291</v>
      </c>
      <c r="T329" s="509">
        <f t="shared" si="458"/>
        <v>0.25502861344223521</v>
      </c>
      <c r="U329" s="509">
        <f t="shared" si="458"/>
        <v>4.3903947124623317E-2</v>
      </c>
      <c r="V329" s="509">
        <f t="shared" si="458"/>
        <v>2.7932679842739234E-2</v>
      </c>
      <c r="W329" s="509">
        <f t="shared" si="458"/>
        <v>3.1147535400173166E-2</v>
      </c>
      <c r="X329" s="509">
        <f t="shared" si="458"/>
        <v>4.3418475167839962E-2</v>
      </c>
      <c r="Y329" s="509">
        <f t="shared" si="458"/>
        <v>5.4431331586610524E-2</v>
      </c>
      <c r="Z329" s="509">
        <f t="shared" si="458"/>
        <v>5.4988861817878015E-2</v>
      </c>
      <c r="AA329" s="509">
        <f t="shared" si="458"/>
        <v>6.4646222392878733E-2</v>
      </c>
      <c r="AB329" s="509">
        <f t="shared" si="458"/>
        <v>0.23229261832096953</v>
      </c>
      <c r="AC329" s="509">
        <f t="shared" si="458"/>
        <v>0.21296349028342049</v>
      </c>
      <c r="AD329" s="509">
        <f t="shared" si="452"/>
        <v>0.13716153149323906</v>
      </c>
      <c r="AE329" s="509">
        <f t="shared" si="452"/>
        <v>0.12454979722064698</v>
      </c>
      <c r="AF329" s="509">
        <f t="shared" si="453"/>
        <v>0.13158923571171866</v>
      </c>
      <c r="AG329" s="509">
        <f t="shared" si="453"/>
        <v>0.12273877810209211</v>
      </c>
      <c r="AH329" s="509">
        <f t="shared" si="454"/>
        <v>4.006975204911848E-2</v>
      </c>
      <c r="AI329" s="509">
        <f t="shared" si="454"/>
        <v>4.2128294898453676E-2</v>
      </c>
      <c r="AJ329" s="509">
        <f t="shared" si="454"/>
        <v>4.134213675942492E-2</v>
      </c>
      <c r="AK329" s="509">
        <f t="shared" si="454"/>
        <v>3.5763453186554182E-2</v>
      </c>
      <c r="AL329" s="512"/>
      <c r="AM329" s="512"/>
      <c r="AN329" s="512"/>
      <c r="AO329" s="512"/>
      <c r="AP329" s="512"/>
      <c r="AQ329" s="512"/>
      <c r="AR329" s="512"/>
      <c r="AS329" s="538"/>
      <c r="AT329" s="56"/>
      <c r="AU329" s="406"/>
      <c r="AV329" s="56"/>
      <c r="AW329" s="102"/>
    </row>
    <row r="330" spans="1:49" hidden="1" outlineLevel="1">
      <c r="A330" s="482" t="str">
        <f t="shared" si="450"/>
        <v>Limited Brands</v>
      </c>
      <c r="N330" s="18">
        <f t="shared" ref="N330:AC330" si="459">+N322/N$322</f>
        <v>1</v>
      </c>
      <c r="O330" s="18">
        <f t="shared" si="459"/>
        <v>1</v>
      </c>
      <c r="P330" s="18">
        <f t="shared" si="459"/>
        <v>1</v>
      </c>
      <c r="Q330" s="18">
        <f t="shared" si="459"/>
        <v>1</v>
      </c>
      <c r="R330" s="18">
        <f t="shared" si="459"/>
        <v>1</v>
      </c>
      <c r="S330" s="18">
        <f t="shared" si="459"/>
        <v>1</v>
      </c>
      <c r="T330" s="18">
        <f t="shared" si="459"/>
        <v>1</v>
      </c>
      <c r="U330" s="18">
        <f t="shared" si="459"/>
        <v>1</v>
      </c>
      <c r="V330" s="18">
        <f t="shared" si="459"/>
        <v>1</v>
      </c>
      <c r="W330" s="18">
        <f t="shared" si="459"/>
        <v>1</v>
      </c>
      <c r="X330" s="18">
        <f t="shared" si="459"/>
        <v>1</v>
      </c>
      <c r="Y330" s="18">
        <f t="shared" si="459"/>
        <v>1</v>
      </c>
      <c r="Z330" s="18">
        <f t="shared" si="459"/>
        <v>1</v>
      </c>
      <c r="AA330" s="18">
        <f t="shared" si="459"/>
        <v>1</v>
      </c>
      <c r="AB330" s="18">
        <f t="shared" si="459"/>
        <v>1</v>
      </c>
      <c r="AC330" s="18">
        <f t="shared" si="459"/>
        <v>1</v>
      </c>
      <c r="AD330" s="18">
        <f t="shared" si="452"/>
        <v>1</v>
      </c>
      <c r="AE330" s="18">
        <f t="shared" si="452"/>
        <v>1</v>
      </c>
      <c r="AF330" s="18">
        <f t="shared" si="453"/>
        <v>1</v>
      </c>
      <c r="AG330" s="18">
        <f t="shared" si="453"/>
        <v>1</v>
      </c>
      <c r="AH330" s="18">
        <f t="shared" si="454"/>
        <v>1</v>
      </c>
      <c r="AI330" s="18">
        <f t="shared" si="454"/>
        <v>1</v>
      </c>
      <c r="AJ330" s="18">
        <f t="shared" si="454"/>
        <v>1</v>
      </c>
      <c r="AK330" s="18">
        <f t="shared" si="454"/>
        <v>1</v>
      </c>
      <c r="AL330" s="18"/>
      <c r="AM330" s="18"/>
      <c r="AN330" s="18"/>
      <c r="AO330" s="18"/>
      <c r="AP330" s="18"/>
      <c r="AQ330" s="18"/>
      <c r="AR330" s="18"/>
      <c r="AS330" s="538"/>
      <c r="AT330" s="56"/>
      <c r="AU330" s="406"/>
      <c r="AV330" s="56"/>
      <c r="AW330" s="102"/>
    </row>
    <row r="331" spans="1:49" hidden="1" outlineLevel="1">
      <c r="AS331" s="538"/>
      <c r="AT331" s="139"/>
      <c r="AU331" s="139"/>
      <c r="AV331" s="139"/>
      <c r="AW331" s="537"/>
    </row>
    <row r="332" spans="1:49" hidden="1" outlineLevel="1">
      <c r="A332" s="156" t="s">
        <v>555</v>
      </c>
      <c r="AS332" s="538"/>
      <c r="AT332" s="139"/>
      <c r="AU332" s="139"/>
      <c r="AV332" s="139"/>
      <c r="AW332" s="537"/>
    </row>
    <row r="333" spans="1:49" hidden="1" outlineLevel="1">
      <c r="A333" s="23" t="str">
        <f t="shared" ref="A333:A338" si="460">+A325</f>
        <v>Victoria's Secret</v>
      </c>
      <c r="O333" s="1803">
        <f t="shared" ref="O333:AK333" si="461">+O317/N317-1</f>
        <v>0.18309859154929575</v>
      </c>
      <c r="P333" s="1803">
        <f t="shared" si="461"/>
        <v>0.22549019607843146</v>
      </c>
      <c r="Q333" s="1803">
        <f t="shared" si="461"/>
        <v>0.11257142857142854</v>
      </c>
      <c r="R333" s="1803">
        <f t="shared" si="461"/>
        <v>9.6045197740112886E-2</v>
      </c>
      <c r="S333" s="1803">
        <f t="shared" si="461"/>
        <v>0.14151827553889418</v>
      </c>
      <c r="T333" s="1803">
        <f t="shared" si="461"/>
        <v>6.2397372742200252E-2</v>
      </c>
      <c r="U333" s="1803">
        <f t="shared" si="461"/>
        <v>0.18943431221020091</v>
      </c>
      <c r="V333" s="1803">
        <f t="shared" si="461"/>
        <v>7.2423801009402711E-2</v>
      </c>
      <c r="W333" s="1803">
        <f t="shared" si="461"/>
        <v>-8.8040845814922886E-3</v>
      </c>
      <c r="X333" s="1803">
        <f t="shared" si="461"/>
        <v>9.5921893102690392E-2</v>
      </c>
      <c r="Y333" s="1803">
        <f t="shared" si="461"/>
        <v>6.4305633017289532E-2</v>
      </c>
      <c r="Z333" s="1803">
        <f t="shared" si="461"/>
        <v>0.10887701095215641</v>
      </c>
      <c r="AA333" s="1803">
        <f t="shared" si="461"/>
        <v>5.0913485848766538E-2</v>
      </c>
      <c r="AB333" s="1803">
        <f t="shared" si="461"/>
        <v>0.15020416569517181</v>
      </c>
      <c r="AC333" s="1803">
        <f t="shared" si="461"/>
        <v>6.5954305434123839E-4</v>
      </c>
      <c r="AD333" s="1803">
        <f t="shared" si="461"/>
        <v>-1.2769979978656254E-3</v>
      </c>
      <c r="AE333" s="1803">
        <f t="shared" si="461"/>
        <v>-4.4870415647921713E-2</v>
      </c>
      <c r="AF333" s="1803">
        <f t="shared" si="461"/>
        <v>0.13053183428559723</v>
      </c>
      <c r="AG333" s="1803">
        <f t="shared" si="461"/>
        <v>0.10885789330676565</v>
      </c>
      <c r="AH333" s="1803">
        <f t="shared" si="461"/>
        <v>0.10108324008200675</v>
      </c>
      <c r="AI333" s="1803">
        <f t="shared" si="461"/>
        <v>2.1359817905215461E-2</v>
      </c>
      <c r="AJ333" s="1803">
        <f t="shared" si="461"/>
        <v>4.6977744387289633E-2</v>
      </c>
      <c r="AK333" s="1803">
        <f t="shared" si="461"/>
        <v>6.4445862700482692E-2</v>
      </c>
      <c r="AL333" s="1803"/>
      <c r="AM333" s="1803"/>
      <c r="AN333" s="1803"/>
      <c r="AO333" s="1803"/>
      <c r="AP333" s="1803"/>
      <c r="AQ333" s="1803"/>
      <c r="AR333" s="1803"/>
      <c r="AS333" s="538"/>
      <c r="AT333" s="56"/>
      <c r="AU333" s="406"/>
      <c r="AV333" s="56"/>
      <c r="AW333" s="102"/>
    </row>
    <row r="334" spans="1:49" hidden="1" outlineLevel="1">
      <c r="A334" s="23" t="str">
        <f t="shared" si="460"/>
        <v>Bath and Body Works</v>
      </c>
      <c r="O334" s="1803">
        <f t="shared" ref="O334:AI334" si="462">+O318/N318-1</f>
        <v>0.96491228070175428</v>
      </c>
      <c r="P334" s="1803">
        <f t="shared" si="462"/>
        <v>1.3214285714285716</v>
      </c>
      <c r="Q334" s="1803">
        <f t="shared" si="462"/>
        <v>0.82692307692307687</v>
      </c>
      <c r="R334" s="1803">
        <f t="shared" si="462"/>
        <v>0.58526315789473693</v>
      </c>
      <c r="S334" s="1803">
        <f t="shared" si="462"/>
        <v>0.40371845949535201</v>
      </c>
      <c r="T334" s="1803">
        <f t="shared" si="462"/>
        <v>0.20340586565752128</v>
      </c>
      <c r="U334" s="1803">
        <f t="shared" si="462"/>
        <v>0.20287028301886778</v>
      </c>
      <c r="V334" s="1803">
        <f t="shared" si="462"/>
        <v>0.16635654628505847</v>
      </c>
      <c r="W334" s="1803">
        <f t="shared" si="462"/>
        <v>-2.1301871303412323E-2</v>
      </c>
      <c r="X334" s="1803">
        <f t="shared" si="462"/>
        <v>1.9712923043450958E-2</v>
      </c>
      <c r="Y334" s="1803">
        <f t="shared" si="462"/>
        <v>8.6171252105558649E-2</v>
      </c>
      <c r="Z334" s="1803">
        <f t="shared" si="462"/>
        <v>0.12105273224566315</v>
      </c>
      <c r="AA334" s="1803">
        <f t="shared" si="462"/>
        <v>5.3539446769501842E-2</v>
      </c>
      <c r="AB334" s="1803">
        <f t="shared" si="462"/>
        <v>0.11846055939550548</v>
      </c>
      <c r="AC334" s="1803">
        <f t="shared" si="462"/>
        <v>-2.4003631518291435E-2</v>
      </c>
      <c r="AD334" s="1803">
        <f t="shared" si="462"/>
        <v>-4.8296636897339651E-2</v>
      </c>
      <c r="AE334" s="1803">
        <f t="shared" si="462"/>
        <v>3.779894852189436E-3</v>
      </c>
      <c r="AF334" s="1803">
        <f t="shared" si="462"/>
        <v>5.5671932520293899E-2</v>
      </c>
      <c r="AG334" s="1803">
        <f t="shared" si="462"/>
        <v>6.3261114508199379E-2</v>
      </c>
      <c r="AH334" s="1803">
        <f t="shared" si="462"/>
        <v>0.14960577218620519</v>
      </c>
      <c r="AI334" s="1803">
        <f t="shared" si="462"/>
        <v>1.4124528084635601E-2</v>
      </c>
      <c r="AJ334" s="1803">
        <f t="shared" ref="AJ334:AK338" si="463">+AJ318/AI318-1</f>
        <v>7.4328129770894646E-2</v>
      </c>
      <c r="AK334" s="1803">
        <f t="shared" si="463"/>
        <v>7.0740196840885172E-2</v>
      </c>
      <c r="AL334" s="1803"/>
      <c r="AM334" s="1803"/>
      <c r="AN334" s="1803"/>
      <c r="AO334" s="1803"/>
      <c r="AP334" s="1803"/>
      <c r="AQ334" s="1803"/>
      <c r="AR334" s="1803"/>
      <c r="AS334" s="538"/>
      <c r="AT334" s="56"/>
      <c r="AU334" s="406"/>
      <c r="AV334" s="56"/>
      <c r="AW334" s="102"/>
    </row>
    <row r="335" spans="1:49" hidden="1" outlineLevel="1">
      <c r="A335" s="23" t="str">
        <f t="shared" si="460"/>
        <v>Express (Men's, Women's, and Dual Gender)</v>
      </c>
      <c r="O335" s="1803">
        <f t="shared" ref="O335:AI335" si="464">+O319/N319-1</f>
        <v>0.14785276073619635</v>
      </c>
      <c r="P335" s="1803">
        <f t="shared" si="464"/>
        <v>3.794762159273124E-2</v>
      </c>
      <c r="Q335" s="1803">
        <f t="shared" si="464"/>
        <v>4.067971163748707E-2</v>
      </c>
      <c r="R335" s="1803">
        <f t="shared" si="464"/>
        <v>1.2370113805046934E-2</v>
      </c>
      <c r="S335" s="1803">
        <f t="shared" si="464"/>
        <v>-9.628543499511244E-2</v>
      </c>
      <c r="T335" s="1803">
        <f t="shared" si="464"/>
        <v>6.3277447268794029E-2</v>
      </c>
      <c r="U335" s="1803">
        <f t="shared" si="464"/>
        <v>3.8290946083416877E-3</v>
      </c>
      <c r="V335" s="1803">
        <f t="shared" si="464"/>
        <v>9.6369547328439387E-2</v>
      </c>
      <c r="W335" s="1803">
        <f t="shared" si="464"/>
        <v>-5.5328887894714462E-2</v>
      </c>
      <c r="X335" s="1803">
        <f t="shared" si="464"/>
        <v>1.4187866927592996E-2</v>
      </c>
      <c r="Y335" s="1803">
        <f t="shared" si="464"/>
        <v>-8.6830680173666241E-4</v>
      </c>
      <c r="Z335" s="1803">
        <f t="shared" si="464"/>
        <v>-7.6453746620316565E-2</v>
      </c>
      <c r="AA335" s="1803">
        <f t="shared" si="464"/>
        <v>-6.2138203276892345E-2</v>
      </c>
      <c r="AB335" s="1803">
        <f t="shared" si="464"/>
        <v>-2.5188574282547949E-2</v>
      </c>
      <c r="AC335" s="1803">
        <f t="shared" si="464"/>
        <v>-4.0362660364837044E-2</v>
      </c>
      <c r="AD335" s="1803">
        <f t="shared" si="464"/>
        <v>9.1014218198967489E-2</v>
      </c>
      <c r="AE335" s="1803">
        <f t="shared" si="464"/>
        <v>1.7405725561579599E-2</v>
      </c>
      <c r="AF335" s="1803">
        <f t="shared" si="464"/>
        <v>1.7450108277119902E-2</v>
      </c>
      <c r="AG335" s="1803">
        <f t="shared" si="464"/>
        <v>1.7493841022634626E-2</v>
      </c>
      <c r="AH335" s="1803">
        <f t="shared" si="464"/>
        <v>1.7536929584903715E-2</v>
      </c>
      <c r="AI335" s="1803">
        <f t="shared" si="464"/>
        <v>1.7579379830370501E-2</v>
      </c>
      <c r="AJ335" s="1803">
        <f t="shared" si="463"/>
        <v>-1.7275684019168014E-2</v>
      </c>
      <c r="AK335" s="1803">
        <f t="shared" si="463"/>
        <v>1.7579379830370501E-2</v>
      </c>
      <c r="AL335" s="1803"/>
      <c r="AM335" s="1803"/>
      <c r="AN335" s="1803"/>
      <c r="AO335" s="1803"/>
      <c r="AP335" s="1803"/>
      <c r="AQ335" s="1803"/>
      <c r="AR335" s="1803"/>
      <c r="AS335" s="538"/>
      <c r="AT335" s="56"/>
      <c r="AU335" s="406"/>
      <c r="AV335" s="56"/>
      <c r="AW335" s="102"/>
    </row>
    <row r="336" spans="1:49" hidden="1" outlineLevel="1">
      <c r="A336" s="23" t="str">
        <f t="shared" si="460"/>
        <v>Limited Stores</v>
      </c>
      <c r="O336" s="1803">
        <f t="shared" ref="O336:AI336" si="465">+O320/N320-1</f>
        <v>-0.10041493775933608</v>
      </c>
      <c r="P336" s="1803">
        <f t="shared" si="465"/>
        <v>-0.19833948339483398</v>
      </c>
      <c r="Q336" s="1803">
        <f t="shared" si="465"/>
        <v>-2.1864211737629424E-2</v>
      </c>
      <c r="R336" s="1803">
        <f t="shared" si="465"/>
        <v>5.8823529411764497E-3</v>
      </c>
      <c r="S336" s="1803">
        <f t="shared" si="465"/>
        <v>-9.2397660818713478E-2</v>
      </c>
      <c r="T336" s="1803">
        <f t="shared" si="465"/>
        <v>-2.4484536082474251E-2</v>
      </c>
      <c r="U336" s="1803">
        <f t="shared" si="465"/>
        <v>-6.9715984147952548E-2</v>
      </c>
      <c r="V336" s="1803">
        <f t="shared" si="465"/>
        <v>-4.4862082431041173E-2</v>
      </c>
      <c r="W336" s="1803">
        <f t="shared" si="465"/>
        <v>-8.1500731454941078E-2</v>
      </c>
      <c r="X336" s="1803">
        <f t="shared" si="465"/>
        <v>3.2676607123202528E-2</v>
      </c>
      <c r="Y336" s="1803">
        <f t="shared" si="465"/>
        <v>-1.9592476489028177E-2</v>
      </c>
      <c r="Z336" s="1803">
        <f t="shared" si="465"/>
        <v>-7.7218225419664166E-2</v>
      </c>
      <c r="AA336" s="1803">
        <f t="shared" si="465"/>
        <v>-5.5492030492030664E-2</v>
      </c>
      <c r="AB336" s="1803">
        <f t="shared" si="465"/>
        <v>-9.4961204761817353E-2</v>
      </c>
      <c r="AC336" s="1803">
        <f t="shared" si="465"/>
        <v>-3.3396756362960578E-2</v>
      </c>
      <c r="AD336" s="1803">
        <f t="shared" si="465"/>
        <v>-3.6935998811743476E-3</v>
      </c>
      <c r="AE336" s="1803">
        <f t="shared" si="465"/>
        <v>6.7413216186638092E-3</v>
      </c>
      <c r="AF336" s="1803">
        <f t="shared" si="465"/>
        <v>6.8301041224585468E-3</v>
      </c>
      <c r="AG336" s="1803">
        <f t="shared" si="465"/>
        <v>6.9194456705086171E-3</v>
      </c>
      <c r="AH336" s="1803">
        <f t="shared" si="465"/>
        <v>7.0093338789567472E-3</v>
      </c>
      <c r="AI336" s="1803">
        <f t="shared" si="465"/>
        <v>7.0997559962986401E-3</v>
      </c>
      <c r="AJ336" s="1803">
        <f t="shared" si="463"/>
        <v>-7.0497048122856176E-3</v>
      </c>
      <c r="AK336" s="1803">
        <f t="shared" si="463"/>
        <v>7.0997559962986401E-3</v>
      </c>
      <c r="AL336" s="1803"/>
      <c r="AM336" s="1803"/>
      <c r="AN336" s="1803"/>
      <c r="AO336" s="1803"/>
      <c r="AP336" s="1803"/>
      <c r="AQ336" s="1803"/>
      <c r="AR336" s="1803"/>
      <c r="AS336" s="538"/>
      <c r="AT336" s="56"/>
      <c r="AU336" s="406"/>
      <c r="AV336" s="56"/>
      <c r="AW336" s="102"/>
    </row>
    <row r="337" spans="1:49" hidden="1" outlineLevel="1">
      <c r="A337" s="23" t="str">
        <f t="shared" si="460"/>
        <v>Other</v>
      </c>
      <c r="O337" s="1804">
        <f t="shared" ref="O337:AI337" si="466">+O321/N321-1</f>
        <v>-0.58188167295496518</v>
      </c>
      <c r="P337" s="1804">
        <f t="shared" si="466"/>
        <v>-9.1013814830652517E-2</v>
      </c>
      <c r="Q337" s="1804">
        <f t="shared" si="466"/>
        <v>3.5460950351068998E-2</v>
      </c>
      <c r="R337" s="1804">
        <f t="shared" si="466"/>
        <v>0.10367414775789374</v>
      </c>
      <c r="S337" s="1804">
        <f t="shared" si="466"/>
        <v>-0.21284581196174268</v>
      </c>
      <c r="T337" s="1804">
        <f t="shared" si="466"/>
        <v>2.1549893606847004E-3</v>
      </c>
      <c r="U337" s="1804">
        <f t="shared" si="466"/>
        <v>-0.8515358445070309</v>
      </c>
      <c r="V337" s="1804">
        <f t="shared" si="466"/>
        <v>-0.31960152551288856</v>
      </c>
      <c r="W337" s="1804">
        <f t="shared" si="466"/>
        <v>8.4671308396848222E-2</v>
      </c>
      <c r="X337" s="1804">
        <f t="shared" si="466"/>
        <v>0.48491009233759508</v>
      </c>
      <c r="Y337" s="1804">
        <f t="shared" si="466"/>
        <v>0.32629945398113591</v>
      </c>
      <c r="Z337" s="1804">
        <f t="shared" si="466"/>
        <v>6.3854507467720145E-2</v>
      </c>
      <c r="AA337" s="1804">
        <f t="shared" si="466"/>
        <v>0.21190114913645619</v>
      </c>
      <c r="AB337" s="1804">
        <f t="shared" si="466"/>
        <v>3.7841973552205763</v>
      </c>
      <c r="AC337" s="1804">
        <f t="shared" si="466"/>
        <v>-0.11880909590045963</v>
      </c>
      <c r="AD337" s="1804">
        <f t="shared" si="466"/>
        <v>-0.41107805940238518</v>
      </c>
      <c r="AE337" s="1804">
        <f t="shared" si="466"/>
        <v>-0.12197020992839658</v>
      </c>
      <c r="AF337" s="1804">
        <f t="shared" si="466"/>
        <v>0.15442168508974485</v>
      </c>
      <c r="AG337" s="1804">
        <f t="shared" si="466"/>
        <v>-6.0349012753022624E-3</v>
      </c>
      <c r="AH337" s="1804">
        <f t="shared" si="466"/>
        <v>-0.67354205190333483</v>
      </c>
      <c r="AI337" s="1804">
        <f t="shared" si="466"/>
        <v>7.2992515391105961E-2</v>
      </c>
      <c r="AJ337" s="1804">
        <f t="shared" si="463"/>
        <v>2.1133875180894046E-2</v>
      </c>
      <c r="AK337" s="1804">
        <f t="shared" si="463"/>
        <v>-9.105559170358235E-2</v>
      </c>
      <c r="AL337" s="1805"/>
      <c r="AM337" s="1805"/>
      <c r="AN337" s="1805"/>
      <c r="AO337" s="1805"/>
      <c r="AP337" s="1805"/>
      <c r="AQ337" s="1805"/>
      <c r="AR337" s="1805"/>
      <c r="AS337" s="538"/>
      <c r="AT337" s="56"/>
      <c r="AU337" s="406"/>
      <c r="AV337" s="56"/>
      <c r="AW337" s="102"/>
    </row>
    <row r="338" spans="1:49" hidden="1" outlineLevel="1">
      <c r="A338" s="482" t="str">
        <f t="shared" si="460"/>
        <v>Limited Brands</v>
      </c>
      <c r="O338" s="1803">
        <f t="shared" ref="O338:AI338" si="467">+O322/N322-1</f>
        <v>-0.32138561913232833</v>
      </c>
      <c r="P338" s="1803">
        <f t="shared" si="467"/>
        <v>1.0449010419197213E-2</v>
      </c>
      <c r="Q338" s="1803">
        <f t="shared" si="467"/>
        <v>7.6582561012524364E-2</v>
      </c>
      <c r="R338" s="1803">
        <f t="shared" si="467"/>
        <v>9.6854672567959321E-2</v>
      </c>
      <c r="S338" s="1803">
        <f t="shared" si="467"/>
        <v>-3.2164571705666334E-2</v>
      </c>
      <c r="T338" s="1803">
        <f t="shared" si="467"/>
        <v>5.6156433782114545E-2</v>
      </c>
      <c r="U338" s="1803">
        <f t="shared" si="467"/>
        <v>-0.13760355956675996</v>
      </c>
      <c r="V338" s="1803">
        <f t="shared" si="467"/>
        <v>6.9434755839276274E-2</v>
      </c>
      <c r="W338" s="1803">
        <f t="shared" si="467"/>
        <v>-2.7281741466909315E-2</v>
      </c>
      <c r="X338" s="1803">
        <f t="shared" si="467"/>
        <v>6.5244449243531788E-2</v>
      </c>
      <c r="Y338" s="1803">
        <f t="shared" si="467"/>
        <v>5.7955009169114557E-2</v>
      </c>
      <c r="Z338" s="1803">
        <f t="shared" si="467"/>
        <v>5.306812218940915E-2</v>
      </c>
      <c r="AA338" s="1803">
        <f t="shared" si="467"/>
        <v>3.0857834535018114E-2</v>
      </c>
      <c r="AB338" s="1803">
        <f t="shared" si="467"/>
        <v>0.33142537387763493</v>
      </c>
      <c r="AC338" s="1803">
        <f t="shared" si="467"/>
        <v>-3.8829885434872868E-2</v>
      </c>
      <c r="AD338" s="1803">
        <f t="shared" si="467"/>
        <v>-8.561190146571529E-2</v>
      </c>
      <c r="AE338" s="1803">
        <f t="shared" si="467"/>
        <v>-3.3062169587025347E-2</v>
      </c>
      <c r="AF338" s="1803">
        <f t="shared" si="467"/>
        <v>9.2665262529834092E-2</v>
      </c>
      <c r="AG338" s="1803">
        <f t="shared" si="467"/>
        <v>6.5638013411806417E-2</v>
      </c>
      <c r="AH338" s="1803">
        <f t="shared" si="467"/>
        <v>-1.7529382680625538E-5</v>
      </c>
      <c r="AI338" s="1803">
        <f t="shared" si="467"/>
        <v>2.0562169580228495E-2</v>
      </c>
      <c r="AJ338" s="1803">
        <f t="shared" si="463"/>
        <v>4.0551659793306882E-2</v>
      </c>
      <c r="AK338" s="1803">
        <f t="shared" si="463"/>
        <v>5.0729185419739586E-2</v>
      </c>
      <c r="AL338" s="1803"/>
      <c r="AM338" s="1803"/>
      <c r="AN338" s="1803"/>
      <c r="AO338" s="1803"/>
      <c r="AP338" s="1803"/>
      <c r="AQ338" s="1803"/>
      <c r="AR338" s="1803"/>
      <c r="AS338" s="538"/>
      <c r="AT338" s="56"/>
      <c r="AU338" s="406"/>
      <c r="AV338" s="56"/>
      <c r="AW338" s="102"/>
    </row>
    <row r="339" spans="1:49" hidden="1" outlineLevel="1">
      <c r="AS339" s="538"/>
      <c r="AT339" s="139"/>
      <c r="AU339" s="139"/>
      <c r="AV339" s="139"/>
      <c r="AW339" s="537"/>
    </row>
    <row r="340" spans="1:49" hidden="1" outlineLevel="1">
      <c r="A340" s="156" t="s">
        <v>557</v>
      </c>
      <c r="AS340" s="538"/>
      <c r="AT340" s="139"/>
      <c r="AU340" s="139"/>
      <c r="AV340" s="139"/>
      <c r="AW340" s="537"/>
    </row>
    <row r="341" spans="1:49" hidden="1" outlineLevel="1">
      <c r="A341" s="23" t="str">
        <f>+A333</f>
        <v>Victoria's Secret</v>
      </c>
      <c r="N341" s="160">
        <f>+N102</f>
        <v>363.73477672530453</v>
      </c>
      <c r="O341" s="160">
        <f>+O102</f>
        <v>362.7885714285714</v>
      </c>
      <c r="P341" s="160">
        <f t="shared" ref="P341:AC341" si="468">+P102</f>
        <v>383.1305758313058</v>
      </c>
      <c r="Q341" s="160">
        <f t="shared" si="468"/>
        <v>367.4285714285715</v>
      </c>
      <c r="R341" s="160">
        <f t="shared" si="468"/>
        <v>365.9305993690852</v>
      </c>
      <c r="S341" s="160">
        <f t="shared" si="468"/>
        <v>395.75643075134428</v>
      </c>
      <c r="T341" s="160">
        <f t="shared" si="468"/>
        <v>403.25203252032526</v>
      </c>
      <c r="U341" s="160">
        <f t="shared" si="468"/>
        <v>442.25329512893978</v>
      </c>
      <c r="V341" s="160">
        <f t="shared" si="468"/>
        <v>457.28989368202377</v>
      </c>
      <c r="W341" s="160">
        <f t="shared" si="468"/>
        <v>443.72643969994238</v>
      </c>
      <c r="X341" s="160">
        <f t="shared" si="468"/>
        <v>464.33505098125204</v>
      </c>
      <c r="Y341" s="160">
        <f t="shared" si="468"/>
        <v>480.32347307937863</v>
      </c>
      <c r="Z341" s="160">
        <f t="shared" si="468"/>
        <v>518.66108507757997</v>
      </c>
      <c r="AA341" s="160">
        <f t="shared" si="468"/>
        <v>522.36506231634405</v>
      </c>
      <c r="AB341" s="160">
        <f t="shared" si="468"/>
        <v>584.57588624469236</v>
      </c>
      <c r="AC341" s="160">
        <f t="shared" si="468"/>
        <v>555.35843356643352</v>
      </c>
      <c r="AD341" s="160">
        <f t="shared" ref="AD341:AI341" si="469">+AD102</f>
        <v>496.32907016937435</v>
      </c>
      <c r="AE341" s="160">
        <f t="shared" si="469"/>
        <v>464.10754294249443</v>
      </c>
      <c r="AF341" s="160">
        <f t="shared" si="469"/>
        <v>526.7442241520564</v>
      </c>
      <c r="AG341" s="160">
        <f t="shared" si="469"/>
        <v>593.54628952288056</v>
      </c>
      <c r="AH341" s="160">
        <f t="shared" si="469"/>
        <v>656.61310795726365</v>
      </c>
      <c r="AI341" s="160">
        <f t="shared" si="469"/>
        <v>656.78623537508599</v>
      </c>
      <c r="AJ341" s="160">
        <f>+AJ102</f>
        <v>664.92855059784188</v>
      </c>
      <c r="AK341" s="160">
        <f>+AK102</f>
        <v>683.18826405867969</v>
      </c>
      <c r="AL341" s="160"/>
      <c r="AM341" s="160"/>
      <c r="AN341" s="160"/>
      <c r="AO341" s="160"/>
      <c r="AP341" s="160"/>
      <c r="AQ341" s="160"/>
      <c r="AR341" s="160"/>
      <c r="AS341" s="538"/>
      <c r="AT341" s="56">
        <f>((AF341/AA341)^(1/5)-1)*100</f>
        <v>0.16710728914903772</v>
      </c>
      <c r="AU341" s="97" t="s">
        <v>1084</v>
      </c>
      <c r="AV341" s="56">
        <f>((AK341/AF341)^(1/5)-1)*100</f>
        <v>5.3387409107753081</v>
      </c>
      <c r="AW341" s="100" t="s">
        <v>1084</v>
      </c>
    </row>
    <row r="342" spans="1:49" hidden="1" outlineLevel="1">
      <c r="A342" s="23" t="str">
        <f>+A334</f>
        <v>Bath and Body Works</v>
      </c>
      <c r="N342" s="468">
        <f>+N149</f>
        <v>394.80519480519479</v>
      </c>
      <c r="O342" s="468">
        <f t="shared" ref="O342:AC342" si="470">+O149</f>
        <v>471.5789473684211</v>
      </c>
      <c r="P342" s="468">
        <f t="shared" si="470"/>
        <v>564.45047489823617</v>
      </c>
      <c r="Q342" s="468">
        <f t="shared" si="470"/>
        <v>568.43679880329103</v>
      </c>
      <c r="R342" s="468">
        <f t="shared" si="470"/>
        <v>547.13896457765668</v>
      </c>
      <c r="S342" s="468">
        <f t="shared" si="470"/>
        <v>540.83786376718911</v>
      </c>
      <c r="T342" s="468">
        <f t="shared" si="470"/>
        <v>526.5717981888746</v>
      </c>
      <c r="U342" s="468">
        <f t="shared" si="470"/>
        <v>534.28232213007414</v>
      </c>
      <c r="V342" s="468">
        <f t="shared" si="470"/>
        <v>516.4290106710074</v>
      </c>
      <c r="W342" s="468">
        <f t="shared" si="470"/>
        <v>429.79267917563828</v>
      </c>
      <c r="X342" s="468">
        <f t="shared" si="470"/>
        <v>405.29085478594794</v>
      </c>
      <c r="Y342" s="468">
        <f t="shared" si="470"/>
        <v>435.32399437412101</v>
      </c>
      <c r="Z342" s="468">
        <f t="shared" si="470"/>
        <v>488.84621020005648</v>
      </c>
      <c r="AA342" s="468">
        <f t="shared" si="470"/>
        <v>512.99511647488077</v>
      </c>
      <c r="AB342" s="468">
        <f t="shared" si="470"/>
        <v>569.92584332311117</v>
      </c>
      <c r="AC342" s="468">
        <f t="shared" si="470"/>
        <v>540.93880981428777</v>
      </c>
      <c r="AD342" s="468">
        <f t="shared" ref="AD342:AI342" si="471">+AD149</f>
        <v>494.37354855506379</v>
      </c>
      <c r="AE342" s="468">
        <f t="shared" si="471"/>
        <v>486.05543797016452</v>
      </c>
      <c r="AF342" s="468">
        <f t="shared" si="471"/>
        <v>510.31722039056558</v>
      </c>
      <c r="AG342" s="468">
        <f t="shared" si="471"/>
        <v>542.05057005320498</v>
      </c>
      <c r="AH342" s="468">
        <f t="shared" si="471"/>
        <v>627.91707939749813</v>
      </c>
      <c r="AI342" s="468">
        <f t="shared" si="471"/>
        <v>642.03119691119684</v>
      </c>
      <c r="AJ342" s="468">
        <f>+AJ149</f>
        <v>689.75217503217516</v>
      </c>
      <c r="AK342" s="468">
        <f>+AK149</f>
        <v>727.95859444373991</v>
      </c>
      <c r="AL342" s="468"/>
      <c r="AM342" s="468"/>
      <c r="AN342" s="468"/>
      <c r="AO342" s="468"/>
      <c r="AP342" s="468"/>
      <c r="AQ342" s="468"/>
      <c r="AR342" s="468"/>
      <c r="AS342" s="538"/>
      <c r="AT342" s="56">
        <f>((AF342/AA342)^(1/5)-1)*100</f>
        <v>-0.10462108317212948</v>
      </c>
      <c r="AU342" s="97" t="s">
        <v>1084</v>
      </c>
      <c r="AV342" s="56">
        <f>((AK342/AF342)^(1/5)-1)*100</f>
        <v>7.3626668880921065</v>
      </c>
      <c r="AW342" s="100" t="s">
        <v>1084</v>
      </c>
    </row>
    <row r="343" spans="1:49" hidden="1" outlineLevel="1">
      <c r="A343" s="23" t="str">
        <f>+A335</f>
        <v>Express (Men's, Women's, and Dual Gender)</v>
      </c>
      <c r="N343" s="468">
        <f>+N225</f>
        <v>320.07854688267059</v>
      </c>
      <c r="O343" s="468">
        <f t="shared" ref="O343:AC343" si="472">+O225</f>
        <v>303.7029522166988</v>
      </c>
      <c r="P343" s="468">
        <f t="shared" si="472"/>
        <v>272.01260614549597</v>
      </c>
      <c r="Q343" s="468">
        <f t="shared" si="472"/>
        <v>254.75458914362247</v>
      </c>
      <c r="R343" s="468">
        <f t="shared" si="472"/>
        <v>243.8617401668653</v>
      </c>
      <c r="S343" s="468">
        <f t="shared" si="472"/>
        <v>215.54826958105647</v>
      </c>
      <c r="T343" s="468">
        <f t="shared" si="472"/>
        <v>232.81770409296132</v>
      </c>
      <c r="U343" s="468">
        <f t="shared" si="472"/>
        <v>242.22497698680576</v>
      </c>
      <c r="V343" s="468">
        <f t="shared" si="472"/>
        <v>275.1944038155803</v>
      </c>
      <c r="W343" s="468">
        <f t="shared" si="472"/>
        <v>267.47362394700252</v>
      </c>
      <c r="X343" s="468">
        <f t="shared" si="472"/>
        <v>278.58222744834541</v>
      </c>
      <c r="Y343" s="468">
        <f t="shared" si="472"/>
        <v>288.71928907475166</v>
      </c>
      <c r="Z343" s="468">
        <f t="shared" si="472"/>
        <v>277.87891774105691</v>
      </c>
      <c r="AA343" s="468">
        <f t="shared" si="472"/>
        <v>276.02469468218101</v>
      </c>
      <c r="AB343" s="468">
        <f t="shared" si="472"/>
        <v>293.94684315579372</v>
      </c>
      <c r="AC343" s="468">
        <f t="shared" si="472"/>
        <v>317.2070770986665</v>
      </c>
      <c r="AD343" s="468">
        <f t="shared" ref="AD343:AI343" si="473">+AD225</f>
        <v>390.14598224394035</v>
      </c>
      <c r="AE343" s="468">
        <f t="shared" si="473"/>
        <v>438.35670061664666</v>
      </c>
      <c r="AF343" s="468">
        <f t="shared" si="473"/>
        <v>489.22806582015625</v>
      </c>
      <c r="AG343" s="468">
        <f t="shared" si="473"/>
        <v>550.40664833547578</v>
      </c>
      <c r="AH343" s="468">
        <f t="shared" si="473"/>
        <v>626.25987632745262</v>
      </c>
      <c r="AI343" s="468">
        <f t="shared" si="473"/>
        <v>722.69387650643614</v>
      </c>
      <c r="AJ343" s="468">
        <f>+AJ225</f>
        <v>780.1020702382275</v>
      </c>
      <c r="AK343" s="468">
        <f>+AK225</f>
        <v>888.53822464928191</v>
      </c>
      <c r="AL343" s="468"/>
      <c r="AM343" s="468"/>
      <c r="AN343" s="468"/>
      <c r="AO343" s="468"/>
      <c r="AP343" s="468"/>
      <c r="AQ343" s="468"/>
      <c r="AR343" s="468"/>
      <c r="AS343" s="538"/>
      <c r="AT343" s="56">
        <f>((AF343/AA343)^(1/5)-1)*100</f>
        <v>12.127640930576922</v>
      </c>
      <c r="AU343" s="97" t="s">
        <v>1084</v>
      </c>
      <c r="AV343" s="56">
        <f>((AK343/AF343)^(1/5)-1)*100</f>
        <v>12.676396778898201</v>
      </c>
      <c r="AW343" s="100" t="s">
        <v>1084</v>
      </c>
    </row>
    <row r="344" spans="1:49" hidden="1" outlineLevel="1">
      <c r="A344" s="23" t="str">
        <f>+A336</f>
        <v>Limited Stores</v>
      </c>
      <c r="N344" s="469">
        <f>+N272</f>
        <v>235.58162267839691</v>
      </c>
      <c r="O344" s="469">
        <f t="shared" ref="O344:AC344" si="474">+O272</f>
        <v>198.46664378075297</v>
      </c>
      <c r="P344" s="469">
        <f t="shared" si="474"/>
        <v>157.28506787330318</v>
      </c>
      <c r="Q344" s="469">
        <f t="shared" si="474"/>
        <v>158.71163496323959</v>
      </c>
      <c r="R344" s="469">
        <f t="shared" si="474"/>
        <v>167.07376648754274</v>
      </c>
      <c r="S344" s="469">
        <f t="shared" si="474"/>
        <v>159.85580018024979</v>
      </c>
      <c r="T344" s="469">
        <f t="shared" si="474"/>
        <v>169.13838849322721</v>
      </c>
      <c r="U344" s="469">
        <f t="shared" si="474"/>
        <v>184.11111111111109</v>
      </c>
      <c r="V344" s="469">
        <f t="shared" si="474"/>
        <v>207.20277242972659</v>
      </c>
      <c r="W344" s="469">
        <f t="shared" si="474"/>
        <v>207.75519125683061</v>
      </c>
      <c r="X344" s="469">
        <f t="shared" si="474"/>
        <v>227.2484416740873</v>
      </c>
      <c r="Y344" s="469">
        <f t="shared" si="474"/>
        <v>233.8864220612293</v>
      </c>
      <c r="Z344" s="469">
        <f t="shared" si="474"/>
        <v>228.14229249011862</v>
      </c>
      <c r="AA344" s="469">
        <f t="shared" si="474"/>
        <v>238.00054570259212</v>
      </c>
      <c r="AB344" s="469">
        <f t="shared" si="474"/>
        <v>245.70183629007161</v>
      </c>
      <c r="AC344" s="469">
        <f t="shared" si="474"/>
        <v>277.15436834897827</v>
      </c>
      <c r="AD344" s="469">
        <f t="shared" ref="AD344:AI344" si="475">+AD272</f>
        <v>318.69912804441873</v>
      </c>
      <c r="AE344" s="469">
        <f t="shared" si="475"/>
        <v>353.11737271001618</v>
      </c>
      <c r="AF344" s="469">
        <f t="shared" si="475"/>
        <v>387.33829779137443</v>
      </c>
      <c r="AG344" s="469">
        <f t="shared" si="475"/>
        <v>428.34211113721125</v>
      </c>
      <c r="AH344" s="469">
        <f t="shared" si="475"/>
        <v>478.34745577689586</v>
      </c>
      <c r="AI344" s="469">
        <f t="shared" si="475"/>
        <v>540.6583169988254</v>
      </c>
      <c r="AJ344" s="469">
        <f>+AJ272</f>
        <v>581.54472719173634</v>
      </c>
      <c r="AK344" s="469">
        <f>+AK272</f>
        <v>644.0440380413545</v>
      </c>
      <c r="AL344" s="470"/>
      <c r="AM344" s="470"/>
      <c r="AN344" s="470"/>
      <c r="AO344" s="470"/>
      <c r="AP344" s="470"/>
      <c r="AQ344" s="470"/>
      <c r="AR344" s="470"/>
      <c r="AS344" s="538"/>
      <c r="AT344" s="56">
        <f>((AF344/AA344)^(1/5)-1)*100</f>
        <v>10.230682749238351</v>
      </c>
      <c r="AU344" s="97" t="s">
        <v>1084</v>
      </c>
      <c r="AV344" s="56">
        <f>((AK344/AF344)^(1/5)-1)*100</f>
        <v>10.704436314050469</v>
      </c>
      <c r="AW344" s="100" t="s">
        <v>1084</v>
      </c>
    </row>
    <row r="345" spans="1:49" hidden="1" outlineLevel="1">
      <c r="A345" s="482" t="str">
        <f>+A338</f>
        <v>Limited Brands</v>
      </c>
      <c r="N345" s="160">
        <f>+N49</f>
        <v>243.50209634874361</v>
      </c>
      <c r="O345" s="160">
        <f t="shared" ref="O345:AC345" si="476">+O49</f>
        <v>230.38213538032099</v>
      </c>
      <c r="P345" s="160">
        <f t="shared" si="476"/>
        <v>215.82856572033646</v>
      </c>
      <c r="Q345" s="160">
        <f t="shared" si="476"/>
        <v>217.85214406939471</v>
      </c>
      <c r="R345" s="160">
        <f t="shared" si="476"/>
        <v>228.23368692660551</v>
      </c>
      <c r="S345" s="160">
        <f t="shared" si="476"/>
        <v>214.9876947451809</v>
      </c>
      <c r="T345" s="160">
        <f t="shared" si="476"/>
        <v>236.20384531032977</v>
      </c>
      <c r="U345" s="160">
        <f t="shared" si="476"/>
        <v>202.93554540354251</v>
      </c>
      <c r="V345" s="160">
        <f t="shared" si="476"/>
        <v>237.85663021189336</v>
      </c>
      <c r="W345" s="160">
        <f t="shared" si="476"/>
        <v>251.28662208900167</v>
      </c>
      <c r="X345" s="160">
        <f t="shared" si="476"/>
        <v>313.43193480229405</v>
      </c>
      <c r="Y345" s="160">
        <f t="shared" si="476"/>
        <v>368.76306169785067</v>
      </c>
      <c r="Z345" s="160">
        <f t="shared" si="476"/>
        <v>390.5465372656177</v>
      </c>
      <c r="AA345" s="160">
        <f t="shared" si="476"/>
        <v>403.22091671217026</v>
      </c>
      <c r="AB345" s="160">
        <f t="shared" si="476"/>
        <v>332.48008504135788</v>
      </c>
      <c r="AC345" s="160">
        <f t="shared" si="476"/>
        <v>396.58405964674449</v>
      </c>
      <c r="AD345" s="160">
        <f t="shared" ref="AD345:AI345" si="477">+AD49</f>
        <v>449.89143719351188</v>
      </c>
      <c r="AE345" s="160">
        <f t="shared" si="477"/>
        <v>430.79391718578233</v>
      </c>
      <c r="AF345" s="160">
        <f t="shared" si="477"/>
        <v>477.14645123008819</v>
      </c>
      <c r="AG345" s="160">
        <f t="shared" si="477"/>
        <v>528.41845143039654</v>
      </c>
      <c r="AH345" s="160">
        <f t="shared" si="477"/>
        <v>603.65949245101194</v>
      </c>
      <c r="AI345" s="160">
        <f t="shared" si="477"/>
        <v>616.64892360795704</v>
      </c>
      <c r="AJ345" s="160">
        <f>+AJ49</f>
        <v>637.72448359392217</v>
      </c>
      <c r="AK345" s="160">
        <f>+AK49</f>
        <v>662.10161276559438</v>
      </c>
      <c r="AL345" s="160"/>
      <c r="AM345" s="160"/>
      <c r="AN345" s="160"/>
      <c r="AO345" s="160"/>
      <c r="AP345" s="160"/>
      <c r="AQ345" s="160"/>
      <c r="AR345" s="160"/>
      <c r="AS345" s="538"/>
      <c r="AT345" s="56">
        <f>((AF345/AA345)^(1/5)-1)*100</f>
        <v>3.4240949406877164</v>
      </c>
      <c r="AU345" s="97" t="s">
        <v>1084</v>
      </c>
      <c r="AV345" s="56">
        <f>((AK345/AF345)^(1/5)-1)*100</f>
        <v>6.7713145036555789</v>
      </c>
      <c r="AW345" s="100" t="s">
        <v>1084</v>
      </c>
    </row>
    <row r="346" spans="1:49" hidden="1" outlineLevel="1">
      <c r="A346" s="197" t="s">
        <v>556</v>
      </c>
      <c r="N346" s="1806">
        <f t="shared" ref="N346:AC346" si="478">+N341*N325+N342*N326+N343*N327+N344*N328</f>
        <v>118.68682344115975</v>
      </c>
      <c r="O346" s="1806">
        <f t="shared" si="478"/>
        <v>186.91905295850691</v>
      </c>
      <c r="P346" s="1806">
        <f t="shared" si="478"/>
        <v>202.45962954483343</v>
      </c>
      <c r="Q346" s="1806">
        <f t="shared" si="478"/>
        <v>207.46912300142813</v>
      </c>
      <c r="R346" s="1806">
        <f t="shared" si="478"/>
        <v>212.22962245227893</v>
      </c>
      <c r="S346" s="1806">
        <f t="shared" si="478"/>
        <v>246.01294754852887</v>
      </c>
      <c r="T346" s="1806">
        <f t="shared" si="478"/>
        <v>260.18806977438277</v>
      </c>
      <c r="U346" s="1806">
        <f t="shared" si="478"/>
        <v>365.65733911354778</v>
      </c>
      <c r="V346" s="1806">
        <f t="shared" si="478"/>
        <v>388.48055356304189</v>
      </c>
      <c r="W346" s="1806">
        <f t="shared" si="478"/>
        <v>363.00070604167132</v>
      </c>
      <c r="X346" s="1806">
        <f t="shared" si="478"/>
        <v>368.21093776974527</v>
      </c>
      <c r="Y346" s="1806">
        <f t="shared" si="478"/>
        <v>382.76147994983933</v>
      </c>
      <c r="Z346" s="1806">
        <f t="shared" si="478"/>
        <v>416.48912960837686</v>
      </c>
      <c r="AA346" s="1806">
        <f t="shared" si="478"/>
        <v>424.83709406062189</v>
      </c>
      <c r="AB346" s="1806">
        <f t="shared" si="478"/>
        <v>393.5753548312681</v>
      </c>
      <c r="AC346" s="1806">
        <f t="shared" si="478"/>
        <v>391.29774847987409</v>
      </c>
      <c r="AD346" s="1806">
        <f t="shared" ref="AD346:AI346" si="479">+AD341*AD325+AD342*AD326+AD343*AD327+AD344*AD328</f>
        <v>403.27476619300404</v>
      </c>
      <c r="AE346" s="1806">
        <f t="shared" si="479"/>
        <v>401.8587286800813</v>
      </c>
      <c r="AF346" s="1806">
        <f t="shared" si="479"/>
        <v>442.45473031018486</v>
      </c>
      <c r="AG346" s="1806">
        <f t="shared" si="479"/>
        <v>497.13588547655849</v>
      </c>
      <c r="AH346" s="1806">
        <f t="shared" si="479"/>
        <v>611.92295953474138</v>
      </c>
      <c r="AI346" s="1806">
        <f t="shared" si="479"/>
        <v>631.30138916611588</v>
      </c>
      <c r="AJ346" s="1806">
        <f>+AJ341*AJ325+AJ342*AJ326+AJ343*AJ327+AJ344*AJ328</f>
        <v>657.22207515495757</v>
      </c>
      <c r="AK346" s="1806">
        <f>+AK341*AK325+AK342*AK326+AK343*AK327+AK344*AK328</f>
        <v>697.427723118259</v>
      </c>
      <c r="AL346" s="1806"/>
      <c r="AM346" s="1806"/>
      <c r="AN346" s="1806"/>
      <c r="AO346" s="1806"/>
      <c r="AP346" s="1806"/>
      <c r="AQ346" s="1806"/>
      <c r="AR346" s="1806"/>
      <c r="AS346" s="538"/>
      <c r="AT346" s="56">
        <f>((Y346/T346)^(1/5)-1)*100</f>
        <v>8.0259686312943668</v>
      </c>
      <c r="AU346" s="97" t="s">
        <v>1084</v>
      </c>
      <c r="AV346" s="56">
        <f>((AS346/AA346)^(1/5)-1)*100</f>
        <v>-100</v>
      </c>
      <c r="AW346" s="102" t="s">
        <v>1084</v>
      </c>
    </row>
    <row r="347" spans="1:49" hidden="1" outlineLevel="1">
      <c r="A347" s="197"/>
      <c r="N347" s="1806"/>
      <c r="O347" s="1806"/>
      <c r="P347" s="1806"/>
      <c r="Q347" s="1806"/>
      <c r="R347" s="1806"/>
      <c r="S347" s="1806"/>
      <c r="T347" s="1806"/>
      <c r="U347" s="1806"/>
      <c r="V347" s="1806"/>
      <c r="W347" s="1806"/>
      <c r="X347" s="1806"/>
      <c r="Y347" s="1806"/>
      <c r="Z347" s="1806"/>
      <c r="AA347" s="1806"/>
      <c r="AB347" s="1806"/>
      <c r="AC347" s="1806"/>
      <c r="AD347" s="1806"/>
      <c r="AE347" s="1806"/>
      <c r="AF347" s="1806"/>
      <c r="AG347" s="1806"/>
      <c r="AH347" s="1806"/>
      <c r="AI347" s="1806"/>
      <c r="AJ347" s="1806"/>
      <c r="AK347" s="1806"/>
      <c r="AL347" s="1806"/>
      <c r="AM347" s="1806"/>
      <c r="AN347" s="1806"/>
      <c r="AO347" s="1806"/>
      <c r="AP347" s="1806"/>
      <c r="AQ347" s="1806"/>
      <c r="AR347" s="1806"/>
      <c r="AS347" s="538"/>
      <c r="AT347" s="139"/>
      <c r="AU347" s="139"/>
      <c r="AV347" s="139"/>
      <c r="AW347" s="537"/>
    </row>
    <row r="348" spans="1:49" hidden="1" outlineLevel="1">
      <c r="A348" s="156" t="s">
        <v>824</v>
      </c>
      <c r="N348" s="1806"/>
      <c r="O348" s="1806"/>
      <c r="P348" s="1806"/>
      <c r="Q348" s="1806"/>
      <c r="R348" s="1806"/>
      <c r="S348" s="1806"/>
      <c r="T348" s="1806"/>
      <c r="U348" s="1806"/>
      <c r="V348" s="1806"/>
      <c r="W348" s="1806"/>
      <c r="X348" s="1806"/>
      <c r="Y348" s="1806"/>
      <c r="Z348" s="1806"/>
      <c r="AA348" s="1806"/>
      <c r="AB348" s="1806"/>
      <c r="AC348" s="1806"/>
      <c r="AD348" s="1806"/>
      <c r="AE348" s="1806"/>
      <c r="AF348" s="1806"/>
      <c r="AG348" s="1806"/>
      <c r="AH348" s="1806"/>
      <c r="AI348" s="1806"/>
      <c r="AJ348" s="1806"/>
      <c r="AK348" s="1806"/>
      <c r="AL348" s="1806"/>
      <c r="AM348" s="1806"/>
      <c r="AN348" s="1806"/>
      <c r="AO348" s="1806"/>
      <c r="AP348" s="1806"/>
      <c r="AQ348" s="1806"/>
      <c r="AR348" s="1806"/>
      <c r="AS348" s="538"/>
      <c r="AT348" s="139"/>
      <c r="AU348" s="139"/>
      <c r="AV348" s="139"/>
      <c r="AW348" s="537"/>
    </row>
    <row r="349" spans="1:49" hidden="1" outlineLevel="1">
      <c r="A349" s="23" t="str">
        <f>+A341</f>
        <v>Victoria's Secret</v>
      </c>
      <c r="N349" s="1806"/>
      <c r="O349" s="1806"/>
      <c r="P349" s="1806"/>
      <c r="Q349" s="1803">
        <f>+Q97</f>
        <v>0.73025868669097072</v>
      </c>
      <c r="R349" s="1803">
        <f t="shared" ref="R349:AC349" si="480">+R97</f>
        <v>0.5866924467235517</v>
      </c>
      <c r="S349" s="1803">
        <f t="shared" si="480"/>
        <v>0.74759385556759372</v>
      </c>
      <c r="T349" s="1803">
        <f t="shared" si="480"/>
        <v>0.6335295772182904</v>
      </c>
      <c r="U349" s="1803">
        <f t="shared" si="480"/>
        <v>0.69537269174775551</v>
      </c>
      <c r="V349" s="1803">
        <f t="shared" si="480"/>
        <v>0.79073613971463841</v>
      </c>
      <c r="W349" s="1803">
        <f t="shared" si="480"/>
        <v>0.46678762063177426</v>
      </c>
      <c r="X349" s="1803">
        <f t="shared" si="480"/>
        <v>0.78885840918119721</v>
      </c>
      <c r="Y349" s="1803">
        <f t="shared" si="480"/>
        <v>0.85112199765691532</v>
      </c>
      <c r="Z349" s="1803">
        <f t="shared" si="480"/>
        <v>0.61295278339944581</v>
      </c>
      <c r="AA349" s="1803">
        <f t="shared" si="480"/>
        <v>0.90394242577186967</v>
      </c>
      <c r="AB349" s="1803">
        <f t="shared" si="480"/>
        <v>1.4669781036447966</v>
      </c>
      <c r="AC349" s="1803">
        <f t="shared" si="480"/>
        <v>0.44230448296122182</v>
      </c>
      <c r="AD349" s="1803">
        <f t="shared" ref="AD349:AI349" si="481">+AD97</f>
        <v>0.61756185395920793</v>
      </c>
      <c r="AE349" s="1803">
        <f t="shared" si="481"/>
        <v>0.81622728168618819</v>
      </c>
      <c r="AF349" s="1803">
        <f t="shared" si="481"/>
        <v>0.74323152054748809</v>
      </c>
      <c r="AG349" s="1803">
        <f t="shared" si="481"/>
        <v>-0.17863183701585175</v>
      </c>
      <c r="AH349" s="1803">
        <f t="shared" si="481"/>
        <v>3.0825282297057739</v>
      </c>
      <c r="AI349" s="1803">
        <f t="shared" si="481"/>
        <v>0.44538843147564661</v>
      </c>
      <c r="AJ349" s="1803">
        <f>+AJ97</f>
        <v>0.62814458944874696</v>
      </c>
      <c r="AK349" s="1803">
        <f>+AK97</f>
        <v>0.52300639717742947</v>
      </c>
      <c r="AL349" s="1803"/>
      <c r="AM349" s="1803"/>
      <c r="AN349" s="1803"/>
      <c r="AO349" s="1803"/>
      <c r="AP349" s="1803"/>
      <c r="AQ349" s="1803"/>
      <c r="AR349" s="1803"/>
      <c r="AS349" s="538"/>
      <c r="AT349" s="56"/>
      <c r="AU349" s="406"/>
      <c r="AV349" s="56"/>
      <c r="AW349" s="102"/>
    </row>
    <row r="350" spans="1:49" hidden="1" outlineLevel="1">
      <c r="A350" s="23" t="str">
        <f>+A342</f>
        <v>Bath and Body Works</v>
      </c>
      <c r="N350" s="1806"/>
      <c r="O350" s="1806"/>
      <c r="P350" s="1806"/>
      <c r="Q350" s="1803">
        <f>+Q144</f>
        <v>0.75778717948717944</v>
      </c>
      <c r="R350" s="1803">
        <f t="shared" ref="R350:AC350" si="482">+R144</f>
        <v>0.73459750532400381</v>
      </c>
      <c r="S350" s="1803">
        <f t="shared" si="482"/>
        <v>0.69920870033380034</v>
      </c>
      <c r="T350" s="1803">
        <f t="shared" si="482"/>
        <v>0.56525764486594676</v>
      </c>
      <c r="U350" s="1803">
        <f t="shared" si="482"/>
        <v>0.50061875016446833</v>
      </c>
      <c r="V350" s="1803">
        <f t="shared" si="482"/>
        <v>0.75652132532010374</v>
      </c>
      <c r="W350" s="1803">
        <f t="shared" si="482"/>
        <v>0.50402050725943792</v>
      </c>
      <c r="X350" s="1803">
        <f t="shared" si="482"/>
        <v>0.61102726961912734</v>
      </c>
      <c r="Y350" s="1803">
        <f t="shared" si="482"/>
        <v>0.54924143739472908</v>
      </c>
      <c r="Z350" s="1803">
        <f t="shared" si="482"/>
        <v>-0.62374385555544465</v>
      </c>
      <c r="AA350" s="1803">
        <f t="shared" si="482"/>
        <v>3.4322497560686993</v>
      </c>
      <c r="AB350" s="1803">
        <f t="shared" si="482"/>
        <v>2.7406238802577714</v>
      </c>
      <c r="AC350" s="1803">
        <f t="shared" si="482"/>
        <v>0.56531008614668155</v>
      </c>
      <c r="AD350" s="1803">
        <f t="shared" ref="AD350:AI350" si="483">+AD144</f>
        <v>1.1504213189836865</v>
      </c>
      <c r="AE350" s="1803">
        <f t="shared" si="483"/>
        <v>0.65749784009018175</v>
      </c>
      <c r="AF350" s="1803">
        <f t="shared" si="483"/>
        <v>1.0345341106201269</v>
      </c>
      <c r="AG350" s="1803">
        <f t="shared" si="483"/>
        <v>5.4265326612174745</v>
      </c>
      <c r="AH350" s="1803">
        <f t="shared" si="483"/>
        <v>-11.065051360208228</v>
      </c>
      <c r="AI350" s="1803">
        <f t="shared" si="483"/>
        <v>-7.0612313879340416E-2</v>
      </c>
      <c r="AJ350" s="1803">
        <f>+AJ144</f>
        <v>1.7233170329359824</v>
      </c>
      <c r="AK350" s="1803">
        <f>+AK144</f>
        <v>1.1171169654875148</v>
      </c>
      <c r="AL350" s="1803"/>
      <c r="AM350" s="1803"/>
      <c r="AN350" s="1803"/>
      <c r="AO350" s="1803"/>
      <c r="AP350" s="1803"/>
      <c r="AQ350" s="1803"/>
      <c r="AR350" s="1803"/>
      <c r="AS350" s="538"/>
      <c r="AT350" s="56"/>
      <c r="AU350" s="406"/>
      <c r="AV350" s="56"/>
      <c r="AW350" s="102"/>
    </row>
    <row r="351" spans="1:49" hidden="1" outlineLevel="1">
      <c r="A351" s="23" t="str">
        <f>+A343</f>
        <v>Express (Men's, Women's, and Dual Gender)</v>
      </c>
      <c r="N351" s="1806"/>
      <c r="O351" s="1806"/>
      <c r="P351" s="1806"/>
      <c r="Q351" s="1803">
        <f>+Q220</f>
        <v>0.79991749537144907</v>
      </c>
      <c r="R351" s="1803">
        <f t="shared" ref="R351:AC351" si="484">+R220</f>
        <v>0.46656956843702047</v>
      </c>
      <c r="S351" s="1803">
        <f t="shared" si="484"/>
        <v>0.49461027435167459</v>
      </c>
      <c r="T351" s="1803">
        <f t="shared" si="484"/>
        <v>1.5855936272700955</v>
      </c>
      <c r="U351" s="1803">
        <f t="shared" si="484"/>
        <v>1.3132949531509395</v>
      </c>
      <c r="V351" s="1803">
        <f t="shared" si="484"/>
        <v>0.1037863619001409</v>
      </c>
      <c r="W351" s="1803">
        <f t="shared" si="484"/>
        <v>0.90265555160200484</v>
      </c>
      <c r="X351" s="1803">
        <f t="shared" si="484"/>
        <v>0.22138614042467292</v>
      </c>
      <c r="Y351" s="1803">
        <f t="shared" si="484"/>
        <v>2.4154347620272732E-2</v>
      </c>
      <c r="Z351" s="1803">
        <f t="shared" si="484"/>
        <v>-8.7723914422427635E-2</v>
      </c>
      <c r="AA351" s="1803">
        <f t="shared" si="484"/>
        <v>1.0668940190932008</v>
      </c>
      <c r="AB351" s="1803">
        <f t="shared" si="484"/>
        <v>0.24471838010780181</v>
      </c>
      <c r="AC351" s="1803">
        <f t="shared" si="484"/>
        <v>0.77578043724176338</v>
      </c>
      <c r="AD351" s="1803">
        <f t="shared" ref="AD351:AI351" si="485">+AD220</f>
        <v>-0.54016870401438111</v>
      </c>
      <c r="AE351" s="1803">
        <f t="shared" si="485"/>
        <v>2.7455796903750669E-2</v>
      </c>
      <c r="AF351" s="1803">
        <f t="shared" si="485"/>
        <v>2.8862125505874227E-2</v>
      </c>
      <c r="AG351" s="1803">
        <f t="shared" si="485"/>
        <v>2.6214439819603415E-2</v>
      </c>
      <c r="AH351" s="1803">
        <f t="shared" si="485"/>
        <v>2.3300662752328314E-2</v>
      </c>
      <c r="AI351" s="1803">
        <f t="shared" si="485"/>
        <v>2.0478462974047464E-2</v>
      </c>
      <c r="AJ351" s="1803">
        <f>+AJ220</f>
        <v>0.27807685439071522</v>
      </c>
      <c r="AK351" s="1803">
        <f>+AK220</f>
        <v>1.5637222634788457E-2</v>
      </c>
      <c r="AL351" s="1803"/>
      <c r="AM351" s="1803"/>
      <c r="AN351" s="1803"/>
      <c r="AO351" s="1803"/>
      <c r="AP351" s="1803"/>
      <c r="AQ351" s="1803"/>
      <c r="AR351" s="1803"/>
      <c r="AS351" s="538"/>
      <c r="AT351" s="56"/>
      <c r="AU351" s="406"/>
      <c r="AV351" s="56"/>
      <c r="AW351" s="102"/>
    </row>
    <row r="352" spans="1:49" hidden="1" outlineLevel="1">
      <c r="A352" s="23" t="str">
        <f>+A344</f>
        <v>Limited Stores</v>
      </c>
      <c r="N352" s="1806"/>
      <c r="O352" s="1806"/>
      <c r="P352" s="1806"/>
      <c r="Q352" s="1804">
        <f>+Q267</f>
        <v>-0.5915880746839679</v>
      </c>
      <c r="R352" s="1804">
        <f t="shared" ref="R352:AC352" si="486">+R267</f>
        <v>0.54242550563532788</v>
      </c>
      <c r="S352" s="1804">
        <f t="shared" si="486"/>
        <v>0.43561056243141388</v>
      </c>
      <c r="T352" s="1804">
        <f t="shared" si="486"/>
        <v>0.44198249464121719</v>
      </c>
      <c r="U352" s="1804">
        <f t="shared" si="486"/>
        <v>0.82352176991689574</v>
      </c>
      <c r="V352" s="1804">
        <f t="shared" si="486"/>
        <v>0.62695026401508847</v>
      </c>
      <c r="W352" s="1804">
        <f t="shared" si="486"/>
        <v>0.73264862196551339</v>
      </c>
      <c r="X352" s="1804">
        <f t="shared" si="486"/>
        <v>0.66761166657068594</v>
      </c>
      <c r="Y352" s="1804">
        <f t="shared" si="486"/>
        <v>0.41318969196579619</v>
      </c>
      <c r="Z352" s="1804">
        <f t="shared" si="486"/>
        <v>0.50418522324996973</v>
      </c>
      <c r="AA352" s="1804">
        <f t="shared" si="486"/>
        <v>0.28160320311134784</v>
      </c>
      <c r="AB352" s="1804">
        <f t="shared" si="486"/>
        <v>0.43005220299119495</v>
      </c>
      <c r="AC352" s="1804">
        <f t="shared" si="486"/>
        <v>0.45931874460794664</v>
      </c>
      <c r="AD352" s="1804">
        <f t="shared" ref="AD352:AI352" si="487">+AD267</f>
        <v>0.17738790991935621</v>
      </c>
      <c r="AE352" s="1804">
        <f t="shared" si="487"/>
        <v>0.14508521687466708</v>
      </c>
      <c r="AF352" s="1804">
        <f t="shared" si="487"/>
        <v>0.16036937817174782</v>
      </c>
      <c r="AG352" s="1804">
        <f t="shared" si="487"/>
        <v>0.1462009148231633</v>
      </c>
      <c r="AH352" s="1804">
        <f t="shared" si="487"/>
        <v>0.13220557122623508</v>
      </c>
      <c r="AI352" s="1804">
        <f t="shared" si="487"/>
        <v>0.11838510438228189</v>
      </c>
      <c r="AJ352" s="1804">
        <f>+AJ267</f>
        <v>0.22118452446225692</v>
      </c>
      <c r="AK352" s="1804">
        <f>+AK267</f>
        <v>9.2584616374879136E-2</v>
      </c>
      <c r="AL352" s="1805"/>
      <c r="AM352" s="1805"/>
      <c r="AN352" s="1805"/>
      <c r="AO352" s="1805"/>
      <c r="AP352" s="1805"/>
      <c r="AQ352" s="1805"/>
      <c r="AR352" s="1805"/>
      <c r="AS352" s="538"/>
      <c r="AT352" s="56"/>
      <c r="AU352" s="406"/>
      <c r="AV352" s="56"/>
      <c r="AW352" s="102"/>
    </row>
    <row r="353" spans="1:49" hidden="1" outlineLevel="1">
      <c r="A353" s="482" t="str">
        <f>+A345</f>
        <v>Limited Brands</v>
      </c>
      <c r="N353" s="1806"/>
      <c r="O353" s="1806"/>
      <c r="P353" s="1806"/>
      <c r="Q353" s="1805">
        <f>+Q41</f>
        <v>1.8388585868895784</v>
      </c>
      <c r="R353" s="1805">
        <f t="shared" ref="R353:AC353" si="488">+R41</f>
        <v>1.3725154215642075</v>
      </c>
      <c r="S353" s="1805">
        <f t="shared" si="488"/>
        <v>3.0707797373311019</v>
      </c>
      <c r="T353" s="1805">
        <f t="shared" si="488"/>
        <v>-0.59071831008957132</v>
      </c>
      <c r="U353" s="1805">
        <f t="shared" si="488"/>
        <v>-7.8447952616746072E-2</v>
      </c>
      <c r="V353" s="1805">
        <f t="shared" si="488"/>
        <v>-0.7984096220623913</v>
      </c>
      <c r="W353" s="1805">
        <f t="shared" si="488"/>
        <v>-0.11818363136128313</v>
      </c>
      <c r="X353" s="1805">
        <f t="shared" si="488"/>
        <v>-0.11326157930742181</v>
      </c>
      <c r="Y353" s="1805">
        <f t="shared" si="488"/>
        <v>-3.4683402898325215E-2</v>
      </c>
      <c r="Z353" s="1805">
        <f t="shared" si="488"/>
        <v>-0.18424419002295231</v>
      </c>
      <c r="AA353" s="1805">
        <f t="shared" si="488"/>
        <v>-0.88207800362780864</v>
      </c>
      <c r="AB353" s="1805">
        <f t="shared" si="488"/>
        <v>8.243264036637429</v>
      </c>
      <c r="AC353" s="1805">
        <f t="shared" si="488"/>
        <v>-8.2798418334833673E-2</v>
      </c>
      <c r="AD353" s="1805">
        <f t="shared" ref="AD353:AI353" si="489">+AD41</f>
        <v>-0.31887212113991825</v>
      </c>
      <c r="AE353" s="1805">
        <f t="shared" si="489"/>
        <v>0.87431030117500941</v>
      </c>
      <c r="AF353" s="1805">
        <f t="shared" si="489"/>
        <v>6.0971826435342615</v>
      </c>
      <c r="AG353" s="1805">
        <f t="shared" si="489"/>
        <v>34.703035129882458</v>
      </c>
      <c r="AH353" s="1805">
        <f t="shared" si="489"/>
        <v>-13.188741480054469</v>
      </c>
      <c r="AI353" s="1805">
        <f t="shared" si="489"/>
        <v>1.1672210272094929</v>
      </c>
      <c r="AJ353" s="1805">
        <f>+AJ41</f>
        <v>0.84757156015040247</v>
      </c>
      <c r="AK353" s="1805">
        <f>+AK41</f>
        <v>0.67349470897497821</v>
      </c>
      <c r="AL353" s="1805"/>
      <c r="AM353" s="1805"/>
      <c r="AN353" s="1805"/>
      <c r="AO353" s="1805"/>
      <c r="AP353" s="1805"/>
      <c r="AQ353" s="1805"/>
      <c r="AR353" s="1805"/>
      <c r="AS353" s="538"/>
      <c r="AT353" s="56"/>
      <c r="AU353" s="406"/>
      <c r="AV353" s="56"/>
      <c r="AW353" s="102"/>
    </row>
    <row r="354" spans="1:49" hidden="1" outlineLevel="1">
      <c r="AS354" s="538"/>
      <c r="AT354" s="56"/>
      <c r="AU354" s="406"/>
      <c r="AV354" s="56"/>
      <c r="AW354" s="102"/>
    </row>
    <row r="355" spans="1:49" hidden="1" outlineLevel="1">
      <c r="A355" s="156" t="s">
        <v>712</v>
      </c>
      <c r="AS355" s="538"/>
      <c r="AT355" s="139"/>
      <c r="AU355" s="139"/>
      <c r="AV355" s="139"/>
      <c r="AW355" s="537"/>
    </row>
    <row r="356" spans="1:49" hidden="1" outlineLevel="1">
      <c r="A356" s="23" t="str">
        <f>+A341</f>
        <v>Victoria's Secret</v>
      </c>
      <c r="N356" s="1807"/>
      <c r="O356" s="1807"/>
      <c r="P356" s="1807">
        <f>+P90</f>
        <v>0.12</v>
      </c>
      <c r="Q356" s="1807">
        <f>+Q90</f>
        <v>-0.01</v>
      </c>
      <c r="R356" s="1807">
        <f>+R90</f>
        <v>0.05</v>
      </c>
      <c r="S356" s="1807">
        <f>+S90</f>
        <v>0.11</v>
      </c>
      <c r="T356" s="1807">
        <f t="shared" ref="T356:AC356" si="490">+T90</f>
        <v>0.04</v>
      </c>
      <c r="U356" s="1807">
        <f t="shared" si="490"/>
        <v>0.12</v>
      </c>
      <c r="V356" s="1807">
        <f t="shared" si="490"/>
        <v>0.05</v>
      </c>
      <c r="W356" s="1807">
        <f t="shared" si="490"/>
        <v>0</v>
      </c>
      <c r="X356" s="1807">
        <f t="shared" si="490"/>
        <v>0.06</v>
      </c>
      <c r="Y356" s="1807">
        <f t="shared" si="490"/>
        <v>0.04</v>
      </c>
      <c r="Z356" s="1807">
        <f t="shared" si="490"/>
        <v>0.09</v>
      </c>
      <c r="AA356" s="1807">
        <f t="shared" si="490"/>
        <v>0.01</v>
      </c>
      <c r="AB356" s="1807">
        <f t="shared" si="490"/>
        <v>0.11</v>
      </c>
      <c r="AC356" s="1807">
        <f t="shared" si="490"/>
        <v>-0.02</v>
      </c>
      <c r="AD356" s="1807">
        <f t="shared" ref="AD356:AI356" si="491">+AD90</f>
        <v>-8.4481990138451687E-2</v>
      </c>
      <c r="AE356" s="1807">
        <f t="shared" si="491"/>
        <v>-0.06</v>
      </c>
      <c r="AF356" s="1807">
        <f t="shared" si="491"/>
        <v>0.14000000000000001</v>
      </c>
      <c r="AG356" s="1807">
        <f t="shared" si="491"/>
        <v>0.13719500438212096</v>
      </c>
      <c r="AH356" s="1807">
        <f t="shared" si="491"/>
        <v>6.7862847399643988E-2</v>
      </c>
      <c r="AI356" s="1807">
        <f t="shared" si="491"/>
        <v>2.3932799130252706E-2</v>
      </c>
      <c r="AJ356" s="1807">
        <f>+AJ90</f>
        <v>3.1173488184417817E-2</v>
      </c>
      <c r="AK356" s="1807">
        <f>+AK90</f>
        <v>4.9491525423728817E-2</v>
      </c>
      <c r="AL356" s="1807"/>
      <c r="AM356" s="1807"/>
      <c r="AN356" s="1807"/>
      <c r="AO356" s="1807"/>
      <c r="AP356" s="1807"/>
      <c r="AQ356" s="1807"/>
      <c r="AR356" s="1807"/>
      <c r="AS356" s="538"/>
      <c r="AT356" s="139"/>
      <c r="AU356" s="139"/>
      <c r="AV356" s="139"/>
      <c r="AW356" s="537"/>
    </row>
    <row r="357" spans="1:49" hidden="1" outlineLevel="1">
      <c r="A357" s="23" t="str">
        <f>+A342</f>
        <v>Bath and Body Works</v>
      </c>
      <c r="N357" s="1807"/>
      <c r="O357" s="1807"/>
      <c r="P357" s="1807">
        <f>+P138</f>
        <v>0.39</v>
      </c>
      <c r="Q357" s="1807">
        <f>+Q138</f>
        <v>0.21</v>
      </c>
      <c r="R357" s="1807">
        <f t="shared" ref="R357:AC357" si="492">+R138</f>
        <v>0.11</v>
      </c>
      <c r="S357" s="1807">
        <f t="shared" si="492"/>
        <v>0.11</v>
      </c>
      <c r="T357" s="1807">
        <f t="shared" si="492"/>
        <v>7.0000000000000007E-2</v>
      </c>
      <c r="U357" s="1807">
        <f t="shared" si="492"/>
        <v>0.11</v>
      </c>
      <c r="V357" s="1807">
        <f t="shared" si="492"/>
        <v>0.01</v>
      </c>
      <c r="W357" s="1807">
        <f t="shared" si="492"/>
        <v>-0.11</v>
      </c>
      <c r="X357" s="1807">
        <f t="shared" si="492"/>
        <v>-0.03</v>
      </c>
      <c r="Y357" s="1807">
        <f t="shared" si="492"/>
        <v>0.08</v>
      </c>
      <c r="Z357" s="1807">
        <f t="shared" si="492"/>
        <v>0.12</v>
      </c>
      <c r="AA357" s="1807">
        <f t="shared" si="492"/>
        <v>0.04</v>
      </c>
      <c r="AB357" s="1807">
        <f t="shared" si="492"/>
        <v>0.1</v>
      </c>
      <c r="AC357" s="1807">
        <f t="shared" si="492"/>
        <v>-0.04</v>
      </c>
      <c r="AD357" s="1807">
        <f t="shared" ref="AD357:AI357" si="493">+AD138</f>
        <v>-9.5860484300081192E-2</v>
      </c>
      <c r="AE357" s="1807">
        <f t="shared" si="493"/>
        <v>-0.01</v>
      </c>
      <c r="AF357" s="1807">
        <f t="shared" si="493"/>
        <v>0.05</v>
      </c>
      <c r="AG357" s="1807">
        <f t="shared" si="493"/>
        <v>5.7756135901840526E-2</v>
      </c>
      <c r="AH357" s="1807">
        <f t="shared" si="493"/>
        <v>6.5503532306232862E-2</v>
      </c>
      <c r="AI357" s="1807">
        <f t="shared" si="493"/>
        <v>1.354765955153913E-2</v>
      </c>
      <c r="AJ357" s="1807">
        <f>+AJ138</f>
        <v>5.7094959441534823E-2</v>
      </c>
      <c r="AK357" s="1807">
        <f>+AK138</f>
        <v>5.4493836853743732E-2</v>
      </c>
      <c r="AL357" s="1807"/>
      <c r="AM357" s="1807"/>
      <c r="AN357" s="1807"/>
      <c r="AO357" s="1807"/>
      <c r="AP357" s="1807"/>
      <c r="AQ357" s="1807"/>
      <c r="AR357" s="1807"/>
      <c r="AS357" s="538"/>
      <c r="AT357" s="139"/>
      <c r="AU357" s="139"/>
      <c r="AV357" s="139"/>
      <c r="AW357" s="537"/>
    </row>
    <row r="358" spans="1:49" hidden="1" outlineLevel="1">
      <c r="A358" s="23" t="str">
        <f>+A343</f>
        <v>Express (Men's, Women's, and Dual Gender)</v>
      </c>
      <c r="N358" s="1808"/>
      <c r="O358" s="1808"/>
      <c r="P358" s="1807">
        <f t="shared" ref="P358:V358" si="494">+P212</f>
        <v>-3.0514159474377616E-2</v>
      </c>
      <c r="Q358" s="1807">
        <f t="shared" si="494"/>
        <v>-4.8254475451871379E-2</v>
      </c>
      <c r="R358" s="1807">
        <f t="shared" si="494"/>
        <v>-1.4500000000000006E-2</v>
      </c>
      <c r="S358" s="1807">
        <f t="shared" si="494"/>
        <v>-0.1073758471360432</v>
      </c>
      <c r="T358" s="1807">
        <f t="shared" si="494"/>
        <v>8.7999999999999995E-2</v>
      </c>
      <c r="U358" s="1807">
        <f t="shared" si="494"/>
        <v>0.05</v>
      </c>
      <c r="V358" s="1807">
        <f t="shared" si="494"/>
        <v>0.1</v>
      </c>
      <c r="W358" s="1807">
        <f t="shared" ref="W358:AC358" si="495">+W212</f>
        <v>-0.03</v>
      </c>
      <c r="X358" s="1807">
        <f t="shared" si="495"/>
        <v>0.02</v>
      </c>
      <c r="Y358" s="1807">
        <f t="shared" si="495"/>
        <v>0</v>
      </c>
      <c r="Z358" s="1807">
        <f t="shared" si="495"/>
        <v>-0.08</v>
      </c>
      <c r="AA358" s="1807">
        <f t="shared" si="495"/>
        <v>-2.5649490783887872E-3</v>
      </c>
      <c r="AB358" s="1807">
        <f t="shared" si="495"/>
        <v>-4.4796431838975328E-3</v>
      </c>
      <c r="AC358" s="1807">
        <f t="shared" si="495"/>
        <v>4.5540414524823623E-2</v>
      </c>
      <c r="AD358" s="1807">
        <f t="shared" ref="AD358:AI358" si="496">+AD212</f>
        <v>0.03</v>
      </c>
      <c r="AE358" s="1807">
        <f t="shared" si="496"/>
        <v>0.02</v>
      </c>
      <c r="AF358" s="1807">
        <f t="shared" si="496"/>
        <v>0.02</v>
      </c>
      <c r="AG358" s="1807">
        <f t="shared" si="496"/>
        <v>0.02</v>
      </c>
      <c r="AH358" s="1807">
        <f t="shared" si="496"/>
        <v>0.02</v>
      </c>
      <c r="AI358" s="1807">
        <f t="shared" si="496"/>
        <v>0.02</v>
      </c>
      <c r="AJ358" s="1807">
        <f>+AJ212</f>
        <v>0.02</v>
      </c>
      <c r="AK358" s="1807">
        <f>+AK212</f>
        <v>0.02</v>
      </c>
      <c r="AL358" s="1807"/>
      <c r="AM358" s="1807"/>
      <c r="AN358" s="1807"/>
      <c r="AO358" s="1807"/>
      <c r="AP358" s="1807"/>
      <c r="AQ358" s="1807"/>
      <c r="AR358" s="1807"/>
      <c r="AS358" s="538"/>
      <c r="AT358" s="139"/>
      <c r="AU358" s="139"/>
      <c r="AV358" s="139"/>
      <c r="AW358" s="537"/>
    </row>
    <row r="359" spans="1:49" hidden="1" outlineLevel="1">
      <c r="A359" s="23" t="str">
        <f>+A344</f>
        <v>Limited Stores</v>
      </c>
      <c r="N359" s="1808"/>
      <c r="O359" s="1808"/>
      <c r="P359" s="1809">
        <f>+P259</f>
        <v>-0.21</v>
      </c>
      <c r="Q359" s="1809">
        <f t="shared" ref="Q359:AC359" si="497">+Q259</f>
        <v>-0.04</v>
      </c>
      <c r="R359" s="1809">
        <f t="shared" si="497"/>
        <v>0.03</v>
      </c>
      <c r="S359" s="1809">
        <f t="shared" si="497"/>
        <v>-7.0000000000000007E-2</v>
      </c>
      <c r="T359" s="1809">
        <f t="shared" si="497"/>
        <v>0.01</v>
      </c>
      <c r="U359" s="1809">
        <f t="shared" si="497"/>
        <v>0.05</v>
      </c>
      <c r="V359" s="1809">
        <f t="shared" si="497"/>
        <v>0.05</v>
      </c>
      <c r="W359" s="1809">
        <f t="shared" si="497"/>
        <v>-0.02</v>
      </c>
      <c r="X359" s="1809">
        <f t="shared" si="497"/>
        <v>7.0000000000000007E-2</v>
      </c>
      <c r="Y359" s="1809">
        <f t="shared" si="497"/>
        <v>0</v>
      </c>
      <c r="Z359" s="1809">
        <f t="shared" si="497"/>
        <v>-0.05</v>
      </c>
      <c r="AA359" s="1809">
        <f t="shared" si="497"/>
        <v>-2.8848249169983679E-2</v>
      </c>
      <c r="AB359" s="1809">
        <f t="shared" si="497"/>
        <v>-4.1923388731252537E-2</v>
      </c>
      <c r="AC359" s="1809">
        <f t="shared" si="497"/>
        <v>3.2327424413106501E-2</v>
      </c>
      <c r="AD359" s="1809">
        <f t="shared" ref="AD359:AI359" si="498">+AD259</f>
        <v>0.02</v>
      </c>
      <c r="AE359" s="1809">
        <f t="shared" si="498"/>
        <v>0.02</v>
      </c>
      <c r="AF359" s="1809">
        <f t="shared" si="498"/>
        <v>0.02</v>
      </c>
      <c r="AG359" s="1809">
        <f t="shared" si="498"/>
        <v>0.02</v>
      </c>
      <c r="AH359" s="1809">
        <f t="shared" si="498"/>
        <v>0.02</v>
      </c>
      <c r="AI359" s="1809">
        <f t="shared" si="498"/>
        <v>0.02</v>
      </c>
      <c r="AJ359" s="1809">
        <f>+AJ259</f>
        <v>0.02</v>
      </c>
      <c r="AK359" s="1809">
        <f>+AK259</f>
        <v>0.02</v>
      </c>
      <c r="AL359" s="1808"/>
      <c r="AM359" s="1808"/>
      <c r="AN359" s="1808"/>
      <c r="AO359" s="1808"/>
      <c r="AP359" s="1808"/>
      <c r="AQ359" s="1808"/>
      <c r="AR359" s="1808"/>
      <c r="AS359" s="538"/>
      <c r="AT359" s="139"/>
      <c r="AU359" s="139"/>
      <c r="AV359" s="139"/>
      <c r="AW359" s="537"/>
    </row>
    <row r="360" spans="1:49" hidden="1" outlineLevel="1">
      <c r="A360" s="482" t="str">
        <f>+A345</f>
        <v>Limited Brands</v>
      </c>
      <c r="N360" s="1808"/>
      <c r="O360" s="1808"/>
      <c r="P360" s="1807">
        <f>+P39</f>
        <v>-0.03</v>
      </c>
      <c r="Q360" s="1807">
        <f t="shared" ref="Q360:AC360" si="499">+Q39</f>
        <v>-0.02</v>
      </c>
      <c r="R360" s="1807">
        <f t="shared" si="499"/>
        <v>0.03</v>
      </c>
      <c r="S360" s="1807">
        <f t="shared" si="499"/>
        <v>0</v>
      </c>
      <c r="T360" s="1807">
        <f t="shared" si="499"/>
        <v>0.06</v>
      </c>
      <c r="U360" s="1807">
        <f t="shared" si="499"/>
        <v>0.08</v>
      </c>
      <c r="V360" s="1807">
        <f t="shared" si="499"/>
        <v>0.05</v>
      </c>
      <c r="W360" s="1807">
        <f t="shared" si="499"/>
        <v>-0.03</v>
      </c>
      <c r="X360" s="1807">
        <f t="shared" si="499"/>
        <v>0.03</v>
      </c>
      <c r="Y360" s="1807">
        <f t="shared" si="499"/>
        <v>0.04</v>
      </c>
      <c r="Z360" s="1807">
        <f t="shared" si="499"/>
        <v>0.04</v>
      </c>
      <c r="AA360" s="1807">
        <f t="shared" si="499"/>
        <v>-0.01</v>
      </c>
      <c r="AB360" s="1807">
        <f t="shared" si="499"/>
        <v>7.0000000000000007E-2</v>
      </c>
      <c r="AC360" s="1807">
        <f t="shared" si="499"/>
        <v>-0.02</v>
      </c>
      <c r="AD360" s="1807">
        <f t="shared" ref="AD360:AI360" si="500">+AD39</f>
        <v>-0.09</v>
      </c>
      <c r="AE360" s="1807">
        <f t="shared" si="500"/>
        <v>-0.04</v>
      </c>
      <c r="AF360" s="1807">
        <f t="shared" si="500"/>
        <v>0.09</v>
      </c>
      <c r="AG360" s="1807">
        <f t="shared" si="500"/>
        <v>9.5188161934013527E-2</v>
      </c>
      <c r="AH360" s="1807">
        <f t="shared" si="500"/>
        <v>0.06</v>
      </c>
      <c r="AI360" s="1807">
        <f t="shared" si="500"/>
        <v>0.02</v>
      </c>
      <c r="AJ360" s="1807">
        <f>+AJ39</f>
        <v>0.04</v>
      </c>
      <c r="AK360" s="1807">
        <f>+AK39</f>
        <v>0.05</v>
      </c>
      <c r="AL360" s="1807"/>
      <c r="AM360" s="1807"/>
      <c r="AN360" s="1807"/>
      <c r="AO360" s="1807"/>
      <c r="AP360" s="1807"/>
      <c r="AQ360" s="1807"/>
      <c r="AR360" s="1807"/>
      <c r="AS360" s="538"/>
      <c r="AT360" s="139"/>
      <c r="AU360" s="139"/>
      <c r="AV360" s="139"/>
      <c r="AW360" s="537"/>
    </row>
    <row r="361" spans="1:49" hidden="1" outlineLevel="1">
      <c r="AS361" s="538"/>
      <c r="AT361" s="139"/>
      <c r="AU361" s="139"/>
      <c r="AV361" s="139"/>
      <c r="AW361" s="537"/>
    </row>
    <row r="362" spans="1:49" hidden="1" outlineLevel="1">
      <c r="A362" s="156" t="s">
        <v>543</v>
      </c>
      <c r="AS362" s="538"/>
      <c r="AT362" s="139"/>
      <c r="AU362" s="139"/>
      <c r="AV362" s="139"/>
      <c r="AW362" s="537"/>
    </row>
    <row r="363" spans="1:49" hidden="1" outlineLevel="1">
      <c r="A363" s="23" t="str">
        <f>+A317</f>
        <v>Victoria's Secret</v>
      </c>
      <c r="L363" s="1810"/>
      <c r="M363" s="1810">
        <f>+M82</f>
        <v>0.29548989113530322</v>
      </c>
      <c r="N363" s="1810">
        <f>+N82</f>
        <v>0.21788715486194477</v>
      </c>
      <c r="O363" s="1810">
        <f>+O82</f>
        <v>0.15623459832429787</v>
      </c>
      <c r="P363" s="1810">
        <f>+P82</f>
        <v>0.10230179028132991</v>
      </c>
      <c r="Q363" s="1810">
        <f>+Q82</f>
        <v>0.16550657385924206</v>
      </c>
      <c r="R363" s="1810">
        <f t="shared" ref="R363:AC363" si="501">+R82</f>
        <v>0.10351692103516941</v>
      </c>
      <c r="S363" s="1810">
        <f t="shared" si="501"/>
        <v>6.8851473241130501E-2</v>
      </c>
      <c r="T363" s="1810">
        <f t="shared" si="501"/>
        <v>4.1350210970463985E-2</v>
      </c>
      <c r="U363" s="1810">
        <f t="shared" si="501"/>
        <v>7.4014046461372329E-2</v>
      </c>
      <c r="V363" s="1810">
        <f t="shared" si="501"/>
        <v>5.8098591549295753E-2</v>
      </c>
      <c r="W363" s="1810">
        <f t="shared" si="501"/>
        <v>5.9662467316377477E-2</v>
      </c>
      <c r="X363" s="1810">
        <f t="shared" si="501"/>
        <v>4.5984746523104469E-2</v>
      </c>
      <c r="Y363" s="1810">
        <f t="shared" si="501"/>
        <v>1.5440703409822065E-2</v>
      </c>
      <c r="Z363" s="1810">
        <f t="shared" si="501"/>
        <v>2.8088701161562923E-2</v>
      </c>
      <c r="AA363" s="1810">
        <f t="shared" si="501"/>
        <v>2.7321281840591682E-2</v>
      </c>
      <c r="AB363" s="1810">
        <f t="shared" si="501"/>
        <v>2.4995000999800121E-2</v>
      </c>
      <c r="AC363" s="1810">
        <f t="shared" si="501"/>
        <v>9.227467811158796E-2</v>
      </c>
      <c r="AD363" s="1810">
        <f t="shared" ref="AD363:AI363" si="502">+AD82</f>
        <v>6.6797642436149163E-2</v>
      </c>
      <c r="AE363" s="1810">
        <f t="shared" si="502"/>
        <v>1.7579105976895937E-2</v>
      </c>
      <c r="AF363" s="1810">
        <f t="shared" si="502"/>
        <v>8.2263902599539751E-3</v>
      </c>
      <c r="AG363" s="1810">
        <f t="shared" si="502"/>
        <v>7.6697127937337406E-3</v>
      </c>
      <c r="AH363" s="1810">
        <f t="shared" si="502"/>
        <v>3.1093117408906856E-2</v>
      </c>
      <c r="AI363" s="1810">
        <f t="shared" si="502"/>
        <v>5.3871525051044644E-2</v>
      </c>
      <c r="AJ363" s="1810">
        <f>+AJ82</f>
        <v>4.4113263785394929E-2</v>
      </c>
      <c r="AK363" s="1810">
        <f>+AK82</f>
        <v>4.3248644019411975E-2</v>
      </c>
      <c r="AL363" s="1810"/>
      <c r="AM363" s="1810"/>
      <c r="AN363" s="1810"/>
      <c r="AO363" s="1810"/>
      <c r="AP363" s="1810"/>
      <c r="AQ363" s="1810"/>
      <c r="AR363" s="1810"/>
      <c r="AS363" s="538"/>
      <c r="AT363" s="139"/>
      <c r="AU363" s="139"/>
      <c r="AV363" s="139"/>
      <c r="AW363" s="537"/>
    </row>
    <row r="364" spans="1:49" hidden="1" outlineLevel="1">
      <c r="A364" s="23" t="str">
        <f>+A318</f>
        <v>Bath and Body Works</v>
      </c>
      <c r="L364" s="1810"/>
      <c r="M364" s="1810">
        <f>+M130</f>
        <v>3.125</v>
      </c>
      <c r="N364" s="1810">
        <f>+N130</f>
        <v>0.33333333333333326</v>
      </c>
      <c r="O364" s="1810">
        <f>+O130</f>
        <v>0.87878787878787867</v>
      </c>
      <c r="P364" s="1810">
        <f>+P130</f>
        <v>0.97177419354838701</v>
      </c>
      <c r="Q364" s="1810">
        <f>+Q130</f>
        <v>0.73415132924335369</v>
      </c>
      <c r="R364" s="1810">
        <f t="shared" ref="R364:AC364" si="503">+R130</f>
        <v>0.59669811320754729</v>
      </c>
      <c r="S364" s="1810">
        <f t="shared" si="503"/>
        <v>0.30945347119645472</v>
      </c>
      <c r="T364" s="1810">
        <f t="shared" si="503"/>
        <v>0.1799210377890581</v>
      </c>
      <c r="U364" s="1810">
        <f t="shared" si="503"/>
        <v>0.19024856596558326</v>
      </c>
      <c r="V364" s="1810">
        <f t="shared" si="503"/>
        <v>0.22048192771084341</v>
      </c>
      <c r="W364" s="1810">
        <f t="shared" si="503"/>
        <v>0.1395195788088186</v>
      </c>
      <c r="X364" s="1810">
        <f t="shared" si="503"/>
        <v>3.0320531331215594E-2</v>
      </c>
      <c r="Y364" s="1810">
        <f t="shared" si="503"/>
        <v>-7.2869955156951161E-3</v>
      </c>
      <c r="Z364" s="1810">
        <f t="shared" si="503"/>
        <v>3.9525691699604515E-3</v>
      </c>
      <c r="AA364" s="1810">
        <f t="shared" si="503"/>
        <v>3.937007874015741E-3</v>
      </c>
      <c r="AB364" s="1810">
        <f t="shared" si="503"/>
        <v>9.52380952380949E-3</v>
      </c>
      <c r="AC364" s="1810">
        <f t="shared" si="503"/>
        <v>4.6892341842397434E-2</v>
      </c>
      <c r="AD364" s="1810">
        <f t="shared" ref="AD364:AI364" si="504">+AD130</f>
        <v>3.6045587065995033E-2</v>
      </c>
      <c r="AE364" s="1810">
        <f t="shared" si="504"/>
        <v>6.3954975697109173E-3</v>
      </c>
      <c r="AF364" s="1810">
        <f t="shared" si="504"/>
        <v>4.5754956786985268E-3</v>
      </c>
      <c r="AG364" s="1810">
        <f t="shared" si="504"/>
        <v>-2.5303643724696734E-3</v>
      </c>
      <c r="AH364" s="1810">
        <f t="shared" si="504"/>
        <v>-1.2683916793505667E-2</v>
      </c>
      <c r="AI364" s="1810">
        <f t="shared" si="504"/>
        <v>-3.597122302158362E-3</v>
      </c>
      <c r="AJ364" s="1810">
        <f>+AJ130</f>
        <v>3.6101083032491488E-3</v>
      </c>
      <c r="AK364" s="1810">
        <f>+AK130</f>
        <v>2.5436793422404902E-2</v>
      </c>
      <c r="AL364" s="1810"/>
      <c r="AM364" s="1810"/>
      <c r="AN364" s="1810"/>
      <c r="AO364" s="1810"/>
      <c r="AP364" s="1810"/>
      <c r="AQ364" s="1810"/>
      <c r="AR364" s="1810"/>
      <c r="AS364" s="538"/>
      <c r="AT364" s="139"/>
      <c r="AU364" s="139"/>
      <c r="AV364" s="139"/>
      <c r="AW364" s="537"/>
    </row>
    <row r="365" spans="1:49" hidden="1" outlineLevel="1">
      <c r="A365" s="23" t="str">
        <f>+A319</f>
        <v>Express (Men's, Women's, and Dual Gender)</v>
      </c>
      <c r="L365" s="1810"/>
      <c r="M365" s="1810">
        <f>+M195</f>
        <v>0.43735035913806897</v>
      </c>
      <c r="N365" s="1810">
        <f>+N195</f>
        <v>0.26207662409772348</v>
      </c>
      <c r="O365" s="1810">
        <f>+O195</f>
        <v>0.16827980642322915</v>
      </c>
      <c r="P365" s="1810">
        <f>+P195</f>
        <v>0.15081905479194124</v>
      </c>
      <c r="Q365" s="1810">
        <f>+Q195</f>
        <v>7.6734293193717384E-2</v>
      </c>
      <c r="R365" s="1810">
        <f t="shared" ref="R365:AC365" si="505">+R195</f>
        <v>3.9811578787418256E-2</v>
      </c>
      <c r="S365" s="1810">
        <f t="shared" si="505"/>
        <v>5.6992547128451587E-3</v>
      </c>
      <c r="T365" s="1810">
        <f t="shared" si="505"/>
        <v>-3.6762569020633573E-2</v>
      </c>
      <c r="U365" s="1810">
        <f t="shared" si="505"/>
        <v>-3.3489214059435723E-2</v>
      </c>
      <c r="V365" s="1810">
        <f t="shared" si="505"/>
        <v>-3.652255345715627E-2</v>
      </c>
      <c r="W365" s="1810">
        <f t="shared" si="505"/>
        <v>-1.9277498785031599E-2</v>
      </c>
      <c r="X365" s="1810">
        <f t="shared" si="505"/>
        <v>-3.3366369342583524E-2</v>
      </c>
      <c r="Y365" s="1810">
        <f t="shared" si="505"/>
        <v>-3.8619275461380553E-2</v>
      </c>
      <c r="Z365" s="1810">
        <f t="shared" si="505"/>
        <v>-4.2303590472804964E-2</v>
      </c>
      <c r="AA365" s="1810">
        <f t="shared" si="505"/>
        <v>-6.9970304380104098E-2</v>
      </c>
      <c r="AB365" s="1810">
        <f t="shared" si="505"/>
        <v>-0.10037916583516249</v>
      </c>
      <c r="AC365" s="1810">
        <f t="shared" si="505"/>
        <v>-0.1222382431233362</v>
      </c>
      <c r="AD365" s="1810">
        <f t="shared" ref="AD365:AI365" si="506">+AD195</f>
        <v>-0.10237683063976044</v>
      </c>
      <c r="AE365" s="1810">
        <f t="shared" si="506"/>
        <v>-8.5701817362782817E-2</v>
      </c>
      <c r="AF365" s="1810">
        <f t="shared" si="506"/>
        <v>-9.1240819720088018E-2</v>
      </c>
      <c r="AG365" s="1810">
        <f t="shared" si="506"/>
        <v>-0.1004015383833422</v>
      </c>
      <c r="AH365" s="1810">
        <f t="shared" si="506"/>
        <v>-0.1116070587792154</v>
      </c>
      <c r="AI365" s="1810">
        <f t="shared" si="506"/>
        <v>-0.12562803417353907</v>
      </c>
      <c r="AJ365" s="1810">
        <f>+AJ195</f>
        <v>-0.14367802157837317</v>
      </c>
      <c r="AK365" s="1810">
        <f>+AK195</f>
        <v>-0.16778504487669554</v>
      </c>
      <c r="AL365" s="1810"/>
      <c r="AM365" s="1810"/>
      <c r="AN365" s="1810"/>
      <c r="AO365" s="1810"/>
      <c r="AP365" s="1810"/>
      <c r="AQ365" s="1810"/>
      <c r="AR365" s="1810"/>
      <c r="AS365" s="538"/>
      <c r="AT365" s="139"/>
      <c r="AU365" s="139"/>
      <c r="AV365" s="139"/>
      <c r="AW365" s="537"/>
    </row>
    <row r="366" spans="1:49" hidden="1" outlineLevel="1">
      <c r="A366" s="23" t="str">
        <f>+A320</f>
        <v>Limited Stores</v>
      </c>
      <c r="L366" s="1811"/>
      <c r="M366" s="1812">
        <f>+M251</f>
        <v>0.11372660238230292</v>
      </c>
      <c r="N366" s="1812">
        <f>+N251</f>
        <v>8.4033613445378075E-2</v>
      </c>
      <c r="O366" s="1812">
        <f>+O251</f>
        <v>5.2854122621564636E-2</v>
      </c>
      <c r="P366" s="1812">
        <f>+P251</f>
        <v>-2.7666220437304934E-2</v>
      </c>
      <c r="Q366" s="1812">
        <f>+Q251</f>
        <v>-3.3731069297842864E-2</v>
      </c>
      <c r="R366" s="1812">
        <f t="shared" ref="R366:AC366" si="507">+R251</f>
        <v>-5.5568748515792077E-2</v>
      </c>
      <c r="S366" s="1812">
        <f t="shared" si="507"/>
        <v>-4.7020367110887529E-2</v>
      </c>
      <c r="T366" s="1812">
        <f t="shared" si="507"/>
        <v>-0.11055408970976255</v>
      </c>
      <c r="U366" s="1812">
        <f t="shared" si="507"/>
        <v>-0.18451498071788786</v>
      </c>
      <c r="V366" s="1812">
        <f t="shared" si="507"/>
        <v>-0.11058566751546028</v>
      </c>
      <c r="W366" s="1812">
        <f t="shared" si="507"/>
        <v>-5.3987730061349604E-2</v>
      </c>
      <c r="X366" s="1812">
        <f t="shared" si="507"/>
        <v>-5.7933419801124209E-2</v>
      </c>
      <c r="Y366" s="1812">
        <f t="shared" si="507"/>
        <v>-3.6255162918769956E-2</v>
      </c>
      <c r="Z366" s="1812">
        <f t="shared" si="507"/>
        <v>-7.2380952380952435E-2</v>
      </c>
      <c r="AA366" s="1812">
        <f t="shared" si="507"/>
        <v>-0.11858316221765908</v>
      </c>
      <c r="AB366" s="1812">
        <f t="shared" si="507"/>
        <v>-0.12871287128712872</v>
      </c>
      <c r="AC366" s="1812">
        <f t="shared" si="507"/>
        <v>-0.15959224598930477</v>
      </c>
      <c r="AD366" s="1812">
        <f t="shared" ref="AD366:AI366" si="508">+AD251</f>
        <v>-0.10260489162855435</v>
      </c>
      <c r="AE366" s="1812">
        <f t="shared" si="508"/>
        <v>-7.8883226235320403E-2</v>
      </c>
      <c r="AF366" s="1812">
        <f t="shared" si="508"/>
        <v>-8.5638681741640688E-2</v>
      </c>
      <c r="AG366" s="1812">
        <f t="shared" si="508"/>
        <v>-9.3659563272822988E-2</v>
      </c>
      <c r="AH366" s="1812">
        <f t="shared" si="508"/>
        <v>-0.10333817126269951</v>
      </c>
      <c r="AI366" s="1812">
        <f t="shared" si="508"/>
        <v>-0.11524765296212369</v>
      </c>
      <c r="AJ366" s="1812">
        <f>+AJ251</f>
        <v>-0.13025978777899738</v>
      </c>
      <c r="AK366" s="1812">
        <f>+AK251</f>
        <v>-0.14976861590239798</v>
      </c>
      <c r="AL366" s="1811"/>
      <c r="AM366" s="1811"/>
      <c r="AN366" s="1811"/>
      <c r="AO366" s="1811"/>
      <c r="AP366" s="1811"/>
      <c r="AQ366" s="1811"/>
      <c r="AR366" s="1811"/>
      <c r="AS366" s="538"/>
      <c r="AT366" s="139"/>
      <c r="AU366" s="139"/>
      <c r="AV366" s="139"/>
      <c r="AW366" s="537"/>
    </row>
    <row r="367" spans="1:49" hidden="1" outlineLevel="1">
      <c r="A367" s="482" t="str">
        <f>+A322</f>
        <v>Limited Brands</v>
      </c>
      <c r="L367" s="1810"/>
      <c r="M367" s="1810">
        <f>+M31</f>
        <v>0.19678974600188148</v>
      </c>
      <c r="N367" s="1810">
        <f>+N31</f>
        <v>0.12321296978629315</v>
      </c>
      <c r="O367" s="1810">
        <f>+O31</f>
        <v>6.8363731793728011E-2</v>
      </c>
      <c r="P367" s="1810">
        <f>+P31</f>
        <v>4.9168918365675829E-2</v>
      </c>
      <c r="Q367" s="1810">
        <f>+Q31</f>
        <v>6.9301908143754254E-2</v>
      </c>
      <c r="R367" s="1810">
        <f t="shared" ref="R367:AC367" si="509">+R31</f>
        <v>3.6565339561362098E-2</v>
      </c>
      <c r="S367" s="1810">
        <f t="shared" si="509"/>
        <v>-1.7602534765004396E-4</v>
      </c>
      <c r="T367" s="1810">
        <f t="shared" si="509"/>
        <v>-7.3380281690140881E-2</v>
      </c>
      <c r="U367" s="1810">
        <f t="shared" si="509"/>
        <v>-0.10351117191062476</v>
      </c>
      <c r="V367" s="1810">
        <f t="shared" si="509"/>
        <v>-1.559850796880291E-2</v>
      </c>
      <c r="W367" s="1810">
        <f t="shared" si="509"/>
        <v>-0.13253530830175675</v>
      </c>
      <c r="X367" s="1810">
        <f t="shared" si="509"/>
        <v>-0.19105529633674179</v>
      </c>
      <c r="Y367" s="1810">
        <f t="shared" si="509"/>
        <v>-1.5892495551328323E-2</v>
      </c>
      <c r="Z367" s="1810">
        <f t="shared" si="509"/>
        <v>-1.4777403666292765E-2</v>
      </c>
      <c r="AA367" s="1810">
        <f t="shared" si="509"/>
        <v>-2.9681665717359529E-2</v>
      </c>
      <c r="AB367" s="1810">
        <f t="shared" si="509"/>
        <v>-3.6590138272893258E-2</v>
      </c>
      <c r="AC367" s="1810">
        <f t="shared" si="509"/>
        <v>-0.302010696635299</v>
      </c>
      <c r="AD367" s="1810">
        <f t="shared" ref="AD367:AI367" si="510">+AD31</f>
        <v>5.7032007759456826E-2</v>
      </c>
      <c r="AE367" s="1810">
        <f t="shared" si="510"/>
        <v>3.3033584143880024E-3</v>
      </c>
      <c r="AF367" s="1810">
        <f t="shared" si="510"/>
        <v>3.7497713554051071E-3</v>
      </c>
      <c r="AG367" s="1810">
        <f t="shared" si="510"/>
        <v>-3.0068337129840472E-3</v>
      </c>
      <c r="AH367" s="1810">
        <f t="shared" si="510"/>
        <v>-8.4993602632059684E-3</v>
      </c>
      <c r="AI367" s="1810">
        <f t="shared" si="510"/>
        <v>2.9495806065075181E-2</v>
      </c>
      <c r="AJ367" s="1810">
        <f>+AJ31</f>
        <v>3.2858805622705711E-2</v>
      </c>
      <c r="AK367" s="1810">
        <f>+AK31</f>
        <v>3.1726768377253745E-2</v>
      </c>
      <c r="AL367" s="1810"/>
      <c r="AM367" s="1810"/>
      <c r="AN367" s="1810"/>
      <c r="AO367" s="1810"/>
      <c r="AP367" s="1810"/>
      <c r="AQ367" s="1810"/>
      <c r="AR367" s="1810"/>
      <c r="AS367" s="539"/>
      <c r="AT367" s="137"/>
      <c r="AU367" s="137"/>
      <c r="AV367" s="137"/>
      <c r="AW367" s="540"/>
    </row>
    <row r="368" spans="1:49" hidden="1" outlineLevel="1">
      <c r="A368" s="156"/>
    </row>
    <row r="369" spans="1:49" hidden="1" outlineLevel="1"/>
    <row r="370" spans="1:49" hidden="1" outlineLevel="1"/>
    <row r="371" spans="1:49" hidden="1" outlineLevel="1">
      <c r="A371" s="48" t="str">
        <f>+A1</f>
        <v>Limited Brands, Inc. -- Consolidated Company</v>
      </c>
      <c r="B371" s="48"/>
      <c r="C371" s="48"/>
      <c r="D371" s="48"/>
      <c r="E371" s="48"/>
      <c r="F371" s="48"/>
      <c r="G371" s="48"/>
      <c r="H371" s="48"/>
      <c r="I371" s="48"/>
      <c r="J371" s="48"/>
      <c r="K371" s="48"/>
      <c r="L371" s="48"/>
      <c r="M371" s="48"/>
      <c r="N371" s="48"/>
      <c r="O371" s="48"/>
      <c r="P371" s="48"/>
      <c r="Q371" s="48"/>
      <c r="R371" s="48"/>
      <c r="S371" s="48"/>
      <c r="T371" s="48"/>
      <c r="U371" s="48"/>
      <c r="V371" s="48"/>
      <c r="W371" s="48"/>
      <c r="X371" s="48"/>
      <c r="Y371" s="48"/>
      <c r="Z371" s="48"/>
      <c r="AA371" s="48"/>
      <c r="AB371" s="48"/>
      <c r="AC371" s="48"/>
      <c r="AD371" s="48"/>
      <c r="AE371" s="48"/>
      <c r="AF371" s="48"/>
      <c r="AG371" s="48"/>
      <c r="AH371" s="48"/>
      <c r="AI371" s="48"/>
      <c r="AJ371" s="48"/>
      <c r="AK371" s="48"/>
      <c r="AL371" s="48"/>
      <c r="AM371" s="48"/>
      <c r="AN371" s="48"/>
      <c r="AO371" s="48"/>
      <c r="AP371" s="48"/>
      <c r="AQ371" s="48"/>
      <c r="AR371" s="48"/>
      <c r="AS371" s="48"/>
      <c r="AT371" s="48"/>
      <c r="AU371" s="48"/>
      <c r="AV371" s="48"/>
      <c r="AW371" s="48"/>
    </row>
    <row r="372" spans="1:49" hidden="1" outlineLevel="1">
      <c r="A372" s="26" t="s">
        <v>713</v>
      </c>
      <c r="B372" s="26"/>
      <c r="C372" s="26"/>
      <c r="D372" s="26"/>
      <c r="E372" s="26"/>
      <c r="F372" s="26"/>
      <c r="G372" s="26"/>
      <c r="H372" s="26"/>
      <c r="I372" s="26"/>
      <c r="J372" s="26"/>
      <c r="K372" s="26"/>
      <c r="L372" s="26"/>
      <c r="M372" s="26"/>
      <c r="N372" s="26"/>
      <c r="O372" s="26"/>
      <c r="P372" s="26"/>
      <c r="Q372" s="26"/>
      <c r="R372" s="26"/>
      <c r="S372" s="26"/>
      <c r="T372" s="26"/>
      <c r="U372" s="26"/>
      <c r="V372" s="26"/>
      <c r="W372" s="26"/>
      <c r="X372" s="26"/>
      <c r="Y372" s="26"/>
      <c r="Z372" s="26"/>
      <c r="AA372" s="26"/>
      <c r="AB372" s="26"/>
      <c r="AC372" s="26"/>
      <c r="AD372" s="26"/>
      <c r="AE372" s="26"/>
      <c r="AF372" s="26"/>
      <c r="AG372" s="26"/>
      <c r="AH372" s="26"/>
      <c r="AI372" s="26"/>
      <c r="AJ372" s="26"/>
      <c r="AK372" s="26"/>
      <c r="AL372" s="26"/>
      <c r="AM372" s="26"/>
      <c r="AN372" s="26"/>
      <c r="AO372" s="26"/>
      <c r="AP372" s="26"/>
      <c r="AQ372" s="26"/>
      <c r="AR372" s="26"/>
      <c r="AS372" s="26"/>
      <c r="AT372" s="26"/>
      <c r="AU372" s="26"/>
      <c r="AV372" s="26"/>
      <c r="AW372" s="26"/>
    </row>
    <row r="373" spans="1:49" hidden="1" outlineLevel="1">
      <c r="A373" s="48"/>
      <c r="B373" s="48"/>
      <c r="C373" s="48"/>
      <c r="D373" s="48"/>
      <c r="E373" s="48"/>
      <c r="F373" s="48"/>
      <c r="G373" s="48"/>
      <c r="H373" s="48"/>
      <c r="I373" s="48"/>
      <c r="J373" s="48"/>
      <c r="K373" s="48"/>
      <c r="L373" s="48"/>
      <c r="M373" s="48"/>
      <c r="N373" s="48"/>
      <c r="O373" s="48"/>
      <c r="P373" s="48"/>
      <c r="Q373" s="48"/>
      <c r="R373" s="48"/>
      <c r="S373" s="48"/>
      <c r="T373" s="48"/>
      <c r="U373" s="48"/>
      <c r="V373" s="48"/>
      <c r="W373" s="48"/>
      <c r="X373" s="48"/>
      <c r="Y373" s="48"/>
      <c r="Z373" s="48"/>
      <c r="AA373" s="48"/>
      <c r="AB373" s="48"/>
      <c r="AC373" s="48"/>
      <c r="AD373" s="48"/>
      <c r="AE373" s="48"/>
      <c r="AF373" s="48"/>
      <c r="AG373" s="48"/>
      <c r="AH373" s="48"/>
      <c r="AI373" s="48"/>
      <c r="AJ373" s="48"/>
      <c r="AK373" s="48"/>
      <c r="AL373" s="48"/>
      <c r="AM373" s="48"/>
      <c r="AN373" s="48"/>
      <c r="AO373" s="48"/>
      <c r="AP373" s="48"/>
      <c r="AQ373" s="48"/>
      <c r="AR373" s="48"/>
      <c r="AS373" s="636"/>
      <c r="AT373" s="126"/>
      <c r="AU373" s="109" t="str">
        <f>+AU4</f>
        <v>CAGR</v>
      </c>
      <c r="AV373" s="126"/>
      <c r="AW373" s="642"/>
    </row>
    <row r="374" spans="1:49" hidden="1" outlineLevel="1">
      <c r="A374" s="516"/>
      <c r="B374" s="47">
        <f t="shared" ref="B374:Q374" si="511">+B5</f>
        <v>1980</v>
      </c>
      <c r="C374" s="47">
        <f t="shared" si="511"/>
        <v>1981</v>
      </c>
      <c r="D374" s="47">
        <f t="shared" si="511"/>
        <v>1982</v>
      </c>
      <c r="E374" s="47">
        <f t="shared" si="511"/>
        <v>1983</v>
      </c>
      <c r="F374" s="47">
        <f t="shared" si="511"/>
        <v>1984</v>
      </c>
      <c r="G374" s="47">
        <f t="shared" si="511"/>
        <v>1985</v>
      </c>
      <c r="H374" s="47">
        <f t="shared" si="511"/>
        <v>1986</v>
      </c>
      <c r="I374" s="47">
        <f t="shared" si="511"/>
        <v>1987</v>
      </c>
      <c r="J374" s="47">
        <f t="shared" si="511"/>
        <v>1988</v>
      </c>
      <c r="K374" s="47">
        <f t="shared" si="511"/>
        <v>1989</v>
      </c>
      <c r="L374" s="47">
        <f t="shared" si="511"/>
        <v>1990</v>
      </c>
      <c r="M374" s="47">
        <f t="shared" si="511"/>
        <v>1991</v>
      </c>
      <c r="N374" s="47">
        <f t="shared" si="511"/>
        <v>1992</v>
      </c>
      <c r="O374" s="47">
        <f t="shared" si="511"/>
        <v>1993</v>
      </c>
      <c r="P374" s="47">
        <f t="shared" si="511"/>
        <v>1994</v>
      </c>
      <c r="Q374" s="47">
        <f t="shared" si="511"/>
        <v>1995</v>
      </c>
      <c r="R374" s="47">
        <f t="shared" ref="R374:AC374" si="512">+R5</f>
        <v>1996</v>
      </c>
      <c r="S374" s="47">
        <f t="shared" si="512"/>
        <v>1997</v>
      </c>
      <c r="T374" s="47">
        <f t="shared" si="512"/>
        <v>1998</v>
      </c>
      <c r="U374" s="47">
        <f t="shared" si="512"/>
        <v>1999</v>
      </c>
      <c r="V374" s="47">
        <f t="shared" si="512"/>
        <v>2000</v>
      </c>
      <c r="W374" s="47">
        <f t="shared" si="512"/>
        <v>2001</v>
      </c>
      <c r="X374" s="47">
        <f t="shared" si="512"/>
        <v>2002</v>
      </c>
      <c r="Y374" s="53">
        <f t="shared" si="512"/>
        <v>2003</v>
      </c>
      <c r="Z374" s="55">
        <f t="shared" si="512"/>
        <v>2004</v>
      </c>
      <c r="AA374" s="586">
        <f t="shared" si="512"/>
        <v>2005</v>
      </c>
      <c r="AB374" s="586">
        <f t="shared" si="512"/>
        <v>2006</v>
      </c>
      <c r="AC374" s="55">
        <f t="shared" si="512"/>
        <v>2007</v>
      </c>
      <c r="AD374" s="55">
        <f t="shared" ref="AD374:AI374" si="513">+AD5</f>
        <v>2008</v>
      </c>
      <c r="AE374" s="55">
        <f t="shared" si="513"/>
        <v>2009</v>
      </c>
      <c r="AF374" s="55">
        <f t="shared" si="513"/>
        <v>2010</v>
      </c>
      <c r="AG374" s="55">
        <f t="shared" si="513"/>
        <v>2011</v>
      </c>
      <c r="AH374" s="55">
        <f t="shared" si="513"/>
        <v>2012</v>
      </c>
      <c r="AI374" s="55">
        <f t="shared" si="513"/>
        <v>2013</v>
      </c>
      <c r="AJ374" s="55">
        <f t="shared" ref="AJ374:AO374" si="514">+AJ5</f>
        <v>2014</v>
      </c>
      <c r="AK374" s="55">
        <f t="shared" si="514"/>
        <v>2015</v>
      </c>
      <c r="AL374" s="55">
        <f t="shared" si="514"/>
        <v>2016</v>
      </c>
      <c r="AM374" s="55">
        <f t="shared" si="514"/>
        <v>2017</v>
      </c>
      <c r="AN374" s="55">
        <f t="shared" si="514"/>
        <v>2018</v>
      </c>
      <c r="AO374" s="55">
        <f t="shared" si="514"/>
        <v>2019</v>
      </c>
      <c r="AP374" s="55">
        <f>+AP5</f>
        <v>2020</v>
      </c>
      <c r="AQ374" s="55">
        <f>+AQ5</f>
        <v>2021</v>
      </c>
      <c r="AR374" s="55">
        <f>+AR5</f>
        <v>2022</v>
      </c>
      <c r="AS374" s="639">
        <f>+AS67</f>
        <v>0</v>
      </c>
      <c r="AT374" s="109" t="str">
        <f>+AT5</f>
        <v>10-15E</v>
      </c>
      <c r="AU374" s="57"/>
      <c r="AV374" s="109" t="str">
        <f>+AV5</f>
        <v>15-20E</v>
      </c>
      <c r="AW374" s="111"/>
    </row>
    <row r="375" spans="1:49" hidden="1" outlineLevel="1">
      <c r="AS375" s="538"/>
      <c r="AT375" s="139"/>
      <c r="AU375" s="139"/>
      <c r="AV375" s="139"/>
      <c r="AW375" s="537"/>
    </row>
    <row r="376" spans="1:49" hidden="1" outlineLevel="1">
      <c r="A376" s="23" t="s">
        <v>1160</v>
      </c>
      <c r="B376" s="1813"/>
      <c r="C376" s="1813"/>
      <c r="D376" s="1813"/>
      <c r="E376" s="1813"/>
      <c r="F376" s="1813"/>
      <c r="G376" s="1813"/>
      <c r="H376" s="1813"/>
      <c r="I376" s="1813"/>
      <c r="J376" s="1813"/>
      <c r="K376" s="1418"/>
      <c r="L376" s="1418">
        <f t="shared" ref="L376:AC376" si="515">+L71</f>
        <v>442</v>
      </c>
      <c r="M376" s="1418">
        <f t="shared" si="515"/>
        <v>507</v>
      </c>
      <c r="N376" s="1418">
        <f t="shared" si="515"/>
        <v>545</v>
      </c>
      <c r="O376" s="1418">
        <f t="shared" si="515"/>
        <v>570</v>
      </c>
      <c r="P376" s="1418">
        <f t="shared" si="515"/>
        <v>601</v>
      </c>
      <c r="Q376" s="1418">
        <f t="shared" si="515"/>
        <v>671</v>
      </c>
      <c r="R376" s="1418">
        <f t="shared" si="515"/>
        <v>736</v>
      </c>
      <c r="S376" s="1418">
        <f t="shared" si="515"/>
        <v>789</v>
      </c>
      <c r="T376" s="1418">
        <f t="shared" si="515"/>
        <v>829</v>
      </c>
      <c r="U376" s="1418">
        <f t="shared" si="515"/>
        <v>896</v>
      </c>
      <c r="V376" s="1418">
        <f t="shared" si="515"/>
        <v>958</v>
      </c>
      <c r="W376" s="1418">
        <f t="shared" si="515"/>
        <v>1002</v>
      </c>
      <c r="X376" s="1418">
        <f t="shared" si="515"/>
        <v>1014</v>
      </c>
      <c r="Y376" s="1418">
        <f t="shared" si="515"/>
        <v>1009</v>
      </c>
      <c r="Z376" s="1418">
        <f t="shared" si="515"/>
        <v>1001</v>
      </c>
      <c r="AA376" s="1418">
        <f t="shared" si="515"/>
        <v>998</v>
      </c>
      <c r="AB376" s="1418">
        <f t="shared" si="515"/>
        <v>1003</v>
      </c>
      <c r="AC376" s="1418">
        <f t="shared" si="515"/>
        <v>1020</v>
      </c>
      <c r="AD376" s="1418">
        <f t="shared" ref="AD376:AI376" si="516">+AD71</f>
        <v>1043</v>
      </c>
      <c r="AE376" s="1418">
        <f t="shared" si="516"/>
        <v>1044</v>
      </c>
      <c r="AF376" s="1418">
        <f t="shared" si="516"/>
        <v>1040</v>
      </c>
      <c r="AG376" s="1418">
        <f t="shared" si="516"/>
        <v>1036</v>
      </c>
      <c r="AH376" s="1418">
        <f t="shared" si="516"/>
        <v>1047</v>
      </c>
      <c r="AI376" s="1418">
        <f t="shared" si="516"/>
        <v>1094</v>
      </c>
      <c r="AJ376" s="1418">
        <f t="shared" ref="AJ376:AO376" si="517">+AJ71</f>
        <v>1127</v>
      </c>
      <c r="AK376" s="1418">
        <f t="shared" si="517"/>
        <v>1133</v>
      </c>
      <c r="AL376" s="1418">
        <f t="shared" si="517"/>
        <v>1146</v>
      </c>
      <c r="AM376" s="1418">
        <f t="shared" si="517"/>
        <v>1137</v>
      </c>
      <c r="AN376" s="1418">
        <f t="shared" si="517"/>
        <v>1131</v>
      </c>
      <c r="AO376" s="1418">
        <f t="shared" si="517"/>
        <v>1126</v>
      </c>
      <c r="AP376" s="1418">
        <f>+AP71</f>
        <v>1121</v>
      </c>
      <c r="AQ376" s="1418">
        <f>+AQ71</f>
        <v>1116</v>
      </c>
      <c r="AR376" s="1418">
        <f>+AR71</f>
        <v>1111</v>
      </c>
      <c r="AS376" s="538"/>
      <c r="AT376" s="56">
        <f t="shared" ref="AT376:AT391" si="518">((AF376/AA376)^(1/5)-1)*100</f>
        <v>0.8278623003975083</v>
      </c>
      <c r="AU376" s="97" t="s">
        <v>1084</v>
      </c>
      <c r="AV376" s="56">
        <f t="shared" ref="AV376:AV391" si="519">((AK376/AF376)^(1/5)-1)*100</f>
        <v>1.7277207609109668</v>
      </c>
      <c r="AW376" s="100" t="s">
        <v>1084</v>
      </c>
    </row>
    <row r="377" spans="1:49" hidden="1" outlineLevel="1">
      <c r="A377" s="23" t="s">
        <v>606</v>
      </c>
      <c r="K377" s="1813"/>
      <c r="L377" s="1813">
        <f>+L119</f>
        <v>27</v>
      </c>
      <c r="M377" s="1813">
        <f t="shared" ref="M377:AC377" si="520">+M119</f>
        <v>95</v>
      </c>
      <c r="N377" s="1813">
        <f t="shared" si="520"/>
        <v>121</v>
      </c>
      <c r="O377" s="1813">
        <f t="shared" si="520"/>
        <v>194</v>
      </c>
      <c r="P377" s="1813">
        <f t="shared" si="520"/>
        <v>318</v>
      </c>
      <c r="Q377" s="1813">
        <f t="shared" si="520"/>
        <v>498</v>
      </c>
      <c r="R377" s="1813">
        <f t="shared" si="520"/>
        <v>750</v>
      </c>
      <c r="S377" s="1813">
        <f t="shared" si="520"/>
        <v>921</v>
      </c>
      <c r="T377" s="1418">
        <f t="shared" si="520"/>
        <v>1061</v>
      </c>
      <c r="U377" s="1418">
        <f t="shared" si="520"/>
        <v>1214</v>
      </c>
      <c r="V377" s="1418">
        <f t="shared" si="520"/>
        <v>1432</v>
      </c>
      <c r="W377" s="1418">
        <f t="shared" si="520"/>
        <v>1615</v>
      </c>
      <c r="X377" s="1418">
        <f t="shared" si="520"/>
        <v>1639</v>
      </c>
      <c r="Y377" s="1418">
        <f t="shared" si="520"/>
        <v>1604</v>
      </c>
      <c r="Z377" s="1418">
        <f t="shared" si="520"/>
        <v>1569</v>
      </c>
      <c r="AA377" s="1418">
        <f t="shared" si="520"/>
        <v>1555</v>
      </c>
      <c r="AB377" s="1418">
        <f t="shared" si="520"/>
        <v>1546</v>
      </c>
      <c r="AC377" s="1418">
        <f t="shared" si="520"/>
        <v>1592</v>
      </c>
      <c r="AD377" s="1418">
        <f t="shared" ref="AD377:AI377" si="521">+AD119</f>
        <v>1644</v>
      </c>
      <c r="AE377" s="1418">
        <f t="shared" si="521"/>
        <v>1658</v>
      </c>
      <c r="AF377" s="1418">
        <f t="shared" si="521"/>
        <v>1665</v>
      </c>
      <c r="AG377" s="1418">
        <f t="shared" si="521"/>
        <v>1656</v>
      </c>
      <c r="AH377" s="1418">
        <f t="shared" si="521"/>
        <v>1642</v>
      </c>
      <c r="AI377" s="1418">
        <f t="shared" si="521"/>
        <v>1638</v>
      </c>
      <c r="AJ377" s="1418">
        <f t="shared" ref="AJ377:AO377" si="522">+AJ119</f>
        <v>1646</v>
      </c>
      <c r="AK377" s="1418">
        <f t="shared" si="522"/>
        <v>1672</v>
      </c>
      <c r="AL377" s="1418">
        <f t="shared" si="522"/>
        <v>1693</v>
      </c>
      <c r="AM377" s="1418">
        <f t="shared" si="522"/>
        <v>1694</v>
      </c>
      <c r="AN377" s="1418">
        <f t="shared" si="522"/>
        <v>1724</v>
      </c>
      <c r="AO377" s="1418">
        <f t="shared" si="522"/>
        <v>1724</v>
      </c>
      <c r="AP377" s="1418">
        <f>+AP119</f>
        <v>1724</v>
      </c>
      <c r="AQ377" s="1418">
        <f>+AQ119</f>
        <v>1714</v>
      </c>
      <c r="AR377" s="1418">
        <f>+AR119</f>
        <v>1704</v>
      </c>
      <c r="AS377" s="538"/>
      <c r="AT377" s="56">
        <f t="shared" si="518"/>
        <v>1.3763776056658683</v>
      </c>
      <c r="AU377" s="97" t="s">
        <v>1084</v>
      </c>
      <c r="AV377" s="56">
        <f t="shared" si="519"/>
        <v>8.3943037065181692E-2</v>
      </c>
      <c r="AW377" s="100" t="s">
        <v>1084</v>
      </c>
    </row>
    <row r="378" spans="1:49" hidden="1" outlineLevel="1">
      <c r="A378" s="23" t="s">
        <v>379</v>
      </c>
      <c r="L378" s="1813">
        <f>+L184</f>
        <v>549</v>
      </c>
      <c r="M378" s="1813">
        <f t="shared" ref="M378:AC378" si="523">+M184</f>
        <v>611</v>
      </c>
      <c r="N378" s="1813">
        <f t="shared" si="523"/>
        <v>640</v>
      </c>
      <c r="O378" s="1813">
        <f t="shared" si="523"/>
        <v>673</v>
      </c>
      <c r="P378" s="1813">
        <f t="shared" si="523"/>
        <v>716</v>
      </c>
      <c r="Q378" s="1813">
        <f t="shared" si="523"/>
        <v>737</v>
      </c>
      <c r="R378" s="1813">
        <f t="shared" si="523"/>
        <v>753</v>
      </c>
      <c r="S378" s="1813">
        <f t="shared" si="523"/>
        <v>753</v>
      </c>
      <c r="T378" s="1813">
        <f t="shared" si="523"/>
        <v>702</v>
      </c>
      <c r="U378" s="1813">
        <f t="shared" si="523"/>
        <v>688</v>
      </c>
      <c r="V378" s="1813">
        <f t="shared" si="523"/>
        <v>667</v>
      </c>
      <c r="W378" s="1813">
        <f t="shared" si="523"/>
        <v>667</v>
      </c>
      <c r="X378" s="1813">
        <f t="shared" si="523"/>
        <v>624</v>
      </c>
      <c r="Y378" s="1813">
        <f t="shared" si="523"/>
        <v>562</v>
      </c>
      <c r="Z378" s="1813">
        <f t="shared" si="523"/>
        <v>468</v>
      </c>
      <c r="AA378" s="1813">
        <f t="shared" si="523"/>
        <v>326.99999999999994</v>
      </c>
      <c r="AB378" s="1813">
        <f t="shared" si="523"/>
        <v>194.99999999999994</v>
      </c>
      <c r="AC378" s="1813">
        <f t="shared" si="523"/>
        <v>74.999999999999943</v>
      </c>
      <c r="AD378" s="1813">
        <f t="shared" ref="AD378:AE380" si="524">+AD184</f>
        <v>36.999999999999943</v>
      </c>
      <c r="AE378" s="1813">
        <f t="shared" si="524"/>
        <v>0.99999999999994316</v>
      </c>
      <c r="AF378" s="1813">
        <f t="shared" ref="AF378:AG380" si="525">+AF184</f>
        <v>-35.000000000000057</v>
      </c>
      <c r="AG378" s="1813">
        <f t="shared" si="525"/>
        <v>-71.000000000000057</v>
      </c>
      <c r="AH378" s="1813">
        <f t="shared" ref="AH378:AK380" si="526">+AH184</f>
        <v>-107.00000000000006</v>
      </c>
      <c r="AI378" s="1813">
        <f t="shared" si="526"/>
        <v>-143.00000000000006</v>
      </c>
      <c r="AJ378" s="1813">
        <f t="shared" si="526"/>
        <v>-179.00000000000006</v>
      </c>
      <c r="AK378" s="1813">
        <f t="shared" si="526"/>
        <v>-215.00000000000006</v>
      </c>
      <c r="AL378" s="1813">
        <f t="shared" ref="AL378:AN380" si="527">+AL184</f>
        <v>0</v>
      </c>
      <c r="AM378" s="1813">
        <f t="shared" si="527"/>
        <v>0</v>
      </c>
      <c r="AN378" s="1813">
        <f t="shared" si="527"/>
        <v>0</v>
      </c>
      <c r="AO378" s="1813">
        <f t="shared" ref="AO378:AP380" si="528">+AO184</f>
        <v>0</v>
      </c>
      <c r="AP378" s="1813">
        <f t="shared" si="528"/>
        <v>0</v>
      </c>
      <c r="AQ378" s="1813">
        <f t="shared" ref="AQ378:AR380" si="529">+AQ184</f>
        <v>0</v>
      </c>
      <c r="AR378" s="1813">
        <f t="shared" si="529"/>
        <v>0</v>
      </c>
      <c r="AS378" s="538"/>
      <c r="AT378" s="635" t="s">
        <v>886</v>
      </c>
      <c r="AU378" s="97" t="s">
        <v>1084</v>
      </c>
      <c r="AV378" s="635" t="s">
        <v>886</v>
      </c>
      <c r="AW378" s="100" t="s">
        <v>1084</v>
      </c>
    </row>
    <row r="379" spans="1:49" hidden="1" outlineLevel="1">
      <c r="A379" s="23" t="s">
        <v>380</v>
      </c>
      <c r="L379" s="1813">
        <f>+L185</f>
        <v>152</v>
      </c>
      <c r="M379" s="1813">
        <f t="shared" ref="M379:AC379" si="530">+M185</f>
        <v>240</v>
      </c>
      <c r="N379" s="1813">
        <f t="shared" si="530"/>
        <v>330</v>
      </c>
      <c r="O379" s="1813">
        <f t="shared" si="530"/>
        <v>394</v>
      </c>
      <c r="P379" s="1813">
        <f t="shared" si="530"/>
        <v>466</v>
      </c>
      <c r="Q379" s="1813">
        <f t="shared" si="530"/>
        <v>518</v>
      </c>
      <c r="R379" s="1813">
        <f t="shared" si="530"/>
        <v>542</v>
      </c>
      <c r="S379" s="1813">
        <f t="shared" si="530"/>
        <v>544</v>
      </c>
      <c r="T379" s="1813">
        <f t="shared" si="530"/>
        <v>532</v>
      </c>
      <c r="U379" s="1813">
        <f t="shared" si="530"/>
        <v>499</v>
      </c>
      <c r="V379" s="1813">
        <f t="shared" si="530"/>
        <v>469</v>
      </c>
      <c r="W379" s="1813">
        <f t="shared" si="530"/>
        <v>439</v>
      </c>
      <c r="X379" s="1813">
        <f t="shared" si="530"/>
        <v>358</v>
      </c>
      <c r="Y379" s="1813">
        <f t="shared" si="530"/>
        <v>290</v>
      </c>
      <c r="Z379" s="1813">
        <f t="shared" si="530"/>
        <v>223</v>
      </c>
      <c r="AA379" s="1813">
        <f t="shared" si="530"/>
        <v>113</v>
      </c>
      <c r="AB379" s="1813">
        <f t="shared" si="530"/>
        <v>69</v>
      </c>
      <c r="AC379" s="1813">
        <f t="shared" si="530"/>
        <v>39</v>
      </c>
      <c r="AD379" s="1813">
        <f t="shared" si="524"/>
        <v>4</v>
      </c>
      <c r="AE379" s="1813">
        <f t="shared" si="524"/>
        <v>-31</v>
      </c>
      <c r="AF379" s="1813">
        <f t="shared" si="525"/>
        <v>-66</v>
      </c>
      <c r="AG379" s="1813">
        <f t="shared" si="525"/>
        <v>-101</v>
      </c>
      <c r="AH379" s="1813">
        <f t="shared" si="526"/>
        <v>-136</v>
      </c>
      <c r="AI379" s="1813">
        <f t="shared" si="526"/>
        <v>-171</v>
      </c>
      <c r="AJ379" s="1813">
        <f t="shared" si="526"/>
        <v>-206</v>
      </c>
      <c r="AK379" s="1813">
        <f t="shared" si="526"/>
        <v>-241</v>
      </c>
      <c r="AL379" s="1813">
        <f t="shared" si="527"/>
        <v>0</v>
      </c>
      <c r="AM379" s="1813">
        <f t="shared" si="527"/>
        <v>0</v>
      </c>
      <c r="AN379" s="1813">
        <f t="shared" si="527"/>
        <v>0</v>
      </c>
      <c r="AO379" s="1813">
        <f t="shared" si="528"/>
        <v>0</v>
      </c>
      <c r="AP379" s="1813">
        <f t="shared" si="528"/>
        <v>0</v>
      </c>
      <c r="AQ379" s="1813">
        <f t="shared" si="529"/>
        <v>0</v>
      </c>
      <c r="AR379" s="1813">
        <f t="shared" si="529"/>
        <v>0</v>
      </c>
      <c r="AS379" s="538"/>
      <c r="AT379" s="635" t="s">
        <v>886</v>
      </c>
      <c r="AU379" s="97" t="s">
        <v>1084</v>
      </c>
      <c r="AV379" s="635" t="s">
        <v>886</v>
      </c>
      <c r="AW379" s="100" t="s">
        <v>1084</v>
      </c>
    </row>
    <row r="380" spans="1:49" hidden="1" outlineLevel="1">
      <c r="A380" s="23" t="s">
        <v>381</v>
      </c>
      <c r="L380" s="1813">
        <f>+L186</f>
        <v>0</v>
      </c>
      <c r="M380" s="1813">
        <f t="shared" ref="M380:AC380" si="531">+M186</f>
        <v>0</v>
      </c>
      <c r="N380" s="1813">
        <f t="shared" si="531"/>
        <v>0</v>
      </c>
      <c r="O380" s="1813">
        <f t="shared" si="531"/>
        <v>0</v>
      </c>
      <c r="P380" s="1813">
        <f t="shared" si="531"/>
        <v>0</v>
      </c>
      <c r="Q380" s="1813">
        <f t="shared" si="531"/>
        <v>0</v>
      </c>
      <c r="R380" s="1813">
        <f t="shared" si="531"/>
        <v>0</v>
      </c>
      <c r="S380" s="1813">
        <f t="shared" si="531"/>
        <v>0</v>
      </c>
      <c r="T380" s="1813">
        <f t="shared" si="531"/>
        <v>0</v>
      </c>
      <c r="U380" s="1813">
        <f t="shared" si="531"/>
        <v>0</v>
      </c>
      <c r="V380" s="1813">
        <f t="shared" si="531"/>
        <v>0</v>
      </c>
      <c r="W380" s="1813">
        <f t="shared" si="531"/>
        <v>0</v>
      </c>
      <c r="X380" s="1813">
        <f t="shared" si="531"/>
        <v>49</v>
      </c>
      <c r="Y380" s="1813">
        <f t="shared" si="531"/>
        <v>104</v>
      </c>
      <c r="Z380" s="1813">
        <f t="shared" si="531"/>
        <v>193</v>
      </c>
      <c r="AA380" s="1813">
        <f t="shared" si="531"/>
        <v>303</v>
      </c>
      <c r="AB380" s="1813">
        <f t="shared" si="531"/>
        <v>394</v>
      </c>
      <c r="AC380" s="1813">
        <f t="shared" si="531"/>
        <v>469</v>
      </c>
      <c r="AD380" s="1813">
        <f t="shared" si="524"/>
        <v>476</v>
      </c>
      <c r="AE380" s="1813">
        <f t="shared" si="524"/>
        <v>485</v>
      </c>
      <c r="AF380" s="1813">
        <f t="shared" si="525"/>
        <v>494</v>
      </c>
      <c r="AG380" s="1813">
        <f t="shared" si="525"/>
        <v>503</v>
      </c>
      <c r="AH380" s="1813">
        <f t="shared" si="526"/>
        <v>512</v>
      </c>
      <c r="AI380" s="1813">
        <f t="shared" si="526"/>
        <v>521</v>
      </c>
      <c r="AJ380" s="1813">
        <f t="shared" si="526"/>
        <v>530</v>
      </c>
      <c r="AK380" s="1813">
        <f t="shared" si="526"/>
        <v>539</v>
      </c>
      <c r="AL380" s="1813">
        <f t="shared" si="527"/>
        <v>0</v>
      </c>
      <c r="AM380" s="1813">
        <f t="shared" si="527"/>
        <v>0</v>
      </c>
      <c r="AN380" s="1813">
        <f t="shared" si="527"/>
        <v>0</v>
      </c>
      <c r="AO380" s="1813">
        <f t="shared" si="528"/>
        <v>0</v>
      </c>
      <c r="AP380" s="1813">
        <f t="shared" si="528"/>
        <v>0</v>
      </c>
      <c r="AQ380" s="1813">
        <f t="shared" si="529"/>
        <v>0</v>
      </c>
      <c r="AR380" s="1813">
        <f t="shared" si="529"/>
        <v>0</v>
      </c>
      <c r="AS380" s="538"/>
      <c r="AT380" s="56">
        <f t="shared" si="518"/>
        <v>10.269870383559176</v>
      </c>
      <c r="AU380" s="97" t="s">
        <v>1084</v>
      </c>
      <c r="AV380" s="56">
        <f t="shared" si="519"/>
        <v>1.758890531064905</v>
      </c>
      <c r="AW380" s="100" t="s">
        <v>1084</v>
      </c>
    </row>
    <row r="381" spans="1:49" hidden="1" outlineLevel="1">
      <c r="A381" s="23" t="s">
        <v>674</v>
      </c>
      <c r="L381" s="1814">
        <f>+L240</f>
        <v>778</v>
      </c>
      <c r="M381" s="1814">
        <f t="shared" ref="M381:AC381" si="532">+M240</f>
        <v>773</v>
      </c>
      <c r="N381" s="1814">
        <f t="shared" si="532"/>
        <v>759</v>
      </c>
      <c r="O381" s="1814">
        <f t="shared" si="532"/>
        <v>746</v>
      </c>
      <c r="P381" s="1814">
        <f t="shared" si="532"/>
        <v>709</v>
      </c>
      <c r="Q381" s="1814">
        <f t="shared" si="532"/>
        <v>689</v>
      </c>
      <c r="R381" s="1814">
        <f t="shared" si="532"/>
        <v>663</v>
      </c>
      <c r="S381" s="1814">
        <f t="shared" si="532"/>
        <v>629</v>
      </c>
      <c r="T381" s="1814">
        <f t="shared" si="532"/>
        <v>551</v>
      </c>
      <c r="U381" s="1814">
        <f t="shared" si="532"/>
        <v>443</v>
      </c>
      <c r="V381" s="1814">
        <f t="shared" si="532"/>
        <v>389</v>
      </c>
      <c r="W381" s="1814">
        <f t="shared" si="532"/>
        <v>368</v>
      </c>
      <c r="X381" s="1814">
        <f t="shared" si="532"/>
        <v>351</v>
      </c>
      <c r="Y381" s="1814">
        <f t="shared" si="532"/>
        <v>341</v>
      </c>
      <c r="Z381" s="1814">
        <f t="shared" si="532"/>
        <v>323</v>
      </c>
      <c r="AA381" s="1814">
        <f t="shared" si="532"/>
        <v>292</v>
      </c>
      <c r="AB381" s="1814">
        <f t="shared" si="532"/>
        <v>260</v>
      </c>
      <c r="AC381" s="1814">
        <f t="shared" si="532"/>
        <v>233</v>
      </c>
      <c r="AD381" s="1814">
        <f t="shared" ref="AD381:AI381" si="533">+AD240</f>
        <v>220</v>
      </c>
      <c r="AE381" s="1814">
        <f t="shared" si="533"/>
        <v>212</v>
      </c>
      <c r="AF381" s="1814">
        <f t="shared" si="533"/>
        <v>204</v>
      </c>
      <c r="AG381" s="1814">
        <f t="shared" si="533"/>
        <v>196</v>
      </c>
      <c r="AH381" s="1814">
        <f t="shared" si="533"/>
        <v>188</v>
      </c>
      <c r="AI381" s="1814">
        <f t="shared" si="533"/>
        <v>180</v>
      </c>
      <c r="AJ381" s="1814">
        <f t="shared" ref="AJ381:AO381" si="534">+AJ240</f>
        <v>172</v>
      </c>
      <c r="AK381" s="1814">
        <f t="shared" si="534"/>
        <v>164</v>
      </c>
      <c r="AL381" s="1814">
        <f t="shared" si="534"/>
        <v>0</v>
      </c>
      <c r="AM381" s="1814">
        <f t="shared" si="534"/>
        <v>0</v>
      </c>
      <c r="AN381" s="1814">
        <f t="shared" si="534"/>
        <v>0</v>
      </c>
      <c r="AO381" s="1814">
        <f t="shared" si="534"/>
        <v>0</v>
      </c>
      <c r="AP381" s="1814">
        <f>+AP240</f>
        <v>0</v>
      </c>
      <c r="AQ381" s="1814">
        <f>+AQ240</f>
        <v>0</v>
      </c>
      <c r="AR381" s="1814">
        <f>+AR240</f>
        <v>0</v>
      </c>
      <c r="AS381" s="538"/>
      <c r="AT381" s="56">
        <f t="shared" si="518"/>
        <v>-6.9214812755094108</v>
      </c>
      <c r="AU381" s="97" t="s">
        <v>1084</v>
      </c>
      <c r="AV381" s="56">
        <f t="shared" si="519"/>
        <v>-4.2711732763637267</v>
      </c>
      <c r="AW381" s="100" t="s">
        <v>1084</v>
      </c>
    </row>
    <row r="382" spans="1:49" hidden="1" outlineLevel="1">
      <c r="A382" s="23" t="s">
        <v>770</v>
      </c>
      <c r="L382" s="1814">
        <f>+'store&amp;sf'!V20</f>
        <v>4</v>
      </c>
      <c r="M382" s="1814">
        <f>+'store&amp;sf'!V26</f>
        <v>4</v>
      </c>
      <c r="N382" s="1814">
        <f>+'store&amp;sf'!V32</f>
        <v>4</v>
      </c>
      <c r="O382" s="1814">
        <f>+'store&amp;sf'!V38</f>
        <v>4</v>
      </c>
      <c r="P382" s="1814">
        <f>+'store&amp;sf'!V44</f>
        <v>4</v>
      </c>
      <c r="Q382" s="1814">
        <f>+'store&amp;sf'!V50</f>
        <v>4</v>
      </c>
      <c r="R382" s="1814">
        <f>+'store&amp;sf'!V56</f>
        <v>6</v>
      </c>
      <c r="S382" s="1814">
        <f>+'store&amp;sf'!V62</f>
        <v>6</v>
      </c>
      <c r="T382" s="1814">
        <f>+'store&amp;sf'!V68</f>
        <v>1</v>
      </c>
      <c r="U382" s="1814">
        <f>+'store&amp;sf'!V74</f>
        <v>1</v>
      </c>
      <c r="V382" s="1814">
        <f>+'store&amp;sf'!V80</f>
        <v>1</v>
      </c>
      <c r="W382" s="1814">
        <f>+'store&amp;sf'!V86</f>
        <v>1</v>
      </c>
      <c r="X382" s="1814">
        <f>+'store&amp;sf'!$V92</f>
        <v>1</v>
      </c>
      <c r="Y382" s="1814">
        <f>+'store&amp;sf'!$V98</f>
        <v>1</v>
      </c>
      <c r="Z382" s="1814">
        <f>+'store&amp;sf'!$V104</f>
        <v>2</v>
      </c>
      <c r="AA382" s="1814">
        <f>+'store&amp;sf'!$V110</f>
        <v>2</v>
      </c>
      <c r="AB382" s="1815">
        <f>'store&amp;sf'!$V$116</f>
        <v>2</v>
      </c>
      <c r="AC382" s="1815">
        <f>'store&amp;sf'!$V$122</f>
        <v>2</v>
      </c>
      <c r="AD382" s="1815">
        <f>'store&amp;sf'!$V$128</f>
        <v>5</v>
      </c>
      <c r="AE382" s="1815">
        <f>'store&amp;sf'!$V$134</f>
        <v>11</v>
      </c>
      <c r="AF382" s="1815">
        <f>'store&amp;sf'!$V$140</f>
        <v>11</v>
      </c>
      <c r="AG382" s="1815">
        <f>'store&amp;sf'!$V$146</f>
        <v>19</v>
      </c>
      <c r="AH382" s="1815">
        <f>'store&amp;sf'!$V$152</f>
        <v>29</v>
      </c>
      <c r="AI382" s="1815">
        <f>'store&amp;sf'!$V$158</f>
        <v>29</v>
      </c>
      <c r="AJ382" s="1815">
        <f>'store&amp;sf'!$V$164</f>
        <v>29</v>
      </c>
      <c r="AK382" s="1816">
        <f t="shared" ref="AK382:AR382" si="535">AJ382</f>
        <v>29</v>
      </c>
      <c r="AL382" s="1816">
        <f t="shared" si="535"/>
        <v>29</v>
      </c>
      <c r="AM382" s="1816">
        <f t="shared" si="535"/>
        <v>29</v>
      </c>
      <c r="AN382" s="1816">
        <f t="shared" si="535"/>
        <v>29</v>
      </c>
      <c r="AO382" s="1816">
        <f t="shared" si="535"/>
        <v>29</v>
      </c>
      <c r="AP382" s="1816">
        <f t="shared" si="535"/>
        <v>29</v>
      </c>
      <c r="AQ382" s="1816">
        <f t="shared" si="535"/>
        <v>29</v>
      </c>
      <c r="AR382" s="1816">
        <f t="shared" si="535"/>
        <v>29</v>
      </c>
      <c r="AS382" s="538"/>
      <c r="AT382" s="56">
        <f t="shared" si="518"/>
        <v>40.628238838763522</v>
      </c>
      <c r="AU382" s="97" t="s">
        <v>1084</v>
      </c>
      <c r="AV382" s="56">
        <f t="shared" si="519"/>
        <v>21.395073542319597</v>
      </c>
      <c r="AW382" s="100" t="s">
        <v>1084</v>
      </c>
    </row>
    <row r="383" spans="1:49" hidden="1" outlineLevel="1">
      <c r="A383" s="23" t="s">
        <v>6</v>
      </c>
      <c r="L383" s="1817">
        <f>+SUM(L384:L390)</f>
        <v>1803</v>
      </c>
      <c r="M383" s="1817">
        <f t="shared" ref="M383:AC383" si="536">+SUM(M384:M390)</f>
        <v>1964</v>
      </c>
      <c r="N383" s="1817">
        <f t="shared" si="536"/>
        <v>2026</v>
      </c>
      <c r="O383" s="1817">
        <f t="shared" si="536"/>
        <v>2042</v>
      </c>
      <c r="P383" s="1817">
        <f t="shared" si="536"/>
        <v>2053</v>
      </c>
      <c r="Q383" s="1817">
        <f t="shared" si="536"/>
        <v>2181</v>
      </c>
      <c r="R383" s="1817">
        <f t="shared" si="536"/>
        <v>2183</v>
      </c>
      <c r="S383" s="1817">
        <f t="shared" si="536"/>
        <v>1998</v>
      </c>
      <c r="T383" s="1817">
        <f t="shared" si="536"/>
        <v>1706</v>
      </c>
      <c r="U383" s="1817">
        <f t="shared" si="536"/>
        <v>1282</v>
      </c>
      <c r="V383" s="1817">
        <f t="shared" si="536"/>
        <v>1213</v>
      </c>
      <c r="W383" s="1817">
        <f t="shared" si="536"/>
        <v>522</v>
      </c>
      <c r="X383" s="1817">
        <f t="shared" si="536"/>
        <v>0</v>
      </c>
      <c r="Y383" s="1817">
        <f t="shared" si="536"/>
        <v>0</v>
      </c>
      <c r="Z383" s="1817">
        <f t="shared" si="536"/>
        <v>0</v>
      </c>
      <c r="AA383" s="1817">
        <f t="shared" si="536"/>
        <v>0</v>
      </c>
      <c r="AB383" s="1817">
        <f t="shared" si="536"/>
        <v>0</v>
      </c>
      <c r="AC383" s="1817">
        <f t="shared" si="536"/>
        <v>0</v>
      </c>
      <c r="AD383" s="1817">
        <f t="shared" ref="AD383:AI383" si="537">+SUM(AD384:AD390)</f>
        <v>0</v>
      </c>
      <c r="AE383" s="1817">
        <f t="shared" si="537"/>
        <v>0</v>
      </c>
      <c r="AF383" s="1817">
        <f t="shared" si="537"/>
        <v>0</v>
      </c>
      <c r="AG383" s="1817">
        <f t="shared" si="537"/>
        <v>0</v>
      </c>
      <c r="AH383" s="1817">
        <f t="shared" si="537"/>
        <v>0</v>
      </c>
      <c r="AI383" s="1817">
        <f t="shared" si="537"/>
        <v>0</v>
      </c>
      <c r="AJ383" s="1817">
        <f t="shared" ref="AJ383:AO383" si="538">+SUM(AJ384:AJ390)</f>
        <v>0</v>
      </c>
      <c r="AK383" s="1817">
        <f t="shared" si="538"/>
        <v>0</v>
      </c>
      <c r="AL383" s="1817">
        <f t="shared" si="538"/>
        <v>0</v>
      </c>
      <c r="AM383" s="1817">
        <f t="shared" si="538"/>
        <v>0</v>
      </c>
      <c r="AN383" s="1817">
        <f t="shared" si="538"/>
        <v>0</v>
      </c>
      <c r="AO383" s="1817">
        <f t="shared" si="538"/>
        <v>0</v>
      </c>
      <c r="AP383" s="1817">
        <f>+SUM(AP384:AP390)</f>
        <v>0</v>
      </c>
      <c r="AQ383" s="1817">
        <f>+SUM(AQ384:AQ390)</f>
        <v>0</v>
      </c>
      <c r="AR383" s="1817">
        <f>+SUM(AR384:AR390)</f>
        <v>0</v>
      </c>
      <c r="AS383" s="538"/>
      <c r="AT383" s="635" t="s">
        <v>886</v>
      </c>
      <c r="AU383" s="97" t="s">
        <v>1084</v>
      </c>
      <c r="AV383" s="635" t="s">
        <v>886</v>
      </c>
      <c r="AW383" s="100" t="s">
        <v>1084</v>
      </c>
    </row>
    <row r="384" spans="1:49" hidden="1" outlineLevel="1">
      <c r="A384" s="484" t="s">
        <v>1161</v>
      </c>
      <c r="L384" s="1814">
        <f>+'store&amp;sf'!AB20</f>
        <v>858</v>
      </c>
      <c r="M384" s="1814">
        <f>+'store&amp;sf'!AB26</f>
        <v>910</v>
      </c>
      <c r="N384" s="1814">
        <f>+'store&amp;sf'!AB32</f>
        <v>915</v>
      </c>
      <c r="O384" s="1814">
        <f>+'store&amp;sf'!AB38</f>
        <v>877</v>
      </c>
      <c r="P384" s="1814">
        <f>+'store&amp;sf'!AB44</f>
        <v>846</v>
      </c>
      <c r="Q384" s="1814">
        <f>+'store&amp;sf'!AB50</f>
        <v>835</v>
      </c>
      <c r="R384" s="1814">
        <f>+'store&amp;sf'!AB56</f>
        <v>784</v>
      </c>
      <c r="S384" s="1814">
        <f>+'store&amp;sf'!AB62</f>
        <v>746</v>
      </c>
      <c r="T384" s="1814">
        <f>+'store&amp;sf'!AB68</f>
        <v>643</v>
      </c>
      <c r="U384" s="1814">
        <f>+'store&amp;sf'!AB74</f>
        <v>594</v>
      </c>
      <c r="V384" s="1814">
        <f>+'store&amp;sf'!AB80</f>
        <v>560</v>
      </c>
      <c r="W384" s="1814">
        <f>+'store&amp;sf'!AB86</f>
        <v>522</v>
      </c>
      <c r="X384" s="1814">
        <f>+'store&amp;sf'!AB92</f>
        <v>0</v>
      </c>
      <c r="Y384" s="1815">
        <f>+'store&amp;sf'!AB98</f>
        <v>0</v>
      </c>
      <c r="Z384" s="1816">
        <v>0</v>
      </c>
      <c r="AA384" s="1816">
        <v>0</v>
      </c>
      <c r="AB384" s="1816">
        <v>0</v>
      </c>
      <c r="AC384" s="1816">
        <v>0</v>
      </c>
      <c r="AD384" s="1816">
        <v>0</v>
      </c>
      <c r="AE384" s="1816">
        <v>0</v>
      </c>
      <c r="AF384" s="1816">
        <v>0</v>
      </c>
      <c r="AG384" s="1816">
        <v>0</v>
      </c>
      <c r="AH384" s="1816">
        <v>0</v>
      </c>
      <c r="AI384" s="1816">
        <v>0</v>
      </c>
      <c r="AJ384" s="1816">
        <v>0</v>
      </c>
      <c r="AK384" s="1816">
        <v>0</v>
      </c>
      <c r="AL384" s="1816">
        <v>0</v>
      </c>
      <c r="AM384" s="1816">
        <v>0</v>
      </c>
      <c r="AN384" s="1816">
        <v>0</v>
      </c>
      <c r="AO384" s="1816">
        <v>0</v>
      </c>
      <c r="AP384" s="1816">
        <v>0</v>
      </c>
      <c r="AQ384" s="1816">
        <v>0</v>
      </c>
      <c r="AR384" s="1816">
        <v>0</v>
      </c>
      <c r="AS384" s="538"/>
      <c r="AT384" s="56" t="e">
        <f t="shared" si="518"/>
        <v>#DIV/0!</v>
      </c>
      <c r="AU384" s="97" t="s">
        <v>1084</v>
      </c>
      <c r="AV384" s="56" t="e">
        <f t="shared" si="519"/>
        <v>#DIV/0!</v>
      </c>
      <c r="AW384" s="100" t="s">
        <v>1084</v>
      </c>
    </row>
    <row r="385" spans="1:49" hidden="1" outlineLevel="1">
      <c r="A385" s="484" t="s">
        <v>114</v>
      </c>
      <c r="L385" s="1814">
        <f>+'store&amp;sf'!AD20</f>
        <v>752</v>
      </c>
      <c r="M385" s="1814">
        <f>+'store&amp;sf'!AD26</f>
        <v>786</v>
      </c>
      <c r="N385" s="1814">
        <f>+'store&amp;sf'!AD32</f>
        <v>809</v>
      </c>
      <c r="O385" s="1814">
        <f>+'store&amp;sf'!AD38</f>
        <v>817</v>
      </c>
      <c r="P385" s="1814">
        <f>+'store&amp;sf'!AD44</f>
        <v>812</v>
      </c>
      <c r="Q385" s="1814">
        <f>+'store&amp;sf'!AD50</f>
        <v>828</v>
      </c>
      <c r="R385" s="1814">
        <f>+'store&amp;sf'!AD56</f>
        <v>832</v>
      </c>
      <c r="S385" s="1814">
        <f>+'store&amp;sf'!AD62</f>
        <v>773</v>
      </c>
      <c r="T385" s="1814">
        <f>+'store&amp;sf'!AD68</f>
        <v>730</v>
      </c>
      <c r="U385" s="1814">
        <f>+'store&amp;sf'!AD74</f>
        <v>688</v>
      </c>
      <c r="V385" s="1814">
        <f>+'store&amp;sf'!AD80</f>
        <v>653</v>
      </c>
      <c r="W385" s="1814">
        <f>+'store&amp;sf'!AD86</f>
        <v>0</v>
      </c>
      <c r="X385" s="1814">
        <f>+'store&amp;sf'!AD92</f>
        <v>0</v>
      </c>
      <c r="Y385" s="1816">
        <v>0</v>
      </c>
      <c r="Z385" s="1816">
        <v>0</v>
      </c>
      <c r="AA385" s="1816">
        <v>0</v>
      </c>
      <c r="AB385" s="1816">
        <v>0</v>
      </c>
      <c r="AC385" s="1816">
        <v>0</v>
      </c>
      <c r="AD385" s="1816">
        <v>0</v>
      </c>
      <c r="AE385" s="1816">
        <v>0</v>
      </c>
      <c r="AF385" s="1816">
        <v>0</v>
      </c>
      <c r="AG385" s="1816">
        <v>0</v>
      </c>
      <c r="AH385" s="1816">
        <v>0</v>
      </c>
      <c r="AI385" s="1816">
        <v>0</v>
      </c>
      <c r="AJ385" s="1816">
        <v>0</v>
      </c>
      <c r="AK385" s="1816">
        <v>0</v>
      </c>
      <c r="AL385" s="1816">
        <v>0</v>
      </c>
      <c r="AM385" s="1816">
        <v>0</v>
      </c>
      <c r="AN385" s="1816">
        <v>0</v>
      </c>
      <c r="AO385" s="1816">
        <v>0</v>
      </c>
      <c r="AP385" s="1816">
        <v>0</v>
      </c>
      <c r="AQ385" s="1816">
        <v>0</v>
      </c>
      <c r="AR385" s="1816">
        <v>0</v>
      </c>
      <c r="AS385" s="538"/>
      <c r="AT385" s="56" t="e">
        <f t="shared" si="518"/>
        <v>#DIV/0!</v>
      </c>
      <c r="AU385" s="97" t="s">
        <v>1084</v>
      </c>
      <c r="AV385" s="56" t="e">
        <f t="shared" si="519"/>
        <v>#DIV/0!</v>
      </c>
      <c r="AW385" s="100" t="s">
        <v>1084</v>
      </c>
    </row>
    <row r="386" spans="1:49" hidden="1" outlineLevel="1">
      <c r="A386" s="484" t="s">
        <v>7</v>
      </c>
      <c r="L386" s="1814">
        <f>+'store&amp;sf'!AF20</f>
        <v>0</v>
      </c>
      <c r="M386" s="1814">
        <f>+'store&amp;sf'!AF26</f>
        <v>0</v>
      </c>
      <c r="N386" s="1814">
        <f>+'store&amp;sf'!AF32</f>
        <v>0</v>
      </c>
      <c r="O386" s="1814">
        <f>+'store&amp;sf'!AF38</f>
        <v>0</v>
      </c>
      <c r="P386" s="1814">
        <f>+'store&amp;sf'!AF44</f>
        <v>0</v>
      </c>
      <c r="Q386" s="1814">
        <f>+'store&amp;sf'!AF50</f>
        <v>6</v>
      </c>
      <c r="R386" s="1814">
        <f>+'store&amp;sf'!AF56</f>
        <v>9</v>
      </c>
      <c r="S386" s="1814">
        <f>+'store&amp;sf'!AF62</f>
        <v>11</v>
      </c>
      <c r="T386" s="1814">
        <f>+'store&amp;sf'!AF68</f>
        <v>14</v>
      </c>
      <c r="U386" s="1814">
        <f>+'store&amp;sf'!AF74</f>
        <v>0</v>
      </c>
      <c r="V386" s="1814">
        <f>+'store&amp;sf'!AF80</f>
        <v>0</v>
      </c>
      <c r="W386" s="1816">
        <v>0</v>
      </c>
      <c r="X386" s="1816">
        <v>0</v>
      </c>
      <c r="Y386" s="1816">
        <v>0</v>
      </c>
      <c r="Z386" s="1816">
        <v>0</v>
      </c>
      <c r="AA386" s="1816">
        <v>0</v>
      </c>
      <c r="AB386" s="1816">
        <v>0</v>
      </c>
      <c r="AC386" s="1816">
        <v>0</v>
      </c>
      <c r="AD386" s="1816">
        <v>0</v>
      </c>
      <c r="AE386" s="1816">
        <v>0</v>
      </c>
      <c r="AF386" s="1816">
        <v>0</v>
      </c>
      <c r="AG386" s="1816">
        <v>0</v>
      </c>
      <c r="AH386" s="1816">
        <v>0</v>
      </c>
      <c r="AI386" s="1816">
        <v>0</v>
      </c>
      <c r="AJ386" s="1816">
        <v>0</v>
      </c>
      <c r="AK386" s="1816">
        <v>0</v>
      </c>
      <c r="AL386" s="1816">
        <v>0</v>
      </c>
      <c r="AM386" s="1816">
        <v>0</v>
      </c>
      <c r="AN386" s="1816">
        <v>0</v>
      </c>
      <c r="AO386" s="1816">
        <v>0</v>
      </c>
      <c r="AP386" s="1816">
        <v>0</v>
      </c>
      <c r="AQ386" s="1816">
        <v>0</v>
      </c>
      <c r="AR386" s="1816">
        <v>0</v>
      </c>
      <c r="AS386" s="538"/>
      <c r="AT386" s="56" t="e">
        <f t="shared" si="518"/>
        <v>#DIV/0!</v>
      </c>
      <c r="AU386" s="97" t="s">
        <v>1084</v>
      </c>
      <c r="AV386" s="56" t="e">
        <f t="shared" si="519"/>
        <v>#DIV/0!</v>
      </c>
      <c r="AW386" s="100" t="s">
        <v>1084</v>
      </c>
    </row>
    <row r="387" spans="1:49" hidden="1" outlineLevel="1">
      <c r="A387" s="484" t="s">
        <v>3</v>
      </c>
      <c r="L387" s="1814">
        <f>+'store&amp;sf'!AJ20</f>
        <v>51</v>
      </c>
      <c r="M387" s="1814">
        <f>+'store&amp;sf'!AJ26</f>
        <v>54</v>
      </c>
      <c r="N387" s="1814">
        <f>+'store&amp;sf'!AJ32</f>
        <v>71</v>
      </c>
      <c r="O387" s="1814">
        <f>+'store&amp;sf'!AJ38</f>
        <v>108</v>
      </c>
      <c r="P387" s="1814">
        <f>+'store&amp;sf'!AJ44</f>
        <v>114</v>
      </c>
      <c r="Q387" s="1814">
        <f>+'store&amp;sf'!AJ50</f>
        <v>120</v>
      </c>
      <c r="R387" s="1814">
        <f>+'store&amp;sf'!AJ56</f>
        <v>119</v>
      </c>
      <c r="S387" s="1814">
        <f>+'store&amp;sf'!AJ62</f>
        <v>0</v>
      </c>
      <c r="T387" s="1814">
        <f>+'store&amp;sf'!AJ68</f>
        <v>0</v>
      </c>
      <c r="U387" s="1816">
        <v>0</v>
      </c>
      <c r="V387" s="1816">
        <v>0</v>
      </c>
      <c r="W387" s="1816">
        <v>0</v>
      </c>
      <c r="X387" s="1816">
        <v>0</v>
      </c>
      <c r="Y387" s="1816">
        <v>0</v>
      </c>
      <c r="Z387" s="1816">
        <v>0</v>
      </c>
      <c r="AA387" s="1816">
        <v>0</v>
      </c>
      <c r="AB387" s="1816">
        <v>0</v>
      </c>
      <c r="AC387" s="1816">
        <v>0</v>
      </c>
      <c r="AD387" s="1816">
        <v>0</v>
      </c>
      <c r="AE387" s="1816">
        <v>0</v>
      </c>
      <c r="AF387" s="1816">
        <v>0</v>
      </c>
      <c r="AG387" s="1816">
        <v>0</v>
      </c>
      <c r="AH387" s="1816">
        <v>0</v>
      </c>
      <c r="AI387" s="1816">
        <v>0</v>
      </c>
      <c r="AJ387" s="1816">
        <v>0</v>
      </c>
      <c r="AK387" s="1816">
        <v>0</v>
      </c>
      <c r="AL387" s="1816">
        <v>0</v>
      </c>
      <c r="AM387" s="1816">
        <v>0</v>
      </c>
      <c r="AN387" s="1816">
        <v>0</v>
      </c>
      <c r="AO387" s="1816">
        <v>0</v>
      </c>
      <c r="AP387" s="1816">
        <v>0</v>
      </c>
      <c r="AQ387" s="1816">
        <v>0</v>
      </c>
      <c r="AR387" s="1816">
        <v>0</v>
      </c>
      <c r="AS387" s="538"/>
      <c r="AT387" s="56" t="e">
        <f t="shared" si="518"/>
        <v>#DIV/0!</v>
      </c>
      <c r="AU387" s="97" t="s">
        <v>1084</v>
      </c>
      <c r="AV387" s="56" t="e">
        <f t="shared" si="519"/>
        <v>#DIV/0!</v>
      </c>
      <c r="AW387" s="100" t="s">
        <v>1084</v>
      </c>
    </row>
    <row r="388" spans="1:49" hidden="1" outlineLevel="1">
      <c r="A388" s="484" t="s">
        <v>539</v>
      </c>
      <c r="L388" s="1814">
        <f>+'store&amp;sf'!AL20</f>
        <v>27</v>
      </c>
      <c r="M388" s="1814">
        <f>+'store&amp;sf'!AL26</f>
        <v>36</v>
      </c>
      <c r="N388" s="1814">
        <f>+'store&amp;sf'!AL32</f>
        <v>40</v>
      </c>
      <c r="O388" s="1814">
        <f>+'store&amp;sf'!AL38</f>
        <v>49</v>
      </c>
      <c r="P388" s="1814">
        <f>+'store&amp;sf'!AL44</f>
        <v>67</v>
      </c>
      <c r="Q388" s="1814">
        <f>+'store&amp;sf'!AL50</f>
        <v>100</v>
      </c>
      <c r="R388" s="1814">
        <f>+'store&amp;sf'!AL56</f>
        <v>127</v>
      </c>
      <c r="S388" s="1814">
        <f>+'store&amp;sf'!AL62</f>
        <v>156</v>
      </c>
      <c r="T388" s="1814">
        <f>+'store&amp;sf'!AL68</f>
        <v>0</v>
      </c>
      <c r="U388" s="1816">
        <v>0</v>
      </c>
      <c r="V388" s="1816">
        <v>0</v>
      </c>
      <c r="W388" s="1816">
        <v>0</v>
      </c>
      <c r="X388" s="1816">
        <v>0</v>
      </c>
      <c r="Y388" s="1816">
        <v>0</v>
      </c>
      <c r="Z388" s="1816">
        <v>0</v>
      </c>
      <c r="AA388" s="1816">
        <v>0</v>
      </c>
      <c r="AB388" s="1816">
        <v>0</v>
      </c>
      <c r="AC388" s="1816">
        <v>0</v>
      </c>
      <c r="AD388" s="1816">
        <v>0</v>
      </c>
      <c r="AE388" s="1816">
        <v>0</v>
      </c>
      <c r="AF388" s="1816">
        <v>0</v>
      </c>
      <c r="AG388" s="1816">
        <v>0</v>
      </c>
      <c r="AH388" s="1816">
        <v>0</v>
      </c>
      <c r="AI388" s="1816">
        <v>0</v>
      </c>
      <c r="AJ388" s="1816">
        <v>0</v>
      </c>
      <c r="AK388" s="1816">
        <v>0</v>
      </c>
      <c r="AL388" s="1816">
        <v>0</v>
      </c>
      <c r="AM388" s="1816">
        <v>0</v>
      </c>
      <c r="AN388" s="1816">
        <v>0</v>
      </c>
      <c r="AO388" s="1816">
        <v>0</v>
      </c>
      <c r="AP388" s="1816">
        <v>0</v>
      </c>
      <c r="AQ388" s="1816">
        <v>0</v>
      </c>
      <c r="AR388" s="1816">
        <v>0</v>
      </c>
      <c r="AS388" s="538"/>
      <c r="AT388" s="56" t="e">
        <f t="shared" si="518"/>
        <v>#DIV/0!</v>
      </c>
      <c r="AU388" s="97" t="s">
        <v>1084</v>
      </c>
      <c r="AV388" s="56" t="e">
        <f t="shared" si="519"/>
        <v>#DIV/0!</v>
      </c>
      <c r="AW388" s="100" t="s">
        <v>1084</v>
      </c>
    </row>
    <row r="389" spans="1:49" hidden="1" outlineLevel="1">
      <c r="A389" s="484" t="s">
        <v>115</v>
      </c>
      <c r="L389" s="1814">
        <f>+'store&amp;sf'!AH20</f>
        <v>108</v>
      </c>
      <c r="M389" s="1814">
        <f>+'store&amp;sf'!AH26</f>
        <v>172</v>
      </c>
      <c r="N389" s="1814">
        <f>+'store&amp;sf'!AH32</f>
        <v>185</v>
      </c>
      <c r="O389" s="1814">
        <f>+'store&amp;sf'!AH38</f>
        <v>184</v>
      </c>
      <c r="P389" s="1814">
        <f>+'store&amp;sf'!AH44</f>
        <v>210</v>
      </c>
      <c r="Q389" s="1814">
        <f>+'store&amp;sf'!AH50</f>
        <v>288</v>
      </c>
      <c r="R389" s="1814">
        <f>+'store&amp;sf'!AH56</f>
        <v>308</v>
      </c>
      <c r="S389" s="1814">
        <f>+'store&amp;sf'!AH62</f>
        <v>312</v>
      </c>
      <c r="T389" s="1814">
        <f>+'store&amp;sf'!AH68</f>
        <v>319</v>
      </c>
      <c r="U389" s="1814">
        <f>+'store&amp;sf'!AH74</f>
        <v>0</v>
      </c>
      <c r="V389" s="1816">
        <v>0</v>
      </c>
      <c r="W389" s="1816">
        <v>0</v>
      </c>
      <c r="X389" s="1816">
        <v>0</v>
      </c>
      <c r="Y389" s="1816">
        <v>0</v>
      </c>
      <c r="Z389" s="1816">
        <v>0</v>
      </c>
      <c r="AA389" s="1816">
        <v>0</v>
      </c>
      <c r="AB389" s="1816">
        <v>0</v>
      </c>
      <c r="AC389" s="1816">
        <v>0</v>
      </c>
      <c r="AD389" s="1816">
        <v>0</v>
      </c>
      <c r="AE389" s="1816">
        <v>0</v>
      </c>
      <c r="AF389" s="1816">
        <v>0</v>
      </c>
      <c r="AG389" s="1816">
        <v>0</v>
      </c>
      <c r="AH389" s="1816">
        <v>0</v>
      </c>
      <c r="AI389" s="1816">
        <v>0</v>
      </c>
      <c r="AJ389" s="1816">
        <v>0</v>
      </c>
      <c r="AK389" s="1816">
        <v>0</v>
      </c>
      <c r="AL389" s="1816">
        <v>0</v>
      </c>
      <c r="AM389" s="1816">
        <v>0</v>
      </c>
      <c r="AN389" s="1816">
        <v>0</v>
      </c>
      <c r="AO389" s="1816">
        <v>0</v>
      </c>
      <c r="AP389" s="1816">
        <v>0</v>
      </c>
      <c r="AQ389" s="1816">
        <v>0</v>
      </c>
      <c r="AR389" s="1816">
        <v>0</v>
      </c>
      <c r="AS389" s="538"/>
      <c r="AT389" s="56" t="e">
        <f t="shared" si="518"/>
        <v>#DIV/0!</v>
      </c>
      <c r="AU389" s="97" t="s">
        <v>1084</v>
      </c>
      <c r="AV389" s="56" t="e">
        <f t="shared" si="519"/>
        <v>#DIV/0!</v>
      </c>
      <c r="AW389" s="100" t="s">
        <v>1084</v>
      </c>
    </row>
    <row r="390" spans="1:49" hidden="1" outlineLevel="1">
      <c r="A390" s="484" t="s">
        <v>116</v>
      </c>
      <c r="L390" s="1814">
        <f>+'store&amp;sf'!AN20</f>
        <v>7</v>
      </c>
      <c r="M390" s="1814">
        <f>+'store&amp;sf'!AN26</f>
        <v>6</v>
      </c>
      <c r="N390" s="1814">
        <f>+'store&amp;sf'!AN32</f>
        <v>6</v>
      </c>
      <c r="O390" s="1814">
        <f>+'store&amp;sf'!AN38</f>
        <v>7</v>
      </c>
      <c r="P390" s="1814">
        <f>+'store&amp;sf'!AN44</f>
        <v>4</v>
      </c>
      <c r="Q390" s="1814">
        <f>+'store&amp;sf'!AN50</f>
        <v>4</v>
      </c>
      <c r="R390" s="1814">
        <f>+'store&amp;sf'!AN56</f>
        <v>4</v>
      </c>
      <c r="S390" s="1814">
        <f>+'store&amp;sf'!AN62</f>
        <v>0</v>
      </c>
      <c r="T390" s="1816">
        <v>0</v>
      </c>
      <c r="U390" s="1816">
        <v>0</v>
      </c>
      <c r="V390" s="1816">
        <v>0</v>
      </c>
      <c r="W390" s="1816">
        <v>0</v>
      </c>
      <c r="X390" s="1816">
        <v>0</v>
      </c>
      <c r="Y390" s="1816">
        <v>0</v>
      </c>
      <c r="Z390" s="1816">
        <v>0</v>
      </c>
      <c r="AA390" s="1816">
        <v>0</v>
      </c>
      <c r="AB390" s="1816">
        <v>0</v>
      </c>
      <c r="AC390" s="1816">
        <v>0</v>
      </c>
      <c r="AD390" s="1816">
        <v>0</v>
      </c>
      <c r="AE390" s="1816">
        <v>0</v>
      </c>
      <c r="AF390" s="1816">
        <v>0</v>
      </c>
      <c r="AG390" s="1816">
        <v>0</v>
      </c>
      <c r="AH390" s="1816">
        <v>0</v>
      </c>
      <c r="AI390" s="1816">
        <v>0</v>
      </c>
      <c r="AJ390" s="1816">
        <v>0</v>
      </c>
      <c r="AK390" s="1816">
        <v>0</v>
      </c>
      <c r="AL390" s="1816">
        <v>0</v>
      </c>
      <c r="AM390" s="1816">
        <v>0</v>
      </c>
      <c r="AN390" s="1816">
        <v>0</v>
      </c>
      <c r="AO390" s="1816">
        <v>0</v>
      </c>
      <c r="AP390" s="1816">
        <v>0</v>
      </c>
      <c r="AQ390" s="1816">
        <v>0</v>
      </c>
      <c r="AR390" s="1816">
        <v>0</v>
      </c>
      <c r="AS390" s="538"/>
      <c r="AT390" s="56" t="e">
        <f t="shared" si="518"/>
        <v>#DIV/0!</v>
      </c>
      <c r="AU390" s="97" t="s">
        <v>1084</v>
      </c>
      <c r="AV390" s="56" t="e">
        <f t="shared" si="519"/>
        <v>#DIV/0!</v>
      </c>
      <c r="AW390" s="100" t="s">
        <v>1084</v>
      </c>
    </row>
    <row r="391" spans="1:49" hidden="1" outlineLevel="1">
      <c r="A391" s="482" t="str">
        <f>+A360</f>
        <v>Limited Brands</v>
      </c>
      <c r="L391" s="1818">
        <f>+SUM(L376:L383)</f>
        <v>3755</v>
      </c>
      <c r="M391" s="1418">
        <f>+SUM(M376:M383)</f>
        <v>4194</v>
      </c>
      <c r="N391" s="1418">
        <f t="shared" ref="N391:AC391" si="539">+SUM(N376:N383)</f>
        <v>4425</v>
      </c>
      <c r="O391" s="1418">
        <f t="shared" si="539"/>
        <v>4623</v>
      </c>
      <c r="P391" s="1418">
        <f t="shared" si="539"/>
        <v>4867</v>
      </c>
      <c r="Q391" s="1418">
        <f t="shared" si="539"/>
        <v>5298</v>
      </c>
      <c r="R391" s="1418">
        <f t="shared" si="539"/>
        <v>5633</v>
      </c>
      <c r="S391" s="1418">
        <f t="shared" si="539"/>
        <v>5640</v>
      </c>
      <c r="T391" s="1418">
        <f t="shared" si="539"/>
        <v>5382</v>
      </c>
      <c r="U391" s="1418">
        <f t="shared" si="539"/>
        <v>5023</v>
      </c>
      <c r="V391" s="1418">
        <f t="shared" si="539"/>
        <v>5129</v>
      </c>
      <c r="W391" s="1418">
        <f t="shared" si="539"/>
        <v>4614</v>
      </c>
      <c r="X391" s="1418">
        <f t="shared" si="539"/>
        <v>4036</v>
      </c>
      <c r="Y391" s="1418">
        <f t="shared" si="539"/>
        <v>3911</v>
      </c>
      <c r="Z391" s="1418">
        <f t="shared" si="539"/>
        <v>3779</v>
      </c>
      <c r="AA391" s="1418">
        <f t="shared" si="539"/>
        <v>3590</v>
      </c>
      <c r="AB391" s="1418">
        <f t="shared" si="539"/>
        <v>3469</v>
      </c>
      <c r="AC391" s="1418">
        <f t="shared" si="539"/>
        <v>3430</v>
      </c>
      <c r="AD391" s="1418">
        <f t="shared" ref="AD391:AI391" si="540">+SUM(AD376:AD383)</f>
        <v>3429</v>
      </c>
      <c r="AE391" s="1418">
        <f t="shared" si="540"/>
        <v>3380</v>
      </c>
      <c r="AF391" s="1418">
        <f t="shared" si="540"/>
        <v>3313</v>
      </c>
      <c r="AG391" s="1418">
        <f t="shared" si="540"/>
        <v>3238</v>
      </c>
      <c r="AH391" s="1418">
        <f t="shared" si="540"/>
        <v>3175</v>
      </c>
      <c r="AI391" s="1418">
        <f t="shared" si="540"/>
        <v>3148</v>
      </c>
      <c r="AJ391" s="1418">
        <f t="shared" ref="AJ391:AO391" si="541">+SUM(AJ376:AJ383)</f>
        <v>3119</v>
      </c>
      <c r="AK391" s="1418">
        <f t="shared" si="541"/>
        <v>3081</v>
      </c>
      <c r="AL391" s="1418">
        <f t="shared" si="541"/>
        <v>2868</v>
      </c>
      <c r="AM391" s="1418">
        <f t="shared" si="541"/>
        <v>2860</v>
      </c>
      <c r="AN391" s="1418">
        <f t="shared" si="541"/>
        <v>2884</v>
      </c>
      <c r="AO391" s="1418">
        <f t="shared" si="541"/>
        <v>2879</v>
      </c>
      <c r="AP391" s="1418">
        <f>+SUM(AP376:AP383)</f>
        <v>2874</v>
      </c>
      <c r="AQ391" s="1418">
        <f>+SUM(AQ376:AQ383)</f>
        <v>2859</v>
      </c>
      <c r="AR391" s="1418">
        <f>+SUM(AR376:AR383)</f>
        <v>2844</v>
      </c>
      <c r="AS391" s="538"/>
      <c r="AT391" s="56">
        <f t="shared" si="518"/>
        <v>-1.5931347769325366</v>
      </c>
      <c r="AU391" s="97" t="s">
        <v>1084</v>
      </c>
      <c r="AV391" s="56">
        <f t="shared" si="519"/>
        <v>-1.4415074181143406</v>
      </c>
      <c r="AW391" s="100" t="s">
        <v>1084</v>
      </c>
    </row>
    <row r="392" spans="1:49" hidden="1" outlineLevel="1">
      <c r="L392" s="1819"/>
      <c r="M392" s="1819"/>
      <c r="N392" s="1819"/>
      <c r="O392" s="1819"/>
      <c r="P392" s="1819"/>
      <c r="Q392" s="1819"/>
      <c r="R392" s="1819"/>
      <c r="S392" s="1819"/>
      <c r="T392" s="1418"/>
      <c r="U392" s="1418"/>
      <c r="V392" s="1418"/>
      <c r="W392" s="1418"/>
      <c r="X392" s="1418"/>
      <c r="Y392" s="1418"/>
      <c r="Z392" s="1418"/>
      <c r="AA392" s="1418"/>
      <c r="AB392" s="1418"/>
      <c r="AC392" s="1418"/>
      <c r="AD392" s="1418"/>
      <c r="AE392" s="1418"/>
      <c r="AF392" s="1418"/>
      <c r="AG392" s="1418"/>
      <c r="AH392" s="1418"/>
      <c r="AI392" s="1418"/>
      <c r="AJ392" s="1418"/>
      <c r="AK392" s="1418"/>
      <c r="AL392" s="1418"/>
      <c r="AM392" s="1418"/>
      <c r="AN392" s="1418"/>
      <c r="AO392" s="1418"/>
      <c r="AP392" s="1418"/>
      <c r="AQ392" s="1418"/>
      <c r="AR392" s="1418"/>
      <c r="AS392" s="538"/>
      <c r="AT392" s="139"/>
      <c r="AU392" s="139"/>
      <c r="AV392" s="139"/>
      <c r="AW392" s="537"/>
    </row>
    <row r="393" spans="1:49" hidden="1" outlineLevel="1">
      <c r="A393" s="23" t="s">
        <v>113</v>
      </c>
      <c r="X393" s="1820">
        <v>95</v>
      </c>
      <c r="AS393" s="538"/>
      <c r="AT393" s="139"/>
      <c r="AU393" s="139"/>
      <c r="AV393" s="139"/>
      <c r="AW393" s="537"/>
    </row>
    <row r="394" spans="1:49" hidden="1" outlineLevel="1">
      <c r="A394" s="23" t="s">
        <v>540</v>
      </c>
      <c r="X394" s="1820">
        <v>406</v>
      </c>
      <c r="AS394" s="538"/>
      <c r="AT394" s="139"/>
      <c r="AU394" s="139"/>
      <c r="AV394" s="139"/>
      <c r="AW394" s="537"/>
    </row>
    <row r="395" spans="1:49" hidden="1" outlineLevel="1">
      <c r="A395" s="23" t="s">
        <v>715</v>
      </c>
      <c r="X395" s="1820">
        <f>31+96</f>
        <v>127</v>
      </c>
      <c r="AS395" s="538"/>
      <c r="AT395" s="139"/>
      <c r="AU395" s="139"/>
      <c r="AV395" s="139"/>
      <c r="AW395" s="537"/>
    </row>
    <row r="396" spans="1:49" hidden="1" outlineLevel="1">
      <c r="A396" s="23" t="s">
        <v>714</v>
      </c>
      <c r="X396" s="1820">
        <v>9</v>
      </c>
      <c r="AS396" s="538"/>
      <c r="AT396" s="139"/>
      <c r="AU396" s="139"/>
      <c r="AV396" s="139"/>
      <c r="AW396" s="537"/>
    </row>
    <row r="397" spans="1:49" hidden="1" outlineLevel="1">
      <c r="AS397" s="538"/>
      <c r="AT397" s="139"/>
      <c r="AU397" s="139"/>
      <c r="AV397" s="139"/>
      <c r="AW397" s="537"/>
    </row>
    <row r="398" spans="1:49" hidden="1" outlineLevel="1">
      <c r="A398" s="156" t="s">
        <v>541</v>
      </c>
      <c r="AS398" s="538"/>
      <c r="AT398" s="139"/>
      <c r="AU398" s="139"/>
      <c r="AV398" s="139"/>
      <c r="AW398" s="537"/>
    </row>
    <row r="399" spans="1:49" hidden="1" outlineLevel="1">
      <c r="A399" s="23" t="str">
        <f>+A376</f>
        <v>Victoria's Secret</v>
      </c>
      <c r="M399" s="13">
        <f t="shared" ref="M399:AK399" si="542">+M376/L376-1</f>
        <v>0.14705882352941169</v>
      </c>
      <c r="N399" s="13">
        <f t="shared" si="542"/>
        <v>7.4950690335305659E-2</v>
      </c>
      <c r="O399" s="13">
        <f t="shared" si="542"/>
        <v>4.587155963302747E-2</v>
      </c>
      <c r="P399" s="13">
        <f t="shared" si="542"/>
        <v>5.4385964912280649E-2</v>
      </c>
      <c r="Q399" s="13">
        <f t="shared" si="542"/>
        <v>0.11647254575707144</v>
      </c>
      <c r="R399" s="13">
        <f t="shared" si="542"/>
        <v>9.6870342771982143E-2</v>
      </c>
      <c r="S399" s="13">
        <f t="shared" si="542"/>
        <v>7.2010869565217295E-2</v>
      </c>
      <c r="T399" s="13">
        <f t="shared" si="542"/>
        <v>5.0697084917617152E-2</v>
      </c>
      <c r="U399" s="13">
        <f t="shared" si="542"/>
        <v>8.0820265379975886E-2</v>
      </c>
      <c r="V399" s="13">
        <f t="shared" si="542"/>
        <v>6.9196428571428603E-2</v>
      </c>
      <c r="W399" s="13">
        <f t="shared" si="542"/>
        <v>4.5929018789144127E-2</v>
      </c>
      <c r="X399" s="13">
        <f t="shared" si="542"/>
        <v>1.1976047904191711E-2</v>
      </c>
      <c r="Y399" s="13">
        <f t="shared" si="542"/>
        <v>-4.9309664694280331E-3</v>
      </c>
      <c r="Z399" s="13">
        <f t="shared" si="542"/>
        <v>-7.928642220019877E-3</v>
      </c>
      <c r="AA399" s="13">
        <f t="shared" si="542"/>
        <v>-2.9970029970030065E-3</v>
      </c>
      <c r="AB399" s="13">
        <f t="shared" si="542"/>
        <v>5.0100200400802208E-3</v>
      </c>
      <c r="AC399" s="13">
        <f t="shared" si="542"/>
        <v>1.6949152542372836E-2</v>
      </c>
      <c r="AD399" s="13">
        <f t="shared" si="542"/>
        <v>2.2549019607843057E-2</v>
      </c>
      <c r="AE399" s="13">
        <f t="shared" si="542"/>
        <v>9.5877277085332224E-4</v>
      </c>
      <c r="AF399" s="13">
        <f t="shared" si="542"/>
        <v>-3.8314176245211051E-3</v>
      </c>
      <c r="AG399" s="13">
        <f t="shared" si="542"/>
        <v>-3.8461538461538325E-3</v>
      </c>
      <c r="AH399" s="13">
        <f t="shared" si="542"/>
        <v>1.0617760617760652E-2</v>
      </c>
      <c r="AI399" s="13">
        <f t="shared" si="542"/>
        <v>4.4890162368672382E-2</v>
      </c>
      <c r="AJ399" s="13">
        <f t="shared" si="542"/>
        <v>3.0164533820840944E-2</v>
      </c>
      <c r="AK399" s="13">
        <f t="shared" si="542"/>
        <v>5.3238686779060185E-3</v>
      </c>
      <c r="AL399" s="13"/>
      <c r="AM399" s="13"/>
      <c r="AN399" s="13"/>
      <c r="AO399" s="13"/>
      <c r="AP399" s="13"/>
      <c r="AQ399" s="13"/>
      <c r="AR399" s="13"/>
      <c r="AS399" s="538"/>
      <c r="AT399" s="139"/>
      <c r="AU399" s="139"/>
      <c r="AV399" s="139"/>
      <c r="AW399" s="537"/>
    </row>
    <row r="400" spans="1:49" hidden="1" outlineLevel="1">
      <c r="A400" s="23" t="str">
        <f t="shared" ref="A400:A413" si="543">+A377</f>
        <v>Bath &amp; Body Works</v>
      </c>
      <c r="M400" s="13">
        <f t="shared" ref="M400:N402" si="544">+M377/L377-1</f>
        <v>2.5185185185185186</v>
      </c>
      <c r="N400" s="13">
        <f t="shared" si="544"/>
        <v>0.27368421052631575</v>
      </c>
      <c r="O400" s="13">
        <f t="shared" ref="O400:AA400" si="545">+O377/N377-1</f>
        <v>0.60330578512396693</v>
      </c>
      <c r="P400" s="13">
        <f t="shared" si="545"/>
        <v>0.63917525773195871</v>
      </c>
      <c r="Q400" s="13">
        <f t="shared" si="545"/>
        <v>0.5660377358490567</v>
      </c>
      <c r="R400" s="13">
        <f t="shared" si="545"/>
        <v>0.50602409638554224</v>
      </c>
      <c r="S400" s="13">
        <f t="shared" si="545"/>
        <v>0.22799999999999998</v>
      </c>
      <c r="T400" s="13">
        <f t="shared" si="545"/>
        <v>0.15200868621064068</v>
      </c>
      <c r="U400" s="13">
        <f t="shared" si="545"/>
        <v>0.14420358152686141</v>
      </c>
      <c r="V400" s="13">
        <f t="shared" si="545"/>
        <v>0.17957166392092261</v>
      </c>
      <c r="W400" s="13">
        <f t="shared" si="545"/>
        <v>0.1277932960893855</v>
      </c>
      <c r="X400" s="13">
        <f t="shared" si="545"/>
        <v>1.4860681114551078E-2</v>
      </c>
      <c r="Y400" s="13">
        <f t="shared" si="545"/>
        <v>-2.1354484441732713E-2</v>
      </c>
      <c r="Z400" s="13">
        <f t="shared" si="545"/>
        <v>-2.1820448877805432E-2</v>
      </c>
      <c r="AA400" s="13">
        <f t="shared" si="545"/>
        <v>-8.9228808158062778E-3</v>
      </c>
      <c r="AB400" s="13">
        <f t="shared" ref="AB400:AI402" si="546">+AB377/AA377-1</f>
        <v>-5.7877813504823017E-3</v>
      </c>
      <c r="AC400" s="13">
        <f t="shared" si="546"/>
        <v>2.9754204398447559E-2</v>
      </c>
      <c r="AD400" s="13">
        <f t="shared" si="546"/>
        <v>3.2663316582914659E-2</v>
      </c>
      <c r="AE400" s="13">
        <f t="shared" si="546"/>
        <v>8.5158150851580849E-3</v>
      </c>
      <c r="AF400" s="13">
        <f t="shared" si="546"/>
        <v>4.2219541616406175E-3</v>
      </c>
      <c r="AG400" s="13">
        <f t="shared" si="546"/>
        <v>-5.4054054054053502E-3</v>
      </c>
      <c r="AH400" s="13">
        <f t="shared" si="546"/>
        <v>-8.4541062801932743E-3</v>
      </c>
      <c r="AI400" s="13">
        <f t="shared" si="546"/>
        <v>-2.4360535931789995E-3</v>
      </c>
      <c r="AJ400" s="13">
        <f t="shared" ref="AJ400:AK405" si="547">+AJ377/AI377-1</f>
        <v>4.8840048840048667E-3</v>
      </c>
      <c r="AK400" s="13">
        <f t="shared" si="547"/>
        <v>1.5795868772782606E-2</v>
      </c>
      <c r="AL400" s="13"/>
      <c r="AM400" s="13"/>
      <c r="AN400" s="13"/>
      <c r="AO400" s="13"/>
      <c r="AP400" s="13"/>
      <c r="AQ400" s="13"/>
      <c r="AR400" s="13"/>
      <c r="AS400" s="538"/>
      <c r="AT400" s="139"/>
      <c r="AU400" s="139"/>
      <c r="AV400" s="139"/>
      <c r="AW400" s="537"/>
    </row>
    <row r="401" spans="1:49" hidden="1" outlineLevel="1">
      <c r="A401" s="23" t="str">
        <f t="shared" si="543"/>
        <v>Express Women</v>
      </c>
      <c r="M401" s="13">
        <f t="shared" si="544"/>
        <v>0.1129326047358834</v>
      </c>
      <c r="N401" s="13">
        <f t="shared" si="544"/>
        <v>4.7463175122749668E-2</v>
      </c>
      <c r="O401" s="13">
        <f t="shared" ref="O401:AA401" si="548">+O378/N378-1</f>
        <v>5.1562499999999956E-2</v>
      </c>
      <c r="P401" s="13">
        <f t="shared" si="548"/>
        <v>6.3893016344725106E-2</v>
      </c>
      <c r="Q401" s="13">
        <f t="shared" si="548"/>
        <v>2.9329608938547524E-2</v>
      </c>
      <c r="R401" s="13">
        <f t="shared" si="548"/>
        <v>2.1709633649932059E-2</v>
      </c>
      <c r="S401" s="13">
        <f t="shared" si="548"/>
        <v>0</v>
      </c>
      <c r="T401" s="13">
        <f t="shared" si="548"/>
        <v>-6.7729083665338696E-2</v>
      </c>
      <c r="U401" s="13">
        <f t="shared" si="548"/>
        <v>-1.9943019943019946E-2</v>
      </c>
      <c r="V401" s="13">
        <f t="shared" si="548"/>
        <v>-3.0523255813953543E-2</v>
      </c>
      <c r="W401" s="13">
        <f t="shared" si="548"/>
        <v>0</v>
      </c>
      <c r="X401" s="13">
        <f t="shared" si="548"/>
        <v>-6.4467766116941494E-2</v>
      </c>
      <c r="Y401" s="13">
        <f t="shared" si="548"/>
        <v>-9.9358974358974339E-2</v>
      </c>
      <c r="Z401" s="13">
        <f t="shared" si="548"/>
        <v>-0.16725978647686834</v>
      </c>
      <c r="AA401" s="13">
        <f t="shared" si="548"/>
        <v>-0.30128205128205143</v>
      </c>
      <c r="AB401" s="13">
        <f t="shared" si="546"/>
        <v>-0.40366972477064222</v>
      </c>
      <c r="AC401" s="13">
        <f t="shared" si="546"/>
        <v>-0.61538461538461564</v>
      </c>
      <c r="AD401" s="13">
        <f t="shared" si="546"/>
        <v>-0.50666666666666704</v>
      </c>
      <c r="AE401" s="13">
        <f t="shared" si="546"/>
        <v>-0.97297297297297447</v>
      </c>
      <c r="AF401" s="13">
        <f t="shared" si="546"/>
        <v>-36.000000000002046</v>
      </c>
      <c r="AG401" s="13">
        <f t="shared" si="546"/>
        <v>1.0285714285714267</v>
      </c>
      <c r="AH401" s="13">
        <f t="shared" si="546"/>
        <v>0.50704225352112631</v>
      </c>
      <c r="AI401" s="13">
        <f t="shared" si="546"/>
        <v>0.33644859813084094</v>
      </c>
      <c r="AJ401" s="13">
        <f t="shared" si="547"/>
        <v>0.25174825174825166</v>
      </c>
      <c r="AK401" s="13">
        <f t="shared" si="547"/>
        <v>0.2011173184357542</v>
      </c>
      <c r="AL401" s="13"/>
      <c r="AM401" s="13"/>
      <c r="AN401" s="13"/>
      <c r="AO401" s="13"/>
      <c r="AP401" s="13"/>
      <c r="AQ401" s="13"/>
      <c r="AR401" s="13"/>
      <c r="AS401" s="538"/>
      <c r="AT401" s="139"/>
      <c r="AU401" s="139"/>
      <c r="AV401" s="139"/>
      <c r="AW401" s="537"/>
    </row>
    <row r="402" spans="1:49" hidden="1" outlineLevel="1">
      <c r="A402" s="23" t="str">
        <f t="shared" si="543"/>
        <v>Express Men</v>
      </c>
      <c r="M402" s="13">
        <f t="shared" si="544"/>
        <v>0.57894736842105265</v>
      </c>
      <c r="N402" s="13">
        <f t="shared" si="544"/>
        <v>0.375</v>
      </c>
      <c r="O402" s="13">
        <f t="shared" ref="O402:AI403" si="549">+O379/N379-1</f>
        <v>0.19393939393939386</v>
      </c>
      <c r="P402" s="13">
        <f t="shared" si="549"/>
        <v>0.18274111675126914</v>
      </c>
      <c r="Q402" s="13">
        <f t="shared" si="549"/>
        <v>0.11158798283261806</v>
      </c>
      <c r="R402" s="13">
        <f t="shared" si="549"/>
        <v>4.6332046332046239E-2</v>
      </c>
      <c r="S402" s="13">
        <f t="shared" si="549"/>
        <v>3.6900369003689537E-3</v>
      </c>
      <c r="T402" s="13">
        <f t="shared" si="549"/>
        <v>-2.2058823529411797E-2</v>
      </c>
      <c r="U402" s="13">
        <f t="shared" si="549"/>
        <v>-6.203007518796988E-2</v>
      </c>
      <c r="V402" s="13">
        <f t="shared" si="549"/>
        <v>-6.0120240480961873E-2</v>
      </c>
      <c r="W402" s="13">
        <f t="shared" si="549"/>
        <v>-6.3965884861407196E-2</v>
      </c>
      <c r="X402" s="13">
        <f t="shared" si="549"/>
        <v>-0.18451025056947612</v>
      </c>
      <c r="Y402" s="13">
        <f t="shared" si="549"/>
        <v>-0.18994413407821231</v>
      </c>
      <c r="Z402" s="13">
        <f t="shared" si="549"/>
        <v>-0.23103448275862071</v>
      </c>
      <c r="AA402" s="13">
        <f t="shared" si="549"/>
        <v>-0.49327354260089684</v>
      </c>
      <c r="AB402" s="13">
        <f t="shared" si="546"/>
        <v>-0.38938053097345138</v>
      </c>
      <c r="AC402" s="13">
        <f t="shared" si="546"/>
        <v>-0.43478260869565222</v>
      </c>
      <c r="AD402" s="13">
        <f t="shared" si="546"/>
        <v>-0.89743589743589747</v>
      </c>
      <c r="AE402" s="13">
        <f t="shared" si="546"/>
        <v>-8.75</v>
      </c>
      <c r="AF402" s="13">
        <f t="shared" si="546"/>
        <v>1.129032258064516</v>
      </c>
      <c r="AG402" s="13">
        <f t="shared" si="546"/>
        <v>0.53030303030303028</v>
      </c>
      <c r="AH402" s="13">
        <f t="shared" si="546"/>
        <v>0.34653465346534662</v>
      </c>
      <c r="AI402" s="13">
        <f t="shared" si="546"/>
        <v>0.25735294117647056</v>
      </c>
      <c r="AJ402" s="13">
        <f t="shared" si="547"/>
        <v>0.20467836257309946</v>
      </c>
      <c r="AK402" s="13">
        <f t="shared" si="547"/>
        <v>0.16990291262135915</v>
      </c>
      <c r="AL402" s="13"/>
      <c r="AM402" s="13"/>
      <c r="AN402" s="13"/>
      <c r="AO402" s="13"/>
      <c r="AP402" s="13"/>
      <c r="AQ402" s="13"/>
      <c r="AR402" s="13"/>
      <c r="AS402" s="538"/>
      <c r="AT402" s="139"/>
      <c r="AU402" s="139"/>
      <c r="AV402" s="139"/>
      <c r="AW402" s="537"/>
    </row>
    <row r="403" spans="1:49" hidden="1" outlineLevel="1">
      <c r="A403" s="23" t="str">
        <f t="shared" si="543"/>
        <v>Express Dual Gender</v>
      </c>
      <c r="M403" s="187" t="s">
        <v>886</v>
      </c>
      <c r="N403" s="187" t="s">
        <v>886</v>
      </c>
      <c r="O403" s="187" t="s">
        <v>886</v>
      </c>
      <c r="P403" s="187" t="s">
        <v>886</v>
      </c>
      <c r="Q403" s="187" t="s">
        <v>886</v>
      </c>
      <c r="R403" s="187" t="s">
        <v>886</v>
      </c>
      <c r="S403" s="187" t="s">
        <v>886</v>
      </c>
      <c r="T403" s="187" t="s">
        <v>886</v>
      </c>
      <c r="U403" s="187" t="s">
        <v>886</v>
      </c>
      <c r="V403" s="187" t="s">
        <v>886</v>
      </c>
      <c r="W403" s="187" t="s">
        <v>886</v>
      </c>
      <c r="X403" s="187" t="s">
        <v>886</v>
      </c>
      <c r="Y403" s="13">
        <f t="shared" si="549"/>
        <v>1.1224489795918369</v>
      </c>
      <c r="Z403" s="13">
        <f t="shared" si="549"/>
        <v>0.85576923076923084</v>
      </c>
      <c r="AA403" s="13">
        <f t="shared" si="549"/>
        <v>0.56994818652849744</v>
      </c>
      <c r="AB403" s="13">
        <f t="shared" si="549"/>
        <v>0.3003300330033003</v>
      </c>
      <c r="AC403" s="13">
        <f t="shared" si="549"/>
        <v>0.19035532994923865</v>
      </c>
      <c r="AD403" s="13">
        <f t="shared" si="549"/>
        <v>1.4925373134328401E-2</v>
      </c>
      <c r="AE403" s="13">
        <f t="shared" si="549"/>
        <v>1.8907563025210017E-2</v>
      </c>
      <c r="AF403" s="13">
        <f t="shared" si="549"/>
        <v>1.8556701030927769E-2</v>
      </c>
      <c r="AG403" s="13">
        <f t="shared" si="549"/>
        <v>1.8218623481781382E-2</v>
      </c>
      <c r="AH403" s="13">
        <f t="shared" si="549"/>
        <v>1.7892644135188762E-2</v>
      </c>
      <c r="AI403" s="13">
        <f t="shared" si="549"/>
        <v>1.7578125E-2</v>
      </c>
      <c r="AJ403" s="13">
        <f t="shared" si="547"/>
        <v>1.7274472168905985E-2</v>
      </c>
      <c r="AK403" s="13">
        <f t="shared" si="547"/>
        <v>1.6981132075471805E-2</v>
      </c>
      <c r="AL403" s="13"/>
      <c r="AM403" s="13"/>
      <c r="AN403" s="13"/>
      <c r="AO403" s="13"/>
      <c r="AP403" s="13"/>
      <c r="AQ403" s="13"/>
      <c r="AR403" s="13"/>
      <c r="AS403" s="538"/>
      <c r="AT403" s="139"/>
      <c r="AU403" s="139"/>
      <c r="AV403" s="139"/>
      <c r="AW403" s="537"/>
    </row>
    <row r="404" spans="1:49" hidden="1" outlineLevel="1">
      <c r="A404" s="23" t="str">
        <f t="shared" si="543"/>
        <v>Limited Stores</v>
      </c>
      <c r="M404" s="13">
        <f>+M381/L381-1</f>
        <v>-6.4267352185090054E-3</v>
      </c>
      <c r="N404" s="13">
        <f>+N381/M381-1</f>
        <v>-1.8111254851228997E-2</v>
      </c>
      <c r="O404" s="13">
        <f t="shared" ref="O404:AA404" si="550">+O381/N381-1</f>
        <v>-1.7127799736495364E-2</v>
      </c>
      <c r="P404" s="13">
        <f t="shared" si="550"/>
        <v>-4.9597855227882071E-2</v>
      </c>
      <c r="Q404" s="13">
        <f t="shared" si="550"/>
        <v>-2.8208744710860323E-2</v>
      </c>
      <c r="R404" s="13">
        <f t="shared" si="550"/>
        <v>-3.7735849056603765E-2</v>
      </c>
      <c r="S404" s="13">
        <f t="shared" si="550"/>
        <v>-5.1282051282051322E-2</v>
      </c>
      <c r="T404" s="13">
        <f t="shared" si="550"/>
        <v>-0.12400635930047699</v>
      </c>
      <c r="U404" s="13">
        <f t="shared" si="550"/>
        <v>-0.1960072595281307</v>
      </c>
      <c r="V404" s="13">
        <f t="shared" si="550"/>
        <v>-0.12189616252821667</v>
      </c>
      <c r="W404" s="13">
        <f t="shared" si="550"/>
        <v>-5.3984575835475557E-2</v>
      </c>
      <c r="X404" s="13">
        <f t="shared" si="550"/>
        <v>-4.6195652173913082E-2</v>
      </c>
      <c r="Y404" s="13">
        <f t="shared" si="550"/>
        <v>-2.8490028490028463E-2</v>
      </c>
      <c r="Z404" s="13">
        <f t="shared" si="550"/>
        <v>-5.2785923753665642E-2</v>
      </c>
      <c r="AA404" s="13">
        <f t="shared" si="550"/>
        <v>-9.5975232198142413E-2</v>
      </c>
      <c r="AB404" s="13">
        <f t="shared" ref="AB404:AI405" si="551">+AB381/AA381-1</f>
        <v>-0.1095890410958904</v>
      </c>
      <c r="AC404" s="13">
        <f t="shared" si="551"/>
        <v>-0.10384615384615381</v>
      </c>
      <c r="AD404" s="13">
        <f t="shared" si="551"/>
        <v>-5.579399141630903E-2</v>
      </c>
      <c r="AE404" s="13">
        <f t="shared" si="551"/>
        <v>-3.6363636363636376E-2</v>
      </c>
      <c r="AF404" s="13">
        <f t="shared" si="551"/>
        <v>-3.7735849056603765E-2</v>
      </c>
      <c r="AG404" s="13">
        <f t="shared" si="551"/>
        <v>-3.9215686274509776E-2</v>
      </c>
      <c r="AH404" s="13">
        <f t="shared" si="551"/>
        <v>-4.081632653061229E-2</v>
      </c>
      <c r="AI404" s="13">
        <f t="shared" si="551"/>
        <v>-4.2553191489361653E-2</v>
      </c>
      <c r="AJ404" s="13">
        <f t="shared" si="547"/>
        <v>-4.4444444444444398E-2</v>
      </c>
      <c r="AK404" s="13">
        <f t="shared" si="547"/>
        <v>-4.6511627906976716E-2</v>
      </c>
      <c r="AL404" s="13"/>
      <c r="AM404" s="13"/>
      <c r="AN404" s="13"/>
      <c r="AO404" s="13"/>
      <c r="AP404" s="13"/>
      <c r="AQ404" s="13"/>
      <c r="AR404" s="13"/>
      <c r="AS404" s="538"/>
      <c r="AT404" s="139"/>
      <c r="AU404" s="139"/>
      <c r="AV404" s="139"/>
      <c r="AW404" s="537"/>
    </row>
    <row r="405" spans="1:49" hidden="1" outlineLevel="1">
      <c r="A405" s="23" t="str">
        <f t="shared" si="543"/>
        <v>Henri Bendel</v>
      </c>
      <c r="M405" s="13">
        <f>+M382/L382-1</f>
        <v>0</v>
      </c>
      <c r="N405" s="13">
        <f>+N382/M382-1</f>
        <v>0</v>
      </c>
      <c r="O405" s="13">
        <f t="shared" ref="O405:AA405" si="552">+O382/N382-1</f>
        <v>0</v>
      </c>
      <c r="P405" s="13">
        <f t="shared" si="552"/>
        <v>0</v>
      </c>
      <c r="Q405" s="13">
        <f t="shared" si="552"/>
        <v>0</v>
      </c>
      <c r="R405" s="13">
        <f t="shared" si="552"/>
        <v>0.5</v>
      </c>
      <c r="S405" s="13">
        <f t="shared" si="552"/>
        <v>0</v>
      </c>
      <c r="T405" s="13">
        <f t="shared" si="552"/>
        <v>-0.83333333333333337</v>
      </c>
      <c r="U405" s="13">
        <f t="shared" si="552"/>
        <v>0</v>
      </c>
      <c r="V405" s="13">
        <f t="shared" si="552"/>
        <v>0</v>
      </c>
      <c r="W405" s="13">
        <f t="shared" si="552"/>
        <v>0</v>
      </c>
      <c r="X405" s="13">
        <f t="shared" si="552"/>
        <v>0</v>
      </c>
      <c r="Y405" s="13">
        <f t="shared" si="552"/>
        <v>0</v>
      </c>
      <c r="Z405" s="13">
        <f t="shared" si="552"/>
        <v>1</v>
      </c>
      <c r="AA405" s="13">
        <f t="shared" si="552"/>
        <v>0</v>
      </c>
      <c r="AB405" s="13">
        <f t="shared" si="551"/>
        <v>0</v>
      </c>
      <c r="AC405" s="13">
        <f t="shared" si="551"/>
        <v>0</v>
      </c>
      <c r="AD405" s="13">
        <f t="shared" si="551"/>
        <v>1.5</v>
      </c>
      <c r="AE405" s="13">
        <f t="shared" si="551"/>
        <v>1.2000000000000002</v>
      </c>
      <c r="AF405" s="13">
        <f t="shared" si="551"/>
        <v>0</v>
      </c>
      <c r="AG405" s="13">
        <f t="shared" si="551"/>
        <v>0.72727272727272729</v>
      </c>
      <c r="AH405" s="13">
        <f t="shared" si="551"/>
        <v>0.52631578947368429</v>
      </c>
      <c r="AI405" s="13">
        <f t="shared" si="551"/>
        <v>0</v>
      </c>
      <c r="AJ405" s="13">
        <f t="shared" si="547"/>
        <v>0</v>
      </c>
      <c r="AK405" s="13">
        <f t="shared" si="547"/>
        <v>0</v>
      </c>
      <c r="AL405" s="13"/>
      <c r="AM405" s="13"/>
      <c r="AN405" s="13"/>
      <c r="AO405" s="13"/>
      <c r="AP405" s="13"/>
      <c r="AQ405" s="13"/>
      <c r="AR405" s="13"/>
      <c r="AS405" s="538"/>
      <c r="AT405" s="139"/>
      <c r="AU405" s="139"/>
      <c r="AV405" s="139"/>
      <c r="AW405" s="537"/>
    </row>
    <row r="406" spans="1:49" hidden="1" outlineLevel="1">
      <c r="A406" s="156" t="str">
        <f t="shared" si="543"/>
        <v>Discontinued Businesses</v>
      </c>
      <c r="M406" s="13"/>
      <c r="N406" s="13"/>
      <c r="O406" s="13"/>
      <c r="P406" s="13"/>
      <c r="Q406" s="13"/>
      <c r="R406" s="13"/>
      <c r="S406" s="13"/>
      <c r="T406" s="13"/>
      <c r="U406" s="13"/>
      <c r="V406" s="13"/>
      <c r="W406" s="13"/>
      <c r="X406" s="13"/>
      <c r="Y406" s="13"/>
      <c r="Z406" s="13"/>
      <c r="AA406" s="13"/>
      <c r="AB406" s="13"/>
      <c r="AC406" s="13"/>
      <c r="AD406" s="13"/>
      <c r="AE406" s="13"/>
      <c r="AF406" s="13"/>
      <c r="AG406" s="13"/>
      <c r="AH406" s="13"/>
      <c r="AI406" s="13"/>
      <c r="AJ406" s="13"/>
      <c r="AK406" s="13"/>
      <c r="AL406" s="13"/>
      <c r="AM406" s="13"/>
      <c r="AN406" s="13"/>
      <c r="AO406" s="13"/>
      <c r="AP406" s="13"/>
      <c r="AQ406" s="13"/>
      <c r="AR406" s="13"/>
      <c r="AS406" s="538"/>
      <c r="AT406" s="139"/>
      <c r="AU406" s="139"/>
      <c r="AV406" s="139"/>
      <c r="AW406" s="537"/>
    </row>
    <row r="407" spans="1:49" hidden="1" outlineLevel="1">
      <c r="A407" s="23" t="str">
        <f t="shared" si="543"/>
        <v>Lerner</v>
      </c>
      <c r="M407" s="13">
        <f>+M384/L384-1</f>
        <v>6.0606060606060552E-2</v>
      </c>
      <c r="N407" s="13">
        <f>+N384/M384-1</f>
        <v>5.494505494505475E-3</v>
      </c>
      <c r="O407" s="13">
        <f t="shared" ref="O407:X407" si="553">+O384/N384-1</f>
        <v>-4.1530054644808745E-2</v>
      </c>
      <c r="P407" s="13">
        <f t="shared" si="553"/>
        <v>-3.5347776510832429E-2</v>
      </c>
      <c r="Q407" s="13">
        <f t="shared" si="553"/>
        <v>-1.3002364066193817E-2</v>
      </c>
      <c r="R407" s="13">
        <f t="shared" si="553"/>
        <v>-6.1077844311377194E-2</v>
      </c>
      <c r="S407" s="13">
        <f t="shared" si="553"/>
        <v>-4.8469387755102011E-2</v>
      </c>
      <c r="T407" s="13">
        <f t="shared" si="553"/>
        <v>-0.13806970509383376</v>
      </c>
      <c r="U407" s="13">
        <f t="shared" si="553"/>
        <v>-7.6205287713841385E-2</v>
      </c>
      <c r="V407" s="13">
        <f t="shared" si="553"/>
        <v>-5.7239057239057201E-2</v>
      </c>
      <c r="W407" s="13">
        <f t="shared" si="553"/>
        <v>-6.7857142857142838E-2</v>
      </c>
      <c r="X407" s="13">
        <f t="shared" si="553"/>
        <v>-1</v>
      </c>
      <c r="Y407" s="13"/>
      <c r="Z407" s="13"/>
      <c r="AA407" s="13"/>
      <c r="AB407" s="13"/>
      <c r="AC407" s="13"/>
      <c r="AD407" s="13"/>
      <c r="AE407" s="13"/>
      <c r="AF407" s="13"/>
      <c r="AG407" s="13"/>
      <c r="AH407" s="13"/>
      <c r="AI407" s="13"/>
      <c r="AJ407" s="13"/>
      <c r="AK407" s="13"/>
      <c r="AL407" s="13"/>
      <c r="AM407" s="13"/>
      <c r="AN407" s="13"/>
      <c r="AO407" s="13"/>
      <c r="AP407" s="13"/>
      <c r="AQ407" s="13"/>
      <c r="AR407" s="13"/>
      <c r="AS407" s="538"/>
      <c r="AT407" s="139"/>
      <c r="AU407" s="139"/>
      <c r="AV407" s="139"/>
      <c r="AW407" s="537"/>
    </row>
    <row r="408" spans="1:49" hidden="1" outlineLevel="1">
      <c r="A408" s="23" t="str">
        <f t="shared" si="543"/>
        <v>Lane Bryant</v>
      </c>
      <c r="M408" s="13">
        <f>+M385/L385-1</f>
        <v>4.5212765957446832E-2</v>
      </c>
      <c r="N408" s="13">
        <f>+N385/M385-1</f>
        <v>2.9262086513994978E-2</v>
      </c>
      <c r="O408" s="13">
        <f t="shared" ref="O408:W408" si="554">+O385/N385-1</f>
        <v>9.8887515451173691E-3</v>
      </c>
      <c r="P408" s="13">
        <f t="shared" si="554"/>
        <v>-6.1199510403916468E-3</v>
      </c>
      <c r="Q408" s="13">
        <f t="shared" si="554"/>
        <v>1.9704433497536922E-2</v>
      </c>
      <c r="R408" s="13">
        <f t="shared" si="554"/>
        <v>4.8309178743961567E-3</v>
      </c>
      <c r="S408" s="13">
        <f t="shared" si="554"/>
        <v>-7.0913461538461564E-2</v>
      </c>
      <c r="T408" s="13">
        <f t="shared" si="554"/>
        <v>-5.5627425614488968E-2</v>
      </c>
      <c r="U408" s="13">
        <f t="shared" si="554"/>
        <v>-5.7534246575342451E-2</v>
      </c>
      <c r="V408" s="13">
        <f t="shared" si="554"/>
        <v>-5.0872093023255793E-2</v>
      </c>
      <c r="W408" s="13">
        <f t="shared" si="554"/>
        <v>-1</v>
      </c>
      <c r="X408" s="13"/>
      <c r="Y408" s="13"/>
      <c r="Z408" s="13"/>
      <c r="AA408" s="13"/>
      <c r="AB408" s="13"/>
      <c r="AC408" s="13"/>
      <c r="AD408" s="13"/>
      <c r="AE408" s="13"/>
      <c r="AF408" s="13"/>
      <c r="AG408" s="13"/>
      <c r="AH408" s="13"/>
      <c r="AI408" s="13"/>
      <c r="AJ408" s="13"/>
      <c r="AK408" s="13"/>
      <c r="AL408" s="13"/>
      <c r="AM408" s="13"/>
      <c r="AN408" s="13"/>
      <c r="AO408" s="13"/>
      <c r="AP408" s="13"/>
      <c r="AQ408" s="13"/>
      <c r="AR408" s="13"/>
      <c r="AS408" s="538"/>
      <c r="AT408" s="139"/>
      <c r="AU408" s="139"/>
      <c r="AV408" s="139"/>
      <c r="AW408" s="537"/>
    </row>
    <row r="409" spans="1:49" hidden="1" outlineLevel="1">
      <c r="A409" s="23" t="str">
        <f t="shared" si="543"/>
        <v>Galyans</v>
      </c>
      <c r="M409" s="13"/>
      <c r="N409" s="13"/>
      <c r="O409" s="13"/>
      <c r="P409" s="13"/>
      <c r="Q409" s="13"/>
      <c r="R409" s="13"/>
      <c r="S409" s="13"/>
      <c r="T409" s="13"/>
      <c r="U409" s="13"/>
      <c r="V409" s="13"/>
      <c r="W409" s="13"/>
      <c r="X409" s="13"/>
      <c r="Y409" s="13"/>
      <c r="Z409" s="13"/>
      <c r="AA409" s="13"/>
      <c r="AB409" s="13"/>
      <c r="AC409" s="13"/>
      <c r="AD409" s="13"/>
      <c r="AE409" s="13"/>
      <c r="AF409" s="13"/>
      <c r="AG409" s="13"/>
      <c r="AH409" s="13"/>
      <c r="AI409" s="13"/>
      <c r="AJ409" s="13"/>
      <c r="AK409" s="13"/>
      <c r="AL409" s="13"/>
      <c r="AM409" s="13"/>
      <c r="AN409" s="13"/>
      <c r="AO409" s="13"/>
      <c r="AP409" s="13"/>
      <c r="AQ409" s="13"/>
      <c r="AR409" s="13"/>
      <c r="AS409" s="538"/>
      <c r="AT409" s="139"/>
      <c r="AU409" s="139"/>
      <c r="AV409" s="139"/>
      <c r="AW409" s="537"/>
    </row>
    <row r="410" spans="1:49" hidden="1" outlineLevel="1">
      <c r="A410" s="23" t="str">
        <f t="shared" si="543"/>
        <v>Cacique</v>
      </c>
      <c r="M410" s="13">
        <f t="shared" ref="M410:S411" si="555">+M387/L387-1</f>
        <v>5.8823529411764719E-2</v>
      </c>
      <c r="N410" s="13">
        <f t="shared" si="555"/>
        <v>0.31481481481481488</v>
      </c>
      <c r="O410" s="13">
        <f t="shared" si="555"/>
        <v>0.52112676056338025</v>
      </c>
      <c r="P410" s="13">
        <f t="shared" si="555"/>
        <v>5.555555555555558E-2</v>
      </c>
      <c r="Q410" s="13">
        <f t="shared" si="555"/>
        <v>5.2631578947368363E-2</v>
      </c>
      <c r="R410" s="13">
        <f t="shared" si="555"/>
        <v>-8.3333333333333037E-3</v>
      </c>
      <c r="S410" s="13">
        <f t="shared" si="555"/>
        <v>-1</v>
      </c>
      <c r="T410" s="13"/>
      <c r="U410" s="13"/>
      <c r="V410" s="13"/>
      <c r="W410" s="13"/>
      <c r="X410" s="13"/>
      <c r="Y410" s="13"/>
      <c r="Z410" s="13"/>
      <c r="AA410" s="13"/>
      <c r="AB410" s="13"/>
      <c r="AC410" s="13"/>
      <c r="AD410" s="13"/>
      <c r="AE410" s="13"/>
      <c r="AF410" s="13"/>
      <c r="AG410" s="13"/>
      <c r="AH410" s="13"/>
      <c r="AI410" s="13"/>
      <c r="AJ410" s="13"/>
      <c r="AK410" s="13"/>
      <c r="AL410" s="13"/>
      <c r="AM410" s="13"/>
      <c r="AN410" s="13"/>
      <c r="AO410" s="13"/>
      <c r="AP410" s="13"/>
      <c r="AQ410" s="13"/>
      <c r="AR410" s="13"/>
      <c r="AS410" s="538"/>
      <c r="AT410" s="139"/>
      <c r="AU410" s="139"/>
      <c r="AV410" s="139"/>
      <c r="AW410" s="537"/>
    </row>
    <row r="411" spans="1:49" hidden="1" outlineLevel="1">
      <c r="A411" s="23" t="str">
        <f t="shared" si="543"/>
        <v>Abercrombie &amp; Fitch</v>
      </c>
      <c r="M411" s="13">
        <f t="shared" si="555"/>
        <v>0.33333333333333326</v>
      </c>
      <c r="N411" s="13">
        <f t="shared" si="555"/>
        <v>0.11111111111111116</v>
      </c>
      <c r="O411" s="13">
        <f t="shared" si="555"/>
        <v>0.22500000000000009</v>
      </c>
      <c r="P411" s="13">
        <f t="shared" si="555"/>
        <v>0.36734693877551017</v>
      </c>
      <c r="Q411" s="13">
        <f t="shared" si="555"/>
        <v>0.49253731343283591</v>
      </c>
      <c r="R411" s="13">
        <f t="shared" si="555"/>
        <v>0.27</v>
      </c>
      <c r="S411" s="13">
        <f t="shared" si="555"/>
        <v>0.22834645669291342</v>
      </c>
      <c r="T411" s="13">
        <f>+T388/S388-1</f>
        <v>-1</v>
      </c>
      <c r="U411" s="13"/>
      <c r="V411" s="13"/>
      <c r="W411" s="13"/>
      <c r="X411" s="13"/>
      <c r="Y411" s="13"/>
      <c r="Z411" s="13"/>
      <c r="AA411" s="13"/>
      <c r="AB411" s="13"/>
      <c r="AC411" s="13"/>
      <c r="AD411" s="13"/>
      <c r="AE411" s="13"/>
      <c r="AF411" s="13"/>
      <c r="AG411" s="13"/>
      <c r="AH411" s="13"/>
      <c r="AI411" s="13"/>
      <c r="AJ411" s="13"/>
      <c r="AK411" s="13"/>
      <c r="AL411" s="13"/>
      <c r="AM411" s="13"/>
      <c r="AN411" s="13"/>
      <c r="AO411" s="13"/>
      <c r="AP411" s="13"/>
      <c r="AQ411" s="13"/>
      <c r="AR411" s="13"/>
      <c r="AS411" s="538"/>
      <c r="AT411" s="139"/>
      <c r="AU411" s="139"/>
      <c r="AV411" s="139"/>
      <c r="AW411" s="537"/>
    </row>
    <row r="412" spans="1:49" hidden="1" outlineLevel="1">
      <c r="A412" s="23" t="str">
        <f t="shared" si="543"/>
        <v>Limited Too</v>
      </c>
      <c r="M412" s="13">
        <f t="shared" ref="M412:N414" si="556">+M389/L389-1</f>
        <v>0.59259259259259256</v>
      </c>
      <c r="N412" s="13">
        <f t="shared" si="556"/>
        <v>7.5581395348837122E-2</v>
      </c>
      <c r="O412" s="13">
        <f t="shared" ref="O412:U412" si="557">+O389/N389-1</f>
        <v>-5.4054054054053502E-3</v>
      </c>
      <c r="P412" s="13">
        <f t="shared" si="557"/>
        <v>0.14130434782608692</v>
      </c>
      <c r="Q412" s="13">
        <f t="shared" si="557"/>
        <v>0.37142857142857144</v>
      </c>
      <c r="R412" s="13">
        <f t="shared" si="557"/>
        <v>6.944444444444442E-2</v>
      </c>
      <c r="S412" s="13">
        <f t="shared" si="557"/>
        <v>1.298701298701288E-2</v>
      </c>
      <c r="T412" s="13">
        <f t="shared" si="557"/>
        <v>2.2435897435897356E-2</v>
      </c>
      <c r="U412" s="13">
        <f t="shared" si="557"/>
        <v>-1</v>
      </c>
      <c r="V412" s="13"/>
      <c r="W412" s="13"/>
      <c r="X412" s="13"/>
      <c r="Y412" s="13"/>
      <c r="Z412" s="13"/>
      <c r="AA412" s="13"/>
      <c r="AB412" s="13"/>
      <c r="AC412" s="13"/>
      <c r="AD412" s="13"/>
      <c r="AE412" s="13"/>
      <c r="AF412" s="13"/>
      <c r="AG412" s="13"/>
      <c r="AH412" s="13"/>
      <c r="AI412" s="13"/>
      <c r="AJ412" s="13"/>
      <c r="AK412" s="13"/>
      <c r="AL412" s="13"/>
      <c r="AM412" s="13"/>
      <c r="AN412" s="13"/>
      <c r="AO412" s="13"/>
      <c r="AP412" s="13"/>
      <c r="AQ412" s="13"/>
      <c r="AR412" s="13"/>
      <c r="AS412" s="538"/>
      <c r="AT412" s="139"/>
      <c r="AU412" s="139"/>
      <c r="AV412" s="139"/>
      <c r="AW412" s="537"/>
    </row>
    <row r="413" spans="1:49" hidden="1" outlineLevel="1">
      <c r="A413" s="23" t="str">
        <f t="shared" si="543"/>
        <v>Penhaligon's</v>
      </c>
      <c r="M413" s="485">
        <f t="shared" si="556"/>
        <v>-0.1428571428571429</v>
      </c>
      <c r="N413" s="485">
        <f t="shared" si="556"/>
        <v>0</v>
      </c>
      <c r="O413" s="485">
        <f t="shared" ref="O413:S414" si="558">+O390/N390-1</f>
        <v>0.16666666666666674</v>
      </c>
      <c r="P413" s="485">
        <f t="shared" si="558"/>
        <v>-0.4285714285714286</v>
      </c>
      <c r="Q413" s="485">
        <f t="shared" si="558"/>
        <v>0</v>
      </c>
      <c r="R413" s="485">
        <f t="shared" si="558"/>
        <v>0</v>
      </c>
      <c r="S413" s="485">
        <f t="shared" si="558"/>
        <v>-1</v>
      </c>
      <c r="T413" s="485"/>
      <c r="U413" s="485"/>
      <c r="V413" s="485"/>
      <c r="W413" s="485"/>
      <c r="X413" s="485"/>
      <c r="Y413" s="485"/>
      <c r="Z413" s="485"/>
      <c r="AA413" s="485"/>
      <c r="AB413" s="485"/>
      <c r="AC413" s="485"/>
      <c r="AD413" s="485"/>
      <c r="AE413" s="485"/>
      <c r="AF413" s="485"/>
      <c r="AG413" s="485"/>
      <c r="AH413" s="485"/>
      <c r="AI413" s="485"/>
      <c r="AJ413" s="485"/>
      <c r="AK413" s="485"/>
      <c r="AL413" s="1099"/>
      <c r="AM413" s="1099"/>
      <c r="AN413" s="1099"/>
      <c r="AO413" s="1099"/>
      <c r="AP413" s="1099"/>
      <c r="AQ413" s="1099"/>
      <c r="AR413" s="1099"/>
      <c r="AS413" s="538"/>
      <c r="AT413" s="139"/>
      <c r="AU413" s="139"/>
      <c r="AV413" s="139"/>
      <c r="AW413" s="537"/>
    </row>
    <row r="414" spans="1:49" hidden="1" outlineLevel="1">
      <c r="A414" s="482" t="str">
        <f>+A391</f>
        <v>Limited Brands</v>
      </c>
      <c r="M414" s="13">
        <f t="shared" si="556"/>
        <v>0.11691078561917445</v>
      </c>
      <c r="N414" s="13">
        <f t="shared" si="556"/>
        <v>5.5078683834048681E-2</v>
      </c>
      <c r="O414" s="13">
        <f t="shared" si="558"/>
        <v>4.4745762711864367E-2</v>
      </c>
      <c r="P414" s="13">
        <f t="shared" si="558"/>
        <v>5.2779580359074263E-2</v>
      </c>
      <c r="Q414" s="13">
        <f t="shared" si="558"/>
        <v>8.8555578385042022E-2</v>
      </c>
      <c r="R414" s="13">
        <f t="shared" si="558"/>
        <v>6.3231408078520124E-2</v>
      </c>
      <c r="S414" s="13">
        <f t="shared" si="558"/>
        <v>1.2426770814841781E-3</v>
      </c>
      <c r="T414" s="13">
        <f t="shared" ref="T414:AK414" si="559">+T391/S391-1</f>
        <v>-4.5744680851063868E-2</v>
      </c>
      <c r="U414" s="13">
        <f t="shared" si="559"/>
        <v>-6.6703827573392771E-2</v>
      </c>
      <c r="V414" s="13">
        <f t="shared" si="559"/>
        <v>2.1102926537925448E-2</v>
      </c>
      <c r="W414" s="13">
        <f t="shared" si="559"/>
        <v>-0.10040943653733669</v>
      </c>
      <c r="X414" s="13">
        <f t="shared" si="559"/>
        <v>-0.12527091460771567</v>
      </c>
      <c r="Y414" s="13">
        <f t="shared" si="559"/>
        <v>-3.0971258671952384E-2</v>
      </c>
      <c r="Z414" s="13">
        <f t="shared" si="559"/>
        <v>-3.3750958834057765E-2</v>
      </c>
      <c r="AA414" s="13">
        <f t="shared" si="559"/>
        <v>-5.001323101349564E-2</v>
      </c>
      <c r="AB414" s="13">
        <f t="shared" si="559"/>
        <v>-3.370473537604457E-2</v>
      </c>
      <c r="AC414" s="13">
        <f t="shared" si="559"/>
        <v>-1.1242432977803363E-2</v>
      </c>
      <c r="AD414" s="13">
        <f t="shared" si="559"/>
        <v>-2.9154518950436081E-4</v>
      </c>
      <c r="AE414" s="13">
        <f t="shared" si="559"/>
        <v>-1.4289880431612723E-2</v>
      </c>
      <c r="AF414" s="13">
        <f t="shared" si="559"/>
        <v>-1.9822485207100615E-2</v>
      </c>
      <c r="AG414" s="13">
        <f t="shared" si="559"/>
        <v>-2.2638092363416851E-2</v>
      </c>
      <c r="AH414" s="13">
        <f t="shared" si="559"/>
        <v>-1.9456454601605944E-2</v>
      </c>
      <c r="AI414" s="13">
        <f t="shared" si="559"/>
        <v>-8.5039370078739962E-3</v>
      </c>
      <c r="AJ414" s="13">
        <f t="shared" si="559"/>
        <v>-9.21219822109276E-3</v>
      </c>
      <c r="AK414" s="13">
        <f t="shared" si="559"/>
        <v>-1.2183392112856684E-2</v>
      </c>
      <c r="AL414" s="13"/>
      <c r="AM414" s="13"/>
      <c r="AN414" s="13"/>
      <c r="AO414" s="13"/>
      <c r="AP414" s="13"/>
      <c r="AQ414" s="13"/>
      <c r="AR414" s="13"/>
      <c r="AS414" s="538"/>
      <c r="AT414" s="139"/>
      <c r="AU414" s="139"/>
      <c r="AV414" s="139"/>
      <c r="AW414" s="537"/>
    </row>
    <row r="415" spans="1:49" hidden="1" outlineLevel="1">
      <c r="AS415" s="538"/>
      <c r="AT415" s="139"/>
      <c r="AU415" s="139"/>
      <c r="AV415" s="139"/>
      <c r="AW415" s="537"/>
    </row>
    <row r="416" spans="1:49" hidden="1" outlineLevel="1">
      <c r="A416" s="156" t="s">
        <v>542</v>
      </c>
      <c r="AS416" s="538"/>
      <c r="AT416" s="139"/>
      <c r="AU416" s="139"/>
      <c r="AV416" s="139"/>
      <c r="AW416" s="537"/>
    </row>
    <row r="417" spans="1:49" hidden="1" outlineLevel="1">
      <c r="A417" s="23" t="str">
        <f>+A399</f>
        <v>Victoria's Secret</v>
      </c>
      <c r="L417" s="18">
        <f t="shared" ref="L417:AC417" si="560">+L376/L$391</f>
        <v>0.11770972037283622</v>
      </c>
      <c r="M417" s="18">
        <f t="shared" si="560"/>
        <v>0.12088698140200287</v>
      </c>
      <c r="N417" s="18">
        <f t="shared" si="560"/>
        <v>0.12316384180790961</v>
      </c>
      <c r="O417" s="18">
        <f t="shared" si="560"/>
        <v>0.12329656067488644</v>
      </c>
      <c r="P417" s="18">
        <f t="shared" si="560"/>
        <v>0.12348469282925827</v>
      </c>
      <c r="Q417" s="18">
        <f t="shared" si="560"/>
        <v>0.12665156662891658</v>
      </c>
      <c r="R417" s="18">
        <f t="shared" si="560"/>
        <v>0.13065861885318658</v>
      </c>
      <c r="S417" s="18">
        <f t="shared" si="560"/>
        <v>0.13989361702127659</v>
      </c>
      <c r="T417" s="18">
        <f t="shared" si="560"/>
        <v>0.15403195837978448</v>
      </c>
      <c r="U417" s="18">
        <f t="shared" si="560"/>
        <v>0.17837945450925741</v>
      </c>
      <c r="V417" s="18">
        <f t="shared" si="560"/>
        <v>0.18678104893741471</v>
      </c>
      <c r="W417" s="18">
        <f t="shared" si="560"/>
        <v>0.21716514954486346</v>
      </c>
      <c r="X417" s="18">
        <f t="shared" si="560"/>
        <v>0.2512388503468781</v>
      </c>
      <c r="Y417" s="18">
        <f t="shared" si="560"/>
        <v>0.25799028381488109</v>
      </c>
      <c r="Z417" s="18">
        <f t="shared" si="560"/>
        <v>0.26488489018258798</v>
      </c>
      <c r="AA417" s="18">
        <f t="shared" si="560"/>
        <v>0.27799442896935933</v>
      </c>
      <c r="AB417" s="18">
        <f t="shared" si="560"/>
        <v>0.2891323147881234</v>
      </c>
      <c r="AC417" s="18">
        <f t="shared" si="560"/>
        <v>0.29737609329446063</v>
      </c>
      <c r="AD417" s="18">
        <f t="shared" ref="AD417:AE423" si="561">+AD376/AD$391</f>
        <v>0.30417031204432782</v>
      </c>
      <c r="AE417" s="18">
        <f t="shared" si="561"/>
        <v>0.30887573964497039</v>
      </c>
      <c r="AF417" s="18">
        <f t="shared" ref="AF417:AG423" si="562">+AF376/AF$391</f>
        <v>0.31391488077271357</v>
      </c>
      <c r="AG417" s="18">
        <f t="shared" si="562"/>
        <v>0.3199505867819642</v>
      </c>
      <c r="AH417" s="18">
        <f t="shared" ref="AH417:AK423" si="563">+AH376/AH$391</f>
        <v>0.32976377952755903</v>
      </c>
      <c r="AI417" s="18">
        <f t="shared" si="563"/>
        <v>0.3475222363405337</v>
      </c>
      <c r="AJ417" s="18">
        <f t="shared" si="563"/>
        <v>0.3613337608207759</v>
      </c>
      <c r="AK417" s="18">
        <f t="shared" si="563"/>
        <v>0.36773774748458293</v>
      </c>
      <c r="AL417" s="18"/>
      <c r="AM417" s="18"/>
      <c r="AN417" s="18"/>
      <c r="AO417" s="18"/>
      <c r="AP417" s="18"/>
      <c r="AQ417" s="18"/>
      <c r="AR417" s="18"/>
      <c r="AS417" s="538"/>
      <c r="AT417" s="139"/>
      <c r="AU417" s="139"/>
      <c r="AV417" s="139"/>
      <c r="AW417" s="537"/>
    </row>
    <row r="418" spans="1:49" hidden="1" outlineLevel="1">
      <c r="A418" s="23" t="str">
        <f t="shared" ref="A418:A432" si="564">+A400</f>
        <v>Bath &amp; Body Works</v>
      </c>
      <c r="L418" s="18">
        <f t="shared" ref="L418:M431" si="565">+L377/L$391</f>
        <v>7.1904127829560587E-3</v>
      </c>
      <c r="M418" s="18">
        <f t="shared" si="565"/>
        <v>2.2651406771578446E-2</v>
      </c>
      <c r="N418" s="18">
        <f t="shared" ref="N418:AC418" si="566">+N377/N$391</f>
        <v>2.7344632768361583E-2</v>
      </c>
      <c r="O418" s="18">
        <f t="shared" si="566"/>
        <v>4.1964092580575381E-2</v>
      </c>
      <c r="P418" s="18">
        <f t="shared" si="566"/>
        <v>6.5337990548592559E-2</v>
      </c>
      <c r="Q418" s="18">
        <f t="shared" si="566"/>
        <v>9.3997734994337487E-2</v>
      </c>
      <c r="R418" s="18">
        <f t="shared" si="566"/>
        <v>0.1331439730161548</v>
      </c>
      <c r="S418" s="18">
        <f t="shared" si="566"/>
        <v>0.16329787234042553</v>
      </c>
      <c r="T418" s="18">
        <f t="shared" si="566"/>
        <v>0.19713861018208845</v>
      </c>
      <c r="U418" s="18">
        <f t="shared" si="566"/>
        <v>0.24168823412303406</v>
      </c>
      <c r="V418" s="18">
        <f t="shared" si="566"/>
        <v>0.27919672450770133</v>
      </c>
      <c r="W418" s="18">
        <f t="shared" si="566"/>
        <v>0.35002167316861726</v>
      </c>
      <c r="X418" s="18">
        <f t="shared" si="566"/>
        <v>0.40609514370664024</v>
      </c>
      <c r="Y418" s="18">
        <f t="shared" si="566"/>
        <v>0.41012528765021733</v>
      </c>
      <c r="Z418" s="18">
        <f t="shared" si="566"/>
        <v>0.41518920349298755</v>
      </c>
      <c r="AA418" s="18">
        <f t="shared" si="566"/>
        <v>0.43314763231197773</v>
      </c>
      <c r="AB418" s="18">
        <f t="shared" si="566"/>
        <v>0.4456615739406169</v>
      </c>
      <c r="AC418" s="18">
        <f t="shared" si="566"/>
        <v>0.46413994169096212</v>
      </c>
      <c r="AD418" s="18">
        <f t="shared" si="561"/>
        <v>0.47944006999125111</v>
      </c>
      <c r="AE418" s="18">
        <f t="shared" si="561"/>
        <v>0.4905325443786982</v>
      </c>
      <c r="AF418" s="18">
        <f t="shared" si="562"/>
        <v>0.50256565046785395</v>
      </c>
      <c r="AG418" s="18">
        <f t="shared" si="562"/>
        <v>0.51142680667078444</v>
      </c>
      <c r="AH418" s="18">
        <f t="shared" si="563"/>
        <v>0.51716535433070865</v>
      </c>
      <c r="AI418" s="18">
        <f t="shared" si="563"/>
        <v>0.5203303684879288</v>
      </c>
      <c r="AJ418" s="18">
        <f t="shared" si="563"/>
        <v>0.52773324783584485</v>
      </c>
      <c r="AK418" s="18">
        <f t="shared" si="563"/>
        <v>0.54268094774423892</v>
      </c>
      <c r="AL418" s="18"/>
      <c r="AM418" s="18"/>
      <c r="AN418" s="18"/>
      <c r="AO418" s="18"/>
      <c r="AP418" s="18"/>
      <c r="AQ418" s="18"/>
      <c r="AR418" s="18"/>
      <c r="AS418" s="538"/>
      <c r="AT418" s="139"/>
      <c r="AU418" s="139"/>
      <c r="AV418" s="139"/>
      <c r="AW418" s="537"/>
    </row>
    <row r="419" spans="1:49" hidden="1" outlineLevel="1">
      <c r="A419" s="23" t="str">
        <f t="shared" si="564"/>
        <v>Express Women</v>
      </c>
      <c r="L419" s="18">
        <f t="shared" si="565"/>
        <v>0.14620505992010652</v>
      </c>
      <c r="M419" s="18">
        <f t="shared" si="565"/>
        <v>0.14568431092036241</v>
      </c>
      <c r="N419" s="18">
        <f t="shared" ref="N419:AC419" si="567">+N378/N$391</f>
        <v>0.14463276836158193</v>
      </c>
      <c r="O419" s="18">
        <f t="shared" si="567"/>
        <v>0.14557646549859399</v>
      </c>
      <c r="P419" s="18">
        <f t="shared" si="567"/>
        <v>0.14711321142387507</v>
      </c>
      <c r="Q419" s="18">
        <f t="shared" si="567"/>
        <v>0.13910909777274444</v>
      </c>
      <c r="R419" s="18">
        <f t="shared" si="567"/>
        <v>0.13367654890821942</v>
      </c>
      <c r="S419" s="18">
        <f t="shared" si="567"/>
        <v>0.13351063829787235</v>
      </c>
      <c r="T419" s="18">
        <f t="shared" si="567"/>
        <v>0.13043478260869565</v>
      </c>
      <c r="U419" s="18">
        <f t="shared" si="567"/>
        <v>0.13696993828389409</v>
      </c>
      <c r="V419" s="18">
        <f t="shared" si="567"/>
        <v>0.13004484304932734</v>
      </c>
      <c r="W419" s="18">
        <f t="shared" si="567"/>
        <v>0.14456003467706979</v>
      </c>
      <c r="X419" s="18">
        <f t="shared" si="567"/>
        <v>0.15460852329038652</v>
      </c>
      <c r="Y419" s="18">
        <f t="shared" si="567"/>
        <v>0.14369726412682179</v>
      </c>
      <c r="Z419" s="18">
        <f t="shared" si="567"/>
        <v>0.12384228631913205</v>
      </c>
      <c r="AA419" s="18">
        <f t="shared" si="567"/>
        <v>9.1086350974930341E-2</v>
      </c>
      <c r="AB419" s="18">
        <f t="shared" si="567"/>
        <v>5.6212164889016994E-2</v>
      </c>
      <c r="AC419" s="18">
        <f t="shared" si="567"/>
        <v>2.1865889212827973E-2</v>
      </c>
      <c r="AD419" s="18">
        <f t="shared" si="561"/>
        <v>1.0790317876932033E-2</v>
      </c>
      <c r="AE419" s="18">
        <f t="shared" si="561"/>
        <v>2.9585798816566367E-4</v>
      </c>
      <c r="AF419" s="18">
        <f t="shared" si="562"/>
        <v>-1.0564443102927878E-2</v>
      </c>
      <c r="AG419" s="18">
        <f t="shared" si="562"/>
        <v>-2.1927115503397175E-2</v>
      </c>
      <c r="AH419" s="18">
        <f t="shared" si="563"/>
        <v>-3.3700787401574818E-2</v>
      </c>
      <c r="AI419" s="18">
        <f t="shared" si="563"/>
        <v>-4.5425667090216025E-2</v>
      </c>
      <c r="AJ419" s="18">
        <f t="shared" si="563"/>
        <v>-5.7390189163193349E-2</v>
      </c>
      <c r="AK419" s="18">
        <f t="shared" si="563"/>
        <v>-6.9782538136968539E-2</v>
      </c>
      <c r="AL419" s="18"/>
      <c r="AM419" s="18"/>
      <c r="AN419" s="18"/>
      <c r="AO419" s="18"/>
      <c r="AP419" s="18"/>
      <c r="AQ419" s="18"/>
      <c r="AR419" s="18"/>
      <c r="AS419" s="538"/>
      <c r="AT419" s="139"/>
      <c r="AU419" s="139"/>
      <c r="AV419" s="139"/>
      <c r="AW419" s="537"/>
    </row>
    <row r="420" spans="1:49" hidden="1" outlineLevel="1">
      <c r="A420" s="23" t="str">
        <f t="shared" si="564"/>
        <v>Express Men</v>
      </c>
      <c r="L420" s="18">
        <f t="shared" si="565"/>
        <v>4.0479360852197069E-2</v>
      </c>
      <c r="M420" s="18">
        <f t="shared" si="565"/>
        <v>5.7224606580829757E-2</v>
      </c>
      <c r="N420" s="18">
        <f t="shared" ref="N420:AC420" si="568">+N379/N$391</f>
        <v>7.4576271186440682E-2</v>
      </c>
      <c r="O420" s="18">
        <f t="shared" si="568"/>
        <v>8.5226043694570625E-2</v>
      </c>
      <c r="P420" s="18">
        <f t="shared" si="568"/>
        <v>9.574686665296897E-2</v>
      </c>
      <c r="Q420" s="18">
        <f t="shared" si="568"/>
        <v>9.7772744431861083E-2</v>
      </c>
      <c r="R420" s="18">
        <f t="shared" si="568"/>
        <v>9.6218711166341203E-2</v>
      </c>
      <c r="S420" s="18">
        <f t="shared" si="568"/>
        <v>9.6453900709219859E-2</v>
      </c>
      <c r="T420" s="18">
        <f t="shared" si="568"/>
        <v>9.8848011891490159E-2</v>
      </c>
      <c r="U420" s="18">
        <f t="shared" si="568"/>
        <v>9.9343022098347597E-2</v>
      </c>
      <c r="V420" s="18">
        <f t="shared" si="568"/>
        <v>9.1440826671865857E-2</v>
      </c>
      <c r="W420" s="18">
        <f t="shared" si="568"/>
        <v>9.5145210229735586E-2</v>
      </c>
      <c r="X420" s="18">
        <f t="shared" si="568"/>
        <v>8.8701684836471756E-2</v>
      </c>
      <c r="Y420" s="18">
        <f t="shared" si="568"/>
        <v>7.4149833802096651E-2</v>
      </c>
      <c r="Z420" s="18">
        <f t="shared" si="568"/>
        <v>5.9010320190526593E-2</v>
      </c>
      <c r="AA420" s="18">
        <f t="shared" si="568"/>
        <v>3.1476323119777161E-2</v>
      </c>
      <c r="AB420" s="18">
        <f t="shared" si="568"/>
        <v>1.9890458345344478E-2</v>
      </c>
      <c r="AC420" s="18">
        <f t="shared" si="568"/>
        <v>1.1370262390670554E-2</v>
      </c>
      <c r="AD420" s="18">
        <f t="shared" si="561"/>
        <v>1.1665208515602217E-3</v>
      </c>
      <c r="AE420" s="18">
        <f t="shared" si="561"/>
        <v>-9.171597633136094E-3</v>
      </c>
      <c r="AF420" s="18">
        <f t="shared" si="562"/>
        <v>-1.9921521279806821E-2</v>
      </c>
      <c r="AG420" s="18">
        <f t="shared" si="562"/>
        <v>-3.1192093885114267E-2</v>
      </c>
      <c r="AH420" s="18">
        <f t="shared" si="563"/>
        <v>-4.2834645669291335E-2</v>
      </c>
      <c r="AI420" s="18">
        <f t="shared" si="563"/>
        <v>-5.432020330368488E-2</v>
      </c>
      <c r="AJ420" s="18">
        <f t="shared" si="563"/>
        <v>-6.6046809874959922E-2</v>
      </c>
      <c r="AK420" s="18">
        <f t="shared" si="563"/>
        <v>-7.8221356702369363E-2</v>
      </c>
      <c r="AL420" s="18"/>
      <c r="AM420" s="18"/>
      <c r="AN420" s="18"/>
      <c r="AO420" s="18"/>
      <c r="AP420" s="18"/>
      <c r="AQ420" s="18"/>
      <c r="AR420" s="18"/>
      <c r="AS420" s="538"/>
      <c r="AT420" s="139"/>
      <c r="AU420" s="139"/>
      <c r="AV420" s="139"/>
      <c r="AW420" s="537"/>
    </row>
    <row r="421" spans="1:49" hidden="1" outlineLevel="1">
      <c r="A421" s="23" t="str">
        <f t="shared" si="564"/>
        <v>Express Dual Gender</v>
      </c>
      <c r="L421" s="18">
        <f t="shared" si="565"/>
        <v>0</v>
      </c>
      <c r="M421" s="18">
        <f t="shared" si="565"/>
        <v>0</v>
      </c>
      <c r="N421" s="18">
        <f t="shared" ref="N421:AC421" si="569">+N380/N$391</f>
        <v>0</v>
      </c>
      <c r="O421" s="18">
        <f t="shared" si="569"/>
        <v>0</v>
      </c>
      <c r="P421" s="18">
        <f t="shared" si="569"/>
        <v>0</v>
      </c>
      <c r="Q421" s="18">
        <f t="shared" si="569"/>
        <v>0</v>
      </c>
      <c r="R421" s="18">
        <f t="shared" si="569"/>
        <v>0</v>
      </c>
      <c r="S421" s="18">
        <f t="shared" si="569"/>
        <v>0</v>
      </c>
      <c r="T421" s="18">
        <f t="shared" si="569"/>
        <v>0</v>
      </c>
      <c r="U421" s="18">
        <f t="shared" si="569"/>
        <v>0</v>
      </c>
      <c r="V421" s="18">
        <f t="shared" si="569"/>
        <v>0</v>
      </c>
      <c r="W421" s="18">
        <f t="shared" si="569"/>
        <v>0</v>
      </c>
      <c r="X421" s="18">
        <f t="shared" si="569"/>
        <v>1.2140733399405352E-2</v>
      </c>
      <c r="Y421" s="18">
        <f t="shared" si="569"/>
        <v>2.6591664535924316E-2</v>
      </c>
      <c r="Z421" s="18">
        <f t="shared" si="569"/>
        <v>5.1071712093146336E-2</v>
      </c>
      <c r="AA421" s="18">
        <f t="shared" si="569"/>
        <v>8.4401114206128128E-2</v>
      </c>
      <c r="AB421" s="18">
        <f t="shared" si="569"/>
        <v>0.11357739982703949</v>
      </c>
      <c r="AC421" s="18">
        <f t="shared" si="569"/>
        <v>0.13673469387755102</v>
      </c>
      <c r="AD421" s="18">
        <f t="shared" si="561"/>
        <v>0.13881598133566639</v>
      </c>
      <c r="AE421" s="18">
        <f t="shared" si="561"/>
        <v>0.14349112426035504</v>
      </c>
      <c r="AF421" s="18">
        <f t="shared" si="562"/>
        <v>0.14910956836703892</v>
      </c>
      <c r="AG421" s="18">
        <f t="shared" si="562"/>
        <v>0.15534280420012353</v>
      </c>
      <c r="AH421" s="18">
        <f t="shared" si="563"/>
        <v>0.16125984251968503</v>
      </c>
      <c r="AI421" s="18">
        <f t="shared" si="563"/>
        <v>0.16550190597204575</v>
      </c>
      <c r="AJ421" s="18">
        <f t="shared" si="563"/>
        <v>0.16992625841615902</v>
      </c>
      <c r="AK421" s="18">
        <f t="shared" si="563"/>
        <v>0.17494320025965596</v>
      </c>
      <c r="AL421" s="18"/>
      <c r="AM421" s="18"/>
      <c r="AN421" s="18"/>
      <c r="AO421" s="18"/>
      <c r="AP421" s="18"/>
      <c r="AQ421" s="18"/>
      <c r="AR421" s="18"/>
      <c r="AS421" s="538"/>
      <c r="AT421" s="139"/>
      <c r="AU421" s="139"/>
      <c r="AV421" s="139"/>
      <c r="AW421" s="537"/>
    </row>
    <row r="422" spans="1:49" hidden="1" outlineLevel="1">
      <c r="A422" s="23" t="str">
        <f t="shared" si="564"/>
        <v>Limited Stores</v>
      </c>
      <c r="L422" s="18">
        <f t="shared" si="565"/>
        <v>0.20719041278295605</v>
      </c>
      <c r="M422" s="18">
        <f t="shared" si="565"/>
        <v>0.1843109203624225</v>
      </c>
      <c r="N422" s="18">
        <f t="shared" ref="N422:AC422" si="570">+N381/N$391</f>
        <v>0.17152542372881355</v>
      </c>
      <c r="O422" s="18">
        <f t="shared" si="570"/>
        <v>0.16136707765520225</v>
      </c>
      <c r="P422" s="18">
        <f t="shared" si="570"/>
        <v>0.14567495377028972</v>
      </c>
      <c r="Q422" s="18">
        <f t="shared" si="570"/>
        <v>0.13004907512268782</v>
      </c>
      <c r="R422" s="18">
        <f t="shared" si="570"/>
        <v>0.11769927214628084</v>
      </c>
      <c r="S422" s="18">
        <f t="shared" si="570"/>
        <v>0.11152482269503546</v>
      </c>
      <c r="T422" s="18">
        <f t="shared" si="570"/>
        <v>0.10237829803047194</v>
      </c>
      <c r="U422" s="18">
        <f t="shared" si="570"/>
        <v>8.8194306191519009E-2</v>
      </c>
      <c r="V422" s="18">
        <f t="shared" si="570"/>
        <v>7.5843244297133947E-2</v>
      </c>
      <c r="W422" s="18">
        <f t="shared" si="570"/>
        <v>7.975726051148678E-2</v>
      </c>
      <c r="X422" s="18">
        <f t="shared" si="570"/>
        <v>8.6967294350842425E-2</v>
      </c>
      <c r="Y422" s="18">
        <f t="shared" si="570"/>
        <v>8.7189976987982615E-2</v>
      </c>
      <c r="Z422" s="18">
        <f t="shared" si="570"/>
        <v>8.5472347181794125E-2</v>
      </c>
      <c r="AA422" s="18">
        <f t="shared" si="570"/>
        <v>8.1337047353760447E-2</v>
      </c>
      <c r="AB422" s="18">
        <f t="shared" si="570"/>
        <v>7.494955318535601E-2</v>
      </c>
      <c r="AC422" s="18">
        <f t="shared" si="570"/>
        <v>6.7930029154518956E-2</v>
      </c>
      <c r="AD422" s="18">
        <f t="shared" si="561"/>
        <v>6.4158646835812197E-2</v>
      </c>
      <c r="AE422" s="18">
        <f t="shared" si="561"/>
        <v>6.2721893491124267E-2</v>
      </c>
      <c r="AF422" s="18">
        <f t="shared" si="562"/>
        <v>6.157561122849381E-2</v>
      </c>
      <c r="AG422" s="18">
        <f t="shared" si="562"/>
        <v>6.0531192093885113E-2</v>
      </c>
      <c r="AH422" s="18">
        <f t="shared" si="563"/>
        <v>5.9212598425196848E-2</v>
      </c>
      <c r="AI422" s="18">
        <f t="shared" si="563"/>
        <v>5.7179161372299871E-2</v>
      </c>
      <c r="AJ422" s="18">
        <f t="shared" si="563"/>
        <v>5.5145880089772364E-2</v>
      </c>
      <c r="AK422" s="18">
        <f t="shared" si="563"/>
        <v>5.3229470950989941E-2</v>
      </c>
      <c r="AL422" s="18"/>
      <c r="AM422" s="18"/>
      <c r="AN422" s="18"/>
      <c r="AO422" s="18"/>
      <c r="AP422" s="18"/>
      <c r="AQ422" s="18"/>
      <c r="AR422" s="18"/>
      <c r="AS422" s="538"/>
      <c r="AT422" s="139"/>
      <c r="AU422" s="139"/>
      <c r="AV422" s="139"/>
      <c r="AW422" s="537"/>
    </row>
    <row r="423" spans="1:49" hidden="1" outlineLevel="1">
      <c r="A423" s="23" t="str">
        <f t="shared" si="564"/>
        <v>Henri Bendel</v>
      </c>
      <c r="L423" s="18">
        <f t="shared" si="565"/>
        <v>1.0652463382157123E-3</v>
      </c>
      <c r="M423" s="18">
        <f t="shared" si="565"/>
        <v>9.5374344301382924E-4</v>
      </c>
      <c r="N423" s="18">
        <f t="shared" ref="N423:AC423" si="571">+N382/N$391</f>
        <v>9.0395480225988699E-4</v>
      </c>
      <c r="O423" s="18">
        <f t="shared" si="571"/>
        <v>8.6523902227990477E-4</v>
      </c>
      <c r="P423" s="18">
        <f t="shared" si="571"/>
        <v>8.2186151633449763E-4</v>
      </c>
      <c r="Q423" s="18">
        <f t="shared" si="571"/>
        <v>7.5500188750471874E-4</v>
      </c>
      <c r="R423" s="18">
        <f t="shared" si="571"/>
        <v>1.0651517841292384E-3</v>
      </c>
      <c r="S423" s="18">
        <f t="shared" si="571"/>
        <v>1.0638297872340426E-3</v>
      </c>
      <c r="T423" s="18">
        <f t="shared" si="571"/>
        <v>1.8580453363062059E-4</v>
      </c>
      <c r="U423" s="18">
        <f t="shared" si="571"/>
        <v>1.9908421262193908E-4</v>
      </c>
      <c r="V423" s="18">
        <f t="shared" si="571"/>
        <v>1.9496977968414895E-4</v>
      </c>
      <c r="W423" s="18">
        <f t="shared" si="571"/>
        <v>2.1673168617251842E-4</v>
      </c>
      <c r="X423" s="18">
        <f t="shared" si="571"/>
        <v>2.4777006937561942E-4</v>
      </c>
      <c r="Y423" s="18">
        <f t="shared" si="571"/>
        <v>2.5568908207619537E-4</v>
      </c>
      <c r="Z423" s="18">
        <f t="shared" si="571"/>
        <v>5.2924053982535059E-4</v>
      </c>
      <c r="AA423" s="18">
        <f t="shared" si="571"/>
        <v>5.5710306406685239E-4</v>
      </c>
      <c r="AB423" s="18">
        <f t="shared" si="571"/>
        <v>5.7653502450273858E-4</v>
      </c>
      <c r="AC423" s="18">
        <f t="shared" si="571"/>
        <v>5.8309037900874635E-4</v>
      </c>
      <c r="AD423" s="18">
        <f t="shared" si="561"/>
        <v>1.4581510644502771E-3</v>
      </c>
      <c r="AE423" s="18">
        <f t="shared" si="561"/>
        <v>3.2544378698224851E-3</v>
      </c>
      <c r="AF423" s="18">
        <f t="shared" si="562"/>
        <v>3.3202535466344703E-3</v>
      </c>
      <c r="AG423" s="18">
        <f t="shared" si="562"/>
        <v>5.8678196417541696E-3</v>
      </c>
      <c r="AH423" s="18">
        <f t="shared" si="563"/>
        <v>9.1338582677165346E-3</v>
      </c>
      <c r="AI423" s="18">
        <f t="shared" si="563"/>
        <v>9.2121982210927565E-3</v>
      </c>
      <c r="AJ423" s="18">
        <f t="shared" si="563"/>
        <v>9.2978518756011534E-3</v>
      </c>
      <c r="AK423" s="18">
        <f t="shared" si="563"/>
        <v>9.4125283998701716E-3</v>
      </c>
      <c r="AL423" s="18"/>
      <c r="AM423" s="18"/>
      <c r="AN423" s="18"/>
      <c r="AO423" s="18"/>
      <c r="AP423" s="18"/>
      <c r="AQ423" s="18"/>
      <c r="AR423" s="18"/>
      <c r="AS423" s="538"/>
      <c r="AT423" s="139"/>
      <c r="AU423" s="139"/>
      <c r="AV423" s="139"/>
      <c r="AW423" s="537"/>
    </row>
    <row r="424" spans="1:49" hidden="1" outlineLevel="1">
      <c r="A424" s="156" t="str">
        <f t="shared" si="564"/>
        <v>Discontinued Businesses</v>
      </c>
      <c r="L424" s="509">
        <f>+SUM(L425:L431)</f>
        <v>0.4801597869507323</v>
      </c>
      <c r="M424" s="509">
        <f t="shared" ref="M424:AC424" si="572">+SUM(M425:M431)</f>
        <v>0.46828803051979018</v>
      </c>
      <c r="N424" s="509">
        <f t="shared" si="572"/>
        <v>0.45785310734463269</v>
      </c>
      <c r="O424" s="509">
        <f t="shared" si="572"/>
        <v>0.44170452087389134</v>
      </c>
      <c r="P424" s="509">
        <f t="shared" si="572"/>
        <v>0.42182042325868091</v>
      </c>
      <c r="Q424" s="509">
        <f t="shared" si="572"/>
        <v>0.41166477916194794</v>
      </c>
      <c r="R424" s="509">
        <f t="shared" si="572"/>
        <v>0.38753772412568793</v>
      </c>
      <c r="S424" s="509">
        <f t="shared" si="572"/>
        <v>0.35425531914893615</v>
      </c>
      <c r="T424" s="509">
        <f t="shared" si="572"/>
        <v>0.31698253437383872</v>
      </c>
      <c r="U424" s="509">
        <f t="shared" si="572"/>
        <v>0.25522596058132591</v>
      </c>
      <c r="V424" s="509">
        <f t="shared" si="572"/>
        <v>0.2364983427568727</v>
      </c>
      <c r="W424" s="509">
        <f t="shared" si="572"/>
        <v>0.11313394018205461</v>
      </c>
      <c r="X424" s="509">
        <f t="shared" si="572"/>
        <v>0</v>
      </c>
      <c r="Y424" s="509">
        <f t="shared" si="572"/>
        <v>0</v>
      </c>
      <c r="Z424" s="509">
        <f t="shared" si="572"/>
        <v>0</v>
      </c>
      <c r="AA424" s="509">
        <f t="shared" si="572"/>
        <v>0</v>
      </c>
      <c r="AB424" s="509">
        <f t="shared" si="572"/>
        <v>0</v>
      </c>
      <c r="AC424" s="509">
        <f t="shared" si="572"/>
        <v>0</v>
      </c>
      <c r="AD424" s="509">
        <f t="shared" ref="AD424:AI424" si="573">+SUM(AD425:AD431)</f>
        <v>0</v>
      </c>
      <c r="AE424" s="509">
        <f t="shared" si="573"/>
        <v>0</v>
      </c>
      <c r="AF424" s="509">
        <f t="shared" si="573"/>
        <v>0</v>
      </c>
      <c r="AG424" s="509">
        <f t="shared" si="573"/>
        <v>0</v>
      </c>
      <c r="AH424" s="509">
        <f t="shared" si="573"/>
        <v>0</v>
      </c>
      <c r="AI424" s="509">
        <f t="shared" si="573"/>
        <v>0</v>
      </c>
      <c r="AJ424" s="509">
        <f>+SUM(AJ425:AJ431)</f>
        <v>0</v>
      </c>
      <c r="AK424" s="509">
        <f>+SUM(AK425:AK431)</f>
        <v>0</v>
      </c>
      <c r="AL424" s="512"/>
      <c r="AM424" s="512"/>
      <c r="AN424" s="512"/>
      <c r="AO424" s="512"/>
      <c r="AP424" s="512"/>
      <c r="AQ424" s="512"/>
      <c r="AR424" s="512"/>
      <c r="AS424" s="538"/>
      <c r="AT424" s="139"/>
      <c r="AU424" s="139"/>
      <c r="AV424" s="139"/>
      <c r="AW424" s="537"/>
    </row>
    <row r="425" spans="1:49" hidden="1" outlineLevel="1">
      <c r="A425" s="23" t="str">
        <f t="shared" si="564"/>
        <v>Lerner</v>
      </c>
      <c r="L425" s="18">
        <f t="shared" si="565"/>
        <v>0.2284953395472703</v>
      </c>
      <c r="M425" s="18">
        <f t="shared" si="565"/>
        <v>0.21697663328564615</v>
      </c>
      <c r="N425" s="18">
        <f t="shared" ref="N425:AC425" si="574">+N384/N$391</f>
        <v>0.20677966101694914</v>
      </c>
      <c r="O425" s="18">
        <f t="shared" si="574"/>
        <v>0.18970365563486913</v>
      </c>
      <c r="P425" s="18">
        <f t="shared" si="574"/>
        <v>0.17382371070474625</v>
      </c>
      <c r="Q425" s="18">
        <f t="shared" si="574"/>
        <v>0.15760664401661004</v>
      </c>
      <c r="R425" s="18">
        <f t="shared" si="574"/>
        <v>0.13917983312622048</v>
      </c>
      <c r="S425" s="18">
        <f t="shared" si="574"/>
        <v>0.13226950354609929</v>
      </c>
      <c r="T425" s="18">
        <f t="shared" si="574"/>
        <v>0.11947231512448904</v>
      </c>
      <c r="U425" s="18">
        <f t="shared" si="574"/>
        <v>0.11825602229743182</v>
      </c>
      <c r="V425" s="18">
        <f t="shared" si="574"/>
        <v>0.10918307662312342</v>
      </c>
      <c r="W425" s="18">
        <f t="shared" si="574"/>
        <v>0.11313394018205461</v>
      </c>
      <c r="X425" s="18">
        <f t="shared" si="574"/>
        <v>0</v>
      </c>
      <c r="Y425" s="18">
        <f t="shared" si="574"/>
        <v>0</v>
      </c>
      <c r="Z425" s="18">
        <f t="shared" si="574"/>
        <v>0</v>
      </c>
      <c r="AA425" s="18">
        <f t="shared" si="574"/>
        <v>0</v>
      </c>
      <c r="AB425" s="18">
        <f t="shared" si="574"/>
        <v>0</v>
      </c>
      <c r="AC425" s="18">
        <f t="shared" si="574"/>
        <v>0</v>
      </c>
      <c r="AD425" s="18">
        <f t="shared" ref="AD425:AE431" si="575">+AD384/AD$391</f>
        <v>0</v>
      </c>
      <c r="AE425" s="18">
        <f t="shared" si="575"/>
        <v>0</v>
      </c>
      <c r="AF425" s="18">
        <f t="shared" ref="AF425:AG431" si="576">+AF384/AF$391</f>
        <v>0</v>
      </c>
      <c r="AG425" s="18">
        <f t="shared" si="576"/>
        <v>0</v>
      </c>
      <c r="AH425" s="18">
        <f t="shared" ref="AH425:AK431" si="577">+AH384/AH$391</f>
        <v>0</v>
      </c>
      <c r="AI425" s="18">
        <f t="shared" si="577"/>
        <v>0</v>
      </c>
      <c r="AJ425" s="18">
        <f t="shared" si="577"/>
        <v>0</v>
      </c>
      <c r="AK425" s="18">
        <f t="shared" si="577"/>
        <v>0</v>
      </c>
      <c r="AL425" s="18"/>
      <c r="AM425" s="18"/>
      <c r="AN425" s="18"/>
      <c r="AO425" s="18"/>
      <c r="AP425" s="18"/>
      <c r="AQ425" s="18"/>
      <c r="AR425" s="18"/>
      <c r="AS425" s="538"/>
      <c r="AT425" s="139"/>
      <c r="AU425" s="139"/>
      <c r="AV425" s="139"/>
      <c r="AW425" s="537"/>
    </row>
    <row r="426" spans="1:49" hidden="1" outlineLevel="1">
      <c r="A426" s="23" t="str">
        <f t="shared" si="564"/>
        <v>Lane Bryant</v>
      </c>
      <c r="L426" s="18">
        <f t="shared" si="565"/>
        <v>0.20026631158455394</v>
      </c>
      <c r="M426" s="18">
        <f t="shared" si="565"/>
        <v>0.18741058655221746</v>
      </c>
      <c r="N426" s="18">
        <f t="shared" ref="N426:AC426" si="578">+N385/N$391</f>
        <v>0.18282485875706214</v>
      </c>
      <c r="O426" s="18">
        <f t="shared" si="578"/>
        <v>0.17672507030067056</v>
      </c>
      <c r="P426" s="18">
        <f t="shared" si="578"/>
        <v>0.16683788781590303</v>
      </c>
      <c r="Q426" s="18">
        <f t="shared" si="578"/>
        <v>0.15628539071347677</v>
      </c>
      <c r="R426" s="18">
        <f t="shared" si="578"/>
        <v>0.14770104739925438</v>
      </c>
      <c r="S426" s="18">
        <f t="shared" si="578"/>
        <v>0.13705673758865247</v>
      </c>
      <c r="T426" s="18">
        <f t="shared" si="578"/>
        <v>0.13563730955035302</v>
      </c>
      <c r="U426" s="18">
        <f t="shared" si="578"/>
        <v>0.13696993828389409</v>
      </c>
      <c r="V426" s="18">
        <f t="shared" si="578"/>
        <v>0.12731526613374927</v>
      </c>
      <c r="W426" s="18">
        <f t="shared" si="578"/>
        <v>0</v>
      </c>
      <c r="X426" s="18">
        <f t="shared" si="578"/>
        <v>0</v>
      </c>
      <c r="Y426" s="18">
        <f t="shared" si="578"/>
        <v>0</v>
      </c>
      <c r="Z426" s="18">
        <f t="shared" si="578"/>
        <v>0</v>
      </c>
      <c r="AA426" s="18">
        <f t="shared" si="578"/>
        <v>0</v>
      </c>
      <c r="AB426" s="18">
        <f t="shared" si="578"/>
        <v>0</v>
      </c>
      <c r="AC426" s="18">
        <f t="shared" si="578"/>
        <v>0</v>
      </c>
      <c r="AD426" s="18">
        <f t="shared" si="575"/>
        <v>0</v>
      </c>
      <c r="AE426" s="18">
        <f t="shared" si="575"/>
        <v>0</v>
      </c>
      <c r="AF426" s="18">
        <f t="shared" si="576"/>
        <v>0</v>
      </c>
      <c r="AG426" s="18">
        <f t="shared" si="576"/>
        <v>0</v>
      </c>
      <c r="AH426" s="18">
        <f t="shared" si="577"/>
        <v>0</v>
      </c>
      <c r="AI426" s="18">
        <f t="shared" si="577"/>
        <v>0</v>
      </c>
      <c r="AJ426" s="18">
        <f t="shared" si="577"/>
        <v>0</v>
      </c>
      <c r="AK426" s="18">
        <f t="shared" si="577"/>
        <v>0</v>
      </c>
      <c r="AL426" s="18"/>
      <c r="AM426" s="18"/>
      <c r="AN426" s="18"/>
      <c r="AO426" s="18"/>
      <c r="AP426" s="18"/>
      <c r="AQ426" s="18"/>
      <c r="AR426" s="18"/>
      <c r="AS426" s="538"/>
      <c r="AT426" s="139"/>
      <c r="AU426" s="139"/>
      <c r="AV426" s="139"/>
      <c r="AW426" s="537"/>
    </row>
    <row r="427" spans="1:49" hidden="1" outlineLevel="1">
      <c r="A427" s="23" t="str">
        <f t="shared" si="564"/>
        <v>Galyans</v>
      </c>
      <c r="L427" s="18">
        <f t="shared" si="565"/>
        <v>0</v>
      </c>
      <c r="M427" s="18">
        <f t="shared" si="565"/>
        <v>0</v>
      </c>
      <c r="N427" s="18">
        <f t="shared" ref="N427:AC427" si="579">+N386/N$391</f>
        <v>0</v>
      </c>
      <c r="O427" s="18">
        <f t="shared" si="579"/>
        <v>0</v>
      </c>
      <c r="P427" s="18">
        <f t="shared" si="579"/>
        <v>0</v>
      </c>
      <c r="Q427" s="18">
        <f t="shared" si="579"/>
        <v>1.1325028312570782E-3</v>
      </c>
      <c r="R427" s="18">
        <f t="shared" si="579"/>
        <v>1.5977276761938576E-3</v>
      </c>
      <c r="S427" s="18">
        <f t="shared" si="579"/>
        <v>1.950354609929078E-3</v>
      </c>
      <c r="T427" s="18">
        <f t="shared" si="579"/>
        <v>2.601263470828688E-3</v>
      </c>
      <c r="U427" s="18">
        <f t="shared" si="579"/>
        <v>0</v>
      </c>
      <c r="V427" s="18">
        <f t="shared" si="579"/>
        <v>0</v>
      </c>
      <c r="W427" s="18">
        <f t="shared" si="579"/>
        <v>0</v>
      </c>
      <c r="X427" s="18">
        <f t="shared" si="579"/>
        <v>0</v>
      </c>
      <c r="Y427" s="18">
        <f t="shared" si="579"/>
        <v>0</v>
      </c>
      <c r="Z427" s="18">
        <f t="shared" si="579"/>
        <v>0</v>
      </c>
      <c r="AA427" s="18">
        <f t="shared" si="579"/>
        <v>0</v>
      </c>
      <c r="AB427" s="18">
        <f t="shared" si="579"/>
        <v>0</v>
      </c>
      <c r="AC427" s="18">
        <f t="shared" si="579"/>
        <v>0</v>
      </c>
      <c r="AD427" s="18">
        <f t="shared" si="575"/>
        <v>0</v>
      </c>
      <c r="AE427" s="18">
        <f t="shared" si="575"/>
        <v>0</v>
      </c>
      <c r="AF427" s="18">
        <f t="shared" si="576"/>
        <v>0</v>
      </c>
      <c r="AG427" s="18">
        <f t="shared" si="576"/>
        <v>0</v>
      </c>
      <c r="AH427" s="18">
        <f t="shared" si="577"/>
        <v>0</v>
      </c>
      <c r="AI427" s="18">
        <f t="shared" si="577"/>
        <v>0</v>
      </c>
      <c r="AJ427" s="18">
        <f t="shared" si="577"/>
        <v>0</v>
      </c>
      <c r="AK427" s="18">
        <f t="shared" si="577"/>
        <v>0</v>
      </c>
      <c r="AL427" s="18"/>
      <c r="AM427" s="18"/>
      <c r="AN427" s="18"/>
      <c r="AO427" s="18"/>
      <c r="AP427" s="18"/>
      <c r="AQ427" s="18"/>
      <c r="AR427" s="18"/>
      <c r="AS427" s="538"/>
      <c r="AT427" s="139"/>
      <c r="AU427" s="139"/>
      <c r="AV427" s="139"/>
      <c r="AW427" s="537"/>
    </row>
    <row r="428" spans="1:49" hidden="1" outlineLevel="1">
      <c r="A428" s="23" t="str">
        <f t="shared" si="564"/>
        <v>Cacique</v>
      </c>
      <c r="L428" s="18">
        <f t="shared" si="565"/>
        <v>1.3581890812250332E-2</v>
      </c>
      <c r="M428" s="18">
        <f t="shared" si="565"/>
        <v>1.2875536480686695E-2</v>
      </c>
      <c r="N428" s="18">
        <f t="shared" ref="N428:AC428" si="580">+N387/N$391</f>
        <v>1.6045197740112996E-2</v>
      </c>
      <c r="O428" s="18">
        <f t="shared" si="580"/>
        <v>2.336145360155743E-2</v>
      </c>
      <c r="P428" s="18">
        <f t="shared" si="580"/>
        <v>2.3423053215533184E-2</v>
      </c>
      <c r="Q428" s="18">
        <f t="shared" si="580"/>
        <v>2.2650056625141562E-2</v>
      </c>
      <c r="R428" s="18">
        <f t="shared" si="580"/>
        <v>2.1125510385229897E-2</v>
      </c>
      <c r="S428" s="18">
        <f t="shared" si="580"/>
        <v>0</v>
      </c>
      <c r="T428" s="18">
        <f t="shared" si="580"/>
        <v>0</v>
      </c>
      <c r="U428" s="18">
        <f t="shared" si="580"/>
        <v>0</v>
      </c>
      <c r="V428" s="18">
        <f t="shared" si="580"/>
        <v>0</v>
      </c>
      <c r="W428" s="18">
        <f t="shared" si="580"/>
        <v>0</v>
      </c>
      <c r="X428" s="18">
        <f t="shared" si="580"/>
        <v>0</v>
      </c>
      <c r="Y428" s="18">
        <f t="shared" si="580"/>
        <v>0</v>
      </c>
      <c r="Z428" s="18">
        <f t="shared" si="580"/>
        <v>0</v>
      </c>
      <c r="AA428" s="18">
        <f t="shared" si="580"/>
        <v>0</v>
      </c>
      <c r="AB428" s="18">
        <f t="shared" si="580"/>
        <v>0</v>
      </c>
      <c r="AC428" s="18">
        <f t="shared" si="580"/>
        <v>0</v>
      </c>
      <c r="AD428" s="18">
        <f t="shared" si="575"/>
        <v>0</v>
      </c>
      <c r="AE428" s="18">
        <f t="shared" si="575"/>
        <v>0</v>
      </c>
      <c r="AF428" s="18">
        <f t="shared" si="576"/>
        <v>0</v>
      </c>
      <c r="AG428" s="18">
        <f t="shared" si="576"/>
        <v>0</v>
      </c>
      <c r="AH428" s="18">
        <f t="shared" si="577"/>
        <v>0</v>
      </c>
      <c r="AI428" s="18">
        <f t="shared" si="577"/>
        <v>0</v>
      </c>
      <c r="AJ428" s="18">
        <f t="shared" si="577"/>
        <v>0</v>
      </c>
      <c r="AK428" s="18">
        <f t="shared" si="577"/>
        <v>0</v>
      </c>
      <c r="AL428" s="18"/>
      <c r="AM428" s="18"/>
      <c r="AN428" s="18"/>
      <c r="AO428" s="18"/>
      <c r="AP428" s="18"/>
      <c r="AQ428" s="18"/>
      <c r="AR428" s="18"/>
      <c r="AS428" s="538"/>
      <c r="AT428" s="139"/>
      <c r="AU428" s="139"/>
      <c r="AV428" s="139"/>
      <c r="AW428" s="537"/>
    </row>
    <row r="429" spans="1:49" hidden="1" outlineLevel="1">
      <c r="A429" s="23" t="str">
        <f t="shared" si="564"/>
        <v>Abercrombie &amp; Fitch</v>
      </c>
      <c r="L429" s="18">
        <f t="shared" si="565"/>
        <v>7.1904127829560587E-3</v>
      </c>
      <c r="M429" s="18">
        <f t="shared" si="565"/>
        <v>8.5836909871244635E-3</v>
      </c>
      <c r="N429" s="18">
        <f t="shared" ref="N429:AC429" si="581">+N388/N$391</f>
        <v>9.0395480225988704E-3</v>
      </c>
      <c r="O429" s="18">
        <f t="shared" si="581"/>
        <v>1.0599178022928835E-2</v>
      </c>
      <c r="P429" s="18">
        <f t="shared" si="581"/>
        <v>1.3766180398602836E-2</v>
      </c>
      <c r="Q429" s="18">
        <f t="shared" si="581"/>
        <v>1.8875047187617969E-2</v>
      </c>
      <c r="R429" s="18">
        <f t="shared" si="581"/>
        <v>2.254571276406888E-2</v>
      </c>
      <c r="S429" s="18">
        <f t="shared" si="581"/>
        <v>2.7659574468085105E-2</v>
      </c>
      <c r="T429" s="18">
        <f t="shared" si="581"/>
        <v>0</v>
      </c>
      <c r="U429" s="18">
        <f t="shared" si="581"/>
        <v>0</v>
      </c>
      <c r="V429" s="18">
        <f t="shared" si="581"/>
        <v>0</v>
      </c>
      <c r="W429" s="18">
        <f t="shared" si="581"/>
        <v>0</v>
      </c>
      <c r="X429" s="18">
        <f t="shared" si="581"/>
        <v>0</v>
      </c>
      <c r="Y429" s="18">
        <f t="shared" si="581"/>
        <v>0</v>
      </c>
      <c r="Z429" s="18">
        <f t="shared" si="581"/>
        <v>0</v>
      </c>
      <c r="AA429" s="18">
        <f t="shared" si="581"/>
        <v>0</v>
      </c>
      <c r="AB429" s="18">
        <f t="shared" si="581"/>
        <v>0</v>
      </c>
      <c r="AC429" s="18">
        <f t="shared" si="581"/>
        <v>0</v>
      </c>
      <c r="AD429" s="18">
        <f t="shared" si="575"/>
        <v>0</v>
      </c>
      <c r="AE429" s="18">
        <f t="shared" si="575"/>
        <v>0</v>
      </c>
      <c r="AF429" s="18">
        <f t="shared" si="576"/>
        <v>0</v>
      </c>
      <c r="AG429" s="18">
        <f t="shared" si="576"/>
        <v>0</v>
      </c>
      <c r="AH429" s="18">
        <f t="shared" si="577"/>
        <v>0</v>
      </c>
      <c r="AI429" s="18">
        <f t="shared" si="577"/>
        <v>0</v>
      </c>
      <c r="AJ429" s="18">
        <f t="shared" si="577"/>
        <v>0</v>
      </c>
      <c r="AK429" s="18">
        <f t="shared" si="577"/>
        <v>0</v>
      </c>
      <c r="AL429" s="18"/>
      <c r="AM429" s="18"/>
      <c r="AN429" s="18"/>
      <c r="AO429" s="18"/>
      <c r="AP429" s="18"/>
      <c r="AQ429" s="18"/>
      <c r="AR429" s="18"/>
      <c r="AS429" s="538"/>
      <c r="AT429" s="139"/>
      <c r="AU429" s="139"/>
      <c r="AV429" s="139"/>
      <c r="AW429" s="537"/>
    </row>
    <row r="430" spans="1:49" hidden="1" outlineLevel="1">
      <c r="A430" s="23" t="str">
        <f t="shared" si="564"/>
        <v>Limited Too</v>
      </c>
      <c r="L430" s="18">
        <f t="shared" si="565"/>
        <v>2.8761651131824235E-2</v>
      </c>
      <c r="M430" s="18">
        <f t="shared" si="565"/>
        <v>4.1010968049594657E-2</v>
      </c>
      <c r="N430" s="18">
        <f t="shared" ref="N430:AC430" si="582">+N389/N$391</f>
        <v>4.1807909604519772E-2</v>
      </c>
      <c r="O430" s="18">
        <f t="shared" si="582"/>
        <v>3.9800995024875621E-2</v>
      </c>
      <c r="P430" s="18">
        <f t="shared" si="582"/>
        <v>4.3147729607561129E-2</v>
      </c>
      <c r="Q430" s="18">
        <f t="shared" si="582"/>
        <v>5.4360135900339751E-2</v>
      </c>
      <c r="R430" s="18">
        <f t="shared" si="582"/>
        <v>5.4677791585300908E-2</v>
      </c>
      <c r="S430" s="18">
        <f t="shared" si="582"/>
        <v>5.5319148936170209E-2</v>
      </c>
      <c r="T430" s="18">
        <f t="shared" si="582"/>
        <v>5.9271646228167968E-2</v>
      </c>
      <c r="U430" s="18">
        <f t="shared" si="582"/>
        <v>0</v>
      </c>
      <c r="V430" s="18">
        <f t="shared" si="582"/>
        <v>0</v>
      </c>
      <c r="W430" s="18">
        <f t="shared" si="582"/>
        <v>0</v>
      </c>
      <c r="X430" s="18">
        <f t="shared" si="582"/>
        <v>0</v>
      </c>
      <c r="Y430" s="18">
        <f t="shared" si="582"/>
        <v>0</v>
      </c>
      <c r="Z430" s="18">
        <f t="shared" si="582"/>
        <v>0</v>
      </c>
      <c r="AA430" s="18">
        <f t="shared" si="582"/>
        <v>0</v>
      </c>
      <c r="AB430" s="18">
        <f t="shared" si="582"/>
        <v>0</v>
      </c>
      <c r="AC430" s="18">
        <f t="shared" si="582"/>
        <v>0</v>
      </c>
      <c r="AD430" s="18">
        <f t="shared" si="575"/>
        <v>0</v>
      </c>
      <c r="AE430" s="18">
        <f t="shared" si="575"/>
        <v>0</v>
      </c>
      <c r="AF430" s="18">
        <f t="shared" si="576"/>
        <v>0</v>
      </c>
      <c r="AG430" s="18">
        <f t="shared" si="576"/>
        <v>0</v>
      </c>
      <c r="AH430" s="18">
        <f t="shared" si="577"/>
        <v>0</v>
      </c>
      <c r="AI430" s="18">
        <f t="shared" si="577"/>
        <v>0</v>
      </c>
      <c r="AJ430" s="18">
        <f t="shared" si="577"/>
        <v>0</v>
      </c>
      <c r="AK430" s="18">
        <f t="shared" si="577"/>
        <v>0</v>
      </c>
      <c r="AL430" s="18"/>
      <c r="AM430" s="18"/>
      <c r="AN430" s="18"/>
      <c r="AO430" s="18"/>
      <c r="AP430" s="18"/>
      <c r="AQ430" s="18"/>
      <c r="AR430" s="18"/>
      <c r="AS430" s="538"/>
      <c r="AT430" s="139"/>
      <c r="AU430" s="139"/>
      <c r="AV430" s="139"/>
      <c r="AW430" s="537"/>
    </row>
    <row r="431" spans="1:49" hidden="1" outlineLevel="1">
      <c r="A431" s="23" t="str">
        <f t="shared" si="564"/>
        <v>Penhaligon's</v>
      </c>
      <c r="L431" s="509">
        <f t="shared" si="565"/>
        <v>1.8641810918774966E-3</v>
      </c>
      <c r="M431" s="509">
        <f t="shared" si="565"/>
        <v>1.4306151645207439E-3</v>
      </c>
      <c r="N431" s="509">
        <f t="shared" ref="N431:AC431" si="583">+N390/N$391</f>
        <v>1.3559322033898306E-3</v>
      </c>
      <c r="O431" s="509">
        <f t="shared" si="583"/>
        <v>1.5141682889898333E-3</v>
      </c>
      <c r="P431" s="509">
        <f t="shared" si="583"/>
        <v>8.2186151633449763E-4</v>
      </c>
      <c r="Q431" s="509">
        <f t="shared" si="583"/>
        <v>7.5500188750471874E-4</v>
      </c>
      <c r="R431" s="509">
        <f t="shared" si="583"/>
        <v>7.1010118941949223E-4</v>
      </c>
      <c r="S431" s="509">
        <f t="shared" si="583"/>
        <v>0</v>
      </c>
      <c r="T431" s="509">
        <f t="shared" si="583"/>
        <v>0</v>
      </c>
      <c r="U431" s="509">
        <f t="shared" si="583"/>
        <v>0</v>
      </c>
      <c r="V431" s="509">
        <f t="shared" si="583"/>
        <v>0</v>
      </c>
      <c r="W431" s="509">
        <f t="shared" si="583"/>
        <v>0</v>
      </c>
      <c r="X431" s="509">
        <f t="shared" si="583"/>
        <v>0</v>
      </c>
      <c r="Y431" s="509">
        <f t="shared" si="583"/>
        <v>0</v>
      </c>
      <c r="Z431" s="509">
        <f t="shared" si="583"/>
        <v>0</v>
      </c>
      <c r="AA431" s="509">
        <f t="shared" si="583"/>
        <v>0</v>
      </c>
      <c r="AB431" s="509">
        <f t="shared" si="583"/>
        <v>0</v>
      </c>
      <c r="AC431" s="509">
        <f t="shared" si="583"/>
        <v>0</v>
      </c>
      <c r="AD431" s="509">
        <f t="shared" si="575"/>
        <v>0</v>
      </c>
      <c r="AE431" s="509">
        <f t="shared" si="575"/>
        <v>0</v>
      </c>
      <c r="AF431" s="509">
        <f t="shared" si="576"/>
        <v>0</v>
      </c>
      <c r="AG431" s="509">
        <f t="shared" si="576"/>
        <v>0</v>
      </c>
      <c r="AH431" s="509">
        <f t="shared" si="577"/>
        <v>0</v>
      </c>
      <c r="AI431" s="509">
        <f t="shared" si="577"/>
        <v>0</v>
      </c>
      <c r="AJ431" s="509">
        <f t="shared" si="577"/>
        <v>0</v>
      </c>
      <c r="AK431" s="509">
        <f t="shared" si="577"/>
        <v>0</v>
      </c>
      <c r="AL431" s="512"/>
      <c r="AM431" s="512"/>
      <c r="AN431" s="512"/>
      <c r="AO431" s="512"/>
      <c r="AP431" s="512"/>
      <c r="AQ431" s="512"/>
      <c r="AR431" s="512"/>
      <c r="AS431" s="538"/>
      <c r="AT431" s="139"/>
      <c r="AU431" s="139"/>
      <c r="AV431" s="139"/>
      <c r="AW431" s="537"/>
    </row>
    <row r="432" spans="1:49" hidden="1" outlineLevel="1" collapsed="1">
      <c r="A432" s="482" t="str">
        <f t="shared" si="564"/>
        <v>Limited Brands</v>
      </c>
      <c r="L432" s="18">
        <f>+SUM(L417:L424)</f>
        <v>1</v>
      </c>
      <c r="M432" s="18">
        <f t="shared" ref="M432:AC432" si="584">+SUM(M417:M424)</f>
        <v>0.99999999999999989</v>
      </c>
      <c r="N432" s="18">
        <f t="shared" si="584"/>
        <v>1</v>
      </c>
      <c r="O432" s="18">
        <f t="shared" si="584"/>
        <v>0.99999999999999989</v>
      </c>
      <c r="P432" s="18">
        <f t="shared" si="584"/>
        <v>1</v>
      </c>
      <c r="Q432" s="18">
        <f t="shared" si="584"/>
        <v>1.0000000000000002</v>
      </c>
      <c r="R432" s="18">
        <f t="shared" si="584"/>
        <v>1</v>
      </c>
      <c r="S432" s="18">
        <f t="shared" si="584"/>
        <v>1</v>
      </c>
      <c r="T432" s="18">
        <f t="shared" si="584"/>
        <v>1</v>
      </c>
      <c r="U432" s="18">
        <f t="shared" si="584"/>
        <v>1</v>
      </c>
      <c r="V432" s="18">
        <f t="shared" si="584"/>
        <v>1</v>
      </c>
      <c r="W432" s="18">
        <f t="shared" si="584"/>
        <v>1</v>
      </c>
      <c r="X432" s="18">
        <f t="shared" si="584"/>
        <v>1</v>
      </c>
      <c r="Y432" s="18">
        <f t="shared" si="584"/>
        <v>0.99999999999999989</v>
      </c>
      <c r="Z432" s="18">
        <f t="shared" si="584"/>
        <v>1</v>
      </c>
      <c r="AA432" s="18">
        <f t="shared" si="584"/>
        <v>1</v>
      </c>
      <c r="AB432" s="18">
        <f t="shared" si="584"/>
        <v>1.0000000000000002</v>
      </c>
      <c r="AC432" s="18">
        <f t="shared" si="584"/>
        <v>0.99999999999999989</v>
      </c>
      <c r="AD432" s="18">
        <f t="shared" ref="AD432:AI432" si="585">+SUM(AD417:AD424)</f>
        <v>1</v>
      </c>
      <c r="AE432" s="18">
        <f t="shared" si="585"/>
        <v>0.99999999999999989</v>
      </c>
      <c r="AF432" s="18">
        <f t="shared" si="585"/>
        <v>0.99999999999999989</v>
      </c>
      <c r="AG432" s="18">
        <f t="shared" si="585"/>
        <v>1</v>
      </c>
      <c r="AH432" s="18">
        <f t="shared" si="585"/>
        <v>1</v>
      </c>
      <c r="AI432" s="18">
        <f t="shared" si="585"/>
        <v>0.99999999999999989</v>
      </c>
      <c r="AJ432" s="18">
        <f>+SUM(AJ417:AJ424)</f>
        <v>1</v>
      </c>
      <c r="AK432" s="18">
        <f>+SUM(AK417:AK424)</f>
        <v>0.99999999999999989</v>
      </c>
      <c r="AL432" s="18"/>
      <c r="AM432" s="18"/>
      <c r="AN432" s="18"/>
      <c r="AO432" s="18"/>
      <c r="AP432" s="18"/>
      <c r="AQ432" s="18"/>
      <c r="AR432" s="18"/>
      <c r="AS432" s="539"/>
      <c r="AT432" s="137"/>
      <c r="AU432" s="137"/>
      <c r="AV432" s="137"/>
      <c r="AW432" s="540"/>
    </row>
    <row r="433" collapsed="1"/>
  </sheetData>
  <phoneticPr fontId="0" type="noConversion"/>
  <dataValidations count="1">
    <dataValidation type="custom" allowBlank="1" showInputMessage="1" showErrorMessage="1" sqref="AZ183:BG184 AY182 AY241:BL241 BB252:BC252 BD253:BG253 BD248:BG251 AW261:AZ261 AW250:AX260 AX238 AX241:AX246 AX234:BL237 AY252:AY254 AX239:BL239 AX248:AX249 AY255:BG260 AY159:BL163 AY248:BC250 AX190:AX193 AY167:BL167 AY165:BL165 AX167:AX182 AY191:BG193 AY130:BS131 AY129 AY127 BH248:BL260 AY123 AY120:BA122 AX113:BS118 AX5:BP5 AX7:BG13 AY71:AY74 AU66:AU70 AZ72:BA74 AY76:BA78 AY124:BA126 AY88:BG89 AY80:BS81 AY133:BS134 AW349:AW354 AT136:AW144 AW325:AW330 AW333:AW338 AW114:AW118 AW159:AW193 AW228:AW249 AT88:AW89 AW346 AY174:BL179 AS90:BG91 M295:M307 AT373:AV374 L13:V13 AT4:AV5 AS59 A53 A55:A58 AW60:AW62 AW72:AW77 AS81:AS89 B107:M128 A96:K98 L93:M98 A107 A109:A128 L141:M144 A140:K140 K132 N141:T143 A144:K144 B159:K193 AS159:AS214 A155:A193 L159:U161 A153 AT180:AV190 AT160:AV178 AT192:AV193 V160:Y173 S162:U173 L162:R187 AT210:AV214 A194:K220 AT195:AV208 AT228:AV239 A228 AT248:AV249 AT241:AV246 AT257:AV261 A230:A249 A250:K267 AT251:AV255 A275:K308 S277:S282 L277:R284 L285:L307 N295:X305 S284 M285:X294 BH180:BL193 AX59:BS66 AY68:BA70 A28 N113:Y128 BH8:BP13 AY153:BL157 AX228:BL232 A59:Y62 AW120:AW125 AV48:AW50 AW82:AW86 AW64:AW70 AW79:AW80 AX68:AX89 AW127:AW128 AW130:AW134 AX120:AX144 AU64 AS46:AU50 L81:AR83 S175:AR187 AS113:AS144 AY141:BO144 Z114:AK128 AU79:AU80 AU82:AU86 AU72:AU77 AU60:AU62 AU130:AU134 AU120:AU125 AU114:AU118 AU127:AU128 L99:AR100 L102:AR103 L213:AR219 L188:AR211 L50:AR50 L43:AR43 Z159:AR173 N96:AR96 A63:AS80 L225:AR226 L222:AR223 L272:AR273 L269:AR270 L264:AR266 T277:AR284 N307:AR307 Y285:AR305 L85:AR91 L146:AR147 L149:AR150 L129:AK140 BM153:IW193 AX46:IW50 AW194:IW214 AS275:IW308 AS269:IW273 AS262:IW267 AS222:IW226 AS215:IW220 AS93:IW103 AS146:IW150 BD261:IW261 BM228:IW260 BB68:BS78 AL114:AR140 O46:AR46 BH88:BS91 B53:AW58 N107:AW112 B153:AX158 L250:AS261 B228:AS249 BP140:BS144 A316:XFD316 A311:XFD311 A92:XFD92 Z60:AS62 BT53:IW91 AX53:BS57 BT107:IW144 AX107:BS111 BB120:BS126">
      <formula1>-1</formula1>
    </dataValidation>
  </dataValidations>
  <printOptions horizontalCentered="1"/>
  <pageMargins left="0.15" right="0.14000000000000001" top="0.5" bottom="0.25" header="0.5" footer="0.5"/>
  <pageSetup scale="70" orientation="landscape" r:id="rId1"/>
  <headerFooter alignWithMargins="0"/>
  <rowBreaks count="4" manualBreakCount="4">
    <brk id="52" max="16383" man="1"/>
    <brk id="106" max="16383" man="1"/>
    <brk id="311" max="16383" man="1"/>
    <brk id="370" max="16383" man="1"/>
  </rowBreaks>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pageSetUpPr fitToPage="1"/>
  </sheetPr>
  <dimension ref="A1:DU552"/>
  <sheetViews>
    <sheetView showGridLines="0" zoomScaleNormal="100" workbookViewId="0">
      <pane xSplit="3" ySplit="7" topLeftCell="H157" activePane="bottomRight" state="frozen"/>
      <selection pane="topRight" activeCell="D1" sqref="D1"/>
      <selection pane="bottomLeft" activeCell="A8" sqref="A8"/>
      <selection pane="bottomRight" activeCell="V188" sqref="V188"/>
    </sheetView>
  </sheetViews>
  <sheetFormatPr defaultColWidth="8.85546875" defaultRowHeight="12.75" outlineLevelRow="1" outlineLevelCol="1"/>
  <cols>
    <col min="1" max="1" width="3" customWidth="1"/>
    <col min="2" max="2" width="5.140625" customWidth="1"/>
    <col min="3" max="3" width="0.85546875" customWidth="1"/>
    <col min="4" max="4" width="5.7109375" hidden="1" customWidth="1" outlineLevel="1"/>
    <col min="5" max="5" width="4.140625" hidden="1" customWidth="1" outlineLevel="1"/>
    <col min="6" max="6" width="5.7109375" hidden="1" customWidth="1" outlineLevel="1"/>
    <col min="7" max="7" width="4.140625" hidden="1" customWidth="1" outlineLevel="1"/>
    <col min="8" max="8" width="7.5703125" customWidth="1" collapsed="1"/>
    <col min="9" max="9" width="4.140625" customWidth="1"/>
    <col min="10" max="10" width="8.85546875" customWidth="1"/>
    <col min="11" max="11" width="4.140625" customWidth="1"/>
    <col min="12" max="12" width="9.85546875" customWidth="1"/>
    <col min="13" max="13" width="4.7109375" customWidth="1"/>
    <col min="14" max="14" width="6.140625" hidden="1" customWidth="1" outlineLevel="1"/>
    <col min="15" max="15" width="4.140625" hidden="1" customWidth="1" outlineLevel="1"/>
    <col min="16" max="16" width="4.42578125" hidden="1" customWidth="1" outlineLevel="1"/>
    <col min="17" max="17" width="4.140625" hidden="1" customWidth="1" outlineLevel="1"/>
    <col min="18" max="18" width="4.85546875" hidden="1" customWidth="1" outlineLevel="1"/>
    <col min="19" max="19" width="4.140625" hidden="1" customWidth="1" outlineLevel="1"/>
    <col min="20" max="20" width="6.28515625" hidden="1" customWidth="1" outlineLevel="1"/>
    <col min="21" max="21" width="4.140625" hidden="1" customWidth="1" outlineLevel="1"/>
    <col min="22" max="22" width="8.85546875" customWidth="1" collapsed="1"/>
    <col min="23" max="23" width="5.42578125" customWidth="1"/>
    <col min="24" max="24" width="4.5703125" customWidth="1"/>
    <col min="25" max="25" width="4.85546875" customWidth="1"/>
    <col min="26" max="26" width="6.28515625" hidden="1" customWidth="1" outlineLevel="1"/>
    <col min="27" max="27" width="5" hidden="1" customWidth="1" outlineLevel="1"/>
    <col min="28" max="28" width="5.28515625" hidden="1" customWidth="1" outlineLevel="1"/>
    <col min="29" max="29" width="4.140625" hidden="1" customWidth="1" outlineLevel="1"/>
    <col min="30" max="30" width="5" hidden="1" customWidth="1" outlineLevel="1"/>
    <col min="31" max="31" width="4.140625" hidden="1" customWidth="1" outlineLevel="1"/>
    <col min="32" max="32" width="6.140625" hidden="1" customWidth="1" outlineLevel="1"/>
    <col min="33" max="33" width="4.140625" hidden="1" customWidth="1" outlineLevel="1"/>
    <col min="34" max="34" width="6.140625" hidden="1" customWidth="1" outlineLevel="1"/>
    <col min="35" max="35" width="4.140625" hidden="1" customWidth="1" outlineLevel="1"/>
    <col min="36" max="36" width="6.140625" hidden="1" customWidth="1" outlineLevel="1"/>
    <col min="37" max="37" width="4.140625" hidden="1" customWidth="1" outlineLevel="1"/>
    <col min="38" max="38" width="4.85546875" hidden="1" customWidth="1" outlineLevel="1"/>
    <col min="39" max="39" width="4.140625" hidden="1" customWidth="1" outlineLevel="1"/>
    <col min="40" max="40" width="5.28515625" hidden="1" customWidth="1" outlineLevel="1"/>
    <col min="41" max="41" width="4.140625" hidden="1" customWidth="1" outlineLevel="1"/>
    <col min="42" max="42" width="5" customWidth="1" collapsed="1"/>
    <col min="43" max="43" width="8.85546875" customWidth="1"/>
    <col min="44" max="44" width="4.5703125" customWidth="1"/>
    <col min="45" max="45" width="1.85546875" customWidth="1"/>
    <col min="46" max="46" width="3" customWidth="1"/>
    <col min="47" max="47" width="6.28515625" bestFit="1" customWidth="1"/>
    <col min="48" max="48" width="1" customWidth="1"/>
    <col min="49" max="50" width="4" hidden="1" customWidth="1" outlineLevel="1"/>
    <col min="51" max="51" width="1.28515625" hidden="1" customWidth="1" outlineLevel="1"/>
    <col min="52" max="53" width="4" hidden="1" customWidth="1" outlineLevel="1"/>
    <col min="54" max="54" width="1.28515625" hidden="1" customWidth="1" outlineLevel="1"/>
    <col min="55" max="55" width="4" customWidth="1" collapsed="1"/>
    <col min="56" max="57" width="4" customWidth="1"/>
    <col min="58" max="58" width="1.28515625" customWidth="1"/>
    <col min="59" max="59" width="5" bestFit="1" customWidth="1"/>
    <col min="60" max="60" width="4" customWidth="1"/>
    <col min="61" max="61" width="5.42578125" customWidth="1"/>
    <col min="62" max="62" width="1.28515625" customWidth="1"/>
    <col min="63" max="65" width="4.5703125" customWidth="1"/>
    <col min="66" max="66" width="1.28515625" customWidth="1"/>
    <col min="67" max="70" width="4.28515625" customWidth="1"/>
    <col min="71" max="71" width="1.28515625" customWidth="1"/>
    <col min="72" max="73" width="4.7109375" hidden="1" customWidth="1" outlineLevel="1"/>
    <col min="74" max="75" width="5.42578125" hidden="1" customWidth="1" outlineLevel="1"/>
    <col min="76" max="76" width="1.28515625" hidden="1" customWidth="1" outlineLevel="1"/>
    <col min="77" max="78" width="4.7109375" hidden="1" customWidth="1" outlineLevel="1"/>
    <col min="79" max="80" width="5.42578125" hidden="1" customWidth="1" outlineLevel="1"/>
    <col min="81" max="81" width="1.28515625" hidden="1" customWidth="1" outlineLevel="1"/>
    <col min="82" max="83" width="4.7109375" hidden="1" customWidth="1" outlineLevel="1"/>
    <col min="84" max="85" width="5.42578125" hidden="1" customWidth="1" outlineLevel="1"/>
    <col min="86" max="86" width="1.28515625" hidden="1" customWidth="1" outlineLevel="1"/>
    <col min="87" max="87" width="4.28515625" hidden="1" customWidth="1" outlineLevel="1"/>
    <col min="88" max="88" width="4.85546875" hidden="1" customWidth="1" outlineLevel="1"/>
    <col min="89" max="89" width="5.42578125" hidden="1" customWidth="1" outlineLevel="1"/>
    <col min="90" max="90" width="1.28515625" hidden="1" customWidth="1" outlineLevel="1"/>
    <col min="91" max="92" width="4.28515625" hidden="1" customWidth="1" outlineLevel="1"/>
    <col min="93" max="93" width="1.28515625" hidden="1" customWidth="1" outlineLevel="1"/>
    <col min="94" max="94" width="4.140625" hidden="1" customWidth="1" outlineLevel="1"/>
    <col min="95" max="95" width="4.5703125" hidden="1" customWidth="1" outlineLevel="1"/>
    <col min="96" max="96" width="1.28515625" hidden="1" customWidth="1" outlineLevel="1"/>
    <col min="97" max="98" width="4.42578125" hidden="1" customWidth="1" outlineLevel="1"/>
    <col min="99" max="99" width="1.28515625" hidden="1" customWidth="1" outlineLevel="1"/>
    <col min="100" max="101" width="4.42578125" hidden="1" customWidth="1" outlineLevel="1"/>
    <col min="102" max="102" width="1.28515625" hidden="1" customWidth="1" outlineLevel="1"/>
    <col min="103" max="104" width="4.42578125" hidden="1" customWidth="1" outlineLevel="1"/>
    <col min="105" max="105" width="1.28515625" hidden="1" customWidth="1" outlineLevel="1"/>
    <col min="106" max="107" width="4.42578125" hidden="1" customWidth="1" outlineLevel="1"/>
    <col min="108" max="108" width="1.28515625" hidden="1" customWidth="1" outlineLevel="1"/>
    <col min="109" max="110" width="4.42578125" hidden="1" customWidth="1" outlineLevel="1"/>
    <col min="111" max="111" width="1.28515625" hidden="1" customWidth="1" outlineLevel="1"/>
    <col min="112" max="112" width="5.42578125" customWidth="1" collapsed="1"/>
    <col min="113" max="116" width="5.42578125" customWidth="1"/>
  </cols>
  <sheetData>
    <row r="1" spans="1:125">
      <c r="A1" s="25" t="str">
        <f>sumry!A1</f>
        <v>L Brands Inc.</v>
      </c>
      <c r="B1" s="25"/>
      <c r="C1" s="25"/>
      <c r="D1" s="44"/>
      <c r="E1" s="25"/>
      <c r="F1" s="44"/>
      <c r="G1" s="25"/>
      <c r="H1" s="25"/>
      <c r="I1" s="25"/>
      <c r="J1" s="44"/>
      <c r="K1" s="25"/>
      <c r="L1" s="44"/>
      <c r="M1" s="25"/>
      <c r="N1" s="44"/>
      <c r="O1" s="25"/>
      <c r="P1" s="44"/>
      <c r="Q1" s="25"/>
      <c r="R1" s="25"/>
      <c r="S1" s="25"/>
      <c r="T1" s="44"/>
      <c r="U1" s="25"/>
      <c r="V1" s="550"/>
      <c r="W1" s="25"/>
      <c r="X1" s="25"/>
      <c r="Y1" s="25"/>
      <c r="Z1" s="44"/>
      <c r="AA1" s="25"/>
      <c r="AB1" s="44"/>
      <c r="AC1" s="25"/>
      <c r="AD1" s="25"/>
      <c r="AE1" s="25"/>
      <c r="AF1" s="25"/>
      <c r="AG1" s="25"/>
      <c r="AH1" s="25"/>
      <c r="AI1" s="25"/>
      <c r="AJ1" s="25"/>
      <c r="AK1" s="25"/>
      <c r="AL1" s="25"/>
      <c r="AM1" s="25"/>
      <c r="AN1" s="25"/>
      <c r="AO1" s="25"/>
      <c r="AP1" s="25"/>
      <c r="AQ1" s="25"/>
      <c r="AR1" s="48"/>
      <c r="AS1" s="48"/>
      <c r="AT1" s="335" t="str">
        <f>+A1</f>
        <v>L Brands Inc.</v>
      </c>
      <c r="AU1" s="335"/>
      <c r="AV1" s="335"/>
      <c r="AW1" s="335"/>
      <c r="AX1" s="25"/>
      <c r="AY1" s="25"/>
      <c r="AZ1" s="44"/>
      <c r="BA1" s="25"/>
      <c r="BB1" s="25"/>
      <c r="BC1" s="25"/>
      <c r="BD1" s="25"/>
      <c r="BE1" s="25"/>
      <c r="BF1" s="25"/>
      <c r="BG1" s="44"/>
      <c r="BH1" s="25"/>
      <c r="BI1" s="25"/>
      <c r="BJ1" s="25"/>
      <c r="BK1" s="44"/>
      <c r="BL1" s="25"/>
      <c r="BM1" s="25"/>
      <c r="BN1" s="25"/>
      <c r="BO1" s="44"/>
      <c r="BP1" s="25"/>
      <c r="BQ1" s="25"/>
      <c r="BR1" s="25"/>
      <c r="BS1" s="25"/>
      <c r="BT1" s="44"/>
      <c r="BU1" s="25"/>
      <c r="BV1" s="25"/>
      <c r="BW1" s="25"/>
      <c r="BX1" s="25"/>
      <c r="BY1" s="44"/>
      <c r="BZ1" s="25"/>
      <c r="CA1" s="25"/>
      <c r="CB1" s="25"/>
      <c r="CC1" s="25"/>
      <c r="CD1" s="25"/>
      <c r="CE1" s="25"/>
      <c r="CF1" s="25"/>
      <c r="CG1" s="25"/>
      <c r="CH1" s="25"/>
      <c r="CI1" s="44"/>
      <c r="CJ1" s="25"/>
      <c r="CK1" s="25"/>
      <c r="CL1" s="25"/>
      <c r="CM1" s="44"/>
      <c r="CN1" s="25"/>
      <c r="CO1" s="25"/>
      <c r="CP1" s="44"/>
      <c r="CQ1" s="25"/>
      <c r="CR1" s="25"/>
      <c r="CS1" s="44"/>
      <c r="CT1" s="25"/>
      <c r="CU1" s="25"/>
      <c r="CV1" s="44"/>
      <c r="CW1" s="25"/>
      <c r="CX1" s="25"/>
      <c r="CY1" s="44"/>
      <c r="CZ1" s="25"/>
      <c r="DA1" s="25"/>
      <c r="DB1" s="44"/>
      <c r="DC1" s="25"/>
      <c r="DD1" s="25"/>
      <c r="DE1" s="44"/>
      <c r="DF1" s="25"/>
      <c r="DG1" s="25"/>
      <c r="DH1" s="44"/>
      <c r="DI1" s="25"/>
      <c r="DJ1" s="25"/>
      <c r="DK1" s="25"/>
      <c r="DL1" s="25"/>
    </row>
    <row r="2" spans="1:125">
      <c r="A2" s="26" t="s">
        <v>593</v>
      </c>
      <c r="B2" s="26"/>
      <c r="C2" s="26"/>
      <c r="D2" s="45"/>
      <c r="E2" s="26"/>
      <c r="F2" s="45"/>
      <c r="G2" s="26"/>
      <c r="H2" s="26"/>
      <c r="I2" s="26"/>
      <c r="J2" s="45"/>
      <c r="K2" s="26"/>
      <c r="L2" s="45"/>
      <c r="M2" s="26"/>
      <c r="N2" s="45"/>
      <c r="O2" s="26"/>
      <c r="P2" s="45"/>
      <c r="Q2" s="26"/>
      <c r="R2" s="26"/>
      <c r="S2" s="26"/>
      <c r="T2" s="45"/>
      <c r="U2" s="26"/>
      <c r="V2" s="45"/>
      <c r="W2" s="26"/>
      <c r="X2" s="26"/>
      <c r="Y2" s="26"/>
      <c r="Z2" s="45"/>
      <c r="AA2" s="26"/>
      <c r="AB2" s="45"/>
      <c r="AC2" s="26"/>
      <c r="AD2" s="26"/>
      <c r="AE2" s="26"/>
      <c r="AF2" s="26"/>
      <c r="AG2" s="26"/>
      <c r="AH2" s="26"/>
      <c r="AI2" s="26"/>
      <c r="AJ2" s="26"/>
      <c r="AK2" s="26"/>
      <c r="AL2" s="26"/>
      <c r="AM2" s="26"/>
      <c r="AN2" s="26"/>
      <c r="AO2" s="26"/>
      <c r="AP2" s="26"/>
      <c r="AQ2" s="26"/>
      <c r="AR2" s="26"/>
      <c r="AS2" s="26"/>
      <c r="AT2" s="334" t="s">
        <v>10</v>
      </c>
      <c r="AU2" s="334"/>
      <c r="AV2" s="334"/>
      <c r="AW2" s="334"/>
      <c r="AX2" s="26"/>
      <c r="AY2" s="26"/>
      <c r="AZ2" s="45"/>
      <c r="BA2" s="26"/>
      <c r="BB2" s="26"/>
      <c r="BC2" s="26"/>
      <c r="BD2" s="26"/>
      <c r="BE2" s="26"/>
      <c r="BF2" s="26"/>
      <c r="BG2" s="45"/>
      <c r="BH2" s="26"/>
      <c r="BI2" s="26"/>
      <c r="BJ2" s="26"/>
      <c r="BK2" s="45"/>
      <c r="BL2" s="26"/>
      <c r="BM2" s="26"/>
      <c r="BN2" s="26"/>
      <c r="BO2" s="45"/>
      <c r="BP2" s="26"/>
      <c r="BQ2" s="26"/>
      <c r="BR2" s="26"/>
      <c r="BS2" s="26"/>
      <c r="BT2" s="45"/>
      <c r="BU2" s="26"/>
      <c r="BV2" s="26"/>
      <c r="BW2" s="26"/>
      <c r="BX2" s="26"/>
      <c r="BY2" s="45"/>
      <c r="BZ2" s="26"/>
      <c r="CA2" s="26"/>
      <c r="CB2" s="26"/>
      <c r="CC2" s="26"/>
      <c r="CD2" s="26"/>
      <c r="CE2" s="26"/>
      <c r="CF2" s="26"/>
      <c r="CG2" s="26"/>
      <c r="CH2" s="26"/>
      <c r="CI2" s="45"/>
      <c r="CJ2" s="26"/>
      <c r="CK2" s="26"/>
      <c r="CL2" s="26"/>
      <c r="CM2" s="45"/>
      <c r="CN2" s="26"/>
      <c r="CO2" s="26"/>
      <c r="CP2" s="45"/>
      <c r="CQ2" s="26"/>
      <c r="CR2" s="26"/>
      <c r="CS2" s="45"/>
      <c r="CT2" s="26"/>
      <c r="CU2" s="26"/>
      <c r="CV2" s="45"/>
      <c r="CW2" s="26"/>
      <c r="CX2" s="26"/>
      <c r="CY2" s="45"/>
      <c r="CZ2" s="26"/>
      <c r="DA2" s="26"/>
      <c r="DB2" s="45"/>
      <c r="DC2" s="26"/>
      <c r="DD2" s="26"/>
      <c r="DE2" s="45"/>
      <c r="DF2" s="26"/>
      <c r="DG2" s="26"/>
      <c r="DH2" s="45"/>
      <c r="DI2" s="26"/>
      <c r="DJ2" s="26"/>
      <c r="DK2" s="26"/>
      <c r="DL2" s="26"/>
      <c r="DM2" s="26"/>
      <c r="DN2" s="26"/>
      <c r="DO2" s="26"/>
      <c r="DP2" s="26"/>
      <c r="DQ2" s="26"/>
      <c r="DR2" s="26"/>
      <c r="DS2" s="26"/>
      <c r="DT2" s="26"/>
      <c r="DU2" s="26"/>
    </row>
    <row r="3" spans="1:125">
      <c r="A3" s="24"/>
      <c r="B3" s="24"/>
      <c r="C3" s="24"/>
      <c r="D3" s="24"/>
      <c r="E3" s="24"/>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30"/>
      <c r="AS3" s="30"/>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c r="CD3" s="24"/>
      <c r="CE3" s="24"/>
      <c r="CF3" s="24"/>
      <c r="CG3" s="24"/>
      <c r="CH3" s="24"/>
      <c r="CI3" s="24"/>
      <c r="CJ3" s="24"/>
      <c r="CK3" s="24"/>
      <c r="CL3" s="24"/>
      <c r="CM3" s="24"/>
      <c r="CN3" s="24"/>
      <c r="CO3" s="24"/>
      <c r="CP3" s="24"/>
      <c r="CQ3" s="24"/>
      <c r="CR3" s="24"/>
      <c r="CS3" s="24"/>
      <c r="CT3" s="24"/>
      <c r="CU3" s="24"/>
      <c r="CV3" s="24"/>
      <c r="CW3" s="24"/>
      <c r="CX3" s="24"/>
      <c r="CY3" s="24"/>
      <c r="CZ3" s="24"/>
      <c r="DA3" s="24"/>
      <c r="DB3" s="24"/>
      <c r="DC3" s="24"/>
      <c r="DD3" s="24"/>
      <c r="DE3" s="24"/>
      <c r="DF3" s="24"/>
      <c r="DG3" s="24"/>
      <c r="DH3" s="24"/>
      <c r="DI3" s="24"/>
      <c r="DJ3" s="24"/>
      <c r="DK3" s="24"/>
      <c r="DL3" s="24"/>
    </row>
    <row r="4" spans="1:125">
      <c r="A4" s="24"/>
      <c r="B4" s="24"/>
      <c r="C4" s="24"/>
      <c r="D4" s="24"/>
      <c r="E4" s="24"/>
      <c r="F4" s="24"/>
      <c r="G4" s="24"/>
      <c r="H4" s="24"/>
      <c r="I4" s="24"/>
      <c r="J4" s="24"/>
      <c r="K4" s="24"/>
      <c r="L4" s="24"/>
      <c r="M4" s="24"/>
      <c r="N4" s="24"/>
      <c r="O4" s="24"/>
      <c r="P4" s="24"/>
      <c r="Q4" s="24"/>
      <c r="R4" s="24"/>
      <c r="S4" s="24"/>
      <c r="T4" s="24"/>
      <c r="U4" s="24"/>
      <c r="V4" s="24"/>
      <c r="W4" s="24"/>
      <c r="X4" s="24"/>
      <c r="Y4" s="24"/>
      <c r="Z4" s="24"/>
      <c r="AA4" s="24"/>
      <c r="AB4" s="67"/>
      <c r="AC4" s="72"/>
      <c r="AD4" s="72" t="s">
        <v>6</v>
      </c>
      <c r="AE4" s="72"/>
      <c r="AF4" s="72"/>
      <c r="AG4" s="72"/>
      <c r="AH4" s="72"/>
      <c r="AI4" s="72"/>
      <c r="AJ4" s="72"/>
      <c r="AK4" s="72"/>
      <c r="AL4" s="72"/>
      <c r="AM4" s="72"/>
      <c r="AN4" s="72"/>
      <c r="AO4" s="72"/>
      <c r="AP4" s="24"/>
      <c r="AQ4" s="24"/>
      <c r="AR4" s="71"/>
      <c r="AS4" s="71"/>
      <c r="AT4" s="24"/>
      <c r="AU4" s="24"/>
      <c r="AV4" s="24"/>
      <c r="AW4" s="24"/>
      <c r="AX4" s="24"/>
      <c r="AY4" s="24"/>
      <c r="AZ4" s="24"/>
      <c r="BA4" s="24"/>
      <c r="BB4" s="24"/>
      <c r="BC4" s="24"/>
      <c r="BD4" s="24"/>
      <c r="BE4" s="24"/>
      <c r="BF4" s="24"/>
      <c r="BG4" s="24"/>
      <c r="BH4" s="24"/>
      <c r="BI4" s="24"/>
      <c r="BJ4" s="24"/>
      <c r="BK4" s="24"/>
      <c r="BL4" s="24"/>
      <c r="BM4" s="24"/>
      <c r="BN4" s="72"/>
      <c r="BO4" s="72"/>
      <c r="BP4" s="72"/>
      <c r="BQ4" s="71"/>
      <c r="BR4" s="71"/>
      <c r="BS4" s="24"/>
      <c r="BT4" s="72" t="s">
        <v>6</v>
      </c>
      <c r="BU4" s="72"/>
      <c r="BV4" s="72"/>
      <c r="BW4" s="72"/>
      <c r="BX4" s="72"/>
      <c r="BY4" s="72"/>
      <c r="BZ4" s="72"/>
      <c r="CA4" s="72"/>
      <c r="CB4" s="72"/>
      <c r="CC4" s="72"/>
      <c r="CD4" s="72"/>
      <c r="CE4" s="72"/>
      <c r="CF4" s="72"/>
      <c r="CG4" s="72"/>
      <c r="CH4" s="72"/>
      <c r="CI4" s="72"/>
      <c r="CJ4" s="72"/>
      <c r="CK4" s="72"/>
      <c r="CL4" s="72"/>
      <c r="CM4" s="72"/>
      <c r="CN4" s="72"/>
      <c r="CO4" s="72"/>
      <c r="CP4" s="72" t="s">
        <v>6</v>
      </c>
      <c r="CQ4" s="28"/>
      <c r="CR4" s="28"/>
      <c r="CS4" s="28"/>
      <c r="CT4" s="28"/>
      <c r="CU4" s="28"/>
      <c r="CV4" s="28"/>
      <c r="CW4" s="28"/>
      <c r="CX4" s="28"/>
      <c r="CY4" s="28"/>
      <c r="CZ4" s="28"/>
      <c r="DA4" s="28"/>
      <c r="DB4" s="28"/>
      <c r="DC4" s="28"/>
      <c r="DD4" s="28"/>
      <c r="DE4" s="28"/>
      <c r="DF4" s="28"/>
      <c r="DG4" s="24"/>
      <c r="DH4" s="24"/>
      <c r="DI4" s="24"/>
      <c r="DJ4" s="24"/>
      <c r="DK4" s="24"/>
      <c r="DL4" s="24"/>
      <c r="DM4" s="72" t="s">
        <v>39</v>
      </c>
      <c r="DN4" s="1072"/>
      <c r="DO4" s="1072"/>
      <c r="DP4" s="1072"/>
      <c r="DQ4" s="1072"/>
      <c r="DR4" s="1072"/>
      <c r="DS4" s="1072"/>
      <c r="DT4" s="1072"/>
    </row>
    <row r="5" spans="1:125">
      <c r="A5" s="141"/>
      <c r="B5" s="141"/>
      <c r="C5" s="141"/>
      <c r="D5" s="66"/>
      <c r="E5" s="68"/>
      <c r="F5" s="141"/>
      <c r="G5" s="66"/>
      <c r="H5" s="72" t="s">
        <v>1160</v>
      </c>
      <c r="I5" s="72"/>
      <c r="J5" s="72"/>
      <c r="K5" s="141"/>
      <c r="L5" s="70" t="s">
        <v>1167</v>
      </c>
      <c r="M5" s="141"/>
      <c r="N5" s="68"/>
      <c r="O5" s="68"/>
      <c r="P5" s="68" t="s">
        <v>673</v>
      </c>
      <c r="Q5" s="66"/>
      <c r="R5" s="68"/>
      <c r="S5" s="141"/>
      <c r="T5" s="71" t="s">
        <v>636</v>
      </c>
      <c r="U5" s="141"/>
      <c r="V5" s="70" t="s">
        <v>0</v>
      </c>
      <c r="W5" s="141"/>
      <c r="X5" s="141" t="s">
        <v>1264</v>
      </c>
      <c r="Y5" s="141"/>
      <c r="Z5" s="71" t="s">
        <v>1103</v>
      </c>
      <c r="AA5" s="141"/>
      <c r="AB5" s="70"/>
      <c r="AC5" s="141"/>
      <c r="AD5" s="69" t="s">
        <v>1169</v>
      </c>
      <c r="AE5" s="141"/>
      <c r="AF5" s="69"/>
      <c r="AG5" s="141"/>
      <c r="AH5" s="69" t="s">
        <v>636</v>
      </c>
      <c r="AI5" s="141"/>
      <c r="AJ5" s="69"/>
      <c r="AK5" s="141"/>
      <c r="AL5" s="69"/>
      <c r="AM5" s="141"/>
      <c r="AN5" s="69" t="s">
        <v>526</v>
      </c>
      <c r="AO5" s="141"/>
      <c r="AP5" s="141"/>
      <c r="AQ5" s="448"/>
      <c r="AR5" s="301"/>
      <c r="AS5" s="301"/>
      <c r="AT5" s="141"/>
      <c r="AU5" s="141"/>
      <c r="AV5" s="141"/>
      <c r="AW5" s="66"/>
      <c r="AX5" s="68"/>
      <c r="AY5" s="68"/>
      <c r="AZ5" s="141"/>
      <c r="BA5" s="66"/>
      <c r="BB5" s="68"/>
      <c r="BC5" s="72" t="s">
        <v>1160</v>
      </c>
      <c r="BD5" s="72"/>
      <c r="BE5" s="72"/>
      <c r="BF5" s="72"/>
      <c r="BG5" s="72"/>
      <c r="BH5" s="72"/>
      <c r="BI5" s="72"/>
      <c r="BJ5" s="70"/>
      <c r="BK5" s="71" t="s">
        <v>1167</v>
      </c>
      <c r="BL5" s="71"/>
      <c r="BM5" s="71"/>
      <c r="BN5" s="70"/>
      <c r="BO5" s="71" t="s">
        <v>0</v>
      </c>
      <c r="BP5" s="313"/>
      <c r="BQ5" s="141" t="s">
        <v>1264</v>
      </c>
      <c r="BR5" s="71"/>
      <c r="BS5" s="70"/>
      <c r="BT5" s="72" t="s">
        <v>673</v>
      </c>
      <c r="BU5" s="72"/>
      <c r="BV5" s="72"/>
      <c r="BW5" s="72"/>
      <c r="BX5" s="72"/>
      <c r="BY5" s="72"/>
      <c r="BZ5" s="72"/>
      <c r="CA5" s="72"/>
      <c r="CB5" s="72"/>
      <c r="CC5" s="72"/>
      <c r="CD5" s="72"/>
      <c r="CE5" s="72"/>
      <c r="CF5" s="72"/>
      <c r="CG5" s="72"/>
      <c r="CH5" s="70"/>
      <c r="CI5" s="71" t="s">
        <v>636</v>
      </c>
      <c r="CJ5" s="71"/>
      <c r="CK5" s="71"/>
      <c r="CL5" s="70"/>
      <c r="CM5" s="71" t="s">
        <v>1103</v>
      </c>
      <c r="CN5" s="71"/>
      <c r="CO5" s="70"/>
      <c r="CP5" s="71"/>
      <c r="CQ5" s="71"/>
      <c r="CR5" s="70"/>
      <c r="CS5" s="71" t="s">
        <v>1169</v>
      </c>
      <c r="CT5" s="71"/>
      <c r="CU5" s="70"/>
      <c r="CV5" s="71"/>
      <c r="CW5" s="71"/>
      <c r="CX5" s="70"/>
      <c r="CY5" s="71" t="s">
        <v>636</v>
      </c>
      <c r="CZ5" s="71"/>
      <c r="DA5" s="70"/>
      <c r="DB5" s="71"/>
      <c r="DC5" s="71"/>
      <c r="DD5" s="70"/>
      <c r="DE5" s="71" t="s">
        <v>11</v>
      </c>
      <c r="DF5" s="71"/>
      <c r="DG5" s="70"/>
      <c r="DH5" s="71"/>
      <c r="DI5" s="71"/>
      <c r="DJ5" s="71"/>
      <c r="DK5" s="71"/>
      <c r="DL5" s="71"/>
      <c r="DM5" s="141" t="s">
        <v>954</v>
      </c>
      <c r="DN5" s="141" t="s">
        <v>954</v>
      </c>
      <c r="DO5" s="141" t="s">
        <v>897</v>
      </c>
      <c r="DP5" s="141" t="s">
        <v>897</v>
      </c>
      <c r="DQ5" s="141" t="s">
        <v>42</v>
      </c>
      <c r="DR5" s="141"/>
      <c r="DS5" s="141"/>
    </row>
    <row r="6" spans="1:125">
      <c r="A6" s="141"/>
      <c r="B6" s="141"/>
      <c r="C6" s="141"/>
      <c r="D6" s="82" t="s">
        <v>1165</v>
      </c>
      <c r="E6" s="304" t="s">
        <v>740</v>
      </c>
      <c r="F6" s="82" t="s">
        <v>1166</v>
      </c>
      <c r="G6" s="304" t="s">
        <v>740</v>
      </c>
      <c r="H6" s="68" t="s">
        <v>954</v>
      </c>
      <c r="I6" s="304" t="s">
        <v>740</v>
      </c>
      <c r="J6" s="68" t="s">
        <v>955</v>
      </c>
      <c r="K6" s="304" t="s">
        <v>740</v>
      </c>
      <c r="L6" s="68" t="s">
        <v>1168</v>
      </c>
      <c r="M6" s="304" t="s">
        <v>740</v>
      </c>
      <c r="N6" s="82" t="s">
        <v>637</v>
      </c>
      <c r="O6" s="304" t="s">
        <v>740</v>
      </c>
      <c r="P6" s="82" t="s">
        <v>638</v>
      </c>
      <c r="Q6" s="304" t="s">
        <v>740</v>
      </c>
      <c r="R6" s="68" t="s">
        <v>8</v>
      </c>
      <c r="S6" s="304" t="s">
        <v>740</v>
      </c>
      <c r="T6" s="72" t="s">
        <v>1186</v>
      </c>
      <c r="U6" s="304" t="s">
        <v>740</v>
      </c>
      <c r="V6" s="68" t="s">
        <v>1</v>
      </c>
      <c r="W6" s="304" t="s">
        <v>740</v>
      </c>
      <c r="X6" s="66" t="s">
        <v>1263</v>
      </c>
      <c r="Y6" s="1196"/>
      <c r="Z6" s="72" t="s">
        <v>1104</v>
      </c>
      <c r="AA6" s="304" t="s">
        <v>740</v>
      </c>
      <c r="AB6" s="68" t="s">
        <v>1161</v>
      </c>
      <c r="AC6" s="304" t="s">
        <v>740</v>
      </c>
      <c r="AD6" s="68" t="s">
        <v>1170</v>
      </c>
      <c r="AE6" s="304" t="s">
        <v>740</v>
      </c>
      <c r="AF6" s="68" t="s">
        <v>7</v>
      </c>
      <c r="AG6" s="304" t="s">
        <v>740</v>
      </c>
      <c r="AH6" s="68" t="s">
        <v>5</v>
      </c>
      <c r="AI6" s="304" t="s">
        <v>740</v>
      </c>
      <c r="AJ6" s="68" t="s">
        <v>3</v>
      </c>
      <c r="AK6" s="304" t="s">
        <v>740</v>
      </c>
      <c r="AL6" s="68" t="s">
        <v>4</v>
      </c>
      <c r="AM6" s="304" t="s">
        <v>740</v>
      </c>
      <c r="AN6" s="68" t="s">
        <v>527</v>
      </c>
      <c r="AO6" s="304" t="s">
        <v>740</v>
      </c>
      <c r="AP6" s="304" t="s">
        <v>740</v>
      </c>
      <c r="AQ6" s="414" t="s">
        <v>724</v>
      </c>
      <c r="AR6" s="304" t="s">
        <v>740</v>
      </c>
      <c r="AS6" s="304"/>
      <c r="AT6" s="141"/>
      <c r="AU6" s="141"/>
      <c r="AV6" s="141"/>
      <c r="AW6" s="172" t="s">
        <v>1165</v>
      </c>
      <c r="AX6" s="336"/>
      <c r="AY6" s="304"/>
      <c r="AZ6" s="172" t="s">
        <v>1166</v>
      </c>
      <c r="BA6" s="336"/>
      <c r="BB6" s="304"/>
      <c r="BC6" s="172" t="s">
        <v>954</v>
      </c>
      <c r="BD6" s="336"/>
      <c r="BE6" s="337"/>
      <c r="BF6" s="304"/>
      <c r="BG6" s="172" t="s">
        <v>792</v>
      </c>
      <c r="BH6" s="336"/>
      <c r="BI6" s="337"/>
      <c r="BJ6" s="329"/>
      <c r="BK6" s="72" t="s">
        <v>1168</v>
      </c>
      <c r="BL6" s="337"/>
      <c r="BM6" s="337"/>
      <c r="BN6" s="304"/>
      <c r="BO6" s="72" t="s">
        <v>1</v>
      </c>
      <c r="BP6" s="1195"/>
      <c r="BQ6" s="66" t="s">
        <v>1263</v>
      </c>
      <c r="BR6" s="72"/>
      <c r="BS6" s="304"/>
      <c r="BT6" s="172" t="s">
        <v>637</v>
      </c>
      <c r="BU6" s="336"/>
      <c r="BV6" s="336"/>
      <c r="BW6" s="336"/>
      <c r="BX6" s="329"/>
      <c r="BY6" s="172" t="s">
        <v>638</v>
      </c>
      <c r="BZ6" s="336"/>
      <c r="CA6" s="336"/>
      <c r="CB6" s="336"/>
      <c r="CC6" s="329"/>
      <c r="CD6" s="172" t="s">
        <v>8</v>
      </c>
      <c r="CE6" s="336"/>
      <c r="CF6" s="336"/>
      <c r="CG6" s="336"/>
      <c r="CH6" s="329"/>
      <c r="CI6" s="72" t="s">
        <v>1186</v>
      </c>
      <c r="CJ6" s="337"/>
      <c r="CK6" s="337"/>
      <c r="CL6" s="304"/>
      <c r="CM6" s="72" t="s">
        <v>1104</v>
      </c>
      <c r="CN6" s="337"/>
      <c r="CO6" s="304"/>
      <c r="CP6" s="72" t="s">
        <v>1161</v>
      </c>
      <c r="CQ6" s="337"/>
      <c r="CR6" s="304"/>
      <c r="CS6" s="72" t="s">
        <v>1170</v>
      </c>
      <c r="CT6" s="337"/>
      <c r="CU6" s="304"/>
      <c r="CV6" s="72" t="s">
        <v>7</v>
      </c>
      <c r="CW6" s="337"/>
      <c r="CX6" s="304"/>
      <c r="CY6" s="72" t="s">
        <v>5</v>
      </c>
      <c r="CZ6" s="337"/>
      <c r="DA6" s="304"/>
      <c r="DB6" s="72" t="s">
        <v>3</v>
      </c>
      <c r="DC6" s="337"/>
      <c r="DD6" s="304"/>
      <c r="DE6" s="72" t="s">
        <v>553</v>
      </c>
      <c r="DF6" s="337"/>
      <c r="DG6" s="304"/>
      <c r="DH6" s="72" t="s">
        <v>724</v>
      </c>
      <c r="DI6" s="337"/>
      <c r="DJ6" s="337"/>
      <c r="DK6" s="337"/>
      <c r="DL6" s="987"/>
      <c r="DM6" s="66" t="s">
        <v>97</v>
      </c>
      <c r="DN6" s="66" t="s">
        <v>1129</v>
      </c>
      <c r="DO6" s="66" t="s">
        <v>97</v>
      </c>
      <c r="DP6" s="66" t="s">
        <v>1129</v>
      </c>
      <c r="DQ6" s="66" t="s">
        <v>43</v>
      </c>
      <c r="DR6" s="66" t="s">
        <v>40</v>
      </c>
      <c r="DS6" s="66" t="s">
        <v>41</v>
      </c>
      <c r="DT6" s="66" t="s">
        <v>360</v>
      </c>
    </row>
    <row r="7" spans="1:125">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394"/>
      <c r="AR7" s="30"/>
      <c r="AS7" s="30"/>
      <c r="AT7" s="24"/>
      <c r="AU7" s="24"/>
      <c r="AV7" s="24"/>
      <c r="AW7" s="463" t="s">
        <v>725</v>
      </c>
      <c r="AX7" s="463" t="s">
        <v>9</v>
      </c>
      <c r="AY7" s="368"/>
      <c r="AZ7" s="304" t="str">
        <f>+AW7</f>
        <v>open</v>
      </c>
      <c r="BA7" s="304" t="str">
        <f>+AX7</f>
        <v>close</v>
      </c>
      <c r="BB7" s="304">
        <f>+AY7</f>
        <v>0</v>
      </c>
      <c r="BC7" s="304" t="str">
        <f>+AZ7</f>
        <v>open</v>
      </c>
      <c r="BD7" s="304" t="str">
        <f>+BA7</f>
        <v>close</v>
      </c>
      <c r="BE7" s="463" t="s">
        <v>462</v>
      </c>
      <c r="BF7" s="380"/>
      <c r="BG7" s="304" t="str">
        <f>+AZ7</f>
        <v>open</v>
      </c>
      <c r="BH7" s="304" t="str">
        <f>+BA7</f>
        <v>close</v>
      </c>
      <c r="BI7" s="463" t="s">
        <v>462</v>
      </c>
      <c r="BJ7" s="368"/>
      <c r="BK7" s="304" t="str">
        <f>+BG7</f>
        <v>open</v>
      </c>
      <c r="BL7" s="304" t="str">
        <f>+BH7</f>
        <v>close</v>
      </c>
      <c r="BM7" s="304" t="str">
        <f>+BI7</f>
        <v>remod</v>
      </c>
      <c r="BN7" s="368"/>
      <c r="BO7" s="304" t="str">
        <f>+CI7</f>
        <v>open</v>
      </c>
      <c r="BP7" s="304" t="str">
        <f>+CJ7</f>
        <v>close</v>
      </c>
      <c r="BQ7" s="304" t="s">
        <v>725</v>
      </c>
      <c r="BR7" s="304" t="s">
        <v>9</v>
      </c>
      <c r="BS7" s="24"/>
      <c r="BT7" s="304" t="str">
        <f>+BK7</f>
        <v>open</v>
      </c>
      <c r="BU7" s="304" t="str">
        <f>+BL7</f>
        <v>close</v>
      </c>
      <c r="BV7" s="304" t="s">
        <v>461</v>
      </c>
      <c r="BW7" s="304" t="str">
        <f>+BM7</f>
        <v>remod</v>
      </c>
      <c r="BX7" s="24"/>
      <c r="BY7" s="304" t="str">
        <f>+BT7</f>
        <v>open</v>
      </c>
      <c r="BZ7" s="304" t="str">
        <f>+BU7</f>
        <v>close</v>
      </c>
      <c r="CA7" s="304" t="str">
        <f>+BV7</f>
        <v>convert</v>
      </c>
      <c r="CB7" s="304" t="str">
        <f>+BW7</f>
        <v>remod</v>
      </c>
      <c r="CC7" s="24"/>
      <c r="CD7" s="304" t="str">
        <f>+BY7</f>
        <v>open</v>
      </c>
      <c r="CE7" s="304" t="str">
        <f>+BZ7</f>
        <v>close</v>
      </c>
      <c r="CF7" s="304" t="str">
        <f>+BV7</f>
        <v>convert</v>
      </c>
      <c r="CG7" s="304" t="str">
        <f>+CB7</f>
        <v>remod</v>
      </c>
      <c r="CH7" s="24"/>
      <c r="CI7" s="304" t="str">
        <f>+CD7</f>
        <v>open</v>
      </c>
      <c r="CJ7" s="304" t="str">
        <f>+CE7</f>
        <v>close</v>
      </c>
      <c r="CK7" s="304" t="str">
        <f>+CG7</f>
        <v>remod</v>
      </c>
      <c r="CL7" s="368"/>
      <c r="CM7" s="304" t="s">
        <v>725</v>
      </c>
      <c r="CN7" s="304" t="s">
        <v>9</v>
      </c>
      <c r="CO7" s="368"/>
      <c r="CP7" s="304" t="str">
        <f>+BO7</f>
        <v>open</v>
      </c>
      <c r="CQ7" s="304" t="str">
        <f>+BP7</f>
        <v>close</v>
      </c>
      <c r="CR7" s="368"/>
      <c r="CS7" s="304" t="str">
        <f>+CP7</f>
        <v>open</v>
      </c>
      <c r="CT7" s="304" t="str">
        <f>+CQ7</f>
        <v>close</v>
      </c>
      <c r="CU7" s="368"/>
      <c r="CV7" s="304" t="str">
        <f>+CS7</f>
        <v>open</v>
      </c>
      <c r="CW7" s="304" t="str">
        <f>+CT7</f>
        <v>close</v>
      </c>
      <c r="CX7" s="368"/>
      <c r="CY7" s="304" t="str">
        <f>+CV7</f>
        <v>open</v>
      </c>
      <c r="CZ7" s="304" t="str">
        <f>+CW7</f>
        <v>close</v>
      </c>
      <c r="DA7" s="368"/>
      <c r="DB7" s="304" t="str">
        <f>+CY7</f>
        <v>open</v>
      </c>
      <c r="DC7" s="304" t="str">
        <f>+CZ7</f>
        <v>close</v>
      </c>
      <c r="DD7" s="368"/>
      <c r="DE7" s="304" t="str">
        <f>+DB7</f>
        <v>open</v>
      </c>
      <c r="DF7" s="304" t="str">
        <f>+DC7</f>
        <v>close</v>
      </c>
      <c r="DG7" s="368"/>
      <c r="DH7" s="304" t="str">
        <f>+DE7</f>
        <v>open</v>
      </c>
      <c r="DI7" s="304" t="str">
        <f>+DF7</f>
        <v>close</v>
      </c>
      <c r="DJ7" s="304" t="str">
        <f>+CK7</f>
        <v>remod</v>
      </c>
      <c r="DK7" s="304"/>
      <c r="DL7" s="304"/>
    </row>
    <row r="8" spans="1:125">
      <c r="A8" s="24"/>
      <c r="B8" s="24"/>
      <c r="C8" s="24"/>
      <c r="D8" s="171" t="s">
        <v>2</v>
      </c>
      <c r="E8" s="172"/>
      <c r="F8" s="172"/>
      <c r="G8" s="172"/>
      <c r="H8" s="171" t="s">
        <v>2</v>
      </c>
      <c r="I8" s="172"/>
      <c r="J8" s="172"/>
      <c r="K8" s="172"/>
      <c r="L8" s="172"/>
      <c r="M8" s="172"/>
      <c r="N8" s="172"/>
      <c r="O8" s="172"/>
      <c r="P8" s="172"/>
      <c r="Q8" s="172"/>
      <c r="R8" s="172"/>
      <c r="S8" s="172"/>
      <c r="T8" s="172"/>
      <c r="U8" s="172"/>
      <c r="V8" s="172"/>
      <c r="W8" s="172"/>
      <c r="X8" s="172"/>
      <c r="Y8" s="172"/>
      <c r="Z8" s="172"/>
      <c r="AA8" s="172"/>
      <c r="AB8" s="172"/>
      <c r="AC8" s="311"/>
      <c r="AD8" s="172"/>
      <c r="AE8" s="172"/>
      <c r="AF8" s="172"/>
      <c r="AG8" s="311"/>
      <c r="AH8" s="172"/>
      <c r="AI8" s="311"/>
      <c r="AJ8" s="172"/>
      <c r="AK8" s="311"/>
      <c r="AL8" s="172"/>
      <c r="AM8" s="311"/>
      <c r="AN8" s="172"/>
      <c r="AO8" s="311"/>
      <c r="AP8" s="311"/>
      <c r="AQ8" s="449"/>
      <c r="AR8" s="173"/>
      <c r="AS8" s="71"/>
      <c r="AT8" s="24"/>
      <c r="AU8" s="24"/>
      <c r="AV8" s="24"/>
      <c r="AW8" s="71"/>
      <c r="AX8" s="71"/>
      <c r="AY8" s="71"/>
      <c r="AZ8" s="71"/>
      <c r="BA8" s="71"/>
      <c r="BB8" s="71"/>
      <c r="BC8" s="71"/>
      <c r="BD8" s="71"/>
      <c r="BE8" s="71"/>
      <c r="BF8" s="71"/>
      <c r="BG8" s="71"/>
      <c r="BH8" s="71"/>
      <c r="BI8" s="71"/>
      <c r="BJ8" s="71"/>
      <c r="BK8" s="71"/>
      <c r="BL8" s="71"/>
      <c r="BM8" s="71"/>
      <c r="BN8" s="71"/>
      <c r="BO8" s="71"/>
      <c r="BP8" s="71"/>
      <c r="BQ8" s="71"/>
      <c r="BR8" s="71"/>
      <c r="BS8" s="71"/>
      <c r="BT8" s="71"/>
      <c r="BU8" s="71"/>
      <c r="BV8" s="71"/>
      <c r="BW8" s="71"/>
      <c r="BX8" s="71"/>
      <c r="BY8" s="71"/>
      <c r="BZ8" s="71"/>
      <c r="CA8" s="71"/>
      <c r="CB8" s="71"/>
      <c r="CC8" s="71"/>
      <c r="CD8" s="71"/>
      <c r="CE8" s="71"/>
      <c r="CF8" s="71"/>
      <c r="CG8" s="71"/>
      <c r="CH8" s="71"/>
      <c r="CI8" s="71"/>
      <c r="CJ8" s="71"/>
      <c r="CK8" s="71"/>
      <c r="CL8" s="71"/>
      <c r="CM8" s="71"/>
      <c r="CN8" s="71"/>
      <c r="CO8" s="71"/>
      <c r="CP8" s="71"/>
      <c r="CQ8" s="71"/>
      <c r="CR8" s="71"/>
      <c r="CS8" s="71"/>
      <c r="CT8" s="71"/>
      <c r="CU8" s="71"/>
      <c r="CV8" s="71"/>
      <c r="CW8" s="71"/>
      <c r="CX8" s="71"/>
      <c r="CY8" s="71"/>
      <c r="CZ8" s="71"/>
      <c r="DA8" s="71"/>
      <c r="DB8" s="71"/>
      <c r="DC8" s="71"/>
      <c r="DD8" s="71"/>
      <c r="DE8" s="71"/>
      <c r="DF8" s="71"/>
      <c r="DG8" s="71"/>
      <c r="DH8" s="71"/>
      <c r="DI8" s="71"/>
      <c r="DJ8" s="71"/>
      <c r="DK8" s="71"/>
      <c r="DL8" s="71"/>
    </row>
    <row r="9" spans="1:125" hidden="1" outlineLevel="1">
      <c r="A9" s="24"/>
      <c r="B9" s="24"/>
      <c r="C9" s="24"/>
      <c r="D9" s="24"/>
      <c r="E9" s="24"/>
      <c r="F9" s="24"/>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394"/>
      <c r="AR9" s="30"/>
      <c r="AS9" s="30"/>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c r="CD9" s="24"/>
      <c r="CE9" s="24"/>
      <c r="CF9" s="24"/>
      <c r="CG9" s="24"/>
      <c r="CH9" s="24"/>
      <c r="CI9" s="24"/>
      <c r="CJ9" s="24"/>
      <c r="CK9" s="24"/>
      <c r="CL9" s="24"/>
      <c r="CM9" s="24"/>
      <c r="CN9" s="24"/>
      <c r="CO9" s="24"/>
      <c r="CP9" s="24"/>
      <c r="CQ9" s="24"/>
      <c r="CR9" s="24"/>
      <c r="CS9" s="24"/>
      <c r="CT9" s="24"/>
      <c r="CU9" s="24"/>
      <c r="CV9" s="24"/>
      <c r="CW9" s="24"/>
      <c r="CX9" s="24"/>
      <c r="CY9" s="24"/>
      <c r="CZ9" s="24"/>
      <c r="DA9" s="24"/>
      <c r="DB9" s="24"/>
      <c r="DC9" s="24"/>
      <c r="DD9" s="24"/>
      <c r="DE9" s="24"/>
      <c r="DF9" s="24"/>
      <c r="DG9" s="24"/>
      <c r="DH9" s="24"/>
      <c r="DI9" s="24"/>
      <c r="DJ9" s="24"/>
      <c r="DK9" s="24"/>
      <c r="DL9" s="24"/>
    </row>
    <row r="10" spans="1:125" hidden="1" outlineLevel="1">
      <c r="A10" s="141"/>
      <c r="B10" s="135">
        <v>1989</v>
      </c>
      <c r="C10" s="141"/>
      <c r="D10" s="141"/>
      <c r="E10" s="303"/>
      <c r="F10" s="141"/>
      <c r="G10" s="141"/>
      <c r="H10" s="141"/>
      <c r="I10" s="141"/>
      <c r="J10" s="141"/>
      <c r="K10" s="141"/>
      <c r="L10" s="141"/>
      <c r="M10" s="141"/>
      <c r="N10" s="141"/>
      <c r="O10" s="141"/>
      <c r="P10" s="141"/>
      <c r="Q10" s="141"/>
      <c r="R10" s="141"/>
      <c r="S10" s="141"/>
      <c r="T10" s="141"/>
      <c r="U10" s="141"/>
      <c r="V10" s="141"/>
      <c r="W10" s="141"/>
      <c r="X10" s="141"/>
      <c r="Y10" s="141"/>
      <c r="Z10" s="141"/>
      <c r="AA10" s="141"/>
      <c r="AB10" s="141"/>
      <c r="AC10" s="141"/>
      <c r="AD10" s="141"/>
      <c r="AE10" s="141"/>
      <c r="AF10" s="141"/>
      <c r="AG10" s="141"/>
      <c r="AH10" s="141"/>
      <c r="AI10" s="141"/>
      <c r="AJ10" s="141"/>
      <c r="AK10" s="141"/>
      <c r="AL10" s="141"/>
      <c r="AM10" s="141"/>
      <c r="AN10" s="141"/>
      <c r="AO10" s="141"/>
      <c r="AP10" s="141"/>
      <c r="AQ10" s="450"/>
      <c r="AR10" s="301"/>
      <c r="AS10" s="301"/>
      <c r="AT10" s="141"/>
      <c r="AU10" s="27">
        <f>+B10</f>
        <v>1989</v>
      </c>
      <c r="AV10" s="141"/>
      <c r="AW10" s="141"/>
      <c r="AX10" s="303"/>
      <c r="AY10" s="303"/>
      <c r="AZ10" s="141"/>
      <c r="BA10" s="141"/>
      <c r="BB10" s="303"/>
      <c r="BC10" s="141"/>
      <c r="BD10" s="141"/>
      <c r="BE10" s="141"/>
      <c r="BF10" s="303"/>
      <c r="BG10" s="141"/>
      <c r="BH10" s="141"/>
      <c r="BI10" s="141"/>
      <c r="BJ10" s="303"/>
      <c r="BK10" s="141"/>
      <c r="BL10" s="141"/>
      <c r="BM10" s="141"/>
      <c r="BN10" s="303"/>
      <c r="BO10" s="141"/>
      <c r="BP10" s="141"/>
      <c r="BQ10" s="141"/>
      <c r="BR10" s="141"/>
      <c r="BS10" s="303"/>
      <c r="BT10" s="141"/>
      <c r="BU10" s="141"/>
      <c r="BV10" s="141"/>
      <c r="BW10" s="141"/>
      <c r="BX10" s="303"/>
      <c r="BY10" s="141"/>
      <c r="BZ10" s="141"/>
      <c r="CA10" s="141"/>
      <c r="CB10" s="141"/>
      <c r="CC10" s="303"/>
      <c r="CD10" s="141"/>
      <c r="CE10" s="141"/>
      <c r="CF10" s="141"/>
      <c r="CG10" s="141"/>
      <c r="CH10" s="303"/>
      <c r="CI10" s="141"/>
      <c r="CJ10" s="141"/>
      <c r="CK10" s="141"/>
      <c r="CL10" s="303"/>
      <c r="CM10" s="141"/>
      <c r="CN10" s="141"/>
      <c r="CO10" s="303"/>
      <c r="CP10" s="141"/>
      <c r="CQ10" s="141"/>
      <c r="CR10" s="303"/>
      <c r="CS10" s="141"/>
      <c r="CT10" s="141"/>
      <c r="CU10" s="303"/>
      <c r="CV10" s="141"/>
      <c r="CW10" s="141"/>
      <c r="CX10" s="303"/>
      <c r="CY10" s="141"/>
      <c r="CZ10" s="141"/>
      <c r="DA10" s="303"/>
      <c r="DB10" s="141"/>
      <c r="DC10" s="141"/>
      <c r="DD10" s="303"/>
      <c r="DE10" s="141"/>
      <c r="DF10" s="141"/>
      <c r="DG10" s="303"/>
      <c r="DH10" s="141"/>
      <c r="DI10" s="141"/>
      <c r="DJ10" s="141"/>
      <c r="DK10" s="141"/>
      <c r="DL10" s="141"/>
    </row>
    <row r="11" spans="1:125" hidden="1" outlineLevel="1">
      <c r="A11" s="30" t="str">
        <f t="shared" ref="A11:B14" si="0">+A17</f>
        <v>1Q</v>
      </c>
      <c r="B11" s="30" t="str">
        <f t="shared" si="0"/>
        <v>Apr</v>
      </c>
      <c r="C11" s="30"/>
      <c r="D11" s="307">
        <v>336</v>
      </c>
      <c r="E11" s="308"/>
      <c r="F11" s="307">
        <v>0</v>
      </c>
      <c r="G11" s="307"/>
      <c r="H11" s="307"/>
      <c r="I11" s="307"/>
      <c r="J11" s="309">
        <f>+D11+F11</f>
        <v>336</v>
      </c>
      <c r="K11" s="307"/>
      <c r="L11" s="307">
        <v>0</v>
      </c>
      <c r="M11" s="307"/>
      <c r="N11" s="307">
        <v>426</v>
      </c>
      <c r="O11" s="307"/>
      <c r="P11" s="307">
        <v>0</v>
      </c>
      <c r="Q11" s="307"/>
      <c r="R11" s="307">
        <v>0</v>
      </c>
      <c r="S11" s="307"/>
      <c r="T11" s="307">
        <v>758</v>
      </c>
      <c r="U11" s="307"/>
      <c r="V11" s="307">
        <v>1</v>
      </c>
      <c r="W11" s="307"/>
      <c r="X11" s="307"/>
      <c r="Y11" s="307"/>
      <c r="Z11" s="307"/>
      <c r="AA11" s="307"/>
      <c r="AB11" s="321">
        <f>789+382</f>
        <v>1171</v>
      </c>
      <c r="AC11" s="30"/>
      <c r="AD11" s="307">
        <v>694</v>
      </c>
      <c r="AE11" s="307"/>
      <c r="AF11" s="366">
        <v>0</v>
      </c>
      <c r="AG11" s="253"/>
      <c r="AH11" s="366">
        <v>0</v>
      </c>
      <c r="AI11" s="253"/>
      <c r="AJ11" s="366">
        <v>0</v>
      </c>
      <c r="AK11" s="253"/>
      <c r="AL11" s="366">
        <v>25</v>
      </c>
      <c r="AM11" s="30"/>
      <c r="AN11" s="366">
        <v>0</v>
      </c>
      <c r="AO11" s="30"/>
      <c r="AP11" s="30"/>
      <c r="AQ11" s="451">
        <f>+J11+L11+N11+P11+R11+T11+V11+AB11+AD11+AF11+AH11+AJ11+AL11+AN11</f>
        <v>3411</v>
      </c>
      <c r="AR11" s="307"/>
      <c r="AS11" s="307"/>
      <c r="AT11" s="30" t="str">
        <f>+A11</f>
        <v>1Q</v>
      </c>
      <c r="AU11" s="30" t="str">
        <f>+B11</f>
        <v>Apr</v>
      </c>
      <c r="AV11" s="30"/>
      <c r="AW11" s="307"/>
      <c r="AX11" s="315"/>
      <c r="AY11" s="315"/>
      <c r="AZ11" s="307"/>
      <c r="BA11" s="307"/>
      <c r="BB11" s="315"/>
      <c r="BC11" s="307"/>
      <c r="BD11" s="307"/>
      <c r="BE11" s="307"/>
      <c r="BF11" s="315"/>
      <c r="BG11" s="309"/>
      <c r="BH11" s="307"/>
      <c r="BI11" s="307"/>
      <c r="BJ11" s="315"/>
      <c r="BK11" s="307"/>
      <c r="BL11" s="307"/>
      <c r="BM11" s="307"/>
      <c r="BN11" s="315"/>
      <c r="BO11" s="307"/>
      <c r="BP11" s="307"/>
      <c r="BQ11" s="307"/>
      <c r="BR11" s="307"/>
      <c r="BS11" s="315"/>
      <c r="BT11" s="307"/>
      <c r="BU11" s="307"/>
      <c r="BV11" s="307"/>
      <c r="BW11" s="307"/>
      <c r="BX11" s="315"/>
      <c r="BY11" s="307"/>
      <c r="BZ11" s="307"/>
      <c r="CA11" s="307"/>
      <c r="CB11" s="307"/>
      <c r="CC11" s="315"/>
      <c r="CD11" s="307"/>
      <c r="CE11" s="307"/>
      <c r="CF11" s="307"/>
      <c r="CG11" s="307"/>
      <c r="CH11" s="315"/>
      <c r="CI11" s="307"/>
      <c r="CJ11" s="307"/>
      <c r="CK11" s="307"/>
      <c r="CL11" s="315"/>
      <c r="CM11" s="307"/>
      <c r="CN11" s="307"/>
      <c r="CO11" s="315"/>
      <c r="CP11" s="307"/>
      <c r="CQ11" s="307"/>
      <c r="CR11" s="315"/>
      <c r="CS11" s="307"/>
      <c r="CT11" s="307"/>
      <c r="CU11" s="315"/>
      <c r="CV11" s="307"/>
      <c r="CW11" s="307"/>
      <c r="CX11" s="315"/>
      <c r="CY11" s="307"/>
      <c r="CZ11" s="307"/>
      <c r="DA11" s="315"/>
      <c r="DB11" s="307"/>
      <c r="DC11" s="307"/>
      <c r="DD11" s="315"/>
      <c r="DE11" s="307"/>
      <c r="DF11" s="307"/>
      <c r="DG11" s="315"/>
      <c r="DH11" s="328">
        <f t="shared" ref="DH11:DI14" si="1">+BG11+BK11+BT11+BY11+CD11+CI11+BO11+CP11+CS11+CV11+CY11+DB11+DE11</f>
        <v>0</v>
      </c>
      <c r="DI11" s="328">
        <f t="shared" si="1"/>
        <v>0</v>
      </c>
      <c r="DJ11" s="328"/>
      <c r="DK11" s="328"/>
      <c r="DL11" s="328"/>
    </row>
    <row r="12" spans="1:125" hidden="1" outlineLevel="1">
      <c r="A12" s="30" t="str">
        <f t="shared" si="0"/>
        <v>2Q</v>
      </c>
      <c r="B12" s="30" t="str">
        <f t="shared" si="0"/>
        <v>Jul</v>
      </c>
      <c r="C12" s="30"/>
      <c r="D12" s="307">
        <v>347</v>
      </c>
      <c r="E12" s="308"/>
      <c r="F12" s="307">
        <v>0</v>
      </c>
      <c r="G12" s="307"/>
      <c r="H12" s="307"/>
      <c r="I12" s="307"/>
      <c r="J12" s="309">
        <f>+D12+F12</f>
        <v>347</v>
      </c>
      <c r="K12" s="307"/>
      <c r="L12" s="307">
        <v>0</v>
      </c>
      <c r="M12" s="307"/>
      <c r="N12" s="307">
        <v>436</v>
      </c>
      <c r="O12" s="307"/>
      <c r="P12" s="307">
        <v>0</v>
      </c>
      <c r="Q12" s="307"/>
      <c r="R12" s="307">
        <v>0</v>
      </c>
      <c r="S12" s="307"/>
      <c r="T12" s="307">
        <v>760</v>
      </c>
      <c r="U12" s="307"/>
      <c r="V12" s="307">
        <v>1</v>
      </c>
      <c r="W12" s="307"/>
      <c r="X12" s="307"/>
      <c r="Y12" s="307"/>
      <c r="Z12" s="307"/>
      <c r="AA12" s="307"/>
      <c r="AB12" s="307">
        <v>791</v>
      </c>
      <c r="AC12" s="30"/>
      <c r="AD12" s="307">
        <v>702</v>
      </c>
      <c r="AE12" s="307"/>
      <c r="AF12" s="366">
        <v>0</v>
      </c>
      <c r="AG12" s="253"/>
      <c r="AH12" s="366">
        <v>0</v>
      </c>
      <c r="AI12" s="253"/>
      <c r="AJ12" s="366">
        <v>0</v>
      </c>
      <c r="AK12" s="253"/>
      <c r="AL12" s="366">
        <v>25</v>
      </c>
      <c r="AM12" s="30"/>
      <c r="AN12" s="366">
        <v>0</v>
      </c>
      <c r="AO12" s="30"/>
      <c r="AP12" s="30"/>
      <c r="AQ12" s="451">
        <f>+J12+L12+N12+P12+R12+T12+V12+AB12+AD12+AF12+AH12+AJ12+AL12+AN12</f>
        <v>3062</v>
      </c>
      <c r="AR12" s="307"/>
      <c r="AS12" s="307"/>
      <c r="AT12" s="30" t="str">
        <f>+A12</f>
        <v>2Q</v>
      </c>
      <c r="AU12" s="30" t="str">
        <f>+B12</f>
        <v>Jul</v>
      </c>
      <c r="AV12" s="30"/>
      <c r="AW12" s="307"/>
      <c r="AX12" s="307"/>
      <c r="AY12" s="308"/>
      <c r="AZ12" s="307"/>
      <c r="BA12" s="307"/>
      <c r="BB12" s="308"/>
      <c r="BC12" s="307"/>
      <c r="BD12" s="307"/>
      <c r="BE12" s="307"/>
      <c r="BF12" s="308"/>
      <c r="BG12" s="328"/>
      <c r="BH12" s="328"/>
      <c r="BI12" s="328"/>
      <c r="BJ12" s="315"/>
      <c r="BK12" s="307"/>
      <c r="BL12" s="307"/>
      <c r="BM12" s="307"/>
      <c r="BN12" s="315"/>
      <c r="BO12" s="307"/>
      <c r="BP12" s="307"/>
      <c r="BQ12" s="307"/>
      <c r="BR12" s="307"/>
      <c r="BS12" s="315"/>
      <c r="BT12" s="307"/>
      <c r="BU12" s="307"/>
      <c r="BV12" s="307"/>
      <c r="BW12" s="307"/>
      <c r="BX12" s="315"/>
      <c r="BY12" s="307"/>
      <c r="BZ12" s="307"/>
      <c r="CA12" s="307"/>
      <c r="CB12" s="307"/>
      <c r="CC12" s="315"/>
      <c r="CD12" s="307"/>
      <c r="CE12" s="307"/>
      <c r="CF12" s="307"/>
      <c r="CG12" s="307"/>
      <c r="CH12" s="315"/>
      <c r="CI12" s="307"/>
      <c r="CJ12" s="307"/>
      <c r="CK12" s="307"/>
      <c r="CL12" s="315"/>
      <c r="CM12" s="307"/>
      <c r="CN12" s="307"/>
      <c r="CO12" s="315"/>
      <c r="CP12" s="307"/>
      <c r="CQ12" s="307"/>
      <c r="CR12" s="315"/>
      <c r="CS12" s="307"/>
      <c r="CT12" s="307"/>
      <c r="CU12" s="315"/>
      <c r="CV12" s="307"/>
      <c r="CW12" s="307"/>
      <c r="CX12" s="315"/>
      <c r="CY12" s="307"/>
      <c r="CZ12" s="307"/>
      <c r="DA12" s="315"/>
      <c r="DB12" s="307"/>
      <c r="DC12" s="307"/>
      <c r="DD12" s="315"/>
      <c r="DE12" s="307"/>
      <c r="DF12" s="307"/>
      <c r="DG12" s="315"/>
      <c r="DH12" s="328">
        <f t="shared" si="1"/>
        <v>0</v>
      </c>
      <c r="DI12" s="328">
        <f t="shared" si="1"/>
        <v>0</v>
      </c>
      <c r="DJ12" s="328"/>
      <c r="DK12" s="328"/>
      <c r="DL12" s="328"/>
    </row>
    <row r="13" spans="1:125" hidden="1" outlineLevel="1">
      <c r="A13" s="30" t="str">
        <f t="shared" si="0"/>
        <v>3Q</v>
      </c>
      <c r="B13" s="30" t="str">
        <f t="shared" si="0"/>
        <v>Oct</v>
      </c>
      <c r="C13" s="30"/>
      <c r="D13" s="307">
        <f>367</f>
        <v>367</v>
      </c>
      <c r="E13" s="308"/>
      <c r="F13" s="307">
        <v>0</v>
      </c>
      <c r="G13" s="307"/>
      <c r="H13" s="307"/>
      <c r="I13" s="307"/>
      <c r="J13" s="309">
        <f>+D13+F13</f>
        <v>367</v>
      </c>
      <c r="K13" s="307"/>
      <c r="L13" s="307">
        <v>6</v>
      </c>
      <c r="M13" s="307"/>
      <c r="N13" s="307">
        <v>451</v>
      </c>
      <c r="O13" s="307"/>
      <c r="P13" s="307">
        <v>74</v>
      </c>
      <c r="Q13" s="307"/>
      <c r="R13" s="307">
        <v>0</v>
      </c>
      <c r="S13" s="307"/>
      <c r="T13" s="307">
        <v>762</v>
      </c>
      <c r="U13" s="307"/>
      <c r="V13" s="307">
        <v>1</v>
      </c>
      <c r="W13" s="307"/>
      <c r="X13" s="307"/>
      <c r="Y13" s="307"/>
      <c r="Z13" s="307"/>
      <c r="AA13" s="307"/>
      <c r="AB13" s="307">
        <v>797</v>
      </c>
      <c r="AC13" s="30"/>
      <c r="AD13" s="307">
        <v>712</v>
      </c>
      <c r="AE13" s="307"/>
      <c r="AF13" s="366">
        <v>0</v>
      </c>
      <c r="AG13" s="253"/>
      <c r="AH13" s="366">
        <v>54</v>
      </c>
      <c r="AI13" s="253"/>
      <c r="AJ13" s="366">
        <v>38</v>
      </c>
      <c r="AK13" s="253"/>
      <c r="AL13" s="366">
        <v>27</v>
      </c>
      <c r="AM13" s="30"/>
      <c r="AN13" s="366">
        <v>0</v>
      </c>
      <c r="AO13" s="30"/>
      <c r="AP13" s="30"/>
      <c r="AQ13" s="451">
        <f>+J13+L13+N13+P13+R13+T13+V13+AB13+AD13+AF13+AH13+AJ13+AL13+AN13</f>
        <v>3289</v>
      </c>
      <c r="AR13" s="307"/>
      <c r="AS13" s="307"/>
      <c r="AT13" s="30" t="str">
        <f>+A13</f>
        <v>3Q</v>
      </c>
      <c r="AU13" s="30" t="str">
        <f>+B13</f>
        <v>Oct</v>
      </c>
      <c r="AV13" s="30"/>
      <c r="AW13" s="307"/>
      <c r="AX13" s="315"/>
      <c r="AY13" s="315"/>
      <c r="AZ13" s="307"/>
      <c r="BA13" s="307"/>
      <c r="BB13" s="315"/>
      <c r="BC13" s="307"/>
      <c r="BD13" s="307"/>
      <c r="BE13" s="307"/>
      <c r="BF13" s="315"/>
      <c r="BG13" s="309"/>
      <c r="BH13" s="307"/>
      <c r="BI13" s="307"/>
      <c r="BJ13" s="315"/>
      <c r="BK13" s="307"/>
      <c r="BL13" s="307"/>
      <c r="BM13" s="307"/>
      <c r="BN13" s="315"/>
      <c r="BO13" s="307"/>
      <c r="BP13" s="307"/>
      <c r="BQ13" s="307"/>
      <c r="BR13" s="307"/>
      <c r="BS13" s="315"/>
      <c r="BT13" s="307"/>
      <c r="BU13" s="307"/>
      <c r="BV13" s="307"/>
      <c r="BW13" s="307"/>
      <c r="BX13" s="315"/>
      <c r="BY13" s="307"/>
      <c r="BZ13" s="307"/>
      <c r="CA13" s="307"/>
      <c r="CB13" s="307"/>
      <c r="CC13" s="315"/>
      <c r="CD13" s="307"/>
      <c r="CE13" s="307"/>
      <c r="CF13" s="307"/>
      <c r="CG13" s="307"/>
      <c r="CH13" s="315"/>
      <c r="CI13" s="307"/>
      <c r="CJ13" s="307"/>
      <c r="CK13" s="307"/>
      <c r="CL13" s="315"/>
      <c r="CM13" s="307"/>
      <c r="CN13" s="307"/>
      <c r="CO13" s="315"/>
      <c r="CP13" s="307"/>
      <c r="CQ13" s="307"/>
      <c r="CR13" s="315"/>
      <c r="CS13" s="307"/>
      <c r="CT13" s="307"/>
      <c r="CU13" s="315"/>
      <c r="CV13" s="307"/>
      <c r="CW13" s="307"/>
      <c r="CX13" s="315"/>
      <c r="CY13" s="307"/>
      <c r="CZ13" s="307"/>
      <c r="DA13" s="315"/>
      <c r="DB13" s="307"/>
      <c r="DC13" s="307"/>
      <c r="DD13" s="315"/>
      <c r="DE13" s="307"/>
      <c r="DF13" s="307"/>
      <c r="DG13" s="315"/>
      <c r="DH13" s="328">
        <f t="shared" si="1"/>
        <v>0</v>
      </c>
      <c r="DI13" s="328">
        <f t="shared" si="1"/>
        <v>0</v>
      </c>
      <c r="DJ13" s="328"/>
      <c r="DK13" s="328"/>
      <c r="DL13" s="328"/>
    </row>
    <row r="14" spans="1:125" hidden="1" outlineLevel="1">
      <c r="A14" s="30" t="str">
        <f t="shared" si="0"/>
        <v>4Q</v>
      </c>
      <c r="B14" s="30" t="str">
        <f t="shared" si="0"/>
        <v>Jan</v>
      </c>
      <c r="C14" s="30"/>
      <c r="D14" s="307">
        <f>384</f>
        <v>384</v>
      </c>
      <c r="E14" s="308"/>
      <c r="F14" s="307">
        <v>0</v>
      </c>
      <c r="G14" s="307"/>
      <c r="H14" s="307"/>
      <c r="I14" s="307"/>
      <c r="J14" s="309">
        <f>+D14+F14</f>
        <v>384</v>
      </c>
      <c r="K14" s="307"/>
      <c r="L14" s="307">
        <v>6</v>
      </c>
      <c r="M14" s="307"/>
      <c r="N14" s="307">
        <v>467</v>
      </c>
      <c r="O14" s="307"/>
      <c r="P14" s="307">
        <v>69</v>
      </c>
      <c r="Q14" s="307"/>
      <c r="R14" s="307">
        <v>0</v>
      </c>
      <c r="S14" s="307"/>
      <c r="T14" s="307">
        <v>763</v>
      </c>
      <c r="U14" s="307"/>
      <c r="V14" s="307">
        <v>1</v>
      </c>
      <c r="W14" s="307"/>
      <c r="X14" s="307"/>
      <c r="Y14" s="307"/>
      <c r="Z14" s="307"/>
      <c r="AA14" s="307"/>
      <c r="AB14" s="307">
        <v>802</v>
      </c>
      <c r="AC14" s="30"/>
      <c r="AD14" s="307">
        <v>720</v>
      </c>
      <c r="AE14" s="307"/>
      <c r="AF14" s="366">
        <v>0</v>
      </c>
      <c r="AG14" s="253"/>
      <c r="AH14" s="366">
        <v>62</v>
      </c>
      <c r="AI14" s="253"/>
      <c r="AJ14" s="366">
        <v>44</v>
      </c>
      <c r="AK14" s="253"/>
      <c r="AL14" s="366">
        <v>26</v>
      </c>
      <c r="AM14" s="30"/>
      <c r="AN14" s="366">
        <v>0</v>
      </c>
      <c r="AO14" s="30"/>
      <c r="AP14" s="30"/>
      <c r="AQ14" s="451">
        <f>+J14+L14+N14+P14+R14+T14+V14+AB14+AD14+AF14+AH14+AJ14+AL14+AN14</f>
        <v>3344</v>
      </c>
      <c r="AR14" s="307"/>
      <c r="AS14" s="307"/>
      <c r="AT14" s="30" t="str">
        <f>+A14</f>
        <v>4Q</v>
      </c>
      <c r="AU14" s="30" t="str">
        <f>+B14</f>
        <v>Jan</v>
      </c>
      <c r="AV14" s="30"/>
      <c r="AW14" s="307"/>
      <c r="AX14" s="315"/>
      <c r="AY14" s="315"/>
      <c r="AZ14" s="307"/>
      <c r="BA14" s="307"/>
      <c r="BB14" s="315"/>
      <c r="BC14" s="307"/>
      <c r="BD14" s="307"/>
      <c r="BE14" s="307"/>
      <c r="BF14" s="315"/>
      <c r="BG14" s="309"/>
      <c r="BH14" s="307"/>
      <c r="BI14" s="307"/>
      <c r="BJ14" s="315"/>
      <c r="BK14" s="307"/>
      <c r="BL14" s="307"/>
      <c r="BM14" s="307"/>
      <c r="BN14" s="315"/>
      <c r="BO14" s="307"/>
      <c r="BP14" s="307"/>
      <c r="BQ14" s="307"/>
      <c r="BR14" s="307"/>
      <c r="BS14" s="315"/>
      <c r="BT14" s="307"/>
      <c r="BU14" s="307"/>
      <c r="BV14" s="307"/>
      <c r="BW14" s="307"/>
      <c r="BX14" s="315"/>
      <c r="BY14" s="307"/>
      <c r="BZ14" s="307"/>
      <c r="CA14" s="307"/>
      <c r="CB14" s="307"/>
      <c r="CC14" s="315"/>
      <c r="CD14" s="307"/>
      <c r="CE14" s="307"/>
      <c r="CF14" s="307"/>
      <c r="CG14" s="307"/>
      <c r="CH14" s="315"/>
      <c r="CI14" s="307"/>
      <c r="CJ14" s="307"/>
      <c r="CK14" s="307"/>
      <c r="CL14" s="315"/>
      <c r="CM14" s="307"/>
      <c r="CN14" s="307"/>
      <c r="CO14" s="315"/>
      <c r="CP14" s="307"/>
      <c r="CQ14" s="307"/>
      <c r="CR14" s="315"/>
      <c r="CS14" s="307"/>
      <c r="CT14" s="307"/>
      <c r="CU14" s="315"/>
      <c r="CV14" s="307"/>
      <c r="CW14" s="307"/>
      <c r="CX14" s="315"/>
      <c r="CY14" s="307"/>
      <c r="CZ14" s="307"/>
      <c r="DA14" s="315"/>
      <c r="DB14" s="307"/>
      <c r="DC14" s="307"/>
      <c r="DD14" s="315"/>
      <c r="DE14" s="307"/>
      <c r="DF14" s="307"/>
      <c r="DG14" s="315"/>
      <c r="DH14" s="338">
        <f t="shared" si="1"/>
        <v>0</v>
      </c>
      <c r="DI14" s="338">
        <f t="shared" si="1"/>
        <v>0</v>
      </c>
      <c r="DJ14" s="328"/>
      <c r="DK14" s="328"/>
      <c r="DL14" s="328"/>
    </row>
    <row r="15" spans="1:125" hidden="1" outlineLevel="1">
      <c r="A15" s="30"/>
      <c r="B15" s="30"/>
      <c r="C15" s="30"/>
      <c r="D15" s="30"/>
      <c r="E15" s="31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451"/>
      <c r="AR15" s="30"/>
      <c r="AS15" s="30"/>
      <c r="AT15" s="30"/>
      <c r="AU15" s="30"/>
      <c r="AV15" s="30"/>
      <c r="AW15" s="30"/>
      <c r="AX15" s="310"/>
      <c r="AY15" s="310"/>
      <c r="AZ15" s="30"/>
      <c r="BA15" s="30"/>
      <c r="BB15" s="310"/>
      <c r="BC15" s="30"/>
      <c r="BD15" s="30"/>
      <c r="BE15" s="30"/>
      <c r="BF15" s="310"/>
      <c r="BG15" s="30"/>
      <c r="BH15" s="30"/>
      <c r="BI15" s="30"/>
      <c r="BJ15" s="310"/>
      <c r="BK15" s="30"/>
      <c r="BL15" s="30"/>
      <c r="BM15" s="30"/>
      <c r="BN15" s="310"/>
      <c r="BO15" s="30"/>
      <c r="BP15" s="30"/>
      <c r="BQ15" s="30"/>
      <c r="BR15" s="30"/>
      <c r="BS15" s="310"/>
      <c r="BT15" s="30"/>
      <c r="BU15" s="30"/>
      <c r="BV15" s="30"/>
      <c r="BW15" s="30"/>
      <c r="BX15" s="310"/>
      <c r="BY15" s="30"/>
      <c r="BZ15" s="30"/>
      <c r="CA15" s="30"/>
      <c r="CB15" s="30"/>
      <c r="CC15" s="310"/>
      <c r="CD15" s="30"/>
      <c r="CE15" s="30"/>
      <c r="CF15" s="30"/>
      <c r="CG15" s="30"/>
      <c r="CH15" s="310"/>
      <c r="CI15" s="30"/>
      <c r="CJ15" s="30"/>
      <c r="CK15" s="30"/>
      <c r="CL15" s="310"/>
      <c r="CM15" s="30"/>
      <c r="CN15" s="30"/>
      <c r="CO15" s="310"/>
      <c r="CP15" s="30"/>
      <c r="CQ15" s="30"/>
      <c r="CR15" s="310"/>
      <c r="CS15" s="30"/>
      <c r="CT15" s="30"/>
      <c r="CU15" s="310"/>
      <c r="CV15" s="30"/>
      <c r="CW15" s="30"/>
      <c r="CX15" s="310"/>
      <c r="CY15" s="30"/>
      <c r="CZ15" s="30"/>
      <c r="DA15" s="310"/>
      <c r="DB15" s="30"/>
      <c r="DC15" s="30"/>
      <c r="DD15" s="310"/>
      <c r="DE15" s="30"/>
      <c r="DF15" s="30"/>
      <c r="DG15" s="310"/>
      <c r="DH15" s="309">
        <f>+SUM(DH11:DH14)</f>
        <v>0</v>
      </c>
      <c r="DI15" s="328">
        <f>+SUM(DI11:DI14)</f>
        <v>0</v>
      </c>
      <c r="DJ15" s="328"/>
      <c r="DK15" s="328"/>
      <c r="DL15" s="328"/>
    </row>
    <row r="16" spans="1:125" hidden="1" outlineLevel="1">
      <c r="A16" s="141"/>
      <c r="B16" s="136">
        <f>+qtrSales!B18</f>
        <v>1990</v>
      </c>
      <c r="C16" s="141"/>
      <c r="D16" s="141"/>
      <c r="E16" s="303"/>
      <c r="F16" s="141"/>
      <c r="G16" s="141"/>
      <c r="H16" s="141"/>
      <c r="I16" s="141"/>
      <c r="J16" s="141"/>
      <c r="K16" s="141"/>
      <c r="L16" s="141"/>
      <c r="M16" s="141"/>
      <c r="N16" s="141"/>
      <c r="O16" s="141"/>
      <c r="P16" s="141"/>
      <c r="Q16" s="141"/>
      <c r="R16" s="141"/>
      <c r="S16" s="141"/>
      <c r="T16" s="141"/>
      <c r="U16" s="141"/>
      <c r="V16" s="141"/>
      <c r="W16" s="141"/>
      <c r="X16" s="141"/>
      <c r="Y16" s="141"/>
      <c r="Z16" s="141"/>
      <c r="AA16" s="141"/>
      <c r="AB16" s="141"/>
      <c r="AC16" s="141"/>
      <c r="AD16" s="141"/>
      <c r="AE16" s="141"/>
      <c r="AF16" s="141"/>
      <c r="AG16" s="141"/>
      <c r="AH16" s="141"/>
      <c r="AI16" s="141"/>
      <c r="AJ16" s="141"/>
      <c r="AK16" s="141"/>
      <c r="AL16" s="141"/>
      <c r="AM16" s="141"/>
      <c r="AN16" s="141"/>
      <c r="AO16" s="141"/>
      <c r="AP16" s="141"/>
      <c r="AQ16" s="452"/>
      <c r="AR16" s="301"/>
      <c r="AS16" s="301"/>
      <c r="AT16" s="141"/>
      <c r="AU16" s="27">
        <f>+B16</f>
        <v>1990</v>
      </c>
      <c r="AV16" s="141"/>
      <c r="AW16" s="141"/>
      <c r="AX16" s="303"/>
      <c r="AY16" s="303"/>
      <c r="AZ16" s="141"/>
      <c r="BA16" s="141"/>
      <c r="BB16" s="303"/>
      <c r="BC16" s="141"/>
      <c r="BD16" s="141"/>
      <c r="BE16" s="141"/>
      <c r="BF16" s="303"/>
      <c r="BG16" s="141"/>
      <c r="BH16" s="141"/>
      <c r="BI16" s="141"/>
      <c r="BJ16" s="303"/>
      <c r="BK16" s="141"/>
      <c r="BL16" s="141"/>
      <c r="BM16" s="141"/>
      <c r="BN16" s="303"/>
      <c r="BO16" s="141"/>
      <c r="BP16" s="141"/>
      <c r="BQ16" s="141"/>
      <c r="BR16" s="141"/>
      <c r="BS16" s="303"/>
      <c r="BT16" s="141"/>
      <c r="BU16" s="141"/>
      <c r="BV16" s="141"/>
      <c r="BW16" s="141"/>
      <c r="BX16" s="303"/>
      <c r="BY16" s="141"/>
      <c r="BZ16" s="141"/>
      <c r="CA16" s="141"/>
      <c r="CB16" s="141"/>
      <c r="CC16" s="303"/>
      <c r="CD16" s="141"/>
      <c r="CE16" s="141"/>
      <c r="CF16" s="141"/>
      <c r="CG16" s="141"/>
      <c r="CH16" s="303"/>
      <c r="CI16" s="141"/>
      <c r="CJ16" s="141"/>
      <c r="CK16" s="141"/>
      <c r="CL16" s="303"/>
      <c r="CM16" s="141"/>
      <c r="CN16" s="141"/>
      <c r="CO16" s="303"/>
      <c r="CP16" s="141"/>
      <c r="CQ16" s="141"/>
      <c r="CR16" s="303"/>
      <c r="CS16" s="141"/>
      <c r="CT16" s="141"/>
      <c r="CU16" s="303"/>
      <c r="CV16" s="141"/>
      <c r="CW16" s="141"/>
      <c r="CX16" s="303"/>
      <c r="CY16" s="141"/>
      <c r="CZ16" s="141"/>
      <c r="DA16" s="303"/>
      <c r="DB16" s="141"/>
      <c r="DC16" s="141"/>
      <c r="DD16" s="303"/>
      <c r="DE16" s="141"/>
      <c r="DF16" s="141"/>
      <c r="DG16" s="303"/>
      <c r="DH16" s="141"/>
      <c r="DI16" s="141"/>
      <c r="DJ16" s="141"/>
      <c r="DK16" s="141"/>
      <c r="DL16" s="141"/>
    </row>
    <row r="17" spans="1:116" hidden="1" outlineLevel="1">
      <c r="A17" s="30" t="str">
        <f>+qtrSales!A19</f>
        <v>1Q</v>
      </c>
      <c r="B17" s="30" t="str">
        <f>+qtrSales!B19</f>
        <v>Apr</v>
      </c>
      <c r="C17" s="30"/>
      <c r="D17" s="307">
        <f>395</f>
        <v>395</v>
      </c>
      <c r="E17" s="308">
        <f>+(D17/D11-1)*100</f>
        <v>17.559523809523814</v>
      </c>
      <c r="F17" s="307">
        <v>0</v>
      </c>
      <c r="G17" s="307"/>
      <c r="H17" s="307"/>
      <c r="I17" s="307"/>
      <c r="J17" s="309">
        <f>+D17+F17</f>
        <v>395</v>
      </c>
      <c r="K17" s="308">
        <f>+(J17/J11-1)*100</f>
        <v>17.559523809523814</v>
      </c>
      <c r="L17" s="307">
        <v>6</v>
      </c>
      <c r="M17" s="308"/>
      <c r="N17" s="307">
        <v>482</v>
      </c>
      <c r="O17" s="308">
        <f>+(N17/N11-1)*100</f>
        <v>13.145539906103277</v>
      </c>
      <c r="P17" s="307">
        <v>83</v>
      </c>
      <c r="Q17" s="308"/>
      <c r="R17" s="307">
        <v>0</v>
      </c>
      <c r="S17" s="307"/>
      <c r="T17" s="307">
        <v>768</v>
      </c>
      <c r="U17" s="308">
        <f>+(T17/T11-1)*100</f>
        <v>1.3192612137203241</v>
      </c>
      <c r="V17" s="307">
        <v>1</v>
      </c>
      <c r="W17" s="308">
        <f>+(V17/V11-1)*100</f>
        <v>0</v>
      </c>
      <c r="X17" s="308"/>
      <c r="Y17" s="308"/>
      <c r="Z17" s="307"/>
      <c r="AA17" s="308"/>
      <c r="AB17" s="307">
        <v>813</v>
      </c>
      <c r="AC17" s="308">
        <f>+(AB17/AB11-1)*100</f>
        <v>-30.572160546541415</v>
      </c>
      <c r="AD17" s="307">
        <v>730</v>
      </c>
      <c r="AE17" s="308">
        <f>+(AD17/AD11-1)*100</f>
        <v>5.187319884726227</v>
      </c>
      <c r="AF17" s="366">
        <v>0</v>
      </c>
      <c r="AG17" s="253"/>
      <c r="AH17" s="366">
        <v>72</v>
      </c>
      <c r="AI17" s="308"/>
      <c r="AJ17" s="366">
        <v>44</v>
      </c>
      <c r="AK17" s="308"/>
      <c r="AL17" s="366">
        <v>24</v>
      </c>
      <c r="AM17" s="308">
        <f>+(AL17/AL11-1)*100</f>
        <v>-4.0000000000000036</v>
      </c>
      <c r="AN17" s="366">
        <v>0</v>
      </c>
      <c r="AO17" s="308"/>
      <c r="AP17" s="30"/>
      <c r="AQ17" s="451">
        <f>+J17+L17+N17+P17+R17+T17+V17+AB17+AD17+AF17+AH17+AJ17+AL17+AN17</f>
        <v>3418</v>
      </c>
      <c r="AR17" s="308">
        <f>+(AQ17/AQ11-1)*100</f>
        <v>0.20521841102316696</v>
      </c>
      <c r="AS17" s="307"/>
      <c r="AT17" s="30" t="str">
        <f>+A17</f>
        <v>1Q</v>
      </c>
      <c r="AU17" s="30" t="str">
        <f>+B17</f>
        <v>Apr</v>
      </c>
      <c r="AV17" s="30"/>
      <c r="AW17" s="307"/>
      <c r="AX17" s="315"/>
      <c r="AY17" s="315"/>
      <c r="AZ17" s="307"/>
      <c r="BA17" s="307"/>
      <c r="BB17" s="315"/>
      <c r="BC17" s="307"/>
      <c r="BD17" s="307"/>
      <c r="BE17" s="307"/>
      <c r="BF17" s="315"/>
      <c r="BG17" s="309"/>
      <c r="BH17" s="307"/>
      <c r="BI17" s="307"/>
      <c r="BJ17" s="315"/>
      <c r="BK17" s="307"/>
      <c r="BL17" s="307"/>
      <c r="BM17" s="307"/>
      <c r="BN17" s="315"/>
      <c r="BO17" s="307"/>
      <c r="BP17" s="307"/>
      <c r="BQ17" s="307"/>
      <c r="BR17" s="307"/>
      <c r="BS17" s="315"/>
      <c r="BT17" s="307"/>
      <c r="BU17" s="307"/>
      <c r="BV17" s="307"/>
      <c r="BW17" s="307"/>
      <c r="BX17" s="315"/>
      <c r="BY17" s="307"/>
      <c r="BZ17" s="307"/>
      <c r="CA17" s="307"/>
      <c r="CB17" s="307"/>
      <c r="CC17" s="315"/>
      <c r="CD17" s="307"/>
      <c r="CE17" s="307"/>
      <c r="CF17" s="307"/>
      <c r="CG17" s="307"/>
      <c r="CH17" s="315"/>
      <c r="CI17" s="307"/>
      <c r="CJ17" s="307"/>
      <c r="CK17" s="307"/>
      <c r="CL17" s="315"/>
      <c r="CM17" s="307"/>
      <c r="CN17" s="307"/>
      <c r="CO17" s="315"/>
      <c r="CP17" s="307"/>
      <c r="CQ17" s="307"/>
      <c r="CR17" s="315"/>
      <c r="CS17" s="307"/>
      <c r="CT17" s="307"/>
      <c r="CU17" s="315"/>
      <c r="CV17" s="307"/>
      <c r="CW17" s="307"/>
      <c r="CX17" s="315"/>
      <c r="CY17" s="307"/>
      <c r="CZ17" s="307"/>
      <c r="DA17" s="315"/>
      <c r="DB17" s="307"/>
      <c r="DC17" s="307"/>
      <c r="DD17" s="315"/>
      <c r="DE17" s="307"/>
      <c r="DF17" s="307"/>
      <c r="DG17" s="315"/>
      <c r="DH17" s="328">
        <f t="shared" ref="DH17:DI20" si="2">+BG17+BK17+BT17+BY17+CD17+CI17+BO17+CP17+CS17+CV17+CY17+DB17+DE17</f>
        <v>0</v>
      </c>
      <c r="DI17" s="328">
        <f t="shared" si="2"/>
        <v>0</v>
      </c>
      <c r="DJ17" s="328"/>
      <c r="DK17" s="328"/>
      <c r="DL17" s="328"/>
    </row>
    <row r="18" spans="1:116" hidden="1" outlineLevel="1">
      <c r="A18" s="30" t="str">
        <f>+qtrSales!A20</f>
        <v>2Q</v>
      </c>
      <c r="B18" s="30" t="str">
        <f>+qtrSales!B20</f>
        <v>Jul</v>
      </c>
      <c r="C18" s="30"/>
      <c r="D18" s="307">
        <f>408</f>
        <v>408</v>
      </c>
      <c r="E18" s="308">
        <f>+(D18/D12-1)*100</f>
        <v>17.579250720461093</v>
      </c>
      <c r="F18" s="307">
        <v>0</v>
      </c>
      <c r="G18" s="307"/>
      <c r="H18" s="307"/>
      <c r="I18" s="307"/>
      <c r="J18" s="309">
        <f>+D18+F18</f>
        <v>408</v>
      </c>
      <c r="K18" s="308">
        <f>+(J18/J12-1)*100</f>
        <v>17.579250720461093</v>
      </c>
      <c r="L18" s="307">
        <v>5</v>
      </c>
      <c r="M18" s="308"/>
      <c r="N18" s="307">
        <v>506</v>
      </c>
      <c r="O18" s="308">
        <f>+(N18/N12-1)*100</f>
        <v>16.055045871559635</v>
      </c>
      <c r="P18" s="307">
        <v>102</v>
      </c>
      <c r="Q18" s="308"/>
      <c r="R18" s="307">
        <v>0</v>
      </c>
      <c r="S18" s="307"/>
      <c r="T18" s="307">
        <v>771</v>
      </c>
      <c r="U18" s="308">
        <f>+(T18/T12-1)*100</f>
        <v>1.4473684210526416</v>
      </c>
      <c r="V18" s="307">
        <v>2</v>
      </c>
      <c r="W18" s="308">
        <f>+(V18/V12-1)*100</f>
        <v>100</v>
      </c>
      <c r="X18" s="308"/>
      <c r="Y18" s="308"/>
      <c r="Z18" s="307"/>
      <c r="AA18" s="308"/>
      <c r="AB18" s="307">
        <v>823</v>
      </c>
      <c r="AC18" s="308">
        <f>+(AB18/AB12-1)*100</f>
        <v>4.0455120101137831</v>
      </c>
      <c r="AD18" s="307">
        <v>740</v>
      </c>
      <c r="AE18" s="308">
        <f>+(AD18/AD12-1)*100</f>
        <v>5.4131054131054235</v>
      </c>
      <c r="AF18" s="366">
        <v>0</v>
      </c>
      <c r="AG18" s="253"/>
      <c r="AH18" s="366">
        <v>81</v>
      </c>
      <c r="AI18" s="308"/>
      <c r="AJ18" s="366">
        <v>47</v>
      </c>
      <c r="AK18" s="308"/>
      <c r="AL18" s="366">
        <v>24</v>
      </c>
      <c r="AM18" s="308">
        <f>+(AL18/AL12-1)*100</f>
        <v>-4.0000000000000036</v>
      </c>
      <c r="AN18" s="366">
        <v>7</v>
      </c>
      <c r="AO18" s="308"/>
      <c r="AP18" s="30"/>
      <c r="AQ18" s="451">
        <f>+J18+L18+N18+P18+R18+T18+V18+AB18+AD18+AF18+AH18+AJ18+AL18+AN18</f>
        <v>3516</v>
      </c>
      <c r="AR18" s="308">
        <f>+(AQ18/AQ12-1)*100</f>
        <v>14.826910516002624</v>
      </c>
      <c r="AS18" s="307"/>
      <c r="AT18" s="30" t="str">
        <f>+A18</f>
        <v>2Q</v>
      </c>
      <c r="AU18" s="30" t="str">
        <f>+B18</f>
        <v>Jul</v>
      </c>
      <c r="AV18" s="30"/>
      <c r="AW18" s="307"/>
      <c r="AX18" s="307"/>
      <c r="AY18" s="308"/>
      <c r="AZ18" s="307"/>
      <c r="BA18" s="307"/>
      <c r="BB18" s="308"/>
      <c r="BC18" s="307"/>
      <c r="BD18" s="307"/>
      <c r="BE18" s="307"/>
      <c r="BF18" s="308"/>
      <c r="BG18" s="328"/>
      <c r="BH18" s="328"/>
      <c r="BI18" s="328"/>
      <c r="BJ18" s="315"/>
      <c r="BK18" s="307"/>
      <c r="BL18" s="307"/>
      <c r="BM18" s="307"/>
      <c r="BN18" s="315"/>
      <c r="BO18" s="307"/>
      <c r="BP18" s="307"/>
      <c r="BQ18" s="307"/>
      <c r="BR18" s="307"/>
      <c r="BS18" s="315"/>
      <c r="BT18" s="307"/>
      <c r="BU18" s="307"/>
      <c r="BV18" s="307"/>
      <c r="BW18" s="307"/>
      <c r="BX18" s="315"/>
      <c r="BY18" s="307"/>
      <c r="BZ18" s="307"/>
      <c r="CA18" s="307"/>
      <c r="CB18" s="307"/>
      <c r="CC18" s="315"/>
      <c r="CD18" s="307"/>
      <c r="CE18" s="307"/>
      <c r="CF18" s="307"/>
      <c r="CG18" s="307"/>
      <c r="CH18" s="315"/>
      <c r="CI18" s="307"/>
      <c r="CJ18" s="307"/>
      <c r="CK18" s="307"/>
      <c r="CL18" s="315"/>
      <c r="CM18" s="307"/>
      <c r="CN18" s="307"/>
      <c r="CO18" s="315"/>
      <c r="CP18" s="307"/>
      <c r="CQ18" s="307"/>
      <c r="CR18" s="315"/>
      <c r="CS18" s="307"/>
      <c r="CT18" s="307"/>
      <c r="CU18" s="315"/>
      <c r="CV18" s="307"/>
      <c r="CW18" s="307"/>
      <c r="CX18" s="315"/>
      <c r="CY18" s="307"/>
      <c r="CZ18" s="307"/>
      <c r="DA18" s="315"/>
      <c r="DB18" s="307"/>
      <c r="DC18" s="307"/>
      <c r="DD18" s="315"/>
      <c r="DE18" s="307"/>
      <c r="DF18" s="307"/>
      <c r="DG18" s="315"/>
      <c r="DH18" s="328">
        <f t="shared" si="2"/>
        <v>0</v>
      </c>
      <c r="DI18" s="328">
        <f t="shared" si="2"/>
        <v>0</v>
      </c>
      <c r="DJ18" s="328"/>
      <c r="DK18" s="328"/>
      <c r="DL18" s="328"/>
    </row>
    <row r="19" spans="1:116" hidden="1" outlineLevel="1">
      <c r="A19" s="30" t="str">
        <f>+qtrSales!A21</f>
        <v>3Q</v>
      </c>
      <c r="B19" s="30" t="str">
        <f>+qtrSales!B21</f>
        <v>Oct</v>
      </c>
      <c r="C19" s="30"/>
      <c r="D19" s="307">
        <f>431</f>
        <v>431</v>
      </c>
      <c r="E19" s="308">
        <f>+(D19/D13-1)*100</f>
        <v>17.438692098092634</v>
      </c>
      <c r="F19" s="307">
        <v>0</v>
      </c>
      <c r="G19" s="307"/>
      <c r="H19" s="307"/>
      <c r="I19" s="307"/>
      <c r="J19" s="309">
        <f>+D19+F19</f>
        <v>431</v>
      </c>
      <c r="K19" s="308">
        <f>+(J19/J13-1)*100</f>
        <v>17.438692098092634</v>
      </c>
      <c r="L19" s="307">
        <v>20</v>
      </c>
      <c r="M19" s="308">
        <f>+(L19/L13-1)*100</f>
        <v>233.33333333333334</v>
      </c>
      <c r="N19" s="307">
        <v>535</v>
      </c>
      <c r="O19" s="308">
        <f>+(N19/N13-1)*100</f>
        <v>18.625277161862531</v>
      </c>
      <c r="P19" s="307">
        <v>130</v>
      </c>
      <c r="Q19" s="308">
        <f>+(P19/P13-1)*100</f>
        <v>75.675675675675677</v>
      </c>
      <c r="R19" s="307">
        <v>0</v>
      </c>
      <c r="S19" s="307"/>
      <c r="T19" s="307">
        <v>779</v>
      </c>
      <c r="U19" s="308">
        <f>+(T19/T13-1)*100</f>
        <v>2.2309711286089273</v>
      </c>
      <c r="V19" s="307">
        <v>4</v>
      </c>
      <c r="W19" s="308">
        <f>+(V19/V13-1)*100</f>
        <v>300</v>
      </c>
      <c r="X19" s="308"/>
      <c r="Y19" s="308"/>
      <c r="Z19" s="307"/>
      <c r="AA19" s="308"/>
      <c r="AB19" s="307">
        <v>852</v>
      </c>
      <c r="AC19" s="308">
        <f>+(AB19/AB13-1)*100</f>
        <v>6.9008782936009982</v>
      </c>
      <c r="AD19" s="307">
        <v>752</v>
      </c>
      <c r="AE19" s="308">
        <f>+(AD19/AD13-1)*100</f>
        <v>5.6179775280898792</v>
      </c>
      <c r="AF19" s="366">
        <v>0</v>
      </c>
      <c r="AG19" s="253"/>
      <c r="AH19" s="366">
        <v>103</v>
      </c>
      <c r="AI19" s="308">
        <f>+(AH19/AH13-1)*100</f>
        <v>90.740740740740748</v>
      </c>
      <c r="AJ19" s="366">
        <v>51</v>
      </c>
      <c r="AK19" s="308">
        <f>+(AJ19/AJ13-1)*100</f>
        <v>34.210526315789465</v>
      </c>
      <c r="AL19" s="366">
        <v>25</v>
      </c>
      <c r="AM19" s="308">
        <f>+(AL19/AL13-1)*100</f>
        <v>-7.4074074074074066</v>
      </c>
      <c r="AN19" s="366">
        <v>7</v>
      </c>
      <c r="AO19" s="308"/>
      <c r="AP19" s="30"/>
      <c r="AQ19" s="451">
        <f>+J19+L19+N19+P19+R19+T19+V19+AB19+AD19+AF19+AH19+AJ19+AL19+AN19</f>
        <v>3689</v>
      </c>
      <c r="AR19" s="308">
        <f>+(AQ19/AQ13-1)*100</f>
        <v>12.161751292186086</v>
      </c>
      <c r="AS19" s="307"/>
      <c r="AT19" s="30" t="str">
        <f>+A19</f>
        <v>3Q</v>
      </c>
      <c r="AU19" s="30" t="str">
        <f>+B19</f>
        <v>Oct</v>
      </c>
      <c r="AV19" s="30"/>
      <c r="AW19" s="307"/>
      <c r="AX19" s="315"/>
      <c r="AY19" s="315"/>
      <c r="AZ19" s="307"/>
      <c r="BA19" s="307"/>
      <c r="BB19" s="315"/>
      <c r="BC19" s="307"/>
      <c r="BD19" s="307"/>
      <c r="BE19" s="307"/>
      <c r="BF19" s="315"/>
      <c r="BG19" s="309"/>
      <c r="BH19" s="307"/>
      <c r="BI19" s="307"/>
      <c r="BJ19" s="315"/>
      <c r="BK19" s="307"/>
      <c r="BL19" s="307"/>
      <c r="BM19" s="307"/>
      <c r="BN19" s="315"/>
      <c r="BO19" s="307"/>
      <c r="BP19" s="307"/>
      <c r="BQ19" s="307"/>
      <c r="BR19" s="307"/>
      <c r="BS19" s="315"/>
      <c r="BT19" s="307"/>
      <c r="BU19" s="307"/>
      <c r="BV19" s="307"/>
      <c r="BW19" s="307"/>
      <c r="BX19" s="315"/>
      <c r="BY19" s="307"/>
      <c r="BZ19" s="307"/>
      <c r="CA19" s="307"/>
      <c r="CB19" s="307"/>
      <c r="CC19" s="315"/>
      <c r="CD19" s="307"/>
      <c r="CE19" s="307"/>
      <c r="CF19" s="307"/>
      <c r="CG19" s="307"/>
      <c r="CH19" s="315"/>
      <c r="CI19" s="307"/>
      <c r="CJ19" s="307"/>
      <c r="CK19" s="307"/>
      <c r="CL19" s="315"/>
      <c r="CM19" s="307"/>
      <c r="CN19" s="307"/>
      <c r="CO19" s="315"/>
      <c r="CP19" s="307"/>
      <c r="CQ19" s="307"/>
      <c r="CR19" s="315"/>
      <c r="CS19" s="307"/>
      <c r="CT19" s="307"/>
      <c r="CU19" s="315"/>
      <c r="CV19" s="307"/>
      <c r="CW19" s="307"/>
      <c r="CX19" s="315"/>
      <c r="CY19" s="307"/>
      <c r="CZ19" s="307"/>
      <c r="DA19" s="315"/>
      <c r="DB19" s="307"/>
      <c r="DC19" s="307"/>
      <c r="DD19" s="315"/>
      <c r="DE19" s="307"/>
      <c r="DF19" s="307"/>
      <c r="DG19" s="315"/>
      <c r="DH19" s="328">
        <f t="shared" si="2"/>
        <v>0</v>
      </c>
      <c r="DI19" s="328">
        <f t="shared" si="2"/>
        <v>0</v>
      </c>
      <c r="DJ19" s="328"/>
      <c r="DK19" s="328"/>
      <c r="DL19" s="328"/>
    </row>
    <row r="20" spans="1:116" hidden="1" outlineLevel="1">
      <c r="A20" s="30" t="str">
        <f>+qtrSales!A22</f>
        <v>4Q</v>
      </c>
      <c r="B20" s="30" t="str">
        <f>+qtrSales!B22</f>
        <v>Jan</v>
      </c>
      <c r="C20" s="30"/>
      <c r="D20" s="307">
        <f>442</f>
        <v>442</v>
      </c>
      <c r="E20" s="308">
        <f>+(D20/D14-1)*100</f>
        <v>15.104166666666675</v>
      </c>
      <c r="F20" s="307">
        <v>0</v>
      </c>
      <c r="G20" s="307"/>
      <c r="H20" s="307"/>
      <c r="I20" s="307"/>
      <c r="J20" s="309">
        <f>+D20+F20</f>
        <v>442</v>
      </c>
      <c r="K20" s="308">
        <f>+(J20/J14-1)*100</f>
        <v>15.104166666666675</v>
      </c>
      <c r="L20" s="307">
        <v>27</v>
      </c>
      <c r="M20" s="308">
        <f>+(L20/L14-1)*100</f>
        <v>350</v>
      </c>
      <c r="N20" s="307">
        <v>549</v>
      </c>
      <c r="O20" s="308">
        <f>+(N20/N14-1)*100</f>
        <v>17.558886509635975</v>
      </c>
      <c r="P20" s="307">
        <v>152</v>
      </c>
      <c r="Q20" s="308">
        <f>+(P20/P14-1)*100</f>
        <v>120.28985507246377</v>
      </c>
      <c r="R20" s="307">
        <v>0</v>
      </c>
      <c r="S20" s="307"/>
      <c r="T20" s="307">
        <v>778</v>
      </c>
      <c r="U20" s="308">
        <f>+(T20/T14-1)*100</f>
        <v>1.9659239842725995</v>
      </c>
      <c r="V20" s="307">
        <v>4</v>
      </c>
      <c r="W20" s="308">
        <f>+(V20/V14-1)*100</f>
        <v>300</v>
      </c>
      <c r="X20" s="308"/>
      <c r="Y20" s="308"/>
      <c r="Z20" s="307"/>
      <c r="AA20" s="308"/>
      <c r="AB20" s="307">
        <v>858</v>
      </c>
      <c r="AC20" s="308">
        <f>+(AB20/AB14-1)*100</f>
        <v>6.9825436408977648</v>
      </c>
      <c r="AD20" s="307">
        <v>752</v>
      </c>
      <c r="AE20" s="308">
        <f>+(AD20/AD14-1)*100</f>
        <v>4.4444444444444509</v>
      </c>
      <c r="AF20" s="366">
        <v>0</v>
      </c>
      <c r="AG20" s="253"/>
      <c r="AH20" s="366">
        <v>108</v>
      </c>
      <c r="AI20" s="308">
        <f>+(AH20/AH14-1)*100</f>
        <v>74.193548387096769</v>
      </c>
      <c r="AJ20" s="366">
        <v>51</v>
      </c>
      <c r="AK20" s="308">
        <f>+(AJ20/AJ14-1)*100</f>
        <v>15.909090909090917</v>
      </c>
      <c r="AL20" s="366">
        <v>27</v>
      </c>
      <c r="AM20" s="308">
        <f>+(AL20/AL14-1)*100</f>
        <v>3.8461538461538547</v>
      </c>
      <c r="AN20" s="366">
        <v>7</v>
      </c>
      <c r="AO20" s="308"/>
      <c r="AP20" s="30"/>
      <c r="AQ20" s="451">
        <f>+J20+L20+N20+P20+R20+T20+V20+AB20+AD20+AF20+AH20+AJ20+AL20+AN20</f>
        <v>3755</v>
      </c>
      <c r="AR20" s="308">
        <f>+(AQ20/AQ14-1)*100</f>
        <v>12.290669856459324</v>
      </c>
      <c r="AS20" s="307"/>
      <c r="AT20" s="30" t="str">
        <f>+A20</f>
        <v>4Q</v>
      </c>
      <c r="AU20" s="30" t="str">
        <f>+B20</f>
        <v>Jan</v>
      </c>
      <c r="AV20" s="30"/>
      <c r="AW20" s="307"/>
      <c r="AX20" s="315"/>
      <c r="AY20" s="315"/>
      <c r="AZ20" s="307"/>
      <c r="BA20" s="307"/>
      <c r="BB20" s="315"/>
      <c r="BC20" s="307"/>
      <c r="BD20" s="307"/>
      <c r="BE20" s="307"/>
      <c r="BF20" s="315"/>
      <c r="BG20" s="309"/>
      <c r="BH20" s="307"/>
      <c r="BI20" s="307"/>
      <c r="BJ20" s="315"/>
      <c r="BK20" s="307"/>
      <c r="BL20" s="307"/>
      <c r="BM20" s="307"/>
      <c r="BN20" s="315"/>
      <c r="BO20" s="307"/>
      <c r="BP20" s="307"/>
      <c r="BQ20" s="307"/>
      <c r="BR20" s="307"/>
      <c r="BS20" s="315"/>
      <c r="BT20" s="307"/>
      <c r="BU20" s="307"/>
      <c r="BV20" s="307"/>
      <c r="BW20" s="307"/>
      <c r="BX20" s="315"/>
      <c r="BY20" s="307"/>
      <c r="BZ20" s="307"/>
      <c r="CA20" s="307"/>
      <c r="CB20" s="307"/>
      <c r="CC20" s="315"/>
      <c r="CD20" s="307"/>
      <c r="CE20" s="307"/>
      <c r="CF20" s="307"/>
      <c r="CG20" s="307"/>
      <c r="CH20" s="315"/>
      <c r="CI20" s="307"/>
      <c r="CJ20" s="307"/>
      <c r="CK20" s="307"/>
      <c r="CL20" s="315"/>
      <c r="CM20" s="307"/>
      <c r="CN20" s="307"/>
      <c r="CO20" s="315"/>
      <c r="CP20" s="307"/>
      <c r="CQ20" s="307"/>
      <c r="CR20" s="315"/>
      <c r="CS20" s="307"/>
      <c r="CT20" s="307"/>
      <c r="CU20" s="315"/>
      <c r="CV20" s="307"/>
      <c r="CW20" s="307"/>
      <c r="CX20" s="315"/>
      <c r="CY20" s="307"/>
      <c r="CZ20" s="307"/>
      <c r="DA20" s="315"/>
      <c r="DB20" s="307"/>
      <c r="DC20" s="307"/>
      <c r="DD20" s="315"/>
      <c r="DE20" s="307"/>
      <c r="DF20" s="307"/>
      <c r="DG20" s="315"/>
      <c r="DH20" s="338">
        <f t="shared" si="2"/>
        <v>0</v>
      </c>
      <c r="DI20" s="338">
        <f t="shared" si="2"/>
        <v>0</v>
      </c>
      <c r="DJ20" s="328"/>
      <c r="DK20" s="328"/>
      <c r="DL20" s="328"/>
    </row>
    <row r="21" spans="1:116" hidden="1" outlineLevel="1">
      <c r="A21" s="30"/>
      <c r="B21" s="30"/>
      <c r="C21" s="30"/>
      <c r="D21" s="309"/>
      <c r="E21" s="310"/>
      <c r="F21" s="30"/>
      <c r="G21" s="30"/>
      <c r="H21" s="30"/>
      <c r="I21" s="30"/>
      <c r="J21" s="30"/>
      <c r="K21" s="30"/>
      <c r="L21" s="30"/>
      <c r="M21" s="30"/>
      <c r="N21" s="30"/>
      <c r="O21" s="30"/>
      <c r="P21" s="30"/>
      <c r="Q21" s="30"/>
      <c r="R21" s="30"/>
      <c r="S21" s="30"/>
      <c r="T21" s="30"/>
      <c r="U21" s="30"/>
      <c r="V21" s="30"/>
      <c r="W21" s="30"/>
      <c r="X21" s="30"/>
      <c r="Y21" s="30"/>
      <c r="Z21" s="30"/>
      <c r="AA21" s="30"/>
      <c r="AB21" s="30"/>
      <c r="AC21" s="30"/>
      <c r="AD21" s="30"/>
      <c r="AE21" s="30"/>
      <c r="AF21" s="30"/>
      <c r="AG21" s="30"/>
      <c r="AH21" s="30"/>
      <c r="AI21" s="30"/>
      <c r="AJ21" s="30"/>
      <c r="AK21" s="30"/>
      <c r="AL21" s="30"/>
      <c r="AM21" s="30"/>
      <c r="AN21" s="30"/>
      <c r="AO21" s="30"/>
      <c r="AP21" s="30"/>
      <c r="AQ21" s="451"/>
      <c r="AR21" s="30"/>
      <c r="AS21" s="30"/>
      <c r="AT21" s="30"/>
      <c r="AU21" s="30"/>
      <c r="AV21" s="30"/>
      <c r="AW21" s="30"/>
      <c r="AX21" s="310"/>
      <c r="AY21" s="310"/>
      <c r="AZ21" s="30"/>
      <c r="BA21" s="30"/>
      <c r="BB21" s="310"/>
      <c r="BC21" s="30"/>
      <c r="BD21" s="30"/>
      <c r="BE21" s="30"/>
      <c r="BF21" s="310"/>
      <c r="BG21" s="30"/>
      <c r="BH21" s="30"/>
      <c r="BI21" s="30"/>
      <c r="BJ21" s="310"/>
      <c r="BK21" s="30"/>
      <c r="BL21" s="30"/>
      <c r="BM21" s="30"/>
      <c r="BN21" s="310"/>
      <c r="BO21" s="30"/>
      <c r="BP21" s="30"/>
      <c r="BQ21" s="30"/>
      <c r="BR21" s="30"/>
      <c r="BS21" s="310"/>
      <c r="BT21" s="30"/>
      <c r="BU21" s="30"/>
      <c r="BV21" s="30"/>
      <c r="BW21" s="30"/>
      <c r="BX21" s="310"/>
      <c r="BY21" s="30"/>
      <c r="BZ21" s="30"/>
      <c r="CA21" s="30"/>
      <c r="CB21" s="30"/>
      <c r="CC21" s="310"/>
      <c r="CD21" s="30"/>
      <c r="CE21" s="30"/>
      <c r="CF21" s="30"/>
      <c r="CG21" s="30"/>
      <c r="CH21" s="310"/>
      <c r="CI21" s="30"/>
      <c r="CJ21" s="30"/>
      <c r="CK21" s="30"/>
      <c r="CL21" s="310"/>
      <c r="CM21" s="30"/>
      <c r="CN21" s="30"/>
      <c r="CO21" s="310"/>
      <c r="CP21" s="30"/>
      <c r="CQ21" s="30"/>
      <c r="CR21" s="310"/>
      <c r="CS21" s="30"/>
      <c r="CT21" s="30"/>
      <c r="CU21" s="310"/>
      <c r="CV21" s="30"/>
      <c r="CW21" s="30"/>
      <c r="CX21" s="310"/>
      <c r="CY21" s="30"/>
      <c r="CZ21" s="30"/>
      <c r="DA21" s="310"/>
      <c r="DB21" s="30"/>
      <c r="DC21" s="30"/>
      <c r="DD21" s="310"/>
      <c r="DE21" s="30"/>
      <c r="DF21" s="30"/>
      <c r="DG21" s="310"/>
      <c r="DH21" s="309">
        <f>+SUM(DH17:DH20)</f>
        <v>0</v>
      </c>
      <c r="DI21" s="328">
        <f>+SUM(DI17:DI20)</f>
        <v>0</v>
      </c>
      <c r="DJ21" s="328"/>
      <c r="DK21" s="328"/>
      <c r="DL21" s="328"/>
    </row>
    <row r="22" spans="1:116" hidden="1" outlineLevel="1">
      <c r="A22" s="141"/>
      <c r="B22" s="136">
        <f>+qtrSales!B25</f>
        <v>1991</v>
      </c>
      <c r="C22" s="141"/>
      <c r="D22" s="141"/>
      <c r="E22" s="303"/>
      <c r="F22" s="141"/>
      <c r="G22" s="141"/>
      <c r="H22" s="141"/>
      <c r="I22" s="141"/>
      <c r="J22" s="141"/>
      <c r="K22" s="141"/>
      <c r="L22" s="141"/>
      <c r="M22" s="141"/>
      <c r="N22" s="377"/>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452"/>
      <c r="AR22" s="301"/>
      <c r="AS22" s="301"/>
      <c r="AT22" s="141"/>
      <c r="AU22" s="27">
        <f>+B22</f>
        <v>1991</v>
      </c>
      <c r="AV22" s="141"/>
      <c r="AW22" s="141"/>
      <c r="AX22" s="303"/>
      <c r="AY22" s="303"/>
      <c r="AZ22" s="141"/>
      <c r="BA22" s="141"/>
      <c r="BB22" s="303"/>
      <c r="BC22" s="141"/>
      <c r="BD22" s="141"/>
      <c r="BE22" s="141"/>
      <c r="BF22" s="303"/>
      <c r="BG22" s="141"/>
      <c r="BH22" s="141"/>
      <c r="BI22" s="141"/>
      <c r="BJ22" s="303"/>
      <c r="BK22" s="141"/>
      <c r="BL22" s="141"/>
      <c r="BM22" s="141"/>
      <c r="BN22" s="303"/>
      <c r="BO22" s="141"/>
      <c r="BP22" s="141"/>
      <c r="BQ22" s="141"/>
      <c r="BR22" s="141"/>
      <c r="BS22" s="303"/>
      <c r="BT22" s="141"/>
      <c r="BU22" s="141"/>
      <c r="BV22" s="141"/>
      <c r="BW22" s="141"/>
      <c r="BX22" s="303"/>
      <c r="BY22" s="141"/>
      <c r="BZ22" s="141"/>
      <c r="CA22" s="141"/>
      <c r="CB22" s="141"/>
      <c r="CC22" s="303"/>
      <c r="CD22" s="141"/>
      <c r="CE22" s="141"/>
      <c r="CF22" s="141"/>
      <c r="CG22" s="141"/>
      <c r="CH22" s="303"/>
      <c r="CI22" s="141"/>
      <c r="CJ22" s="141"/>
      <c r="CK22" s="141"/>
      <c r="CL22" s="303"/>
      <c r="CM22" s="141"/>
      <c r="CN22" s="141"/>
      <c r="CO22" s="303"/>
      <c r="CP22" s="141"/>
      <c r="CQ22" s="141"/>
      <c r="CR22" s="303"/>
      <c r="CS22" s="141"/>
      <c r="CT22" s="141"/>
      <c r="CU22" s="303"/>
      <c r="CV22" s="141"/>
      <c r="CW22" s="141"/>
      <c r="CX22" s="303"/>
      <c r="CY22" s="141"/>
      <c r="CZ22" s="141"/>
      <c r="DA22" s="303"/>
      <c r="DB22" s="141"/>
      <c r="DC22" s="141"/>
      <c r="DD22" s="303"/>
      <c r="DE22" s="141"/>
      <c r="DF22" s="141"/>
      <c r="DG22" s="303"/>
      <c r="DH22" s="141"/>
      <c r="DI22" s="141"/>
      <c r="DJ22" s="141"/>
      <c r="DK22" s="141"/>
      <c r="DL22" s="141"/>
    </row>
    <row r="23" spans="1:116" hidden="1" outlineLevel="1">
      <c r="A23" s="30" t="str">
        <f>+qtrSales!A26</f>
        <v>1Q</v>
      </c>
      <c r="B23" s="30" t="str">
        <f>+qtrSales!B26</f>
        <v>Apr</v>
      </c>
      <c r="C23" s="30"/>
      <c r="D23" s="307">
        <v>461</v>
      </c>
      <c r="E23" s="308">
        <f>+(D23/D17-1)*100</f>
        <v>16.708860759493671</v>
      </c>
      <c r="F23" s="307">
        <v>0</v>
      </c>
      <c r="G23" s="307"/>
      <c r="H23" s="307"/>
      <c r="I23" s="307"/>
      <c r="J23" s="309">
        <f>+D23+F23</f>
        <v>461</v>
      </c>
      <c r="K23" s="308">
        <f>+(J23/J17-1)*100</f>
        <v>16.708860759493671</v>
      </c>
      <c r="L23" s="307">
        <v>35</v>
      </c>
      <c r="M23" s="308">
        <f>+(L23/L17-1)*100</f>
        <v>483.33333333333331</v>
      </c>
      <c r="N23" s="307">
        <v>557</v>
      </c>
      <c r="O23" s="308">
        <f>+(N23/N17-1)*100</f>
        <v>15.560165975103724</v>
      </c>
      <c r="P23" s="307">
        <v>161</v>
      </c>
      <c r="Q23" s="308">
        <f>+(P23/P17-1)*100</f>
        <v>93.97590361445782</v>
      </c>
      <c r="R23" s="307">
        <v>0</v>
      </c>
      <c r="S23" s="307"/>
      <c r="T23" s="307">
        <v>776</v>
      </c>
      <c r="U23" s="308">
        <f>+(T23/T17-1)*100</f>
        <v>1.0416666666666741</v>
      </c>
      <c r="V23" s="307">
        <v>4</v>
      </c>
      <c r="W23" s="308">
        <f>+(V23/V17-1)*100</f>
        <v>300</v>
      </c>
      <c r="X23" s="308"/>
      <c r="Y23" s="308"/>
      <c r="Z23" s="307"/>
      <c r="AA23" s="308"/>
      <c r="AB23" s="307">
        <v>855</v>
      </c>
      <c r="AC23" s="308">
        <f>+(AB23/AB17-1)*100</f>
        <v>5.1660516605166018</v>
      </c>
      <c r="AD23" s="307">
        <v>753</v>
      </c>
      <c r="AE23" s="308">
        <f>+(AD23/AD17-1)*100</f>
        <v>3.150684931506853</v>
      </c>
      <c r="AF23" s="366">
        <v>0</v>
      </c>
      <c r="AG23" s="253"/>
      <c r="AH23" s="366">
        <v>114</v>
      </c>
      <c r="AI23" s="308">
        <f>+(AH23/AH17-1)*100</f>
        <v>58.333333333333329</v>
      </c>
      <c r="AJ23" s="366">
        <v>51</v>
      </c>
      <c r="AK23" s="308">
        <f>+(AJ23/AJ17-1)*100</f>
        <v>15.909090909090917</v>
      </c>
      <c r="AL23" s="366">
        <v>28</v>
      </c>
      <c r="AM23" s="308">
        <f>+(AL23/AL17-1)*100</f>
        <v>16.666666666666675</v>
      </c>
      <c r="AN23" s="366">
        <v>7</v>
      </c>
      <c r="AO23" s="367" t="s">
        <v>886</v>
      </c>
      <c r="AP23" s="30"/>
      <c r="AQ23" s="451">
        <f>+J23+L23+N23+P23+R23+T23+V23+AB23+AD23+AF23+AH23+AJ23+AL23+AN23</f>
        <v>3802</v>
      </c>
      <c r="AR23" s="308">
        <f>+(AQ23/AQ17-1)*100</f>
        <v>11.234640140433005</v>
      </c>
      <c r="AS23" s="307"/>
      <c r="AT23" s="30" t="str">
        <f>+A23</f>
        <v>1Q</v>
      </c>
      <c r="AU23" s="30" t="str">
        <f>+B23</f>
        <v>Apr</v>
      </c>
      <c r="AV23" s="30"/>
      <c r="AW23" s="307"/>
      <c r="AX23" s="315"/>
      <c r="AY23" s="315"/>
      <c r="AZ23" s="307"/>
      <c r="BA23" s="307"/>
      <c r="BB23" s="315"/>
      <c r="BC23" s="307"/>
      <c r="BD23" s="307"/>
      <c r="BE23" s="307"/>
      <c r="BF23" s="315"/>
      <c r="BG23" s="309"/>
      <c r="BH23" s="307"/>
      <c r="BI23" s="307"/>
      <c r="BJ23" s="315"/>
      <c r="BK23" s="307"/>
      <c r="BL23" s="307"/>
      <c r="BM23" s="307"/>
      <c r="BN23" s="315"/>
      <c r="BO23" s="307"/>
      <c r="BP23" s="307"/>
      <c r="BQ23" s="307"/>
      <c r="BR23" s="307"/>
      <c r="BS23" s="315"/>
      <c r="BT23" s="307"/>
      <c r="BU23" s="307"/>
      <c r="BV23" s="307"/>
      <c r="BW23" s="307"/>
      <c r="BX23" s="315"/>
      <c r="BY23" s="307"/>
      <c r="BZ23" s="307"/>
      <c r="CA23" s="307"/>
      <c r="CB23" s="307"/>
      <c r="CC23" s="315"/>
      <c r="CD23" s="307"/>
      <c r="CE23" s="307"/>
      <c r="CF23" s="307"/>
      <c r="CG23" s="307"/>
      <c r="CH23" s="315"/>
      <c r="CI23" s="307"/>
      <c r="CJ23" s="307"/>
      <c r="CK23" s="307"/>
      <c r="CL23" s="315"/>
      <c r="CM23" s="307"/>
      <c r="CN23" s="307"/>
      <c r="CO23" s="315"/>
      <c r="CP23" s="307"/>
      <c r="CQ23" s="307"/>
      <c r="CR23" s="315"/>
      <c r="CS23" s="307"/>
      <c r="CT23" s="307"/>
      <c r="CU23" s="315"/>
      <c r="CV23" s="307"/>
      <c r="CW23" s="307"/>
      <c r="CX23" s="315"/>
      <c r="CY23" s="307"/>
      <c r="CZ23" s="307"/>
      <c r="DA23" s="315"/>
      <c r="DB23" s="307"/>
      <c r="DC23" s="307"/>
      <c r="DD23" s="315"/>
      <c r="DE23" s="307"/>
      <c r="DF23" s="307"/>
      <c r="DG23" s="315"/>
      <c r="DH23" s="328">
        <f t="shared" ref="DH23:DI26" si="3">+BG23+BK23+BT23+BY23+CD23+CI23+BO23+CP23+CS23+CV23+CY23+DB23+DE23</f>
        <v>0</v>
      </c>
      <c r="DI23" s="328">
        <f t="shared" si="3"/>
        <v>0</v>
      </c>
      <c r="DJ23" s="328"/>
      <c r="DK23" s="328"/>
      <c r="DL23" s="328"/>
    </row>
    <row r="24" spans="1:116" hidden="1" outlineLevel="1">
      <c r="A24" s="30" t="str">
        <f>+qtrSales!A27</f>
        <v>2Q</v>
      </c>
      <c r="B24" s="30" t="str">
        <f>+qtrSales!B27</f>
        <v>Jul</v>
      </c>
      <c r="C24" s="30"/>
      <c r="D24" s="307">
        <v>471</v>
      </c>
      <c r="E24" s="308">
        <f>+(D24/D18-1)*100</f>
        <v>15.441176470588225</v>
      </c>
      <c r="F24" s="307">
        <v>0</v>
      </c>
      <c r="G24" s="307"/>
      <c r="H24" s="307"/>
      <c r="I24" s="307"/>
      <c r="J24" s="309">
        <f>+D24+F24</f>
        <v>471</v>
      </c>
      <c r="K24" s="308">
        <f>+(J24/J18-1)*100</f>
        <v>15.441176470588225</v>
      </c>
      <c r="L24" s="307">
        <v>48</v>
      </c>
      <c r="M24" s="308">
        <f>+(L24/L18-1)*100</f>
        <v>860</v>
      </c>
      <c r="N24" s="307">
        <v>573</v>
      </c>
      <c r="O24" s="308">
        <f>+(N24/N18-1)*100</f>
        <v>13.241106719367579</v>
      </c>
      <c r="P24" s="307">
        <v>180</v>
      </c>
      <c r="Q24" s="308">
        <f>+(P24/P18-1)*100</f>
        <v>76.470588235294116</v>
      </c>
      <c r="R24" s="307">
        <v>0</v>
      </c>
      <c r="S24" s="307"/>
      <c r="T24" s="307">
        <v>770</v>
      </c>
      <c r="U24" s="308">
        <f>+(T24/T18-1)*100</f>
        <v>-0.12970168612191912</v>
      </c>
      <c r="V24" s="307">
        <v>4</v>
      </c>
      <c r="W24" s="308">
        <f>+(V24/V18-1)*100</f>
        <v>100</v>
      </c>
      <c r="X24" s="308"/>
      <c r="Y24" s="308"/>
      <c r="Z24" s="307"/>
      <c r="AA24" s="308"/>
      <c r="AB24" s="307">
        <v>873</v>
      </c>
      <c r="AC24" s="308">
        <f>+(AB24/AB18-1)*100</f>
        <v>6.0753341433778862</v>
      </c>
      <c r="AD24" s="307">
        <v>763</v>
      </c>
      <c r="AE24" s="308">
        <f>+(AD24/AD18-1)*100</f>
        <v>3.1081081081081097</v>
      </c>
      <c r="AF24" s="366">
        <v>0</v>
      </c>
      <c r="AG24" s="253"/>
      <c r="AH24" s="366">
        <v>125</v>
      </c>
      <c r="AI24" s="308">
        <f>+(AH24/AH18-1)*100</f>
        <v>54.320987654320987</v>
      </c>
      <c r="AJ24" s="366">
        <v>51</v>
      </c>
      <c r="AK24" s="308">
        <f>+(AJ24/AJ18-1)*100</f>
        <v>8.5106382978723296</v>
      </c>
      <c r="AL24" s="366">
        <v>29</v>
      </c>
      <c r="AM24" s="308">
        <f>+(AL24/AL18-1)*100</f>
        <v>20.833333333333325</v>
      </c>
      <c r="AN24" s="366">
        <v>7</v>
      </c>
      <c r="AO24" s="308">
        <f>+(AN24/AN18-1)*100</f>
        <v>0</v>
      </c>
      <c r="AP24" s="30"/>
      <c r="AQ24" s="451">
        <f>+J24+L24+N24+P24+R24+T24+V24+AB24+AD24+AF24+AH24+AJ24+AL24+AN24</f>
        <v>3894</v>
      </c>
      <c r="AR24" s="308">
        <f>+(AQ24/AQ18-1)*100</f>
        <v>10.750853242320812</v>
      </c>
      <c r="AS24" s="307"/>
      <c r="AT24" s="30" t="str">
        <f>+A24</f>
        <v>2Q</v>
      </c>
      <c r="AU24" s="30" t="str">
        <f>+B24</f>
        <v>Jul</v>
      </c>
      <c r="AV24" s="30"/>
      <c r="AW24" s="307"/>
      <c r="AX24" s="307"/>
      <c r="AY24" s="308"/>
      <c r="AZ24" s="307"/>
      <c r="BA24" s="307"/>
      <c r="BB24" s="308"/>
      <c r="BC24" s="307"/>
      <c r="BD24" s="307"/>
      <c r="BE24" s="307"/>
      <c r="BF24" s="308"/>
      <c r="BG24" s="328"/>
      <c r="BH24" s="328"/>
      <c r="BI24" s="328"/>
      <c r="BJ24" s="315"/>
      <c r="BK24" s="307"/>
      <c r="BL24" s="307"/>
      <c r="BM24" s="307"/>
      <c r="BN24" s="315"/>
      <c r="BO24" s="307"/>
      <c r="BP24" s="307"/>
      <c r="BQ24" s="307"/>
      <c r="BR24" s="307"/>
      <c r="BS24" s="315"/>
      <c r="BT24" s="307"/>
      <c r="BU24" s="307"/>
      <c r="BV24" s="307"/>
      <c r="BW24" s="307"/>
      <c r="BX24" s="315"/>
      <c r="BY24" s="307"/>
      <c r="BZ24" s="307"/>
      <c r="CA24" s="307"/>
      <c r="CB24" s="307"/>
      <c r="CC24" s="315"/>
      <c r="CD24" s="307"/>
      <c r="CE24" s="307"/>
      <c r="CF24" s="307"/>
      <c r="CG24" s="307"/>
      <c r="CH24" s="315"/>
      <c r="CI24" s="307"/>
      <c r="CJ24" s="307"/>
      <c r="CK24" s="307"/>
      <c r="CL24" s="315"/>
      <c r="CM24" s="307"/>
      <c r="CN24" s="307"/>
      <c r="CO24" s="315"/>
      <c r="CP24" s="307"/>
      <c r="CQ24" s="307"/>
      <c r="CR24" s="315"/>
      <c r="CS24" s="307"/>
      <c r="CT24" s="307"/>
      <c r="CU24" s="315"/>
      <c r="CV24" s="307"/>
      <c r="CW24" s="307"/>
      <c r="CX24" s="315"/>
      <c r="CY24" s="307"/>
      <c r="CZ24" s="307"/>
      <c r="DA24" s="315"/>
      <c r="DB24" s="307"/>
      <c r="DC24" s="307"/>
      <c r="DD24" s="315"/>
      <c r="DE24" s="307"/>
      <c r="DF24" s="307"/>
      <c r="DG24" s="315"/>
      <c r="DH24" s="328">
        <f t="shared" si="3"/>
        <v>0</v>
      </c>
      <c r="DI24" s="328">
        <f t="shared" si="3"/>
        <v>0</v>
      </c>
      <c r="DJ24" s="328"/>
      <c r="DK24" s="328"/>
      <c r="DL24" s="328"/>
    </row>
    <row r="25" spans="1:116" hidden="1" outlineLevel="1">
      <c r="A25" s="30" t="str">
        <f>+qtrSales!A28</f>
        <v>3Q</v>
      </c>
      <c r="B25" s="30" t="str">
        <f>+qtrSales!B28</f>
        <v>Oct</v>
      </c>
      <c r="C25" s="30"/>
      <c r="D25" s="307">
        <v>494</v>
      </c>
      <c r="E25" s="308">
        <f>+(D25/D19-1)*100</f>
        <v>14.617169373549888</v>
      </c>
      <c r="F25" s="307">
        <v>0</v>
      </c>
      <c r="G25" s="307"/>
      <c r="H25" s="307"/>
      <c r="I25" s="307"/>
      <c r="J25" s="309">
        <f>+D25+F25</f>
        <v>494</v>
      </c>
      <c r="K25" s="308">
        <f>+(J25/J19-1)*100</f>
        <v>14.617169373549888</v>
      </c>
      <c r="L25" s="307">
        <v>78</v>
      </c>
      <c r="M25" s="308">
        <f>+(L25/L19-1)*100</f>
        <v>290</v>
      </c>
      <c r="N25" s="307">
        <v>594</v>
      </c>
      <c r="O25" s="308">
        <f>+(N25/N19-1)*100</f>
        <v>11.028037383177569</v>
      </c>
      <c r="P25" s="307">
        <v>216</v>
      </c>
      <c r="Q25" s="308">
        <f>+(P25/P19-1)*100</f>
        <v>66.15384615384616</v>
      </c>
      <c r="R25" s="307">
        <v>0</v>
      </c>
      <c r="S25" s="307"/>
      <c r="T25" s="307">
        <v>774</v>
      </c>
      <c r="U25" s="308">
        <f>+(T25/T19-1)*100</f>
        <v>-0.64184852374840062</v>
      </c>
      <c r="V25" s="307">
        <v>4</v>
      </c>
      <c r="W25" s="308">
        <f>+(V25/V19-1)*100</f>
        <v>0</v>
      </c>
      <c r="X25" s="308"/>
      <c r="Y25" s="308"/>
      <c r="Z25" s="307"/>
      <c r="AA25" s="308"/>
      <c r="AB25" s="307">
        <v>898</v>
      </c>
      <c r="AC25" s="308">
        <f>+(AB25/AB19-1)*100</f>
        <v>5.39906103286385</v>
      </c>
      <c r="AD25" s="307">
        <v>780</v>
      </c>
      <c r="AE25" s="308">
        <f>+(AD25/AD19-1)*100</f>
        <v>3.7234042553191404</v>
      </c>
      <c r="AF25" s="366">
        <v>0</v>
      </c>
      <c r="AG25" s="253"/>
      <c r="AH25" s="366">
        <v>153</v>
      </c>
      <c r="AI25" s="308">
        <f>+(AH25/AH19-1)*100</f>
        <v>48.543689320388353</v>
      </c>
      <c r="AJ25" s="366">
        <v>53</v>
      </c>
      <c r="AK25" s="308">
        <f>+(AJ25/AJ19-1)*100</f>
        <v>3.9215686274509887</v>
      </c>
      <c r="AL25" s="366">
        <v>36</v>
      </c>
      <c r="AM25" s="308">
        <f>+(AL25/AL19-1)*100</f>
        <v>43.999999999999993</v>
      </c>
      <c r="AN25" s="366">
        <v>7</v>
      </c>
      <c r="AO25" s="308">
        <f>+(AN25/AN19-1)*100</f>
        <v>0</v>
      </c>
      <c r="AP25" s="30"/>
      <c r="AQ25" s="451">
        <f>+J25+L25+N25+P25+R25+T25+V25+AB25+AD25+AF25+AH25+AJ25+AL25+AN25</f>
        <v>4087</v>
      </c>
      <c r="AR25" s="308">
        <f>+(AQ25/AQ19-1)*100</f>
        <v>10.788831661696928</v>
      </c>
      <c r="AS25" s="307"/>
      <c r="AT25" s="30" t="str">
        <f>+A25</f>
        <v>3Q</v>
      </c>
      <c r="AU25" s="30" t="str">
        <f>+B25</f>
        <v>Oct</v>
      </c>
      <c r="AV25" s="30"/>
      <c r="AW25" s="307"/>
      <c r="AX25" s="315"/>
      <c r="AY25" s="315"/>
      <c r="AZ25" s="307"/>
      <c r="BA25" s="307"/>
      <c r="BB25" s="315"/>
      <c r="BC25" s="307"/>
      <c r="BD25" s="307"/>
      <c r="BE25" s="307"/>
      <c r="BF25" s="315"/>
      <c r="BG25" s="309"/>
      <c r="BH25" s="307"/>
      <c r="BI25" s="307"/>
      <c r="BJ25" s="315"/>
      <c r="BK25" s="307"/>
      <c r="BL25" s="307"/>
      <c r="BM25" s="307"/>
      <c r="BN25" s="315"/>
      <c r="BO25" s="307"/>
      <c r="BP25" s="307"/>
      <c r="BQ25" s="307"/>
      <c r="BR25" s="307"/>
      <c r="BS25" s="315"/>
      <c r="BT25" s="307"/>
      <c r="BU25" s="307"/>
      <c r="BV25" s="307"/>
      <c r="BW25" s="307"/>
      <c r="BX25" s="315"/>
      <c r="BY25" s="307"/>
      <c r="BZ25" s="307"/>
      <c r="CA25" s="307"/>
      <c r="CB25" s="307"/>
      <c r="CC25" s="315"/>
      <c r="CD25" s="307"/>
      <c r="CE25" s="307"/>
      <c r="CF25" s="307"/>
      <c r="CG25" s="307"/>
      <c r="CH25" s="315"/>
      <c r="CI25" s="307"/>
      <c r="CJ25" s="307"/>
      <c r="CK25" s="307"/>
      <c r="CL25" s="315"/>
      <c r="CM25" s="307"/>
      <c r="CN25" s="307"/>
      <c r="CO25" s="315"/>
      <c r="CP25" s="307"/>
      <c r="CQ25" s="307"/>
      <c r="CR25" s="315"/>
      <c r="CS25" s="307"/>
      <c r="CT25" s="307"/>
      <c r="CU25" s="315"/>
      <c r="CV25" s="307"/>
      <c r="CW25" s="307"/>
      <c r="CX25" s="315"/>
      <c r="CY25" s="307"/>
      <c r="CZ25" s="307"/>
      <c r="DA25" s="315"/>
      <c r="DB25" s="307"/>
      <c r="DC25" s="307"/>
      <c r="DD25" s="315"/>
      <c r="DE25" s="307"/>
      <c r="DF25" s="307"/>
      <c r="DG25" s="315"/>
      <c r="DH25" s="328">
        <f t="shared" si="3"/>
        <v>0</v>
      </c>
      <c r="DI25" s="328">
        <f t="shared" si="3"/>
        <v>0</v>
      </c>
      <c r="DJ25" s="328"/>
      <c r="DK25" s="328"/>
      <c r="DL25" s="328"/>
    </row>
    <row r="26" spans="1:116" hidden="1" outlineLevel="1">
      <c r="A26" s="30" t="str">
        <f>+qtrSales!A29</f>
        <v>4Q</v>
      </c>
      <c r="B26" s="30" t="str">
        <f>+qtrSales!B29</f>
        <v>Jan</v>
      </c>
      <c r="C26" s="30"/>
      <c r="D26" s="307">
        <v>507</v>
      </c>
      <c r="E26" s="308">
        <f>+(D26/D20-1)*100</f>
        <v>14.705882352941169</v>
      </c>
      <c r="F26" s="307">
        <v>0</v>
      </c>
      <c r="G26" s="307"/>
      <c r="H26" s="307"/>
      <c r="I26" s="307"/>
      <c r="J26" s="309">
        <f>+D26+F26</f>
        <v>507</v>
      </c>
      <c r="K26" s="308">
        <f>+(J26/J20-1)*100</f>
        <v>14.705882352941169</v>
      </c>
      <c r="L26" s="307">
        <v>95</v>
      </c>
      <c r="M26" s="308">
        <f>+(L26/L20-1)*100</f>
        <v>251.85185185185185</v>
      </c>
      <c r="N26" s="307">
        <v>611</v>
      </c>
      <c r="O26" s="308">
        <f>+(N26/N20-1)*100</f>
        <v>11.29326047358834</v>
      </c>
      <c r="P26" s="307">
        <v>240</v>
      </c>
      <c r="Q26" s="308">
        <f>+(P26/P20-1)*100</f>
        <v>57.894736842105267</v>
      </c>
      <c r="R26" s="307">
        <v>0</v>
      </c>
      <c r="S26" s="307"/>
      <c r="T26" s="307">
        <v>773</v>
      </c>
      <c r="U26" s="308">
        <f>+(T26/T20-1)*100</f>
        <v>-0.64267352185090054</v>
      </c>
      <c r="V26" s="307">
        <v>4</v>
      </c>
      <c r="W26" s="308">
        <f>+(V26/V20-1)*100</f>
        <v>0</v>
      </c>
      <c r="X26" s="308"/>
      <c r="Y26" s="308"/>
      <c r="Z26" s="307"/>
      <c r="AA26" s="308"/>
      <c r="AB26" s="307">
        <v>910</v>
      </c>
      <c r="AC26" s="308">
        <f>+(AB26/AB20-1)*100</f>
        <v>6.0606060606060552</v>
      </c>
      <c r="AD26" s="307">
        <v>786</v>
      </c>
      <c r="AE26" s="308">
        <f>+(AD26/AD20-1)*100</f>
        <v>4.5212765957446832</v>
      </c>
      <c r="AF26" s="366">
        <v>0</v>
      </c>
      <c r="AG26" s="253"/>
      <c r="AH26" s="366">
        <v>172</v>
      </c>
      <c r="AI26" s="308">
        <f>+(AH26/AH20-1)*100</f>
        <v>59.259259259259252</v>
      </c>
      <c r="AJ26" s="366">
        <v>54</v>
      </c>
      <c r="AK26" s="308">
        <f>+(AJ26/AJ20-1)*100</f>
        <v>5.8823529411764719</v>
      </c>
      <c r="AL26" s="366">
        <v>36</v>
      </c>
      <c r="AM26" s="308">
        <f>+(AL26/AL20-1)*100</f>
        <v>33.333333333333329</v>
      </c>
      <c r="AN26" s="366">
        <v>6</v>
      </c>
      <c r="AO26" s="308">
        <f>+(AN26/AN20-1)*100</f>
        <v>-14.28571428571429</v>
      </c>
      <c r="AP26" s="30"/>
      <c r="AQ26" s="451">
        <f>+J26+L26+N26+P26+R26+T26+V26+AB26+AD26+AF26+AH26+AJ26+AL26+AN26</f>
        <v>4194</v>
      </c>
      <c r="AR26" s="308">
        <f>+(AQ26/AQ20-1)*100</f>
        <v>11.691078561917445</v>
      </c>
      <c r="AS26" s="307"/>
      <c r="AT26" s="30" t="str">
        <f>+A26</f>
        <v>4Q</v>
      </c>
      <c r="AU26" s="30" t="str">
        <f>+B26</f>
        <v>Jan</v>
      </c>
      <c r="AV26" s="30"/>
      <c r="AW26" s="307"/>
      <c r="AX26" s="315"/>
      <c r="AY26" s="315"/>
      <c r="AZ26" s="307"/>
      <c r="BA26" s="307"/>
      <c r="BB26" s="315"/>
      <c r="BC26" s="307"/>
      <c r="BD26" s="307"/>
      <c r="BE26" s="307"/>
      <c r="BF26" s="315"/>
      <c r="BG26" s="309"/>
      <c r="BH26" s="307"/>
      <c r="BI26" s="307"/>
      <c r="BJ26" s="315"/>
      <c r="BK26" s="307"/>
      <c r="BL26" s="307"/>
      <c r="BM26" s="307"/>
      <c r="BN26" s="315"/>
      <c r="BO26" s="307"/>
      <c r="BP26" s="307"/>
      <c r="BQ26" s="307"/>
      <c r="BR26" s="307"/>
      <c r="BS26" s="315"/>
      <c r="BT26" s="307"/>
      <c r="BU26" s="307"/>
      <c r="BV26" s="307"/>
      <c r="BW26" s="307"/>
      <c r="BX26" s="315"/>
      <c r="BY26" s="307"/>
      <c r="BZ26" s="307"/>
      <c r="CA26" s="307"/>
      <c r="CB26" s="307"/>
      <c r="CC26" s="315"/>
      <c r="CD26" s="307"/>
      <c r="CE26" s="307"/>
      <c r="CF26" s="307"/>
      <c r="CG26" s="307"/>
      <c r="CH26" s="315"/>
      <c r="CI26" s="307"/>
      <c r="CJ26" s="307"/>
      <c r="CK26" s="307"/>
      <c r="CL26" s="315"/>
      <c r="CM26" s="307"/>
      <c r="CN26" s="307"/>
      <c r="CO26" s="315"/>
      <c r="CP26" s="307"/>
      <c r="CQ26" s="307"/>
      <c r="CR26" s="315"/>
      <c r="CS26" s="307"/>
      <c r="CT26" s="307"/>
      <c r="CU26" s="315"/>
      <c r="CV26" s="307"/>
      <c r="CW26" s="307"/>
      <c r="CX26" s="315"/>
      <c r="CY26" s="307"/>
      <c r="CZ26" s="307"/>
      <c r="DA26" s="315"/>
      <c r="DB26" s="307"/>
      <c r="DC26" s="307"/>
      <c r="DD26" s="315"/>
      <c r="DE26" s="307"/>
      <c r="DF26" s="307"/>
      <c r="DG26" s="315"/>
      <c r="DH26" s="338">
        <f t="shared" si="3"/>
        <v>0</v>
      </c>
      <c r="DI26" s="338">
        <f t="shared" si="3"/>
        <v>0</v>
      </c>
      <c r="DJ26" s="328"/>
      <c r="DK26" s="328"/>
      <c r="DL26" s="328"/>
    </row>
    <row r="27" spans="1:116" hidden="1" outlineLevel="1">
      <c r="A27" s="30"/>
      <c r="B27" s="30"/>
      <c r="C27" s="30"/>
      <c r="D27" s="30"/>
      <c r="E27" s="310"/>
      <c r="F27" s="30"/>
      <c r="G27" s="30"/>
      <c r="H27" s="30"/>
      <c r="I27" s="30"/>
      <c r="J27" s="30"/>
      <c r="K27" s="30"/>
      <c r="L27" s="30"/>
      <c r="M27" s="30"/>
      <c r="N27" s="30"/>
      <c r="O27" s="30"/>
      <c r="P27" s="309"/>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451"/>
      <c r="AR27" s="30"/>
      <c r="AS27" s="30"/>
      <c r="AT27" s="30"/>
      <c r="AU27" s="30"/>
      <c r="AV27" s="30"/>
      <c r="AW27" s="30"/>
      <c r="AX27" s="310"/>
      <c r="AY27" s="310"/>
      <c r="AZ27" s="30"/>
      <c r="BA27" s="30"/>
      <c r="BB27" s="310"/>
      <c r="BC27" s="30"/>
      <c r="BD27" s="30"/>
      <c r="BE27" s="30"/>
      <c r="BF27" s="310"/>
      <c r="BG27" s="30"/>
      <c r="BH27" s="30"/>
      <c r="BI27" s="30"/>
      <c r="BJ27" s="310"/>
      <c r="BK27" s="30"/>
      <c r="BL27" s="30"/>
      <c r="BM27" s="30"/>
      <c r="BN27" s="310"/>
      <c r="BO27" s="30"/>
      <c r="BP27" s="30"/>
      <c r="BQ27" s="30"/>
      <c r="BR27" s="30"/>
      <c r="BS27" s="310"/>
      <c r="BT27" s="30"/>
      <c r="BU27" s="30"/>
      <c r="BV27" s="30"/>
      <c r="BW27" s="30"/>
      <c r="BX27" s="310"/>
      <c r="BY27" s="30"/>
      <c r="BZ27" s="30"/>
      <c r="CA27" s="30"/>
      <c r="CB27" s="30"/>
      <c r="CC27" s="310"/>
      <c r="CD27" s="30"/>
      <c r="CE27" s="30"/>
      <c r="CF27" s="30"/>
      <c r="CG27" s="30"/>
      <c r="CH27" s="310"/>
      <c r="CI27" s="30"/>
      <c r="CJ27" s="30"/>
      <c r="CK27" s="30"/>
      <c r="CL27" s="310"/>
      <c r="CM27" s="30"/>
      <c r="CN27" s="30"/>
      <c r="CO27" s="310"/>
      <c r="CP27" s="30"/>
      <c r="CQ27" s="30"/>
      <c r="CR27" s="310"/>
      <c r="CS27" s="30"/>
      <c r="CT27" s="30"/>
      <c r="CU27" s="310"/>
      <c r="CV27" s="30"/>
      <c r="CW27" s="30"/>
      <c r="CX27" s="310"/>
      <c r="CY27" s="30"/>
      <c r="CZ27" s="30"/>
      <c r="DA27" s="310"/>
      <c r="DB27" s="30"/>
      <c r="DC27" s="30"/>
      <c r="DD27" s="310"/>
      <c r="DE27" s="30"/>
      <c r="DF27" s="30"/>
      <c r="DG27" s="310"/>
      <c r="DH27" s="309">
        <f>+SUM(DH23:DH26)</f>
        <v>0</v>
      </c>
      <c r="DI27" s="328">
        <f>+SUM(DI23:DI26)</f>
        <v>0</v>
      </c>
      <c r="DJ27" s="328"/>
      <c r="DK27" s="328"/>
      <c r="DL27" s="328"/>
    </row>
    <row r="28" spans="1:116" hidden="1" outlineLevel="1">
      <c r="A28" s="141"/>
      <c r="B28" s="136">
        <f>+qtrSales!B32</f>
        <v>1992</v>
      </c>
      <c r="C28" s="141"/>
      <c r="D28" s="141"/>
      <c r="E28" s="303"/>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452"/>
      <c r="AR28" s="301"/>
      <c r="AS28" s="301"/>
      <c r="AT28" s="141"/>
      <c r="AU28" s="27">
        <f>+B28</f>
        <v>1992</v>
      </c>
      <c r="AV28" s="141"/>
      <c r="AW28" s="141"/>
      <c r="AX28" s="303"/>
      <c r="AY28" s="303"/>
      <c r="AZ28" s="141"/>
      <c r="BA28" s="141"/>
      <c r="BB28" s="303"/>
      <c r="BC28" s="141"/>
      <c r="BD28" s="141"/>
      <c r="BE28" s="141"/>
      <c r="BF28" s="303"/>
      <c r="BG28" s="141"/>
      <c r="BH28" s="141"/>
      <c r="BI28" s="141"/>
      <c r="BJ28" s="303"/>
      <c r="BK28" s="141"/>
      <c r="BL28" s="141"/>
      <c r="BM28" s="141"/>
      <c r="BN28" s="303"/>
      <c r="BO28" s="141"/>
      <c r="BP28" s="141"/>
      <c r="BQ28" s="141"/>
      <c r="BR28" s="141"/>
      <c r="BS28" s="303"/>
      <c r="BT28" s="141"/>
      <c r="BU28" s="141"/>
      <c r="BV28" s="141"/>
      <c r="BW28" s="141"/>
      <c r="BX28" s="303"/>
      <c r="BY28" s="141"/>
      <c r="BZ28" s="141"/>
      <c r="CA28" s="141"/>
      <c r="CB28" s="141"/>
      <c r="CC28" s="303"/>
      <c r="CD28" s="141"/>
      <c r="CE28" s="141"/>
      <c r="CF28" s="141"/>
      <c r="CG28" s="141"/>
      <c r="CH28" s="303"/>
      <c r="CI28" s="141"/>
      <c r="CJ28" s="141"/>
      <c r="CK28" s="141"/>
      <c r="CL28" s="303"/>
      <c r="CM28" s="141"/>
      <c r="CN28" s="141"/>
      <c r="CO28" s="303"/>
      <c r="CP28" s="141"/>
      <c r="CQ28" s="141"/>
      <c r="CR28" s="303"/>
      <c r="CS28" s="141"/>
      <c r="CT28" s="141"/>
      <c r="CU28" s="303"/>
      <c r="CV28" s="141"/>
      <c r="CW28" s="141"/>
      <c r="CX28" s="303"/>
      <c r="CY28" s="141"/>
      <c r="CZ28" s="141"/>
      <c r="DA28" s="303"/>
      <c r="DB28" s="141"/>
      <c r="DC28" s="141"/>
      <c r="DD28" s="303"/>
      <c r="DE28" s="141"/>
      <c r="DF28" s="141"/>
      <c r="DG28" s="303"/>
      <c r="DH28" s="141"/>
      <c r="DI28" s="141"/>
      <c r="DJ28" s="141"/>
      <c r="DK28" s="141"/>
      <c r="DL28" s="141"/>
    </row>
    <row r="29" spans="1:116" hidden="1" outlineLevel="1">
      <c r="A29" s="30" t="str">
        <f>+qtrSales!A33</f>
        <v>1Q</v>
      </c>
      <c r="B29" s="30" t="str">
        <f>+qtrSales!B33</f>
        <v>Apr</v>
      </c>
      <c r="C29" s="30"/>
      <c r="D29" s="307">
        <v>513</v>
      </c>
      <c r="E29" s="308">
        <f>+(D29/D23-1)*100</f>
        <v>11.279826464208242</v>
      </c>
      <c r="F29" s="307">
        <v>0</v>
      </c>
      <c r="G29" s="307"/>
      <c r="H29" s="307"/>
      <c r="I29" s="307"/>
      <c r="J29" s="309">
        <f>+D29+F29</f>
        <v>513</v>
      </c>
      <c r="K29" s="308">
        <f>+(J29/J23-1)*100</f>
        <v>11.279826464208242</v>
      </c>
      <c r="L29" s="307">
        <v>100</v>
      </c>
      <c r="M29" s="308">
        <f>+(L29/L23-1)*100</f>
        <v>185.71428571428572</v>
      </c>
      <c r="N29" s="307">
        <v>617</v>
      </c>
      <c r="O29" s="308">
        <f>+(N29/N23-1)*100</f>
        <v>10.77199281867145</v>
      </c>
      <c r="P29" s="307">
        <v>267</v>
      </c>
      <c r="Q29" s="308">
        <f>+(P29/P23-1)*100</f>
        <v>65.838509316770171</v>
      </c>
      <c r="R29" s="307">
        <v>0</v>
      </c>
      <c r="S29" s="307"/>
      <c r="T29" s="307">
        <v>772</v>
      </c>
      <c r="U29" s="308">
        <f>+(T29/T23-1)*100</f>
        <v>-0.51546391752577136</v>
      </c>
      <c r="V29" s="307">
        <v>4</v>
      </c>
      <c r="W29" s="308">
        <f>+(V29/V23-1)*100</f>
        <v>0</v>
      </c>
      <c r="X29" s="308"/>
      <c r="Y29" s="308"/>
      <c r="Z29" s="307"/>
      <c r="AA29" s="308"/>
      <c r="AB29" s="307">
        <v>914</v>
      </c>
      <c r="AC29" s="308">
        <f>+(AB29/AB23-1)*100</f>
        <v>6.9005847953216293</v>
      </c>
      <c r="AD29" s="307">
        <v>790</v>
      </c>
      <c r="AE29" s="308">
        <f>+(AD29/AD23-1)*100</f>
        <v>4.9136786188578974</v>
      </c>
      <c r="AF29" s="366">
        <v>0</v>
      </c>
      <c r="AG29" s="253"/>
      <c r="AH29" s="366">
        <v>183</v>
      </c>
      <c r="AI29" s="308">
        <f>+(AH29/AH23-1)*100</f>
        <v>60.526315789473692</v>
      </c>
      <c r="AJ29" s="366">
        <v>54</v>
      </c>
      <c r="AK29" s="308">
        <f>+(AJ29/AJ23-1)*100</f>
        <v>5.8823529411764719</v>
      </c>
      <c r="AL29" s="366">
        <v>37</v>
      </c>
      <c r="AM29" s="308">
        <f>+(AL29/AL23-1)*100</f>
        <v>32.142857142857139</v>
      </c>
      <c r="AN29" s="366">
        <v>6</v>
      </c>
      <c r="AO29" s="308">
        <f>+(AN29/AN23-1)*100</f>
        <v>-14.28571428571429</v>
      </c>
      <c r="AP29" s="30"/>
      <c r="AQ29" s="451">
        <f>+J29+L29+N29+P29+R29+T29+V29+AB29+AD29+AF29+AH29+AJ29+AL29+AN29</f>
        <v>4257</v>
      </c>
      <c r="AR29" s="308">
        <f>+(AQ29/AQ23-1)*100</f>
        <v>11.967385586533407</v>
      </c>
      <c r="AS29" s="307"/>
      <c r="AT29" s="30" t="str">
        <f>+A29</f>
        <v>1Q</v>
      </c>
      <c r="AU29" s="30" t="str">
        <f>+B29</f>
        <v>Apr</v>
      </c>
      <c r="AV29" s="30"/>
      <c r="AW29" s="307"/>
      <c r="AX29" s="315"/>
      <c r="AY29" s="315"/>
      <c r="AZ29" s="307"/>
      <c r="BA29" s="307"/>
      <c r="BB29" s="315"/>
      <c r="BC29" s="307"/>
      <c r="BD29" s="307"/>
      <c r="BE29" s="307"/>
      <c r="BF29" s="315"/>
      <c r="BG29" s="309"/>
      <c r="BH29" s="307"/>
      <c r="BI29" s="307"/>
      <c r="BJ29" s="315"/>
      <c r="BK29" s="307"/>
      <c r="BL29" s="307"/>
      <c r="BM29" s="307"/>
      <c r="BN29" s="315"/>
      <c r="BO29" s="307"/>
      <c r="BP29" s="307"/>
      <c r="BQ29" s="307"/>
      <c r="BR29" s="307"/>
      <c r="BS29" s="315"/>
      <c r="BT29" s="307"/>
      <c r="BU29" s="307"/>
      <c r="BV29" s="307"/>
      <c r="BW29" s="307"/>
      <c r="BX29" s="315"/>
      <c r="BY29" s="307"/>
      <c r="BZ29" s="307"/>
      <c r="CA29" s="307"/>
      <c r="CB29" s="307"/>
      <c r="CC29" s="315"/>
      <c r="CD29" s="307"/>
      <c r="CE29" s="307"/>
      <c r="CF29" s="307"/>
      <c r="CG29" s="307"/>
      <c r="CH29" s="315"/>
      <c r="CI29" s="307"/>
      <c r="CJ29" s="307"/>
      <c r="CK29" s="307"/>
      <c r="CL29" s="315"/>
      <c r="CM29" s="307"/>
      <c r="CN29" s="307"/>
      <c r="CO29" s="315"/>
      <c r="CP29" s="307"/>
      <c r="CQ29" s="307"/>
      <c r="CR29" s="315"/>
      <c r="CS29" s="307"/>
      <c r="CT29" s="307"/>
      <c r="CU29" s="315"/>
      <c r="CV29" s="307"/>
      <c r="CW29" s="307"/>
      <c r="CX29" s="315"/>
      <c r="CY29" s="307"/>
      <c r="CZ29" s="307"/>
      <c r="DA29" s="315"/>
      <c r="DB29" s="307"/>
      <c r="DC29" s="307"/>
      <c r="DD29" s="315"/>
      <c r="DE29" s="307"/>
      <c r="DF29" s="307"/>
      <c r="DG29" s="315"/>
      <c r="DH29" s="328">
        <f t="shared" ref="DH29:DI32" si="4">+BG29+BK29+BT29+BY29+CD29+CI29+BO29+CP29+CS29+CV29+CY29+DB29+DE29</f>
        <v>0</v>
      </c>
      <c r="DI29" s="328">
        <f t="shared" si="4"/>
        <v>0</v>
      </c>
      <c r="DJ29" s="328"/>
      <c r="DK29" s="328"/>
      <c r="DL29" s="328"/>
    </row>
    <row r="30" spans="1:116" hidden="1" outlineLevel="1">
      <c r="A30" s="30" t="str">
        <f>+qtrSales!A34</f>
        <v>2Q</v>
      </c>
      <c r="B30" s="30" t="str">
        <f>+qtrSales!B34</f>
        <v>Jul</v>
      </c>
      <c r="C30" s="30"/>
      <c r="D30" s="307">
        <v>524</v>
      </c>
      <c r="E30" s="308">
        <f>+(D30/D24-1)*100</f>
        <v>11.25265392781316</v>
      </c>
      <c r="F30" s="307">
        <v>0</v>
      </c>
      <c r="G30" s="307"/>
      <c r="H30" s="307"/>
      <c r="I30" s="307"/>
      <c r="J30" s="309">
        <f>+D30+F30</f>
        <v>524</v>
      </c>
      <c r="K30" s="308">
        <f>+(J30/J24-1)*100</f>
        <v>11.25265392781316</v>
      </c>
      <c r="L30" s="307">
        <v>105</v>
      </c>
      <c r="M30" s="308">
        <f>+(L30/L24-1)*100</f>
        <v>118.75</v>
      </c>
      <c r="N30" s="307">
        <v>623</v>
      </c>
      <c r="O30" s="308">
        <f>+(N30/N24-1)*100</f>
        <v>8.7260034904014017</v>
      </c>
      <c r="P30" s="307">
        <v>291</v>
      </c>
      <c r="Q30" s="308">
        <f>+(P30/P24-1)*100</f>
        <v>61.666666666666671</v>
      </c>
      <c r="R30" s="307">
        <v>0</v>
      </c>
      <c r="S30" s="307"/>
      <c r="T30" s="307">
        <v>767</v>
      </c>
      <c r="U30" s="308">
        <f>+(T30/T24-1)*100</f>
        <v>-0.38961038961038419</v>
      </c>
      <c r="V30" s="307">
        <v>4</v>
      </c>
      <c r="W30" s="308">
        <f>+(V30/V24-1)*100</f>
        <v>0</v>
      </c>
      <c r="X30" s="308"/>
      <c r="Y30" s="308"/>
      <c r="Z30" s="307"/>
      <c r="AA30" s="308"/>
      <c r="AB30" s="307">
        <v>919</v>
      </c>
      <c r="AC30" s="308">
        <f>+(AB30/AB24-1)*100</f>
        <v>5.269186712485685</v>
      </c>
      <c r="AD30" s="307">
        <v>795</v>
      </c>
      <c r="AE30" s="308">
        <f>+(AD30/AD24-1)*100</f>
        <v>4.1939711664482404</v>
      </c>
      <c r="AF30" s="366">
        <v>0</v>
      </c>
      <c r="AG30" s="253"/>
      <c r="AH30" s="366">
        <v>183</v>
      </c>
      <c r="AI30" s="308">
        <f>+(AH30/AH24-1)*100</f>
        <v>46.4</v>
      </c>
      <c r="AJ30" s="366">
        <v>61</v>
      </c>
      <c r="AK30" s="308">
        <f>+(AJ30/AJ24-1)*100</f>
        <v>19.6078431372549</v>
      </c>
      <c r="AL30" s="366">
        <v>37</v>
      </c>
      <c r="AM30" s="308">
        <f>+(AL30/AL24-1)*100</f>
        <v>27.586206896551737</v>
      </c>
      <c r="AN30" s="366">
        <v>6</v>
      </c>
      <c r="AO30" s="308">
        <f>+(AN30/AN24-1)*100</f>
        <v>-14.28571428571429</v>
      </c>
      <c r="AP30" s="30"/>
      <c r="AQ30" s="451">
        <f>+J30+L30+N30+P30+R30+T30+V30+AB30+AD30+AF30+AH30+AJ30+AL30+AN30</f>
        <v>4315</v>
      </c>
      <c r="AR30" s="308">
        <f>+(AQ30/AQ24-1)*100</f>
        <v>10.811504879301491</v>
      </c>
      <c r="AS30" s="307"/>
      <c r="AT30" s="30" t="str">
        <f>+A30</f>
        <v>2Q</v>
      </c>
      <c r="AU30" s="30" t="str">
        <f>+B30</f>
        <v>Jul</v>
      </c>
      <c r="AV30" s="30"/>
      <c r="AW30" s="307"/>
      <c r="AX30" s="307"/>
      <c r="AY30" s="308"/>
      <c r="AZ30" s="307"/>
      <c r="BA30" s="307"/>
      <c r="BB30" s="308"/>
      <c r="BC30" s="307"/>
      <c r="BD30" s="307"/>
      <c r="BE30" s="307"/>
      <c r="BF30" s="308"/>
      <c r="BG30" s="328"/>
      <c r="BH30" s="328"/>
      <c r="BI30" s="328"/>
      <c r="BJ30" s="315"/>
      <c r="BK30" s="307"/>
      <c r="BL30" s="307"/>
      <c r="BM30" s="307"/>
      <c r="BN30" s="315"/>
      <c r="BO30" s="307"/>
      <c r="BP30" s="307"/>
      <c r="BQ30" s="307"/>
      <c r="BR30" s="307"/>
      <c r="BS30" s="315"/>
      <c r="BT30" s="307"/>
      <c r="BU30" s="307"/>
      <c r="BV30" s="307"/>
      <c r="BW30" s="307"/>
      <c r="BX30" s="315"/>
      <c r="BY30" s="307"/>
      <c r="BZ30" s="307"/>
      <c r="CA30" s="307"/>
      <c r="CB30" s="307"/>
      <c r="CC30" s="315"/>
      <c r="CD30" s="307"/>
      <c r="CE30" s="307"/>
      <c r="CF30" s="307"/>
      <c r="CG30" s="307"/>
      <c r="CH30" s="315"/>
      <c r="CI30" s="307"/>
      <c r="CJ30" s="307"/>
      <c r="CK30" s="307"/>
      <c r="CL30" s="315"/>
      <c r="CM30" s="307"/>
      <c r="CN30" s="307"/>
      <c r="CO30" s="315"/>
      <c r="CP30" s="307"/>
      <c r="CQ30" s="307"/>
      <c r="CR30" s="315"/>
      <c r="CS30" s="307"/>
      <c r="CT30" s="307"/>
      <c r="CU30" s="315"/>
      <c r="CV30" s="307"/>
      <c r="CW30" s="307"/>
      <c r="CX30" s="315"/>
      <c r="CY30" s="307"/>
      <c r="CZ30" s="307"/>
      <c r="DA30" s="315"/>
      <c r="DB30" s="307"/>
      <c r="DC30" s="307"/>
      <c r="DD30" s="315"/>
      <c r="DE30" s="307"/>
      <c r="DF30" s="307"/>
      <c r="DG30" s="315"/>
      <c r="DH30" s="328">
        <f t="shared" si="4"/>
        <v>0</v>
      </c>
      <c r="DI30" s="328">
        <f t="shared" si="4"/>
        <v>0</v>
      </c>
      <c r="DJ30" s="328"/>
      <c r="DK30" s="328"/>
      <c r="DL30" s="328"/>
    </row>
    <row r="31" spans="1:116" hidden="1" outlineLevel="1">
      <c r="A31" s="30" t="str">
        <f>+qtrSales!A35</f>
        <v>3Q</v>
      </c>
      <c r="B31" s="30" t="str">
        <f>+qtrSales!B35</f>
        <v>Oct</v>
      </c>
      <c r="C31" s="30"/>
      <c r="D31" s="307">
        <v>533</v>
      </c>
      <c r="E31" s="308">
        <f>+(D31/D25-1)*100</f>
        <v>7.8947368421052655</v>
      </c>
      <c r="F31" s="307">
        <v>0</v>
      </c>
      <c r="G31" s="307"/>
      <c r="H31" s="307"/>
      <c r="I31" s="307"/>
      <c r="J31" s="309">
        <f>+D31+F31</f>
        <v>533</v>
      </c>
      <c r="K31" s="308">
        <f>+(J31/J25-1)*100</f>
        <v>7.8947368421052655</v>
      </c>
      <c r="L31" s="307">
        <v>117</v>
      </c>
      <c r="M31" s="308">
        <f>+(L31/L25-1)*100</f>
        <v>50</v>
      </c>
      <c r="N31" s="307">
        <v>634</v>
      </c>
      <c r="O31" s="308">
        <f>+(N31/N25-1)*100</f>
        <v>6.7340067340067256</v>
      </c>
      <c r="P31" s="307">
        <v>319</v>
      </c>
      <c r="Q31" s="308">
        <f>+(P31/P25-1)*100</f>
        <v>47.685185185185183</v>
      </c>
      <c r="R31" s="307">
        <v>0</v>
      </c>
      <c r="S31" s="307"/>
      <c r="T31" s="307">
        <v>765</v>
      </c>
      <c r="U31" s="308">
        <f>+(T31/T25-1)*100</f>
        <v>-1.1627906976744207</v>
      </c>
      <c r="V31" s="307">
        <v>4</v>
      </c>
      <c r="W31" s="308">
        <f>+(V31/V25-1)*100</f>
        <v>0</v>
      </c>
      <c r="X31" s="308"/>
      <c r="Y31" s="308"/>
      <c r="Z31" s="307"/>
      <c r="AA31" s="308"/>
      <c r="AB31" s="307">
        <v>928</v>
      </c>
      <c r="AC31" s="308">
        <f>+(AB31/AB25-1)*100</f>
        <v>3.3407572383073569</v>
      </c>
      <c r="AD31" s="307">
        <v>803</v>
      </c>
      <c r="AE31" s="308">
        <f>+(AD31/AD25-1)*100</f>
        <v>2.9487179487179382</v>
      </c>
      <c r="AF31" s="366">
        <v>0</v>
      </c>
      <c r="AG31" s="253"/>
      <c r="AH31" s="366">
        <v>185</v>
      </c>
      <c r="AI31" s="308">
        <f>+(AH31/AH25-1)*100</f>
        <v>20.915032679738555</v>
      </c>
      <c r="AJ31" s="366">
        <v>69</v>
      </c>
      <c r="AK31" s="308">
        <f>+(AJ31/AJ25-1)*100</f>
        <v>30.188679245283012</v>
      </c>
      <c r="AL31" s="366">
        <v>38</v>
      </c>
      <c r="AM31" s="308">
        <f>+(AL31/AL25-1)*100</f>
        <v>5.555555555555558</v>
      </c>
      <c r="AN31" s="366">
        <v>6</v>
      </c>
      <c r="AO31" s="308">
        <f>+(AN31/AN25-1)*100</f>
        <v>-14.28571428571429</v>
      </c>
      <c r="AP31" s="30"/>
      <c r="AQ31" s="451">
        <f>+J31+L31+N31+P31+R31+T31+V31+AB31+AD31+AF31+AH31+AJ31+AL31+AN31</f>
        <v>4401</v>
      </c>
      <c r="AR31" s="308">
        <f>+(AQ31/AQ25-1)*100</f>
        <v>7.6828969904575439</v>
      </c>
      <c r="AS31" s="307"/>
      <c r="AT31" s="30" t="str">
        <f>+A31</f>
        <v>3Q</v>
      </c>
      <c r="AU31" s="30" t="str">
        <f>+B31</f>
        <v>Oct</v>
      </c>
      <c r="AV31" s="30"/>
      <c r="AW31" s="307"/>
      <c r="AX31" s="315"/>
      <c r="AY31" s="315"/>
      <c r="AZ31" s="307"/>
      <c r="BA31" s="307"/>
      <c r="BB31" s="315"/>
      <c r="BC31" s="307"/>
      <c r="BD31" s="307"/>
      <c r="BE31" s="307"/>
      <c r="BF31" s="315"/>
      <c r="BG31" s="309"/>
      <c r="BH31" s="307"/>
      <c r="BI31" s="307"/>
      <c r="BJ31" s="315"/>
      <c r="BK31" s="307"/>
      <c r="BL31" s="307"/>
      <c r="BM31" s="307"/>
      <c r="BN31" s="315"/>
      <c r="BO31" s="307"/>
      <c r="BP31" s="307"/>
      <c r="BQ31" s="307"/>
      <c r="BR31" s="307"/>
      <c r="BS31" s="315"/>
      <c r="BT31" s="307"/>
      <c r="BU31" s="307"/>
      <c r="BV31" s="307"/>
      <c r="BW31" s="307"/>
      <c r="BX31" s="315"/>
      <c r="BY31" s="307"/>
      <c r="BZ31" s="307"/>
      <c r="CA31" s="307"/>
      <c r="CB31" s="307"/>
      <c r="CC31" s="315"/>
      <c r="CD31" s="307"/>
      <c r="CE31" s="307"/>
      <c r="CF31" s="307"/>
      <c r="CG31" s="307"/>
      <c r="CH31" s="315"/>
      <c r="CI31" s="307"/>
      <c r="CJ31" s="307"/>
      <c r="CK31" s="307"/>
      <c r="CL31" s="315"/>
      <c r="CM31" s="307"/>
      <c r="CN31" s="307"/>
      <c r="CO31" s="315"/>
      <c r="CP31" s="307"/>
      <c r="CQ31" s="307"/>
      <c r="CR31" s="315"/>
      <c r="CS31" s="307"/>
      <c r="CT31" s="307"/>
      <c r="CU31" s="315"/>
      <c r="CV31" s="307"/>
      <c r="CW31" s="307"/>
      <c r="CX31" s="315"/>
      <c r="CY31" s="307"/>
      <c r="CZ31" s="307"/>
      <c r="DA31" s="315"/>
      <c r="DB31" s="307"/>
      <c r="DC31" s="307"/>
      <c r="DD31" s="315"/>
      <c r="DE31" s="307"/>
      <c r="DF31" s="307"/>
      <c r="DG31" s="315"/>
      <c r="DH31" s="328">
        <f t="shared" si="4"/>
        <v>0</v>
      </c>
      <c r="DI31" s="328">
        <f t="shared" si="4"/>
        <v>0</v>
      </c>
      <c r="DJ31" s="328"/>
      <c r="DK31" s="328"/>
      <c r="DL31" s="328"/>
    </row>
    <row r="32" spans="1:116" hidden="1" outlineLevel="1">
      <c r="A32" s="30" t="str">
        <f>+qtrSales!A36</f>
        <v>4Q</v>
      </c>
      <c r="B32" s="30" t="str">
        <f>+qtrSales!B36</f>
        <v>Jan</v>
      </c>
      <c r="C32" s="30"/>
      <c r="D32" s="307">
        <v>545</v>
      </c>
      <c r="E32" s="308">
        <f>+(D32/D26-1)*100</f>
        <v>7.4950690335305659</v>
      </c>
      <c r="F32" s="307">
        <v>0</v>
      </c>
      <c r="G32" s="307"/>
      <c r="H32" s="307"/>
      <c r="I32" s="307"/>
      <c r="J32" s="309">
        <f>+D32+F32</f>
        <v>545</v>
      </c>
      <c r="K32" s="308">
        <f>+(J32/J26-1)*100</f>
        <v>7.4950690335305659</v>
      </c>
      <c r="L32" s="307">
        <v>121</v>
      </c>
      <c r="M32" s="308">
        <f>+(L32/L26-1)*100</f>
        <v>27.368421052631575</v>
      </c>
      <c r="N32" s="307">
        <v>640</v>
      </c>
      <c r="O32" s="308">
        <f>+(N32/N26-1)*100</f>
        <v>4.7463175122749668</v>
      </c>
      <c r="P32" s="307">
        <v>330</v>
      </c>
      <c r="Q32" s="308">
        <f>+(P32/P26-1)*100</f>
        <v>37.5</v>
      </c>
      <c r="R32" s="307">
        <v>0</v>
      </c>
      <c r="S32" s="307"/>
      <c r="T32" s="307">
        <v>759</v>
      </c>
      <c r="U32" s="308">
        <f>+(T32/T26-1)*100</f>
        <v>-1.8111254851228997</v>
      </c>
      <c r="V32" s="307">
        <v>4</v>
      </c>
      <c r="W32" s="308">
        <f>+(V32/V26-1)*100</f>
        <v>0</v>
      </c>
      <c r="X32" s="308"/>
      <c r="Y32" s="308"/>
      <c r="Z32" s="307"/>
      <c r="AA32" s="308"/>
      <c r="AB32" s="307">
        <v>915</v>
      </c>
      <c r="AC32" s="308">
        <f>+(AB32/AB26-1)*100</f>
        <v>0.5494505494505475</v>
      </c>
      <c r="AD32" s="307">
        <v>809</v>
      </c>
      <c r="AE32" s="308">
        <f>+(AD32/AD26-1)*100</f>
        <v>2.9262086513994978</v>
      </c>
      <c r="AF32" s="366">
        <v>0</v>
      </c>
      <c r="AG32" s="253"/>
      <c r="AH32" s="366">
        <v>185</v>
      </c>
      <c r="AI32" s="308">
        <f>+(AH32/AH26-1)*100</f>
        <v>7.5581395348837122</v>
      </c>
      <c r="AJ32" s="366">
        <v>71</v>
      </c>
      <c r="AK32" s="308">
        <f>+(AJ32/AJ26-1)*100</f>
        <v>31.481481481481488</v>
      </c>
      <c r="AL32" s="366">
        <v>40</v>
      </c>
      <c r="AM32" s="308">
        <f>+(AL32/AL26-1)*100</f>
        <v>11.111111111111116</v>
      </c>
      <c r="AN32" s="366">
        <v>6</v>
      </c>
      <c r="AO32" s="308">
        <f>+(AN32/AN26-1)*100</f>
        <v>0</v>
      </c>
      <c r="AP32" s="30"/>
      <c r="AQ32" s="451">
        <f>+J32+L32+N32+P32+R32+T32+V32+AB32+AD32+AF32+AH32+AJ32+AL32+AN32</f>
        <v>4425</v>
      </c>
      <c r="AR32" s="308">
        <f>+(AQ32/AQ26-1)*100</f>
        <v>5.5078683834048681</v>
      </c>
      <c r="AS32" s="307"/>
      <c r="AT32" s="30" t="str">
        <f>+A32</f>
        <v>4Q</v>
      </c>
      <c r="AU32" s="30" t="str">
        <f>+B32</f>
        <v>Jan</v>
      </c>
      <c r="AV32" s="30"/>
      <c r="AW32" s="307"/>
      <c r="AX32" s="315"/>
      <c r="AY32" s="315"/>
      <c r="AZ32" s="307"/>
      <c r="BA32" s="307"/>
      <c r="BB32" s="315"/>
      <c r="BC32" s="307"/>
      <c r="BD32" s="307"/>
      <c r="BE32" s="307"/>
      <c r="BF32" s="315"/>
      <c r="BG32" s="309"/>
      <c r="BH32" s="307"/>
      <c r="BI32" s="307"/>
      <c r="BJ32" s="315"/>
      <c r="BK32" s="307"/>
      <c r="BL32" s="307"/>
      <c r="BM32" s="307"/>
      <c r="BN32" s="315"/>
      <c r="BO32" s="307"/>
      <c r="BP32" s="307"/>
      <c r="BQ32" s="307"/>
      <c r="BR32" s="307"/>
      <c r="BS32" s="315"/>
      <c r="BT32" s="307"/>
      <c r="BU32" s="307"/>
      <c r="BV32" s="307"/>
      <c r="BW32" s="307"/>
      <c r="BX32" s="315"/>
      <c r="BY32" s="307"/>
      <c r="BZ32" s="307"/>
      <c r="CA32" s="307"/>
      <c r="CB32" s="307"/>
      <c r="CC32" s="315"/>
      <c r="CD32" s="307"/>
      <c r="CE32" s="307"/>
      <c r="CF32" s="307"/>
      <c r="CG32" s="307"/>
      <c r="CH32" s="315"/>
      <c r="CI32" s="307"/>
      <c r="CJ32" s="307"/>
      <c r="CK32" s="307"/>
      <c r="CL32" s="315"/>
      <c r="CM32" s="307"/>
      <c r="CN32" s="307"/>
      <c r="CO32" s="315"/>
      <c r="CP32" s="307"/>
      <c r="CQ32" s="307"/>
      <c r="CR32" s="315"/>
      <c r="CS32" s="307"/>
      <c r="CT32" s="307"/>
      <c r="CU32" s="315"/>
      <c r="CV32" s="307"/>
      <c r="CW32" s="307"/>
      <c r="CX32" s="315"/>
      <c r="CY32" s="307"/>
      <c r="CZ32" s="307"/>
      <c r="DA32" s="315"/>
      <c r="DB32" s="307"/>
      <c r="DC32" s="307"/>
      <c r="DD32" s="315"/>
      <c r="DE32" s="307"/>
      <c r="DF32" s="307"/>
      <c r="DG32" s="315"/>
      <c r="DH32" s="338">
        <f t="shared" si="4"/>
        <v>0</v>
      </c>
      <c r="DI32" s="338">
        <f t="shared" si="4"/>
        <v>0</v>
      </c>
      <c r="DJ32" s="328"/>
      <c r="DK32" s="328"/>
      <c r="DL32" s="328"/>
    </row>
    <row r="33" spans="1:116" hidden="1" outlineLevel="1">
      <c r="A33" s="30"/>
      <c r="B33" s="30"/>
      <c r="C33" s="30"/>
      <c r="D33" s="30"/>
      <c r="E33" s="310"/>
      <c r="F33" s="30"/>
      <c r="G33" s="30"/>
      <c r="H33" s="30"/>
      <c r="I33" s="30"/>
      <c r="J33" s="30"/>
      <c r="K33" s="30"/>
      <c r="L33" s="30"/>
      <c r="M33" s="30"/>
      <c r="N33" s="30"/>
      <c r="O33" s="30"/>
      <c r="P33" s="30"/>
      <c r="Q33" s="30"/>
      <c r="R33" s="30"/>
      <c r="S33" s="30"/>
      <c r="T33" s="30"/>
      <c r="U33" s="30"/>
      <c r="V33" s="30"/>
      <c r="W33" s="30"/>
      <c r="X33" s="30"/>
      <c r="Y33" s="30"/>
      <c r="Z33" s="30"/>
      <c r="AA33" s="30"/>
      <c r="AB33" s="30"/>
      <c r="AC33" s="30"/>
      <c r="AD33" s="30"/>
      <c r="AE33" s="30"/>
      <c r="AF33" s="30"/>
      <c r="AG33" s="30"/>
      <c r="AH33" s="30"/>
      <c r="AI33" s="30"/>
      <c r="AJ33" s="30"/>
      <c r="AK33" s="30"/>
      <c r="AL33" s="30"/>
      <c r="AM33" s="30"/>
      <c r="AN33" s="30"/>
      <c r="AO33" s="30"/>
      <c r="AP33" s="30"/>
      <c r="AQ33" s="451"/>
      <c r="AR33" s="30"/>
      <c r="AS33" s="30"/>
      <c r="AT33" s="30"/>
      <c r="AU33" s="30"/>
      <c r="AV33" s="30"/>
      <c r="AW33" s="30"/>
      <c r="AX33" s="310"/>
      <c r="AY33" s="310"/>
      <c r="AZ33" s="30"/>
      <c r="BA33" s="30"/>
      <c r="BB33" s="310"/>
      <c r="BC33" s="30"/>
      <c r="BD33" s="30"/>
      <c r="BE33" s="30"/>
      <c r="BF33" s="310"/>
      <c r="BG33" s="30"/>
      <c r="BH33" s="30"/>
      <c r="BI33" s="30"/>
      <c r="BJ33" s="310"/>
      <c r="BK33" s="30"/>
      <c r="BL33" s="30"/>
      <c r="BM33" s="30"/>
      <c r="BN33" s="310"/>
      <c r="BO33" s="30"/>
      <c r="BP33" s="30"/>
      <c r="BQ33" s="30"/>
      <c r="BR33" s="30"/>
      <c r="BS33" s="310"/>
      <c r="BT33" s="30"/>
      <c r="BU33" s="30"/>
      <c r="BV33" s="30"/>
      <c r="BW33" s="30"/>
      <c r="BX33" s="310"/>
      <c r="BY33" s="30"/>
      <c r="BZ33" s="30"/>
      <c r="CA33" s="30"/>
      <c r="CB33" s="30"/>
      <c r="CC33" s="310"/>
      <c r="CD33" s="30"/>
      <c r="CE33" s="30"/>
      <c r="CF33" s="30"/>
      <c r="CG33" s="30"/>
      <c r="CH33" s="310"/>
      <c r="CI33" s="30"/>
      <c r="CJ33" s="30"/>
      <c r="CK33" s="30"/>
      <c r="CL33" s="310"/>
      <c r="CM33" s="30"/>
      <c r="CN33" s="30"/>
      <c r="CO33" s="310"/>
      <c r="CP33" s="30"/>
      <c r="CQ33" s="30"/>
      <c r="CR33" s="310"/>
      <c r="CS33" s="30"/>
      <c r="CT33" s="30"/>
      <c r="CU33" s="310"/>
      <c r="CV33" s="30"/>
      <c r="CW33" s="30"/>
      <c r="CX33" s="310"/>
      <c r="CY33" s="30"/>
      <c r="CZ33" s="30"/>
      <c r="DA33" s="310"/>
      <c r="DB33" s="30"/>
      <c r="DC33" s="30"/>
      <c r="DD33" s="310"/>
      <c r="DE33" s="30"/>
      <c r="DF33" s="30"/>
      <c r="DG33" s="310"/>
      <c r="DH33" s="309">
        <f>+SUM(DH29:DH32)</f>
        <v>0</v>
      </c>
      <c r="DI33" s="328">
        <f>+SUM(DI29:DI32)</f>
        <v>0</v>
      </c>
      <c r="DJ33" s="328"/>
      <c r="DK33" s="328"/>
      <c r="DL33" s="328"/>
    </row>
    <row r="34" spans="1:116" hidden="1" outlineLevel="1">
      <c r="A34" s="141"/>
      <c r="B34" s="136">
        <f>+qtrSales!B39</f>
        <v>1993</v>
      </c>
      <c r="C34" s="141"/>
      <c r="D34" s="141"/>
      <c r="E34" s="303"/>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452"/>
      <c r="AR34" s="301"/>
      <c r="AS34" s="301"/>
      <c r="AT34" s="141"/>
      <c r="AU34" s="27">
        <f>+B34</f>
        <v>1993</v>
      </c>
      <c r="AV34" s="141"/>
      <c r="AW34" s="141"/>
      <c r="AX34" s="303"/>
      <c r="AY34" s="303"/>
      <c r="AZ34" s="141"/>
      <c r="BA34" s="141"/>
      <c r="BB34" s="303"/>
      <c r="BC34" s="141"/>
      <c r="BD34" s="141"/>
      <c r="BE34" s="141"/>
      <c r="BF34" s="303"/>
      <c r="BG34" s="141"/>
      <c r="BH34" s="141"/>
      <c r="BI34" s="141"/>
      <c r="BJ34" s="303"/>
      <c r="BK34" s="141"/>
      <c r="BL34" s="141"/>
      <c r="BM34" s="141"/>
      <c r="BN34" s="303"/>
      <c r="BO34" s="141"/>
      <c r="BP34" s="141"/>
      <c r="BQ34" s="141"/>
      <c r="BR34" s="141"/>
      <c r="BS34" s="303"/>
      <c r="BT34" s="141"/>
      <c r="BU34" s="141"/>
      <c r="BV34" s="141"/>
      <c r="BW34" s="141"/>
      <c r="BX34" s="303"/>
      <c r="BY34" s="141"/>
      <c r="BZ34" s="141"/>
      <c r="CA34" s="141"/>
      <c r="CB34" s="141"/>
      <c r="CC34" s="303"/>
      <c r="CD34" s="141"/>
      <c r="CE34" s="141"/>
      <c r="CF34" s="141"/>
      <c r="CG34" s="141"/>
      <c r="CH34" s="303"/>
      <c r="CI34" s="141"/>
      <c r="CJ34" s="141"/>
      <c r="CK34" s="141"/>
      <c r="CL34" s="303"/>
      <c r="CM34" s="141"/>
      <c r="CN34" s="141"/>
      <c r="CO34" s="303"/>
      <c r="CP34" s="141"/>
      <c r="CQ34" s="141"/>
      <c r="CR34" s="303"/>
      <c r="CS34" s="141"/>
      <c r="CT34" s="141"/>
      <c r="CU34" s="303"/>
      <c r="CV34" s="141"/>
      <c r="CW34" s="141"/>
      <c r="CX34" s="303"/>
      <c r="CY34" s="141"/>
      <c r="CZ34" s="141"/>
      <c r="DA34" s="303"/>
      <c r="DB34" s="141"/>
      <c r="DC34" s="141"/>
      <c r="DD34" s="303"/>
      <c r="DE34" s="141"/>
      <c r="DF34" s="141"/>
      <c r="DG34" s="303"/>
      <c r="DH34" s="141"/>
      <c r="DI34" s="141"/>
      <c r="DJ34" s="141"/>
      <c r="DK34" s="141"/>
      <c r="DL34" s="141"/>
    </row>
    <row r="35" spans="1:116" hidden="1" outlineLevel="1">
      <c r="A35" s="30" t="str">
        <f>+qtrSales!A40</f>
        <v>1Q</v>
      </c>
      <c r="B35" s="30" t="str">
        <f>+qtrSales!B40</f>
        <v>Apr</v>
      </c>
      <c r="C35" s="30"/>
      <c r="D35" s="307">
        <v>554</v>
      </c>
      <c r="E35" s="308">
        <f>+(D35/D29-1)*100</f>
        <v>7.9922027290448394</v>
      </c>
      <c r="F35" s="307">
        <v>0</v>
      </c>
      <c r="G35" s="307"/>
      <c r="H35" s="307"/>
      <c r="I35" s="307"/>
      <c r="J35" s="309">
        <f>+D35+F35</f>
        <v>554</v>
      </c>
      <c r="K35" s="308">
        <f>+(J35/J29-1)*100</f>
        <v>7.9922027290448394</v>
      </c>
      <c r="L35" s="307">
        <v>125</v>
      </c>
      <c r="M35" s="308">
        <f>+(L35/L29-1)*100</f>
        <v>25</v>
      </c>
      <c r="N35" s="307">
        <v>644</v>
      </c>
      <c r="O35" s="308">
        <f>+(N35/N29-1)*100</f>
        <v>4.3760129659643487</v>
      </c>
      <c r="P35" s="307">
        <v>344</v>
      </c>
      <c r="Q35" s="308">
        <f>+(P35/P29-1)*100</f>
        <v>28.838951310861425</v>
      </c>
      <c r="R35" s="307">
        <v>0</v>
      </c>
      <c r="S35" s="307"/>
      <c r="T35" s="307">
        <v>759</v>
      </c>
      <c r="U35" s="308">
        <f>+(T35/T29-1)*100</f>
        <v>-1.6839378238341918</v>
      </c>
      <c r="V35" s="307">
        <v>4</v>
      </c>
      <c r="W35" s="308">
        <f>+(V35/V29-1)*100</f>
        <v>0</v>
      </c>
      <c r="X35" s="308"/>
      <c r="Y35" s="308"/>
      <c r="Z35" s="307"/>
      <c r="AA35" s="308"/>
      <c r="AB35" s="307">
        <v>906</v>
      </c>
      <c r="AC35" s="308">
        <f>+(AB35/AB29-1)*100</f>
        <v>-0.87527352297592786</v>
      </c>
      <c r="AD35" s="307">
        <v>812</v>
      </c>
      <c r="AE35" s="308">
        <f>+(AD35/AD29-1)*100</f>
        <v>2.7848101265822711</v>
      </c>
      <c r="AF35" s="366">
        <v>0</v>
      </c>
      <c r="AG35" s="253"/>
      <c r="AH35" s="366">
        <v>185</v>
      </c>
      <c r="AI35" s="308">
        <f>+(AH35/AH29-1)*100</f>
        <v>1.0928961748633892</v>
      </c>
      <c r="AJ35" s="366">
        <v>78</v>
      </c>
      <c r="AK35" s="308">
        <f>+(AJ35/AJ29-1)*100</f>
        <v>44.444444444444443</v>
      </c>
      <c r="AL35" s="366">
        <v>40</v>
      </c>
      <c r="AM35" s="308">
        <f>+(AL35/AL29-1)*100</f>
        <v>8.1081081081081141</v>
      </c>
      <c r="AN35" s="366">
        <v>6</v>
      </c>
      <c r="AO35" s="308">
        <f>+(AN35/AN29-1)*100</f>
        <v>0</v>
      </c>
      <c r="AP35" s="30"/>
      <c r="AQ35" s="451">
        <f>+J35+L35+N35+P35+R35+T35+V35+AB35+AD35+AF35+AH35+AJ35+AL35+AN35</f>
        <v>4457</v>
      </c>
      <c r="AR35" s="308">
        <f>+(AQ35/AQ29-1)*100</f>
        <v>4.6981442330279455</v>
      </c>
      <c r="AS35" s="307"/>
      <c r="AT35" s="30" t="str">
        <f>+A35</f>
        <v>1Q</v>
      </c>
      <c r="AU35" s="30" t="str">
        <f>+B35</f>
        <v>Apr</v>
      </c>
      <c r="AV35" s="30"/>
      <c r="AW35" s="307"/>
      <c r="AX35" s="315"/>
      <c r="AY35" s="315"/>
      <c r="AZ35" s="307"/>
      <c r="BA35" s="307"/>
      <c r="BB35" s="315"/>
      <c r="BC35" s="307"/>
      <c r="BD35" s="307"/>
      <c r="BE35" s="307"/>
      <c r="BF35" s="315"/>
      <c r="BG35" s="309"/>
      <c r="BH35" s="307"/>
      <c r="BI35" s="307"/>
      <c r="BJ35" s="315"/>
      <c r="BK35" s="307"/>
      <c r="BL35" s="307"/>
      <c r="BM35" s="307"/>
      <c r="BN35" s="315"/>
      <c r="BO35" s="307"/>
      <c r="BP35" s="307"/>
      <c r="BQ35" s="307"/>
      <c r="BR35" s="307"/>
      <c r="BS35" s="315"/>
      <c r="BT35" s="307"/>
      <c r="BU35" s="307"/>
      <c r="BV35" s="307"/>
      <c r="BW35" s="307"/>
      <c r="BX35" s="315"/>
      <c r="BY35" s="307"/>
      <c r="BZ35" s="307"/>
      <c r="CA35" s="307"/>
      <c r="CB35" s="307"/>
      <c r="CC35" s="315"/>
      <c r="CD35" s="307"/>
      <c r="CE35" s="307"/>
      <c r="CF35" s="307"/>
      <c r="CG35" s="307"/>
      <c r="CH35" s="315"/>
      <c r="CI35" s="307"/>
      <c r="CJ35" s="307"/>
      <c r="CK35" s="307"/>
      <c r="CL35" s="315"/>
      <c r="CM35" s="307"/>
      <c r="CN35" s="307"/>
      <c r="CO35" s="315"/>
      <c r="CP35" s="307"/>
      <c r="CQ35" s="307"/>
      <c r="CR35" s="315"/>
      <c r="CS35" s="307"/>
      <c r="CT35" s="307"/>
      <c r="CU35" s="315"/>
      <c r="CV35" s="307"/>
      <c r="CW35" s="307"/>
      <c r="CX35" s="315"/>
      <c r="CY35" s="307"/>
      <c r="CZ35" s="307"/>
      <c r="DA35" s="315"/>
      <c r="DB35" s="307"/>
      <c r="DC35" s="307"/>
      <c r="DD35" s="315"/>
      <c r="DE35" s="307"/>
      <c r="DF35" s="307"/>
      <c r="DG35" s="315"/>
      <c r="DH35" s="328">
        <f t="shared" ref="DH35:DI38" si="5">+BG35+BK35+BT35+BY35+CD35+CI35+BO35+CP35+CS35+CV35+CY35+DB35+DE35</f>
        <v>0</v>
      </c>
      <c r="DI35" s="328">
        <f t="shared" si="5"/>
        <v>0</v>
      </c>
      <c r="DJ35" s="328"/>
      <c r="DK35" s="328"/>
      <c r="DL35" s="328"/>
    </row>
    <row r="36" spans="1:116" hidden="1" outlineLevel="1">
      <c r="A36" s="30" t="str">
        <f>+qtrSales!A41</f>
        <v>2Q</v>
      </c>
      <c r="B36" s="30" t="str">
        <f>+qtrSales!B41</f>
        <v>Jul</v>
      </c>
      <c r="C36" s="30"/>
      <c r="D36" s="307">
        <v>559</v>
      </c>
      <c r="E36" s="308">
        <f>+(D36/D30-1)*100</f>
        <v>6.6793893129770909</v>
      </c>
      <c r="F36" s="307">
        <v>0</v>
      </c>
      <c r="G36" s="307"/>
      <c r="H36" s="307"/>
      <c r="I36" s="307"/>
      <c r="J36" s="309">
        <f>+D36+F36</f>
        <v>559</v>
      </c>
      <c r="K36" s="308">
        <f>+(J36/J30-1)*100</f>
        <v>6.6793893129770909</v>
      </c>
      <c r="L36" s="307">
        <v>131</v>
      </c>
      <c r="M36" s="308">
        <f>+(L36/L30-1)*100</f>
        <v>24.761904761904763</v>
      </c>
      <c r="N36" s="307">
        <v>650</v>
      </c>
      <c r="O36" s="308">
        <f>+(N36/N30-1)*100</f>
        <v>4.3338683788122001</v>
      </c>
      <c r="P36" s="307">
        <v>355</v>
      </c>
      <c r="Q36" s="308">
        <f>+(P36/P30-1)*100</f>
        <v>21.993127147766334</v>
      </c>
      <c r="R36" s="307">
        <v>0</v>
      </c>
      <c r="S36" s="307"/>
      <c r="T36" s="307">
        <v>748</v>
      </c>
      <c r="U36" s="308">
        <f>+(T36/T30-1)*100</f>
        <v>-2.4771838331160367</v>
      </c>
      <c r="V36" s="307">
        <v>4</v>
      </c>
      <c r="W36" s="308">
        <f>+(V36/V30-1)*100</f>
        <v>0</v>
      </c>
      <c r="X36" s="308"/>
      <c r="Y36" s="308"/>
      <c r="Z36" s="307"/>
      <c r="AA36" s="308"/>
      <c r="AB36" s="307">
        <v>897</v>
      </c>
      <c r="AC36" s="308">
        <f>+(AB36/AB30-1)*100</f>
        <v>-2.393906420021763</v>
      </c>
      <c r="AD36" s="307">
        <v>813</v>
      </c>
      <c r="AE36" s="308">
        <f>+(AD36/AD30-1)*100</f>
        <v>2.2641509433962259</v>
      </c>
      <c r="AF36" s="366">
        <v>0</v>
      </c>
      <c r="AG36" s="253"/>
      <c r="AH36" s="366">
        <v>185</v>
      </c>
      <c r="AI36" s="308">
        <f>+(AH36/AH30-1)*100</f>
        <v>1.0928961748633892</v>
      </c>
      <c r="AJ36" s="366">
        <v>92</v>
      </c>
      <c r="AK36" s="308">
        <f>+(AJ36/AJ30-1)*100</f>
        <v>50.819672131147527</v>
      </c>
      <c r="AL36" s="366">
        <v>41</v>
      </c>
      <c r="AM36" s="308">
        <f>+(AL36/AL30-1)*100</f>
        <v>10.810810810810811</v>
      </c>
      <c r="AN36" s="366">
        <v>6</v>
      </c>
      <c r="AO36" s="308">
        <f>+(AN36/AN30-1)*100</f>
        <v>0</v>
      </c>
      <c r="AP36" s="30"/>
      <c r="AQ36" s="451">
        <f>+J36+L36+N36+P36+R36+T36+V36+AB36+AD36+AF36+AH36+AJ36+AL36+AN36</f>
        <v>4481</v>
      </c>
      <c r="AR36" s="308">
        <f>+(AQ36/AQ30-1)*100</f>
        <v>3.8470451911935211</v>
      </c>
      <c r="AS36" s="307"/>
      <c r="AT36" s="30" t="str">
        <f>+A36</f>
        <v>2Q</v>
      </c>
      <c r="AU36" s="30" t="str">
        <f>+B36</f>
        <v>Jul</v>
      </c>
      <c r="AV36" s="30"/>
      <c r="AW36" s="307"/>
      <c r="AX36" s="307"/>
      <c r="AY36" s="308"/>
      <c r="AZ36" s="307"/>
      <c r="BA36" s="307"/>
      <c r="BB36" s="308"/>
      <c r="BC36" s="307"/>
      <c r="BD36" s="307"/>
      <c r="BE36" s="307"/>
      <c r="BF36" s="308"/>
      <c r="BG36" s="328"/>
      <c r="BH36" s="328"/>
      <c r="BI36" s="328"/>
      <c r="BJ36" s="315"/>
      <c r="BK36" s="307"/>
      <c r="BL36" s="307"/>
      <c r="BM36" s="307"/>
      <c r="BN36" s="315"/>
      <c r="BO36" s="307"/>
      <c r="BP36" s="307"/>
      <c r="BQ36" s="307"/>
      <c r="BR36" s="307"/>
      <c r="BS36" s="315"/>
      <c r="BT36" s="307"/>
      <c r="BU36" s="307"/>
      <c r="BV36" s="307"/>
      <c r="BW36" s="307"/>
      <c r="BX36" s="315"/>
      <c r="BY36" s="307"/>
      <c r="BZ36" s="307"/>
      <c r="CA36" s="307"/>
      <c r="CB36" s="307"/>
      <c r="CC36" s="315"/>
      <c r="CD36" s="307"/>
      <c r="CE36" s="307"/>
      <c r="CF36" s="307"/>
      <c r="CG36" s="307"/>
      <c r="CH36" s="315"/>
      <c r="CI36" s="307"/>
      <c r="CJ36" s="307"/>
      <c r="CK36" s="307"/>
      <c r="CL36" s="315"/>
      <c r="CM36" s="307"/>
      <c r="CN36" s="307"/>
      <c r="CO36" s="315"/>
      <c r="CP36" s="307"/>
      <c r="CQ36" s="307"/>
      <c r="CR36" s="315"/>
      <c r="CS36" s="307"/>
      <c r="CT36" s="307"/>
      <c r="CU36" s="315"/>
      <c r="CV36" s="307"/>
      <c r="CW36" s="307"/>
      <c r="CX36" s="315"/>
      <c r="CY36" s="307"/>
      <c r="CZ36" s="307"/>
      <c r="DA36" s="315"/>
      <c r="DB36" s="307"/>
      <c r="DC36" s="307"/>
      <c r="DD36" s="315"/>
      <c r="DE36" s="307"/>
      <c r="DF36" s="307"/>
      <c r="DG36" s="315"/>
      <c r="DH36" s="328">
        <f t="shared" si="5"/>
        <v>0</v>
      </c>
      <c r="DI36" s="328">
        <f t="shared" si="5"/>
        <v>0</v>
      </c>
      <c r="DJ36" s="328"/>
      <c r="DK36" s="328"/>
      <c r="DL36" s="328"/>
    </row>
    <row r="37" spans="1:116" hidden="1" outlineLevel="1">
      <c r="A37" s="30" t="str">
        <f>+qtrSales!A42</f>
        <v>3Q</v>
      </c>
      <c r="B37" s="30" t="str">
        <f>+qtrSales!B42</f>
        <v>Oct</v>
      </c>
      <c r="C37" s="30"/>
      <c r="D37" s="307">
        <v>577</v>
      </c>
      <c r="E37" s="308">
        <f>+(D37/D31-1)*100</f>
        <v>8.2551594746716805</v>
      </c>
      <c r="F37" s="307">
        <v>0</v>
      </c>
      <c r="G37" s="307"/>
      <c r="H37" s="307"/>
      <c r="I37" s="307"/>
      <c r="J37" s="309">
        <f>+D37+F37</f>
        <v>577</v>
      </c>
      <c r="K37" s="308">
        <f>+(J37/J31-1)*100</f>
        <v>8.2551594746716805</v>
      </c>
      <c r="L37" s="307">
        <v>179</v>
      </c>
      <c r="M37" s="308">
        <f>+(L37/L31-1)*100</f>
        <v>52.991452991452981</v>
      </c>
      <c r="N37" s="307">
        <v>664</v>
      </c>
      <c r="O37" s="308">
        <f>+(N37/N31-1)*100</f>
        <v>4.7318611987381631</v>
      </c>
      <c r="P37" s="307">
        <v>377</v>
      </c>
      <c r="Q37" s="308">
        <f>+(P37/P31-1)*100</f>
        <v>18.181818181818187</v>
      </c>
      <c r="R37" s="307">
        <v>0</v>
      </c>
      <c r="S37" s="307"/>
      <c r="T37" s="307">
        <v>749</v>
      </c>
      <c r="U37" s="308">
        <f>+(T37/T31-1)*100</f>
        <v>-2.0915032679738599</v>
      </c>
      <c r="V37" s="307">
        <v>4</v>
      </c>
      <c r="W37" s="308">
        <f>+(V37/V31-1)*100</f>
        <v>0</v>
      </c>
      <c r="X37" s="308"/>
      <c r="Y37" s="308"/>
      <c r="Z37" s="307"/>
      <c r="AA37" s="308"/>
      <c r="AB37" s="307">
        <v>901</v>
      </c>
      <c r="AC37" s="308">
        <f>+(AB37/AB31-1)*100</f>
        <v>-2.9094827586206851</v>
      </c>
      <c r="AD37" s="307">
        <v>817</v>
      </c>
      <c r="AE37" s="308">
        <f>+(AD37/AD31-1)*100</f>
        <v>1.7434620174346271</v>
      </c>
      <c r="AF37" s="366">
        <v>0</v>
      </c>
      <c r="AG37" s="253"/>
      <c r="AH37" s="366">
        <v>185</v>
      </c>
      <c r="AI37" s="308">
        <f>+(AH37/AH31-1)*100</f>
        <v>0</v>
      </c>
      <c r="AJ37" s="366">
        <v>101</v>
      </c>
      <c r="AK37" s="308">
        <f>+(AJ37/AJ31-1)*100</f>
        <v>46.376811594202906</v>
      </c>
      <c r="AL37" s="366">
        <v>45</v>
      </c>
      <c r="AM37" s="308">
        <f>+(AL37/AL31-1)*100</f>
        <v>18.421052631578938</v>
      </c>
      <c r="AN37" s="366">
        <v>6</v>
      </c>
      <c r="AO37" s="308">
        <f>+(AN37/AN31-1)*100</f>
        <v>0</v>
      </c>
      <c r="AP37" s="30"/>
      <c r="AQ37" s="451">
        <f>+J37+L37+N37+P37+R37+T37+V37+AB37+AD37+AF37+AH37+AJ37+AL37+AN37</f>
        <v>4605</v>
      </c>
      <c r="AR37" s="308">
        <f>+(AQ37/AQ31-1)*100</f>
        <v>4.6353101567825572</v>
      </c>
      <c r="AS37" s="307"/>
      <c r="AT37" s="30" t="str">
        <f>+A37</f>
        <v>3Q</v>
      </c>
      <c r="AU37" s="30" t="str">
        <f>+B37</f>
        <v>Oct</v>
      </c>
      <c r="AV37" s="30"/>
      <c r="AW37" s="307"/>
      <c r="AX37" s="315"/>
      <c r="AY37" s="315"/>
      <c r="AZ37" s="307"/>
      <c r="BA37" s="307"/>
      <c r="BB37" s="315"/>
      <c r="BC37" s="307"/>
      <c r="BD37" s="307"/>
      <c r="BE37" s="307"/>
      <c r="BF37" s="315"/>
      <c r="BG37" s="309"/>
      <c r="BH37" s="307"/>
      <c r="BI37" s="307"/>
      <c r="BJ37" s="315"/>
      <c r="BK37" s="307"/>
      <c r="BL37" s="307"/>
      <c r="BM37" s="307"/>
      <c r="BN37" s="315"/>
      <c r="BO37" s="307"/>
      <c r="BP37" s="307"/>
      <c r="BQ37" s="307"/>
      <c r="BR37" s="307"/>
      <c r="BS37" s="315"/>
      <c r="BT37" s="307"/>
      <c r="BU37" s="307"/>
      <c r="BV37" s="307"/>
      <c r="BW37" s="307"/>
      <c r="BX37" s="315"/>
      <c r="BY37" s="307"/>
      <c r="BZ37" s="307"/>
      <c r="CA37" s="307"/>
      <c r="CB37" s="307"/>
      <c r="CC37" s="315"/>
      <c r="CD37" s="307"/>
      <c r="CE37" s="307"/>
      <c r="CF37" s="307"/>
      <c r="CG37" s="307"/>
      <c r="CH37" s="315"/>
      <c r="CI37" s="307"/>
      <c r="CJ37" s="307"/>
      <c r="CK37" s="307"/>
      <c r="CL37" s="315"/>
      <c r="CM37" s="307"/>
      <c r="CN37" s="307"/>
      <c r="CO37" s="315"/>
      <c r="CP37" s="307"/>
      <c r="CQ37" s="307"/>
      <c r="CR37" s="315"/>
      <c r="CS37" s="307"/>
      <c r="CT37" s="307"/>
      <c r="CU37" s="315"/>
      <c r="CV37" s="307"/>
      <c r="CW37" s="307"/>
      <c r="CX37" s="315"/>
      <c r="CY37" s="307"/>
      <c r="CZ37" s="307"/>
      <c r="DA37" s="315"/>
      <c r="DB37" s="307"/>
      <c r="DC37" s="307"/>
      <c r="DD37" s="315"/>
      <c r="DE37" s="307"/>
      <c r="DF37" s="307"/>
      <c r="DG37" s="315"/>
      <c r="DH37" s="328">
        <f t="shared" si="5"/>
        <v>0</v>
      </c>
      <c r="DI37" s="328">
        <f t="shared" si="5"/>
        <v>0</v>
      </c>
      <c r="DJ37" s="328"/>
      <c r="DK37" s="328"/>
      <c r="DL37" s="328"/>
    </row>
    <row r="38" spans="1:116" hidden="1" outlineLevel="1">
      <c r="A38" s="30" t="str">
        <f>+qtrSales!A43</f>
        <v>4Q</v>
      </c>
      <c r="B38" s="30" t="str">
        <f>+qtrSales!B43</f>
        <v>Jan</v>
      </c>
      <c r="C38" s="30"/>
      <c r="D38" s="366">
        <v>570</v>
      </c>
      <c r="E38" s="308">
        <f>+(D38/D32-1)*100</f>
        <v>4.587155963302747</v>
      </c>
      <c r="F38" s="307">
        <v>0</v>
      </c>
      <c r="G38" s="307"/>
      <c r="H38" s="307"/>
      <c r="I38" s="307"/>
      <c r="J38" s="309">
        <f>+D38+F38</f>
        <v>570</v>
      </c>
      <c r="K38" s="308">
        <f>+(J38/J32-1)*100</f>
        <v>4.587155963302747</v>
      </c>
      <c r="L38" s="307">
        <v>194</v>
      </c>
      <c r="M38" s="308">
        <f>+(L38/L32-1)*100</f>
        <v>60.330578512396691</v>
      </c>
      <c r="N38" s="307">
        <v>673</v>
      </c>
      <c r="O38" s="308">
        <f>+(N38/N32-1)*100</f>
        <v>5.1562499999999956</v>
      </c>
      <c r="P38" s="307">
        <v>394</v>
      </c>
      <c r="Q38" s="308">
        <f>+(P38/P32-1)*100</f>
        <v>19.393939393939384</v>
      </c>
      <c r="R38" s="307">
        <v>0</v>
      </c>
      <c r="S38" s="307"/>
      <c r="T38" s="307">
        <v>746</v>
      </c>
      <c r="U38" s="308">
        <f>+(T38/T32-1)*100</f>
        <v>-1.7127799736495364</v>
      </c>
      <c r="V38" s="307">
        <v>4</v>
      </c>
      <c r="W38" s="308">
        <f>+(V38/V32-1)*100</f>
        <v>0</v>
      </c>
      <c r="X38" s="308"/>
      <c r="Y38" s="308"/>
      <c r="Z38" s="307"/>
      <c r="AA38" s="308"/>
      <c r="AB38" s="307">
        <v>877</v>
      </c>
      <c r="AC38" s="308">
        <f>+(AB38/AB32-1)*100</f>
        <v>-4.1530054644808745</v>
      </c>
      <c r="AD38" s="307">
        <v>817</v>
      </c>
      <c r="AE38" s="308">
        <f>+(AD38/AD32-1)*100</f>
        <v>0.98887515451173691</v>
      </c>
      <c r="AF38" s="366">
        <v>0</v>
      </c>
      <c r="AG38" s="253"/>
      <c r="AH38" s="366">
        <v>184</v>
      </c>
      <c r="AI38" s="308">
        <f>+(AH38/AH32-1)*100</f>
        <v>-0.54054054054053502</v>
      </c>
      <c r="AJ38" s="366">
        <v>108</v>
      </c>
      <c r="AK38" s="308">
        <f>+(AJ38/AJ32-1)*100</f>
        <v>52.112676056338024</v>
      </c>
      <c r="AL38" s="366">
        <v>49</v>
      </c>
      <c r="AM38" s="308">
        <f>+(AL38/AL32-1)*100</f>
        <v>22.500000000000007</v>
      </c>
      <c r="AN38" s="366">
        <v>7</v>
      </c>
      <c r="AO38" s="308">
        <f>+(AN38/AN32-1)*100</f>
        <v>16.666666666666675</v>
      </c>
      <c r="AP38" s="30"/>
      <c r="AQ38" s="451">
        <f>+J38+L38+N38+P38+R38+T38+V38+AB38+AD38+AF38+AH38+AJ38+AL38+AN38</f>
        <v>4623</v>
      </c>
      <c r="AR38" s="308">
        <f>+(AQ38/AQ32-1)*100</f>
        <v>4.4745762711864367</v>
      </c>
      <c r="AS38" s="307"/>
      <c r="AT38" s="30" t="str">
        <f>+A38</f>
        <v>4Q</v>
      </c>
      <c r="AU38" s="30" t="str">
        <f>+B38</f>
        <v>Jan</v>
      </c>
      <c r="AV38" s="30"/>
      <c r="AW38" s="307"/>
      <c r="AX38" s="315"/>
      <c r="AY38" s="315"/>
      <c r="AZ38" s="307"/>
      <c r="BA38" s="307"/>
      <c r="BB38" s="315"/>
      <c r="BC38" s="307"/>
      <c r="BD38" s="307"/>
      <c r="BE38" s="307"/>
      <c r="BF38" s="315"/>
      <c r="BG38" s="309"/>
      <c r="BH38" s="307"/>
      <c r="BI38" s="307"/>
      <c r="BJ38" s="315"/>
      <c r="BK38" s="307"/>
      <c r="BL38" s="307"/>
      <c r="BM38" s="307"/>
      <c r="BN38" s="315"/>
      <c r="BO38" s="307"/>
      <c r="BP38" s="307"/>
      <c r="BQ38" s="307"/>
      <c r="BR38" s="307"/>
      <c r="BS38" s="315"/>
      <c r="BT38" s="307"/>
      <c r="BU38" s="307"/>
      <c r="BV38" s="307"/>
      <c r="BW38" s="307"/>
      <c r="BX38" s="315"/>
      <c r="BY38" s="307"/>
      <c r="BZ38" s="307"/>
      <c r="CA38" s="307"/>
      <c r="CB38" s="307"/>
      <c r="CC38" s="315"/>
      <c r="CD38" s="307"/>
      <c r="CE38" s="307"/>
      <c r="CF38" s="307"/>
      <c r="CG38" s="307"/>
      <c r="CH38" s="315"/>
      <c r="CI38" s="307"/>
      <c r="CJ38" s="307"/>
      <c r="CK38" s="307"/>
      <c r="CL38" s="315"/>
      <c r="CM38" s="307"/>
      <c r="CN38" s="307"/>
      <c r="CO38" s="315"/>
      <c r="CP38" s="307"/>
      <c r="CQ38" s="307"/>
      <c r="CR38" s="315"/>
      <c r="CS38" s="307"/>
      <c r="CT38" s="307"/>
      <c r="CU38" s="315"/>
      <c r="CV38" s="307"/>
      <c r="CW38" s="307"/>
      <c r="CX38" s="315"/>
      <c r="CY38" s="307"/>
      <c r="CZ38" s="307"/>
      <c r="DA38" s="315"/>
      <c r="DB38" s="307"/>
      <c r="DC38" s="307"/>
      <c r="DD38" s="315"/>
      <c r="DE38" s="307"/>
      <c r="DF38" s="307"/>
      <c r="DG38" s="315"/>
      <c r="DH38" s="338">
        <f t="shared" si="5"/>
        <v>0</v>
      </c>
      <c r="DI38" s="338">
        <f t="shared" si="5"/>
        <v>0</v>
      </c>
      <c r="DJ38" s="328"/>
      <c r="DK38" s="328"/>
      <c r="DL38" s="328"/>
    </row>
    <row r="39" spans="1:116" hidden="1" outlineLevel="1">
      <c r="A39" s="30"/>
      <c r="B39" s="30"/>
      <c r="C39" s="30"/>
      <c r="D39" s="30"/>
      <c r="E39" s="310"/>
      <c r="F39" s="30"/>
      <c r="G39" s="30"/>
      <c r="H39" s="30"/>
      <c r="I39" s="30"/>
      <c r="J39" s="30"/>
      <c r="K39" s="30"/>
      <c r="L39" s="30"/>
      <c r="M39" s="30"/>
      <c r="N39" s="30"/>
      <c r="O39" s="30"/>
      <c r="P39" s="30"/>
      <c r="Q39" s="30"/>
      <c r="R39" s="30"/>
      <c r="S39" s="30"/>
      <c r="T39" s="307"/>
      <c r="U39" s="30"/>
      <c r="V39" s="30"/>
      <c r="W39" s="30"/>
      <c r="X39" s="30"/>
      <c r="Y39" s="30"/>
      <c r="Z39" s="307"/>
      <c r="AA39" s="30"/>
      <c r="AB39" s="30"/>
      <c r="AC39" s="30"/>
      <c r="AD39" s="30"/>
      <c r="AE39" s="30"/>
      <c r="AF39" s="30"/>
      <c r="AG39" s="30"/>
      <c r="AH39" s="30"/>
      <c r="AI39" s="30"/>
      <c r="AJ39" s="30"/>
      <c r="AK39" s="30"/>
      <c r="AL39" s="30"/>
      <c r="AM39" s="30"/>
      <c r="AN39" s="30"/>
      <c r="AO39" s="30"/>
      <c r="AP39" s="30"/>
      <c r="AQ39" s="451"/>
      <c r="AR39" s="30"/>
      <c r="AS39" s="30"/>
      <c r="AT39" s="30"/>
      <c r="AU39" s="30"/>
      <c r="AV39" s="30"/>
      <c r="AW39" s="30"/>
      <c r="AX39" s="310"/>
      <c r="AY39" s="310"/>
      <c r="AZ39" s="30"/>
      <c r="BA39" s="30"/>
      <c r="BB39" s="310"/>
      <c r="BC39" s="30"/>
      <c r="BD39" s="30"/>
      <c r="BE39" s="30"/>
      <c r="BF39" s="310"/>
      <c r="BG39" s="30"/>
      <c r="BH39" s="30"/>
      <c r="BI39" s="30"/>
      <c r="BJ39" s="310"/>
      <c r="BK39" s="30"/>
      <c r="BL39" s="30"/>
      <c r="BM39" s="30"/>
      <c r="BN39" s="310"/>
      <c r="BO39" s="30"/>
      <c r="BP39" s="30"/>
      <c r="BQ39" s="30"/>
      <c r="BR39" s="30"/>
      <c r="BS39" s="310"/>
      <c r="BT39" s="30"/>
      <c r="BU39" s="30"/>
      <c r="BV39" s="30"/>
      <c r="BW39" s="30"/>
      <c r="BX39" s="310"/>
      <c r="BY39" s="30"/>
      <c r="BZ39" s="30"/>
      <c r="CA39" s="30"/>
      <c r="CB39" s="30"/>
      <c r="CC39" s="310"/>
      <c r="CD39" s="30"/>
      <c r="CE39" s="30"/>
      <c r="CF39" s="30"/>
      <c r="CG39" s="30"/>
      <c r="CH39" s="310"/>
      <c r="CI39" s="30"/>
      <c r="CJ39" s="30"/>
      <c r="CK39" s="30"/>
      <c r="CL39" s="310"/>
      <c r="CM39" s="30"/>
      <c r="CN39" s="30"/>
      <c r="CO39" s="310"/>
      <c r="CP39" s="30"/>
      <c r="CQ39" s="30"/>
      <c r="CR39" s="310"/>
      <c r="CS39" s="30"/>
      <c r="CT39" s="30"/>
      <c r="CU39" s="310"/>
      <c r="CV39" s="30"/>
      <c r="CW39" s="30"/>
      <c r="CX39" s="310"/>
      <c r="CY39" s="30"/>
      <c r="CZ39" s="30"/>
      <c r="DA39" s="310"/>
      <c r="DB39" s="30"/>
      <c r="DC39" s="30"/>
      <c r="DD39" s="310"/>
      <c r="DE39" s="30"/>
      <c r="DF39" s="30"/>
      <c r="DG39" s="310"/>
      <c r="DH39" s="309">
        <f>+SUM(DH35:DH38)</f>
        <v>0</v>
      </c>
      <c r="DI39" s="328">
        <f>+SUM(DI35:DI38)</f>
        <v>0</v>
      </c>
      <c r="DJ39" s="328"/>
      <c r="DK39" s="328"/>
      <c r="DL39" s="328"/>
    </row>
    <row r="40" spans="1:116" hidden="1" outlineLevel="1">
      <c r="A40" s="141"/>
      <c r="B40" s="136">
        <f>qtrSales!B46</f>
        <v>1994</v>
      </c>
      <c r="C40" s="141"/>
      <c r="D40" s="141"/>
      <c r="E40" s="303"/>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452"/>
      <c r="AR40" s="301"/>
      <c r="AS40" s="301"/>
      <c r="AT40" s="141"/>
      <c r="AU40" s="27">
        <f>+B40</f>
        <v>1994</v>
      </c>
      <c r="AV40" s="141"/>
      <c r="AW40" s="141"/>
      <c r="AX40" s="303"/>
      <c r="AY40" s="303"/>
      <c r="AZ40" s="141"/>
      <c r="BA40" s="141"/>
      <c r="BB40" s="303"/>
      <c r="BC40" s="141"/>
      <c r="BD40" s="141"/>
      <c r="BE40" s="141"/>
      <c r="BF40" s="303"/>
      <c r="BG40" s="141"/>
      <c r="BH40" s="141"/>
      <c r="BI40" s="141"/>
      <c r="BJ40" s="303"/>
      <c r="BK40" s="141"/>
      <c r="BL40" s="141"/>
      <c r="BM40" s="141"/>
      <c r="BN40" s="303"/>
      <c r="BO40" s="141"/>
      <c r="BP40" s="141"/>
      <c r="BQ40" s="141"/>
      <c r="BR40" s="141"/>
      <c r="BS40" s="303"/>
      <c r="BT40" s="141"/>
      <c r="BU40" s="141"/>
      <c r="BV40" s="141"/>
      <c r="BW40" s="141"/>
      <c r="BX40" s="303"/>
      <c r="BY40" s="141"/>
      <c r="BZ40" s="141"/>
      <c r="CA40" s="141"/>
      <c r="CB40" s="141"/>
      <c r="CC40" s="303"/>
      <c r="CD40" s="141"/>
      <c r="CE40" s="141"/>
      <c r="CF40" s="141"/>
      <c r="CG40" s="141"/>
      <c r="CH40" s="303"/>
      <c r="CI40" s="141"/>
      <c r="CJ40" s="141"/>
      <c r="CK40" s="141"/>
      <c r="CL40" s="303"/>
      <c r="CM40" s="141"/>
      <c r="CN40" s="141"/>
      <c r="CO40" s="303"/>
      <c r="CP40" s="141"/>
      <c r="CQ40" s="141"/>
      <c r="CR40" s="303"/>
      <c r="CS40" s="141"/>
      <c r="CT40" s="141"/>
      <c r="CU40" s="303"/>
      <c r="CV40" s="141"/>
      <c r="CW40" s="141"/>
      <c r="CX40" s="303"/>
      <c r="CY40" s="141"/>
      <c r="CZ40" s="141"/>
      <c r="DA40" s="303"/>
      <c r="DB40" s="141"/>
      <c r="DC40" s="141"/>
      <c r="DD40" s="303"/>
      <c r="DE40" s="141"/>
      <c r="DF40" s="141"/>
      <c r="DG40" s="303"/>
      <c r="DH40" s="141"/>
      <c r="DI40" s="141"/>
      <c r="DJ40" s="141"/>
      <c r="DK40" s="141"/>
      <c r="DL40" s="141"/>
    </row>
    <row r="41" spans="1:116" hidden="1" outlineLevel="1">
      <c r="A41" s="30" t="str">
        <f>qtrSales!A47</f>
        <v>1Q</v>
      </c>
      <c r="B41" s="30" t="str">
        <f>qtrSales!B47</f>
        <v>Apr</v>
      </c>
      <c r="C41" s="30"/>
      <c r="D41" s="307">
        <v>577</v>
      </c>
      <c r="E41" s="308">
        <f>+(D41/D35-1)*100</f>
        <v>4.1516245487364545</v>
      </c>
      <c r="F41" s="307">
        <v>0</v>
      </c>
      <c r="G41" s="307"/>
      <c r="H41" s="307"/>
      <c r="I41" s="307"/>
      <c r="J41" s="309">
        <f>+D41+F41</f>
        <v>577</v>
      </c>
      <c r="K41" s="308">
        <f>+(J41/J35-1)*100</f>
        <v>4.1516245487364545</v>
      </c>
      <c r="L41" s="307">
        <v>213</v>
      </c>
      <c r="M41" s="308">
        <f>+(L41/L35-1)*100</f>
        <v>70.399999999999991</v>
      </c>
      <c r="N41" s="307">
        <v>682</v>
      </c>
      <c r="O41" s="308">
        <f>+(N41/N35-1)*100</f>
        <v>5.9006211180124168</v>
      </c>
      <c r="P41" s="307">
        <v>402</v>
      </c>
      <c r="Q41" s="308">
        <f>+(P41/P35-1)*100</f>
        <v>16.860465116279077</v>
      </c>
      <c r="R41" s="307">
        <v>0</v>
      </c>
      <c r="S41" s="307"/>
      <c r="T41" s="307">
        <v>725</v>
      </c>
      <c r="U41" s="308">
        <f>+(T41/T35-1)*100</f>
        <v>-4.4795783926218746</v>
      </c>
      <c r="V41" s="307">
        <v>4</v>
      </c>
      <c r="W41" s="308">
        <f>+(V41/V35-1)*100</f>
        <v>0</v>
      </c>
      <c r="X41" s="308"/>
      <c r="Y41" s="308"/>
      <c r="Z41" s="307"/>
      <c r="AA41" s="308"/>
      <c r="AB41" s="307">
        <v>871</v>
      </c>
      <c r="AC41" s="308">
        <f>+(AB41/AB35-1)*100</f>
        <v>-3.8631346578366421</v>
      </c>
      <c r="AD41" s="307">
        <v>817</v>
      </c>
      <c r="AE41" s="308">
        <f>+(AD41/AD35-1)*100</f>
        <v>0.61576354679802048</v>
      </c>
      <c r="AF41" s="366">
        <v>0</v>
      </c>
      <c r="AG41" s="253"/>
      <c r="AH41" s="366">
        <v>184</v>
      </c>
      <c r="AI41" s="308">
        <f>+(AH41/AH35-1)*100</f>
        <v>-0.54054054054053502</v>
      </c>
      <c r="AJ41" s="366">
        <v>109</v>
      </c>
      <c r="AK41" s="308">
        <f>+(AJ41/AJ35-1)*100</f>
        <v>39.743589743589737</v>
      </c>
      <c r="AL41" s="366">
        <v>50</v>
      </c>
      <c r="AM41" s="308">
        <f>+(AL41/AL35-1)*100</f>
        <v>25</v>
      </c>
      <c r="AN41" s="366">
        <v>7</v>
      </c>
      <c r="AO41" s="308">
        <f>+(AN41/AN35-1)*100</f>
        <v>16.666666666666675</v>
      </c>
      <c r="AP41" s="30"/>
      <c r="AQ41" s="451">
        <f>+J41+L41+N41+P41+R41+T41+V41+AB41+AD41+AF41+AH41+AJ41+AL41+AN41</f>
        <v>4641</v>
      </c>
      <c r="AR41" s="308">
        <f>+(AQ41/AQ35-1)*100</f>
        <v>4.1283374467130374</v>
      </c>
      <c r="AS41" s="307"/>
      <c r="AT41" s="30" t="str">
        <f>+A41</f>
        <v>1Q</v>
      </c>
      <c r="AU41" s="30" t="str">
        <f>+B41</f>
        <v>Apr</v>
      </c>
      <c r="AV41" s="30"/>
      <c r="AW41" s="307"/>
      <c r="AX41" s="315"/>
      <c r="AY41" s="315"/>
      <c r="AZ41" s="307"/>
      <c r="BA41" s="307"/>
      <c r="BB41" s="315"/>
      <c r="BC41" s="307"/>
      <c r="BD41" s="307"/>
      <c r="BE41" s="307"/>
      <c r="BF41" s="315"/>
      <c r="BG41" s="309"/>
      <c r="BH41" s="307"/>
      <c r="BI41" s="307"/>
      <c r="BJ41" s="315"/>
      <c r="BK41" s="307"/>
      <c r="BL41" s="307"/>
      <c r="BM41" s="307"/>
      <c r="BN41" s="315"/>
      <c r="BO41" s="307"/>
      <c r="BP41" s="307"/>
      <c r="BQ41" s="307"/>
      <c r="BR41" s="307"/>
      <c r="BS41" s="315"/>
      <c r="BT41" s="307"/>
      <c r="BU41" s="307"/>
      <c r="BV41" s="307"/>
      <c r="BW41" s="307"/>
      <c r="BX41" s="315"/>
      <c r="BY41" s="307"/>
      <c r="BZ41" s="307"/>
      <c r="CA41" s="307"/>
      <c r="CB41" s="307"/>
      <c r="CC41" s="315"/>
      <c r="CD41" s="307"/>
      <c r="CE41" s="307"/>
      <c r="CF41" s="307"/>
      <c r="CG41" s="307"/>
      <c r="CH41" s="315"/>
      <c r="CI41" s="307"/>
      <c r="CJ41" s="307"/>
      <c r="CK41" s="307"/>
      <c r="CL41" s="315"/>
      <c r="CM41" s="307"/>
      <c r="CN41" s="307"/>
      <c r="CO41" s="315"/>
      <c r="CP41" s="307"/>
      <c r="CQ41" s="307"/>
      <c r="CR41" s="315"/>
      <c r="CS41" s="307"/>
      <c r="CT41" s="307"/>
      <c r="CU41" s="315"/>
      <c r="CV41" s="307"/>
      <c r="CW41" s="307"/>
      <c r="CX41" s="315"/>
      <c r="CY41" s="307"/>
      <c r="CZ41" s="307"/>
      <c r="DA41" s="315"/>
      <c r="DB41" s="307"/>
      <c r="DC41" s="307"/>
      <c r="DD41" s="315"/>
      <c r="DE41" s="307"/>
      <c r="DF41" s="307"/>
      <c r="DG41" s="315"/>
      <c r="DH41" s="328">
        <f t="shared" ref="DH41:DI44" si="6">+BG41+BK41+BT41+BY41+CD41+CI41+BO41+CP41+CS41+CV41+CY41+DB41+DE41</f>
        <v>0</v>
      </c>
      <c r="DI41" s="328">
        <f t="shared" si="6"/>
        <v>0</v>
      </c>
      <c r="DJ41" s="328"/>
      <c r="DK41" s="328"/>
      <c r="DL41" s="328"/>
    </row>
    <row r="42" spans="1:116" hidden="1" outlineLevel="1">
      <c r="A42" s="30" t="str">
        <f>qtrSales!A48</f>
        <v>2Q</v>
      </c>
      <c r="B42" s="30" t="str">
        <f>qtrSales!B48</f>
        <v>Jul</v>
      </c>
      <c r="C42" s="30"/>
      <c r="D42" s="307">
        <v>578</v>
      </c>
      <c r="E42" s="308">
        <f>+(D42/D36-1)*100</f>
        <v>3.3989266547405972</v>
      </c>
      <c r="F42" s="307">
        <v>0</v>
      </c>
      <c r="G42" s="307"/>
      <c r="H42" s="307"/>
      <c r="I42" s="307"/>
      <c r="J42" s="309">
        <f>+D42+F42</f>
        <v>578</v>
      </c>
      <c r="K42" s="308">
        <f>+(J42/J36-1)*100</f>
        <v>3.3989266547405972</v>
      </c>
      <c r="L42" s="307">
        <v>244</v>
      </c>
      <c r="M42" s="308">
        <f>+(L42/L36-1)*100</f>
        <v>86.25954198473282</v>
      </c>
      <c r="N42" s="307">
        <v>690</v>
      </c>
      <c r="O42" s="308">
        <f>+(N42/N36-1)*100</f>
        <v>6.1538461538461542</v>
      </c>
      <c r="P42" s="307">
        <v>417</v>
      </c>
      <c r="Q42" s="308">
        <f>+(P42/P36-1)*100</f>
        <v>17.464788732394364</v>
      </c>
      <c r="R42" s="307">
        <v>0</v>
      </c>
      <c r="S42" s="307"/>
      <c r="T42" s="307">
        <v>726</v>
      </c>
      <c r="U42" s="308">
        <f>+(T42/T36-1)*100</f>
        <v>-2.9411764705882359</v>
      </c>
      <c r="V42" s="307">
        <v>4</v>
      </c>
      <c r="W42" s="308">
        <f>+(V42/V36-1)*100</f>
        <v>0</v>
      </c>
      <c r="X42" s="308"/>
      <c r="Y42" s="308"/>
      <c r="Z42" s="307"/>
      <c r="AA42" s="308"/>
      <c r="AB42" s="307">
        <v>864</v>
      </c>
      <c r="AC42" s="308">
        <f>+(AB42/AB36-1)*100</f>
        <v>-3.6789297658862852</v>
      </c>
      <c r="AD42" s="307">
        <v>815</v>
      </c>
      <c r="AE42" s="308">
        <f>+(AD42/AD36-1)*100</f>
        <v>0.24600246002459691</v>
      </c>
      <c r="AF42" s="366">
        <v>0</v>
      </c>
      <c r="AG42" s="253"/>
      <c r="AH42" s="366">
        <v>186</v>
      </c>
      <c r="AI42" s="308">
        <f>+(AH42/AH36-1)*100</f>
        <v>0.54054054054053502</v>
      </c>
      <c r="AJ42" s="366">
        <v>109</v>
      </c>
      <c r="AK42" s="308">
        <f>+(AJ42/AJ36-1)*100</f>
        <v>18.478260869565212</v>
      </c>
      <c r="AL42" s="366">
        <v>56</v>
      </c>
      <c r="AM42" s="308">
        <f>+(AL42/AL36-1)*100</f>
        <v>36.585365853658544</v>
      </c>
      <c r="AN42" s="366">
        <v>7</v>
      </c>
      <c r="AO42" s="308">
        <f>+(AN42/AN36-1)*100</f>
        <v>16.666666666666675</v>
      </c>
      <c r="AP42" s="30"/>
      <c r="AQ42" s="451">
        <f>+J42+L42+N42+P42+R42+T42+V42+AB42+AD42+AF42+AH42+AJ42+AL42+AN42</f>
        <v>4696</v>
      </c>
      <c r="AR42" s="308">
        <f>+(AQ42/AQ36-1)*100</f>
        <v>4.7980361526444915</v>
      </c>
      <c r="AS42" s="307"/>
      <c r="AT42" s="30" t="str">
        <f>+A42</f>
        <v>2Q</v>
      </c>
      <c r="AU42" s="30" t="str">
        <f>+B42</f>
        <v>Jul</v>
      </c>
      <c r="AV42" s="30"/>
      <c r="AW42" s="307"/>
      <c r="AX42" s="307"/>
      <c r="AY42" s="308"/>
      <c r="AZ42" s="307"/>
      <c r="BA42" s="307"/>
      <c r="BB42" s="308"/>
      <c r="BC42" s="307"/>
      <c r="BD42" s="307"/>
      <c r="BE42" s="307"/>
      <c r="BF42" s="308"/>
      <c r="BG42" s="328"/>
      <c r="BH42" s="328"/>
      <c r="BI42" s="328"/>
      <c r="BJ42" s="315"/>
      <c r="BK42" s="307"/>
      <c r="BL42" s="307"/>
      <c r="BM42" s="307"/>
      <c r="BN42" s="315"/>
      <c r="BO42" s="307"/>
      <c r="BP42" s="307"/>
      <c r="BQ42" s="307"/>
      <c r="BR42" s="307"/>
      <c r="BS42" s="315"/>
      <c r="BT42" s="307"/>
      <c r="BU42" s="307"/>
      <c r="BV42" s="307"/>
      <c r="BW42" s="307"/>
      <c r="BX42" s="315"/>
      <c r="BY42" s="307"/>
      <c r="BZ42" s="307"/>
      <c r="CA42" s="307"/>
      <c r="CB42" s="307"/>
      <c r="CC42" s="315"/>
      <c r="CD42" s="307"/>
      <c r="CE42" s="307"/>
      <c r="CF42" s="307"/>
      <c r="CG42" s="307"/>
      <c r="CH42" s="315"/>
      <c r="CI42" s="307"/>
      <c r="CJ42" s="307"/>
      <c r="CK42" s="307"/>
      <c r="CL42" s="315"/>
      <c r="CM42" s="307"/>
      <c r="CN42" s="307"/>
      <c r="CO42" s="315"/>
      <c r="CP42" s="307"/>
      <c r="CQ42" s="307"/>
      <c r="CR42" s="315"/>
      <c r="CS42" s="307"/>
      <c r="CT42" s="307"/>
      <c r="CU42" s="315"/>
      <c r="CV42" s="307"/>
      <c r="CW42" s="307"/>
      <c r="CX42" s="315"/>
      <c r="CY42" s="307"/>
      <c r="CZ42" s="307"/>
      <c r="DA42" s="315"/>
      <c r="DB42" s="307"/>
      <c r="DC42" s="307"/>
      <c r="DD42" s="315"/>
      <c r="DE42" s="307"/>
      <c r="DF42" s="307"/>
      <c r="DG42" s="315"/>
      <c r="DH42" s="328">
        <f t="shared" si="6"/>
        <v>0</v>
      </c>
      <c r="DI42" s="328">
        <f t="shared" si="6"/>
        <v>0</v>
      </c>
      <c r="DJ42" s="328"/>
      <c r="DK42" s="328"/>
      <c r="DL42" s="328"/>
    </row>
    <row r="43" spans="1:116" hidden="1" outlineLevel="1">
      <c r="A43" s="30" t="str">
        <f>qtrSales!A49</f>
        <v>3Q</v>
      </c>
      <c r="B43" s="30" t="str">
        <f>qtrSales!B49</f>
        <v>Oct</v>
      </c>
      <c r="C43" s="30"/>
      <c r="D43" s="307">
        <v>594</v>
      </c>
      <c r="E43" s="308">
        <f>+(D43/D37-1)*100</f>
        <v>2.9462738301559765</v>
      </c>
      <c r="F43" s="307">
        <v>0</v>
      </c>
      <c r="G43" s="307"/>
      <c r="H43" s="307"/>
      <c r="I43" s="307"/>
      <c r="J43" s="309">
        <f>+D43+F43</f>
        <v>594</v>
      </c>
      <c r="K43" s="308">
        <f>+(J43/J37-1)*100</f>
        <v>2.9462738301559765</v>
      </c>
      <c r="L43" s="307">
        <v>286</v>
      </c>
      <c r="M43" s="308">
        <f>+(L43/L37-1)*100</f>
        <v>59.77653631284916</v>
      </c>
      <c r="N43" s="307">
        <v>703</v>
      </c>
      <c r="O43" s="308">
        <f>+(N43/N37-1)*100</f>
        <v>5.8734939759036209</v>
      </c>
      <c r="P43" s="307">
        <v>441</v>
      </c>
      <c r="Q43" s="308">
        <f>+(P43/P37-1)*100</f>
        <v>16.976127320954902</v>
      </c>
      <c r="R43" s="307">
        <v>0</v>
      </c>
      <c r="S43" s="307"/>
      <c r="T43" s="307">
        <v>730</v>
      </c>
      <c r="U43" s="308">
        <f>+(T43/T37-1)*100</f>
        <v>-2.5367156208277675</v>
      </c>
      <c r="V43" s="307">
        <v>4</v>
      </c>
      <c r="W43" s="308">
        <f>+(V43/V37-1)*100</f>
        <v>0</v>
      </c>
      <c r="X43" s="308"/>
      <c r="Y43" s="308"/>
      <c r="Z43" s="307"/>
      <c r="AA43" s="308"/>
      <c r="AB43" s="307">
        <v>861</v>
      </c>
      <c r="AC43" s="308">
        <f>+(AB43/AB37-1)*100</f>
        <v>-4.4395116537180872</v>
      </c>
      <c r="AD43" s="307">
        <v>818</v>
      </c>
      <c r="AE43" s="308">
        <f>+(AD43/AD37-1)*100</f>
        <v>0.1223990208078396</v>
      </c>
      <c r="AF43" s="366">
        <v>0</v>
      </c>
      <c r="AG43" s="253"/>
      <c r="AH43" s="366">
        <v>206</v>
      </c>
      <c r="AI43" s="308">
        <f>+(AH43/AH37-1)*100</f>
        <v>11.351351351351347</v>
      </c>
      <c r="AJ43" s="366">
        <v>115</v>
      </c>
      <c r="AK43" s="308">
        <f>+(AJ43/AJ37-1)*100</f>
        <v>13.861386138613852</v>
      </c>
      <c r="AL43" s="366">
        <v>61</v>
      </c>
      <c r="AM43" s="308">
        <f>+(AL43/AL37-1)*100</f>
        <v>35.555555555555564</v>
      </c>
      <c r="AN43" s="366">
        <v>6</v>
      </c>
      <c r="AO43" s="308">
        <f>+(AN43/AN37-1)*100</f>
        <v>0</v>
      </c>
      <c r="AP43" s="30"/>
      <c r="AQ43" s="451">
        <f>+J43+L43+N43+P43+R43+T43+V43+AB43+AD43+AF43+AH43+AJ43+AL43+AN43</f>
        <v>4825</v>
      </c>
      <c r="AR43" s="308">
        <f>+(AQ43/AQ37-1)*100</f>
        <v>4.7774158523344212</v>
      </c>
      <c r="AS43" s="307"/>
      <c r="AT43" s="30" t="str">
        <f>+A43</f>
        <v>3Q</v>
      </c>
      <c r="AU43" s="30" t="str">
        <f>+B43</f>
        <v>Oct</v>
      </c>
      <c r="AV43" s="30"/>
      <c r="AW43" s="307"/>
      <c r="AX43" s="315"/>
      <c r="AY43" s="315"/>
      <c r="AZ43" s="307"/>
      <c r="BA43" s="307"/>
      <c r="BB43" s="315"/>
      <c r="BC43" s="307"/>
      <c r="BD43" s="307"/>
      <c r="BE43" s="307"/>
      <c r="BF43" s="315"/>
      <c r="BG43" s="309"/>
      <c r="BH43" s="307"/>
      <c r="BI43" s="307"/>
      <c r="BJ43" s="315"/>
      <c r="BK43" s="307"/>
      <c r="BL43" s="307"/>
      <c r="BM43" s="307"/>
      <c r="BN43" s="315"/>
      <c r="BO43" s="307"/>
      <c r="BP43" s="307"/>
      <c r="BQ43" s="307"/>
      <c r="BR43" s="307"/>
      <c r="BS43" s="315"/>
      <c r="BT43" s="307"/>
      <c r="BU43" s="307"/>
      <c r="BV43" s="307"/>
      <c r="BW43" s="307"/>
      <c r="BX43" s="315"/>
      <c r="BY43" s="307"/>
      <c r="BZ43" s="307"/>
      <c r="CA43" s="307"/>
      <c r="CB43" s="307"/>
      <c r="CC43" s="315"/>
      <c r="CD43" s="307"/>
      <c r="CE43" s="307"/>
      <c r="CF43" s="307"/>
      <c r="CG43" s="307"/>
      <c r="CH43" s="315"/>
      <c r="CI43" s="307"/>
      <c r="CJ43" s="307"/>
      <c r="CK43" s="307"/>
      <c r="CL43" s="315"/>
      <c r="CM43" s="307"/>
      <c r="CN43" s="307"/>
      <c r="CO43" s="315"/>
      <c r="CP43" s="307"/>
      <c r="CQ43" s="307"/>
      <c r="CR43" s="315"/>
      <c r="CS43" s="307"/>
      <c r="CT43" s="307"/>
      <c r="CU43" s="315"/>
      <c r="CV43" s="307"/>
      <c r="CW43" s="307"/>
      <c r="CX43" s="315"/>
      <c r="CY43" s="307"/>
      <c r="CZ43" s="307"/>
      <c r="DA43" s="315"/>
      <c r="DB43" s="307"/>
      <c r="DC43" s="307"/>
      <c r="DD43" s="315"/>
      <c r="DE43" s="307"/>
      <c r="DF43" s="307"/>
      <c r="DG43" s="315"/>
      <c r="DH43" s="328">
        <f t="shared" si="6"/>
        <v>0</v>
      </c>
      <c r="DI43" s="328">
        <f t="shared" si="6"/>
        <v>0</v>
      </c>
      <c r="DJ43" s="328"/>
      <c r="DK43" s="328"/>
      <c r="DL43" s="328"/>
    </row>
    <row r="44" spans="1:116" hidden="1" outlineLevel="1">
      <c r="A44" s="30" t="str">
        <f>qtrSales!A50</f>
        <v>4Q</v>
      </c>
      <c r="B44" s="30" t="str">
        <f>qtrSales!B50</f>
        <v>Jan</v>
      </c>
      <c r="C44" s="30"/>
      <c r="D44" s="307">
        <v>601</v>
      </c>
      <c r="E44" s="308">
        <f>+(D44/D38-1)*100</f>
        <v>5.4385964912280649</v>
      </c>
      <c r="F44" s="307">
        <v>0</v>
      </c>
      <c r="G44" s="307"/>
      <c r="H44" s="307"/>
      <c r="I44" s="307"/>
      <c r="J44" s="309">
        <f>+D44+F44</f>
        <v>601</v>
      </c>
      <c r="K44" s="308">
        <f>+(J44/J38-1)*100</f>
        <v>5.4385964912280649</v>
      </c>
      <c r="L44" s="307">
        <v>318</v>
      </c>
      <c r="M44" s="308">
        <f>+(L44/L38-1)*100</f>
        <v>63.917525773195869</v>
      </c>
      <c r="N44" s="307">
        <v>716</v>
      </c>
      <c r="O44" s="308">
        <f>+(N44/N38-1)*100</f>
        <v>6.3893016344725106</v>
      </c>
      <c r="P44" s="307">
        <v>466</v>
      </c>
      <c r="Q44" s="308">
        <f>+(P44/P38-1)*100</f>
        <v>18.274111675126914</v>
      </c>
      <c r="R44" s="307">
        <v>0</v>
      </c>
      <c r="S44" s="307"/>
      <c r="T44" s="307">
        <v>709</v>
      </c>
      <c r="U44" s="308">
        <f>+(T44/T38-1)*100</f>
        <v>-4.9597855227882075</v>
      </c>
      <c r="V44" s="307">
        <v>4</v>
      </c>
      <c r="W44" s="308">
        <f>+(V44/V38-1)*100</f>
        <v>0</v>
      </c>
      <c r="X44" s="308"/>
      <c r="Y44" s="308"/>
      <c r="Z44" s="307"/>
      <c r="AA44" s="308"/>
      <c r="AB44" s="307">
        <v>846</v>
      </c>
      <c r="AC44" s="308">
        <f>+(AB44/AB38-1)*100</f>
        <v>-3.5347776510832429</v>
      </c>
      <c r="AD44" s="307">
        <v>812</v>
      </c>
      <c r="AE44" s="308">
        <f>+(AD44/AD38-1)*100</f>
        <v>-0.61199510403916468</v>
      </c>
      <c r="AF44" s="366">
        <v>0</v>
      </c>
      <c r="AG44" s="253"/>
      <c r="AH44" s="366">
        <v>210</v>
      </c>
      <c r="AI44" s="308">
        <f>+(AH44/AH38-1)*100</f>
        <v>14.130434782608692</v>
      </c>
      <c r="AJ44" s="366">
        <v>114</v>
      </c>
      <c r="AK44" s="308">
        <f>+(AJ44/AJ38-1)*100</f>
        <v>5.555555555555558</v>
      </c>
      <c r="AL44" s="366">
        <v>67</v>
      </c>
      <c r="AM44" s="308">
        <f>+(AL44/AL38-1)*100</f>
        <v>36.734693877551017</v>
      </c>
      <c r="AN44" s="366">
        <v>4</v>
      </c>
      <c r="AO44" s="308">
        <f>+(AN44/AN38-1)*100</f>
        <v>-42.857142857142861</v>
      </c>
      <c r="AP44" s="30"/>
      <c r="AQ44" s="451">
        <f>+J44+L44+N44+P44+R44+T44+V44+AB44+AD44+AF44+AH44+AJ44+AL44+AN44</f>
        <v>4867</v>
      </c>
      <c r="AR44" s="308">
        <f>+(AQ44/AQ38-1)*100</f>
        <v>5.2779580359074263</v>
      </c>
      <c r="AS44" s="307"/>
      <c r="AT44" s="30" t="str">
        <f>+A44</f>
        <v>4Q</v>
      </c>
      <c r="AU44" s="30" t="str">
        <f>+B44</f>
        <v>Jan</v>
      </c>
      <c r="AV44" s="30"/>
      <c r="AW44" s="307"/>
      <c r="AX44" s="315"/>
      <c r="AY44" s="315"/>
      <c r="AZ44" s="307"/>
      <c r="BA44" s="307"/>
      <c r="BB44" s="315"/>
      <c r="BC44" s="307"/>
      <c r="BD44" s="307"/>
      <c r="BE44" s="307"/>
      <c r="BF44" s="315"/>
      <c r="BG44" s="309"/>
      <c r="BH44" s="307"/>
      <c r="BI44" s="307"/>
      <c r="BJ44" s="315"/>
      <c r="BK44" s="307"/>
      <c r="BL44" s="307"/>
      <c r="BM44" s="307"/>
      <c r="BN44" s="315"/>
      <c r="BO44" s="307"/>
      <c r="BP44" s="307"/>
      <c r="BQ44" s="307"/>
      <c r="BR44" s="307"/>
      <c r="BS44" s="315"/>
      <c r="BT44" s="307"/>
      <c r="BU44" s="307"/>
      <c r="BV44" s="307"/>
      <c r="BW44" s="307"/>
      <c r="BX44" s="315"/>
      <c r="BY44" s="307"/>
      <c r="BZ44" s="307"/>
      <c r="CA44" s="307"/>
      <c r="CB44" s="307"/>
      <c r="CC44" s="315"/>
      <c r="CD44" s="307"/>
      <c r="CE44" s="307"/>
      <c r="CF44" s="307"/>
      <c r="CG44" s="307"/>
      <c r="CH44" s="315"/>
      <c r="CI44" s="307"/>
      <c r="CJ44" s="307"/>
      <c r="CK44" s="307"/>
      <c r="CL44" s="315"/>
      <c r="CM44" s="307"/>
      <c r="CN44" s="307"/>
      <c r="CO44" s="315"/>
      <c r="CP44" s="307"/>
      <c r="CQ44" s="307"/>
      <c r="CR44" s="315"/>
      <c r="CS44" s="307"/>
      <c r="CT44" s="307"/>
      <c r="CU44" s="315"/>
      <c r="CV44" s="307"/>
      <c r="CW44" s="307"/>
      <c r="CX44" s="315"/>
      <c r="CY44" s="307"/>
      <c r="CZ44" s="307"/>
      <c r="DA44" s="315"/>
      <c r="DB44" s="307"/>
      <c r="DC44" s="307"/>
      <c r="DD44" s="315"/>
      <c r="DE44" s="307"/>
      <c r="DF44" s="307"/>
      <c r="DG44" s="315"/>
      <c r="DH44" s="338">
        <f t="shared" si="6"/>
        <v>0</v>
      </c>
      <c r="DI44" s="338">
        <f t="shared" si="6"/>
        <v>0</v>
      </c>
      <c r="DJ44" s="328"/>
      <c r="DK44" s="328"/>
      <c r="DL44" s="328"/>
    </row>
    <row r="45" spans="1:116" hidden="1" outlineLevel="1">
      <c r="A45" s="30"/>
      <c r="B45" s="30"/>
      <c r="C45" s="30"/>
      <c r="D45" s="30"/>
      <c r="E45" s="310"/>
      <c r="F45" s="30"/>
      <c r="G45" s="30"/>
      <c r="H45" s="30"/>
      <c r="I45" s="30"/>
      <c r="J45" s="30"/>
      <c r="K45" s="30"/>
      <c r="L45" s="30"/>
      <c r="M45" s="30"/>
      <c r="N45" s="30"/>
      <c r="O45" s="30"/>
      <c r="P45" s="30"/>
      <c r="Q45" s="30"/>
      <c r="R45" s="30"/>
      <c r="S45" s="30"/>
      <c r="T45" s="30"/>
      <c r="U45" s="30"/>
      <c r="V45" s="30"/>
      <c r="W45" s="30"/>
      <c r="X45" s="30"/>
      <c r="Y45" s="30"/>
      <c r="Z45" s="30"/>
      <c r="AA45" s="30"/>
      <c r="AB45" s="30"/>
      <c r="AC45" s="30"/>
      <c r="AD45" s="30"/>
      <c r="AE45" s="30"/>
      <c r="AF45" s="30"/>
      <c r="AG45" s="30"/>
      <c r="AH45" s="30"/>
      <c r="AI45" s="30"/>
      <c r="AJ45" s="30"/>
      <c r="AK45" s="30"/>
      <c r="AL45" s="30"/>
      <c r="AM45" s="30"/>
      <c r="AN45" s="30"/>
      <c r="AO45" s="30"/>
      <c r="AP45" s="30"/>
      <c r="AQ45" s="451"/>
      <c r="AR45" s="30"/>
      <c r="AS45" s="30"/>
      <c r="AT45" s="30"/>
      <c r="AU45" s="30"/>
      <c r="AV45" s="30"/>
      <c r="AW45" s="30"/>
      <c r="AX45" s="310"/>
      <c r="AY45" s="310"/>
      <c r="AZ45" s="30"/>
      <c r="BA45" s="30"/>
      <c r="BB45" s="310"/>
      <c r="BC45" s="30"/>
      <c r="BD45" s="30"/>
      <c r="BE45" s="30"/>
      <c r="BF45" s="310"/>
      <c r="BG45" s="30"/>
      <c r="BH45" s="30"/>
      <c r="BI45" s="30"/>
      <c r="BJ45" s="310"/>
      <c r="BK45" s="30"/>
      <c r="BL45" s="30"/>
      <c r="BM45" s="30"/>
      <c r="BN45" s="310"/>
      <c r="BO45" s="30"/>
      <c r="BP45" s="30"/>
      <c r="BQ45" s="30"/>
      <c r="BR45" s="30"/>
      <c r="BS45" s="310"/>
      <c r="BT45" s="30"/>
      <c r="BU45" s="30"/>
      <c r="BV45" s="30"/>
      <c r="BW45" s="30"/>
      <c r="BX45" s="310"/>
      <c r="BY45" s="30"/>
      <c r="BZ45" s="30"/>
      <c r="CA45" s="30"/>
      <c r="CB45" s="30"/>
      <c r="CC45" s="310"/>
      <c r="CD45" s="30"/>
      <c r="CE45" s="30"/>
      <c r="CF45" s="30"/>
      <c r="CG45" s="30"/>
      <c r="CH45" s="310"/>
      <c r="CI45" s="30"/>
      <c r="CJ45" s="30"/>
      <c r="CK45" s="30"/>
      <c r="CL45" s="310"/>
      <c r="CM45" s="30"/>
      <c r="CN45" s="30"/>
      <c r="CO45" s="310"/>
      <c r="CP45" s="30"/>
      <c r="CQ45" s="30"/>
      <c r="CR45" s="310"/>
      <c r="CS45" s="30"/>
      <c r="CT45" s="30"/>
      <c r="CU45" s="310"/>
      <c r="CV45" s="30"/>
      <c r="CW45" s="30"/>
      <c r="CX45" s="310"/>
      <c r="CY45" s="30"/>
      <c r="CZ45" s="30"/>
      <c r="DA45" s="310"/>
      <c r="DB45" s="30"/>
      <c r="DC45" s="30"/>
      <c r="DD45" s="310"/>
      <c r="DE45" s="30"/>
      <c r="DF45" s="30"/>
      <c r="DG45" s="310"/>
      <c r="DH45" s="309">
        <f>+SUM(DH41:DH44)</f>
        <v>0</v>
      </c>
      <c r="DI45" s="328">
        <f>+SUM(DI41:DI44)</f>
        <v>0</v>
      </c>
      <c r="DJ45" s="328"/>
      <c r="DK45" s="328"/>
      <c r="DL45" s="328"/>
    </row>
    <row r="46" spans="1:116" hidden="1" outlineLevel="1">
      <c r="A46" s="141"/>
      <c r="B46" s="136">
        <f>+qtrSales!B53</f>
        <v>1995</v>
      </c>
      <c r="C46" s="141"/>
      <c r="D46" s="141"/>
      <c r="E46" s="303"/>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452"/>
      <c r="AR46" s="301"/>
      <c r="AS46" s="301"/>
      <c r="AT46" s="141"/>
      <c r="AU46" s="27">
        <f>+B46</f>
        <v>1995</v>
      </c>
      <c r="AV46" s="141"/>
      <c r="AW46" s="141"/>
      <c r="AX46" s="303"/>
      <c r="AY46" s="303"/>
      <c r="AZ46" s="141"/>
      <c r="BA46" s="141"/>
      <c r="BB46" s="303"/>
      <c r="BC46" s="141"/>
      <c r="BD46" s="141"/>
      <c r="BE46" s="141"/>
      <c r="BF46" s="303"/>
      <c r="BG46" s="141"/>
      <c r="BH46" s="141"/>
      <c r="BI46" s="141"/>
      <c r="BJ46" s="303"/>
      <c r="BK46" s="141"/>
      <c r="BL46" s="141"/>
      <c r="BM46" s="141"/>
      <c r="BN46" s="303"/>
      <c r="BO46" s="141"/>
      <c r="BP46" s="141"/>
      <c r="BQ46" s="141"/>
      <c r="BR46" s="141"/>
      <c r="BS46" s="303"/>
      <c r="BT46" s="141"/>
      <c r="BU46" s="141"/>
      <c r="BV46" s="141"/>
      <c r="BW46" s="141"/>
      <c r="BX46" s="303"/>
      <c r="BY46" s="141"/>
      <c r="BZ46" s="141"/>
      <c r="CA46" s="141"/>
      <c r="CB46" s="141"/>
      <c r="CC46" s="303"/>
      <c r="CD46" s="141"/>
      <c r="CE46" s="141"/>
      <c r="CF46" s="141"/>
      <c r="CG46" s="141"/>
      <c r="CH46" s="303"/>
      <c r="CI46" s="141"/>
      <c r="CJ46" s="141"/>
      <c r="CK46" s="141"/>
      <c r="CL46" s="303"/>
      <c r="CM46" s="141"/>
      <c r="CN46" s="141"/>
      <c r="CO46" s="303"/>
      <c r="CP46" s="141"/>
      <c r="CQ46" s="141"/>
      <c r="CR46" s="303"/>
      <c r="CS46" s="141"/>
      <c r="CT46" s="141"/>
      <c r="CU46" s="303"/>
      <c r="CV46" s="141"/>
      <c r="CW46" s="141"/>
      <c r="CX46" s="303"/>
      <c r="CY46" s="141"/>
      <c r="CZ46" s="141"/>
      <c r="DA46" s="303"/>
      <c r="DB46" s="141"/>
      <c r="DC46" s="141"/>
      <c r="DD46" s="303"/>
      <c r="DE46" s="141"/>
      <c r="DF46" s="141"/>
      <c r="DG46" s="303"/>
      <c r="DH46" s="141"/>
      <c r="DI46" s="141"/>
      <c r="DJ46" s="141"/>
      <c r="DK46" s="141"/>
      <c r="DL46" s="141"/>
    </row>
    <row r="47" spans="1:116" hidden="1" outlineLevel="1">
      <c r="A47" s="30" t="str">
        <f>+qtrSales!A61</f>
        <v>1Q</v>
      </c>
      <c r="B47" s="30" t="str">
        <f>+qtrSales!B61</f>
        <v>Apr</v>
      </c>
      <c r="C47" s="30"/>
      <c r="D47" s="307">
        <v>609</v>
      </c>
      <c r="E47" s="308">
        <f>+(D47/D41-1)*100</f>
        <v>5.5459272097053702</v>
      </c>
      <c r="F47" s="307">
        <v>0</v>
      </c>
      <c r="G47" s="307"/>
      <c r="H47" s="307"/>
      <c r="I47" s="307"/>
      <c r="J47" s="309">
        <f>+D47+F47</f>
        <v>609</v>
      </c>
      <c r="K47" s="308">
        <f>+(J47/J41-1)*100</f>
        <v>5.5459272097053702</v>
      </c>
      <c r="L47" s="307">
        <v>347</v>
      </c>
      <c r="M47" s="308">
        <f>+(L47/L41-1)*100</f>
        <v>62.910798122065728</v>
      </c>
      <c r="N47" s="307">
        <v>720</v>
      </c>
      <c r="O47" s="308">
        <f>+(N47/N41-1)*100</f>
        <v>5.5718475073313734</v>
      </c>
      <c r="P47" s="307">
        <v>473</v>
      </c>
      <c r="Q47" s="308">
        <f>+(P47/P41-1)*100</f>
        <v>17.661691542288558</v>
      </c>
      <c r="R47" s="307">
        <v>0</v>
      </c>
      <c r="S47" s="307"/>
      <c r="T47" s="307">
        <v>711</v>
      </c>
      <c r="U47" s="308">
        <f>+(T47/T41-1)*100</f>
        <v>-1.9310344827586201</v>
      </c>
      <c r="V47" s="307">
        <v>4</v>
      </c>
      <c r="W47" s="307"/>
      <c r="X47" s="307"/>
      <c r="Y47" s="307"/>
      <c r="Z47" s="307"/>
      <c r="AA47" s="307"/>
      <c r="AB47" s="307">
        <v>843</v>
      </c>
      <c r="AC47" s="308">
        <f>+(AB47/AB41-1)*100</f>
        <v>-3.214695752009189</v>
      </c>
      <c r="AD47" s="307">
        <v>814</v>
      </c>
      <c r="AE47" s="308">
        <f>+(AD47/AD41-1)*100</f>
        <v>-0.36719706242349659</v>
      </c>
      <c r="AF47" s="366">
        <v>0</v>
      </c>
      <c r="AG47" s="308"/>
      <c r="AH47" s="366">
        <v>240</v>
      </c>
      <c r="AI47" s="308">
        <f>+(AH47/AH41-1)*100</f>
        <v>30.434782608695656</v>
      </c>
      <c r="AJ47" s="366">
        <v>117</v>
      </c>
      <c r="AK47" s="308">
        <f>+(AJ47/AJ41-1)*100</f>
        <v>7.3394495412844041</v>
      </c>
      <c r="AL47" s="366">
        <v>72</v>
      </c>
      <c r="AM47" s="308">
        <f>+(AL47/AL41-1)*100</f>
        <v>43.999999999999993</v>
      </c>
      <c r="AN47" s="366">
        <v>4</v>
      </c>
      <c r="AO47" s="308">
        <f>+(AN47/AN41-1)*100</f>
        <v>-42.857142857142861</v>
      </c>
      <c r="AP47" s="30"/>
      <c r="AQ47" s="451">
        <f>+J47+L47+N47+P47+R47+T47+V47+AB47+AD47+AF47+AH47+AJ47+AL47+AN47</f>
        <v>4954</v>
      </c>
      <c r="AR47" s="308">
        <f>+(AQ47/AQ41-1)*100</f>
        <v>6.7442361560008601</v>
      </c>
      <c r="AS47" s="307"/>
      <c r="AT47" s="30" t="str">
        <f>+A47</f>
        <v>1Q</v>
      </c>
      <c r="AU47" s="30" t="str">
        <f>+B47</f>
        <v>Apr</v>
      </c>
      <c r="AV47" s="30"/>
      <c r="AW47" s="307"/>
      <c r="AX47" s="315"/>
      <c r="AY47" s="315"/>
      <c r="AZ47" s="307"/>
      <c r="BA47" s="307"/>
      <c r="BB47" s="315"/>
      <c r="BC47" s="307"/>
      <c r="BD47" s="307"/>
      <c r="BE47" s="307"/>
      <c r="BF47" s="315"/>
      <c r="BG47" s="309"/>
      <c r="BH47" s="307"/>
      <c r="BI47" s="307"/>
      <c r="BJ47" s="315"/>
      <c r="BK47" s="307"/>
      <c r="BL47" s="307"/>
      <c r="BM47" s="307"/>
      <c r="BN47" s="315"/>
      <c r="BO47" s="307"/>
      <c r="BP47" s="307"/>
      <c r="BQ47" s="307"/>
      <c r="BR47" s="307"/>
      <c r="BS47" s="315"/>
      <c r="BT47" s="307"/>
      <c r="BU47" s="307"/>
      <c r="BV47" s="307"/>
      <c r="BW47" s="307"/>
      <c r="BX47" s="315"/>
      <c r="BY47" s="307"/>
      <c r="BZ47" s="307"/>
      <c r="CA47" s="307"/>
      <c r="CB47" s="307"/>
      <c r="CC47" s="315"/>
      <c r="CD47" s="307"/>
      <c r="CE47" s="307"/>
      <c r="CF47" s="307"/>
      <c r="CG47" s="307"/>
      <c r="CH47" s="315"/>
      <c r="CI47" s="307"/>
      <c r="CJ47" s="307"/>
      <c r="CK47" s="307"/>
      <c r="CL47" s="315"/>
      <c r="CM47" s="307"/>
      <c r="CN47" s="307"/>
      <c r="CO47" s="315"/>
      <c r="CP47" s="307"/>
      <c r="CQ47" s="307"/>
      <c r="CR47" s="315"/>
      <c r="CS47" s="307"/>
      <c r="CT47" s="307"/>
      <c r="CU47" s="315"/>
      <c r="CV47" s="307"/>
      <c r="CW47" s="307"/>
      <c r="CX47" s="315"/>
      <c r="CY47" s="307"/>
      <c r="CZ47" s="307"/>
      <c r="DA47" s="315"/>
      <c r="DB47" s="307"/>
      <c r="DC47" s="307"/>
      <c r="DD47" s="315"/>
      <c r="DE47" s="307"/>
      <c r="DF47" s="307"/>
      <c r="DG47" s="315"/>
      <c r="DH47" s="328">
        <f t="shared" ref="DH47:DI50" si="7">+BG47+BK47+BT47+BY47+CD47+CI47+BO47+CP47+CS47+CV47+CY47+DB47+DE47</f>
        <v>0</v>
      </c>
      <c r="DI47" s="328">
        <f t="shared" si="7"/>
        <v>0</v>
      </c>
      <c r="DJ47" s="328"/>
      <c r="DK47" s="328"/>
      <c r="DL47" s="328"/>
    </row>
    <row r="48" spans="1:116" hidden="1" outlineLevel="1">
      <c r="A48" s="30" t="str">
        <f>+qtrSales!A62</f>
        <v>2Q</v>
      </c>
      <c r="B48" s="30" t="str">
        <f>+qtrSales!B62</f>
        <v>Jul</v>
      </c>
      <c r="C48" s="30"/>
      <c r="D48" s="307">
        <v>629</v>
      </c>
      <c r="E48" s="308">
        <f>+(D48/D42-1)*100</f>
        <v>8.8235294117646959</v>
      </c>
      <c r="F48" s="307">
        <v>0</v>
      </c>
      <c r="G48" s="307"/>
      <c r="H48" s="307"/>
      <c r="I48" s="307"/>
      <c r="J48" s="309">
        <f>+D48+F48</f>
        <v>629</v>
      </c>
      <c r="K48" s="308">
        <f>+(J48/J42-1)*100</f>
        <v>8.8235294117646959</v>
      </c>
      <c r="L48" s="307">
        <v>383</v>
      </c>
      <c r="M48" s="308">
        <f>+(L48/L42-1)*100</f>
        <v>56.967213114754102</v>
      </c>
      <c r="N48" s="307">
        <v>722</v>
      </c>
      <c r="O48" s="308">
        <f>+(N48/N42-1)*100</f>
        <v>4.6376811594202927</v>
      </c>
      <c r="P48" s="307">
        <v>481</v>
      </c>
      <c r="Q48" s="308">
        <f>+(P48/P42-1)*100</f>
        <v>15.34772182254196</v>
      </c>
      <c r="R48" s="307">
        <v>0</v>
      </c>
      <c r="S48" s="307"/>
      <c r="T48" s="307">
        <v>712</v>
      </c>
      <c r="U48" s="308">
        <f>+(T48/T42-1)*100</f>
        <v>-1.9283746556473802</v>
      </c>
      <c r="V48" s="307">
        <v>4</v>
      </c>
      <c r="W48" s="307"/>
      <c r="X48" s="307"/>
      <c r="Y48" s="307"/>
      <c r="Z48" s="307"/>
      <c r="AA48" s="307"/>
      <c r="AB48" s="307">
        <v>838</v>
      </c>
      <c r="AC48" s="308">
        <f>+(AB48/AB42-1)*100</f>
        <v>-3.009259259259256</v>
      </c>
      <c r="AD48" s="307">
        <v>815</v>
      </c>
      <c r="AE48" s="308">
        <f>+(AD48/AD42-1)*100</f>
        <v>0</v>
      </c>
      <c r="AF48" s="366">
        <v>6</v>
      </c>
      <c r="AG48" s="308"/>
      <c r="AH48" s="366">
        <v>261</v>
      </c>
      <c r="AI48" s="308">
        <f>+(AH48/AH42-1)*100</f>
        <v>40.322580645161295</v>
      </c>
      <c r="AJ48" s="366">
        <v>116</v>
      </c>
      <c r="AK48" s="308">
        <f>+(AJ48/AJ42-1)*100</f>
        <v>6.4220183486238591</v>
      </c>
      <c r="AL48" s="366">
        <v>77</v>
      </c>
      <c r="AM48" s="308">
        <f>+(AL48/AL42-1)*100</f>
        <v>37.5</v>
      </c>
      <c r="AN48" s="366">
        <v>4</v>
      </c>
      <c r="AO48" s="308">
        <f>+(AN48/AN42-1)*100</f>
        <v>-42.857142857142861</v>
      </c>
      <c r="AP48" s="30"/>
      <c r="AQ48" s="451">
        <f>+J48+L48+N48+P48+R48+T48+V48+AB48+AD48+AF48+AH48+AJ48+AL48+AN48</f>
        <v>5048</v>
      </c>
      <c r="AR48" s="308">
        <f>+(AQ48/AQ42-1)*100</f>
        <v>7.4957410562180637</v>
      </c>
      <c r="AS48" s="307"/>
      <c r="AT48" s="30" t="str">
        <f>+A48</f>
        <v>2Q</v>
      </c>
      <c r="AU48" s="30" t="str">
        <f>+B48</f>
        <v>Jul</v>
      </c>
      <c r="AV48" s="30"/>
      <c r="AW48" s="307"/>
      <c r="AX48" s="307"/>
      <c r="AY48" s="308"/>
      <c r="AZ48" s="307"/>
      <c r="BA48" s="307"/>
      <c r="BB48" s="308"/>
      <c r="BC48" s="307"/>
      <c r="BD48" s="307"/>
      <c r="BE48" s="307"/>
      <c r="BF48" s="308"/>
      <c r="BG48" s="328"/>
      <c r="BH48" s="328"/>
      <c r="BI48" s="328"/>
      <c r="BJ48" s="315"/>
      <c r="BK48" s="307"/>
      <c r="BL48" s="307"/>
      <c r="BM48" s="307"/>
      <c r="BN48" s="315"/>
      <c r="BO48" s="307"/>
      <c r="BP48" s="307"/>
      <c r="BQ48" s="307"/>
      <c r="BR48" s="307"/>
      <c r="BS48" s="315"/>
      <c r="BT48" s="307"/>
      <c r="BU48" s="307"/>
      <c r="BV48" s="307"/>
      <c r="BW48" s="307"/>
      <c r="BX48" s="315"/>
      <c r="BY48" s="307"/>
      <c r="BZ48" s="307"/>
      <c r="CA48" s="307"/>
      <c r="CB48" s="307"/>
      <c r="CC48" s="315"/>
      <c r="CD48" s="307"/>
      <c r="CE48" s="307"/>
      <c r="CF48" s="307"/>
      <c r="CG48" s="307"/>
      <c r="CH48" s="315"/>
      <c r="CI48" s="307"/>
      <c r="CJ48" s="307"/>
      <c r="CK48" s="307"/>
      <c r="CL48" s="315"/>
      <c r="CM48" s="307"/>
      <c r="CN48" s="307"/>
      <c r="CO48" s="315"/>
      <c r="CP48" s="307"/>
      <c r="CQ48" s="307"/>
      <c r="CR48" s="315"/>
      <c r="CS48" s="307"/>
      <c r="CT48" s="307"/>
      <c r="CU48" s="315"/>
      <c r="CV48" s="307"/>
      <c r="CW48" s="307"/>
      <c r="CX48" s="315"/>
      <c r="CY48" s="307"/>
      <c r="CZ48" s="307"/>
      <c r="DA48" s="315"/>
      <c r="DB48" s="307"/>
      <c r="DC48" s="307"/>
      <c r="DD48" s="315"/>
      <c r="DE48" s="307"/>
      <c r="DF48" s="307"/>
      <c r="DG48" s="315"/>
      <c r="DH48" s="328">
        <f t="shared" si="7"/>
        <v>0</v>
      </c>
      <c r="DI48" s="328">
        <f t="shared" si="7"/>
        <v>0</v>
      </c>
      <c r="DJ48" s="328"/>
      <c r="DK48" s="328"/>
      <c r="DL48" s="328"/>
    </row>
    <row r="49" spans="1:116" hidden="1" outlineLevel="1">
      <c r="A49" s="30" t="str">
        <f>+qtrSales!A63</f>
        <v>3Q</v>
      </c>
      <c r="B49" s="30" t="str">
        <f>+qtrSales!B63</f>
        <v>Oct</v>
      </c>
      <c r="C49" s="30"/>
      <c r="D49" s="307">
        <v>659</v>
      </c>
      <c r="E49" s="308">
        <f>+(D49/D43-1)*100</f>
        <v>10.942760942760943</v>
      </c>
      <c r="F49" s="307">
        <v>0</v>
      </c>
      <c r="G49" s="307"/>
      <c r="H49" s="307"/>
      <c r="I49" s="307"/>
      <c r="J49" s="309">
        <f>+D49+F49</f>
        <v>659</v>
      </c>
      <c r="K49" s="308">
        <f>+(J49/J43-1)*100</f>
        <v>10.942760942760943</v>
      </c>
      <c r="L49" s="307">
        <v>450</v>
      </c>
      <c r="M49" s="308">
        <f>+(L49/L43-1)*100</f>
        <v>57.342657342657333</v>
      </c>
      <c r="N49" s="307">
        <v>734</v>
      </c>
      <c r="O49" s="308">
        <f>+(N49/N43-1)*100</f>
        <v>4.409672830725464</v>
      </c>
      <c r="P49" s="307">
        <v>499</v>
      </c>
      <c r="Q49" s="308">
        <f>+(P49/P43-1)*100</f>
        <v>13.151927437641731</v>
      </c>
      <c r="R49" s="307">
        <v>0</v>
      </c>
      <c r="S49" s="307"/>
      <c r="T49" s="307">
        <v>702</v>
      </c>
      <c r="U49" s="308">
        <f>+(T49/T43-1)*100</f>
        <v>-3.8356164383561597</v>
      </c>
      <c r="V49" s="307">
        <v>4</v>
      </c>
      <c r="W49" s="307"/>
      <c r="X49" s="307"/>
      <c r="Y49" s="307"/>
      <c r="Z49" s="307"/>
      <c r="AA49" s="307"/>
      <c r="AB49" s="307">
        <v>843</v>
      </c>
      <c r="AC49" s="308">
        <f>+(AB49/AB43-1)*100</f>
        <v>-2.0905923344947785</v>
      </c>
      <c r="AD49" s="307">
        <v>824</v>
      </c>
      <c r="AE49" s="308">
        <f>+(AD49/AD43-1)*100</f>
        <v>0.73349633251833524</v>
      </c>
      <c r="AF49" s="366">
        <v>6</v>
      </c>
      <c r="AG49" s="308"/>
      <c r="AH49" s="366">
        <v>284</v>
      </c>
      <c r="AI49" s="308">
        <f>+(AH49/AH43-1)*100</f>
        <v>37.864077669902919</v>
      </c>
      <c r="AJ49" s="366">
        <v>119</v>
      </c>
      <c r="AK49" s="308">
        <f>+(AJ49/AJ43-1)*100</f>
        <v>3.4782608695652195</v>
      </c>
      <c r="AL49" s="366">
        <v>86</v>
      </c>
      <c r="AM49" s="308">
        <f>+(AL49/AL43-1)*100</f>
        <v>40.983606557377051</v>
      </c>
      <c r="AN49" s="366">
        <v>4</v>
      </c>
      <c r="AO49" s="308">
        <f>+(AN49/AN43-1)*100</f>
        <v>-33.333333333333336</v>
      </c>
      <c r="AP49" s="30"/>
      <c r="AQ49" s="451">
        <f>+J49+L49+N49+P49+R49+T49+V49+AB49+AD49+AF49+AH49+AJ49+AL49+AN49</f>
        <v>5214</v>
      </c>
      <c r="AR49" s="308">
        <f>+(AQ49/AQ43-1)*100</f>
        <v>8.0621761658031144</v>
      </c>
      <c r="AS49" s="307"/>
      <c r="AT49" s="30" t="str">
        <f>+A49</f>
        <v>3Q</v>
      </c>
      <c r="AU49" s="30" t="str">
        <f>+B49</f>
        <v>Oct</v>
      </c>
      <c r="AV49" s="30"/>
      <c r="AW49" s="307"/>
      <c r="AX49" s="315"/>
      <c r="AY49" s="315"/>
      <c r="AZ49" s="307"/>
      <c r="BA49" s="307"/>
      <c r="BB49" s="315"/>
      <c r="BC49" s="307"/>
      <c r="BD49" s="307"/>
      <c r="BE49" s="307"/>
      <c r="BF49" s="315"/>
      <c r="BG49" s="309"/>
      <c r="BH49" s="307"/>
      <c r="BI49" s="307"/>
      <c r="BJ49" s="315"/>
      <c r="BK49" s="307"/>
      <c r="BL49" s="307"/>
      <c r="BM49" s="307"/>
      <c r="BN49" s="315"/>
      <c r="BO49" s="307"/>
      <c r="BP49" s="307"/>
      <c r="BQ49" s="307"/>
      <c r="BR49" s="307"/>
      <c r="BS49" s="315"/>
      <c r="BT49" s="307"/>
      <c r="BU49" s="307"/>
      <c r="BV49" s="307"/>
      <c r="BW49" s="307"/>
      <c r="BX49" s="315"/>
      <c r="BY49" s="307"/>
      <c r="BZ49" s="307"/>
      <c r="CA49" s="307"/>
      <c r="CB49" s="307"/>
      <c r="CC49" s="315"/>
      <c r="CD49" s="307"/>
      <c r="CE49" s="307"/>
      <c r="CF49" s="307"/>
      <c r="CG49" s="307"/>
      <c r="CH49" s="315"/>
      <c r="CI49" s="307"/>
      <c r="CJ49" s="307"/>
      <c r="CK49" s="307"/>
      <c r="CL49" s="315"/>
      <c r="CM49" s="307"/>
      <c r="CN49" s="307"/>
      <c r="CO49" s="315"/>
      <c r="CP49" s="307"/>
      <c r="CQ49" s="307"/>
      <c r="CR49" s="315"/>
      <c r="CS49" s="307"/>
      <c r="CT49" s="307"/>
      <c r="CU49" s="315"/>
      <c r="CV49" s="307"/>
      <c r="CW49" s="307"/>
      <c r="CX49" s="315"/>
      <c r="CY49" s="307"/>
      <c r="CZ49" s="307"/>
      <c r="DA49" s="315"/>
      <c r="DB49" s="307"/>
      <c r="DC49" s="307"/>
      <c r="DD49" s="315"/>
      <c r="DE49" s="307"/>
      <c r="DF49" s="307"/>
      <c r="DG49" s="315"/>
      <c r="DH49" s="328">
        <f t="shared" si="7"/>
        <v>0</v>
      </c>
      <c r="DI49" s="328">
        <f t="shared" si="7"/>
        <v>0</v>
      </c>
      <c r="DJ49" s="328"/>
      <c r="DK49" s="328"/>
      <c r="DL49" s="328"/>
    </row>
    <row r="50" spans="1:116" hidden="1" outlineLevel="1">
      <c r="A50" s="30" t="str">
        <f>+qtrSales!A64</f>
        <v>4Q</v>
      </c>
      <c r="B50" s="30" t="str">
        <f>+qtrSales!B64</f>
        <v>Jan</v>
      </c>
      <c r="C50" s="30"/>
      <c r="D50" s="307">
        <v>671</v>
      </c>
      <c r="E50" s="308">
        <f>+(D50/D44-1)*100</f>
        <v>11.647254575707144</v>
      </c>
      <c r="F50" s="307">
        <v>0</v>
      </c>
      <c r="G50" s="307"/>
      <c r="H50" s="307"/>
      <c r="I50" s="307"/>
      <c r="J50" s="309">
        <f>+D50+F50</f>
        <v>671</v>
      </c>
      <c r="K50" s="308">
        <f>+(J50/J44-1)*100</f>
        <v>11.647254575707144</v>
      </c>
      <c r="L50" s="307">
        <v>498</v>
      </c>
      <c r="M50" s="308">
        <f>+(L50/L44-1)*100</f>
        <v>56.603773584905667</v>
      </c>
      <c r="N50" s="307">
        <v>737</v>
      </c>
      <c r="O50" s="308">
        <f>+(N50/N44-1)*100</f>
        <v>2.9329608938547524</v>
      </c>
      <c r="P50" s="307">
        <v>518</v>
      </c>
      <c r="Q50" s="308">
        <f>+(P50/P44-1)*100</f>
        <v>11.158798283261806</v>
      </c>
      <c r="R50" s="307">
        <v>0</v>
      </c>
      <c r="S50" s="307"/>
      <c r="T50" s="307">
        <v>689</v>
      </c>
      <c r="U50" s="308">
        <f>+(T50/T44-1)*100</f>
        <v>-2.8208744710860323</v>
      </c>
      <c r="V50" s="307">
        <v>4</v>
      </c>
      <c r="W50" s="307"/>
      <c r="X50" s="307"/>
      <c r="Y50" s="307"/>
      <c r="Z50" s="307"/>
      <c r="AA50" s="307"/>
      <c r="AB50" s="307">
        <v>835</v>
      </c>
      <c r="AC50" s="308">
        <f>+(AB50/AB44-1)*100</f>
        <v>-1.3002364066193817</v>
      </c>
      <c r="AD50" s="307">
        <v>828</v>
      </c>
      <c r="AE50" s="308">
        <f>+(AD50/AD44-1)*100</f>
        <v>1.9704433497536922</v>
      </c>
      <c r="AF50" s="366">
        <v>6</v>
      </c>
      <c r="AG50" s="308"/>
      <c r="AH50" s="366">
        <v>288</v>
      </c>
      <c r="AI50" s="308">
        <f>+(AH50/AH44-1)*100</f>
        <v>37.142857142857146</v>
      </c>
      <c r="AJ50" s="366">
        <v>120</v>
      </c>
      <c r="AK50" s="308">
        <f>+(AJ50/AJ44-1)*100</f>
        <v>5.2631578947368363</v>
      </c>
      <c r="AL50" s="366">
        <v>100</v>
      </c>
      <c r="AM50" s="308">
        <f>+(AL50/AL44-1)*100</f>
        <v>49.25373134328359</v>
      </c>
      <c r="AN50" s="366">
        <v>4</v>
      </c>
      <c r="AO50" s="308">
        <f>+(AN50/AN44-1)*100</f>
        <v>0</v>
      </c>
      <c r="AP50" s="30"/>
      <c r="AQ50" s="451">
        <f>+J50+L50+N50+P50+R50+T50+V50+AB50+AD50+AF50+AH50+AJ50+AL50+AN50</f>
        <v>5298</v>
      </c>
      <c r="AR50" s="308">
        <f>+(AQ50/AQ44-1)*100</f>
        <v>8.8555578385042022</v>
      </c>
      <c r="AS50" s="307"/>
      <c r="AT50" s="30" t="str">
        <f>+A50</f>
        <v>4Q</v>
      </c>
      <c r="AU50" s="30" t="str">
        <f>+B50</f>
        <v>Jan</v>
      </c>
      <c r="AV50" s="30"/>
      <c r="AW50" s="307"/>
      <c r="AX50" s="315"/>
      <c r="AY50" s="315"/>
      <c r="AZ50" s="307"/>
      <c r="BA50" s="307"/>
      <c r="BB50" s="315"/>
      <c r="BC50" s="307"/>
      <c r="BD50" s="307"/>
      <c r="BE50" s="307"/>
      <c r="BF50" s="315"/>
      <c r="BG50" s="309"/>
      <c r="BH50" s="307"/>
      <c r="BI50" s="307"/>
      <c r="BJ50" s="315"/>
      <c r="BK50" s="307"/>
      <c r="BL50" s="307"/>
      <c r="BM50" s="307"/>
      <c r="BN50" s="315"/>
      <c r="BO50" s="307"/>
      <c r="BP50" s="307"/>
      <c r="BQ50" s="307"/>
      <c r="BR50" s="307"/>
      <c r="BS50" s="315"/>
      <c r="BT50" s="307"/>
      <c r="BU50" s="307"/>
      <c r="BV50" s="307"/>
      <c r="BW50" s="307"/>
      <c r="BX50" s="315"/>
      <c r="BY50" s="307"/>
      <c r="BZ50" s="307"/>
      <c r="CA50" s="307"/>
      <c r="CB50" s="307"/>
      <c r="CC50" s="315"/>
      <c r="CD50" s="307"/>
      <c r="CE50" s="307"/>
      <c r="CF50" s="307"/>
      <c r="CG50" s="307"/>
      <c r="CH50" s="315"/>
      <c r="CI50" s="307"/>
      <c r="CJ50" s="307"/>
      <c r="CK50" s="307"/>
      <c r="CL50" s="315"/>
      <c r="CM50" s="307"/>
      <c r="CN50" s="307"/>
      <c r="CO50" s="315"/>
      <c r="CP50" s="307"/>
      <c r="CQ50" s="307"/>
      <c r="CR50" s="315"/>
      <c r="CS50" s="307"/>
      <c r="CT50" s="307"/>
      <c r="CU50" s="315"/>
      <c r="CV50" s="307"/>
      <c r="CW50" s="307"/>
      <c r="CX50" s="315"/>
      <c r="CY50" s="307"/>
      <c r="CZ50" s="307"/>
      <c r="DA50" s="315"/>
      <c r="DB50" s="307"/>
      <c r="DC50" s="307"/>
      <c r="DD50" s="315"/>
      <c r="DE50" s="307"/>
      <c r="DF50" s="307"/>
      <c r="DG50" s="315"/>
      <c r="DH50" s="338">
        <f t="shared" si="7"/>
        <v>0</v>
      </c>
      <c r="DI50" s="338">
        <f t="shared" si="7"/>
        <v>0</v>
      </c>
      <c r="DJ50" s="328"/>
      <c r="DK50" s="328"/>
      <c r="DL50" s="328"/>
    </row>
    <row r="51" spans="1:116" hidden="1" outlineLevel="1">
      <c r="A51" s="30"/>
      <c r="B51" s="30"/>
      <c r="C51" s="30"/>
      <c r="D51" s="30"/>
      <c r="E51" s="310"/>
      <c r="F51" s="30"/>
      <c r="G51" s="30"/>
      <c r="H51" s="30"/>
      <c r="I51" s="30"/>
      <c r="J51" s="30"/>
      <c r="K51" s="30"/>
      <c r="L51" s="30"/>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253"/>
      <c r="AO51" s="30"/>
      <c r="AP51" s="30"/>
      <c r="AQ51" s="451"/>
      <c r="AR51" s="30"/>
      <c r="AS51" s="30"/>
      <c r="AT51" s="30"/>
      <c r="AU51" s="30"/>
      <c r="AV51" s="30"/>
      <c r="AW51" s="30"/>
      <c r="AX51" s="310"/>
      <c r="AY51" s="310"/>
      <c r="AZ51" s="30"/>
      <c r="BA51" s="30"/>
      <c r="BB51" s="310"/>
      <c r="BC51" s="30"/>
      <c r="BD51" s="30"/>
      <c r="BE51" s="30"/>
      <c r="BF51" s="310"/>
      <c r="BG51" s="30"/>
      <c r="BH51" s="30"/>
      <c r="BI51" s="30"/>
      <c r="BJ51" s="310"/>
      <c r="BK51" s="30"/>
      <c r="BL51" s="30"/>
      <c r="BM51" s="30"/>
      <c r="BN51" s="310"/>
      <c r="BO51" s="30"/>
      <c r="BP51" s="30"/>
      <c r="BQ51" s="30"/>
      <c r="BR51" s="30"/>
      <c r="BS51" s="310"/>
      <c r="BT51" s="30"/>
      <c r="BU51" s="30"/>
      <c r="BV51" s="30"/>
      <c r="BW51" s="30"/>
      <c r="BX51" s="310"/>
      <c r="BY51" s="30"/>
      <c r="BZ51" s="30"/>
      <c r="CA51" s="30"/>
      <c r="CB51" s="30"/>
      <c r="CC51" s="310"/>
      <c r="CD51" s="30"/>
      <c r="CE51" s="30"/>
      <c r="CF51" s="30"/>
      <c r="CG51" s="30"/>
      <c r="CH51" s="310"/>
      <c r="CI51" s="30"/>
      <c r="CJ51" s="30"/>
      <c r="CK51" s="30"/>
      <c r="CL51" s="310"/>
      <c r="CM51" s="30"/>
      <c r="CN51" s="30"/>
      <c r="CO51" s="310"/>
      <c r="CP51" s="30"/>
      <c r="CQ51" s="30"/>
      <c r="CR51" s="310"/>
      <c r="CS51" s="30"/>
      <c r="CT51" s="30"/>
      <c r="CU51" s="310"/>
      <c r="CV51" s="30"/>
      <c r="CW51" s="30"/>
      <c r="CX51" s="310"/>
      <c r="CY51" s="30"/>
      <c r="CZ51" s="30"/>
      <c r="DA51" s="310"/>
      <c r="DB51" s="30"/>
      <c r="DC51" s="30"/>
      <c r="DD51" s="310"/>
      <c r="DE51" s="30"/>
      <c r="DF51" s="30"/>
      <c r="DG51" s="310"/>
      <c r="DH51" s="309">
        <f>+SUM(DH47:DH50)</f>
        <v>0</v>
      </c>
      <c r="DI51" s="328">
        <f>+SUM(DI47:DI50)</f>
        <v>0</v>
      </c>
      <c r="DJ51" s="328"/>
      <c r="DK51" s="328"/>
      <c r="DL51" s="328"/>
    </row>
    <row r="52" spans="1:116" hidden="1" outlineLevel="1">
      <c r="A52" s="301"/>
      <c r="B52" s="312">
        <f>+qtrSales!B60</f>
        <v>1996</v>
      </c>
      <c r="C52" s="30"/>
      <c r="D52" s="30"/>
      <c r="E52" s="310"/>
      <c r="F52" s="30"/>
      <c r="G52" s="30"/>
      <c r="H52" s="30"/>
      <c r="I52" s="30"/>
      <c r="J52" s="30"/>
      <c r="K52" s="30"/>
      <c r="L52" s="30"/>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253"/>
      <c r="AO52" s="30"/>
      <c r="AP52" s="30"/>
      <c r="AQ52" s="451"/>
      <c r="AR52" s="30"/>
      <c r="AS52" s="30"/>
      <c r="AT52" s="141"/>
      <c r="AU52" s="27">
        <f>+B52</f>
        <v>1996</v>
      </c>
      <c r="AV52" s="30"/>
      <c r="AW52" s="30"/>
      <c r="AX52" s="310"/>
      <c r="AY52" s="310"/>
      <c r="AZ52" s="30"/>
      <c r="BA52" s="30"/>
      <c r="BB52" s="310"/>
      <c r="BC52" s="30"/>
      <c r="BD52" s="30"/>
      <c r="BE52" s="30"/>
      <c r="BF52" s="310"/>
      <c r="BG52" s="30"/>
      <c r="BH52" s="30"/>
      <c r="BI52" s="30"/>
      <c r="BJ52" s="310"/>
      <c r="BK52" s="30"/>
      <c r="BL52" s="30"/>
      <c r="BM52" s="30"/>
      <c r="BN52" s="310"/>
      <c r="BO52" s="30"/>
      <c r="BP52" s="30"/>
      <c r="BQ52" s="30"/>
      <c r="BR52" s="30"/>
      <c r="BS52" s="310"/>
      <c r="BT52" s="30"/>
      <c r="BU52" s="30"/>
      <c r="BV52" s="30"/>
      <c r="BW52" s="30"/>
      <c r="BX52" s="310"/>
      <c r="BY52" s="30"/>
      <c r="BZ52" s="30"/>
      <c r="CA52" s="30"/>
      <c r="CB52" s="30"/>
      <c r="CC52" s="310"/>
      <c r="CD52" s="30"/>
      <c r="CE52" s="30"/>
      <c r="CF52" s="30"/>
      <c r="CG52" s="30"/>
      <c r="CH52" s="310"/>
      <c r="CI52" s="30"/>
      <c r="CJ52" s="30"/>
      <c r="CK52" s="30"/>
      <c r="CL52" s="310"/>
      <c r="CM52" s="30"/>
      <c r="CN52" s="30"/>
      <c r="CO52" s="310"/>
      <c r="CP52" s="30"/>
      <c r="CQ52" s="30"/>
      <c r="CR52" s="310"/>
      <c r="CS52" s="30"/>
      <c r="CT52" s="30"/>
      <c r="CU52" s="310"/>
      <c r="CV52" s="30"/>
      <c r="CW52" s="30"/>
      <c r="CX52" s="310"/>
      <c r="CY52" s="30"/>
      <c r="CZ52" s="30"/>
      <c r="DA52" s="310"/>
      <c r="DB52" s="30"/>
      <c r="DC52" s="30"/>
      <c r="DD52" s="310"/>
      <c r="DE52" s="30"/>
      <c r="DF52" s="30"/>
      <c r="DG52" s="310"/>
      <c r="DH52" s="30"/>
      <c r="DI52" s="30"/>
      <c r="DJ52" s="30"/>
      <c r="DK52" s="30"/>
      <c r="DL52" s="30"/>
    </row>
    <row r="53" spans="1:116" hidden="1" outlineLevel="1">
      <c r="A53" s="30" t="str">
        <f>+qtrSales!A68</f>
        <v>1Q</v>
      </c>
      <c r="B53" s="30" t="str">
        <f>+qtrSales!B68</f>
        <v>Apr</v>
      </c>
      <c r="C53" s="30"/>
      <c r="D53" s="307">
        <v>682</v>
      </c>
      <c r="E53" s="308">
        <f>+(D53/D47-1)*100</f>
        <v>11.986863711001639</v>
      </c>
      <c r="F53" s="307">
        <v>1</v>
      </c>
      <c r="G53" s="323"/>
      <c r="H53" s="323"/>
      <c r="I53" s="323"/>
      <c r="J53" s="309">
        <f>+D53+F53</f>
        <v>683</v>
      </c>
      <c r="K53" s="308">
        <f>+(J53/J47-1)*100</f>
        <v>12.151067323481124</v>
      </c>
      <c r="L53" s="307">
        <v>528</v>
      </c>
      <c r="M53" s="308">
        <f>+(L53/L47-1)*100</f>
        <v>52.161383285302598</v>
      </c>
      <c r="N53" s="307">
        <v>744</v>
      </c>
      <c r="O53" s="308">
        <f>+(N53/N47-1)*100</f>
        <v>3.3333333333333437</v>
      </c>
      <c r="P53" s="307">
        <v>524</v>
      </c>
      <c r="Q53" s="308">
        <f>+(P53/P47-1)*100</f>
        <v>10.782241014799165</v>
      </c>
      <c r="R53" s="307">
        <v>0</v>
      </c>
      <c r="S53" s="308"/>
      <c r="T53" s="307">
        <v>684</v>
      </c>
      <c r="U53" s="308">
        <f>+(T53/T47-1)*100</f>
        <v>-3.7974683544303778</v>
      </c>
      <c r="V53" s="307">
        <v>4</v>
      </c>
      <c r="W53" s="317">
        <f>+(V53/V47-1)*100</f>
        <v>0</v>
      </c>
      <c r="X53" s="317"/>
      <c r="Y53" s="317"/>
      <c r="Z53" s="307"/>
      <c r="AA53" s="317"/>
      <c r="AB53" s="307">
        <v>820</v>
      </c>
      <c r="AC53" s="308">
        <f>+(AB53/AB47-1)*100</f>
        <v>-2.7283511269276417</v>
      </c>
      <c r="AD53" s="307">
        <v>833</v>
      </c>
      <c r="AE53" s="308">
        <f>+(AD53/AD47-1)*100</f>
        <v>2.3341523341523285</v>
      </c>
      <c r="AF53" s="366">
        <v>6</v>
      </c>
      <c r="AG53" s="367" t="s">
        <v>886</v>
      </c>
      <c r="AH53" s="366">
        <v>299</v>
      </c>
      <c r="AI53" s="308">
        <f>+(AH53/AH47-1)*100</f>
        <v>24.583333333333336</v>
      </c>
      <c r="AJ53" s="366">
        <v>121</v>
      </c>
      <c r="AK53" s="308">
        <f>+(AJ53/AJ47-1)*100</f>
        <v>3.4188034188034289</v>
      </c>
      <c r="AL53" s="366">
        <v>102</v>
      </c>
      <c r="AM53" s="308">
        <f>+(AL53/AL47-1)*100</f>
        <v>41.666666666666671</v>
      </c>
      <c r="AN53" s="366">
        <v>4</v>
      </c>
      <c r="AO53" s="308">
        <f>+(AN53/AN47-1)*100</f>
        <v>0</v>
      </c>
      <c r="AP53" s="30"/>
      <c r="AQ53" s="451">
        <f>+J53+L53+N53+P53+R53+T53+V53+AB53+AD53+AF53+AH53+AJ53+AL53+AN53</f>
        <v>5352</v>
      </c>
      <c r="AR53" s="308">
        <f>+(AQ53/AQ47-1)*100</f>
        <v>8.0339119903108482</v>
      </c>
      <c r="AS53" s="308"/>
      <c r="AT53" s="30" t="str">
        <f>+A53</f>
        <v>1Q</v>
      </c>
      <c r="AU53" s="30" t="str">
        <f>+B53</f>
        <v>Apr</v>
      </c>
      <c r="AV53" s="30"/>
      <c r="AW53" s="307"/>
      <c r="AX53" s="307"/>
      <c r="AY53" s="308"/>
      <c r="AZ53" s="307"/>
      <c r="BA53" s="307"/>
      <c r="BB53" s="308"/>
      <c r="BC53" s="307"/>
      <c r="BD53" s="307"/>
      <c r="BE53" s="307"/>
      <c r="BF53" s="308"/>
      <c r="BG53" s="328"/>
      <c r="BH53" s="328"/>
      <c r="BI53" s="328"/>
      <c r="BJ53" s="308"/>
      <c r="BK53" s="307"/>
      <c r="BL53" s="307"/>
      <c r="BM53" s="307"/>
      <c r="BN53" s="308"/>
      <c r="BO53" s="307"/>
      <c r="BP53" s="307"/>
      <c r="BQ53" s="307"/>
      <c r="BR53" s="307"/>
      <c r="BS53" s="308"/>
      <c r="BT53" s="307"/>
      <c r="BU53" s="307"/>
      <c r="BV53" s="307"/>
      <c r="BW53" s="307"/>
      <c r="BX53" s="308"/>
      <c r="BY53" s="307"/>
      <c r="BZ53" s="307"/>
      <c r="CA53" s="307"/>
      <c r="CB53" s="307"/>
      <c r="CC53" s="308"/>
      <c r="CD53" s="307"/>
      <c r="CE53" s="307"/>
      <c r="CF53" s="307"/>
      <c r="CG53" s="307"/>
      <c r="CH53" s="308"/>
      <c r="CI53" s="307"/>
      <c r="CJ53" s="307"/>
      <c r="CK53" s="307"/>
      <c r="CL53" s="308"/>
      <c r="CM53" s="307"/>
      <c r="CN53" s="307"/>
      <c r="CO53" s="308"/>
      <c r="CP53" s="307"/>
      <c r="CQ53" s="307"/>
      <c r="CR53" s="308"/>
      <c r="CS53" s="307"/>
      <c r="CT53" s="307"/>
      <c r="CU53" s="308"/>
      <c r="CV53" s="307"/>
      <c r="CW53" s="307"/>
      <c r="CX53" s="308"/>
      <c r="CY53" s="307"/>
      <c r="CZ53" s="307"/>
      <c r="DA53" s="308"/>
      <c r="DB53" s="307"/>
      <c r="DC53" s="307"/>
      <c r="DD53" s="308"/>
      <c r="DE53" s="307"/>
      <c r="DF53" s="307"/>
      <c r="DG53" s="308"/>
      <c r="DH53" s="328">
        <f t="shared" ref="DH53:DI56" si="8">+BG53+BK53+BT53+BY53+CD53+CI53+BO53+CP53+CS53+CV53+CY53+DB53+DE53</f>
        <v>0</v>
      </c>
      <c r="DI53" s="328">
        <f t="shared" si="8"/>
        <v>0</v>
      </c>
      <c r="DJ53" s="328"/>
      <c r="DK53" s="328"/>
      <c r="DL53" s="328"/>
    </row>
    <row r="54" spans="1:116" hidden="1" outlineLevel="1">
      <c r="A54" s="30" t="str">
        <f>+qtrSales!A69</f>
        <v>2Q</v>
      </c>
      <c r="B54" s="30" t="str">
        <f>+qtrSales!B69</f>
        <v>Jul</v>
      </c>
      <c r="C54" s="30"/>
      <c r="D54" s="307">
        <v>702</v>
      </c>
      <c r="E54" s="308">
        <f>+(D54/D48-1)*100</f>
        <v>11.605723370429244</v>
      </c>
      <c r="F54" s="307">
        <v>1</v>
      </c>
      <c r="G54" s="323"/>
      <c r="H54" s="323"/>
      <c r="I54" s="323"/>
      <c r="J54" s="309">
        <f>+D54+F54</f>
        <v>703</v>
      </c>
      <c r="K54" s="308">
        <f>+(J54/J48-1)*100</f>
        <v>11.764705882352944</v>
      </c>
      <c r="L54" s="307">
        <v>603</v>
      </c>
      <c r="M54" s="308">
        <f>+(L54/L48-1)*100</f>
        <v>57.441253263707573</v>
      </c>
      <c r="N54" s="307">
        <v>750</v>
      </c>
      <c r="O54" s="308">
        <f>+(N54/N48-1)*100</f>
        <v>3.8781163434903121</v>
      </c>
      <c r="P54" s="307">
        <v>534</v>
      </c>
      <c r="Q54" s="308">
        <f>+(P54/P48-1)*100</f>
        <v>11.018711018711013</v>
      </c>
      <c r="R54" s="307">
        <v>0</v>
      </c>
      <c r="S54" s="308"/>
      <c r="T54" s="307">
        <v>681</v>
      </c>
      <c r="U54" s="308">
        <f>+(T54/T48-1)*100</f>
        <v>-4.3539325842696597</v>
      </c>
      <c r="V54" s="307">
        <v>4</v>
      </c>
      <c r="W54" s="317">
        <f>+(V54/V48-1)*100</f>
        <v>0</v>
      </c>
      <c r="X54" s="317"/>
      <c r="Y54" s="317"/>
      <c r="Z54" s="307"/>
      <c r="AA54" s="317"/>
      <c r="AB54" s="307">
        <v>814</v>
      </c>
      <c r="AC54" s="308">
        <f>+(AB54/AB48-1)*100</f>
        <v>-2.863961813842486</v>
      </c>
      <c r="AD54" s="307">
        <v>825</v>
      </c>
      <c r="AE54" s="308">
        <f>+(AD54/AD48-1)*100</f>
        <v>1.2269938650306678</v>
      </c>
      <c r="AF54" s="366">
        <v>6</v>
      </c>
      <c r="AG54" s="308">
        <f>+(AF54/AF48-1)*100</f>
        <v>0</v>
      </c>
      <c r="AH54" s="366">
        <v>304</v>
      </c>
      <c r="AI54" s="308">
        <f>+(AH54/AH48-1)*100</f>
        <v>16.475095785440619</v>
      </c>
      <c r="AJ54" s="366">
        <v>120</v>
      </c>
      <c r="AK54" s="308">
        <f>+(AJ54/AJ48-1)*100</f>
        <v>3.4482758620689724</v>
      </c>
      <c r="AL54" s="366">
        <v>106</v>
      </c>
      <c r="AM54" s="308">
        <f>+(AL54/AL48-1)*100</f>
        <v>37.662337662337663</v>
      </c>
      <c r="AN54" s="366">
        <v>4</v>
      </c>
      <c r="AO54" s="308">
        <f>+(AN54/AN48-1)*100</f>
        <v>0</v>
      </c>
      <c r="AP54" s="30"/>
      <c r="AQ54" s="451">
        <f>+J54+L54+N54+P54+R54+T54+V54+AB54+AD54+AF54+AH54+AJ54+AL54+AN54</f>
        <v>5454</v>
      </c>
      <c r="AR54" s="308">
        <f>+(AQ54/AQ48-1)*100</f>
        <v>8.0427892234548271</v>
      </c>
      <c r="AS54" s="308"/>
      <c r="AT54" s="30" t="str">
        <f>+A54</f>
        <v>2Q</v>
      </c>
      <c r="AU54" s="30" t="str">
        <f>+B54</f>
        <v>Jul</v>
      </c>
      <c r="AV54" s="30"/>
      <c r="AW54" s="307"/>
      <c r="AX54" s="307"/>
      <c r="AY54" s="308"/>
      <c r="AZ54" s="307"/>
      <c r="BA54" s="307"/>
      <c r="BB54" s="308"/>
      <c r="BC54" s="307"/>
      <c r="BD54" s="307"/>
      <c r="BE54" s="307"/>
      <c r="BF54" s="308"/>
      <c r="BG54" s="328"/>
      <c r="BH54" s="328"/>
      <c r="BI54" s="328"/>
      <c r="BJ54" s="315"/>
      <c r="BK54" s="307"/>
      <c r="BL54" s="307"/>
      <c r="BM54" s="307"/>
      <c r="BN54" s="315"/>
      <c r="BO54" s="307"/>
      <c r="BP54" s="307"/>
      <c r="BQ54" s="307"/>
      <c r="BR54" s="307"/>
      <c r="BS54" s="315"/>
      <c r="BT54" s="307"/>
      <c r="BU54" s="307"/>
      <c r="BV54" s="307"/>
      <c r="BW54" s="307"/>
      <c r="BX54" s="315"/>
      <c r="BY54" s="307"/>
      <c r="BZ54" s="307"/>
      <c r="CA54" s="307"/>
      <c r="CB54" s="307"/>
      <c r="CC54" s="315"/>
      <c r="CD54" s="307"/>
      <c r="CE54" s="307"/>
      <c r="CF54" s="307"/>
      <c r="CG54" s="307"/>
      <c r="CH54" s="315"/>
      <c r="CI54" s="307"/>
      <c r="CJ54" s="307"/>
      <c r="CK54" s="307"/>
      <c r="CL54" s="315"/>
      <c r="CM54" s="307"/>
      <c r="CN54" s="307"/>
      <c r="CO54" s="315"/>
      <c r="CP54" s="307"/>
      <c r="CQ54" s="307"/>
      <c r="CR54" s="315"/>
      <c r="CS54" s="307"/>
      <c r="CT54" s="307"/>
      <c r="CU54" s="315"/>
      <c r="CV54" s="307"/>
      <c r="CW54" s="307"/>
      <c r="CX54" s="315"/>
      <c r="CY54" s="307"/>
      <c r="CZ54" s="307"/>
      <c r="DA54" s="315"/>
      <c r="DB54" s="307"/>
      <c r="DC54" s="307"/>
      <c r="DD54" s="315"/>
      <c r="DE54" s="307"/>
      <c r="DF54" s="307"/>
      <c r="DG54" s="308"/>
      <c r="DH54" s="328">
        <f t="shared" si="8"/>
        <v>0</v>
      </c>
      <c r="DI54" s="328">
        <f t="shared" si="8"/>
        <v>0</v>
      </c>
      <c r="DJ54" s="328"/>
      <c r="DK54" s="328"/>
      <c r="DL54" s="328"/>
    </row>
    <row r="55" spans="1:116" hidden="1" outlineLevel="1">
      <c r="A55" s="30" t="str">
        <f>+qtrSales!A70</f>
        <v>3Q</v>
      </c>
      <c r="B55" s="30" t="str">
        <f>+qtrSales!B70</f>
        <v>Oct</v>
      </c>
      <c r="C55" s="30"/>
      <c r="D55" s="307">
        <v>724</v>
      </c>
      <c r="E55" s="308">
        <f>+(D55/D49-1)*100</f>
        <v>9.8634294385432355</v>
      </c>
      <c r="F55" s="307">
        <v>2</v>
      </c>
      <c r="G55" s="323"/>
      <c r="H55" s="323"/>
      <c r="I55" s="323"/>
      <c r="J55" s="309">
        <f>+D55+F55</f>
        <v>726</v>
      </c>
      <c r="K55" s="308">
        <f>+(J55/J49-1)*100</f>
        <v>10.16691957511382</v>
      </c>
      <c r="L55" s="307">
        <v>737</v>
      </c>
      <c r="M55" s="308">
        <f>+(L55/L49-1)*100</f>
        <v>63.777777777777779</v>
      </c>
      <c r="N55" s="307">
        <v>758</v>
      </c>
      <c r="O55" s="308">
        <f>+(N55/N49-1)*100</f>
        <v>3.2697547683923744</v>
      </c>
      <c r="P55" s="307">
        <v>543</v>
      </c>
      <c r="Q55" s="308">
        <f>+(P55/P49-1)*100</f>
        <v>8.817635270541091</v>
      </c>
      <c r="R55" s="307">
        <v>0</v>
      </c>
      <c r="S55" s="308"/>
      <c r="T55" s="307">
        <v>683</v>
      </c>
      <c r="U55" s="308">
        <f>+(T55/T49-1)*100</f>
        <v>-2.7065527065527117</v>
      </c>
      <c r="V55" s="307">
        <v>6</v>
      </c>
      <c r="W55" s="317">
        <f>+(V55/V49-1)*100</f>
        <v>50</v>
      </c>
      <c r="X55" s="317"/>
      <c r="Y55" s="317"/>
      <c r="Z55" s="307"/>
      <c r="AA55" s="317"/>
      <c r="AB55" s="307">
        <v>811</v>
      </c>
      <c r="AC55" s="308">
        <f>+(AB55/AB49-1)*100</f>
        <v>-3.7959667852906276</v>
      </c>
      <c r="AD55" s="307">
        <v>830</v>
      </c>
      <c r="AE55" s="308">
        <f>+(AD55/AD49-1)*100</f>
        <v>0.72815533980583602</v>
      </c>
      <c r="AF55" s="366">
        <v>9</v>
      </c>
      <c r="AG55" s="308">
        <f>+(AF55/AF49-1)*100</f>
        <v>50</v>
      </c>
      <c r="AH55" s="366">
        <v>309</v>
      </c>
      <c r="AI55" s="308">
        <f>+(AH55/AH49-1)*100</f>
        <v>8.8028169014084501</v>
      </c>
      <c r="AJ55" s="366">
        <v>121</v>
      </c>
      <c r="AK55" s="308">
        <f>+(AJ55/AJ49-1)*100</f>
        <v>1.6806722689075571</v>
      </c>
      <c r="AL55" s="366">
        <v>119</v>
      </c>
      <c r="AM55" s="308">
        <f>+(AL55/AL49-1)*100</f>
        <v>38.372093023255815</v>
      </c>
      <c r="AN55" s="366">
        <v>4</v>
      </c>
      <c r="AO55" s="308">
        <f>+(AN55/AN49-1)*100</f>
        <v>0</v>
      </c>
      <c r="AP55" s="30"/>
      <c r="AQ55" s="451">
        <f>+J55+L55+N55+P55+R55+T55+V55+AB55+AD55+AF55+AH55+AJ55+AL55+AN55</f>
        <v>5656</v>
      </c>
      <c r="AR55" s="308">
        <f>+(AQ55/AQ49-1)*100</f>
        <v>8.4771768316072027</v>
      </c>
      <c r="AS55" s="308"/>
      <c r="AT55" s="30" t="str">
        <f>+A55</f>
        <v>3Q</v>
      </c>
      <c r="AU55" s="30" t="str">
        <f>+B55</f>
        <v>Oct</v>
      </c>
      <c r="AV55" s="30"/>
      <c r="AW55" s="307"/>
      <c r="AX55" s="307"/>
      <c r="AY55" s="308"/>
      <c r="AZ55" s="307"/>
      <c r="BA55" s="307"/>
      <c r="BB55" s="308"/>
      <c r="BC55" s="307"/>
      <c r="BD55" s="307"/>
      <c r="BE55" s="307"/>
      <c r="BF55" s="308"/>
      <c r="BG55" s="328"/>
      <c r="BH55" s="328"/>
      <c r="BI55" s="328"/>
      <c r="BJ55" s="308"/>
      <c r="BK55" s="307"/>
      <c r="BL55" s="307"/>
      <c r="BM55" s="307"/>
      <c r="BN55" s="308"/>
      <c r="BO55" s="307"/>
      <c r="BP55" s="307"/>
      <c r="BQ55" s="307"/>
      <c r="BR55" s="307"/>
      <c r="BS55" s="308"/>
      <c r="BT55" s="307"/>
      <c r="BU55" s="307"/>
      <c r="BV55" s="307"/>
      <c r="BW55" s="307"/>
      <c r="BX55" s="308"/>
      <c r="BY55" s="307"/>
      <c r="BZ55" s="307"/>
      <c r="CA55" s="307"/>
      <c r="CB55" s="307"/>
      <c r="CC55" s="308"/>
      <c r="CD55" s="307"/>
      <c r="CE55" s="307"/>
      <c r="CF55" s="307"/>
      <c r="CG55" s="307"/>
      <c r="CH55" s="308"/>
      <c r="CI55" s="307"/>
      <c r="CJ55" s="307"/>
      <c r="CK55" s="307"/>
      <c r="CL55" s="308"/>
      <c r="CM55" s="307"/>
      <c r="CN55" s="307"/>
      <c r="CO55" s="308"/>
      <c r="CP55" s="307"/>
      <c r="CQ55" s="307"/>
      <c r="CR55" s="308"/>
      <c r="CS55" s="307"/>
      <c r="CT55" s="307"/>
      <c r="CU55" s="308"/>
      <c r="CV55" s="307"/>
      <c r="CW55" s="307"/>
      <c r="CX55" s="308"/>
      <c r="CY55" s="307"/>
      <c r="CZ55" s="307"/>
      <c r="DA55" s="308"/>
      <c r="DB55" s="307"/>
      <c r="DC55" s="307"/>
      <c r="DD55" s="308"/>
      <c r="DE55" s="307"/>
      <c r="DF55" s="307"/>
      <c r="DG55" s="308"/>
      <c r="DH55" s="328">
        <f t="shared" si="8"/>
        <v>0</v>
      </c>
      <c r="DI55" s="328">
        <f t="shared" si="8"/>
        <v>0</v>
      </c>
      <c r="DJ55" s="328"/>
      <c r="DK55" s="328"/>
      <c r="DL55" s="328"/>
    </row>
    <row r="56" spans="1:116" hidden="1" outlineLevel="1">
      <c r="A56" s="30" t="str">
        <f>+qtrSales!A71</f>
        <v>4Q</v>
      </c>
      <c r="B56" s="30" t="str">
        <f>+qtrSales!B71</f>
        <v>Jan</v>
      </c>
      <c r="C56" s="30"/>
      <c r="D56" s="307">
        <v>730</v>
      </c>
      <c r="E56" s="308">
        <f>+(D56/D50-1)*100</f>
        <v>8.7928464977645291</v>
      </c>
      <c r="F56" s="307">
        <v>6</v>
      </c>
      <c r="G56" s="323"/>
      <c r="H56" s="323"/>
      <c r="I56" s="323"/>
      <c r="J56" s="309">
        <f>+D56+F56</f>
        <v>736</v>
      </c>
      <c r="K56" s="308">
        <f>+(J56/J50-1)*100</f>
        <v>9.6870342771982152</v>
      </c>
      <c r="L56" s="307">
        <v>750</v>
      </c>
      <c r="M56" s="308">
        <f>+(L56/L50-1)*100</f>
        <v>50.602409638554221</v>
      </c>
      <c r="N56" s="307">
        <v>753</v>
      </c>
      <c r="O56" s="308">
        <f>+(N56/N50-1)*100</f>
        <v>2.1709633649932059</v>
      </c>
      <c r="P56" s="307">
        <v>542</v>
      </c>
      <c r="Q56" s="308">
        <f>+(P56/P50-1)*100</f>
        <v>4.6332046332046239</v>
      </c>
      <c r="R56" s="307">
        <v>0</v>
      </c>
      <c r="S56" s="308"/>
      <c r="T56" s="307">
        <v>663</v>
      </c>
      <c r="U56" s="308">
        <f>+(T56/T50-1)*100</f>
        <v>-3.7735849056603765</v>
      </c>
      <c r="V56" s="307">
        <v>6</v>
      </c>
      <c r="W56" s="317">
        <f>+(V56/V50-1)*100</f>
        <v>50</v>
      </c>
      <c r="X56" s="317"/>
      <c r="Y56" s="317"/>
      <c r="Z56" s="307"/>
      <c r="AA56" s="317"/>
      <c r="AB56" s="307">
        <v>784</v>
      </c>
      <c r="AC56" s="308">
        <f>+(AB56/AB50-1)*100</f>
        <v>-6.1077844311377198</v>
      </c>
      <c r="AD56" s="307">
        <v>832</v>
      </c>
      <c r="AE56" s="308">
        <f>+(AD56/AD50-1)*100</f>
        <v>0.48309178743961567</v>
      </c>
      <c r="AF56" s="307">
        <v>9</v>
      </c>
      <c r="AG56" s="308">
        <f>+(AF56/AF50-1)*100</f>
        <v>50</v>
      </c>
      <c r="AH56" s="307">
        <v>308</v>
      </c>
      <c r="AI56" s="308">
        <f>+(AH56/AH50-1)*100</f>
        <v>6.944444444444442</v>
      </c>
      <c r="AJ56" s="307">
        <v>119</v>
      </c>
      <c r="AK56" s="308">
        <f>+(AJ56/AJ50-1)*100</f>
        <v>-0.83333333333333037</v>
      </c>
      <c r="AL56" s="307">
        <v>127</v>
      </c>
      <c r="AM56" s="308">
        <f>+(AL56/AL50-1)*100</f>
        <v>27</v>
      </c>
      <c r="AN56" s="366">
        <v>4</v>
      </c>
      <c r="AO56" s="308">
        <f>+(AN56/AN50-1)*100</f>
        <v>0</v>
      </c>
      <c r="AP56" s="30"/>
      <c r="AQ56" s="451">
        <f>+J56+L56+N56+P56+R56+T56+V56+AB56+AD56+AF56+AH56+AJ56+AL56+AN56</f>
        <v>5633</v>
      </c>
      <c r="AR56" s="308">
        <f>+(AQ56/AQ50-1)*100</f>
        <v>6.3231408078520124</v>
      </c>
      <c r="AS56" s="308"/>
      <c r="AT56" s="30" t="str">
        <f>+A56</f>
        <v>4Q</v>
      </c>
      <c r="AU56" s="30" t="str">
        <f>+B56</f>
        <v>Jan</v>
      </c>
      <c r="AV56" s="30"/>
      <c r="AW56" s="307"/>
      <c r="AX56" s="307"/>
      <c r="AY56" s="308"/>
      <c r="AZ56" s="307"/>
      <c r="BA56" s="307"/>
      <c r="BB56" s="308"/>
      <c r="BC56" s="307"/>
      <c r="BD56" s="307"/>
      <c r="BE56" s="307"/>
      <c r="BF56" s="308"/>
      <c r="BG56" s="328"/>
      <c r="BH56" s="328"/>
      <c r="BI56" s="328"/>
      <c r="BJ56" s="308"/>
      <c r="BK56" s="307"/>
      <c r="BL56" s="307"/>
      <c r="BM56" s="307"/>
      <c r="BN56" s="308"/>
      <c r="BO56" s="307"/>
      <c r="BP56" s="307"/>
      <c r="BQ56" s="307"/>
      <c r="BR56" s="307"/>
      <c r="BS56" s="308"/>
      <c r="BT56" s="307"/>
      <c r="BU56" s="307"/>
      <c r="BV56" s="307"/>
      <c r="BW56" s="307"/>
      <c r="BX56" s="308"/>
      <c r="BY56" s="307"/>
      <c r="BZ56" s="307"/>
      <c r="CA56" s="307"/>
      <c r="CB56" s="307"/>
      <c r="CC56" s="308"/>
      <c r="CD56" s="307"/>
      <c r="CE56" s="307"/>
      <c r="CF56" s="307"/>
      <c r="CG56" s="307"/>
      <c r="CH56" s="308"/>
      <c r="CI56" s="307"/>
      <c r="CJ56" s="307"/>
      <c r="CK56" s="307"/>
      <c r="CL56" s="308"/>
      <c r="CM56" s="307"/>
      <c r="CN56" s="307"/>
      <c r="CO56" s="308"/>
      <c r="CP56" s="307"/>
      <c r="CQ56" s="307"/>
      <c r="CR56" s="308"/>
      <c r="CS56" s="307"/>
      <c r="CT56" s="307"/>
      <c r="CU56" s="308"/>
      <c r="CV56" s="307"/>
      <c r="CW56" s="307"/>
      <c r="CX56" s="308"/>
      <c r="CY56" s="307"/>
      <c r="CZ56" s="307"/>
      <c r="DA56" s="308"/>
      <c r="DB56" s="307"/>
      <c r="DC56" s="307"/>
      <c r="DD56" s="308"/>
      <c r="DE56" s="307"/>
      <c r="DF56" s="307"/>
      <c r="DG56" s="308"/>
      <c r="DH56" s="338">
        <f t="shared" si="8"/>
        <v>0</v>
      </c>
      <c r="DI56" s="338">
        <f t="shared" si="8"/>
        <v>0</v>
      </c>
      <c r="DJ56" s="328"/>
      <c r="DK56" s="328"/>
      <c r="DL56" s="328"/>
    </row>
    <row r="57" spans="1:116" hidden="1" outlineLevel="1">
      <c r="A57" s="30"/>
      <c r="B57" s="30"/>
      <c r="C57" s="30"/>
      <c r="D57" s="30"/>
      <c r="E57" s="310"/>
      <c r="F57" s="30"/>
      <c r="G57" s="30"/>
      <c r="H57" s="30"/>
      <c r="I57" s="30"/>
      <c r="J57" s="30"/>
      <c r="K57" s="30"/>
      <c r="L57" s="30"/>
      <c r="M57" s="310"/>
      <c r="N57" s="30"/>
      <c r="O57" s="310"/>
      <c r="P57" s="30"/>
      <c r="Q57" s="310"/>
      <c r="R57" s="30"/>
      <c r="S57" s="310"/>
      <c r="T57" s="30"/>
      <c r="U57" s="310"/>
      <c r="V57" s="30"/>
      <c r="W57" s="318"/>
      <c r="X57" s="318"/>
      <c r="Y57" s="318"/>
      <c r="Z57" s="30"/>
      <c r="AA57" s="318"/>
      <c r="AB57" s="30"/>
      <c r="AC57" s="310"/>
      <c r="AD57" s="30"/>
      <c r="AE57" s="310"/>
      <c r="AF57" s="30"/>
      <c r="AG57" s="310"/>
      <c r="AH57" s="30"/>
      <c r="AI57" s="310"/>
      <c r="AJ57" s="30"/>
      <c r="AK57" s="310"/>
      <c r="AL57" s="30"/>
      <c r="AM57" s="310"/>
      <c r="AN57" s="253"/>
      <c r="AO57" s="310"/>
      <c r="AP57" s="30"/>
      <c r="AQ57" s="451"/>
      <c r="AR57" s="310"/>
      <c r="AS57" s="310"/>
      <c r="AT57" s="30"/>
      <c r="AU57" s="30"/>
      <c r="AV57" s="30"/>
      <c r="AW57" s="30"/>
      <c r="AX57" s="310"/>
      <c r="AY57" s="310"/>
      <c r="AZ57" s="30"/>
      <c r="BA57" s="30"/>
      <c r="BB57" s="310"/>
      <c r="BC57" s="30"/>
      <c r="BD57" s="30"/>
      <c r="BE57" s="30"/>
      <c r="BF57" s="310"/>
      <c r="BG57" s="30"/>
      <c r="BH57" s="30"/>
      <c r="BI57" s="30"/>
      <c r="BJ57" s="310"/>
      <c r="BK57" s="30"/>
      <c r="BL57" s="30"/>
      <c r="BM57" s="30"/>
      <c r="BN57" s="310"/>
      <c r="BO57" s="30"/>
      <c r="BP57" s="30"/>
      <c r="BQ57" s="30"/>
      <c r="BR57" s="30"/>
      <c r="BS57" s="310"/>
      <c r="BT57" s="30"/>
      <c r="BU57" s="30"/>
      <c r="BV57" s="30"/>
      <c r="BW57" s="30"/>
      <c r="BX57" s="310"/>
      <c r="BY57" s="30"/>
      <c r="BZ57" s="30"/>
      <c r="CA57" s="30"/>
      <c r="CB57" s="30"/>
      <c r="CC57" s="310"/>
      <c r="CD57" s="30"/>
      <c r="CE57" s="30"/>
      <c r="CF57" s="30"/>
      <c r="CG57" s="30"/>
      <c r="CH57" s="310"/>
      <c r="CI57" s="30"/>
      <c r="CJ57" s="30"/>
      <c r="CK57" s="30"/>
      <c r="CL57" s="310"/>
      <c r="CM57" s="30"/>
      <c r="CN57" s="30"/>
      <c r="CO57" s="310"/>
      <c r="CP57" s="30"/>
      <c r="CQ57" s="30"/>
      <c r="CR57" s="310"/>
      <c r="CS57" s="30"/>
      <c r="CT57" s="30"/>
      <c r="CU57" s="310"/>
      <c r="CV57" s="30"/>
      <c r="CW57" s="30"/>
      <c r="CX57" s="310"/>
      <c r="CY57" s="30"/>
      <c r="CZ57" s="30"/>
      <c r="DA57" s="310"/>
      <c r="DB57" s="30"/>
      <c r="DC57" s="30"/>
      <c r="DD57" s="310"/>
      <c r="DE57" s="30"/>
      <c r="DF57" s="30"/>
      <c r="DG57" s="310"/>
      <c r="DH57" s="325">
        <f>+SUM(DH53:DH56)</f>
        <v>0</v>
      </c>
      <c r="DI57" s="328">
        <f>+SUM(DI53:DI56)</f>
        <v>0</v>
      </c>
      <c r="DJ57" s="328"/>
      <c r="DK57" s="328"/>
      <c r="DL57" s="328"/>
    </row>
    <row r="58" spans="1:116" hidden="1" outlineLevel="1">
      <c r="A58" s="301"/>
      <c r="B58" s="312">
        <f>+qtrSales!B67</f>
        <v>1997</v>
      </c>
      <c r="C58" s="30"/>
      <c r="D58" s="30"/>
      <c r="E58" s="310"/>
      <c r="F58" s="30"/>
      <c r="G58" s="30"/>
      <c r="H58" s="30"/>
      <c r="I58" s="30"/>
      <c r="J58" s="30"/>
      <c r="K58" s="30"/>
      <c r="L58" s="30"/>
      <c r="M58" s="310"/>
      <c r="N58" s="30"/>
      <c r="O58" s="310"/>
      <c r="P58" s="30"/>
      <c r="Q58" s="310"/>
      <c r="R58" s="30"/>
      <c r="S58" s="310"/>
      <c r="T58" s="30"/>
      <c r="U58" s="310"/>
      <c r="V58" s="30"/>
      <c r="W58" s="318"/>
      <c r="X58" s="318"/>
      <c r="Y58" s="318"/>
      <c r="Z58" s="30"/>
      <c r="AA58" s="318"/>
      <c r="AB58" s="30"/>
      <c r="AC58" s="310"/>
      <c r="AD58" s="30"/>
      <c r="AE58" s="310"/>
      <c r="AF58" s="30"/>
      <c r="AG58" s="310"/>
      <c r="AH58" s="30"/>
      <c r="AI58" s="310"/>
      <c r="AJ58" s="30"/>
      <c r="AK58" s="310"/>
      <c r="AL58" s="30"/>
      <c r="AM58" s="310"/>
      <c r="AN58" s="253"/>
      <c r="AO58" s="310"/>
      <c r="AP58" s="30"/>
      <c r="AQ58" s="451"/>
      <c r="AR58" s="310"/>
      <c r="AS58" s="310"/>
      <c r="AT58" s="141"/>
      <c r="AU58" s="27">
        <f>+B58</f>
        <v>1997</v>
      </c>
      <c r="AV58" s="30"/>
      <c r="AW58" s="30"/>
      <c r="AX58" s="310"/>
      <c r="AY58" s="310"/>
      <c r="AZ58" s="30"/>
      <c r="BA58" s="30"/>
      <c r="BB58" s="310"/>
      <c r="BC58" s="30"/>
      <c r="BD58" s="30"/>
      <c r="BE58" s="30"/>
      <c r="BF58" s="310"/>
      <c r="BG58" s="30"/>
      <c r="BH58" s="30"/>
      <c r="BI58" s="30"/>
      <c r="BJ58" s="310"/>
      <c r="BK58" s="30"/>
      <c r="BL58" s="30"/>
      <c r="BM58" s="30"/>
      <c r="BN58" s="310"/>
      <c r="BO58" s="30"/>
      <c r="BP58" s="30"/>
      <c r="BQ58" s="30"/>
      <c r="BR58" s="30"/>
      <c r="BS58" s="310"/>
      <c r="BT58" s="30"/>
      <c r="BU58" s="30"/>
      <c r="BV58" s="30"/>
      <c r="BW58" s="30"/>
      <c r="BX58" s="310"/>
      <c r="BY58" s="30"/>
      <c r="BZ58" s="30"/>
      <c r="CA58" s="30"/>
      <c r="CB58" s="30"/>
      <c r="CC58" s="310"/>
      <c r="CD58" s="30"/>
      <c r="CE58" s="30"/>
      <c r="CF58" s="30"/>
      <c r="CG58" s="30"/>
      <c r="CH58" s="310"/>
      <c r="CI58" s="30"/>
      <c r="CJ58" s="30"/>
      <c r="CK58" s="30"/>
      <c r="CL58" s="310"/>
      <c r="CM58" s="30"/>
      <c r="CN58" s="30"/>
      <c r="CO58" s="310"/>
      <c r="CP58" s="30"/>
      <c r="CQ58" s="30"/>
      <c r="CR58" s="310"/>
      <c r="CS58" s="30"/>
      <c r="CT58" s="30"/>
      <c r="CU58" s="310"/>
      <c r="CV58" s="30"/>
      <c r="CW58" s="30"/>
      <c r="CX58" s="310"/>
      <c r="CY58" s="30"/>
      <c r="CZ58" s="30"/>
      <c r="DA58" s="310"/>
      <c r="DB58" s="30"/>
      <c r="DC58" s="30"/>
      <c r="DD58" s="310"/>
      <c r="DE58" s="30"/>
      <c r="DF58" s="30"/>
      <c r="DG58" s="310"/>
      <c r="DH58" s="30"/>
      <c r="DI58" s="30"/>
      <c r="DJ58" s="30"/>
      <c r="DK58" s="30"/>
      <c r="DL58" s="30"/>
    </row>
    <row r="59" spans="1:116" hidden="1" outlineLevel="1">
      <c r="A59" s="30" t="str">
        <f>+qtrSales!A75</f>
        <v>1Q</v>
      </c>
      <c r="B59" s="30" t="str">
        <f>+qtrSales!B75</f>
        <v>Apr</v>
      </c>
      <c r="C59" s="30"/>
      <c r="D59" s="309">
        <f>+D56+AW59+AX59</f>
        <v>735</v>
      </c>
      <c r="E59" s="308">
        <f>+(D59/D53-1)*100</f>
        <v>7.7712609970674418</v>
      </c>
      <c r="F59" s="309">
        <f>+F56+AZ59+BA59</f>
        <v>7</v>
      </c>
      <c r="G59" s="317">
        <f>+(F59/F53-1)*100</f>
        <v>600</v>
      </c>
      <c r="H59" s="317"/>
      <c r="I59" s="317"/>
      <c r="J59" s="309">
        <f>+D59+F59</f>
        <v>742</v>
      </c>
      <c r="K59" s="308">
        <f>+(J59/J53-1)*100</f>
        <v>8.6383601756954587</v>
      </c>
      <c r="L59" s="309">
        <f>+L56+BK59+BL59</f>
        <v>796</v>
      </c>
      <c r="M59" s="308">
        <f>+(L59/L53-1)*100</f>
        <v>50.757575757575758</v>
      </c>
      <c r="N59" s="309">
        <f>+N56+BT59+BU59</f>
        <v>751</v>
      </c>
      <c r="O59" s="308">
        <f>+(N59/N53-1)*100</f>
        <v>0.94086021505377371</v>
      </c>
      <c r="P59" s="309">
        <f>+P56+BY59+BZ59</f>
        <v>541</v>
      </c>
      <c r="Q59" s="308">
        <f>+(P59/P53-1)*100</f>
        <v>3.2442748091602969</v>
      </c>
      <c r="R59" s="309">
        <f>+R56+CD59+CE59</f>
        <v>0</v>
      </c>
      <c r="S59" s="308"/>
      <c r="T59" s="309">
        <f>+T56+CI59+CJ59</f>
        <v>651</v>
      </c>
      <c r="U59" s="308">
        <f>+(T59/T53-1)*100</f>
        <v>-4.8245614035087758</v>
      </c>
      <c r="V59" s="309">
        <f>+V56+BO59+BP59</f>
        <v>6</v>
      </c>
      <c r="W59" s="317">
        <f>+(V59/V53-1)*100</f>
        <v>50</v>
      </c>
      <c r="X59" s="317"/>
      <c r="Y59" s="317"/>
      <c r="Z59" s="309"/>
      <c r="AA59" s="317"/>
      <c r="AB59" s="309">
        <f>+AB56+CP59+CQ59</f>
        <v>759</v>
      </c>
      <c r="AC59" s="308">
        <f>+(AB59/AB53-1)*100</f>
        <v>-7.4390243902438975</v>
      </c>
      <c r="AD59" s="309">
        <f>+AD56+CS59+CT59</f>
        <v>815</v>
      </c>
      <c r="AE59" s="308">
        <f>+(AD59/AD53-1)*100</f>
        <v>-2.1608643457383003</v>
      </c>
      <c r="AF59" s="309">
        <f>+AF56+CV59+CW59</f>
        <v>9</v>
      </c>
      <c r="AG59" s="308">
        <f>+(AF59/AF53-1)*100</f>
        <v>50</v>
      </c>
      <c r="AH59" s="309">
        <f>+AH56+CY59+CZ59</f>
        <v>309</v>
      </c>
      <c r="AI59" s="308">
        <f>+(AH59/AH53-1)*100</f>
        <v>3.3444816053511683</v>
      </c>
      <c r="AJ59" s="309">
        <f>+AJ56+DB59+DC59</f>
        <v>118</v>
      </c>
      <c r="AK59" s="308">
        <f>+(AJ59/AJ53-1)*100</f>
        <v>-2.4793388429752095</v>
      </c>
      <c r="AL59" s="309">
        <f>+AL56+DE59+DF59</f>
        <v>132</v>
      </c>
      <c r="AM59" s="308">
        <f>+(AL59/AL53-1)*100</f>
        <v>29.411764705882359</v>
      </c>
      <c r="AN59" s="307">
        <v>0</v>
      </c>
      <c r="AO59" s="308">
        <f>+(AN59/AN53-1)*100</f>
        <v>-100</v>
      </c>
      <c r="AP59" s="30"/>
      <c r="AQ59" s="451">
        <f>+J59+L59+N59+P59+R59+T59+V59+AB59+AD59+AF59+AH59+AJ59+AL59+AN59</f>
        <v>5629</v>
      </c>
      <c r="AR59" s="308">
        <f>+(AQ59/AQ53-1)*100</f>
        <v>5.1756352765321312</v>
      </c>
      <c r="AS59" s="308"/>
      <c r="AT59" s="30" t="str">
        <f>+A59</f>
        <v>1Q</v>
      </c>
      <c r="AU59" s="30" t="str">
        <f>+B59</f>
        <v>Apr</v>
      </c>
      <c r="AV59" s="30"/>
      <c r="AW59" s="307">
        <v>8</v>
      </c>
      <c r="AX59" s="307">
        <v>-3</v>
      </c>
      <c r="AY59" s="308"/>
      <c r="AZ59" s="307">
        <v>1</v>
      </c>
      <c r="BA59" s="307">
        <v>0</v>
      </c>
      <c r="BB59" s="308"/>
      <c r="BC59" s="307"/>
      <c r="BD59" s="307"/>
      <c r="BE59" s="307"/>
      <c r="BF59" s="308"/>
      <c r="BG59" s="328">
        <f t="shared" ref="BG59:BH62" si="9">+AW59+AZ59</f>
        <v>9</v>
      </c>
      <c r="BH59" s="328">
        <f t="shared" si="9"/>
        <v>-3</v>
      </c>
      <c r="BI59" s="328"/>
      <c r="BJ59" s="308"/>
      <c r="BK59" s="307">
        <v>46</v>
      </c>
      <c r="BL59" s="307">
        <v>0</v>
      </c>
      <c r="BM59" s="307"/>
      <c r="BN59" s="308"/>
      <c r="BO59" s="307">
        <v>0</v>
      </c>
      <c r="BP59" s="307">
        <v>0</v>
      </c>
      <c r="BQ59" s="307"/>
      <c r="BR59" s="307"/>
      <c r="BS59" s="308"/>
      <c r="BT59" s="307">
        <v>1</v>
      </c>
      <c r="BU59" s="307">
        <v>-3</v>
      </c>
      <c r="BV59" s="307"/>
      <c r="BW59" s="307"/>
      <c r="BX59" s="308"/>
      <c r="BY59" s="307">
        <v>2</v>
      </c>
      <c r="BZ59" s="307">
        <v>-3</v>
      </c>
      <c r="CA59" s="307"/>
      <c r="CB59" s="307"/>
      <c r="CC59" s="308"/>
      <c r="CD59" s="307">
        <v>0</v>
      </c>
      <c r="CE59" s="307">
        <v>0</v>
      </c>
      <c r="CF59" s="307"/>
      <c r="CG59" s="307"/>
      <c r="CH59" s="308"/>
      <c r="CI59" s="307">
        <v>1</v>
      </c>
      <c r="CJ59" s="307">
        <v>-13</v>
      </c>
      <c r="CK59" s="307"/>
      <c r="CL59" s="308"/>
      <c r="CM59" s="307"/>
      <c r="CN59" s="307"/>
      <c r="CO59" s="308"/>
      <c r="CP59" s="307">
        <v>1</v>
      </c>
      <c r="CQ59" s="307">
        <v>-26</v>
      </c>
      <c r="CR59" s="308"/>
      <c r="CS59" s="307">
        <v>4</v>
      </c>
      <c r="CT59" s="307">
        <v>-21</v>
      </c>
      <c r="CU59" s="308"/>
      <c r="CV59" s="307">
        <v>0</v>
      </c>
      <c r="CW59" s="307">
        <v>0</v>
      </c>
      <c r="CX59" s="308"/>
      <c r="CY59" s="307">
        <v>2</v>
      </c>
      <c r="CZ59" s="307">
        <v>-1</v>
      </c>
      <c r="DA59" s="308"/>
      <c r="DB59" s="307">
        <v>0</v>
      </c>
      <c r="DC59" s="307">
        <v>-1</v>
      </c>
      <c r="DD59" s="308"/>
      <c r="DE59" s="307">
        <v>5</v>
      </c>
      <c r="DF59" s="307">
        <v>0</v>
      </c>
      <c r="DG59" s="308"/>
      <c r="DH59" s="328">
        <f t="shared" ref="DH59:DI62" si="10">+BG59+BK59+BT59+BY59+CD59+CI59+BO59+CP59+CS59+CV59+CY59+DB59+DE59</f>
        <v>71</v>
      </c>
      <c r="DI59" s="328">
        <f t="shared" si="10"/>
        <v>-71</v>
      </c>
      <c r="DJ59" s="328"/>
      <c r="DK59" s="328"/>
      <c r="DL59" s="328"/>
    </row>
    <row r="60" spans="1:116" hidden="1" outlineLevel="1">
      <c r="A60" s="30" t="str">
        <f>+qtrSales!A76</f>
        <v>2Q</v>
      </c>
      <c r="B60" s="30" t="str">
        <f>+qtrSales!B76</f>
        <v>Jul</v>
      </c>
      <c r="C60" s="30"/>
      <c r="D60" s="309">
        <f>+D59+AW60+AX60</f>
        <v>748</v>
      </c>
      <c r="E60" s="308">
        <f>+(D60/D54-1)*100</f>
        <v>6.5527065527065442</v>
      </c>
      <c r="F60" s="309">
        <f>+F59+AZ60+BA60</f>
        <v>9</v>
      </c>
      <c r="G60" s="317">
        <f>+(F60/F54-1)*100</f>
        <v>800</v>
      </c>
      <c r="H60" s="317"/>
      <c r="I60" s="317"/>
      <c r="J60" s="309">
        <f>+D60+F60</f>
        <v>757</v>
      </c>
      <c r="K60" s="308">
        <f>+(J60/J54-1)*100</f>
        <v>7.6813655761024169</v>
      </c>
      <c r="L60" s="309">
        <f>+L59+BK60+BL60</f>
        <v>844</v>
      </c>
      <c r="M60" s="308">
        <f>+(L60/L54-1)*100</f>
        <v>39.966832504145941</v>
      </c>
      <c r="N60" s="309">
        <f>+N59+BT60+BU60</f>
        <v>751</v>
      </c>
      <c r="O60" s="308">
        <f>+(N60/N54-1)*100</f>
        <v>0.13333333333334085</v>
      </c>
      <c r="P60" s="309">
        <f>+P59+BY60+BZ60</f>
        <v>543</v>
      </c>
      <c r="Q60" s="308">
        <f>+(P60/P54-1)*100</f>
        <v>1.6853932584269593</v>
      </c>
      <c r="R60" s="309">
        <f>+R59+CD60+CE60</f>
        <v>0</v>
      </c>
      <c r="S60" s="308"/>
      <c r="T60" s="309">
        <f>+T59+CI60+CJ60</f>
        <v>648</v>
      </c>
      <c r="U60" s="308">
        <f>+(T60/T54-1)*100</f>
        <v>-4.8458149779735731</v>
      </c>
      <c r="V60" s="309">
        <f>+V59+BO60+BP60</f>
        <v>6</v>
      </c>
      <c r="W60" s="317">
        <f>+(V60/V54-1)*100</f>
        <v>50</v>
      </c>
      <c r="X60" s="317"/>
      <c r="Y60" s="317"/>
      <c r="Z60" s="309"/>
      <c r="AA60" s="317"/>
      <c r="AB60" s="309">
        <f>+AB59+CP60+CQ60</f>
        <v>757</v>
      </c>
      <c r="AC60" s="308">
        <f>+(AB60/AB54-1)*100</f>
        <v>-7.0024570024570076</v>
      </c>
      <c r="AD60" s="309">
        <f>+AD59+CS60+CT60</f>
        <v>808</v>
      </c>
      <c r="AE60" s="308">
        <f>+(AD60/AD54-1)*100</f>
        <v>-2.0606060606060628</v>
      </c>
      <c r="AF60" s="309">
        <f>+AF59+CV60+CW60</f>
        <v>9</v>
      </c>
      <c r="AG60" s="308">
        <f>+(AF60/AF54-1)*100</f>
        <v>50</v>
      </c>
      <c r="AH60" s="309">
        <f>+AH59+CY60+CZ60</f>
        <v>310</v>
      </c>
      <c r="AI60" s="308">
        <f>+(AH60/AH54-1)*100</f>
        <v>1.9736842105263053</v>
      </c>
      <c r="AJ60" s="309">
        <f>+AJ59+DB60+DC60</f>
        <v>118</v>
      </c>
      <c r="AK60" s="308">
        <f>+(AJ60/AJ54-1)*100</f>
        <v>-1.6666666666666718</v>
      </c>
      <c r="AL60" s="309">
        <f>+AL59+DE60+DF60</f>
        <v>139</v>
      </c>
      <c r="AM60" s="308">
        <f>+(AL60/AL54-1)*100</f>
        <v>31.132075471698116</v>
      </c>
      <c r="AN60" s="307">
        <v>0</v>
      </c>
      <c r="AO60" s="308">
        <f>+(AN60/AN54-1)*100</f>
        <v>-100</v>
      </c>
      <c r="AP60" s="30"/>
      <c r="AQ60" s="451">
        <f>+J60+L60+N60+P60+R60+T60+V60+AB60+AD60+AF60+AH60+AJ60+AL60+AN60</f>
        <v>5690</v>
      </c>
      <c r="AR60" s="308">
        <f>+(AQ60/AQ54-1)*100</f>
        <v>4.3270993766043375</v>
      </c>
      <c r="AS60" s="308"/>
      <c r="AT60" s="30" t="str">
        <f>+A60</f>
        <v>2Q</v>
      </c>
      <c r="AU60" s="30" t="str">
        <f>+B60</f>
        <v>Jul</v>
      </c>
      <c r="AV60" s="30"/>
      <c r="AW60" s="307">
        <v>14</v>
      </c>
      <c r="AX60" s="307">
        <v>-1</v>
      </c>
      <c r="AY60" s="308"/>
      <c r="AZ60" s="307">
        <v>2</v>
      </c>
      <c r="BA60" s="307">
        <v>0</v>
      </c>
      <c r="BB60" s="308"/>
      <c r="BC60" s="307"/>
      <c r="BD60" s="307"/>
      <c r="BE60" s="307"/>
      <c r="BF60" s="308"/>
      <c r="BG60" s="328">
        <f t="shared" si="9"/>
        <v>16</v>
      </c>
      <c r="BH60" s="328">
        <f t="shared" si="9"/>
        <v>-1</v>
      </c>
      <c r="BI60" s="328"/>
      <c r="BJ60" s="308"/>
      <c r="BK60" s="307">
        <v>48</v>
      </c>
      <c r="BL60" s="307">
        <v>0</v>
      </c>
      <c r="BM60" s="307"/>
      <c r="BN60" s="308"/>
      <c r="BO60" s="307">
        <v>0</v>
      </c>
      <c r="BP60" s="307">
        <v>0</v>
      </c>
      <c r="BQ60" s="307"/>
      <c r="BR60" s="307"/>
      <c r="BS60" s="308"/>
      <c r="BT60" s="307">
        <v>2</v>
      </c>
      <c r="BU60" s="307">
        <v>-2</v>
      </c>
      <c r="BV60" s="307"/>
      <c r="BW60" s="307"/>
      <c r="BX60" s="308"/>
      <c r="BY60" s="307">
        <v>2</v>
      </c>
      <c r="BZ60" s="307">
        <v>0</v>
      </c>
      <c r="CA60" s="307"/>
      <c r="CB60" s="307"/>
      <c r="CC60" s="308"/>
      <c r="CD60" s="307">
        <v>0</v>
      </c>
      <c r="CE60" s="307">
        <v>0</v>
      </c>
      <c r="CF60" s="307"/>
      <c r="CG60" s="307"/>
      <c r="CH60" s="308"/>
      <c r="CI60" s="307">
        <v>1</v>
      </c>
      <c r="CJ60" s="307">
        <v>-4</v>
      </c>
      <c r="CK60" s="307"/>
      <c r="CL60" s="308"/>
      <c r="CM60" s="307"/>
      <c r="CN60" s="307"/>
      <c r="CO60" s="308"/>
      <c r="CP60" s="307">
        <v>1</v>
      </c>
      <c r="CQ60" s="307">
        <v>-3</v>
      </c>
      <c r="CR60" s="308"/>
      <c r="CS60" s="307">
        <v>1</v>
      </c>
      <c r="CT60" s="307">
        <v>-8</v>
      </c>
      <c r="CU60" s="308"/>
      <c r="CV60" s="307">
        <v>0</v>
      </c>
      <c r="CW60" s="307">
        <v>0</v>
      </c>
      <c r="CX60" s="308"/>
      <c r="CY60" s="307">
        <v>1</v>
      </c>
      <c r="CZ60" s="307">
        <v>0</v>
      </c>
      <c r="DA60" s="308"/>
      <c r="DB60" s="307">
        <v>1</v>
      </c>
      <c r="DC60" s="307">
        <v>-1</v>
      </c>
      <c r="DD60" s="308"/>
      <c r="DE60" s="307">
        <v>7</v>
      </c>
      <c r="DF60" s="307">
        <v>0</v>
      </c>
      <c r="DG60" s="308"/>
      <c r="DH60" s="328">
        <f t="shared" si="10"/>
        <v>80</v>
      </c>
      <c r="DI60" s="328">
        <f t="shared" si="10"/>
        <v>-19</v>
      </c>
      <c r="DJ60" s="328"/>
      <c r="DK60" s="328"/>
      <c r="DL60" s="328"/>
    </row>
    <row r="61" spans="1:116" hidden="1" outlineLevel="1">
      <c r="A61" s="30" t="str">
        <f>+qtrSales!A77</f>
        <v>3Q</v>
      </c>
      <c r="B61" s="30" t="str">
        <f>+qtrSales!B77</f>
        <v>Oct</v>
      </c>
      <c r="C61" s="30"/>
      <c r="D61" s="309">
        <f>+D60+AW61+AX61</f>
        <v>770</v>
      </c>
      <c r="E61" s="308">
        <f>+(D61/D55-1)*100</f>
        <v>6.3535911602209838</v>
      </c>
      <c r="F61" s="309">
        <f>+F60+AZ61+BA61</f>
        <v>14</v>
      </c>
      <c r="G61" s="317">
        <f>+(F61/F55-1)*100</f>
        <v>600</v>
      </c>
      <c r="H61" s="317"/>
      <c r="I61" s="317"/>
      <c r="J61" s="309">
        <f>+D61+F61</f>
        <v>784</v>
      </c>
      <c r="K61" s="308">
        <f>+(J61/J55-1)*100</f>
        <v>7.9889807162534465</v>
      </c>
      <c r="L61" s="309">
        <f>+L60+BK61+BL61</f>
        <v>906</v>
      </c>
      <c r="M61" s="308">
        <f>+(L61/L55-1)*100</f>
        <v>22.930800542740837</v>
      </c>
      <c r="N61" s="309">
        <f>+N60+BT61+BU61</f>
        <v>755</v>
      </c>
      <c r="O61" s="308">
        <f>+(N61/N55-1)*100</f>
        <v>-0.39577836411609502</v>
      </c>
      <c r="P61" s="309">
        <f>+P60+BY61+BZ61</f>
        <v>546</v>
      </c>
      <c r="Q61" s="308">
        <f>+(P61/P55-1)*100</f>
        <v>0.55248618784531356</v>
      </c>
      <c r="R61" s="309">
        <f>+R60+CD61+CE61</f>
        <v>0</v>
      </c>
      <c r="S61" s="308"/>
      <c r="T61" s="309">
        <f>+T60+CI61+CJ61</f>
        <v>648</v>
      </c>
      <c r="U61" s="308">
        <f>+(T61/T55-1)*100</f>
        <v>-5.1244509516837455</v>
      </c>
      <c r="V61" s="309">
        <f>+V60+BO61+BP61</f>
        <v>6</v>
      </c>
      <c r="W61" s="317">
        <f>+(V61/V55-1)*100</f>
        <v>0</v>
      </c>
      <c r="X61" s="317"/>
      <c r="Y61" s="317"/>
      <c r="Z61" s="309"/>
      <c r="AA61" s="317"/>
      <c r="AB61" s="309">
        <f>+AB60+CP61+CQ61</f>
        <v>753</v>
      </c>
      <c r="AC61" s="308">
        <f>+(AB61/AB55-1)*100</f>
        <v>-7.1516646115906246</v>
      </c>
      <c r="AD61" s="309">
        <f>+AD60+CS61+CT61</f>
        <v>807</v>
      </c>
      <c r="AE61" s="308">
        <f>+(AD61/AD55-1)*100</f>
        <v>-2.7710843373493943</v>
      </c>
      <c r="AF61" s="309">
        <f>+AF60+CV61+CW61</f>
        <v>11</v>
      </c>
      <c r="AG61" s="308">
        <f>+(AF61/AF55-1)*100</f>
        <v>22.222222222222232</v>
      </c>
      <c r="AH61" s="309">
        <f>+AH60+CY61+CZ61</f>
        <v>311</v>
      </c>
      <c r="AI61" s="308">
        <f>+(AH61/AH55-1)*100</f>
        <v>0.64724919093850364</v>
      </c>
      <c r="AJ61" s="309">
        <f>+AJ60+DB61+DC61</f>
        <v>118</v>
      </c>
      <c r="AK61" s="308">
        <f>+(AJ61/AJ55-1)*100</f>
        <v>-2.4793388429752095</v>
      </c>
      <c r="AL61" s="309">
        <f>+AL60+DE61+DF61</f>
        <v>149</v>
      </c>
      <c r="AM61" s="308">
        <f>+(AL61/AL55-1)*100</f>
        <v>25.210084033613445</v>
      </c>
      <c r="AN61" s="307">
        <v>0</v>
      </c>
      <c r="AO61" s="308">
        <f>+(AN61/AN55-1)*100</f>
        <v>-100</v>
      </c>
      <c r="AP61" s="30"/>
      <c r="AQ61" s="451">
        <f>+J61+L61+N61+P61+R61+T61+V61+AB61+AD61+AF61+AH61+AJ61+AL61+AN61</f>
        <v>5794</v>
      </c>
      <c r="AR61" s="308">
        <f>+(AQ61/AQ55-1)*100</f>
        <v>2.4398868458274325</v>
      </c>
      <c r="AS61" s="308"/>
      <c r="AT61" s="30" t="str">
        <f>+A61</f>
        <v>3Q</v>
      </c>
      <c r="AU61" s="30" t="str">
        <f>+B61</f>
        <v>Oct</v>
      </c>
      <c r="AV61" s="30"/>
      <c r="AW61" s="307">
        <v>23</v>
      </c>
      <c r="AX61" s="307">
        <v>-1</v>
      </c>
      <c r="AY61" s="308"/>
      <c r="AZ61" s="307">
        <v>5</v>
      </c>
      <c r="BA61" s="307">
        <v>0</v>
      </c>
      <c r="BB61" s="308"/>
      <c r="BC61" s="307"/>
      <c r="BD61" s="307"/>
      <c r="BE61" s="307"/>
      <c r="BF61" s="308"/>
      <c r="BG61" s="328">
        <f t="shared" si="9"/>
        <v>28</v>
      </c>
      <c r="BH61" s="328">
        <f t="shared" si="9"/>
        <v>-1</v>
      </c>
      <c r="BI61" s="328"/>
      <c r="BJ61" s="308"/>
      <c r="BK61" s="307">
        <v>65</v>
      </c>
      <c r="BL61" s="307">
        <v>-3</v>
      </c>
      <c r="BM61" s="307"/>
      <c r="BN61" s="308"/>
      <c r="BO61" s="307">
        <v>0</v>
      </c>
      <c r="BP61" s="307">
        <v>0</v>
      </c>
      <c r="BQ61" s="307"/>
      <c r="BR61" s="307"/>
      <c r="BS61" s="308"/>
      <c r="BT61" s="307">
        <v>5</v>
      </c>
      <c r="BU61" s="307">
        <v>-1</v>
      </c>
      <c r="BV61" s="307"/>
      <c r="BW61" s="307"/>
      <c r="BX61" s="308"/>
      <c r="BY61" s="307">
        <v>3</v>
      </c>
      <c r="BZ61" s="307">
        <v>0</v>
      </c>
      <c r="CA61" s="307"/>
      <c r="CB61" s="307"/>
      <c r="CC61" s="308"/>
      <c r="CD61" s="307">
        <v>0</v>
      </c>
      <c r="CE61" s="307">
        <v>0</v>
      </c>
      <c r="CF61" s="307"/>
      <c r="CG61" s="307"/>
      <c r="CH61" s="308"/>
      <c r="CI61" s="307">
        <v>1</v>
      </c>
      <c r="CJ61" s="307">
        <v>-1</v>
      </c>
      <c r="CK61" s="307"/>
      <c r="CL61" s="308"/>
      <c r="CM61" s="307"/>
      <c r="CN61" s="307"/>
      <c r="CO61" s="308"/>
      <c r="CP61" s="307">
        <v>3</v>
      </c>
      <c r="CQ61" s="307">
        <v>-7</v>
      </c>
      <c r="CR61" s="308"/>
      <c r="CS61" s="307">
        <v>9</v>
      </c>
      <c r="CT61" s="307">
        <v>-10</v>
      </c>
      <c r="CU61" s="308"/>
      <c r="CV61" s="307">
        <v>2</v>
      </c>
      <c r="CW61" s="307">
        <v>0</v>
      </c>
      <c r="CX61" s="308"/>
      <c r="CY61" s="307">
        <v>3</v>
      </c>
      <c r="CZ61" s="307">
        <v>-2</v>
      </c>
      <c r="DA61" s="308"/>
      <c r="DB61" s="307">
        <v>0</v>
      </c>
      <c r="DC61" s="307">
        <v>0</v>
      </c>
      <c r="DD61" s="308"/>
      <c r="DE61" s="307">
        <v>10</v>
      </c>
      <c r="DF61" s="307">
        <v>0</v>
      </c>
      <c r="DG61" s="308"/>
      <c r="DH61" s="328">
        <f t="shared" si="10"/>
        <v>129</v>
      </c>
      <c r="DI61" s="328">
        <f t="shared" si="10"/>
        <v>-25</v>
      </c>
      <c r="DJ61" s="328"/>
      <c r="DK61" s="328"/>
      <c r="DL61" s="328"/>
    </row>
    <row r="62" spans="1:116" hidden="1" outlineLevel="1">
      <c r="A62" s="30" t="str">
        <f>+qtrSales!A78</f>
        <v>4Q</v>
      </c>
      <c r="B62" s="30" t="str">
        <f>+qtrSales!B78</f>
        <v>Jan</v>
      </c>
      <c r="C62" s="30"/>
      <c r="D62" s="309">
        <f>+D61+AW62+AX62</f>
        <v>774</v>
      </c>
      <c r="E62" s="308">
        <f>+(D62/D56-1)*100</f>
        <v>6.02739726027397</v>
      </c>
      <c r="F62" s="309">
        <f>+F61+AZ62+BA62</f>
        <v>15</v>
      </c>
      <c r="G62" s="317">
        <f>+(F62/F56-1)*100</f>
        <v>150</v>
      </c>
      <c r="H62" s="317"/>
      <c r="I62" s="317"/>
      <c r="J62" s="309">
        <f>+D62+F62</f>
        <v>789</v>
      </c>
      <c r="K62" s="308">
        <f>+(J62/J56-1)*100</f>
        <v>7.2010869565217295</v>
      </c>
      <c r="L62" s="309">
        <f>+L61+BK62+BL62</f>
        <v>921</v>
      </c>
      <c r="M62" s="308">
        <f>+(L62/L56-1)*100</f>
        <v>22.799999999999997</v>
      </c>
      <c r="N62" s="309">
        <f>+N61+BT62+BU62</f>
        <v>753</v>
      </c>
      <c r="O62" s="308">
        <f>+(N62/N56-1)*100</f>
        <v>0</v>
      </c>
      <c r="P62" s="309">
        <f>+P61+BY62+BZ62</f>
        <v>544</v>
      </c>
      <c r="Q62" s="308">
        <f>+(P62/P56-1)*100</f>
        <v>0.36900369003689537</v>
      </c>
      <c r="R62" s="309">
        <f>+R61+CD62+CE62</f>
        <v>0</v>
      </c>
      <c r="S62" s="308"/>
      <c r="T62" s="309">
        <f>+T61+CI62+CJ62</f>
        <v>629</v>
      </c>
      <c r="U62" s="308">
        <f>+(T62/T56-1)*100</f>
        <v>-5.1282051282051322</v>
      </c>
      <c r="V62" s="309">
        <f>+V61+BO62+BP62</f>
        <v>6</v>
      </c>
      <c r="W62" s="317">
        <f>+(V62/V56-1)*100</f>
        <v>0</v>
      </c>
      <c r="X62" s="317"/>
      <c r="Y62" s="317"/>
      <c r="Z62" s="309"/>
      <c r="AA62" s="317"/>
      <c r="AB62" s="309">
        <f>+AB61+CP62+CQ62</f>
        <v>746</v>
      </c>
      <c r="AC62" s="308">
        <f>+(AB62/AB56-1)*100</f>
        <v>-4.8469387755102016</v>
      </c>
      <c r="AD62" s="309">
        <f>+AD61+CS62+CT62</f>
        <v>773</v>
      </c>
      <c r="AE62" s="308">
        <f>+(AD62/AD56-1)*100</f>
        <v>-7.0913461538461569</v>
      </c>
      <c r="AF62" s="309">
        <f>+AF61+CV62+CW62</f>
        <v>11</v>
      </c>
      <c r="AG62" s="308">
        <f>+(AF62/AF56-1)*100</f>
        <v>22.222222222222232</v>
      </c>
      <c r="AH62" s="309">
        <f>+AH61+CY62+CZ62</f>
        <v>312</v>
      </c>
      <c r="AI62" s="308">
        <f>+(AH62/AH56-1)*100</f>
        <v>1.298701298701288</v>
      </c>
      <c r="AJ62" s="309">
        <f>+AJ61+DB62+DC62</f>
        <v>0</v>
      </c>
      <c r="AK62" s="308">
        <f>+(AJ62/AJ56-1)*100</f>
        <v>-100</v>
      </c>
      <c r="AL62" s="309">
        <f>+AL61+DE62+DF62</f>
        <v>156</v>
      </c>
      <c r="AM62" s="308">
        <f>+(AL62/AL56-1)*100</f>
        <v>22.834645669291341</v>
      </c>
      <c r="AN62" s="307">
        <v>0</v>
      </c>
      <c r="AO62" s="308">
        <f>+(AN62/AN56-1)*100</f>
        <v>-100</v>
      </c>
      <c r="AP62" s="30"/>
      <c r="AQ62" s="451">
        <f>+J62+L62+N62+P62+R62+T62+V62+AB62+AD62+AF62+AH62+AJ62+AL62+AN62</f>
        <v>5640</v>
      </c>
      <c r="AR62" s="308">
        <f>+(AQ62/AQ56-1)*100</f>
        <v>0.12426770814841781</v>
      </c>
      <c r="AS62" s="308"/>
      <c r="AT62" s="30" t="str">
        <f>+A62</f>
        <v>4Q</v>
      </c>
      <c r="AU62" s="30" t="str">
        <f>+B62</f>
        <v>Jan</v>
      </c>
      <c r="AV62" s="30"/>
      <c r="AW62" s="302">
        <v>4</v>
      </c>
      <c r="AX62" s="302">
        <v>0</v>
      </c>
      <c r="AY62" s="308"/>
      <c r="AZ62" s="302">
        <v>1</v>
      </c>
      <c r="BA62" s="302">
        <v>0</v>
      </c>
      <c r="BB62" s="308"/>
      <c r="BC62" s="307"/>
      <c r="BD62" s="307"/>
      <c r="BE62" s="307"/>
      <c r="BF62" s="308"/>
      <c r="BG62" s="338">
        <f t="shared" si="9"/>
        <v>5</v>
      </c>
      <c r="BH62" s="338">
        <f t="shared" si="9"/>
        <v>0</v>
      </c>
      <c r="BI62" s="328"/>
      <c r="BJ62" s="308"/>
      <c r="BK62" s="302">
        <v>15</v>
      </c>
      <c r="BL62" s="302">
        <v>0</v>
      </c>
      <c r="BM62" s="307"/>
      <c r="BN62" s="308"/>
      <c r="BO62" s="302">
        <v>0</v>
      </c>
      <c r="BP62" s="302">
        <v>0</v>
      </c>
      <c r="BQ62" s="307"/>
      <c r="BR62" s="307"/>
      <c r="BS62" s="308"/>
      <c r="BT62" s="302">
        <v>1</v>
      </c>
      <c r="BU62" s="302">
        <v>-3</v>
      </c>
      <c r="BV62" s="307"/>
      <c r="BW62" s="307"/>
      <c r="BX62" s="308"/>
      <c r="BY62" s="302">
        <v>0</v>
      </c>
      <c r="BZ62" s="302">
        <v>-2</v>
      </c>
      <c r="CA62" s="307"/>
      <c r="CB62" s="307"/>
      <c r="CC62" s="308"/>
      <c r="CD62" s="302">
        <v>0</v>
      </c>
      <c r="CE62" s="302">
        <v>0</v>
      </c>
      <c r="CF62" s="307"/>
      <c r="CG62" s="307"/>
      <c r="CH62" s="308"/>
      <c r="CI62" s="302">
        <v>0</v>
      </c>
      <c r="CJ62" s="302">
        <v>-19</v>
      </c>
      <c r="CK62" s="307"/>
      <c r="CL62" s="308"/>
      <c r="CM62" s="302"/>
      <c r="CN62" s="302"/>
      <c r="CO62" s="308"/>
      <c r="CP62" s="302">
        <v>1</v>
      </c>
      <c r="CQ62" s="302">
        <v>-8</v>
      </c>
      <c r="CR62" s="308"/>
      <c r="CS62" s="302">
        <v>4</v>
      </c>
      <c r="CT62" s="302">
        <v>-38</v>
      </c>
      <c r="CU62" s="308"/>
      <c r="CV62" s="302">
        <v>0</v>
      </c>
      <c r="CW62" s="302">
        <v>0</v>
      </c>
      <c r="CX62" s="308"/>
      <c r="CY62" s="302">
        <v>1</v>
      </c>
      <c r="CZ62" s="302">
        <v>0</v>
      </c>
      <c r="DA62" s="308"/>
      <c r="DB62" s="302">
        <v>0</v>
      </c>
      <c r="DC62" s="302">
        <v>-118</v>
      </c>
      <c r="DD62" s="308"/>
      <c r="DE62" s="302">
        <v>8</v>
      </c>
      <c r="DF62" s="302">
        <v>-1</v>
      </c>
      <c r="DG62" s="308"/>
      <c r="DH62" s="338">
        <f t="shared" si="10"/>
        <v>35</v>
      </c>
      <c r="DI62" s="338">
        <f t="shared" si="10"/>
        <v>-189</v>
      </c>
      <c r="DJ62" s="328"/>
      <c r="DK62" s="328"/>
      <c r="DL62" s="328"/>
    </row>
    <row r="63" spans="1:116" hidden="1" outlineLevel="1">
      <c r="A63" s="30"/>
      <c r="B63" s="30"/>
      <c r="C63" s="30"/>
      <c r="D63" s="30"/>
      <c r="E63" s="310"/>
      <c r="F63" s="30"/>
      <c r="G63" s="318"/>
      <c r="H63" s="318"/>
      <c r="I63" s="318"/>
      <c r="J63" s="30"/>
      <c r="K63" s="319"/>
      <c r="L63" s="30"/>
      <c r="M63" s="310"/>
      <c r="N63" s="30"/>
      <c r="O63" s="310"/>
      <c r="P63" s="30"/>
      <c r="Q63" s="310"/>
      <c r="R63" s="30"/>
      <c r="S63" s="310"/>
      <c r="T63" s="30"/>
      <c r="U63" s="310"/>
      <c r="V63" s="30"/>
      <c r="W63" s="318"/>
      <c r="X63" s="318"/>
      <c r="Y63" s="318"/>
      <c r="Z63" s="30"/>
      <c r="AA63" s="318"/>
      <c r="AB63" s="30"/>
      <c r="AC63" s="310"/>
      <c r="AD63" s="30"/>
      <c r="AE63" s="310"/>
      <c r="AF63" s="30"/>
      <c r="AG63" s="310"/>
      <c r="AH63" s="30"/>
      <c r="AI63" s="310"/>
      <c r="AJ63" s="30"/>
      <c r="AK63" s="310"/>
      <c r="AL63" s="30"/>
      <c r="AM63" s="310"/>
      <c r="AN63" s="307"/>
      <c r="AO63" s="310"/>
      <c r="AP63" s="30"/>
      <c r="AQ63" s="451"/>
      <c r="AR63" s="310"/>
      <c r="AS63" s="310"/>
      <c r="AT63" s="30"/>
      <c r="AU63" s="114"/>
      <c r="AV63" s="30"/>
      <c r="AW63" s="309">
        <f>+SUM(AW59:AW62)</f>
        <v>49</v>
      </c>
      <c r="AX63" s="328">
        <f>+SUM(AX59:AX62)</f>
        <v>-5</v>
      </c>
      <c r="AY63" s="310"/>
      <c r="AZ63" s="309">
        <f>+SUM(AZ59:AZ62)</f>
        <v>9</v>
      </c>
      <c r="BA63" s="309">
        <f>+SUM(BA59:BA62)</f>
        <v>0</v>
      </c>
      <c r="BB63" s="310"/>
      <c r="BC63" s="309"/>
      <c r="BD63" s="309"/>
      <c r="BE63" s="309"/>
      <c r="BF63" s="310"/>
      <c r="BG63" s="309">
        <f>+SUM(BG59:BG62)</f>
        <v>58</v>
      </c>
      <c r="BH63" s="328">
        <f>+SUM(BH59:BH62)</f>
        <v>-5</v>
      </c>
      <c r="BI63" s="328"/>
      <c r="BJ63" s="310"/>
      <c r="BK63" s="309">
        <f>+SUM(BK59:BK62)</f>
        <v>174</v>
      </c>
      <c r="BL63" s="328">
        <f>+SUM(BL59:BL62)</f>
        <v>-3</v>
      </c>
      <c r="BM63" s="328"/>
      <c r="BN63" s="310"/>
      <c r="BO63" s="309">
        <f>+SUM(BO59:BO62)</f>
        <v>0</v>
      </c>
      <c r="BP63" s="328">
        <f>+SUM(BP59:BP62)</f>
        <v>0</v>
      </c>
      <c r="BQ63" s="328"/>
      <c r="BR63" s="328"/>
      <c r="BS63" s="310"/>
      <c r="BT63" s="309">
        <f>+SUM(BT59:BT62)</f>
        <v>9</v>
      </c>
      <c r="BU63" s="328">
        <f>+SUM(BU59:BU62)</f>
        <v>-9</v>
      </c>
      <c r="BV63" s="328"/>
      <c r="BW63" s="328"/>
      <c r="BX63" s="310"/>
      <c r="BY63" s="309">
        <f>+SUM(BY59:BY62)</f>
        <v>7</v>
      </c>
      <c r="BZ63" s="328">
        <f>+SUM(BZ59:BZ62)</f>
        <v>-5</v>
      </c>
      <c r="CA63" s="328"/>
      <c r="CB63" s="328"/>
      <c r="CC63" s="310"/>
      <c r="CD63" s="309">
        <f>+SUM(CD59:CD62)</f>
        <v>0</v>
      </c>
      <c r="CE63" s="328">
        <f>+SUM(CE59:CE62)</f>
        <v>0</v>
      </c>
      <c r="CF63" s="328"/>
      <c r="CG63" s="328"/>
      <c r="CH63" s="310"/>
      <c r="CI63" s="309">
        <f>+SUM(CI59:CI62)</f>
        <v>3</v>
      </c>
      <c r="CJ63" s="328">
        <f>+SUM(CJ59:CJ62)</f>
        <v>-37</v>
      </c>
      <c r="CK63" s="328"/>
      <c r="CL63" s="310"/>
      <c r="CM63" s="309"/>
      <c r="CN63" s="328"/>
      <c r="CO63" s="310"/>
      <c r="CP63" s="309">
        <f>+SUM(CP59:CP62)</f>
        <v>6</v>
      </c>
      <c r="CQ63" s="328">
        <f>+SUM(CQ59:CQ62)</f>
        <v>-44</v>
      </c>
      <c r="CR63" s="310"/>
      <c r="CS63" s="309">
        <f>+SUM(CS59:CS62)</f>
        <v>18</v>
      </c>
      <c r="CT63" s="328">
        <f>+SUM(CT59:CT62)</f>
        <v>-77</v>
      </c>
      <c r="CU63" s="310"/>
      <c r="CV63" s="309">
        <f>+SUM(CV59:CV62)</f>
        <v>2</v>
      </c>
      <c r="CW63" s="328">
        <f>+SUM(CW59:CW62)</f>
        <v>0</v>
      </c>
      <c r="CX63" s="310"/>
      <c r="CY63" s="309">
        <f>+SUM(CY59:CY62)</f>
        <v>7</v>
      </c>
      <c r="CZ63" s="328">
        <f>+SUM(CZ59:CZ62)</f>
        <v>-3</v>
      </c>
      <c r="DA63" s="310"/>
      <c r="DB63" s="309">
        <f>+SUM(DB59:DB62)</f>
        <v>1</v>
      </c>
      <c r="DC63" s="328">
        <f>+SUM(DC59:DC62)</f>
        <v>-120</v>
      </c>
      <c r="DD63" s="310"/>
      <c r="DE63" s="309">
        <f>+SUM(DE59:DE62)</f>
        <v>30</v>
      </c>
      <c r="DF63" s="328">
        <f>+SUM(DF59:DF62)</f>
        <v>-1</v>
      </c>
      <c r="DG63" s="310"/>
      <c r="DH63" s="309">
        <f>+SUM(DH59:DH62)</f>
        <v>315</v>
      </c>
      <c r="DI63" s="328">
        <f>+SUM(DI59:DI62)</f>
        <v>-304</v>
      </c>
      <c r="DJ63" s="328"/>
      <c r="DK63" s="328"/>
      <c r="DL63" s="328"/>
    </row>
    <row r="64" spans="1:116" hidden="1" outlineLevel="1">
      <c r="A64" s="301"/>
      <c r="B64" s="312">
        <f>+qtrSales!B74</f>
        <v>1998</v>
      </c>
      <c r="C64" s="30"/>
      <c r="D64" s="30"/>
      <c r="E64" s="310"/>
      <c r="F64" s="30"/>
      <c r="G64" s="318"/>
      <c r="H64" s="318"/>
      <c r="I64" s="318"/>
      <c r="J64" s="30"/>
      <c r="K64" s="319"/>
      <c r="L64" s="30"/>
      <c r="M64" s="310"/>
      <c r="N64" s="30"/>
      <c r="O64" s="310"/>
      <c r="P64" s="30"/>
      <c r="Q64" s="310"/>
      <c r="R64" s="30"/>
      <c r="S64" s="310"/>
      <c r="T64" s="30"/>
      <c r="U64" s="310"/>
      <c r="V64" s="30"/>
      <c r="W64" s="318"/>
      <c r="X64" s="318"/>
      <c r="Y64" s="318"/>
      <c r="Z64" s="30"/>
      <c r="AA64" s="318"/>
      <c r="AB64" s="30"/>
      <c r="AC64" s="310"/>
      <c r="AD64" s="30"/>
      <c r="AE64" s="310"/>
      <c r="AF64" s="30"/>
      <c r="AG64" s="310"/>
      <c r="AH64" s="30"/>
      <c r="AI64" s="310"/>
      <c r="AJ64" s="30"/>
      <c r="AK64" s="310"/>
      <c r="AL64" s="30"/>
      <c r="AM64" s="310"/>
      <c r="AN64" s="307"/>
      <c r="AO64" s="310"/>
      <c r="AP64" s="30"/>
      <c r="AQ64" s="451"/>
      <c r="AR64" s="310"/>
      <c r="AS64" s="310"/>
      <c r="AT64" s="141"/>
      <c r="AU64" s="27">
        <f>+B64</f>
        <v>1998</v>
      </c>
      <c r="AV64" s="30"/>
      <c r="AW64" s="30"/>
      <c r="AX64" s="310"/>
      <c r="AY64" s="310"/>
      <c r="AZ64" s="30"/>
      <c r="BA64" s="318"/>
      <c r="BB64" s="310"/>
      <c r="BC64" s="318"/>
      <c r="BD64" s="318"/>
      <c r="BE64" s="318"/>
      <c r="BF64" s="310"/>
      <c r="BG64" s="30"/>
      <c r="BH64" s="318"/>
      <c r="BI64" s="318"/>
      <c r="BJ64" s="310"/>
      <c r="BK64" s="30"/>
      <c r="BL64" s="318"/>
      <c r="BM64" s="318"/>
      <c r="BN64" s="310"/>
      <c r="BO64" s="30"/>
      <c r="BP64" s="318"/>
      <c r="BQ64" s="318"/>
      <c r="BR64" s="318"/>
      <c r="BS64" s="310"/>
      <c r="BT64" s="30"/>
      <c r="BU64" s="318"/>
      <c r="BV64" s="318"/>
      <c r="BW64" s="318"/>
      <c r="BX64" s="310"/>
      <c r="BY64" s="30"/>
      <c r="BZ64" s="318"/>
      <c r="CA64" s="318"/>
      <c r="CB64" s="318"/>
      <c r="CC64" s="310"/>
      <c r="CD64" s="30"/>
      <c r="CE64" s="318"/>
      <c r="CF64" s="318"/>
      <c r="CG64" s="318"/>
      <c r="CH64" s="310"/>
      <c r="CI64" s="30"/>
      <c r="CJ64" s="318"/>
      <c r="CK64" s="318"/>
      <c r="CL64" s="310"/>
      <c r="CM64" s="30"/>
      <c r="CN64" s="318"/>
      <c r="CO64" s="310"/>
      <c r="CP64" s="30"/>
      <c r="CQ64" s="318"/>
      <c r="CR64" s="310"/>
      <c r="CS64" s="30"/>
      <c r="CT64" s="318"/>
      <c r="CU64" s="310"/>
      <c r="CV64" s="30"/>
      <c r="CW64" s="318"/>
      <c r="CX64" s="310"/>
      <c r="CY64" s="30"/>
      <c r="CZ64" s="318"/>
      <c r="DA64" s="310"/>
      <c r="DB64" s="30"/>
      <c r="DC64" s="318"/>
      <c r="DD64" s="310"/>
      <c r="DE64" s="30"/>
      <c r="DF64" s="318"/>
      <c r="DG64" s="310"/>
      <c r="DH64" s="30"/>
      <c r="DI64" s="318"/>
      <c r="DJ64" s="318"/>
      <c r="DK64" s="318"/>
      <c r="DL64" s="318"/>
    </row>
    <row r="65" spans="1:116" hidden="1" outlineLevel="1">
      <c r="A65" s="30" t="str">
        <f>+qtrSales!A82</f>
        <v>1Q</v>
      </c>
      <c r="B65" s="30" t="str">
        <f>+qtrSales!B82</f>
        <v>Apr</v>
      </c>
      <c r="C65" s="30"/>
      <c r="D65" s="309">
        <f>+D62+AW65+AX65</f>
        <v>780</v>
      </c>
      <c r="E65" s="308">
        <f>+(D65/D59-1)*100</f>
        <v>6.1224489795918435</v>
      </c>
      <c r="F65" s="309">
        <f>+F62+AZ65+BA65</f>
        <v>17</v>
      </c>
      <c r="G65" s="317">
        <f>+(F65/F59-1)*100</f>
        <v>142.85714285714283</v>
      </c>
      <c r="H65" s="317"/>
      <c r="I65" s="317"/>
      <c r="J65" s="309">
        <f>+D65+F65</f>
        <v>797</v>
      </c>
      <c r="K65" s="308">
        <f>+(J65/J59-1)*100</f>
        <v>7.4123989218328745</v>
      </c>
      <c r="L65" s="325">
        <f>+L62+BK65+BL65</f>
        <v>960</v>
      </c>
      <c r="M65" s="308">
        <f>+(L65/L59-1)*100</f>
        <v>20.603015075376874</v>
      </c>
      <c r="N65" s="309">
        <f>+N62+BT65+BU65</f>
        <v>735</v>
      </c>
      <c r="O65" s="308">
        <f>+(N65/N59-1)*100</f>
        <v>-2.130492676431428</v>
      </c>
      <c r="P65" s="309">
        <f>+P62+BY65+BZ65</f>
        <v>540</v>
      </c>
      <c r="Q65" s="308">
        <f>+(P65/P59-1)*100</f>
        <v>-0.1848428835489857</v>
      </c>
      <c r="R65" s="309">
        <f>+R62+CD65+CE65</f>
        <v>0</v>
      </c>
      <c r="S65" s="308"/>
      <c r="T65" s="309">
        <f>+T62+CI65+CJ65</f>
        <v>614</v>
      </c>
      <c r="U65" s="308">
        <f>+(T65/T59-1)*100</f>
        <v>-5.6835637480798784</v>
      </c>
      <c r="V65" s="309">
        <f>+V62+BO65+BP65</f>
        <v>1</v>
      </c>
      <c r="W65" s="317">
        <f>+(V65/V59-1)*100</f>
        <v>-83.333333333333343</v>
      </c>
      <c r="X65" s="317"/>
      <c r="Y65" s="317"/>
      <c r="Z65" s="309"/>
      <c r="AA65" s="317"/>
      <c r="AB65" s="309">
        <f>+AB62+CP65+CQ65</f>
        <v>697</v>
      </c>
      <c r="AC65" s="308">
        <f>+(AB65/AB59-1)*100</f>
        <v>-8.1686429512516483</v>
      </c>
      <c r="AD65" s="309">
        <f>+AD62+CS65+CT65</f>
        <v>773</v>
      </c>
      <c r="AE65" s="308">
        <f>+(AD65/AD59-1)*100</f>
        <v>-5.1533742331288384</v>
      </c>
      <c r="AF65" s="309">
        <f>+AF62+CV65+CW65</f>
        <v>11</v>
      </c>
      <c r="AG65" s="308">
        <f>+(AF65/AF59-1)*100</f>
        <v>22.222222222222232</v>
      </c>
      <c r="AH65" s="309">
        <f>+AH62+CY65+CZ65</f>
        <v>313</v>
      </c>
      <c r="AI65" s="308">
        <f>+(AH65/AH59-1)*100</f>
        <v>1.2944983818770295</v>
      </c>
      <c r="AJ65" s="309">
        <f>+AJ62+DB65+DC65</f>
        <v>0</v>
      </c>
      <c r="AK65" s="308">
        <f>+(AJ65/AJ59-1)*100</f>
        <v>-100</v>
      </c>
      <c r="AL65" s="309">
        <f>+AL62+DE65+DF65</f>
        <v>158</v>
      </c>
      <c r="AM65" s="308">
        <f>+(AL65/AL59-1)*100</f>
        <v>19.696969696969703</v>
      </c>
      <c r="AN65" s="307"/>
      <c r="AO65" s="308"/>
      <c r="AP65" s="30"/>
      <c r="AQ65" s="451">
        <f>+J65+L65+N65+P65+R65+T65+V65+AB65+AD65+AF65+AH65+AJ65+AL65+AN65</f>
        <v>5599</v>
      </c>
      <c r="AR65" s="308">
        <f>+(AQ65/AQ59-1)*100</f>
        <v>-0.53295434357789606</v>
      </c>
      <c r="AS65" s="308"/>
      <c r="AT65" s="30" t="str">
        <f>+A65</f>
        <v>1Q</v>
      </c>
      <c r="AU65" s="30" t="str">
        <f>+B65</f>
        <v>Apr</v>
      </c>
      <c r="AV65" s="30"/>
      <c r="AW65" s="307">
        <v>8</v>
      </c>
      <c r="AX65" s="307">
        <v>-2</v>
      </c>
      <c r="AY65" s="308"/>
      <c r="AZ65" s="307">
        <v>2</v>
      </c>
      <c r="BA65" s="307">
        <v>0</v>
      </c>
      <c r="BB65" s="308"/>
      <c r="BC65" s="307"/>
      <c r="BD65" s="307"/>
      <c r="BE65" s="307"/>
      <c r="BF65" s="308"/>
      <c r="BG65" s="328">
        <f t="shared" ref="BG65:BH68" si="11">+AW65+AZ65</f>
        <v>10</v>
      </c>
      <c r="BH65" s="328">
        <f t="shared" si="11"/>
        <v>-2</v>
      </c>
      <c r="BI65" s="328"/>
      <c r="BJ65" s="308"/>
      <c r="BK65" s="307">
        <v>41</v>
      </c>
      <c r="BL65" s="307">
        <v>-2</v>
      </c>
      <c r="BM65" s="307"/>
      <c r="BN65" s="308"/>
      <c r="BO65" s="307">
        <v>0</v>
      </c>
      <c r="BP65" s="307">
        <v>-5</v>
      </c>
      <c r="BQ65" s="307"/>
      <c r="BR65" s="307"/>
      <c r="BS65" s="308"/>
      <c r="BT65" s="307">
        <v>2</v>
      </c>
      <c r="BU65" s="307">
        <v>-20</v>
      </c>
      <c r="BV65" s="307"/>
      <c r="BW65" s="307"/>
      <c r="BX65" s="308"/>
      <c r="BY65" s="307">
        <v>1</v>
      </c>
      <c r="BZ65" s="307">
        <v>-5</v>
      </c>
      <c r="CA65" s="307"/>
      <c r="CB65" s="307"/>
      <c r="CC65" s="308"/>
      <c r="CD65" s="307">
        <v>0</v>
      </c>
      <c r="CE65" s="307">
        <v>0</v>
      </c>
      <c r="CF65" s="307"/>
      <c r="CG65" s="307"/>
      <c r="CH65" s="308"/>
      <c r="CI65" s="307">
        <v>1</v>
      </c>
      <c r="CJ65" s="307">
        <v>-16</v>
      </c>
      <c r="CK65" s="307"/>
      <c r="CL65" s="308"/>
      <c r="CM65" s="307"/>
      <c r="CN65" s="307"/>
      <c r="CO65" s="308"/>
      <c r="CP65" s="307">
        <v>3</v>
      </c>
      <c r="CQ65" s="307">
        <v>-52</v>
      </c>
      <c r="CR65" s="308"/>
      <c r="CS65" s="307">
        <v>2</v>
      </c>
      <c r="CT65" s="307">
        <v>-2</v>
      </c>
      <c r="CU65" s="308"/>
      <c r="CV65" s="307">
        <v>0</v>
      </c>
      <c r="CW65" s="307">
        <v>0</v>
      </c>
      <c r="CX65" s="308"/>
      <c r="CY65" s="307">
        <v>1</v>
      </c>
      <c r="CZ65" s="307">
        <v>0</v>
      </c>
      <c r="DA65" s="308"/>
      <c r="DB65" s="307">
        <v>0</v>
      </c>
      <c r="DC65" s="307">
        <v>0</v>
      </c>
      <c r="DD65" s="308"/>
      <c r="DE65" s="307">
        <v>3</v>
      </c>
      <c r="DF65" s="307">
        <v>-1</v>
      </c>
      <c r="DG65" s="308"/>
      <c r="DH65" s="328">
        <f t="shared" ref="DH65:DI68" si="12">+BG65+BK65+BT65+BY65+CD65+CI65+BO65+CP65+CS65+CV65+CY65+DB65+DE65</f>
        <v>64</v>
      </c>
      <c r="DI65" s="328">
        <f t="shared" si="12"/>
        <v>-105</v>
      </c>
      <c r="DJ65" s="328"/>
      <c r="DK65" s="328"/>
      <c r="DL65" s="328"/>
    </row>
    <row r="66" spans="1:116" hidden="1" outlineLevel="1">
      <c r="A66" s="30" t="str">
        <f>+qtrSales!A83</f>
        <v>2Q</v>
      </c>
      <c r="B66" s="30" t="str">
        <f>+qtrSales!B83</f>
        <v>Jul</v>
      </c>
      <c r="C66" s="30"/>
      <c r="D66" s="309">
        <f>+D65+AW66+AX66</f>
        <v>781</v>
      </c>
      <c r="E66" s="308">
        <f>+(D66/D60-1)*100</f>
        <v>4.4117647058823595</v>
      </c>
      <c r="F66" s="309">
        <f>+F65+AZ66+BA66</f>
        <v>18</v>
      </c>
      <c r="G66" s="317">
        <f>+(F66/F60-1)*100</f>
        <v>100</v>
      </c>
      <c r="H66" s="317"/>
      <c r="I66" s="317"/>
      <c r="J66" s="309">
        <f>+D66+F66</f>
        <v>799</v>
      </c>
      <c r="K66" s="308">
        <f>+(J66/J60-1)*100</f>
        <v>5.5482166446499281</v>
      </c>
      <c r="L66" s="325">
        <f>+L65+BK66+BL66</f>
        <v>1000</v>
      </c>
      <c r="M66" s="308">
        <f>+(L66/L60-1)*100</f>
        <v>18.483412322274884</v>
      </c>
      <c r="N66" s="309">
        <f>+N65+BT66+BU66</f>
        <v>724</v>
      </c>
      <c r="O66" s="308">
        <f>+(N66/N60-1)*100</f>
        <v>-3.5952063914780341</v>
      </c>
      <c r="P66" s="309">
        <f>+P65+BY66+BZ66</f>
        <v>537</v>
      </c>
      <c r="Q66" s="308">
        <f>+(P66/P60-1)*100</f>
        <v>-1.1049723756906049</v>
      </c>
      <c r="R66" s="309">
        <f>+R65+CD66+CE66</f>
        <v>0</v>
      </c>
      <c r="S66" s="308"/>
      <c r="T66" s="309">
        <f>+T65+CI66+CJ66</f>
        <v>599</v>
      </c>
      <c r="U66" s="308">
        <f>+(T66/T60-1)*100</f>
        <v>-7.5617283950617287</v>
      </c>
      <c r="V66" s="309">
        <f>+V65+BO66+BP66</f>
        <v>1</v>
      </c>
      <c r="W66" s="317">
        <f>+(V66/V60-1)*100</f>
        <v>-83.333333333333343</v>
      </c>
      <c r="X66" s="317"/>
      <c r="Y66" s="317"/>
      <c r="Z66" s="309"/>
      <c r="AA66" s="317"/>
      <c r="AB66" s="309">
        <f>+AB65+CP66+CQ66</f>
        <v>687</v>
      </c>
      <c r="AC66" s="308">
        <f>+(AB66/AB60-1)*100</f>
        <v>-9.2470277410832242</v>
      </c>
      <c r="AD66" s="309">
        <f>+AD65+CS66+CT66</f>
        <v>770</v>
      </c>
      <c r="AE66" s="308">
        <f>+(AD66/AD60-1)*100</f>
        <v>-4.7029702970297071</v>
      </c>
      <c r="AF66" s="309">
        <f>+AF65+CV66+CW66</f>
        <v>13</v>
      </c>
      <c r="AG66" s="308">
        <f>+(AF66/AF60-1)*100</f>
        <v>44.444444444444443</v>
      </c>
      <c r="AH66" s="309">
        <f>+AH65+CY66+CZ66</f>
        <v>311</v>
      </c>
      <c r="AI66" s="308">
        <f>+(AH66/AH60-1)*100</f>
        <v>0.3225806451612856</v>
      </c>
      <c r="AJ66" s="309">
        <f>+AJ65+DB66+DC66</f>
        <v>0</v>
      </c>
      <c r="AK66" s="308">
        <f>+(AJ66/AJ60-1)*100</f>
        <v>-100</v>
      </c>
      <c r="AL66" s="307">
        <v>0</v>
      </c>
      <c r="AM66" s="308">
        <f>+(AL66/AL60-1)*100</f>
        <v>-100</v>
      </c>
      <c r="AN66" s="307"/>
      <c r="AO66" s="308"/>
      <c r="AP66" s="30"/>
      <c r="AQ66" s="451">
        <f>+J66+L66+N66+P66+R66+T66+V66+AB66+AD66+AF66+AH66+AJ66+AL66+AN66</f>
        <v>5441</v>
      </c>
      <c r="AR66" s="308">
        <f>+(AQ66/AQ60-1)*100</f>
        <v>-4.3760984182776852</v>
      </c>
      <c r="AS66" s="308"/>
      <c r="AT66" s="30" t="str">
        <f>+A66</f>
        <v>2Q</v>
      </c>
      <c r="AU66" s="30" t="str">
        <f>+B66</f>
        <v>Jul</v>
      </c>
      <c r="AV66" s="30"/>
      <c r="AW66" s="307">
        <v>6</v>
      </c>
      <c r="AX66" s="307">
        <v>-5</v>
      </c>
      <c r="AY66" s="308"/>
      <c r="AZ66" s="307">
        <v>1</v>
      </c>
      <c r="BA66" s="307">
        <v>0</v>
      </c>
      <c r="BB66" s="308"/>
      <c r="BC66" s="307"/>
      <c r="BD66" s="307"/>
      <c r="BE66" s="307"/>
      <c r="BF66" s="308"/>
      <c r="BG66" s="328">
        <f t="shared" si="11"/>
        <v>7</v>
      </c>
      <c r="BH66" s="328">
        <f t="shared" si="11"/>
        <v>-5</v>
      </c>
      <c r="BI66" s="328"/>
      <c r="BJ66" s="308"/>
      <c r="BK66" s="307">
        <v>44</v>
      </c>
      <c r="BL66" s="307">
        <v>-4</v>
      </c>
      <c r="BM66" s="307"/>
      <c r="BN66" s="308"/>
      <c r="BO66" s="307">
        <v>0</v>
      </c>
      <c r="BP66" s="307">
        <v>0</v>
      </c>
      <c r="BQ66" s="307"/>
      <c r="BR66" s="307"/>
      <c r="BS66" s="308"/>
      <c r="BT66" s="307">
        <v>0</v>
      </c>
      <c r="BU66" s="307">
        <v>-11</v>
      </c>
      <c r="BV66" s="307"/>
      <c r="BW66" s="307"/>
      <c r="BX66" s="308"/>
      <c r="BY66" s="307">
        <v>0</v>
      </c>
      <c r="BZ66" s="307">
        <v>-3</v>
      </c>
      <c r="CA66" s="307"/>
      <c r="CB66" s="307"/>
      <c r="CC66" s="308"/>
      <c r="CD66" s="307">
        <v>0</v>
      </c>
      <c r="CE66" s="307">
        <v>0</v>
      </c>
      <c r="CF66" s="307"/>
      <c r="CG66" s="307"/>
      <c r="CH66" s="308"/>
      <c r="CI66" s="307">
        <v>0</v>
      </c>
      <c r="CJ66" s="307">
        <v>-15</v>
      </c>
      <c r="CK66" s="307"/>
      <c r="CL66" s="308"/>
      <c r="CM66" s="307"/>
      <c r="CN66" s="307"/>
      <c r="CO66" s="308"/>
      <c r="CP66" s="307">
        <v>2</v>
      </c>
      <c r="CQ66" s="307">
        <v>-12</v>
      </c>
      <c r="CR66" s="308"/>
      <c r="CS66" s="307">
        <v>2</v>
      </c>
      <c r="CT66" s="307">
        <v>-5</v>
      </c>
      <c r="CU66" s="308"/>
      <c r="CV66" s="307">
        <v>2</v>
      </c>
      <c r="CW66" s="307">
        <v>0</v>
      </c>
      <c r="CX66" s="308"/>
      <c r="CY66" s="307">
        <v>0</v>
      </c>
      <c r="CZ66" s="307">
        <v>-2</v>
      </c>
      <c r="DA66" s="308"/>
      <c r="DB66" s="307">
        <v>0</v>
      </c>
      <c r="DC66" s="307">
        <v>0</v>
      </c>
      <c r="DD66" s="308"/>
      <c r="DE66" s="307">
        <v>2</v>
      </c>
      <c r="DF66" s="307">
        <v>-1</v>
      </c>
      <c r="DG66" s="308"/>
      <c r="DH66" s="328">
        <f t="shared" si="12"/>
        <v>59</v>
      </c>
      <c r="DI66" s="328">
        <f t="shared" si="12"/>
        <v>-58</v>
      </c>
      <c r="DJ66" s="328"/>
      <c r="DK66" s="328"/>
      <c r="DL66" s="328"/>
    </row>
    <row r="67" spans="1:116" hidden="1" outlineLevel="1">
      <c r="A67" s="30" t="str">
        <f>+qtrSales!A84</f>
        <v>3Q</v>
      </c>
      <c r="B67" s="30" t="str">
        <f>+qtrSales!B84</f>
        <v>Oct</v>
      </c>
      <c r="C67" s="30"/>
      <c r="D67" s="309">
        <f>+D66+AW67+AX67</f>
        <v>792</v>
      </c>
      <c r="E67" s="308">
        <f>+(D67/D61-1)*100</f>
        <v>2.857142857142847</v>
      </c>
      <c r="F67" s="309">
        <f>+F66+AZ67+BA67</f>
        <v>20</v>
      </c>
      <c r="G67" s="317">
        <f>+(F67/F61-1)*100</f>
        <v>42.857142857142861</v>
      </c>
      <c r="H67" s="317"/>
      <c r="I67" s="317"/>
      <c r="J67" s="309">
        <f>+D67+F67</f>
        <v>812</v>
      </c>
      <c r="K67" s="308">
        <f>+(J67/J61-1)*100</f>
        <v>3.5714285714285809</v>
      </c>
      <c r="L67" s="325">
        <f>+L66+BK67+BL67</f>
        <v>1044</v>
      </c>
      <c r="M67" s="308">
        <f>+(L67/L61-1)*100</f>
        <v>15.231788079470189</v>
      </c>
      <c r="N67" s="309">
        <f>+N66+BT67+BU67</f>
        <v>706</v>
      </c>
      <c r="O67" s="308">
        <f>+(N67/N61-1)*100</f>
        <v>-6.4900662251655579</v>
      </c>
      <c r="P67" s="309">
        <f>+P66+BY67+BZ67</f>
        <v>534</v>
      </c>
      <c r="Q67" s="308">
        <f>+(P67/P61-1)*100</f>
        <v>-2.1978021978022011</v>
      </c>
      <c r="R67" s="309">
        <f>+R66+CD67+CE67</f>
        <v>0</v>
      </c>
      <c r="S67" s="308"/>
      <c r="T67" s="309">
        <f>+T66+CI67+CJ67</f>
        <v>593</v>
      </c>
      <c r="U67" s="308">
        <f>+(T67/T61-1)*100</f>
        <v>-8.4876543209876587</v>
      </c>
      <c r="V67" s="309">
        <f>+V66+BO67+BP67</f>
        <v>1</v>
      </c>
      <c r="W67" s="317">
        <f>+(V67/V61-1)*100</f>
        <v>-83.333333333333343</v>
      </c>
      <c r="X67" s="317"/>
      <c r="Y67" s="317"/>
      <c r="Z67" s="309"/>
      <c r="AA67" s="317"/>
      <c r="AB67" s="309">
        <f>+AB66+CP67+CQ67</f>
        <v>677</v>
      </c>
      <c r="AC67" s="308">
        <f>+(AB67/AB61-1)*100</f>
        <v>-10.0929614873838</v>
      </c>
      <c r="AD67" s="309">
        <f>+AD66+CS67+CT67</f>
        <v>770</v>
      </c>
      <c r="AE67" s="308">
        <f>+(AD67/AD61-1)*100</f>
        <v>-4.5848822800495626</v>
      </c>
      <c r="AF67" s="309">
        <f>+AF66+CV67+CW67</f>
        <v>14</v>
      </c>
      <c r="AG67" s="308">
        <f>+(AF67/AF61-1)*100</f>
        <v>27.27272727272727</v>
      </c>
      <c r="AH67" s="309">
        <f>+AH66+CY67+CZ67</f>
        <v>311</v>
      </c>
      <c r="AI67" s="308">
        <f>+(AH67/AH61-1)*100</f>
        <v>0</v>
      </c>
      <c r="AJ67" s="309">
        <f>+AJ66+DB67+DC67</f>
        <v>0</v>
      </c>
      <c r="AK67" s="308">
        <f>+(AJ67/AJ61-1)*100</f>
        <v>-100</v>
      </c>
      <c r="AL67" s="307">
        <v>0</v>
      </c>
      <c r="AM67" s="308">
        <f>+(AL67/AL61-1)*100</f>
        <v>-100</v>
      </c>
      <c r="AN67" s="307"/>
      <c r="AO67" s="308"/>
      <c r="AP67" s="30"/>
      <c r="AQ67" s="451">
        <f>+J67+L67+N67+P67+R67+T67+V67+AB67+AD67+AF67+AH67+AJ67+AL67+AN67</f>
        <v>5462</v>
      </c>
      <c r="AR67" s="308">
        <f>+(AQ67/AQ61-1)*100</f>
        <v>-5.7300655850880178</v>
      </c>
      <c r="AS67" s="308"/>
      <c r="AT67" s="30" t="str">
        <f>+A67</f>
        <v>3Q</v>
      </c>
      <c r="AU67" s="30" t="str">
        <f>+B67</f>
        <v>Oct</v>
      </c>
      <c r="AV67" s="30"/>
      <c r="AW67" s="307">
        <v>13</v>
      </c>
      <c r="AX67" s="307">
        <v>-2</v>
      </c>
      <c r="AY67" s="308"/>
      <c r="AZ67" s="307">
        <v>2</v>
      </c>
      <c r="BA67" s="307">
        <v>0</v>
      </c>
      <c r="BB67" s="308"/>
      <c r="BC67" s="307"/>
      <c r="BD67" s="307"/>
      <c r="BE67" s="307"/>
      <c r="BF67" s="308"/>
      <c r="BG67" s="328">
        <f t="shared" si="11"/>
        <v>15</v>
      </c>
      <c r="BH67" s="328">
        <f t="shared" si="11"/>
        <v>-2</v>
      </c>
      <c r="BI67" s="328"/>
      <c r="BJ67" s="308"/>
      <c r="BK67" s="307">
        <v>44</v>
      </c>
      <c r="BL67" s="307">
        <v>0</v>
      </c>
      <c r="BM67" s="307"/>
      <c r="BN67" s="308"/>
      <c r="BO67" s="307">
        <v>0</v>
      </c>
      <c r="BP67" s="307">
        <v>0</v>
      </c>
      <c r="BQ67" s="307"/>
      <c r="BR67" s="307"/>
      <c r="BS67" s="308"/>
      <c r="BT67" s="307">
        <v>0</v>
      </c>
      <c r="BU67" s="307">
        <v>-18</v>
      </c>
      <c r="BV67" s="307"/>
      <c r="BW67" s="307"/>
      <c r="BX67" s="308"/>
      <c r="BY67" s="307">
        <v>0</v>
      </c>
      <c r="BZ67" s="307">
        <v>-3</v>
      </c>
      <c r="CA67" s="307"/>
      <c r="CB67" s="307"/>
      <c r="CC67" s="308"/>
      <c r="CD67" s="307">
        <v>0</v>
      </c>
      <c r="CE67" s="307">
        <v>0</v>
      </c>
      <c r="CF67" s="307"/>
      <c r="CG67" s="307"/>
      <c r="CH67" s="308"/>
      <c r="CI67" s="307">
        <v>0</v>
      </c>
      <c r="CJ67" s="307">
        <v>-6</v>
      </c>
      <c r="CK67" s="307"/>
      <c r="CL67" s="308"/>
      <c r="CM67" s="307"/>
      <c r="CN67" s="307"/>
      <c r="CO67" s="308"/>
      <c r="CP67" s="307">
        <v>4</v>
      </c>
      <c r="CQ67" s="307">
        <v>-14</v>
      </c>
      <c r="CR67" s="308"/>
      <c r="CS67" s="307">
        <v>6</v>
      </c>
      <c r="CT67" s="307">
        <v>-6</v>
      </c>
      <c r="CU67" s="308"/>
      <c r="CV67" s="307">
        <v>2</v>
      </c>
      <c r="CW67" s="307">
        <v>-1</v>
      </c>
      <c r="CX67" s="308"/>
      <c r="CY67" s="307">
        <v>1</v>
      </c>
      <c r="CZ67" s="307">
        <v>-1</v>
      </c>
      <c r="DA67" s="308"/>
      <c r="DB67" s="307">
        <v>0</v>
      </c>
      <c r="DC67" s="307">
        <v>0</v>
      </c>
      <c r="DD67" s="308"/>
      <c r="DE67" s="307">
        <v>0</v>
      </c>
      <c r="DF67" s="307">
        <v>0</v>
      </c>
      <c r="DG67" s="308"/>
      <c r="DH67" s="328">
        <f t="shared" si="12"/>
        <v>72</v>
      </c>
      <c r="DI67" s="328">
        <f t="shared" si="12"/>
        <v>-51</v>
      </c>
      <c r="DJ67" s="328"/>
      <c r="DK67" s="328"/>
      <c r="DL67" s="328"/>
    </row>
    <row r="68" spans="1:116" hidden="1" outlineLevel="1">
      <c r="A68" s="30" t="str">
        <f>+qtrSales!A85</f>
        <v>4Q</v>
      </c>
      <c r="B68" s="30" t="str">
        <f>+qtrSales!B85</f>
        <v>Jan</v>
      </c>
      <c r="C68" s="30"/>
      <c r="D68" s="309">
        <f>+D67+AW68+AX68</f>
        <v>799</v>
      </c>
      <c r="E68" s="308">
        <f>+(D68/D62-1)*100</f>
        <v>3.2299741602067167</v>
      </c>
      <c r="F68" s="309">
        <f>+F67+AZ68+BA68</f>
        <v>30</v>
      </c>
      <c r="G68" s="317">
        <f>+(F68/F62-1)*100</f>
        <v>100</v>
      </c>
      <c r="H68" s="317"/>
      <c r="I68" s="317"/>
      <c r="J68" s="309">
        <f>+D68+F68</f>
        <v>829</v>
      </c>
      <c r="K68" s="308">
        <f>+(J68/J62-1)*100</f>
        <v>5.0697084917617152</v>
      </c>
      <c r="L68" s="325">
        <f>+L67+BK68+BL68</f>
        <v>1061</v>
      </c>
      <c r="M68" s="308">
        <f>+(L68/L62-1)*100</f>
        <v>15.200868621064068</v>
      </c>
      <c r="N68" s="309">
        <f>+N67+BT68+BU68</f>
        <v>702</v>
      </c>
      <c r="O68" s="308">
        <f>+(N68/N62-1)*100</f>
        <v>-6.7729083665338692</v>
      </c>
      <c r="P68" s="309">
        <f>+P67+BY68+BZ68</f>
        <v>532</v>
      </c>
      <c r="Q68" s="308">
        <f>+(P68/P62-1)*100</f>
        <v>-2.2058823529411797</v>
      </c>
      <c r="R68" s="309">
        <f>+R67+CD68+CE68</f>
        <v>0</v>
      </c>
      <c r="S68" s="308"/>
      <c r="T68" s="309">
        <f>+T67+CI68+CJ68</f>
        <v>551</v>
      </c>
      <c r="U68" s="308">
        <f>+(T68/T62-1)*100</f>
        <v>-12.400635930047699</v>
      </c>
      <c r="V68" s="309">
        <f>+V67+BO68+BP68</f>
        <v>1</v>
      </c>
      <c r="W68" s="317">
        <f>+(V68/V62-1)*100</f>
        <v>-83.333333333333343</v>
      </c>
      <c r="X68" s="317"/>
      <c r="Y68" s="317"/>
      <c r="Z68" s="309"/>
      <c r="AA68" s="317"/>
      <c r="AB68" s="309">
        <f>+AB67+CP68+CQ68</f>
        <v>643</v>
      </c>
      <c r="AC68" s="308">
        <f>+(AB68/AB62-1)*100</f>
        <v>-13.806970509383376</v>
      </c>
      <c r="AD68" s="309">
        <f>+AD67+CS68+CT68</f>
        <v>730</v>
      </c>
      <c r="AE68" s="308">
        <f>+(AD68/AD62-1)*100</f>
        <v>-5.5627425614488963</v>
      </c>
      <c r="AF68" s="309">
        <f>+AF67+CV68+CW68</f>
        <v>14</v>
      </c>
      <c r="AG68" s="308">
        <f>+(AF68/AF62-1)*100</f>
        <v>27.27272727272727</v>
      </c>
      <c r="AH68" s="309">
        <f>+AH67+CY68+CZ68</f>
        <v>319</v>
      </c>
      <c r="AI68" s="308">
        <f>+(AH68/AH62-1)*100</f>
        <v>2.2435897435897356</v>
      </c>
      <c r="AJ68" s="309">
        <f>+AJ67+DB68+DC68</f>
        <v>0</v>
      </c>
      <c r="AK68" s="308"/>
      <c r="AL68" s="307">
        <v>0</v>
      </c>
      <c r="AM68" s="308">
        <f>+(AL68/AL62-1)*100</f>
        <v>-100</v>
      </c>
      <c r="AN68" s="307"/>
      <c r="AO68" s="308"/>
      <c r="AP68" s="30"/>
      <c r="AQ68" s="451">
        <f>+J68+L68+N68+P68+R68+T68+V68+AB68+AD68+AF68+AH68+AJ68+AL68+AN68</f>
        <v>5382</v>
      </c>
      <c r="AR68" s="308">
        <f>+(AQ68/AQ62-1)*100</f>
        <v>-4.5744680851063872</v>
      </c>
      <c r="AS68" s="308"/>
      <c r="AT68" s="30" t="str">
        <f>+A68</f>
        <v>4Q</v>
      </c>
      <c r="AU68" s="30" t="str">
        <f>+B68</f>
        <v>Jan</v>
      </c>
      <c r="AV68" s="30"/>
      <c r="AW68" s="302">
        <v>13</v>
      </c>
      <c r="AX68" s="302">
        <v>-6</v>
      </c>
      <c r="AY68" s="308"/>
      <c r="AZ68" s="302">
        <v>10</v>
      </c>
      <c r="BA68" s="302">
        <v>0</v>
      </c>
      <c r="BB68" s="308"/>
      <c r="BC68" s="307"/>
      <c r="BD68" s="307"/>
      <c r="BE68" s="307"/>
      <c r="BF68" s="308"/>
      <c r="BG68" s="338">
        <f t="shared" si="11"/>
        <v>23</v>
      </c>
      <c r="BH68" s="338">
        <f t="shared" si="11"/>
        <v>-6</v>
      </c>
      <c r="BI68" s="328"/>
      <c r="BJ68" s="308"/>
      <c r="BK68" s="302">
        <v>17</v>
      </c>
      <c r="BL68" s="302">
        <v>0</v>
      </c>
      <c r="BM68" s="307"/>
      <c r="BN68" s="308"/>
      <c r="BO68" s="302">
        <v>0</v>
      </c>
      <c r="BP68" s="302">
        <v>0</v>
      </c>
      <c r="BQ68" s="307"/>
      <c r="BR68" s="307"/>
      <c r="BS68" s="308"/>
      <c r="BT68" s="302">
        <v>1</v>
      </c>
      <c r="BU68" s="302">
        <v>-5</v>
      </c>
      <c r="BV68" s="307"/>
      <c r="BW68" s="307"/>
      <c r="BX68" s="308"/>
      <c r="BY68" s="302">
        <v>0</v>
      </c>
      <c r="BZ68" s="302">
        <v>-2</v>
      </c>
      <c r="CA68" s="307"/>
      <c r="CB68" s="307"/>
      <c r="CC68" s="308"/>
      <c r="CD68" s="302">
        <v>0</v>
      </c>
      <c r="CE68" s="302">
        <v>0</v>
      </c>
      <c r="CF68" s="307"/>
      <c r="CG68" s="307"/>
      <c r="CH68" s="308"/>
      <c r="CI68" s="302">
        <v>0</v>
      </c>
      <c r="CJ68" s="302">
        <v>-42</v>
      </c>
      <c r="CK68" s="307"/>
      <c r="CL68" s="308"/>
      <c r="CM68" s="302"/>
      <c r="CN68" s="302"/>
      <c r="CO68" s="308"/>
      <c r="CP68" s="302">
        <v>0</v>
      </c>
      <c r="CQ68" s="302">
        <v>-34</v>
      </c>
      <c r="CR68" s="308"/>
      <c r="CS68" s="302">
        <v>7</v>
      </c>
      <c r="CT68" s="302">
        <v>-47</v>
      </c>
      <c r="CU68" s="308"/>
      <c r="CV68" s="302">
        <v>0</v>
      </c>
      <c r="CW68" s="302">
        <v>0</v>
      </c>
      <c r="CX68" s="308"/>
      <c r="CY68" s="302">
        <v>8</v>
      </c>
      <c r="CZ68" s="302">
        <v>0</v>
      </c>
      <c r="DA68" s="308"/>
      <c r="DB68" s="302">
        <v>0</v>
      </c>
      <c r="DC68" s="302">
        <v>0</v>
      </c>
      <c r="DD68" s="308"/>
      <c r="DE68" s="302">
        <v>0</v>
      </c>
      <c r="DF68" s="302">
        <v>0</v>
      </c>
      <c r="DG68" s="308"/>
      <c r="DH68" s="338">
        <f t="shared" si="12"/>
        <v>56</v>
      </c>
      <c r="DI68" s="338">
        <f t="shared" si="12"/>
        <v>-136</v>
      </c>
      <c r="DJ68" s="328"/>
      <c r="DK68" s="328"/>
      <c r="DL68" s="328"/>
    </row>
    <row r="69" spans="1:116" hidden="1" outlineLevel="1">
      <c r="A69" s="30"/>
      <c r="B69" s="30"/>
      <c r="C69" s="30"/>
      <c r="D69" s="30"/>
      <c r="E69" s="310"/>
      <c r="F69" s="30"/>
      <c r="G69" s="318"/>
      <c r="H69" s="318"/>
      <c r="I69" s="318"/>
      <c r="J69" s="30"/>
      <c r="K69" s="319"/>
      <c r="L69" s="30"/>
      <c r="M69" s="310"/>
      <c r="N69" s="30"/>
      <c r="O69" s="310"/>
      <c r="P69" s="30"/>
      <c r="Q69" s="310"/>
      <c r="R69" s="30"/>
      <c r="S69" s="310"/>
      <c r="T69" s="30"/>
      <c r="U69" s="310"/>
      <c r="V69" s="30"/>
      <c r="W69" s="318"/>
      <c r="X69" s="318"/>
      <c r="Y69" s="318"/>
      <c r="Z69" s="30"/>
      <c r="AA69" s="318"/>
      <c r="AB69" s="30"/>
      <c r="AC69" s="310"/>
      <c r="AD69" s="30"/>
      <c r="AE69" s="310"/>
      <c r="AF69" s="30"/>
      <c r="AG69" s="310"/>
      <c r="AH69" s="30"/>
      <c r="AI69" s="310"/>
      <c r="AJ69" s="30"/>
      <c r="AK69" s="310"/>
      <c r="AL69" s="30"/>
      <c r="AM69" s="310"/>
      <c r="AN69" s="30"/>
      <c r="AO69" s="310"/>
      <c r="AP69" s="30"/>
      <c r="AQ69" s="451"/>
      <c r="AR69" s="310"/>
      <c r="AS69" s="310"/>
      <c r="AT69" s="30"/>
      <c r="AU69" s="114"/>
      <c r="AV69" s="30"/>
      <c r="AW69" s="309">
        <f>+SUM(AW65:AW68)</f>
        <v>40</v>
      </c>
      <c r="AX69" s="328">
        <f>+SUM(AX65:AX68)</f>
        <v>-15</v>
      </c>
      <c r="AY69" s="310"/>
      <c r="AZ69" s="309">
        <f>+SUM(AZ65:AZ68)</f>
        <v>15</v>
      </c>
      <c r="BA69" s="309">
        <f>+SUM(BA65:BA68)</f>
        <v>0</v>
      </c>
      <c r="BB69" s="310"/>
      <c r="BC69" s="309"/>
      <c r="BD69" s="309"/>
      <c r="BE69" s="309"/>
      <c r="BF69" s="310"/>
      <c r="BG69" s="309">
        <f>+SUM(BG65:BG68)</f>
        <v>55</v>
      </c>
      <c r="BH69" s="328">
        <f>+SUM(BH65:BH68)</f>
        <v>-15</v>
      </c>
      <c r="BI69" s="328"/>
      <c r="BJ69" s="310"/>
      <c r="BK69" s="309">
        <f>+SUM(BK65:BK68)</f>
        <v>146</v>
      </c>
      <c r="BL69" s="328">
        <f>+SUM(BL65:BL68)</f>
        <v>-6</v>
      </c>
      <c r="BM69" s="328"/>
      <c r="BN69" s="310"/>
      <c r="BO69" s="309">
        <f>+SUM(BO65:BO68)</f>
        <v>0</v>
      </c>
      <c r="BP69" s="328">
        <f>+SUM(BP65:BP68)</f>
        <v>-5</v>
      </c>
      <c r="BQ69" s="328"/>
      <c r="BR69" s="328"/>
      <c r="BS69" s="310"/>
      <c r="BT69" s="309">
        <f>+SUM(BT65:BT68)</f>
        <v>3</v>
      </c>
      <c r="BU69" s="328">
        <f>+SUM(BU65:BU68)</f>
        <v>-54</v>
      </c>
      <c r="BV69" s="328"/>
      <c r="BW69" s="328"/>
      <c r="BX69" s="310"/>
      <c r="BY69" s="309">
        <f>+SUM(BY65:BY68)</f>
        <v>1</v>
      </c>
      <c r="BZ69" s="328">
        <f>+SUM(BZ65:BZ68)</f>
        <v>-13</v>
      </c>
      <c r="CA69" s="328"/>
      <c r="CB69" s="328"/>
      <c r="CC69" s="310"/>
      <c r="CD69" s="309">
        <f>+SUM(CD65:CD68)</f>
        <v>0</v>
      </c>
      <c r="CE69" s="328">
        <f>+SUM(CE65:CE68)</f>
        <v>0</v>
      </c>
      <c r="CF69" s="328"/>
      <c r="CG69" s="328"/>
      <c r="CH69" s="310"/>
      <c r="CI69" s="309">
        <f>+SUM(CI65:CI68)</f>
        <v>1</v>
      </c>
      <c r="CJ69" s="328">
        <f>+SUM(CJ65:CJ68)</f>
        <v>-79</v>
      </c>
      <c r="CK69" s="328"/>
      <c r="CL69" s="310"/>
      <c r="CM69" s="309"/>
      <c r="CN69" s="328"/>
      <c r="CO69" s="310"/>
      <c r="CP69" s="309">
        <f>+SUM(CP65:CP68)</f>
        <v>9</v>
      </c>
      <c r="CQ69" s="328">
        <f>+SUM(CQ65:CQ68)</f>
        <v>-112</v>
      </c>
      <c r="CR69" s="310"/>
      <c r="CS69" s="309">
        <f>+SUM(CS65:CS68)</f>
        <v>17</v>
      </c>
      <c r="CT69" s="328">
        <f>+SUM(CT65:CT68)</f>
        <v>-60</v>
      </c>
      <c r="CU69" s="310"/>
      <c r="CV69" s="309">
        <f>+SUM(CV65:CV68)</f>
        <v>4</v>
      </c>
      <c r="CW69" s="328">
        <f>+SUM(CW65:CW68)</f>
        <v>-1</v>
      </c>
      <c r="CX69" s="310"/>
      <c r="CY69" s="309">
        <f>+SUM(CY65:CY68)</f>
        <v>10</v>
      </c>
      <c r="CZ69" s="328">
        <f>+SUM(CZ65:CZ68)</f>
        <v>-3</v>
      </c>
      <c r="DA69" s="310"/>
      <c r="DB69" s="309">
        <f>+SUM(DB65:DB68)</f>
        <v>0</v>
      </c>
      <c r="DC69" s="328">
        <f>+SUM(DC65:DC68)</f>
        <v>0</v>
      </c>
      <c r="DD69" s="310"/>
      <c r="DE69" s="309">
        <f>+SUM(DE65:DE68)</f>
        <v>5</v>
      </c>
      <c r="DF69" s="328">
        <f>+SUM(DF65:DF68)</f>
        <v>-2</v>
      </c>
      <c r="DG69" s="310"/>
      <c r="DH69" s="309">
        <f>+SUM(DH65:DH68)</f>
        <v>251</v>
      </c>
      <c r="DI69" s="328">
        <f>+SUM(DI65:DI68)</f>
        <v>-350</v>
      </c>
      <c r="DJ69" s="328"/>
      <c r="DK69" s="328"/>
      <c r="DL69" s="328"/>
    </row>
    <row r="70" spans="1:116" hidden="1" outlineLevel="1" collapsed="1">
      <c r="A70" s="301"/>
      <c r="B70" s="312">
        <f>+qtrSales!B81</f>
        <v>1999</v>
      </c>
      <c r="C70" s="30"/>
      <c r="D70" s="30"/>
      <c r="E70" s="310"/>
      <c r="F70" s="30"/>
      <c r="G70" s="318"/>
      <c r="H70" s="318"/>
      <c r="I70" s="318"/>
      <c r="J70" s="30"/>
      <c r="K70" s="319"/>
      <c r="L70" s="30"/>
      <c r="M70" s="310"/>
      <c r="N70" s="30"/>
      <c r="O70" s="310"/>
      <c r="P70" s="30"/>
      <c r="Q70" s="310"/>
      <c r="R70" s="30"/>
      <c r="S70" s="310"/>
      <c r="T70" s="30"/>
      <c r="U70" s="310"/>
      <c r="V70" s="30"/>
      <c r="W70" s="318"/>
      <c r="X70" s="318"/>
      <c r="Y70" s="318"/>
      <c r="Z70" s="30"/>
      <c r="AA70" s="318"/>
      <c r="AB70" s="30"/>
      <c r="AC70" s="310"/>
      <c r="AD70" s="30"/>
      <c r="AE70" s="310"/>
      <c r="AF70" s="30"/>
      <c r="AG70" s="310"/>
      <c r="AH70" s="30"/>
      <c r="AI70" s="310"/>
      <c r="AJ70" s="30"/>
      <c r="AK70" s="310"/>
      <c r="AL70" s="30"/>
      <c r="AM70" s="310"/>
      <c r="AN70" s="30"/>
      <c r="AO70" s="310"/>
      <c r="AP70" s="30"/>
      <c r="AQ70" s="451"/>
      <c r="AR70" s="310"/>
      <c r="AS70" s="310"/>
      <c r="AT70" s="141"/>
      <c r="AU70" s="27">
        <f>+B70</f>
        <v>1999</v>
      </c>
      <c r="AV70" s="30"/>
      <c r="AW70" s="30"/>
      <c r="AX70" s="310"/>
      <c r="AY70" s="310"/>
      <c r="AZ70" s="30"/>
      <c r="BA70" s="318"/>
      <c r="BB70" s="310"/>
      <c r="BC70" s="318"/>
      <c r="BD70" s="318"/>
      <c r="BE70" s="318"/>
      <c r="BF70" s="310"/>
      <c r="BG70" s="30"/>
      <c r="BH70" s="318"/>
      <c r="BI70" s="318"/>
      <c r="BJ70" s="310"/>
      <c r="BK70" s="30"/>
      <c r="BL70" s="318"/>
      <c r="BM70" s="318"/>
      <c r="BN70" s="310"/>
      <c r="BO70" s="30"/>
      <c r="BP70" s="318"/>
      <c r="BQ70" s="318"/>
      <c r="BR70" s="318"/>
      <c r="BS70" s="310"/>
      <c r="BT70" s="30"/>
      <c r="BU70" s="318"/>
      <c r="BV70" s="318"/>
      <c r="BW70" s="318"/>
      <c r="BX70" s="310"/>
      <c r="BY70" s="30"/>
      <c r="BZ70" s="318"/>
      <c r="CA70" s="318"/>
      <c r="CB70" s="318"/>
      <c r="CC70" s="310"/>
      <c r="CD70" s="30"/>
      <c r="CE70" s="318"/>
      <c r="CF70" s="318"/>
      <c r="CG70" s="318"/>
      <c r="CH70" s="310"/>
      <c r="CI70" s="30"/>
      <c r="CJ70" s="318"/>
      <c r="CK70" s="318"/>
      <c r="CL70" s="310"/>
      <c r="CM70" s="30"/>
      <c r="CN70" s="318"/>
      <c r="CO70" s="310"/>
      <c r="CP70" s="30"/>
      <c r="CQ70" s="318"/>
      <c r="CR70" s="310"/>
      <c r="CS70" s="30"/>
      <c r="CT70" s="318"/>
      <c r="CU70" s="310"/>
      <c r="CV70" s="30"/>
      <c r="CW70" s="318"/>
      <c r="CX70" s="310"/>
      <c r="CY70" s="30"/>
      <c r="CZ70" s="318"/>
      <c r="DA70" s="310"/>
      <c r="DB70" s="30"/>
      <c r="DC70" s="318"/>
      <c r="DD70" s="310"/>
      <c r="DE70" s="30"/>
      <c r="DF70" s="318"/>
      <c r="DG70" s="310"/>
      <c r="DH70" s="30"/>
      <c r="DI70" s="318"/>
      <c r="DJ70" s="318"/>
      <c r="DK70" s="318"/>
      <c r="DL70" s="318"/>
    </row>
    <row r="71" spans="1:116" hidden="1" outlineLevel="1">
      <c r="A71" s="30" t="str">
        <f>+qtrSales!A89</f>
        <v>1Q</v>
      </c>
      <c r="B71" s="30" t="str">
        <f>+qtrSales!B89</f>
        <v>Apr</v>
      </c>
      <c r="C71" s="30"/>
      <c r="D71" s="309">
        <f>+D68+AW71+AX71</f>
        <v>815</v>
      </c>
      <c r="E71" s="308">
        <f>+(D71/D65-1)*100</f>
        <v>4.4871794871794934</v>
      </c>
      <c r="F71" s="309">
        <f>+F68+AZ71+BA71</f>
        <v>34</v>
      </c>
      <c r="G71" s="317">
        <f>+(F71/F65-1)*100</f>
        <v>100</v>
      </c>
      <c r="H71" s="317"/>
      <c r="I71" s="317"/>
      <c r="J71" s="309">
        <f>+D71+F71</f>
        <v>849</v>
      </c>
      <c r="K71" s="308">
        <f>+(J71/J65-1)*100</f>
        <v>6.5244667503136844</v>
      </c>
      <c r="L71" s="325">
        <f>+L68+BK71+BL71</f>
        <v>1101</v>
      </c>
      <c r="M71" s="308">
        <f>+(L71/L65-1)*100</f>
        <v>14.687500000000009</v>
      </c>
      <c r="N71" s="309">
        <f>+N68+BT71+BU71</f>
        <v>694</v>
      </c>
      <c r="O71" s="308">
        <f>+(N71/N65-1)*100</f>
        <v>-5.5782312925170103</v>
      </c>
      <c r="P71" s="309">
        <f>+P68+BY71+BZ71</f>
        <v>524</v>
      </c>
      <c r="Q71" s="308">
        <f>+(P71/P65-1)*100</f>
        <v>-2.9629629629629672</v>
      </c>
      <c r="R71" s="309">
        <f>+R68+CD71+CE71</f>
        <v>0</v>
      </c>
      <c r="S71" s="308"/>
      <c r="T71" s="309">
        <f>+T68+CI71+CJ71</f>
        <v>514</v>
      </c>
      <c r="U71" s="308">
        <f>+(T71/T65-1)*100</f>
        <v>-16.286644951140062</v>
      </c>
      <c r="V71" s="309">
        <f>+V68+BO71+BP71</f>
        <v>1</v>
      </c>
      <c r="W71" s="317">
        <f>+(V71/V65-1)*100</f>
        <v>0</v>
      </c>
      <c r="X71" s="317"/>
      <c r="Y71" s="317"/>
      <c r="Z71" s="309"/>
      <c r="AA71" s="317"/>
      <c r="AB71" s="309">
        <f>+AB68+CP71+CQ71</f>
        <v>633</v>
      </c>
      <c r="AC71" s="308">
        <f>+(AB71/AB65-1)*100</f>
        <v>-9.1822094691535128</v>
      </c>
      <c r="AD71" s="309">
        <f>+AD68+CS71+CT71</f>
        <v>705</v>
      </c>
      <c r="AE71" s="308">
        <f>+(AD71/AD65-1)*100</f>
        <v>-8.7968952134540697</v>
      </c>
      <c r="AF71" s="309">
        <f>+AF68+CV71+CW71</f>
        <v>16</v>
      </c>
      <c r="AG71" s="308">
        <f>+(AF71/AF65-1)*100</f>
        <v>45.45454545454546</v>
      </c>
      <c r="AH71" s="309">
        <f>+AH68+CY71+CZ71</f>
        <v>321</v>
      </c>
      <c r="AI71" s="308">
        <f>+(AH71/AH65-1)*100</f>
        <v>2.5559105431310014</v>
      </c>
      <c r="AJ71" s="309">
        <f>+AJ68+DB71+DC71</f>
        <v>0</v>
      </c>
      <c r="AK71" s="308"/>
      <c r="AL71" s="309">
        <f>+AL68+DE71+DF71</f>
        <v>0</v>
      </c>
      <c r="AM71" s="308"/>
      <c r="AN71" s="309"/>
      <c r="AO71" s="308"/>
      <c r="AP71" s="30"/>
      <c r="AQ71" s="451">
        <f>+J71+L71+N71+P71+R71+T71+V71+AB71+AD71+AF71+AH71+AJ71+AL71+AN71</f>
        <v>5358</v>
      </c>
      <c r="AR71" s="308">
        <f>+(AQ71/AQ65-1)*100</f>
        <v>-4.3043400607251314</v>
      </c>
      <c r="AS71" s="308"/>
      <c r="AT71" s="30" t="str">
        <f>+A71</f>
        <v>1Q</v>
      </c>
      <c r="AU71" s="30" t="str">
        <f>+B71</f>
        <v>Apr</v>
      </c>
      <c r="AV71" s="30"/>
      <c r="AW71" s="307">
        <v>16</v>
      </c>
      <c r="AX71" s="307">
        <v>0</v>
      </c>
      <c r="AY71" s="308"/>
      <c r="AZ71" s="307">
        <v>4</v>
      </c>
      <c r="BA71" s="307">
        <v>0</v>
      </c>
      <c r="BB71" s="308"/>
      <c r="BC71" s="307"/>
      <c r="BD71" s="307"/>
      <c r="BE71" s="307"/>
      <c r="BF71" s="308"/>
      <c r="BG71" s="328">
        <f t="shared" ref="BG71:BH74" si="13">+AW71+AZ71</f>
        <v>20</v>
      </c>
      <c r="BH71" s="328">
        <f t="shared" si="13"/>
        <v>0</v>
      </c>
      <c r="BI71" s="328"/>
      <c r="BJ71" s="308"/>
      <c r="BK71" s="307">
        <v>41</v>
      </c>
      <c r="BL71" s="307">
        <v>-1</v>
      </c>
      <c r="BM71" s="307"/>
      <c r="BN71" s="308"/>
      <c r="BO71" s="321">
        <v>0</v>
      </c>
      <c r="BP71" s="321">
        <v>0</v>
      </c>
      <c r="BQ71" s="321"/>
      <c r="BR71" s="321"/>
      <c r="BS71" s="308"/>
      <c r="BT71" s="307">
        <v>0</v>
      </c>
      <c r="BU71" s="307">
        <v>-8</v>
      </c>
      <c r="BV71" s="307"/>
      <c r="BW71" s="307"/>
      <c r="BX71" s="308"/>
      <c r="BY71" s="307">
        <v>1</v>
      </c>
      <c r="BZ71" s="307">
        <v>-9</v>
      </c>
      <c r="CA71" s="307"/>
      <c r="CB71" s="307"/>
      <c r="CC71" s="308"/>
      <c r="CD71" s="307">
        <v>0</v>
      </c>
      <c r="CE71" s="307">
        <v>0</v>
      </c>
      <c r="CF71" s="307"/>
      <c r="CG71" s="307"/>
      <c r="CH71" s="308"/>
      <c r="CI71" s="321">
        <v>1</v>
      </c>
      <c r="CJ71" s="321">
        <v>-38</v>
      </c>
      <c r="CK71" s="321"/>
      <c r="CL71" s="308"/>
      <c r="CM71" s="321"/>
      <c r="CN71" s="321"/>
      <c r="CO71" s="308"/>
      <c r="CP71" s="321">
        <v>4</v>
      </c>
      <c r="CQ71" s="321">
        <v>-14</v>
      </c>
      <c r="CR71" s="308"/>
      <c r="CS71" s="321">
        <v>5</v>
      </c>
      <c r="CT71" s="321">
        <v>-30</v>
      </c>
      <c r="CU71" s="308"/>
      <c r="CV71" s="321">
        <v>2</v>
      </c>
      <c r="CW71" s="321">
        <v>0</v>
      </c>
      <c r="CX71" s="308"/>
      <c r="CY71" s="321">
        <v>10</v>
      </c>
      <c r="CZ71" s="321">
        <v>-8</v>
      </c>
      <c r="DA71" s="308"/>
      <c r="DB71" s="321"/>
      <c r="DC71" s="321"/>
      <c r="DD71" s="308"/>
      <c r="DE71" s="321"/>
      <c r="DF71" s="321"/>
      <c r="DG71" s="308"/>
      <c r="DH71" s="328">
        <f t="shared" ref="DH71:DI74" si="14">+BG71+BK71+BT71+BY71+CD71+CI71+BO71+CP71+CS71+CV71+CY71+DB71+DE71</f>
        <v>84</v>
      </c>
      <c r="DI71" s="328">
        <f t="shared" si="14"/>
        <v>-108</v>
      </c>
      <c r="DJ71" s="328"/>
      <c r="DK71" s="328"/>
      <c r="DL71" s="328"/>
    </row>
    <row r="72" spans="1:116" hidden="1" outlineLevel="1">
      <c r="A72" s="30" t="str">
        <f>+qtrSales!A90</f>
        <v>2Q</v>
      </c>
      <c r="B72" s="30" t="str">
        <f>+qtrSales!B90</f>
        <v>Jul</v>
      </c>
      <c r="C72" s="30"/>
      <c r="D72" s="309">
        <f>+D71+AW72+AX72</f>
        <v>823</v>
      </c>
      <c r="E72" s="308">
        <f>+(D72/D66-1)*100</f>
        <v>5.3777208706786261</v>
      </c>
      <c r="F72" s="309">
        <f>+F71+AZ72+BA72</f>
        <v>36</v>
      </c>
      <c r="G72" s="317">
        <f>+(F72/F66-1)*100</f>
        <v>100</v>
      </c>
      <c r="H72" s="317"/>
      <c r="I72" s="317"/>
      <c r="J72" s="309">
        <f>+D72+F72</f>
        <v>859</v>
      </c>
      <c r="K72" s="308">
        <f>+(J72/J66-1)*100</f>
        <v>7.5093867334167674</v>
      </c>
      <c r="L72" s="325">
        <f>+L71+BK72+BL72</f>
        <v>1126</v>
      </c>
      <c r="M72" s="308">
        <f>+(L72/L66-1)*100</f>
        <v>12.599999999999989</v>
      </c>
      <c r="N72" s="309">
        <f>+N71+BT72+BU72</f>
        <v>690</v>
      </c>
      <c r="O72" s="308">
        <f>+(N72/N66-1)*100</f>
        <v>-4.6961325966850875</v>
      </c>
      <c r="P72" s="309">
        <f>+P71+BY72+BZ72</f>
        <v>518</v>
      </c>
      <c r="Q72" s="308">
        <f>+(P72/P66-1)*100</f>
        <v>-3.5381750465549366</v>
      </c>
      <c r="R72" s="309">
        <f>+R71+CD72+CE72</f>
        <v>0</v>
      </c>
      <c r="S72" s="308"/>
      <c r="T72" s="309">
        <f>+T71+CI72+CJ72</f>
        <v>491</v>
      </c>
      <c r="U72" s="308">
        <f>+(T72/T66-1)*100</f>
        <v>-18.03005008347245</v>
      </c>
      <c r="V72" s="309">
        <f>+V71+BO72+BP72</f>
        <v>1</v>
      </c>
      <c r="W72" s="317">
        <f>+(V72/V66-1)*100</f>
        <v>0</v>
      </c>
      <c r="X72" s="317"/>
      <c r="Y72" s="317"/>
      <c r="Z72" s="309"/>
      <c r="AA72" s="317"/>
      <c r="AB72" s="309">
        <f>+AB71+CP72+CQ72</f>
        <v>625</v>
      </c>
      <c r="AC72" s="308">
        <f>+(AB72/AB66-1)*100</f>
        <v>-9.0247452692867487</v>
      </c>
      <c r="AD72" s="309">
        <f>+AD71+CS72+CT72</f>
        <v>699</v>
      </c>
      <c r="AE72" s="308">
        <f>+(AD72/AD66-1)*100</f>
        <v>-9.2207792207792174</v>
      </c>
      <c r="AF72" s="309">
        <f>+AF71+CV72+CW72</f>
        <v>17</v>
      </c>
      <c r="AG72" s="308">
        <f>+(AF72/AF66-1)*100</f>
        <v>30.76923076923077</v>
      </c>
      <c r="AH72" s="309">
        <f>+AH71+CY72+CZ72</f>
        <v>330</v>
      </c>
      <c r="AI72" s="308">
        <f>+(AH72/AH66-1)*100</f>
        <v>6.1093247588424493</v>
      </c>
      <c r="AJ72" s="309">
        <f>+AJ71+DB72+DC72</f>
        <v>0</v>
      </c>
      <c r="AK72" s="308"/>
      <c r="AL72" s="309">
        <f>+AL71+DE72+DF72</f>
        <v>0</v>
      </c>
      <c r="AM72" s="308"/>
      <c r="AN72" s="309"/>
      <c r="AO72" s="308"/>
      <c r="AP72" s="30"/>
      <c r="AQ72" s="451">
        <f>+J72+L72+N72+P72+R72+T72+V72+AB72+AD72+AF72+AH72+AJ72+AL72+AN72</f>
        <v>5356</v>
      </c>
      <c r="AR72" s="308">
        <f>+(AQ72/AQ66-1)*100</f>
        <v>-1.5622128285241677</v>
      </c>
      <c r="AS72" s="308"/>
      <c r="AT72" s="30" t="str">
        <f>+A72</f>
        <v>2Q</v>
      </c>
      <c r="AU72" s="30" t="str">
        <f>+B72</f>
        <v>Jul</v>
      </c>
      <c r="AV72" s="30"/>
      <c r="AW72" s="307">
        <v>12</v>
      </c>
      <c r="AX72" s="307">
        <v>-4</v>
      </c>
      <c r="AY72" s="308"/>
      <c r="AZ72" s="307">
        <v>2</v>
      </c>
      <c r="BA72" s="307">
        <v>0</v>
      </c>
      <c r="BB72" s="308"/>
      <c r="BC72" s="307"/>
      <c r="BD72" s="307"/>
      <c r="BE72" s="307"/>
      <c r="BF72" s="308"/>
      <c r="BG72" s="328">
        <f t="shared" si="13"/>
        <v>14</v>
      </c>
      <c r="BH72" s="328">
        <f t="shared" si="13"/>
        <v>-4</v>
      </c>
      <c r="BI72" s="328"/>
      <c r="BJ72" s="308"/>
      <c r="BK72" s="307">
        <v>29</v>
      </c>
      <c r="BL72" s="307">
        <v>-4</v>
      </c>
      <c r="BM72" s="307"/>
      <c r="BN72" s="308"/>
      <c r="BO72" s="321">
        <v>0</v>
      </c>
      <c r="BP72" s="321">
        <v>0</v>
      </c>
      <c r="BQ72" s="321"/>
      <c r="BR72" s="321"/>
      <c r="BS72" s="308"/>
      <c r="BT72" s="307">
        <v>2</v>
      </c>
      <c r="BU72" s="307">
        <v>-6</v>
      </c>
      <c r="BV72" s="307"/>
      <c r="BW72" s="307"/>
      <c r="BX72" s="308"/>
      <c r="BY72" s="307">
        <v>0</v>
      </c>
      <c r="BZ72" s="307">
        <v>-6</v>
      </c>
      <c r="CA72" s="307"/>
      <c r="CB72" s="307"/>
      <c r="CC72" s="308"/>
      <c r="CD72" s="307">
        <v>0</v>
      </c>
      <c r="CE72" s="307">
        <v>0</v>
      </c>
      <c r="CF72" s="307"/>
      <c r="CG72" s="307"/>
      <c r="CH72" s="308"/>
      <c r="CI72" s="321">
        <v>0</v>
      </c>
      <c r="CJ72" s="321">
        <v>-23</v>
      </c>
      <c r="CK72" s="321"/>
      <c r="CL72" s="308"/>
      <c r="CM72" s="321"/>
      <c r="CN72" s="321"/>
      <c r="CO72" s="308"/>
      <c r="CP72" s="321">
        <v>0</v>
      </c>
      <c r="CQ72" s="321">
        <v>-8</v>
      </c>
      <c r="CR72" s="308"/>
      <c r="CS72" s="321">
        <v>3</v>
      </c>
      <c r="CT72" s="321">
        <v>-9</v>
      </c>
      <c r="CU72" s="308"/>
      <c r="CV72" s="321">
        <v>1</v>
      </c>
      <c r="CW72" s="321">
        <v>0</v>
      </c>
      <c r="CX72" s="308"/>
      <c r="CY72" s="321">
        <v>10</v>
      </c>
      <c r="CZ72" s="321">
        <v>-1</v>
      </c>
      <c r="DA72" s="308"/>
      <c r="DB72" s="321"/>
      <c r="DC72" s="321"/>
      <c r="DD72" s="308"/>
      <c r="DE72" s="321"/>
      <c r="DF72" s="321"/>
      <c r="DG72" s="308"/>
      <c r="DH72" s="328">
        <f t="shared" si="14"/>
        <v>59</v>
      </c>
      <c r="DI72" s="328">
        <f t="shared" si="14"/>
        <v>-61</v>
      </c>
      <c r="DJ72" s="328"/>
      <c r="DK72" s="328"/>
      <c r="DL72" s="328"/>
    </row>
    <row r="73" spans="1:116" hidden="1" outlineLevel="1">
      <c r="A73" s="30" t="str">
        <f>+qtrSales!A91</f>
        <v>3Q</v>
      </c>
      <c r="B73" s="30" t="str">
        <f>+qtrSales!B91</f>
        <v>Oct</v>
      </c>
      <c r="C73" s="30"/>
      <c r="D73" s="309">
        <f>+D72+AW73+AX73</f>
        <v>844</v>
      </c>
      <c r="E73" s="308">
        <f>+(D73/D67-1)*100</f>
        <v>6.5656565656565746</v>
      </c>
      <c r="F73" s="309">
        <f>+F72+AZ73+BA73</f>
        <v>43</v>
      </c>
      <c r="G73" s="317">
        <f>+(F73/F67-1)*100</f>
        <v>114.99999999999999</v>
      </c>
      <c r="H73" s="317"/>
      <c r="I73" s="317"/>
      <c r="J73" s="309">
        <f>+D73+F73</f>
        <v>887</v>
      </c>
      <c r="K73" s="308">
        <f>+(J73/J67-1)*100</f>
        <v>9.2364532019704413</v>
      </c>
      <c r="L73" s="325">
        <f>+L72+BK73+BL73</f>
        <v>1166</v>
      </c>
      <c r="M73" s="308">
        <f>+(L73/L67-1)*100</f>
        <v>11.685823754789283</v>
      </c>
      <c r="N73" s="309">
        <f>+N72+BT73+BU73</f>
        <v>690</v>
      </c>
      <c r="O73" s="308">
        <f>+(N73/N67-1)*100</f>
        <v>-2.2662889518413554</v>
      </c>
      <c r="P73" s="309">
        <f>+P72+BY73+BZ73</f>
        <v>511</v>
      </c>
      <c r="Q73" s="308">
        <f>+(P73/P67-1)*100</f>
        <v>-4.3071161048689133</v>
      </c>
      <c r="R73" s="309">
        <f>+R72+CD73+CE73</f>
        <v>0</v>
      </c>
      <c r="S73" s="308"/>
      <c r="T73" s="309">
        <f>+T72+CI73+CJ73</f>
        <v>487</v>
      </c>
      <c r="U73" s="308">
        <f>+(T73/T67-1)*100</f>
        <v>-17.875210792580098</v>
      </c>
      <c r="V73" s="309">
        <f>+V72+BO73+BP73</f>
        <v>1</v>
      </c>
      <c r="W73" s="317">
        <f>+(V73/V67-1)*100</f>
        <v>0</v>
      </c>
      <c r="X73" s="317"/>
      <c r="Y73" s="317"/>
      <c r="Z73" s="309"/>
      <c r="AA73" s="317"/>
      <c r="AB73" s="309">
        <f>+AB72+CP73+CQ73</f>
        <v>624</v>
      </c>
      <c r="AC73" s="308">
        <f>+(AB73/AB67-1)*100</f>
        <v>-7.8286558345642572</v>
      </c>
      <c r="AD73" s="309">
        <f>+AD72+CS73+CT73</f>
        <v>695</v>
      </c>
      <c r="AE73" s="308">
        <f>+(AD73/AD67-1)*100</f>
        <v>-9.740259740259738</v>
      </c>
      <c r="AF73" s="307">
        <v>0</v>
      </c>
      <c r="AG73" s="308">
        <f>+(AF73/AF67-1)*100</f>
        <v>-100</v>
      </c>
      <c r="AH73" s="307">
        <v>0</v>
      </c>
      <c r="AI73" s="308">
        <f>+(AH73/AH67-1)*100</f>
        <v>-100</v>
      </c>
      <c r="AJ73" s="309">
        <f>+AJ72+DB73+DC73</f>
        <v>0</v>
      </c>
      <c r="AK73" s="308"/>
      <c r="AL73" s="309">
        <f>+AL72+DE73+DF73</f>
        <v>0</v>
      </c>
      <c r="AM73" s="308"/>
      <c r="AN73" s="309"/>
      <c r="AO73" s="308"/>
      <c r="AP73" s="30"/>
      <c r="AQ73" s="451">
        <f>+J73+L73+N73+P73+R73+T73+V73+AB73+AD73+AF73+AH73+AJ73+AL73+AN73</f>
        <v>5061</v>
      </c>
      <c r="AR73" s="308">
        <f>+(AQ73/AQ67-1)*100</f>
        <v>-7.3416331014280463</v>
      </c>
      <c r="AS73" s="308"/>
      <c r="AT73" s="30" t="str">
        <f>+A73</f>
        <v>3Q</v>
      </c>
      <c r="AU73" s="30" t="str">
        <f>+B73</f>
        <v>Oct</v>
      </c>
      <c r="AV73" s="30"/>
      <c r="AW73" s="307">
        <v>22</v>
      </c>
      <c r="AX73" s="307">
        <v>-1</v>
      </c>
      <c r="AY73" s="308"/>
      <c r="AZ73" s="307">
        <v>7</v>
      </c>
      <c r="BA73" s="307">
        <v>0</v>
      </c>
      <c r="BB73" s="308"/>
      <c r="BC73" s="307"/>
      <c r="BD73" s="307"/>
      <c r="BE73" s="307"/>
      <c r="BF73" s="308"/>
      <c r="BG73" s="328">
        <f t="shared" si="13"/>
        <v>29</v>
      </c>
      <c r="BH73" s="328">
        <f t="shared" si="13"/>
        <v>-1</v>
      </c>
      <c r="BI73" s="328"/>
      <c r="BJ73" s="308"/>
      <c r="BK73" s="307">
        <v>41</v>
      </c>
      <c r="BL73" s="307">
        <v>-1</v>
      </c>
      <c r="BM73" s="307"/>
      <c r="BN73" s="308"/>
      <c r="BO73" s="321">
        <v>0</v>
      </c>
      <c r="BP73" s="321">
        <v>0</v>
      </c>
      <c r="BQ73" s="321"/>
      <c r="BR73" s="321"/>
      <c r="BS73" s="308"/>
      <c r="BT73" s="307">
        <v>4</v>
      </c>
      <c r="BU73" s="307">
        <v>-4</v>
      </c>
      <c r="BV73" s="307"/>
      <c r="BW73" s="307"/>
      <c r="BX73" s="308"/>
      <c r="BY73" s="307">
        <v>0</v>
      </c>
      <c r="BZ73" s="307">
        <v>-7</v>
      </c>
      <c r="CA73" s="307"/>
      <c r="CB73" s="307"/>
      <c r="CC73" s="308"/>
      <c r="CD73" s="307">
        <v>0</v>
      </c>
      <c r="CE73" s="307">
        <v>0</v>
      </c>
      <c r="CF73" s="307"/>
      <c r="CG73" s="307"/>
      <c r="CH73" s="308"/>
      <c r="CI73" s="321">
        <v>1</v>
      </c>
      <c r="CJ73" s="321">
        <v>-5</v>
      </c>
      <c r="CK73" s="321"/>
      <c r="CL73" s="308"/>
      <c r="CM73" s="321"/>
      <c r="CN73" s="321"/>
      <c r="CO73" s="308"/>
      <c r="CP73" s="321">
        <v>2</v>
      </c>
      <c r="CQ73" s="321">
        <v>-3</v>
      </c>
      <c r="CR73" s="308"/>
      <c r="CS73" s="321">
        <v>0</v>
      </c>
      <c r="CT73" s="321">
        <v>-4</v>
      </c>
      <c r="CU73" s="308"/>
      <c r="CV73" s="321">
        <v>1</v>
      </c>
      <c r="CW73" s="321">
        <v>0</v>
      </c>
      <c r="CX73" s="308"/>
      <c r="CY73" s="321">
        <v>3</v>
      </c>
      <c r="CZ73" s="321">
        <v>0</v>
      </c>
      <c r="DA73" s="308"/>
      <c r="DB73" s="321"/>
      <c r="DC73" s="321"/>
      <c r="DD73" s="308"/>
      <c r="DE73" s="321"/>
      <c r="DF73" s="321"/>
      <c r="DG73" s="308"/>
      <c r="DH73" s="328">
        <f t="shared" si="14"/>
        <v>81</v>
      </c>
      <c r="DI73" s="328">
        <f t="shared" si="14"/>
        <v>-25</v>
      </c>
      <c r="DJ73" s="328"/>
      <c r="DK73" s="328"/>
      <c r="DL73" s="328"/>
    </row>
    <row r="74" spans="1:116" hidden="1" outlineLevel="1">
      <c r="A74" s="30" t="str">
        <f>+qtrSales!A92</f>
        <v>4Q</v>
      </c>
      <c r="B74" s="30" t="str">
        <f>+qtrSales!B92</f>
        <v>Jan</v>
      </c>
      <c r="C74" s="30"/>
      <c r="D74" s="309">
        <f>+D73+AW74+AX74</f>
        <v>848</v>
      </c>
      <c r="E74" s="308">
        <f>+(D74/D68-1)*100</f>
        <v>6.1326658322903738</v>
      </c>
      <c r="F74" s="309">
        <f>+F73+AZ74+BA74</f>
        <v>48</v>
      </c>
      <c r="G74" s="317">
        <f>+(F74/F68-1)*100</f>
        <v>60.000000000000007</v>
      </c>
      <c r="H74" s="317"/>
      <c r="I74" s="317"/>
      <c r="J74" s="309">
        <f>+D74+F74</f>
        <v>896</v>
      </c>
      <c r="K74" s="308">
        <f>+(J74/J68-1)*100</f>
        <v>8.0820265379975886</v>
      </c>
      <c r="L74" s="325">
        <f>+L73+BK74+BL74</f>
        <v>1214</v>
      </c>
      <c r="M74" s="308">
        <f>+(L74/L68-1)*100</f>
        <v>14.420358152686141</v>
      </c>
      <c r="N74" s="309">
        <f>+N73+BT74+BU74</f>
        <v>688</v>
      </c>
      <c r="O74" s="308">
        <f>+(N74/N68-1)*100</f>
        <v>-1.9943019943019946</v>
      </c>
      <c r="P74" s="309">
        <f>+P73+BY74+BZ74</f>
        <v>499</v>
      </c>
      <c r="Q74" s="308">
        <f>+(P74/P68-1)*100</f>
        <v>-6.203007518796988</v>
      </c>
      <c r="R74" s="309">
        <f>+R73+CD74+CE74</f>
        <v>0</v>
      </c>
      <c r="S74" s="308"/>
      <c r="T74" s="309">
        <f>+T73+CI74+CJ74</f>
        <v>443</v>
      </c>
      <c r="U74" s="308">
        <f>+(T74/T68-1)*100</f>
        <v>-19.600725952813068</v>
      </c>
      <c r="V74" s="309">
        <f>+V73+BO74+BP74</f>
        <v>1</v>
      </c>
      <c r="W74" s="317">
        <f>+(V74/V68-1)*100</f>
        <v>0</v>
      </c>
      <c r="X74" s="317"/>
      <c r="Y74" s="317"/>
      <c r="Z74" s="309"/>
      <c r="AA74" s="317"/>
      <c r="AB74" s="309">
        <f>+AB73+CP74+CQ74</f>
        <v>594</v>
      </c>
      <c r="AC74" s="308">
        <f>+(AB74/AB68-1)*100</f>
        <v>-7.620528771384139</v>
      </c>
      <c r="AD74" s="309">
        <f>+AD73+CS74+CT74</f>
        <v>688</v>
      </c>
      <c r="AE74" s="308">
        <f>+(AD74/AD68-1)*100</f>
        <v>-5.7534246575342447</v>
      </c>
      <c r="AF74" s="307">
        <v>0</v>
      </c>
      <c r="AG74" s="308">
        <f>+(AF74/AF68-1)*100</f>
        <v>-100</v>
      </c>
      <c r="AH74" s="307">
        <v>0</v>
      </c>
      <c r="AI74" s="308">
        <f>+(AH74/AH68-1)*100</f>
        <v>-100</v>
      </c>
      <c r="AJ74" s="309">
        <f>+AJ73+DB74+DC74</f>
        <v>0</v>
      </c>
      <c r="AK74" s="308"/>
      <c r="AL74" s="309">
        <f>+AL73+DE74+DF74</f>
        <v>0</v>
      </c>
      <c r="AM74" s="308"/>
      <c r="AN74" s="309"/>
      <c r="AO74" s="308"/>
      <c r="AP74" s="30"/>
      <c r="AQ74" s="451">
        <f>+J74+L74+N74+P74+R74+T74+V74+AB74+AD74+AF74+AH74+AJ74+AL74+AN74</f>
        <v>5023</v>
      </c>
      <c r="AR74" s="308">
        <f>+(AQ74/AQ68-1)*100</f>
        <v>-6.6703827573392775</v>
      </c>
      <c r="AS74" s="308"/>
      <c r="AT74" s="30" t="str">
        <f>+A74</f>
        <v>4Q</v>
      </c>
      <c r="AU74" s="30" t="str">
        <f>+B74</f>
        <v>Jan</v>
      </c>
      <c r="AV74" s="30"/>
      <c r="AW74" s="302">
        <v>11</v>
      </c>
      <c r="AX74" s="302">
        <v>-7</v>
      </c>
      <c r="AY74" s="308"/>
      <c r="AZ74" s="302">
        <v>5</v>
      </c>
      <c r="BA74" s="302">
        <v>0</v>
      </c>
      <c r="BB74" s="308"/>
      <c r="BC74" s="307"/>
      <c r="BD74" s="307"/>
      <c r="BE74" s="307"/>
      <c r="BF74" s="308"/>
      <c r="BG74" s="338">
        <f t="shared" si="13"/>
        <v>16</v>
      </c>
      <c r="BH74" s="338">
        <f t="shared" si="13"/>
        <v>-7</v>
      </c>
      <c r="BI74" s="328"/>
      <c r="BJ74" s="308"/>
      <c r="BK74" s="302">
        <v>51</v>
      </c>
      <c r="BL74" s="302">
        <v>-3</v>
      </c>
      <c r="BM74" s="307"/>
      <c r="BN74" s="308"/>
      <c r="BO74" s="302">
        <v>0</v>
      </c>
      <c r="BP74" s="302">
        <v>0</v>
      </c>
      <c r="BQ74" s="307"/>
      <c r="BR74" s="307"/>
      <c r="BS74" s="308"/>
      <c r="BT74" s="302">
        <v>2</v>
      </c>
      <c r="BU74" s="302">
        <v>-4</v>
      </c>
      <c r="BV74" s="307"/>
      <c r="BW74" s="307"/>
      <c r="BX74" s="308"/>
      <c r="BY74" s="302">
        <v>0</v>
      </c>
      <c r="BZ74" s="302">
        <v>-12</v>
      </c>
      <c r="CA74" s="307"/>
      <c r="CB74" s="307"/>
      <c r="CC74" s="308"/>
      <c r="CD74" s="302">
        <v>0</v>
      </c>
      <c r="CE74" s="302">
        <v>0</v>
      </c>
      <c r="CF74" s="307"/>
      <c r="CG74" s="307"/>
      <c r="CH74" s="308"/>
      <c r="CI74" s="302">
        <v>0</v>
      </c>
      <c r="CJ74" s="302">
        <v>-44</v>
      </c>
      <c r="CK74" s="307"/>
      <c r="CL74" s="308"/>
      <c r="CM74" s="302"/>
      <c r="CN74" s="302"/>
      <c r="CO74" s="308"/>
      <c r="CP74" s="302">
        <v>1</v>
      </c>
      <c r="CQ74" s="302">
        <v>-31</v>
      </c>
      <c r="CR74" s="308"/>
      <c r="CS74" s="302">
        <v>1</v>
      </c>
      <c r="CT74" s="302">
        <v>-8</v>
      </c>
      <c r="CU74" s="308"/>
      <c r="CV74" s="302">
        <v>0</v>
      </c>
      <c r="CW74" s="302">
        <v>0</v>
      </c>
      <c r="CX74" s="308"/>
      <c r="CY74" s="302">
        <v>0</v>
      </c>
      <c r="CZ74" s="302">
        <v>0</v>
      </c>
      <c r="DA74" s="308"/>
      <c r="DB74" s="302"/>
      <c r="DC74" s="302"/>
      <c r="DD74" s="308"/>
      <c r="DE74" s="302"/>
      <c r="DF74" s="302"/>
      <c r="DG74" s="308"/>
      <c r="DH74" s="338">
        <f t="shared" si="14"/>
        <v>71</v>
      </c>
      <c r="DI74" s="338">
        <f t="shared" si="14"/>
        <v>-109</v>
      </c>
      <c r="DJ74" s="328"/>
      <c r="DK74" s="328"/>
      <c r="DL74" s="328"/>
    </row>
    <row r="75" spans="1:116" hidden="1" outlineLevel="1">
      <c r="A75" s="30"/>
      <c r="B75" s="30"/>
      <c r="C75" s="30"/>
      <c r="D75" s="30"/>
      <c r="E75" s="30"/>
      <c r="F75" s="30"/>
      <c r="G75" s="318"/>
      <c r="H75" s="318"/>
      <c r="I75" s="318"/>
      <c r="J75" s="30"/>
      <c r="K75" s="319"/>
      <c r="L75" s="30"/>
      <c r="M75" s="30"/>
      <c r="N75" s="30"/>
      <c r="O75" s="30"/>
      <c r="P75" s="30"/>
      <c r="Q75" s="30"/>
      <c r="R75" s="30"/>
      <c r="S75" s="30"/>
      <c r="T75" s="30"/>
      <c r="U75" s="30"/>
      <c r="V75" s="30"/>
      <c r="W75" s="320"/>
      <c r="X75" s="320"/>
      <c r="Y75" s="320"/>
      <c r="Z75" s="30"/>
      <c r="AA75" s="320"/>
      <c r="AB75" s="30"/>
      <c r="AC75" s="30"/>
      <c r="AD75" s="30"/>
      <c r="AE75" s="30"/>
      <c r="AF75" s="30"/>
      <c r="AG75" s="30"/>
      <c r="AH75" s="30"/>
      <c r="AI75" s="30"/>
      <c r="AJ75" s="30"/>
      <c r="AK75" s="30"/>
      <c r="AL75" s="30"/>
      <c r="AM75" s="30"/>
      <c r="AN75" s="30"/>
      <c r="AO75" s="30"/>
      <c r="AP75" s="30"/>
      <c r="AQ75" s="451"/>
      <c r="AR75" s="30"/>
      <c r="AS75" s="30"/>
      <c r="AT75" s="30"/>
      <c r="AU75" s="30"/>
      <c r="AV75" s="30"/>
      <c r="AW75" s="309">
        <f>+SUM(AW71:AW74)</f>
        <v>61</v>
      </c>
      <c r="AX75" s="328">
        <f>+SUM(AX71:AX74)</f>
        <v>-12</v>
      </c>
      <c r="AY75" s="310"/>
      <c r="AZ75" s="309">
        <f>+SUM(AZ71:AZ74)</f>
        <v>18</v>
      </c>
      <c r="BA75" s="309">
        <f>+SUM(BA71:BA74)</f>
        <v>0</v>
      </c>
      <c r="BB75" s="310"/>
      <c r="BC75" s="309"/>
      <c r="BD75" s="309"/>
      <c r="BE75" s="309"/>
      <c r="BF75" s="310"/>
      <c r="BG75" s="309">
        <f>+SUM(BG71:BG74)</f>
        <v>79</v>
      </c>
      <c r="BH75" s="328">
        <f>+SUM(BH71:BH74)</f>
        <v>-12</v>
      </c>
      <c r="BI75" s="328"/>
      <c r="BJ75" s="310"/>
      <c r="BK75" s="309">
        <f>+SUM(BK71:BK74)</f>
        <v>162</v>
      </c>
      <c r="BL75" s="328">
        <f>+SUM(BL71:BL74)</f>
        <v>-9</v>
      </c>
      <c r="BM75" s="328"/>
      <c r="BN75" s="310"/>
      <c r="BO75" s="309">
        <f>+SUM(BO71:BO74)</f>
        <v>0</v>
      </c>
      <c r="BP75" s="328">
        <f>+SUM(BP71:BP74)</f>
        <v>0</v>
      </c>
      <c r="BQ75" s="328"/>
      <c r="BR75" s="328"/>
      <c r="BS75" s="310"/>
      <c r="BT75" s="309">
        <f>+SUM(BT71:BT74)</f>
        <v>8</v>
      </c>
      <c r="BU75" s="328">
        <f>+SUM(BU71:BU74)</f>
        <v>-22</v>
      </c>
      <c r="BV75" s="328"/>
      <c r="BW75" s="328"/>
      <c r="BX75" s="310"/>
      <c r="BY75" s="309">
        <f>+SUM(BY71:BY74)</f>
        <v>1</v>
      </c>
      <c r="BZ75" s="328">
        <f>+SUM(BZ71:BZ74)</f>
        <v>-34</v>
      </c>
      <c r="CA75" s="328"/>
      <c r="CB75" s="328"/>
      <c r="CC75" s="310"/>
      <c r="CD75" s="309">
        <f>+SUM(CD71:CD74)</f>
        <v>0</v>
      </c>
      <c r="CE75" s="328">
        <f>+SUM(CE71:CE74)</f>
        <v>0</v>
      </c>
      <c r="CF75" s="328"/>
      <c r="CG75" s="328"/>
      <c r="CH75" s="310"/>
      <c r="CI75" s="309">
        <f>+SUM(CI71:CI74)</f>
        <v>2</v>
      </c>
      <c r="CJ75" s="328">
        <f>+SUM(CJ71:CJ74)</f>
        <v>-110</v>
      </c>
      <c r="CK75" s="328"/>
      <c r="CL75" s="310"/>
      <c r="CM75" s="309"/>
      <c r="CN75" s="328"/>
      <c r="CO75" s="310"/>
      <c r="CP75" s="309">
        <f>+SUM(CP71:CP74)</f>
        <v>7</v>
      </c>
      <c r="CQ75" s="328">
        <f>+SUM(CQ71:CQ74)</f>
        <v>-56</v>
      </c>
      <c r="CR75" s="310"/>
      <c r="CS75" s="309">
        <f>+SUM(CS71:CS74)</f>
        <v>9</v>
      </c>
      <c r="CT75" s="328">
        <f>+SUM(CT71:CT74)</f>
        <v>-51</v>
      </c>
      <c r="CU75" s="310"/>
      <c r="CV75" s="309">
        <f>+SUM(CV71:CV74)</f>
        <v>4</v>
      </c>
      <c r="CW75" s="328">
        <f>+SUM(CW71:CW74)</f>
        <v>0</v>
      </c>
      <c r="CX75" s="310"/>
      <c r="CY75" s="309">
        <f>+SUM(CY71:CY74)</f>
        <v>23</v>
      </c>
      <c r="CZ75" s="328">
        <f>+SUM(CZ71:CZ74)</f>
        <v>-9</v>
      </c>
      <c r="DA75" s="310"/>
      <c r="DB75" s="309">
        <f>+SUM(DB71:DB74)</f>
        <v>0</v>
      </c>
      <c r="DC75" s="328">
        <f>+SUM(DC71:DC74)</f>
        <v>0</v>
      </c>
      <c r="DD75" s="310"/>
      <c r="DE75" s="309">
        <f>+SUM(DE71:DE74)</f>
        <v>0</v>
      </c>
      <c r="DF75" s="328">
        <f>+SUM(DF71:DF74)</f>
        <v>0</v>
      </c>
      <c r="DG75" s="310"/>
      <c r="DH75" s="309">
        <f>+SUM(DH71:DH74)</f>
        <v>295</v>
      </c>
      <c r="DI75" s="328">
        <f>+SUM(DI71:DI74)</f>
        <v>-303</v>
      </c>
      <c r="DJ75" s="328"/>
      <c r="DK75" s="328"/>
      <c r="DL75" s="328"/>
    </row>
    <row r="76" spans="1:116" hidden="1" outlineLevel="1">
      <c r="A76" s="301"/>
      <c r="B76" s="312">
        <f>+qtrSales!B88</f>
        <v>2000</v>
      </c>
      <c r="C76" s="30"/>
      <c r="D76" s="30"/>
      <c r="E76" s="310"/>
      <c r="F76" s="30"/>
      <c r="G76" s="318"/>
      <c r="H76" s="318"/>
      <c r="I76" s="318"/>
      <c r="J76" s="30"/>
      <c r="K76" s="319"/>
      <c r="L76" s="30"/>
      <c r="M76" s="310"/>
      <c r="N76" s="30"/>
      <c r="O76" s="310"/>
      <c r="P76" s="30"/>
      <c r="Q76" s="310"/>
      <c r="R76" s="30"/>
      <c r="S76" s="310"/>
      <c r="T76" s="30"/>
      <c r="U76" s="310"/>
      <c r="V76" s="30"/>
      <c r="W76" s="318"/>
      <c r="X76" s="318"/>
      <c r="Y76" s="318"/>
      <c r="Z76" s="30"/>
      <c r="AA76" s="318"/>
      <c r="AB76" s="30"/>
      <c r="AC76" s="310"/>
      <c r="AD76" s="30"/>
      <c r="AE76" s="310"/>
      <c r="AF76" s="30"/>
      <c r="AG76" s="310"/>
      <c r="AH76" s="30"/>
      <c r="AI76" s="310"/>
      <c r="AJ76" s="30"/>
      <c r="AK76" s="310"/>
      <c r="AL76" s="30"/>
      <c r="AM76" s="310"/>
      <c r="AN76" s="30"/>
      <c r="AO76" s="310"/>
      <c r="AP76" s="30"/>
      <c r="AQ76" s="451"/>
      <c r="AR76" s="310"/>
      <c r="AS76" s="310"/>
      <c r="AT76" s="141"/>
      <c r="AU76" s="27">
        <f>+B76</f>
        <v>2000</v>
      </c>
      <c r="AV76" s="30"/>
      <c r="AW76" s="30"/>
      <c r="AX76" s="310"/>
      <c r="AY76" s="310"/>
      <c r="AZ76" s="30"/>
      <c r="BA76" s="318"/>
      <c r="BB76" s="310"/>
      <c r="BC76" s="318"/>
      <c r="BD76" s="318"/>
      <c r="BE76" s="318"/>
      <c r="BF76" s="310"/>
      <c r="BG76" s="30"/>
      <c r="BH76" s="318"/>
      <c r="BI76" s="318"/>
      <c r="BJ76" s="310"/>
      <c r="BK76" s="30"/>
      <c r="BL76" s="318"/>
      <c r="BM76" s="318"/>
      <c r="BN76" s="310"/>
      <c r="BO76" s="30"/>
      <c r="BP76" s="318"/>
      <c r="BQ76" s="318"/>
      <c r="BR76" s="318"/>
      <c r="BS76" s="310"/>
      <c r="BT76" s="30"/>
      <c r="BU76" s="318"/>
      <c r="BV76" s="318"/>
      <c r="BW76" s="318"/>
      <c r="BX76" s="310"/>
      <c r="BY76" s="30"/>
      <c r="BZ76" s="318"/>
      <c r="CA76" s="318"/>
      <c r="CB76" s="318"/>
      <c r="CC76" s="310"/>
      <c r="CD76" s="30"/>
      <c r="CE76" s="318"/>
      <c r="CF76" s="318"/>
      <c r="CG76" s="318"/>
      <c r="CH76" s="310"/>
      <c r="CI76" s="30"/>
      <c r="CJ76" s="318"/>
      <c r="CK76" s="318"/>
      <c r="CL76" s="310"/>
      <c r="CM76" s="30"/>
      <c r="CN76" s="318"/>
      <c r="CO76" s="310"/>
      <c r="CP76" s="30"/>
      <c r="CQ76" s="318"/>
      <c r="CR76" s="310"/>
      <c r="CS76" s="30"/>
      <c r="CT76" s="318"/>
      <c r="CU76" s="310"/>
      <c r="CV76" s="30"/>
      <c r="CW76" s="318"/>
      <c r="CX76" s="310"/>
      <c r="CY76" s="30"/>
      <c r="CZ76" s="318"/>
      <c r="DA76" s="310"/>
      <c r="DB76" s="30"/>
      <c r="DC76" s="318"/>
      <c r="DD76" s="310"/>
      <c r="DE76" s="30"/>
      <c r="DF76" s="318"/>
      <c r="DG76" s="310"/>
      <c r="DH76" s="30"/>
      <c r="DI76" s="318"/>
      <c r="DJ76" s="318"/>
      <c r="DK76" s="318"/>
      <c r="DL76" s="318"/>
    </row>
    <row r="77" spans="1:116" hidden="1" outlineLevel="1">
      <c r="A77" s="30" t="str">
        <f>+qtrSales!A96</f>
        <v>1Q</v>
      </c>
      <c r="B77" s="30" t="str">
        <f>+qtrSales!B96</f>
        <v>Apr</v>
      </c>
      <c r="C77" s="30"/>
      <c r="D77" s="309">
        <f>+D74+AW77+AX77</f>
        <v>846</v>
      </c>
      <c r="E77" s="308">
        <f>+(D77/D71-1)*100</f>
        <v>3.8036809815950923</v>
      </c>
      <c r="F77" s="309">
        <f>+F74+AZ77+BA77</f>
        <v>48</v>
      </c>
      <c r="G77" s="317">
        <f>+(F77/F71-1)*100</f>
        <v>41.176470588235304</v>
      </c>
      <c r="H77" s="317"/>
      <c r="I77" s="317"/>
      <c r="J77" s="309">
        <f>+D77+F77</f>
        <v>894</v>
      </c>
      <c r="K77" s="308">
        <f>+(J77/J71-1)*100</f>
        <v>5.3003533568904526</v>
      </c>
      <c r="L77" s="325">
        <f>+L74+BK77+BL77</f>
        <v>1250</v>
      </c>
      <c r="M77" s="308">
        <f>+(L77/L71-1)*100</f>
        <v>13.533151680290656</v>
      </c>
      <c r="N77" s="309">
        <f>+N74+BT77+BU77</f>
        <v>677</v>
      </c>
      <c r="O77" s="308">
        <f>+(N77/N71-1)*100</f>
        <v>-2.449567723342938</v>
      </c>
      <c r="P77" s="309">
        <f>+P74+BY77+BZ77</f>
        <v>492</v>
      </c>
      <c r="Q77" s="308">
        <f>+(P77/P71-1)*100</f>
        <v>-6.1068702290076331</v>
      </c>
      <c r="R77" s="309">
        <f>+R74+CD77+CE77</f>
        <v>0</v>
      </c>
      <c r="S77" s="308"/>
      <c r="T77" s="309">
        <f>+T74+CI77+CJ77</f>
        <v>431</v>
      </c>
      <c r="U77" s="308">
        <f>+(T77/T71-1)*100</f>
        <v>-16.147859922178988</v>
      </c>
      <c r="V77" s="309">
        <f>+V74+BO77+BP77</f>
        <v>1</v>
      </c>
      <c r="W77" s="317">
        <f>+(V77/V71-1)*100</f>
        <v>0</v>
      </c>
      <c r="X77" s="317"/>
      <c r="Y77" s="317"/>
      <c r="Z77" s="309"/>
      <c r="AA77" s="317"/>
      <c r="AB77" s="309">
        <f>+AB74+CP77+CQ77</f>
        <v>587</v>
      </c>
      <c r="AC77" s="308">
        <f>+(AB77/AB71-1)*100</f>
        <v>-7.2669826224328604</v>
      </c>
      <c r="AD77" s="309">
        <f>+AD74+CS77+CT77</f>
        <v>661</v>
      </c>
      <c r="AE77" s="308">
        <f>+(AD77/AD71-1)*100</f>
        <v>-6.241134751773048</v>
      </c>
      <c r="AF77" s="307"/>
      <c r="AG77" s="308"/>
      <c r="AH77" s="307"/>
      <c r="AI77" s="308"/>
      <c r="AJ77" s="307"/>
      <c r="AK77" s="308"/>
      <c r="AL77" s="307"/>
      <c r="AM77" s="308"/>
      <c r="AN77" s="307"/>
      <c r="AO77" s="308"/>
      <c r="AP77" s="30"/>
      <c r="AQ77" s="451">
        <f>+J77+L77+N77+P77+R77+T77+V77+AB77+AD77+AF77+AH77+AJ77+AL77+AN77</f>
        <v>4993</v>
      </c>
      <c r="AR77" s="308">
        <f>+(AQ77/AQ71-1)*100</f>
        <v>-6.8122433743934341</v>
      </c>
      <c r="AS77" s="308"/>
      <c r="AT77" s="30" t="str">
        <f>+A77</f>
        <v>1Q</v>
      </c>
      <c r="AU77" s="30" t="str">
        <f>+B77</f>
        <v>Apr</v>
      </c>
      <c r="AV77" s="30"/>
      <c r="AW77" s="307">
        <v>2</v>
      </c>
      <c r="AX77" s="307">
        <v>-4</v>
      </c>
      <c r="AY77" s="308"/>
      <c r="AZ77" s="307">
        <v>0</v>
      </c>
      <c r="BA77" s="307">
        <v>0</v>
      </c>
      <c r="BB77" s="308"/>
      <c r="BC77" s="307"/>
      <c r="BD77" s="307"/>
      <c r="BE77" s="307"/>
      <c r="BF77" s="308"/>
      <c r="BG77" s="328">
        <f t="shared" ref="BG77:BH80" si="15">+AW77+AZ77</f>
        <v>2</v>
      </c>
      <c r="BH77" s="328">
        <f t="shared" si="15"/>
        <v>-4</v>
      </c>
      <c r="BI77" s="328"/>
      <c r="BJ77" s="308"/>
      <c r="BK77" s="307">
        <v>36</v>
      </c>
      <c r="BL77" s="307">
        <v>0</v>
      </c>
      <c r="BM77" s="307"/>
      <c r="BN77" s="308"/>
      <c r="BO77" s="321">
        <v>0</v>
      </c>
      <c r="BP77" s="321">
        <v>0</v>
      </c>
      <c r="BQ77" s="321"/>
      <c r="BR77" s="321"/>
      <c r="BS77" s="308"/>
      <c r="BT77" s="307">
        <v>0</v>
      </c>
      <c r="BU77" s="307">
        <v>-11</v>
      </c>
      <c r="BV77" s="307"/>
      <c r="BW77" s="307"/>
      <c r="BX77" s="308"/>
      <c r="BY77" s="307">
        <v>0</v>
      </c>
      <c r="BZ77" s="307">
        <v>-7</v>
      </c>
      <c r="CA77" s="307"/>
      <c r="CB77" s="307"/>
      <c r="CC77" s="308"/>
      <c r="CD77" s="307">
        <v>0</v>
      </c>
      <c r="CE77" s="307">
        <v>0</v>
      </c>
      <c r="CF77" s="307"/>
      <c r="CG77" s="307"/>
      <c r="CH77" s="308"/>
      <c r="CI77" s="321">
        <v>0</v>
      </c>
      <c r="CJ77" s="321">
        <v>-12</v>
      </c>
      <c r="CK77" s="321"/>
      <c r="CL77" s="308"/>
      <c r="CM77" s="321"/>
      <c r="CN77" s="321"/>
      <c r="CO77" s="308"/>
      <c r="CP77" s="321">
        <v>0</v>
      </c>
      <c r="CQ77" s="321">
        <v>-7</v>
      </c>
      <c r="CR77" s="308"/>
      <c r="CS77" s="321">
        <v>2</v>
      </c>
      <c r="CT77" s="321">
        <v>-29</v>
      </c>
      <c r="CU77" s="308"/>
      <c r="CV77" s="321"/>
      <c r="CW77" s="321"/>
      <c r="CX77" s="308"/>
      <c r="CY77" s="321"/>
      <c r="CZ77" s="321"/>
      <c r="DA77" s="308"/>
      <c r="DB77" s="321"/>
      <c r="DC77" s="321"/>
      <c r="DD77" s="308"/>
      <c r="DE77" s="321"/>
      <c r="DF77" s="321"/>
      <c r="DG77" s="308"/>
      <c r="DH77" s="328">
        <f t="shared" ref="DH77:DI80" si="16">+BG77+BK77+BT77+BY77+CD77+CI77+BO77+CP77+CS77+CV77+CY77+DB77+DE77</f>
        <v>40</v>
      </c>
      <c r="DI77" s="328">
        <f t="shared" si="16"/>
        <v>-70</v>
      </c>
      <c r="DJ77" s="328"/>
      <c r="DK77" s="328"/>
      <c r="DL77" s="328"/>
    </row>
    <row r="78" spans="1:116" hidden="1" outlineLevel="1">
      <c r="A78" s="30" t="str">
        <f>+qtrSales!A97</f>
        <v>2Q</v>
      </c>
      <c r="B78" s="30" t="str">
        <f>+qtrSales!B97</f>
        <v>Jul</v>
      </c>
      <c r="C78" s="30"/>
      <c r="D78" s="309">
        <f>+D77+AW78+AX78</f>
        <v>854</v>
      </c>
      <c r="E78" s="308">
        <f>+(D78/D72-1)*100</f>
        <v>3.7667071688942899</v>
      </c>
      <c r="F78" s="309">
        <f>+F77+AZ78+BA78</f>
        <v>48</v>
      </c>
      <c r="G78" s="317">
        <f>+(F78/F72-1)*100</f>
        <v>33.333333333333329</v>
      </c>
      <c r="H78" s="317"/>
      <c r="I78" s="317"/>
      <c r="J78" s="309">
        <f>+D78+F78</f>
        <v>902</v>
      </c>
      <c r="K78" s="308">
        <f>+(J78/J72-1)*100</f>
        <v>5.0058207217694939</v>
      </c>
      <c r="L78" s="325">
        <f>+L77+BK78+BL78</f>
        <v>1303</v>
      </c>
      <c r="M78" s="308">
        <f>+(L78/L72-1)*100</f>
        <v>15.719360568383657</v>
      </c>
      <c r="N78" s="309">
        <f>+N77+BT78+BU78</f>
        <v>677</v>
      </c>
      <c r="O78" s="308">
        <f>+(N78/N72-1)*100</f>
        <v>-1.8840579710144967</v>
      </c>
      <c r="P78" s="309">
        <f>+P77+BY78+BZ78</f>
        <v>488</v>
      </c>
      <c r="Q78" s="308">
        <f>+(P78/P72-1)*100</f>
        <v>-5.7915057915057915</v>
      </c>
      <c r="R78" s="309">
        <f>+R77+CD78+CE78</f>
        <v>0</v>
      </c>
      <c r="S78" s="308"/>
      <c r="T78" s="309">
        <f>+T77+CI78+CJ78</f>
        <v>422</v>
      </c>
      <c r="U78" s="308">
        <f>+(T78/T72-1)*100</f>
        <v>-14.052953156822811</v>
      </c>
      <c r="V78" s="309">
        <f>+V77+BO78+BP78</f>
        <v>1</v>
      </c>
      <c r="W78" s="317">
        <f>+(V78/V72-1)*100</f>
        <v>0</v>
      </c>
      <c r="X78" s="317"/>
      <c r="Y78" s="317"/>
      <c r="Z78" s="309"/>
      <c r="AA78" s="317"/>
      <c r="AB78" s="309">
        <f>+AB77+CP78+CQ78</f>
        <v>585</v>
      </c>
      <c r="AC78" s="308">
        <f>+(AB78/AB72-1)*100</f>
        <v>-6.399999999999995</v>
      </c>
      <c r="AD78" s="309">
        <f>+AD77+CS78+CT78</f>
        <v>660</v>
      </c>
      <c r="AE78" s="308">
        <f>+(AD78/AD72-1)*100</f>
        <v>-5.579399141630903</v>
      </c>
      <c r="AF78" s="307"/>
      <c r="AG78" s="308"/>
      <c r="AH78" s="307"/>
      <c r="AI78" s="308"/>
      <c r="AJ78" s="307"/>
      <c r="AK78" s="308"/>
      <c r="AL78" s="307"/>
      <c r="AM78" s="308"/>
      <c r="AN78" s="307"/>
      <c r="AO78" s="308"/>
      <c r="AP78" s="30"/>
      <c r="AQ78" s="451">
        <f>+J78+L78+N78+P78+R78+T78+V78+AB78+AD78+AF78+AH78+AJ78+AL78+AN78</f>
        <v>5038</v>
      </c>
      <c r="AR78" s="308">
        <f>+(AQ78/AQ72-1)*100</f>
        <v>-5.9372666168782668</v>
      </c>
      <c r="AS78" s="308"/>
      <c r="AT78" s="30" t="str">
        <f>+A78</f>
        <v>2Q</v>
      </c>
      <c r="AU78" s="30" t="str">
        <f>+B78</f>
        <v>Jul</v>
      </c>
      <c r="AV78" s="30"/>
      <c r="AW78" s="307">
        <v>10</v>
      </c>
      <c r="AX78" s="307">
        <v>-2</v>
      </c>
      <c r="AY78" s="308"/>
      <c r="AZ78" s="307">
        <v>0</v>
      </c>
      <c r="BA78" s="307">
        <v>0</v>
      </c>
      <c r="BB78" s="308"/>
      <c r="BC78" s="307"/>
      <c r="BD78" s="307"/>
      <c r="BE78" s="307"/>
      <c r="BF78" s="308"/>
      <c r="BG78" s="328">
        <f t="shared" si="15"/>
        <v>10</v>
      </c>
      <c r="BH78" s="328">
        <f t="shared" si="15"/>
        <v>-2</v>
      </c>
      <c r="BI78" s="328"/>
      <c r="BJ78" s="308"/>
      <c r="BK78" s="307">
        <v>54</v>
      </c>
      <c r="BL78" s="307">
        <v>-1</v>
      </c>
      <c r="BM78" s="307"/>
      <c r="BN78" s="308"/>
      <c r="BO78" s="321">
        <v>0</v>
      </c>
      <c r="BP78" s="321">
        <v>0</v>
      </c>
      <c r="BQ78" s="321"/>
      <c r="BR78" s="321"/>
      <c r="BS78" s="308"/>
      <c r="BT78" s="307">
        <v>1</v>
      </c>
      <c r="BU78" s="307">
        <v>-1</v>
      </c>
      <c r="BV78" s="307"/>
      <c r="BW78" s="307"/>
      <c r="BX78" s="308"/>
      <c r="BY78" s="307">
        <v>0</v>
      </c>
      <c r="BZ78" s="307">
        <v>-4</v>
      </c>
      <c r="CA78" s="307"/>
      <c r="CB78" s="307"/>
      <c r="CC78" s="308"/>
      <c r="CD78" s="307">
        <v>0</v>
      </c>
      <c r="CE78" s="307">
        <v>0</v>
      </c>
      <c r="CF78" s="307"/>
      <c r="CG78" s="307"/>
      <c r="CH78" s="308"/>
      <c r="CI78" s="321">
        <v>0</v>
      </c>
      <c r="CJ78" s="321">
        <v>-9</v>
      </c>
      <c r="CK78" s="321"/>
      <c r="CL78" s="308"/>
      <c r="CM78" s="321"/>
      <c r="CN78" s="321"/>
      <c r="CO78" s="308"/>
      <c r="CP78" s="321">
        <v>1</v>
      </c>
      <c r="CQ78" s="321">
        <v>-3</v>
      </c>
      <c r="CR78" s="308"/>
      <c r="CS78" s="321">
        <v>2</v>
      </c>
      <c r="CT78" s="321">
        <v>-3</v>
      </c>
      <c r="CU78" s="308"/>
      <c r="CV78" s="321"/>
      <c r="CW78" s="321"/>
      <c r="CX78" s="308"/>
      <c r="CY78" s="321"/>
      <c r="CZ78" s="321"/>
      <c r="DA78" s="308"/>
      <c r="DB78" s="321"/>
      <c r="DC78" s="321"/>
      <c r="DD78" s="308"/>
      <c r="DE78" s="321"/>
      <c r="DF78" s="321"/>
      <c r="DG78" s="308"/>
      <c r="DH78" s="328">
        <f t="shared" si="16"/>
        <v>68</v>
      </c>
      <c r="DI78" s="328">
        <f t="shared" si="16"/>
        <v>-23</v>
      </c>
      <c r="DJ78" s="328"/>
      <c r="DK78" s="328"/>
      <c r="DL78" s="328"/>
    </row>
    <row r="79" spans="1:116" hidden="1" outlineLevel="1">
      <c r="A79" s="30" t="str">
        <f>+qtrSales!A98</f>
        <v>3Q</v>
      </c>
      <c r="B79" s="30" t="str">
        <f>+qtrSales!B98</f>
        <v>Oct</v>
      </c>
      <c r="C79" s="30"/>
      <c r="D79" s="309">
        <f>+D78+AW79+AX79</f>
        <v>872</v>
      </c>
      <c r="E79" s="308">
        <f>+(D79/D73-1)*100</f>
        <v>3.3175355450236976</v>
      </c>
      <c r="F79" s="309">
        <f>+F78+AZ79+BA79</f>
        <v>55</v>
      </c>
      <c r="G79" s="317">
        <f>+(F79/F73-1)*100</f>
        <v>27.906976744186053</v>
      </c>
      <c r="H79" s="317"/>
      <c r="I79" s="317"/>
      <c r="J79" s="309">
        <f>+D79+F79</f>
        <v>927</v>
      </c>
      <c r="K79" s="308">
        <f>+(J79/J73-1)*100</f>
        <v>4.5095828635851154</v>
      </c>
      <c r="L79" s="325">
        <f>+L78+BK79+BL79</f>
        <v>1410</v>
      </c>
      <c r="M79" s="308">
        <f>+(L79/L73-1)*100</f>
        <v>20.926243567753012</v>
      </c>
      <c r="N79" s="309">
        <f>+N78+BT79+BU79</f>
        <v>677</v>
      </c>
      <c r="O79" s="308">
        <f>+(N79/N73-1)*100</f>
        <v>-1.8840579710144967</v>
      </c>
      <c r="P79" s="309">
        <f>+P78+BY79+BZ79</f>
        <v>481</v>
      </c>
      <c r="Q79" s="308">
        <f>+(P79/P73-1)*100</f>
        <v>-5.8708414872798436</v>
      </c>
      <c r="R79" s="309">
        <f>+R78+CD79+CE79</f>
        <v>0</v>
      </c>
      <c r="S79" s="308"/>
      <c r="T79" s="309">
        <f>+T78+CI79+CJ79</f>
        <v>418</v>
      </c>
      <c r="U79" s="308">
        <f>+(T79/T73-1)*100</f>
        <v>-14.16837782340863</v>
      </c>
      <c r="V79" s="309">
        <f>+V78+BO79+BP79</f>
        <v>1</v>
      </c>
      <c r="W79" s="317">
        <f>+(V79/V73-1)*100</f>
        <v>0</v>
      </c>
      <c r="X79" s="317"/>
      <c r="Y79" s="317"/>
      <c r="Z79" s="309"/>
      <c r="AA79" s="317"/>
      <c r="AB79" s="309">
        <f>+AB78+CP79+CQ79</f>
        <v>579</v>
      </c>
      <c r="AC79" s="308">
        <f>+(AB79/AB73-1)*100</f>
        <v>-7.2115384615384581</v>
      </c>
      <c r="AD79" s="309">
        <f>+AD78+CS79+CT79</f>
        <v>663</v>
      </c>
      <c r="AE79" s="308">
        <f>+(AD79/AD73-1)*100</f>
        <v>-4.6043165467625879</v>
      </c>
      <c r="AF79" s="307"/>
      <c r="AG79" s="308"/>
      <c r="AH79" s="307"/>
      <c r="AI79" s="308"/>
      <c r="AJ79" s="307"/>
      <c r="AK79" s="308"/>
      <c r="AL79" s="307"/>
      <c r="AM79" s="308"/>
      <c r="AN79" s="307"/>
      <c r="AO79" s="308"/>
      <c r="AP79" s="30"/>
      <c r="AQ79" s="451">
        <f>+J79+L79+N79+P79+R79+T79+V79+AB79+AD79+AF79+AH79+AJ79+AL79+AN79</f>
        <v>5156</v>
      </c>
      <c r="AR79" s="308">
        <f>+(AQ79/AQ73-1)*100</f>
        <v>1.8770993874728248</v>
      </c>
      <c r="AS79" s="308"/>
      <c r="AT79" s="30" t="str">
        <f>+A79</f>
        <v>3Q</v>
      </c>
      <c r="AU79" s="30" t="str">
        <f>+B79</f>
        <v>Oct</v>
      </c>
      <c r="AV79" s="30"/>
      <c r="AW79" s="307">
        <v>19</v>
      </c>
      <c r="AX79" s="307">
        <v>-1</v>
      </c>
      <c r="AY79" s="308"/>
      <c r="AZ79" s="307">
        <v>7</v>
      </c>
      <c r="BA79" s="307">
        <v>0</v>
      </c>
      <c r="BB79" s="308"/>
      <c r="BC79" s="307"/>
      <c r="BD79" s="307"/>
      <c r="BE79" s="307"/>
      <c r="BF79" s="308"/>
      <c r="BG79" s="328">
        <f t="shared" si="15"/>
        <v>26</v>
      </c>
      <c r="BH79" s="328">
        <f t="shared" si="15"/>
        <v>-1</v>
      </c>
      <c r="BI79" s="328"/>
      <c r="BJ79" s="308"/>
      <c r="BK79" s="307">
        <v>110</v>
      </c>
      <c r="BL79" s="307">
        <v>-3</v>
      </c>
      <c r="BM79" s="307"/>
      <c r="BN79" s="308"/>
      <c r="BO79" s="321">
        <v>0</v>
      </c>
      <c r="BP79" s="321">
        <v>0</v>
      </c>
      <c r="BQ79" s="321"/>
      <c r="BR79" s="321"/>
      <c r="BS79" s="308"/>
      <c r="BT79" s="307">
        <v>3</v>
      </c>
      <c r="BU79" s="307">
        <v>-3</v>
      </c>
      <c r="BV79" s="307"/>
      <c r="BW79" s="307"/>
      <c r="BX79" s="308"/>
      <c r="BY79" s="307">
        <v>0</v>
      </c>
      <c r="BZ79" s="307">
        <v>-7</v>
      </c>
      <c r="CA79" s="307"/>
      <c r="CB79" s="307"/>
      <c r="CC79" s="308"/>
      <c r="CD79" s="307">
        <v>0</v>
      </c>
      <c r="CE79" s="307">
        <v>0</v>
      </c>
      <c r="CF79" s="307"/>
      <c r="CG79" s="307"/>
      <c r="CH79" s="308"/>
      <c r="CI79" s="321">
        <v>0</v>
      </c>
      <c r="CJ79" s="321">
        <v>-4</v>
      </c>
      <c r="CK79" s="321"/>
      <c r="CL79" s="308"/>
      <c r="CM79" s="321"/>
      <c r="CN79" s="321"/>
      <c r="CO79" s="308"/>
      <c r="CP79" s="321">
        <v>1</v>
      </c>
      <c r="CQ79" s="321">
        <v>-7</v>
      </c>
      <c r="CR79" s="308"/>
      <c r="CS79" s="321">
        <v>6</v>
      </c>
      <c r="CT79" s="321">
        <v>-3</v>
      </c>
      <c r="CU79" s="308"/>
      <c r="CV79" s="321"/>
      <c r="CW79" s="321"/>
      <c r="CX79" s="308"/>
      <c r="CY79" s="321"/>
      <c r="CZ79" s="321"/>
      <c r="DA79" s="308"/>
      <c r="DB79" s="321"/>
      <c r="DC79" s="321"/>
      <c r="DD79" s="308"/>
      <c r="DE79" s="321"/>
      <c r="DF79" s="321"/>
      <c r="DG79" s="308"/>
      <c r="DH79" s="328">
        <f t="shared" si="16"/>
        <v>146</v>
      </c>
      <c r="DI79" s="328">
        <f t="shared" si="16"/>
        <v>-28</v>
      </c>
      <c r="DJ79" s="328"/>
      <c r="DK79" s="328"/>
      <c r="DL79" s="328"/>
    </row>
    <row r="80" spans="1:116" hidden="1" outlineLevel="1">
      <c r="A80" s="30" t="str">
        <f>+qtrSales!A99</f>
        <v>4Q</v>
      </c>
      <c r="B80" s="30" t="str">
        <f>+qtrSales!B99</f>
        <v>Jan</v>
      </c>
      <c r="C80" s="30"/>
      <c r="D80" s="309">
        <f>+D79+AW80+AX80</f>
        <v>878</v>
      </c>
      <c r="E80" s="308">
        <f>+(D80/D74-1)*100</f>
        <v>3.5377358490566113</v>
      </c>
      <c r="F80" s="309">
        <f>+F79+AZ80+BA80</f>
        <v>80</v>
      </c>
      <c r="G80" s="317">
        <f>+(F80/F74-1)*100</f>
        <v>66.666666666666671</v>
      </c>
      <c r="H80" s="317"/>
      <c r="I80" s="317"/>
      <c r="J80" s="309">
        <f>+D80+F80</f>
        <v>958</v>
      </c>
      <c r="K80" s="308">
        <f>+(J80/J74-1)*100</f>
        <v>6.9196428571428603</v>
      </c>
      <c r="L80" s="325">
        <f>+L79+BK80+BL80</f>
        <v>1432</v>
      </c>
      <c r="M80" s="308">
        <f>+(L80/L74-1)*100</f>
        <v>17.957166392092262</v>
      </c>
      <c r="N80" s="309">
        <f>+N79+BT80+BU80</f>
        <v>667</v>
      </c>
      <c r="O80" s="308">
        <f>+(N80/N74-1)*100</f>
        <v>-3.0523255813953543</v>
      </c>
      <c r="P80" s="309">
        <f>+P79+BY80+BZ80</f>
        <v>469</v>
      </c>
      <c r="Q80" s="308">
        <f>+(P80/P74-1)*100</f>
        <v>-6.0120240480961868</v>
      </c>
      <c r="R80" s="309">
        <f>+R79+CD80+CE80</f>
        <v>0</v>
      </c>
      <c r="S80" s="308"/>
      <c r="T80" s="309">
        <f>+T79+CI80+CJ80</f>
        <v>389</v>
      </c>
      <c r="U80" s="308">
        <f>+(T80/T74-1)*100</f>
        <v>-12.189616252821667</v>
      </c>
      <c r="V80" s="309">
        <f>+V79+BO80+BP80</f>
        <v>1</v>
      </c>
      <c r="W80" s="317">
        <f>+(V80/V74-1)*100</f>
        <v>0</v>
      </c>
      <c r="X80" s="317"/>
      <c r="Y80" s="317"/>
      <c r="Z80" s="309"/>
      <c r="AA80" s="317"/>
      <c r="AB80" s="309">
        <f>+AB79+CP80+CQ80</f>
        <v>560</v>
      </c>
      <c r="AC80" s="308">
        <f>+(AB80/AB74-1)*100</f>
        <v>-5.7239057239057196</v>
      </c>
      <c r="AD80" s="309">
        <f>+AD79+CS80+CT80</f>
        <v>653</v>
      </c>
      <c r="AE80" s="308">
        <f>+(AD80/AD74-1)*100</f>
        <v>-5.0872093023255793</v>
      </c>
      <c r="AF80" s="307"/>
      <c r="AG80" s="308"/>
      <c r="AH80" s="307"/>
      <c r="AI80" s="308"/>
      <c r="AJ80" s="307"/>
      <c r="AK80" s="308"/>
      <c r="AL80" s="307"/>
      <c r="AM80" s="308"/>
      <c r="AN80" s="307"/>
      <c r="AO80" s="308"/>
      <c r="AP80" s="30"/>
      <c r="AQ80" s="451">
        <f>+J80+L80+N80+P80+R80+T80+V80+AB80+AD80+AF80+AH80+AJ80+AL80+AN80</f>
        <v>5129</v>
      </c>
      <c r="AR80" s="308">
        <f>+(AQ80/AQ74-1)*100</f>
        <v>2.1102926537925448</v>
      </c>
      <c r="AS80" s="308"/>
      <c r="AT80" s="30" t="str">
        <f>+A80</f>
        <v>4Q</v>
      </c>
      <c r="AU80" s="30" t="str">
        <f>+B80</f>
        <v>Jan</v>
      </c>
      <c r="AV80" s="30"/>
      <c r="AW80" s="302">
        <v>12</v>
      </c>
      <c r="AX80" s="302">
        <v>-6</v>
      </c>
      <c r="AY80" s="308"/>
      <c r="AZ80" s="302">
        <v>25</v>
      </c>
      <c r="BA80" s="302">
        <v>0</v>
      </c>
      <c r="BB80" s="308"/>
      <c r="BC80" s="307"/>
      <c r="BD80" s="307"/>
      <c r="BE80" s="307"/>
      <c r="BF80" s="308"/>
      <c r="BG80" s="338">
        <f t="shared" si="15"/>
        <v>37</v>
      </c>
      <c r="BH80" s="338">
        <f t="shared" si="15"/>
        <v>-6</v>
      </c>
      <c r="BI80" s="328"/>
      <c r="BJ80" s="308"/>
      <c r="BK80" s="302">
        <v>30</v>
      </c>
      <c r="BL80" s="302">
        <v>-8</v>
      </c>
      <c r="BM80" s="307"/>
      <c r="BN80" s="308"/>
      <c r="BO80" s="302">
        <v>0</v>
      </c>
      <c r="BP80" s="302">
        <v>0</v>
      </c>
      <c r="BQ80" s="307"/>
      <c r="BR80" s="307"/>
      <c r="BS80" s="308"/>
      <c r="BT80" s="302">
        <v>0</v>
      </c>
      <c r="BU80" s="302">
        <v>-10</v>
      </c>
      <c r="BV80" s="307"/>
      <c r="BW80" s="307"/>
      <c r="BX80" s="308"/>
      <c r="BY80" s="302">
        <v>0</v>
      </c>
      <c r="BZ80" s="302">
        <v>-12</v>
      </c>
      <c r="CA80" s="307"/>
      <c r="CB80" s="307"/>
      <c r="CC80" s="308"/>
      <c r="CD80" s="302">
        <v>0</v>
      </c>
      <c r="CE80" s="302">
        <v>0</v>
      </c>
      <c r="CF80" s="307"/>
      <c r="CG80" s="307"/>
      <c r="CH80" s="308"/>
      <c r="CI80" s="302">
        <v>0</v>
      </c>
      <c r="CJ80" s="302">
        <v>-29</v>
      </c>
      <c r="CK80" s="307"/>
      <c r="CL80" s="308"/>
      <c r="CM80" s="302"/>
      <c r="CN80" s="302"/>
      <c r="CO80" s="308"/>
      <c r="CP80" s="302">
        <v>3</v>
      </c>
      <c r="CQ80" s="302">
        <v>-22</v>
      </c>
      <c r="CR80" s="308"/>
      <c r="CS80" s="302">
        <v>6</v>
      </c>
      <c r="CT80" s="302">
        <v>-16</v>
      </c>
      <c r="CU80" s="308"/>
      <c r="CV80" s="302"/>
      <c r="CW80" s="302"/>
      <c r="CX80" s="308"/>
      <c r="CY80" s="302"/>
      <c r="CZ80" s="302"/>
      <c r="DA80" s="308"/>
      <c r="DB80" s="302"/>
      <c r="DC80" s="302"/>
      <c r="DD80" s="308"/>
      <c r="DE80" s="302"/>
      <c r="DF80" s="302"/>
      <c r="DG80" s="308"/>
      <c r="DH80" s="338">
        <f t="shared" si="16"/>
        <v>76</v>
      </c>
      <c r="DI80" s="338">
        <f t="shared" si="16"/>
        <v>-103</v>
      </c>
      <c r="DJ80" s="328"/>
      <c r="DK80" s="328"/>
      <c r="DL80" s="328"/>
    </row>
    <row r="81" spans="1:116" hidden="1" outlineLevel="1">
      <c r="A81" s="30"/>
      <c r="B81" s="30"/>
      <c r="C81" s="30"/>
      <c r="D81" s="30"/>
      <c r="E81" s="30"/>
      <c r="F81" s="30"/>
      <c r="G81" s="318"/>
      <c r="H81" s="318"/>
      <c r="I81" s="318"/>
      <c r="J81" s="30"/>
      <c r="K81" s="319"/>
      <c r="L81" s="30"/>
      <c r="M81" s="30"/>
      <c r="N81" s="309"/>
      <c r="O81" s="30"/>
      <c r="P81" s="30"/>
      <c r="Q81" s="30"/>
      <c r="R81" s="30"/>
      <c r="S81" s="30"/>
      <c r="T81" s="30"/>
      <c r="U81" s="30"/>
      <c r="V81" s="30"/>
      <c r="W81" s="320"/>
      <c r="X81" s="320"/>
      <c r="Y81" s="320"/>
      <c r="Z81" s="30"/>
      <c r="AA81" s="320"/>
      <c r="AB81" s="30"/>
      <c r="AC81" s="30"/>
      <c r="AD81" s="30"/>
      <c r="AE81" s="30"/>
      <c r="AF81" s="30"/>
      <c r="AG81" s="30"/>
      <c r="AH81" s="30"/>
      <c r="AI81" s="30"/>
      <c r="AJ81" s="30"/>
      <c r="AK81" s="30"/>
      <c r="AL81" s="30"/>
      <c r="AM81" s="30"/>
      <c r="AN81" s="30"/>
      <c r="AO81" s="30"/>
      <c r="AP81" s="30"/>
      <c r="AQ81" s="451"/>
      <c r="AR81" s="30"/>
      <c r="AS81" s="30"/>
      <c r="AT81" s="30"/>
      <c r="AU81" s="30"/>
      <c r="AV81" s="30"/>
      <c r="AW81" s="309">
        <f>+SUM(AW77:AW80)</f>
        <v>43</v>
      </c>
      <c r="AX81" s="328">
        <f>+SUM(AX77:AX80)</f>
        <v>-13</v>
      </c>
      <c r="AY81" s="310"/>
      <c r="AZ81" s="309">
        <f>+SUM(AZ77:AZ80)</f>
        <v>32</v>
      </c>
      <c r="BA81" s="309">
        <f>+SUM(BA77:BA80)</f>
        <v>0</v>
      </c>
      <c r="BB81" s="310"/>
      <c r="BC81" s="309"/>
      <c r="BD81" s="309"/>
      <c r="BE81" s="309"/>
      <c r="BF81" s="310"/>
      <c r="BG81" s="309">
        <f>+SUM(BG77:BG80)</f>
        <v>75</v>
      </c>
      <c r="BH81" s="328">
        <f>+SUM(BH77:BH80)</f>
        <v>-13</v>
      </c>
      <c r="BI81" s="328"/>
      <c r="BJ81" s="310"/>
      <c r="BK81" s="309">
        <f>+SUM(BK77:BK80)</f>
        <v>230</v>
      </c>
      <c r="BL81" s="328">
        <f>+SUM(BL77:BL80)</f>
        <v>-12</v>
      </c>
      <c r="BM81" s="328"/>
      <c r="BN81" s="310"/>
      <c r="BO81" s="309">
        <f>+SUM(BO77:BO80)</f>
        <v>0</v>
      </c>
      <c r="BP81" s="328">
        <f>+SUM(BP77:BP80)</f>
        <v>0</v>
      </c>
      <c r="BQ81" s="328"/>
      <c r="BR81" s="328"/>
      <c r="BS81" s="310"/>
      <c r="BT81" s="309">
        <f>+SUM(BT77:BT80)</f>
        <v>4</v>
      </c>
      <c r="BU81" s="328">
        <f>+SUM(BU77:BU80)</f>
        <v>-25</v>
      </c>
      <c r="BV81" s="328"/>
      <c r="BW81" s="328"/>
      <c r="BX81" s="310"/>
      <c r="BY81" s="309">
        <f>+SUM(BY77:BY80)</f>
        <v>0</v>
      </c>
      <c r="BZ81" s="328">
        <f>+SUM(BZ77:BZ80)</f>
        <v>-30</v>
      </c>
      <c r="CA81" s="328"/>
      <c r="CB81" s="328"/>
      <c r="CC81" s="310"/>
      <c r="CD81" s="309">
        <f>+SUM(CD77:CD80)</f>
        <v>0</v>
      </c>
      <c r="CE81" s="328">
        <f>+SUM(CE77:CE80)</f>
        <v>0</v>
      </c>
      <c r="CF81" s="328"/>
      <c r="CG81" s="328"/>
      <c r="CH81" s="310"/>
      <c r="CI81" s="309">
        <f>+SUM(CI77:CI80)</f>
        <v>0</v>
      </c>
      <c r="CJ81" s="328">
        <f>+SUM(CJ77:CJ80)</f>
        <v>-54</v>
      </c>
      <c r="CK81" s="328"/>
      <c r="CL81" s="310"/>
      <c r="CM81" s="309"/>
      <c r="CN81" s="328"/>
      <c r="CO81" s="310"/>
      <c r="CP81" s="309">
        <f>+SUM(CP77:CP80)</f>
        <v>5</v>
      </c>
      <c r="CQ81" s="328">
        <f>+SUM(CQ77:CQ80)</f>
        <v>-39</v>
      </c>
      <c r="CR81" s="310"/>
      <c r="CS81" s="309">
        <f>+SUM(CS77:CS80)</f>
        <v>16</v>
      </c>
      <c r="CT81" s="328">
        <f>+SUM(CT77:CT80)</f>
        <v>-51</v>
      </c>
      <c r="CU81" s="310"/>
      <c r="CV81" s="309">
        <f>+SUM(CV77:CV80)</f>
        <v>0</v>
      </c>
      <c r="CW81" s="328">
        <f>+SUM(CW77:CW80)</f>
        <v>0</v>
      </c>
      <c r="CX81" s="310"/>
      <c r="CY81" s="309">
        <f>+SUM(CY77:CY80)</f>
        <v>0</v>
      </c>
      <c r="CZ81" s="328">
        <f>+SUM(CZ77:CZ80)</f>
        <v>0</v>
      </c>
      <c r="DA81" s="310"/>
      <c r="DB81" s="309">
        <f>+SUM(DB77:DB80)</f>
        <v>0</v>
      </c>
      <c r="DC81" s="328">
        <f>+SUM(DC77:DC80)</f>
        <v>0</v>
      </c>
      <c r="DD81" s="310"/>
      <c r="DE81" s="309">
        <f>+SUM(DE77:DE80)</f>
        <v>0</v>
      </c>
      <c r="DF81" s="328">
        <f>+SUM(DF77:DF80)</f>
        <v>0</v>
      </c>
      <c r="DG81" s="310"/>
      <c r="DH81" s="309">
        <f>+SUM(DH77:DH80)</f>
        <v>330</v>
      </c>
      <c r="DI81" s="328">
        <f>+SUM(DI77:DI80)</f>
        <v>-224</v>
      </c>
      <c r="DJ81" s="328"/>
      <c r="DK81" s="328"/>
      <c r="DL81" s="328"/>
    </row>
    <row r="82" spans="1:116" hidden="1" outlineLevel="1" collapsed="1">
      <c r="A82" s="301"/>
      <c r="B82" s="312">
        <f>+qtrSales!B95</f>
        <v>2001</v>
      </c>
      <c r="C82" s="30"/>
      <c r="D82" s="30"/>
      <c r="E82" s="310"/>
      <c r="F82" s="30"/>
      <c r="G82" s="318"/>
      <c r="H82" s="318"/>
      <c r="I82" s="318"/>
      <c r="J82" s="30"/>
      <c r="K82" s="319"/>
      <c r="L82" s="30"/>
      <c r="M82" s="310"/>
      <c r="N82" s="30"/>
      <c r="O82" s="310"/>
      <c r="P82" s="30"/>
      <c r="Q82" s="310"/>
      <c r="R82" s="30"/>
      <c r="S82" s="310"/>
      <c r="T82" s="30"/>
      <c r="U82" s="310"/>
      <c r="V82" s="30"/>
      <c r="W82" s="318"/>
      <c r="X82" s="318"/>
      <c r="Y82" s="318"/>
      <c r="Z82" s="30"/>
      <c r="AA82" s="318"/>
      <c r="AB82" s="30"/>
      <c r="AC82" s="310"/>
      <c r="AD82" s="30"/>
      <c r="AE82" s="310"/>
      <c r="AF82" s="30"/>
      <c r="AG82" s="310"/>
      <c r="AH82" s="30"/>
      <c r="AI82" s="310"/>
      <c r="AJ82" s="30"/>
      <c r="AK82" s="310"/>
      <c r="AL82" s="30"/>
      <c r="AM82" s="310"/>
      <c r="AN82" s="30"/>
      <c r="AO82" s="310"/>
      <c r="AP82" s="30"/>
      <c r="AQ82" s="451"/>
      <c r="AR82" s="310"/>
      <c r="AS82" s="310"/>
      <c r="AT82" s="141"/>
      <c r="AU82" s="27">
        <f>+B82</f>
        <v>2001</v>
      </c>
      <c r="AV82" s="30"/>
      <c r="AW82" s="30"/>
      <c r="AX82" s="310"/>
      <c r="AY82" s="310"/>
      <c r="AZ82" s="30"/>
      <c r="BA82" s="318"/>
      <c r="BB82" s="310"/>
      <c r="BC82" s="318"/>
      <c r="BD82" s="318"/>
      <c r="BE82" s="318"/>
      <c r="BF82" s="310"/>
      <c r="BG82" s="30"/>
      <c r="BH82" s="318"/>
      <c r="BI82" s="318"/>
      <c r="BJ82" s="310"/>
      <c r="BK82" s="30"/>
      <c r="BL82" s="318"/>
      <c r="BM82" s="318"/>
      <c r="BN82" s="310"/>
      <c r="BO82" s="30"/>
      <c r="BP82" s="318"/>
      <c r="BQ82" s="318"/>
      <c r="BR82" s="318"/>
      <c r="BS82" s="310"/>
      <c r="BT82" s="30"/>
      <c r="BU82" s="318"/>
      <c r="BV82" s="318"/>
      <c r="BW82" s="318"/>
      <c r="BX82" s="310"/>
      <c r="BY82" s="30"/>
      <c r="BZ82" s="318"/>
      <c r="CA82" s="318"/>
      <c r="CB82" s="318"/>
      <c r="CC82" s="310"/>
      <c r="CD82" s="30"/>
      <c r="CE82" s="318"/>
      <c r="CF82" s="318"/>
      <c r="CG82" s="318"/>
      <c r="CH82" s="310"/>
      <c r="CI82" s="30"/>
      <c r="CJ82" s="318"/>
      <c r="CK82" s="318"/>
      <c r="CL82" s="310"/>
      <c r="CM82" s="30"/>
      <c r="CN82" s="318"/>
      <c r="CO82" s="310"/>
      <c r="CP82" s="30"/>
      <c r="CQ82" s="318"/>
      <c r="CR82" s="310"/>
      <c r="CS82" s="30"/>
      <c r="CT82" s="318"/>
      <c r="CU82" s="310"/>
      <c r="CV82" s="30"/>
      <c r="CW82" s="318"/>
      <c r="CX82" s="310"/>
      <c r="CY82" s="30"/>
      <c r="CZ82" s="318"/>
      <c r="DA82" s="310"/>
      <c r="DB82" s="30"/>
      <c r="DC82" s="318"/>
      <c r="DD82" s="310"/>
      <c r="DE82" s="30"/>
      <c r="DF82" s="318"/>
      <c r="DG82" s="310"/>
      <c r="DH82" s="30"/>
      <c r="DI82" s="318"/>
      <c r="DJ82" s="318"/>
      <c r="DK82" s="318"/>
      <c r="DL82" s="318"/>
    </row>
    <row r="83" spans="1:116" hidden="1" outlineLevel="1">
      <c r="A83" s="30" t="str">
        <f>+qtrSales!A103</f>
        <v>1Q</v>
      </c>
      <c r="B83" s="30" t="str">
        <f>+qtrSales!B103</f>
        <v>Apr</v>
      </c>
      <c r="C83" s="30"/>
      <c r="D83" s="309">
        <f>+D80+AW83+AX83</f>
        <v>881</v>
      </c>
      <c r="E83" s="308">
        <f>+(D83/D77-1)*100</f>
        <v>4.1371158392434992</v>
      </c>
      <c r="F83" s="309">
        <f>+F80+AZ83+BA83</f>
        <v>85</v>
      </c>
      <c r="G83" s="317">
        <f>+(F83/F77-1)*100</f>
        <v>77.083333333333329</v>
      </c>
      <c r="H83" s="317"/>
      <c r="I83" s="317"/>
      <c r="J83" s="309">
        <f>+D83+F83</f>
        <v>966</v>
      </c>
      <c r="K83" s="308">
        <f>+(J83/J77-1)*100</f>
        <v>8.0536912751677967</v>
      </c>
      <c r="L83" s="325">
        <f>+L80+BK83+BL83</f>
        <v>1473</v>
      </c>
      <c r="M83" s="308">
        <f>+(L83/L77-1)*100</f>
        <v>17.839999999999989</v>
      </c>
      <c r="N83" s="309">
        <f>+N80+BT83+BU83</f>
        <v>661</v>
      </c>
      <c r="O83" s="308">
        <f>+(N83/N77-1)*100</f>
        <v>-2.3633677991137358</v>
      </c>
      <c r="P83" s="309">
        <f>+P80+BY83+BZ83</f>
        <v>463</v>
      </c>
      <c r="Q83" s="308">
        <f>+(P83/P77-1)*100</f>
        <v>-5.8943089430894329</v>
      </c>
      <c r="R83" s="309">
        <f>+R80+CD83+CE83</f>
        <v>0</v>
      </c>
      <c r="S83" s="308"/>
      <c r="T83" s="309">
        <f>+T80+CI83+CJ83</f>
        <v>386</v>
      </c>
      <c r="U83" s="308">
        <f>+(T83/T77-1)*100</f>
        <v>-10.440835266821347</v>
      </c>
      <c r="V83" s="309">
        <f>+V80+BO83+BP83</f>
        <v>1</v>
      </c>
      <c r="W83" s="317">
        <f>+(V83/V77-1)*100</f>
        <v>0</v>
      </c>
      <c r="X83" s="317"/>
      <c r="Y83" s="317"/>
      <c r="Z83" s="309"/>
      <c r="AA83" s="317"/>
      <c r="AB83" s="309">
        <f>+AB80+CP83+CQ83</f>
        <v>555</v>
      </c>
      <c r="AC83" s="308">
        <f>+(AB83/AB77-1)*100</f>
        <v>-5.4514480408858645</v>
      </c>
      <c r="AD83" s="309">
        <f>+AD80+CS83+CT83</f>
        <v>650</v>
      </c>
      <c r="AE83" s="308">
        <f>+(AD83/AD77-1)*100</f>
        <v>-1.6641452344931973</v>
      </c>
      <c r="AF83" s="307"/>
      <c r="AG83" s="308"/>
      <c r="AH83" s="307"/>
      <c r="AI83" s="308"/>
      <c r="AJ83" s="307"/>
      <c r="AK83" s="308"/>
      <c r="AL83" s="307"/>
      <c r="AM83" s="308"/>
      <c r="AN83" s="307"/>
      <c r="AO83" s="308"/>
      <c r="AP83" s="30"/>
      <c r="AQ83" s="451">
        <f>+J83+L83+N83+P83+R83+T83+V83+AB83+AD83+AF83+AH83+AJ83+AL83+AN83</f>
        <v>5155</v>
      </c>
      <c r="AR83" s="308">
        <f>+(AQ83/AQ77-1)*100</f>
        <v>3.2445423593030265</v>
      </c>
      <c r="AS83" s="308"/>
      <c r="AT83" s="30" t="str">
        <f>+A83</f>
        <v>1Q</v>
      </c>
      <c r="AU83" s="30" t="str">
        <f>+B83</f>
        <v>Apr</v>
      </c>
      <c r="AV83" s="30"/>
      <c r="AW83" s="307">
        <v>5</v>
      </c>
      <c r="AX83" s="307">
        <v>-2</v>
      </c>
      <c r="AY83" s="308"/>
      <c r="AZ83" s="307">
        <v>5</v>
      </c>
      <c r="BA83" s="307">
        <v>0</v>
      </c>
      <c r="BB83" s="308"/>
      <c r="BC83" s="307"/>
      <c r="BD83" s="307"/>
      <c r="BE83" s="307"/>
      <c r="BF83" s="308"/>
      <c r="BG83" s="328">
        <f t="shared" ref="BG83:BH86" si="17">+AW83+AZ83</f>
        <v>10</v>
      </c>
      <c r="BH83" s="328">
        <f t="shared" si="17"/>
        <v>-2</v>
      </c>
      <c r="BI83" s="328"/>
      <c r="BJ83" s="308"/>
      <c r="BK83" s="307">
        <v>41</v>
      </c>
      <c r="BL83" s="307">
        <v>0</v>
      </c>
      <c r="BM83" s="307"/>
      <c r="BN83" s="308"/>
      <c r="BO83" s="321">
        <v>0</v>
      </c>
      <c r="BP83" s="321">
        <v>0</v>
      </c>
      <c r="BQ83" s="321"/>
      <c r="BR83" s="321"/>
      <c r="BS83" s="308"/>
      <c r="BT83" s="307">
        <v>0</v>
      </c>
      <c r="BU83" s="307">
        <v>-6</v>
      </c>
      <c r="BV83" s="307"/>
      <c r="BW83" s="307"/>
      <c r="BX83" s="308"/>
      <c r="BY83" s="307">
        <v>0</v>
      </c>
      <c r="BZ83" s="307">
        <v>-6</v>
      </c>
      <c r="CA83" s="307"/>
      <c r="CB83" s="307"/>
      <c r="CC83" s="308"/>
      <c r="CD83" s="307">
        <v>0</v>
      </c>
      <c r="CE83" s="307">
        <v>0</v>
      </c>
      <c r="CF83" s="307"/>
      <c r="CG83" s="307"/>
      <c r="CH83" s="308"/>
      <c r="CI83" s="321">
        <v>0</v>
      </c>
      <c r="CJ83" s="321">
        <v>-3</v>
      </c>
      <c r="CK83" s="321"/>
      <c r="CL83" s="308"/>
      <c r="CM83" s="321"/>
      <c r="CN83" s="321"/>
      <c r="CO83" s="308"/>
      <c r="CP83" s="321">
        <v>0</v>
      </c>
      <c r="CQ83" s="321">
        <v>-5</v>
      </c>
      <c r="CR83" s="308"/>
      <c r="CS83" s="321">
        <v>4</v>
      </c>
      <c r="CT83" s="321">
        <v>-7</v>
      </c>
      <c r="CU83" s="308"/>
      <c r="CV83" s="321"/>
      <c r="CW83" s="321"/>
      <c r="CX83" s="308"/>
      <c r="CY83" s="321"/>
      <c r="CZ83" s="321"/>
      <c r="DA83" s="308"/>
      <c r="DB83" s="321"/>
      <c r="DC83" s="321"/>
      <c r="DD83" s="308"/>
      <c r="DE83" s="321"/>
      <c r="DF83" s="321"/>
      <c r="DG83" s="308"/>
      <c r="DH83" s="328">
        <f t="shared" ref="DH83:DI86" si="18">+BG83+BK83+BT83+BY83+CD83+CI83+BO83+CP83+CS83+CV83+CY83+DB83+DE83</f>
        <v>55</v>
      </c>
      <c r="DI83" s="328">
        <f t="shared" si="18"/>
        <v>-29</v>
      </c>
      <c r="DJ83" s="328"/>
      <c r="DK83" s="328"/>
      <c r="DL83" s="328"/>
    </row>
    <row r="84" spans="1:116" hidden="1" outlineLevel="1">
      <c r="A84" s="30" t="str">
        <f>+qtrSales!A104</f>
        <v>2Q</v>
      </c>
      <c r="B84" s="30" t="str">
        <f>+qtrSales!B104</f>
        <v>Jul</v>
      </c>
      <c r="C84" s="30"/>
      <c r="D84" s="309">
        <f>+D83+AW84+AX84</f>
        <v>892</v>
      </c>
      <c r="E84" s="308">
        <f>+(D84/D78-1)*100</f>
        <v>4.4496487119437989</v>
      </c>
      <c r="F84" s="309">
        <f>+F83+AZ84+BA84</f>
        <v>90</v>
      </c>
      <c r="G84" s="317">
        <f>+(F84/F78-1)*100</f>
        <v>87.5</v>
      </c>
      <c r="H84" s="317"/>
      <c r="I84" s="317"/>
      <c r="J84" s="309">
        <f>+D84+F84</f>
        <v>982</v>
      </c>
      <c r="K84" s="308">
        <f>+(J84/J78-1)*100</f>
        <v>8.8691796008869126</v>
      </c>
      <c r="L84" s="325">
        <f>+L83+BK84+BL84</f>
        <v>1539</v>
      </c>
      <c r="M84" s="308">
        <f>+(L84/L78-1)*100</f>
        <v>18.112049117421325</v>
      </c>
      <c r="N84" s="309">
        <f>+N83+BT84+BU84</f>
        <v>661</v>
      </c>
      <c r="O84" s="308">
        <f>+(N84/N78-1)*100</f>
        <v>-2.3633677991137358</v>
      </c>
      <c r="P84" s="309">
        <f>+P83+BY84+BZ84</f>
        <v>456</v>
      </c>
      <c r="Q84" s="308">
        <f>+(P84/P78-1)*100</f>
        <v>-6.5573770491803245</v>
      </c>
      <c r="R84" s="309">
        <f>+R83+CD84+CE84</f>
        <v>0</v>
      </c>
      <c r="S84" s="308"/>
      <c r="T84" s="309">
        <f>+T83+CI84+CJ84</f>
        <v>382</v>
      </c>
      <c r="U84" s="308">
        <f>+(T84/T78-1)*100</f>
        <v>-9.4786729857819889</v>
      </c>
      <c r="V84" s="309">
        <f>+V83+BO84+BP84</f>
        <v>1</v>
      </c>
      <c r="W84" s="317">
        <f>+(V84/V78-1)*100</f>
        <v>0</v>
      </c>
      <c r="X84" s="317"/>
      <c r="Y84" s="317"/>
      <c r="Z84" s="309"/>
      <c r="AA84" s="317"/>
      <c r="AB84" s="309">
        <f>+AB83+CP84+CQ84</f>
        <v>547</v>
      </c>
      <c r="AC84" s="308">
        <f>+(AB84/AB78-1)*100</f>
        <v>-6.4957264957264949</v>
      </c>
      <c r="AD84" s="309">
        <f>+AD83+CS84+CT84</f>
        <v>650</v>
      </c>
      <c r="AE84" s="308">
        <f>+(AD84/AD78-1)*100</f>
        <v>-1.5151515151515138</v>
      </c>
      <c r="AF84" s="307"/>
      <c r="AG84" s="308"/>
      <c r="AH84" s="307"/>
      <c r="AI84" s="308"/>
      <c r="AJ84" s="307"/>
      <c r="AK84" s="308"/>
      <c r="AL84" s="307"/>
      <c r="AM84" s="308"/>
      <c r="AN84" s="307"/>
      <c r="AO84" s="308"/>
      <c r="AP84" s="30"/>
      <c r="AQ84" s="451">
        <f>+J84+L84+N84+P84+R84+T84+V84+AB84+AD84+AF84+AH84+AJ84+AL84+AN84</f>
        <v>5218</v>
      </c>
      <c r="AR84" s="308">
        <f>+(AQ84/AQ78-1)*100</f>
        <v>3.5728463676061972</v>
      </c>
      <c r="AS84" s="308"/>
      <c r="AT84" s="30" t="str">
        <f>+A84</f>
        <v>2Q</v>
      </c>
      <c r="AU84" s="30" t="str">
        <f>+B84</f>
        <v>Jul</v>
      </c>
      <c r="AV84" s="30"/>
      <c r="AW84" s="307">
        <v>12</v>
      </c>
      <c r="AX84" s="307">
        <v>-1</v>
      </c>
      <c r="AY84" s="308"/>
      <c r="AZ84" s="307">
        <v>5</v>
      </c>
      <c r="BA84" s="307">
        <v>0</v>
      </c>
      <c r="BB84" s="308"/>
      <c r="BC84" s="307"/>
      <c r="BD84" s="307"/>
      <c r="BE84" s="307"/>
      <c r="BF84" s="308"/>
      <c r="BG84" s="328">
        <f t="shared" si="17"/>
        <v>17</v>
      </c>
      <c r="BH84" s="328">
        <f t="shared" si="17"/>
        <v>-1</v>
      </c>
      <c r="BI84" s="328"/>
      <c r="BJ84" s="308"/>
      <c r="BK84" s="307">
        <v>66</v>
      </c>
      <c r="BL84" s="307">
        <v>0</v>
      </c>
      <c r="BM84" s="307"/>
      <c r="BN84" s="308"/>
      <c r="BO84" s="321">
        <v>0</v>
      </c>
      <c r="BP84" s="321">
        <v>0</v>
      </c>
      <c r="BQ84" s="321"/>
      <c r="BR84" s="321"/>
      <c r="BS84" s="308"/>
      <c r="BT84" s="307">
        <v>1</v>
      </c>
      <c r="BU84" s="307">
        <v>-1</v>
      </c>
      <c r="BV84" s="307"/>
      <c r="BW84" s="307"/>
      <c r="BX84" s="308"/>
      <c r="BY84" s="307">
        <v>1</v>
      </c>
      <c r="BZ84" s="307">
        <v>-8</v>
      </c>
      <c r="CA84" s="307"/>
      <c r="CB84" s="307"/>
      <c r="CC84" s="308"/>
      <c r="CD84" s="307">
        <v>0</v>
      </c>
      <c r="CE84" s="307">
        <v>0</v>
      </c>
      <c r="CF84" s="307"/>
      <c r="CG84" s="307"/>
      <c r="CH84" s="308"/>
      <c r="CI84" s="321">
        <v>0</v>
      </c>
      <c r="CJ84" s="321">
        <v>-4</v>
      </c>
      <c r="CK84" s="321"/>
      <c r="CL84" s="308"/>
      <c r="CM84" s="321"/>
      <c r="CN84" s="321"/>
      <c r="CO84" s="308"/>
      <c r="CP84" s="321">
        <v>0</v>
      </c>
      <c r="CQ84" s="321">
        <v>-8</v>
      </c>
      <c r="CR84" s="308"/>
      <c r="CS84" s="321">
        <v>2</v>
      </c>
      <c r="CT84" s="321">
        <v>-2</v>
      </c>
      <c r="CU84" s="308"/>
      <c r="CV84" s="321"/>
      <c r="CW84" s="321"/>
      <c r="CX84" s="308"/>
      <c r="CY84" s="321"/>
      <c r="CZ84" s="321"/>
      <c r="DA84" s="308"/>
      <c r="DB84" s="321"/>
      <c r="DC84" s="321"/>
      <c r="DD84" s="308"/>
      <c r="DE84" s="321"/>
      <c r="DF84" s="321"/>
      <c r="DG84" s="308"/>
      <c r="DH84" s="328">
        <f t="shared" si="18"/>
        <v>87</v>
      </c>
      <c r="DI84" s="328">
        <f t="shared" si="18"/>
        <v>-24</v>
      </c>
      <c r="DJ84" s="328"/>
      <c r="DK84" s="328"/>
      <c r="DL84" s="328"/>
    </row>
    <row r="85" spans="1:116" hidden="1" outlineLevel="1">
      <c r="A85" s="30" t="str">
        <f>+qtrSales!A105</f>
        <v>3Q</v>
      </c>
      <c r="B85" s="30" t="str">
        <f>+qtrSales!B105</f>
        <v>Oct</v>
      </c>
      <c r="C85" s="30"/>
      <c r="D85" s="309">
        <f>+D84+AW85+AX85</f>
        <v>910</v>
      </c>
      <c r="E85" s="308">
        <f>+(D85/D79-1)*100</f>
        <v>4.3577981651376163</v>
      </c>
      <c r="F85" s="309">
        <f>+F84+AZ85+BA85</f>
        <v>93</v>
      </c>
      <c r="G85" s="317">
        <f>+(F85/F79-1)*100</f>
        <v>69.090909090909093</v>
      </c>
      <c r="H85" s="317"/>
      <c r="I85" s="317"/>
      <c r="J85" s="325">
        <f>+D85+F85</f>
        <v>1003</v>
      </c>
      <c r="K85" s="308">
        <f>+(J85/J79-1)*100</f>
        <v>8.1984897518878164</v>
      </c>
      <c r="L85" s="325">
        <f>+L84+BK85+BL85</f>
        <v>1601</v>
      </c>
      <c r="M85" s="308">
        <f>+(L85/L79-1)*100</f>
        <v>13.546099290780145</v>
      </c>
      <c r="N85" s="309">
        <f>+N84+BT85+BU85</f>
        <v>669</v>
      </c>
      <c r="O85" s="308">
        <f>+(N85/N79-1)*100</f>
        <v>-1.1816838995568735</v>
      </c>
      <c r="P85" s="309">
        <f>+P84+BY85+BZ85</f>
        <v>454</v>
      </c>
      <c r="Q85" s="308">
        <f>+(P85/P79-1)*100</f>
        <v>-5.6133056133056076</v>
      </c>
      <c r="R85" s="309">
        <f>+R84+CD85+CE85</f>
        <v>0</v>
      </c>
      <c r="S85" s="308"/>
      <c r="T85" s="309">
        <f>+T84+CI85+CJ85</f>
        <v>382</v>
      </c>
      <c r="U85" s="308">
        <f>+(T85/T79-1)*100</f>
        <v>-8.6124401913875595</v>
      </c>
      <c r="V85" s="309">
        <f>+V84+BO85+BP85</f>
        <v>1</v>
      </c>
      <c r="W85" s="317">
        <f>+(V85/V79-1)*100</f>
        <v>0</v>
      </c>
      <c r="X85" s="317"/>
      <c r="Y85" s="317"/>
      <c r="Z85" s="309"/>
      <c r="AA85" s="317"/>
      <c r="AB85" s="309">
        <f>+AB84+CP85+CQ85</f>
        <v>543</v>
      </c>
      <c r="AC85" s="308">
        <f>+(AB85/AB79-1)*100</f>
        <v>-6.2176165803108807</v>
      </c>
      <c r="AD85" s="307">
        <v>0</v>
      </c>
      <c r="AE85" s="308">
        <f>+(AD85/AD79-1)*100</f>
        <v>-100</v>
      </c>
      <c r="AF85" s="307"/>
      <c r="AG85" s="308"/>
      <c r="AH85" s="307"/>
      <c r="AI85" s="308"/>
      <c r="AJ85" s="307"/>
      <c r="AK85" s="308"/>
      <c r="AL85" s="307"/>
      <c r="AM85" s="308"/>
      <c r="AN85" s="307"/>
      <c r="AO85" s="308"/>
      <c r="AP85" s="30"/>
      <c r="AQ85" s="451">
        <f>+J85+L85+N85+P85+R85+T85+V85+AB85+AD85+AF85+AH85+AJ85+AL85+AN85</f>
        <v>4653</v>
      </c>
      <c r="AR85" s="308">
        <f>+(AQ85/AQ79-1)*100</f>
        <v>-9.7556245151280034</v>
      </c>
      <c r="AS85" s="308"/>
      <c r="AT85" s="30" t="str">
        <f>+A85</f>
        <v>3Q</v>
      </c>
      <c r="AU85" s="30" t="str">
        <f>+B85</f>
        <v>Oct</v>
      </c>
      <c r="AV85" s="30"/>
      <c r="AW85" s="307">
        <v>20</v>
      </c>
      <c r="AX85" s="307">
        <v>-2</v>
      </c>
      <c r="AY85" s="308"/>
      <c r="AZ85" s="307">
        <v>3</v>
      </c>
      <c r="BA85" s="307">
        <v>0</v>
      </c>
      <c r="BB85" s="308"/>
      <c r="BC85" s="307"/>
      <c r="BD85" s="307"/>
      <c r="BE85" s="307"/>
      <c r="BF85" s="308"/>
      <c r="BG85" s="328">
        <f t="shared" si="17"/>
        <v>23</v>
      </c>
      <c r="BH85" s="328">
        <f t="shared" si="17"/>
        <v>-2</v>
      </c>
      <c r="BI85" s="328"/>
      <c r="BJ85" s="308"/>
      <c r="BK85" s="307">
        <v>63</v>
      </c>
      <c r="BL85" s="307">
        <v>-1</v>
      </c>
      <c r="BM85" s="307"/>
      <c r="BN85" s="308"/>
      <c r="BO85" s="321">
        <v>0</v>
      </c>
      <c r="BP85" s="321">
        <v>0</v>
      </c>
      <c r="BQ85" s="321"/>
      <c r="BR85" s="321"/>
      <c r="BS85" s="308"/>
      <c r="BT85" s="307">
        <v>10</v>
      </c>
      <c r="BU85" s="307">
        <v>-2</v>
      </c>
      <c r="BV85" s="307"/>
      <c r="BW85" s="307"/>
      <c r="BX85" s="308"/>
      <c r="BY85" s="307">
        <v>1</v>
      </c>
      <c r="BZ85" s="307">
        <v>-3</v>
      </c>
      <c r="CA85" s="307"/>
      <c r="CB85" s="307"/>
      <c r="CC85" s="308"/>
      <c r="CD85" s="307">
        <v>0</v>
      </c>
      <c r="CE85" s="307">
        <v>0</v>
      </c>
      <c r="CF85" s="307"/>
      <c r="CG85" s="307"/>
      <c r="CH85" s="308"/>
      <c r="CI85" s="321">
        <v>2</v>
      </c>
      <c r="CJ85" s="321">
        <v>-2</v>
      </c>
      <c r="CK85" s="321"/>
      <c r="CL85" s="308"/>
      <c r="CM85" s="321"/>
      <c r="CN85" s="321"/>
      <c r="CO85" s="308"/>
      <c r="CP85" s="321">
        <v>6</v>
      </c>
      <c r="CQ85" s="321">
        <v>-10</v>
      </c>
      <c r="CR85" s="308"/>
      <c r="CS85" s="321">
        <v>1</v>
      </c>
      <c r="CT85" s="321">
        <v>0</v>
      </c>
      <c r="CU85" s="308"/>
      <c r="CV85" s="321"/>
      <c r="CW85" s="321"/>
      <c r="CX85" s="308"/>
      <c r="CY85" s="321"/>
      <c r="CZ85" s="321"/>
      <c r="DA85" s="308"/>
      <c r="DB85" s="321"/>
      <c r="DC85" s="321"/>
      <c r="DD85" s="308"/>
      <c r="DE85" s="321"/>
      <c r="DF85" s="321"/>
      <c r="DG85" s="308"/>
      <c r="DH85" s="328">
        <f t="shared" si="18"/>
        <v>106</v>
      </c>
      <c r="DI85" s="328">
        <f t="shared" si="18"/>
        <v>-20</v>
      </c>
      <c r="DJ85" s="328"/>
      <c r="DK85" s="328"/>
      <c r="DL85" s="328"/>
    </row>
    <row r="86" spans="1:116" hidden="1" outlineLevel="1">
      <c r="A86" s="30" t="str">
        <f>+qtrSales!A106</f>
        <v>4Q</v>
      </c>
      <c r="B86" s="30" t="str">
        <f>+qtrSales!B106</f>
        <v>Jan</v>
      </c>
      <c r="C86" s="30"/>
      <c r="D86" s="309">
        <f>+D85+AW86+AX86</f>
        <v>906</v>
      </c>
      <c r="E86" s="308">
        <f>+(D86/D80-1)*100</f>
        <v>3.1890660592255093</v>
      </c>
      <c r="F86" s="309">
        <f>+F85+AZ86+BA86</f>
        <v>96</v>
      </c>
      <c r="G86" s="317">
        <f>+(F86/F80-1)*100</f>
        <v>19.999999999999996</v>
      </c>
      <c r="H86" s="317"/>
      <c r="I86" s="317"/>
      <c r="J86" s="325">
        <f>+D86+F86</f>
        <v>1002</v>
      </c>
      <c r="K86" s="308">
        <f>+(J86/J80-1)*100</f>
        <v>4.5929018789144127</v>
      </c>
      <c r="L86" s="325">
        <f>+L85+BK86+BL86</f>
        <v>1615</v>
      </c>
      <c r="M86" s="308">
        <f>+(L86/L80-1)*100</f>
        <v>12.77932960893855</v>
      </c>
      <c r="N86" s="309">
        <f>+N85+BT86+BU86</f>
        <v>667</v>
      </c>
      <c r="O86" s="308">
        <f>+(N86/N80-1)*100</f>
        <v>0</v>
      </c>
      <c r="P86" s="309">
        <f>+P85+BY86+BZ86</f>
        <v>439</v>
      </c>
      <c r="Q86" s="308">
        <f>+(P86/P80-1)*100</f>
        <v>-6.3965884861407201</v>
      </c>
      <c r="R86" s="309">
        <f>+R85+CD86+CE86</f>
        <v>0</v>
      </c>
      <c r="S86" s="308"/>
      <c r="T86" s="309">
        <f>+T85+CI86+CJ86</f>
        <v>368</v>
      </c>
      <c r="U86" s="308">
        <f>+(T86/T80-1)*100</f>
        <v>-5.3984575835475557</v>
      </c>
      <c r="V86" s="309">
        <f>+V85+BO86+BP86</f>
        <v>1</v>
      </c>
      <c r="W86" s="317">
        <f>+(V86/V80-1)*100</f>
        <v>0</v>
      </c>
      <c r="X86" s="317"/>
      <c r="Y86" s="317"/>
      <c r="Z86" s="309"/>
      <c r="AA86" s="317"/>
      <c r="AB86" s="309">
        <f>+AB85+CP86+CQ86</f>
        <v>522</v>
      </c>
      <c r="AC86" s="308">
        <f>+(AB86/AB80-1)*100</f>
        <v>-6.7857142857142838</v>
      </c>
      <c r="AD86" s="307">
        <v>0</v>
      </c>
      <c r="AE86" s="308">
        <f>+(AD86/AD80-1)*100</f>
        <v>-100</v>
      </c>
      <c r="AF86" s="307"/>
      <c r="AG86" s="308"/>
      <c r="AH86" s="307"/>
      <c r="AI86" s="308"/>
      <c r="AJ86" s="307"/>
      <c r="AK86" s="308"/>
      <c r="AL86" s="307"/>
      <c r="AM86" s="308"/>
      <c r="AN86" s="307"/>
      <c r="AO86" s="308"/>
      <c r="AP86" s="30"/>
      <c r="AQ86" s="451">
        <f>+J86+L86+N86+P86+R86+T86+V86+AB86+AD86+AF86+AH86+AJ86+AL86+AN86</f>
        <v>4614</v>
      </c>
      <c r="AR86" s="308">
        <f>+(AQ86/AQ80-1)*100</f>
        <v>-10.04094365373367</v>
      </c>
      <c r="AS86" s="308"/>
      <c r="AT86" s="30" t="str">
        <f>+A86</f>
        <v>4Q</v>
      </c>
      <c r="AU86" s="30" t="str">
        <f>+B86</f>
        <v>Jan</v>
      </c>
      <c r="AV86" s="30"/>
      <c r="AW86" s="302">
        <v>7</v>
      </c>
      <c r="AX86" s="302">
        <v>-11</v>
      </c>
      <c r="AY86" s="308"/>
      <c r="AZ86" s="302">
        <v>3</v>
      </c>
      <c r="BA86" s="302">
        <v>0</v>
      </c>
      <c r="BB86" s="308"/>
      <c r="BC86" s="307"/>
      <c r="BD86" s="307"/>
      <c r="BE86" s="307"/>
      <c r="BF86" s="308"/>
      <c r="BG86" s="338">
        <f t="shared" si="17"/>
        <v>10</v>
      </c>
      <c r="BH86" s="338">
        <f t="shared" si="17"/>
        <v>-11</v>
      </c>
      <c r="BI86" s="328"/>
      <c r="BJ86" s="308"/>
      <c r="BK86" s="302">
        <v>21</v>
      </c>
      <c r="BL86" s="302">
        <v>-7</v>
      </c>
      <c r="BM86" s="307"/>
      <c r="BN86" s="308"/>
      <c r="BO86" s="302">
        <v>0</v>
      </c>
      <c r="BP86" s="302">
        <v>0</v>
      </c>
      <c r="BQ86" s="307"/>
      <c r="BR86" s="307"/>
      <c r="BS86" s="308"/>
      <c r="BT86" s="302">
        <v>3</v>
      </c>
      <c r="BU86" s="302">
        <v>-5</v>
      </c>
      <c r="BV86" s="307"/>
      <c r="BW86" s="307"/>
      <c r="BX86" s="308"/>
      <c r="BY86" s="302">
        <v>0</v>
      </c>
      <c r="BZ86" s="302">
        <v>-15</v>
      </c>
      <c r="CA86" s="307"/>
      <c r="CB86" s="307"/>
      <c r="CC86" s="308"/>
      <c r="CD86" s="302">
        <v>0</v>
      </c>
      <c r="CE86" s="302">
        <v>0</v>
      </c>
      <c r="CF86" s="307"/>
      <c r="CG86" s="307"/>
      <c r="CH86" s="308"/>
      <c r="CI86" s="302">
        <v>0</v>
      </c>
      <c r="CJ86" s="302">
        <v>-14</v>
      </c>
      <c r="CK86" s="307"/>
      <c r="CL86" s="308"/>
      <c r="CM86" s="302"/>
      <c r="CN86" s="302"/>
      <c r="CO86" s="308"/>
      <c r="CP86" s="302">
        <v>0</v>
      </c>
      <c r="CQ86" s="302">
        <v>-21</v>
      </c>
      <c r="CR86" s="308"/>
      <c r="CS86" s="302">
        <v>0</v>
      </c>
      <c r="CT86" s="302">
        <v>0</v>
      </c>
      <c r="CU86" s="308"/>
      <c r="CV86" s="302"/>
      <c r="CW86" s="302"/>
      <c r="CX86" s="308"/>
      <c r="CY86" s="302"/>
      <c r="CZ86" s="302"/>
      <c r="DA86" s="308"/>
      <c r="DB86" s="302"/>
      <c r="DC86" s="302"/>
      <c r="DD86" s="308"/>
      <c r="DE86" s="302"/>
      <c r="DF86" s="302"/>
      <c r="DG86" s="308"/>
      <c r="DH86" s="338">
        <f t="shared" si="18"/>
        <v>34</v>
      </c>
      <c r="DI86" s="338">
        <f t="shared" si="18"/>
        <v>-73</v>
      </c>
      <c r="DJ86" s="328"/>
      <c r="DK86" s="328"/>
      <c r="DL86" s="328"/>
    </row>
    <row r="87" spans="1:116" hidden="1" outlineLevel="1">
      <c r="A87" s="30"/>
      <c r="B87" s="30"/>
      <c r="C87" s="30"/>
      <c r="D87" s="30"/>
      <c r="E87" s="30"/>
      <c r="F87" s="30"/>
      <c r="G87" s="318"/>
      <c r="H87" s="318"/>
      <c r="I87" s="318"/>
      <c r="J87" s="30"/>
      <c r="K87" s="319"/>
      <c r="L87" s="30"/>
      <c r="M87" s="30"/>
      <c r="N87" s="30"/>
      <c r="O87" s="30"/>
      <c r="P87" s="30"/>
      <c r="Q87" s="30"/>
      <c r="R87" s="309"/>
      <c r="S87" s="30"/>
      <c r="T87" s="30"/>
      <c r="U87" s="30"/>
      <c r="V87" s="30"/>
      <c r="W87" s="320"/>
      <c r="X87" s="320"/>
      <c r="Y87" s="320"/>
      <c r="Z87" s="30"/>
      <c r="AA87" s="320"/>
      <c r="AB87" s="30"/>
      <c r="AC87" s="30"/>
      <c r="AD87" s="30"/>
      <c r="AE87" s="30"/>
      <c r="AF87" s="30"/>
      <c r="AG87" s="30"/>
      <c r="AH87" s="30"/>
      <c r="AI87" s="30"/>
      <c r="AJ87" s="30"/>
      <c r="AK87" s="30"/>
      <c r="AL87" s="30"/>
      <c r="AM87" s="30"/>
      <c r="AN87" s="30"/>
      <c r="AO87" s="30"/>
      <c r="AP87" s="30"/>
      <c r="AQ87" s="451"/>
      <c r="AR87" s="30"/>
      <c r="AS87" s="30"/>
      <c r="AT87" s="30"/>
      <c r="AU87" s="30"/>
      <c r="AV87" s="30"/>
      <c r="AW87" s="309">
        <f>+SUM(AW83:AW86)</f>
        <v>44</v>
      </c>
      <c r="AX87" s="328">
        <f>+SUM(AX83:AX86)</f>
        <v>-16</v>
      </c>
      <c r="AY87" s="310"/>
      <c r="AZ87" s="309">
        <f>+SUM(AZ83:AZ86)</f>
        <v>16</v>
      </c>
      <c r="BA87" s="309">
        <f>+SUM(BA83:BA86)</f>
        <v>0</v>
      </c>
      <c r="BB87" s="310"/>
      <c r="BC87" s="309"/>
      <c r="BD87" s="309"/>
      <c r="BE87" s="309"/>
      <c r="BF87" s="310"/>
      <c r="BG87" s="309">
        <f>+SUM(BG83:BG86)</f>
        <v>60</v>
      </c>
      <c r="BH87" s="328">
        <f>+SUM(BH83:BH86)</f>
        <v>-16</v>
      </c>
      <c r="BI87" s="328"/>
      <c r="BJ87" s="310"/>
      <c r="BK87" s="309">
        <f>+SUM(BK83:BK86)</f>
        <v>191</v>
      </c>
      <c r="BL87" s="328">
        <f>+SUM(BL83:BL86)</f>
        <v>-8</v>
      </c>
      <c r="BM87" s="328"/>
      <c r="BN87" s="310"/>
      <c r="BO87" s="309">
        <f>+SUM(BO83:BO86)</f>
        <v>0</v>
      </c>
      <c r="BP87" s="328">
        <f>+SUM(BP83:BP86)</f>
        <v>0</v>
      </c>
      <c r="BQ87" s="328"/>
      <c r="BR87" s="328"/>
      <c r="BS87" s="310"/>
      <c r="BT87" s="309">
        <f>+SUM(BT83:BT86)</f>
        <v>14</v>
      </c>
      <c r="BU87" s="328">
        <f>+SUM(BU83:BU86)</f>
        <v>-14</v>
      </c>
      <c r="BV87" s="328"/>
      <c r="BW87" s="328"/>
      <c r="BX87" s="310"/>
      <c r="BY87" s="309">
        <f>+SUM(BY83:BY86)</f>
        <v>2</v>
      </c>
      <c r="BZ87" s="328">
        <f>+SUM(BZ83:BZ86)</f>
        <v>-32</v>
      </c>
      <c r="CA87" s="328"/>
      <c r="CB87" s="328"/>
      <c r="CC87" s="310"/>
      <c r="CD87" s="309">
        <f>+SUM(CD83:CD86)</f>
        <v>0</v>
      </c>
      <c r="CE87" s="328">
        <f>+SUM(CE83:CE86)</f>
        <v>0</v>
      </c>
      <c r="CF87" s="328"/>
      <c r="CG87" s="328"/>
      <c r="CH87" s="310"/>
      <c r="CI87" s="309">
        <f>+SUM(CI83:CI86)</f>
        <v>2</v>
      </c>
      <c r="CJ87" s="328">
        <f>+SUM(CJ83:CJ86)</f>
        <v>-23</v>
      </c>
      <c r="CK87" s="328"/>
      <c r="CL87" s="310"/>
      <c r="CM87" s="309"/>
      <c r="CN87" s="328"/>
      <c r="CO87" s="310"/>
      <c r="CP87" s="309">
        <f>+SUM(CP83:CP86)</f>
        <v>6</v>
      </c>
      <c r="CQ87" s="328">
        <f>+SUM(CQ83:CQ86)</f>
        <v>-44</v>
      </c>
      <c r="CR87" s="310"/>
      <c r="CS87" s="309">
        <f>+SUM(CS83:CS86)</f>
        <v>7</v>
      </c>
      <c r="CT87" s="328">
        <f>+SUM(CT83:CT86)</f>
        <v>-9</v>
      </c>
      <c r="CU87" s="310"/>
      <c r="CV87" s="309">
        <f>+SUM(CV83:CV86)</f>
        <v>0</v>
      </c>
      <c r="CW87" s="328">
        <f>+SUM(CW83:CW86)</f>
        <v>0</v>
      </c>
      <c r="CX87" s="310"/>
      <c r="CY87" s="309">
        <f>+SUM(CY83:CY86)</f>
        <v>0</v>
      </c>
      <c r="CZ87" s="328">
        <f>+SUM(CZ83:CZ86)</f>
        <v>0</v>
      </c>
      <c r="DA87" s="310"/>
      <c r="DB87" s="309">
        <f>+SUM(DB83:DB86)</f>
        <v>0</v>
      </c>
      <c r="DC87" s="328">
        <f>+SUM(DC83:DC86)</f>
        <v>0</v>
      </c>
      <c r="DD87" s="310"/>
      <c r="DE87" s="309">
        <f>+SUM(DE83:DE86)</f>
        <v>0</v>
      </c>
      <c r="DF87" s="328">
        <f>+SUM(DF83:DF86)</f>
        <v>0</v>
      </c>
      <c r="DG87" s="310"/>
      <c r="DH87" s="309">
        <f>+SUM(DH83:DH86)</f>
        <v>282</v>
      </c>
      <c r="DI87" s="328">
        <f>+SUM(DI83:DI86)</f>
        <v>-146</v>
      </c>
      <c r="DJ87" s="328"/>
      <c r="DK87" s="328"/>
      <c r="DL87" s="328"/>
    </row>
    <row r="88" spans="1:116" hidden="1" outlineLevel="1">
      <c r="A88" s="301"/>
      <c r="B88" s="312">
        <f>+qtrSales!B102</f>
        <v>2002</v>
      </c>
      <c r="C88" s="30"/>
      <c r="D88" s="30"/>
      <c r="E88" s="310"/>
      <c r="F88" s="30"/>
      <c r="G88" s="318"/>
      <c r="H88" s="318"/>
      <c r="I88" s="318"/>
      <c r="J88" s="30"/>
      <c r="K88" s="319"/>
      <c r="L88" s="30"/>
      <c r="M88" s="310"/>
      <c r="N88" s="30"/>
      <c r="O88" s="310"/>
      <c r="P88" s="30"/>
      <c r="Q88" s="30"/>
      <c r="R88" s="30"/>
      <c r="S88" s="310"/>
      <c r="T88" s="30"/>
      <c r="U88" s="310"/>
      <c r="V88" s="30"/>
      <c r="W88" s="318"/>
      <c r="X88" s="318"/>
      <c r="Y88" s="318"/>
      <c r="Z88" s="30"/>
      <c r="AA88" s="318"/>
      <c r="AB88" s="30"/>
      <c r="AC88" s="310"/>
      <c r="AD88" s="30"/>
      <c r="AE88" s="310"/>
      <c r="AF88" s="30"/>
      <c r="AG88" s="310"/>
      <c r="AH88" s="30"/>
      <c r="AI88" s="310"/>
      <c r="AJ88" s="30"/>
      <c r="AK88" s="310"/>
      <c r="AL88" s="30"/>
      <c r="AM88" s="310"/>
      <c r="AN88" s="30"/>
      <c r="AO88" s="310"/>
      <c r="AP88" s="30"/>
      <c r="AQ88" s="451"/>
      <c r="AR88" s="310"/>
      <c r="AS88" s="310"/>
      <c r="AT88" s="141"/>
      <c r="AU88" s="27">
        <f>+B88</f>
        <v>2002</v>
      </c>
      <c r="AV88" s="30"/>
      <c r="AW88" s="30"/>
      <c r="AX88" s="310"/>
      <c r="AY88" s="310"/>
      <c r="AZ88" s="30"/>
      <c r="BA88" s="318"/>
      <c r="BB88" s="310"/>
      <c r="BC88" s="318"/>
      <c r="BD88" s="318"/>
      <c r="BE88" s="318"/>
      <c r="BF88" s="310"/>
      <c r="BG88" s="30"/>
      <c r="BH88" s="318"/>
      <c r="BI88" s="318"/>
      <c r="BJ88" s="310"/>
      <c r="BK88" s="30"/>
      <c r="BL88" s="318"/>
      <c r="BM88" s="318"/>
      <c r="BN88" s="310"/>
      <c r="BO88" s="30"/>
      <c r="BP88" s="318"/>
      <c r="BQ88" s="318"/>
      <c r="BR88" s="318"/>
      <c r="BS88" s="310"/>
      <c r="BT88" s="30"/>
      <c r="BU88" s="318"/>
      <c r="BV88" s="318"/>
      <c r="BW88" s="318"/>
      <c r="BX88" s="310"/>
      <c r="BY88" s="30"/>
      <c r="BZ88" s="318"/>
      <c r="CA88" s="318"/>
      <c r="CB88" s="318"/>
      <c r="CC88" s="310"/>
      <c r="CD88" s="30"/>
      <c r="CE88" s="318"/>
      <c r="CF88" s="318"/>
      <c r="CG88" s="318"/>
      <c r="CH88" s="310"/>
      <c r="CI88" s="30"/>
      <c r="CJ88" s="318"/>
      <c r="CK88" s="318"/>
      <c r="CL88" s="310"/>
      <c r="CM88" s="30"/>
      <c r="CN88" s="318"/>
      <c r="CO88" s="310"/>
      <c r="CP88" s="30"/>
      <c r="CQ88" s="318"/>
      <c r="CR88" s="310"/>
      <c r="CS88" s="30"/>
      <c r="CT88" s="318"/>
      <c r="CU88" s="310"/>
      <c r="CV88" s="30"/>
      <c r="CW88" s="318"/>
      <c r="CX88" s="310"/>
      <c r="CY88" s="30"/>
      <c r="CZ88" s="318"/>
      <c r="DA88" s="310"/>
      <c r="DB88" s="30"/>
      <c r="DC88" s="318"/>
      <c r="DD88" s="310"/>
      <c r="DE88" s="30"/>
      <c r="DF88" s="318"/>
      <c r="DG88" s="310"/>
      <c r="DH88" s="30"/>
      <c r="DI88" s="318"/>
      <c r="DJ88" s="318"/>
      <c r="DK88" s="318"/>
      <c r="DL88" s="318"/>
    </row>
    <row r="89" spans="1:116" hidden="1" outlineLevel="1">
      <c r="A89" s="30" t="str">
        <f>+qtrSales!A103</f>
        <v>1Q</v>
      </c>
      <c r="B89" s="30" t="str">
        <f>+qtrSales!B103</f>
        <v>Apr</v>
      </c>
      <c r="C89" s="30"/>
      <c r="D89" s="307"/>
      <c r="E89" s="308"/>
      <c r="F89" s="307"/>
      <c r="G89" s="317"/>
      <c r="H89" s="317"/>
      <c r="I89" s="317"/>
      <c r="J89" s="321">
        <v>1006</v>
      </c>
      <c r="K89" s="308">
        <f>+(J89/J83-1)*100</f>
        <v>4.1407867494823947</v>
      </c>
      <c r="L89" s="321">
        <v>1625</v>
      </c>
      <c r="M89" s="308">
        <f>+(L89/L83-1)*100</f>
        <v>10.319076714188725</v>
      </c>
      <c r="N89" s="307">
        <v>667</v>
      </c>
      <c r="O89" s="308">
        <f>+(N89/N83-1)*100</f>
        <v>0.90771558245084094</v>
      </c>
      <c r="P89" s="307">
        <v>424</v>
      </c>
      <c r="Q89" s="307"/>
      <c r="R89" s="307">
        <v>0</v>
      </c>
      <c r="S89" s="308"/>
      <c r="T89" s="307">
        <v>363</v>
      </c>
      <c r="U89" s="308">
        <f>+(T89/T83-1)*100</f>
        <v>-5.9585492227979264</v>
      </c>
      <c r="V89" s="307">
        <v>1</v>
      </c>
      <c r="W89" s="317">
        <f>+(V89/V83-1)*100</f>
        <v>0</v>
      </c>
      <c r="X89" s="317"/>
      <c r="Y89" s="317"/>
      <c r="Z89" s="307"/>
      <c r="AA89" s="317"/>
      <c r="AB89" s="307">
        <v>516</v>
      </c>
      <c r="AC89" s="308">
        <f>+(AB89/AB83-1)*100</f>
        <v>-7.0270270270270219</v>
      </c>
      <c r="AD89" s="307"/>
      <c r="AE89" s="308"/>
      <c r="AF89" s="307"/>
      <c r="AG89" s="308"/>
      <c r="AH89" s="307"/>
      <c r="AI89" s="308"/>
      <c r="AJ89" s="307"/>
      <c r="AK89" s="308"/>
      <c r="AL89" s="307"/>
      <c r="AM89" s="308"/>
      <c r="AN89" s="307"/>
      <c r="AO89" s="308"/>
      <c r="AP89" s="30"/>
      <c r="AQ89" s="451">
        <f>+J89+L89+N89+P89+R89+T89+V89+AB89+AD89+AF89+AH89+AJ89+AL89+AN89</f>
        <v>4602</v>
      </c>
      <c r="AR89" s="308">
        <f>+(AQ89/AQ83-1)*100</f>
        <v>-10.727449078564499</v>
      </c>
      <c r="AS89" s="308"/>
      <c r="AT89" s="30" t="str">
        <f>+A89</f>
        <v>1Q</v>
      </c>
      <c r="AU89" s="30" t="str">
        <f>+B89</f>
        <v>Apr</v>
      </c>
      <c r="AV89" s="30"/>
      <c r="AW89" s="307"/>
      <c r="AX89" s="308"/>
      <c r="AY89" s="308"/>
      <c r="AZ89" s="307"/>
      <c r="BA89" s="317"/>
      <c r="BB89" s="308"/>
      <c r="BC89" s="317"/>
      <c r="BD89" s="317"/>
      <c r="BE89" s="317"/>
      <c r="BF89" s="308"/>
      <c r="BG89" s="307"/>
      <c r="BH89" s="307"/>
      <c r="BI89" s="307"/>
      <c r="BJ89" s="308"/>
      <c r="BK89" s="321"/>
      <c r="BL89" s="317"/>
      <c r="BM89" s="317"/>
      <c r="BN89" s="308"/>
      <c r="BO89" s="321"/>
      <c r="BP89" s="317"/>
      <c r="BQ89" s="317"/>
      <c r="BR89" s="317"/>
      <c r="BS89" s="308"/>
      <c r="BT89" s="307"/>
      <c r="BU89" s="317"/>
      <c r="BV89" s="317"/>
      <c r="BW89" s="317"/>
      <c r="BX89" s="308"/>
      <c r="BY89" s="307"/>
      <c r="BZ89" s="317"/>
      <c r="CA89" s="317"/>
      <c r="CB89" s="317"/>
      <c r="CC89" s="308"/>
      <c r="CD89" s="307"/>
      <c r="CE89" s="317"/>
      <c r="CF89" s="317"/>
      <c r="CG89" s="317"/>
      <c r="CH89" s="308"/>
      <c r="CI89" s="321"/>
      <c r="CJ89" s="317"/>
      <c r="CK89" s="317"/>
      <c r="CL89" s="308"/>
      <c r="CM89" s="321"/>
      <c r="CN89" s="317"/>
      <c r="CO89" s="308"/>
      <c r="CP89" s="321"/>
      <c r="CQ89" s="317"/>
      <c r="CR89" s="308"/>
      <c r="CS89" s="321"/>
      <c r="CT89" s="317"/>
      <c r="CU89" s="308"/>
      <c r="CV89" s="321"/>
      <c r="CW89" s="317"/>
      <c r="CX89" s="308"/>
      <c r="CY89" s="321"/>
      <c r="CZ89" s="317"/>
      <c r="DA89" s="308"/>
      <c r="DB89" s="321"/>
      <c r="DC89" s="317"/>
      <c r="DD89" s="308"/>
      <c r="DE89" s="321"/>
      <c r="DF89" s="317"/>
      <c r="DG89" s="308"/>
      <c r="DH89" s="321"/>
      <c r="DI89" s="321"/>
      <c r="DJ89" s="321"/>
      <c r="DK89" s="321"/>
      <c r="DL89" s="321"/>
    </row>
    <row r="90" spans="1:116" hidden="1" outlineLevel="1">
      <c r="A90" s="30" t="str">
        <f>+qtrSales!A104</f>
        <v>2Q</v>
      </c>
      <c r="B90" s="30" t="str">
        <f>+qtrSales!B104</f>
        <v>Jul</v>
      </c>
      <c r="C90" s="30"/>
      <c r="D90" s="307"/>
      <c r="E90" s="308"/>
      <c r="F90" s="307"/>
      <c r="G90" s="317"/>
      <c r="H90" s="317"/>
      <c r="I90" s="317"/>
      <c r="J90" s="321">
        <v>1009</v>
      </c>
      <c r="K90" s="308">
        <f>+(J90/J84-1)*100</f>
        <v>2.7494908350305547</v>
      </c>
      <c r="L90" s="321">
        <v>1629</v>
      </c>
      <c r="M90" s="308">
        <f>+(L90/L84-1)*100</f>
        <v>5.8479532163742798</v>
      </c>
      <c r="N90" s="307">
        <v>644</v>
      </c>
      <c r="O90" s="308">
        <f>+(N90/N84-1)*100</f>
        <v>-2.5718608169440271</v>
      </c>
      <c r="P90" s="307">
        <v>386</v>
      </c>
      <c r="Q90" s="307"/>
      <c r="R90" s="307">
        <v>23</v>
      </c>
      <c r="S90" s="308"/>
      <c r="T90" s="307">
        <v>360</v>
      </c>
      <c r="U90" s="308">
        <f>+(T90/T84-1)*100</f>
        <v>-5.7591623036649224</v>
      </c>
      <c r="V90" s="307">
        <v>1</v>
      </c>
      <c r="W90" s="317">
        <f>+(V90/V84-1)*100</f>
        <v>0</v>
      </c>
      <c r="X90" s="317"/>
      <c r="Y90" s="317"/>
      <c r="Z90" s="307"/>
      <c r="AA90" s="317"/>
      <c r="AB90" s="307">
        <v>512</v>
      </c>
      <c r="AC90" s="308">
        <f>+(AB90/AB84-1)*100</f>
        <v>-6.3985374771480803</v>
      </c>
      <c r="AD90" s="307"/>
      <c r="AE90" s="308"/>
      <c r="AF90" s="307"/>
      <c r="AG90" s="308"/>
      <c r="AH90" s="307"/>
      <c r="AI90" s="308"/>
      <c r="AJ90" s="307"/>
      <c r="AK90" s="308"/>
      <c r="AL90" s="307"/>
      <c r="AM90" s="308"/>
      <c r="AN90" s="307"/>
      <c r="AO90" s="308"/>
      <c r="AP90" s="30"/>
      <c r="AQ90" s="451">
        <f>+J90+L90+N90+P90+R90+T90+V90+AB90+AD90+AF90+AH90+AJ90+AL90+AN90</f>
        <v>4564</v>
      </c>
      <c r="AR90" s="308">
        <f>+(AQ90/AQ84-1)*100</f>
        <v>-12.533537753928703</v>
      </c>
      <c r="AS90" s="308"/>
      <c r="AT90" s="30" t="str">
        <f>+A90</f>
        <v>2Q</v>
      </c>
      <c r="AU90" s="30" t="str">
        <f>+B90</f>
        <v>Jul</v>
      </c>
      <c r="AV90" s="30"/>
      <c r="AW90" s="307"/>
      <c r="AX90" s="308"/>
      <c r="AY90" s="308"/>
      <c r="AZ90" s="307"/>
      <c r="BA90" s="317"/>
      <c r="BB90" s="308"/>
      <c r="BC90" s="317"/>
      <c r="BD90" s="317"/>
      <c r="BE90" s="317"/>
      <c r="BF90" s="308"/>
      <c r="BG90" s="307"/>
      <c r="BH90" s="307"/>
      <c r="BI90" s="307"/>
      <c r="BJ90" s="308"/>
      <c r="BK90" s="321"/>
      <c r="BL90" s="317"/>
      <c r="BM90" s="317"/>
      <c r="BN90" s="308"/>
      <c r="BO90" s="321"/>
      <c r="BP90" s="317"/>
      <c r="BQ90" s="317"/>
      <c r="BR90" s="317"/>
      <c r="BS90" s="308"/>
      <c r="BT90" s="307"/>
      <c r="BU90" s="317"/>
      <c r="BV90" s="317"/>
      <c r="BW90" s="317"/>
      <c r="BX90" s="308"/>
      <c r="BY90" s="307"/>
      <c r="BZ90" s="317"/>
      <c r="CA90" s="317"/>
      <c r="CB90" s="317"/>
      <c r="CC90" s="308"/>
      <c r="CD90" s="307"/>
      <c r="CE90" s="317"/>
      <c r="CF90" s="317"/>
      <c r="CG90" s="317"/>
      <c r="CH90" s="308"/>
      <c r="CI90" s="321"/>
      <c r="CJ90" s="317"/>
      <c r="CK90" s="317"/>
      <c r="CL90" s="308"/>
      <c r="CM90" s="321"/>
      <c r="CN90" s="317"/>
      <c r="CO90" s="308"/>
      <c r="CP90" s="321"/>
      <c r="CQ90" s="317"/>
      <c r="CR90" s="308"/>
      <c r="CS90" s="321"/>
      <c r="CT90" s="317"/>
      <c r="CU90" s="308"/>
      <c r="CV90" s="321"/>
      <c r="CW90" s="317"/>
      <c r="CX90" s="308"/>
      <c r="CY90" s="321"/>
      <c r="CZ90" s="317"/>
      <c r="DA90" s="308"/>
      <c r="DB90" s="321"/>
      <c r="DC90" s="317"/>
      <c r="DD90" s="308"/>
      <c r="DE90" s="321"/>
      <c r="DF90" s="317"/>
      <c r="DG90" s="308"/>
      <c r="DH90" s="321"/>
      <c r="DI90" s="321"/>
      <c r="DJ90" s="321"/>
      <c r="DK90" s="321"/>
      <c r="DL90" s="321"/>
    </row>
    <row r="91" spans="1:116" hidden="1" outlineLevel="1">
      <c r="A91" s="30" t="str">
        <f>+qtrSales!A105</f>
        <v>3Q</v>
      </c>
      <c r="B91" s="30" t="str">
        <f>+qtrSales!B105</f>
        <v>Oct</v>
      </c>
      <c r="C91" s="30"/>
      <c r="D91" s="307"/>
      <c r="E91" s="308"/>
      <c r="F91" s="307"/>
      <c r="G91" s="317"/>
      <c r="H91" s="317"/>
      <c r="I91" s="317"/>
      <c r="J91" s="321">
        <v>1018</v>
      </c>
      <c r="K91" s="308">
        <f>+(J91/J85-1)*100</f>
        <v>1.4955134596211339</v>
      </c>
      <c r="L91" s="321">
        <v>1643</v>
      </c>
      <c r="M91" s="308">
        <f>+(L91/L85-1)*100</f>
        <v>2.623360399750152</v>
      </c>
      <c r="N91" s="307">
        <v>637</v>
      </c>
      <c r="O91" s="308">
        <f>+(N91/N85-1)*100</f>
        <v>-4.7832585949177826</v>
      </c>
      <c r="P91" s="307">
        <v>383</v>
      </c>
      <c r="Q91" s="307"/>
      <c r="R91" s="307">
        <v>41</v>
      </c>
      <c r="S91" s="308"/>
      <c r="T91" s="307">
        <v>359</v>
      </c>
      <c r="U91" s="308">
        <f>+(T91/T85-1)*100</f>
        <v>-6.0209424083769614</v>
      </c>
      <c r="V91" s="307">
        <v>1</v>
      </c>
      <c r="W91" s="317">
        <f>+(V91/V85-1)*100</f>
        <v>0</v>
      </c>
      <c r="X91" s="317"/>
      <c r="Y91" s="317"/>
      <c r="Z91" s="307"/>
      <c r="AA91" s="317"/>
      <c r="AB91" s="307">
        <v>512</v>
      </c>
      <c r="AC91" s="308">
        <f>+(AB91/AB85-1)*100</f>
        <v>-5.7090239410681365</v>
      </c>
      <c r="AD91" s="307"/>
      <c r="AE91" s="308"/>
      <c r="AF91" s="307"/>
      <c r="AG91" s="308"/>
      <c r="AH91" s="307"/>
      <c r="AI91" s="308"/>
      <c r="AJ91" s="307"/>
      <c r="AK91" s="308"/>
      <c r="AL91" s="307"/>
      <c r="AM91" s="308"/>
      <c r="AN91" s="307"/>
      <c r="AO91" s="308"/>
      <c r="AP91" s="30"/>
      <c r="AQ91" s="451">
        <f>+J91+L91+N91+P91+R91+T91+V91+AB91+AD91+AF91+AH91+AJ91+AL91+AN91</f>
        <v>4594</v>
      </c>
      <c r="AR91" s="308">
        <f>+(AQ91/AQ85-1)*100</f>
        <v>-1.2679991403395707</v>
      </c>
      <c r="AS91" s="308"/>
      <c r="AT91" s="30" t="str">
        <f>+A91</f>
        <v>3Q</v>
      </c>
      <c r="AU91" s="30" t="str">
        <f>+B91</f>
        <v>Oct</v>
      </c>
      <c r="AV91" s="30"/>
      <c r="AW91" s="307"/>
      <c r="AX91" s="308"/>
      <c r="AY91" s="308"/>
      <c r="AZ91" s="307"/>
      <c r="BA91" s="317"/>
      <c r="BB91" s="308"/>
      <c r="BC91" s="317"/>
      <c r="BD91" s="317"/>
      <c r="BE91" s="317"/>
      <c r="BF91" s="308"/>
      <c r="BG91" s="307"/>
      <c r="BH91" s="307"/>
      <c r="BI91" s="307"/>
      <c r="BJ91" s="308"/>
      <c r="BK91" s="321"/>
      <c r="BL91" s="317"/>
      <c r="BM91" s="317"/>
      <c r="BN91" s="308"/>
      <c r="BO91" s="321"/>
      <c r="BP91" s="317"/>
      <c r="BQ91" s="317"/>
      <c r="BR91" s="317"/>
      <c r="BS91" s="308"/>
      <c r="BT91" s="307"/>
      <c r="BU91" s="317"/>
      <c r="BV91" s="317"/>
      <c r="BW91" s="317"/>
      <c r="BX91" s="308"/>
      <c r="BY91" s="307"/>
      <c r="BZ91" s="317"/>
      <c r="CA91" s="317"/>
      <c r="CB91" s="317"/>
      <c r="CC91" s="308"/>
      <c r="CD91" s="307"/>
      <c r="CE91" s="317"/>
      <c r="CF91" s="317"/>
      <c r="CG91" s="317"/>
      <c r="CH91" s="308"/>
      <c r="CI91" s="321"/>
      <c r="CJ91" s="317"/>
      <c r="CK91" s="317"/>
      <c r="CL91" s="308"/>
      <c r="CM91" s="321"/>
      <c r="CN91" s="317"/>
      <c r="CO91" s="308"/>
      <c r="CP91" s="321"/>
      <c r="CQ91" s="317"/>
      <c r="CR91" s="308"/>
      <c r="CS91" s="321"/>
      <c r="CT91" s="317"/>
      <c r="CU91" s="308"/>
      <c r="CV91" s="321"/>
      <c r="CW91" s="317"/>
      <c r="CX91" s="308"/>
      <c r="CY91" s="321"/>
      <c r="CZ91" s="317"/>
      <c r="DA91" s="308"/>
      <c r="DB91" s="321"/>
      <c r="DC91" s="317"/>
      <c r="DD91" s="308"/>
      <c r="DE91" s="321"/>
      <c r="DF91" s="317"/>
      <c r="DG91" s="308"/>
      <c r="DH91" s="321"/>
      <c r="DI91" s="321"/>
      <c r="DJ91" s="321"/>
      <c r="DK91" s="321"/>
      <c r="DL91" s="321"/>
    </row>
    <row r="92" spans="1:116" hidden="1" outlineLevel="1">
      <c r="A92" s="30" t="str">
        <f>+qtrSales!A106</f>
        <v>4Q</v>
      </c>
      <c r="B92" s="30" t="str">
        <f>+qtrSales!B106</f>
        <v>Jan</v>
      </c>
      <c r="C92" s="339"/>
      <c r="D92" s="307"/>
      <c r="E92" s="308"/>
      <c r="F92" s="307"/>
      <c r="G92" s="317"/>
      <c r="H92" s="317"/>
      <c r="I92" s="317"/>
      <c r="J92" s="321">
        <v>1014</v>
      </c>
      <c r="K92" s="308">
        <f>+(J92/J86-1)*100</f>
        <v>1.1976047904191711</v>
      </c>
      <c r="L92" s="321">
        <v>1639</v>
      </c>
      <c r="M92" s="308">
        <f>+(L92/L86-1)*100</f>
        <v>1.4860681114551078</v>
      </c>
      <c r="N92" s="307">
        <v>624</v>
      </c>
      <c r="O92" s="308">
        <f>+(N92/N86-1)*100</f>
        <v>-6.4467766116941494</v>
      </c>
      <c r="P92" s="307">
        <v>358</v>
      </c>
      <c r="Q92" s="307"/>
      <c r="R92" s="307">
        <v>49</v>
      </c>
      <c r="S92" s="308"/>
      <c r="T92" s="307">
        <v>351</v>
      </c>
      <c r="U92" s="308">
        <f>+(T92/T86-1)*100</f>
        <v>-4.6195652173913082</v>
      </c>
      <c r="V92" s="307">
        <v>1</v>
      </c>
      <c r="W92" s="317">
        <f>+(V92/V86-1)*100</f>
        <v>0</v>
      </c>
      <c r="X92" s="317"/>
      <c r="Y92" s="317"/>
      <c r="Z92" s="307"/>
      <c r="AA92" s="317"/>
      <c r="AB92" s="307">
        <v>0</v>
      </c>
      <c r="AC92" s="308">
        <f>+(AB92/AB86-1)*100</f>
        <v>-100</v>
      </c>
      <c r="AD92" s="307"/>
      <c r="AE92" s="308"/>
      <c r="AF92" s="307"/>
      <c r="AG92" s="308"/>
      <c r="AH92" s="307"/>
      <c r="AI92" s="308"/>
      <c r="AJ92" s="307"/>
      <c r="AK92" s="308"/>
      <c r="AL92" s="307"/>
      <c r="AM92" s="308"/>
      <c r="AN92" s="307"/>
      <c r="AO92" s="308"/>
      <c r="AP92" s="30"/>
      <c r="AQ92" s="451">
        <f>+J92+L92+N92+P92+R92+T92+V92+AB92+AD92+AF92+AH92+AJ92+AL92+AN92</f>
        <v>4036</v>
      </c>
      <c r="AR92" s="308">
        <f>+(AQ92/AQ86-1)*100</f>
        <v>-12.527091460771567</v>
      </c>
      <c r="AS92" s="308"/>
      <c r="AT92" s="30" t="str">
        <f>+A92</f>
        <v>4Q</v>
      </c>
      <c r="AU92" s="30" t="str">
        <f>+B92</f>
        <v>Jan</v>
      </c>
      <c r="AV92" s="30"/>
      <c r="AW92" s="302"/>
      <c r="AX92" s="302"/>
      <c r="AY92" s="308"/>
      <c r="AZ92" s="302"/>
      <c r="BA92" s="302"/>
      <c r="BB92" s="308"/>
      <c r="BC92" s="307"/>
      <c r="BD92" s="307"/>
      <c r="BE92" s="307"/>
      <c r="BF92" s="308"/>
      <c r="BG92" s="338"/>
      <c r="BH92" s="338"/>
      <c r="BI92" s="328"/>
      <c r="BJ92" s="308"/>
      <c r="BK92" s="302"/>
      <c r="BL92" s="302"/>
      <c r="BM92" s="307"/>
      <c r="BN92" s="308"/>
      <c r="BO92" s="302"/>
      <c r="BP92" s="302"/>
      <c r="BQ92" s="307"/>
      <c r="BR92" s="307"/>
      <c r="BS92" s="308"/>
      <c r="BT92" s="302"/>
      <c r="BU92" s="302"/>
      <c r="BV92" s="302"/>
      <c r="BW92" s="302"/>
      <c r="BX92" s="308"/>
      <c r="BY92" s="302"/>
      <c r="BZ92" s="302"/>
      <c r="CA92" s="302"/>
      <c r="CB92" s="302"/>
      <c r="CC92" s="308"/>
      <c r="CD92" s="302"/>
      <c r="CE92" s="302"/>
      <c r="CF92" s="302"/>
      <c r="CG92" s="302"/>
      <c r="CH92" s="308"/>
      <c r="CI92" s="302"/>
      <c r="CJ92" s="302"/>
      <c r="CK92" s="302"/>
      <c r="CL92" s="308"/>
      <c r="CM92" s="302"/>
      <c r="CN92" s="302"/>
      <c r="CO92" s="308"/>
      <c r="CP92" s="302"/>
      <c r="CQ92" s="302"/>
      <c r="CR92" s="308"/>
      <c r="CS92" s="302"/>
      <c r="CT92" s="302"/>
      <c r="CU92" s="308"/>
      <c r="CV92" s="302"/>
      <c r="CW92" s="302"/>
      <c r="CX92" s="308"/>
      <c r="CY92" s="302"/>
      <c r="CZ92" s="302"/>
      <c r="DA92" s="308"/>
      <c r="DB92" s="302"/>
      <c r="DC92" s="302"/>
      <c r="DD92" s="308"/>
      <c r="DE92" s="302"/>
      <c r="DF92" s="302"/>
      <c r="DG92" s="308"/>
      <c r="DH92" s="306"/>
      <c r="DI92" s="306"/>
      <c r="DJ92" s="321"/>
      <c r="DK92" s="321"/>
      <c r="DL92" s="321"/>
    </row>
    <row r="93" spans="1:116" hidden="1" outlineLevel="1">
      <c r="A93" s="24"/>
      <c r="B93" s="24"/>
      <c r="C93" s="24"/>
      <c r="D93" s="24"/>
      <c r="E93" s="24"/>
      <c r="F93" s="24"/>
      <c r="G93" s="305"/>
      <c r="H93" s="305"/>
      <c r="I93" s="305"/>
      <c r="J93" s="24"/>
      <c r="K93" s="305"/>
      <c r="L93" s="266"/>
      <c r="M93" s="24"/>
      <c r="N93" s="387"/>
      <c r="O93" s="24"/>
      <c r="P93" s="24"/>
      <c r="Q93" s="24"/>
      <c r="R93" s="387"/>
      <c r="S93" s="24"/>
      <c r="T93" s="24"/>
      <c r="U93" s="24"/>
      <c r="V93" s="24"/>
      <c r="W93" s="305"/>
      <c r="X93" s="305"/>
      <c r="Y93" s="305"/>
      <c r="Z93" s="24"/>
      <c r="AA93" s="305"/>
      <c r="AB93" s="24"/>
      <c r="AC93" s="24"/>
      <c r="AD93" s="24"/>
      <c r="AE93" s="24"/>
      <c r="AF93" s="30"/>
      <c r="AG93" s="30"/>
      <c r="AH93" s="30"/>
      <c r="AI93" s="30"/>
      <c r="AJ93" s="30"/>
      <c r="AK93" s="30"/>
      <c r="AL93" s="30"/>
      <c r="AM93" s="30"/>
      <c r="AN93" s="30"/>
      <c r="AO93" s="30"/>
      <c r="AP93" s="24"/>
      <c r="AQ93" s="451"/>
      <c r="AR93" s="30"/>
      <c r="AS93" s="30"/>
      <c r="AT93" s="24"/>
      <c r="AU93" s="24"/>
      <c r="AV93" s="24"/>
      <c r="AW93" s="24"/>
      <c r="AX93" s="24"/>
      <c r="AY93" s="24"/>
      <c r="AZ93" s="24"/>
      <c r="BA93" s="305"/>
      <c r="BB93" s="24"/>
      <c r="BC93" s="305"/>
      <c r="BD93" s="305"/>
      <c r="BE93" s="305"/>
      <c r="BF93" s="24"/>
      <c r="BG93" s="307">
        <v>33</v>
      </c>
      <c r="BH93" s="307">
        <v>-21</v>
      </c>
      <c r="BI93" s="307"/>
      <c r="BJ93" s="24"/>
      <c r="BK93" s="307">
        <v>51</v>
      </c>
      <c r="BL93" s="307">
        <v>-27</v>
      </c>
      <c r="BM93" s="307"/>
      <c r="BN93" s="24"/>
      <c r="BO93" s="307"/>
      <c r="BP93" s="307"/>
      <c r="BQ93" s="307"/>
      <c r="BR93" s="307"/>
      <c r="BS93" s="24"/>
      <c r="BT93" s="307">
        <v>10</v>
      </c>
      <c r="BU93" s="307">
        <f>-15</f>
        <v>-15</v>
      </c>
      <c r="BV93" s="307">
        <v>-38</v>
      </c>
      <c r="BW93" s="307"/>
      <c r="BX93" s="24"/>
      <c r="BY93" s="307">
        <v>0</v>
      </c>
      <c r="BZ93" s="307">
        <f>-65</f>
        <v>-65</v>
      </c>
      <c r="CA93" s="307">
        <v>-16</v>
      </c>
      <c r="CB93" s="307"/>
      <c r="CC93" s="24"/>
      <c r="CD93" s="307">
        <f>11</f>
        <v>11</v>
      </c>
      <c r="CE93" s="307">
        <v>0</v>
      </c>
      <c r="CF93" s="307">
        <v>38</v>
      </c>
      <c r="CG93" s="307"/>
      <c r="CH93" s="24"/>
      <c r="CI93" s="307">
        <v>1</v>
      </c>
      <c r="CJ93" s="307">
        <v>-18</v>
      </c>
      <c r="CK93" s="307"/>
      <c r="CL93" s="24"/>
      <c r="CM93" s="307"/>
      <c r="CN93" s="307"/>
      <c r="CO93" s="24"/>
      <c r="CP93" s="307">
        <v>2</v>
      </c>
      <c r="CQ93" s="307">
        <v>-524</v>
      </c>
      <c r="CR93" s="24"/>
      <c r="CS93" s="24"/>
      <c r="CT93" s="305"/>
      <c r="CU93" s="24"/>
      <c r="CV93" s="24"/>
      <c r="CW93" s="305"/>
      <c r="CX93" s="24"/>
      <c r="CY93" s="24"/>
      <c r="CZ93" s="305"/>
      <c r="DA93" s="24"/>
      <c r="DB93" s="24"/>
      <c r="DC93" s="305"/>
      <c r="DD93" s="24"/>
      <c r="DE93" s="24"/>
      <c r="DF93" s="305"/>
      <c r="DG93" s="24"/>
      <c r="DH93" s="328">
        <f>+BG93+BK93+BT93+BY93+CD93+CI93+BO93+CP93+CS93+CV93+CY93+DB93+DE93</f>
        <v>108</v>
      </c>
      <c r="DI93" s="328">
        <f>+BH93+BL93+BU93+BZ93+CA93+CE93+CJ93+BP93+CQ93+CT93+CW93+CZ93+DC93+DF93</f>
        <v>-686</v>
      </c>
      <c r="DJ93" s="328"/>
      <c r="DK93" s="328"/>
      <c r="DL93" s="328"/>
    </row>
    <row r="94" spans="1:116" hidden="1" outlineLevel="1">
      <c r="A94" s="301"/>
      <c r="B94" s="312">
        <f>+qtrSales!B109</f>
        <v>2003</v>
      </c>
      <c r="C94" s="30"/>
      <c r="D94" s="30"/>
      <c r="E94" s="310"/>
      <c r="F94" s="30"/>
      <c r="G94" s="318"/>
      <c r="H94" s="318"/>
      <c r="I94" s="318"/>
      <c r="J94" s="30"/>
      <c r="K94" s="319"/>
      <c r="L94" s="30"/>
      <c r="M94" s="310"/>
      <c r="N94" s="30"/>
      <c r="O94" s="310"/>
      <c r="P94" s="30"/>
      <c r="Q94" s="30"/>
      <c r="R94" s="30"/>
      <c r="S94" s="310"/>
      <c r="T94" s="30"/>
      <c r="U94" s="310"/>
      <c r="V94" s="30"/>
      <c r="W94" s="318"/>
      <c r="X94" s="318"/>
      <c r="Y94" s="318"/>
      <c r="Z94" s="30"/>
      <c r="AA94" s="318"/>
      <c r="AB94" s="30"/>
      <c r="AC94" s="310"/>
      <c r="AD94" s="30"/>
      <c r="AE94" s="310"/>
      <c r="AF94" s="30"/>
      <c r="AG94" s="310"/>
      <c r="AH94" s="30"/>
      <c r="AI94" s="310"/>
      <c r="AJ94" s="30"/>
      <c r="AK94" s="310"/>
      <c r="AL94" s="30"/>
      <c r="AM94" s="310"/>
      <c r="AN94" s="30"/>
      <c r="AO94" s="310"/>
      <c r="AP94" s="30"/>
      <c r="AQ94" s="451"/>
      <c r="AR94" s="310"/>
      <c r="AS94" s="310"/>
      <c r="AT94" s="141"/>
      <c r="AU94" s="27">
        <f>+B94</f>
        <v>2003</v>
      </c>
      <c r="AV94" s="30"/>
      <c r="AW94" s="30"/>
      <c r="AX94" s="310"/>
      <c r="AY94" s="310"/>
      <c r="AZ94" s="30"/>
      <c r="BA94" s="318"/>
      <c r="BB94" s="310"/>
      <c r="BC94" s="318"/>
      <c r="BD94" s="318"/>
      <c r="BE94" s="318"/>
      <c r="BF94" s="310"/>
      <c r="BG94" s="30"/>
      <c r="BH94" s="318"/>
      <c r="BI94" s="318"/>
      <c r="BJ94" s="310"/>
      <c r="BK94" s="30"/>
      <c r="BL94" s="318"/>
      <c r="BM94" s="318"/>
      <c r="BN94" s="310"/>
      <c r="BO94" s="30"/>
      <c r="BP94" s="318"/>
      <c r="BQ94" s="318"/>
      <c r="BR94" s="318"/>
      <c r="BS94" s="310"/>
      <c r="BT94" s="30"/>
      <c r="BU94" s="318"/>
      <c r="BV94" s="318"/>
      <c r="BW94" s="318"/>
      <c r="BX94" s="310"/>
      <c r="BY94" s="30"/>
      <c r="BZ94" s="318"/>
      <c r="CA94" s="318"/>
      <c r="CB94" s="318"/>
      <c r="CC94" s="310"/>
      <c r="CD94" s="30"/>
      <c r="CE94" s="318"/>
      <c r="CF94" s="318"/>
      <c r="CG94" s="318"/>
      <c r="CH94" s="310"/>
      <c r="CI94" s="30"/>
      <c r="CJ94" s="318"/>
      <c r="CK94" s="318"/>
      <c r="CL94" s="310"/>
      <c r="CM94" s="30"/>
      <c r="CN94" s="318"/>
      <c r="CO94" s="310"/>
      <c r="CP94" s="30"/>
      <c r="CQ94" s="318"/>
      <c r="CR94" s="310"/>
      <c r="CS94" s="30"/>
      <c r="CT94" s="318"/>
      <c r="CU94" s="310"/>
      <c r="CV94" s="30"/>
      <c r="CW94" s="318"/>
      <c r="CX94" s="310"/>
      <c r="CY94" s="30"/>
      <c r="CZ94" s="318"/>
      <c r="DA94" s="310"/>
      <c r="DB94" s="30"/>
      <c r="DC94" s="318"/>
      <c r="DD94" s="310"/>
      <c r="DE94" s="30"/>
      <c r="DF94" s="318"/>
      <c r="DG94" s="310"/>
      <c r="DH94" s="307"/>
      <c r="DI94" s="307"/>
      <c r="DJ94" s="307"/>
      <c r="DK94" s="307"/>
      <c r="DL94" s="307"/>
    </row>
    <row r="95" spans="1:116" hidden="1" outlineLevel="1">
      <c r="A95" s="30" t="str">
        <f>+qtrSales!A110</f>
        <v>1Q</v>
      </c>
      <c r="B95" s="30" t="str">
        <f>+qtrSales!B110</f>
        <v>Apr</v>
      </c>
      <c r="C95" s="30"/>
      <c r="D95" s="307"/>
      <c r="E95" s="308"/>
      <c r="F95" s="307"/>
      <c r="G95" s="317"/>
      <c r="H95" s="317"/>
      <c r="I95" s="317"/>
      <c r="J95" s="321">
        <f>+J92-3</f>
        <v>1011</v>
      </c>
      <c r="K95" s="308">
        <f>+(J95/J89-1)*100</f>
        <v>0.49701789264413598</v>
      </c>
      <c r="L95" s="325">
        <f>+L92+BK95+BL95</f>
        <v>1630</v>
      </c>
      <c r="M95" s="308">
        <f>+(L95/L89-1)*100</f>
        <v>0.30769230769229772</v>
      </c>
      <c r="N95" s="309">
        <f>+N92-4</f>
        <v>620</v>
      </c>
      <c r="O95" s="308">
        <f>+(N95/N89-1)*100</f>
        <v>-7.046476761619191</v>
      </c>
      <c r="P95" s="309">
        <f>+P92+BY95+BZ95+CA95</f>
        <v>319</v>
      </c>
      <c r="Q95" s="307"/>
      <c r="R95" s="309">
        <f>+R92+CD95+CE95+CF95</f>
        <v>51</v>
      </c>
      <c r="S95" s="474"/>
      <c r="T95" s="307">
        <f>+T92-2</f>
        <v>349</v>
      </c>
      <c r="U95" s="308">
        <f>+(T95/T89-1)*100</f>
        <v>-3.8567493112947604</v>
      </c>
      <c r="V95" s="307">
        <v>1</v>
      </c>
      <c r="W95" s="317">
        <f>+(V95/V89-1)*100</f>
        <v>0</v>
      </c>
      <c r="X95" s="317"/>
      <c r="Y95" s="317"/>
      <c r="Z95" s="307"/>
      <c r="AA95" s="317"/>
      <c r="AB95" s="307"/>
      <c r="AC95" s="308"/>
      <c r="AD95" s="307"/>
      <c r="AE95" s="308"/>
      <c r="AF95" s="307"/>
      <c r="AG95" s="308"/>
      <c r="AH95" s="307"/>
      <c r="AI95" s="308"/>
      <c r="AJ95" s="307"/>
      <c r="AK95" s="308"/>
      <c r="AL95" s="307"/>
      <c r="AM95" s="308"/>
      <c r="AN95" s="307"/>
      <c r="AO95" s="308"/>
      <c r="AP95" s="30"/>
      <c r="AQ95" s="451">
        <f>+J95+L95+N95+P95+R95+T95+V95+AB95+AD95+AF95+AH95+AJ95+AL95+AN95</f>
        <v>3981</v>
      </c>
      <c r="AR95" s="308">
        <f>+(AQ95/AQ89-1)*100</f>
        <v>-13.494132985658414</v>
      </c>
      <c r="AS95" s="308"/>
      <c r="AT95" s="30" t="str">
        <f>+A95</f>
        <v>1Q</v>
      </c>
      <c r="AU95" s="30" t="str">
        <f>+B95</f>
        <v>Apr</v>
      </c>
      <c r="AV95" s="30"/>
      <c r="AW95" s="307"/>
      <c r="AX95" s="308"/>
      <c r="AY95" s="308"/>
      <c r="AZ95" s="307"/>
      <c r="BA95" s="317"/>
      <c r="BB95" s="308"/>
      <c r="BC95" s="317"/>
      <c r="BD95" s="317"/>
      <c r="BE95" s="317"/>
      <c r="BF95" s="308"/>
      <c r="BG95" s="307">
        <v>0</v>
      </c>
      <c r="BH95" s="307">
        <v>-3</v>
      </c>
      <c r="BI95" s="307"/>
      <c r="BJ95" s="308"/>
      <c r="BK95" s="307">
        <v>1</v>
      </c>
      <c r="BL95" s="307">
        <v>-10</v>
      </c>
      <c r="BM95" s="317"/>
      <c r="BN95" s="308"/>
      <c r="BO95" s="321"/>
      <c r="BP95" s="317"/>
      <c r="BQ95" s="317"/>
      <c r="BR95" s="317"/>
      <c r="BS95" s="308"/>
      <c r="BT95" s="307">
        <v>0</v>
      </c>
      <c r="BU95" s="307">
        <v>-4</v>
      </c>
      <c r="BV95" s="307">
        <v>0</v>
      </c>
      <c r="BW95" s="317"/>
      <c r="BX95" s="308"/>
      <c r="BY95" s="307">
        <v>0</v>
      </c>
      <c r="BZ95" s="307">
        <v>-39</v>
      </c>
      <c r="CA95" s="307">
        <v>0</v>
      </c>
      <c r="CB95" s="317"/>
      <c r="CC95" s="308"/>
      <c r="CD95" s="307">
        <v>0</v>
      </c>
      <c r="CE95" s="307">
        <v>0</v>
      </c>
      <c r="CF95" s="307">
        <v>2</v>
      </c>
      <c r="CG95" s="317"/>
      <c r="CH95" s="308"/>
      <c r="CI95" s="307">
        <v>0</v>
      </c>
      <c r="CJ95" s="307">
        <v>-2</v>
      </c>
      <c r="CK95" s="317"/>
      <c r="CL95" s="308"/>
      <c r="CM95" s="321"/>
      <c r="CN95" s="317"/>
      <c r="CO95" s="308"/>
      <c r="CP95" s="321"/>
      <c r="CQ95" s="317"/>
      <c r="CR95" s="308"/>
      <c r="CS95" s="321"/>
      <c r="CT95" s="317"/>
      <c r="CU95" s="308"/>
      <c r="CV95" s="321"/>
      <c r="CW95" s="317"/>
      <c r="CX95" s="308"/>
      <c r="CY95" s="321"/>
      <c r="CZ95" s="317"/>
      <c r="DA95" s="308"/>
      <c r="DB95" s="321"/>
      <c r="DC95" s="317"/>
      <c r="DD95" s="308"/>
      <c r="DE95" s="321"/>
      <c r="DF95" s="317"/>
      <c r="DG95" s="308"/>
      <c r="DH95" s="321"/>
      <c r="DI95" s="321"/>
      <c r="DJ95" s="321"/>
      <c r="DK95" s="321"/>
      <c r="DL95" s="321"/>
    </row>
    <row r="96" spans="1:116" hidden="1" outlineLevel="1">
      <c r="A96" s="30" t="str">
        <f>+qtrSales!A111</f>
        <v>2Q</v>
      </c>
      <c r="B96" s="30" t="str">
        <f>+qtrSales!B111</f>
        <v>Jul</v>
      </c>
      <c r="C96" s="30"/>
      <c r="D96" s="307"/>
      <c r="E96" s="308"/>
      <c r="F96" s="307"/>
      <c r="G96" s="317"/>
      <c r="H96" s="317"/>
      <c r="I96" s="317"/>
      <c r="J96" s="321">
        <f>+J95+5-7</f>
        <v>1009</v>
      </c>
      <c r="K96" s="308">
        <f>+(J96/J90-1)*100</f>
        <v>0</v>
      </c>
      <c r="L96" s="325">
        <f>+L95+BK96+BL96</f>
        <v>1621</v>
      </c>
      <c r="M96" s="308">
        <f>+(L96/L90-1)*100</f>
        <v>-0.49109883364026885</v>
      </c>
      <c r="N96" s="309">
        <f>+N95+BT96+BU96+BV96</f>
        <v>599</v>
      </c>
      <c r="O96" s="308">
        <f>+(N96/N90-1)*100</f>
        <v>-6.9875776397515521</v>
      </c>
      <c r="P96" s="309">
        <f>+P95+BY96+BZ96+CA96</f>
        <v>323</v>
      </c>
      <c r="Q96" s="307"/>
      <c r="R96" s="309">
        <f>+R95+CD96+CE96+CF96</f>
        <v>70</v>
      </c>
      <c r="S96" s="308"/>
      <c r="T96" s="307">
        <f>+T95-2</f>
        <v>347</v>
      </c>
      <c r="U96" s="308">
        <f>+(T96/T90-1)*100</f>
        <v>-3.6111111111111094</v>
      </c>
      <c r="V96" s="307">
        <v>1</v>
      </c>
      <c r="W96" s="317">
        <f>+(V96/V90-1)*100</f>
        <v>0</v>
      </c>
      <c r="X96" s="317"/>
      <c r="Y96" s="317"/>
      <c r="Z96" s="307"/>
      <c r="AA96" s="317"/>
      <c r="AB96" s="307"/>
      <c r="AC96" s="308"/>
      <c r="AD96" s="307"/>
      <c r="AE96" s="308"/>
      <c r="AF96" s="307"/>
      <c r="AG96" s="308"/>
      <c r="AH96" s="307"/>
      <c r="AI96" s="308"/>
      <c r="AJ96" s="307"/>
      <c r="AK96" s="308"/>
      <c r="AL96" s="307"/>
      <c r="AM96" s="308"/>
      <c r="AN96" s="307"/>
      <c r="AO96" s="308"/>
      <c r="AP96" s="30"/>
      <c r="AQ96" s="451">
        <f>+J96+L96+N96+P96+R96+T96+V96+AB96+AD96+AF96+AH96+AJ96+AL96+AN96</f>
        <v>3970</v>
      </c>
      <c r="AR96" s="308">
        <f>+(AQ96/AQ90-1)*100</f>
        <v>-13.014899211218234</v>
      </c>
      <c r="AS96" s="308"/>
      <c r="AT96" s="30" t="str">
        <f>+A96</f>
        <v>2Q</v>
      </c>
      <c r="AU96" s="30" t="str">
        <f>+B96</f>
        <v>Jul</v>
      </c>
      <c r="AV96" s="30"/>
      <c r="AW96" s="307"/>
      <c r="AX96" s="308"/>
      <c r="AY96" s="308"/>
      <c r="AZ96" s="307"/>
      <c r="BA96" s="317"/>
      <c r="BB96" s="308"/>
      <c r="BC96" s="317"/>
      <c r="BD96" s="317"/>
      <c r="BE96" s="317"/>
      <c r="BF96" s="308"/>
      <c r="BG96" s="307">
        <v>5</v>
      </c>
      <c r="BH96" s="307">
        <v>-7</v>
      </c>
      <c r="BI96" s="307"/>
      <c r="BJ96" s="308"/>
      <c r="BK96" s="307">
        <v>1</v>
      </c>
      <c r="BL96" s="307">
        <v>-10</v>
      </c>
      <c r="BM96" s="317"/>
      <c r="BN96" s="308"/>
      <c r="BO96" s="321"/>
      <c r="BP96" s="317"/>
      <c r="BQ96" s="317"/>
      <c r="BR96" s="317"/>
      <c r="BS96" s="308"/>
      <c r="BT96" s="307">
        <v>2</v>
      </c>
      <c r="BU96" s="307">
        <v>-3</v>
      </c>
      <c r="BV96" s="307">
        <v>-20</v>
      </c>
      <c r="BW96" s="317"/>
      <c r="BX96" s="308"/>
      <c r="BY96" s="307">
        <v>0</v>
      </c>
      <c r="BZ96" s="307">
        <v>4</v>
      </c>
      <c r="CA96" s="307">
        <v>0</v>
      </c>
      <c r="CB96" s="317"/>
      <c r="CC96" s="308"/>
      <c r="CD96" s="307">
        <v>1</v>
      </c>
      <c r="CE96" s="307">
        <v>0</v>
      </c>
      <c r="CF96" s="307">
        <v>18</v>
      </c>
      <c r="CG96" s="317"/>
      <c r="CH96" s="308"/>
      <c r="CI96" s="307">
        <v>0</v>
      </c>
      <c r="CJ96" s="307">
        <v>-2</v>
      </c>
      <c r="CK96" s="317"/>
      <c r="CL96" s="308"/>
      <c r="CM96" s="321"/>
      <c r="CN96" s="317"/>
      <c r="CO96" s="308"/>
      <c r="CP96" s="321"/>
      <c r="CQ96" s="317"/>
      <c r="CR96" s="308"/>
      <c r="CS96" s="321"/>
      <c r="CT96" s="317"/>
      <c r="CU96" s="308"/>
      <c r="CV96" s="321"/>
      <c r="CW96" s="317"/>
      <c r="CX96" s="308"/>
      <c r="CY96" s="321"/>
      <c r="CZ96" s="317"/>
      <c r="DA96" s="308"/>
      <c r="DB96" s="321"/>
      <c r="DC96" s="317"/>
      <c r="DD96" s="308"/>
      <c r="DE96" s="321"/>
      <c r="DF96" s="317"/>
      <c r="DG96" s="308"/>
      <c r="DH96" s="321"/>
      <c r="DI96" s="321"/>
      <c r="DJ96" s="321"/>
      <c r="DK96" s="321"/>
      <c r="DL96" s="321"/>
    </row>
    <row r="97" spans="1:121" hidden="1" outlineLevel="1">
      <c r="A97" s="30" t="str">
        <f>+qtrSales!A112</f>
        <v>3Q</v>
      </c>
      <c r="B97" s="30" t="str">
        <f>+qtrSales!B112</f>
        <v>Oct</v>
      </c>
      <c r="C97" s="30"/>
      <c r="D97" s="307"/>
      <c r="E97" s="308"/>
      <c r="F97" s="307"/>
      <c r="G97" s="317"/>
      <c r="H97" s="317"/>
      <c r="I97" s="317"/>
      <c r="J97" s="325">
        <f>+J96+BG97+BH97</f>
        <v>1011</v>
      </c>
      <c r="K97" s="308">
        <f>+(J97/J91-1)*100</f>
        <v>-0.68762278978389269</v>
      </c>
      <c r="L97" s="325">
        <f>+L96+BK97+BL97</f>
        <v>1622</v>
      </c>
      <c r="M97" s="308">
        <f>+(L97/L91-1)*100</f>
        <v>-1.2781497261107777</v>
      </c>
      <c r="N97" s="309">
        <f>+N96+BU97+BV97</f>
        <v>582</v>
      </c>
      <c r="O97" s="308">
        <f>+(N97/N91-1)*100</f>
        <v>-8.6342229199372067</v>
      </c>
      <c r="P97" s="309">
        <f>+P96+BY97+BZ97+CA97</f>
        <v>319</v>
      </c>
      <c r="Q97" s="307"/>
      <c r="R97" s="309">
        <f>+R96+CD97+CE97+CF97</f>
        <v>90</v>
      </c>
      <c r="S97" s="308"/>
      <c r="T97" s="309">
        <f>+T96+CI97+CJ97</f>
        <v>346</v>
      </c>
      <c r="U97" s="308">
        <f>+(T97/T91-1)*100</f>
        <v>-3.6211699164345412</v>
      </c>
      <c r="V97" s="307">
        <v>1</v>
      </c>
      <c r="W97" s="317">
        <f>+(V97/V91-1)*100</f>
        <v>0</v>
      </c>
      <c r="X97" s="317"/>
      <c r="Y97" s="317"/>
      <c r="Z97" s="309"/>
      <c r="AA97" s="317"/>
      <c r="AB97" s="307"/>
      <c r="AC97" s="308"/>
      <c r="AD97" s="307"/>
      <c r="AE97" s="308"/>
      <c r="AF97" s="307"/>
      <c r="AG97" s="308"/>
      <c r="AH97" s="307"/>
      <c r="AI97" s="308"/>
      <c r="AJ97" s="307"/>
      <c r="AK97" s="308"/>
      <c r="AL97" s="307"/>
      <c r="AM97" s="308"/>
      <c r="AN97" s="307"/>
      <c r="AO97" s="308"/>
      <c r="AP97" s="530"/>
      <c r="AQ97" s="451">
        <f>+J97+L97+N97+P97+R97+T97+V97+AB97+AD97+AF97+AH97+AJ97+AL97+AN97</f>
        <v>3971</v>
      </c>
      <c r="AR97" s="308">
        <f>+(AQ97/AQ91-1)*100</f>
        <v>-13.561166739225072</v>
      </c>
      <c r="AS97" s="308"/>
      <c r="AT97" s="30" t="str">
        <f>+A97</f>
        <v>3Q</v>
      </c>
      <c r="AU97" s="30" t="str">
        <f>+B97</f>
        <v>Oct</v>
      </c>
      <c r="AV97" s="30"/>
      <c r="AW97" s="307"/>
      <c r="AX97" s="308"/>
      <c r="AY97" s="308"/>
      <c r="AZ97" s="307"/>
      <c r="BA97" s="317"/>
      <c r="BB97" s="308"/>
      <c r="BC97" s="317"/>
      <c r="BD97" s="317"/>
      <c r="BE97" s="317"/>
      <c r="BF97" s="308"/>
      <c r="BG97" s="307">
        <v>2</v>
      </c>
      <c r="BH97" s="307">
        <v>0</v>
      </c>
      <c r="BI97" s="307"/>
      <c r="BJ97" s="308"/>
      <c r="BK97" s="307">
        <v>3</v>
      </c>
      <c r="BL97" s="307">
        <v>-2</v>
      </c>
      <c r="BM97" s="317"/>
      <c r="BN97" s="308"/>
      <c r="BO97" s="321"/>
      <c r="BP97" s="317"/>
      <c r="BQ97" s="317"/>
      <c r="BR97" s="317"/>
      <c r="BS97" s="308"/>
      <c r="BT97" s="307">
        <v>0</v>
      </c>
      <c r="BU97" s="307">
        <v>0</v>
      </c>
      <c r="BV97" s="307">
        <v>-17</v>
      </c>
      <c r="BW97" s="317"/>
      <c r="BX97" s="308"/>
      <c r="BY97" s="307">
        <v>0</v>
      </c>
      <c r="BZ97" s="307">
        <v>-4</v>
      </c>
      <c r="CA97" s="307">
        <v>0</v>
      </c>
      <c r="CB97" s="317"/>
      <c r="CC97" s="308"/>
      <c r="CD97" s="307">
        <v>3</v>
      </c>
      <c r="CE97" s="307">
        <v>0</v>
      </c>
      <c r="CF97" s="307">
        <v>17</v>
      </c>
      <c r="CG97" s="317"/>
      <c r="CH97" s="308"/>
      <c r="CI97" s="307">
        <v>0</v>
      </c>
      <c r="CJ97" s="307">
        <v>-1</v>
      </c>
      <c r="CK97" s="317"/>
      <c r="CL97" s="308"/>
      <c r="CM97" s="321"/>
      <c r="CN97" s="317"/>
      <c r="CO97" s="308"/>
      <c r="CP97" s="321"/>
      <c r="CQ97" s="317"/>
      <c r="CR97" s="308"/>
      <c r="CS97" s="321"/>
      <c r="CT97" s="317"/>
      <c r="CU97" s="308"/>
      <c r="CV97" s="321"/>
      <c r="CW97" s="317"/>
      <c r="CX97" s="308"/>
      <c r="CY97" s="321"/>
      <c r="CZ97" s="317"/>
      <c r="DA97" s="308"/>
      <c r="DB97" s="321"/>
      <c r="DC97" s="317"/>
      <c r="DD97" s="308"/>
      <c r="DE97" s="321"/>
      <c r="DF97" s="317"/>
      <c r="DG97" s="308"/>
      <c r="DH97" s="328">
        <f>+BG97+BK97+BT97+BY97+CD97+CI97+BO97+CP97+CS97+CV97+CY97+DB97+DE97</f>
        <v>8</v>
      </c>
      <c r="DI97" s="328">
        <f>+BH97+BL97+BU97+BZ97+CE97+CJ97+BP97+CQ97+CT97+CW97+CZ97+DC97+DF97</f>
        <v>-7</v>
      </c>
      <c r="DJ97" s="321"/>
      <c r="DK97" s="321"/>
      <c r="DL97" s="321"/>
    </row>
    <row r="98" spans="1:121" hidden="1" outlineLevel="1">
      <c r="A98" s="30" t="str">
        <f>+qtrSales!A113</f>
        <v>4Q</v>
      </c>
      <c r="B98" s="30" t="str">
        <f>+qtrSales!B113</f>
        <v>Jan</v>
      </c>
      <c r="C98" s="339"/>
      <c r="D98" s="307"/>
      <c r="E98" s="308"/>
      <c r="F98" s="307"/>
      <c r="G98" s="317"/>
      <c r="H98" s="317"/>
      <c r="I98" s="317"/>
      <c r="J98" s="325">
        <f>+J97+BG98+BH98</f>
        <v>1009</v>
      </c>
      <c r="K98" s="308">
        <f>+(J98/J92-1)*100</f>
        <v>-0.49309664694280331</v>
      </c>
      <c r="L98" s="325">
        <f>+L97+BK98+BL98</f>
        <v>1604</v>
      </c>
      <c r="M98" s="308">
        <f>+(L98/L92-1)*100</f>
        <v>-2.1354484441732713</v>
      </c>
      <c r="N98" s="309">
        <f>+N97+BU98+BV98</f>
        <v>562</v>
      </c>
      <c r="O98" s="308">
        <f>+(N98/N92-1)*100</f>
        <v>-9.9358974358974343</v>
      </c>
      <c r="P98" s="309">
        <f>+P97+BY98+BZ98+CA98</f>
        <v>290</v>
      </c>
      <c r="Q98" s="307"/>
      <c r="R98" s="309">
        <f>+R97+CD98+CE98+CF98</f>
        <v>104</v>
      </c>
      <c r="S98" s="308"/>
      <c r="T98" s="309">
        <f>+T97+CI98+CJ98</f>
        <v>341</v>
      </c>
      <c r="U98" s="308">
        <f>+(T98/T92-1)*100</f>
        <v>-2.8490028490028463</v>
      </c>
      <c r="V98" s="307">
        <v>1</v>
      </c>
      <c r="W98" s="317">
        <f>+(V98/V92-1)*100</f>
        <v>0</v>
      </c>
      <c r="X98" s="317"/>
      <c r="Y98" s="317"/>
      <c r="Z98" s="309"/>
      <c r="AA98" s="317"/>
      <c r="AB98" s="307"/>
      <c r="AC98" s="308"/>
      <c r="AD98" s="307"/>
      <c r="AE98" s="308"/>
      <c r="AF98" s="307"/>
      <c r="AG98" s="308"/>
      <c r="AH98" s="307"/>
      <c r="AI98" s="308"/>
      <c r="AJ98" s="307"/>
      <c r="AK98" s="308"/>
      <c r="AL98" s="307"/>
      <c r="AM98" s="308"/>
      <c r="AN98" s="307"/>
      <c r="AO98" s="308"/>
      <c r="AP98" s="530"/>
      <c r="AQ98" s="451">
        <f>+J98+L98+N98+P98+R98+T98+V98+AB98+AD98+AF98+AH98+AJ98+AL98+AN98</f>
        <v>3911</v>
      </c>
      <c r="AR98" s="308">
        <f>+(AQ98/AQ92-1)*100</f>
        <v>-3.0971258671952384</v>
      </c>
      <c r="AS98" s="308"/>
      <c r="AT98" s="30" t="str">
        <f>+A98</f>
        <v>4Q</v>
      </c>
      <c r="AU98" s="30" t="str">
        <f>+B98</f>
        <v>Jan</v>
      </c>
      <c r="AV98" s="30"/>
      <c r="AW98" s="302"/>
      <c r="AX98" s="302"/>
      <c r="AY98" s="308"/>
      <c r="AZ98" s="302"/>
      <c r="BA98" s="302"/>
      <c r="BB98" s="308"/>
      <c r="BC98" s="307"/>
      <c r="BD98" s="307"/>
      <c r="BE98" s="307"/>
      <c r="BF98" s="308"/>
      <c r="BG98" s="302">
        <v>3</v>
      </c>
      <c r="BH98" s="302">
        <v>-5</v>
      </c>
      <c r="BI98" s="338"/>
      <c r="BJ98" s="308"/>
      <c r="BK98" s="302">
        <v>1</v>
      </c>
      <c r="BL98" s="302">
        <v>-19</v>
      </c>
      <c r="BM98" s="302"/>
      <c r="BN98" s="308"/>
      <c r="BO98" s="302"/>
      <c r="BP98" s="302"/>
      <c r="BQ98" s="307"/>
      <c r="BR98" s="307"/>
      <c r="BS98" s="308"/>
      <c r="BT98" s="302">
        <v>0</v>
      </c>
      <c r="BU98" s="302">
        <v>-7</v>
      </c>
      <c r="BV98" s="302">
        <v>-13</v>
      </c>
      <c r="BW98" s="302"/>
      <c r="BX98" s="308"/>
      <c r="BY98" s="302">
        <v>0</v>
      </c>
      <c r="BZ98" s="302">
        <v>-29</v>
      </c>
      <c r="CA98" s="302">
        <v>0</v>
      </c>
      <c r="CB98" s="302"/>
      <c r="CC98" s="308"/>
      <c r="CD98" s="302">
        <v>1</v>
      </c>
      <c r="CE98" s="302">
        <v>0</v>
      </c>
      <c r="CF98" s="302">
        <v>13</v>
      </c>
      <c r="CG98" s="302"/>
      <c r="CH98" s="308"/>
      <c r="CI98" s="302">
        <v>2</v>
      </c>
      <c r="CJ98" s="302">
        <v>-7</v>
      </c>
      <c r="CK98" s="302"/>
      <c r="CL98" s="308"/>
      <c r="CM98" s="302"/>
      <c r="CN98" s="302"/>
      <c r="CO98" s="308"/>
      <c r="CP98" s="302"/>
      <c r="CQ98" s="302"/>
      <c r="CR98" s="308"/>
      <c r="CS98" s="302"/>
      <c r="CT98" s="302"/>
      <c r="CU98" s="308"/>
      <c r="CV98" s="302"/>
      <c r="CW98" s="302"/>
      <c r="CX98" s="308"/>
      <c r="CY98" s="302"/>
      <c r="CZ98" s="302"/>
      <c r="DA98" s="308"/>
      <c r="DB98" s="302"/>
      <c r="DC98" s="302"/>
      <c r="DD98" s="308"/>
      <c r="DE98" s="302"/>
      <c r="DF98" s="302"/>
      <c r="DG98" s="308"/>
      <c r="DH98" s="306"/>
      <c r="DI98" s="306"/>
      <c r="DJ98" s="306"/>
      <c r="DK98" s="306"/>
      <c r="DL98" s="321"/>
    </row>
    <row r="99" spans="1:121" hidden="1" outlineLevel="1">
      <c r="A99" s="24"/>
      <c r="B99" s="24"/>
      <c r="C99" s="24"/>
      <c r="D99" s="24"/>
      <c r="E99" s="24"/>
      <c r="F99" s="24"/>
      <c r="G99" s="305"/>
      <c r="H99" s="305"/>
      <c r="I99" s="305"/>
      <c r="J99" s="24"/>
      <c r="K99" s="305"/>
      <c r="L99" s="24"/>
      <c r="M99" s="24"/>
      <c r="N99" s="387"/>
      <c r="O99" s="24"/>
      <c r="P99" s="387"/>
      <c r="Q99" s="24"/>
      <c r="R99" s="387"/>
      <c r="S99" s="24"/>
      <c r="T99" s="24"/>
      <c r="U99" s="24"/>
      <c r="V99" s="24"/>
      <c r="W99" s="305"/>
      <c r="X99" s="305"/>
      <c r="Y99" s="305"/>
      <c r="Z99" s="24"/>
      <c r="AA99" s="305"/>
      <c r="AB99" s="24"/>
      <c r="AC99" s="24"/>
      <c r="AD99" s="24"/>
      <c r="AE99" s="24"/>
      <c r="AF99" s="30"/>
      <c r="AG99" s="30"/>
      <c r="AH99" s="30"/>
      <c r="AI99" s="30"/>
      <c r="AJ99" s="30"/>
      <c r="AK99" s="30"/>
      <c r="AL99" s="30"/>
      <c r="AM99" s="30"/>
      <c r="AN99" s="30"/>
      <c r="AO99" s="30"/>
      <c r="AP99" s="24"/>
      <c r="AQ99" s="451"/>
      <c r="AR99" s="30"/>
      <c r="AS99" s="30"/>
      <c r="AT99" s="24"/>
      <c r="AU99" s="24"/>
      <c r="AV99" s="24"/>
      <c r="AW99" s="24"/>
      <c r="AX99" s="24"/>
      <c r="AY99" s="24"/>
      <c r="AZ99" s="24"/>
      <c r="BA99" s="305"/>
      <c r="BB99" s="24"/>
      <c r="BC99" s="305"/>
      <c r="BD99" s="305"/>
      <c r="BE99" s="305"/>
      <c r="BF99" s="24"/>
      <c r="BG99" s="309">
        <f>SUM(BG95:BG98)</f>
        <v>10</v>
      </c>
      <c r="BH99" s="309">
        <f>SUM(BH95:BH98)</f>
        <v>-15</v>
      </c>
      <c r="BI99" s="307"/>
      <c r="BJ99" s="24"/>
      <c r="BK99" s="309">
        <f>SUM(BK95:BK98)</f>
        <v>6</v>
      </c>
      <c r="BL99" s="309">
        <f>SUM(BL95:BL98)</f>
        <v>-41</v>
      </c>
      <c r="BM99" s="307"/>
      <c r="BN99" s="24"/>
      <c r="BO99" s="307"/>
      <c r="BP99" s="307"/>
      <c r="BQ99" s="307"/>
      <c r="BR99" s="307"/>
      <c r="BS99" s="24"/>
      <c r="BT99" s="309">
        <f>SUM(BT95:BT98)</f>
        <v>2</v>
      </c>
      <c r="BU99" s="309">
        <f>SUM(BU95:BU98)</f>
        <v>-14</v>
      </c>
      <c r="BV99" s="309">
        <f>SUM(BV95:BV98)</f>
        <v>-50</v>
      </c>
      <c r="BW99" s="307"/>
      <c r="BX99" s="24"/>
      <c r="BY99" s="309">
        <f>+SUM(BY95:BY98)</f>
        <v>0</v>
      </c>
      <c r="BZ99" s="309">
        <f>+SUM(BZ95:BZ98)</f>
        <v>-68</v>
      </c>
      <c r="CA99" s="309">
        <f>+SUM(CA95:CA98)</f>
        <v>0</v>
      </c>
      <c r="CB99" s="307"/>
      <c r="CC99" s="24"/>
      <c r="CD99" s="309">
        <f>+SUM(CD95:CD98)</f>
        <v>5</v>
      </c>
      <c r="CE99" s="307">
        <v>0</v>
      </c>
      <c r="CF99" s="309">
        <f>+SUM(CF95:CF98)</f>
        <v>50</v>
      </c>
      <c r="CG99" s="307"/>
      <c r="CH99" s="24"/>
      <c r="CI99" s="309">
        <f>+SUM(CI95:CI98)</f>
        <v>2</v>
      </c>
      <c r="CJ99" s="309">
        <f>+SUM(CJ95:CJ98)</f>
        <v>-12</v>
      </c>
      <c r="CK99" s="307"/>
      <c r="CL99" s="24"/>
      <c r="CM99" s="307"/>
      <c r="CN99" s="307"/>
      <c r="CO99" s="24"/>
      <c r="CP99" s="307"/>
      <c r="CQ99" s="307"/>
      <c r="CR99" s="24"/>
      <c r="CS99" s="24"/>
      <c r="CT99" s="305"/>
      <c r="CU99" s="24"/>
      <c r="CV99" s="24"/>
      <c r="CW99" s="305"/>
      <c r="CX99" s="24"/>
      <c r="CY99" s="24"/>
      <c r="CZ99" s="305"/>
      <c r="DA99" s="24"/>
      <c r="DB99" s="24"/>
      <c r="DC99" s="305"/>
      <c r="DD99" s="24"/>
      <c r="DE99" s="24"/>
      <c r="DF99" s="305"/>
      <c r="DG99" s="24"/>
      <c r="DH99" s="328">
        <f>+BG99+BK99+BT99+BY99+CD99+CI99+BO99+CP99+CS99+CV99+CY99+DB99+DE99</f>
        <v>25</v>
      </c>
      <c r="DI99" s="328">
        <f>+BH99+BL99+BU99+BZ99+CE99+CJ99+BP99+CQ99+CT99+CW99+CZ99+DC99+DF99</f>
        <v>-150</v>
      </c>
      <c r="DJ99" s="328"/>
      <c r="DK99" s="328"/>
      <c r="DL99" s="328"/>
    </row>
    <row r="100" spans="1:121" hidden="1" outlineLevel="1">
      <c r="A100" s="301"/>
      <c r="B100" s="312" t="str">
        <f>+qtrSales!B116</f>
        <v>2004A</v>
      </c>
      <c r="C100" s="30"/>
      <c r="D100" s="30"/>
      <c r="E100" s="310"/>
      <c r="F100" s="30"/>
      <c r="G100" s="318"/>
      <c r="H100" s="318"/>
      <c r="I100" s="318"/>
      <c r="J100" s="325"/>
      <c r="K100" s="319"/>
      <c r="L100" s="325"/>
      <c r="M100" s="310"/>
      <c r="N100" s="325"/>
      <c r="O100" s="310"/>
      <c r="P100" s="325"/>
      <c r="Q100" s="30"/>
      <c r="R100" s="325"/>
      <c r="S100" s="310"/>
      <c r="T100" s="325"/>
      <c r="U100" s="310"/>
      <c r="V100" s="325"/>
      <c r="W100" s="318"/>
      <c r="X100" s="318"/>
      <c r="Y100" s="318"/>
      <c r="Z100" s="325"/>
      <c r="AA100" s="318"/>
      <c r="AB100" s="30"/>
      <c r="AC100" s="310"/>
      <c r="AD100" s="30"/>
      <c r="AE100" s="310"/>
      <c r="AF100" s="30"/>
      <c r="AG100" s="310"/>
      <c r="AH100" s="30"/>
      <c r="AI100" s="310"/>
      <c r="AJ100" s="30"/>
      <c r="AK100" s="310"/>
      <c r="AL100" s="30"/>
      <c r="AM100" s="310"/>
      <c r="AN100" s="30"/>
      <c r="AO100" s="310"/>
      <c r="AP100" s="30"/>
      <c r="AQ100" s="451"/>
      <c r="AR100" s="310"/>
      <c r="AS100" s="310"/>
      <c r="AT100" s="141"/>
      <c r="AU100" s="27" t="str">
        <f>+B100</f>
        <v>2004A</v>
      </c>
      <c r="AV100" s="30"/>
      <c r="AW100" s="30"/>
      <c r="AX100" s="310"/>
      <c r="AY100" s="310"/>
      <c r="AZ100" s="30"/>
      <c r="BA100" s="318"/>
      <c r="BB100" s="310"/>
      <c r="BC100" s="318"/>
      <c r="BD100" s="318"/>
      <c r="BE100" s="318"/>
      <c r="BF100" s="310"/>
      <c r="BG100" s="30"/>
      <c r="BH100" s="318"/>
      <c r="BI100" s="318"/>
      <c r="BJ100" s="310"/>
      <c r="BK100" s="30"/>
      <c r="BL100" s="318"/>
      <c r="BM100" s="318"/>
      <c r="BN100" s="310"/>
      <c r="BO100" s="30"/>
      <c r="BP100" s="318"/>
      <c r="BQ100" s="318"/>
      <c r="BR100" s="318"/>
      <c r="BS100" s="310"/>
      <c r="BT100" s="30"/>
      <c r="BU100" s="318"/>
      <c r="BV100" s="318"/>
      <c r="BW100" s="318"/>
      <c r="BX100" s="310"/>
      <c r="BY100" s="30"/>
      <c r="BZ100" s="318"/>
      <c r="CA100" s="318"/>
      <c r="CB100" s="318"/>
      <c r="CC100" s="310"/>
      <c r="CD100" s="309"/>
      <c r="CE100" s="318"/>
      <c r="CF100" s="318"/>
      <c r="CG100" s="318"/>
      <c r="CH100" s="310"/>
      <c r="CI100" s="30"/>
      <c r="CJ100" s="318"/>
      <c r="CK100" s="318"/>
      <c r="CL100" s="310"/>
      <c r="CM100" s="30"/>
      <c r="CN100" s="318"/>
      <c r="CO100" s="310"/>
      <c r="CP100" s="30"/>
      <c r="CQ100" s="318"/>
      <c r="CR100" s="310"/>
      <c r="CS100" s="30"/>
      <c r="CT100" s="318"/>
      <c r="CU100" s="310"/>
      <c r="CV100" s="30"/>
      <c r="CW100" s="318"/>
      <c r="CX100" s="310"/>
      <c r="CY100" s="30"/>
      <c r="CZ100" s="318"/>
      <c r="DA100" s="310"/>
      <c r="DB100" s="30"/>
      <c r="DC100" s="318"/>
      <c r="DD100" s="310"/>
      <c r="DE100" s="30"/>
      <c r="DF100" s="318"/>
      <c r="DG100" s="310"/>
      <c r="DH100" s="307"/>
      <c r="DI100" s="307"/>
      <c r="DJ100" s="307"/>
      <c r="DK100" s="307"/>
      <c r="DL100" s="307"/>
    </row>
    <row r="101" spans="1:121" hidden="1" outlineLevel="1">
      <c r="A101" s="30" t="str">
        <f>+qtrSales!A117</f>
        <v>1Q</v>
      </c>
      <c r="B101" s="30" t="str">
        <f>+qtrSales!B117</f>
        <v>Apr</v>
      </c>
      <c r="C101" s="30"/>
      <c r="D101" s="307"/>
      <c r="E101" s="308"/>
      <c r="F101" s="307"/>
      <c r="G101" s="317"/>
      <c r="H101" s="317"/>
      <c r="I101" s="317"/>
      <c r="J101" s="325">
        <f>+J98+BG101+BH101</f>
        <v>1006</v>
      </c>
      <c r="K101" s="308">
        <f>+(J101/J95-1)*100</f>
        <v>-0.49455984174084922</v>
      </c>
      <c r="L101" s="325">
        <f>+L98+BK101+BL101</f>
        <v>1590</v>
      </c>
      <c r="M101" s="308">
        <f>+(L101/L95-1)*100</f>
        <v>-2.4539877300613466</v>
      </c>
      <c r="N101" s="309">
        <f>+N98+BT101+BU101+BV101</f>
        <v>554</v>
      </c>
      <c r="O101" s="308">
        <f>+(N101/N95-1)*100</f>
        <v>-10.64516129032258</v>
      </c>
      <c r="P101" s="309">
        <f>+P98+BY101+BZ101</f>
        <v>269</v>
      </c>
      <c r="Q101" s="307"/>
      <c r="R101" s="309">
        <f>+R98+CD101+CF101</f>
        <v>111</v>
      </c>
      <c r="S101" s="474"/>
      <c r="T101" s="309">
        <f>+T98+CI101+CJ101</f>
        <v>340</v>
      </c>
      <c r="U101" s="308">
        <f>+(T101/T95-1)*100</f>
        <v>-2.5787965616045794</v>
      </c>
      <c r="V101" s="309">
        <f>+V98</f>
        <v>1</v>
      </c>
      <c r="W101" s="317">
        <f>+(V101/V95-1)*100</f>
        <v>0</v>
      </c>
      <c r="X101" s="317"/>
      <c r="Y101" s="317"/>
      <c r="Z101" s="309"/>
      <c r="AA101" s="317"/>
      <c r="AB101" s="307"/>
      <c r="AC101" s="308"/>
      <c r="AD101" s="307"/>
      <c r="AE101" s="308"/>
      <c r="AF101" s="307"/>
      <c r="AG101" s="308"/>
      <c r="AH101" s="307"/>
      <c r="AI101" s="308"/>
      <c r="AJ101" s="307"/>
      <c r="AK101" s="308"/>
      <c r="AL101" s="307"/>
      <c r="AM101" s="308"/>
      <c r="AN101" s="307"/>
      <c r="AO101" s="308"/>
      <c r="AP101" s="30"/>
      <c r="AQ101" s="451">
        <f>+J101+L101+N101+P101+R101+T101+V101+AB101+AD101+AF101+AH101+AJ101+AL101+AN101</f>
        <v>3871</v>
      </c>
      <c r="AR101" s="308">
        <f>+(AQ101/AQ95-1)*100</f>
        <v>-2.7631248430042721</v>
      </c>
      <c r="AS101" s="308"/>
      <c r="AT101" s="30" t="str">
        <f>+A101</f>
        <v>1Q</v>
      </c>
      <c r="AU101" s="30" t="str">
        <f>+B101</f>
        <v>Apr</v>
      </c>
      <c r="AV101" s="30"/>
      <c r="AW101" s="307"/>
      <c r="AX101" s="308"/>
      <c r="AY101" s="308"/>
      <c r="AZ101" s="307"/>
      <c r="BA101" s="317"/>
      <c r="BB101" s="308"/>
      <c r="BC101" s="317"/>
      <c r="BD101" s="317"/>
      <c r="BE101" s="317"/>
      <c r="BF101" s="308"/>
      <c r="BG101" s="307">
        <v>1</v>
      </c>
      <c r="BH101" s="307">
        <v>-4</v>
      </c>
      <c r="BI101" s="307"/>
      <c r="BJ101" s="308"/>
      <c r="BK101" s="307">
        <v>1</v>
      </c>
      <c r="BL101" s="307">
        <v>-15</v>
      </c>
      <c r="BM101" s="317"/>
      <c r="BN101" s="308"/>
      <c r="BO101" s="321"/>
      <c r="BP101" s="317"/>
      <c r="BQ101" s="317"/>
      <c r="BR101" s="317"/>
      <c r="BS101" s="308"/>
      <c r="BT101" s="307">
        <v>0</v>
      </c>
      <c r="BU101" s="307">
        <v>-2</v>
      </c>
      <c r="BV101" s="307">
        <v>-6</v>
      </c>
      <c r="BW101" s="317"/>
      <c r="BX101" s="308"/>
      <c r="BY101" s="307">
        <v>0</v>
      </c>
      <c r="BZ101" s="307">
        <v>-21</v>
      </c>
      <c r="CA101" s="307">
        <v>0</v>
      </c>
      <c r="CB101" s="317"/>
      <c r="CC101" s="308"/>
      <c r="CD101" s="307">
        <v>2</v>
      </c>
      <c r="CE101" s="307">
        <v>0</v>
      </c>
      <c r="CF101" s="307">
        <v>5</v>
      </c>
      <c r="CG101" s="317"/>
      <c r="CH101" s="308"/>
      <c r="CI101" s="307">
        <v>0</v>
      </c>
      <c r="CJ101" s="307">
        <v>-1</v>
      </c>
      <c r="CK101" s="317"/>
      <c r="CL101" s="308"/>
      <c r="CM101" s="321"/>
      <c r="CN101" s="317"/>
      <c r="CO101" s="308"/>
      <c r="CP101" s="321"/>
      <c r="CQ101" s="317"/>
      <c r="CR101" s="308"/>
      <c r="CS101" s="321"/>
      <c r="CT101" s="317"/>
      <c r="CU101" s="308"/>
      <c r="CV101" s="321"/>
      <c r="CW101" s="317"/>
      <c r="CX101" s="308"/>
      <c r="CY101" s="321"/>
      <c r="CZ101" s="317"/>
      <c r="DA101" s="308"/>
      <c r="DB101" s="321"/>
      <c r="DC101" s="317"/>
      <c r="DD101" s="308"/>
      <c r="DE101" s="321"/>
      <c r="DF101" s="317"/>
      <c r="DG101" s="308"/>
      <c r="DH101" s="321"/>
      <c r="DI101" s="321"/>
      <c r="DJ101" s="321"/>
      <c r="DK101" s="321"/>
      <c r="DL101" s="321"/>
    </row>
    <row r="102" spans="1:121" hidden="1" outlineLevel="1">
      <c r="A102" s="30" t="str">
        <f>+qtrSales!A118</f>
        <v>2Q</v>
      </c>
      <c r="B102" s="30" t="str">
        <f>+qtrSales!B118</f>
        <v>Jul</v>
      </c>
      <c r="C102" s="30"/>
      <c r="D102" s="307"/>
      <c r="E102" s="308"/>
      <c r="F102" s="307"/>
      <c r="G102" s="530"/>
      <c r="H102" s="530"/>
      <c r="I102" s="530"/>
      <c r="J102" s="325">
        <f>+J101+BG102+BH102</f>
        <v>1000</v>
      </c>
      <c r="K102" s="308">
        <f>+(J102/J96-1)*100</f>
        <v>-0.89197224975222644</v>
      </c>
      <c r="L102" s="325">
        <f>+L101+BK102+BL102</f>
        <v>1586</v>
      </c>
      <c r="M102" s="308">
        <f>+(L102/L96-1)*100</f>
        <v>-2.1591610117211557</v>
      </c>
      <c r="N102" s="309">
        <f>+N101+BT102+BU102+BV102</f>
        <v>512</v>
      </c>
      <c r="O102" s="308">
        <f>+(N102/N96-1)*100</f>
        <v>-14.524207011686141</v>
      </c>
      <c r="P102" s="309">
        <f>+P101+BY102+BZ102</f>
        <v>249</v>
      </c>
      <c r="Q102" s="307"/>
      <c r="R102" s="309">
        <f>+R101+CD102+CF102</f>
        <v>153</v>
      </c>
      <c r="S102" s="308"/>
      <c r="T102" s="309">
        <f>+T101+CI102+CJ102</f>
        <v>335</v>
      </c>
      <c r="U102" s="308">
        <f>+(T102/T96-1)*100</f>
        <v>-3.458213256484155</v>
      </c>
      <c r="V102" s="309">
        <f>+V101</f>
        <v>1</v>
      </c>
      <c r="W102" s="317">
        <f>+(V102/V96-1)*100</f>
        <v>0</v>
      </c>
      <c r="X102" s="317"/>
      <c r="Y102" s="317"/>
      <c r="Z102" s="309"/>
      <c r="AA102" s="317"/>
      <c r="AB102" s="307"/>
      <c r="AC102" s="308"/>
      <c r="AD102" s="307"/>
      <c r="AE102" s="308"/>
      <c r="AF102" s="307"/>
      <c r="AG102" s="308"/>
      <c r="AH102" s="307"/>
      <c r="AI102" s="308"/>
      <c r="AJ102" s="307"/>
      <c r="AK102" s="308"/>
      <c r="AL102" s="307"/>
      <c r="AM102" s="308"/>
      <c r="AN102" s="307"/>
      <c r="AO102" s="308"/>
      <c r="AP102" s="530"/>
      <c r="AQ102" s="451">
        <f>+J102+L102+N102+P102+R102+T102+V102+AB102+AD102+AF102+AH102+AJ102+AL102+AN102</f>
        <v>3836</v>
      </c>
      <c r="AR102" s="308">
        <f>+(AQ102/AQ96-1)*100</f>
        <v>-3.3753148614609541</v>
      </c>
      <c r="AS102" s="308"/>
      <c r="AT102" s="30" t="str">
        <f>+A102</f>
        <v>2Q</v>
      </c>
      <c r="AU102" s="30" t="str">
        <f>+B102</f>
        <v>Jul</v>
      </c>
      <c r="AV102" s="30"/>
      <c r="AW102" s="307"/>
      <c r="AX102" s="308"/>
      <c r="AY102" s="308"/>
      <c r="AZ102" s="307"/>
      <c r="BA102" s="317"/>
      <c r="BB102" s="308"/>
      <c r="BC102" s="317"/>
      <c r="BD102" s="317"/>
      <c r="BE102" s="317"/>
      <c r="BF102" s="308"/>
      <c r="BG102" s="307">
        <v>2</v>
      </c>
      <c r="BH102" s="307">
        <v>-8</v>
      </c>
      <c r="BI102" s="307"/>
      <c r="BJ102" s="308"/>
      <c r="BK102" s="307">
        <v>3</v>
      </c>
      <c r="BL102" s="307">
        <v>-7</v>
      </c>
      <c r="BM102" s="317"/>
      <c r="BN102" s="308"/>
      <c r="BO102" s="321"/>
      <c r="BP102" s="317"/>
      <c r="BQ102" s="317"/>
      <c r="BR102" s="317"/>
      <c r="BS102" s="308"/>
      <c r="BT102" s="307">
        <v>0</v>
      </c>
      <c r="BU102" s="307">
        <v>-23</v>
      </c>
      <c r="BV102" s="307">
        <v>-19</v>
      </c>
      <c r="BW102" s="317"/>
      <c r="BX102" s="308"/>
      <c r="BY102" s="307">
        <v>0</v>
      </c>
      <c r="BZ102" s="307">
        <v>-20</v>
      </c>
      <c r="CA102" s="307">
        <v>0</v>
      </c>
      <c r="CB102" s="317"/>
      <c r="CC102" s="308"/>
      <c r="CD102" s="307">
        <v>4</v>
      </c>
      <c r="CE102" s="307">
        <v>0</v>
      </c>
      <c r="CF102" s="307">
        <v>38</v>
      </c>
      <c r="CG102" s="317"/>
      <c r="CH102" s="308"/>
      <c r="CI102" s="307">
        <v>0</v>
      </c>
      <c r="CJ102" s="307">
        <v>-5</v>
      </c>
      <c r="CK102" s="317"/>
      <c r="CL102" s="308"/>
      <c r="CM102" s="321"/>
      <c r="CN102" s="317"/>
      <c r="CO102" s="308"/>
      <c r="CP102" s="321"/>
      <c r="CQ102" s="317"/>
      <c r="CR102" s="308"/>
      <c r="CS102" s="321"/>
      <c r="CT102" s="317"/>
      <c r="CU102" s="308"/>
      <c r="CV102" s="321"/>
      <c r="CW102" s="317"/>
      <c r="CX102" s="308"/>
      <c r="CY102" s="321"/>
      <c r="CZ102" s="317"/>
      <c r="DA102" s="308"/>
      <c r="DB102" s="321"/>
      <c r="DC102" s="317"/>
      <c r="DD102" s="308"/>
      <c r="DE102" s="321"/>
      <c r="DF102" s="317"/>
      <c r="DG102" s="308"/>
      <c r="DH102" s="321"/>
      <c r="DI102" s="321"/>
      <c r="DJ102" s="321"/>
      <c r="DK102" s="321"/>
      <c r="DL102" s="321"/>
    </row>
    <row r="103" spans="1:121" hidden="1" outlineLevel="1">
      <c r="A103" s="30" t="str">
        <f>+qtrSales!A119</f>
        <v>3Q</v>
      </c>
      <c r="B103" s="30" t="str">
        <f>+qtrSales!B119</f>
        <v>Oct</v>
      </c>
      <c r="C103" s="30"/>
      <c r="D103" s="307"/>
      <c r="E103" s="308"/>
      <c r="F103" s="307"/>
      <c r="G103" s="317"/>
      <c r="H103" s="317"/>
      <c r="I103" s="317"/>
      <c r="J103" s="325">
        <f>+J102+BG103+BH103</f>
        <v>1001</v>
      </c>
      <c r="K103" s="308">
        <f>+(J103/J97-1)*100</f>
        <v>-0.98911968348169843</v>
      </c>
      <c r="L103" s="325">
        <f>+L102+BK103+BL103</f>
        <v>1582</v>
      </c>
      <c r="M103" s="308">
        <f>+(L103/L97-1)*100</f>
        <v>-2.4660912453760786</v>
      </c>
      <c r="N103" s="309">
        <f>+N102+BT103+BU103+BV103</f>
        <v>488</v>
      </c>
      <c r="O103" s="308">
        <f>+(N103/N97-1)*100</f>
        <v>-16.151202749140893</v>
      </c>
      <c r="P103" s="309">
        <f>+P102+BY103+BZ103</f>
        <v>246</v>
      </c>
      <c r="Q103" s="307"/>
      <c r="R103" s="309">
        <f>+R102+CD103+CF103</f>
        <v>184</v>
      </c>
      <c r="S103" s="308"/>
      <c r="T103" s="309">
        <f>+T102+CI103+CJ103</f>
        <v>332</v>
      </c>
      <c r="U103" s="308">
        <f>+(T103/T97-1)*100</f>
        <v>-4.046242774566478</v>
      </c>
      <c r="V103" s="309">
        <v>2</v>
      </c>
      <c r="W103" s="317">
        <f>+(V103/V97-1)*100</f>
        <v>100</v>
      </c>
      <c r="X103" s="317"/>
      <c r="Y103" s="317"/>
      <c r="Z103" s="309"/>
      <c r="AA103" s="317"/>
      <c r="AB103" s="307"/>
      <c r="AC103" s="308"/>
      <c r="AD103" s="307"/>
      <c r="AE103" s="308"/>
      <c r="AF103" s="307"/>
      <c r="AG103" s="308"/>
      <c r="AH103" s="307"/>
      <c r="AI103" s="308"/>
      <c r="AJ103" s="307"/>
      <c r="AK103" s="308"/>
      <c r="AL103" s="307"/>
      <c r="AM103" s="308"/>
      <c r="AN103" s="307"/>
      <c r="AO103" s="308"/>
      <c r="AP103" s="30"/>
      <c r="AQ103" s="451">
        <f>+J103+L103+N103+P103+R103+T103+V103+AB103+AD103+AF103+AH103+AJ103+AL103+AN103</f>
        <v>3835</v>
      </c>
      <c r="AR103" s="308">
        <f>+(AQ103/AQ97-1)*100</f>
        <v>-3.4248300176278001</v>
      </c>
      <c r="AS103" s="308"/>
      <c r="AT103" s="30" t="str">
        <f>+A103</f>
        <v>3Q</v>
      </c>
      <c r="AU103" s="30" t="str">
        <f>+B103</f>
        <v>Oct</v>
      </c>
      <c r="AV103" s="30"/>
      <c r="AW103" s="307"/>
      <c r="AX103" s="308"/>
      <c r="AY103" s="308"/>
      <c r="AZ103" s="307"/>
      <c r="BA103" s="317"/>
      <c r="BB103" s="308"/>
      <c r="BC103" s="317"/>
      <c r="BD103" s="317"/>
      <c r="BE103" s="317"/>
      <c r="BF103" s="308"/>
      <c r="BG103" s="307">
        <v>7</v>
      </c>
      <c r="BH103" s="307">
        <v>-6</v>
      </c>
      <c r="BI103" s="307"/>
      <c r="BJ103" s="308"/>
      <c r="BK103" s="307">
        <v>4</v>
      </c>
      <c r="BL103" s="307">
        <v>-8</v>
      </c>
      <c r="BM103" s="317"/>
      <c r="BN103" s="308"/>
      <c r="BO103" s="321">
        <v>1</v>
      </c>
      <c r="BP103" s="317"/>
      <c r="BQ103" s="317"/>
      <c r="BR103" s="317"/>
      <c r="BS103" s="308"/>
      <c r="BT103" s="307">
        <v>0</v>
      </c>
      <c r="BU103" s="307">
        <v>-4</v>
      </c>
      <c r="BV103" s="307">
        <v>-20</v>
      </c>
      <c r="BW103" s="317"/>
      <c r="BX103" s="308"/>
      <c r="BY103" s="307">
        <v>0</v>
      </c>
      <c r="BZ103" s="307">
        <v>-3</v>
      </c>
      <c r="CA103" s="307">
        <v>0</v>
      </c>
      <c r="CB103" s="317"/>
      <c r="CC103" s="308"/>
      <c r="CD103" s="307">
        <v>7</v>
      </c>
      <c r="CE103" s="307">
        <v>0</v>
      </c>
      <c r="CF103" s="307">
        <v>24</v>
      </c>
      <c r="CG103" s="317"/>
      <c r="CH103" s="308"/>
      <c r="CI103" s="307">
        <v>0</v>
      </c>
      <c r="CJ103" s="307">
        <v>-3</v>
      </c>
      <c r="CK103" s="317"/>
      <c r="CL103" s="308"/>
      <c r="CM103" s="321"/>
      <c r="CN103" s="317"/>
      <c r="CO103" s="308"/>
      <c r="CP103" s="321"/>
      <c r="CQ103" s="317"/>
      <c r="CR103" s="308"/>
      <c r="CS103" s="321"/>
      <c r="CT103" s="317"/>
      <c r="CU103" s="308"/>
      <c r="CV103" s="321"/>
      <c r="CW103" s="317"/>
      <c r="CX103" s="308"/>
      <c r="CY103" s="321"/>
      <c r="CZ103" s="317"/>
      <c r="DA103" s="308"/>
      <c r="DB103" s="321"/>
      <c r="DC103" s="317"/>
      <c r="DD103" s="308"/>
      <c r="DE103" s="321"/>
      <c r="DF103" s="317"/>
      <c r="DG103" s="308"/>
      <c r="DH103" s="321"/>
      <c r="DI103" s="321"/>
      <c r="DJ103" s="321"/>
      <c r="DK103" s="321"/>
      <c r="DL103" s="321"/>
    </row>
    <row r="104" spans="1:121" hidden="1" outlineLevel="1">
      <c r="A104" s="30" t="str">
        <f>+qtrSales!A120</f>
        <v>4Q</v>
      </c>
      <c r="B104" s="30" t="str">
        <f>+qtrSales!B120</f>
        <v>Jan</v>
      </c>
      <c r="C104" s="339"/>
      <c r="D104" s="307"/>
      <c r="E104" s="308"/>
      <c r="F104" s="307"/>
      <c r="G104" s="317"/>
      <c r="H104" s="317"/>
      <c r="I104" s="317"/>
      <c r="J104" s="325">
        <f>+J103+BG104+BH104</f>
        <v>1001</v>
      </c>
      <c r="K104" s="308">
        <f>+(J104/J98-1)*100</f>
        <v>-0.7928642220019877</v>
      </c>
      <c r="L104" s="325">
        <f>+L103+BK104+BL104</f>
        <v>1569</v>
      </c>
      <c r="M104" s="308">
        <f>+(L104/L98-1)*100</f>
        <v>-2.1820448877805432</v>
      </c>
      <c r="N104" s="309">
        <f>+N103+BT104+BU104+BV104</f>
        <v>468</v>
      </c>
      <c r="O104" s="308">
        <f>+(N104/N98-1)*100</f>
        <v>-16.725978647686834</v>
      </c>
      <c r="P104" s="309">
        <f>+P103+BY104+BZ104</f>
        <v>223</v>
      </c>
      <c r="Q104" s="307"/>
      <c r="R104" s="309">
        <f>+R103+CD104+CF104</f>
        <v>193</v>
      </c>
      <c r="S104" s="308"/>
      <c r="T104" s="309">
        <f>+T103+CI104+CJ104</f>
        <v>323</v>
      </c>
      <c r="U104" s="308">
        <f>+(T104/T98-1)*100</f>
        <v>-5.2785923753665642</v>
      </c>
      <c r="V104" s="309">
        <f>+V103</f>
        <v>2</v>
      </c>
      <c r="W104" s="317">
        <f>+(V104/V98-1)*100</f>
        <v>100</v>
      </c>
      <c r="X104" s="317"/>
      <c r="Y104" s="317"/>
      <c r="Z104" s="309"/>
      <c r="AA104" s="317"/>
      <c r="AB104" s="307"/>
      <c r="AC104" s="308"/>
      <c r="AD104" s="307"/>
      <c r="AE104" s="308"/>
      <c r="AF104" s="307"/>
      <c r="AG104" s="308"/>
      <c r="AH104" s="307"/>
      <c r="AI104" s="308"/>
      <c r="AJ104" s="307"/>
      <c r="AK104" s="308"/>
      <c r="AL104" s="307"/>
      <c r="AM104" s="308"/>
      <c r="AN104" s="307"/>
      <c r="AO104" s="308"/>
      <c r="AP104" s="30"/>
      <c r="AQ104" s="451">
        <f>+J104+L104+N104+P104+R104+T104+V104+AB104+AD104+AF104+AH104+AJ104+AL104+AN104</f>
        <v>3779</v>
      </c>
      <c r="AR104" s="308">
        <f>+(AQ104/AQ98-1)*100</f>
        <v>-3.3750958834057765</v>
      </c>
      <c r="AS104" s="308"/>
      <c r="AT104" s="30" t="str">
        <f>+A104</f>
        <v>4Q</v>
      </c>
      <c r="AU104" s="30" t="str">
        <f>+B104</f>
        <v>Jan</v>
      </c>
      <c r="AV104" s="30"/>
      <c r="AW104" s="302"/>
      <c r="AX104" s="302"/>
      <c r="AY104" s="308"/>
      <c r="AZ104" s="302"/>
      <c r="BA104" s="302"/>
      <c r="BB104" s="308"/>
      <c r="BC104" s="307"/>
      <c r="BD104" s="307"/>
      <c r="BE104" s="307"/>
      <c r="BF104" s="308"/>
      <c r="BG104" s="302">
        <v>3</v>
      </c>
      <c r="BH104" s="302">
        <v>-3</v>
      </c>
      <c r="BI104" s="338"/>
      <c r="BJ104" s="308"/>
      <c r="BK104" s="302">
        <v>2</v>
      </c>
      <c r="BL104" s="302">
        <v>-15</v>
      </c>
      <c r="BM104" s="302"/>
      <c r="BN104" s="308"/>
      <c r="BO104" s="302"/>
      <c r="BP104" s="302"/>
      <c r="BQ104" s="307"/>
      <c r="BR104" s="307"/>
      <c r="BS104" s="308"/>
      <c r="BT104" s="302">
        <v>0</v>
      </c>
      <c r="BU104" s="302">
        <v>-3</v>
      </c>
      <c r="BV104" s="302">
        <v>-17</v>
      </c>
      <c r="BW104" s="302"/>
      <c r="BX104" s="308"/>
      <c r="BY104" s="302">
        <v>0</v>
      </c>
      <c r="BZ104" s="302">
        <v>-23</v>
      </c>
      <c r="CA104" s="302">
        <v>0</v>
      </c>
      <c r="CB104" s="302"/>
      <c r="CC104" s="308"/>
      <c r="CD104" s="302">
        <v>2</v>
      </c>
      <c r="CE104" s="302">
        <v>0</v>
      </c>
      <c r="CF104" s="302">
        <v>7</v>
      </c>
      <c r="CG104" s="302"/>
      <c r="CH104" s="308"/>
      <c r="CI104" s="302">
        <v>0</v>
      </c>
      <c r="CJ104" s="302">
        <v>-9</v>
      </c>
      <c r="CK104" s="302"/>
      <c r="CL104" s="308"/>
      <c r="CM104" s="302"/>
      <c r="CN104" s="302"/>
      <c r="CO104" s="308"/>
      <c r="CP104" s="302"/>
      <c r="CQ104" s="302"/>
      <c r="CR104" s="308"/>
      <c r="CS104" s="302"/>
      <c r="CT104" s="302"/>
      <c r="CU104" s="308"/>
      <c r="CV104" s="302"/>
      <c r="CW104" s="302"/>
      <c r="CX104" s="308"/>
      <c r="CY104" s="302"/>
      <c r="CZ104" s="302"/>
      <c r="DA104" s="308"/>
      <c r="DB104" s="302"/>
      <c r="DC104" s="302"/>
      <c r="DD104" s="308"/>
      <c r="DE104" s="302"/>
      <c r="DF104" s="302"/>
      <c r="DG104" s="308"/>
      <c r="DH104" s="306"/>
      <c r="DI104" s="306"/>
      <c r="DJ104" s="306"/>
      <c r="DK104" s="306"/>
      <c r="DL104" s="321"/>
    </row>
    <row r="105" spans="1:121" hidden="1" outlineLevel="1">
      <c r="A105" s="24"/>
      <c r="B105" s="24"/>
      <c r="C105" s="24"/>
      <c r="D105" s="24"/>
      <c r="E105" s="24"/>
      <c r="F105" s="24"/>
      <c r="G105" s="305"/>
      <c r="H105" s="305"/>
      <c r="I105" s="305"/>
      <c r="J105" s="24"/>
      <c r="K105" s="428"/>
      <c r="L105" s="24"/>
      <c r="M105" s="428"/>
      <c r="N105" s="387"/>
      <c r="O105" s="24"/>
      <c r="P105" s="387"/>
      <c r="Q105" s="24"/>
      <c r="R105" s="387"/>
      <c r="S105" s="545"/>
      <c r="T105" s="24"/>
      <c r="U105" s="428"/>
      <c r="V105" s="24"/>
      <c r="W105" s="305"/>
      <c r="X105" s="305"/>
      <c r="Y105" s="305"/>
      <c r="Z105" s="24"/>
      <c r="AA105" s="305"/>
      <c r="AB105" s="24"/>
      <c r="AC105" s="24"/>
      <c r="AD105" s="24"/>
      <c r="AE105" s="24"/>
      <c r="AF105" s="30"/>
      <c r="AG105" s="30"/>
      <c r="AH105" s="30"/>
      <c r="AI105" s="30"/>
      <c r="AJ105" s="30"/>
      <c r="AK105" s="30"/>
      <c r="AL105" s="30"/>
      <c r="AM105" s="30"/>
      <c r="AN105" s="30"/>
      <c r="AO105" s="30"/>
      <c r="AP105" s="24"/>
      <c r="AQ105" s="574"/>
      <c r="AR105" s="30"/>
      <c r="AS105" s="30"/>
      <c r="AT105" s="24"/>
      <c r="AU105" s="24"/>
      <c r="AV105" s="24"/>
      <c r="AW105" s="24"/>
      <c r="AX105" s="24"/>
      <c r="AY105" s="24"/>
      <c r="AZ105" s="24"/>
      <c r="BA105" s="305"/>
      <c r="BB105" s="24"/>
      <c r="BC105" s="305"/>
      <c r="BD105" s="305"/>
      <c r="BE105" s="305"/>
      <c r="BF105" s="24"/>
      <c r="BG105" s="309">
        <f>SUM(BG101:BG104)</f>
        <v>13</v>
      </c>
      <c r="BH105" s="309">
        <f>SUM(BH101:BH104)</f>
        <v>-21</v>
      </c>
      <c r="BI105" s="307"/>
      <c r="BJ105" s="24"/>
      <c r="BK105" s="309">
        <f>SUM(BK101:BK104)</f>
        <v>10</v>
      </c>
      <c r="BL105" s="309">
        <f>SUM(BL101:BL104)</f>
        <v>-45</v>
      </c>
      <c r="BM105" s="307"/>
      <c r="BN105" s="24"/>
      <c r="BO105" s="309">
        <f>+SUM(BO101:BO104)</f>
        <v>1</v>
      </c>
      <c r="BP105" s="307"/>
      <c r="BQ105" s="307"/>
      <c r="BR105" s="307"/>
      <c r="BS105" s="24"/>
      <c r="BT105" s="309">
        <f>SUM(BT101:BT104)</f>
        <v>0</v>
      </c>
      <c r="BU105" s="309">
        <f>SUM(BU101:BU104)</f>
        <v>-32</v>
      </c>
      <c r="BV105" s="309">
        <f>SUM(BV101:BV104)</f>
        <v>-62</v>
      </c>
      <c r="BW105" s="307"/>
      <c r="BX105" s="24"/>
      <c r="BY105" s="309">
        <f>+SUM(BY101:BY104)</f>
        <v>0</v>
      </c>
      <c r="BZ105" s="309">
        <f>+SUM(BZ101:BZ104)</f>
        <v>-67</v>
      </c>
      <c r="CA105" s="309">
        <f>+SUM(CA101:CA104)</f>
        <v>0</v>
      </c>
      <c r="CB105" s="307"/>
      <c r="CC105" s="24"/>
      <c r="CD105" s="309">
        <f>+SUM(CD101:CD104)</f>
        <v>15</v>
      </c>
      <c r="CE105" s="307">
        <v>0</v>
      </c>
      <c r="CF105" s="309">
        <f>+SUM(CF101:CF104)</f>
        <v>74</v>
      </c>
      <c r="CG105" s="307"/>
      <c r="CH105" s="24"/>
      <c r="CI105" s="309">
        <f>+SUM(CI101:CI104)</f>
        <v>0</v>
      </c>
      <c r="CJ105" s="309">
        <f>+SUM(CJ101:CJ104)</f>
        <v>-18</v>
      </c>
      <c r="CK105" s="307"/>
      <c r="CL105" s="24"/>
      <c r="CM105" s="309"/>
      <c r="CN105" s="307"/>
      <c r="CO105" s="24"/>
      <c r="CP105" s="307"/>
      <c r="CQ105" s="307"/>
      <c r="CR105" s="24"/>
      <c r="CS105" s="24"/>
      <c r="CT105" s="305"/>
      <c r="CU105" s="24"/>
      <c r="CV105" s="24"/>
      <c r="CW105" s="305"/>
      <c r="CX105" s="24"/>
      <c r="CY105" s="24"/>
      <c r="CZ105" s="305"/>
      <c r="DA105" s="24"/>
      <c r="DB105" s="24"/>
      <c r="DC105" s="305"/>
      <c r="DD105" s="24"/>
      <c r="DE105" s="24"/>
      <c r="DF105" s="305"/>
      <c r="DG105" s="24"/>
      <c r="DH105" s="328">
        <f>+BG105+BK105+BT105+BY105+CD105+CI105+BO105+CP105+CS105+CV105+CY105+DB105+DE105</f>
        <v>39</v>
      </c>
      <c r="DI105" s="591">
        <f>+BH105+BL105+BU105+BZ105+CE105+CJ105+BP105+CQ105+CT105+CW105+CZ105+DC105+DF105+CF105+CA105+BV105</f>
        <v>-171</v>
      </c>
      <c r="DJ105" s="328"/>
      <c r="DK105" s="328"/>
      <c r="DL105" s="328"/>
    </row>
    <row r="106" spans="1:121" hidden="1" outlineLevel="1">
      <c r="A106" s="301"/>
      <c r="B106" s="312" t="str">
        <f>+qtrSales!B123</f>
        <v>2005A</v>
      </c>
      <c r="C106" s="30"/>
      <c r="D106" s="30"/>
      <c r="E106" s="310"/>
      <c r="F106" s="30"/>
      <c r="G106" s="318"/>
      <c r="H106" s="318"/>
      <c r="I106" s="318"/>
      <c r="J106" s="30"/>
      <c r="K106" s="319"/>
      <c r="L106" s="30"/>
      <c r="M106" s="310"/>
      <c r="N106" s="309"/>
      <c r="O106" s="310"/>
      <c r="P106" s="309"/>
      <c r="Q106" s="30"/>
      <c r="R106" s="30"/>
      <c r="S106" s="310"/>
      <c r="T106" s="30"/>
      <c r="U106" s="310"/>
      <c r="V106" s="30"/>
      <c r="W106" s="318"/>
      <c r="X106" s="318"/>
      <c r="Y106" s="318"/>
      <c r="Z106" s="30"/>
      <c r="AA106" s="318"/>
      <c r="AB106" s="30"/>
      <c r="AC106" s="310"/>
      <c r="AD106" s="30"/>
      <c r="AE106" s="310"/>
      <c r="AF106" s="30"/>
      <c r="AG106" s="310"/>
      <c r="AH106" s="30"/>
      <c r="AI106" s="310"/>
      <c r="AJ106" s="30"/>
      <c r="AK106" s="310"/>
      <c r="AL106" s="30"/>
      <c r="AM106" s="310"/>
      <c r="AN106" s="30"/>
      <c r="AO106" s="310"/>
      <c r="AP106" s="30"/>
      <c r="AQ106" s="451"/>
      <c r="AR106" s="310"/>
      <c r="AS106" s="310"/>
      <c r="AT106" s="141"/>
      <c r="AU106" s="27" t="str">
        <f>+B106</f>
        <v>2005A</v>
      </c>
      <c r="AV106" s="30"/>
      <c r="AW106" s="30"/>
      <c r="AX106" s="310"/>
      <c r="AY106" s="310"/>
      <c r="AZ106" s="30"/>
      <c r="BA106" s="318"/>
      <c r="BB106" s="310"/>
      <c r="BC106" s="318"/>
      <c r="BD106" s="318"/>
      <c r="BE106" s="318"/>
      <c r="BF106" s="310"/>
      <c r="BG106" s="30"/>
      <c r="BH106" s="318"/>
      <c r="BI106" s="318"/>
      <c r="BJ106" s="310"/>
      <c r="BK106" s="30"/>
      <c r="BL106" s="318"/>
      <c r="BM106" s="318"/>
      <c r="BN106" s="310"/>
      <c r="BO106" s="30"/>
      <c r="BP106" s="318"/>
      <c r="BQ106" s="318"/>
      <c r="BR106" s="318"/>
      <c r="BS106" s="310"/>
      <c r="BT106" s="30"/>
      <c r="BU106" s="318"/>
      <c r="BV106" s="318"/>
      <c r="BW106" s="318"/>
      <c r="BX106" s="310"/>
      <c r="BY106" s="30"/>
      <c r="BZ106" s="318"/>
      <c r="CA106" s="318"/>
      <c r="CB106" s="318"/>
      <c r="CC106" s="310"/>
      <c r="CD106" s="309"/>
      <c r="CE106" s="318"/>
      <c r="CF106" s="318"/>
      <c r="CG106" s="318"/>
      <c r="CH106" s="310"/>
      <c r="CI106" s="30"/>
      <c r="CJ106" s="318"/>
      <c r="CK106" s="318"/>
      <c r="CL106" s="310"/>
      <c r="CM106" s="30"/>
      <c r="CN106" s="318"/>
      <c r="CO106" s="310"/>
      <c r="CP106" s="30"/>
      <c r="CQ106" s="318"/>
      <c r="CR106" s="310"/>
      <c r="CS106" s="30"/>
      <c r="CT106" s="318"/>
      <c r="CU106" s="310"/>
      <c r="CV106" s="30"/>
      <c r="CW106" s="318"/>
      <c r="CX106" s="310"/>
      <c r="CY106" s="30"/>
      <c r="CZ106" s="318"/>
      <c r="DA106" s="310"/>
      <c r="DB106" s="30"/>
      <c r="DC106" s="318"/>
      <c r="DD106" s="310"/>
      <c r="DE106" s="30"/>
      <c r="DF106" s="318"/>
      <c r="DG106" s="310"/>
      <c r="DH106" s="307"/>
      <c r="DI106" s="307"/>
      <c r="DJ106" s="307"/>
      <c r="DK106" s="307"/>
      <c r="DL106" s="307"/>
    </row>
    <row r="107" spans="1:121" hidden="1" outlineLevel="1">
      <c r="A107" s="30" t="str">
        <f>+qtrSales!A124</f>
        <v>1Q</v>
      </c>
      <c r="B107" s="30" t="str">
        <f>+qtrSales!B124</f>
        <v>Apr</v>
      </c>
      <c r="C107" s="30"/>
      <c r="D107" s="307"/>
      <c r="E107" s="308"/>
      <c r="F107" s="307"/>
      <c r="G107" s="317"/>
      <c r="H107" s="317"/>
      <c r="I107" s="317"/>
      <c r="J107" s="325">
        <f>+J104+BG107+BH107</f>
        <v>998</v>
      </c>
      <c r="K107" s="308">
        <f>+(J107/J101-1)*100</f>
        <v>-0.79522862823061535</v>
      </c>
      <c r="L107" s="325">
        <f>+L104+BK107+BL107</f>
        <v>1571</v>
      </c>
      <c r="M107" s="308">
        <f>+(L107/L101-1)*100</f>
        <v>-1.1949685534591192</v>
      </c>
      <c r="N107" s="309">
        <f>+N104+BT107+BU107+BV107</f>
        <v>408</v>
      </c>
      <c r="O107" s="308">
        <f>+(N107/N101-1)*100</f>
        <v>-26.353790613718409</v>
      </c>
      <c r="P107" s="309">
        <f>+P104+BY107+BZ107+CA107</f>
        <v>152</v>
      </c>
      <c r="Q107" s="307"/>
      <c r="R107" s="309">
        <f>+R104+CD107+CF107</f>
        <v>251</v>
      </c>
      <c r="S107" s="474"/>
      <c r="T107" s="309">
        <f>+T104+CI107+CJ107</f>
        <v>317</v>
      </c>
      <c r="U107" s="308">
        <f>+(T107/T101-1)*100</f>
        <v>-6.7647058823529393</v>
      </c>
      <c r="V107" s="309">
        <f>+V104</f>
        <v>2</v>
      </c>
      <c r="W107" s="317">
        <f>+(V107/V101-1)*100</f>
        <v>100</v>
      </c>
      <c r="X107" s="317"/>
      <c r="Y107" s="317"/>
      <c r="Z107" s="309"/>
      <c r="AA107" s="317"/>
      <c r="AB107" s="307"/>
      <c r="AC107" s="308"/>
      <c r="AD107" s="307"/>
      <c r="AE107" s="308"/>
      <c r="AF107" s="307"/>
      <c r="AG107" s="308"/>
      <c r="AH107" s="307"/>
      <c r="AI107" s="308"/>
      <c r="AJ107" s="307"/>
      <c r="AK107" s="308"/>
      <c r="AL107" s="307"/>
      <c r="AM107" s="308"/>
      <c r="AN107" s="307"/>
      <c r="AO107" s="308"/>
      <c r="AP107" s="30"/>
      <c r="AQ107" s="451">
        <f>+J107+L107+N107+P107+R107+T107+V107+AB107+AD107+AF107+AH107+AJ107+AL107+AN107</f>
        <v>3699</v>
      </c>
      <c r="AR107" s="308">
        <f>+(AQ107/AQ101-1)*100</f>
        <v>-4.4432963058641199</v>
      </c>
      <c r="AS107" s="308"/>
      <c r="AT107" s="30" t="str">
        <f>+A107</f>
        <v>1Q</v>
      </c>
      <c r="AU107" s="30" t="str">
        <f>+B107</f>
        <v>Apr</v>
      </c>
      <c r="AV107" s="30"/>
      <c r="AW107" s="307"/>
      <c r="AX107" s="308"/>
      <c r="AY107" s="308"/>
      <c r="AZ107" s="307"/>
      <c r="BA107" s="317"/>
      <c r="BB107" s="308"/>
      <c r="BC107" s="317"/>
      <c r="BD107" s="317"/>
      <c r="BE107" s="317"/>
      <c r="BF107" s="308"/>
      <c r="BG107" s="307">
        <v>0</v>
      </c>
      <c r="BH107" s="307">
        <v>-3</v>
      </c>
      <c r="BI107" s="307"/>
      <c r="BJ107" s="308"/>
      <c r="BK107" s="307">
        <v>4</v>
      </c>
      <c r="BL107" s="307">
        <v>-2</v>
      </c>
      <c r="BM107" s="317"/>
      <c r="BN107" s="308"/>
      <c r="BO107" s="321">
        <v>0</v>
      </c>
      <c r="BP107" s="321">
        <v>0</v>
      </c>
      <c r="BQ107" s="321"/>
      <c r="BR107" s="321"/>
      <c r="BS107" s="308"/>
      <c r="BT107" s="307">
        <v>0</v>
      </c>
      <c r="BU107" s="307">
        <v>-4</v>
      </c>
      <c r="BV107" s="307">
        <v>-56</v>
      </c>
      <c r="BW107" s="317"/>
      <c r="BX107" s="308"/>
      <c r="BY107" s="307">
        <v>0</v>
      </c>
      <c r="BZ107" s="307">
        <v>-71</v>
      </c>
      <c r="CA107" s="307">
        <v>0</v>
      </c>
      <c r="CB107" s="317"/>
      <c r="CC107" s="308"/>
      <c r="CD107" s="307">
        <v>2</v>
      </c>
      <c r="CE107" s="307">
        <v>0</v>
      </c>
      <c r="CF107" s="307">
        <v>56</v>
      </c>
      <c r="CG107" s="317"/>
      <c r="CH107" s="308"/>
      <c r="CI107" s="307">
        <v>0</v>
      </c>
      <c r="CJ107" s="307">
        <v>-6</v>
      </c>
      <c r="CK107" s="317"/>
      <c r="CL107" s="308"/>
      <c r="CM107" s="321"/>
      <c r="CN107" s="321"/>
      <c r="CO107" s="308"/>
      <c r="CP107" s="321"/>
      <c r="CQ107" s="317"/>
      <c r="CR107" s="308"/>
      <c r="CS107" s="321"/>
      <c r="CT107" s="317"/>
      <c r="CU107" s="308"/>
      <c r="CV107" s="321"/>
      <c r="CW107" s="317"/>
      <c r="CX107" s="308"/>
      <c r="CY107" s="321"/>
      <c r="CZ107" s="317"/>
      <c r="DA107" s="308"/>
      <c r="DB107" s="321"/>
      <c r="DC107" s="317"/>
      <c r="DD107" s="308"/>
      <c r="DE107" s="321"/>
      <c r="DF107" s="317"/>
      <c r="DG107" s="308"/>
      <c r="DH107" s="321"/>
      <c r="DI107" s="321"/>
      <c r="DJ107" s="321"/>
      <c r="DK107" s="321"/>
      <c r="DL107" s="321"/>
    </row>
    <row r="108" spans="1:121" hidden="1" outlineLevel="1">
      <c r="A108" s="30" t="str">
        <f>+qtrSales!A125</f>
        <v>2Q</v>
      </c>
      <c r="B108" s="30" t="str">
        <f>+qtrSales!B125</f>
        <v>Jul</v>
      </c>
      <c r="C108" s="30"/>
      <c r="D108" s="307"/>
      <c r="E108" s="308"/>
      <c r="F108" s="307"/>
      <c r="G108" s="317"/>
      <c r="H108" s="317"/>
      <c r="I108" s="317"/>
      <c r="J108" s="325">
        <f>+J107+BG108+BH108</f>
        <v>991</v>
      </c>
      <c r="K108" s="308">
        <f>+(J108/J102-1)*100</f>
        <v>-0.9000000000000008</v>
      </c>
      <c r="L108" s="325">
        <f>+L107+BK108+BL108</f>
        <v>1567</v>
      </c>
      <c r="M108" s="308">
        <f>+(L108/L102-1)*100</f>
        <v>-1.1979823455233296</v>
      </c>
      <c r="N108" s="309">
        <f>+N107+BT108+BU108+BV108</f>
        <v>374.99999999999994</v>
      </c>
      <c r="O108" s="308">
        <f>+(N108/N102-1)*100</f>
        <v>-26.757812500000011</v>
      </c>
      <c r="P108" s="309">
        <f>+P107+BY108+BZ108</f>
        <v>136</v>
      </c>
      <c r="Q108" s="307"/>
      <c r="R108" s="309">
        <f>+R107+CD108+CF108</f>
        <v>281</v>
      </c>
      <c r="S108" s="308"/>
      <c r="T108" s="309">
        <f>+T107+CI108+CJ108</f>
        <v>314</v>
      </c>
      <c r="U108" s="308">
        <f>+(T108/T102-1)*100</f>
        <v>-6.2686567164179081</v>
      </c>
      <c r="V108" s="309">
        <f>+V107+BO108-BP108</f>
        <v>2</v>
      </c>
      <c r="W108" s="317">
        <f>+(V108/V102-1)*100</f>
        <v>100</v>
      </c>
      <c r="X108" s="317"/>
      <c r="Y108" s="317"/>
      <c r="Z108" s="309"/>
      <c r="AA108" s="317"/>
      <c r="AB108" s="307"/>
      <c r="AC108" s="308"/>
      <c r="AD108" s="307"/>
      <c r="AE108" s="308"/>
      <c r="AF108" s="307"/>
      <c r="AG108" s="308"/>
      <c r="AH108" s="307"/>
      <c r="AI108" s="308"/>
      <c r="AJ108" s="307"/>
      <c r="AK108" s="308"/>
      <c r="AL108" s="307"/>
      <c r="AM108" s="308"/>
      <c r="AN108" s="307"/>
      <c r="AO108" s="308"/>
      <c r="AP108" s="530"/>
      <c r="AQ108" s="451">
        <f>+J108+L108+N108+P108+R108+T108+V108+AB108+AD108+AF108+AH108+AJ108+AL108+AN108</f>
        <v>3666</v>
      </c>
      <c r="AR108" s="308">
        <f>+(AQ108/AQ102-1)*100</f>
        <v>-4.4316996871741399</v>
      </c>
      <c r="AS108" s="308"/>
      <c r="AT108" s="30" t="str">
        <f>+A108</f>
        <v>2Q</v>
      </c>
      <c r="AU108" s="30" t="str">
        <f>+B108</f>
        <v>Jul</v>
      </c>
      <c r="AV108" s="30"/>
      <c r="AW108" s="307"/>
      <c r="AX108" s="308"/>
      <c r="AY108" s="308"/>
      <c r="AZ108" s="307"/>
      <c r="BA108" s="317"/>
      <c r="BB108" s="308"/>
      <c r="BC108" s="317"/>
      <c r="BD108" s="317"/>
      <c r="BE108" s="317"/>
      <c r="BF108" s="308"/>
      <c r="BG108" s="307">
        <v>1</v>
      </c>
      <c r="BH108" s="307">
        <v>-8</v>
      </c>
      <c r="BI108" s="307"/>
      <c r="BJ108" s="308"/>
      <c r="BK108" s="307">
        <v>1</v>
      </c>
      <c r="BL108" s="307">
        <v>-5</v>
      </c>
      <c r="BM108" s="317"/>
      <c r="BN108" s="308"/>
      <c r="BO108" s="321">
        <v>0</v>
      </c>
      <c r="BP108" s="321">
        <v>0</v>
      </c>
      <c r="BQ108" s="321"/>
      <c r="BR108" s="321"/>
      <c r="BS108" s="308"/>
      <c r="BT108" s="307">
        <v>0</v>
      </c>
      <c r="BU108" s="307">
        <v>-33.000000000000071</v>
      </c>
      <c r="BV108" s="307">
        <v>0</v>
      </c>
      <c r="BW108" s="317"/>
      <c r="BX108" s="308"/>
      <c r="BY108" s="307">
        <v>0</v>
      </c>
      <c r="BZ108" s="307">
        <v>-16</v>
      </c>
      <c r="CA108" s="307">
        <v>0</v>
      </c>
      <c r="CB108" s="317"/>
      <c r="CC108" s="308"/>
      <c r="CD108" s="307">
        <v>1</v>
      </c>
      <c r="CE108" s="307">
        <v>0</v>
      </c>
      <c r="CF108" s="307">
        <v>29</v>
      </c>
      <c r="CG108" s="317"/>
      <c r="CH108" s="308"/>
      <c r="CI108" s="307">
        <v>0</v>
      </c>
      <c r="CJ108" s="307">
        <v>-3</v>
      </c>
      <c r="CK108" s="317"/>
      <c r="CL108" s="308"/>
      <c r="CM108" s="321"/>
      <c r="CN108" s="321"/>
      <c r="CO108" s="308"/>
      <c r="CP108" s="321"/>
      <c r="CQ108" s="317"/>
      <c r="CR108" s="308"/>
      <c r="CS108" s="321"/>
      <c r="CT108" s="317"/>
      <c r="CU108" s="308"/>
      <c r="CV108" s="321"/>
      <c r="CW108" s="317"/>
      <c r="CX108" s="308"/>
      <c r="CY108" s="321"/>
      <c r="CZ108" s="317"/>
      <c r="DA108" s="308"/>
      <c r="DB108" s="321"/>
      <c r="DC108" s="317"/>
      <c r="DD108" s="308"/>
      <c r="DE108" s="321"/>
      <c r="DF108" s="317"/>
      <c r="DG108" s="308"/>
      <c r="DH108" s="321"/>
      <c r="DI108" s="321"/>
      <c r="DJ108" s="321"/>
      <c r="DK108" s="321"/>
      <c r="DL108" s="321"/>
    </row>
    <row r="109" spans="1:121" hidden="1" outlineLevel="1">
      <c r="A109" s="30" t="str">
        <f>+qtrSales!A126</f>
        <v>3Q</v>
      </c>
      <c r="B109" s="30" t="str">
        <f>+qtrSales!B126</f>
        <v>Oct</v>
      </c>
      <c r="C109" s="30"/>
      <c r="D109" s="307"/>
      <c r="E109" s="308"/>
      <c r="F109" s="307"/>
      <c r="G109" s="317"/>
      <c r="H109" s="317"/>
      <c r="I109" s="317"/>
      <c r="J109" s="325">
        <f>+J108+BG109+BH109</f>
        <v>1001</v>
      </c>
      <c r="K109" s="308">
        <f>+(J109/J103-1)*100</f>
        <v>0</v>
      </c>
      <c r="L109" s="325">
        <f>+L108+BK109+BL109</f>
        <v>1570</v>
      </c>
      <c r="M109" s="308">
        <f>+(L109/L103-1)*100</f>
        <v>-0.75853350189633018</v>
      </c>
      <c r="N109" s="309">
        <f>+N108+BT109+BU109+BV109</f>
        <v>361.99999999999994</v>
      </c>
      <c r="O109" s="308">
        <f>+(N109/N103-1)*100</f>
        <v>-25.819672131147552</v>
      </c>
      <c r="P109" s="309">
        <f>+P108+BY109+BZ109</f>
        <v>129</v>
      </c>
      <c r="Q109" s="307"/>
      <c r="R109" s="309">
        <f>+R108+CD109+CF109</f>
        <v>300</v>
      </c>
      <c r="S109" s="308"/>
      <c r="T109" s="309">
        <f>+T108+CI109+CJ109</f>
        <v>313</v>
      </c>
      <c r="U109" s="308">
        <f>+(T109/T103-1)*100</f>
        <v>-5.7228915662650648</v>
      </c>
      <c r="V109" s="309">
        <f>+V108+BO109-BP109</f>
        <v>2</v>
      </c>
      <c r="W109" s="317">
        <f>+(V109/V103-1)*100</f>
        <v>0</v>
      </c>
      <c r="X109" s="317"/>
      <c r="Y109" s="317"/>
      <c r="Z109" s="309"/>
      <c r="AA109" s="317"/>
      <c r="AB109" s="307"/>
      <c r="AC109" s="308"/>
      <c r="AD109" s="307"/>
      <c r="AE109" s="308"/>
      <c r="AF109" s="307"/>
      <c r="AG109" s="308"/>
      <c r="AH109" s="307"/>
      <c r="AI109" s="308"/>
      <c r="AJ109" s="307"/>
      <c r="AK109" s="308"/>
      <c r="AL109" s="307"/>
      <c r="AM109" s="308"/>
      <c r="AN109" s="307"/>
      <c r="AO109" s="308"/>
      <c r="AP109" s="30"/>
      <c r="AQ109" s="451">
        <f>+J109+L109+N109+P109+R109+T109+V109+AB109+AD109+AF109+AH109+AJ109+AL109+AN109</f>
        <v>3677</v>
      </c>
      <c r="AR109" s="308">
        <f>+(AQ109/AQ103-1)*100</f>
        <v>-4.1199478487614076</v>
      </c>
      <c r="AS109" s="308"/>
      <c r="AT109" s="30" t="str">
        <f>+A109</f>
        <v>3Q</v>
      </c>
      <c r="AU109" s="30" t="str">
        <f>+B109</f>
        <v>Oct</v>
      </c>
      <c r="AV109" s="30"/>
      <c r="AW109" s="307"/>
      <c r="AX109" s="308"/>
      <c r="AY109" s="308"/>
      <c r="AZ109" s="307"/>
      <c r="BA109" s="317"/>
      <c r="BB109" s="308"/>
      <c r="BC109" s="317"/>
      <c r="BD109" s="317"/>
      <c r="BE109" s="317"/>
      <c r="BF109" s="308"/>
      <c r="BG109" s="307">
        <v>12</v>
      </c>
      <c r="BH109" s="307">
        <v>-2</v>
      </c>
      <c r="BI109" s="307"/>
      <c r="BJ109" s="308"/>
      <c r="BK109" s="307">
        <v>11</v>
      </c>
      <c r="BL109" s="307">
        <v>-8</v>
      </c>
      <c r="BM109" s="317"/>
      <c r="BN109" s="308"/>
      <c r="BO109" s="321">
        <v>0</v>
      </c>
      <c r="BP109" s="321">
        <v>0</v>
      </c>
      <c r="BQ109" s="321"/>
      <c r="BR109" s="321"/>
      <c r="BS109" s="308"/>
      <c r="BT109" s="307">
        <v>0</v>
      </c>
      <c r="BU109" s="307">
        <v>-13</v>
      </c>
      <c r="BV109" s="307">
        <v>0</v>
      </c>
      <c r="BW109" s="317"/>
      <c r="BX109" s="308"/>
      <c r="BY109" s="307">
        <v>0</v>
      </c>
      <c r="BZ109" s="307">
        <v>-7</v>
      </c>
      <c r="CA109" s="307">
        <v>0</v>
      </c>
      <c r="CB109" s="317"/>
      <c r="CC109" s="308"/>
      <c r="CD109" s="307">
        <v>9</v>
      </c>
      <c r="CE109" s="307">
        <v>0</v>
      </c>
      <c r="CF109" s="307">
        <v>10</v>
      </c>
      <c r="CG109" s="317"/>
      <c r="CH109" s="308"/>
      <c r="CI109" s="307">
        <v>1</v>
      </c>
      <c r="CJ109" s="307">
        <v>-2</v>
      </c>
      <c r="CK109" s="317"/>
      <c r="CL109" s="308"/>
      <c r="CM109" s="321"/>
      <c r="CN109" s="321"/>
      <c r="CO109" s="308"/>
      <c r="CP109" s="321"/>
      <c r="CQ109" s="317"/>
      <c r="CR109" s="308"/>
      <c r="CS109" s="321"/>
      <c r="CT109" s="317"/>
      <c r="CU109" s="308"/>
      <c r="CV109" s="321"/>
      <c r="CW109" s="317"/>
      <c r="CX109" s="308"/>
      <c r="CY109" s="321"/>
      <c r="CZ109" s="317"/>
      <c r="DA109" s="308"/>
      <c r="DB109" s="321"/>
      <c r="DC109" s="317"/>
      <c r="DD109" s="308"/>
      <c r="DE109" s="321"/>
      <c r="DF109" s="317"/>
      <c r="DG109" s="308"/>
      <c r="DH109" s="321"/>
      <c r="DI109" s="321"/>
      <c r="DJ109" s="321"/>
      <c r="DK109" s="321"/>
      <c r="DL109" s="321"/>
    </row>
    <row r="110" spans="1:121" hidden="1" outlineLevel="1">
      <c r="A110" s="30" t="str">
        <f>+qtrSales!A127</f>
        <v>4Q</v>
      </c>
      <c r="B110" s="30" t="str">
        <f>+qtrSales!B127</f>
        <v>Jan</v>
      </c>
      <c r="C110" s="339"/>
      <c r="D110" s="307"/>
      <c r="E110" s="308"/>
      <c r="F110" s="307"/>
      <c r="G110" s="317"/>
      <c r="H110" s="317"/>
      <c r="I110" s="317"/>
      <c r="J110" s="325">
        <f>+J109+BG110+BH110</f>
        <v>998</v>
      </c>
      <c r="K110" s="308">
        <f>+(J110/J104-1)*100</f>
        <v>-0.29970029970030065</v>
      </c>
      <c r="L110" s="325">
        <f>+L109+BK110+BL110</f>
        <v>1555</v>
      </c>
      <c r="M110" s="308">
        <f>+(L110/L104-1)*100</f>
        <v>-0.89228808158062778</v>
      </c>
      <c r="N110" s="309">
        <f>+N109+BT110+BU110+BV110</f>
        <v>326.99999999999994</v>
      </c>
      <c r="O110" s="308">
        <f>+(N110/N104-1)*100</f>
        <v>-30.128205128205142</v>
      </c>
      <c r="P110" s="309">
        <f>+P109+BY110+BZ110</f>
        <v>113</v>
      </c>
      <c r="Q110" s="307"/>
      <c r="R110" s="309">
        <f>+R109+CD110+CF110+CE110</f>
        <v>303</v>
      </c>
      <c r="S110" s="308"/>
      <c r="T110" s="309">
        <f>+T109+CI110+CJ110</f>
        <v>292</v>
      </c>
      <c r="U110" s="308">
        <f>+(T110/T104-1)*100</f>
        <v>-9.5975232198142422</v>
      </c>
      <c r="V110" s="309">
        <f>+V109+BO110-BP110</f>
        <v>2</v>
      </c>
      <c r="W110" s="317">
        <f>+(V110/V104-1)*100</f>
        <v>0</v>
      </c>
      <c r="X110" s="317"/>
      <c r="Y110" s="317"/>
      <c r="Z110" s="309"/>
      <c r="AA110" s="317"/>
      <c r="AB110" s="307"/>
      <c r="AC110" s="308"/>
      <c r="AD110" s="307"/>
      <c r="AE110" s="308"/>
      <c r="AF110" s="307"/>
      <c r="AG110" s="308"/>
      <c r="AH110" s="307"/>
      <c r="AI110" s="308"/>
      <c r="AJ110" s="307"/>
      <c r="AK110" s="308"/>
      <c r="AL110" s="307"/>
      <c r="AM110" s="308"/>
      <c r="AN110" s="307"/>
      <c r="AO110" s="308"/>
      <c r="AP110" s="30"/>
      <c r="AQ110" s="451">
        <f>+J110+L110+N110+P110+R110+T110+V110+AB110+AD110+AF110+AH110+AJ110+AL110+AN110</f>
        <v>3590</v>
      </c>
      <c r="AR110" s="308">
        <f>+(AQ110/AQ104-1)*100</f>
        <v>-5.0013231013495645</v>
      </c>
      <c r="AS110" s="308"/>
      <c r="AT110" s="30" t="str">
        <f>+A110</f>
        <v>4Q</v>
      </c>
      <c r="AU110" s="30" t="str">
        <f>+B110</f>
        <v>Jan</v>
      </c>
      <c r="AV110" s="30"/>
      <c r="AW110" s="302"/>
      <c r="AX110" s="302"/>
      <c r="AY110" s="308"/>
      <c r="AZ110" s="302"/>
      <c r="BA110" s="302"/>
      <c r="BB110" s="308"/>
      <c r="BC110" s="307"/>
      <c r="BD110" s="307"/>
      <c r="BE110" s="307"/>
      <c r="BF110" s="308"/>
      <c r="BG110" s="418">
        <v>2</v>
      </c>
      <c r="BH110" s="418">
        <v>-5</v>
      </c>
      <c r="BI110" s="298"/>
      <c r="BJ110" s="589"/>
      <c r="BK110" s="418">
        <v>1</v>
      </c>
      <c r="BL110" s="418">
        <v>-16</v>
      </c>
      <c r="BM110" s="418"/>
      <c r="BN110" s="589"/>
      <c r="BO110" s="418">
        <v>0</v>
      </c>
      <c r="BP110" s="418">
        <v>0</v>
      </c>
      <c r="BQ110" s="366"/>
      <c r="BR110" s="366"/>
      <c r="BS110" s="589"/>
      <c r="BT110" s="418">
        <v>0</v>
      </c>
      <c r="BU110" s="418">
        <v>-35</v>
      </c>
      <c r="BV110" s="418">
        <v>0</v>
      </c>
      <c r="BW110" s="418"/>
      <c r="BX110" s="589"/>
      <c r="BY110" s="418">
        <v>0</v>
      </c>
      <c r="BZ110" s="418">
        <v>-16</v>
      </c>
      <c r="CA110" s="418">
        <v>0</v>
      </c>
      <c r="CB110" s="418"/>
      <c r="CC110" s="589"/>
      <c r="CD110" s="418">
        <v>5</v>
      </c>
      <c r="CE110" s="418">
        <v>-5</v>
      </c>
      <c r="CF110" s="418">
        <v>3</v>
      </c>
      <c r="CG110" s="418"/>
      <c r="CH110" s="589"/>
      <c r="CI110" s="418">
        <v>0</v>
      </c>
      <c r="CJ110" s="418">
        <v>-21</v>
      </c>
      <c r="CK110" s="418"/>
      <c r="CL110" s="589"/>
      <c r="CM110" s="418"/>
      <c r="CN110" s="418"/>
      <c r="CO110" s="589"/>
      <c r="CP110" s="302"/>
      <c r="CQ110" s="302"/>
      <c r="CR110" s="308"/>
      <c r="CS110" s="302"/>
      <c r="CT110" s="302"/>
      <c r="CU110" s="308"/>
      <c r="CV110" s="302"/>
      <c r="CW110" s="302"/>
      <c r="CX110" s="308"/>
      <c r="CY110" s="302"/>
      <c r="CZ110" s="302"/>
      <c r="DA110" s="308"/>
      <c r="DB110" s="302"/>
      <c r="DC110" s="302"/>
      <c r="DD110" s="308"/>
      <c r="DE110" s="302"/>
      <c r="DF110" s="302"/>
      <c r="DG110" s="308"/>
      <c r="DH110" s="306"/>
      <c r="DI110" s="306"/>
      <c r="DJ110" s="306"/>
      <c r="DK110" s="306"/>
      <c r="DL110" s="321"/>
    </row>
    <row r="111" spans="1:121" hidden="1" outlineLevel="1">
      <c r="A111" s="24"/>
      <c r="B111" s="24"/>
      <c r="C111" s="24"/>
      <c r="D111" s="24"/>
      <c r="E111" s="24"/>
      <c r="F111" s="24"/>
      <c r="G111" s="305"/>
      <c r="H111" s="305"/>
      <c r="I111" s="305"/>
      <c r="J111" s="428"/>
      <c r="K111" s="305"/>
      <c r="L111" s="428"/>
      <c r="M111" s="24"/>
      <c r="N111" s="428"/>
      <c r="O111" s="24"/>
      <c r="P111" s="428"/>
      <c r="Q111" s="24"/>
      <c r="R111" s="428"/>
      <c r="S111" s="24"/>
      <c r="T111" s="428"/>
      <c r="U111" s="24"/>
      <c r="V111" s="428"/>
      <c r="W111" s="305"/>
      <c r="X111" s="305"/>
      <c r="Y111" s="305"/>
      <c r="Z111" s="428"/>
      <c r="AA111" s="305"/>
      <c r="AB111" s="24"/>
      <c r="AC111" s="24"/>
      <c r="AD111" s="24"/>
      <c r="AE111" s="24"/>
      <c r="AF111" s="30"/>
      <c r="AG111" s="30"/>
      <c r="AH111" s="30"/>
      <c r="AI111" s="30"/>
      <c r="AJ111" s="30"/>
      <c r="AK111" s="30"/>
      <c r="AL111" s="30"/>
      <c r="AM111" s="30"/>
      <c r="AN111" s="30"/>
      <c r="AO111" s="30"/>
      <c r="AP111" s="24"/>
      <c r="AQ111" s="574"/>
      <c r="AR111" s="30"/>
      <c r="AS111" s="30"/>
      <c r="AT111" s="24"/>
      <c r="AU111" s="24"/>
      <c r="AV111" s="24"/>
      <c r="AW111" s="24"/>
      <c r="AX111" s="24"/>
      <c r="AY111" s="24"/>
      <c r="AZ111" s="24"/>
      <c r="BA111" s="305"/>
      <c r="BB111" s="24"/>
      <c r="BC111" s="305"/>
      <c r="BD111" s="305"/>
      <c r="BE111" s="305"/>
      <c r="BF111" s="24"/>
      <c r="BG111" s="309">
        <f>SUM(BG107:BG110)</f>
        <v>15</v>
      </c>
      <c r="BH111" s="309">
        <f>SUM(BH107:BH110)</f>
        <v>-18</v>
      </c>
      <c r="BI111" s="422">
        <v>100</v>
      </c>
      <c r="BJ111" s="24"/>
      <c r="BK111" s="309">
        <f>SUM(BK107:BK110)</f>
        <v>17</v>
      </c>
      <c r="BL111" s="309">
        <f>SUM(BL107:BL110)</f>
        <v>-31</v>
      </c>
      <c r="BM111" s="422"/>
      <c r="BN111" s="24"/>
      <c r="BO111" s="309">
        <f>SUM(BO107:BO110)</f>
        <v>0</v>
      </c>
      <c r="BP111" s="309">
        <f>SUM(BP107:BP110)</f>
        <v>0</v>
      </c>
      <c r="BQ111" s="309"/>
      <c r="BR111" s="309"/>
      <c r="BS111" s="24"/>
      <c r="BT111" s="309">
        <f>SUM(BT107:BT110)</f>
        <v>0</v>
      </c>
      <c r="BU111" s="309">
        <f>SUM(BU107:BU110)</f>
        <v>-85.000000000000071</v>
      </c>
      <c r="BV111" s="309">
        <f>SUM(BV107:BV110)</f>
        <v>-56</v>
      </c>
      <c r="BW111" s="422"/>
      <c r="BX111" s="24"/>
      <c r="BY111" s="309">
        <f>SUM(BY107:BY110)</f>
        <v>0</v>
      </c>
      <c r="BZ111" s="309">
        <f>SUM(BZ107:BZ110)</f>
        <v>-110</v>
      </c>
      <c r="CA111" s="309">
        <f>SUM(CA107:CA110)</f>
        <v>0</v>
      </c>
      <c r="CB111" s="422"/>
      <c r="CC111" s="24"/>
      <c r="CD111" s="309">
        <f>SUM(CD107:CD110)</f>
        <v>17</v>
      </c>
      <c r="CE111" s="309">
        <f>SUM(CE107:CE110)</f>
        <v>-5</v>
      </c>
      <c r="CF111" s="309">
        <f>SUM(CF107:CF110)</f>
        <v>98</v>
      </c>
      <c r="CG111" s="422"/>
      <c r="CH111" s="24"/>
      <c r="CI111" s="309">
        <f>SUM(CI107:CI110)</f>
        <v>1</v>
      </c>
      <c r="CJ111" s="309">
        <f>SUM(CJ107:CJ110)</f>
        <v>-32</v>
      </c>
      <c r="CK111" s="422"/>
      <c r="CL111" s="24"/>
      <c r="CM111" s="309"/>
      <c r="CN111" s="309"/>
      <c r="CO111" s="24"/>
      <c r="CP111" s="307"/>
      <c r="CQ111" s="307"/>
      <c r="CR111" s="24"/>
      <c r="CS111" s="24"/>
      <c r="CT111" s="305"/>
      <c r="CU111" s="24"/>
      <c r="CV111" s="24"/>
      <c r="CW111" s="305"/>
      <c r="CX111" s="24"/>
      <c r="CY111" s="24"/>
      <c r="CZ111" s="305"/>
      <c r="DA111" s="24"/>
      <c r="DB111" s="24"/>
      <c r="DC111" s="305"/>
      <c r="DD111" s="24"/>
      <c r="DE111" s="24"/>
      <c r="DF111" s="305"/>
      <c r="DG111" s="24"/>
      <c r="DH111" s="551">
        <f>+BG111+BK111+BT111+BY111+CD111+CI111+BO111+CP111+CS111+CV111+CY111+DB111+DE111</f>
        <v>50</v>
      </c>
      <c r="DI111" s="551">
        <f>+BH111+BL111+BU111+BZ111+CE111+CJ111+BP111+CN111+BV111+CA111+CF111</f>
        <v>-239.00000000000006</v>
      </c>
      <c r="DJ111" s="338"/>
      <c r="DK111" s="338"/>
      <c r="DL111" s="328"/>
    </row>
    <row r="112" spans="1:121" hidden="1" outlineLevel="1">
      <c r="A112" s="301"/>
      <c r="B112" s="312" t="str">
        <f>qtrSales!B130</f>
        <v>2006A</v>
      </c>
      <c r="C112" s="30"/>
      <c r="D112" s="30"/>
      <c r="E112" s="310"/>
      <c r="F112" s="30"/>
      <c r="G112" s="318"/>
      <c r="H112" s="318"/>
      <c r="I112" s="318"/>
      <c r="J112" s="30"/>
      <c r="K112" s="319"/>
      <c r="L112" s="30"/>
      <c r="M112" s="310"/>
      <c r="N112" s="309"/>
      <c r="O112" s="310"/>
      <c r="P112" s="309"/>
      <c r="Q112" s="30"/>
      <c r="R112" s="30"/>
      <c r="S112" s="310"/>
      <c r="T112" s="30"/>
      <c r="U112" s="310"/>
      <c r="V112" s="30"/>
      <c r="W112" s="318"/>
      <c r="X112" s="318"/>
      <c r="Y112" s="318"/>
      <c r="Z112" s="30"/>
      <c r="AA112" s="318"/>
      <c r="AB112" s="30"/>
      <c r="AC112" s="310"/>
      <c r="AD112" s="30"/>
      <c r="AE112" s="310"/>
      <c r="AF112" s="30"/>
      <c r="AG112" s="310"/>
      <c r="AH112" s="30"/>
      <c r="AI112" s="310"/>
      <c r="AJ112" s="30"/>
      <c r="AK112" s="310"/>
      <c r="AL112" s="30"/>
      <c r="AM112" s="310"/>
      <c r="AN112" s="30"/>
      <c r="AO112" s="310"/>
      <c r="AP112" s="30"/>
      <c r="AQ112" s="451"/>
      <c r="AR112" s="310"/>
      <c r="AS112" s="310"/>
      <c r="AT112" s="141"/>
      <c r="AU112" s="27" t="str">
        <f>+B112</f>
        <v>2006A</v>
      </c>
      <c r="AV112" s="30"/>
      <c r="AW112" s="30"/>
      <c r="AX112" s="310"/>
      <c r="AY112" s="310"/>
      <c r="AZ112" s="30"/>
      <c r="BA112" s="318"/>
      <c r="BB112" s="310"/>
      <c r="BC112" s="318"/>
      <c r="BD112" s="318"/>
      <c r="BE112" s="318"/>
      <c r="BF112" s="310"/>
      <c r="BG112" s="30"/>
      <c r="BH112" s="318"/>
      <c r="BI112" s="318"/>
      <c r="BJ112" s="310"/>
      <c r="BK112" s="30"/>
      <c r="BL112" s="318"/>
      <c r="BM112" s="318"/>
      <c r="BN112" s="310"/>
      <c r="BO112" s="30"/>
      <c r="BP112" s="318"/>
      <c r="BQ112" s="318"/>
      <c r="BR112" s="318"/>
      <c r="BS112" s="310"/>
      <c r="BT112" s="30"/>
      <c r="BU112" s="318"/>
      <c r="BV112" s="318"/>
      <c r="BW112" s="318"/>
      <c r="BX112" s="310"/>
      <c r="BY112" s="30"/>
      <c r="BZ112" s="318"/>
      <c r="CA112" s="318"/>
      <c r="CB112" s="318"/>
      <c r="CC112" s="310"/>
      <c r="CD112" s="309"/>
      <c r="CE112" s="318"/>
      <c r="CF112" s="318"/>
      <c r="CG112" s="318"/>
      <c r="CH112" s="310"/>
      <c r="CI112" s="30"/>
      <c r="CJ112" s="318"/>
      <c r="CK112" s="318"/>
      <c r="CL112" s="310"/>
      <c r="CM112" s="30"/>
      <c r="CN112" s="318"/>
      <c r="CO112" s="310"/>
      <c r="CP112" s="30"/>
      <c r="CQ112" s="318"/>
      <c r="CR112" s="310"/>
      <c r="CS112" s="30"/>
      <c r="CT112" s="318"/>
      <c r="CU112" s="310"/>
      <c r="CV112" s="30"/>
      <c r="CW112" s="318"/>
      <c r="CX112" s="310"/>
      <c r="CY112" s="30"/>
      <c r="CZ112" s="318"/>
      <c r="DA112" s="310"/>
      <c r="DB112" s="30"/>
      <c r="DC112" s="318"/>
      <c r="DD112" s="310"/>
      <c r="DE112" s="30"/>
      <c r="DF112" s="318"/>
      <c r="DG112" s="310"/>
      <c r="DH112" s="307"/>
      <c r="DI112" s="307"/>
      <c r="DJ112" s="307"/>
      <c r="DK112" s="307"/>
      <c r="DL112" s="307"/>
      <c r="DO112" s="2913" t="s">
        <v>1295</v>
      </c>
      <c r="DP112" s="2913"/>
      <c r="DQ112" s="2913"/>
    </row>
    <row r="113" spans="1:121" hidden="1" outlineLevel="1">
      <c r="A113" s="30" t="str">
        <f>+qtrSales!A131</f>
        <v>1Q</v>
      </c>
      <c r="B113" s="30" t="str">
        <f>+qtrSales!B131</f>
        <v>Apr</v>
      </c>
      <c r="C113" s="30"/>
      <c r="D113" s="307"/>
      <c r="E113" s="308"/>
      <c r="F113" s="307"/>
      <c r="G113" s="317"/>
      <c r="H113" s="317"/>
      <c r="I113" s="317"/>
      <c r="J113" s="325">
        <f>+J110+BG113+BH113</f>
        <v>994</v>
      </c>
      <c r="K113" s="308">
        <f>+(J113/J107-1)*100</f>
        <v>-0.40080160320641323</v>
      </c>
      <c r="L113" s="325">
        <f>+L110+BK113+BL113</f>
        <v>1554</v>
      </c>
      <c r="M113" s="308">
        <f>+(L113/L107-1)*100</f>
        <v>-1.0821133036282626</v>
      </c>
      <c r="N113" s="309">
        <f>+N110+BT113+BU113+BV113</f>
        <v>294.99999999999994</v>
      </c>
      <c r="O113" s="308">
        <f>+(N113/N107-1)*100</f>
        <v>-27.696078431372563</v>
      </c>
      <c r="P113" s="309">
        <f>+P110+BY113+BZ113+CA113</f>
        <v>97</v>
      </c>
      <c r="Q113" s="307"/>
      <c r="R113" s="309">
        <f>+R110+CD113+CF113+CE113</f>
        <v>329</v>
      </c>
      <c r="S113" s="474"/>
      <c r="T113" s="309">
        <f>+T110+CI113+CJ113</f>
        <v>288</v>
      </c>
      <c r="U113" s="308">
        <f>+(T113/T107-1)*100</f>
        <v>-9.1482649842271275</v>
      </c>
      <c r="V113" s="309">
        <f>+V110+BO113</f>
        <v>2</v>
      </c>
      <c r="W113" s="317">
        <f>+(V113/V107-1)*100</f>
        <v>0</v>
      </c>
      <c r="X113" s="317"/>
      <c r="Y113" s="317"/>
      <c r="Z113" s="309"/>
      <c r="AA113" s="317"/>
      <c r="AB113" s="307"/>
      <c r="AC113" s="308"/>
      <c r="AD113" s="307"/>
      <c r="AE113" s="308"/>
      <c r="AF113" s="307"/>
      <c r="AG113" s="308"/>
      <c r="AH113" s="307"/>
      <c r="AI113" s="308"/>
      <c r="AJ113" s="307"/>
      <c r="AK113" s="308"/>
      <c r="AL113" s="307"/>
      <c r="AM113" s="308"/>
      <c r="AN113" s="307"/>
      <c r="AO113" s="308"/>
      <c r="AP113" s="30"/>
      <c r="AQ113" s="451">
        <f>+J113+L113+N113+P113+R113+T113+V113+AB113+AD113+AF113+AH113+AJ113+AL113+AN113</f>
        <v>3559</v>
      </c>
      <c r="AR113" s="308">
        <f>+(AQ113/AQ107-1)*100</f>
        <v>-3.7848067045147316</v>
      </c>
      <c r="AS113" s="308"/>
      <c r="AT113" s="30" t="str">
        <f>+A113</f>
        <v>1Q</v>
      </c>
      <c r="AU113" s="30" t="str">
        <f>+B113</f>
        <v>Apr</v>
      </c>
      <c r="AV113" s="30"/>
      <c r="AW113" s="307"/>
      <c r="AX113" s="308"/>
      <c r="AY113" s="308"/>
      <c r="AZ113" s="307"/>
      <c r="BA113" s="317"/>
      <c r="BB113" s="308"/>
      <c r="BC113" s="317"/>
      <c r="BD113" s="317"/>
      <c r="BE113" s="317"/>
      <c r="BF113" s="308"/>
      <c r="BG113" s="307">
        <v>2</v>
      </c>
      <c r="BH113" s="307">
        <v>-6</v>
      </c>
      <c r="BI113" s="307"/>
      <c r="BJ113" s="308"/>
      <c r="BK113" s="307">
        <v>4</v>
      </c>
      <c r="BL113" s="307">
        <v>-5</v>
      </c>
      <c r="BM113" s="317"/>
      <c r="BN113" s="308"/>
      <c r="BO113" s="321">
        <v>0</v>
      </c>
      <c r="BP113" s="321">
        <v>0</v>
      </c>
      <c r="BQ113" s="321"/>
      <c r="BR113" s="321"/>
      <c r="BS113" s="308"/>
      <c r="BT113" s="307">
        <v>0</v>
      </c>
      <c r="BU113" s="307">
        <v>-7</v>
      </c>
      <c r="BV113" s="307">
        <v>-25</v>
      </c>
      <c r="BW113" s="317"/>
      <c r="BX113" s="308"/>
      <c r="BY113" s="307">
        <v>0</v>
      </c>
      <c r="BZ113" s="307">
        <v>-15</v>
      </c>
      <c r="CA113" s="307">
        <v>-1</v>
      </c>
      <c r="CB113" s="317"/>
      <c r="CC113" s="308"/>
      <c r="CD113" s="307">
        <v>0</v>
      </c>
      <c r="CE113" s="307">
        <v>0</v>
      </c>
      <c r="CF113" s="307">
        <v>26</v>
      </c>
      <c r="CG113" s="317"/>
      <c r="CH113" s="308"/>
      <c r="CI113" s="307">
        <v>0</v>
      </c>
      <c r="CJ113" s="307">
        <v>-4</v>
      </c>
      <c r="CK113" s="317"/>
      <c r="CL113" s="308"/>
      <c r="CM113" s="321"/>
      <c r="CN113" s="321"/>
      <c r="CO113" s="308"/>
      <c r="CP113" s="321"/>
      <c r="CQ113" s="317"/>
      <c r="CR113" s="308"/>
      <c r="CS113" s="321"/>
      <c r="CT113" s="317"/>
      <c r="CU113" s="308"/>
      <c r="CV113" s="321"/>
      <c r="CW113" s="317"/>
      <c r="CX113" s="308"/>
      <c r="CY113" s="321"/>
      <c r="CZ113" s="317"/>
      <c r="DA113" s="308"/>
      <c r="DB113" s="321"/>
      <c r="DC113" s="317"/>
      <c r="DD113" s="308"/>
      <c r="DE113" s="321"/>
      <c r="DF113" s="317"/>
      <c r="DG113" s="308"/>
      <c r="DH113" s="321"/>
      <c r="DI113" s="321"/>
      <c r="DJ113" s="321"/>
      <c r="DK113" s="321"/>
      <c r="DL113" s="321"/>
      <c r="DO113" t="s">
        <v>1296</v>
      </c>
      <c r="DP113" s="473"/>
      <c r="DQ113" t="s">
        <v>1297</v>
      </c>
    </row>
    <row r="114" spans="1:121" hidden="1" outlineLevel="1">
      <c r="A114" s="30" t="str">
        <f>+qtrSales!A132</f>
        <v>2Q</v>
      </c>
      <c r="B114" s="30" t="str">
        <f>+qtrSales!B132</f>
        <v>Jul</v>
      </c>
      <c r="C114" s="30"/>
      <c r="D114" s="307"/>
      <c r="E114" s="308"/>
      <c r="F114" s="307"/>
      <c r="G114" s="317"/>
      <c r="H114" s="317"/>
      <c r="I114" s="317"/>
      <c r="J114" s="325">
        <f>+J113+BG114+BH114</f>
        <v>991</v>
      </c>
      <c r="K114" s="308">
        <f>+(J114/J108-1)*100</f>
        <v>0</v>
      </c>
      <c r="L114" s="325">
        <f>+L113+BK114+BL114</f>
        <v>1549</v>
      </c>
      <c r="M114" s="308">
        <f>+(L114/L108-1)*100</f>
        <v>-1.1486917677089981</v>
      </c>
      <c r="N114" s="309">
        <f>+N113+BT114+BU114+BV114</f>
        <v>226.99999999999994</v>
      </c>
      <c r="O114" s="308">
        <f>+(N114/N108-1)*100</f>
        <v>-39.466666666666669</v>
      </c>
      <c r="P114" s="309">
        <f>+P113+BY114+BZ114+CA114</f>
        <v>84</v>
      </c>
      <c r="Q114" s="307"/>
      <c r="R114" s="309">
        <f>+R113+CD114+CF114+CE114</f>
        <v>389</v>
      </c>
      <c r="S114" s="308"/>
      <c r="T114" s="309">
        <f>+T113+CI114+CJ114</f>
        <v>277</v>
      </c>
      <c r="U114" s="308">
        <f>+(T114/T108-1)*100</f>
        <v>-11.783439490445858</v>
      </c>
      <c r="V114" s="309">
        <f>+V113+BO114-BP114</f>
        <v>2</v>
      </c>
      <c r="W114" s="317">
        <f>+(V114/V108-1)*100</f>
        <v>0</v>
      </c>
      <c r="X114" s="317"/>
      <c r="Y114" s="317"/>
      <c r="Z114" s="309"/>
      <c r="AA114" s="317"/>
      <c r="AB114" s="307"/>
      <c r="AC114" s="308"/>
      <c r="AD114" s="307"/>
      <c r="AE114" s="308"/>
      <c r="AF114" s="307"/>
      <c r="AG114" s="308"/>
      <c r="AH114" s="307"/>
      <c r="AI114" s="308"/>
      <c r="AJ114" s="307"/>
      <c r="AK114" s="308"/>
      <c r="AL114" s="307"/>
      <c r="AM114" s="308"/>
      <c r="AN114" s="307"/>
      <c r="AO114" s="308"/>
      <c r="AP114" s="530"/>
      <c r="AQ114" s="451">
        <f>+J114+L114+N114+P114+R114+T114+V114+AB114+AD114+AF114+AH114+AJ114+AL114+AN114</f>
        <v>3519</v>
      </c>
      <c r="AR114" s="308">
        <f>+(AQ114/AQ108-1)*100</f>
        <v>-4.0098199672667807</v>
      </c>
      <c r="AS114" s="308"/>
      <c r="AT114" s="30" t="str">
        <f>+A114</f>
        <v>2Q</v>
      </c>
      <c r="AU114" s="30" t="str">
        <f>+B114</f>
        <v>Jul</v>
      </c>
      <c r="AV114" s="30"/>
      <c r="AW114" s="307"/>
      <c r="AX114" s="308"/>
      <c r="AY114" s="308"/>
      <c r="AZ114" s="307"/>
      <c r="BA114" s="317"/>
      <c r="BB114" s="308"/>
      <c r="BC114" s="317"/>
      <c r="BD114" s="317"/>
      <c r="BE114" s="317"/>
      <c r="BF114" s="308"/>
      <c r="BG114" s="307">
        <v>4</v>
      </c>
      <c r="BH114" s="307">
        <v>-7</v>
      </c>
      <c r="BI114" s="307"/>
      <c r="BJ114" s="308"/>
      <c r="BK114" s="307">
        <v>2</v>
      </c>
      <c r="BL114" s="307">
        <v>-7</v>
      </c>
      <c r="BM114" s="317"/>
      <c r="BN114" s="308"/>
      <c r="BO114" s="321">
        <v>0</v>
      </c>
      <c r="BP114" s="321">
        <v>0</v>
      </c>
      <c r="BQ114" s="321"/>
      <c r="BR114" s="321"/>
      <c r="BS114" s="308"/>
      <c r="BT114" s="307">
        <v>0</v>
      </c>
      <c r="BU114" s="307">
        <v>-8</v>
      </c>
      <c r="BV114" s="307">
        <v>-60</v>
      </c>
      <c r="BW114" s="317"/>
      <c r="BX114" s="308"/>
      <c r="BY114" s="307">
        <v>0</v>
      </c>
      <c r="BZ114" s="307">
        <v>-12</v>
      </c>
      <c r="CA114" s="307">
        <v>-1</v>
      </c>
      <c r="CB114" s="317"/>
      <c r="CC114" s="308"/>
      <c r="CD114" s="307">
        <v>0</v>
      </c>
      <c r="CE114" s="307">
        <v>-1</v>
      </c>
      <c r="CF114" s="307">
        <v>61</v>
      </c>
      <c r="CG114" s="317"/>
      <c r="CH114" s="308"/>
      <c r="CI114" s="307">
        <v>0</v>
      </c>
      <c r="CJ114" s="307">
        <v>-11</v>
      </c>
      <c r="CK114" s="317"/>
      <c r="CL114" s="308"/>
      <c r="CM114" s="321"/>
      <c r="CN114" s="321"/>
      <c r="CO114" s="308"/>
      <c r="CP114" s="321"/>
      <c r="CQ114" s="317"/>
      <c r="CR114" s="308"/>
      <c r="CS114" s="321"/>
      <c r="CT114" s="317"/>
      <c r="CU114" s="308"/>
      <c r="CV114" s="321"/>
      <c r="CW114" s="317"/>
      <c r="CX114" s="308"/>
      <c r="CY114" s="321"/>
      <c r="CZ114" s="317"/>
      <c r="DA114" s="308"/>
      <c r="DB114" s="321"/>
      <c r="DC114" s="317"/>
      <c r="DD114" s="308"/>
      <c r="DE114" s="321"/>
      <c r="DF114" s="317"/>
      <c r="DG114" s="308"/>
      <c r="DH114" s="321"/>
      <c r="DI114" s="321"/>
      <c r="DJ114" s="321"/>
      <c r="DK114" s="321"/>
      <c r="DL114" s="321"/>
      <c r="DO114" t="s">
        <v>1298</v>
      </c>
      <c r="DP114" s="473"/>
      <c r="DQ114" t="s">
        <v>1298</v>
      </c>
    </row>
    <row r="115" spans="1:121" hidden="1" outlineLevel="1">
      <c r="A115" s="30" t="str">
        <f>+qtrSales!A133</f>
        <v>3Q</v>
      </c>
      <c r="B115" s="30" t="str">
        <f>+qtrSales!B133</f>
        <v>Oct</v>
      </c>
      <c r="C115" s="30"/>
      <c r="D115" s="307"/>
      <c r="E115" s="308"/>
      <c r="F115" s="307"/>
      <c r="G115" s="317"/>
      <c r="H115" s="317"/>
      <c r="I115" s="317"/>
      <c r="J115" s="325">
        <v>1001</v>
      </c>
      <c r="K115" s="308">
        <f>+(J115/J109-1)*100</f>
        <v>0</v>
      </c>
      <c r="L115" s="325">
        <v>1553</v>
      </c>
      <c r="M115" s="308">
        <f>+(L115/L109-1)*100</f>
        <v>-1.0828025477707004</v>
      </c>
      <c r="N115" s="309">
        <v>222</v>
      </c>
      <c r="O115" s="308">
        <f>+(N115/N109-1)*100</f>
        <v>-38.674033149171258</v>
      </c>
      <c r="P115" s="309">
        <v>83</v>
      </c>
      <c r="Q115" s="307"/>
      <c r="R115" s="309">
        <v>392</v>
      </c>
      <c r="S115" s="308"/>
      <c r="T115" s="309">
        <v>276</v>
      </c>
      <c r="U115" s="308">
        <f>+(T115/T109-1)*100</f>
        <v>-11.821086261980829</v>
      </c>
      <c r="V115" s="309">
        <f>+V114+BO115-BP115</f>
        <v>2</v>
      </c>
      <c r="W115" s="317">
        <f>+(V115/V109-1)*100</f>
        <v>0</v>
      </c>
      <c r="X115" s="317"/>
      <c r="Y115" s="317"/>
      <c r="Z115" s="309">
        <v>5</v>
      </c>
      <c r="AA115" s="317"/>
      <c r="AB115" s="307"/>
      <c r="AC115" s="308"/>
      <c r="AD115" s="307"/>
      <c r="AE115" s="308"/>
      <c r="AF115" s="307"/>
      <c r="AG115" s="308"/>
      <c r="AH115" s="307"/>
      <c r="AI115" s="308"/>
      <c r="AJ115" s="307"/>
      <c r="AK115" s="308"/>
      <c r="AL115" s="307"/>
      <c r="AM115" s="308"/>
      <c r="AN115" s="307"/>
      <c r="AO115" s="308"/>
      <c r="AP115" s="30"/>
      <c r="AQ115" s="451">
        <f>+J115+L115+N115+P115+R115+T115+V115+Z115</f>
        <v>3534</v>
      </c>
      <c r="AR115" s="308">
        <f>+(AQ115/AQ109-1)*100</f>
        <v>-3.8890399782431362</v>
      </c>
      <c r="AS115" s="308"/>
      <c r="AT115" s="30" t="str">
        <f>+A115</f>
        <v>3Q</v>
      </c>
      <c r="AU115" s="30" t="str">
        <f>+B115</f>
        <v>Oct</v>
      </c>
      <c r="AV115" s="30"/>
      <c r="AW115" s="307"/>
      <c r="AX115" s="308"/>
      <c r="AY115" s="308"/>
      <c r="AZ115" s="307"/>
      <c r="BA115" s="317"/>
      <c r="BB115" s="308"/>
      <c r="BC115" s="317"/>
      <c r="BD115" s="317"/>
      <c r="BE115" s="317"/>
      <c r="BF115" s="308"/>
      <c r="BG115" s="307">
        <v>12</v>
      </c>
      <c r="BH115" s="307">
        <v>-2</v>
      </c>
      <c r="BI115" s="307"/>
      <c r="BJ115" s="308"/>
      <c r="BK115" s="307">
        <v>9</v>
      </c>
      <c r="BL115" s="307">
        <v>-5</v>
      </c>
      <c r="BM115" s="317"/>
      <c r="BN115" s="308"/>
      <c r="BO115" s="321">
        <v>0</v>
      </c>
      <c r="BP115" s="321">
        <v>0</v>
      </c>
      <c r="BQ115" s="321"/>
      <c r="BR115" s="321"/>
      <c r="BS115" s="308"/>
      <c r="BT115" s="307">
        <v>0</v>
      </c>
      <c r="BU115" s="307">
        <v>-3</v>
      </c>
      <c r="BV115" s="307">
        <v>-2</v>
      </c>
      <c r="BW115" s="317"/>
      <c r="BX115" s="308"/>
      <c r="BY115" s="307">
        <v>0</v>
      </c>
      <c r="BZ115" s="307">
        <v>-1</v>
      </c>
      <c r="CA115" s="307">
        <v>0</v>
      </c>
      <c r="CB115" s="317"/>
      <c r="CC115" s="308"/>
      <c r="CD115" s="307">
        <v>1</v>
      </c>
      <c r="CE115" s="307">
        <v>0</v>
      </c>
      <c r="CF115" s="307">
        <v>2</v>
      </c>
      <c r="CG115" s="317"/>
      <c r="CH115" s="308"/>
      <c r="CI115" s="307">
        <v>0</v>
      </c>
      <c r="CJ115" s="307">
        <v>-1</v>
      </c>
      <c r="CK115" s="317"/>
      <c r="CL115" s="308"/>
      <c r="CM115" s="321">
        <v>5</v>
      </c>
      <c r="CN115" s="321">
        <v>0</v>
      </c>
      <c r="CO115" s="308"/>
      <c r="CP115" s="321"/>
      <c r="CQ115" s="317"/>
      <c r="CR115" s="308"/>
      <c r="CS115" s="321"/>
      <c r="CT115" s="317"/>
      <c r="CU115" s="308"/>
      <c r="CV115" s="321"/>
      <c r="CW115" s="317"/>
      <c r="CX115" s="308"/>
      <c r="CY115" s="321"/>
      <c r="CZ115" s="317"/>
      <c r="DA115" s="308"/>
      <c r="DB115" s="321"/>
      <c r="DC115" s="317"/>
      <c r="DD115" s="308"/>
      <c r="DE115" s="321"/>
      <c r="DF115" s="317"/>
      <c r="DG115" s="308"/>
      <c r="DH115" s="321"/>
      <c r="DI115" s="321"/>
      <c r="DJ115" s="321"/>
      <c r="DK115" s="321"/>
      <c r="DL115" s="321"/>
      <c r="DM115">
        <v>2005</v>
      </c>
      <c r="DO115">
        <v>100</v>
      </c>
      <c r="DQ115">
        <v>0</v>
      </c>
    </row>
    <row r="116" spans="1:121" hidden="1" outlineLevel="1">
      <c r="A116" s="30" t="str">
        <f>+qtrSales!A134</f>
        <v>4Q</v>
      </c>
      <c r="B116" s="30" t="str">
        <f>+qtrSales!B134</f>
        <v>Jan</v>
      </c>
      <c r="C116" s="339"/>
      <c r="D116" s="307"/>
      <c r="E116" s="308"/>
      <c r="F116" s="307"/>
      <c r="G116" s="317"/>
      <c r="H116" s="309">
        <v>291</v>
      </c>
      <c r="I116" s="317">
        <v>0</v>
      </c>
      <c r="J116" s="325">
        <f>+J115+BG116+BH116</f>
        <v>1003</v>
      </c>
      <c r="K116" s="308">
        <f>+(J116/J110-1)*100</f>
        <v>0.50100200400802208</v>
      </c>
      <c r="L116" s="325">
        <f>+L115+BK116+BL116</f>
        <v>1546</v>
      </c>
      <c r="M116" s="308">
        <f>+(L116/L110-1)*100</f>
        <v>-0.57877813504823017</v>
      </c>
      <c r="N116" s="309">
        <f>+N115+BT116+BU116+BV116</f>
        <v>195</v>
      </c>
      <c r="O116" s="308">
        <f>+(N116/N110-1)*100</f>
        <v>-40.366972477064209</v>
      </c>
      <c r="P116" s="309">
        <f>+P115+BY116+BZ116+CA116</f>
        <v>69</v>
      </c>
      <c r="Q116" s="307"/>
      <c r="R116" s="309">
        <f>+R115+CD116+CF116+CE116</f>
        <v>394</v>
      </c>
      <c r="S116" s="308"/>
      <c r="T116" s="309">
        <f>+T115+CI116+CJ116</f>
        <v>260</v>
      </c>
      <c r="U116" s="308">
        <f>+(T116/T110-1)*100</f>
        <v>-10.95890410958904</v>
      </c>
      <c r="V116" s="309">
        <f>+V115+BO116-BP116</f>
        <v>2</v>
      </c>
      <c r="W116" s="317">
        <f>+(V116/V110-1)*100</f>
        <v>0</v>
      </c>
      <c r="X116" s="317"/>
      <c r="Y116" s="317"/>
      <c r="Z116" s="309">
        <f>+Z115+CM116-CN116</f>
        <v>6</v>
      </c>
      <c r="AA116" s="317"/>
      <c r="AB116" s="307"/>
      <c r="AC116" s="308"/>
      <c r="AD116" s="307"/>
      <c r="AE116" s="308"/>
      <c r="AF116" s="307"/>
      <c r="AG116" s="308"/>
      <c r="AH116" s="307"/>
      <c r="AI116" s="308"/>
      <c r="AJ116" s="307"/>
      <c r="AK116" s="308"/>
      <c r="AL116" s="307"/>
      <c r="AM116" s="308"/>
      <c r="AN116" s="307"/>
      <c r="AO116" s="308"/>
      <c r="AP116" s="530"/>
      <c r="AQ116" s="451">
        <f>H116+J116+L116+N116+P116+R116+T116+V116+Z116</f>
        <v>3766</v>
      </c>
      <c r="AR116" s="308">
        <f>+(AQ116/AQ110-1)*100</f>
        <v>4.9025069637883112</v>
      </c>
      <c r="AS116" s="308"/>
      <c r="AT116" s="30" t="str">
        <f>+A116</f>
        <v>4Q</v>
      </c>
      <c r="AU116" s="30" t="str">
        <f>+B116</f>
        <v>Jan</v>
      </c>
      <c r="AV116" s="30"/>
      <c r="AW116" s="302"/>
      <c r="AX116" s="302"/>
      <c r="AY116" s="308"/>
      <c r="AZ116" s="302"/>
      <c r="BA116" s="302"/>
      <c r="BB116" s="308"/>
      <c r="BC116" s="307">
        <v>291</v>
      </c>
      <c r="BD116" s="307"/>
      <c r="BE116" s="307"/>
      <c r="BF116" s="308"/>
      <c r="BG116" s="302">
        <v>6</v>
      </c>
      <c r="BH116" s="302">
        <v>-4</v>
      </c>
      <c r="BI116" s="338"/>
      <c r="BJ116" s="308"/>
      <c r="BK116" s="302">
        <v>5</v>
      </c>
      <c r="BL116" s="302">
        <v>-12</v>
      </c>
      <c r="BM116" s="302"/>
      <c r="BN116" s="308"/>
      <c r="BO116" s="302">
        <v>0</v>
      </c>
      <c r="BP116" s="302">
        <v>0</v>
      </c>
      <c r="BQ116" s="307"/>
      <c r="BR116" s="307"/>
      <c r="BS116" s="308"/>
      <c r="BT116" s="302">
        <v>0</v>
      </c>
      <c r="BU116" s="302">
        <v>-19</v>
      </c>
      <c r="BV116" s="302">
        <v>-8</v>
      </c>
      <c r="BW116" s="302"/>
      <c r="BX116" s="308"/>
      <c r="BY116" s="302">
        <v>0</v>
      </c>
      <c r="BZ116" s="302">
        <v>-7</v>
      </c>
      <c r="CA116" s="302">
        <v>-7</v>
      </c>
      <c r="CB116" s="302"/>
      <c r="CC116" s="308"/>
      <c r="CD116" s="302">
        <v>1</v>
      </c>
      <c r="CE116" s="302">
        <v>-7</v>
      </c>
      <c r="CF116" s="302">
        <v>8</v>
      </c>
      <c r="CG116" s="302"/>
      <c r="CH116" s="308"/>
      <c r="CI116" s="302">
        <v>0</v>
      </c>
      <c r="CJ116" s="302">
        <v>-16</v>
      </c>
      <c r="CK116" s="302"/>
      <c r="CL116" s="308"/>
      <c r="CM116" s="302">
        <v>1</v>
      </c>
      <c r="CN116" s="302">
        <v>0</v>
      </c>
      <c r="CO116" s="308"/>
      <c r="CP116" s="302"/>
      <c r="CQ116" s="302"/>
      <c r="CR116" s="308"/>
      <c r="CS116" s="302"/>
      <c r="CT116" s="302"/>
      <c r="CU116" s="308"/>
      <c r="CV116" s="302"/>
      <c r="CW116" s="302"/>
      <c r="CX116" s="308"/>
      <c r="CY116" s="302"/>
      <c r="CZ116" s="302"/>
      <c r="DA116" s="308"/>
      <c r="DB116" s="302"/>
      <c r="DC116" s="302"/>
      <c r="DD116" s="308"/>
      <c r="DE116" s="302"/>
      <c r="DF116" s="302"/>
      <c r="DG116" s="308"/>
      <c r="DH116" s="306"/>
      <c r="DI116" s="306"/>
      <c r="DJ116" s="306"/>
      <c r="DK116" s="306"/>
      <c r="DL116" s="321"/>
      <c r="DM116">
        <v>2006</v>
      </c>
      <c r="DO116">
        <v>86</v>
      </c>
      <c r="DQ116">
        <v>0</v>
      </c>
    </row>
    <row r="117" spans="1:121" hidden="1" outlineLevel="1">
      <c r="A117" s="30"/>
      <c r="B117" s="30"/>
      <c r="C117" s="339"/>
      <c r="D117" s="307"/>
      <c r="E117" s="308"/>
      <c r="F117" s="307"/>
      <c r="G117" s="317"/>
      <c r="H117" s="317"/>
      <c r="I117" s="317"/>
      <c r="J117" s="429"/>
      <c r="K117" s="308"/>
      <c r="L117" s="429"/>
      <c r="M117" s="308"/>
      <c r="N117" s="429"/>
      <c r="O117" s="308"/>
      <c r="P117" s="429"/>
      <c r="Q117" s="307"/>
      <c r="R117" s="429"/>
      <c r="S117" s="308"/>
      <c r="T117" s="429"/>
      <c r="U117" s="308"/>
      <c r="V117" s="309"/>
      <c r="W117" s="317"/>
      <c r="X117" s="317"/>
      <c r="Y117" s="317"/>
      <c r="Z117" s="309"/>
      <c r="AA117" s="317"/>
      <c r="AB117" s="307"/>
      <c r="AC117" s="308"/>
      <c r="AD117" s="307"/>
      <c r="AE117" s="308"/>
      <c r="AF117" s="307"/>
      <c r="AG117" s="308"/>
      <c r="AH117" s="307"/>
      <c r="AI117" s="308"/>
      <c r="AJ117" s="307"/>
      <c r="AK117" s="308"/>
      <c r="AL117" s="307"/>
      <c r="AM117" s="308"/>
      <c r="AN117" s="307"/>
      <c r="AO117" s="308"/>
      <c r="AP117" s="530"/>
      <c r="AQ117" s="451"/>
      <c r="AR117" s="308"/>
      <c r="AS117" s="308"/>
      <c r="AT117" s="30"/>
      <c r="AU117" s="30"/>
      <c r="AV117" s="30"/>
      <c r="AW117" s="307"/>
      <c r="AX117" s="307"/>
      <c r="AY117" s="308"/>
      <c r="AZ117" s="307"/>
      <c r="BA117" s="307"/>
      <c r="BB117" s="308"/>
      <c r="BC117" s="307"/>
      <c r="BD117" s="307"/>
      <c r="BE117" s="307"/>
      <c r="BF117" s="308"/>
      <c r="BG117" s="309">
        <f>SUM(BG113:BG116)</f>
        <v>24</v>
      </c>
      <c r="BH117" s="309">
        <f>SUM(BH113:BH116)</f>
        <v>-19</v>
      </c>
      <c r="BI117" s="2507">
        <v>86</v>
      </c>
      <c r="BJ117" s="308"/>
      <c r="BK117" s="309">
        <f>SUM(BK113:BK116)</f>
        <v>20</v>
      </c>
      <c r="BL117" s="309">
        <f>SUM(BL113:BL116)</f>
        <v>-29</v>
      </c>
      <c r="BM117" s="422"/>
      <c r="BN117" s="24"/>
      <c r="BO117" s="309">
        <f>SUM(BO113:BO116)</f>
        <v>0</v>
      </c>
      <c r="BP117" s="309">
        <f>SUM(BP113:BP116)</f>
        <v>0</v>
      </c>
      <c r="BQ117" s="309"/>
      <c r="BR117" s="309"/>
      <c r="BS117" s="24"/>
      <c r="BT117" s="309">
        <f>SUM(BT113:BT116)</f>
        <v>0</v>
      </c>
      <c r="BU117" s="309">
        <f>SUM(BU113:BU116)</f>
        <v>-37</v>
      </c>
      <c r="BV117" s="309">
        <f>SUM(BV113:BV116)</f>
        <v>-95</v>
      </c>
      <c r="BW117" s="422"/>
      <c r="BX117" s="24"/>
      <c r="BY117" s="309">
        <f>SUM(BY113:BY116)</f>
        <v>0</v>
      </c>
      <c r="BZ117" s="309">
        <f>SUM(BZ113:BZ116)</f>
        <v>-35</v>
      </c>
      <c r="CA117" s="309">
        <f>SUM(CA113:CA116)</f>
        <v>-9</v>
      </c>
      <c r="CB117" s="422"/>
      <c r="CC117" s="24"/>
      <c r="CD117" s="309">
        <f>SUM(CD113:CD116)</f>
        <v>2</v>
      </c>
      <c r="CE117" s="309">
        <f>SUM(CE113:CE116)</f>
        <v>-8</v>
      </c>
      <c r="CF117" s="309">
        <f>SUM(CF113:CF116)</f>
        <v>97</v>
      </c>
      <c r="CG117" s="422"/>
      <c r="CH117" s="24"/>
      <c r="CI117" s="309">
        <f>SUM(CI113:CI116)</f>
        <v>0</v>
      </c>
      <c r="CJ117" s="309">
        <f>SUM(CJ113:CJ116)</f>
        <v>-32</v>
      </c>
      <c r="CK117" s="422"/>
      <c r="CL117" s="24"/>
      <c r="CM117" s="309">
        <f>SUM(CM113:CM116)</f>
        <v>6</v>
      </c>
      <c r="CN117" s="309">
        <f>SUM(CN113:CN116)</f>
        <v>0</v>
      </c>
      <c r="CO117" s="24"/>
      <c r="CP117" s="307"/>
      <c r="CQ117" s="307"/>
      <c r="CR117" s="24"/>
      <c r="CS117" s="24"/>
      <c r="CT117" s="305"/>
      <c r="CU117" s="24"/>
      <c r="CV117" s="24"/>
      <c r="CW117" s="305"/>
      <c r="CX117" s="24"/>
      <c r="CY117" s="24"/>
      <c r="CZ117" s="305"/>
      <c r="DA117" s="24"/>
      <c r="DB117" s="24"/>
      <c r="DC117" s="305"/>
      <c r="DD117" s="24"/>
      <c r="DE117" s="24"/>
      <c r="DF117" s="305"/>
      <c r="DG117" s="24"/>
      <c r="DH117" s="551">
        <f>+BG117+BK117+BT117+BY117+CD117+CI117+BO117+CM117</f>
        <v>52</v>
      </c>
      <c r="DI117" s="551">
        <f>+BH117+BL117+BU117+BZ117+CE117+CJ117+BP117+CN117+BV117+CA117+CF117</f>
        <v>-167</v>
      </c>
      <c r="DJ117" s="338"/>
      <c r="DK117" s="338"/>
      <c r="DL117" s="328"/>
      <c r="DM117">
        <v>2007</v>
      </c>
      <c r="DO117">
        <v>109</v>
      </c>
      <c r="DQ117">
        <v>0</v>
      </c>
    </row>
    <row r="118" spans="1:121" hidden="1" outlineLevel="1">
      <c r="A118" s="301"/>
      <c r="B118" s="312" t="str">
        <f>qtrSales!B137</f>
        <v>2007A</v>
      </c>
      <c r="C118" s="30"/>
      <c r="D118" s="30"/>
      <c r="E118" s="310"/>
      <c r="F118" s="30"/>
      <c r="G118" s="318"/>
      <c r="H118" s="318"/>
      <c r="I118" s="318"/>
      <c r="J118" s="429"/>
      <c r="K118" s="319"/>
      <c r="L118" s="429"/>
      <c r="M118" s="310"/>
      <c r="N118" s="309"/>
      <c r="O118" s="310"/>
      <c r="P118" s="309"/>
      <c r="Q118" s="30"/>
      <c r="R118" s="30"/>
      <c r="S118" s="429"/>
      <c r="T118" s="429"/>
      <c r="U118" s="310"/>
      <c r="V118" s="30"/>
      <c r="W118" s="318"/>
      <c r="X118" s="318"/>
      <c r="Y118" s="318"/>
      <c r="Z118" s="30"/>
      <c r="AA118" s="318"/>
      <c r="AB118" s="30"/>
      <c r="AC118" s="310"/>
      <c r="AD118" s="30"/>
      <c r="AE118" s="310"/>
      <c r="AF118" s="30"/>
      <c r="AG118" s="310"/>
      <c r="AH118" s="30"/>
      <c r="AI118" s="310"/>
      <c r="AJ118" s="30"/>
      <c r="AK118" s="310"/>
      <c r="AL118" s="30"/>
      <c r="AM118" s="310"/>
      <c r="AN118" s="30"/>
      <c r="AO118" s="310"/>
      <c r="AP118" s="30"/>
      <c r="AQ118" s="451"/>
      <c r="AR118" s="310"/>
      <c r="AS118" s="310"/>
      <c r="AT118" s="141"/>
      <c r="AU118" s="27" t="str">
        <f>+B118</f>
        <v>2007A</v>
      </c>
      <c r="AV118" s="30"/>
      <c r="AW118" s="30"/>
      <c r="AX118" s="310"/>
      <c r="AY118" s="310"/>
      <c r="AZ118" s="30"/>
      <c r="BA118" s="318"/>
      <c r="BB118" s="310"/>
      <c r="BC118" s="318"/>
      <c r="BD118" s="318"/>
      <c r="BE118" s="318"/>
      <c r="BF118" s="310"/>
      <c r="BG118" s="30"/>
      <c r="BH118" s="318"/>
      <c r="BI118" s="318"/>
      <c r="BJ118" s="310"/>
      <c r="BK118" s="30"/>
      <c r="BL118" s="318"/>
      <c r="BM118" s="318"/>
      <c r="BN118" s="310"/>
      <c r="BO118" s="30"/>
      <c r="BP118" s="318"/>
      <c r="BQ118" s="318"/>
      <c r="BR118" s="318"/>
      <c r="BS118" s="310"/>
      <c r="BT118" s="30"/>
      <c r="BU118" s="318"/>
      <c r="BV118" s="318"/>
      <c r="BW118" s="318"/>
      <c r="BX118" s="310"/>
      <c r="BY118" s="30"/>
      <c r="BZ118" s="318"/>
      <c r="CA118" s="318"/>
      <c r="CB118" s="318"/>
      <c r="CC118" s="310"/>
      <c r="CD118" s="309"/>
      <c r="CE118" s="318"/>
      <c r="CF118" s="318"/>
      <c r="CG118" s="318"/>
      <c r="CH118" s="310"/>
      <c r="CI118" s="30"/>
      <c r="CJ118" s="318"/>
      <c r="CK118" s="318"/>
      <c r="CL118" s="310"/>
      <c r="CM118" s="30"/>
      <c r="CN118" s="318"/>
      <c r="CO118" s="310"/>
      <c r="CP118" s="30"/>
      <c r="CQ118" s="318"/>
      <c r="CR118" s="310"/>
      <c r="CS118" s="30"/>
      <c r="CT118" s="318"/>
      <c r="CU118" s="310"/>
      <c r="CV118" s="30"/>
      <c r="CW118" s="318"/>
      <c r="CX118" s="310"/>
      <c r="CY118" s="30"/>
      <c r="CZ118" s="318"/>
      <c r="DA118" s="310"/>
      <c r="DB118" s="30"/>
      <c r="DC118" s="318"/>
      <c r="DD118" s="310"/>
      <c r="DE118" s="30"/>
      <c r="DF118" s="318"/>
      <c r="DG118" s="310"/>
      <c r="DH118" s="307"/>
      <c r="DI118" s="307"/>
      <c r="DJ118" s="307"/>
      <c r="DK118" s="307"/>
      <c r="DL118" s="307"/>
      <c r="DM118">
        <v>2008</v>
      </c>
      <c r="DO118">
        <v>67</v>
      </c>
      <c r="DQ118">
        <v>0</v>
      </c>
    </row>
    <row r="119" spans="1:121" hidden="1" outlineLevel="1">
      <c r="A119" s="30" t="str">
        <f>+qtrSales!A138</f>
        <v>1Q</v>
      </c>
      <c r="B119" s="30" t="str">
        <f>+qtrSales!B138</f>
        <v>Apr</v>
      </c>
      <c r="C119" s="30"/>
      <c r="D119" s="307"/>
      <c r="E119" s="308"/>
      <c r="F119" s="307"/>
      <c r="G119" s="317"/>
      <c r="H119" s="325">
        <f>+H116+BC119+BD119</f>
        <v>301</v>
      </c>
      <c r="I119" s="653" t="s">
        <v>520</v>
      </c>
      <c r="J119" s="325">
        <f>+J116+BG119+BH119</f>
        <v>1003</v>
      </c>
      <c r="K119" s="308">
        <f>+(J119/J113-1)*100</f>
        <v>0.90543259557342992</v>
      </c>
      <c r="L119" s="325">
        <f>+L116+BK119+BL119</f>
        <v>1540</v>
      </c>
      <c r="M119" s="308">
        <f>+(L119/L113-1)*100</f>
        <v>-0.9009009009009028</v>
      </c>
      <c r="N119" s="309">
        <f>+N116+BT119+BU119+BV119</f>
        <v>150</v>
      </c>
      <c r="O119" s="308">
        <f>+(N119/N113-1)*100</f>
        <v>-49.152542372881349</v>
      </c>
      <c r="P119" s="309">
        <f>+P116+BY119+BZ119+CA119</f>
        <v>59</v>
      </c>
      <c r="Q119" s="307"/>
      <c r="R119" s="309">
        <f>+R116+CD119+CF119+CE119</f>
        <v>422</v>
      </c>
      <c r="S119" s="474"/>
      <c r="T119" s="309">
        <f>+T116+CI119+CJ119</f>
        <v>253</v>
      </c>
      <c r="U119" s="308">
        <f>+(T119/T113-1)*100</f>
        <v>-12.152777777777779</v>
      </c>
      <c r="V119" s="309">
        <f>+V116+BO119</f>
        <v>2</v>
      </c>
      <c r="W119" s="317">
        <f>+(V119/V113-1)*100</f>
        <v>0</v>
      </c>
      <c r="X119" s="317"/>
      <c r="Y119" s="317"/>
      <c r="Z119" s="309">
        <f>+Z116+CM119-CN119</f>
        <v>6</v>
      </c>
      <c r="AA119" s="317"/>
      <c r="AB119" s="307"/>
      <c r="AC119" s="308"/>
      <c r="AD119" s="307"/>
      <c r="AE119" s="308"/>
      <c r="AF119" s="307"/>
      <c r="AG119" s="308"/>
      <c r="AH119" s="307"/>
      <c r="AI119" s="308"/>
      <c r="AJ119" s="307"/>
      <c r="AK119" s="308"/>
      <c r="AL119" s="307"/>
      <c r="AM119" s="308"/>
      <c r="AN119" s="307"/>
      <c r="AO119" s="308"/>
      <c r="AP119" s="30"/>
      <c r="AQ119" s="451">
        <f>H119+J119+L119+N119+P119+R119+T119+V119+Z119</f>
        <v>3736</v>
      </c>
      <c r="AR119" s="308">
        <f>+(AQ119/AQ113-1)*100</f>
        <v>4.9733071087384007</v>
      </c>
      <c r="AS119" s="308"/>
      <c r="AT119" s="30" t="str">
        <f>+A119</f>
        <v>1Q</v>
      </c>
      <c r="AU119" s="30" t="str">
        <f>+B119</f>
        <v>Apr</v>
      </c>
      <c r="AV119" s="30"/>
      <c r="AW119" s="307"/>
      <c r="AX119" s="308"/>
      <c r="AY119" s="308"/>
      <c r="AZ119" s="307"/>
      <c r="BA119" s="317"/>
      <c r="BB119" s="308"/>
      <c r="BC119" s="307">
        <v>13</v>
      </c>
      <c r="BD119" s="307">
        <v>-3</v>
      </c>
      <c r="BE119" s="307"/>
      <c r="BF119" s="308"/>
      <c r="BG119" s="307">
        <v>5</v>
      </c>
      <c r="BH119" s="307">
        <v>-5</v>
      </c>
      <c r="BI119" s="307"/>
      <c r="BJ119" s="308"/>
      <c r="BK119" s="307">
        <v>3</v>
      </c>
      <c r="BL119" s="307">
        <v>-9</v>
      </c>
      <c r="BM119" s="317"/>
      <c r="BN119" s="308"/>
      <c r="BO119" s="321">
        <v>0</v>
      </c>
      <c r="BP119" s="321">
        <v>0</v>
      </c>
      <c r="BQ119" s="321"/>
      <c r="BR119" s="321"/>
      <c r="BS119" s="308"/>
      <c r="BT119" s="307">
        <v>0</v>
      </c>
      <c r="BU119" s="307">
        <v>-13</v>
      </c>
      <c r="BV119" s="307">
        <v>-32</v>
      </c>
      <c r="BW119" s="317"/>
      <c r="BX119" s="308"/>
      <c r="BY119" s="307">
        <v>0</v>
      </c>
      <c r="BZ119" s="307">
        <v>-10</v>
      </c>
      <c r="CA119" s="307">
        <v>0</v>
      </c>
      <c r="CB119" s="317"/>
      <c r="CC119" s="308"/>
      <c r="CD119" s="307">
        <v>0</v>
      </c>
      <c r="CE119" s="307">
        <v>-4</v>
      </c>
      <c r="CF119" s="307">
        <v>32</v>
      </c>
      <c r="CG119" s="317"/>
      <c r="CH119" s="308"/>
      <c r="CI119" s="307">
        <v>0</v>
      </c>
      <c r="CJ119" s="307">
        <v>-7</v>
      </c>
      <c r="CK119" s="317"/>
      <c r="CL119" s="308"/>
      <c r="CM119" s="321">
        <v>0</v>
      </c>
      <c r="CN119" s="321">
        <v>0</v>
      </c>
      <c r="CO119" s="308"/>
      <c r="CP119" s="321"/>
      <c r="CQ119" s="317"/>
      <c r="CR119" s="308"/>
      <c r="CS119" s="321"/>
      <c r="CT119" s="317"/>
      <c r="CU119" s="308"/>
      <c r="CV119" s="321"/>
      <c r="CW119" s="317"/>
      <c r="CX119" s="308"/>
      <c r="CY119" s="321"/>
      <c r="CZ119" s="317"/>
      <c r="DA119" s="308"/>
      <c r="DB119" s="321"/>
      <c r="DC119" s="317"/>
      <c r="DD119" s="308"/>
      <c r="DE119" s="321"/>
      <c r="DF119" s="317"/>
      <c r="DG119" s="308"/>
      <c r="DH119" s="321"/>
      <c r="DI119" s="321"/>
      <c r="DJ119" s="321"/>
      <c r="DK119" s="321"/>
      <c r="DL119" s="321"/>
      <c r="DM119">
        <v>2009</v>
      </c>
      <c r="DO119">
        <v>21</v>
      </c>
      <c r="DQ119">
        <v>1</v>
      </c>
    </row>
    <row r="120" spans="1:121" hidden="1" outlineLevel="1">
      <c r="A120" s="30" t="str">
        <f>+qtrSales!A139</f>
        <v>2Q</v>
      </c>
      <c r="B120" s="30" t="str">
        <f>+qtrSales!B139</f>
        <v>Jul</v>
      </c>
      <c r="C120" s="30"/>
      <c r="D120" s="307"/>
      <c r="E120" s="308"/>
      <c r="F120" s="307"/>
      <c r="G120" s="317"/>
      <c r="H120" s="325">
        <f>+H119+BC120+BD120</f>
        <v>302</v>
      </c>
      <c r="I120" s="653" t="s">
        <v>520</v>
      </c>
      <c r="J120" s="325">
        <f>+J119+BG120+BH120</f>
        <v>1006</v>
      </c>
      <c r="K120" s="308">
        <f>+(J120/J114-1)*100</f>
        <v>1.5136226034308864</v>
      </c>
      <c r="L120" s="325">
        <f>+L119+BK120+BL120</f>
        <v>1544</v>
      </c>
      <c r="M120" s="308">
        <f>+(L120/L114-1)*100</f>
        <v>-0.32278889606197625</v>
      </c>
      <c r="N120" s="751">
        <f>+N119+BT120+BU120+BV120</f>
        <v>91</v>
      </c>
      <c r="O120" s="752">
        <f>+(N120/N114-1)*100</f>
        <v>-59.911894273127743</v>
      </c>
      <c r="P120" s="751">
        <f>+P119+BY120+BZ120+CA120</f>
        <v>48</v>
      </c>
      <c r="Q120" s="751"/>
      <c r="R120" s="751">
        <f>+R119+CD120+CF120+CE120</f>
        <v>472</v>
      </c>
      <c r="S120" s="752"/>
      <c r="T120" s="751">
        <f>+T119+CI120+CJ120</f>
        <v>246</v>
      </c>
      <c r="U120" s="308">
        <f>+(T120/T114-1)*100</f>
        <v>-11.191335740072205</v>
      </c>
      <c r="V120" s="309">
        <f>+V119+BO120-BP120</f>
        <v>2</v>
      </c>
      <c r="W120" s="317">
        <f>+(V120/V114-1)*100</f>
        <v>0</v>
      </c>
      <c r="X120" s="317"/>
      <c r="Y120" s="317"/>
      <c r="Z120" s="828">
        <f>+Z119+CM120+CN120</f>
        <v>0</v>
      </c>
      <c r="AA120" s="317"/>
      <c r="AB120" s="307"/>
      <c r="AC120" s="308"/>
      <c r="AD120" s="307"/>
      <c r="AE120" s="308"/>
      <c r="AF120" s="307"/>
      <c r="AG120" s="308"/>
      <c r="AH120" s="307"/>
      <c r="AI120" s="308"/>
      <c r="AJ120" s="307"/>
      <c r="AK120" s="308"/>
      <c r="AL120" s="307"/>
      <c r="AM120" s="308"/>
      <c r="AN120" s="307"/>
      <c r="AO120" s="308"/>
      <c r="AP120" s="530"/>
      <c r="AQ120" s="451">
        <f>H120+J120+L120+V120</f>
        <v>2854</v>
      </c>
      <c r="AR120" s="308">
        <f>+(AQ120/AQ114-1)*100</f>
        <v>-18.897414038078995</v>
      </c>
      <c r="AS120" s="308"/>
      <c r="AT120" s="30" t="str">
        <f>+A120</f>
        <v>2Q</v>
      </c>
      <c r="AU120" s="30" t="str">
        <f>+B120</f>
        <v>Jul</v>
      </c>
      <c r="AV120" s="30"/>
      <c r="AW120" s="307"/>
      <c r="AX120" s="308"/>
      <c r="AY120" s="308"/>
      <c r="AZ120" s="307"/>
      <c r="BA120" s="317"/>
      <c r="BB120" s="308"/>
      <c r="BC120" s="307">
        <v>1</v>
      </c>
      <c r="BD120" s="307">
        <v>0</v>
      </c>
      <c r="BE120" s="307"/>
      <c r="BF120" s="308"/>
      <c r="BG120" s="307">
        <v>7</v>
      </c>
      <c r="BH120" s="307">
        <v>-4</v>
      </c>
      <c r="BI120" s="307"/>
      <c r="BJ120" s="308"/>
      <c r="BK120" s="307">
        <v>7</v>
      </c>
      <c r="BL120" s="307">
        <v>-3</v>
      </c>
      <c r="BM120" s="317"/>
      <c r="BN120" s="308"/>
      <c r="BO120" s="321">
        <v>0</v>
      </c>
      <c r="BP120" s="321">
        <v>0</v>
      </c>
      <c r="BQ120" s="321"/>
      <c r="BR120" s="321"/>
      <c r="BS120" s="308"/>
      <c r="BT120" s="307">
        <v>0</v>
      </c>
      <c r="BU120" s="307">
        <v>-7</v>
      </c>
      <c r="BV120" s="307">
        <v>-52</v>
      </c>
      <c r="BW120" s="317"/>
      <c r="BX120" s="308"/>
      <c r="BY120" s="307">
        <v>0</v>
      </c>
      <c r="BZ120" s="307">
        <v>-11</v>
      </c>
      <c r="CA120" s="307">
        <v>0</v>
      </c>
      <c r="CB120" s="317"/>
      <c r="CC120" s="308"/>
      <c r="CD120" s="307">
        <v>0</v>
      </c>
      <c r="CE120" s="307">
        <v>-2</v>
      </c>
      <c r="CF120" s="307">
        <v>52</v>
      </c>
      <c r="CG120" s="317"/>
      <c r="CH120" s="308"/>
      <c r="CI120" s="307">
        <v>0</v>
      </c>
      <c r="CJ120" s="307">
        <v>-7</v>
      </c>
      <c r="CK120" s="317"/>
      <c r="CL120" s="308"/>
      <c r="CM120" s="321">
        <v>0</v>
      </c>
      <c r="CN120" s="321">
        <v>-6</v>
      </c>
      <c r="CO120" s="308"/>
      <c r="CP120" s="321"/>
      <c r="CQ120" s="317"/>
      <c r="CR120" s="308"/>
      <c r="CS120" s="321"/>
      <c r="CT120" s="317"/>
      <c r="CU120" s="308"/>
      <c r="CV120" s="321"/>
      <c r="CW120" s="317"/>
      <c r="CX120" s="308"/>
      <c r="CY120" s="321"/>
      <c r="CZ120" s="317"/>
      <c r="DA120" s="308"/>
      <c r="DB120" s="321"/>
      <c r="DC120" s="317"/>
      <c r="DD120" s="308"/>
      <c r="DE120" s="321"/>
      <c r="DF120" s="317"/>
      <c r="DG120" s="308"/>
      <c r="DH120" s="321"/>
      <c r="DI120" s="321"/>
      <c r="DJ120" s="321"/>
      <c r="DK120" s="321"/>
      <c r="DL120" s="321"/>
      <c r="DM120">
        <v>2010</v>
      </c>
      <c r="DO120">
        <v>21</v>
      </c>
      <c r="DQ120">
        <v>0</v>
      </c>
    </row>
    <row r="121" spans="1:121" hidden="1" outlineLevel="1">
      <c r="A121" s="30" t="str">
        <f>+qtrSales!A140</f>
        <v>3Q</v>
      </c>
      <c r="B121" s="30" t="str">
        <f>+qtrSales!B140</f>
        <v>Oct</v>
      </c>
      <c r="C121" s="30"/>
      <c r="D121" s="307"/>
      <c r="E121" s="308"/>
      <c r="F121" s="307"/>
      <c r="G121" s="317"/>
      <c r="H121" s="309">
        <f>+H120+BC121+BD121</f>
        <v>307</v>
      </c>
      <c r="I121" s="653" t="s">
        <v>520</v>
      </c>
      <c r="J121" s="325">
        <f>+J120+BG121+BH121</f>
        <v>1019</v>
      </c>
      <c r="K121" s="308">
        <f>+(J121/J115-1)*100</f>
        <v>1.7982017982018039</v>
      </c>
      <c r="L121" s="325">
        <f>+L120+BK121+BL121</f>
        <v>1590</v>
      </c>
      <c r="M121" s="308">
        <f>+(L121/L115-1)*100</f>
        <v>2.3824855119124244</v>
      </c>
      <c r="N121" s="751">
        <f>+N120+BT121+BU121+BV121</f>
        <v>86</v>
      </c>
      <c r="O121" s="752">
        <f>+(N121/N115-1)*100</f>
        <v>-61.261261261261254</v>
      </c>
      <c r="P121" s="751">
        <f>+P120+BY121+BZ121+CA121</f>
        <v>45</v>
      </c>
      <c r="Q121" s="751"/>
      <c r="R121" s="751">
        <f>+R120+CD121+CF121+CE121</f>
        <v>473</v>
      </c>
      <c r="S121" s="752"/>
      <c r="T121" s="751">
        <f>+T120+CI121+CJ121</f>
        <v>245</v>
      </c>
      <c r="U121" s="308">
        <f>+(T121/T115-1)*100</f>
        <v>-11.231884057971019</v>
      </c>
      <c r="V121" s="309">
        <f>+V120+BO121-BP121</f>
        <v>2</v>
      </c>
      <c r="W121" s="317">
        <f>+(V121/V115-1)*100</f>
        <v>0</v>
      </c>
      <c r="X121" s="317"/>
      <c r="Y121" s="317"/>
      <c r="Z121" s="828">
        <f>+Z120+CM121-CN121</f>
        <v>0</v>
      </c>
      <c r="AA121" s="317"/>
      <c r="AB121" s="307"/>
      <c r="AC121" s="308"/>
      <c r="AD121" s="307"/>
      <c r="AE121" s="308"/>
      <c r="AF121" s="307"/>
      <c r="AG121" s="308"/>
      <c r="AH121" s="307"/>
      <c r="AI121" s="308"/>
      <c r="AJ121" s="307"/>
      <c r="AK121" s="308"/>
      <c r="AL121" s="307"/>
      <c r="AM121" s="308"/>
      <c r="AN121" s="307"/>
      <c r="AO121" s="308"/>
      <c r="AP121" s="30"/>
      <c r="AQ121" s="451">
        <f>H121+J121+L121+V121</f>
        <v>2918</v>
      </c>
      <c r="AR121" s="308">
        <f>+(AQ121/AQ115-1)*100</f>
        <v>-17.430673457838143</v>
      </c>
      <c r="AS121" s="308"/>
      <c r="AT121" s="30" t="str">
        <f>+A121</f>
        <v>3Q</v>
      </c>
      <c r="AU121" s="30" t="str">
        <f>+B121</f>
        <v>Oct</v>
      </c>
      <c r="AV121" s="30"/>
      <c r="AW121" s="307"/>
      <c r="AX121" s="308"/>
      <c r="AY121" s="308"/>
      <c r="AZ121" s="307"/>
      <c r="BA121" s="317"/>
      <c r="BB121" s="308"/>
      <c r="BC121" s="307">
        <v>6</v>
      </c>
      <c r="BD121" s="307">
        <v>-1</v>
      </c>
      <c r="BE121" s="307"/>
      <c r="BF121" s="308"/>
      <c r="BG121" s="307">
        <v>17</v>
      </c>
      <c r="BH121" s="307">
        <v>-4</v>
      </c>
      <c r="BI121" s="307"/>
      <c r="BJ121" s="308"/>
      <c r="BK121" s="307">
        <v>48</v>
      </c>
      <c r="BL121" s="307">
        <v>-2</v>
      </c>
      <c r="BM121" s="317"/>
      <c r="BN121" s="308"/>
      <c r="BO121" s="321">
        <v>0</v>
      </c>
      <c r="BP121" s="321">
        <v>0</v>
      </c>
      <c r="BQ121" s="321"/>
      <c r="BR121" s="321"/>
      <c r="BS121" s="308"/>
      <c r="BT121" s="307">
        <v>0</v>
      </c>
      <c r="BU121" s="307">
        <v>-3</v>
      </c>
      <c r="BV121" s="307">
        <v>-2</v>
      </c>
      <c r="BW121" s="317"/>
      <c r="BX121" s="308"/>
      <c r="BY121" s="307">
        <v>0</v>
      </c>
      <c r="BZ121" s="307">
        <v>-3</v>
      </c>
      <c r="CA121" s="307">
        <v>0</v>
      </c>
      <c r="CB121" s="317"/>
      <c r="CC121" s="308"/>
      <c r="CD121" s="307">
        <v>1</v>
      </c>
      <c r="CE121" s="307">
        <v>-2</v>
      </c>
      <c r="CF121" s="307">
        <v>2</v>
      </c>
      <c r="CG121" s="317"/>
      <c r="CH121" s="308"/>
      <c r="CI121" s="307">
        <v>0</v>
      </c>
      <c r="CJ121" s="307">
        <v>-1</v>
      </c>
      <c r="CK121" s="317"/>
      <c r="CL121" s="308"/>
      <c r="CM121" s="321">
        <v>0</v>
      </c>
      <c r="CN121" s="321">
        <v>0</v>
      </c>
      <c r="CO121" s="308"/>
      <c r="CP121" s="321"/>
      <c r="CQ121" s="317"/>
      <c r="CR121" s="308"/>
      <c r="CS121" s="321"/>
      <c r="CT121" s="317"/>
      <c r="CU121" s="308"/>
      <c r="CV121" s="321"/>
      <c r="CW121" s="317"/>
      <c r="CX121" s="308"/>
      <c r="CY121" s="321"/>
      <c r="CZ121" s="317"/>
      <c r="DA121" s="308"/>
      <c r="DB121" s="321"/>
      <c r="DC121" s="317"/>
      <c r="DD121" s="308"/>
      <c r="DE121" s="321"/>
      <c r="DF121" s="317"/>
      <c r="DG121" s="308"/>
      <c r="DH121" s="321"/>
      <c r="DI121" s="321"/>
      <c r="DJ121" s="321"/>
      <c r="DK121" s="321"/>
      <c r="DL121" s="321"/>
      <c r="DM121">
        <v>2011</v>
      </c>
      <c r="DO121">
        <v>31</v>
      </c>
      <c r="DQ121">
        <v>0</v>
      </c>
    </row>
    <row r="122" spans="1:121" hidden="1" outlineLevel="1">
      <c r="A122" s="30" t="str">
        <f>+qtrSales!A141</f>
        <v>4Q</v>
      </c>
      <c r="B122" s="30" t="str">
        <f>+qtrSales!B141</f>
        <v>Jan</v>
      </c>
      <c r="C122" s="339"/>
      <c r="D122" s="307"/>
      <c r="E122" s="308"/>
      <c r="F122" s="307"/>
      <c r="G122" s="317"/>
      <c r="H122" s="309">
        <f>+H121+BC122+BD122</f>
        <v>312</v>
      </c>
      <c r="I122" s="308">
        <f>+(H122/H116-1)*100</f>
        <v>7.2164948453608213</v>
      </c>
      <c r="J122" s="325">
        <f>+J121+BG122+BH122</f>
        <v>1020</v>
      </c>
      <c r="K122" s="308">
        <f>+(J122/J116-1)*100</f>
        <v>1.6949152542372836</v>
      </c>
      <c r="L122" s="325">
        <f>+L121+BK122+BL122</f>
        <v>1592</v>
      </c>
      <c r="M122" s="308">
        <f>+(L122/L116-1)*100</f>
        <v>2.9754204398447559</v>
      </c>
      <c r="N122" s="751">
        <f>+N121+BT122+BU122+BV122</f>
        <v>75</v>
      </c>
      <c r="O122" s="752">
        <f>+(N122/N116-1)*100</f>
        <v>-61.53846153846154</v>
      </c>
      <c r="P122" s="751">
        <f>+P121+BY122+BZ122+CA122</f>
        <v>39</v>
      </c>
      <c r="Q122" s="751"/>
      <c r="R122" s="751">
        <f>+R121+CD122+CF122+CE122</f>
        <v>469</v>
      </c>
      <c r="S122" s="752"/>
      <c r="T122" s="751">
        <f>+T121+CI122+CJ122</f>
        <v>233</v>
      </c>
      <c r="U122" s="308">
        <f>+(T122/T116-1)*100</f>
        <v>-10.384615384615381</v>
      </c>
      <c r="V122" s="309">
        <f>+V121+BO122-BP122</f>
        <v>2</v>
      </c>
      <c r="W122" s="317">
        <f>+(V122/V116-1)*100</f>
        <v>0</v>
      </c>
      <c r="X122" s="317"/>
      <c r="Y122" s="317"/>
      <c r="Z122" s="828">
        <f>+Z121+CM122-CN122</f>
        <v>0</v>
      </c>
      <c r="AA122" s="317"/>
      <c r="AB122" s="307"/>
      <c r="AC122" s="308"/>
      <c r="AD122" s="307"/>
      <c r="AE122" s="308"/>
      <c r="AF122" s="307"/>
      <c r="AG122" s="308"/>
      <c r="AH122" s="307"/>
      <c r="AI122" s="308"/>
      <c r="AJ122" s="307"/>
      <c r="AK122" s="308"/>
      <c r="AL122" s="307"/>
      <c r="AM122" s="308"/>
      <c r="AN122" s="307"/>
      <c r="AO122" s="308"/>
      <c r="AP122" s="530"/>
      <c r="AQ122" s="451">
        <f>H122+J122+L122+V122</f>
        <v>2926</v>
      </c>
      <c r="AR122" s="308">
        <f>+(AQ122/AQ116-1)*100</f>
        <v>-22.304832713754653</v>
      </c>
      <c r="AS122" s="308"/>
      <c r="AT122" s="30" t="str">
        <f>+A122</f>
        <v>4Q</v>
      </c>
      <c r="AU122" s="30" t="str">
        <f>+B122</f>
        <v>Jan</v>
      </c>
      <c r="AV122" s="30"/>
      <c r="AW122" s="302"/>
      <c r="AX122" s="302"/>
      <c r="AY122" s="308"/>
      <c r="AZ122" s="302"/>
      <c r="BA122" s="302"/>
      <c r="BB122" s="308"/>
      <c r="BC122" s="302">
        <v>6</v>
      </c>
      <c r="BD122" s="302">
        <v>-1</v>
      </c>
      <c r="BE122" s="307"/>
      <c r="BF122" s="308"/>
      <c r="BG122" s="302">
        <v>7</v>
      </c>
      <c r="BH122" s="302">
        <v>-6</v>
      </c>
      <c r="BI122" s="338"/>
      <c r="BJ122" s="308"/>
      <c r="BK122" s="302">
        <v>9</v>
      </c>
      <c r="BL122" s="302">
        <v>-7</v>
      </c>
      <c r="BM122" s="302"/>
      <c r="BN122" s="308"/>
      <c r="BO122" s="302">
        <v>0</v>
      </c>
      <c r="BP122" s="302">
        <v>0</v>
      </c>
      <c r="BQ122" s="307"/>
      <c r="BR122" s="307"/>
      <c r="BS122" s="308"/>
      <c r="BT122" s="302">
        <v>0</v>
      </c>
      <c r="BU122" s="302">
        <v>-9</v>
      </c>
      <c r="BV122" s="302">
        <v>-2</v>
      </c>
      <c r="BW122" s="302"/>
      <c r="BX122" s="308"/>
      <c r="BY122" s="302">
        <v>0</v>
      </c>
      <c r="BZ122" s="302">
        <v>-6</v>
      </c>
      <c r="CA122" s="302">
        <v>0</v>
      </c>
      <c r="CB122" s="302"/>
      <c r="CC122" s="308"/>
      <c r="CD122" s="302">
        <v>1</v>
      </c>
      <c r="CE122" s="302">
        <v>-7</v>
      </c>
      <c r="CF122" s="302">
        <v>2</v>
      </c>
      <c r="CG122" s="302"/>
      <c r="CH122" s="308"/>
      <c r="CI122" s="302">
        <v>0</v>
      </c>
      <c r="CJ122" s="302">
        <v>-12</v>
      </c>
      <c r="CK122" s="302"/>
      <c r="CL122" s="308"/>
      <c r="CM122" s="302">
        <v>0</v>
      </c>
      <c r="CN122" s="302">
        <v>0</v>
      </c>
      <c r="CO122" s="308"/>
      <c r="CP122" s="302"/>
      <c r="CQ122" s="302"/>
      <c r="CR122" s="308"/>
      <c r="CS122" s="302"/>
      <c r="CT122" s="302"/>
      <c r="CU122" s="308"/>
      <c r="CV122" s="302"/>
      <c r="CW122" s="302"/>
      <c r="CX122" s="308"/>
      <c r="CY122" s="302"/>
      <c r="CZ122" s="302"/>
      <c r="DA122" s="308"/>
      <c r="DB122" s="302"/>
      <c r="DC122" s="302"/>
      <c r="DD122" s="308"/>
      <c r="DE122" s="302"/>
      <c r="DF122" s="302"/>
      <c r="DG122" s="308"/>
      <c r="DH122" s="306"/>
      <c r="DI122" s="306"/>
      <c r="DJ122" s="306"/>
      <c r="DK122" s="306"/>
      <c r="DL122" s="321"/>
    </row>
    <row r="123" spans="1:121" hidden="1" outlineLevel="1">
      <c r="A123" s="24"/>
      <c r="B123" s="24"/>
      <c r="C123" s="24"/>
      <c r="D123" s="24"/>
      <c r="E123" s="24"/>
      <c r="F123" s="24"/>
      <c r="G123" s="305"/>
      <c r="H123" s="428"/>
      <c r="I123" s="308"/>
      <c r="J123" s="629"/>
      <c r="K123" s="305"/>
      <c r="L123" s="428"/>
      <c r="M123" s="24"/>
      <c r="N123" s="428"/>
      <c r="O123" s="24"/>
      <c r="P123" s="428"/>
      <c r="Q123" s="24"/>
      <c r="R123" s="428"/>
      <c r="S123" s="24"/>
      <c r="T123" s="629"/>
      <c r="U123" s="24"/>
      <c r="V123" s="428"/>
      <c r="W123" s="305"/>
      <c r="X123" s="305"/>
      <c r="Y123" s="305"/>
      <c r="Z123" s="829"/>
      <c r="AA123" s="305"/>
      <c r="AB123" s="24"/>
      <c r="AC123" s="24"/>
      <c r="AD123" s="24"/>
      <c r="AE123" s="24"/>
      <c r="AF123" s="30"/>
      <c r="AG123" s="30"/>
      <c r="AH123" s="30"/>
      <c r="AI123" s="30"/>
      <c r="AJ123" s="30"/>
      <c r="AK123" s="30"/>
      <c r="AL123" s="30"/>
      <c r="AM123" s="30"/>
      <c r="AN123" s="30"/>
      <c r="AO123" s="30"/>
      <c r="AP123" s="24"/>
      <c r="AQ123" s="574"/>
      <c r="AR123" s="30"/>
      <c r="AS123" s="30"/>
      <c r="AT123" s="24"/>
      <c r="AU123" s="24"/>
      <c r="AV123" s="24"/>
      <c r="AW123" s="24"/>
      <c r="AX123" s="24"/>
      <c r="AY123" s="24"/>
      <c r="AZ123" s="24"/>
      <c r="BA123" s="305"/>
      <c r="BB123" s="24"/>
      <c r="BC123" s="309">
        <f>SUM(BC119:BC122)</f>
        <v>26</v>
      </c>
      <c r="BD123" s="309">
        <f>SUM(BD119:BD122)</f>
        <v>-5</v>
      </c>
      <c r="BE123" s="309"/>
      <c r="BF123" s="24"/>
      <c r="BG123" s="309">
        <f>SUM(BG119:BG122)</f>
        <v>36</v>
      </c>
      <c r="BH123" s="309">
        <f>SUM(BH119:BH122)</f>
        <v>-19</v>
      </c>
      <c r="BI123" s="422">
        <v>109</v>
      </c>
      <c r="BJ123" s="24"/>
      <c r="BK123" s="309">
        <f>SUM(BK119:BK122)</f>
        <v>67</v>
      </c>
      <c r="BL123" s="309">
        <f>SUM(BL119:BL122)</f>
        <v>-21</v>
      </c>
      <c r="BM123" s="24"/>
      <c r="BN123" s="24"/>
      <c r="BO123" s="309">
        <f>SUM(BO119:BO122)</f>
        <v>0</v>
      </c>
      <c r="BP123" s="309">
        <f>SUM(BP119:BP122)</f>
        <v>0</v>
      </c>
      <c r="BQ123" s="309"/>
      <c r="BR123" s="309"/>
      <c r="BS123" s="24"/>
      <c r="BT123" s="309">
        <f>SUM(BT119:BT122)</f>
        <v>0</v>
      </c>
      <c r="BU123" s="309">
        <f>SUM(BU119:BU122)</f>
        <v>-32</v>
      </c>
      <c r="BV123" s="309">
        <f>SUM(BV119:BV122)</f>
        <v>-88</v>
      </c>
      <c r="BW123" s="24"/>
      <c r="BX123" s="24"/>
      <c r="BY123" s="309">
        <f>SUM(BY119:BY122)</f>
        <v>0</v>
      </c>
      <c r="BZ123" s="309">
        <f>SUM(BZ119:BZ122)</f>
        <v>-30</v>
      </c>
      <c r="CA123" s="309">
        <f>SUM(CA119:CA122)</f>
        <v>0</v>
      </c>
      <c r="CB123" s="24"/>
      <c r="CC123" s="24"/>
      <c r="CD123" s="309">
        <f>SUM(CD119:CD122)</f>
        <v>2</v>
      </c>
      <c r="CE123" s="309">
        <f>SUM(CE119:CE122)</f>
        <v>-15</v>
      </c>
      <c r="CF123" s="309">
        <f>SUM(CF119:CF122)</f>
        <v>88</v>
      </c>
      <c r="CG123" s="24"/>
      <c r="CH123" s="24"/>
      <c r="CI123" s="309">
        <f>SUM(CI119:CI122)</f>
        <v>0</v>
      </c>
      <c r="CJ123" s="309">
        <f>SUM(CJ119:CJ122)</f>
        <v>-27</v>
      </c>
      <c r="CK123" s="309"/>
      <c r="CL123" s="309"/>
      <c r="CM123" s="309">
        <f>SUM(CM119:CM122)</f>
        <v>0</v>
      </c>
      <c r="CN123" s="309">
        <f>SUM(CN119:CN122)</f>
        <v>-6</v>
      </c>
      <c r="CO123" s="309"/>
      <c r="CP123" s="24"/>
      <c r="CQ123" s="24"/>
      <c r="CR123" s="24"/>
      <c r="CS123" s="24"/>
      <c r="CT123" s="24"/>
      <c r="CU123" s="24"/>
      <c r="CV123" s="24"/>
      <c r="CW123" s="24"/>
      <c r="CX123" s="24"/>
      <c r="CY123" s="24"/>
      <c r="CZ123" s="24"/>
      <c r="DA123" s="24"/>
      <c r="DB123" s="24"/>
      <c r="DC123" s="24"/>
      <c r="DD123" s="24"/>
      <c r="DE123" s="24"/>
      <c r="DF123" s="24"/>
      <c r="DG123" s="24"/>
      <c r="DH123" s="551">
        <f>+BG123+BK123+BT123+BY123+CD123+CI123+BO123+CP123+CS123+CV123+CY123+DB123+DE123</f>
        <v>105</v>
      </c>
      <c r="DI123" s="551">
        <f>+BH123+BL123+BU123+BZ123+CE123+CJ123+BP123+CQ123+CT123+CW123+CZ123+DC123+DF123+CF123+CA123+BV123</f>
        <v>-144</v>
      </c>
      <c r="DJ123" s="383"/>
      <c r="DK123" s="383"/>
      <c r="DL123" s="30"/>
    </row>
    <row r="124" spans="1:121" hidden="1" outlineLevel="1">
      <c r="A124" s="301"/>
      <c r="B124" s="312" t="str">
        <f>qtrSales!B144</f>
        <v>2008A</v>
      </c>
      <c r="C124" s="30"/>
      <c r="D124" s="30"/>
      <c r="E124" s="310"/>
      <c r="F124" s="30"/>
      <c r="G124" s="318"/>
      <c r="H124" s="318"/>
      <c r="I124" s="308"/>
      <c r="J124" s="429"/>
      <c r="K124" s="319"/>
      <c r="L124" s="429"/>
      <c r="M124" s="310"/>
      <c r="N124" s="309"/>
      <c r="O124" s="310"/>
      <c r="P124" s="309"/>
      <c r="Q124" s="30"/>
      <c r="R124" s="30"/>
      <c r="S124" s="429"/>
      <c r="T124" s="429"/>
      <c r="U124" s="310"/>
      <c r="V124" s="30"/>
      <c r="W124" s="318"/>
      <c r="X124" s="318"/>
      <c r="Y124" s="318"/>
      <c r="Z124" s="830"/>
      <c r="AA124" s="318"/>
      <c r="AB124" s="30"/>
      <c r="AC124" s="310"/>
      <c r="AD124" s="30"/>
      <c r="AE124" s="310"/>
      <c r="AF124" s="30"/>
      <c r="AG124" s="310"/>
      <c r="AH124" s="30"/>
      <c r="AI124" s="310"/>
      <c r="AJ124" s="30"/>
      <c r="AK124" s="310"/>
      <c r="AL124" s="30"/>
      <c r="AM124" s="310"/>
      <c r="AN124" s="30"/>
      <c r="AO124" s="310"/>
      <c r="AP124" s="30"/>
      <c r="AQ124" s="451"/>
      <c r="AR124" s="310"/>
      <c r="AS124" s="310"/>
      <c r="AT124" s="141"/>
      <c r="AU124" s="27" t="str">
        <f>+B124</f>
        <v>2008A</v>
      </c>
      <c r="AV124" s="30"/>
      <c r="AW124" s="30"/>
      <c r="AX124" s="310"/>
      <c r="AY124" s="310"/>
      <c r="AZ124" s="30"/>
      <c r="BA124" s="318"/>
      <c r="BB124" s="310"/>
      <c r="BC124" s="318"/>
      <c r="BD124" s="318"/>
      <c r="BE124" s="318"/>
      <c r="BF124" s="310"/>
      <c r="BG124" s="30"/>
      <c r="BH124" s="318"/>
      <c r="BI124" s="318"/>
      <c r="BJ124" s="310"/>
      <c r="BK124" s="30"/>
      <c r="BL124" s="318"/>
      <c r="BM124" s="318"/>
      <c r="BN124" s="310"/>
      <c r="BO124" s="30"/>
      <c r="BP124" s="318"/>
      <c r="BQ124" s="318"/>
      <c r="BR124" s="318"/>
      <c r="BS124" s="310"/>
      <c r="BT124" s="30"/>
      <c r="BU124" s="318"/>
      <c r="BV124" s="318"/>
      <c r="BW124" s="318"/>
      <c r="BX124" s="310"/>
      <c r="BY124" s="30"/>
      <c r="BZ124" s="318"/>
      <c r="CA124" s="318"/>
      <c r="CB124" s="318"/>
      <c r="CC124" s="310"/>
      <c r="CD124" s="309"/>
      <c r="CE124" s="318"/>
      <c r="CF124" s="318"/>
      <c r="CG124" s="318"/>
      <c r="CH124" s="310"/>
      <c r="CI124" s="30"/>
      <c r="CJ124" s="318"/>
      <c r="CK124" s="318"/>
      <c r="CL124" s="310"/>
      <c r="CM124" s="30"/>
      <c r="CN124" s="318"/>
      <c r="CO124" s="310"/>
      <c r="CP124" s="30"/>
      <c r="CQ124" s="318"/>
      <c r="CR124" s="310"/>
      <c r="CS124" s="30"/>
      <c r="CT124" s="318"/>
      <c r="CU124" s="310"/>
      <c r="CV124" s="30"/>
      <c r="CW124" s="318"/>
      <c r="CX124" s="310"/>
      <c r="CY124" s="30"/>
      <c r="CZ124" s="318"/>
      <c r="DA124" s="310"/>
      <c r="DB124" s="30"/>
      <c r="DC124" s="318"/>
      <c r="DD124" s="310"/>
      <c r="DE124" s="30"/>
      <c r="DF124" s="318"/>
      <c r="DG124" s="310"/>
      <c r="DH124" s="307"/>
      <c r="DI124" s="307"/>
      <c r="DJ124" s="307"/>
      <c r="DK124" s="307"/>
      <c r="DL124" s="307"/>
      <c r="DO124" s="2913" t="s">
        <v>1299</v>
      </c>
      <c r="DP124" s="2913"/>
      <c r="DQ124" s="2913"/>
    </row>
    <row r="125" spans="1:121" hidden="1" outlineLevel="1">
      <c r="A125" s="30" t="str">
        <f>qtrSales!A145</f>
        <v>1Q</v>
      </c>
      <c r="B125" s="30" t="str">
        <f>qtrSales!B145</f>
        <v>Apr</v>
      </c>
      <c r="C125" s="30"/>
      <c r="D125" s="307"/>
      <c r="E125" s="308"/>
      <c r="F125" s="307"/>
      <c r="G125" s="317"/>
      <c r="H125" s="325">
        <f>+H122+BC125+BD125</f>
        <v>318</v>
      </c>
      <c r="I125" s="308">
        <f>+(H125/H119-1)*100</f>
        <v>5.6478405315614655</v>
      </c>
      <c r="J125" s="325">
        <f>+J122+BG125+BH125</f>
        <v>1028</v>
      </c>
      <c r="K125" s="308">
        <f>+(J125/J119-1)*100</f>
        <v>2.4925224327019047</v>
      </c>
      <c r="L125" s="325">
        <f>+L122+BK125+BL125</f>
        <v>1626</v>
      </c>
      <c r="M125" s="308">
        <f>+(L125/L119-1)*100</f>
        <v>5.5844155844155807</v>
      </c>
      <c r="N125" s="751">
        <f>+N122+BT125+BU125+BV125</f>
        <v>75</v>
      </c>
      <c r="O125" s="752">
        <f>+(N125/N119-1)*100</f>
        <v>-50</v>
      </c>
      <c r="P125" s="751">
        <f>+P123+BY125+BZ125+CA125</f>
        <v>0</v>
      </c>
      <c r="Q125" s="307"/>
      <c r="R125" s="751">
        <f>+R123+CD125+CF125+CE125</f>
        <v>0</v>
      </c>
      <c r="S125" s="474"/>
      <c r="T125" s="751">
        <f>+T123+CI125+CJ125</f>
        <v>0</v>
      </c>
      <c r="U125" s="755"/>
      <c r="V125" s="309">
        <f>+V122+BO125</f>
        <v>2</v>
      </c>
      <c r="W125" s="317">
        <f>+(V125/V119-1)*100</f>
        <v>0</v>
      </c>
      <c r="X125" s="317"/>
      <c r="Y125" s="317"/>
      <c r="Z125" s="828">
        <f>+Z122+CM125-CN125</f>
        <v>0</v>
      </c>
      <c r="AA125" s="317"/>
      <c r="AB125" s="307"/>
      <c r="AC125" s="308"/>
      <c r="AD125" s="307"/>
      <c r="AE125" s="308"/>
      <c r="AF125" s="307"/>
      <c r="AG125" s="308"/>
      <c r="AH125" s="307"/>
      <c r="AI125" s="308"/>
      <c r="AJ125" s="307"/>
      <c r="AK125" s="308"/>
      <c r="AL125" s="307"/>
      <c r="AM125" s="308"/>
      <c r="AN125" s="307"/>
      <c r="AO125" s="308"/>
      <c r="AP125" s="30"/>
      <c r="AQ125" s="451">
        <f>H125+J125+L125+V125</f>
        <v>2974</v>
      </c>
      <c r="AR125" s="308">
        <f>+(AQ125/AQ119-1)*100</f>
        <v>-20.396145610278371</v>
      </c>
      <c r="AS125" s="308"/>
      <c r="AT125" s="30" t="str">
        <f>+A125</f>
        <v>1Q</v>
      </c>
      <c r="AU125" s="30" t="str">
        <f>+B125</f>
        <v>Apr</v>
      </c>
      <c r="AV125" s="30"/>
      <c r="AW125" s="307"/>
      <c r="AX125" s="308"/>
      <c r="AY125" s="308"/>
      <c r="AZ125" s="307"/>
      <c r="BA125" s="317"/>
      <c r="BB125" s="308"/>
      <c r="BC125" s="307">
        <v>6</v>
      </c>
      <c r="BD125" s="307">
        <v>0</v>
      </c>
      <c r="BE125" s="307"/>
      <c r="BF125" s="308"/>
      <c r="BG125" s="307">
        <v>14</v>
      </c>
      <c r="BH125" s="307">
        <v>-6</v>
      </c>
      <c r="BI125" s="307"/>
      <c r="BJ125" s="308"/>
      <c r="BK125" s="307">
        <v>41</v>
      </c>
      <c r="BL125" s="307">
        <v>-7</v>
      </c>
      <c r="BM125" s="317"/>
      <c r="BN125" s="308"/>
      <c r="BO125" s="321">
        <v>0</v>
      </c>
      <c r="BP125" s="321">
        <v>0</v>
      </c>
      <c r="BQ125" s="321"/>
      <c r="BR125" s="321"/>
      <c r="BS125" s="308"/>
      <c r="BT125" s="307">
        <v>0</v>
      </c>
      <c r="BU125" s="307">
        <v>0</v>
      </c>
      <c r="BV125" s="307">
        <v>0</v>
      </c>
      <c r="BW125" s="317"/>
      <c r="BX125" s="308"/>
      <c r="BY125" s="307">
        <v>0</v>
      </c>
      <c r="BZ125" s="307">
        <v>0</v>
      </c>
      <c r="CA125" s="307">
        <v>0</v>
      </c>
      <c r="CB125" s="317"/>
      <c r="CC125" s="308"/>
      <c r="CD125" s="307">
        <v>0</v>
      </c>
      <c r="CE125" s="307">
        <v>0</v>
      </c>
      <c r="CF125" s="307">
        <v>0</v>
      </c>
      <c r="CG125" s="317"/>
      <c r="CH125" s="308"/>
      <c r="CI125" s="307">
        <v>0</v>
      </c>
      <c r="CJ125" s="307">
        <v>0</v>
      </c>
      <c r="CK125" s="317"/>
      <c r="CL125" s="308"/>
      <c r="CM125" s="321">
        <v>0</v>
      </c>
      <c r="CN125" s="321">
        <v>0</v>
      </c>
      <c r="CO125" s="308"/>
      <c r="CP125" s="321"/>
      <c r="CQ125" s="317"/>
      <c r="CR125" s="308"/>
      <c r="CS125" s="321"/>
      <c r="CT125" s="317"/>
      <c r="CU125" s="308"/>
      <c r="CV125" s="321"/>
      <c r="CW125" s="317"/>
      <c r="CX125" s="308"/>
      <c r="CY125" s="321"/>
      <c r="CZ125" s="317"/>
      <c r="DA125" s="308"/>
      <c r="DB125" s="321"/>
      <c r="DC125" s="317"/>
      <c r="DD125" s="308"/>
      <c r="DE125" s="321"/>
      <c r="DF125" s="317"/>
      <c r="DG125" s="308"/>
      <c r="DH125" s="321"/>
      <c r="DI125" s="321"/>
      <c r="DJ125" s="321"/>
      <c r="DK125" s="321"/>
      <c r="DL125" s="321"/>
      <c r="DO125" t="s">
        <v>1296</v>
      </c>
      <c r="DP125" s="473"/>
      <c r="DQ125" t="s">
        <v>1297</v>
      </c>
    </row>
    <row r="126" spans="1:121" hidden="1" outlineLevel="1">
      <c r="A126" s="30" t="str">
        <f>qtrSales!A146</f>
        <v>2Q</v>
      </c>
      <c r="B126" s="30" t="str">
        <f>qtrSales!B146</f>
        <v>Jul</v>
      </c>
      <c r="C126" s="30"/>
      <c r="D126" s="307"/>
      <c r="E126" s="308"/>
      <c r="F126" s="307"/>
      <c r="G126" s="317"/>
      <c r="H126" s="325">
        <f>+H125+BC126+BD126</f>
        <v>319</v>
      </c>
      <c r="I126" s="308">
        <f>+(H126/H120-1)*100</f>
        <v>5.6291390728476776</v>
      </c>
      <c r="J126" s="325">
        <f>+J125+BG126+BH126</f>
        <v>1036</v>
      </c>
      <c r="K126" s="308">
        <f>+(J126/J120-1)*100</f>
        <v>2.9821073558648159</v>
      </c>
      <c r="L126" s="325">
        <f>+L125+BK126+BL126</f>
        <v>1635</v>
      </c>
      <c r="M126" s="308">
        <f>+(L126/L120-1)*100</f>
        <v>5.8937823834196879</v>
      </c>
      <c r="N126" s="751">
        <f>+N125+BT126+BU126+BV126</f>
        <v>75</v>
      </c>
      <c r="O126" s="752">
        <f>+(N126/N120-1)*100</f>
        <v>-17.582417582417587</v>
      </c>
      <c r="P126" s="751">
        <f>+P125+BY126+BZ126+CA126</f>
        <v>0</v>
      </c>
      <c r="Q126" s="751"/>
      <c r="R126" s="751">
        <f>+R125+CD126+CF126+CE126</f>
        <v>0</v>
      </c>
      <c r="S126" s="752"/>
      <c r="T126" s="751">
        <f>+T125+CI126+CJ126</f>
        <v>0</v>
      </c>
      <c r="U126" s="755"/>
      <c r="V126" s="309">
        <f>+V125+BO126-BP126</f>
        <v>2</v>
      </c>
      <c r="W126" s="317">
        <f>+(V126/V120-1)*100</f>
        <v>0</v>
      </c>
      <c r="X126" s="317"/>
      <c r="Y126" s="317"/>
      <c r="Z126" s="828">
        <f>+Z125+CM126+CN126</f>
        <v>0</v>
      </c>
      <c r="AA126" s="317"/>
      <c r="AB126" s="307"/>
      <c r="AC126" s="308"/>
      <c r="AD126" s="307"/>
      <c r="AE126" s="308"/>
      <c r="AF126" s="307"/>
      <c r="AG126" s="308"/>
      <c r="AH126" s="307"/>
      <c r="AI126" s="308"/>
      <c r="AJ126" s="307"/>
      <c r="AK126" s="308"/>
      <c r="AL126" s="307"/>
      <c r="AM126" s="308"/>
      <c r="AN126" s="307"/>
      <c r="AO126" s="308"/>
      <c r="AP126" s="530"/>
      <c r="AQ126" s="451">
        <f>H126+J126+L126+V126</f>
        <v>2992</v>
      </c>
      <c r="AR126" s="308">
        <f>+(AQ126/AQ120-1)*100</f>
        <v>4.8353188507358036</v>
      </c>
      <c r="AS126" s="308"/>
      <c r="AT126" s="30" t="str">
        <f>+A126</f>
        <v>2Q</v>
      </c>
      <c r="AU126" s="30" t="str">
        <f>+B126</f>
        <v>Jul</v>
      </c>
      <c r="AV126" s="30"/>
      <c r="AW126" s="307"/>
      <c r="AX126" s="308"/>
      <c r="AY126" s="308"/>
      <c r="AZ126" s="307"/>
      <c r="BA126" s="317"/>
      <c r="BB126" s="308"/>
      <c r="BC126" s="307">
        <v>4</v>
      </c>
      <c r="BD126" s="307">
        <v>-3</v>
      </c>
      <c r="BE126" s="307"/>
      <c r="BF126" s="308"/>
      <c r="BG126" s="307">
        <v>11</v>
      </c>
      <c r="BH126" s="307">
        <v>-3</v>
      </c>
      <c r="BI126" s="307"/>
      <c r="BJ126" s="308"/>
      <c r="BK126" s="307">
        <v>18</v>
      </c>
      <c r="BL126" s="307">
        <v>-9</v>
      </c>
      <c r="BM126" s="317"/>
      <c r="BN126" s="308"/>
      <c r="BO126" s="321">
        <v>0</v>
      </c>
      <c r="BP126" s="321">
        <v>0</v>
      </c>
      <c r="BQ126" s="321"/>
      <c r="BR126" s="321"/>
      <c r="BS126" s="308"/>
      <c r="BT126" s="307">
        <v>0</v>
      </c>
      <c r="BU126" s="307">
        <v>0</v>
      </c>
      <c r="BV126" s="307">
        <v>0</v>
      </c>
      <c r="BW126" s="317"/>
      <c r="BX126" s="308"/>
      <c r="BY126" s="307">
        <v>0</v>
      </c>
      <c r="BZ126" s="307">
        <v>0</v>
      </c>
      <c r="CA126" s="307">
        <v>0</v>
      </c>
      <c r="CB126" s="317"/>
      <c r="CC126" s="308"/>
      <c r="CD126" s="307">
        <v>0</v>
      </c>
      <c r="CE126" s="307">
        <v>0</v>
      </c>
      <c r="CF126" s="307">
        <v>0</v>
      </c>
      <c r="CG126" s="317"/>
      <c r="CH126" s="308"/>
      <c r="CI126" s="307">
        <v>0</v>
      </c>
      <c r="CJ126" s="307">
        <v>0</v>
      </c>
      <c r="CK126" s="317"/>
      <c r="CL126" s="308"/>
      <c r="CM126" s="321">
        <v>0</v>
      </c>
      <c r="CN126" s="321">
        <v>0</v>
      </c>
      <c r="CO126" s="308"/>
      <c r="CP126" s="321"/>
      <c r="CQ126" s="317"/>
      <c r="CR126" s="308"/>
      <c r="CS126" s="321"/>
      <c r="CT126" s="317"/>
      <c r="CU126" s="308"/>
      <c r="CV126" s="321"/>
      <c r="CW126" s="317"/>
      <c r="CX126" s="308"/>
      <c r="CY126" s="321"/>
      <c r="CZ126" s="317"/>
      <c r="DA126" s="308"/>
      <c r="DB126" s="321"/>
      <c r="DC126" s="317"/>
      <c r="DD126" s="308"/>
      <c r="DE126" s="321"/>
      <c r="DF126" s="317"/>
      <c r="DG126" s="308"/>
      <c r="DH126" s="321"/>
      <c r="DI126" s="321"/>
      <c r="DJ126" s="321"/>
      <c r="DK126" s="321"/>
      <c r="DL126" s="321"/>
      <c r="DO126" t="s">
        <v>1298</v>
      </c>
      <c r="DP126" s="473"/>
      <c r="DQ126" t="s">
        <v>1298</v>
      </c>
    </row>
    <row r="127" spans="1:121" hidden="1" outlineLevel="1">
      <c r="A127" s="30" t="str">
        <f>qtrSales!A147</f>
        <v>3Q</v>
      </c>
      <c r="B127" s="30" t="str">
        <f>qtrSales!B147</f>
        <v>Oct</v>
      </c>
      <c r="C127" s="30"/>
      <c r="D127" s="307"/>
      <c r="E127" s="308"/>
      <c r="F127" s="307"/>
      <c r="G127" s="317"/>
      <c r="H127" s="309">
        <f>+H126+BC127+BD127</f>
        <v>318</v>
      </c>
      <c r="I127" s="308">
        <f>+(H127/H121-1)*100</f>
        <v>3.5830618892508159</v>
      </c>
      <c r="J127" s="325">
        <f>+J126+BG127+BH127</f>
        <v>1044</v>
      </c>
      <c r="K127" s="308">
        <f>+(J127/J121-1)*100</f>
        <v>2.4533856722276814</v>
      </c>
      <c r="L127" s="325">
        <f>+L126+BK127+BL127</f>
        <v>1655</v>
      </c>
      <c r="M127" s="308">
        <f>+(L127/L121-1)*100</f>
        <v>4.088050314465419</v>
      </c>
      <c r="N127" s="751">
        <f>+N126+BT127+BU127+BV127</f>
        <v>75</v>
      </c>
      <c r="O127" s="752">
        <f>+(N127/N121-1)*100</f>
        <v>-12.790697674418606</v>
      </c>
      <c r="P127" s="751">
        <f>+P126+BY127+BZ127+CA127</f>
        <v>0</v>
      </c>
      <c r="Q127" s="751"/>
      <c r="R127" s="751">
        <f>+R126+CD127+CF127+CE127</f>
        <v>0</v>
      </c>
      <c r="S127" s="752"/>
      <c r="T127" s="751">
        <f>+T126+CI127+CJ127</f>
        <v>0</v>
      </c>
      <c r="U127" s="755"/>
      <c r="V127" s="309">
        <f>+V126+BO127-BP127</f>
        <v>4</v>
      </c>
      <c r="W127" s="317">
        <f>+(V127/V121-1)*100</f>
        <v>100</v>
      </c>
      <c r="X127" s="317"/>
      <c r="Y127" s="317"/>
      <c r="Z127" s="828">
        <f>+Z126+CM127-CN127</f>
        <v>0</v>
      </c>
      <c r="AA127" s="317"/>
      <c r="AB127" s="307"/>
      <c r="AC127" s="308"/>
      <c r="AD127" s="307"/>
      <c r="AE127" s="308"/>
      <c r="AF127" s="307"/>
      <c r="AG127" s="308"/>
      <c r="AH127" s="307"/>
      <c r="AI127" s="308"/>
      <c r="AJ127" s="307"/>
      <c r="AK127" s="308"/>
      <c r="AL127" s="307"/>
      <c r="AM127" s="308"/>
      <c r="AN127" s="307"/>
      <c r="AO127" s="308"/>
      <c r="AP127" s="30"/>
      <c r="AQ127" s="451">
        <f>H127+J127+L127+V127</f>
        <v>3021</v>
      </c>
      <c r="AR127" s="308">
        <f>+(AQ127/AQ121-1)*100</f>
        <v>3.5298149417409164</v>
      </c>
      <c r="AS127" s="308"/>
      <c r="AT127" s="30" t="str">
        <f>+A127</f>
        <v>3Q</v>
      </c>
      <c r="AU127" s="30" t="str">
        <f>+B127</f>
        <v>Oct</v>
      </c>
      <c r="AV127" s="30"/>
      <c r="AW127" s="307"/>
      <c r="AX127" s="308"/>
      <c r="AY127" s="308"/>
      <c r="AZ127" s="307"/>
      <c r="BA127" s="317"/>
      <c r="BB127" s="308"/>
      <c r="BC127" s="307">
        <v>0</v>
      </c>
      <c r="BD127" s="307">
        <v>-1</v>
      </c>
      <c r="BE127" s="307"/>
      <c r="BF127" s="308"/>
      <c r="BG127" s="307">
        <v>13</v>
      </c>
      <c r="BH127" s="307">
        <v>-5</v>
      </c>
      <c r="BI127" s="307"/>
      <c r="BJ127" s="308"/>
      <c r="BK127" s="307">
        <v>20</v>
      </c>
      <c r="BL127" s="307">
        <v>0</v>
      </c>
      <c r="BM127" s="317"/>
      <c r="BN127" s="308"/>
      <c r="BO127" s="321">
        <v>2</v>
      </c>
      <c r="BP127" s="321">
        <v>0</v>
      </c>
      <c r="BQ127" s="321"/>
      <c r="BR127" s="321"/>
      <c r="BS127" s="308"/>
      <c r="BT127" s="307">
        <v>0</v>
      </c>
      <c r="BU127" s="307">
        <v>0</v>
      </c>
      <c r="BV127" s="307">
        <v>0</v>
      </c>
      <c r="BW127" s="317"/>
      <c r="BX127" s="308"/>
      <c r="BY127" s="307">
        <v>0</v>
      </c>
      <c r="BZ127" s="307">
        <v>0</v>
      </c>
      <c r="CA127" s="307">
        <v>0</v>
      </c>
      <c r="CB127" s="317"/>
      <c r="CC127" s="308"/>
      <c r="CD127" s="307">
        <v>0</v>
      </c>
      <c r="CE127" s="307">
        <v>0</v>
      </c>
      <c r="CF127" s="307">
        <v>0</v>
      </c>
      <c r="CG127" s="317"/>
      <c r="CH127" s="308"/>
      <c r="CI127" s="307">
        <v>0</v>
      </c>
      <c r="CJ127" s="307">
        <v>0</v>
      </c>
      <c r="CK127" s="317"/>
      <c r="CL127" s="308"/>
      <c r="CM127" s="321">
        <v>0</v>
      </c>
      <c r="CN127" s="321">
        <v>0</v>
      </c>
      <c r="CO127" s="308"/>
      <c r="CP127" s="321"/>
      <c r="CQ127" s="317"/>
      <c r="CR127" s="308"/>
      <c r="CS127" s="321"/>
      <c r="CT127" s="317"/>
      <c r="CU127" s="308"/>
      <c r="CV127" s="321"/>
      <c r="CW127" s="317"/>
      <c r="CX127" s="308"/>
      <c r="CY127" s="321"/>
      <c r="CZ127" s="317"/>
      <c r="DA127" s="308"/>
      <c r="DB127" s="321"/>
      <c r="DC127" s="317"/>
      <c r="DD127" s="308"/>
      <c r="DE127" s="321"/>
      <c r="DF127" s="317"/>
      <c r="DG127" s="308"/>
      <c r="DH127" s="551">
        <f>+BG127+BK127+BO127+BC127</f>
        <v>35</v>
      </c>
      <c r="DI127" s="321"/>
      <c r="DJ127" s="321"/>
      <c r="DK127" s="321"/>
      <c r="DL127" s="321"/>
      <c r="DM127">
        <v>2005</v>
      </c>
      <c r="DO127">
        <v>85</v>
      </c>
      <c r="DQ127">
        <v>0</v>
      </c>
    </row>
    <row r="128" spans="1:121" hidden="1" outlineLevel="1">
      <c r="A128" s="30" t="str">
        <f>qtrSales!A148</f>
        <v>4Q</v>
      </c>
      <c r="B128" s="30" t="str">
        <f>qtrSales!B148</f>
        <v>Jan</v>
      </c>
      <c r="C128" s="339"/>
      <c r="D128" s="307"/>
      <c r="E128" s="308"/>
      <c r="F128" s="307"/>
      <c r="G128" s="317"/>
      <c r="H128" s="309">
        <f>+H127+BC128+BD128</f>
        <v>322</v>
      </c>
      <c r="I128" s="308">
        <f>+(H128/H122-1)*100</f>
        <v>3.2051282051282159</v>
      </c>
      <c r="J128" s="325">
        <f>+J127+BG128+BH128</f>
        <v>1043</v>
      </c>
      <c r="K128" s="308">
        <f>+(J128/J122-1)*100</f>
        <v>2.2549019607843057</v>
      </c>
      <c r="L128" s="325">
        <f>+L127+BK128+BL128</f>
        <v>1644</v>
      </c>
      <c r="M128" s="308">
        <f>+(L128/L122-1)*100</f>
        <v>3.2663316582914659</v>
      </c>
      <c r="N128" s="751">
        <f>+N127+BT128+BU128+BV128</f>
        <v>75</v>
      </c>
      <c r="O128" s="752">
        <f>+(N128/N122-1)*100</f>
        <v>0</v>
      </c>
      <c r="P128" s="751">
        <f>+P127+BY128+BZ128+CA128</f>
        <v>0</v>
      </c>
      <c r="Q128" s="751"/>
      <c r="R128" s="751">
        <f>+R127+CD128+CF128+CE128</f>
        <v>0</v>
      </c>
      <c r="S128" s="752"/>
      <c r="T128" s="751">
        <f>+T127+CI128+CJ128</f>
        <v>0</v>
      </c>
      <c r="U128" s="755"/>
      <c r="V128" s="309">
        <f>+V127+BO128-BP128</f>
        <v>5</v>
      </c>
      <c r="W128" s="317">
        <f>+(V128/V122-1)*100</f>
        <v>150</v>
      </c>
      <c r="X128" s="317"/>
      <c r="Y128" s="317"/>
      <c r="Z128" s="828">
        <f>+Z127+CM128-CN128</f>
        <v>0</v>
      </c>
      <c r="AA128" s="317"/>
      <c r="AB128" s="307"/>
      <c r="AC128" s="308"/>
      <c r="AD128" s="307"/>
      <c r="AE128" s="308"/>
      <c r="AF128" s="307"/>
      <c r="AG128" s="308"/>
      <c r="AH128" s="307"/>
      <c r="AI128" s="308"/>
      <c r="AJ128" s="307"/>
      <c r="AK128" s="308"/>
      <c r="AL128" s="307"/>
      <c r="AM128" s="308"/>
      <c r="AN128" s="307"/>
      <c r="AO128" s="308"/>
      <c r="AP128" s="30"/>
      <c r="AQ128" s="451">
        <f>H128+J128+L128+V128</f>
        <v>3014</v>
      </c>
      <c r="AR128" s="308">
        <f>+(AQ128/AQ122-1)*100</f>
        <v>3.007518796992481</v>
      </c>
      <c r="AS128" s="308"/>
      <c r="AT128" s="30" t="str">
        <f>+A128</f>
        <v>4Q</v>
      </c>
      <c r="AU128" s="30" t="str">
        <f>+B128</f>
        <v>Jan</v>
      </c>
      <c r="AV128" s="30"/>
      <c r="AW128" s="302"/>
      <c r="AX128" s="302"/>
      <c r="AY128" s="308"/>
      <c r="AZ128" s="302"/>
      <c r="BA128" s="302"/>
      <c r="BB128" s="308"/>
      <c r="BC128" s="302">
        <v>6</v>
      </c>
      <c r="BD128" s="302">
        <v>-2</v>
      </c>
      <c r="BE128" s="307"/>
      <c r="BF128" s="308"/>
      <c r="BG128" s="302">
        <v>3</v>
      </c>
      <c r="BH128" s="302">
        <v>-4</v>
      </c>
      <c r="BI128" s="338"/>
      <c r="BJ128" s="308"/>
      <c r="BK128" s="302">
        <v>7</v>
      </c>
      <c r="BL128" s="302">
        <v>-18</v>
      </c>
      <c r="BM128" s="302"/>
      <c r="BN128" s="308"/>
      <c r="BO128" s="302">
        <v>1</v>
      </c>
      <c r="BP128" s="302">
        <v>0</v>
      </c>
      <c r="BQ128" s="307"/>
      <c r="BR128" s="307"/>
      <c r="BS128" s="308"/>
      <c r="BT128" s="302">
        <v>0</v>
      </c>
      <c r="BU128" s="302">
        <v>0</v>
      </c>
      <c r="BV128" s="302">
        <v>0</v>
      </c>
      <c r="BW128" s="302"/>
      <c r="BX128" s="308"/>
      <c r="BY128" s="302">
        <v>0</v>
      </c>
      <c r="BZ128" s="302">
        <v>0</v>
      </c>
      <c r="CA128" s="302">
        <v>0</v>
      </c>
      <c r="CB128" s="302"/>
      <c r="CC128" s="308"/>
      <c r="CD128" s="302">
        <v>0</v>
      </c>
      <c r="CE128" s="302">
        <v>0</v>
      </c>
      <c r="CF128" s="302">
        <v>0</v>
      </c>
      <c r="CG128" s="302"/>
      <c r="CH128" s="308"/>
      <c r="CI128" s="302">
        <v>0</v>
      </c>
      <c r="CJ128" s="302">
        <v>0</v>
      </c>
      <c r="CK128" s="302"/>
      <c r="CL128" s="308"/>
      <c r="CM128" s="302">
        <v>0</v>
      </c>
      <c r="CN128" s="302">
        <v>0</v>
      </c>
      <c r="CO128" s="308"/>
      <c r="CP128" s="302"/>
      <c r="CQ128" s="302"/>
      <c r="CR128" s="308"/>
      <c r="CS128" s="302"/>
      <c r="CT128" s="302"/>
      <c r="CU128" s="308"/>
      <c r="CV128" s="302"/>
      <c r="CW128" s="302"/>
      <c r="CX128" s="308"/>
      <c r="CY128" s="302"/>
      <c r="CZ128" s="302"/>
      <c r="DA128" s="308"/>
      <c r="DB128" s="302"/>
      <c r="DC128" s="302"/>
      <c r="DD128" s="308"/>
      <c r="DE128" s="302"/>
      <c r="DF128" s="302"/>
      <c r="DG128" s="308"/>
      <c r="DH128" s="306"/>
      <c r="DI128" s="306"/>
      <c r="DJ128" s="306"/>
      <c r="DK128" s="306"/>
      <c r="DL128" s="321"/>
      <c r="DM128">
        <v>2006</v>
      </c>
      <c r="DO128">
        <v>74.173000000000002</v>
      </c>
      <c r="DQ128">
        <v>0</v>
      </c>
    </row>
    <row r="129" spans="1:124" hidden="1" outlineLevel="1">
      <c r="A129" s="24"/>
      <c r="B129" s="24"/>
      <c r="C129" s="24"/>
      <c r="D129" s="24"/>
      <c r="E129" s="24"/>
      <c r="F129" s="24"/>
      <c r="G129" s="305"/>
      <c r="H129" s="428"/>
      <c r="I129" s="305"/>
      <c r="J129" s="428"/>
      <c r="K129" s="305"/>
      <c r="L129" s="428"/>
      <c r="M129" s="24"/>
      <c r="N129" s="428"/>
      <c r="O129" s="24"/>
      <c r="P129" s="428"/>
      <c r="Q129" s="24"/>
      <c r="R129" s="428"/>
      <c r="S129" s="24"/>
      <c r="T129" s="629"/>
      <c r="U129" s="24"/>
      <c r="V129" s="428"/>
      <c r="W129" s="305"/>
      <c r="X129" s="305"/>
      <c r="Y129" s="305"/>
      <c r="Z129" s="251"/>
      <c r="AA129" s="305"/>
      <c r="AB129" s="24"/>
      <c r="AC129" s="24"/>
      <c r="AD129" s="24"/>
      <c r="AE129" s="24"/>
      <c r="AF129" s="30"/>
      <c r="AG129" s="30"/>
      <c r="AH129" s="30"/>
      <c r="AI129" s="30"/>
      <c r="AJ129" s="30"/>
      <c r="AK129" s="30"/>
      <c r="AL129" s="30"/>
      <c r="AM129" s="30"/>
      <c r="AN129" s="30"/>
      <c r="AO129" s="30"/>
      <c r="AP129" s="24"/>
      <c r="AQ129" s="574"/>
      <c r="AR129" s="30"/>
      <c r="AS129" s="30"/>
      <c r="AT129" s="24"/>
      <c r="AU129" s="24"/>
      <c r="AV129" s="24"/>
      <c r="AW129" s="24"/>
      <c r="AX129" s="24"/>
      <c r="AY129" s="24"/>
      <c r="AZ129" s="24"/>
      <c r="BA129" s="305"/>
      <c r="BB129" s="24"/>
      <c r="BC129" s="309">
        <f>SUM(BC125:BC128)</f>
        <v>16</v>
      </c>
      <c r="BD129" s="309">
        <f>SUM(BD125:BD128)</f>
        <v>-6</v>
      </c>
      <c r="BE129" s="309"/>
      <c r="BF129" s="24"/>
      <c r="BG129" s="309">
        <f>SUM(BG125:BG128)</f>
        <v>41</v>
      </c>
      <c r="BH129" s="309">
        <f>SUM(BH125:BH128)</f>
        <v>-18</v>
      </c>
      <c r="BI129" s="422">
        <v>67</v>
      </c>
      <c r="BJ129" s="24"/>
      <c r="BK129" s="309">
        <f>SUM(BK125:BK128)</f>
        <v>86</v>
      </c>
      <c r="BL129" s="309">
        <f>SUM(BL125:BL128)</f>
        <v>-34</v>
      </c>
      <c r="BM129" s="24"/>
      <c r="BN129" s="24"/>
      <c r="BO129" s="309">
        <f>SUM(BO125:BO128)</f>
        <v>3</v>
      </c>
      <c r="BP129" s="309">
        <f>SUM(BP125:BP128)</f>
        <v>0</v>
      </c>
      <c r="BQ129" s="309"/>
      <c r="BR129" s="309"/>
      <c r="BS129" s="24"/>
      <c r="BT129" s="309">
        <f>SUM(BT125:BT128)</f>
        <v>0</v>
      </c>
      <c r="BU129" s="309">
        <f>SUM(BU125:BU128)</f>
        <v>0</v>
      </c>
      <c r="BV129" s="309">
        <f>SUM(BV125:BV128)</f>
        <v>0</v>
      </c>
      <c r="BW129" s="24"/>
      <c r="BX129" s="24"/>
      <c r="BY129" s="309">
        <f>SUM(BY125:BY128)</f>
        <v>0</v>
      </c>
      <c r="BZ129" s="309">
        <f>SUM(BZ125:BZ128)</f>
        <v>0</v>
      </c>
      <c r="CA129" s="309">
        <f>SUM(CA125:CA128)</f>
        <v>0</v>
      </c>
      <c r="CB129" s="24"/>
      <c r="CC129" s="24"/>
      <c r="CD129" s="309">
        <f>SUM(CD125:CD128)</f>
        <v>0</v>
      </c>
      <c r="CE129" s="309">
        <f>SUM(CE125:CE128)</f>
        <v>0</v>
      </c>
      <c r="CF129" s="309">
        <f>SUM(CF125:CF128)</f>
        <v>0</v>
      </c>
      <c r="CG129" s="24"/>
      <c r="CH129" s="24"/>
      <c r="CI129" s="309">
        <f>SUM(CI125:CI128)</f>
        <v>0</v>
      </c>
      <c r="CJ129" s="309">
        <f>SUM(CJ125:CJ128)</f>
        <v>0</v>
      </c>
      <c r="CK129" s="309"/>
      <c r="CL129" s="309"/>
      <c r="CM129" s="309">
        <f>SUM(CM125:CM128)</f>
        <v>0</v>
      </c>
      <c r="CN129" s="309">
        <f>SUM(CN125:CN128)</f>
        <v>0</v>
      </c>
      <c r="CO129" s="309"/>
      <c r="CP129" s="24"/>
      <c r="CQ129" s="24"/>
      <c r="CR129" s="24"/>
      <c r="CS129" s="24"/>
      <c r="CT129" s="24"/>
      <c r="CU129" s="24"/>
      <c r="CV129" s="24"/>
      <c r="CW129" s="24"/>
      <c r="CX129" s="24"/>
      <c r="CY129" s="24"/>
      <c r="CZ129" s="24"/>
      <c r="DA129" s="24"/>
      <c r="DB129" s="24"/>
      <c r="DC129" s="24"/>
      <c r="DD129" s="24"/>
      <c r="DE129" s="24"/>
      <c r="DF129" s="24"/>
      <c r="DG129" s="24"/>
      <c r="DH129" s="551">
        <f>+BG129+BK129+BO129+BC129</f>
        <v>146</v>
      </c>
      <c r="DI129" s="551">
        <f>+BH129+BL129+BP129+BD129</f>
        <v>-58</v>
      </c>
      <c r="DJ129" s="383"/>
      <c r="DK129" s="383"/>
      <c r="DL129" s="30"/>
      <c r="DM129">
        <v>2007</v>
      </c>
      <c r="DO129">
        <v>293.22200000000004</v>
      </c>
      <c r="DQ129">
        <v>0</v>
      </c>
    </row>
    <row r="130" spans="1:124" hidden="1" outlineLevel="1">
      <c r="A130" s="301"/>
      <c r="B130" s="312" t="str">
        <f>qtrSales!B151</f>
        <v>2009A</v>
      </c>
      <c r="C130" s="30"/>
      <c r="D130" s="30"/>
      <c r="E130" s="310"/>
      <c r="F130" s="30"/>
      <c r="G130" s="318"/>
      <c r="H130" s="318"/>
      <c r="I130" s="931"/>
      <c r="J130" s="936"/>
      <c r="K130" s="319"/>
      <c r="L130" s="429"/>
      <c r="M130" s="310"/>
      <c r="N130" s="309"/>
      <c r="O130" s="310"/>
      <c r="P130" s="309"/>
      <c r="Q130" s="30"/>
      <c r="R130" s="30"/>
      <c r="S130" s="429"/>
      <c r="T130" s="429"/>
      <c r="U130" s="310"/>
      <c r="V130" s="30"/>
      <c r="W130" s="318"/>
      <c r="X130" s="318"/>
      <c r="Y130" s="318"/>
      <c r="Z130" s="830"/>
      <c r="AA130" s="318"/>
      <c r="AB130" s="30"/>
      <c r="AC130" s="310"/>
      <c r="AD130" s="30"/>
      <c r="AE130" s="310"/>
      <c r="AF130" s="30"/>
      <c r="AG130" s="310"/>
      <c r="AH130" s="30"/>
      <c r="AI130" s="310"/>
      <c r="AJ130" s="30"/>
      <c r="AK130" s="310"/>
      <c r="AL130" s="30"/>
      <c r="AM130" s="310"/>
      <c r="AN130" s="30"/>
      <c r="AO130" s="310"/>
      <c r="AP130" s="30"/>
      <c r="AQ130" s="451"/>
      <c r="AR130" s="310"/>
      <c r="AS130" s="310"/>
      <c r="AT130" s="141"/>
      <c r="AU130" s="27" t="str">
        <f>+B130</f>
        <v>2009A</v>
      </c>
      <c r="AV130" s="30"/>
      <c r="AW130" s="30"/>
      <c r="AX130" s="310"/>
      <c r="AY130" s="310"/>
      <c r="AZ130" s="30"/>
      <c r="BA130" s="318"/>
      <c r="BB130" s="310"/>
      <c r="BC130" s="318"/>
      <c r="BD130" s="318"/>
      <c r="BE130" s="318"/>
      <c r="BF130" s="310"/>
      <c r="BG130" s="30"/>
      <c r="BH130" s="318"/>
      <c r="BI130" s="318"/>
      <c r="BJ130" s="310"/>
      <c r="BK130" s="30"/>
      <c r="BL130" s="318"/>
      <c r="BM130" s="318"/>
      <c r="BN130" s="310"/>
      <c r="BO130" s="30"/>
      <c r="BP130" s="318"/>
      <c r="BQ130" s="318"/>
      <c r="BR130" s="318"/>
      <c r="BS130" s="310"/>
      <c r="BT130" s="30"/>
      <c r="BU130" s="318"/>
      <c r="BV130" s="318"/>
      <c r="BW130" s="318"/>
      <c r="BX130" s="310"/>
      <c r="BY130" s="30"/>
      <c r="BZ130" s="318"/>
      <c r="CA130" s="318"/>
      <c r="CB130" s="318"/>
      <c r="CC130" s="310"/>
      <c r="CD130" s="309"/>
      <c r="CE130" s="318"/>
      <c r="CF130" s="318"/>
      <c r="CG130" s="318"/>
      <c r="CH130" s="310"/>
      <c r="CI130" s="30"/>
      <c r="CJ130" s="318"/>
      <c r="CK130" s="318"/>
      <c r="CL130" s="310"/>
      <c r="CM130" s="30"/>
      <c r="CN130" s="318"/>
      <c r="CO130" s="310"/>
      <c r="CP130" s="30"/>
      <c r="CQ130" s="318"/>
      <c r="CR130" s="310"/>
      <c r="CS130" s="30"/>
      <c r="CT130" s="318"/>
      <c r="CU130" s="310"/>
      <c r="CV130" s="30"/>
      <c r="CW130" s="318"/>
      <c r="CX130" s="310"/>
      <c r="CY130" s="30"/>
      <c r="CZ130" s="318"/>
      <c r="DA130" s="310"/>
      <c r="DB130" s="30"/>
      <c r="DC130" s="318"/>
      <c r="DD130" s="310"/>
      <c r="DE130" s="30"/>
      <c r="DF130" s="318"/>
      <c r="DG130" s="310"/>
      <c r="DH130" s="307"/>
      <c r="DI130" s="307"/>
      <c r="DJ130" s="307"/>
      <c r="DK130" s="307"/>
      <c r="DL130" s="307"/>
      <c r="DM130">
        <v>2008</v>
      </c>
      <c r="DO130">
        <v>172.53</v>
      </c>
      <c r="DQ130">
        <v>0</v>
      </c>
    </row>
    <row r="131" spans="1:124" hidden="1" outlineLevel="1">
      <c r="A131" s="30" t="str">
        <f>qtrSales!A152</f>
        <v>1Q</v>
      </c>
      <c r="B131" s="30" t="str">
        <f>qtrSales!B152</f>
        <v>Apr</v>
      </c>
      <c r="C131" s="30"/>
      <c r="D131" s="307"/>
      <c r="E131" s="308"/>
      <c r="F131" s="307"/>
      <c r="G131" s="317"/>
      <c r="H131" s="325">
        <f>+H128+BC131+BD131</f>
        <v>318</v>
      </c>
      <c r="I131" s="308">
        <f>+(H131/H125-1)*100</f>
        <v>0</v>
      </c>
      <c r="J131" s="325">
        <f>+J128+BG131+BH131</f>
        <v>1040</v>
      </c>
      <c r="K131" s="308">
        <f>+(J131/J125-1)*100</f>
        <v>1.1673151750972721</v>
      </c>
      <c r="L131" s="325">
        <f>+L128+BK131+BL131</f>
        <v>1645</v>
      </c>
      <c r="M131" s="308">
        <f>+(L131/L125-1)*100</f>
        <v>1.1685116851168464</v>
      </c>
      <c r="N131" s="751">
        <f>+N128+BT131+BU131+BV131</f>
        <v>75</v>
      </c>
      <c r="O131" s="752">
        <f>+(N131/N126-1)*100</f>
        <v>0</v>
      </c>
      <c r="P131" s="751">
        <f>+P129+BY131+BZ131+CA131</f>
        <v>0</v>
      </c>
      <c r="Q131" s="307"/>
      <c r="R131" s="751">
        <f>+R129+CD131+CF131+CE131</f>
        <v>0</v>
      </c>
      <c r="S131" s="474"/>
      <c r="T131" s="751">
        <f>+T129+CI131+CJ131</f>
        <v>0</v>
      </c>
      <c r="U131" s="755"/>
      <c r="V131" s="309">
        <f>+V128+BO131</f>
        <v>5</v>
      </c>
      <c r="W131" s="317">
        <f>+(V131/V125-1)*100</f>
        <v>150</v>
      </c>
      <c r="X131" s="317"/>
      <c r="Y131" s="317"/>
      <c r="Z131" s="828">
        <f>+Z128+CM131-CN131</f>
        <v>0</v>
      </c>
      <c r="AA131" s="317"/>
      <c r="AB131" s="307"/>
      <c r="AC131" s="308"/>
      <c r="AD131" s="307"/>
      <c r="AE131" s="308"/>
      <c r="AF131" s="307"/>
      <c r="AG131" s="308"/>
      <c r="AH131" s="307"/>
      <c r="AI131" s="308"/>
      <c r="AJ131" s="307"/>
      <c r="AK131" s="308"/>
      <c r="AL131" s="307"/>
      <c r="AM131" s="308"/>
      <c r="AN131" s="307"/>
      <c r="AO131" s="308"/>
      <c r="AP131" s="30"/>
      <c r="AQ131" s="451">
        <f>H131+J131+L131+V131</f>
        <v>3008</v>
      </c>
      <c r="AR131" s="308">
        <f>+(AQ131/AQ125-1)*100</f>
        <v>1.143241425689312</v>
      </c>
      <c r="AS131" s="308"/>
      <c r="AT131" s="30" t="str">
        <f>+A131</f>
        <v>1Q</v>
      </c>
      <c r="AU131" s="30" t="str">
        <f>+B131</f>
        <v>Apr</v>
      </c>
      <c r="AV131" s="30"/>
      <c r="AW131" s="307"/>
      <c r="AX131" s="308"/>
      <c r="AY131" s="308"/>
      <c r="AZ131" s="307"/>
      <c r="BA131" s="317"/>
      <c r="BB131" s="308"/>
      <c r="BC131" s="307">
        <v>0</v>
      </c>
      <c r="BD131" s="307">
        <v>-4</v>
      </c>
      <c r="BE131" s="307"/>
      <c r="BF131" s="308"/>
      <c r="BG131" s="307">
        <v>4</v>
      </c>
      <c r="BH131" s="307">
        <v>-7</v>
      </c>
      <c r="BI131" s="307"/>
      <c r="BJ131" s="308"/>
      <c r="BK131" s="307">
        <v>7</v>
      </c>
      <c r="BL131" s="307">
        <v>-6</v>
      </c>
      <c r="BM131" s="317"/>
      <c r="BN131" s="308"/>
      <c r="BO131" s="321">
        <v>0</v>
      </c>
      <c r="BP131" s="321">
        <v>0</v>
      </c>
      <c r="BQ131" s="321"/>
      <c r="BR131" s="321"/>
      <c r="BS131" s="308"/>
      <c r="BT131" s="307">
        <v>0</v>
      </c>
      <c r="BU131" s="307">
        <v>0</v>
      </c>
      <c r="BV131" s="307">
        <v>0</v>
      </c>
      <c r="BW131" s="317"/>
      <c r="BX131" s="308"/>
      <c r="BY131" s="307">
        <v>0</v>
      </c>
      <c r="BZ131" s="307">
        <v>0</v>
      </c>
      <c r="CA131" s="307">
        <v>0</v>
      </c>
      <c r="CB131" s="317"/>
      <c r="CC131" s="308"/>
      <c r="CD131" s="307">
        <v>0</v>
      </c>
      <c r="CE131" s="307">
        <v>0</v>
      </c>
      <c r="CF131" s="307">
        <v>0</v>
      </c>
      <c r="CG131" s="317"/>
      <c r="CH131" s="308"/>
      <c r="CI131" s="307">
        <v>0</v>
      </c>
      <c r="CJ131" s="307">
        <v>0</v>
      </c>
      <c r="CK131" s="317"/>
      <c r="CL131" s="308"/>
      <c r="CM131" s="321">
        <v>0</v>
      </c>
      <c r="CN131" s="321">
        <v>0</v>
      </c>
      <c r="CO131" s="308"/>
      <c r="CP131" s="321"/>
      <c r="CQ131" s="317"/>
      <c r="CR131" s="308"/>
      <c r="CS131" s="321"/>
      <c r="CT131" s="317"/>
      <c r="CU131" s="308"/>
      <c r="CV131" s="321"/>
      <c r="CW131" s="317"/>
      <c r="CX131" s="308"/>
      <c r="CY131" s="321"/>
      <c r="CZ131" s="317"/>
      <c r="DA131" s="308"/>
      <c r="DB131" s="321"/>
      <c r="DC131" s="317"/>
      <c r="DD131" s="308"/>
      <c r="DE131" s="321"/>
      <c r="DF131" s="317"/>
      <c r="DG131" s="308"/>
      <c r="DH131" s="321"/>
      <c r="DI131" s="321"/>
      <c r="DJ131" s="321"/>
      <c r="DK131" s="321"/>
      <c r="DL131" s="321"/>
      <c r="DM131">
        <v>2009</v>
      </c>
      <c r="DO131">
        <v>58.678000000000004</v>
      </c>
      <c r="DQ131">
        <v>-0.62299999999999756</v>
      </c>
    </row>
    <row r="132" spans="1:124" hidden="1" outlineLevel="1">
      <c r="A132" s="30" t="str">
        <f>qtrSales!A153</f>
        <v>2Q</v>
      </c>
      <c r="B132" s="30" t="str">
        <f>qtrSales!B153</f>
        <v>Jul</v>
      </c>
      <c r="C132" s="30"/>
      <c r="D132" s="307"/>
      <c r="E132" s="308"/>
      <c r="F132" s="307"/>
      <c r="G132" s="317"/>
      <c r="H132" s="325">
        <f>+H131+BC132+BD132</f>
        <v>306</v>
      </c>
      <c r="I132" s="308">
        <f>+(H132/H126-1)*100</f>
        <v>-4.0752351097178678</v>
      </c>
      <c r="J132" s="325">
        <f>+J131+BG132+BH132</f>
        <v>1046</v>
      </c>
      <c r="K132" s="308">
        <f>+(J132/J126-1)*100</f>
        <v>0.96525096525097442</v>
      </c>
      <c r="L132" s="325">
        <f>+L131+BK132+BL132</f>
        <v>1651</v>
      </c>
      <c r="M132" s="308">
        <f>+(L132/L126-1)*100</f>
        <v>0.97859327217124648</v>
      </c>
      <c r="N132" s="751">
        <f>+N131+BT132+BU132+BV132</f>
        <v>75</v>
      </c>
      <c r="O132" s="752">
        <f>+(N132/N127-1)*100</f>
        <v>0</v>
      </c>
      <c r="P132" s="751">
        <f>+P131+BY132+BZ132+CA132</f>
        <v>0</v>
      </c>
      <c r="Q132" s="751"/>
      <c r="R132" s="751">
        <f>+R131+CD132+CF132+CE132</f>
        <v>0</v>
      </c>
      <c r="S132" s="752"/>
      <c r="T132" s="751">
        <f>+T131+CI132+CJ132</f>
        <v>0</v>
      </c>
      <c r="U132" s="755"/>
      <c r="V132" s="309">
        <f>+V131+BO132-BP132</f>
        <v>6</v>
      </c>
      <c r="W132" s="317">
        <f>+(V132/V126-1)*100</f>
        <v>200</v>
      </c>
      <c r="X132" s="317"/>
      <c r="Y132" s="317"/>
      <c r="Z132" s="828">
        <f>+Z131+CM132+CN132</f>
        <v>0</v>
      </c>
      <c r="AA132" s="317"/>
      <c r="AB132" s="307"/>
      <c r="AC132" s="308"/>
      <c r="AD132" s="307"/>
      <c r="AE132" s="308"/>
      <c r="AF132" s="307"/>
      <c r="AG132" s="308"/>
      <c r="AH132" s="307"/>
      <c r="AI132" s="308"/>
      <c r="AJ132" s="307"/>
      <c r="AK132" s="308"/>
      <c r="AL132" s="307"/>
      <c r="AM132" s="308"/>
      <c r="AN132" s="307"/>
      <c r="AO132" s="308"/>
      <c r="AP132" s="530"/>
      <c r="AQ132" s="451">
        <f>H132+J132+L132+V132</f>
        <v>3009</v>
      </c>
      <c r="AR132" s="308">
        <f>+(AQ132/AQ126-1)*100</f>
        <v>0.56818181818181213</v>
      </c>
      <c r="AS132" s="308"/>
      <c r="AT132" s="30" t="str">
        <f>+A132</f>
        <v>2Q</v>
      </c>
      <c r="AU132" s="30" t="str">
        <f>+B132</f>
        <v>Jul</v>
      </c>
      <c r="AV132" s="30"/>
      <c r="AW132" s="307"/>
      <c r="AX132" s="308"/>
      <c r="AY132" s="308"/>
      <c r="AZ132" s="307"/>
      <c r="BA132" s="317"/>
      <c r="BB132" s="308"/>
      <c r="BC132" s="307">
        <v>1</v>
      </c>
      <c r="BD132" s="307">
        <v>-13</v>
      </c>
      <c r="BE132" s="307"/>
      <c r="BF132" s="308"/>
      <c r="BG132" s="307">
        <v>6</v>
      </c>
      <c r="BH132" s="307">
        <v>0</v>
      </c>
      <c r="BI132" s="307"/>
      <c r="BJ132" s="308"/>
      <c r="BK132" s="307">
        <v>9</v>
      </c>
      <c r="BL132" s="307">
        <v>-3</v>
      </c>
      <c r="BM132" s="317"/>
      <c r="BN132" s="308"/>
      <c r="BO132" s="321">
        <v>1</v>
      </c>
      <c r="BP132" s="321">
        <v>0</v>
      </c>
      <c r="BQ132" s="321"/>
      <c r="BR132" s="321"/>
      <c r="BS132" s="308"/>
      <c r="BT132" s="307">
        <v>0</v>
      </c>
      <c r="BU132" s="307">
        <v>0</v>
      </c>
      <c r="BV132" s="307">
        <v>0</v>
      </c>
      <c r="BW132" s="317"/>
      <c r="BX132" s="308"/>
      <c r="BY132" s="307">
        <v>0</v>
      </c>
      <c r="BZ132" s="307">
        <v>0</v>
      </c>
      <c r="CA132" s="307">
        <v>0</v>
      </c>
      <c r="CB132" s="317"/>
      <c r="CC132" s="308"/>
      <c r="CD132" s="307">
        <v>0</v>
      </c>
      <c r="CE132" s="307">
        <v>0</v>
      </c>
      <c r="CF132" s="307">
        <v>0</v>
      </c>
      <c r="CG132" s="317"/>
      <c r="CH132" s="308"/>
      <c r="CI132" s="307">
        <v>0</v>
      </c>
      <c r="CJ132" s="307">
        <v>0</v>
      </c>
      <c r="CK132" s="317"/>
      <c r="CL132" s="308"/>
      <c r="CM132" s="321">
        <v>0</v>
      </c>
      <c r="CN132" s="321">
        <v>0</v>
      </c>
      <c r="CO132" s="308"/>
      <c r="CP132" s="321"/>
      <c r="CQ132" s="317"/>
      <c r="CR132" s="308"/>
      <c r="CS132" s="321"/>
      <c r="CT132" s="317"/>
      <c r="CU132" s="308"/>
      <c r="CV132" s="321"/>
      <c r="CW132" s="317"/>
      <c r="CX132" s="308"/>
      <c r="CY132" s="321"/>
      <c r="CZ132" s="317"/>
      <c r="DA132" s="308"/>
      <c r="DB132" s="321"/>
      <c r="DC132" s="317"/>
      <c r="DD132" s="308"/>
      <c r="DE132" s="321"/>
      <c r="DF132" s="317"/>
      <c r="DG132" s="308"/>
      <c r="DH132" s="321"/>
      <c r="DI132" s="321"/>
      <c r="DJ132" s="321"/>
      <c r="DK132" s="321"/>
      <c r="DL132" s="321"/>
      <c r="DM132">
        <v>2010</v>
      </c>
      <c r="DO132">
        <v>39.808</v>
      </c>
      <c r="DQ132">
        <v>0</v>
      </c>
    </row>
    <row r="133" spans="1:124" hidden="1" outlineLevel="1">
      <c r="A133" s="30" t="str">
        <f>qtrSales!A154</f>
        <v>3Q</v>
      </c>
      <c r="B133" s="30" t="str">
        <f>qtrSales!B154</f>
        <v>Oct</v>
      </c>
      <c r="C133" s="30"/>
      <c r="D133" s="307"/>
      <c r="E133" s="308"/>
      <c r="F133" s="307"/>
      <c r="G133" s="317"/>
      <c r="H133" s="309">
        <f>+H132+BC133+BD133</f>
        <v>304</v>
      </c>
      <c r="I133" s="308">
        <f>+(H133/H127-1)*100</f>
        <v>-4.4025157232704393</v>
      </c>
      <c r="J133" s="325">
        <f>+J132+BG133+BH133</f>
        <v>1049</v>
      </c>
      <c r="K133" s="308">
        <f>+(J133/J127-1)*100</f>
        <v>0.47892720306512704</v>
      </c>
      <c r="L133" s="325">
        <f>+L132+BK133+BL133</f>
        <v>1663</v>
      </c>
      <c r="M133" s="308">
        <f>+(L133/L127-1)*100</f>
        <v>0.48338368580060909</v>
      </c>
      <c r="N133" s="751">
        <f>+N132+BT133+BU133+BV133</f>
        <v>75</v>
      </c>
      <c r="O133" s="752">
        <f>+(N133/N128-1)*100</f>
        <v>0</v>
      </c>
      <c r="P133" s="751">
        <f>+P132+BY133+BZ133+CA133</f>
        <v>0</v>
      </c>
      <c r="Q133" s="751"/>
      <c r="R133" s="751">
        <f>+R132+CD133+CF133+CE133</f>
        <v>0</v>
      </c>
      <c r="S133" s="752"/>
      <c r="T133" s="751">
        <f>+T132+CI133+CJ133</f>
        <v>0</v>
      </c>
      <c r="U133" s="755"/>
      <c r="V133" s="309">
        <f>+V132+BO133-BP133</f>
        <v>9</v>
      </c>
      <c r="W133" s="317">
        <f>+(V133/V127-1)*100</f>
        <v>125</v>
      </c>
      <c r="X133" s="317"/>
      <c r="Y133" s="317"/>
      <c r="Z133" s="828">
        <f>+Z132+CM133-CN133</f>
        <v>0</v>
      </c>
      <c r="AA133" s="317"/>
      <c r="AB133" s="307"/>
      <c r="AC133" s="308"/>
      <c r="AD133" s="307"/>
      <c r="AE133" s="308"/>
      <c r="AF133" s="307"/>
      <c r="AG133" s="308"/>
      <c r="AH133" s="307"/>
      <c r="AI133" s="308"/>
      <c r="AJ133" s="307"/>
      <c r="AK133" s="308"/>
      <c r="AL133" s="307"/>
      <c r="AM133" s="308"/>
      <c r="AN133" s="307"/>
      <c r="AO133" s="308"/>
      <c r="AP133" s="30"/>
      <c r="AQ133" s="451">
        <f>H133+J133+L133+V133</f>
        <v>3025</v>
      </c>
      <c r="AR133" s="308">
        <f>+(AQ133/AQ127-1)*100</f>
        <v>0.1324064879179021</v>
      </c>
      <c r="AS133" s="308"/>
      <c r="AT133" s="30" t="str">
        <f>+A133</f>
        <v>3Q</v>
      </c>
      <c r="AU133" s="30" t="str">
        <f>+B133</f>
        <v>Oct</v>
      </c>
      <c r="AV133" s="30"/>
      <c r="AW133" s="307"/>
      <c r="AX133" s="308"/>
      <c r="AY133" s="308"/>
      <c r="AZ133" s="307"/>
      <c r="BA133" s="317"/>
      <c r="BB133" s="308"/>
      <c r="BC133" s="307">
        <v>1</v>
      </c>
      <c r="BD133" s="307">
        <v>-3</v>
      </c>
      <c r="BE133" s="307"/>
      <c r="BF133" s="308"/>
      <c r="BG133" s="307">
        <v>5</v>
      </c>
      <c r="BH133" s="307">
        <v>-2</v>
      </c>
      <c r="BI133" s="307"/>
      <c r="BJ133" s="308"/>
      <c r="BK133" s="307">
        <v>15</v>
      </c>
      <c r="BL133" s="307">
        <v>-3</v>
      </c>
      <c r="BM133" s="317"/>
      <c r="BN133" s="308"/>
      <c r="BO133" s="321">
        <v>3</v>
      </c>
      <c r="BP133" s="321">
        <v>0</v>
      </c>
      <c r="BQ133" s="321"/>
      <c r="BR133" s="321"/>
      <c r="BS133" s="308"/>
      <c r="BT133" s="307">
        <v>0</v>
      </c>
      <c r="BU133" s="307">
        <v>0</v>
      </c>
      <c r="BV133" s="307">
        <v>0</v>
      </c>
      <c r="BW133" s="317"/>
      <c r="BX133" s="308"/>
      <c r="BY133" s="307">
        <v>0</v>
      </c>
      <c r="BZ133" s="307">
        <v>0</v>
      </c>
      <c r="CA133" s="307">
        <v>0</v>
      </c>
      <c r="CB133" s="317"/>
      <c r="CC133" s="308"/>
      <c r="CD133" s="307">
        <v>0</v>
      </c>
      <c r="CE133" s="307">
        <v>0</v>
      </c>
      <c r="CF133" s="307">
        <v>0</v>
      </c>
      <c r="CG133" s="317"/>
      <c r="CH133" s="308"/>
      <c r="CI133" s="307">
        <v>0</v>
      </c>
      <c r="CJ133" s="307">
        <v>0</v>
      </c>
      <c r="CK133" s="317"/>
      <c r="CL133" s="308"/>
      <c r="CM133" s="321">
        <v>0</v>
      </c>
      <c r="CN133" s="321">
        <v>0</v>
      </c>
      <c r="CO133" s="308"/>
      <c r="CP133" s="321"/>
      <c r="CQ133" s="317"/>
      <c r="CR133" s="308"/>
      <c r="CS133" s="321"/>
      <c r="CT133" s="317"/>
      <c r="CU133" s="308"/>
      <c r="CV133" s="321"/>
      <c r="CW133" s="317"/>
      <c r="CX133" s="308"/>
      <c r="CY133" s="321"/>
      <c r="CZ133" s="317"/>
      <c r="DA133" s="308"/>
      <c r="DB133" s="321"/>
      <c r="DC133" s="317"/>
      <c r="DD133" s="308"/>
      <c r="DE133" s="321"/>
      <c r="DF133" s="317"/>
      <c r="DG133" s="308"/>
      <c r="DH133" s="321"/>
      <c r="DI133" s="321"/>
      <c r="DJ133" s="321"/>
      <c r="DK133" s="321"/>
      <c r="DL133" s="321"/>
      <c r="DM133">
        <v>2011</v>
      </c>
      <c r="DO133">
        <v>27.327000000000002</v>
      </c>
      <c r="DQ133">
        <v>0</v>
      </c>
    </row>
    <row r="134" spans="1:124" hidden="1" outlineLevel="1">
      <c r="A134" s="30" t="str">
        <f>qtrSales!A155</f>
        <v>4Q</v>
      </c>
      <c r="B134" s="30" t="str">
        <f>qtrSales!B155</f>
        <v>Jan</v>
      </c>
      <c r="C134" s="339"/>
      <c r="D134" s="307"/>
      <c r="E134" s="308"/>
      <c r="F134" s="307"/>
      <c r="G134" s="317"/>
      <c r="H134" s="309">
        <f>+H133+BC134+BD134</f>
        <v>258</v>
      </c>
      <c r="I134" s="308">
        <f>+(H134/H128-1)*100</f>
        <v>-19.875776397515533</v>
      </c>
      <c r="J134" s="325">
        <f>+J133+BG134+BH134</f>
        <v>1044</v>
      </c>
      <c r="K134" s="308">
        <f>+(J134/J128-1)*100</f>
        <v>9.5877277085332224E-2</v>
      </c>
      <c r="L134" s="325">
        <f>+L133+BK134+BL134</f>
        <v>1658</v>
      </c>
      <c r="M134" s="308">
        <f>+(L134/L128-1)*100</f>
        <v>0.85158150851580849</v>
      </c>
      <c r="N134" s="751">
        <f>+N133+BT134+BU134+BV134</f>
        <v>75</v>
      </c>
      <c r="O134" s="752"/>
      <c r="P134" s="751">
        <f>+P133+BY134+BZ134+CA134</f>
        <v>0</v>
      </c>
      <c r="Q134" s="751"/>
      <c r="R134" s="751">
        <f>+R133+CD134+CF134+CE134</f>
        <v>0</v>
      </c>
      <c r="S134" s="752"/>
      <c r="T134" s="751">
        <f>+T133+CI134+CJ134</f>
        <v>0</v>
      </c>
      <c r="U134" s="755"/>
      <c r="V134" s="309">
        <f>+V133+BO134-BP134</f>
        <v>11</v>
      </c>
      <c r="W134" s="317">
        <f>+(V134/V128-1)*100</f>
        <v>120.00000000000001</v>
      </c>
      <c r="X134" s="317"/>
      <c r="Y134" s="317"/>
      <c r="Z134" s="828">
        <f>+Z133+CM134-CN134</f>
        <v>0</v>
      </c>
      <c r="AA134" s="317"/>
      <c r="AB134" s="307"/>
      <c r="AC134" s="308"/>
      <c r="AD134" s="307"/>
      <c r="AE134" s="308"/>
      <c r="AF134" s="307"/>
      <c r="AG134" s="308"/>
      <c r="AH134" s="307"/>
      <c r="AI134" s="308"/>
      <c r="AJ134" s="307"/>
      <c r="AK134" s="308"/>
      <c r="AL134" s="307"/>
      <c r="AM134" s="308"/>
      <c r="AN134" s="307"/>
      <c r="AO134" s="308"/>
      <c r="AP134" s="30"/>
      <c r="AQ134" s="451">
        <f>H134+J134+L134+V134</f>
        <v>2971</v>
      </c>
      <c r="AR134" s="308">
        <f>+(AQ134/AQ128-1)*100</f>
        <v>-1.4266755142667509</v>
      </c>
      <c r="AS134" s="308"/>
      <c r="AT134" s="30" t="str">
        <f>+A134</f>
        <v>4Q</v>
      </c>
      <c r="AU134" s="30" t="str">
        <f>+B134</f>
        <v>Jan</v>
      </c>
      <c r="AV134" s="30"/>
      <c r="AW134" s="302"/>
      <c r="AX134" s="302"/>
      <c r="AY134" s="308"/>
      <c r="AZ134" s="302"/>
      <c r="BA134" s="302"/>
      <c r="BB134" s="308"/>
      <c r="BC134" s="302">
        <v>0</v>
      </c>
      <c r="BD134" s="302">
        <v>-46</v>
      </c>
      <c r="BE134" s="307"/>
      <c r="BF134" s="308"/>
      <c r="BG134" s="302">
        <v>2</v>
      </c>
      <c r="BH134" s="302">
        <v>-7</v>
      </c>
      <c r="BI134" s="338"/>
      <c r="BJ134" s="308"/>
      <c r="BK134" s="302">
        <v>3</v>
      </c>
      <c r="BL134" s="302">
        <v>-8</v>
      </c>
      <c r="BM134" s="302"/>
      <c r="BN134" s="308"/>
      <c r="BO134" s="302">
        <v>2</v>
      </c>
      <c r="BP134" s="302">
        <v>0</v>
      </c>
      <c r="BQ134" s="307"/>
      <c r="BR134" s="307"/>
      <c r="BS134" s="308"/>
      <c r="BT134" s="302">
        <v>0</v>
      </c>
      <c r="BU134" s="302">
        <v>0</v>
      </c>
      <c r="BV134" s="302">
        <v>0</v>
      </c>
      <c r="BW134" s="302"/>
      <c r="BX134" s="308"/>
      <c r="BY134" s="302">
        <v>0</v>
      </c>
      <c r="BZ134" s="302">
        <v>0</v>
      </c>
      <c r="CA134" s="302">
        <v>0</v>
      </c>
      <c r="CB134" s="302"/>
      <c r="CC134" s="308"/>
      <c r="CD134" s="302">
        <v>0</v>
      </c>
      <c r="CE134" s="302">
        <v>0</v>
      </c>
      <c r="CF134" s="302">
        <v>0</v>
      </c>
      <c r="CG134" s="302"/>
      <c r="CH134" s="308"/>
      <c r="CI134" s="302">
        <v>0</v>
      </c>
      <c r="CJ134" s="302">
        <v>0</v>
      </c>
      <c r="CK134" s="302"/>
      <c r="CL134" s="308"/>
      <c r="CM134" s="302">
        <v>0</v>
      </c>
      <c r="CN134" s="302">
        <v>0</v>
      </c>
      <c r="CO134" s="308"/>
      <c r="CP134" s="302"/>
      <c r="CQ134" s="302"/>
      <c r="CR134" s="308"/>
      <c r="CS134" s="302"/>
      <c r="CT134" s="302"/>
      <c r="CU134" s="308"/>
      <c r="CV134" s="302"/>
      <c r="CW134" s="302"/>
      <c r="CX134" s="308"/>
      <c r="CY134" s="302"/>
      <c r="CZ134" s="302"/>
      <c r="DA134" s="308"/>
      <c r="DB134" s="302"/>
      <c r="DC134" s="302"/>
      <c r="DD134" s="308"/>
      <c r="DE134" s="302"/>
      <c r="DF134" s="302"/>
      <c r="DG134" s="308"/>
      <c r="DH134" s="306"/>
      <c r="DI134" s="306"/>
      <c r="DJ134" s="306"/>
      <c r="DK134" s="306"/>
      <c r="DL134" s="321"/>
    </row>
    <row r="135" spans="1:124" hidden="1" outlineLevel="1">
      <c r="A135" s="24"/>
      <c r="B135" s="24"/>
      <c r="C135" s="24"/>
      <c r="D135" s="24"/>
      <c r="E135" s="24"/>
      <c r="F135" s="24"/>
      <c r="G135" s="305"/>
      <c r="H135" s="305"/>
      <c r="I135" s="305"/>
      <c r="J135" s="24"/>
      <c r="K135" s="305"/>
      <c r="L135" s="24"/>
      <c r="M135" s="24"/>
      <c r="N135" s="387"/>
      <c r="O135" s="24"/>
      <c r="P135" s="24"/>
      <c r="Q135" s="24"/>
      <c r="R135" s="24"/>
      <c r="S135" s="24"/>
      <c r="T135" s="387"/>
      <c r="U135" s="24"/>
      <c r="V135" s="24"/>
      <c r="W135" s="305"/>
      <c r="X135" s="305"/>
      <c r="Y135" s="305"/>
      <c r="Z135" s="387"/>
      <c r="AA135" s="305"/>
      <c r="AB135" s="24"/>
      <c r="AC135" s="24"/>
      <c r="AD135" s="24"/>
      <c r="AE135" s="24"/>
      <c r="AF135" s="30"/>
      <c r="AG135" s="30"/>
      <c r="AH135" s="30"/>
      <c r="AI135" s="30"/>
      <c r="AJ135" s="30"/>
      <c r="AK135" s="30"/>
      <c r="AL135" s="30"/>
      <c r="AM135" s="30"/>
      <c r="AN135" s="30"/>
      <c r="AO135" s="30"/>
      <c r="AP135" s="24"/>
      <c r="AQ135" s="593"/>
      <c r="AR135" s="30"/>
      <c r="AS135" s="30"/>
      <c r="AT135" s="24"/>
      <c r="AU135" s="24"/>
      <c r="AV135" s="24"/>
      <c r="AW135" s="30"/>
      <c r="AX135" s="30"/>
      <c r="AY135" s="30"/>
      <c r="AZ135" s="30"/>
      <c r="BA135" s="320"/>
      <c r="BB135" s="30"/>
      <c r="BC135" s="309">
        <f>SUM(BC131:BC134)</f>
        <v>2</v>
      </c>
      <c r="BD135" s="309">
        <f>SUM(BD131:BD134)</f>
        <v>-66</v>
      </c>
      <c r="BE135" s="309"/>
      <c r="BF135" s="24"/>
      <c r="BG135" s="309">
        <f>SUM(BG131:BG134)</f>
        <v>17</v>
      </c>
      <c r="BH135" s="309">
        <f>SUM(BH131:BH134)</f>
        <v>-16</v>
      </c>
      <c r="BI135" s="422">
        <v>22</v>
      </c>
      <c r="BJ135" s="24"/>
      <c r="BK135" s="309">
        <f>SUM(BK131:BK134)</f>
        <v>34</v>
      </c>
      <c r="BL135" s="309">
        <f>SUM(BL131:BL134)</f>
        <v>-20</v>
      </c>
      <c r="BM135" s="24"/>
      <c r="BN135" s="24"/>
      <c r="BO135" s="309">
        <f>SUM(BO131:BO134)</f>
        <v>6</v>
      </c>
      <c r="BP135" s="309">
        <f>SUM(BP131:BP134)</f>
        <v>0</v>
      </c>
      <c r="BQ135" s="309"/>
      <c r="BR135" s="309"/>
      <c r="BS135" s="24"/>
      <c r="BT135" s="309">
        <f>SUM(BT131:BT134)</f>
        <v>0</v>
      </c>
      <c r="BU135" s="309">
        <f>SUM(BU131:BU134)</f>
        <v>0</v>
      </c>
      <c r="BV135" s="309">
        <f>SUM(BV131:BV134)</f>
        <v>0</v>
      </c>
      <c r="BW135" s="24"/>
      <c r="BX135" s="24"/>
      <c r="BY135" s="309">
        <f>SUM(BY131:BY134)</f>
        <v>0</v>
      </c>
      <c r="BZ135" s="309">
        <f>SUM(BZ131:BZ134)</f>
        <v>0</v>
      </c>
      <c r="CA135" s="309">
        <f>SUM(CA131:CA134)</f>
        <v>0</v>
      </c>
      <c r="CB135" s="24"/>
      <c r="CC135" s="24"/>
      <c r="CD135" s="309">
        <f>SUM(CD131:CD134)</f>
        <v>0</v>
      </c>
      <c r="CE135" s="309">
        <f>SUM(CE131:CE134)</f>
        <v>0</v>
      </c>
      <c r="CF135" s="309">
        <f>SUM(CF131:CF134)</f>
        <v>0</v>
      </c>
      <c r="CG135" s="24"/>
      <c r="CH135" s="24"/>
      <c r="CI135" s="309">
        <f>SUM(CI131:CI134)</f>
        <v>0</v>
      </c>
      <c r="CJ135" s="309">
        <f>SUM(CJ131:CJ134)</f>
        <v>0</v>
      </c>
      <c r="CK135" s="309"/>
      <c r="CL135" s="309"/>
      <c r="CM135" s="309">
        <f>SUM(CM131:CM134)</f>
        <v>0</v>
      </c>
      <c r="CN135" s="309">
        <f>SUM(CN131:CN134)</f>
        <v>0</v>
      </c>
      <c r="CO135" s="309"/>
      <c r="CP135" s="24"/>
      <c r="CQ135" s="24"/>
      <c r="CR135" s="24"/>
      <c r="CS135" s="24"/>
      <c r="CT135" s="24"/>
      <c r="CU135" s="24"/>
      <c r="CV135" s="24"/>
      <c r="CW135" s="24"/>
      <c r="CX135" s="24"/>
      <c r="CY135" s="24"/>
      <c r="CZ135" s="24"/>
      <c r="DA135" s="24"/>
      <c r="DB135" s="24"/>
      <c r="DC135" s="24"/>
      <c r="DD135" s="24"/>
      <c r="DE135" s="24"/>
      <c r="DF135" s="24"/>
      <c r="DG135" s="24"/>
      <c r="DH135" s="551">
        <f>+BG135+BK135+BO135+BC135</f>
        <v>59</v>
      </c>
      <c r="DI135" s="551">
        <f>+BH135+BL135+BP135+BD135</f>
        <v>-102</v>
      </c>
      <c r="DJ135" s="383"/>
      <c r="DK135" s="383"/>
      <c r="DL135" s="30"/>
      <c r="DT135" s="988"/>
    </row>
    <row r="136" spans="1:124" collapsed="1">
      <c r="A136" s="301"/>
      <c r="B136" s="312" t="str">
        <f>qtrSales!B158</f>
        <v>2010A</v>
      </c>
      <c r="C136" s="30"/>
      <c r="D136" s="30"/>
      <c r="E136" s="310"/>
      <c r="F136" s="30"/>
      <c r="G136" s="318"/>
      <c r="H136" s="318"/>
      <c r="I136" s="931"/>
      <c r="J136" s="936"/>
      <c r="K136" s="319"/>
      <c r="L136" s="429"/>
      <c r="M136" s="310"/>
      <c r="N136" s="309"/>
      <c r="O136" s="310"/>
      <c r="P136" s="309"/>
      <c r="Q136" s="30"/>
      <c r="R136" s="30"/>
      <c r="S136" s="429"/>
      <c r="T136" s="429"/>
      <c r="U136" s="310"/>
      <c r="V136" s="30"/>
      <c r="W136" s="318"/>
      <c r="X136" s="318"/>
      <c r="Y136" s="318"/>
      <c r="Z136" s="830"/>
      <c r="AA136" s="318"/>
      <c r="AB136" s="30"/>
      <c r="AC136" s="310"/>
      <c r="AD136" s="30"/>
      <c r="AE136" s="310"/>
      <c r="AF136" s="30"/>
      <c r="AG136" s="310"/>
      <c r="AH136" s="30"/>
      <c r="AI136" s="310"/>
      <c r="AJ136" s="30"/>
      <c r="AK136" s="310"/>
      <c r="AL136" s="30"/>
      <c r="AM136" s="310"/>
      <c r="AN136" s="30"/>
      <c r="AO136" s="310"/>
      <c r="AP136" s="30"/>
      <c r="AQ136" s="451"/>
      <c r="AR136" s="310"/>
      <c r="AS136" s="310"/>
      <c r="AT136" s="141"/>
      <c r="AU136" s="27" t="str">
        <f>+B136</f>
        <v>2010A</v>
      </c>
      <c r="AV136" s="30"/>
      <c r="AW136" s="30"/>
      <c r="AX136" s="310"/>
      <c r="AY136" s="310"/>
      <c r="AZ136" s="30"/>
      <c r="BA136" s="318"/>
      <c r="BB136" s="310"/>
      <c r="BC136" s="318"/>
      <c r="BD136" s="318"/>
      <c r="BE136" s="318"/>
      <c r="BF136" s="310"/>
      <c r="BG136" s="30"/>
      <c r="BH136" s="318"/>
      <c r="BI136" s="318"/>
      <c r="BJ136" s="310"/>
      <c r="BK136" s="30"/>
      <c r="BL136" s="318"/>
      <c r="BM136" s="318"/>
      <c r="BN136" s="310"/>
      <c r="BO136" s="30"/>
      <c r="BP136" s="318"/>
      <c r="BQ136" s="318"/>
      <c r="BR136" s="318"/>
      <c r="BS136" s="310"/>
      <c r="BT136" s="30"/>
      <c r="BU136" s="318"/>
      <c r="BV136" s="318"/>
      <c r="BW136" s="318"/>
      <c r="BX136" s="310"/>
      <c r="BY136" s="30"/>
      <c r="BZ136" s="318"/>
      <c r="CA136" s="318"/>
      <c r="CB136" s="318"/>
      <c r="CC136" s="310"/>
      <c r="CD136" s="309"/>
      <c r="CE136" s="318"/>
      <c r="CF136" s="318"/>
      <c r="CG136" s="318"/>
      <c r="CH136" s="310"/>
      <c r="CI136" s="30"/>
      <c r="CJ136" s="318"/>
      <c r="CK136" s="318"/>
      <c r="CL136" s="310"/>
      <c r="CM136" s="30"/>
      <c r="CN136" s="318"/>
      <c r="CO136" s="310"/>
      <c r="CP136" s="30"/>
      <c r="CQ136" s="318"/>
      <c r="CR136" s="310"/>
      <c r="CS136" s="30"/>
      <c r="CT136" s="318"/>
      <c r="CU136" s="310"/>
      <c r="CV136" s="30"/>
      <c r="CW136" s="318"/>
      <c r="CX136" s="310"/>
      <c r="CY136" s="30"/>
      <c r="CZ136" s="318"/>
      <c r="DA136" s="310"/>
      <c r="DB136" s="30"/>
      <c r="DC136" s="318"/>
      <c r="DD136" s="310"/>
      <c r="DE136" s="30"/>
      <c r="DF136" s="318"/>
      <c r="DG136" s="310"/>
      <c r="DH136" s="307"/>
      <c r="DI136" s="307"/>
      <c r="DJ136" s="307"/>
      <c r="DK136" s="307"/>
      <c r="DL136" s="307"/>
      <c r="DT136" s="988"/>
    </row>
    <row r="137" spans="1:124">
      <c r="A137" s="30" t="str">
        <f>qtrSales!A159</f>
        <v>1Q</v>
      </c>
      <c r="B137" s="30" t="str">
        <f>qtrSales!B159</f>
        <v>Apr</v>
      </c>
      <c r="C137" s="30"/>
      <c r="D137" s="307"/>
      <c r="E137" s="308"/>
      <c r="F137" s="307"/>
      <c r="G137" s="317"/>
      <c r="H137" s="325">
        <f>+H134+BC137+BD137</f>
        <v>257</v>
      </c>
      <c r="I137" s="308">
        <f>+(H137/H131-1)*100</f>
        <v>-19.182389937106915</v>
      </c>
      <c r="J137" s="325">
        <f>+J134+BG137+BH137</f>
        <v>1044</v>
      </c>
      <c r="K137" s="308">
        <f>+(J137/J131-1)*100</f>
        <v>0.38461538461538325</v>
      </c>
      <c r="L137" s="325">
        <f>+L134+BK137+BL137</f>
        <v>1657</v>
      </c>
      <c r="M137" s="308">
        <f>+(L137/L131-1)*100</f>
        <v>0.72948328267476992</v>
      </c>
      <c r="N137" s="751">
        <f>+N134+BT137+BU137+BV137</f>
        <v>75</v>
      </c>
      <c r="O137" s="752">
        <f>+(N137/N132-1)*100</f>
        <v>0</v>
      </c>
      <c r="P137" s="751">
        <f>+P135+BY137+BZ137+CA137</f>
        <v>0</v>
      </c>
      <c r="Q137" s="307"/>
      <c r="R137" s="751">
        <f>+R135+CD137+CF137+CE137</f>
        <v>0</v>
      </c>
      <c r="S137" s="474"/>
      <c r="T137" s="751">
        <f>+T135+CI137+CJ137</f>
        <v>0</v>
      </c>
      <c r="U137" s="755"/>
      <c r="V137" s="309">
        <f>+V134+BO137</f>
        <v>11</v>
      </c>
      <c r="W137" s="317">
        <f>+(V137/V131-1)*100</f>
        <v>120.00000000000001</v>
      </c>
      <c r="X137" s="317"/>
      <c r="Y137" s="317"/>
      <c r="Z137" s="828">
        <f>+Z134+CM137-CN137</f>
        <v>0</v>
      </c>
      <c r="AA137" s="317"/>
      <c r="AB137" s="307"/>
      <c r="AC137" s="308"/>
      <c r="AD137" s="307"/>
      <c r="AE137" s="308"/>
      <c r="AF137" s="307"/>
      <c r="AG137" s="308"/>
      <c r="AH137" s="307"/>
      <c r="AI137" s="308"/>
      <c r="AJ137" s="307"/>
      <c r="AK137" s="308"/>
      <c r="AL137" s="307"/>
      <c r="AM137" s="308"/>
      <c r="AN137" s="307"/>
      <c r="AO137" s="308"/>
      <c r="AP137" s="30"/>
      <c r="AQ137" s="451">
        <f>H137+J137+L137+V137</f>
        <v>2969</v>
      </c>
      <c r="AR137" s="308">
        <f>+(AQ137/AQ131-1)*100</f>
        <v>-1.2965425531914931</v>
      </c>
      <c r="AS137" s="308"/>
      <c r="AT137" s="30" t="str">
        <f>+A137</f>
        <v>1Q</v>
      </c>
      <c r="AU137" s="30" t="str">
        <f>+B137</f>
        <v>Apr</v>
      </c>
      <c r="AV137" s="30"/>
      <c r="AW137" s="307"/>
      <c r="AX137" s="308"/>
      <c r="AY137" s="308"/>
      <c r="AZ137" s="307"/>
      <c r="BA137" s="317"/>
      <c r="BB137" s="308"/>
      <c r="BC137" s="307">
        <v>0</v>
      </c>
      <c r="BD137" s="307">
        <v>-1</v>
      </c>
      <c r="BE137" s="307"/>
      <c r="BF137" s="308"/>
      <c r="BG137" s="307">
        <v>3</v>
      </c>
      <c r="BH137" s="307">
        <v>-3</v>
      </c>
      <c r="BI137" s="307"/>
      <c r="BJ137" s="308"/>
      <c r="BK137" s="307">
        <f>2+5</f>
        <v>7</v>
      </c>
      <c r="BL137" s="307">
        <v>-8</v>
      </c>
      <c r="BM137" s="317"/>
      <c r="BN137" s="308"/>
      <c r="BO137" s="321">
        <v>0</v>
      </c>
      <c r="BP137" s="321">
        <v>0</v>
      </c>
      <c r="BQ137" s="321"/>
      <c r="BR137" s="321"/>
      <c r="BS137" s="308"/>
      <c r="BT137" s="307">
        <v>0</v>
      </c>
      <c r="BU137" s="307">
        <v>0</v>
      </c>
      <c r="BV137" s="307">
        <v>0</v>
      </c>
      <c r="BW137" s="317"/>
      <c r="BX137" s="308"/>
      <c r="BY137" s="307">
        <v>0</v>
      </c>
      <c r="BZ137" s="307">
        <v>0</v>
      </c>
      <c r="CA137" s="307">
        <v>0</v>
      </c>
      <c r="CB137" s="317"/>
      <c r="CC137" s="308"/>
      <c r="CD137" s="307">
        <v>0</v>
      </c>
      <c r="CE137" s="307">
        <v>0</v>
      </c>
      <c r="CF137" s="307">
        <v>0</v>
      </c>
      <c r="CG137" s="317"/>
      <c r="CH137" s="308"/>
      <c r="CI137" s="307">
        <v>0</v>
      </c>
      <c r="CJ137" s="307">
        <v>0</v>
      </c>
      <c r="CK137" s="317"/>
      <c r="CL137" s="308"/>
      <c r="CM137" s="321">
        <v>0</v>
      </c>
      <c r="CN137" s="321">
        <v>0</v>
      </c>
      <c r="CO137" s="308"/>
      <c r="CP137" s="321"/>
      <c r="CQ137" s="317"/>
      <c r="CR137" s="308"/>
      <c r="CS137" s="321"/>
      <c r="CT137" s="317"/>
      <c r="CU137" s="308"/>
      <c r="CV137" s="321"/>
      <c r="CW137" s="317"/>
      <c r="CX137" s="308"/>
      <c r="CY137" s="321"/>
      <c r="CZ137" s="317"/>
      <c r="DA137" s="308"/>
      <c r="DB137" s="321"/>
      <c r="DC137" s="317"/>
      <c r="DD137" s="308"/>
      <c r="DE137" s="321"/>
      <c r="DF137" s="317"/>
      <c r="DG137" s="308"/>
      <c r="DH137" s="321"/>
      <c r="DI137" s="321"/>
      <c r="DJ137" s="321"/>
      <c r="DK137" s="321"/>
      <c r="DL137" s="321"/>
      <c r="DM137" s="321"/>
      <c r="DN137" s="321"/>
      <c r="DO137" s="321"/>
      <c r="DP137" s="321"/>
      <c r="DQ137" s="321"/>
      <c r="DR137" s="321"/>
      <c r="DS137" s="321"/>
      <c r="DT137" s="989"/>
    </row>
    <row r="138" spans="1:124">
      <c r="A138" s="30" t="str">
        <f>qtrSales!A160</f>
        <v>2Q</v>
      </c>
      <c r="B138" s="30" t="str">
        <f>qtrSales!B160</f>
        <v>Jul</v>
      </c>
      <c r="C138" s="30"/>
      <c r="D138" s="307"/>
      <c r="E138" s="308"/>
      <c r="F138" s="307"/>
      <c r="G138" s="317"/>
      <c r="H138" s="325">
        <f>+H137+BC138+BD138</f>
        <v>255</v>
      </c>
      <c r="I138" s="308">
        <f>+(H138/H132-1)*100</f>
        <v>-16.666666666666664</v>
      </c>
      <c r="J138" s="325">
        <f>+J137+BG138+BH138</f>
        <v>1045</v>
      </c>
      <c r="K138" s="308">
        <f>+(J138/J132-1)*100</f>
        <v>-9.5602294455066072E-2</v>
      </c>
      <c r="L138" s="325">
        <f>+L137+BK138+BL138</f>
        <v>1658</v>
      </c>
      <c r="M138" s="308">
        <f>+(L138/L132-1)*100</f>
        <v>0.42398546335553622</v>
      </c>
      <c r="N138" s="751">
        <f>+N137+BT138+BU138+BV138</f>
        <v>75</v>
      </c>
      <c r="O138" s="752">
        <f>+(N138/N133-1)*100</f>
        <v>0</v>
      </c>
      <c r="P138" s="751">
        <f>+P137+BY138+BZ138+CA138</f>
        <v>0</v>
      </c>
      <c r="Q138" s="751"/>
      <c r="R138" s="751">
        <f>+R137+CD138+CF138+CE138</f>
        <v>0</v>
      </c>
      <c r="S138" s="752"/>
      <c r="T138" s="751">
        <f>+T137+CI138+CJ138</f>
        <v>0</v>
      </c>
      <c r="U138" s="755"/>
      <c r="V138" s="309">
        <f>+V137+BO138-BP138</f>
        <v>11</v>
      </c>
      <c r="W138" s="317">
        <f>+(V138/V132-1)*100</f>
        <v>83.333333333333329</v>
      </c>
      <c r="X138" s="317"/>
      <c r="Y138" s="317"/>
      <c r="Z138" s="828">
        <f>+Z137+CM138+CN138</f>
        <v>0</v>
      </c>
      <c r="AA138" s="317"/>
      <c r="AB138" s="307"/>
      <c r="AC138" s="308"/>
      <c r="AD138" s="307"/>
      <c r="AE138" s="308"/>
      <c r="AF138" s="307"/>
      <c r="AG138" s="308"/>
      <c r="AH138" s="307"/>
      <c r="AI138" s="308"/>
      <c r="AJ138" s="307"/>
      <c r="AK138" s="308"/>
      <c r="AL138" s="307"/>
      <c r="AM138" s="308"/>
      <c r="AN138" s="307"/>
      <c r="AO138" s="308"/>
      <c r="AP138" s="530"/>
      <c r="AQ138" s="451">
        <f>H138+J138+L138+V138</f>
        <v>2969</v>
      </c>
      <c r="AR138" s="308">
        <f>+(AQ138/AQ132-1)*100</f>
        <v>-1.3293452974410092</v>
      </c>
      <c r="AS138" s="308"/>
      <c r="AT138" s="30" t="str">
        <f>+A138</f>
        <v>2Q</v>
      </c>
      <c r="AU138" s="30" t="str">
        <f>+B138</f>
        <v>Jul</v>
      </c>
      <c r="AV138" s="30"/>
      <c r="AW138" s="307"/>
      <c r="AX138" s="308"/>
      <c r="AY138" s="308"/>
      <c r="AZ138" s="307"/>
      <c r="BA138" s="317"/>
      <c r="BB138" s="308"/>
      <c r="BC138" s="307">
        <v>0</v>
      </c>
      <c r="BD138" s="307">
        <v>-2</v>
      </c>
      <c r="BE138" s="307"/>
      <c r="BF138" s="308"/>
      <c r="BG138" s="307">
        <f>1+2</f>
        <v>3</v>
      </c>
      <c r="BH138" s="307">
        <f>-2-0</f>
        <v>-2</v>
      </c>
      <c r="BI138" s="307"/>
      <c r="BJ138" s="308"/>
      <c r="BK138" s="307">
        <f>0+3</f>
        <v>3</v>
      </c>
      <c r="BL138" s="307">
        <f>-2+0</f>
        <v>-2</v>
      </c>
      <c r="BM138" s="317"/>
      <c r="BN138" s="308"/>
      <c r="BO138" s="321">
        <v>0</v>
      </c>
      <c r="BP138" s="321">
        <v>0</v>
      </c>
      <c r="BQ138" s="321"/>
      <c r="BR138" s="321"/>
      <c r="BS138" s="308"/>
      <c r="BT138" s="307">
        <v>0</v>
      </c>
      <c r="BU138" s="307">
        <v>0</v>
      </c>
      <c r="BV138" s="307">
        <v>0</v>
      </c>
      <c r="BW138" s="317"/>
      <c r="BX138" s="308"/>
      <c r="BY138" s="307">
        <v>0</v>
      </c>
      <c r="BZ138" s="307">
        <v>0</v>
      </c>
      <c r="CA138" s="307">
        <v>0</v>
      </c>
      <c r="CB138" s="317"/>
      <c r="CC138" s="308"/>
      <c r="CD138" s="307">
        <v>0</v>
      </c>
      <c r="CE138" s="307">
        <v>0</v>
      </c>
      <c r="CF138" s="307">
        <v>0</v>
      </c>
      <c r="CG138" s="317"/>
      <c r="CH138" s="308"/>
      <c r="CI138" s="307">
        <v>0</v>
      </c>
      <c r="CJ138" s="307">
        <v>0</v>
      </c>
      <c r="CK138" s="317"/>
      <c r="CL138" s="308"/>
      <c r="CM138" s="321">
        <v>0</v>
      </c>
      <c r="CN138" s="321">
        <v>0</v>
      </c>
      <c r="CO138" s="308"/>
      <c r="CP138" s="321"/>
      <c r="CQ138" s="317"/>
      <c r="CR138" s="308"/>
      <c r="CS138" s="321"/>
      <c r="CT138" s="317"/>
      <c r="CU138" s="308"/>
      <c r="CV138" s="321"/>
      <c r="CW138" s="317"/>
      <c r="CX138" s="308"/>
      <c r="CY138" s="321"/>
      <c r="CZ138" s="317"/>
      <c r="DA138" s="308"/>
      <c r="DB138" s="321"/>
      <c r="DC138" s="317"/>
      <c r="DD138" s="308"/>
      <c r="DE138" s="321"/>
      <c r="DF138" s="317"/>
      <c r="DG138" s="308"/>
      <c r="DH138" s="321"/>
      <c r="DI138" s="321"/>
      <c r="DJ138" s="321"/>
      <c r="DK138" s="321"/>
      <c r="DL138" s="321"/>
      <c r="DM138" s="321"/>
      <c r="DN138" s="321"/>
      <c r="DO138" s="321"/>
      <c r="DP138" s="321"/>
      <c r="DQ138" s="321"/>
      <c r="DR138" s="321"/>
      <c r="DS138" s="321"/>
      <c r="DT138" s="989"/>
    </row>
    <row r="139" spans="1:124">
      <c r="A139" s="30" t="str">
        <f>qtrSales!A161</f>
        <v>3Q</v>
      </c>
      <c r="B139" s="30" t="str">
        <f>qtrSales!B161</f>
        <v>Oct</v>
      </c>
      <c r="C139" s="30"/>
      <c r="D139" s="307"/>
      <c r="E139" s="308"/>
      <c r="F139" s="307"/>
      <c r="G139" s="317"/>
      <c r="H139" s="309">
        <f>+H138+BC139+BD139</f>
        <v>255</v>
      </c>
      <c r="I139" s="308">
        <f>+(H139/H133-1)*100</f>
        <v>-16.118421052631582</v>
      </c>
      <c r="J139" s="325">
        <f>+J138+BG139+BH139</f>
        <v>1051</v>
      </c>
      <c r="K139" s="308">
        <f>+(J139/J133-1)*100</f>
        <v>0.19065776930409228</v>
      </c>
      <c r="L139" s="325">
        <f>+L138+BK139+BL139</f>
        <v>1671</v>
      </c>
      <c r="M139" s="308">
        <f>+(L139/L133-1)*100</f>
        <v>0.48105832832230355</v>
      </c>
      <c r="N139" s="751">
        <f>+N138+BT139+BU139+BV139</f>
        <v>75</v>
      </c>
      <c r="O139" s="752">
        <f>+(N139/N134-1)*100</f>
        <v>0</v>
      </c>
      <c r="P139" s="751">
        <f>+P138+BY139+BZ139+CA139</f>
        <v>0</v>
      </c>
      <c r="Q139" s="751"/>
      <c r="R139" s="751">
        <f>+R138+CD139+CF139+CE139</f>
        <v>0</v>
      </c>
      <c r="S139" s="752"/>
      <c r="T139" s="751">
        <f>+T138+CI139+CJ139</f>
        <v>0</v>
      </c>
      <c r="U139" s="755"/>
      <c r="V139" s="309">
        <f>+V138+BO139-BP139</f>
        <v>11</v>
      </c>
      <c r="W139" s="317">
        <f>+(V139/V133-1)*100</f>
        <v>22.222222222222232</v>
      </c>
      <c r="X139" s="317"/>
      <c r="Y139" s="317"/>
      <c r="Z139" s="828">
        <f>+Z138+CM139-CN139</f>
        <v>0</v>
      </c>
      <c r="AA139" s="317"/>
      <c r="AB139" s="307"/>
      <c r="AC139" s="308"/>
      <c r="AD139" s="307"/>
      <c r="AE139" s="308"/>
      <c r="AF139" s="307"/>
      <c r="AG139" s="308"/>
      <c r="AH139" s="307"/>
      <c r="AI139" s="308"/>
      <c r="AJ139" s="307"/>
      <c r="AK139" s="308"/>
      <c r="AL139" s="307"/>
      <c r="AM139" s="308"/>
      <c r="AN139" s="307"/>
      <c r="AO139" s="308"/>
      <c r="AP139" s="30"/>
      <c r="AQ139" s="451">
        <f>H139+J139+L139+V139</f>
        <v>2988</v>
      </c>
      <c r="AR139" s="308">
        <f>+(AQ139/AQ133-1)*100</f>
        <v>-1.2231404958677694</v>
      </c>
      <c r="AS139" s="308"/>
      <c r="AT139" s="30" t="str">
        <f>+A139</f>
        <v>3Q</v>
      </c>
      <c r="AU139" s="30" t="str">
        <f>+B139</f>
        <v>Oct</v>
      </c>
      <c r="AV139" s="30"/>
      <c r="AW139" s="307"/>
      <c r="AX139" s="308"/>
      <c r="AY139" s="308"/>
      <c r="AZ139" s="307"/>
      <c r="BA139" s="317"/>
      <c r="BB139" s="308"/>
      <c r="BC139" s="307">
        <v>0</v>
      </c>
      <c r="BD139" s="307">
        <v>0</v>
      </c>
      <c r="BE139" s="307"/>
      <c r="BF139" s="308"/>
      <c r="BG139" s="307">
        <f>1+6</f>
        <v>7</v>
      </c>
      <c r="BH139" s="307">
        <f>-1+0</f>
        <v>-1</v>
      </c>
      <c r="BI139" s="307"/>
      <c r="BJ139" s="308"/>
      <c r="BK139" s="307">
        <f>0+17</f>
        <v>17</v>
      </c>
      <c r="BL139" s="307">
        <f>-4-0</f>
        <v>-4</v>
      </c>
      <c r="BM139" s="317"/>
      <c r="BN139" s="308"/>
      <c r="BO139" s="321">
        <v>0</v>
      </c>
      <c r="BP139" s="321">
        <v>0</v>
      </c>
      <c r="BQ139" s="321"/>
      <c r="BR139" s="321"/>
      <c r="BS139" s="308"/>
      <c r="BT139" s="307">
        <v>0</v>
      </c>
      <c r="BU139" s="307">
        <v>0</v>
      </c>
      <c r="BV139" s="307">
        <v>0</v>
      </c>
      <c r="BW139" s="317"/>
      <c r="BX139" s="308"/>
      <c r="BY139" s="307">
        <v>0</v>
      </c>
      <c r="BZ139" s="307">
        <v>0</v>
      </c>
      <c r="CA139" s="307">
        <v>0</v>
      </c>
      <c r="CB139" s="317"/>
      <c r="CC139" s="308"/>
      <c r="CD139" s="307">
        <v>0</v>
      </c>
      <c r="CE139" s="307">
        <v>0</v>
      </c>
      <c r="CF139" s="307">
        <v>0</v>
      </c>
      <c r="CG139" s="317"/>
      <c r="CH139" s="308"/>
      <c r="CI139" s="307">
        <v>0</v>
      </c>
      <c r="CJ139" s="307">
        <v>0</v>
      </c>
      <c r="CK139" s="317"/>
      <c r="CL139" s="308"/>
      <c r="CM139" s="321">
        <v>0</v>
      </c>
      <c r="CN139" s="321">
        <v>0</v>
      </c>
      <c r="CO139" s="308"/>
      <c r="CP139" s="321"/>
      <c r="CQ139" s="317"/>
      <c r="CR139" s="308"/>
      <c r="CS139" s="321"/>
      <c r="CT139" s="317"/>
      <c r="CU139" s="308"/>
      <c r="CV139" s="321"/>
      <c r="CW139" s="317"/>
      <c r="CX139" s="308"/>
      <c r="CY139" s="321"/>
      <c r="CZ139" s="317"/>
      <c r="DA139" s="308"/>
      <c r="DB139" s="321"/>
      <c r="DC139" s="317"/>
      <c r="DD139" s="308"/>
      <c r="DE139" s="321"/>
      <c r="DF139" s="317"/>
      <c r="DG139" s="308"/>
      <c r="DH139" s="321"/>
      <c r="DI139" s="321"/>
      <c r="DJ139" s="321"/>
      <c r="DK139" s="321"/>
      <c r="DL139" s="321"/>
      <c r="DM139" s="321"/>
      <c r="DN139" s="321"/>
      <c r="DO139" s="321"/>
      <c r="DP139" s="321"/>
      <c r="DQ139" s="321"/>
      <c r="DR139" s="321"/>
      <c r="DS139" s="321"/>
      <c r="DT139" s="989"/>
    </row>
    <row r="140" spans="1:124">
      <c r="A140" s="30" t="str">
        <f>qtrSales!A162</f>
        <v>4Q</v>
      </c>
      <c r="B140" s="30" t="str">
        <f>qtrSales!B162</f>
        <v>Jan</v>
      </c>
      <c r="C140" s="339"/>
      <c r="D140" s="307"/>
      <c r="E140" s="308"/>
      <c r="F140" s="307"/>
      <c r="G140" s="317"/>
      <c r="H140" s="309">
        <f>+H139+BC140+BD140</f>
        <v>252</v>
      </c>
      <c r="I140" s="308">
        <f>+(H140/H134-1)*100</f>
        <v>-2.3255813953488413</v>
      </c>
      <c r="J140" s="325">
        <f>+J139+BG140+BH140</f>
        <v>1040</v>
      </c>
      <c r="K140" s="308">
        <f>+(J140/J134-1)*100</f>
        <v>-0.38314176245211051</v>
      </c>
      <c r="L140" s="325">
        <f>+L139+BK140+BL140</f>
        <v>1665</v>
      </c>
      <c r="M140" s="308">
        <f>+(L140/L134-1)*100</f>
        <v>0.42219541616406175</v>
      </c>
      <c r="N140" s="751">
        <f>+N139+BT140+BU140+BV140</f>
        <v>75</v>
      </c>
      <c r="O140" s="752"/>
      <c r="P140" s="751">
        <f>+P139+BY140+BZ140+CA140</f>
        <v>0</v>
      </c>
      <c r="Q140" s="751"/>
      <c r="R140" s="751">
        <f>+R139+CD140+CF140+CE140</f>
        <v>0</v>
      </c>
      <c r="S140" s="752"/>
      <c r="T140" s="751">
        <f>+T139+CI140+CJ140</f>
        <v>0</v>
      </c>
      <c r="U140" s="755"/>
      <c r="V140" s="309">
        <f>+V139+BO140-BP140</f>
        <v>11</v>
      </c>
      <c r="W140" s="317">
        <f>+(V140/V134-1)*100</f>
        <v>0</v>
      </c>
      <c r="X140" s="317"/>
      <c r="Y140" s="317"/>
      <c r="Z140" s="828">
        <f>+Z139+CM140-CN140</f>
        <v>0</v>
      </c>
      <c r="AA140" s="317"/>
      <c r="AB140" s="307"/>
      <c r="AC140" s="308"/>
      <c r="AD140" s="307"/>
      <c r="AE140" s="308"/>
      <c r="AF140" s="307"/>
      <c r="AG140" s="308"/>
      <c r="AH140" s="307"/>
      <c r="AI140" s="308"/>
      <c r="AJ140" s="307"/>
      <c r="AK140" s="308"/>
      <c r="AL140" s="307"/>
      <c r="AM140" s="308"/>
      <c r="AN140" s="307"/>
      <c r="AO140" s="308"/>
      <c r="AP140" s="30"/>
      <c r="AQ140" s="451">
        <f>H140+J140+L140+V140</f>
        <v>2968</v>
      </c>
      <c r="AR140" s="308">
        <f>+(AQ140/AQ134-1)*100</f>
        <v>-0.10097610232244758</v>
      </c>
      <c r="AS140" s="308"/>
      <c r="AT140" s="30" t="str">
        <f>+A140</f>
        <v>4Q</v>
      </c>
      <c r="AU140" s="30" t="str">
        <f>+B140</f>
        <v>Jan</v>
      </c>
      <c r="AV140" s="30"/>
      <c r="AW140" s="302"/>
      <c r="AX140" s="302"/>
      <c r="AY140" s="308"/>
      <c r="AZ140" s="302"/>
      <c r="BA140" s="302"/>
      <c r="BB140" s="308"/>
      <c r="BC140" s="302">
        <v>0</v>
      </c>
      <c r="BD140" s="302">
        <v>-3</v>
      </c>
      <c r="BE140" s="307"/>
      <c r="BF140" s="308"/>
      <c r="BG140" s="302">
        <v>1</v>
      </c>
      <c r="BH140" s="302">
        <v>-12</v>
      </c>
      <c r="BI140" s="338"/>
      <c r="BJ140" s="308"/>
      <c r="BK140" s="302">
        <v>2</v>
      </c>
      <c r="BL140" s="302">
        <v>-8</v>
      </c>
      <c r="BM140" s="302"/>
      <c r="BN140" s="308"/>
      <c r="BO140" s="302">
        <v>0</v>
      </c>
      <c r="BP140" s="302">
        <v>0</v>
      </c>
      <c r="BQ140" s="307"/>
      <c r="BR140" s="307"/>
      <c r="BS140" s="308"/>
      <c r="BT140" s="302">
        <v>0</v>
      </c>
      <c r="BU140" s="302">
        <v>0</v>
      </c>
      <c r="BV140" s="302">
        <v>0</v>
      </c>
      <c r="BW140" s="302"/>
      <c r="BX140" s="308"/>
      <c r="BY140" s="302">
        <v>0</v>
      </c>
      <c r="BZ140" s="302">
        <v>0</v>
      </c>
      <c r="CA140" s="302">
        <v>0</v>
      </c>
      <c r="CB140" s="302"/>
      <c r="CC140" s="308"/>
      <c r="CD140" s="302">
        <v>0</v>
      </c>
      <c r="CE140" s="302">
        <v>0</v>
      </c>
      <c r="CF140" s="302">
        <v>0</v>
      </c>
      <c r="CG140" s="302"/>
      <c r="CH140" s="308"/>
      <c r="CI140" s="302">
        <v>0</v>
      </c>
      <c r="CJ140" s="302">
        <v>0</v>
      </c>
      <c r="CK140" s="302"/>
      <c r="CL140" s="308"/>
      <c r="CM140" s="302">
        <v>0</v>
      </c>
      <c r="CN140" s="302">
        <v>0</v>
      </c>
      <c r="CO140" s="308"/>
      <c r="CP140" s="302"/>
      <c r="CQ140" s="302"/>
      <c r="CR140" s="308"/>
      <c r="CS140" s="302"/>
      <c r="CT140" s="302"/>
      <c r="CU140" s="308"/>
      <c r="CV140" s="302"/>
      <c r="CW140" s="302"/>
      <c r="CX140" s="308"/>
      <c r="CY140" s="302"/>
      <c r="CZ140" s="302"/>
      <c r="DA140" s="308"/>
      <c r="DB140" s="302"/>
      <c r="DC140" s="302"/>
      <c r="DD140" s="308"/>
      <c r="DE140" s="302"/>
      <c r="DF140" s="302"/>
      <c r="DG140" s="308"/>
      <c r="DH140" s="306"/>
      <c r="DI140" s="306"/>
      <c r="DJ140" s="306"/>
      <c r="DK140" s="306"/>
      <c r="DL140" s="321"/>
      <c r="DM140" s="306">
        <v>252</v>
      </c>
      <c r="DN140" s="306">
        <v>247</v>
      </c>
      <c r="DO140" s="306">
        <v>59</v>
      </c>
      <c r="DP140" s="306">
        <v>6</v>
      </c>
      <c r="DQ140" s="306">
        <v>12</v>
      </c>
      <c r="DR140" s="306">
        <v>0</v>
      </c>
      <c r="DS140" s="306">
        <v>17</v>
      </c>
      <c r="DT140" s="1073">
        <f>SUM(DM140:DS140)</f>
        <v>593</v>
      </c>
    </row>
    <row r="141" spans="1:124">
      <c r="A141" s="24"/>
      <c r="B141" s="24"/>
      <c r="C141" s="24"/>
      <c r="D141" s="24"/>
      <c r="E141" s="24"/>
      <c r="F141" s="24"/>
      <c r="G141" s="305"/>
      <c r="H141" s="305"/>
      <c r="I141" s="305"/>
      <c r="J141" s="24"/>
      <c r="K141" s="305"/>
      <c r="L141" s="24"/>
      <c r="M141" s="24"/>
      <c r="N141" s="387"/>
      <c r="O141" s="24"/>
      <c r="P141" s="24"/>
      <c r="Q141" s="24"/>
      <c r="R141" s="24"/>
      <c r="S141" s="24"/>
      <c r="T141" s="387"/>
      <c r="U141" s="24"/>
      <c r="V141" s="24"/>
      <c r="W141" s="305"/>
      <c r="X141" s="305"/>
      <c r="Y141" s="305"/>
      <c r="Z141" s="387"/>
      <c r="AA141" s="305"/>
      <c r="AB141" s="24"/>
      <c r="AC141" s="24"/>
      <c r="AD141" s="24"/>
      <c r="AE141" s="24"/>
      <c r="AF141" s="30"/>
      <c r="AG141" s="30"/>
      <c r="AH141" s="30"/>
      <c r="AI141" s="30"/>
      <c r="AJ141" s="30"/>
      <c r="AK141" s="30"/>
      <c r="AL141" s="30"/>
      <c r="AM141" s="30"/>
      <c r="AN141" s="30"/>
      <c r="AO141" s="30"/>
      <c r="AP141" s="24"/>
      <c r="AQ141" s="593"/>
      <c r="AR141" s="30"/>
      <c r="AS141" s="30"/>
      <c r="AT141" s="24"/>
      <c r="AU141" s="24"/>
      <c r="AV141" s="24"/>
      <c r="AW141" s="30"/>
      <c r="AX141" s="30"/>
      <c r="AY141" s="30"/>
      <c r="AZ141" s="30"/>
      <c r="BA141" s="320"/>
      <c r="BB141" s="30"/>
      <c r="BC141" s="309">
        <f>SUM(BC137:BC140)</f>
        <v>0</v>
      </c>
      <c r="BD141" s="309">
        <f>SUM(BD137:BD140)</f>
        <v>-6</v>
      </c>
      <c r="BE141" s="309"/>
      <c r="BF141" s="24"/>
      <c r="BG141" s="309">
        <f>SUM(BG137:BG140)</f>
        <v>14</v>
      </c>
      <c r="BH141" s="309">
        <f>SUM(BH137:BH140)</f>
        <v>-18</v>
      </c>
      <c r="BI141" s="422">
        <v>21</v>
      </c>
      <c r="BJ141" s="24"/>
      <c r="BK141" s="309">
        <f>SUM(BK137:BK140)</f>
        <v>29</v>
      </c>
      <c r="BL141" s="309">
        <f>SUM(BL137:BL140)</f>
        <v>-22</v>
      </c>
      <c r="BM141" s="24"/>
      <c r="BN141" s="24"/>
      <c r="BO141" s="309">
        <f>SUM(BO137:BO140)</f>
        <v>0</v>
      </c>
      <c r="BP141" s="309">
        <f>SUM(BP137:BP140)</f>
        <v>0</v>
      </c>
      <c r="BQ141" s="309"/>
      <c r="BR141" s="309"/>
      <c r="BS141" s="24"/>
      <c r="BT141" s="309">
        <f>SUM(BT137:BT140)</f>
        <v>0</v>
      </c>
      <c r="BU141" s="309">
        <f>SUM(BU137:BU140)</f>
        <v>0</v>
      </c>
      <c r="BV141" s="309">
        <f>SUM(BV137:BV140)</f>
        <v>0</v>
      </c>
      <c r="BW141" s="24"/>
      <c r="BX141" s="24"/>
      <c r="BY141" s="309">
        <f>SUM(BY137:BY140)</f>
        <v>0</v>
      </c>
      <c r="BZ141" s="309">
        <f>SUM(BZ137:BZ140)</f>
        <v>0</v>
      </c>
      <c r="CA141" s="309">
        <f>SUM(CA137:CA140)</f>
        <v>0</v>
      </c>
      <c r="CB141" s="24"/>
      <c r="CC141" s="24"/>
      <c r="CD141" s="309">
        <f>SUM(CD137:CD140)</f>
        <v>0</v>
      </c>
      <c r="CE141" s="309">
        <f>SUM(CE137:CE140)</f>
        <v>0</v>
      </c>
      <c r="CF141" s="309">
        <f>SUM(CF137:CF140)</f>
        <v>0</v>
      </c>
      <c r="CG141" s="24"/>
      <c r="CH141" s="24"/>
      <c r="CI141" s="309">
        <f>SUM(CI137:CI140)</f>
        <v>0</v>
      </c>
      <c r="CJ141" s="309">
        <f>SUM(CJ137:CJ140)</f>
        <v>0</v>
      </c>
      <c r="CK141" s="309"/>
      <c r="CL141" s="309"/>
      <c r="CM141" s="309">
        <f>SUM(CM137:CM140)</f>
        <v>0</v>
      </c>
      <c r="CN141" s="309">
        <f>SUM(CN137:CN140)</f>
        <v>0</v>
      </c>
      <c r="CO141" s="309"/>
      <c r="CP141" s="24"/>
      <c r="CQ141" s="24"/>
      <c r="CR141" s="24"/>
      <c r="CS141" s="24"/>
      <c r="CT141" s="24"/>
      <c r="CU141" s="24"/>
      <c r="CV141" s="24"/>
      <c r="CW141" s="24"/>
      <c r="CX141" s="24"/>
      <c r="CY141" s="24"/>
      <c r="CZ141" s="24"/>
      <c r="DA141" s="24"/>
      <c r="DB141" s="24"/>
      <c r="DC141" s="24"/>
      <c r="DD141" s="24"/>
      <c r="DE141" s="24"/>
      <c r="DF141" s="24"/>
      <c r="DG141" s="24"/>
      <c r="DH141" s="551">
        <f>+BG141+BK141+BO141+BC141</f>
        <v>43</v>
      </c>
      <c r="DI141" s="551">
        <f>+BH141+BL141+BP141+BD141</f>
        <v>-46</v>
      </c>
      <c r="DJ141" s="383"/>
      <c r="DK141" s="383"/>
      <c r="DL141" s="30"/>
      <c r="DM141" s="321"/>
      <c r="DN141" s="321"/>
      <c r="DO141" s="321"/>
      <c r="DP141" s="321"/>
      <c r="DQ141" s="321"/>
      <c r="DR141" s="321"/>
      <c r="DS141" s="321"/>
      <c r="DT141" s="989"/>
    </row>
    <row r="142" spans="1:124">
      <c r="A142" s="301"/>
      <c r="B142" s="312" t="str">
        <f>qtrSales!B165</f>
        <v>2011A</v>
      </c>
      <c r="C142" s="30"/>
      <c r="D142" s="30"/>
      <c r="E142" s="310"/>
      <c r="F142" s="30"/>
      <c r="G142" s="318"/>
      <c r="H142" s="318"/>
      <c r="I142" s="931"/>
      <c r="J142" s="936"/>
      <c r="K142" s="319"/>
      <c r="L142" s="429"/>
      <c r="M142" s="310"/>
      <c r="N142" s="309"/>
      <c r="O142" s="310"/>
      <c r="P142" s="309"/>
      <c r="Q142" s="30"/>
      <c r="R142" s="30"/>
      <c r="S142" s="429"/>
      <c r="T142" s="429"/>
      <c r="U142" s="310"/>
      <c r="V142" s="30"/>
      <c r="W142" s="318"/>
      <c r="X142" s="318"/>
      <c r="Y142" s="318"/>
      <c r="Z142" s="830"/>
      <c r="AA142" s="318"/>
      <c r="AB142" s="30"/>
      <c r="AC142" s="310"/>
      <c r="AD142" s="30"/>
      <c r="AE142" s="310"/>
      <c r="AF142" s="30"/>
      <c r="AG142" s="310"/>
      <c r="AH142" s="30"/>
      <c r="AI142" s="310"/>
      <c r="AJ142" s="30"/>
      <c r="AK142" s="310"/>
      <c r="AL142" s="30"/>
      <c r="AM142" s="310"/>
      <c r="AN142" s="30"/>
      <c r="AO142" s="310"/>
      <c r="AP142" s="30"/>
      <c r="AQ142" s="451"/>
      <c r="AR142" s="310"/>
      <c r="AS142" s="310"/>
      <c r="AT142" s="141"/>
      <c r="AU142" s="27" t="str">
        <f>+B142</f>
        <v>2011A</v>
      </c>
      <c r="AV142" s="30"/>
      <c r="AW142" s="30"/>
      <c r="AX142" s="310"/>
      <c r="AY142" s="310"/>
      <c r="AZ142" s="30"/>
      <c r="BA142" s="318"/>
      <c r="BB142" s="310"/>
      <c r="BC142" s="318"/>
      <c r="BD142" s="318"/>
      <c r="BE142" s="318"/>
      <c r="BF142" s="310"/>
      <c r="BG142" s="30"/>
      <c r="BH142" s="318"/>
      <c r="BI142" s="318"/>
      <c r="BJ142" s="310"/>
      <c r="BK142" s="30"/>
      <c r="BL142" s="318"/>
      <c r="BM142" s="318"/>
      <c r="BN142" s="310"/>
      <c r="BO142" s="30"/>
      <c r="BP142" s="318"/>
      <c r="BQ142" s="318"/>
      <c r="BR142" s="318"/>
      <c r="BS142" s="310"/>
      <c r="BT142" s="30"/>
      <c r="BU142" s="318"/>
      <c r="BV142" s="318"/>
      <c r="BW142" s="318"/>
      <c r="BX142" s="310"/>
      <c r="BY142" s="30"/>
      <c r="BZ142" s="318"/>
      <c r="CA142" s="318"/>
      <c r="CB142" s="318"/>
      <c r="CC142" s="310"/>
      <c r="CD142" s="309"/>
      <c r="CE142" s="318"/>
      <c r="CF142" s="318"/>
      <c r="CG142" s="318"/>
      <c r="CH142" s="310"/>
      <c r="CI142" s="30"/>
      <c r="CJ142" s="318"/>
      <c r="CK142" s="318"/>
      <c r="CL142" s="310"/>
      <c r="CM142" s="30"/>
      <c r="CN142" s="318"/>
      <c r="CO142" s="310"/>
      <c r="CP142" s="30"/>
      <c r="CQ142" s="318"/>
      <c r="CR142" s="310"/>
      <c r="CS142" s="30"/>
      <c r="CT142" s="318"/>
      <c r="CU142" s="310"/>
      <c r="CV142" s="30"/>
      <c r="CW142" s="318"/>
      <c r="CX142" s="310"/>
      <c r="CY142" s="30"/>
      <c r="CZ142" s="318"/>
      <c r="DA142" s="310"/>
      <c r="DB142" s="30"/>
      <c r="DC142" s="318"/>
      <c r="DD142" s="310"/>
      <c r="DE142" s="30"/>
      <c r="DF142" s="318"/>
      <c r="DG142" s="310"/>
      <c r="DH142" s="307"/>
      <c r="DI142" s="307"/>
      <c r="DJ142" s="307"/>
      <c r="DK142" s="307"/>
      <c r="DL142" s="307"/>
      <c r="DM142" s="321"/>
      <c r="DN142" s="321"/>
      <c r="DO142" s="321"/>
      <c r="DP142" s="321"/>
      <c r="DQ142" s="321"/>
      <c r="DR142" s="321"/>
      <c r="DS142" s="321"/>
      <c r="DT142" s="989"/>
    </row>
    <row r="143" spans="1:124">
      <c r="A143" s="30" t="str">
        <f>qtrSales!A166</f>
        <v>1Q</v>
      </c>
      <c r="B143" s="30" t="str">
        <f>qtrSales!B166</f>
        <v>Apr</v>
      </c>
      <c r="C143" s="30"/>
      <c r="D143" s="307"/>
      <c r="E143" s="308"/>
      <c r="F143" s="307"/>
      <c r="G143" s="317"/>
      <c r="H143" s="325">
        <f>+H140+BC143+BD143</f>
        <v>250</v>
      </c>
      <c r="I143" s="308">
        <f>+(H143/H137-1)*100</f>
        <v>-2.7237354085603127</v>
      </c>
      <c r="J143" s="325">
        <f>+J140+BG143+BH143</f>
        <v>1033</v>
      </c>
      <c r="K143" s="308">
        <f>+(J143/J137-1)*100</f>
        <v>-1.0536398467432928</v>
      </c>
      <c r="L143" s="325">
        <f>+L140+BK143+BL143</f>
        <v>1662</v>
      </c>
      <c r="M143" s="308">
        <f>+(L143/L137-1)*100</f>
        <v>0.30175015087507973</v>
      </c>
      <c r="N143" s="751">
        <f>+N140+BT143+BU143+BV143</f>
        <v>75</v>
      </c>
      <c r="O143" s="752">
        <f>+(N143/N138-1)*100</f>
        <v>0</v>
      </c>
      <c r="P143" s="751">
        <f>+P141+BY143+BZ143+CA143</f>
        <v>0</v>
      </c>
      <c r="Q143" s="307"/>
      <c r="R143" s="751">
        <f>+R141+CD143+CF143+CE143</f>
        <v>0</v>
      </c>
      <c r="S143" s="474"/>
      <c r="T143" s="751">
        <f>+T141+CI143+CJ143</f>
        <v>0</v>
      </c>
      <c r="U143" s="755"/>
      <c r="V143" s="309">
        <f>+V140+BO143</f>
        <v>11</v>
      </c>
      <c r="W143" s="317">
        <f>+(V143/V137-1)*100</f>
        <v>0</v>
      </c>
      <c r="X143" s="317"/>
      <c r="Y143" s="317"/>
      <c r="Z143" s="828">
        <f>+Z140+CM143-CN143</f>
        <v>0</v>
      </c>
      <c r="AA143" s="317"/>
      <c r="AB143" s="307"/>
      <c r="AC143" s="308"/>
      <c r="AD143" s="307"/>
      <c r="AE143" s="308"/>
      <c r="AF143" s="307"/>
      <c r="AG143" s="308"/>
      <c r="AH143" s="307"/>
      <c r="AI143" s="308"/>
      <c r="AJ143" s="307"/>
      <c r="AK143" s="308"/>
      <c r="AL143" s="307"/>
      <c r="AM143" s="308"/>
      <c r="AN143" s="307"/>
      <c r="AO143" s="308"/>
      <c r="AP143" s="30"/>
      <c r="AQ143" s="451">
        <f>H143+J143+L143+V143</f>
        <v>2956</v>
      </c>
      <c r="AR143" s="308">
        <f>+(AQ143/AQ137-1)*100</f>
        <v>-0.43785786460087683</v>
      </c>
      <c r="AS143" s="308"/>
      <c r="AT143" s="30" t="str">
        <f>+A143</f>
        <v>1Q</v>
      </c>
      <c r="AU143" s="30" t="str">
        <f>+B143</f>
        <v>Apr</v>
      </c>
      <c r="AV143" s="30"/>
      <c r="AW143" s="307"/>
      <c r="AX143" s="308"/>
      <c r="AY143" s="308"/>
      <c r="AZ143" s="307"/>
      <c r="BA143" s="317"/>
      <c r="BB143" s="308"/>
      <c r="BC143" s="307">
        <v>0</v>
      </c>
      <c r="BD143" s="307">
        <v>-2</v>
      </c>
      <c r="BE143" s="307"/>
      <c r="BF143" s="308"/>
      <c r="BG143" s="307">
        <f>1+0</f>
        <v>1</v>
      </c>
      <c r="BH143" s="307">
        <f>-8-0</f>
        <v>-8</v>
      </c>
      <c r="BI143" s="307"/>
      <c r="BJ143" s="308"/>
      <c r="BK143" s="307">
        <v>0</v>
      </c>
      <c r="BL143" s="307">
        <v>-3</v>
      </c>
      <c r="BM143" s="317"/>
      <c r="BN143" s="308"/>
      <c r="BO143" s="321">
        <v>0</v>
      </c>
      <c r="BP143" s="321">
        <v>0</v>
      </c>
      <c r="BQ143" s="321"/>
      <c r="BR143" s="321"/>
      <c r="BS143" s="308"/>
      <c r="BT143" s="307">
        <v>0</v>
      </c>
      <c r="BU143" s="307">
        <v>0</v>
      </c>
      <c r="BV143" s="307">
        <v>0</v>
      </c>
      <c r="BW143" s="317"/>
      <c r="BX143" s="308"/>
      <c r="BY143" s="307">
        <v>0</v>
      </c>
      <c r="BZ143" s="307">
        <v>0</v>
      </c>
      <c r="CA143" s="307">
        <v>0</v>
      </c>
      <c r="CB143" s="317"/>
      <c r="CC143" s="308"/>
      <c r="CD143" s="307">
        <v>0</v>
      </c>
      <c r="CE143" s="307">
        <v>0</v>
      </c>
      <c r="CF143" s="307">
        <v>0</v>
      </c>
      <c r="CG143" s="317"/>
      <c r="CH143" s="308"/>
      <c r="CI143" s="307">
        <v>0</v>
      </c>
      <c r="CJ143" s="307">
        <v>0</v>
      </c>
      <c r="CK143" s="317"/>
      <c r="CL143" s="308"/>
      <c r="CM143" s="321">
        <v>0</v>
      </c>
      <c r="CN143" s="321">
        <v>0</v>
      </c>
      <c r="CO143" s="308"/>
      <c r="CP143" s="321"/>
      <c r="CQ143" s="317"/>
      <c r="CR143" s="308"/>
      <c r="CS143" s="321"/>
      <c r="CT143" s="317"/>
      <c r="CU143" s="308"/>
      <c r="CV143" s="321"/>
      <c r="CW143" s="317"/>
      <c r="CX143" s="308"/>
      <c r="CY143" s="321"/>
      <c r="CZ143" s="317"/>
      <c r="DA143" s="308"/>
      <c r="DB143" s="321"/>
      <c r="DC143" s="317"/>
      <c r="DD143" s="308"/>
      <c r="DE143" s="321"/>
      <c r="DF143" s="317"/>
      <c r="DG143" s="308"/>
      <c r="DH143" s="325">
        <f t="shared" ref="DH143:DI147" si="19">+BG143+BK143+BO143+BC143</f>
        <v>1</v>
      </c>
      <c r="DI143" s="328">
        <f t="shared" si="19"/>
        <v>-13</v>
      </c>
      <c r="DJ143" s="321"/>
      <c r="DK143" s="321"/>
      <c r="DL143" s="321"/>
      <c r="DM143" s="321"/>
      <c r="DN143" s="321"/>
      <c r="DO143" s="321"/>
      <c r="DP143" s="321"/>
      <c r="DQ143" s="321"/>
      <c r="DR143" s="321"/>
      <c r="DS143" s="321"/>
      <c r="DT143" s="989"/>
    </row>
    <row r="144" spans="1:124">
      <c r="A144" s="30" t="str">
        <f>qtrSales!A167</f>
        <v>2Q</v>
      </c>
      <c r="B144" s="30" t="str">
        <f>qtrSales!B167</f>
        <v>Jul</v>
      </c>
      <c r="C144" s="30"/>
      <c r="D144" s="307"/>
      <c r="E144" s="308"/>
      <c r="F144" s="307"/>
      <c r="G144" s="317"/>
      <c r="H144" s="325">
        <f>+H143+BC144+BD144</f>
        <v>249</v>
      </c>
      <c r="I144" s="308">
        <f>+(H144/H138-1)*100</f>
        <v>-2.352941176470591</v>
      </c>
      <c r="J144" s="325">
        <f>+J143+BG144+BH144</f>
        <v>1032</v>
      </c>
      <c r="K144" s="308">
        <f>+(J144/J138-1)*100</f>
        <v>-1.2440191387559807</v>
      </c>
      <c r="L144" s="325">
        <f>+L143+BK144+BL144</f>
        <v>1658</v>
      </c>
      <c r="M144" s="308">
        <f>+(L144/L138-1)*100</f>
        <v>0</v>
      </c>
      <c r="N144" s="751">
        <f>+N143+BT144+BU144+BV144</f>
        <v>75</v>
      </c>
      <c r="O144" s="752">
        <f>+(N144/N139-1)*100</f>
        <v>0</v>
      </c>
      <c r="P144" s="751">
        <f>+P143+BY144+BZ144+CA144</f>
        <v>0</v>
      </c>
      <c r="Q144" s="751"/>
      <c r="R144" s="751">
        <f>+R143+CD144+CF144+CE144</f>
        <v>0</v>
      </c>
      <c r="S144" s="752"/>
      <c r="T144" s="751">
        <f>+T143+CI144+CJ144</f>
        <v>0</v>
      </c>
      <c r="U144" s="755"/>
      <c r="V144" s="309">
        <f>+V143+BO144-BP144</f>
        <v>12</v>
      </c>
      <c r="W144" s="317">
        <f>+(V144/V138-1)*100</f>
        <v>9.0909090909090828</v>
      </c>
      <c r="X144" s="317"/>
      <c r="Y144" s="317"/>
      <c r="Z144" s="828">
        <f>+Z143+CM144+CN144</f>
        <v>0</v>
      </c>
      <c r="AA144" s="317"/>
      <c r="AB144" s="307"/>
      <c r="AC144" s="308"/>
      <c r="AD144" s="307"/>
      <c r="AE144" s="308"/>
      <c r="AF144" s="307"/>
      <c r="AG144" s="308"/>
      <c r="AH144" s="307"/>
      <c r="AI144" s="308"/>
      <c r="AJ144" s="307"/>
      <c r="AK144" s="308"/>
      <c r="AL144" s="307"/>
      <c r="AM144" s="308"/>
      <c r="AN144" s="307"/>
      <c r="AO144" s="308"/>
      <c r="AP144" s="530"/>
      <c r="AQ144" s="451">
        <f>H144+J144+L144+V144</f>
        <v>2951</v>
      </c>
      <c r="AR144" s="308">
        <f>+(AQ144/AQ138-1)*100</f>
        <v>-0.60626473560121408</v>
      </c>
      <c r="AS144" s="308"/>
      <c r="AT144" s="30" t="str">
        <f>+A144</f>
        <v>2Q</v>
      </c>
      <c r="AU144" s="30" t="str">
        <f>+B144</f>
        <v>Jul</v>
      </c>
      <c r="AV144" s="30"/>
      <c r="AW144" s="307"/>
      <c r="AX144" s="308"/>
      <c r="AY144" s="308"/>
      <c r="AZ144" s="307"/>
      <c r="BA144" s="317"/>
      <c r="BB144" s="308"/>
      <c r="BC144" s="307">
        <v>0</v>
      </c>
      <c r="BD144" s="307">
        <v>-1</v>
      </c>
      <c r="BE144" s="307"/>
      <c r="BF144" s="308"/>
      <c r="BG144" s="307">
        <f>0+2</f>
        <v>2</v>
      </c>
      <c r="BH144" s="307">
        <v>-3</v>
      </c>
      <c r="BI144" s="307"/>
      <c r="BJ144" s="308"/>
      <c r="BK144" s="307">
        <v>4</v>
      </c>
      <c r="BL144" s="307">
        <v>-8</v>
      </c>
      <c r="BM144" s="317"/>
      <c r="BN144" s="308"/>
      <c r="BO144" s="321">
        <v>1</v>
      </c>
      <c r="BP144" s="321">
        <v>0</v>
      </c>
      <c r="BQ144" s="321"/>
      <c r="BR144" s="321"/>
      <c r="BS144" s="308"/>
      <c r="BT144" s="307">
        <v>0</v>
      </c>
      <c r="BU144" s="307">
        <v>0</v>
      </c>
      <c r="BV144" s="307">
        <v>0</v>
      </c>
      <c r="BW144" s="317"/>
      <c r="BX144" s="308"/>
      <c r="BY144" s="307">
        <v>0</v>
      </c>
      <c r="BZ144" s="307">
        <v>0</v>
      </c>
      <c r="CA144" s="307">
        <v>0</v>
      </c>
      <c r="CB144" s="317"/>
      <c r="CC144" s="308"/>
      <c r="CD144" s="307">
        <v>0</v>
      </c>
      <c r="CE144" s="307">
        <v>0</v>
      </c>
      <c r="CF144" s="307">
        <v>0</v>
      </c>
      <c r="CG144" s="317"/>
      <c r="CH144" s="308"/>
      <c r="CI144" s="307">
        <v>0</v>
      </c>
      <c r="CJ144" s="307">
        <v>0</v>
      </c>
      <c r="CK144" s="317"/>
      <c r="CL144" s="308"/>
      <c r="CM144" s="321">
        <v>0</v>
      </c>
      <c r="CN144" s="321">
        <v>0</v>
      </c>
      <c r="CO144" s="308"/>
      <c r="CP144" s="321"/>
      <c r="CQ144" s="317"/>
      <c r="CR144" s="308"/>
      <c r="CS144" s="321"/>
      <c r="CT144" s="317"/>
      <c r="CU144" s="308"/>
      <c r="CV144" s="321"/>
      <c r="CW144" s="317"/>
      <c r="CX144" s="308"/>
      <c r="CY144" s="321"/>
      <c r="CZ144" s="317"/>
      <c r="DA144" s="308"/>
      <c r="DB144" s="321"/>
      <c r="DC144" s="317"/>
      <c r="DD144" s="308"/>
      <c r="DE144" s="321"/>
      <c r="DF144" s="317"/>
      <c r="DG144" s="308"/>
      <c r="DH144" s="325">
        <f t="shared" si="19"/>
        <v>7</v>
      </c>
      <c r="DI144" s="328">
        <f t="shared" si="19"/>
        <v>-12</v>
      </c>
      <c r="DJ144" s="321"/>
      <c r="DK144" s="321"/>
      <c r="DL144" s="321"/>
      <c r="DM144" s="321"/>
      <c r="DN144" s="321"/>
      <c r="DO144" s="321"/>
      <c r="DP144" s="321"/>
      <c r="DQ144" s="321"/>
      <c r="DR144" s="321"/>
      <c r="DS144" s="321"/>
      <c r="DT144" s="989"/>
    </row>
    <row r="145" spans="1:125">
      <c r="A145" s="30" t="str">
        <f>qtrSales!A168</f>
        <v>3Q</v>
      </c>
      <c r="B145" s="30" t="str">
        <f>qtrSales!B168</f>
        <v>Oct</v>
      </c>
      <c r="C145" s="30"/>
      <c r="D145" s="307"/>
      <c r="E145" s="308"/>
      <c r="F145" s="307"/>
      <c r="G145" s="317"/>
      <c r="H145" s="309">
        <f>+H144+BC145+BD145</f>
        <v>249</v>
      </c>
      <c r="I145" s="308">
        <f>+(H145/H139-1)*100</f>
        <v>-2.352941176470591</v>
      </c>
      <c r="J145" s="325">
        <f>+J144+BG145+BH145</f>
        <v>1034</v>
      </c>
      <c r="K145" s="308">
        <f>+(J145/J139-1)*100</f>
        <v>-1.6175071360608917</v>
      </c>
      <c r="L145" s="325">
        <f>+L144+BK145+BL145</f>
        <v>1660</v>
      </c>
      <c r="M145" s="308">
        <f>+(L145/L139-1)*100</f>
        <v>-0.6582884500299202</v>
      </c>
      <c r="N145" s="751">
        <f>+N144+BT145+BU145+BV145</f>
        <v>75</v>
      </c>
      <c r="O145" s="752">
        <f>+(N145/N140-1)*100</f>
        <v>0</v>
      </c>
      <c r="P145" s="751">
        <f>+P144+BY145+BZ145+CA145</f>
        <v>0</v>
      </c>
      <c r="Q145" s="751"/>
      <c r="R145" s="751">
        <f>+R144+CD145+CF145+CE145</f>
        <v>0</v>
      </c>
      <c r="S145" s="752"/>
      <c r="T145" s="751">
        <f>+T144+CI145+CJ145</f>
        <v>0</v>
      </c>
      <c r="U145" s="755"/>
      <c r="V145" s="309">
        <f>+V144+BO145-BP145</f>
        <v>16</v>
      </c>
      <c r="W145" s="317">
        <f>+(V145/V139-1)*100</f>
        <v>45.45454545454546</v>
      </c>
      <c r="X145" s="317"/>
      <c r="Y145" s="317"/>
      <c r="Z145" s="828">
        <f>+Z144+CM145-CN145</f>
        <v>0</v>
      </c>
      <c r="AA145" s="317"/>
      <c r="AB145" s="307"/>
      <c r="AC145" s="308"/>
      <c r="AD145" s="307"/>
      <c r="AE145" s="308"/>
      <c r="AF145" s="307"/>
      <c r="AG145" s="308"/>
      <c r="AH145" s="307"/>
      <c r="AI145" s="308"/>
      <c r="AJ145" s="307"/>
      <c r="AK145" s="308"/>
      <c r="AL145" s="307"/>
      <c r="AM145" s="308"/>
      <c r="AN145" s="307"/>
      <c r="AO145" s="308"/>
      <c r="AP145" s="30"/>
      <c r="AQ145" s="451">
        <f>H145+J145+L145+V145</f>
        <v>2959</v>
      </c>
      <c r="AR145" s="308">
        <f>+(AQ145/AQ139-1)*100</f>
        <v>-0.97054886211512814</v>
      </c>
      <c r="AS145" s="308"/>
      <c r="AT145" s="30" t="str">
        <f>+A145</f>
        <v>3Q</v>
      </c>
      <c r="AU145" s="30" t="str">
        <f>+B145</f>
        <v>Oct</v>
      </c>
      <c r="AV145" s="30"/>
      <c r="AW145" s="307"/>
      <c r="AX145" s="308"/>
      <c r="AY145" s="308"/>
      <c r="AZ145" s="307"/>
      <c r="BA145" s="317"/>
      <c r="BB145" s="308"/>
      <c r="BC145" s="307">
        <v>0</v>
      </c>
      <c r="BD145" s="307">
        <v>0</v>
      </c>
      <c r="BE145" s="307"/>
      <c r="BF145" s="308"/>
      <c r="BG145" s="307">
        <v>5</v>
      </c>
      <c r="BH145" s="307">
        <v>-3</v>
      </c>
      <c r="BI145" s="307"/>
      <c r="BJ145" s="308"/>
      <c r="BK145" s="307">
        <v>5</v>
      </c>
      <c r="BL145" s="307">
        <v>-3</v>
      </c>
      <c r="BM145" s="317"/>
      <c r="BN145" s="308"/>
      <c r="BO145" s="321">
        <v>4</v>
      </c>
      <c r="BP145" s="321">
        <v>0</v>
      </c>
      <c r="BQ145" s="321"/>
      <c r="BR145" s="321"/>
      <c r="BS145" s="308"/>
      <c r="BT145" s="307">
        <v>0</v>
      </c>
      <c r="BU145" s="307">
        <v>0</v>
      </c>
      <c r="BV145" s="307">
        <v>0</v>
      </c>
      <c r="BW145" s="317"/>
      <c r="BX145" s="308"/>
      <c r="BY145" s="307">
        <v>0</v>
      </c>
      <c r="BZ145" s="307">
        <v>0</v>
      </c>
      <c r="CA145" s="307">
        <v>0</v>
      </c>
      <c r="CB145" s="317"/>
      <c r="CC145" s="308"/>
      <c r="CD145" s="307">
        <v>0</v>
      </c>
      <c r="CE145" s="307">
        <v>0</v>
      </c>
      <c r="CF145" s="307">
        <v>0</v>
      </c>
      <c r="CG145" s="317"/>
      <c r="CH145" s="308"/>
      <c r="CI145" s="307">
        <v>0</v>
      </c>
      <c r="CJ145" s="307">
        <v>0</v>
      </c>
      <c r="CK145" s="317"/>
      <c r="CL145" s="308"/>
      <c r="CM145" s="321">
        <v>0</v>
      </c>
      <c r="CN145" s="321">
        <v>0</v>
      </c>
      <c r="CO145" s="308"/>
      <c r="CP145" s="321"/>
      <c r="CQ145" s="317"/>
      <c r="CR145" s="308"/>
      <c r="CS145" s="321"/>
      <c r="CT145" s="317"/>
      <c r="CU145" s="308"/>
      <c r="CV145" s="321"/>
      <c r="CW145" s="317"/>
      <c r="CX145" s="308"/>
      <c r="CY145" s="321"/>
      <c r="CZ145" s="317"/>
      <c r="DA145" s="308"/>
      <c r="DB145" s="321"/>
      <c r="DC145" s="317"/>
      <c r="DD145" s="308"/>
      <c r="DE145" s="321"/>
      <c r="DF145" s="317"/>
      <c r="DG145" s="308"/>
      <c r="DH145" s="325">
        <f t="shared" si="19"/>
        <v>14</v>
      </c>
      <c r="DI145" s="328">
        <f t="shared" si="19"/>
        <v>-6</v>
      </c>
      <c r="DJ145" s="321"/>
      <c r="DK145" s="321"/>
      <c r="DL145" s="321"/>
      <c r="DM145" s="321"/>
      <c r="DN145" s="321"/>
      <c r="DO145" s="321"/>
      <c r="DP145" s="321"/>
      <c r="DQ145" s="321"/>
      <c r="DR145" s="321"/>
      <c r="DS145" s="321"/>
      <c r="DT145" s="989"/>
    </row>
    <row r="146" spans="1:125">
      <c r="A146" s="30" t="str">
        <f>qtrSales!A169</f>
        <v>4Q</v>
      </c>
      <c r="B146" s="30" t="str">
        <f>qtrSales!B169</f>
        <v>Jan</v>
      </c>
      <c r="C146" s="339"/>
      <c r="D146" s="307"/>
      <c r="E146" s="308"/>
      <c r="F146" s="307"/>
      <c r="G146" s="317"/>
      <c r="H146" s="309">
        <f>+H145+BC146+BD146</f>
        <v>230</v>
      </c>
      <c r="I146" s="308">
        <f>+(H146/H140-1)*100</f>
        <v>-8.7301587301587329</v>
      </c>
      <c r="J146" s="1021">
        <f>+J145+BG146+BH146</f>
        <v>1036</v>
      </c>
      <c r="K146" s="308">
        <f>+(J146/J140-1)*100</f>
        <v>-0.38461538461538325</v>
      </c>
      <c r="L146" s="325">
        <f>+L145+BK146+BL146</f>
        <v>1656</v>
      </c>
      <c r="M146" s="308">
        <f>+(L146/L140-1)*100</f>
        <v>-0.54054054054053502</v>
      </c>
      <c r="N146" s="751">
        <f>+N145+BT146+BU146+BV146</f>
        <v>75</v>
      </c>
      <c r="O146" s="752"/>
      <c r="P146" s="751">
        <f>+P145+BY146+BZ146+CA146</f>
        <v>0</v>
      </c>
      <c r="Q146" s="751"/>
      <c r="R146" s="751">
        <f>+R145+CD146+CF146+CE146</f>
        <v>0</v>
      </c>
      <c r="S146" s="752"/>
      <c r="T146" s="751">
        <f>+T145+CI146+CJ146</f>
        <v>0</v>
      </c>
      <c r="U146" s="755"/>
      <c r="V146" s="309">
        <f>+V145+BO146-BP146</f>
        <v>19</v>
      </c>
      <c r="W146" s="317">
        <f>+(V146/V140-1)*100</f>
        <v>72.727272727272734</v>
      </c>
      <c r="X146" s="309">
        <v>0</v>
      </c>
      <c r="Y146" s="317"/>
      <c r="Z146" s="828">
        <f>+Z145+CM146-CN146</f>
        <v>0</v>
      </c>
      <c r="AA146" s="317"/>
      <c r="AB146" s="307"/>
      <c r="AC146" s="308"/>
      <c r="AD146" s="307"/>
      <c r="AE146" s="308"/>
      <c r="AF146" s="307"/>
      <c r="AG146" s="308"/>
      <c r="AH146" s="307"/>
      <c r="AI146" s="308"/>
      <c r="AJ146" s="307"/>
      <c r="AK146" s="308"/>
      <c r="AL146" s="307"/>
      <c r="AM146" s="308"/>
      <c r="AN146" s="307"/>
      <c r="AO146" s="308"/>
      <c r="AP146" s="30"/>
      <c r="AQ146" s="451">
        <f>H146+J146+L146+V146</f>
        <v>2941</v>
      </c>
      <c r="AR146" s="308">
        <f>+(AQ146/AQ140-1)*100</f>
        <v>-0.9097035040431245</v>
      </c>
      <c r="AS146" s="308"/>
      <c r="AT146" s="30" t="str">
        <f>+A146</f>
        <v>4Q</v>
      </c>
      <c r="AU146" s="30" t="str">
        <f>+B146</f>
        <v>Jan</v>
      </c>
      <c r="AV146" s="30"/>
      <c r="AW146" s="302"/>
      <c r="AX146" s="302"/>
      <c r="AY146" s="308"/>
      <c r="AZ146" s="302"/>
      <c r="BA146" s="302"/>
      <c r="BB146" s="308"/>
      <c r="BC146" s="302">
        <v>0</v>
      </c>
      <c r="BD146" s="302">
        <v>-19</v>
      </c>
      <c r="BE146" s="307"/>
      <c r="BF146" s="308"/>
      <c r="BG146" s="302">
        <v>8</v>
      </c>
      <c r="BH146" s="302">
        <v>-6</v>
      </c>
      <c r="BI146" s="1062"/>
      <c r="BJ146" s="308"/>
      <c r="BK146" s="302">
        <v>7</v>
      </c>
      <c r="BL146" s="302">
        <v>-11</v>
      </c>
      <c r="BM146" s="302"/>
      <c r="BN146" s="308"/>
      <c r="BO146" s="302">
        <v>3</v>
      </c>
      <c r="BP146" s="302">
        <v>0</v>
      </c>
      <c r="BQ146" s="307"/>
      <c r="BR146" s="307"/>
      <c r="BS146" s="308"/>
      <c r="BT146" s="302">
        <v>0</v>
      </c>
      <c r="BU146" s="302">
        <v>0</v>
      </c>
      <c r="BV146" s="302">
        <v>0</v>
      </c>
      <c r="BW146" s="302"/>
      <c r="BX146" s="308"/>
      <c r="BY146" s="302">
        <v>0</v>
      </c>
      <c r="BZ146" s="302">
        <v>0</v>
      </c>
      <c r="CA146" s="302">
        <v>0</v>
      </c>
      <c r="CB146" s="302"/>
      <c r="CC146" s="308"/>
      <c r="CD146" s="302">
        <v>0</v>
      </c>
      <c r="CE146" s="302">
        <v>0</v>
      </c>
      <c r="CF146" s="302">
        <v>0</v>
      </c>
      <c r="CG146" s="302"/>
      <c r="CH146" s="308"/>
      <c r="CI146" s="302">
        <v>0</v>
      </c>
      <c r="CJ146" s="302">
        <v>0</v>
      </c>
      <c r="CK146" s="302"/>
      <c r="CL146" s="308"/>
      <c r="CM146" s="302">
        <v>0</v>
      </c>
      <c r="CN146" s="302">
        <v>0</v>
      </c>
      <c r="CO146" s="308"/>
      <c r="CP146" s="302"/>
      <c r="CQ146" s="302"/>
      <c r="CR146" s="308"/>
      <c r="CS146" s="302"/>
      <c r="CT146" s="302"/>
      <c r="CU146" s="308"/>
      <c r="CV146" s="302"/>
      <c r="CW146" s="302"/>
      <c r="CX146" s="308"/>
      <c r="CY146" s="302"/>
      <c r="CZ146" s="302"/>
      <c r="DA146" s="308"/>
      <c r="DB146" s="302"/>
      <c r="DC146" s="302"/>
      <c r="DD146" s="308"/>
      <c r="DE146" s="302"/>
      <c r="DF146" s="302"/>
      <c r="DG146" s="308"/>
      <c r="DH146" s="1022">
        <f t="shared" si="19"/>
        <v>18</v>
      </c>
      <c r="DI146" s="338">
        <f t="shared" si="19"/>
        <v>-36</v>
      </c>
      <c r="DJ146" s="306"/>
      <c r="DK146" s="306"/>
      <c r="DL146" s="321"/>
      <c r="DM146" s="306">
        <v>230</v>
      </c>
      <c r="DN146" s="306">
        <v>289</v>
      </c>
      <c r="DO146" s="306">
        <v>69</v>
      </c>
      <c r="DP146" s="306">
        <v>18</v>
      </c>
      <c r="DQ146" s="306">
        <v>19</v>
      </c>
      <c r="DR146" s="306">
        <v>0</v>
      </c>
      <c r="DS146" s="306">
        <v>57</v>
      </c>
      <c r="DT146" s="1073">
        <f>SUM(DM146:DS146)</f>
        <v>682</v>
      </c>
    </row>
    <row r="147" spans="1:125">
      <c r="A147" s="24"/>
      <c r="B147" s="24"/>
      <c r="C147" s="24"/>
      <c r="D147" s="24"/>
      <c r="E147" s="24"/>
      <c r="F147" s="24"/>
      <c r="G147" s="305"/>
      <c r="H147" s="305"/>
      <c r="I147" s="305"/>
      <c r="J147" s="24"/>
      <c r="K147" s="305"/>
      <c r="L147" s="24"/>
      <c r="M147" s="24"/>
      <c r="N147" s="387"/>
      <c r="O147" s="24"/>
      <c r="P147" s="24"/>
      <c r="Q147" s="24"/>
      <c r="R147" s="24"/>
      <c r="S147" s="24"/>
      <c r="T147" s="387"/>
      <c r="U147" s="24"/>
      <c r="V147" s="24"/>
      <c r="W147" s="305"/>
      <c r="X147" s="305"/>
      <c r="Y147" s="305"/>
      <c r="Z147" s="387"/>
      <c r="AA147" s="305"/>
      <c r="AB147" s="24"/>
      <c r="AC147" s="24"/>
      <c r="AD147" s="24"/>
      <c r="AE147" s="24"/>
      <c r="AF147" s="30"/>
      <c r="AG147" s="30"/>
      <c r="AH147" s="30"/>
      <c r="AI147" s="30"/>
      <c r="AJ147" s="30"/>
      <c r="AK147" s="30"/>
      <c r="AL147" s="30"/>
      <c r="AM147" s="30"/>
      <c r="AN147" s="30"/>
      <c r="AO147" s="30"/>
      <c r="AP147" s="24"/>
      <c r="AQ147" s="593"/>
      <c r="AR147" s="30"/>
      <c r="AS147" s="30"/>
      <c r="AT147" s="24"/>
      <c r="AU147" s="24"/>
      <c r="AV147" s="24"/>
      <c r="AW147" s="30"/>
      <c r="AX147" s="30"/>
      <c r="AY147" s="30"/>
      <c r="AZ147" s="30"/>
      <c r="BA147" s="320"/>
      <c r="BB147" s="30"/>
      <c r="BC147" s="309">
        <f>SUM(BC143:BC146)</f>
        <v>0</v>
      </c>
      <c r="BD147" s="309">
        <f>SUM(BD143:BD146)</f>
        <v>-22</v>
      </c>
      <c r="BE147" s="309"/>
      <c r="BF147" s="24"/>
      <c r="BG147" s="309">
        <f>SUM(BG143:BG146)</f>
        <v>16</v>
      </c>
      <c r="BH147" s="309">
        <f>SUM(BH143:BH146)</f>
        <v>-20</v>
      </c>
      <c r="BI147" s="2506">
        <v>31</v>
      </c>
      <c r="BJ147" s="24"/>
      <c r="BK147" s="309">
        <f>SUM(BK143:BK146)</f>
        <v>16</v>
      </c>
      <c r="BL147" s="309">
        <f>SUM(BL143:BL146)</f>
        <v>-25</v>
      </c>
      <c r="BM147" s="24"/>
      <c r="BN147" s="24"/>
      <c r="BO147" s="309">
        <f>SUM(BO143:BO146)</f>
        <v>8</v>
      </c>
      <c r="BP147" s="309">
        <f>SUM(BP143:BP146)</f>
        <v>0</v>
      </c>
      <c r="BQ147" s="309"/>
      <c r="BR147" s="309"/>
      <c r="BS147" s="24"/>
      <c r="BT147" s="309">
        <f>SUM(BT143:BT146)</f>
        <v>0</v>
      </c>
      <c r="BU147" s="309">
        <f>SUM(BU143:BU146)</f>
        <v>0</v>
      </c>
      <c r="BV147" s="309">
        <f>SUM(BV143:BV146)</f>
        <v>0</v>
      </c>
      <c r="BW147" s="24"/>
      <c r="BX147" s="24"/>
      <c r="BY147" s="309">
        <f>SUM(BY143:BY146)</f>
        <v>0</v>
      </c>
      <c r="BZ147" s="309">
        <f>SUM(BZ143:BZ146)</f>
        <v>0</v>
      </c>
      <c r="CA147" s="309">
        <f>SUM(CA143:CA146)</f>
        <v>0</v>
      </c>
      <c r="CB147" s="24"/>
      <c r="CC147" s="24"/>
      <c r="CD147" s="309">
        <f>SUM(CD143:CD146)</f>
        <v>0</v>
      </c>
      <c r="CE147" s="309">
        <f>SUM(CE143:CE146)</f>
        <v>0</v>
      </c>
      <c r="CF147" s="309">
        <f>SUM(CF143:CF146)</f>
        <v>0</v>
      </c>
      <c r="CG147" s="24"/>
      <c r="CH147" s="24"/>
      <c r="CI147" s="309">
        <f>SUM(CI143:CI146)</f>
        <v>0</v>
      </c>
      <c r="CJ147" s="309">
        <f>SUM(CJ143:CJ146)</f>
        <v>0</v>
      </c>
      <c r="CK147" s="309"/>
      <c r="CL147" s="309"/>
      <c r="CM147" s="309">
        <f>SUM(CM143:CM146)</f>
        <v>0</v>
      </c>
      <c r="CN147" s="309">
        <f>SUM(CN143:CN146)</f>
        <v>0</v>
      </c>
      <c r="CO147" s="309"/>
      <c r="CP147" s="24"/>
      <c r="CQ147" s="24"/>
      <c r="CR147" s="24"/>
      <c r="CS147" s="24"/>
      <c r="CT147" s="24"/>
      <c r="CU147" s="24"/>
      <c r="CV147" s="24"/>
      <c r="CW147" s="24"/>
      <c r="CX147" s="24"/>
      <c r="CY147" s="24"/>
      <c r="CZ147" s="24"/>
      <c r="DA147" s="24"/>
      <c r="DB147" s="24"/>
      <c r="DC147" s="24"/>
      <c r="DD147" s="24"/>
      <c r="DE147" s="24"/>
      <c r="DF147" s="24"/>
      <c r="DG147" s="24"/>
      <c r="DH147" s="551">
        <f t="shared" si="19"/>
        <v>40</v>
      </c>
      <c r="DI147" s="551">
        <f t="shared" si="19"/>
        <v>-67</v>
      </c>
      <c r="DJ147" s="383"/>
      <c r="DK147" s="383"/>
      <c r="DL147" s="30"/>
      <c r="DT147" s="968"/>
    </row>
    <row r="148" spans="1:125">
      <c r="A148" s="301"/>
      <c r="B148" s="312" t="str">
        <f>qtrSales!B172</f>
        <v>2012A</v>
      </c>
      <c r="C148" s="30"/>
      <c r="D148" s="30"/>
      <c r="E148" s="310"/>
      <c r="F148" s="30"/>
      <c r="G148" s="318"/>
      <c r="H148" s="318"/>
      <c r="I148" s="931"/>
      <c r="J148" s="936"/>
      <c r="K148" s="319"/>
      <c r="L148" s="429"/>
      <c r="M148" s="310"/>
      <c r="N148" s="309"/>
      <c r="O148" s="310"/>
      <c r="P148" s="309"/>
      <c r="Q148" s="30"/>
      <c r="R148" s="30"/>
      <c r="S148" s="429"/>
      <c r="T148" s="429"/>
      <c r="U148" s="310"/>
      <c r="V148" s="30"/>
      <c r="W148" s="318"/>
      <c r="X148" s="318"/>
      <c r="Y148" s="318"/>
      <c r="Z148" s="830"/>
      <c r="AA148" s="318"/>
      <c r="AB148" s="30"/>
      <c r="AC148" s="310"/>
      <c r="AD148" s="30"/>
      <c r="AE148" s="310"/>
      <c r="AF148" s="30"/>
      <c r="AG148" s="310"/>
      <c r="AH148" s="30"/>
      <c r="AI148" s="310"/>
      <c r="AJ148" s="30"/>
      <c r="AK148" s="310"/>
      <c r="AL148" s="30"/>
      <c r="AM148" s="310"/>
      <c r="AN148" s="30"/>
      <c r="AO148" s="310"/>
      <c r="AP148" s="30"/>
      <c r="AQ148" s="451"/>
      <c r="AR148" s="310"/>
      <c r="AS148" s="310"/>
      <c r="AT148" s="141"/>
      <c r="AU148" s="27" t="str">
        <f>+B148</f>
        <v>2012A</v>
      </c>
      <c r="AV148" s="30"/>
      <c r="AW148" s="30"/>
      <c r="AX148" s="310"/>
      <c r="AY148" s="310"/>
      <c r="AZ148" s="30"/>
      <c r="BA148" s="318"/>
      <c r="BB148" s="310"/>
      <c r="BC148" s="318"/>
      <c r="BD148" s="318"/>
      <c r="BE148" s="318"/>
      <c r="BF148" s="310"/>
      <c r="BG148" s="30"/>
      <c r="BH148" s="318"/>
      <c r="BI148" s="318"/>
      <c r="BJ148" s="310"/>
      <c r="BK148" s="30"/>
      <c r="BL148" s="318"/>
      <c r="BM148" s="318"/>
      <c r="BN148" s="310"/>
      <c r="BO148" s="30"/>
      <c r="BP148" s="318"/>
      <c r="BQ148" s="318"/>
      <c r="BR148" s="318"/>
      <c r="BS148" s="310"/>
      <c r="BT148" s="30"/>
      <c r="BU148" s="318"/>
      <c r="BV148" s="318"/>
      <c r="BW148" s="318"/>
      <c r="BX148" s="310"/>
      <c r="BY148" s="30"/>
      <c r="BZ148" s="318"/>
      <c r="CA148" s="318"/>
      <c r="CB148" s="318"/>
      <c r="CC148" s="310"/>
      <c r="CD148" s="309"/>
      <c r="CE148" s="318"/>
      <c r="CF148" s="318"/>
      <c r="CG148" s="318"/>
      <c r="CH148" s="310"/>
      <c r="CI148" s="30"/>
      <c r="CJ148" s="318"/>
      <c r="CK148" s="318"/>
      <c r="CL148" s="310"/>
      <c r="CM148" s="30"/>
      <c r="CN148" s="318"/>
      <c r="CO148" s="310"/>
      <c r="CP148" s="30"/>
      <c r="CQ148" s="318"/>
      <c r="CR148" s="310"/>
      <c r="CS148" s="30"/>
      <c r="CT148" s="318"/>
      <c r="CU148" s="310"/>
      <c r="CV148" s="30"/>
      <c r="CW148" s="318"/>
      <c r="CX148" s="310"/>
      <c r="CY148" s="30"/>
      <c r="CZ148" s="318"/>
      <c r="DA148" s="310"/>
      <c r="DB148" s="30"/>
      <c r="DC148" s="318"/>
      <c r="DD148" s="310"/>
      <c r="DE148" s="30"/>
      <c r="DF148" s="318"/>
      <c r="DG148" s="310"/>
      <c r="DH148" s="307"/>
      <c r="DI148" s="307"/>
      <c r="DJ148" s="307"/>
      <c r="DK148" s="307"/>
      <c r="DL148" s="307"/>
      <c r="DT148" s="968"/>
      <c r="DU148" s="442">
        <f>SUM(DO146:DS146)</f>
        <v>163</v>
      </c>
    </row>
    <row r="149" spans="1:125">
      <c r="A149" s="30" t="str">
        <f>qtrSales!A173</f>
        <v>1Q</v>
      </c>
      <c r="B149" s="30" t="str">
        <f>qtrSales!B173</f>
        <v>Apr</v>
      </c>
      <c r="C149" s="30"/>
      <c r="D149" s="307"/>
      <c r="E149" s="308"/>
      <c r="F149" s="307"/>
      <c r="G149" s="317"/>
      <c r="H149" s="325">
        <f>+H146+BC149+BD149</f>
        <v>199</v>
      </c>
      <c r="I149" s="308">
        <f>+(H149/H143-1)*100</f>
        <v>-20.399999999999995</v>
      </c>
      <c r="J149" s="325">
        <f>+J146+BG149+BH149</f>
        <v>1030</v>
      </c>
      <c r="K149" s="308">
        <f>+(J149/J143-1)*100</f>
        <v>-0.29041626331074433</v>
      </c>
      <c r="L149" s="325">
        <f>+L146+BK149+BL149</f>
        <v>1651</v>
      </c>
      <c r="M149" s="308">
        <f>+(L149/L143-1)*100</f>
        <v>-0.66185318892899581</v>
      </c>
      <c r="N149" s="751">
        <f>+N146+BT149+BU149+BV149</f>
        <v>75</v>
      </c>
      <c r="O149" s="752">
        <f>+(N149/N144-1)*100</f>
        <v>0</v>
      </c>
      <c r="P149" s="751">
        <f>+P147+BY149+BZ149+CA149</f>
        <v>0</v>
      </c>
      <c r="Q149" s="307"/>
      <c r="R149" s="751">
        <f>+R147+CD149+CF149+CE149</f>
        <v>0</v>
      </c>
      <c r="S149" s="474"/>
      <c r="T149" s="751">
        <f>+T147+CI149+CJ149</f>
        <v>0</v>
      </c>
      <c r="U149" s="755"/>
      <c r="V149" s="309">
        <f>+V146+BO149</f>
        <v>19</v>
      </c>
      <c r="W149" s="317">
        <f>+(V149/V143-1)*100</f>
        <v>72.727272727272734</v>
      </c>
      <c r="X149" s="309">
        <v>0</v>
      </c>
      <c r="Y149" s="317"/>
      <c r="Z149" s="828">
        <f>+Z146+CM149-CN149</f>
        <v>0</v>
      </c>
      <c r="AA149" s="317"/>
      <c r="AB149" s="307"/>
      <c r="AC149" s="308"/>
      <c r="AD149" s="307"/>
      <c r="AE149" s="308"/>
      <c r="AF149" s="307"/>
      <c r="AG149" s="308"/>
      <c r="AH149" s="307"/>
      <c r="AI149" s="308"/>
      <c r="AJ149" s="307"/>
      <c r="AK149" s="308"/>
      <c r="AL149" s="307"/>
      <c r="AM149" s="308"/>
      <c r="AN149" s="307"/>
      <c r="AO149" s="308"/>
      <c r="AP149" s="30"/>
      <c r="AQ149" s="451">
        <f>H149+J149+L149+V149</f>
        <v>2899</v>
      </c>
      <c r="AR149" s="308">
        <f>+(AQ149/AQ143-1)*100</f>
        <v>-1.9282814614343669</v>
      </c>
      <c r="AS149" s="308"/>
      <c r="AT149" s="30" t="str">
        <f>+A149</f>
        <v>1Q</v>
      </c>
      <c r="AU149" s="30" t="str">
        <f>+B149</f>
        <v>Apr</v>
      </c>
      <c r="AV149" s="30"/>
      <c r="AW149" s="307"/>
      <c r="AX149" s="308"/>
      <c r="AY149" s="308"/>
      <c r="AZ149" s="307"/>
      <c r="BA149" s="317"/>
      <c r="BB149" s="308"/>
      <c r="BC149" s="307">
        <v>0</v>
      </c>
      <c r="BD149" s="307">
        <v>-31</v>
      </c>
      <c r="BE149" s="307">
        <v>1</v>
      </c>
      <c r="BF149" s="308"/>
      <c r="BG149" s="307">
        <v>1</v>
      </c>
      <c r="BH149" s="307">
        <v>-7</v>
      </c>
      <c r="BI149" s="307">
        <v>12</v>
      </c>
      <c r="BJ149" s="308"/>
      <c r="BK149" s="307">
        <v>1</v>
      </c>
      <c r="BL149" s="307">
        <v>-6</v>
      </c>
      <c r="BM149" s="307">
        <v>8</v>
      </c>
      <c r="BN149" s="308"/>
      <c r="BO149" s="321">
        <v>0</v>
      </c>
      <c r="BP149" s="321">
        <v>0</v>
      </c>
      <c r="BQ149" s="321"/>
      <c r="BR149" s="321"/>
      <c r="BS149" s="308"/>
      <c r="BT149" s="307">
        <v>0</v>
      </c>
      <c r="BU149" s="307">
        <v>0</v>
      </c>
      <c r="BV149" s="307">
        <v>0</v>
      </c>
      <c r="BW149" s="317"/>
      <c r="BX149" s="308"/>
      <c r="BY149" s="307">
        <v>0</v>
      </c>
      <c r="BZ149" s="307">
        <v>0</v>
      </c>
      <c r="CA149" s="307">
        <v>0</v>
      </c>
      <c r="CB149" s="317"/>
      <c r="CC149" s="308"/>
      <c r="CD149" s="307">
        <v>0</v>
      </c>
      <c r="CE149" s="307">
        <v>0</v>
      </c>
      <c r="CF149" s="307">
        <v>0</v>
      </c>
      <c r="CG149" s="317"/>
      <c r="CH149" s="308"/>
      <c r="CI149" s="307">
        <v>0</v>
      </c>
      <c r="CJ149" s="307">
        <v>0</v>
      </c>
      <c r="CK149" s="317"/>
      <c r="CL149" s="308"/>
      <c r="CM149" s="321">
        <v>0</v>
      </c>
      <c r="CN149" s="321">
        <v>0</v>
      </c>
      <c r="CO149" s="308"/>
      <c r="CP149" s="321"/>
      <c r="CQ149" s="317"/>
      <c r="CR149" s="308"/>
      <c r="CS149" s="321"/>
      <c r="CT149" s="317"/>
      <c r="CU149" s="308"/>
      <c r="CV149" s="321"/>
      <c r="CW149" s="317"/>
      <c r="CX149" s="308"/>
      <c r="CY149" s="321"/>
      <c r="CZ149" s="317"/>
      <c r="DA149" s="308"/>
      <c r="DB149" s="321"/>
      <c r="DC149" s="317"/>
      <c r="DD149" s="308"/>
      <c r="DE149" s="321"/>
      <c r="DF149" s="317"/>
      <c r="DG149" s="308"/>
      <c r="DH149" s="325">
        <f t="shared" ref="DH149:DI152" si="20">+BG149+BK149+BO149+BC149</f>
        <v>2</v>
      </c>
      <c r="DI149" s="328">
        <f t="shared" si="20"/>
        <v>-44</v>
      </c>
      <c r="DJ149" s="325">
        <f>+BI149+BM149+CL149+BE149</f>
        <v>21</v>
      </c>
      <c r="DK149" s="321"/>
      <c r="DL149" s="321"/>
      <c r="DM149" s="321"/>
      <c r="DN149" s="321"/>
      <c r="DO149" s="321"/>
      <c r="DP149" s="321"/>
      <c r="DQ149" s="321"/>
      <c r="DR149" s="321"/>
      <c r="DS149" s="321"/>
      <c r="DT149" s="989"/>
      <c r="DU149" s="442">
        <f>SUM(DO152:DS152)</f>
        <v>248</v>
      </c>
    </row>
    <row r="150" spans="1:125">
      <c r="A150" s="30" t="str">
        <f>qtrSales!A174</f>
        <v>2Q</v>
      </c>
      <c r="B150" s="30" t="str">
        <f>qtrSales!B174</f>
        <v>Jul</v>
      </c>
      <c r="C150" s="30"/>
      <c r="D150" s="307"/>
      <c r="E150" s="308"/>
      <c r="F150" s="307"/>
      <c r="G150" s="317"/>
      <c r="H150" s="325">
        <f>+H149+BC150+BD150</f>
        <v>189</v>
      </c>
      <c r="I150" s="308">
        <f>+(H150/H144-1)*100</f>
        <v>-24.096385542168676</v>
      </c>
      <c r="J150" s="325">
        <f>+J149+BG150+BH150</f>
        <v>1035</v>
      </c>
      <c r="K150" s="308">
        <f>+(J150/J144-1)*100</f>
        <v>0.29069767441860517</v>
      </c>
      <c r="L150" s="325">
        <f>+L149+BK150+BL150</f>
        <v>1647</v>
      </c>
      <c r="M150" s="308">
        <f>+(L150/L144-1)*100</f>
        <v>-0.6634499396863669</v>
      </c>
      <c r="N150" s="751">
        <f>+N149+BT150+BU150+BV150</f>
        <v>75</v>
      </c>
      <c r="O150" s="752">
        <f>+(N150/N145-1)*100</f>
        <v>0</v>
      </c>
      <c r="P150" s="751">
        <f>+P149+BY150+BZ150+CA150</f>
        <v>0</v>
      </c>
      <c r="Q150" s="751"/>
      <c r="R150" s="751">
        <f>+R149+CD150+CF150+CE150</f>
        <v>0</v>
      </c>
      <c r="S150" s="752"/>
      <c r="T150" s="751">
        <f>+T149+CI150+CJ150</f>
        <v>0</v>
      </c>
      <c r="U150" s="755"/>
      <c r="V150" s="309">
        <f>+V149+BO150-BP150</f>
        <v>22</v>
      </c>
      <c r="W150" s="317">
        <f>+(V150/V144-1)*100</f>
        <v>83.333333333333329</v>
      </c>
      <c r="X150" s="309">
        <v>0</v>
      </c>
      <c r="Y150" s="317"/>
      <c r="Z150" s="828">
        <f>+Z149+CM150+CN150</f>
        <v>0</v>
      </c>
      <c r="AA150" s="317"/>
      <c r="AB150" s="307"/>
      <c r="AC150" s="308"/>
      <c r="AD150" s="307"/>
      <c r="AE150" s="308"/>
      <c r="AF150" s="307"/>
      <c r="AG150" s="308"/>
      <c r="AH150" s="307"/>
      <c r="AI150" s="308"/>
      <c r="AJ150" s="307"/>
      <c r="AK150" s="308"/>
      <c r="AL150" s="307"/>
      <c r="AM150" s="308"/>
      <c r="AN150" s="307"/>
      <c r="AO150" s="308"/>
      <c r="AP150" s="530"/>
      <c r="AQ150" s="451">
        <f>H150+J150+L150+V150</f>
        <v>2893</v>
      </c>
      <c r="AR150" s="308">
        <f>+(AQ150/AQ144-1)*100</f>
        <v>-1.9654354456116518</v>
      </c>
      <c r="AS150" s="308"/>
      <c r="AT150" s="30" t="str">
        <f>+A150</f>
        <v>2Q</v>
      </c>
      <c r="AU150" s="30" t="str">
        <f>+B150</f>
        <v>Jul</v>
      </c>
      <c r="AV150" s="30"/>
      <c r="AW150" s="307"/>
      <c r="AX150" s="308"/>
      <c r="AY150" s="308"/>
      <c r="AZ150" s="307"/>
      <c r="BA150" s="317"/>
      <c r="BB150" s="308"/>
      <c r="BC150" s="307">
        <v>0</v>
      </c>
      <c r="BD150" s="366">
        <v>-10</v>
      </c>
      <c r="BE150" s="307">
        <v>2</v>
      </c>
      <c r="BF150" s="308"/>
      <c r="BG150" s="307">
        <v>8</v>
      </c>
      <c r="BH150" s="307">
        <v>-3</v>
      </c>
      <c r="BI150" s="307">
        <v>11</v>
      </c>
      <c r="BJ150" s="308"/>
      <c r="BK150" s="307">
        <v>3</v>
      </c>
      <c r="BL150" s="307">
        <v>-7</v>
      </c>
      <c r="BM150" s="307">
        <v>11</v>
      </c>
      <c r="BN150" s="308"/>
      <c r="BO150" s="321">
        <v>3</v>
      </c>
      <c r="BP150" s="321">
        <v>0</v>
      </c>
      <c r="BQ150" s="321"/>
      <c r="BR150" s="321"/>
      <c r="BS150" s="308"/>
      <c r="BT150" s="307">
        <v>0</v>
      </c>
      <c r="BU150" s="307">
        <v>0</v>
      </c>
      <c r="BV150" s="307">
        <v>0</v>
      </c>
      <c r="BW150" s="317"/>
      <c r="BX150" s="308"/>
      <c r="BY150" s="307">
        <v>0</v>
      </c>
      <c r="BZ150" s="307">
        <v>0</v>
      </c>
      <c r="CA150" s="307">
        <v>0</v>
      </c>
      <c r="CB150" s="317"/>
      <c r="CC150" s="308"/>
      <c r="CD150" s="307">
        <v>0</v>
      </c>
      <c r="CE150" s="307">
        <v>0</v>
      </c>
      <c r="CF150" s="307">
        <v>0</v>
      </c>
      <c r="CG150" s="317"/>
      <c r="CH150" s="308"/>
      <c r="CI150" s="307">
        <v>0</v>
      </c>
      <c r="CJ150" s="307">
        <v>0</v>
      </c>
      <c r="CK150" s="317"/>
      <c r="CL150" s="308"/>
      <c r="CM150" s="321">
        <v>0</v>
      </c>
      <c r="CN150" s="321">
        <v>0</v>
      </c>
      <c r="CO150" s="308"/>
      <c r="CP150" s="321"/>
      <c r="CQ150" s="317"/>
      <c r="CR150" s="308"/>
      <c r="CS150" s="321"/>
      <c r="CT150" s="317"/>
      <c r="CU150" s="308"/>
      <c r="CV150" s="321"/>
      <c r="CW150" s="317"/>
      <c r="CX150" s="308"/>
      <c r="CY150" s="321"/>
      <c r="CZ150" s="317"/>
      <c r="DA150" s="308"/>
      <c r="DB150" s="321"/>
      <c r="DC150" s="317"/>
      <c r="DD150" s="308"/>
      <c r="DE150" s="321"/>
      <c r="DF150" s="317"/>
      <c r="DG150" s="308"/>
      <c r="DH150" s="325">
        <f t="shared" si="20"/>
        <v>14</v>
      </c>
      <c r="DI150" s="328">
        <f t="shared" si="20"/>
        <v>-20</v>
      </c>
      <c r="DJ150" s="325">
        <f>+BI150+BM150+CL150+BE150</f>
        <v>24</v>
      </c>
      <c r="DK150" s="321"/>
      <c r="DL150" s="321"/>
      <c r="DM150" s="321"/>
      <c r="DN150" s="321"/>
      <c r="DO150" s="321"/>
      <c r="DP150" s="321"/>
      <c r="DQ150" s="321"/>
      <c r="DR150" s="321"/>
      <c r="DS150" s="321"/>
      <c r="DT150" s="989"/>
      <c r="DU150" s="878">
        <f>85/DU149</f>
        <v>0.34274193548387094</v>
      </c>
    </row>
    <row r="151" spans="1:125">
      <c r="A151" s="30" t="str">
        <f>qtrSales!A175</f>
        <v>3Q</v>
      </c>
      <c r="B151" s="30" t="str">
        <f>qtrSales!B175</f>
        <v>Oct</v>
      </c>
      <c r="C151" s="30"/>
      <c r="D151" s="307"/>
      <c r="E151" s="308"/>
      <c r="F151" s="307"/>
      <c r="G151" s="317"/>
      <c r="H151" s="309">
        <f>+H150+BC151+BD151</f>
        <v>165</v>
      </c>
      <c r="I151" s="308">
        <f>+(H151/H145-1)*100</f>
        <v>-33.734939759036145</v>
      </c>
      <c r="J151" s="325">
        <f>+J150+BG151+BH151</f>
        <v>1046</v>
      </c>
      <c r="K151" s="308">
        <f>+(J151/J145-1)*100</f>
        <v>1.1605415860735047</v>
      </c>
      <c r="L151" s="325">
        <f>+L150+BK151+BL151</f>
        <v>1650</v>
      </c>
      <c r="M151" s="308">
        <f>+(L151/L145-1)*100</f>
        <v>-0.60240963855421326</v>
      </c>
      <c r="N151" s="751">
        <f>+N150+BT151+BU151+BV151</f>
        <v>75</v>
      </c>
      <c r="O151" s="752">
        <f>+(N151/N146-1)*100</f>
        <v>0</v>
      </c>
      <c r="P151" s="751">
        <f>+P150+BY151+BZ151+CA151</f>
        <v>0</v>
      </c>
      <c r="Q151" s="751"/>
      <c r="R151" s="751">
        <f>+R150+CD151+CF151+CE151</f>
        <v>0</v>
      </c>
      <c r="S151" s="752"/>
      <c r="T151" s="751">
        <f>+T150+CI151+CJ151</f>
        <v>0</v>
      </c>
      <c r="U151" s="755"/>
      <c r="V151" s="309">
        <f>+V150+BO151-BP151</f>
        <v>26</v>
      </c>
      <c r="W151" s="317">
        <f>+(V151/V145-1)*100</f>
        <v>62.5</v>
      </c>
      <c r="X151" s="309">
        <v>2</v>
      </c>
      <c r="Y151" s="317"/>
      <c r="Z151" s="828">
        <f>+Z150+CM151-CN151</f>
        <v>0</v>
      </c>
      <c r="AA151" s="317"/>
      <c r="AB151" s="307"/>
      <c r="AC151" s="308"/>
      <c r="AD151" s="307"/>
      <c r="AE151" s="308"/>
      <c r="AF151" s="307"/>
      <c r="AG151" s="308"/>
      <c r="AH151" s="307"/>
      <c r="AI151" s="308"/>
      <c r="AJ151" s="307"/>
      <c r="AK151" s="308"/>
      <c r="AL151" s="307"/>
      <c r="AM151" s="308"/>
      <c r="AN151" s="307"/>
      <c r="AO151" s="308"/>
      <c r="AP151" s="30"/>
      <c r="AQ151" s="451">
        <f>H151+J151+L151+V151+X151</f>
        <v>2889</v>
      </c>
      <c r="AR151" s="308">
        <f>+(AQ151/AQ145-1)*100</f>
        <v>-2.3656640757012459</v>
      </c>
      <c r="AS151" s="308"/>
      <c r="AT151" s="30" t="str">
        <f>+A151</f>
        <v>3Q</v>
      </c>
      <c r="AU151" s="30" t="str">
        <f>+B151</f>
        <v>Oct</v>
      </c>
      <c r="AV151" s="30"/>
      <c r="AW151" s="307"/>
      <c r="AX151" s="308"/>
      <c r="AY151" s="308"/>
      <c r="AZ151" s="307"/>
      <c r="BA151" s="317"/>
      <c r="BB151" s="308"/>
      <c r="BC151" s="307">
        <v>0</v>
      </c>
      <c r="BD151" s="366">
        <v>-24</v>
      </c>
      <c r="BE151" s="307">
        <v>1</v>
      </c>
      <c r="BF151" s="308"/>
      <c r="BG151" s="307">
        <v>16</v>
      </c>
      <c r="BH151" s="307">
        <v>-5</v>
      </c>
      <c r="BI151" s="307">
        <v>18</v>
      </c>
      <c r="BJ151" s="308"/>
      <c r="BK151" s="307">
        <v>3</v>
      </c>
      <c r="BL151" s="307">
        <v>0</v>
      </c>
      <c r="BM151" s="307">
        <v>11</v>
      </c>
      <c r="BN151" s="308"/>
      <c r="BO151" s="321">
        <v>4</v>
      </c>
      <c r="BP151" s="321">
        <v>0</v>
      </c>
      <c r="BQ151" s="321"/>
      <c r="BR151" s="321"/>
      <c r="BS151" s="308"/>
      <c r="BT151" s="307">
        <v>0</v>
      </c>
      <c r="BU151" s="307">
        <v>0</v>
      </c>
      <c r="BV151" s="307">
        <v>0</v>
      </c>
      <c r="BW151" s="317"/>
      <c r="BX151" s="308"/>
      <c r="BY151" s="307">
        <v>0</v>
      </c>
      <c r="BZ151" s="307">
        <v>0</v>
      </c>
      <c r="CA151" s="307">
        <v>0</v>
      </c>
      <c r="CB151" s="317"/>
      <c r="CC151" s="308"/>
      <c r="CD151" s="307">
        <v>0</v>
      </c>
      <c r="CE151" s="307">
        <v>0</v>
      </c>
      <c r="CF151" s="307">
        <v>0</v>
      </c>
      <c r="CG151" s="317"/>
      <c r="CH151" s="308"/>
      <c r="CI151" s="307">
        <v>0</v>
      </c>
      <c r="CJ151" s="307">
        <v>0</v>
      </c>
      <c r="CK151" s="317"/>
      <c r="CL151" s="308"/>
      <c r="CM151" s="321">
        <v>0</v>
      </c>
      <c r="CN151" s="321">
        <v>0</v>
      </c>
      <c r="CO151" s="308"/>
      <c r="CP151" s="321"/>
      <c r="CQ151" s="317"/>
      <c r="CR151" s="308"/>
      <c r="CS151" s="321"/>
      <c r="CT151" s="317"/>
      <c r="CU151" s="308"/>
      <c r="CV151" s="321"/>
      <c r="CW151" s="317"/>
      <c r="CX151" s="308"/>
      <c r="CY151" s="321"/>
      <c r="CZ151" s="317"/>
      <c r="DA151" s="308"/>
      <c r="DB151" s="321"/>
      <c r="DC151" s="317"/>
      <c r="DD151" s="308"/>
      <c r="DE151" s="321"/>
      <c r="DF151" s="317"/>
      <c r="DG151" s="308"/>
      <c r="DH151" s="325">
        <f t="shared" si="20"/>
        <v>23</v>
      </c>
      <c r="DI151" s="328">
        <f t="shared" si="20"/>
        <v>-29</v>
      </c>
      <c r="DJ151" s="325">
        <f>+BI151+BM151+CL151+BE151</f>
        <v>30</v>
      </c>
      <c r="DK151" s="321"/>
      <c r="DL151" s="321"/>
      <c r="DM151" s="321"/>
      <c r="DN151" s="321"/>
      <c r="DO151" s="321"/>
      <c r="DP151" s="321"/>
      <c r="DQ151" s="321"/>
      <c r="DR151" s="321"/>
      <c r="DS151" s="321"/>
      <c r="DT151" s="989"/>
      <c r="DU151" s="442"/>
    </row>
    <row r="152" spans="1:125">
      <c r="A152" s="30" t="str">
        <f>qtrSales!A176</f>
        <v>4Q</v>
      </c>
      <c r="B152" s="30" t="str">
        <f>qtrSales!B176</f>
        <v>Jan</v>
      </c>
      <c r="C152" s="339"/>
      <c r="D152" s="307"/>
      <c r="E152" s="308"/>
      <c r="F152" s="307"/>
      <c r="G152" s="317"/>
      <c r="H152" s="309">
        <f>+H151+BC152+BD152</f>
        <v>158</v>
      </c>
      <c r="I152" s="308">
        <f>+(H152/H146-1)*100</f>
        <v>-31.304347826086953</v>
      </c>
      <c r="J152" s="325">
        <f>+J151+BG152+BH152</f>
        <v>1047</v>
      </c>
      <c r="K152" s="308">
        <f>+(J152/J146-1)*100</f>
        <v>1.0617760617760652</v>
      </c>
      <c r="L152" s="325">
        <f>+L151+BK152+BL152</f>
        <v>1642</v>
      </c>
      <c r="M152" s="308">
        <f>+(L152/L146-1)*100</f>
        <v>-0.84541062801932743</v>
      </c>
      <c r="N152" s="751">
        <f>+N151+BT152+BU152+BV152</f>
        <v>75</v>
      </c>
      <c r="O152" s="752"/>
      <c r="P152" s="751">
        <f>+P151+BY152+BZ152+CA152</f>
        <v>0</v>
      </c>
      <c r="Q152" s="751"/>
      <c r="R152" s="751">
        <f>+R151+CD152+CF152+CE152</f>
        <v>0</v>
      </c>
      <c r="S152" s="752"/>
      <c r="T152" s="751">
        <f>+T151+CI152+CJ152</f>
        <v>0</v>
      </c>
      <c r="U152" s="755"/>
      <c r="V152" s="309">
        <f>+V151+BO152-BP152</f>
        <v>29</v>
      </c>
      <c r="W152" s="317">
        <f>+(V152/V146-1)*100</f>
        <v>52.631578947368432</v>
      </c>
      <c r="X152" s="309">
        <v>2</v>
      </c>
      <c r="Y152" s="317"/>
      <c r="Z152" s="828">
        <f>+Z151+CM152-CN152</f>
        <v>0</v>
      </c>
      <c r="AA152" s="317"/>
      <c r="AB152" s="307"/>
      <c r="AC152" s="308"/>
      <c r="AD152" s="307"/>
      <c r="AE152" s="308"/>
      <c r="AF152" s="307"/>
      <c r="AG152" s="308"/>
      <c r="AH152" s="307"/>
      <c r="AI152" s="308"/>
      <c r="AJ152" s="307"/>
      <c r="AK152" s="308"/>
      <c r="AL152" s="307"/>
      <c r="AM152" s="308"/>
      <c r="AN152" s="307"/>
      <c r="AO152" s="308"/>
      <c r="AP152" s="30"/>
      <c r="AQ152" s="451">
        <f>H152+J152+L152+V152+X152</f>
        <v>2878</v>
      </c>
      <c r="AR152" s="308">
        <f>+(AQ152/AQ146-1)*100</f>
        <v>-2.142128527711662</v>
      </c>
      <c r="AS152" s="308"/>
      <c r="AT152" s="30" t="str">
        <f>+A152</f>
        <v>4Q</v>
      </c>
      <c r="AU152" s="30" t="str">
        <f>+B152</f>
        <v>Jan</v>
      </c>
      <c r="AV152" s="30"/>
      <c r="AW152" s="302"/>
      <c r="AX152" s="302"/>
      <c r="AY152" s="308"/>
      <c r="AZ152" s="302"/>
      <c r="BA152" s="302"/>
      <c r="BB152" s="308"/>
      <c r="BC152" s="302">
        <v>0</v>
      </c>
      <c r="BD152" s="418">
        <v>-7</v>
      </c>
      <c r="BE152" s="302">
        <v>2</v>
      </c>
      <c r="BF152" s="308"/>
      <c r="BG152" s="302">
        <v>6</v>
      </c>
      <c r="BH152" s="302">
        <v>-5</v>
      </c>
      <c r="BI152" s="1062">
        <v>13</v>
      </c>
      <c r="BJ152" s="308"/>
      <c r="BK152" s="302">
        <v>0</v>
      </c>
      <c r="BL152" s="302">
        <v>-8</v>
      </c>
      <c r="BM152" s="1062">
        <v>8</v>
      </c>
      <c r="BN152" s="308"/>
      <c r="BO152" s="302">
        <v>3</v>
      </c>
      <c r="BP152" s="302">
        <v>0</v>
      </c>
      <c r="BQ152" s="307"/>
      <c r="BR152" s="307"/>
      <c r="BS152" s="308"/>
      <c r="BT152" s="302">
        <v>0</v>
      </c>
      <c r="BU152" s="302">
        <v>0</v>
      </c>
      <c r="BV152" s="302">
        <v>0</v>
      </c>
      <c r="BW152" s="302"/>
      <c r="BX152" s="308"/>
      <c r="BY152" s="302">
        <v>0</v>
      </c>
      <c r="BZ152" s="302">
        <v>0</v>
      </c>
      <c r="CA152" s="302">
        <v>0</v>
      </c>
      <c r="CB152" s="302"/>
      <c r="CC152" s="308"/>
      <c r="CD152" s="302">
        <v>0</v>
      </c>
      <c r="CE152" s="302">
        <v>0</v>
      </c>
      <c r="CF152" s="302">
        <v>0</v>
      </c>
      <c r="CG152" s="302"/>
      <c r="CH152" s="308"/>
      <c r="CI152" s="302">
        <v>0</v>
      </c>
      <c r="CJ152" s="302">
        <v>0</v>
      </c>
      <c r="CK152" s="302"/>
      <c r="CL152" s="308"/>
      <c r="CM152" s="302">
        <v>0</v>
      </c>
      <c r="CN152" s="302">
        <v>0</v>
      </c>
      <c r="CO152" s="308"/>
      <c r="CP152" s="302"/>
      <c r="CQ152" s="302"/>
      <c r="CR152" s="308"/>
      <c r="CS152" s="302"/>
      <c r="CT152" s="302"/>
      <c r="CU152" s="308"/>
      <c r="CV152" s="302"/>
      <c r="CW152" s="302"/>
      <c r="CX152" s="308"/>
      <c r="CY152" s="302"/>
      <c r="CZ152" s="302"/>
      <c r="DA152" s="308"/>
      <c r="DB152" s="302"/>
      <c r="DC152" s="302"/>
      <c r="DD152" s="308"/>
      <c r="DE152" s="302"/>
      <c r="DF152" s="302"/>
      <c r="DG152" s="308"/>
      <c r="DH152" s="1022">
        <f t="shared" si="20"/>
        <v>9</v>
      </c>
      <c r="DI152" s="338">
        <f t="shared" si="20"/>
        <v>-20</v>
      </c>
      <c r="DJ152" s="1022">
        <f>+BI152+BM152+CL152+BE152</f>
        <v>23</v>
      </c>
      <c r="DK152" s="306"/>
      <c r="DL152" s="321"/>
      <c r="DM152" s="306">
        <v>158</v>
      </c>
      <c r="DN152" s="306">
        <v>339</v>
      </c>
      <c r="DO152" s="306">
        <v>71</v>
      </c>
      <c r="DP152" s="306">
        <v>38</v>
      </c>
      <c r="DQ152" s="306">
        <v>26</v>
      </c>
      <c r="DR152" s="306">
        <v>5</v>
      </c>
      <c r="DS152" s="306">
        <v>108</v>
      </c>
      <c r="DT152" s="1073">
        <f>SUM(DM152:DS152)</f>
        <v>745</v>
      </c>
    </row>
    <row r="153" spans="1:125">
      <c r="A153" s="24"/>
      <c r="B153" s="24"/>
      <c r="C153" s="24"/>
      <c r="D153" s="24"/>
      <c r="E153" s="24"/>
      <c r="F153" s="24"/>
      <c r="G153" s="305"/>
      <c r="H153" s="305"/>
      <c r="I153" s="305"/>
      <c r="J153" s="24"/>
      <c r="K153" s="305"/>
      <c r="L153" s="24"/>
      <c r="M153" s="24"/>
      <c r="N153" s="387"/>
      <c r="O153" s="24"/>
      <c r="P153" s="24"/>
      <c r="Q153" s="24"/>
      <c r="R153" s="24"/>
      <c r="S153" s="24"/>
      <c r="T153" s="387"/>
      <c r="U153" s="24"/>
      <c r="V153" s="24"/>
      <c r="W153" s="305"/>
      <c r="X153" s="305"/>
      <c r="Y153" s="305"/>
      <c r="Z153" s="387"/>
      <c r="AA153" s="305"/>
      <c r="AB153" s="24"/>
      <c r="AC153" s="24"/>
      <c r="AD153" s="24"/>
      <c r="AE153" s="24"/>
      <c r="AF153" s="30"/>
      <c r="AG153" s="30"/>
      <c r="AH153" s="30"/>
      <c r="AI153" s="30"/>
      <c r="AJ153" s="30"/>
      <c r="AK153" s="30"/>
      <c r="AL153" s="30"/>
      <c r="AM153" s="30"/>
      <c r="AN153" s="30"/>
      <c r="AO153" s="30"/>
      <c r="AP153" s="24"/>
      <c r="AQ153" s="593"/>
      <c r="AR153" s="30"/>
      <c r="AS153" s="30"/>
      <c r="AT153" s="24"/>
      <c r="AU153" s="24"/>
      <c r="AV153" s="24"/>
      <c r="AW153" s="30"/>
      <c r="AX153" s="30"/>
      <c r="AY153" s="30"/>
      <c r="AZ153" s="30"/>
      <c r="BA153" s="320"/>
      <c r="BB153" s="30"/>
      <c r="BC153" s="1096">
        <f>SUM(BC149:BC152)</f>
        <v>0</v>
      </c>
      <c r="BD153" s="1096">
        <f>SUM(BD149:BD152)</f>
        <v>-72</v>
      </c>
      <c r="BE153" s="1096">
        <f>SUM(BE149:BE152)</f>
        <v>6</v>
      </c>
      <c r="BF153" s="24"/>
      <c r="BG153" s="1096">
        <f>SUM(BG149:BG152)</f>
        <v>31</v>
      </c>
      <c r="BH153" s="309">
        <f>SUM(BH149:BH152)</f>
        <v>-20</v>
      </c>
      <c r="BI153" s="309">
        <f>SUM(BI149:BI152)</f>
        <v>54</v>
      </c>
      <c r="BJ153" s="24"/>
      <c r="BK153" s="309">
        <f>SUM(BK149:BK152)</f>
        <v>7</v>
      </c>
      <c r="BL153" s="309">
        <f>SUM(BL149:BL152)</f>
        <v>-21</v>
      </c>
      <c r="BM153" s="309">
        <f>SUM(BM149:BM152)</f>
        <v>38</v>
      </c>
      <c r="BN153" s="24"/>
      <c r="BO153" s="309">
        <f>SUM(BO149:BO152)</f>
        <v>10</v>
      </c>
      <c r="BP153" s="309">
        <f>SUM(BP149:BP152)</f>
        <v>0</v>
      </c>
      <c r="BQ153" s="309"/>
      <c r="BR153" s="309"/>
      <c r="BS153" s="24"/>
      <c r="BT153" s="309">
        <f>SUM(BT149:BT152)</f>
        <v>0</v>
      </c>
      <c r="BU153" s="309">
        <f>SUM(BU149:BU152)</f>
        <v>0</v>
      </c>
      <c r="BV153" s="309">
        <f>SUM(BV149:BV152)</f>
        <v>0</v>
      </c>
      <c r="BW153" s="24"/>
      <c r="BX153" s="24"/>
      <c r="BY153" s="309">
        <f>SUM(BY149:BY152)</f>
        <v>0</v>
      </c>
      <c r="BZ153" s="309">
        <f>SUM(BZ149:BZ152)</f>
        <v>0</v>
      </c>
      <c r="CA153" s="309">
        <f>SUM(CA149:CA152)</f>
        <v>0</v>
      </c>
      <c r="CB153" s="24"/>
      <c r="CC153" s="24"/>
      <c r="CD153" s="309">
        <f>SUM(CD149:CD152)</f>
        <v>0</v>
      </c>
      <c r="CE153" s="309">
        <f>SUM(CE149:CE152)</f>
        <v>0</v>
      </c>
      <c r="CF153" s="309">
        <f>SUM(CF149:CF152)</f>
        <v>0</v>
      </c>
      <c r="CG153" s="24"/>
      <c r="CH153" s="24"/>
      <c r="CI153" s="309">
        <f>SUM(CI149:CI152)</f>
        <v>0</v>
      </c>
      <c r="CJ153" s="309">
        <f>SUM(CJ149:CJ152)</f>
        <v>0</v>
      </c>
      <c r="CK153" s="309"/>
      <c r="CL153" s="309"/>
      <c r="CM153" s="309">
        <f>SUM(CM149:CM152)</f>
        <v>0</v>
      </c>
      <c r="CN153" s="309">
        <f>SUM(CN149:CN152)</f>
        <v>0</v>
      </c>
      <c r="CO153" s="309"/>
      <c r="CP153" s="24"/>
      <c r="CQ153" s="24"/>
      <c r="CR153" s="24"/>
      <c r="CS153" s="24"/>
      <c r="CT153" s="24"/>
      <c r="CU153" s="24"/>
      <c r="CV153" s="24"/>
      <c r="CW153" s="24"/>
      <c r="CX153" s="24"/>
      <c r="CY153" s="24"/>
      <c r="CZ153" s="24"/>
      <c r="DA153" s="24"/>
      <c r="DB153" s="24"/>
      <c r="DC153" s="24"/>
      <c r="DD153" s="24"/>
      <c r="DE153" s="24"/>
      <c r="DF153" s="24"/>
      <c r="DG153" s="24"/>
      <c r="DH153" s="551">
        <f>SUM(DH149:DH152)</f>
        <v>48</v>
      </c>
      <c r="DI153" s="551">
        <f>SUM(DI149:DI152)</f>
        <v>-113</v>
      </c>
      <c r="DJ153" s="551">
        <f>SUM(DJ149:DJ152)</f>
        <v>98</v>
      </c>
      <c r="DK153" s="383"/>
      <c r="DL153" s="30"/>
      <c r="DT153" s="968"/>
    </row>
    <row r="154" spans="1:125">
      <c r="A154" s="301"/>
      <c r="B154" s="1181" t="s">
        <v>853</v>
      </c>
      <c r="C154" s="30"/>
      <c r="D154" s="30"/>
      <c r="E154" s="310"/>
      <c r="F154" s="30"/>
      <c r="G154" s="318"/>
      <c r="H154" s="318"/>
      <c r="I154" s="931"/>
      <c r="J154" s="936"/>
      <c r="K154" s="319"/>
      <c r="L154" s="429"/>
      <c r="M154" s="310"/>
      <c r="N154" s="309"/>
      <c r="O154" s="310"/>
      <c r="P154" s="309"/>
      <c r="Q154" s="30"/>
      <c r="R154" s="30"/>
      <c r="S154" s="429"/>
      <c r="T154" s="429"/>
      <c r="U154" s="310"/>
      <c r="V154" s="30"/>
      <c r="W154" s="318"/>
      <c r="X154" s="318"/>
      <c r="Y154" s="318"/>
      <c r="Z154" s="830"/>
      <c r="AA154" s="318"/>
      <c r="AB154" s="30"/>
      <c r="AC154" s="310"/>
      <c r="AD154" s="30"/>
      <c r="AE154" s="310"/>
      <c r="AF154" s="30"/>
      <c r="AG154" s="310"/>
      <c r="AH154" s="30"/>
      <c r="AI154" s="310"/>
      <c r="AJ154" s="30"/>
      <c r="AK154" s="310"/>
      <c r="AL154" s="30"/>
      <c r="AM154" s="310"/>
      <c r="AN154" s="30"/>
      <c r="AO154" s="310"/>
      <c r="AP154" s="30"/>
      <c r="AQ154" s="451"/>
      <c r="AR154" s="310"/>
      <c r="AS154" s="310"/>
      <c r="AT154" s="141"/>
      <c r="AU154" s="27" t="str">
        <f>+B154</f>
        <v>2013A</v>
      </c>
      <c r="AV154" s="30"/>
      <c r="AW154" s="30"/>
      <c r="AX154" s="310"/>
      <c r="AY154" s="310"/>
      <c r="AZ154" s="30"/>
      <c r="BA154" s="318"/>
      <c r="BB154" s="310"/>
      <c r="BC154" s="318"/>
      <c r="BD154" s="318"/>
      <c r="BE154" s="318"/>
      <c r="BF154" s="310"/>
      <c r="BG154" s="30"/>
      <c r="BH154" s="318"/>
      <c r="BI154" s="318"/>
      <c r="BJ154" s="310"/>
      <c r="BK154" s="30"/>
      <c r="BL154" s="318"/>
      <c r="BM154" s="318"/>
      <c r="BN154" s="310"/>
      <c r="BO154" s="30"/>
      <c r="BP154" s="318"/>
      <c r="BQ154" s="318"/>
      <c r="BR154" s="318"/>
      <c r="BS154" s="310"/>
      <c r="BT154" s="30"/>
      <c r="BU154" s="318"/>
      <c r="BV154" s="318"/>
      <c r="BW154" s="318"/>
      <c r="BX154" s="310"/>
      <c r="BY154" s="30"/>
      <c r="BZ154" s="318"/>
      <c r="CA154" s="318"/>
      <c r="CB154" s="318"/>
      <c r="CC154" s="310"/>
      <c r="CD154" s="309"/>
      <c r="CE154" s="318"/>
      <c r="CF154" s="318"/>
      <c r="CG154" s="318"/>
      <c r="CH154" s="310"/>
      <c r="CI154" s="30"/>
      <c r="CJ154" s="318"/>
      <c r="CK154" s="318"/>
      <c r="CL154" s="310"/>
      <c r="CM154" s="30"/>
      <c r="CN154" s="318"/>
      <c r="CO154" s="310"/>
      <c r="CP154" s="30"/>
      <c r="CQ154" s="318"/>
      <c r="CR154" s="310"/>
      <c r="CS154" s="30"/>
      <c r="CT154" s="318"/>
      <c r="CU154" s="310"/>
      <c r="CV154" s="30"/>
      <c r="CW154" s="318"/>
      <c r="CX154" s="310"/>
      <c r="CY154" s="30"/>
      <c r="CZ154" s="318"/>
      <c r="DA154" s="310"/>
      <c r="DB154" s="30"/>
      <c r="DC154" s="318"/>
      <c r="DD154" s="310"/>
      <c r="DE154" s="30"/>
      <c r="DF154" s="318"/>
      <c r="DG154" s="310"/>
      <c r="DH154" s="307"/>
      <c r="DI154" s="307"/>
      <c r="DJ154" s="307"/>
      <c r="DK154" s="307"/>
      <c r="DL154" s="307"/>
      <c r="DT154" s="968"/>
    </row>
    <row r="155" spans="1:125">
      <c r="A155" s="30" t="str">
        <f>qtrSales!A180</f>
        <v>1Q</v>
      </c>
      <c r="B155" s="30" t="str">
        <f>qtrSales!B180</f>
        <v>Apr</v>
      </c>
      <c r="C155" s="30"/>
      <c r="D155" s="307"/>
      <c r="E155" s="308"/>
      <c r="F155" s="307"/>
      <c r="G155" s="317"/>
      <c r="H155" s="325">
        <f>+H152+BC155+BD155</f>
        <v>158</v>
      </c>
      <c r="I155" s="308">
        <f>+(H155/H149-1)*100</f>
        <v>-20.603015075376884</v>
      </c>
      <c r="J155" s="325">
        <f>+J152+BG155+BH155</f>
        <v>1047</v>
      </c>
      <c r="K155" s="308">
        <f>+(J155/J149-1)*100</f>
        <v>1.650485436893212</v>
      </c>
      <c r="L155" s="325">
        <f>+L152+BK155+BL155</f>
        <v>1642</v>
      </c>
      <c r="M155" s="308">
        <f>+(L155/L149-1)*100</f>
        <v>-0.54512416717140688</v>
      </c>
      <c r="N155" s="751">
        <f>+N152+BT155+BU155+BV155</f>
        <v>75</v>
      </c>
      <c r="O155" s="752">
        <f>+(N155/N150-1)*100</f>
        <v>0</v>
      </c>
      <c r="P155" s="751">
        <f>+P153+BY155+BZ155+CA155</f>
        <v>0</v>
      </c>
      <c r="Q155" s="307"/>
      <c r="R155" s="751">
        <f>+R153+CD155+CF155+CE155</f>
        <v>0</v>
      </c>
      <c r="S155" s="474"/>
      <c r="T155" s="751">
        <f>+T153+CI155+CJ155</f>
        <v>0</v>
      </c>
      <c r="U155" s="755"/>
      <c r="V155" s="309">
        <f>+V152+BO155</f>
        <v>29</v>
      </c>
      <c r="W155" s="317">
        <f>+(V155/V149-1)*100</f>
        <v>52.631578947368432</v>
      </c>
      <c r="X155" s="309">
        <v>2</v>
      </c>
      <c r="Y155" s="317"/>
      <c r="Z155" s="828"/>
      <c r="AA155" s="317"/>
      <c r="AB155" s="307"/>
      <c r="AC155" s="308"/>
      <c r="AD155" s="307"/>
      <c r="AE155" s="308"/>
      <c r="AF155" s="307"/>
      <c r="AG155" s="308"/>
      <c r="AH155" s="307"/>
      <c r="AI155" s="308"/>
      <c r="AJ155" s="307"/>
      <c r="AK155" s="308"/>
      <c r="AL155" s="307"/>
      <c r="AM155" s="308"/>
      <c r="AN155" s="307"/>
      <c r="AO155" s="308"/>
      <c r="AP155" s="30"/>
      <c r="AQ155" s="451">
        <f>H155+J155+L155+V155+X155</f>
        <v>2878</v>
      </c>
      <c r="AR155" s="308"/>
      <c r="AS155" s="308"/>
      <c r="AT155" s="30" t="str">
        <f>+A155</f>
        <v>1Q</v>
      </c>
      <c r="AU155" s="30" t="str">
        <f>+B155</f>
        <v>Apr</v>
      </c>
      <c r="AV155" s="30"/>
      <c r="AW155" s="307"/>
      <c r="AX155" s="308"/>
      <c r="AY155" s="308"/>
      <c r="AZ155" s="307"/>
      <c r="BA155" s="317"/>
      <c r="BB155" s="308"/>
      <c r="BC155" s="307">
        <v>0</v>
      </c>
      <c r="BD155" s="307">
        <v>0</v>
      </c>
      <c r="BE155" s="307">
        <v>2</v>
      </c>
      <c r="BF155" s="308"/>
      <c r="BG155" s="307">
        <v>4</v>
      </c>
      <c r="BH155" s="307">
        <v>-4</v>
      </c>
      <c r="BI155" s="307">
        <v>22</v>
      </c>
      <c r="BJ155" s="308"/>
      <c r="BK155" s="307">
        <v>1</v>
      </c>
      <c r="BL155" s="307">
        <v>-1</v>
      </c>
      <c r="BM155" s="307">
        <v>15</v>
      </c>
      <c r="BN155" s="308"/>
      <c r="BO155" s="307">
        <v>0</v>
      </c>
      <c r="BP155" s="307">
        <v>0</v>
      </c>
      <c r="BQ155" s="307"/>
      <c r="BR155" s="307"/>
      <c r="BS155" s="308"/>
      <c r="BT155" s="307"/>
      <c r="BU155" s="307"/>
      <c r="BV155" s="307"/>
      <c r="BW155" s="317"/>
      <c r="BX155" s="308"/>
      <c r="BY155" s="307"/>
      <c r="BZ155" s="307"/>
      <c r="CA155" s="307"/>
      <c r="CB155" s="317"/>
      <c r="CC155" s="308"/>
      <c r="CD155" s="307"/>
      <c r="CE155" s="307"/>
      <c r="CF155" s="307"/>
      <c r="CG155" s="317"/>
      <c r="CH155" s="308"/>
      <c r="CI155" s="307"/>
      <c r="CJ155" s="307"/>
      <c r="CK155" s="317"/>
      <c r="CL155" s="308"/>
      <c r="CM155" s="321"/>
      <c r="CN155" s="321"/>
      <c r="CO155" s="308"/>
      <c r="CP155" s="321"/>
      <c r="CQ155" s="317"/>
      <c r="CR155" s="308"/>
      <c r="CS155" s="321"/>
      <c r="CT155" s="317"/>
      <c r="CU155" s="308"/>
      <c r="CV155" s="321"/>
      <c r="CW155" s="317"/>
      <c r="CX155" s="308"/>
      <c r="CY155" s="321"/>
      <c r="CZ155" s="317"/>
      <c r="DA155" s="308"/>
      <c r="DB155" s="321"/>
      <c r="DC155" s="317"/>
      <c r="DD155" s="308"/>
      <c r="DE155" s="321"/>
      <c r="DF155" s="317"/>
      <c r="DG155" s="308"/>
      <c r="DH155" s="325">
        <f t="shared" ref="DH155:DI158" si="21">+BG155+BK155+BO155+BC155</f>
        <v>5</v>
      </c>
      <c r="DI155" s="328">
        <f t="shared" si="21"/>
        <v>-5</v>
      </c>
      <c r="DJ155" s="325">
        <f>+BI155+BM155+CL155+BE155</f>
        <v>39</v>
      </c>
      <c r="DK155" s="321"/>
      <c r="DL155" s="321"/>
      <c r="DM155" s="321"/>
      <c r="DN155" s="321"/>
      <c r="DO155" s="321"/>
      <c r="DP155" s="321"/>
      <c r="DQ155" s="321"/>
      <c r="DR155" s="321"/>
      <c r="DS155" s="321"/>
      <c r="DT155" s="989"/>
    </row>
    <row r="156" spans="1:125">
      <c r="A156" s="30" t="str">
        <f>qtrSales!A181</f>
        <v>2Q</v>
      </c>
      <c r="B156" s="30" t="str">
        <f>qtrSales!B181</f>
        <v>Jul</v>
      </c>
      <c r="C156" s="30"/>
      <c r="D156" s="307"/>
      <c r="E156" s="308"/>
      <c r="F156" s="307"/>
      <c r="G156" s="317"/>
      <c r="H156" s="325">
        <f>+H155+BC156+BD156</f>
        <v>157</v>
      </c>
      <c r="I156" s="308">
        <f>+(H156/H150-1)*100</f>
        <v>-16.93121693121693</v>
      </c>
      <c r="J156" s="325">
        <f>+J155+BG156+BH156</f>
        <v>1064</v>
      </c>
      <c r="K156" s="308">
        <f>+(J156/J150-1)*100</f>
        <v>2.801932367149762</v>
      </c>
      <c r="L156" s="325">
        <f>+L155+BK156+BL156</f>
        <v>1642</v>
      </c>
      <c r="M156" s="308">
        <f>+(L156/L150-1)*100</f>
        <v>-0.30358227079538835</v>
      </c>
      <c r="N156" s="751">
        <f>+N155+BT156+BU156+BV156</f>
        <v>75</v>
      </c>
      <c r="O156" s="752">
        <f>+(N156/N151-1)*100</f>
        <v>0</v>
      </c>
      <c r="P156" s="751">
        <f>+P155+BY156+BZ156+CA156</f>
        <v>0</v>
      </c>
      <c r="Q156" s="751"/>
      <c r="R156" s="751">
        <f>+R155+CD156+CF156+CE156</f>
        <v>0</v>
      </c>
      <c r="S156" s="752"/>
      <c r="T156" s="751">
        <f>+T155+CI156+CJ156</f>
        <v>0</v>
      </c>
      <c r="U156" s="755"/>
      <c r="V156" s="309">
        <f>+V155+BO156-BP156</f>
        <v>29</v>
      </c>
      <c r="W156" s="317">
        <f>+(V156/V150-1)*100</f>
        <v>31.818181818181813</v>
      </c>
      <c r="X156" s="309">
        <v>2</v>
      </c>
      <c r="Y156" s="317"/>
      <c r="Z156" s="828"/>
      <c r="AA156" s="317"/>
      <c r="AB156" s="307"/>
      <c r="AC156" s="308"/>
      <c r="AD156" s="307"/>
      <c r="AE156" s="308"/>
      <c r="AF156" s="307"/>
      <c r="AG156" s="308"/>
      <c r="AH156" s="307"/>
      <c r="AI156" s="308"/>
      <c r="AJ156" s="307"/>
      <c r="AK156" s="308"/>
      <c r="AL156" s="307"/>
      <c r="AM156" s="308"/>
      <c r="AN156" s="307"/>
      <c r="AO156" s="308"/>
      <c r="AP156" s="530"/>
      <c r="AQ156" s="451">
        <f>H156+J156+L156+V156+X156</f>
        <v>2894</v>
      </c>
      <c r="AR156" s="308"/>
      <c r="AS156" s="308"/>
      <c r="AT156" s="30" t="str">
        <f>+A156</f>
        <v>2Q</v>
      </c>
      <c r="AU156" s="30" t="str">
        <f>+B156</f>
        <v>Jul</v>
      </c>
      <c r="AV156" s="30"/>
      <c r="AW156" s="307"/>
      <c r="AX156" s="308"/>
      <c r="AY156" s="308"/>
      <c r="AZ156" s="307"/>
      <c r="BA156" s="317"/>
      <c r="BB156" s="308"/>
      <c r="BC156" s="307">
        <v>0</v>
      </c>
      <c r="BD156" s="307">
        <v>-1</v>
      </c>
      <c r="BE156" s="307">
        <v>1</v>
      </c>
      <c r="BF156" s="308"/>
      <c r="BG156" s="307">
        <v>24</v>
      </c>
      <c r="BH156" s="307">
        <v>-7</v>
      </c>
      <c r="BI156" s="307">
        <v>23</v>
      </c>
      <c r="BJ156" s="308"/>
      <c r="BK156" s="307">
        <v>7</v>
      </c>
      <c r="BL156" s="307">
        <v>-7</v>
      </c>
      <c r="BM156" s="307">
        <v>14</v>
      </c>
      <c r="BN156" s="308"/>
      <c r="BO156" s="307">
        <v>0</v>
      </c>
      <c r="BP156" s="307">
        <v>0</v>
      </c>
      <c r="BQ156" s="307"/>
      <c r="BR156" s="307"/>
      <c r="BS156" s="308"/>
      <c r="BT156" s="307"/>
      <c r="BU156" s="307"/>
      <c r="BV156" s="307"/>
      <c r="BW156" s="317"/>
      <c r="BX156" s="308"/>
      <c r="BY156" s="307"/>
      <c r="BZ156" s="307"/>
      <c r="CA156" s="307"/>
      <c r="CB156" s="317"/>
      <c r="CC156" s="308"/>
      <c r="CD156" s="307"/>
      <c r="CE156" s="307"/>
      <c r="CF156" s="307"/>
      <c r="CG156" s="317"/>
      <c r="CH156" s="308"/>
      <c r="CI156" s="307"/>
      <c r="CJ156" s="307"/>
      <c r="CK156" s="317"/>
      <c r="CL156" s="308"/>
      <c r="CM156" s="321"/>
      <c r="CN156" s="321"/>
      <c r="CO156" s="308"/>
      <c r="CP156" s="321"/>
      <c r="CQ156" s="317"/>
      <c r="CR156" s="308"/>
      <c r="CS156" s="321"/>
      <c r="CT156" s="317"/>
      <c r="CU156" s="308"/>
      <c r="CV156" s="321"/>
      <c r="CW156" s="317"/>
      <c r="CX156" s="308"/>
      <c r="CY156" s="321"/>
      <c r="CZ156" s="317"/>
      <c r="DA156" s="308"/>
      <c r="DB156" s="321"/>
      <c r="DC156" s="317"/>
      <c r="DD156" s="308"/>
      <c r="DE156" s="321"/>
      <c r="DF156" s="317"/>
      <c r="DG156" s="308"/>
      <c r="DH156" s="325">
        <f t="shared" si="21"/>
        <v>31</v>
      </c>
      <c r="DI156" s="328">
        <f t="shared" si="21"/>
        <v>-15</v>
      </c>
      <c r="DJ156" s="325">
        <f>+BI156+BM156+CL156+BE156</f>
        <v>38</v>
      </c>
      <c r="DK156" s="321"/>
      <c r="DL156" s="321"/>
      <c r="DM156" s="321"/>
      <c r="DN156" s="321"/>
      <c r="DO156" s="321"/>
      <c r="DP156" s="321"/>
      <c r="DQ156" s="321"/>
      <c r="DR156" s="321"/>
      <c r="DS156" s="321"/>
      <c r="DT156" s="989"/>
    </row>
    <row r="157" spans="1:125">
      <c r="A157" s="30" t="str">
        <f>qtrSales!A182</f>
        <v>3Q</v>
      </c>
      <c r="B157" s="30" t="str">
        <f>qtrSales!B182</f>
        <v>Oct</v>
      </c>
      <c r="C157" s="30"/>
      <c r="D157" s="307"/>
      <c r="E157" s="308"/>
      <c r="F157" s="307"/>
      <c r="G157" s="317"/>
      <c r="H157" s="309">
        <f>+H156+BC157+BD157</f>
        <v>157</v>
      </c>
      <c r="I157" s="308">
        <f>+(H157/H151-1)*100</f>
        <v>-4.848484848484846</v>
      </c>
      <c r="J157" s="325">
        <f>+J156+BG157+BH157</f>
        <v>1096</v>
      </c>
      <c r="K157" s="308">
        <f>+(J157/J151-1)*100</f>
        <v>4.780114722753348</v>
      </c>
      <c r="L157" s="325">
        <f>+L156+BK157+BL157</f>
        <v>1645</v>
      </c>
      <c r="M157" s="308">
        <f>+(L157/L151-1)*100</f>
        <v>-0.30303030303030498</v>
      </c>
      <c r="N157" s="751">
        <f>+N156+BT157+BU157+BV157</f>
        <v>75</v>
      </c>
      <c r="O157" s="752">
        <f>+(N157/N152-1)*100</f>
        <v>0</v>
      </c>
      <c r="P157" s="751">
        <f>+P156+BY157+BZ157+CA157</f>
        <v>0</v>
      </c>
      <c r="Q157" s="751"/>
      <c r="R157" s="751">
        <f>+R156+CD157+CF157+CE157</f>
        <v>0</v>
      </c>
      <c r="S157" s="752"/>
      <c r="T157" s="751">
        <f>+T156+CI157+CJ157</f>
        <v>0</v>
      </c>
      <c r="U157" s="755"/>
      <c r="V157" s="309">
        <f>+V156+BO157-BP157</f>
        <v>29</v>
      </c>
      <c r="W157" s="317">
        <f>+(V157/V151-1)*100</f>
        <v>11.538461538461542</v>
      </c>
      <c r="X157" s="309">
        <v>5</v>
      </c>
      <c r="Y157" s="317"/>
      <c r="Z157" s="828"/>
      <c r="AA157" s="317"/>
      <c r="AB157" s="307"/>
      <c r="AC157" s="308"/>
      <c r="AD157" s="307"/>
      <c r="AE157" s="308"/>
      <c r="AF157" s="307"/>
      <c r="AG157" s="308"/>
      <c r="AH157" s="307"/>
      <c r="AI157" s="308"/>
      <c r="AJ157" s="307"/>
      <c r="AK157" s="308"/>
      <c r="AL157" s="307"/>
      <c r="AM157" s="308"/>
      <c r="AN157" s="307"/>
      <c r="AO157" s="308"/>
      <c r="AP157" s="30"/>
      <c r="AQ157" s="451">
        <f>H157+J157+L157+V157+X157</f>
        <v>2932</v>
      </c>
      <c r="AR157" s="308"/>
      <c r="AS157" s="308"/>
      <c r="AT157" s="30" t="str">
        <f>+A157</f>
        <v>3Q</v>
      </c>
      <c r="AU157" s="30" t="str">
        <f>+B157</f>
        <v>Oct</v>
      </c>
      <c r="AV157" s="30"/>
      <c r="AW157" s="307"/>
      <c r="AX157" s="308"/>
      <c r="AY157" s="308"/>
      <c r="AZ157" s="307"/>
      <c r="BA157" s="317"/>
      <c r="BB157" s="308"/>
      <c r="BC157" s="307">
        <v>0</v>
      </c>
      <c r="BD157" s="307">
        <v>0</v>
      </c>
      <c r="BE157" s="307">
        <v>1</v>
      </c>
      <c r="BF157" s="308"/>
      <c r="BG157" s="307">
        <v>37</v>
      </c>
      <c r="BH157" s="307">
        <v>-5</v>
      </c>
      <c r="BI157" s="307">
        <v>23</v>
      </c>
      <c r="BJ157" s="308"/>
      <c r="BK157" s="307">
        <v>8</v>
      </c>
      <c r="BL157" s="307">
        <v>-5</v>
      </c>
      <c r="BM157" s="307">
        <v>13</v>
      </c>
      <c r="BN157" s="308"/>
      <c r="BO157" s="307">
        <v>0</v>
      </c>
      <c r="BP157" s="307">
        <v>0</v>
      </c>
      <c r="BQ157" s="307"/>
      <c r="BR157" s="307"/>
      <c r="BS157" s="308"/>
      <c r="BT157" s="307"/>
      <c r="BU157" s="307"/>
      <c r="BV157" s="307"/>
      <c r="BW157" s="317"/>
      <c r="BX157" s="308"/>
      <c r="BY157" s="307"/>
      <c r="BZ157" s="307"/>
      <c r="CA157" s="307"/>
      <c r="CB157" s="317"/>
      <c r="CC157" s="308"/>
      <c r="CD157" s="307"/>
      <c r="CE157" s="307"/>
      <c r="CF157" s="307"/>
      <c r="CG157" s="317"/>
      <c r="CH157" s="308"/>
      <c r="CI157" s="307"/>
      <c r="CJ157" s="307"/>
      <c r="CK157" s="317"/>
      <c r="CL157" s="308"/>
      <c r="CM157" s="321"/>
      <c r="CN157" s="321"/>
      <c r="CO157" s="308"/>
      <c r="CP157" s="321"/>
      <c r="CQ157" s="317"/>
      <c r="CR157" s="308"/>
      <c r="CS157" s="321"/>
      <c r="CT157" s="317"/>
      <c r="CU157" s="308"/>
      <c r="CV157" s="321"/>
      <c r="CW157" s="317"/>
      <c r="CX157" s="308"/>
      <c r="CY157" s="321"/>
      <c r="CZ157" s="317"/>
      <c r="DA157" s="308"/>
      <c r="DB157" s="321"/>
      <c r="DC157" s="317"/>
      <c r="DD157" s="308"/>
      <c r="DE157" s="321"/>
      <c r="DF157" s="317"/>
      <c r="DG157" s="308"/>
      <c r="DH157" s="325">
        <f t="shared" si="21"/>
        <v>45</v>
      </c>
      <c r="DI157" s="328">
        <f t="shared" si="21"/>
        <v>-10</v>
      </c>
      <c r="DJ157" s="325">
        <f>+BI157+BM157+CL157+BE157</f>
        <v>37</v>
      </c>
      <c r="DK157" s="321"/>
      <c r="DL157" s="321"/>
      <c r="DM157" s="321"/>
      <c r="DN157" s="321"/>
      <c r="DO157" s="321"/>
      <c r="DP157" s="321"/>
      <c r="DQ157" s="321"/>
      <c r="DR157" s="321"/>
      <c r="DS157" s="321"/>
      <c r="DT157" s="989"/>
    </row>
    <row r="158" spans="1:125">
      <c r="A158" s="30" t="str">
        <f>qtrSales!A183</f>
        <v>4Q</v>
      </c>
      <c r="B158" s="30" t="str">
        <f>qtrSales!B183</f>
        <v>Jan</v>
      </c>
      <c r="C158" s="339"/>
      <c r="D158" s="307"/>
      <c r="E158" s="308"/>
      <c r="F158" s="307"/>
      <c r="G158" s="317"/>
      <c r="H158" s="309">
        <f>+H157+BC158+BD158</f>
        <v>157</v>
      </c>
      <c r="I158" s="308">
        <f>+(H158/H152-1)*100</f>
        <v>-0.63291139240506666</v>
      </c>
      <c r="J158" s="325">
        <f>+J157+BG158+BH158</f>
        <v>1094</v>
      </c>
      <c r="K158" s="308">
        <f>+(J158/J152-1)*100</f>
        <v>4.4890162368672382</v>
      </c>
      <c r="L158" s="325">
        <f>+L157+BK158+BL158</f>
        <v>1638</v>
      </c>
      <c r="M158" s="308">
        <f>+(L158/L152-1)*100</f>
        <v>-0.24360535931789995</v>
      </c>
      <c r="N158" s="751">
        <f>+N157+BT158+BU158+BV158</f>
        <v>75</v>
      </c>
      <c r="O158" s="752"/>
      <c r="P158" s="751">
        <f>+P157+BY158+BZ158+CA158</f>
        <v>0</v>
      </c>
      <c r="Q158" s="751"/>
      <c r="R158" s="751">
        <f>+R157+CD158+CF158+CE158</f>
        <v>0</v>
      </c>
      <c r="S158" s="752"/>
      <c r="T158" s="751">
        <f>+T157+CI158+CJ158</f>
        <v>0</v>
      </c>
      <c r="U158" s="755"/>
      <c r="V158" s="309">
        <f>+V157+BO158-BP158</f>
        <v>29</v>
      </c>
      <c r="W158" s="317">
        <f>+(V158/V152-1)*100</f>
        <v>0</v>
      </c>
      <c r="X158" s="309">
        <v>5</v>
      </c>
      <c r="Y158" s="317"/>
      <c r="Z158" s="828"/>
      <c r="AA158" s="317"/>
      <c r="AB158" s="307"/>
      <c r="AC158" s="308"/>
      <c r="AD158" s="307"/>
      <c r="AE158" s="308"/>
      <c r="AF158" s="307"/>
      <c r="AG158" s="308"/>
      <c r="AH158" s="307"/>
      <c r="AI158" s="308"/>
      <c r="AJ158" s="307"/>
      <c r="AK158" s="308"/>
      <c r="AL158" s="307"/>
      <c r="AM158" s="308"/>
      <c r="AN158" s="307"/>
      <c r="AO158" s="308"/>
      <c r="AP158" s="30"/>
      <c r="AQ158" s="451">
        <f>H158+J158+L158+V158+X158</f>
        <v>2923</v>
      </c>
      <c r="AR158" s="308"/>
      <c r="AS158" s="308"/>
      <c r="AT158" s="30" t="str">
        <f>+A158</f>
        <v>4Q</v>
      </c>
      <c r="AU158" s="30" t="str">
        <f>+B158</f>
        <v>Jan</v>
      </c>
      <c r="AV158" s="30"/>
      <c r="AW158" s="302"/>
      <c r="AX158" s="302"/>
      <c r="AY158" s="308"/>
      <c r="AZ158" s="302"/>
      <c r="BA158" s="302"/>
      <c r="BB158" s="308"/>
      <c r="BC158" s="302">
        <v>1</v>
      </c>
      <c r="BD158" s="302">
        <v>-1</v>
      </c>
      <c r="BE158" s="302">
        <v>0</v>
      </c>
      <c r="BF158" s="308"/>
      <c r="BG158" s="302">
        <v>3</v>
      </c>
      <c r="BH158" s="302">
        <v>-5</v>
      </c>
      <c r="BI158" s="302">
        <v>21</v>
      </c>
      <c r="BJ158" s="308"/>
      <c r="BK158" s="302">
        <v>0</v>
      </c>
      <c r="BL158" s="302">
        <v>-7</v>
      </c>
      <c r="BM158" s="302">
        <v>14</v>
      </c>
      <c r="BN158" s="308"/>
      <c r="BO158" s="302">
        <v>0</v>
      </c>
      <c r="BP158" s="302">
        <v>0</v>
      </c>
      <c r="BQ158" s="302"/>
      <c r="BR158" s="302"/>
      <c r="BS158" s="308"/>
      <c r="BT158" s="302"/>
      <c r="BU158" s="302"/>
      <c r="BV158" s="302"/>
      <c r="BW158" s="302"/>
      <c r="BX158" s="308"/>
      <c r="BY158" s="302"/>
      <c r="BZ158" s="302"/>
      <c r="CA158" s="302"/>
      <c r="CB158" s="302"/>
      <c r="CC158" s="308"/>
      <c r="CD158" s="302"/>
      <c r="CE158" s="302"/>
      <c r="CF158" s="302"/>
      <c r="CG158" s="302"/>
      <c r="CH158" s="308"/>
      <c r="CI158" s="302"/>
      <c r="CJ158" s="302"/>
      <c r="CK158" s="302"/>
      <c r="CL158" s="308"/>
      <c r="CM158" s="302"/>
      <c r="CN158" s="302"/>
      <c r="CO158" s="308"/>
      <c r="CP158" s="302"/>
      <c r="CQ158" s="302"/>
      <c r="CR158" s="308"/>
      <c r="CS158" s="302"/>
      <c r="CT158" s="302"/>
      <c r="CU158" s="308"/>
      <c r="CV158" s="302"/>
      <c r="CW158" s="302"/>
      <c r="CX158" s="308"/>
      <c r="CY158" s="302"/>
      <c r="CZ158" s="302"/>
      <c r="DA158" s="308"/>
      <c r="DB158" s="302"/>
      <c r="DC158" s="302"/>
      <c r="DD158" s="308"/>
      <c r="DE158" s="302"/>
      <c r="DF158" s="302"/>
      <c r="DG158" s="308"/>
      <c r="DH158" s="1022">
        <f t="shared" si="21"/>
        <v>4</v>
      </c>
      <c r="DI158" s="338">
        <f t="shared" si="21"/>
        <v>-13</v>
      </c>
      <c r="DJ158" s="1022">
        <f>+BI158+BM158+CL158+BE158</f>
        <v>35</v>
      </c>
      <c r="DK158" s="306"/>
      <c r="DL158" s="321"/>
      <c r="DM158" s="306">
        <v>156</v>
      </c>
      <c r="DN158" s="306">
        <v>335</v>
      </c>
      <c r="DO158" s="306">
        <v>79</v>
      </c>
      <c r="DP158" s="306">
        <v>58</v>
      </c>
      <c r="DQ158" s="306">
        <v>34</v>
      </c>
      <c r="DR158" s="306">
        <v>9</v>
      </c>
      <c r="DS158" s="306">
        <v>195</v>
      </c>
      <c r="DT158" s="1073">
        <f>SUM(DM158:DS158)</f>
        <v>866</v>
      </c>
    </row>
    <row r="159" spans="1:125">
      <c r="C159" s="24"/>
      <c r="D159" s="24"/>
      <c r="E159" s="24"/>
      <c r="F159" s="24"/>
      <c r="G159" s="305"/>
      <c r="H159" s="305"/>
      <c r="I159" s="305"/>
      <c r="J159" s="24"/>
      <c r="K159" s="305"/>
      <c r="L159" s="24"/>
      <c r="M159" s="24"/>
      <c r="N159" s="387"/>
      <c r="O159" s="24"/>
      <c r="P159" s="24"/>
      <c r="Q159" s="24"/>
      <c r="R159" s="24"/>
      <c r="S159" s="24"/>
      <c r="T159" s="387"/>
      <c r="U159" s="24"/>
      <c r="V159" s="24"/>
      <c r="W159" s="305"/>
      <c r="X159" s="305"/>
      <c r="Y159" s="305"/>
      <c r="Z159" s="387"/>
      <c r="AA159" s="305"/>
      <c r="AB159" s="24"/>
      <c r="AC159" s="24"/>
      <c r="AD159" s="24"/>
      <c r="AE159" s="24"/>
      <c r="AF159" s="30"/>
      <c r="AG159" s="30"/>
      <c r="AH159" s="30"/>
      <c r="AI159" s="30"/>
      <c r="AJ159" s="30"/>
      <c r="AK159" s="30"/>
      <c r="AL159" s="30"/>
      <c r="AM159" s="30"/>
      <c r="AN159" s="30"/>
      <c r="AO159" s="30"/>
      <c r="AP159" s="24"/>
      <c r="AQ159" s="593"/>
      <c r="AR159" s="30"/>
      <c r="AS159" s="30"/>
      <c r="AT159" s="24"/>
      <c r="AU159" s="24"/>
      <c r="AV159" s="24"/>
      <c r="AW159" s="30"/>
      <c r="AX159" s="30"/>
      <c r="AY159" s="30"/>
      <c r="AZ159" s="30"/>
      <c r="BA159" s="320"/>
      <c r="BB159" s="30"/>
      <c r="BC159" s="1096">
        <f>SUM(BC155:BC158)</f>
        <v>1</v>
      </c>
      <c r="BD159" s="1096">
        <f>SUM(BD155:BD158)</f>
        <v>-2</v>
      </c>
      <c r="BE159" s="1096">
        <f>SUM(BE155:BE158)</f>
        <v>4</v>
      </c>
      <c r="BF159" s="24"/>
      <c r="BG159" s="1096">
        <f>SUM(BG155:BG158)</f>
        <v>68</v>
      </c>
      <c r="BH159" s="309">
        <f>SUM(BH155:BH158)</f>
        <v>-21</v>
      </c>
      <c r="BI159" s="309">
        <f>SUM(BI155:BI158)</f>
        <v>89</v>
      </c>
      <c r="BJ159" s="24"/>
      <c r="BK159" s="309">
        <f>SUM(BK155:BK158)</f>
        <v>16</v>
      </c>
      <c r="BL159" s="309">
        <f>SUM(BL155:BL158)</f>
        <v>-20</v>
      </c>
      <c r="BM159" s="309">
        <f>SUM(BM155:BM158)</f>
        <v>56</v>
      </c>
      <c r="BN159" s="24"/>
      <c r="BO159" s="309">
        <f>SUM(BO155:BO158)</f>
        <v>0</v>
      </c>
      <c r="BP159" s="309">
        <f>SUM(BP155:BP158)</f>
        <v>0</v>
      </c>
      <c r="BQ159" s="309">
        <v>5</v>
      </c>
      <c r="BR159" s="309">
        <f>SUM(BR155:BR158)</f>
        <v>0</v>
      </c>
      <c r="BS159" s="24"/>
      <c r="BT159" s="309"/>
      <c r="BU159" s="309"/>
      <c r="BV159" s="309"/>
      <c r="BW159" s="24"/>
      <c r="BX159" s="24"/>
      <c r="BY159" s="309"/>
      <c r="BZ159" s="309"/>
      <c r="CA159" s="309"/>
      <c r="CB159" s="24"/>
      <c r="CC159" s="24"/>
      <c r="CD159" s="309"/>
      <c r="CE159" s="309"/>
      <c r="CF159" s="309"/>
      <c r="CG159" s="24"/>
      <c r="CH159" s="24"/>
      <c r="CI159" s="309"/>
      <c r="CJ159" s="309"/>
      <c r="CK159" s="309"/>
      <c r="CL159" s="309"/>
      <c r="CM159" s="309"/>
      <c r="CN159" s="309"/>
      <c r="CO159" s="309"/>
      <c r="CP159" s="24"/>
      <c r="CQ159" s="24"/>
      <c r="CR159" s="24"/>
      <c r="CS159" s="24"/>
      <c r="CT159" s="24"/>
      <c r="CU159" s="24"/>
      <c r="CV159" s="24"/>
      <c r="CW159" s="24"/>
      <c r="CX159" s="24"/>
      <c r="CY159" s="24"/>
      <c r="CZ159" s="24"/>
      <c r="DA159" s="24"/>
      <c r="DB159" s="24"/>
      <c r="DC159" s="24"/>
      <c r="DD159" s="24"/>
      <c r="DE159" s="24"/>
      <c r="DF159" s="24"/>
      <c r="DG159" s="24"/>
      <c r="DH159" s="551">
        <f>SUM(DH155:DH158)</f>
        <v>85</v>
      </c>
      <c r="DI159" s="551">
        <f>SUM(DI155:DI158)</f>
        <v>-43</v>
      </c>
      <c r="DJ159" s="551">
        <f>SUM(DJ155:DJ158)</f>
        <v>149</v>
      </c>
      <c r="DK159" s="383"/>
      <c r="DL159" s="30"/>
      <c r="DT159" s="968"/>
    </row>
    <row r="160" spans="1:125">
      <c r="A160" s="301"/>
      <c r="B160" s="1181" t="s">
        <v>335</v>
      </c>
      <c r="C160" s="30"/>
      <c r="D160" s="30"/>
      <c r="E160" s="310"/>
      <c r="F160" s="30"/>
      <c r="G160" s="318"/>
      <c r="H160" s="318"/>
      <c r="I160" s="931"/>
      <c r="J160" s="936"/>
      <c r="K160" s="319"/>
      <c r="L160" s="429"/>
      <c r="M160" s="310"/>
      <c r="N160" s="309"/>
      <c r="O160" s="310"/>
      <c r="P160" s="309"/>
      <c r="Q160" s="30"/>
      <c r="R160" s="30"/>
      <c r="S160" s="429"/>
      <c r="T160" s="429"/>
      <c r="U160" s="310"/>
      <c r="V160" s="30"/>
      <c r="W160" s="318"/>
      <c r="X160" s="318"/>
      <c r="Y160" s="318"/>
      <c r="Z160" s="830"/>
      <c r="AA160" s="318"/>
      <c r="AB160" s="30"/>
      <c r="AC160" s="310"/>
      <c r="AD160" s="30"/>
      <c r="AE160" s="310"/>
      <c r="AF160" s="30"/>
      <c r="AG160" s="310"/>
      <c r="AH160" s="30"/>
      <c r="AI160" s="310"/>
      <c r="AJ160" s="30"/>
      <c r="AK160" s="310"/>
      <c r="AL160" s="30"/>
      <c r="AM160" s="310"/>
      <c r="AN160" s="30"/>
      <c r="AO160" s="310"/>
      <c r="AP160" s="30"/>
      <c r="AQ160" s="451"/>
      <c r="AR160" s="310"/>
      <c r="AS160" s="310"/>
      <c r="AT160" s="141"/>
      <c r="AU160" s="27" t="str">
        <f>+B160</f>
        <v>2014A</v>
      </c>
      <c r="AV160" s="30"/>
      <c r="AW160" s="30"/>
      <c r="AX160" s="310"/>
      <c r="AY160" s="310"/>
      <c r="AZ160" s="30"/>
      <c r="BA160" s="318"/>
      <c r="BB160" s="310"/>
      <c r="BC160" s="318"/>
      <c r="BD160" s="318"/>
      <c r="BE160" s="318"/>
      <c r="BF160" s="310"/>
      <c r="BG160" s="30"/>
      <c r="BH160" s="318"/>
      <c r="BI160" s="318"/>
      <c r="BJ160" s="310"/>
      <c r="BK160" s="30"/>
      <c r="BL160" s="318"/>
      <c r="BM160" s="318"/>
      <c r="BN160" s="310"/>
      <c r="BO160" s="30"/>
      <c r="BP160" s="318"/>
      <c r="BQ160" s="318"/>
      <c r="BR160" s="318"/>
      <c r="BS160" s="310"/>
      <c r="BT160" s="30"/>
      <c r="BU160" s="318"/>
      <c r="BV160" s="318"/>
      <c r="BW160" s="318"/>
      <c r="BX160" s="310"/>
      <c r="BY160" s="30"/>
      <c r="BZ160" s="318"/>
      <c r="CA160" s="318"/>
      <c r="CB160" s="318"/>
      <c r="CC160" s="310"/>
      <c r="CD160" s="309"/>
      <c r="CE160" s="318"/>
      <c r="CF160" s="318"/>
      <c r="CG160" s="318"/>
      <c r="CH160" s="310"/>
      <c r="CI160" s="30"/>
      <c r="CJ160" s="318"/>
      <c r="CK160" s="318"/>
      <c r="CL160" s="310"/>
      <c r="CM160" s="30"/>
      <c r="CN160" s="318"/>
      <c r="CO160" s="310"/>
      <c r="CP160" s="30"/>
      <c r="CQ160" s="318"/>
      <c r="CR160" s="310"/>
      <c r="CS160" s="30"/>
      <c r="CT160" s="318"/>
      <c r="CU160" s="310"/>
      <c r="CV160" s="30"/>
      <c r="CW160" s="318"/>
      <c r="CX160" s="310"/>
      <c r="CY160" s="30"/>
      <c r="CZ160" s="318"/>
      <c r="DA160" s="310"/>
      <c r="DB160" s="30"/>
      <c r="DC160" s="318"/>
      <c r="DD160" s="310"/>
      <c r="DE160" s="30"/>
      <c r="DF160" s="318"/>
      <c r="DG160" s="310"/>
      <c r="DH160" s="307"/>
      <c r="DI160" s="307"/>
      <c r="DJ160" s="307"/>
      <c r="DK160" s="307"/>
      <c r="DL160" s="307"/>
      <c r="DT160" s="968"/>
    </row>
    <row r="161" spans="1:124">
      <c r="A161" s="30" t="str">
        <f>qtrSales!A187</f>
        <v>1Q</v>
      </c>
      <c r="B161" s="30" t="str">
        <f>qtrSales!B187</f>
        <v>Apr</v>
      </c>
      <c r="C161" s="30"/>
      <c r="D161" s="307"/>
      <c r="E161" s="308"/>
      <c r="F161" s="307"/>
      <c r="G161" s="317"/>
      <c r="H161" s="325">
        <f>+H158+BC161+BD161</f>
        <v>153</v>
      </c>
      <c r="I161" s="308">
        <f>+(H161/H155-1)*100</f>
        <v>-3.1645569620253111</v>
      </c>
      <c r="J161" s="325">
        <f>+J158+BG161+BH161</f>
        <v>1100</v>
      </c>
      <c r="K161" s="308">
        <f>+(J161/J155-1)*100</f>
        <v>5.0620821394460336</v>
      </c>
      <c r="L161" s="325">
        <f>+L158+BK161+BL161</f>
        <v>1634</v>
      </c>
      <c r="M161" s="308">
        <f>+(L161/L155-1)*100</f>
        <v>-0.487210718635811</v>
      </c>
      <c r="N161" s="751">
        <f>+N159+BT161+BU161+BV161</f>
        <v>0</v>
      </c>
      <c r="O161" s="752">
        <f>+(N161/N157-1)*100</f>
        <v>-100</v>
      </c>
      <c r="P161" s="751" t="e">
        <f>+#REF!+BY161+BZ161+CA161</f>
        <v>#REF!</v>
      </c>
      <c r="Q161" s="307"/>
      <c r="R161" s="751" t="e">
        <f>+#REF!+CD161+CF161+CE161</f>
        <v>#REF!</v>
      </c>
      <c r="S161" s="474"/>
      <c r="T161" s="751" t="e">
        <f>+#REF!+CI161+CJ161</f>
        <v>#REF!</v>
      </c>
      <c r="U161" s="755"/>
      <c r="V161" s="309">
        <f>+V158+BO161+BP161</f>
        <v>29</v>
      </c>
      <c r="W161" s="317">
        <f>+(V161/V155-1)*100</f>
        <v>0</v>
      </c>
      <c r="X161" s="309">
        <f>+X158+BQ161+BR161</f>
        <v>7</v>
      </c>
      <c r="Y161" s="317"/>
      <c r="Z161" s="828"/>
      <c r="AA161" s="317"/>
      <c r="AB161" s="307"/>
      <c r="AC161" s="308"/>
      <c r="AD161" s="307"/>
      <c r="AE161" s="308"/>
      <c r="AF161" s="307"/>
      <c r="AG161" s="308"/>
      <c r="AH161" s="307"/>
      <c r="AI161" s="308"/>
      <c r="AJ161" s="307"/>
      <c r="AK161" s="308"/>
      <c r="AL161" s="307"/>
      <c r="AM161" s="308"/>
      <c r="AN161" s="307"/>
      <c r="AO161" s="308"/>
      <c r="AP161" s="317"/>
      <c r="AQ161" s="451">
        <f>H161+J161+L161+V161+X161</f>
        <v>2923</v>
      </c>
      <c r="AR161" s="308"/>
      <c r="AS161" s="308"/>
      <c r="AT161" s="30" t="str">
        <f>+A161</f>
        <v>1Q</v>
      </c>
      <c r="AU161" s="30" t="str">
        <f>+B161</f>
        <v>Apr</v>
      </c>
      <c r="AV161" s="30"/>
      <c r="AW161" s="307"/>
      <c r="AX161" s="308"/>
      <c r="AY161" s="308"/>
      <c r="AZ161" s="307"/>
      <c r="BA161" s="317"/>
      <c r="BB161" s="308"/>
      <c r="BC161" s="307">
        <v>0</v>
      </c>
      <c r="BD161" s="307">
        <v>-4</v>
      </c>
      <c r="BE161" s="307">
        <v>0</v>
      </c>
      <c r="BF161" s="308"/>
      <c r="BG161" s="307">
        <v>8</v>
      </c>
      <c r="BH161" s="307">
        <v>-2</v>
      </c>
      <c r="BI161" s="307">
        <v>22</v>
      </c>
      <c r="BJ161" s="308"/>
      <c r="BK161" s="307">
        <v>4</v>
      </c>
      <c r="BL161" s="307">
        <v>-8</v>
      </c>
      <c r="BM161" s="307">
        <v>15</v>
      </c>
      <c r="BN161" s="308"/>
      <c r="BO161" s="307">
        <v>0</v>
      </c>
      <c r="BP161" s="307">
        <v>0</v>
      </c>
      <c r="BQ161" s="307">
        <v>2</v>
      </c>
      <c r="BR161" s="307">
        <v>0</v>
      </c>
      <c r="BS161" s="308"/>
      <c r="BT161" s="307"/>
      <c r="BU161" s="307"/>
      <c r="BV161" s="307"/>
      <c r="BW161" s="317"/>
      <c r="BX161" s="308"/>
      <c r="BY161" s="307"/>
      <c r="BZ161" s="307"/>
      <c r="CA161" s="307"/>
      <c r="CB161" s="317"/>
      <c r="CC161" s="308"/>
      <c r="CD161" s="307"/>
      <c r="CE161" s="307"/>
      <c r="CF161" s="307"/>
      <c r="CG161" s="317"/>
      <c r="CH161" s="308"/>
      <c r="CI161" s="307"/>
      <c r="CJ161" s="307"/>
      <c r="CK161" s="317"/>
      <c r="CL161" s="308"/>
      <c r="CM161" s="321"/>
      <c r="CN161" s="321"/>
      <c r="CO161" s="308"/>
      <c r="CP161" s="321"/>
      <c r="CQ161" s="317"/>
      <c r="CR161" s="308"/>
      <c r="CS161" s="321"/>
      <c r="CT161" s="317"/>
      <c r="CU161" s="308"/>
      <c r="CV161" s="321"/>
      <c r="CW161" s="317"/>
      <c r="CX161" s="308"/>
      <c r="CY161" s="321"/>
      <c r="CZ161" s="317"/>
      <c r="DA161" s="308"/>
      <c r="DB161" s="321"/>
      <c r="DC161" s="317"/>
      <c r="DD161" s="308"/>
      <c r="DE161" s="321"/>
      <c r="DF161" s="317"/>
      <c r="DG161" s="308"/>
      <c r="DH161" s="325">
        <f t="shared" ref="DH161:DI164" si="22">+BG161+BK161+BO161+BC161</f>
        <v>12</v>
      </c>
      <c r="DI161" s="328">
        <f t="shared" si="22"/>
        <v>-14</v>
      </c>
      <c r="DJ161" s="325">
        <f>+BI161+BM161+CL161+BE161</f>
        <v>37</v>
      </c>
      <c r="DK161" s="321"/>
      <c r="DL161" s="321"/>
      <c r="DM161" s="321">
        <v>153</v>
      </c>
      <c r="DN161" s="321">
        <v>328</v>
      </c>
      <c r="DO161" s="321">
        <v>81</v>
      </c>
      <c r="DP161" s="321">
        <v>59</v>
      </c>
      <c r="DQ161" s="321">
        <v>35</v>
      </c>
      <c r="DR161" s="321">
        <f>6+7</f>
        <v>13</v>
      </c>
      <c r="DS161" s="321">
        <v>209</v>
      </c>
      <c r="DT161" s="1202">
        <f>SUM(DM161:DS161)</f>
        <v>878</v>
      </c>
    </row>
    <row r="162" spans="1:124">
      <c r="A162" s="30" t="str">
        <f>qtrSales!A188</f>
        <v>2Q</v>
      </c>
      <c r="B162" s="30" t="str">
        <f>qtrSales!B188</f>
        <v>Jul</v>
      </c>
      <c r="C162" s="30"/>
      <c r="D162" s="307"/>
      <c r="E162" s="308"/>
      <c r="F162" s="307"/>
      <c r="G162" s="317"/>
      <c r="H162" s="325">
        <f>+H161+BC162+BD162</f>
        <v>153</v>
      </c>
      <c r="I162" s="308">
        <f>+(H162/H156-1)*100</f>
        <v>-2.5477707006369421</v>
      </c>
      <c r="J162" s="325">
        <f>+J161+BG162+BH162</f>
        <v>1113</v>
      </c>
      <c r="K162" s="308">
        <f>+(J162/J156-1)*100</f>
        <v>4.6052631578947345</v>
      </c>
      <c r="L162" s="325">
        <f>+L161+BK162+BL162</f>
        <v>1640</v>
      </c>
      <c r="M162" s="308">
        <f>+(L162/L156-1)*100</f>
        <v>-0.12180267965895553</v>
      </c>
      <c r="N162" s="751">
        <f>+N161+BT162+BU162+BV162</f>
        <v>0</v>
      </c>
      <c r="O162" s="752">
        <f>+(N162/N158-1)*100</f>
        <v>-100</v>
      </c>
      <c r="P162" s="751" t="e">
        <f>+P161+BY162+BZ162+CA162</f>
        <v>#REF!</v>
      </c>
      <c r="Q162" s="751"/>
      <c r="R162" s="751" t="e">
        <f>+R161+CD162+CF162+CE162</f>
        <v>#REF!</v>
      </c>
      <c r="S162" s="752"/>
      <c r="T162" s="751" t="e">
        <f>+T161+CI162+CJ162</f>
        <v>#REF!</v>
      </c>
      <c r="U162" s="755"/>
      <c r="V162" s="309">
        <f>+V161+BO162-BP162</f>
        <v>29</v>
      </c>
      <c r="W162" s="317">
        <f>+(V162/V156-1)*100</f>
        <v>0</v>
      </c>
      <c r="X162" s="309">
        <f>+X161+BQ162-BR162</f>
        <v>7</v>
      </c>
      <c r="Y162" s="317"/>
      <c r="Z162" s="828"/>
      <c r="AA162" s="317"/>
      <c r="AB162" s="307"/>
      <c r="AC162" s="308"/>
      <c r="AD162" s="307"/>
      <c r="AE162" s="308"/>
      <c r="AF162" s="307"/>
      <c r="AG162" s="308"/>
      <c r="AH162" s="307"/>
      <c r="AI162" s="308"/>
      <c r="AJ162" s="307"/>
      <c r="AK162" s="308"/>
      <c r="AL162" s="307"/>
      <c r="AM162" s="308"/>
      <c r="AN162" s="307"/>
      <c r="AO162" s="308"/>
      <c r="AP162" s="530"/>
      <c r="AQ162" s="451">
        <f>H162+J162+L162+V162+X162</f>
        <v>2942</v>
      </c>
      <c r="AR162" s="308"/>
      <c r="AS162" s="308"/>
      <c r="AT162" s="30" t="str">
        <f>+A162</f>
        <v>2Q</v>
      </c>
      <c r="AU162" s="30" t="str">
        <f>+B162</f>
        <v>Jul</v>
      </c>
      <c r="AV162" s="30"/>
      <c r="AW162" s="307"/>
      <c r="AX162" s="308"/>
      <c r="AY162" s="308"/>
      <c r="AZ162" s="307"/>
      <c r="BA162" s="317"/>
      <c r="BB162" s="308"/>
      <c r="BC162" s="307">
        <v>0</v>
      </c>
      <c r="BD162" s="307">
        <v>0</v>
      </c>
      <c r="BE162" s="307">
        <v>0</v>
      </c>
      <c r="BF162" s="308"/>
      <c r="BG162" s="307">
        <v>14</v>
      </c>
      <c r="BH162" s="307">
        <v>-1</v>
      </c>
      <c r="BI162" s="307">
        <v>23</v>
      </c>
      <c r="BJ162" s="308"/>
      <c r="BK162" s="307">
        <v>7</v>
      </c>
      <c r="BL162" s="307">
        <v>-1</v>
      </c>
      <c r="BM162" s="307">
        <v>14</v>
      </c>
      <c r="BN162" s="308"/>
      <c r="BO162" s="307">
        <v>0</v>
      </c>
      <c r="BP162" s="307">
        <v>0</v>
      </c>
      <c r="BQ162" s="307">
        <v>0</v>
      </c>
      <c r="BR162" s="307">
        <v>0</v>
      </c>
      <c r="BS162" s="308"/>
      <c r="BT162" s="307"/>
      <c r="BU162" s="307"/>
      <c r="BV162" s="307"/>
      <c r="BW162" s="317"/>
      <c r="BX162" s="308"/>
      <c r="BY162" s="307"/>
      <c r="BZ162" s="307"/>
      <c r="CA162" s="307"/>
      <c r="CB162" s="317"/>
      <c r="CC162" s="308"/>
      <c r="CD162" s="307"/>
      <c r="CE162" s="307"/>
      <c r="CF162" s="307"/>
      <c r="CG162" s="317"/>
      <c r="CH162" s="308"/>
      <c r="CI162" s="307"/>
      <c r="CJ162" s="307"/>
      <c r="CK162" s="317"/>
      <c r="CL162" s="308"/>
      <c r="CM162" s="321"/>
      <c r="CN162" s="321"/>
      <c r="CO162" s="308"/>
      <c r="CP162" s="321"/>
      <c r="CQ162" s="317"/>
      <c r="CR162" s="308"/>
      <c r="CS162" s="321"/>
      <c r="CT162" s="317"/>
      <c r="CU162" s="308"/>
      <c r="CV162" s="321"/>
      <c r="CW162" s="317"/>
      <c r="CX162" s="308"/>
      <c r="CY162" s="321"/>
      <c r="CZ162" s="317"/>
      <c r="DA162" s="308"/>
      <c r="DB162" s="321"/>
      <c r="DC162" s="317"/>
      <c r="DD162" s="308"/>
      <c r="DE162" s="321"/>
      <c r="DF162" s="317"/>
      <c r="DG162" s="308"/>
      <c r="DH162" s="325">
        <f t="shared" si="22"/>
        <v>21</v>
      </c>
      <c r="DI162" s="328">
        <f t="shared" si="22"/>
        <v>-2</v>
      </c>
      <c r="DJ162" s="325">
        <f>+BI162+BM162+CL162+BE162</f>
        <v>37</v>
      </c>
      <c r="DK162" s="321"/>
      <c r="DL162" s="321"/>
      <c r="DM162" s="321"/>
      <c r="DN162" s="321"/>
      <c r="DO162" s="321"/>
      <c r="DP162" s="321"/>
      <c r="DQ162" s="321"/>
      <c r="DR162" s="321"/>
      <c r="DS162" s="321"/>
      <c r="DT162" s="989"/>
    </row>
    <row r="163" spans="1:124">
      <c r="A163" s="30" t="str">
        <f>qtrSales!A189</f>
        <v>3Q</v>
      </c>
      <c r="B163" s="30" t="str">
        <f>qtrSales!B189</f>
        <v>Oct</v>
      </c>
      <c r="C163" s="30"/>
      <c r="D163" s="307"/>
      <c r="E163" s="308"/>
      <c r="F163" s="307"/>
      <c r="G163" s="317"/>
      <c r="H163" s="309">
        <f>+H162+BC163+BD163</f>
        <v>148</v>
      </c>
      <c r="I163" s="308">
        <f>+(H163/H157-1)*100</f>
        <v>-5.7324840764331197</v>
      </c>
      <c r="J163" s="325">
        <f>+J162+BG163+BH163</f>
        <v>1136</v>
      </c>
      <c r="K163" s="308">
        <f>+(J163/J157-1)*100</f>
        <v>3.649635036496357</v>
      </c>
      <c r="L163" s="325">
        <f>+L162+BK163+BL163</f>
        <v>1649</v>
      </c>
      <c r="M163" s="308">
        <f>+(L163/L157-1)*100</f>
        <v>0.24316109422493071</v>
      </c>
      <c r="N163" s="751">
        <f>+N162+BT163+BU163+BV163</f>
        <v>0</v>
      </c>
      <c r="O163" s="752" t="e">
        <f>+(N163/N159-1)*100</f>
        <v>#DIV/0!</v>
      </c>
      <c r="P163" s="751" t="e">
        <f>+P162+BY163+BZ163+CA163</f>
        <v>#REF!</v>
      </c>
      <c r="Q163" s="751"/>
      <c r="R163" s="751" t="e">
        <f>+R162+CD163+CF163+CE163</f>
        <v>#REF!</v>
      </c>
      <c r="S163" s="752"/>
      <c r="T163" s="751" t="e">
        <f>+T162+CI163+CJ163</f>
        <v>#REF!</v>
      </c>
      <c r="U163" s="755"/>
      <c r="V163" s="309">
        <f>+V162+BO163-BP163</f>
        <v>29</v>
      </c>
      <c r="W163" s="317">
        <f>+(V163/V157-1)*100</f>
        <v>0</v>
      </c>
      <c r="X163" s="309">
        <f>+X162+BQ163-BR163</f>
        <v>9</v>
      </c>
      <c r="Y163" s="317"/>
      <c r="Z163" s="828"/>
      <c r="AA163" s="317"/>
      <c r="AB163" s="307"/>
      <c r="AC163" s="308"/>
      <c r="AD163" s="307"/>
      <c r="AE163" s="308"/>
      <c r="AF163" s="307"/>
      <c r="AG163" s="308"/>
      <c r="AH163" s="307"/>
      <c r="AI163" s="308"/>
      <c r="AJ163" s="307"/>
      <c r="AK163" s="308"/>
      <c r="AL163" s="307"/>
      <c r="AM163" s="308"/>
      <c r="AN163" s="307"/>
      <c r="AO163" s="308"/>
      <c r="AP163" s="30"/>
      <c r="AQ163" s="451">
        <f>H163+J163+L163+V163+X163</f>
        <v>2971</v>
      </c>
      <c r="AR163" s="308"/>
      <c r="AS163" s="308"/>
      <c r="AT163" s="30" t="str">
        <f>+A163</f>
        <v>3Q</v>
      </c>
      <c r="AU163" s="30" t="str">
        <f>+B163</f>
        <v>Oct</v>
      </c>
      <c r="AV163" s="30"/>
      <c r="AW163" s="307"/>
      <c r="AX163" s="308"/>
      <c r="AY163" s="308"/>
      <c r="AZ163" s="307"/>
      <c r="BA163" s="317"/>
      <c r="BB163" s="308"/>
      <c r="BC163" s="307">
        <v>0</v>
      </c>
      <c r="BD163" s="307">
        <v>-5</v>
      </c>
      <c r="BE163" s="307">
        <v>0</v>
      </c>
      <c r="BF163" s="308"/>
      <c r="BG163" s="307">
        <v>23</v>
      </c>
      <c r="BH163" s="307">
        <v>0</v>
      </c>
      <c r="BI163" s="307">
        <v>28</v>
      </c>
      <c r="BJ163" s="308"/>
      <c r="BK163" s="307">
        <v>12</v>
      </c>
      <c r="BL163" s="307">
        <v>-3</v>
      </c>
      <c r="BM163" s="307">
        <v>13</v>
      </c>
      <c r="BN163" s="308"/>
      <c r="BO163" s="307">
        <v>0</v>
      </c>
      <c r="BP163" s="307">
        <v>0</v>
      </c>
      <c r="BQ163" s="307">
        <v>2</v>
      </c>
      <c r="BR163" s="307">
        <v>0</v>
      </c>
      <c r="BS163" s="308"/>
      <c r="BT163" s="307"/>
      <c r="BU163" s="307"/>
      <c r="BV163" s="307"/>
      <c r="BW163" s="317"/>
      <c r="BX163" s="308"/>
      <c r="BY163" s="307"/>
      <c r="BZ163" s="307"/>
      <c r="CA163" s="307"/>
      <c r="CB163" s="317"/>
      <c r="CC163" s="308"/>
      <c r="CD163" s="307"/>
      <c r="CE163" s="307"/>
      <c r="CF163" s="307"/>
      <c r="CG163" s="317"/>
      <c r="CH163" s="308"/>
      <c r="CI163" s="307"/>
      <c r="CJ163" s="307"/>
      <c r="CK163" s="317"/>
      <c r="CL163" s="308"/>
      <c r="CM163" s="321"/>
      <c r="CN163" s="321"/>
      <c r="CO163" s="308"/>
      <c r="CP163" s="321"/>
      <c r="CQ163" s="317"/>
      <c r="CR163" s="308"/>
      <c r="CS163" s="321"/>
      <c r="CT163" s="317"/>
      <c r="CU163" s="308"/>
      <c r="CV163" s="321"/>
      <c r="CW163" s="317"/>
      <c r="CX163" s="308"/>
      <c r="CY163" s="321"/>
      <c r="CZ163" s="317"/>
      <c r="DA163" s="308"/>
      <c r="DB163" s="321"/>
      <c r="DC163" s="317"/>
      <c r="DD163" s="308"/>
      <c r="DE163" s="321"/>
      <c r="DF163" s="317"/>
      <c r="DG163" s="308"/>
      <c r="DH163" s="325">
        <f t="shared" si="22"/>
        <v>35</v>
      </c>
      <c r="DI163" s="328">
        <f t="shared" si="22"/>
        <v>-8</v>
      </c>
      <c r="DJ163" s="325">
        <f>+BI163+BM163+CL163+BE163</f>
        <v>41</v>
      </c>
      <c r="DK163" s="321"/>
      <c r="DL163" s="321"/>
      <c r="DM163" s="321"/>
      <c r="DN163" s="321"/>
      <c r="DO163" s="321"/>
      <c r="DP163" s="321"/>
      <c r="DQ163" s="321"/>
      <c r="DR163" s="321"/>
      <c r="DS163" s="321"/>
      <c r="DT163" s="989"/>
    </row>
    <row r="164" spans="1:124">
      <c r="A164" s="30" t="str">
        <f>qtrSales!A190</f>
        <v>4Q</v>
      </c>
      <c r="B164" s="30" t="str">
        <f>qtrSales!B190</f>
        <v>Jan</v>
      </c>
      <c r="C164" s="339"/>
      <c r="D164" s="307"/>
      <c r="E164" s="308"/>
      <c r="F164" s="307"/>
      <c r="G164" s="317"/>
      <c r="H164" s="309">
        <f>+H163+BC164+BD164</f>
        <v>145</v>
      </c>
      <c r="I164" s="308">
        <f>+(H164/H158-1)*100</f>
        <v>-7.6433121019108263</v>
      </c>
      <c r="J164" s="325">
        <f>+J163+BG164+BH164</f>
        <v>1139</v>
      </c>
      <c r="K164" s="308">
        <f>+(J164/J158-1)*100</f>
        <v>4.1133455210237591</v>
      </c>
      <c r="L164" s="325">
        <f>+L163+BK164+BL164</f>
        <v>1646</v>
      </c>
      <c r="M164" s="308">
        <f>+(L164/L158-1)*100</f>
        <v>0.48840048840048667</v>
      </c>
      <c r="N164" s="751">
        <f>+N163+BT164+BU164+BV164</f>
        <v>0</v>
      </c>
      <c r="O164" s="752"/>
      <c r="P164" s="751" t="e">
        <f>+P163+BY164+BZ164+CA164</f>
        <v>#REF!</v>
      </c>
      <c r="Q164" s="751"/>
      <c r="R164" s="751" t="e">
        <f>+R163+CD164+CF164+CE164</f>
        <v>#REF!</v>
      </c>
      <c r="S164" s="752"/>
      <c r="T164" s="751" t="e">
        <f>+T163+CI164+CJ164</f>
        <v>#REF!</v>
      </c>
      <c r="U164" s="755"/>
      <c r="V164" s="309">
        <f>+V163+BO164-BP164</f>
        <v>29</v>
      </c>
      <c r="W164" s="317">
        <f>+(V164/V158-1)*100</f>
        <v>0</v>
      </c>
      <c r="X164" s="309">
        <f>+X163+BQ164-BR164</f>
        <v>10</v>
      </c>
      <c r="Y164" s="317"/>
      <c r="Z164" s="828"/>
      <c r="AA164" s="317"/>
      <c r="AB164" s="307"/>
      <c r="AC164" s="308"/>
      <c r="AD164" s="307"/>
      <c r="AE164" s="308"/>
      <c r="AF164" s="307"/>
      <c r="AG164" s="308"/>
      <c r="AH164" s="307"/>
      <c r="AI164" s="308"/>
      <c r="AJ164" s="307"/>
      <c r="AK164" s="308"/>
      <c r="AL164" s="307"/>
      <c r="AM164" s="308"/>
      <c r="AN164" s="307"/>
      <c r="AO164" s="308"/>
      <c r="AP164" s="317"/>
      <c r="AQ164" s="451">
        <f>H164+J164+L164+V164+X164</f>
        <v>2969</v>
      </c>
      <c r="AR164" s="308"/>
      <c r="AS164" s="308"/>
      <c r="AT164" s="30" t="str">
        <f>+A164</f>
        <v>4Q</v>
      </c>
      <c r="AU164" s="30" t="str">
        <f>+B164</f>
        <v>Jan</v>
      </c>
      <c r="AV164" s="30"/>
      <c r="AW164" s="302"/>
      <c r="AX164" s="302"/>
      <c r="AY164" s="308"/>
      <c r="AZ164" s="302"/>
      <c r="BA164" s="302"/>
      <c r="BB164" s="308"/>
      <c r="BC164" s="302">
        <v>0</v>
      </c>
      <c r="BD164" s="302">
        <v>-3</v>
      </c>
      <c r="BE164" s="302">
        <v>0</v>
      </c>
      <c r="BF164" s="308"/>
      <c r="BG164" s="418">
        <v>7</v>
      </c>
      <c r="BH164" s="418">
        <v>-4</v>
      </c>
      <c r="BI164" s="418">
        <v>22</v>
      </c>
      <c r="BJ164" s="308"/>
      <c r="BK164" s="302">
        <v>1</v>
      </c>
      <c r="BL164" s="302">
        <v>-4</v>
      </c>
      <c r="BM164" s="302">
        <v>13</v>
      </c>
      <c r="BN164" s="308"/>
      <c r="BO164" s="302">
        <v>0</v>
      </c>
      <c r="BP164" s="302">
        <v>0</v>
      </c>
      <c r="BQ164" s="307">
        <v>1</v>
      </c>
      <c r="BR164" s="307">
        <v>0</v>
      </c>
      <c r="BS164" s="308"/>
      <c r="BT164" s="302"/>
      <c r="BU164" s="302"/>
      <c r="BV164" s="302"/>
      <c r="BW164" s="302"/>
      <c r="BX164" s="308"/>
      <c r="BY164" s="302"/>
      <c r="BZ164" s="302"/>
      <c r="CA164" s="302"/>
      <c r="CB164" s="302"/>
      <c r="CC164" s="308"/>
      <c r="CD164" s="302"/>
      <c r="CE164" s="302"/>
      <c r="CF164" s="302"/>
      <c r="CG164" s="302"/>
      <c r="CH164" s="308"/>
      <c r="CI164" s="302"/>
      <c r="CJ164" s="302"/>
      <c r="CK164" s="302"/>
      <c r="CL164" s="308"/>
      <c r="CM164" s="302"/>
      <c r="CN164" s="302"/>
      <c r="CO164" s="308"/>
      <c r="CP164" s="302"/>
      <c r="CQ164" s="302"/>
      <c r="CR164" s="308"/>
      <c r="CS164" s="302"/>
      <c r="CT164" s="302"/>
      <c r="CU164" s="308"/>
      <c r="CV164" s="302"/>
      <c r="CW164" s="302"/>
      <c r="CX164" s="308"/>
      <c r="CY164" s="302"/>
      <c r="CZ164" s="302"/>
      <c r="DA164" s="308"/>
      <c r="DB164" s="302"/>
      <c r="DC164" s="302"/>
      <c r="DD164" s="308"/>
      <c r="DE164" s="302"/>
      <c r="DF164" s="302"/>
      <c r="DG164" s="308"/>
      <c r="DH164" s="1022">
        <f t="shared" si="22"/>
        <v>8</v>
      </c>
      <c r="DI164" s="338">
        <f t="shared" si="22"/>
        <v>-11</v>
      </c>
      <c r="DJ164" s="1022">
        <f>+BI164+BM164+CL164+BE164</f>
        <v>35</v>
      </c>
      <c r="DK164" s="306"/>
      <c r="DL164" s="321"/>
      <c r="DM164" s="306">
        <f>H164</f>
        <v>145</v>
      </c>
      <c r="DN164" s="306">
        <v>310</v>
      </c>
      <c r="DO164" s="306">
        <v>89</v>
      </c>
      <c r="DP164" s="306">
        <v>79</v>
      </c>
      <c r="DQ164" s="306">
        <v>41</v>
      </c>
      <c r="DR164" s="306">
        <v>23</v>
      </c>
      <c r="DS164" s="306">
        <v>295</v>
      </c>
      <c r="DT164" s="1073">
        <f>SUM(DM164:DS164)</f>
        <v>982</v>
      </c>
    </row>
    <row r="165" spans="1:124">
      <c r="C165" s="24"/>
      <c r="D165" s="24"/>
      <c r="E165" s="24"/>
      <c r="F165" s="24"/>
      <c r="G165" s="305"/>
      <c r="H165" s="305"/>
      <c r="I165" s="305"/>
      <c r="J165" s="24"/>
      <c r="K165" s="305"/>
      <c r="L165" s="24"/>
      <c r="M165" s="24"/>
      <c r="N165" s="387"/>
      <c r="O165" s="24"/>
      <c r="P165" s="24"/>
      <c r="Q165" s="24"/>
      <c r="R165" s="24"/>
      <c r="S165" s="24"/>
      <c r="T165" s="387"/>
      <c r="U165" s="24"/>
      <c r="V165" s="24"/>
      <c r="W165" s="305"/>
      <c r="X165" s="305"/>
      <c r="Y165" s="305"/>
      <c r="Z165" s="387"/>
      <c r="AA165" s="305"/>
      <c r="AB165" s="24"/>
      <c r="AC165" s="24"/>
      <c r="AD165" s="24"/>
      <c r="AE165" s="24"/>
      <c r="AF165" s="30"/>
      <c r="AG165" s="30"/>
      <c r="AH165" s="30"/>
      <c r="AI165" s="30"/>
      <c r="AJ165" s="30"/>
      <c r="AK165" s="30"/>
      <c r="AL165" s="30"/>
      <c r="AM165" s="30"/>
      <c r="AN165" s="30"/>
      <c r="AO165" s="30"/>
      <c r="AP165" s="24"/>
      <c r="AQ165" s="593"/>
      <c r="AR165" s="30"/>
      <c r="AS165" s="30"/>
      <c r="AT165" s="24"/>
      <c r="AU165" s="24"/>
      <c r="AV165" s="24"/>
      <c r="AW165" s="30"/>
      <c r="AX165" s="30"/>
      <c r="AY165" s="30"/>
      <c r="AZ165" s="30"/>
      <c r="BA165" s="320"/>
      <c r="BB165" s="30"/>
      <c r="BC165" s="1096">
        <f>SUM(BC161:BC164)</f>
        <v>0</v>
      </c>
      <c r="BD165" s="1096">
        <f>SUM(BD161:BD164)</f>
        <v>-12</v>
      </c>
      <c r="BE165" s="1096">
        <f>SUM(BE161:BE164)</f>
        <v>0</v>
      </c>
      <c r="BF165" s="24"/>
      <c r="BG165" s="1096">
        <f>SUM(BG161:BG164)</f>
        <v>52</v>
      </c>
      <c r="BH165" s="1096">
        <f>SUM(BH161:BH164)</f>
        <v>-7</v>
      </c>
      <c r="BI165" s="1096">
        <f>SUM(BI161:BI164)</f>
        <v>95</v>
      </c>
      <c r="BJ165" s="168"/>
      <c r="BK165" s="1096">
        <f>SUM(BK161:BK164)</f>
        <v>24</v>
      </c>
      <c r="BL165" s="1096">
        <f>SUM(BL161:BL164)</f>
        <v>-16</v>
      </c>
      <c r="BM165" s="1096">
        <f>SUM(BM161:BM164)</f>
        <v>55</v>
      </c>
      <c r="BN165" s="24"/>
      <c r="BO165" s="309">
        <f>SUM(BO161:BO164)</f>
        <v>0</v>
      </c>
      <c r="BP165" s="309">
        <f>SUM(BP161:BP164)</f>
        <v>0</v>
      </c>
      <c r="BQ165" s="309">
        <f>SUM(BQ161:BQ164)</f>
        <v>5</v>
      </c>
      <c r="BR165" s="309">
        <f>SUM(BR161:BR164)</f>
        <v>0</v>
      </c>
      <c r="BS165" s="24"/>
      <c r="BT165" s="309"/>
      <c r="BU165" s="309"/>
      <c r="BV165" s="309"/>
      <c r="BW165" s="24"/>
      <c r="BX165" s="24"/>
      <c r="BY165" s="309"/>
      <c r="BZ165" s="309"/>
      <c r="CA165" s="309"/>
      <c r="CB165" s="24"/>
      <c r="CC165" s="24"/>
      <c r="CD165" s="309"/>
      <c r="CE165" s="309"/>
      <c r="CF165" s="309"/>
      <c r="CG165" s="24"/>
      <c r="CH165" s="24"/>
      <c r="CI165" s="309"/>
      <c r="CJ165" s="309"/>
      <c r="CK165" s="309"/>
      <c r="CL165" s="309"/>
      <c r="CM165" s="309"/>
      <c r="CN165" s="309"/>
      <c r="CO165" s="309"/>
      <c r="CP165" s="24"/>
      <c r="CQ165" s="24"/>
      <c r="CR165" s="24"/>
      <c r="CS165" s="24"/>
      <c r="CT165" s="24"/>
      <c r="CU165" s="24"/>
      <c r="CV165" s="24"/>
      <c r="CW165" s="24"/>
      <c r="CX165" s="24"/>
      <c r="CY165" s="24"/>
      <c r="CZ165" s="24"/>
      <c r="DA165" s="24"/>
      <c r="DB165" s="24"/>
      <c r="DC165" s="24"/>
      <c r="DD165" s="24"/>
      <c r="DE165" s="24"/>
      <c r="DF165" s="24"/>
      <c r="DG165" s="24"/>
      <c r="DH165" s="551">
        <f>SUM(DH161:DH164)</f>
        <v>76</v>
      </c>
      <c r="DI165" s="551">
        <f>SUM(DI161:DI164)</f>
        <v>-35</v>
      </c>
      <c r="DJ165" s="551">
        <f>SUM(DJ161:DJ164)</f>
        <v>150</v>
      </c>
      <c r="DK165" s="383"/>
      <c r="DL165" s="30"/>
      <c r="DT165" s="968"/>
    </row>
    <row r="166" spans="1:124">
      <c r="A166" s="301"/>
      <c r="B166" s="1181" t="s">
        <v>1266</v>
      </c>
      <c r="C166" s="30"/>
      <c r="D166" s="30"/>
      <c r="E166" s="310"/>
      <c r="F166" s="30"/>
      <c r="G166" s="318"/>
      <c r="H166" s="318"/>
      <c r="I166" s="931"/>
      <c r="J166" s="936"/>
      <c r="K166" s="319"/>
      <c r="L166" s="429"/>
      <c r="M166" s="310"/>
      <c r="N166" s="309"/>
      <c r="O166" s="310"/>
      <c r="P166" s="309"/>
      <c r="Q166" s="30"/>
      <c r="R166" s="30"/>
      <c r="S166" s="429"/>
      <c r="T166" s="429"/>
      <c r="U166" s="310"/>
      <c r="V166" s="30"/>
      <c r="W166" s="318"/>
      <c r="X166" s="318"/>
      <c r="Y166" s="318"/>
      <c r="Z166" s="830"/>
      <c r="AA166" s="318"/>
      <c r="AB166" s="30"/>
      <c r="AC166" s="310"/>
      <c r="AD166" s="30"/>
      <c r="AE166" s="310"/>
      <c r="AF166" s="30"/>
      <c r="AG166" s="310"/>
      <c r="AH166" s="30"/>
      <c r="AI166" s="310"/>
      <c r="AJ166" s="30"/>
      <c r="AK166" s="310"/>
      <c r="AL166" s="30"/>
      <c r="AM166" s="310"/>
      <c r="AN166" s="30"/>
      <c r="AO166" s="310"/>
      <c r="AP166" s="30"/>
      <c r="AQ166" s="451"/>
      <c r="AR166" s="310"/>
      <c r="AS166" s="310"/>
      <c r="AT166" s="424"/>
      <c r="AU166" s="201" t="str">
        <f>+B166</f>
        <v>2015A</v>
      </c>
      <c r="AV166" s="253"/>
      <c r="AW166" s="30"/>
      <c r="AX166" s="310"/>
      <c r="AY166" s="310"/>
      <c r="AZ166" s="30"/>
      <c r="BA166" s="318"/>
      <c r="BB166" s="310"/>
      <c r="BC166" s="318"/>
      <c r="BD166" s="318"/>
      <c r="BE166" s="318"/>
      <c r="BF166" s="310"/>
      <c r="BG166" s="30"/>
      <c r="BH166" s="318"/>
      <c r="BI166" s="318"/>
      <c r="BJ166" s="310"/>
      <c r="BK166" s="30"/>
      <c r="BL166" s="318"/>
      <c r="BM166" s="318"/>
      <c r="BN166" s="310"/>
      <c r="BO166" s="30"/>
      <c r="BP166" s="318"/>
      <c r="BQ166" s="318"/>
      <c r="BR166" s="318"/>
      <c r="BS166" s="310"/>
      <c r="BT166" s="30"/>
      <c r="BU166" s="318"/>
      <c r="BV166" s="318"/>
      <c r="BW166" s="318"/>
      <c r="BX166" s="310"/>
      <c r="BY166" s="30"/>
      <c r="BZ166" s="318"/>
      <c r="CA166" s="318"/>
      <c r="CB166" s="318"/>
      <c r="CC166" s="310"/>
      <c r="CD166" s="309"/>
      <c r="CE166" s="318"/>
      <c r="CF166" s="318"/>
      <c r="CG166" s="318"/>
      <c r="CH166" s="310"/>
      <c r="CI166" s="30"/>
      <c r="CJ166" s="318"/>
      <c r="CK166" s="318"/>
      <c r="CL166" s="310"/>
      <c r="CM166" s="30"/>
      <c r="CN166" s="318"/>
      <c r="CO166" s="310"/>
      <c r="CP166" s="30"/>
      <c r="CQ166" s="318"/>
      <c r="CR166" s="310"/>
      <c r="CS166" s="30"/>
      <c r="CT166" s="318"/>
      <c r="CU166" s="310"/>
      <c r="CV166" s="30"/>
      <c r="CW166" s="318"/>
      <c r="CX166" s="310"/>
      <c r="CY166" s="30"/>
      <c r="CZ166" s="318"/>
      <c r="DA166" s="310"/>
      <c r="DB166" s="30"/>
      <c r="DC166" s="318"/>
      <c r="DD166" s="310"/>
      <c r="DE166" s="30"/>
      <c r="DF166" s="318"/>
      <c r="DG166" s="310"/>
      <c r="DH166" s="307"/>
      <c r="DI166" s="307"/>
      <c r="DJ166" s="307"/>
      <c r="DK166" s="307"/>
      <c r="DL166" s="307"/>
      <c r="DT166" s="968"/>
    </row>
    <row r="167" spans="1:124">
      <c r="A167" s="30" t="str">
        <f>qtrSales!A194</f>
        <v>1Q</v>
      </c>
      <c r="B167" s="30" t="str">
        <f>qtrSales!B194</f>
        <v>Apr</v>
      </c>
      <c r="C167" s="30"/>
      <c r="D167" s="307"/>
      <c r="E167" s="308"/>
      <c r="F167" s="307"/>
      <c r="G167" s="317"/>
      <c r="H167" s="325">
        <f>+H164+BC167+BD167</f>
        <v>133</v>
      </c>
      <c r="I167" s="308">
        <f>+(H167/H161-1)*100</f>
        <v>-13.071895424836599</v>
      </c>
      <c r="J167" s="325">
        <f>+J164+BG167+BH167</f>
        <v>1146</v>
      </c>
      <c r="K167" s="308">
        <f>+(J167/J161-1)*100</f>
        <v>4.1818181818181754</v>
      </c>
      <c r="L167" s="325">
        <f>+L164+BK167+BL167</f>
        <v>1648</v>
      </c>
      <c r="M167" s="308">
        <f>+(L167/L161-1)*100</f>
        <v>0.85679314565483278</v>
      </c>
      <c r="N167" s="751">
        <f>+N165+BT167+BU167+BV167</f>
        <v>0</v>
      </c>
      <c r="O167" s="752" t="e">
        <f>+(N167/N163-1)*100</f>
        <v>#DIV/0!</v>
      </c>
      <c r="P167" s="751" t="e">
        <f>+#REF!+BY167+BZ167+CA167</f>
        <v>#REF!</v>
      </c>
      <c r="Q167" s="307"/>
      <c r="R167" s="751" t="e">
        <f>+#REF!+CD167+CF167+CE167</f>
        <v>#REF!</v>
      </c>
      <c r="S167" s="474"/>
      <c r="T167" s="751" t="e">
        <f>+#REF!+CI167+CJ167</f>
        <v>#REF!</v>
      </c>
      <c r="U167" s="755"/>
      <c r="V167" s="309">
        <f>+V164+BO167+BP167</f>
        <v>29</v>
      </c>
      <c r="W167" s="317">
        <f>+(V167/V161-1)*100</f>
        <v>0</v>
      </c>
      <c r="X167" s="309">
        <f>+X164+BQ167+BR167</f>
        <v>10</v>
      </c>
      <c r="Y167" s="317"/>
      <c r="Z167" s="828"/>
      <c r="AA167" s="317"/>
      <c r="AB167" s="307"/>
      <c r="AC167" s="308"/>
      <c r="AD167" s="307"/>
      <c r="AE167" s="308"/>
      <c r="AF167" s="307"/>
      <c r="AG167" s="308"/>
      <c r="AH167" s="307"/>
      <c r="AI167" s="308"/>
      <c r="AJ167" s="307"/>
      <c r="AK167" s="308"/>
      <c r="AL167" s="307"/>
      <c r="AM167" s="308"/>
      <c r="AN167" s="307"/>
      <c r="AO167" s="308"/>
      <c r="AP167" s="317"/>
      <c r="AQ167" s="451">
        <f>H167+J167+L167+V167+X167</f>
        <v>2966</v>
      </c>
      <c r="AR167" s="308"/>
      <c r="AS167" s="308"/>
      <c r="AT167" s="253" t="str">
        <f>+A167</f>
        <v>1Q</v>
      </c>
      <c r="AU167" s="253" t="str">
        <f>+B167</f>
        <v>Apr</v>
      </c>
      <c r="AV167" s="253"/>
      <c r="AW167" s="395"/>
      <c r="AX167" s="1405"/>
      <c r="AY167" s="1405"/>
      <c r="AZ167" s="395"/>
      <c r="BA167" s="1406"/>
      <c r="BB167" s="1405"/>
      <c r="BC167" s="366">
        <v>0</v>
      </c>
      <c r="BD167" s="366">
        <v>-12</v>
      </c>
      <c r="BE167" s="366">
        <v>0</v>
      </c>
      <c r="BF167" s="589"/>
      <c r="BG167" s="366">
        <v>8</v>
      </c>
      <c r="BH167" s="366">
        <v>-1</v>
      </c>
      <c r="BI167" s="366">
        <v>20</v>
      </c>
      <c r="BJ167" s="589"/>
      <c r="BK167" s="366">
        <v>4</v>
      </c>
      <c r="BL167" s="366">
        <v>-2</v>
      </c>
      <c r="BM167" s="366">
        <v>30</v>
      </c>
      <c r="BN167" s="589"/>
      <c r="BO167" s="366">
        <v>0</v>
      </c>
      <c r="BP167" s="366">
        <v>0</v>
      </c>
      <c r="BQ167" s="366">
        <v>0</v>
      </c>
      <c r="BR167" s="366">
        <v>0</v>
      </c>
      <c r="BS167" s="589"/>
      <c r="BT167" s="395"/>
      <c r="BU167" s="395"/>
      <c r="BV167" s="395"/>
      <c r="BW167" s="1406"/>
      <c r="BX167" s="1405"/>
      <c r="BY167" s="395"/>
      <c r="BZ167" s="395"/>
      <c r="CA167" s="395"/>
      <c r="CB167" s="1406"/>
      <c r="CC167" s="1405"/>
      <c r="CD167" s="395"/>
      <c r="CE167" s="395"/>
      <c r="CF167" s="395"/>
      <c r="CG167" s="1406"/>
      <c r="CH167" s="1405"/>
      <c r="CI167" s="395"/>
      <c r="CJ167" s="395"/>
      <c r="CK167" s="1406"/>
      <c r="CL167" s="1405"/>
      <c r="CM167" s="1407"/>
      <c r="CN167" s="1407"/>
      <c r="CO167" s="1405"/>
      <c r="CP167" s="1407"/>
      <c r="CQ167" s="1406"/>
      <c r="CR167" s="1405"/>
      <c r="CS167" s="1407"/>
      <c r="CT167" s="1406"/>
      <c r="CU167" s="1405"/>
      <c r="CV167" s="1407"/>
      <c r="CW167" s="1406"/>
      <c r="CX167" s="1405"/>
      <c r="CY167" s="1407"/>
      <c r="CZ167" s="1406"/>
      <c r="DA167" s="1405"/>
      <c r="DB167" s="1407"/>
      <c r="DC167" s="1406"/>
      <c r="DD167" s="1405"/>
      <c r="DE167" s="1407"/>
      <c r="DF167" s="1406"/>
      <c r="DG167" s="1405"/>
      <c r="DH167" s="1021">
        <f>+BG167+BK167+BO167+BC167</f>
        <v>12</v>
      </c>
      <c r="DI167" s="1021">
        <f>+BH167+BL167+BP167+BD167</f>
        <v>-15</v>
      </c>
      <c r="DJ167" s="1413">
        <f>+BI167+BM167+CL167+BE167</f>
        <v>50</v>
      </c>
      <c r="DK167" s="1413"/>
      <c r="DL167" s="1413"/>
      <c r="DM167" s="1413"/>
      <c r="DN167" s="1413"/>
      <c r="DO167" s="1413"/>
      <c r="DP167" s="1413"/>
      <c r="DQ167" s="1413"/>
      <c r="DR167" s="1413"/>
      <c r="DS167" s="1413"/>
      <c r="DT167" s="1414"/>
    </row>
    <row r="168" spans="1:124">
      <c r="A168" s="30" t="str">
        <f>qtrSales!A195</f>
        <v>2Q</v>
      </c>
      <c r="B168" s="30" t="str">
        <f>qtrSales!B195</f>
        <v>Jul</v>
      </c>
      <c r="C168" s="30"/>
      <c r="D168" s="307"/>
      <c r="E168" s="308"/>
      <c r="F168" s="307"/>
      <c r="G168" s="317"/>
      <c r="H168" s="325">
        <f>+H167+BC168+BD168</f>
        <v>133</v>
      </c>
      <c r="I168" s="308">
        <f>+(H168/H162-1)*100</f>
        <v>-13.071895424836599</v>
      </c>
      <c r="J168" s="325">
        <f>+J167+BG168+BH168</f>
        <v>1148</v>
      </c>
      <c r="K168" s="308">
        <f>+(J168/J162-1)*100</f>
        <v>3.1446540880503138</v>
      </c>
      <c r="L168" s="325">
        <f>+L167+BK168+BL168</f>
        <v>1656</v>
      </c>
      <c r="M168" s="308">
        <f>+(L168/L162-1)*100</f>
        <v>0.97560975609756184</v>
      </c>
      <c r="N168" s="751">
        <f>+N167+BT168+BU168+BV168</f>
        <v>0</v>
      </c>
      <c r="O168" s="752" t="e">
        <f>+(N168/N164-1)*100</f>
        <v>#DIV/0!</v>
      </c>
      <c r="P168" s="751" t="e">
        <f>+P167+BY168+BZ168+CA168</f>
        <v>#REF!</v>
      </c>
      <c r="Q168" s="751"/>
      <c r="R168" s="751" t="e">
        <f>+R167+CD168+CF168+CE168</f>
        <v>#REF!</v>
      </c>
      <c r="S168" s="752"/>
      <c r="T168" s="751" t="e">
        <f>+T167+CI168+CJ168</f>
        <v>#REF!</v>
      </c>
      <c r="U168" s="755"/>
      <c r="V168" s="309">
        <f>+V167+BO168-BP168</f>
        <v>29</v>
      </c>
      <c r="W168" s="317">
        <f>+(V168/V162-1)*100</f>
        <v>0</v>
      </c>
      <c r="X168" s="309">
        <f>+X167+BQ168-BR168</f>
        <v>10</v>
      </c>
      <c r="Y168" s="317"/>
      <c r="Z168" s="828"/>
      <c r="AA168" s="317"/>
      <c r="AB168" s="307"/>
      <c r="AC168" s="308"/>
      <c r="AD168" s="307"/>
      <c r="AE168" s="308"/>
      <c r="AF168" s="307"/>
      <c r="AG168" s="308"/>
      <c r="AH168" s="307"/>
      <c r="AI168" s="308"/>
      <c r="AJ168" s="307"/>
      <c r="AK168" s="308"/>
      <c r="AL168" s="307"/>
      <c r="AM168" s="308"/>
      <c r="AN168" s="307"/>
      <c r="AO168" s="308"/>
      <c r="AP168" s="530"/>
      <c r="AQ168" s="451">
        <f>H168+J168+L168+V168+X168</f>
        <v>2976</v>
      </c>
      <c r="AR168" s="308"/>
      <c r="AS168" s="308"/>
      <c r="AT168" s="253" t="str">
        <f>+A168</f>
        <v>2Q</v>
      </c>
      <c r="AU168" s="253" t="str">
        <f>+B168</f>
        <v>Jul</v>
      </c>
      <c r="AV168" s="253"/>
      <c r="AW168" s="395"/>
      <c r="AX168" s="1405"/>
      <c r="AY168" s="1405"/>
      <c r="AZ168" s="395"/>
      <c r="BA168" s="1406"/>
      <c r="BB168" s="1405"/>
      <c r="BC168" s="366">
        <v>0</v>
      </c>
      <c r="BD168" s="366">
        <v>0</v>
      </c>
      <c r="BE168" s="366">
        <v>0</v>
      </c>
      <c r="BF168" s="589"/>
      <c r="BG168" s="366">
        <v>5</v>
      </c>
      <c r="BH168" s="366">
        <v>-3</v>
      </c>
      <c r="BI168" s="366">
        <v>24</v>
      </c>
      <c r="BJ168" s="589"/>
      <c r="BK168" s="366">
        <v>9</v>
      </c>
      <c r="BL168" s="366">
        <v>-1</v>
      </c>
      <c r="BM168" s="366">
        <v>30</v>
      </c>
      <c r="BN168" s="589"/>
      <c r="BO168" s="366">
        <v>0</v>
      </c>
      <c r="BP168" s="366">
        <v>0</v>
      </c>
      <c r="BQ168" s="366">
        <v>0</v>
      </c>
      <c r="BR168" s="366">
        <v>0</v>
      </c>
      <c r="BS168" s="589"/>
      <c r="BT168" s="395"/>
      <c r="BU168" s="395"/>
      <c r="BV168" s="395"/>
      <c r="BW168" s="1406"/>
      <c r="BX168" s="1405"/>
      <c r="BY168" s="395"/>
      <c r="BZ168" s="395"/>
      <c r="CA168" s="395"/>
      <c r="CB168" s="1406"/>
      <c r="CC168" s="1405"/>
      <c r="CD168" s="395"/>
      <c r="CE168" s="395"/>
      <c r="CF168" s="395"/>
      <c r="CG168" s="1406"/>
      <c r="CH168" s="1405"/>
      <c r="CI168" s="395"/>
      <c r="CJ168" s="395"/>
      <c r="CK168" s="1406"/>
      <c r="CL168" s="1405"/>
      <c r="CM168" s="1407"/>
      <c r="CN168" s="1407"/>
      <c r="CO168" s="1405"/>
      <c r="CP168" s="1407"/>
      <c r="CQ168" s="1406"/>
      <c r="CR168" s="1405"/>
      <c r="CS168" s="1407"/>
      <c r="CT168" s="1406"/>
      <c r="CU168" s="1405"/>
      <c r="CV168" s="1407"/>
      <c r="CW168" s="1406"/>
      <c r="CX168" s="1405"/>
      <c r="CY168" s="1407"/>
      <c r="CZ168" s="1406"/>
      <c r="DA168" s="1405"/>
      <c r="DB168" s="1407"/>
      <c r="DC168" s="1406"/>
      <c r="DD168" s="1405"/>
      <c r="DE168" s="1407"/>
      <c r="DF168" s="1406"/>
      <c r="DG168" s="1405"/>
      <c r="DH168" s="1021">
        <f>+BG168+BK168+BO168+BC168+BQ168</f>
        <v>14</v>
      </c>
      <c r="DI168" s="1021">
        <f>+BH168+BL168+BP168+BD168</f>
        <v>-4</v>
      </c>
      <c r="DJ168" s="1413">
        <f>+BI168+BM168+CL168+BE168</f>
        <v>54</v>
      </c>
      <c r="DK168" s="1413"/>
      <c r="DL168" s="1413"/>
      <c r="DM168" s="1413"/>
      <c r="DN168" s="1413"/>
      <c r="DO168" s="1413"/>
      <c r="DP168" s="1413"/>
      <c r="DQ168" s="1413"/>
      <c r="DR168" s="1413"/>
      <c r="DS168" s="1413"/>
      <c r="DT168" s="1415"/>
    </row>
    <row r="169" spans="1:124">
      <c r="A169" s="30" t="str">
        <f>qtrSales!A196</f>
        <v>3Q</v>
      </c>
      <c r="B169" s="30" t="str">
        <f>qtrSales!B196</f>
        <v>Oct</v>
      </c>
      <c r="C169" s="30"/>
      <c r="D169" s="307"/>
      <c r="E169" s="308"/>
      <c r="F169" s="307"/>
      <c r="G169" s="317"/>
      <c r="H169" s="309">
        <f>+H168+BC169+BD169</f>
        <v>132</v>
      </c>
      <c r="I169" s="308">
        <f>+(H169/H163-1)*100</f>
        <v>-10.810810810810811</v>
      </c>
      <c r="J169" s="325">
        <f>+J168+BG169+BH169</f>
        <v>1161</v>
      </c>
      <c r="K169" s="308">
        <f>+(J169/J163-1)*100</f>
        <v>2.2007042253521236</v>
      </c>
      <c r="L169" s="325">
        <f>+L168+BK169+BL169</f>
        <v>1671</v>
      </c>
      <c r="M169" s="308">
        <f>+(L169/L163-1)*100</f>
        <v>1.3341419041843494</v>
      </c>
      <c r="N169" s="751">
        <f>+N168+BT169+BU169+BV169</f>
        <v>0</v>
      </c>
      <c r="O169" s="752" t="e">
        <f>+(N169/N165-1)*100</f>
        <v>#DIV/0!</v>
      </c>
      <c r="P169" s="751" t="e">
        <f>+P168+BY169+BZ169+CA169</f>
        <v>#REF!</v>
      </c>
      <c r="Q169" s="751"/>
      <c r="R169" s="751" t="e">
        <f>+R168+CD169+CF169+CE169</f>
        <v>#REF!</v>
      </c>
      <c r="S169" s="752"/>
      <c r="T169" s="751" t="e">
        <f>+T168+CI169+CJ169</f>
        <v>#REF!</v>
      </c>
      <c r="U169" s="755"/>
      <c r="V169" s="309">
        <f>+V168+BO169-BP169</f>
        <v>29</v>
      </c>
      <c r="W169" s="317">
        <f>+(V169/V163-1)*100</f>
        <v>0</v>
      </c>
      <c r="X169" s="309">
        <f>+X168+BQ169-BR169</f>
        <v>10</v>
      </c>
      <c r="Y169" s="317"/>
      <c r="Z169" s="828"/>
      <c r="AA169" s="317"/>
      <c r="AB169" s="307"/>
      <c r="AC169" s="308"/>
      <c r="AD169" s="307"/>
      <c r="AE169" s="308"/>
      <c r="AF169" s="307"/>
      <c r="AG169" s="308"/>
      <c r="AH169" s="307"/>
      <c r="AI169" s="308"/>
      <c r="AJ169" s="307"/>
      <c r="AK169" s="308"/>
      <c r="AL169" s="307"/>
      <c r="AM169" s="308"/>
      <c r="AN169" s="307"/>
      <c r="AO169" s="308"/>
      <c r="AP169" s="30"/>
      <c r="AQ169" s="451">
        <f>H169+J169+L169+V169+X169</f>
        <v>3003</v>
      </c>
      <c r="AR169" s="308"/>
      <c r="AS169" s="308"/>
      <c r="AT169" s="253" t="str">
        <f>+A169</f>
        <v>3Q</v>
      </c>
      <c r="AU169" s="253" t="str">
        <f>+B169</f>
        <v>Oct</v>
      </c>
      <c r="AV169" s="253"/>
      <c r="AW169" s="395"/>
      <c r="AX169" s="1405"/>
      <c r="AY169" s="1405"/>
      <c r="AZ169" s="395"/>
      <c r="BA169" s="1406"/>
      <c r="BB169" s="1405"/>
      <c r="BC169" s="366">
        <v>0</v>
      </c>
      <c r="BD169" s="366">
        <v>-1</v>
      </c>
      <c r="BE169" s="366">
        <v>0</v>
      </c>
      <c r="BF169" s="589"/>
      <c r="BG169" s="366">
        <v>15</v>
      </c>
      <c r="BH169" s="366">
        <v>-2</v>
      </c>
      <c r="BI169" s="366">
        <v>15</v>
      </c>
      <c r="BJ169" s="589"/>
      <c r="BK169" s="366">
        <v>16</v>
      </c>
      <c r="BL169" s="366">
        <v>-1</v>
      </c>
      <c r="BM169" s="366">
        <v>23</v>
      </c>
      <c r="BN169" s="589"/>
      <c r="BO169" s="366">
        <v>0</v>
      </c>
      <c r="BP169" s="366">
        <v>0</v>
      </c>
      <c r="BQ169" s="366">
        <v>0</v>
      </c>
      <c r="BR169" s="366">
        <v>0</v>
      </c>
      <c r="BS169" s="589"/>
      <c r="BT169" s="395"/>
      <c r="BU169" s="395"/>
      <c r="BV169" s="395"/>
      <c r="BW169" s="1406"/>
      <c r="BX169" s="1405"/>
      <c r="BY169" s="395"/>
      <c r="BZ169" s="395"/>
      <c r="CA169" s="395"/>
      <c r="CB169" s="1406"/>
      <c r="CC169" s="1405"/>
      <c r="CD169" s="395"/>
      <c r="CE169" s="395"/>
      <c r="CF169" s="395"/>
      <c r="CG169" s="1406"/>
      <c r="CH169" s="1405"/>
      <c r="CI169" s="395"/>
      <c r="CJ169" s="395"/>
      <c r="CK169" s="1406"/>
      <c r="CL169" s="1405"/>
      <c r="CM169" s="1407"/>
      <c r="CN169" s="1407"/>
      <c r="CO169" s="1405"/>
      <c r="CP169" s="1407"/>
      <c r="CQ169" s="1406"/>
      <c r="CR169" s="1405"/>
      <c r="CS169" s="1407"/>
      <c r="CT169" s="1406"/>
      <c r="CU169" s="1405"/>
      <c r="CV169" s="1407"/>
      <c r="CW169" s="1406"/>
      <c r="CX169" s="1405"/>
      <c r="CY169" s="1407"/>
      <c r="CZ169" s="1406"/>
      <c r="DA169" s="1405"/>
      <c r="DB169" s="1407"/>
      <c r="DC169" s="1406"/>
      <c r="DD169" s="1405"/>
      <c r="DE169" s="1407"/>
      <c r="DF169" s="1406"/>
      <c r="DG169" s="1405"/>
      <c r="DH169" s="1021">
        <f>+BG169+BK169+BO169+BC169+BQ169</f>
        <v>31</v>
      </c>
      <c r="DI169" s="1021">
        <f>+BH169+BL169+BP169+BD169</f>
        <v>-4</v>
      </c>
      <c r="DJ169" s="1413">
        <f>+BI169+BM169+CL169+BE169</f>
        <v>38</v>
      </c>
      <c r="DK169" s="1413"/>
      <c r="DL169" s="1413"/>
      <c r="DM169" s="1413"/>
      <c r="DN169" s="1413"/>
      <c r="DO169" s="1413"/>
      <c r="DP169" s="1413"/>
      <c r="DQ169" s="1413"/>
      <c r="DR169" s="1413"/>
      <c r="DS169" s="1413"/>
      <c r="DT169" s="1415"/>
    </row>
    <row r="170" spans="1:124">
      <c r="A170" s="30" t="str">
        <f>qtrSales!A197</f>
        <v>4Q</v>
      </c>
      <c r="B170" s="30" t="str">
        <f>qtrSales!B197</f>
        <v>Jan</v>
      </c>
      <c r="C170" s="339"/>
      <c r="D170" s="307"/>
      <c r="E170" s="308"/>
      <c r="F170" s="307"/>
      <c r="G170" s="317"/>
      <c r="H170" s="309">
        <f>+H169+BC170+BD170</f>
        <v>126</v>
      </c>
      <c r="I170" s="308">
        <f>+(H170/H164-1)*100</f>
        <v>-13.103448275862073</v>
      </c>
      <c r="J170" s="325">
        <f>+J169+BG170+BH170</f>
        <v>1164</v>
      </c>
      <c r="K170" s="308">
        <f>+(J170/J164-1)*100</f>
        <v>2.1949078138718159</v>
      </c>
      <c r="L170" s="325">
        <f>+L169+BK170+BL170</f>
        <v>1672</v>
      </c>
      <c r="M170" s="308">
        <f>+(L170/L164-1)*100</f>
        <v>1.5795868772782606</v>
      </c>
      <c r="N170" s="751">
        <f>+N169+BT170+BU170+BV170</f>
        <v>0</v>
      </c>
      <c r="O170" s="752"/>
      <c r="P170" s="751" t="e">
        <f>+P169+BY170+BZ170+CA170</f>
        <v>#REF!</v>
      </c>
      <c r="Q170" s="751"/>
      <c r="R170" s="751" t="e">
        <f>+R169+CD170+CF170+CE170</f>
        <v>#REF!</v>
      </c>
      <c r="S170" s="752"/>
      <c r="T170" s="751" t="e">
        <f>+T169+CI170+CJ170</f>
        <v>#REF!</v>
      </c>
      <c r="U170" s="755"/>
      <c r="V170" s="309">
        <f>+V169+BO170-BP170</f>
        <v>29</v>
      </c>
      <c r="W170" s="317">
        <f>+(V170/V164-1)*100</f>
        <v>0</v>
      </c>
      <c r="X170" s="309">
        <f>+X169+BQ170-BR170</f>
        <v>14</v>
      </c>
      <c r="Y170" s="317"/>
      <c r="Z170" s="828"/>
      <c r="AA170" s="317"/>
      <c r="AB170" s="307"/>
      <c r="AC170" s="308"/>
      <c r="AD170" s="307"/>
      <c r="AE170" s="308"/>
      <c r="AF170" s="307"/>
      <c r="AG170" s="308"/>
      <c r="AH170" s="307"/>
      <c r="AI170" s="308"/>
      <c r="AJ170" s="307"/>
      <c r="AK170" s="308"/>
      <c r="AL170" s="307"/>
      <c r="AM170" s="308"/>
      <c r="AN170" s="307"/>
      <c r="AO170" s="308"/>
      <c r="AP170" s="317"/>
      <c r="AQ170" s="451">
        <f>H170+J170+L170+V170+X170</f>
        <v>3005</v>
      </c>
      <c r="AR170" s="308"/>
      <c r="AS170" s="308"/>
      <c r="AT170" s="253" t="str">
        <f>+A170</f>
        <v>4Q</v>
      </c>
      <c r="AU170" s="253" t="str">
        <f>+B170</f>
        <v>Jan</v>
      </c>
      <c r="AV170" s="253"/>
      <c r="AW170" s="1408"/>
      <c r="AX170" s="1408"/>
      <c r="AY170" s="1405"/>
      <c r="AZ170" s="1408"/>
      <c r="BA170" s="1408"/>
      <c r="BB170" s="1405"/>
      <c r="BC170" s="418">
        <v>1</v>
      </c>
      <c r="BD170" s="418">
        <v>-7</v>
      </c>
      <c r="BE170" s="418">
        <v>0</v>
      </c>
      <c r="BF170" s="589"/>
      <c r="BG170" s="418">
        <v>6</v>
      </c>
      <c r="BH170" s="418">
        <v>-3</v>
      </c>
      <c r="BI170" s="418">
        <v>15</v>
      </c>
      <c r="BJ170" s="589"/>
      <c r="BK170" s="418">
        <v>4</v>
      </c>
      <c r="BL170" s="418">
        <v>-3</v>
      </c>
      <c r="BM170" s="418">
        <v>0</v>
      </c>
      <c r="BN170" s="589"/>
      <c r="BO170" s="418">
        <v>0</v>
      </c>
      <c r="BP170" s="418">
        <v>0</v>
      </c>
      <c r="BQ170" s="366">
        <v>4</v>
      </c>
      <c r="BR170" s="366">
        <v>0</v>
      </c>
      <c r="BS170" s="589"/>
      <c r="BT170" s="1408"/>
      <c r="BU170" s="1408"/>
      <c r="BV170" s="1408"/>
      <c r="BW170" s="1408"/>
      <c r="BX170" s="1405"/>
      <c r="BY170" s="1408"/>
      <c r="BZ170" s="1408"/>
      <c r="CA170" s="1408"/>
      <c r="CB170" s="1408"/>
      <c r="CC170" s="1405"/>
      <c r="CD170" s="1408"/>
      <c r="CE170" s="1408"/>
      <c r="CF170" s="1408"/>
      <c r="CG170" s="1408"/>
      <c r="CH170" s="1405"/>
      <c r="CI170" s="1408"/>
      <c r="CJ170" s="1408"/>
      <c r="CK170" s="1408"/>
      <c r="CL170" s="1405"/>
      <c r="CM170" s="1408"/>
      <c r="CN170" s="1408"/>
      <c r="CO170" s="1405"/>
      <c r="CP170" s="1408"/>
      <c r="CQ170" s="1408"/>
      <c r="CR170" s="1405"/>
      <c r="CS170" s="1408"/>
      <c r="CT170" s="1408"/>
      <c r="CU170" s="1405"/>
      <c r="CV170" s="1408"/>
      <c r="CW170" s="1408"/>
      <c r="CX170" s="1405"/>
      <c r="CY170" s="1408"/>
      <c r="CZ170" s="1408"/>
      <c r="DA170" s="1405"/>
      <c r="DB170" s="1408"/>
      <c r="DC170" s="1408"/>
      <c r="DD170" s="1405"/>
      <c r="DE170" s="1408"/>
      <c r="DF170" s="1408"/>
      <c r="DG170" s="1405"/>
      <c r="DH170" s="2375">
        <f>+BG170+BK170+BO170+BC170+BQ170</f>
        <v>15</v>
      </c>
      <c r="DI170" s="2799">
        <f>+BH170+BL170+BP170+BD170</f>
        <v>-13</v>
      </c>
      <c r="DJ170" s="2799">
        <f>+BI170+BM170+CL170+BE170</f>
        <v>15</v>
      </c>
      <c r="DL170" s="1413"/>
    </row>
    <row r="171" spans="1:124">
      <c r="C171" s="24"/>
      <c r="D171" s="24"/>
      <c r="E171" s="24"/>
      <c r="F171" s="24"/>
      <c r="G171" s="305"/>
      <c r="H171" s="305"/>
      <c r="I171" s="305"/>
      <c r="J171" s="24"/>
      <c r="K171" s="305"/>
      <c r="L171" s="24"/>
      <c r="M171" s="24"/>
      <c r="N171" s="387"/>
      <c r="O171" s="24"/>
      <c r="P171" s="24"/>
      <c r="Q171" s="24"/>
      <c r="R171" s="24"/>
      <c r="S171" s="24"/>
      <c r="T171" s="387"/>
      <c r="U171" s="24"/>
      <c r="V171" s="24"/>
      <c r="W171" s="305"/>
      <c r="X171" s="305"/>
      <c r="Y171" s="305"/>
      <c r="Z171" s="387"/>
      <c r="AA171" s="305"/>
      <c r="AB171" s="24"/>
      <c r="AC171" s="24"/>
      <c r="AD171" s="24"/>
      <c r="AE171" s="24"/>
      <c r="AF171" s="30"/>
      <c r="AG171" s="30"/>
      <c r="AH171" s="30"/>
      <c r="AI171" s="30"/>
      <c r="AJ171" s="30"/>
      <c r="AK171" s="30"/>
      <c r="AL171" s="30"/>
      <c r="AM171" s="30"/>
      <c r="AN171" s="30"/>
      <c r="AO171" s="30"/>
      <c r="AP171" s="24"/>
      <c r="AQ171" s="593"/>
      <c r="AR171" s="30"/>
      <c r="AS171" s="30"/>
      <c r="AT171" s="168"/>
      <c r="AU171" s="168"/>
      <c r="AV171" s="168"/>
      <c r="AW171" s="1404"/>
      <c r="AX171" s="1404"/>
      <c r="AY171" s="1404"/>
      <c r="AZ171" s="1404"/>
      <c r="BA171" s="1410"/>
      <c r="BB171" s="1404"/>
      <c r="BC171" s="1096">
        <f>SUM(BC167:BC170)</f>
        <v>1</v>
      </c>
      <c r="BD171" s="1096">
        <f>SUM(BD167:BD170)</f>
        <v>-20</v>
      </c>
      <c r="BE171" s="1096">
        <v>2</v>
      </c>
      <c r="BF171" s="168"/>
      <c r="BG171" s="1096">
        <f>SUM(BG167:BG170)</f>
        <v>34</v>
      </c>
      <c r="BH171" s="1096">
        <f>SUM(BH167:BH170)</f>
        <v>-9</v>
      </c>
      <c r="BI171" s="1096">
        <f>SUM(BI167:BI170)</f>
        <v>74</v>
      </c>
      <c r="BJ171" s="168"/>
      <c r="BK171" s="1096">
        <f>SUM(BK167:BK170)</f>
        <v>33</v>
      </c>
      <c r="BL171" s="1096">
        <f>SUM(BL167:BL170)</f>
        <v>-7</v>
      </c>
      <c r="BM171" s="1096">
        <f>SUM(BM167:BM170)</f>
        <v>83</v>
      </c>
      <c r="BN171" s="168"/>
      <c r="BO171" s="1096">
        <f>SUM(BO167:BO170)</f>
        <v>0</v>
      </c>
      <c r="BP171" s="1096">
        <f>SUM(BP167:BP170)</f>
        <v>0</v>
      </c>
      <c r="BQ171" s="1096">
        <f>SUM(BQ167:BQ170)</f>
        <v>4</v>
      </c>
      <c r="BR171" s="1096">
        <f>SUM(BR167:BR170)</f>
        <v>0</v>
      </c>
      <c r="BS171" s="168"/>
      <c r="BT171" s="1411"/>
      <c r="BU171" s="1411"/>
      <c r="BV171" s="1411"/>
      <c r="BW171" s="1409"/>
      <c r="BX171" s="1409"/>
      <c r="BY171" s="1411"/>
      <c r="BZ171" s="1411"/>
      <c r="CA171" s="1411"/>
      <c r="CB171" s="1409"/>
      <c r="CC171" s="1409"/>
      <c r="CD171" s="1411"/>
      <c r="CE171" s="1411"/>
      <c r="CF171" s="1411"/>
      <c r="CG171" s="1409"/>
      <c r="CH171" s="1409"/>
      <c r="CI171" s="1411"/>
      <c r="CJ171" s="1411"/>
      <c r="CK171" s="1411"/>
      <c r="CL171" s="1411"/>
      <c r="CM171" s="1411"/>
      <c r="CN171" s="1411"/>
      <c r="CO171" s="1411"/>
      <c r="CP171" s="1409"/>
      <c r="CQ171" s="1409"/>
      <c r="CR171" s="1409"/>
      <c r="CS171" s="1409"/>
      <c r="CT171" s="1409"/>
      <c r="CU171" s="1409"/>
      <c r="CV171" s="1409"/>
      <c r="CW171" s="1409"/>
      <c r="CX171" s="1409"/>
      <c r="CY171" s="1409"/>
      <c r="CZ171" s="1409"/>
      <c r="DA171" s="1409"/>
      <c r="DB171" s="1409"/>
      <c r="DC171" s="1409"/>
      <c r="DD171" s="1409"/>
      <c r="DE171" s="1409"/>
      <c r="DF171" s="1409"/>
      <c r="DG171" s="1409"/>
      <c r="DH171" s="442">
        <f>SUM(DH167:DH170)</f>
        <v>72</v>
      </c>
      <c r="DI171" s="2799">
        <f>SUM(DI167:DI170)</f>
        <v>-36</v>
      </c>
      <c r="DJ171" s="2799">
        <f>SUM(DJ167:DJ170)</f>
        <v>157</v>
      </c>
      <c r="DL171" s="253"/>
      <c r="DM171" s="966"/>
      <c r="DN171" s="966"/>
      <c r="DO171" s="966"/>
      <c r="DP171" s="966"/>
      <c r="DQ171" s="966"/>
      <c r="DR171" s="966"/>
      <c r="DS171" s="966"/>
    </row>
    <row r="172" spans="1:124">
      <c r="A172" s="301"/>
      <c r="B172" s="1181" t="s">
        <v>314</v>
      </c>
      <c r="C172" s="30"/>
      <c r="D172" s="30"/>
      <c r="E172" s="310"/>
      <c r="F172" s="30"/>
      <c r="G172" s="318"/>
      <c r="H172" s="318"/>
      <c r="I172" s="931"/>
      <c r="J172" s="936"/>
      <c r="K172" s="319"/>
      <c r="L172" s="429"/>
      <c r="M172" s="310"/>
      <c r="N172" s="309"/>
      <c r="O172" s="310"/>
      <c r="P172" s="309"/>
      <c r="Q172" s="30"/>
      <c r="R172" s="30"/>
      <c r="S172" s="429"/>
      <c r="T172" s="429"/>
      <c r="U172" s="310"/>
      <c r="V172" s="30"/>
      <c r="W172" s="318"/>
      <c r="X172" s="318"/>
      <c r="Y172" s="318"/>
      <c r="Z172" s="830"/>
      <c r="AA172" s="318"/>
      <c r="AB172" s="30"/>
      <c r="AC172" s="310"/>
      <c r="AD172" s="30"/>
      <c r="AE172" s="310"/>
      <c r="AF172" s="30"/>
      <c r="AG172" s="310"/>
      <c r="AH172" s="30"/>
      <c r="AI172" s="310"/>
      <c r="AJ172" s="30"/>
      <c r="AK172" s="310"/>
      <c r="AL172" s="30"/>
      <c r="AM172" s="310"/>
      <c r="AN172" s="30"/>
      <c r="AO172" s="310"/>
      <c r="AP172" s="30"/>
      <c r="AQ172" s="451"/>
      <c r="AR172" s="310"/>
      <c r="AS172" s="310"/>
      <c r="AT172" s="424"/>
      <c r="AU172" s="201" t="str">
        <f>+B172</f>
        <v>2016E</v>
      </c>
      <c r="AV172" s="253"/>
      <c r="AW172" s="30"/>
      <c r="AX172" s="310"/>
      <c r="AY172" s="310"/>
      <c r="AZ172" s="30"/>
      <c r="BA172" s="318"/>
      <c r="BB172" s="310"/>
      <c r="BC172" s="318"/>
      <c r="BD172" s="318"/>
      <c r="BE172" s="318"/>
      <c r="BF172" s="310"/>
      <c r="BG172" s="30"/>
      <c r="BH172" s="318"/>
      <c r="BI172" s="318"/>
      <c r="BJ172" s="310"/>
      <c r="BK172" s="30"/>
      <c r="BL172" s="318"/>
      <c r="BM172" s="318"/>
      <c r="BN172" s="310"/>
      <c r="BO172" s="30"/>
      <c r="BP172" s="318"/>
      <c r="BQ172" s="318"/>
      <c r="BR172" s="318"/>
      <c r="BS172" s="310"/>
      <c r="BT172" s="30"/>
      <c r="BU172" s="318"/>
      <c r="BV172" s="318"/>
      <c r="BW172" s="318"/>
      <c r="BX172" s="310"/>
      <c r="BY172" s="30"/>
      <c r="BZ172" s="318"/>
      <c r="CA172" s="318"/>
      <c r="CB172" s="318"/>
      <c r="CC172" s="310"/>
      <c r="CD172" s="309"/>
      <c r="CE172" s="318"/>
      <c r="CF172" s="318"/>
      <c r="CG172" s="318"/>
      <c r="CH172" s="310"/>
      <c r="CI172" s="30"/>
      <c r="CJ172" s="318"/>
      <c r="CK172" s="318"/>
      <c r="CL172" s="310"/>
      <c r="CM172" s="30"/>
      <c r="CN172" s="318"/>
      <c r="CO172" s="310"/>
      <c r="CP172" s="30"/>
      <c r="CQ172" s="318"/>
      <c r="CR172" s="310"/>
      <c r="CS172" s="30"/>
      <c r="CT172" s="318"/>
      <c r="CU172" s="310"/>
      <c r="CV172" s="30"/>
      <c r="CW172" s="318"/>
      <c r="CX172" s="310"/>
      <c r="CY172" s="30"/>
      <c r="CZ172" s="318"/>
      <c r="DA172" s="310"/>
      <c r="DB172" s="30"/>
      <c r="DC172" s="318"/>
      <c r="DD172" s="310"/>
      <c r="DE172" s="30"/>
      <c r="DF172" s="318"/>
      <c r="DG172" s="310"/>
      <c r="DH172" s="307"/>
      <c r="DI172" s="307"/>
      <c r="DJ172" s="307"/>
      <c r="DK172" s="307"/>
      <c r="DL172" s="307"/>
      <c r="DT172" s="968"/>
    </row>
    <row r="173" spans="1:124">
      <c r="A173" s="30" t="str">
        <f>qtrSales!A201</f>
        <v>1Q</v>
      </c>
      <c r="B173" s="30" t="str">
        <f>qtrSales!B201</f>
        <v>Apr</v>
      </c>
      <c r="C173" s="30"/>
      <c r="D173" s="307"/>
      <c r="E173" s="308"/>
      <c r="F173" s="307"/>
      <c r="G173" s="317"/>
      <c r="H173" s="325">
        <f>+H170+BC173+BD173</f>
        <v>125</v>
      </c>
      <c r="I173" s="308">
        <f>+(H173/H167-1)*100</f>
        <v>-6.0150375939849621</v>
      </c>
      <c r="J173" s="325">
        <f>+J170+BG173+BH173</f>
        <v>1167</v>
      </c>
      <c r="K173" s="308">
        <f>+(J173/J167-1)*100</f>
        <v>1.8324607329842868</v>
      </c>
      <c r="L173" s="325">
        <f>+L170+BK173+BL173</f>
        <v>1675</v>
      </c>
      <c r="M173" s="308">
        <f>+(L173/L167-1)*100</f>
        <v>1.6383495145630977</v>
      </c>
      <c r="N173" s="751" t="e">
        <f>+#REF!+BT173+BU173+BV173</f>
        <v>#REF!</v>
      </c>
      <c r="O173" s="752" t="e">
        <f>+(N173/N170-1)*100</f>
        <v>#REF!</v>
      </c>
      <c r="P173" s="751" t="e">
        <f>+#REF!+BY173+BZ173+CA173</f>
        <v>#REF!</v>
      </c>
      <c r="Q173" s="307"/>
      <c r="R173" s="751" t="e">
        <f>+#REF!+CD173+CF173+CE173</f>
        <v>#REF!</v>
      </c>
      <c r="S173" s="474"/>
      <c r="T173" s="751" t="e">
        <f>+#REF!+CI173+CJ173</f>
        <v>#REF!</v>
      </c>
      <c r="U173" s="755"/>
      <c r="V173" s="309">
        <f>+V170+BO173+BP173</f>
        <v>29</v>
      </c>
      <c r="W173" s="317">
        <f>+(V173/V168-1)*100</f>
        <v>0</v>
      </c>
      <c r="X173" s="309">
        <f>12+3+27</f>
        <v>42</v>
      </c>
      <c r="Y173" s="317"/>
      <c r="Z173" s="828"/>
      <c r="AA173" s="317"/>
      <c r="AB173" s="307"/>
      <c r="AC173" s="308"/>
      <c r="AD173" s="307"/>
      <c r="AE173" s="308"/>
      <c r="AF173" s="307"/>
      <c r="AG173" s="308"/>
      <c r="AH173" s="307"/>
      <c r="AI173" s="308"/>
      <c r="AJ173" s="307"/>
      <c r="AK173" s="308"/>
      <c r="AL173" s="307"/>
      <c r="AM173" s="308"/>
      <c r="AN173" s="307"/>
      <c r="AO173" s="308"/>
      <c r="AP173" s="317"/>
      <c r="AQ173" s="451">
        <f>H173+J173+L173+V173+X173</f>
        <v>3038</v>
      </c>
      <c r="AR173" s="308"/>
      <c r="AS173" s="308"/>
      <c r="AT173" s="253" t="str">
        <f>+A173</f>
        <v>1Q</v>
      </c>
      <c r="AU173" s="253" t="str">
        <f>+B173</f>
        <v>Apr</v>
      </c>
      <c r="AV173" s="253"/>
      <c r="AW173" s="395"/>
      <c r="AX173" s="1405"/>
      <c r="AY173" s="1405"/>
      <c r="AZ173" s="395"/>
      <c r="BA173" s="1406"/>
      <c r="BB173" s="1405"/>
      <c r="BC173" s="366">
        <v>0</v>
      </c>
      <c r="BD173" s="366">
        <v>-1</v>
      </c>
      <c r="BE173" s="366">
        <v>0</v>
      </c>
      <c r="BF173" s="589"/>
      <c r="BG173" s="366">
        <v>5</v>
      </c>
      <c r="BH173" s="366">
        <v>-2</v>
      </c>
      <c r="BI173" s="366">
        <v>25</v>
      </c>
      <c r="BJ173" s="589"/>
      <c r="BK173" s="366">
        <v>4</v>
      </c>
      <c r="BL173" s="366">
        <v>-1</v>
      </c>
      <c r="BM173" s="366">
        <v>48</v>
      </c>
      <c r="BN173" s="589"/>
      <c r="BO173" s="366">
        <v>0</v>
      </c>
      <c r="BP173" s="366">
        <v>0</v>
      </c>
      <c r="BQ173" s="366">
        <v>28</v>
      </c>
      <c r="BR173" s="366">
        <v>0</v>
      </c>
      <c r="BS173" s="589"/>
      <c r="BT173" s="395"/>
      <c r="BU173" s="395"/>
      <c r="BV173" s="395"/>
      <c r="BW173" s="1406"/>
      <c r="BX173" s="1405"/>
      <c r="BY173" s="395"/>
      <c r="BZ173" s="395"/>
      <c r="CA173" s="395"/>
      <c r="CB173" s="1406"/>
      <c r="CC173" s="1405"/>
      <c r="CD173" s="395"/>
      <c r="CE173" s="395"/>
      <c r="CF173" s="395"/>
      <c r="CG173" s="1406"/>
      <c r="CH173" s="1405"/>
      <c r="CI173" s="395"/>
      <c r="CJ173" s="395"/>
      <c r="CK173" s="1406"/>
      <c r="CL173" s="1405"/>
      <c r="CM173" s="1407"/>
      <c r="CN173" s="1407"/>
      <c r="CO173" s="1405"/>
      <c r="CP173" s="1407"/>
      <c r="CQ173" s="1406"/>
      <c r="CR173" s="1405"/>
      <c r="CS173" s="1407"/>
      <c r="CT173" s="1406"/>
      <c r="CU173" s="1405"/>
      <c r="CV173" s="1407"/>
      <c r="CW173" s="1406"/>
      <c r="CX173" s="1405"/>
      <c r="CY173" s="1407"/>
      <c r="CZ173" s="1406"/>
      <c r="DA173" s="1405"/>
      <c r="DB173" s="1407"/>
      <c r="DC173" s="1406"/>
      <c r="DD173" s="1405"/>
      <c r="DE173" s="1407"/>
      <c r="DF173" s="1406"/>
      <c r="DG173" s="1405"/>
      <c r="DH173" s="1021">
        <f>+BG173+BK173+BO173+BC173</f>
        <v>9</v>
      </c>
      <c r="DI173" s="1021">
        <f>+BH173+BL173+BP173+BD173</f>
        <v>-4</v>
      </c>
      <c r="DJ173" s="1413">
        <f>+BI173+BM173+CL173+BE173</f>
        <v>73</v>
      </c>
      <c r="DK173" s="1413"/>
      <c r="DL173" s="1413"/>
      <c r="DM173" s="1413"/>
      <c r="DN173" s="1413"/>
      <c r="DO173" s="1413"/>
      <c r="DP173" s="1413"/>
      <c r="DQ173" s="1413"/>
      <c r="DR173" s="1413"/>
      <c r="DS173" s="1413"/>
      <c r="DT173" s="1414"/>
    </row>
    <row r="174" spans="1:124">
      <c r="A174" s="30" t="str">
        <f>qtrSales!A202</f>
        <v>2Q</v>
      </c>
      <c r="B174" s="30" t="str">
        <f>qtrSales!B202</f>
        <v>Jul</v>
      </c>
      <c r="C174" s="30"/>
      <c r="D174" s="307"/>
      <c r="E174" s="308"/>
      <c r="F174" s="307"/>
      <c r="G174" s="317"/>
      <c r="H174" s="325">
        <f>+H173+BC174+BD174</f>
        <v>125</v>
      </c>
      <c r="I174" s="308">
        <f>+(H174/H168-1)*100</f>
        <v>-6.0150375939849621</v>
      </c>
      <c r="J174" s="325">
        <f>+J173+BG174+BH174</f>
        <v>1169</v>
      </c>
      <c r="K174" s="308">
        <f>+(J174/J168-1)*100</f>
        <v>1.8292682926829285</v>
      </c>
      <c r="L174" s="325">
        <f>+L173+BK174+BL174</f>
        <v>1685</v>
      </c>
      <c r="M174" s="308">
        <f>+(L174/L168-1)*100</f>
        <v>1.7512077294685957</v>
      </c>
      <c r="N174" s="751" t="e">
        <f>+N173+BT174+BU174+BV174</f>
        <v>#REF!</v>
      </c>
      <c r="O174" s="752" t="e">
        <f>+(N174/N171-1)*100</f>
        <v>#REF!</v>
      </c>
      <c r="P174" s="751" t="e">
        <f>+P173+BY174+BZ174+CA174</f>
        <v>#REF!</v>
      </c>
      <c r="Q174" s="751"/>
      <c r="R174" s="751" t="e">
        <f>+R173+CD174+CF174+CE174</f>
        <v>#REF!</v>
      </c>
      <c r="S174" s="752"/>
      <c r="T174" s="751" t="e">
        <f>+T173+CI174+CJ174</f>
        <v>#REF!</v>
      </c>
      <c r="U174" s="755"/>
      <c r="V174" s="309">
        <f>+V173+BO174-BP174</f>
        <v>29</v>
      </c>
      <c r="W174" s="317">
        <f>+(V174/V169-1)*100</f>
        <v>0</v>
      </c>
      <c r="X174" s="309">
        <f>+X173+BQ174-BR174</f>
        <v>44</v>
      </c>
      <c r="Y174" s="317"/>
      <c r="Z174" s="828"/>
      <c r="AA174" s="317"/>
      <c r="AB174" s="307"/>
      <c r="AC174" s="308"/>
      <c r="AD174" s="307"/>
      <c r="AE174" s="308"/>
      <c r="AF174" s="307"/>
      <c r="AG174" s="308"/>
      <c r="AH174" s="307"/>
      <c r="AI174" s="308"/>
      <c r="AJ174" s="307"/>
      <c r="AK174" s="308"/>
      <c r="AL174" s="307"/>
      <c r="AM174" s="308"/>
      <c r="AN174" s="307"/>
      <c r="AO174" s="308"/>
      <c r="AP174" s="530"/>
      <c r="AQ174" s="451">
        <f>H174+J174+L174+V174+X174</f>
        <v>3052</v>
      </c>
      <c r="AR174" s="308"/>
      <c r="AS174" s="308"/>
      <c r="AT174" s="253" t="str">
        <f>+A174</f>
        <v>2Q</v>
      </c>
      <c r="AU174" s="253" t="str">
        <f>+B174</f>
        <v>Jul</v>
      </c>
      <c r="AV174" s="253"/>
      <c r="AW174" s="395"/>
      <c r="AX174" s="1405"/>
      <c r="AY174" s="1405"/>
      <c r="AZ174" s="395"/>
      <c r="BA174" s="1406"/>
      <c r="BB174" s="1405"/>
      <c r="BC174" s="366">
        <v>0</v>
      </c>
      <c r="BD174" s="366">
        <v>0</v>
      </c>
      <c r="BE174" s="366">
        <v>0</v>
      </c>
      <c r="BF174" s="589"/>
      <c r="BG174" s="366">
        <v>4</v>
      </c>
      <c r="BH174" s="366">
        <v>-2</v>
      </c>
      <c r="BI174" s="366">
        <v>25</v>
      </c>
      <c r="BJ174" s="589"/>
      <c r="BK174" s="366">
        <v>12</v>
      </c>
      <c r="BL174" s="366">
        <v>-2</v>
      </c>
      <c r="BM174" s="366">
        <v>48</v>
      </c>
      <c r="BN174" s="589"/>
      <c r="BO174" s="366">
        <v>0</v>
      </c>
      <c r="BP174" s="366">
        <v>0</v>
      </c>
      <c r="BQ174" s="366">
        <v>2</v>
      </c>
      <c r="BR174" s="366">
        <v>0</v>
      </c>
      <c r="BS174" s="589"/>
      <c r="BT174" s="395"/>
      <c r="BU174" s="395"/>
      <c r="BV174" s="395"/>
      <c r="BW174" s="1406"/>
      <c r="BX174" s="1405"/>
      <c r="BY174" s="395"/>
      <c r="BZ174" s="395"/>
      <c r="CA174" s="395"/>
      <c r="CB174" s="1406"/>
      <c r="CC174" s="1405"/>
      <c r="CD174" s="395"/>
      <c r="CE174" s="395"/>
      <c r="CF174" s="395"/>
      <c r="CG174" s="1406"/>
      <c r="CH174" s="1405"/>
      <c r="CI174" s="395"/>
      <c r="CJ174" s="395"/>
      <c r="CK174" s="1406"/>
      <c r="CL174" s="1405"/>
      <c r="CM174" s="1407"/>
      <c r="CN174" s="1407"/>
      <c r="CO174" s="1405"/>
      <c r="CP174" s="1407"/>
      <c r="CQ174" s="1406"/>
      <c r="CR174" s="1405"/>
      <c r="CS174" s="1407"/>
      <c r="CT174" s="1406"/>
      <c r="CU174" s="1405"/>
      <c r="CV174" s="1407"/>
      <c r="CW174" s="1406"/>
      <c r="CX174" s="1405"/>
      <c r="CY174" s="1407"/>
      <c r="CZ174" s="1406"/>
      <c r="DA174" s="1405"/>
      <c r="DB174" s="1407"/>
      <c r="DC174" s="1406"/>
      <c r="DD174" s="1405"/>
      <c r="DE174" s="1407"/>
      <c r="DF174" s="1406"/>
      <c r="DG174" s="1405"/>
      <c r="DH174" s="1021">
        <f>+BG174+BK174+BO174+BC174+BQ174</f>
        <v>18</v>
      </c>
      <c r="DI174" s="1021">
        <f>+BH174+BL174+BP174+BD174</f>
        <v>-4</v>
      </c>
      <c r="DJ174" s="1413">
        <f>+BI174+BM174+CL174+BE174</f>
        <v>73</v>
      </c>
      <c r="DK174" s="1413"/>
      <c r="DL174" s="1413"/>
      <c r="DM174" s="1413"/>
      <c r="DN174" s="1413"/>
      <c r="DO174" s="1413"/>
      <c r="DP174" s="1413"/>
      <c r="DQ174" s="1413"/>
      <c r="DR174" s="1413"/>
      <c r="DS174" s="1413"/>
      <c r="DT174" s="1415"/>
    </row>
    <row r="175" spans="1:124">
      <c r="A175" s="30" t="str">
        <f>qtrSales!A203</f>
        <v>3Q</v>
      </c>
      <c r="B175" s="30" t="str">
        <f>qtrSales!B203</f>
        <v>Oct</v>
      </c>
      <c r="C175" s="30"/>
      <c r="D175" s="307"/>
      <c r="E175" s="308"/>
      <c r="F175" s="307"/>
      <c r="G175" s="317"/>
      <c r="H175" s="309">
        <f>+H174+BC175+BD175</f>
        <v>128</v>
      </c>
      <c r="I175" s="308">
        <f>+(H175/H169-1)*100</f>
        <v>-3.0303030303030276</v>
      </c>
      <c r="J175" s="325">
        <f>+J174+BG175+BH175</f>
        <v>1176</v>
      </c>
      <c r="K175" s="308">
        <f>+(J175/J169-1)*100</f>
        <v>1.2919896640826822</v>
      </c>
      <c r="L175" s="325">
        <f>+L174+BK175+BL175</f>
        <v>1694</v>
      </c>
      <c r="M175" s="308">
        <f>+(L175/L169-1)*100</f>
        <v>1.376421304608022</v>
      </c>
      <c r="N175" s="751" t="e">
        <f>+N174+BT175+BU175+BV175</f>
        <v>#REF!</v>
      </c>
      <c r="O175" s="752" t="e">
        <f>+(N175/#REF!-1)*100</f>
        <v>#REF!</v>
      </c>
      <c r="P175" s="751" t="e">
        <f>+P174+BY175+BZ175+CA175</f>
        <v>#REF!</v>
      </c>
      <c r="Q175" s="751"/>
      <c r="R175" s="751" t="e">
        <f>+R174+CD175+CF175+CE175</f>
        <v>#REF!</v>
      </c>
      <c r="S175" s="752"/>
      <c r="T175" s="751" t="e">
        <f>+T174+CI175+CJ175</f>
        <v>#REF!</v>
      </c>
      <c r="U175" s="755"/>
      <c r="V175" s="309">
        <f>+V174+BO175-BP175</f>
        <v>29</v>
      </c>
      <c r="W175" s="317">
        <f>+(V175/V170-1)*100</f>
        <v>0</v>
      </c>
      <c r="X175" s="309">
        <f>+X174+BQ175-BR175</f>
        <v>46</v>
      </c>
      <c r="Y175" s="317"/>
      <c r="Z175" s="828"/>
      <c r="AA175" s="317"/>
      <c r="AB175" s="307"/>
      <c r="AC175" s="308"/>
      <c r="AD175" s="307"/>
      <c r="AE175" s="308"/>
      <c r="AF175" s="307"/>
      <c r="AG175" s="308"/>
      <c r="AH175" s="307"/>
      <c r="AI175" s="308"/>
      <c r="AJ175" s="307"/>
      <c r="AK175" s="308"/>
      <c r="AL175" s="307"/>
      <c r="AM175" s="308"/>
      <c r="AN175" s="307"/>
      <c r="AO175" s="308"/>
      <c r="AP175" s="30"/>
      <c r="AQ175" s="451">
        <f>H175+J175+L175+V175+X175</f>
        <v>3073</v>
      </c>
      <c r="AR175" s="308"/>
      <c r="AS175" s="308"/>
      <c r="AT175" s="253" t="str">
        <f>+A175</f>
        <v>3Q</v>
      </c>
      <c r="AU175" s="253" t="str">
        <f>+B175</f>
        <v>Oct</v>
      </c>
      <c r="AV175" s="253"/>
      <c r="AW175" s="395"/>
      <c r="AX175" s="1405"/>
      <c r="AY175" s="1405"/>
      <c r="AZ175" s="395"/>
      <c r="BA175" s="1406"/>
      <c r="BB175" s="1405"/>
      <c r="BC175" s="366">
        <v>3</v>
      </c>
      <c r="BD175" s="366">
        <v>0</v>
      </c>
      <c r="BE175" s="366">
        <v>0</v>
      </c>
      <c r="BF175" s="589"/>
      <c r="BG175" s="366">
        <v>10</v>
      </c>
      <c r="BH175" s="366">
        <v>-3</v>
      </c>
      <c r="BI175" s="366">
        <v>20</v>
      </c>
      <c r="BJ175" s="589"/>
      <c r="BK175" s="366">
        <v>11</v>
      </c>
      <c r="BL175" s="366">
        <v>-2</v>
      </c>
      <c r="BM175" s="366">
        <v>51</v>
      </c>
      <c r="BN175" s="589"/>
      <c r="BO175" s="366">
        <v>0</v>
      </c>
      <c r="BP175" s="366">
        <v>0</v>
      </c>
      <c r="BQ175" s="366">
        <v>1</v>
      </c>
      <c r="BR175" s="366">
        <v>-1</v>
      </c>
      <c r="BS175" s="589"/>
      <c r="BT175" s="395"/>
      <c r="BU175" s="395"/>
      <c r="BV175" s="395"/>
      <c r="BW175" s="1406"/>
      <c r="BX175" s="1405"/>
      <c r="BY175" s="395"/>
      <c r="BZ175" s="395"/>
      <c r="CA175" s="395"/>
      <c r="CB175" s="1406"/>
      <c r="CC175" s="1405"/>
      <c r="CD175" s="395"/>
      <c r="CE175" s="395"/>
      <c r="CF175" s="395"/>
      <c r="CG175" s="1406"/>
      <c r="CH175" s="1405"/>
      <c r="CI175" s="395"/>
      <c r="CJ175" s="395"/>
      <c r="CK175" s="1406"/>
      <c r="CL175" s="1405"/>
      <c r="CM175" s="1407"/>
      <c r="CN175" s="1407"/>
      <c r="CO175" s="1405"/>
      <c r="CP175" s="1407"/>
      <c r="CQ175" s="1406"/>
      <c r="CR175" s="1405"/>
      <c r="CS175" s="1407"/>
      <c r="CT175" s="1406"/>
      <c r="CU175" s="1405"/>
      <c r="CV175" s="1407"/>
      <c r="CW175" s="1406"/>
      <c r="CX175" s="1405"/>
      <c r="CY175" s="1407"/>
      <c r="CZ175" s="1406"/>
      <c r="DA175" s="1405"/>
      <c r="DB175" s="1407"/>
      <c r="DC175" s="1406"/>
      <c r="DD175" s="1405"/>
      <c r="DE175" s="1407"/>
      <c r="DF175" s="1406"/>
      <c r="DG175" s="1405"/>
      <c r="DH175" s="1021">
        <f>+BG175+BK175+BO175+BC175+BQ175</f>
        <v>25</v>
      </c>
      <c r="DI175" s="1021">
        <f>+BH175+BL175+BP175+BD175</f>
        <v>-5</v>
      </c>
      <c r="DJ175" s="1413">
        <f>+BI175+BM175+CL175+BE175</f>
        <v>71</v>
      </c>
      <c r="DK175" s="1413"/>
      <c r="DL175" s="1413"/>
      <c r="DM175" s="1413"/>
      <c r="DN175" s="1413"/>
      <c r="DO175" s="1413"/>
      <c r="DP175" s="1413"/>
      <c r="DQ175" s="1413"/>
      <c r="DR175" s="1413"/>
      <c r="DS175" s="1413"/>
      <c r="DT175" s="1415"/>
    </row>
    <row r="176" spans="1:124">
      <c r="A176" s="30" t="str">
        <f>qtrSales!A204</f>
        <v>4Q</v>
      </c>
      <c r="B176" s="30" t="str">
        <f>qtrSales!B204</f>
        <v>Jan</v>
      </c>
      <c r="C176" s="339"/>
      <c r="D176" s="307"/>
      <c r="E176" s="308"/>
      <c r="F176" s="307"/>
      <c r="G176" s="317"/>
      <c r="H176" s="309">
        <f>+H175+BC176+BD176</f>
        <v>126</v>
      </c>
      <c r="I176" s="308">
        <f>+(H176/H170-1)*100</f>
        <v>0</v>
      </c>
      <c r="J176" s="325">
        <f>+J175+BG176+BH176</f>
        <v>1177</v>
      </c>
      <c r="K176" s="308">
        <f>+(J176/J170-1)*100</f>
        <v>1.1168384879725046</v>
      </c>
      <c r="L176" s="325">
        <f>+L175+BK176+BL176</f>
        <v>1693</v>
      </c>
      <c r="M176" s="308">
        <f>+(L176/L170-1)*100</f>
        <v>1.2559808612440104</v>
      </c>
      <c r="N176" s="751" t="e">
        <f>+N175+BT176+BU176+BV176</f>
        <v>#REF!</v>
      </c>
      <c r="O176" s="752"/>
      <c r="P176" s="751" t="e">
        <f>+P175+BY176+BZ176+CA176</f>
        <v>#REF!</v>
      </c>
      <c r="Q176" s="751"/>
      <c r="R176" s="751" t="e">
        <f>+R175+CD176+CF176+CE176</f>
        <v>#REF!</v>
      </c>
      <c r="S176" s="752"/>
      <c r="T176" s="751" t="e">
        <f>+T175+CI176+CJ176</f>
        <v>#REF!</v>
      </c>
      <c r="U176" s="755"/>
      <c r="V176" s="309">
        <f>+V175+BO176-BP176</f>
        <v>29</v>
      </c>
      <c r="W176" s="317">
        <f>+(V176/V170-1)*100</f>
        <v>0</v>
      </c>
      <c r="X176" s="309">
        <f>+X175+BQ176-BR176</f>
        <v>49</v>
      </c>
      <c r="Y176" s="317"/>
      <c r="Z176" s="828"/>
      <c r="AA176" s="317"/>
      <c r="AB176" s="307"/>
      <c r="AC176" s="308"/>
      <c r="AD176" s="307"/>
      <c r="AE176" s="308"/>
      <c r="AF176" s="307"/>
      <c r="AG176" s="308"/>
      <c r="AH176" s="307"/>
      <c r="AI176" s="308"/>
      <c r="AJ176" s="307"/>
      <c r="AK176" s="308"/>
      <c r="AL176" s="307"/>
      <c r="AM176" s="308"/>
      <c r="AN176" s="307"/>
      <c r="AO176" s="308"/>
      <c r="AP176" s="317"/>
      <c r="AQ176" s="451">
        <f>H176+J176+L176+V176+X176</f>
        <v>3074</v>
      </c>
      <c r="AR176" s="308"/>
      <c r="AS176" s="308"/>
      <c r="AT176" s="253" t="str">
        <f>+A176</f>
        <v>4Q</v>
      </c>
      <c r="AU176" s="253" t="str">
        <f>+B176</f>
        <v>Jan</v>
      </c>
      <c r="AV176" s="253"/>
      <c r="AW176" s="1408"/>
      <c r="AX176" s="1408"/>
      <c r="AY176" s="1405"/>
      <c r="AZ176" s="1408"/>
      <c r="BA176" s="1408"/>
      <c r="BB176" s="1405"/>
      <c r="BC176" s="418">
        <v>1</v>
      </c>
      <c r="BD176" s="418">
        <v>-3</v>
      </c>
      <c r="BE176" s="418">
        <v>0</v>
      </c>
      <c r="BF176" s="589"/>
      <c r="BG176" s="418">
        <v>4</v>
      </c>
      <c r="BH176" s="418">
        <v>-3</v>
      </c>
      <c r="BI176" s="418">
        <v>17</v>
      </c>
      <c r="BJ176" s="589"/>
      <c r="BK176" s="418">
        <v>8</v>
      </c>
      <c r="BL176" s="418">
        <v>-9</v>
      </c>
      <c r="BM176" s="418">
        <v>1</v>
      </c>
      <c r="BN176" s="589"/>
      <c r="BO176" s="418">
        <v>0</v>
      </c>
      <c r="BP176" s="418">
        <v>0</v>
      </c>
      <c r="BQ176" s="366">
        <v>3</v>
      </c>
      <c r="BR176" s="366">
        <v>0</v>
      </c>
      <c r="BS176" s="589"/>
      <c r="BT176" s="1408"/>
      <c r="BU176" s="1408"/>
      <c r="BV176" s="1408"/>
      <c r="BW176" s="1408"/>
      <c r="BX176" s="1405"/>
      <c r="BY176" s="1408"/>
      <c r="BZ176" s="1408"/>
      <c r="CA176" s="1408"/>
      <c r="CB176" s="1408"/>
      <c r="CC176" s="1405"/>
      <c r="CD176" s="1408"/>
      <c r="CE176" s="1408"/>
      <c r="CF176" s="1408"/>
      <c r="CG176" s="1408"/>
      <c r="CH176" s="1405"/>
      <c r="CI176" s="1408"/>
      <c r="CJ176" s="1408"/>
      <c r="CK176" s="1408"/>
      <c r="CL176" s="1405"/>
      <c r="CM176" s="1408"/>
      <c r="CN176" s="1408"/>
      <c r="CO176" s="1405"/>
      <c r="CP176" s="1408"/>
      <c r="CQ176" s="1408"/>
      <c r="CR176" s="1405"/>
      <c r="CS176" s="1408"/>
      <c r="CT176" s="1408"/>
      <c r="CU176" s="1405"/>
      <c r="CV176" s="1408"/>
      <c r="CW176" s="1408"/>
      <c r="CX176" s="1405"/>
      <c r="CY176" s="1408"/>
      <c r="CZ176" s="1408"/>
      <c r="DA176" s="1405"/>
      <c r="DB176" s="1408"/>
      <c r="DC176" s="1408"/>
      <c r="DD176" s="1405"/>
      <c r="DE176" s="1408"/>
      <c r="DF176" s="1408"/>
      <c r="DG176" s="1405"/>
      <c r="DH176" s="2375">
        <f>+BG176+BK176+BO176+BC176</f>
        <v>13</v>
      </c>
      <c r="DI176" s="2799">
        <f>+BH176+BL176+BP176+BD176</f>
        <v>-15</v>
      </c>
      <c r="DJ176" s="2799">
        <f>+BI176+BM176+CL176+BE176</f>
        <v>18</v>
      </c>
      <c r="DL176" s="1413"/>
    </row>
    <row r="177" spans="1:124">
      <c r="A177" s="30"/>
      <c r="B177" s="30"/>
      <c r="C177" s="339"/>
      <c r="D177" s="307"/>
      <c r="E177" s="308"/>
      <c r="F177" s="307"/>
      <c r="G177" s="317"/>
      <c r="H177" s="309"/>
      <c r="I177" s="308"/>
      <c r="J177" s="325"/>
      <c r="K177" s="308"/>
      <c r="L177" s="325"/>
      <c r="M177" s="308"/>
      <c r="N177" s="751"/>
      <c r="O177" s="752"/>
      <c r="P177" s="751"/>
      <c r="Q177" s="751"/>
      <c r="R177" s="751"/>
      <c r="S177" s="752"/>
      <c r="T177" s="751"/>
      <c r="U177" s="755"/>
      <c r="V177" s="309"/>
      <c r="W177" s="317"/>
      <c r="X177" s="309"/>
      <c r="Y177" s="317"/>
      <c r="Z177" s="828"/>
      <c r="AA177" s="317"/>
      <c r="AB177" s="307"/>
      <c r="AC177" s="308"/>
      <c r="AD177" s="307"/>
      <c r="AE177" s="308"/>
      <c r="AF177" s="307"/>
      <c r="AG177" s="308"/>
      <c r="AH177" s="307"/>
      <c r="AI177" s="308"/>
      <c r="AJ177" s="307"/>
      <c r="AK177" s="308"/>
      <c r="AL177" s="307"/>
      <c r="AM177" s="308"/>
      <c r="AN177" s="307"/>
      <c r="AO177" s="308"/>
      <c r="AP177" s="317"/>
      <c r="AQ177" s="451"/>
      <c r="AR177" s="308"/>
      <c r="AS177" s="308"/>
      <c r="AT177" s="253"/>
      <c r="AU177" s="253"/>
      <c r="AV177" s="253"/>
      <c r="AW177" s="395"/>
      <c r="AX177" s="395"/>
      <c r="AY177" s="1405"/>
      <c r="AZ177" s="395"/>
      <c r="BA177" s="395"/>
      <c r="BB177" s="1405"/>
      <c r="BC177" s="1096">
        <f>SUM(BC173:BC176)</f>
        <v>4</v>
      </c>
      <c r="BD177" s="1096">
        <f>SUM(BD173:BD176)</f>
        <v>-4</v>
      </c>
      <c r="BE177" s="1096">
        <f>SUM(BE173:BE176)</f>
        <v>0</v>
      </c>
      <c r="BF177" s="168"/>
      <c r="BG177" s="1096">
        <f>SUM(BG173:BG176)</f>
        <v>23</v>
      </c>
      <c r="BH177" s="1096">
        <f>SUM(BH173:BH176)</f>
        <v>-10</v>
      </c>
      <c r="BI177" s="1096">
        <f>SUM(BI173:BI176)</f>
        <v>87</v>
      </c>
      <c r="BJ177" s="168"/>
      <c r="BK177" s="1096">
        <f>SUM(BK173:BK176)</f>
        <v>35</v>
      </c>
      <c r="BL177" s="1096">
        <f>SUM(BL173:BL176)</f>
        <v>-14</v>
      </c>
      <c r="BM177" s="1096">
        <f>SUM(BM173:BM176)</f>
        <v>148</v>
      </c>
      <c r="BN177" s="168"/>
      <c r="BO177" s="1096">
        <f>SUM(BO173:BO176)</f>
        <v>0</v>
      </c>
      <c r="BP177" s="1096">
        <f>SUM(BP173:BP176)</f>
        <v>0</v>
      </c>
      <c r="BQ177" s="1096">
        <f>SUM(BQ173:BQ176)</f>
        <v>34</v>
      </c>
      <c r="BR177" s="1096">
        <f>SUM(BR173:BR176)</f>
        <v>-1</v>
      </c>
      <c r="BS177" s="589"/>
      <c r="BT177" s="395"/>
      <c r="BU177" s="395"/>
      <c r="BV177" s="395"/>
      <c r="BW177" s="395"/>
      <c r="BX177" s="1405"/>
      <c r="BY177" s="395"/>
      <c r="BZ177" s="395"/>
      <c r="CA177" s="395"/>
      <c r="CB177" s="395"/>
      <c r="CC177" s="1405"/>
      <c r="CD177" s="395"/>
      <c r="CE177" s="395"/>
      <c r="CF177" s="395"/>
      <c r="CG177" s="395"/>
      <c r="CH177" s="1405"/>
      <c r="CI177" s="395"/>
      <c r="CJ177" s="395"/>
      <c r="CK177" s="395"/>
      <c r="CL177" s="1405"/>
      <c r="CM177" s="395"/>
      <c r="CN177" s="395"/>
      <c r="CO177" s="1405"/>
      <c r="CP177" s="395"/>
      <c r="CQ177" s="395"/>
      <c r="CR177" s="1405"/>
      <c r="CS177" s="395"/>
      <c r="CT177" s="395"/>
      <c r="CU177" s="1405"/>
      <c r="CV177" s="395"/>
      <c r="CW177" s="395"/>
      <c r="CX177" s="1405"/>
      <c r="CY177" s="395"/>
      <c r="CZ177" s="395"/>
      <c r="DA177" s="1405"/>
      <c r="DB177" s="395"/>
      <c r="DC177" s="395"/>
      <c r="DD177" s="1405"/>
      <c r="DE177" s="395"/>
      <c r="DF177" s="395"/>
      <c r="DG177" s="1405"/>
      <c r="DH177" s="2375"/>
      <c r="DI177" s="2799"/>
      <c r="DJ177" s="2799"/>
      <c r="DL177" s="1413"/>
    </row>
    <row r="178" spans="1:124">
      <c r="A178" s="301"/>
      <c r="B178" s="1181" t="s">
        <v>1332</v>
      </c>
      <c r="C178" s="30"/>
      <c r="D178" s="30"/>
      <c r="E178" s="310"/>
      <c r="F178" s="30"/>
      <c r="G178" s="318"/>
      <c r="H178" s="318"/>
      <c r="I178" s="931"/>
      <c r="J178" s="936"/>
      <c r="K178" s="319"/>
      <c r="L178" s="429"/>
      <c r="M178" s="310"/>
      <c r="N178" s="309"/>
      <c r="O178" s="310"/>
      <c r="P178" s="309"/>
      <c r="Q178" s="30"/>
      <c r="R178" s="30"/>
      <c r="S178" s="429"/>
      <c r="T178" s="429"/>
      <c r="U178" s="310"/>
      <c r="V178" s="30"/>
      <c r="W178" s="318"/>
      <c r="X178" s="318"/>
      <c r="Y178" s="318"/>
      <c r="Z178" s="830"/>
      <c r="AA178" s="318"/>
      <c r="AB178" s="30"/>
      <c r="AC178" s="310"/>
      <c r="AD178" s="30"/>
      <c r="AE178" s="310"/>
      <c r="AF178" s="30"/>
      <c r="AG178" s="310"/>
      <c r="AH178" s="30"/>
      <c r="AI178" s="310"/>
      <c r="AJ178" s="30"/>
      <c r="AK178" s="310"/>
      <c r="AL178" s="30"/>
      <c r="AM178" s="310"/>
      <c r="AN178" s="30"/>
      <c r="AO178" s="310"/>
      <c r="AP178" s="30"/>
      <c r="AQ178" s="451"/>
      <c r="AR178" s="310"/>
      <c r="AS178" s="310"/>
      <c r="AT178" s="424"/>
      <c r="AU178" s="201" t="str">
        <f>+B178</f>
        <v>2017A</v>
      </c>
      <c r="AV178" s="253"/>
      <c r="AW178" s="30"/>
      <c r="AX178" s="310"/>
      <c r="AY178" s="310"/>
      <c r="AZ178" s="30"/>
      <c r="BA178" s="318"/>
      <c r="BB178" s="310"/>
      <c r="BC178" s="318"/>
      <c r="BD178" s="318"/>
      <c r="BE178" s="318"/>
      <c r="BF178" s="310"/>
      <c r="BG178" s="309"/>
      <c r="BH178" s="318"/>
      <c r="BI178" s="318"/>
      <c r="BJ178" s="310"/>
      <c r="BK178" s="30"/>
      <c r="BL178" s="318"/>
      <c r="BM178" s="318"/>
      <c r="BN178" s="310"/>
      <c r="BO178" s="30"/>
      <c r="BP178" s="318"/>
      <c r="BQ178" s="318"/>
      <c r="BR178" s="318"/>
      <c r="BS178" s="310"/>
      <c r="BT178" s="30"/>
      <c r="BU178" s="318"/>
      <c r="BV178" s="318"/>
      <c r="BW178" s="318"/>
      <c r="BX178" s="310"/>
      <c r="BY178" s="30"/>
      <c r="BZ178" s="318"/>
      <c r="CA178" s="318"/>
      <c r="CB178" s="318"/>
      <c r="CC178" s="310"/>
      <c r="CD178" s="309"/>
      <c r="CE178" s="318"/>
      <c r="CF178" s="318"/>
      <c r="CG178" s="318"/>
      <c r="CH178" s="310"/>
      <c r="CI178" s="30"/>
      <c r="CJ178" s="318"/>
      <c r="CK178" s="318"/>
      <c r="CL178" s="310"/>
      <c r="CM178" s="30"/>
      <c r="CN178" s="318"/>
      <c r="CO178" s="310"/>
      <c r="CP178" s="30"/>
      <c r="CQ178" s="318"/>
      <c r="CR178" s="310"/>
      <c r="CS178" s="30"/>
      <c r="CT178" s="318"/>
      <c r="CU178" s="310"/>
      <c r="CV178" s="30"/>
      <c r="CW178" s="318"/>
      <c r="CX178" s="310"/>
      <c r="CY178" s="30"/>
      <c r="CZ178" s="318"/>
      <c r="DA178" s="310"/>
      <c r="DB178" s="30"/>
      <c r="DC178" s="318"/>
      <c r="DD178" s="310"/>
      <c r="DE178" s="30"/>
      <c r="DF178" s="318"/>
      <c r="DG178" s="310"/>
      <c r="DH178" s="307"/>
      <c r="DI178" s="307"/>
      <c r="DJ178" s="307"/>
      <c r="DK178" s="307"/>
      <c r="DL178" s="307"/>
      <c r="DT178" s="968"/>
    </row>
    <row r="179" spans="1:124">
      <c r="A179" s="30" t="str">
        <f>qtrSales!A208</f>
        <v>1Q</v>
      </c>
      <c r="B179" s="30" t="str">
        <f>qtrSales!B208</f>
        <v>Apr</v>
      </c>
      <c r="C179" s="30"/>
      <c r="D179" s="307"/>
      <c r="E179" s="308"/>
      <c r="F179" s="307"/>
      <c r="G179" s="317"/>
      <c r="H179" s="1021">
        <f>+H176+BC179+BD179</f>
        <v>125</v>
      </c>
      <c r="I179" s="589">
        <f>+(H179/H173-1)*100</f>
        <v>0</v>
      </c>
      <c r="J179" s="1021">
        <f>+J176+BG179+BH179</f>
        <v>1178</v>
      </c>
      <c r="K179" s="589">
        <f>+(J179/J173-1)*100</f>
        <v>0.9425878320479919</v>
      </c>
      <c r="L179" s="325">
        <f>+L176+BK179+BL179</f>
        <v>1697</v>
      </c>
      <c r="M179" s="308">
        <f>+(L179/L173-1)*100</f>
        <v>1.3134328358209046</v>
      </c>
      <c r="N179" s="751" t="e">
        <f>+#REF!+BT179+BU179+BV179</f>
        <v>#REF!</v>
      </c>
      <c r="O179" s="752" t="e">
        <f>+(N179/N175-1)*100</f>
        <v>#REF!</v>
      </c>
      <c r="P179" s="751" t="e">
        <f>+#REF!+BY179+BZ179+CA179</f>
        <v>#REF!</v>
      </c>
      <c r="Q179" s="307"/>
      <c r="R179" s="751" t="e">
        <f>+#REF!+CD179+CF179+CE179</f>
        <v>#REF!</v>
      </c>
      <c r="S179" s="474"/>
      <c r="T179" s="751" t="e">
        <f>+#REF!+CI179+CJ179</f>
        <v>#REF!</v>
      </c>
      <c r="U179" s="755"/>
      <c r="V179" s="309">
        <f>+V176+BO179+BP179</f>
        <v>29</v>
      </c>
      <c r="W179" s="317">
        <f>+(V179/V173-1)*100</f>
        <v>0</v>
      </c>
      <c r="X179" s="309">
        <f>+X176+BQ179-BR179</f>
        <v>51</v>
      </c>
      <c r="Y179" s="317"/>
      <c r="Z179" s="828"/>
      <c r="AA179" s="317"/>
      <c r="AB179" s="307"/>
      <c r="AC179" s="308"/>
      <c r="AD179" s="307"/>
      <c r="AE179" s="308"/>
      <c r="AF179" s="307"/>
      <c r="AG179" s="308"/>
      <c r="AH179" s="307"/>
      <c r="AI179" s="308"/>
      <c r="AJ179" s="307"/>
      <c r="AK179" s="308"/>
      <c r="AL179" s="307"/>
      <c r="AM179" s="308"/>
      <c r="AN179" s="307"/>
      <c r="AO179" s="308"/>
      <c r="AP179" s="317"/>
      <c r="AQ179" s="451">
        <f>H179+J179+L179+V179+X179</f>
        <v>3080</v>
      </c>
      <c r="AR179" s="308"/>
      <c r="AS179" s="308"/>
      <c r="AT179" s="253" t="str">
        <f>+A179</f>
        <v>1Q</v>
      </c>
      <c r="AU179" s="253" t="str">
        <f>+B179</f>
        <v>Apr</v>
      </c>
      <c r="AV179" s="253"/>
      <c r="AW179" s="395"/>
      <c r="AX179" s="1405"/>
      <c r="AY179" s="1405"/>
      <c r="AZ179" s="395"/>
      <c r="BA179" s="1406"/>
      <c r="BB179" s="1405"/>
      <c r="BC179" s="366">
        <v>1</v>
      </c>
      <c r="BD179" s="366">
        <v>-2</v>
      </c>
      <c r="BE179" s="366">
        <v>0</v>
      </c>
      <c r="BF179" s="589"/>
      <c r="BG179" s="366">
        <v>3</v>
      </c>
      <c r="BH179" s="366">
        <v>-2</v>
      </c>
      <c r="BI179" s="366">
        <v>25</v>
      </c>
      <c r="BJ179" s="589"/>
      <c r="BK179" s="366">
        <v>7</v>
      </c>
      <c r="BL179" s="366">
        <v>-3</v>
      </c>
      <c r="BM179" s="366">
        <v>50</v>
      </c>
      <c r="BN179" s="589"/>
      <c r="BO179" s="366">
        <v>0</v>
      </c>
      <c r="BP179" s="366">
        <v>0</v>
      </c>
      <c r="BQ179" s="366">
        <v>2</v>
      </c>
      <c r="BR179" s="366">
        <v>0</v>
      </c>
      <c r="BS179" s="589"/>
      <c r="BT179" s="395"/>
      <c r="BU179" s="395"/>
      <c r="BV179" s="395"/>
      <c r="BW179" s="1406"/>
      <c r="BX179" s="1405"/>
      <c r="BY179" s="395"/>
      <c r="BZ179" s="395"/>
      <c r="CA179" s="395"/>
      <c r="CB179" s="1406"/>
      <c r="CC179" s="1405"/>
      <c r="CD179" s="395"/>
      <c r="CE179" s="395"/>
      <c r="CF179" s="395"/>
      <c r="CG179" s="1406"/>
      <c r="CH179" s="1405"/>
      <c r="CI179" s="395"/>
      <c r="CJ179" s="395"/>
      <c r="CK179" s="1406"/>
      <c r="CL179" s="1405"/>
      <c r="CM179" s="1407"/>
      <c r="CN179" s="1407"/>
      <c r="CO179" s="1405"/>
      <c r="CP179" s="1407"/>
      <c r="CQ179" s="1406"/>
      <c r="CR179" s="1405"/>
      <c r="CS179" s="1407"/>
      <c r="CT179" s="1406"/>
      <c r="CU179" s="1405"/>
      <c r="CV179" s="1407"/>
      <c r="CW179" s="1406"/>
      <c r="CX179" s="1405"/>
      <c r="CY179" s="1407"/>
      <c r="CZ179" s="1406"/>
      <c r="DA179" s="1405"/>
      <c r="DB179" s="1407"/>
      <c r="DC179" s="1406"/>
      <c r="DD179" s="1405"/>
      <c r="DE179" s="1407"/>
      <c r="DF179" s="1406"/>
      <c r="DG179" s="1405"/>
      <c r="DH179" s="1021">
        <f>+BG179+BK179+BO179+BC179+BQ179</f>
        <v>13</v>
      </c>
      <c r="DI179" s="1021">
        <f>+BH179+BL179+BP179+BD179</f>
        <v>-7</v>
      </c>
      <c r="DJ179" s="1413">
        <f>+BI179+BM179+CL179+BE179</f>
        <v>75</v>
      </c>
      <c r="DK179" s="1413"/>
      <c r="DL179" s="1413"/>
      <c r="DM179" s="1413"/>
      <c r="DN179" s="1413"/>
      <c r="DO179" s="1413"/>
      <c r="DP179" s="1413"/>
      <c r="DQ179" s="1413"/>
      <c r="DR179" s="1413"/>
      <c r="DS179" s="1413"/>
      <c r="DT179" s="1414"/>
    </row>
    <row r="180" spans="1:124">
      <c r="A180" s="30" t="str">
        <f>qtrSales!A209</f>
        <v>2Q</v>
      </c>
      <c r="B180" s="30" t="str">
        <f>qtrSales!B209</f>
        <v>Jul</v>
      </c>
      <c r="C180" s="30"/>
      <c r="D180" s="307"/>
      <c r="E180" s="308"/>
      <c r="F180" s="307"/>
      <c r="G180" s="317"/>
      <c r="H180" s="1021">
        <f>+H179+BC180+BD180</f>
        <v>125</v>
      </c>
      <c r="I180" s="589">
        <f>+(H180/H174-1)*100</f>
        <v>0</v>
      </c>
      <c r="J180" s="1021">
        <f>+J179+BG180+BH180</f>
        <v>1174</v>
      </c>
      <c r="K180" s="589">
        <f>+(J180/J174-1)*100</f>
        <v>0.42771599657827064</v>
      </c>
      <c r="L180" s="325">
        <f>+L179+BK180+BL180</f>
        <v>1698</v>
      </c>
      <c r="M180" s="308">
        <f>+(L180/L174-1)*100</f>
        <v>0.7715133531157381</v>
      </c>
      <c r="N180" s="751" t="e">
        <f>+N179+BT180+BU180+BV180</f>
        <v>#REF!</v>
      </c>
      <c r="O180" s="752" t="e">
        <f>+(N180/N176-1)*100</f>
        <v>#REF!</v>
      </c>
      <c r="P180" s="751" t="e">
        <f>+P179+BY180+BZ180+CA180</f>
        <v>#REF!</v>
      </c>
      <c r="Q180" s="751"/>
      <c r="R180" s="751" t="e">
        <f>+R179+CD180+CF180+CE180</f>
        <v>#REF!</v>
      </c>
      <c r="S180" s="752"/>
      <c r="T180" s="751" t="e">
        <f>+T179+CI180+CJ180</f>
        <v>#REF!</v>
      </c>
      <c r="U180" s="755"/>
      <c r="V180" s="309">
        <f>+V179+BO180-BP180</f>
        <v>29</v>
      </c>
      <c r="W180" s="317">
        <f>+(V180/V174-1)*100</f>
        <v>0</v>
      </c>
      <c r="X180" s="309">
        <f>+X179+BQ180+BR180</f>
        <v>51</v>
      </c>
      <c r="Y180" s="317"/>
      <c r="Z180" s="828"/>
      <c r="AA180" s="317"/>
      <c r="AB180" s="307"/>
      <c r="AC180" s="308"/>
      <c r="AD180" s="307"/>
      <c r="AE180" s="308"/>
      <c r="AF180" s="307"/>
      <c r="AG180" s="308"/>
      <c r="AH180" s="307"/>
      <c r="AI180" s="308"/>
      <c r="AJ180" s="307"/>
      <c r="AK180" s="308"/>
      <c r="AL180" s="307"/>
      <c r="AM180" s="308"/>
      <c r="AN180" s="307"/>
      <c r="AO180" s="308"/>
      <c r="AP180" s="530"/>
      <c r="AQ180" s="451">
        <f>H180+J180+L180+V180+X180</f>
        <v>3077</v>
      </c>
      <c r="AR180" s="308"/>
      <c r="AS180" s="308"/>
      <c r="AT180" s="253" t="str">
        <f>+A180</f>
        <v>2Q</v>
      </c>
      <c r="AU180" s="253" t="str">
        <f>+B180</f>
        <v>Jul</v>
      </c>
      <c r="AV180" s="253"/>
      <c r="AW180" s="395"/>
      <c r="AX180" s="1405"/>
      <c r="AY180" s="1405"/>
      <c r="AZ180" s="395"/>
      <c r="BA180" s="1406"/>
      <c r="BB180" s="1405"/>
      <c r="BC180" s="366">
        <v>0</v>
      </c>
      <c r="BD180" s="366">
        <v>0</v>
      </c>
      <c r="BE180" s="366">
        <v>1</v>
      </c>
      <c r="BF180" s="589"/>
      <c r="BG180" s="366">
        <v>3</v>
      </c>
      <c r="BH180" s="366">
        <v>-7</v>
      </c>
      <c r="BI180" s="366">
        <v>25</v>
      </c>
      <c r="BJ180" s="589"/>
      <c r="BK180" s="366">
        <v>10</v>
      </c>
      <c r="BL180" s="366">
        <v>-9</v>
      </c>
      <c r="BM180" s="366">
        <v>60</v>
      </c>
      <c r="BN180" s="589"/>
      <c r="BO180" s="366">
        <v>0</v>
      </c>
      <c r="BP180" s="366">
        <v>0</v>
      </c>
      <c r="BQ180" s="366">
        <v>1</v>
      </c>
      <c r="BR180" s="366">
        <v>-1</v>
      </c>
      <c r="BS180" s="589"/>
      <c r="BT180" s="395"/>
      <c r="BU180" s="395"/>
      <c r="BV180" s="395"/>
      <c r="BW180" s="1406"/>
      <c r="BX180" s="1405"/>
      <c r="BY180" s="395"/>
      <c r="BZ180" s="395"/>
      <c r="CA180" s="395"/>
      <c r="CB180" s="1406"/>
      <c r="CC180" s="1405"/>
      <c r="CD180" s="395"/>
      <c r="CE180" s="395"/>
      <c r="CF180" s="395"/>
      <c r="CG180" s="1406"/>
      <c r="CH180" s="1405"/>
      <c r="CI180" s="395"/>
      <c r="CJ180" s="395"/>
      <c r="CK180" s="1406"/>
      <c r="CL180" s="1405"/>
      <c r="CM180" s="1407"/>
      <c r="CN180" s="1407"/>
      <c r="CO180" s="1405"/>
      <c r="CP180" s="1407"/>
      <c r="CQ180" s="1406"/>
      <c r="CR180" s="1405"/>
      <c r="CS180" s="1407"/>
      <c r="CT180" s="1406"/>
      <c r="CU180" s="1405"/>
      <c r="CV180" s="1407"/>
      <c r="CW180" s="1406"/>
      <c r="CX180" s="1405"/>
      <c r="CY180" s="1407"/>
      <c r="CZ180" s="1406"/>
      <c r="DA180" s="1405"/>
      <c r="DB180" s="1407"/>
      <c r="DC180" s="1406"/>
      <c r="DD180" s="1405"/>
      <c r="DE180" s="1407"/>
      <c r="DF180" s="1406"/>
      <c r="DG180" s="1405"/>
      <c r="DH180" s="1021">
        <f t="shared" ref="DH180:DH182" si="23">+BG180+BK180+BO180+BC180+BQ180</f>
        <v>14</v>
      </c>
      <c r="DI180" s="1021">
        <f>+BH180+BL180+BP180+BD180</f>
        <v>-16</v>
      </c>
      <c r="DJ180" s="1413">
        <f>+BI180+BM180+CL180+BE180</f>
        <v>86</v>
      </c>
      <c r="DK180" s="1413"/>
      <c r="DL180" s="1413"/>
      <c r="DM180" s="1413"/>
      <c r="DN180" s="1413"/>
      <c r="DO180" s="1413"/>
      <c r="DP180" s="1413"/>
      <c r="DQ180" s="1413"/>
      <c r="DR180" s="1413"/>
      <c r="DS180" s="1413"/>
      <c r="DT180" s="1415"/>
    </row>
    <row r="181" spans="1:124">
      <c r="A181" s="30" t="str">
        <f>qtrSales!A210</f>
        <v>3Q</v>
      </c>
      <c r="B181" s="30" t="str">
        <f>qtrSales!B210</f>
        <v>Oct</v>
      </c>
      <c r="C181" s="30"/>
      <c r="D181" s="307"/>
      <c r="E181" s="308"/>
      <c r="F181" s="307"/>
      <c r="G181" s="317"/>
      <c r="H181" s="1096">
        <f>+H180+BC181+BD181</f>
        <v>126</v>
      </c>
      <c r="I181" s="589">
        <f>+(H181/H175-1)*100</f>
        <v>-1.5625</v>
      </c>
      <c r="J181" s="1021">
        <f>+J180+BG181+BH181</f>
        <v>1178</v>
      </c>
      <c r="K181" s="589">
        <f>+(J181/J175-1)*100</f>
        <v>0.17006802721089009</v>
      </c>
      <c r="L181" s="325">
        <f>+L180+BK181+BL181</f>
        <v>1704</v>
      </c>
      <c r="M181" s="308">
        <f>+(L181/L175-1)*100</f>
        <v>0.59031877213695516</v>
      </c>
      <c r="N181" s="751" t="e">
        <f>+N180+BT181+BU181+BV181</f>
        <v>#REF!</v>
      </c>
      <c r="O181" s="752" t="e">
        <f>+(N181/#REF!-1)*100</f>
        <v>#REF!</v>
      </c>
      <c r="P181" s="751" t="e">
        <f>+P180+BY181+BZ181+CA181</f>
        <v>#REF!</v>
      </c>
      <c r="Q181" s="751"/>
      <c r="R181" s="751" t="e">
        <f>+R180+CD181+CF181+CE181</f>
        <v>#REF!</v>
      </c>
      <c r="S181" s="752"/>
      <c r="T181" s="751" t="e">
        <f>+T180+CI181+CJ181</f>
        <v>#REF!</v>
      </c>
      <c r="U181" s="755"/>
      <c r="V181" s="309">
        <f>+V180+BO181-BP181</f>
        <v>28</v>
      </c>
      <c r="W181" s="317">
        <f>+(V181/V175-1)*100</f>
        <v>-3.4482758620689613</v>
      </c>
      <c r="X181" s="309">
        <f>+X180+BQ181+BR181</f>
        <v>51</v>
      </c>
      <c r="Y181" s="317"/>
      <c r="Z181" s="828"/>
      <c r="AA181" s="317"/>
      <c r="AB181" s="307"/>
      <c r="AC181" s="308"/>
      <c r="AD181" s="307"/>
      <c r="AE181" s="308"/>
      <c r="AF181" s="307"/>
      <c r="AG181" s="308"/>
      <c r="AH181" s="307"/>
      <c r="AI181" s="308"/>
      <c r="AJ181" s="307"/>
      <c r="AK181" s="308"/>
      <c r="AL181" s="307"/>
      <c r="AM181" s="308"/>
      <c r="AN181" s="307"/>
      <c r="AO181" s="308"/>
      <c r="AP181" s="30"/>
      <c r="AQ181" s="451">
        <f>H181+J181+L181+V181+X181</f>
        <v>3087</v>
      </c>
      <c r="AR181" s="308"/>
      <c r="AS181" s="308"/>
      <c r="AT181" s="253" t="str">
        <f>+A181</f>
        <v>3Q</v>
      </c>
      <c r="AU181" s="253" t="str">
        <f>+B181</f>
        <v>Oct</v>
      </c>
      <c r="AV181" s="253"/>
      <c r="AW181" s="395"/>
      <c r="AX181" s="1405"/>
      <c r="AY181" s="1405"/>
      <c r="AZ181" s="395"/>
      <c r="BA181" s="1406"/>
      <c r="BB181" s="1405"/>
      <c r="BC181" s="366">
        <v>1</v>
      </c>
      <c r="BD181" s="366">
        <v>0</v>
      </c>
      <c r="BE181" s="366">
        <v>1</v>
      </c>
      <c r="BF181" s="589"/>
      <c r="BG181" s="366">
        <v>6</v>
      </c>
      <c r="BH181" s="366">
        <v>-2</v>
      </c>
      <c r="BI181" s="366">
        <v>28</v>
      </c>
      <c r="BJ181" s="589"/>
      <c r="BK181" s="366">
        <v>8</v>
      </c>
      <c r="BL181" s="366">
        <v>-2</v>
      </c>
      <c r="BM181" s="366">
        <v>47</v>
      </c>
      <c r="BN181" s="589"/>
      <c r="BO181" s="366">
        <v>-1</v>
      </c>
      <c r="BP181" s="366">
        <v>0</v>
      </c>
      <c r="BQ181" s="366">
        <v>2</v>
      </c>
      <c r="BR181" s="366">
        <v>-2</v>
      </c>
      <c r="BS181" s="589"/>
      <c r="BT181" s="395"/>
      <c r="BU181" s="395"/>
      <c r="BV181" s="395"/>
      <c r="BW181" s="1406"/>
      <c r="BX181" s="1405"/>
      <c r="BY181" s="395"/>
      <c r="BZ181" s="395"/>
      <c r="CA181" s="395"/>
      <c r="CB181" s="1406"/>
      <c r="CC181" s="1405"/>
      <c r="CD181" s="395"/>
      <c r="CE181" s="395"/>
      <c r="CF181" s="395"/>
      <c r="CG181" s="1406"/>
      <c r="CH181" s="1405"/>
      <c r="CI181" s="395"/>
      <c r="CJ181" s="395"/>
      <c r="CK181" s="1406"/>
      <c r="CL181" s="1405"/>
      <c r="CM181" s="1407"/>
      <c r="CN181" s="1407"/>
      <c r="CO181" s="1405"/>
      <c r="CP181" s="1407"/>
      <c r="CQ181" s="1406"/>
      <c r="CR181" s="1405"/>
      <c r="CS181" s="1407"/>
      <c r="CT181" s="1406"/>
      <c r="CU181" s="1405"/>
      <c r="CV181" s="1407"/>
      <c r="CW181" s="1406"/>
      <c r="CX181" s="1405"/>
      <c r="CY181" s="1407"/>
      <c r="CZ181" s="1406"/>
      <c r="DA181" s="1405"/>
      <c r="DB181" s="1407"/>
      <c r="DC181" s="1406"/>
      <c r="DD181" s="1405"/>
      <c r="DE181" s="1407"/>
      <c r="DF181" s="1406"/>
      <c r="DG181" s="1405"/>
      <c r="DH181" s="1021">
        <f t="shared" si="23"/>
        <v>16</v>
      </c>
      <c r="DI181" s="1021">
        <f>+BH181+BL181+BP181+BD181</f>
        <v>-4</v>
      </c>
      <c r="DJ181" s="1413">
        <f>+BI181+BM181+CL181+BE181</f>
        <v>76</v>
      </c>
      <c r="DK181" s="1413"/>
      <c r="DL181" s="1413"/>
      <c r="DM181" s="1413"/>
      <c r="DN181" s="1413"/>
      <c r="DO181" s="1413"/>
      <c r="DP181" s="1413"/>
      <c r="DQ181" s="1413"/>
      <c r="DR181" s="1413"/>
      <c r="DS181" s="1413"/>
      <c r="DT181" s="1415"/>
    </row>
    <row r="182" spans="1:124">
      <c r="A182" s="30" t="str">
        <f>qtrSales!A211</f>
        <v>4Q</v>
      </c>
      <c r="B182" s="30" t="str">
        <f>qtrSales!B211</f>
        <v>Jan</v>
      </c>
      <c r="C182" s="339"/>
      <c r="D182" s="307"/>
      <c r="E182" s="308"/>
      <c r="F182" s="307"/>
      <c r="G182" s="317"/>
      <c r="H182" s="309">
        <f>+H181+BC182+BD182</f>
        <v>124</v>
      </c>
      <c r="I182" s="589">
        <f>+(H182/H176-1)*100</f>
        <v>-1.5873015873015928</v>
      </c>
      <c r="J182" s="1021">
        <f>+J181+BG182+BH182</f>
        <v>1170</v>
      </c>
      <c r="K182" s="589">
        <f>+(J182/J176-1)*100</f>
        <v>-0.59473237043330407</v>
      </c>
      <c r="L182" s="325">
        <f>+L181+BK182+BL182</f>
        <v>1694</v>
      </c>
      <c r="M182" s="308">
        <f>+(L182/L176-1)*100</f>
        <v>5.9066745422331479E-2</v>
      </c>
      <c r="N182" s="751" t="e">
        <f>+N181+BT182+BU182+BV182</f>
        <v>#REF!</v>
      </c>
      <c r="O182" s="752"/>
      <c r="P182" s="751" t="e">
        <f>+P181+BY182+BZ182+CA182</f>
        <v>#REF!</v>
      </c>
      <c r="Q182" s="751"/>
      <c r="R182" s="751" t="e">
        <f>+R181+CD182+CF182+CE182</f>
        <v>#REF!</v>
      </c>
      <c r="S182" s="752"/>
      <c r="T182" s="751" t="e">
        <f>+T181+CI182+CJ182</f>
        <v>#REF!</v>
      </c>
      <c r="U182" s="755"/>
      <c r="V182" s="309">
        <f>+V181+BO182-BP182</f>
        <v>27</v>
      </c>
      <c r="W182" s="317">
        <f>+(V182/V175-1)*100</f>
        <v>-6.8965517241379342</v>
      </c>
      <c r="X182" s="309">
        <f>+X181+BQ182+BR182</f>
        <v>60</v>
      </c>
      <c r="Y182" s="317"/>
      <c r="Z182" s="828"/>
      <c r="AA182" s="317"/>
      <c r="AB182" s="307"/>
      <c r="AC182" s="308"/>
      <c r="AD182" s="307"/>
      <c r="AE182" s="308"/>
      <c r="AF182" s="307"/>
      <c r="AG182" s="308"/>
      <c r="AH182" s="307"/>
      <c r="AI182" s="308"/>
      <c r="AJ182" s="307"/>
      <c r="AK182" s="308"/>
      <c r="AL182" s="307"/>
      <c r="AM182" s="308"/>
      <c r="AN182" s="307"/>
      <c r="AO182" s="308"/>
      <c r="AP182" s="317"/>
      <c r="AQ182" s="451">
        <f>H182+J182+L182+V182+X182</f>
        <v>3075</v>
      </c>
      <c r="AR182" s="308"/>
      <c r="AS182" s="308"/>
      <c r="AT182" s="253" t="str">
        <f>+A182</f>
        <v>4Q</v>
      </c>
      <c r="AU182" s="253" t="str">
        <f>+B182</f>
        <v>Jan</v>
      </c>
      <c r="AV182" s="253"/>
      <c r="AW182" s="1408"/>
      <c r="AX182" s="1408"/>
      <c r="AY182" s="1405"/>
      <c r="AZ182" s="1408"/>
      <c r="BA182" s="1408"/>
      <c r="BB182" s="1405"/>
      <c r="BC182" s="418">
        <v>0</v>
      </c>
      <c r="BD182" s="418">
        <v>-2</v>
      </c>
      <c r="BE182" s="418">
        <v>0</v>
      </c>
      <c r="BF182" s="589"/>
      <c r="BG182" s="418">
        <v>3</v>
      </c>
      <c r="BH182" s="418">
        <v>-11</v>
      </c>
      <c r="BI182" s="418">
        <v>0</v>
      </c>
      <c r="BJ182" s="589"/>
      <c r="BK182" s="418">
        <v>7</v>
      </c>
      <c r="BL182" s="418">
        <v>-17</v>
      </c>
      <c r="BM182" s="418">
        <v>0</v>
      </c>
      <c r="BN182" s="589"/>
      <c r="BO182" s="418">
        <v>-1</v>
      </c>
      <c r="BP182" s="418">
        <v>0</v>
      </c>
      <c r="BQ182" s="366">
        <v>12</v>
      </c>
      <c r="BR182" s="366">
        <v>-3</v>
      </c>
      <c r="BS182" s="589"/>
      <c r="BT182" s="1408"/>
      <c r="BU182" s="1408"/>
      <c r="BV182" s="1408"/>
      <c r="BW182" s="1408"/>
      <c r="BX182" s="1405"/>
      <c r="BY182" s="1408"/>
      <c r="BZ182" s="1408"/>
      <c r="CA182" s="1408"/>
      <c r="CB182" s="1408"/>
      <c r="CC182" s="1405"/>
      <c r="CD182" s="1408"/>
      <c r="CE182" s="1408"/>
      <c r="CF182" s="1408"/>
      <c r="CG182" s="1408"/>
      <c r="CH182" s="1405"/>
      <c r="CI182" s="1408"/>
      <c r="CJ182" s="1408"/>
      <c r="CK182" s="1408"/>
      <c r="CL182" s="1405"/>
      <c r="CM182" s="1408"/>
      <c r="CN182" s="1408"/>
      <c r="CO182" s="1405"/>
      <c r="CP182" s="1408"/>
      <c r="CQ182" s="1408"/>
      <c r="CR182" s="1405"/>
      <c r="CS182" s="1408"/>
      <c r="CT182" s="1408"/>
      <c r="CU182" s="1405"/>
      <c r="CV182" s="1408"/>
      <c r="CW182" s="1408"/>
      <c r="CX182" s="1405"/>
      <c r="CY182" s="1408"/>
      <c r="CZ182" s="1408"/>
      <c r="DA182" s="1405"/>
      <c r="DB182" s="1408"/>
      <c r="DC182" s="1408"/>
      <c r="DD182" s="1405"/>
      <c r="DE182" s="1408"/>
      <c r="DF182" s="1408"/>
      <c r="DG182" s="1405"/>
      <c r="DH182" s="1021">
        <f t="shared" si="23"/>
        <v>21</v>
      </c>
      <c r="DI182" s="2799">
        <f>+BH182+BL182+BP182+BD182</f>
        <v>-30</v>
      </c>
      <c r="DJ182" s="2799">
        <f>+BI182+BM182+CL182+BE182</f>
        <v>0</v>
      </c>
      <c r="DL182" s="1413"/>
    </row>
    <row r="183" spans="1:124">
      <c r="C183" s="24"/>
      <c r="D183" s="24"/>
      <c r="E183" s="24"/>
      <c r="F183" s="24"/>
      <c r="G183" s="305"/>
      <c r="H183" s="305"/>
      <c r="I183" s="305"/>
      <c r="J183" s="24"/>
      <c r="K183" s="305"/>
      <c r="L183" s="266"/>
      <c r="M183" s="24"/>
      <c r="N183" s="387"/>
      <c r="O183" s="24"/>
      <c r="P183" s="24"/>
      <c r="Q183" s="24"/>
      <c r="R183" s="24"/>
      <c r="S183" s="24"/>
      <c r="T183" s="387"/>
      <c r="U183" s="24"/>
      <c r="V183" s="24"/>
      <c r="W183" s="305"/>
      <c r="X183" s="305"/>
      <c r="Y183" s="305"/>
      <c r="Z183" s="387"/>
      <c r="AA183" s="305"/>
      <c r="AB183" s="24"/>
      <c r="AC183" s="24"/>
      <c r="AD183" s="24"/>
      <c r="AE183" s="24"/>
      <c r="AF183" s="30"/>
      <c r="AG183" s="30"/>
      <c r="AH183" s="30"/>
      <c r="AI183" s="30"/>
      <c r="AJ183" s="30"/>
      <c r="AK183" s="30"/>
      <c r="AL183" s="30"/>
      <c r="AM183" s="30"/>
      <c r="AN183" s="30"/>
      <c r="AO183" s="30"/>
      <c r="AP183" s="24"/>
      <c r="AQ183" s="2815"/>
      <c r="AR183" s="30"/>
      <c r="AS183" s="30"/>
      <c r="AT183" s="168"/>
      <c r="AU183" s="168"/>
      <c r="AV183" s="168"/>
      <c r="AW183" s="1404"/>
      <c r="AX183" s="1404"/>
      <c r="AY183" s="1404"/>
      <c r="AZ183" s="1404"/>
      <c r="BA183" s="1410"/>
      <c r="BB183" s="1404"/>
      <c r="BC183" s="1096">
        <f>SUM(BC179:BC182)</f>
        <v>2</v>
      </c>
      <c r="BD183" s="1096">
        <f>SUM(BD179:BD182)</f>
        <v>-4</v>
      </c>
      <c r="BE183" s="1096">
        <f>SUM(BE179:BE182)</f>
        <v>2</v>
      </c>
      <c r="BF183" s="168"/>
      <c r="BG183" s="1096">
        <f>SUM(BG179:BG182)</f>
        <v>15</v>
      </c>
      <c r="BH183" s="1096">
        <f>SUM(BH179:BH182)</f>
        <v>-22</v>
      </c>
      <c r="BI183" s="1096">
        <f>SUM(BI179:BI182)</f>
        <v>78</v>
      </c>
      <c r="BJ183" s="168"/>
      <c r="BK183" s="1096">
        <f>SUM(BK179:BK182)</f>
        <v>32</v>
      </c>
      <c r="BL183" s="1096">
        <f>SUM(BL179:BL182)</f>
        <v>-31</v>
      </c>
      <c r="BM183" s="1096">
        <f>SUM(BM179:BM182)</f>
        <v>157</v>
      </c>
      <c r="BN183" s="168"/>
      <c r="BO183" s="1096">
        <f>SUM(BO179:BO182)</f>
        <v>-2</v>
      </c>
      <c r="BP183" s="1096">
        <f>SUM(BP179:BP182)</f>
        <v>0</v>
      </c>
      <c r="BQ183" s="1096">
        <f>SUM(BQ179:BQ182)</f>
        <v>17</v>
      </c>
      <c r="BR183" s="1096">
        <f>SUM(BR179:BR182)</f>
        <v>-6</v>
      </c>
      <c r="BS183" s="168"/>
      <c r="BT183" s="1411"/>
      <c r="BU183" s="1411"/>
      <c r="BV183" s="1411"/>
      <c r="BW183" s="1409"/>
      <c r="BX183" s="1409"/>
      <c r="BY183" s="1411"/>
      <c r="BZ183" s="1411"/>
      <c r="CA183" s="1411"/>
      <c r="CB183" s="1409"/>
      <c r="CC183" s="1409"/>
      <c r="CD183" s="1411"/>
      <c r="CE183" s="1411"/>
      <c r="CF183" s="1411"/>
      <c r="CG183" s="1409"/>
      <c r="CH183" s="1409"/>
      <c r="CI183" s="1411"/>
      <c r="CJ183" s="1411"/>
      <c r="CK183" s="1411"/>
      <c r="CL183" s="1411"/>
      <c r="CM183" s="1411"/>
      <c r="CN183" s="1411"/>
      <c r="CO183" s="1411"/>
      <c r="CP183" s="1409"/>
      <c r="CQ183" s="1409"/>
      <c r="CR183" s="1409"/>
      <c r="CS183" s="1409"/>
      <c r="CT183" s="1409"/>
      <c r="CU183" s="1409"/>
      <c r="CV183" s="1409"/>
      <c r="CW183" s="1409"/>
      <c r="CX183" s="1409"/>
      <c r="CY183" s="1409"/>
      <c r="CZ183" s="1409"/>
      <c r="DA183" s="1409"/>
      <c r="DB183" s="1409"/>
      <c r="DC183" s="1409"/>
      <c r="DD183" s="1409"/>
      <c r="DE183" s="1409"/>
      <c r="DF183" s="1409"/>
      <c r="DG183" s="1409"/>
      <c r="DH183" s="442">
        <f>SUM(DH173:DH176)</f>
        <v>65</v>
      </c>
      <c r="DI183" s="2799">
        <f>SUM(DI173:DI176)</f>
        <v>-28</v>
      </c>
      <c r="DJ183" s="2799">
        <f>SUM(DJ173:DJ176)</f>
        <v>235</v>
      </c>
      <c r="DL183" s="253"/>
      <c r="DM183" s="966"/>
      <c r="DN183" s="966"/>
      <c r="DO183" s="966"/>
      <c r="DP183" s="966"/>
      <c r="DQ183" s="966"/>
      <c r="DR183" s="966"/>
      <c r="DS183" s="966"/>
    </row>
    <row r="184" spans="1:124" s="2702" customFormat="1">
      <c r="A184" s="301"/>
      <c r="B184" s="1064" t="s">
        <v>299</v>
      </c>
      <c r="C184" s="30"/>
      <c r="D184" s="30"/>
      <c r="E184" s="310"/>
      <c r="F184" s="30"/>
      <c r="G184" s="318"/>
      <c r="H184" s="318"/>
      <c r="I184" s="931"/>
      <c r="J184" s="936"/>
      <c r="K184" s="319"/>
      <c r="L184" s="429"/>
      <c r="M184" s="310"/>
      <c r="N184" s="309"/>
      <c r="O184" s="310"/>
      <c r="P184" s="309"/>
      <c r="Q184" s="30"/>
      <c r="R184" s="30"/>
      <c r="S184" s="429"/>
      <c r="T184" s="429"/>
      <c r="U184" s="310"/>
      <c r="V184" s="325"/>
      <c r="W184" s="318"/>
      <c r="X184" s="318"/>
      <c r="Y184" s="318"/>
      <c r="Z184" s="830"/>
      <c r="AA184" s="318"/>
      <c r="AB184" s="30"/>
      <c r="AC184" s="310"/>
      <c r="AD184" s="30"/>
      <c r="AE184" s="310"/>
      <c r="AF184" s="30"/>
      <c r="AG184" s="310"/>
      <c r="AH184" s="30"/>
      <c r="AI184" s="310"/>
      <c r="AJ184" s="30"/>
      <c r="AK184" s="310"/>
      <c r="AL184" s="30"/>
      <c r="AM184" s="310"/>
      <c r="AN184" s="30"/>
      <c r="AO184" s="310"/>
      <c r="AP184" s="30"/>
      <c r="AQ184" s="451"/>
      <c r="AR184" s="310"/>
      <c r="AS184" s="310"/>
      <c r="AT184" s="424"/>
      <c r="AU184" s="201" t="str">
        <f>+B184</f>
        <v>2018E</v>
      </c>
      <c r="AV184" s="253"/>
      <c r="AW184" s="30"/>
      <c r="AX184" s="310"/>
      <c r="AY184" s="310"/>
      <c r="AZ184" s="30"/>
      <c r="BA184" s="318"/>
      <c r="BB184" s="310"/>
      <c r="BC184" s="318"/>
      <c r="BD184" s="318"/>
      <c r="BE184" s="318"/>
      <c r="BF184" s="310"/>
      <c r="BG184" s="309"/>
      <c r="BH184" s="318"/>
      <c r="BI184" s="318"/>
      <c r="BJ184" s="310"/>
      <c r="BK184" s="30"/>
      <c r="BL184" s="318"/>
      <c r="BM184" s="318"/>
      <c r="BN184" s="310"/>
      <c r="BO184" s="30"/>
      <c r="BP184" s="318"/>
      <c r="BQ184" s="318"/>
      <c r="BR184" s="318"/>
      <c r="BS184" s="310"/>
      <c r="BT184" s="30"/>
      <c r="BU184" s="318"/>
      <c r="BV184" s="318"/>
      <c r="BW184" s="318"/>
      <c r="BX184" s="310"/>
      <c r="BY184" s="30"/>
      <c r="BZ184" s="318"/>
      <c r="CA184" s="318"/>
      <c r="CB184" s="318"/>
      <c r="CC184" s="310"/>
      <c r="CD184" s="309"/>
      <c r="CE184" s="318"/>
      <c r="CF184" s="318"/>
      <c r="CG184" s="318"/>
      <c r="CH184" s="310"/>
      <c r="CI184" s="30"/>
      <c r="CJ184" s="318"/>
      <c r="CK184" s="318"/>
      <c r="CL184" s="310"/>
      <c r="CM184" s="30"/>
      <c r="CN184" s="318"/>
      <c r="CO184" s="310"/>
      <c r="CP184" s="30"/>
      <c r="CQ184" s="318"/>
      <c r="CR184" s="310"/>
      <c r="CS184" s="30"/>
      <c r="CT184" s="318"/>
      <c r="CU184" s="310"/>
      <c r="CV184" s="30"/>
      <c r="CW184" s="318"/>
      <c r="CX184" s="310"/>
      <c r="CY184" s="30"/>
      <c r="CZ184" s="318"/>
      <c r="DA184" s="310"/>
      <c r="DB184" s="30"/>
      <c r="DC184" s="318"/>
      <c r="DD184" s="310"/>
      <c r="DE184" s="30"/>
      <c r="DF184" s="318"/>
      <c r="DG184" s="310"/>
      <c r="DH184" s="307"/>
      <c r="DI184" s="307"/>
      <c r="DJ184" s="307"/>
      <c r="DK184" s="307"/>
      <c r="DL184" s="307"/>
      <c r="DT184" s="968"/>
    </row>
    <row r="185" spans="1:124" s="2702" customFormat="1">
      <c r="A185" s="253" t="str">
        <f>qtrSales!A215</f>
        <v>1Q</v>
      </c>
      <c r="B185" s="253" t="str">
        <f>qtrSales!B215</f>
        <v>Apr</v>
      </c>
      <c r="C185" s="30"/>
      <c r="D185" s="307"/>
      <c r="E185" s="308"/>
      <c r="F185" s="307"/>
      <c r="G185" s="317"/>
      <c r="H185" s="1021">
        <f>+H182+BC185+BD185</f>
        <v>126</v>
      </c>
      <c r="I185" s="589">
        <f>+(H185/H179-1)*100</f>
        <v>0.80000000000000071</v>
      </c>
      <c r="J185" s="1021">
        <f>+J182+BG185+BH185</f>
        <v>1170</v>
      </c>
      <c r="K185" s="589">
        <f>+(J185/J179-1)*100</f>
        <v>-0.67911714770797493</v>
      </c>
      <c r="L185" s="325">
        <f>+L182+BK185+BL185</f>
        <v>1706</v>
      </c>
      <c r="M185" s="308">
        <f>+(L185/L179-1)*100</f>
        <v>0.53034767236299629</v>
      </c>
      <c r="N185" s="751" t="e">
        <f>+#REF!+BT185+BU185+BV185</f>
        <v>#REF!</v>
      </c>
      <c r="O185" s="752" t="e">
        <f>+(N185/N181-1)*100</f>
        <v>#REF!</v>
      </c>
      <c r="P185" s="751" t="e">
        <f>+#REF!+BY185+BZ185+CA185</f>
        <v>#REF!</v>
      </c>
      <c r="Q185" s="307"/>
      <c r="R185" s="751" t="e">
        <f>+#REF!+CD185+CF185+CE185</f>
        <v>#REF!</v>
      </c>
      <c r="S185" s="474"/>
      <c r="T185" s="751" t="e">
        <f>+#REF!+CI185+CJ185</f>
        <v>#REF!</v>
      </c>
      <c r="U185" s="755"/>
      <c r="V185" s="309">
        <f>+V182+BO185+BP185</f>
        <v>26</v>
      </c>
      <c r="W185" s="317">
        <f>+(V185/V179-1)*100</f>
        <v>-10.344827586206895</v>
      </c>
      <c r="X185" s="309">
        <f>+X182+BQ185-BR185</f>
        <v>65</v>
      </c>
      <c r="Y185" s="317"/>
      <c r="Z185" s="828"/>
      <c r="AA185" s="317"/>
      <c r="AB185" s="307"/>
      <c r="AC185" s="308"/>
      <c r="AD185" s="307"/>
      <c r="AE185" s="308"/>
      <c r="AF185" s="307"/>
      <c r="AG185" s="308"/>
      <c r="AH185" s="307"/>
      <c r="AI185" s="308"/>
      <c r="AJ185" s="307"/>
      <c r="AK185" s="308"/>
      <c r="AL185" s="307"/>
      <c r="AM185" s="308"/>
      <c r="AN185" s="307"/>
      <c r="AO185" s="308"/>
      <c r="AP185" s="317"/>
      <c r="AQ185" s="451">
        <f>H185+J185+L185+V185+X185</f>
        <v>3093</v>
      </c>
      <c r="AR185" s="308"/>
      <c r="AS185" s="308"/>
      <c r="AT185" s="253" t="str">
        <f>+A185</f>
        <v>1Q</v>
      </c>
      <c r="AU185" s="253" t="str">
        <f>+B185</f>
        <v>Apr</v>
      </c>
      <c r="AV185" s="253"/>
      <c r="AW185" s="395"/>
      <c r="AX185" s="1405"/>
      <c r="AY185" s="1405"/>
      <c r="AZ185" s="395"/>
      <c r="BA185" s="1406"/>
      <c r="BB185" s="1405"/>
      <c r="BC185" s="366">
        <v>2</v>
      </c>
      <c r="BD185" s="366">
        <v>0</v>
      </c>
      <c r="BE185" s="366">
        <v>0</v>
      </c>
      <c r="BF185" s="589"/>
      <c r="BG185" s="366">
        <v>2</v>
      </c>
      <c r="BH185" s="366">
        <v>-2</v>
      </c>
      <c r="BI185" s="366">
        <v>25</v>
      </c>
      <c r="BJ185" s="589"/>
      <c r="BK185" s="366">
        <v>15</v>
      </c>
      <c r="BL185" s="366">
        <v>-3</v>
      </c>
      <c r="BM185" s="366">
        <v>50</v>
      </c>
      <c r="BN185" s="589"/>
      <c r="BO185" s="366">
        <v>-1</v>
      </c>
      <c r="BP185" s="366">
        <v>0</v>
      </c>
      <c r="BQ185" s="366">
        <v>5</v>
      </c>
      <c r="BR185" s="366">
        <v>0</v>
      </c>
      <c r="BS185" s="589"/>
      <c r="BT185" s="395"/>
      <c r="BU185" s="395"/>
      <c r="BV185" s="395"/>
      <c r="BW185" s="1406"/>
      <c r="BX185" s="1405"/>
      <c r="BY185" s="395"/>
      <c r="BZ185" s="395"/>
      <c r="CA185" s="395"/>
      <c r="CB185" s="1406"/>
      <c r="CC185" s="1405"/>
      <c r="CD185" s="395"/>
      <c r="CE185" s="395"/>
      <c r="CF185" s="395"/>
      <c r="CG185" s="1406"/>
      <c r="CH185" s="1405"/>
      <c r="CI185" s="395"/>
      <c r="CJ185" s="395"/>
      <c r="CK185" s="1406"/>
      <c r="CL185" s="1405"/>
      <c r="CM185" s="1407"/>
      <c r="CN185" s="1407"/>
      <c r="CO185" s="1405"/>
      <c r="CP185" s="1407"/>
      <c r="CQ185" s="1406"/>
      <c r="CR185" s="1405"/>
      <c r="CS185" s="1407"/>
      <c r="CT185" s="1406"/>
      <c r="CU185" s="1405"/>
      <c r="CV185" s="1407"/>
      <c r="CW185" s="1406"/>
      <c r="CX185" s="1405"/>
      <c r="CY185" s="1407"/>
      <c r="CZ185" s="1406"/>
      <c r="DA185" s="1405"/>
      <c r="DB185" s="1407"/>
      <c r="DC185" s="1406"/>
      <c r="DD185" s="1405"/>
      <c r="DE185" s="1407"/>
      <c r="DF185" s="1406"/>
      <c r="DG185" s="1405"/>
      <c r="DH185" s="1021">
        <f>+BG185+BK185+BO185+BC185+BQ185</f>
        <v>23</v>
      </c>
      <c r="DI185" s="1021">
        <f>+BH185+BL185+BP185+BD185</f>
        <v>-5</v>
      </c>
      <c r="DJ185" s="1413">
        <f>+BI185+BM185+CL185+BE185</f>
        <v>75</v>
      </c>
      <c r="DK185" s="1413"/>
      <c r="DL185" s="1413"/>
      <c r="DM185" s="1413"/>
      <c r="DN185" s="1413"/>
      <c r="DO185" s="1413"/>
      <c r="DP185" s="1413"/>
      <c r="DQ185" s="1413"/>
      <c r="DR185" s="1413"/>
      <c r="DS185" s="1413"/>
      <c r="DT185" s="1414"/>
    </row>
    <row r="186" spans="1:124" s="2702" customFormat="1">
      <c r="A186" s="253" t="str">
        <f>qtrSales!A216</f>
        <v>2Q</v>
      </c>
      <c r="B186" s="253" t="str">
        <f>qtrSales!B216</f>
        <v>Jul</v>
      </c>
      <c r="C186" s="30"/>
      <c r="D186" s="307"/>
      <c r="E186" s="308"/>
      <c r="F186" s="307"/>
      <c r="G186" s="317"/>
      <c r="H186" s="1021">
        <f>+H185+BC186+BD186</f>
        <v>128</v>
      </c>
      <c r="I186" s="589">
        <f>+(H186/H180-1)*100</f>
        <v>2.4000000000000021</v>
      </c>
      <c r="J186" s="1021">
        <f>+J185+BG186+BH186</f>
        <v>1166</v>
      </c>
      <c r="K186" s="589">
        <f>+(J186/J180-1)*100</f>
        <v>-0.68143100511073307</v>
      </c>
      <c r="L186" s="325">
        <f>+L185+BK186+BL186</f>
        <v>1717</v>
      </c>
      <c r="M186" s="308">
        <f>+(L186/L180-1)*100</f>
        <v>1.1189634864546605</v>
      </c>
      <c r="N186" s="751" t="e">
        <f>+N185+BT186+BU186+BV186</f>
        <v>#REF!</v>
      </c>
      <c r="O186" s="752" t="e">
        <f>+(N186/N182-1)*100</f>
        <v>#REF!</v>
      </c>
      <c r="P186" s="751" t="e">
        <f>+P185+BY186+BZ186+CA186</f>
        <v>#REF!</v>
      </c>
      <c r="Q186" s="751"/>
      <c r="R186" s="751" t="e">
        <f>+R185+CD186+CF186+CE186</f>
        <v>#REF!</v>
      </c>
      <c r="S186" s="752"/>
      <c r="T186" s="751" t="e">
        <f>+T185+CI186+CJ186</f>
        <v>#REF!</v>
      </c>
      <c r="U186" s="755"/>
      <c r="V186" s="309">
        <f>+V185+BO186-BP186</f>
        <v>25</v>
      </c>
      <c r="W186" s="317">
        <f>+(V186/V180-1)*100</f>
        <v>-13.793103448275868</v>
      </c>
      <c r="X186" s="309">
        <f>+X185+BQ186+BR186</f>
        <v>69</v>
      </c>
      <c r="Y186" s="317"/>
      <c r="Z186" s="828"/>
      <c r="AA186" s="317"/>
      <c r="AB186" s="307"/>
      <c r="AC186" s="308"/>
      <c r="AD186" s="307"/>
      <c r="AE186" s="308"/>
      <c r="AF186" s="307"/>
      <c r="AG186" s="308"/>
      <c r="AH186" s="307"/>
      <c r="AI186" s="308"/>
      <c r="AJ186" s="307"/>
      <c r="AK186" s="308"/>
      <c r="AL186" s="307"/>
      <c r="AM186" s="308"/>
      <c r="AN186" s="307"/>
      <c r="AO186" s="308"/>
      <c r="AP186" s="530"/>
      <c r="AQ186" s="451">
        <f>H186+J186+L186+V186+X186</f>
        <v>3105</v>
      </c>
      <c r="AR186" s="308"/>
      <c r="AS186" s="308"/>
      <c r="AT186" s="253" t="str">
        <f>+A186</f>
        <v>2Q</v>
      </c>
      <c r="AU186" s="253" t="str">
        <f>+B186</f>
        <v>Jul</v>
      </c>
      <c r="AV186" s="253"/>
      <c r="AW186" s="395"/>
      <c r="AX186" s="1405"/>
      <c r="AY186" s="1405"/>
      <c r="AZ186" s="395"/>
      <c r="BA186" s="1406"/>
      <c r="BB186" s="1405"/>
      <c r="BC186" s="366">
        <v>2</v>
      </c>
      <c r="BD186" s="366">
        <v>0</v>
      </c>
      <c r="BE186" s="366">
        <v>1</v>
      </c>
      <c r="BF186" s="589"/>
      <c r="BG186" s="366">
        <v>2</v>
      </c>
      <c r="BH186" s="366">
        <v>-6</v>
      </c>
      <c r="BI186" s="366">
        <v>25</v>
      </c>
      <c r="BJ186" s="589"/>
      <c r="BK186" s="366">
        <v>20</v>
      </c>
      <c r="BL186" s="366">
        <v>-9</v>
      </c>
      <c r="BM186" s="366">
        <v>60</v>
      </c>
      <c r="BN186" s="589"/>
      <c r="BO186" s="366">
        <v>-1</v>
      </c>
      <c r="BP186" s="366">
        <v>0</v>
      </c>
      <c r="BQ186" s="366">
        <v>5</v>
      </c>
      <c r="BR186" s="366">
        <v>-1</v>
      </c>
      <c r="BS186" s="589"/>
      <c r="BT186" s="395"/>
      <c r="BU186" s="395"/>
      <c r="BV186" s="395"/>
      <c r="BW186" s="1406"/>
      <c r="BX186" s="1405"/>
      <c r="BY186" s="395"/>
      <c r="BZ186" s="395"/>
      <c r="CA186" s="395"/>
      <c r="CB186" s="1406"/>
      <c r="CC186" s="1405"/>
      <c r="CD186" s="395"/>
      <c r="CE186" s="395"/>
      <c r="CF186" s="395"/>
      <c r="CG186" s="1406"/>
      <c r="CH186" s="1405"/>
      <c r="CI186" s="395"/>
      <c r="CJ186" s="395"/>
      <c r="CK186" s="1406"/>
      <c r="CL186" s="1405"/>
      <c r="CM186" s="1407"/>
      <c r="CN186" s="1407"/>
      <c r="CO186" s="1405"/>
      <c r="CP186" s="1407"/>
      <c r="CQ186" s="1406"/>
      <c r="CR186" s="1405"/>
      <c r="CS186" s="1407"/>
      <c r="CT186" s="1406"/>
      <c r="CU186" s="1405"/>
      <c r="CV186" s="1407"/>
      <c r="CW186" s="1406"/>
      <c r="CX186" s="1405"/>
      <c r="CY186" s="1407"/>
      <c r="CZ186" s="1406"/>
      <c r="DA186" s="1405"/>
      <c r="DB186" s="1407"/>
      <c r="DC186" s="1406"/>
      <c r="DD186" s="1405"/>
      <c r="DE186" s="1407"/>
      <c r="DF186" s="1406"/>
      <c r="DG186" s="1405"/>
      <c r="DH186" s="1021">
        <f t="shared" ref="DH186:DH188" si="24">+BG186+BK186+BO186+BC186+BQ186</f>
        <v>28</v>
      </c>
      <c r="DI186" s="1021">
        <f>+BH186+BL186+BP186+BD186</f>
        <v>-15</v>
      </c>
      <c r="DJ186" s="1413">
        <f>+BI186+BM186+CL186+BE186</f>
        <v>86</v>
      </c>
      <c r="DK186" s="1413"/>
      <c r="DL186" s="1413"/>
      <c r="DM186" s="1413"/>
      <c r="DN186" s="1413"/>
      <c r="DO186" s="1413"/>
      <c r="DP186" s="1413"/>
      <c r="DQ186" s="1413"/>
      <c r="DR186" s="1413"/>
      <c r="DS186" s="1413"/>
      <c r="DT186" s="1415"/>
    </row>
    <row r="187" spans="1:124" s="2702" customFormat="1">
      <c r="A187" s="253" t="str">
        <f>qtrSales!A217</f>
        <v>3Q</v>
      </c>
      <c r="B187" s="253" t="str">
        <f>qtrSales!B217</f>
        <v>Oct</v>
      </c>
      <c r="C187" s="30"/>
      <c r="D187" s="307"/>
      <c r="E187" s="308"/>
      <c r="F187" s="307"/>
      <c r="G187" s="317"/>
      <c r="H187" s="1096">
        <f>+H186+BC187+BD187</f>
        <v>129</v>
      </c>
      <c r="I187" s="589">
        <f>+(H187/H181-1)*100</f>
        <v>2.3809523809523725</v>
      </c>
      <c r="J187" s="1021">
        <f>+J186+BG187+BH187</f>
        <v>1165</v>
      </c>
      <c r="K187" s="589">
        <f>+(J187/J181-1)*100</f>
        <v>-1.1035653650254718</v>
      </c>
      <c r="L187" s="325">
        <f>+L186+BK187+BL187</f>
        <v>1728</v>
      </c>
      <c r="M187" s="308">
        <f>+(L187/L181-1)*100</f>
        <v>1.4084507042253502</v>
      </c>
      <c r="N187" s="751" t="e">
        <f>+N186+BT187+BU187+BV187</f>
        <v>#REF!</v>
      </c>
      <c r="O187" s="752" t="e">
        <f>+(N187/#REF!-1)*100</f>
        <v>#REF!</v>
      </c>
      <c r="P187" s="751" t="e">
        <f>+P186+BY187+BZ187+CA187</f>
        <v>#REF!</v>
      </c>
      <c r="Q187" s="751"/>
      <c r="R187" s="751" t="e">
        <f>+R186+CD187+CF187+CE187</f>
        <v>#REF!</v>
      </c>
      <c r="S187" s="752"/>
      <c r="T187" s="751" t="e">
        <f>+T186+CI187+CJ187</f>
        <v>#REF!</v>
      </c>
      <c r="U187" s="755"/>
      <c r="V187" s="309">
        <f>+V186+BO187-BP187</f>
        <v>24</v>
      </c>
      <c r="W187" s="317">
        <f>+(V187/V181-1)*100</f>
        <v>-14.28571428571429</v>
      </c>
      <c r="X187" s="309">
        <f>+X186+BQ187+BR187</f>
        <v>75</v>
      </c>
      <c r="Y187" s="317"/>
      <c r="Z187" s="828"/>
      <c r="AA187" s="317"/>
      <c r="AB187" s="307"/>
      <c r="AC187" s="308"/>
      <c r="AD187" s="307"/>
      <c r="AE187" s="308"/>
      <c r="AF187" s="307"/>
      <c r="AG187" s="308"/>
      <c r="AH187" s="307"/>
      <c r="AI187" s="308"/>
      <c r="AJ187" s="307"/>
      <c r="AK187" s="308"/>
      <c r="AL187" s="307"/>
      <c r="AM187" s="308"/>
      <c r="AN187" s="307"/>
      <c r="AO187" s="308"/>
      <c r="AP187" s="30"/>
      <c r="AQ187" s="451">
        <f>H187+J187+L187+V187+X187</f>
        <v>3121</v>
      </c>
      <c r="AR187" s="308"/>
      <c r="AS187" s="308"/>
      <c r="AT187" s="253" t="str">
        <f>+A187</f>
        <v>3Q</v>
      </c>
      <c r="AU187" s="253" t="str">
        <f>+B187</f>
        <v>Oct</v>
      </c>
      <c r="AV187" s="253"/>
      <c r="AW187" s="395"/>
      <c r="AX187" s="1405"/>
      <c r="AY187" s="1405"/>
      <c r="AZ187" s="395"/>
      <c r="BA187" s="1406"/>
      <c r="BB187" s="1405"/>
      <c r="BC187" s="366">
        <v>3</v>
      </c>
      <c r="BD187" s="366">
        <v>-2</v>
      </c>
      <c r="BE187" s="366">
        <v>1</v>
      </c>
      <c r="BF187" s="589"/>
      <c r="BG187" s="366">
        <v>2</v>
      </c>
      <c r="BH187" s="366">
        <v>-3</v>
      </c>
      <c r="BI187" s="366">
        <v>28</v>
      </c>
      <c r="BJ187" s="589"/>
      <c r="BK187" s="366">
        <v>20</v>
      </c>
      <c r="BL187" s="366">
        <v>-9</v>
      </c>
      <c r="BM187" s="366">
        <v>47</v>
      </c>
      <c r="BN187" s="589"/>
      <c r="BO187" s="366">
        <v>-1</v>
      </c>
      <c r="BP187" s="366">
        <v>0</v>
      </c>
      <c r="BQ187" s="366">
        <v>10</v>
      </c>
      <c r="BR187" s="366">
        <v>-4</v>
      </c>
      <c r="BS187" s="589"/>
      <c r="BT187" s="395"/>
      <c r="BU187" s="395"/>
      <c r="BV187" s="395"/>
      <c r="BW187" s="1406"/>
      <c r="BX187" s="1405"/>
      <c r="BY187" s="395"/>
      <c r="BZ187" s="395"/>
      <c r="CA187" s="395"/>
      <c r="CB187" s="1406"/>
      <c r="CC187" s="1405"/>
      <c r="CD187" s="395"/>
      <c r="CE187" s="395"/>
      <c r="CF187" s="395"/>
      <c r="CG187" s="1406"/>
      <c r="CH187" s="1405"/>
      <c r="CI187" s="395"/>
      <c r="CJ187" s="395"/>
      <c r="CK187" s="1406"/>
      <c r="CL187" s="1405"/>
      <c r="CM187" s="1407"/>
      <c r="CN187" s="1407"/>
      <c r="CO187" s="1405"/>
      <c r="CP187" s="1407"/>
      <c r="CQ187" s="1406"/>
      <c r="CR187" s="1405"/>
      <c r="CS187" s="1407"/>
      <c r="CT187" s="1406"/>
      <c r="CU187" s="1405"/>
      <c r="CV187" s="1407"/>
      <c r="CW187" s="1406"/>
      <c r="CX187" s="1405"/>
      <c r="CY187" s="1407"/>
      <c r="CZ187" s="1406"/>
      <c r="DA187" s="1405"/>
      <c r="DB187" s="1407"/>
      <c r="DC187" s="1406"/>
      <c r="DD187" s="1405"/>
      <c r="DE187" s="1407"/>
      <c r="DF187" s="1406"/>
      <c r="DG187" s="1405"/>
      <c r="DH187" s="1021">
        <f t="shared" si="24"/>
        <v>34</v>
      </c>
      <c r="DI187" s="1021">
        <f>+BH187+BL187+BP187+BD187</f>
        <v>-14</v>
      </c>
      <c r="DJ187" s="1413">
        <f>+BI187+BM187+CL187+BE187</f>
        <v>76</v>
      </c>
      <c r="DK187" s="1413"/>
      <c r="DL187" s="1413"/>
      <c r="DM187" s="1413"/>
      <c r="DN187" s="1413"/>
      <c r="DO187" s="1413"/>
      <c r="DP187" s="1413"/>
      <c r="DQ187" s="1413"/>
      <c r="DR187" s="1413"/>
      <c r="DS187" s="1413"/>
      <c r="DT187" s="1415"/>
    </row>
    <row r="188" spans="1:124" s="2702" customFormat="1">
      <c r="A188" s="253" t="str">
        <f>qtrSales!A218</f>
        <v>4Q</v>
      </c>
      <c r="B188" s="253" t="str">
        <f>qtrSales!B218</f>
        <v>Jan</v>
      </c>
      <c r="C188" s="339"/>
      <c r="D188" s="307"/>
      <c r="E188" s="308"/>
      <c r="F188" s="307"/>
      <c r="G188" s="317"/>
      <c r="H188" s="309">
        <f>+H187+BC188+BD188</f>
        <v>127</v>
      </c>
      <c r="I188" s="589">
        <f>+(H188/H182-1)*100</f>
        <v>2.4193548387096753</v>
      </c>
      <c r="J188" s="1021">
        <f>+J187+BG188+BH188</f>
        <v>1161</v>
      </c>
      <c r="K188" s="589">
        <f>+(J188/J182-1)*100</f>
        <v>-0.7692307692307665</v>
      </c>
      <c r="L188" s="325">
        <f>+L187+BK188+BL188</f>
        <v>1724</v>
      </c>
      <c r="M188" s="308">
        <f>+(L188/L182-1)*100</f>
        <v>1.7709563164108655</v>
      </c>
      <c r="N188" s="751" t="e">
        <f>+N187+BT188+BU188+BV188</f>
        <v>#REF!</v>
      </c>
      <c r="O188" s="752"/>
      <c r="P188" s="751" t="e">
        <f>+P187+BY188+BZ188+CA188</f>
        <v>#REF!</v>
      </c>
      <c r="Q188" s="751"/>
      <c r="R188" s="751" t="e">
        <f>+R187+CD188+CF188+CE188</f>
        <v>#REF!</v>
      </c>
      <c r="S188" s="752"/>
      <c r="T188" s="751" t="e">
        <f>+T187+CI188+CJ188</f>
        <v>#REF!</v>
      </c>
      <c r="U188" s="755"/>
      <c r="V188" s="309">
        <f>+V187+BO188-BP188</f>
        <v>24</v>
      </c>
      <c r="W188" s="317">
        <f>+(V188/V181-1)*100</f>
        <v>-14.28571428571429</v>
      </c>
      <c r="X188" s="309">
        <f>+X187+BQ188+BR188</f>
        <v>78</v>
      </c>
      <c r="Y188" s="317"/>
      <c r="Z188" s="828"/>
      <c r="AA188" s="317"/>
      <c r="AB188" s="307"/>
      <c r="AC188" s="308"/>
      <c r="AD188" s="307"/>
      <c r="AE188" s="308"/>
      <c r="AF188" s="307"/>
      <c r="AG188" s="308"/>
      <c r="AH188" s="307"/>
      <c r="AI188" s="308"/>
      <c r="AJ188" s="307"/>
      <c r="AK188" s="308"/>
      <c r="AL188" s="307"/>
      <c r="AM188" s="308"/>
      <c r="AN188" s="307"/>
      <c r="AO188" s="308"/>
      <c r="AP188" s="317"/>
      <c r="AQ188" s="451">
        <f>H188+J188+L188+V188+X188</f>
        <v>3114</v>
      </c>
      <c r="AR188" s="308"/>
      <c r="AS188" s="308"/>
      <c r="AT188" s="253" t="str">
        <f>+A188</f>
        <v>4Q</v>
      </c>
      <c r="AU188" s="253" t="str">
        <f>+B188</f>
        <v>Jan</v>
      </c>
      <c r="AV188" s="253"/>
      <c r="AW188" s="1408"/>
      <c r="AX188" s="1408"/>
      <c r="AY188" s="1405"/>
      <c r="AZ188" s="1408"/>
      <c r="BA188" s="1408"/>
      <c r="BB188" s="1405"/>
      <c r="BC188" s="418">
        <v>0</v>
      </c>
      <c r="BD188" s="418">
        <v>-2</v>
      </c>
      <c r="BE188" s="418">
        <v>0</v>
      </c>
      <c r="BF188" s="589"/>
      <c r="BG188" s="418">
        <v>1</v>
      </c>
      <c r="BH188" s="418">
        <v>-5</v>
      </c>
      <c r="BI188" s="418">
        <v>0</v>
      </c>
      <c r="BJ188" s="589"/>
      <c r="BK188" s="418">
        <v>5</v>
      </c>
      <c r="BL188" s="418">
        <v>-9</v>
      </c>
      <c r="BM188" s="418">
        <v>0</v>
      </c>
      <c r="BN188" s="589"/>
      <c r="BO188" s="418">
        <v>0</v>
      </c>
      <c r="BP188" s="418">
        <v>0</v>
      </c>
      <c r="BQ188" s="366">
        <v>5</v>
      </c>
      <c r="BR188" s="366">
        <v>-2</v>
      </c>
      <c r="BS188" s="589"/>
      <c r="BT188" s="1408"/>
      <c r="BU188" s="1408"/>
      <c r="BV188" s="1408"/>
      <c r="BW188" s="1408"/>
      <c r="BX188" s="1405"/>
      <c r="BY188" s="1408"/>
      <c r="BZ188" s="1408"/>
      <c r="CA188" s="1408"/>
      <c r="CB188" s="1408"/>
      <c r="CC188" s="1405"/>
      <c r="CD188" s="1408"/>
      <c r="CE188" s="1408"/>
      <c r="CF188" s="1408"/>
      <c r="CG188" s="1408"/>
      <c r="CH188" s="1405"/>
      <c r="CI188" s="1408"/>
      <c r="CJ188" s="1408"/>
      <c r="CK188" s="1408"/>
      <c r="CL188" s="1405"/>
      <c r="CM188" s="1408"/>
      <c r="CN188" s="1408"/>
      <c r="CO188" s="1405"/>
      <c r="CP188" s="1408"/>
      <c r="CQ188" s="1408"/>
      <c r="CR188" s="1405"/>
      <c r="CS188" s="1408"/>
      <c r="CT188" s="1408"/>
      <c r="CU188" s="1405"/>
      <c r="CV188" s="1408"/>
      <c r="CW188" s="1408"/>
      <c r="CX188" s="1405"/>
      <c r="CY188" s="1408"/>
      <c r="CZ188" s="1408"/>
      <c r="DA188" s="1405"/>
      <c r="DB188" s="1408"/>
      <c r="DC188" s="1408"/>
      <c r="DD188" s="1405"/>
      <c r="DE188" s="1408"/>
      <c r="DF188" s="1408"/>
      <c r="DG188" s="1405"/>
      <c r="DH188" s="1021">
        <f t="shared" si="24"/>
        <v>11</v>
      </c>
      <c r="DI188" s="2799">
        <f>+BH188+BL188+BP188+BD188</f>
        <v>-16</v>
      </c>
      <c r="DJ188" s="2799">
        <f>+BI188+BM188+CL188+BE188</f>
        <v>0</v>
      </c>
      <c r="DL188" s="1413"/>
    </row>
    <row r="189" spans="1:124" s="2702" customFormat="1">
      <c r="C189" s="24"/>
      <c r="D189" s="24"/>
      <c r="E189" s="24"/>
      <c r="F189" s="24"/>
      <c r="G189" s="305"/>
      <c r="H189" s="305"/>
      <c r="I189" s="305"/>
      <c r="J189" s="24"/>
      <c r="K189" s="305"/>
      <c r="L189" s="24"/>
      <c r="M189" s="24"/>
      <c r="N189" s="387"/>
      <c r="O189" s="24"/>
      <c r="P189" s="24"/>
      <c r="Q189" s="24"/>
      <c r="R189" s="24"/>
      <c r="S189" s="24"/>
      <c r="T189" s="387"/>
      <c r="U189" s="24"/>
      <c r="V189" s="24"/>
      <c r="W189" s="305"/>
      <c r="X189" s="305"/>
      <c r="Y189" s="305"/>
      <c r="Z189" s="387"/>
      <c r="AA189" s="305"/>
      <c r="AB189" s="24"/>
      <c r="AC189" s="24"/>
      <c r="AD189" s="24"/>
      <c r="AE189" s="24"/>
      <c r="AF189" s="30"/>
      <c r="AG189" s="30"/>
      <c r="AH189" s="30"/>
      <c r="AI189" s="30"/>
      <c r="AJ189" s="30"/>
      <c r="AK189" s="30"/>
      <c r="AL189" s="30"/>
      <c r="AM189" s="30"/>
      <c r="AN189" s="30"/>
      <c r="AO189" s="30"/>
      <c r="AP189" s="24"/>
      <c r="AQ189" s="593"/>
      <c r="AR189" s="30"/>
      <c r="AS189" s="30"/>
      <c r="AT189" s="168"/>
      <c r="AU189" s="168"/>
      <c r="AV189" s="168"/>
      <c r="AW189" s="1404"/>
      <c r="AX189" s="1404"/>
      <c r="AY189" s="1404"/>
      <c r="AZ189" s="1404"/>
      <c r="BA189" s="1410"/>
      <c r="BB189" s="1404"/>
      <c r="BC189" s="1096">
        <f>SUM(BC185:BC188)</f>
        <v>7</v>
      </c>
      <c r="BD189" s="1096">
        <f>SUM(BD185:BD188)</f>
        <v>-4</v>
      </c>
      <c r="BE189" s="1096">
        <f>SUM(BE185:BE188)</f>
        <v>2</v>
      </c>
      <c r="BF189" s="168"/>
      <c r="BG189" s="1096">
        <f>SUM(BG185:BG188)</f>
        <v>7</v>
      </c>
      <c r="BH189" s="1096">
        <f>SUM(BH185:BH188)</f>
        <v>-16</v>
      </c>
      <c r="BI189" s="1096">
        <f>SUM(BI185:BI188)</f>
        <v>78</v>
      </c>
      <c r="BJ189" s="168"/>
      <c r="BK189" s="1096">
        <f>SUM(BK185:BK188)</f>
        <v>60</v>
      </c>
      <c r="BL189" s="1096">
        <f>SUM(BL185:BL188)</f>
        <v>-30</v>
      </c>
      <c r="BM189" s="1096">
        <f>SUM(BM185:BM188)</f>
        <v>157</v>
      </c>
      <c r="BN189" s="168"/>
      <c r="BO189" s="1096">
        <f>SUM(BO185:BO188)</f>
        <v>-3</v>
      </c>
      <c r="BP189" s="1096">
        <f>SUM(BP185:BP188)</f>
        <v>0</v>
      </c>
      <c r="BQ189" s="1096">
        <f>SUM(BQ185:BQ188)</f>
        <v>25</v>
      </c>
      <c r="BR189" s="1096">
        <f>SUM(BR185:BR188)</f>
        <v>-7</v>
      </c>
      <c r="BS189" s="168"/>
      <c r="BT189" s="1411"/>
      <c r="BU189" s="1411"/>
      <c r="BV189" s="1411"/>
      <c r="BW189" s="1409"/>
      <c r="BX189" s="1409"/>
      <c r="BY189" s="1411"/>
      <c r="BZ189" s="1411"/>
      <c r="CA189" s="1411"/>
      <c r="CB189" s="1409"/>
      <c r="CC189" s="1409"/>
      <c r="CD189" s="1411"/>
      <c r="CE189" s="1411"/>
      <c r="CF189" s="1411"/>
      <c r="CG189" s="1409"/>
      <c r="CH189" s="1409"/>
      <c r="CI189" s="1411"/>
      <c r="CJ189" s="1411"/>
      <c r="CK189" s="1411"/>
      <c r="CL189" s="1411"/>
      <c r="CM189" s="1411"/>
      <c r="CN189" s="1411"/>
      <c r="CO189" s="1411"/>
      <c r="CP189" s="1409"/>
      <c r="CQ189" s="1409"/>
      <c r="CR189" s="1409"/>
      <c r="CS189" s="1409"/>
      <c r="CT189" s="1409"/>
      <c r="CU189" s="1409"/>
      <c r="CV189" s="1409"/>
      <c r="CW189" s="1409"/>
      <c r="CX189" s="1409"/>
      <c r="CY189" s="1409"/>
      <c r="CZ189" s="1409"/>
      <c r="DA189" s="1409"/>
      <c r="DB189" s="1409"/>
      <c r="DC189" s="1409"/>
      <c r="DD189" s="1409"/>
      <c r="DE189" s="1409"/>
      <c r="DF189" s="1409"/>
      <c r="DG189" s="1409"/>
      <c r="DH189" s="442">
        <f>SUM(DH179:DH182)</f>
        <v>64</v>
      </c>
      <c r="DI189" s="2799">
        <f>SUM(DI179:DI182)</f>
        <v>-57</v>
      </c>
      <c r="DJ189" s="2799">
        <f>SUM(DJ179:DJ182)</f>
        <v>237</v>
      </c>
      <c r="DL189" s="253"/>
      <c r="DM189" s="966"/>
      <c r="DN189" s="966"/>
      <c r="DO189" s="966"/>
      <c r="DP189" s="966"/>
      <c r="DQ189" s="966"/>
      <c r="DR189" s="966"/>
      <c r="DS189" s="966"/>
    </row>
    <row r="190" spans="1:124" s="129" customFormat="1">
      <c r="A190" s="383"/>
      <c r="B190" s="383"/>
      <c r="C190" s="383"/>
      <c r="D190" s="172" t="s">
        <v>721</v>
      </c>
      <c r="E190" s="172"/>
      <c r="F190" s="172"/>
      <c r="G190" s="172"/>
      <c r="H190" s="172" t="s">
        <v>721</v>
      </c>
      <c r="I190" s="172"/>
      <c r="J190" s="172"/>
      <c r="K190" s="172"/>
      <c r="L190" s="172"/>
      <c r="M190" s="172"/>
      <c r="N190" s="172"/>
      <c r="O190" s="172"/>
      <c r="P190" s="172"/>
      <c r="Q190" s="172"/>
      <c r="R190" s="172"/>
      <c r="S190" s="172"/>
      <c r="T190" s="172"/>
      <c r="U190" s="172"/>
      <c r="V190" s="172"/>
      <c r="W190" s="172"/>
      <c r="X190" s="172"/>
      <c r="Y190" s="172"/>
      <c r="Z190" s="172"/>
      <c r="AA190" s="172"/>
      <c r="AB190" s="172"/>
      <c r="AC190" s="311"/>
      <c r="AD190" s="172"/>
      <c r="AE190" s="172"/>
      <c r="AF190" s="172"/>
      <c r="AG190" s="311"/>
      <c r="AH190" s="172"/>
      <c r="AI190" s="311"/>
      <c r="AJ190" s="172"/>
      <c r="AK190" s="311"/>
      <c r="AL190" s="172"/>
      <c r="AM190" s="311"/>
      <c r="AN190" s="172"/>
      <c r="AO190" s="311"/>
      <c r="AP190" s="1075"/>
      <c r="AQ190" s="593"/>
      <c r="AR190" s="71"/>
      <c r="AS190" s="71"/>
      <c r="AT190" s="272"/>
      <c r="AU190" s="272"/>
      <c r="AV190" s="272"/>
      <c r="AW190" s="1412"/>
      <c r="AX190" s="1412"/>
      <c r="AY190" s="1412"/>
      <c r="AZ190" s="1412"/>
      <c r="BA190" s="1412"/>
      <c r="BB190" s="1412"/>
      <c r="BC190" s="272"/>
      <c r="BD190" s="272"/>
      <c r="BE190" s="272"/>
      <c r="BF190" s="272"/>
      <c r="BG190" s="272"/>
      <c r="BH190" s="272"/>
      <c r="BI190" s="272"/>
      <c r="BJ190" s="272"/>
      <c r="BK190" s="272"/>
      <c r="BL190" s="272"/>
      <c r="BM190" s="272"/>
      <c r="BN190" s="272"/>
      <c r="BO190" s="272"/>
      <c r="BP190" s="272"/>
      <c r="BQ190" s="272"/>
      <c r="BR190" s="272"/>
      <c r="BS190" s="272"/>
      <c r="BT190" s="1412"/>
      <c r="BU190" s="1412"/>
      <c r="BV190" s="1412"/>
      <c r="BW190" s="1412"/>
      <c r="BX190" s="1412"/>
      <c r="BY190" s="1412"/>
      <c r="BZ190" s="1412"/>
      <c r="CA190" s="1412"/>
      <c r="CB190" s="1412"/>
      <c r="CC190" s="1412"/>
      <c r="CD190" s="1412"/>
      <c r="CE190" s="1412"/>
      <c r="CF190" s="1412"/>
      <c r="CG190" s="1412"/>
      <c r="CH190" s="1412"/>
      <c r="CI190" s="1412"/>
      <c r="CJ190" s="1412"/>
      <c r="CK190" s="1412"/>
      <c r="CL190" s="1412"/>
      <c r="CM190" s="1412"/>
      <c r="CN190" s="1412"/>
      <c r="CO190" s="1412"/>
      <c r="CP190" s="1412"/>
      <c r="CQ190" s="1412"/>
      <c r="CR190" s="1412"/>
      <c r="CS190" s="1412"/>
      <c r="CT190" s="1412"/>
      <c r="CU190" s="1412"/>
      <c r="CV190" s="1412"/>
      <c r="CW190" s="1412"/>
      <c r="CX190" s="1412"/>
      <c r="CY190" s="1412"/>
      <c r="CZ190" s="1412"/>
      <c r="DA190" s="1412"/>
      <c r="DB190" s="1412"/>
      <c r="DC190" s="1412"/>
      <c r="DD190" s="1412"/>
      <c r="DE190" s="1412"/>
      <c r="DF190" s="1412"/>
      <c r="DG190" s="1412"/>
      <c r="DH190" s="272"/>
      <c r="DI190" s="272"/>
      <c r="DJ190" s="272"/>
      <c r="DK190" s="272"/>
      <c r="DL190" s="272"/>
      <c r="DM190" s="954"/>
      <c r="DN190" s="954"/>
      <c r="DO190" s="954"/>
      <c r="DP190" s="954"/>
      <c r="DQ190" s="954"/>
      <c r="DR190" s="954"/>
      <c r="DS190" s="954"/>
      <c r="DT190" s="954"/>
    </row>
    <row r="191" spans="1:124" ht="12.75" hidden="1" customHeight="1" outlineLevel="1">
      <c r="A191" s="24"/>
      <c r="B191" s="24"/>
      <c r="C191" s="24"/>
      <c r="D191" s="24"/>
      <c r="E191" s="24"/>
      <c r="F191" s="24"/>
      <c r="G191" s="24"/>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4"/>
      <c r="AM191" s="24"/>
      <c r="AN191" s="24"/>
      <c r="AO191" s="24"/>
      <c r="AP191" s="24"/>
      <c r="AQ191" s="453"/>
      <c r="AR191" s="30"/>
      <c r="AS191" s="30"/>
      <c r="AT191" s="24"/>
      <c r="AU191" s="24"/>
      <c r="AV191" s="24"/>
      <c r="AW191" s="30"/>
      <c r="AX191" s="30"/>
      <c r="AY191" s="30"/>
      <c r="AZ191" s="30"/>
      <c r="BA191" s="30"/>
      <c r="BB191" s="30"/>
      <c r="BC191" s="30"/>
      <c r="BD191" s="30"/>
      <c r="BE191" s="30"/>
      <c r="BF191" s="30"/>
      <c r="BG191" s="30"/>
      <c r="BH191" s="30"/>
      <c r="BI191" s="30"/>
      <c r="BJ191" s="30"/>
      <c r="BK191" s="30"/>
      <c r="BL191" s="30"/>
      <c r="BM191" s="30"/>
      <c r="BN191" s="30"/>
      <c r="BO191" s="30"/>
      <c r="BP191" s="30"/>
      <c r="BQ191" s="253"/>
      <c r="BR191" s="253"/>
      <c r="BS191" s="253"/>
      <c r="BT191" s="30"/>
      <c r="BU191" s="30"/>
      <c r="BV191" s="30"/>
      <c r="BW191" s="30">
        <v>142</v>
      </c>
      <c r="BX191" s="30"/>
      <c r="BY191" s="30"/>
      <c r="BZ191" s="30"/>
      <c r="CA191" s="30"/>
      <c r="CB191" s="30"/>
      <c r="CC191" s="30"/>
      <c r="CD191" s="30"/>
      <c r="CE191" s="30"/>
      <c r="CF191" s="30"/>
      <c r="CG191" s="30"/>
      <c r="CH191" s="30"/>
      <c r="CI191" s="30"/>
      <c r="CJ191" s="30"/>
      <c r="CK191" s="30"/>
      <c r="CL191" s="30"/>
      <c r="CM191" s="30"/>
      <c r="CN191" s="30"/>
      <c r="CO191" s="30"/>
      <c r="CP191" s="30"/>
      <c r="CQ191" s="30"/>
      <c r="CR191" s="30"/>
      <c r="CS191" s="30"/>
      <c r="CT191" s="30"/>
      <c r="CU191" s="30"/>
      <c r="CV191" s="30"/>
      <c r="CW191" s="30"/>
      <c r="CX191" s="30"/>
      <c r="CY191" s="30"/>
      <c r="CZ191" s="30"/>
      <c r="DA191" s="30"/>
      <c r="DB191" s="30"/>
      <c r="DC191" s="30"/>
      <c r="DD191" s="30"/>
      <c r="DE191" s="30"/>
      <c r="DF191" s="30"/>
      <c r="DG191" s="30"/>
      <c r="DH191" s="30"/>
      <c r="DI191" s="30"/>
      <c r="DJ191" s="30"/>
      <c r="DK191" s="30"/>
      <c r="DL191" s="30"/>
    </row>
    <row r="192" spans="1:124" ht="12.75" hidden="1" customHeight="1" outlineLevel="1">
      <c r="A192" s="301"/>
      <c r="B192" s="312">
        <f>+B10</f>
        <v>1989</v>
      </c>
      <c r="C192" s="301"/>
      <c r="D192" s="301"/>
      <c r="E192" s="313"/>
      <c r="F192" s="301"/>
      <c r="G192" s="301"/>
      <c r="H192" s="301"/>
      <c r="I192" s="301"/>
      <c r="J192" s="301"/>
      <c r="K192" s="301"/>
      <c r="L192" s="301"/>
      <c r="M192" s="301"/>
      <c r="N192" s="301"/>
      <c r="O192" s="301"/>
      <c r="P192" s="301"/>
      <c r="Q192" s="301"/>
      <c r="R192" s="301"/>
      <c r="S192" s="301"/>
      <c r="T192" s="301"/>
      <c r="U192" s="301"/>
      <c r="V192" s="301"/>
      <c r="W192" s="301"/>
      <c r="X192" s="301"/>
      <c r="Y192" s="301"/>
      <c r="Z192" s="301"/>
      <c r="AA192" s="301"/>
      <c r="AB192" s="301"/>
      <c r="AC192" s="301"/>
      <c r="AD192" s="301"/>
      <c r="AE192" s="301"/>
      <c r="AF192" s="301"/>
      <c r="AG192" s="301"/>
      <c r="AH192" s="301"/>
      <c r="AI192" s="301"/>
      <c r="AJ192" s="301"/>
      <c r="AK192" s="301"/>
      <c r="AL192" s="301"/>
      <c r="AM192" s="301"/>
      <c r="AN192" s="301"/>
      <c r="AO192" s="301"/>
      <c r="AP192" s="301"/>
      <c r="AQ192" s="454"/>
      <c r="AR192" s="301"/>
      <c r="AS192" s="301"/>
      <c r="AT192" s="301"/>
      <c r="AU192" s="301"/>
      <c r="AV192" s="301"/>
      <c r="AW192" s="301"/>
      <c r="AX192" s="313"/>
      <c r="AY192" s="313"/>
      <c r="AZ192" s="301"/>
      <c r="BA192" s="301"/>
      <c r="BB192" s="313"/>
      <c r="BC192" s="301"/>
      <c r="BD192" s="301"/>
      <c r="BE192" s="301"/>
      <c r="BF192" s="313"/>
      <c r="BG192" s="301"/>
      <c r="BH192" s="301"/>
      <c r="BI192" s="301"/>
      <c r="BJ192" s="313"/>
      <c r="BK192" s="301"/>
      <c r="BL192" s="301"/>
      <c r="BM192" s="301"/>
      <c r="BN192" s="313"/>
      <c r="BO192" s="301"/>
      <c r="BP192" s="301"/>
      <c r="BQ192" s="614"/>
      <c r="BR192" s="614"/>
      <c r="BS192" s="920"/>
      <c r="BT192" s="301"/>
      <c r="BU192" s="301"/>
      <c r="BV192" s="301"/>
      <c r="BW192" s="301"/>
      <c r="BX192" s="313"/>
      <c r="BY192" s="301"/>
      <c r="BZ192" s="301"/>
      <c r="CA192" s="301"/>
      <c r="CB192" s="301"/>
      <c r="CC192" s="313"/>
      <c r="CD192" s="301"/>
      <c r="CE192" s="301"/>
      <c r="CF192" s="301"/>
      <c r="CG192" s="301"/>
      <c r="CH192" s="313"/>
      <c r="CI192" s="301"/>
      <c r="CJ192" s="301"/>
      <c r="CK192" s="301"/>
      <c r="CL192" s="313"/>
      <c r="CM192" s="301"/>
      <c r="CN192" s="301"/>
      <c r="CO192" s="313"/>
      <c r="CP192" s="301"/>
      <c r="CQ192" s="301"/>
      <c r="CR192" s="313"/>
      <c r="CS192" s="301"/>
      <c r="CT192" s="301"/>
      <c r="CU192" s="313"/>
      <c r="CV192" s="301"/>
      <c r="CW192" s="301"/>
      <c r="CX192" s="313"/>
      <c r="CY192" s="301"/>
      <c r="CZ192" s="301"/>
      <c r="DA192" s="313"/>
      <c r="DB192" s="301"/>
      <c r="DC192" s="301"/>
      <c r="DD192" s="313"/>
      <c r="DE192" s="301"/>
      <c r="DF192" s="301"/>
      <c r="DG192" s="313"/>
      <c r="DH192" s="301"/>
      <c r="DI192" s="301"/>
      <c r="DJ192" s="301"/>
      <c r="DK192" s="301"/>
      <c r="DL192" s="301"/>
    </row>
    <row r="193" spans="1:116" ht="12.75" hidden="1" customHeight="1" outlineLevel="1">
      <c r="A193" s="30" t="str">
        <f>+A11</f>
        <v>1Q</v>
      </c>
      <c r="B193" s="30" t="str">
        <f>+B11</f>
        <v>Apr</v>
      </c>
      <c r="C193" s="30"/>
      <c r="D193" s="322"/>
      <c r="E193" s="315"/>
      <c r="F193" s="322"/>
      <c r="G193" s="307"/>
      <c r="H193" s="307"/>
      <c r="I193" s="307"/>
      <c r="J193" s="316"/>
      <c r="K193" s="307"/>
      <c r="L193" s="322"/>
      <c r="M193" s="307"/>
      <c r="N193" s="322"/>
      <c r="O193" s="307"/>
      <c r="P193" s="322"/>
      <c r="Q193" s="307"/>
      <c r="R193" s="307"/>
      <c r="S193" s="307"/>
      <c r="T193" s="322"/>
      <c r="U193" s="307"/>
      <c r="V193" s="322"/>
      <c r="W193" s="307"/>
      <c r="X193" s="307"/>
      <c r="Y193" s="307"/>
      <c r="Z193" s="322"/>
      <c r="AA193" s="307"/>
      <c r="AB193" s="322"/>
      <c r="AC193" s="30"/>
      <c r="AD193" s="322"/>
      <c r="AE193" s="307"/>
      <c r="AF193" s="322"/>
      <c r="AG193" s="30"/>
      <c r="AH193" s="322"/>
      <c r="AI193" s="30"/>
      <c r="AJ193" s="322"/>
      <c r="AK193" s="30"/>
      <c r="AL193" s="322"/>
      <c r="AM193" s="30"/>
      <c r="AN193" s="322"/>
      <c r="AO193" s="30"/>
      <c r="AP193" s="30"/>
      <c r="AQ193" s="455">
        <v>14.712999999999999</v>
      </c>
      <c r="AR193" s="308"/>
      <c r="AS193" s="308"/>
      <c r="AT193" s="30"/>
      <c r="AU193" s="30"/>
      <c r="AV193" s="30"/>
      <c r="AW193" s="322"/>
      <c r="AX193" s="315"/>
      <c r="AY193" s="315"/>
      <c r="AZ193" s="322"/>
      <c r="BA193" s="307"/>
      <c r="BB193" s="315"/>
      <c r="BC193" s="307"/>
      <c r="BD193" s="307"/>
      <c r="BE193" s="307"/>
      <c r="BF193" s="315"/>
      <c r="BG193" s="316"/>
      <c r="BH193" s="307"/>
      <c r="BI193" s="307"/>
      <c r="BJ193" s="315"/>
      <c r="BK193" s="322"/>
      <c r="BL193" s="307"/>
      <c r="BM193" s="307"/>
      <c r="BN193" s="315"/>
      <c r="BO193" s="322"/>
      <c r="BP193" s="307"/>
      <c r="BQ193" s="366"/>
      <c r="BR193" s="366"/>
      <c r="BT193" s="322"/>
      <c r="BU193" s="307"/>
      <c r="BV193" s="307"/>
      <c r="BW193" s="307"/>
      <c r="BX193" s="315"/>
      <c r="BY193" s="322"/>
      <c r="BZ193" s="307"/>
      <c r="CA193" s="307"/>
      <c r="CB193" s="307"/>
      <c r="CC193" s="315"/>
      <c r="CD193" s="307"/>
      <c r="CE193" s="307"/>
      <c r="CF193" s="307"/>
      <c r="CG193" s="307"/>
      <c r="CH193" s="315"/>
      <c r="CI193" s="322"/>
      <c r="CJ193" s="307"/>
      <c r="CK193" s="307"/>
      <c r="CL193" s="315"/>
      <c r="CM193" s="322"/>
      <c r="CN193" s="307"/>
      <c r="CO193" s="315"/>
      <c r="CP193" s="322"/>
      <c r="CQ193" s="307"/>
      <c r="CR193" s="315"/>
      <c r="CS193" s="322"/>
      <c r="CT193" s="307"/>
      <c r="CU193" s="315"/>
      <c r="CV193" s="322"/>
      <c r="CW193" s="307"/>
      <c r="CX193" s="315"/>
      <c r="CY193" s="322"/>
      <c r="CZ193" s="307"/>
      <c r="DA193" s="315"/>
      <c r="DB193" s="322"/>
      <c r="DC193" s="307"/>
      <c r="DD193" s="315"/>
      <c r="DE193" s="322"/>
      <c r="DF193" s="307"/>
      <c r="DG193" s="315"/>
      <c r="DH193" s="322"/>
      <c r="DI193" s="307"/>
      <c r="DJ193" s="307"/>
      <c r="DK193" s="307"/>
      <c r="DL193" s="307"/>
    </row>
    <row r="194" spans="1:116" ht="12.75" hidden="1" customHeight="1" outlineLevel="1">
      <c r="A194" s="30" t="str">
        <f>+A12</f>
        <v>2Q</v>
      </c>
      <c r="B194" s="30" t="str">
        <f>+B12</f>
        <v>Jul</v>
      </c>
      <c r="C194" s="30"/>
      <c r="D194" s="322"/>
      <c r="E194" s="315"/>
      <c r="F194" s="322"/>
      <c r="G194" s="307"/>
      <c r="H194" s="307"/>
      <c r="I194" s="307"/>
      <c r="J194" s="316"/>
      <c r="K194" s="307"/>
      <c r="L194" s="322"/>
      <c r="M194" s="307"/>
      <c r="N194" s="322"/>
      <c r="O194" s="307"/>
      <c r="P194" s="322"/>
      <c r="Q194" s="307"/>
      <c r="R194" s="307"/>
      <c r="S194" s="307"/>
      <c r="T194" s="322"/>
      <c r="U194" s="307"/>
      <c r="V194" s="322"/>
      <c r="W194" s="307"/>
      <c r="X194" s="307"/>
      <c r="Y194" s="307"/>
      <c r="Z194" s="322"/>
      <c r="AA194" s="307"/>
      <c r="AB194" s="322"/>
      <c r="AC194" s="30"/>
      <c r="AD194" s="322"/>
      <c r="AE194" s="307"/>
      <c r="AF194" s="322"/>
      <c r="AG194" s="30"/>
      <c r="AH194" s="322"/>
      <c r="AI194" s="30"/>
      <c r="AJ194" s="322"/>
      <c r="AK194" s="30"/>
      <c r="AL194" s="322"/>
      <c r="AM194" s="30"/>
      <c r="AN194" s="322"/>
      <c r="AO194" s="30"/>
      <c r="AP194" s="30"/>
      <c r="AQ194" s="455">
        <v>13.56</v>
      </c>
      <c r="AR194" s="308"/>
      <c r="AS194" s="308"/>
      <c r="AT194" s="30"/>
      <c r="AU194" s="30"/>
      <c r="AV194" s="30"/>
      <c r="AW194" s="322"/>
      <c r="AX194" s="315"/>
      <c r="AY194" s="315"/>
      <c r="AZ194" s="322"/>
      <c r="BA194" s="307"/>
      <c r="BB194" s="315"/>
      <c r="BC194" s="307"/>
      <c r="BD194" s="307"/>
      <c r="BE194" s="307"/>
      <c r="BF194" s="315"/>
      <c r="BG194" s="316"/>
      <c r="BH194" s="307"/>
      <c r="BI194" s="307"/>
      <c r="BJ194" s="315"/>
      <c r="BK194" s="322"/>
      <c r="BL194" s="307"/>
      <c r="BM194" s="307"/>
      <c r="BN194" s="315"/>
      <c r="BO194" s="322"/>
      <c r="BP194" s="307"/>
      <c r="BQ194" s="366"/>
      <c r="BR194" s="366"/>
      <c r="BT194" s="322"/>
      <c r="BU194" s="307"/>
      <c r="BV194" s="307"/>
      <c r="BW194" s="307"/>
      <c r="BX194" s="315"/>
      <c r="BY194" s="322"/>
      <c r="BZ194" s="307"/>
      <c r="CA194" s="307"/>
      <c r="CB194" s="307"/>
      <c r="CC194" s="315"/>
      <c r="CD194" s="307"/>
      <c r="CE194" s="307"/>
      <c r="CF194" s="307"/>
      <c r="CG194" s="307"/>
      <c r="CH194" s="315"/>
      <c r="CI194" s="322"/>
      <c r="CJ194" s="307"/>
      <c r="CK194" s="307"/>
      <c r="CL194" s="315"/>
      <c r="CM194" s="322"/>
      <c r="CN194" s="307"/>
      <c r="CO194" s="315"/>
      <c r="CP194" s="322"/>
      <c r="CQ194" s="307"/>
      <c r="CR194" s="315"/>
      <c r="CS194" s="322"/>
      <c r="CT194" s="307"/>
      <c r="CU194" s="315"/>
      <c r="CV194" s="322"/>
      <c r="CW194" s="307"/>
      <c r="CX194" s="315"/>
      <c r="CY194" s="322"/>
      <c r="CZ194" s="307"/>
      <c r="DA194" s="315"/>
      <c r="DB194" s="322"/>
      <c r="DC194" s="307"/>
      <c r="DD194" s="315"/>
      <c r="DE194" s="322"/>
      <c r="DF194" s="307"/>
      <c r="DG194" s="315"/>
      <c r="DH194" s="322"/>
      <c r="DI194" s="307"/>
      <c r="DJ194" s="307"/>
      <c r="DK194" s="307"/>
      <c r="DL194" s="307"/>
    </row>
    <row r="195" spans="1:116" ht="15" hidden="1" customHeight="1" outlineLevel="1">
      <c r="A195" s="30" t="str">
        <f>+A13</f>
        <v>3Q</v>
      </c>
      <c r="B195" s="30" t="str">
        <f>+B13</f>
        <v>Oct</v>
      </c>
      <c r="C195" s="30"/>
      <c r="D195" s="322"/>
      <c r="E195" s="315"/>
      <c r="F195" s="322"/>
      <c r="G195" s="307"/>
      <c r="H195" s="307"/>
      <c r="I195" s="307"/>
      <c r="J195" s="316"/>
      <c r="K195" s="307"/>
      <c r="L195" s="322"/>
      <c r="M195" s="307"/>
      <c r="N195" s="322"/>
      <c r="O195" s="307"/>
      <c r="P195" s="322"/>
      <c r="Q195" s="307"/>
      <c r="R195" s="307"/>
      <c r="S195" s="307"/>
      <c r="T195" s="322"/>
      <c r="U195" s="307"/>
      <c r="V195" s="322"/>
      <c r="W195" s="307"/>
      <c r="X195" s="307"/>
      <c r="Y195" s="307"/>
      <c r="Z195" s="322"/>
      <c r="AA195" s="307"/>
      <c r="AB195" s="322"/>
      <c r="AC195" s="30"/>
      <c r="AD195" s="322"/>
      <c r="AE195" s="307"/>
      <c r="AF195" s="322"/>
      <c r="AG195" s="30"/>
      <c r="AH195" s="322"/>
      <c r="AI195" s="30"/>
      <c r="AJ195" s="322"/>
      <c r="AK195" s="30"/>
      <c r="AL195" s="322"/>
      <c r="AM195" s="30"/>
      <c r="AN195" s="322"/>
      <c r="AO195" s="30"/>
      <c r="AP195" s="30"/>
      <c r="AQ195" s="455">
        <v>14.028</v>
      </c>
      <c r="AR195" s="308"/>
      <c r="AS195" s="308"/>
      <c r="AT195" s="30"/>
      <c r="AU195" s="30"/>
      <c r="AV195" s="30"/>
      <c r="AW195" s="322"/>
      <c r="AX195" s="315"/>
      <c r="AY195" s="315"/>
      <c r="AZ195" s="322"/>
      <c r="BA195" s="307"/>
      <c r="BB195" s="315"/>
      <c r="BC195" s="307"/>
      <c r="BD195" s="307"/>
      <c r="BE195" s="307"/>
      <c r="BF195" s="315"/>
      <c r="BG195" s="316"/>
      <c r="BH195" s="307"/>
      <c r="BI195" s="307"/>
      <c r="BJ195" s="315"/>
      <c r="BK195" s="322"/>
      <c r="BL195" s="307"/>
      <c r="BM195" s="307"/>
      <c r="BN195" s="315"/>
      <c r="BO195" s="322"/>
      <c r="BP195" s="307"/>
      <c r="BQ195" s="366"/>
      <c r="BR195" s="366"/>
      <c r="BT195" s="322"/>
      <c r="BU195" s="307"/>
      <c r="BV195" s="307"/>
      <c r="BW195" s="307"/>
      <c r="BX195" s="315"/>
      <c r="BY195" s="322"/>
      <c r="BZ195" s="307"/>
      <c r="CA195" s="307"/>
      <c r="CB195" s="307"/>
      <c r="CC195" s="315"/>
      <c r="CD195" s="307"/>
      <c r="CE195" s="307"/>
      <c r="CF195" s="307"/>
      <c r="CG195" s="307"/>
      <c r="CH195" s="315"/>
      <c r="CI195" s="322"/>
      <c r="CJ195" s="307"/>
      <c r="CK195" s="307"/>
      <c r="CL195" s="315"/>
      <c r="CM195" s="322"/>
      <c r="CN195" s="307"/>
      <c r="CO195" s="315"/>
      <c r="CP195" s="322"/>
      <c r="CQ195" s="307"/>
      <c r="CR195" s="315"/>
      <c r="CS195" s="322"/>
      <c r="CT195" s="307"/>
      <c r="CU195" s="315"/>
      <c r="CV195" s="322"/>
      <c r="CW195" s="307"/>
      <c r="CX195" s="315"/>
      <c r="CY195" s="322"/>
      <c r="CZ195" s="307"/>
      <c r="DA195" s="315"/>
      <c r="DB195" s="322"/>
      <c r="DC195" s="307"/>
      <c r="DD195" s="315"/>
      <c r="DE195" s="322"/>
      <c r="DF195" s="307"/>
      <c r="DG195" s="315"/>
      <c r="DH195" s="322"/>
      <c r="DI195" s="307"/>
      <c r="DJ195" s="307"/>
      <c r="DK195" s="307"/>
      <c r="DL195" s="307"/>
    </row>
    <row r="196" spans="1:116" ht="12.75" hidden="1" customHeight="1" outlineLevel="1">
      <c r="A196" s="30" t="str">
        <f>+A14</f>
        <v>4Q</v>
      </c>
      <c r="B196" s="30" t="str">
        <f>+B14</f>
        <v>Jan</v>
      </c>
      <c r="C196" s="30"/>
      <c r="D196" s="322">
        <f>0.945+0.021</f>
        <v>0.96599999999999997</v>
      </c>
      <c r="E196" s="315"/>
      <c r="F196" s="322"/>
      <c r="G196" s="307"/>
      <c r="H196" s="307"/>
      <c r="I196" s="307"/>
      <c r="J196" s="316">
        <f>+D196+F196</f>
        <v>0.96599999999999997</v>
      </c>
      <c r="K196" s="307"/>
      <c r="L196" s="374">
        <v>2E-3</v>
      </c>
      <c r="M196" s="307"/>
      <c r="N196" s="322">
        <v>1.599</v>
      </c>
      <c r="O196" s="307"/>
      <c r="P196" s="322">
        <v>0.13400000000000001</v>
      </c>
      <c r="Q196" s="307"/>
      <c r="R196" s="307"/>
      <c r="S196" s="307"/>
      <c r="T196" s="322">
        <v>3.1659999999999999</v>
      </c>
      <c r="U196" s="307"/>
      <c r="V196" s="322">
        <v>1.4E-2</v>
      </c>
      <c r="W196" s="307"/>
      <c r="X196" s="307"/>
      <c r="Y196" s="307"/>
      <c r="Z196" s="322"/>
      <c r="AA196" s="307"/>
      <c r="AB196" s="322">
        <v>5.0949999999999998</v>
      </c>
      <c r="AC196" s="30"/>
      <c r="AD196" s="322">
        <v>3.0369999999999999</v>
      </c>
      <c r="AE196" s="307"/>
      <c r="AF196" s="322"/>
      <c r="AG196" s="30"/>
      <c r="AH196" s="322">
        <v>0.105</v>
      </c>
      <c r="AI196" s="30"/>
      <c r="AJ196" s="322">
        <v>0.09</v>
      </c>
      <c r="AK196" s="30"/>
      <c r="AL196" s="322">
        <v>0.16600000000000001</v>
      </c>
      <c r="AM196" s="30"/>
      <c r="AN196" s="322">
        <v>0</v>
      </c>
      <c r="AO196" s="30"/>
      <c r="AP196" s="30"/>
      <c r="AQ196" s="453">
        <f>+J196+L196+N196+P196+R196+T196+V196+AB196+AD196+AF196+AH196+AJ196+AL196+AN196</f>
        <v>14.373999999999999</v>
      </c>
      <c r="AR196" s="308"/>
      <c r="AS196" s="308"/>
      <c r="AT196" s="30"/>
      <c r="AU196" s="30"/>
      <c r="AV196" s="30"/>
      <c r="AW196" s="322"/>
      <c r="AX196" s="315"/>
      <c r="AY196" s="315"/>
      <c r="AZ196" s="322"/>
      <c r="BA196" s="307"/>
      <c r="BB196" s="315"/>
      <c r="BC196" s="307"/>
      <c r="BD196" s="307"/>
      <c r="BE196" s="307"/>
      <c r="BF196" s="315"/>
      <c r="BG196" s="316"/>
      <c r="BH196" s="307"/>
      <c r="BI196" s="307"/>
      <c r="BJ196" s="315"/>
      <c r="BK196" s="322"/>
      <c r="BL196" s="307"/>
      <c r="BM196" s="307"/>
      <c r="BN196" s="315"/>
      <c r="BO196" s="322"/>
      <c r="BP196" s="307"/>
      <c r="BQ196" s="366"/>
      <c r="BR196" s="366"/>
      <c r="BT196" s="322"/>
      <c r="BU196" s="307"/>
      <c r="BV196" s="307"/>
      <c r="BW196" s="307"/>
      <c r="BX196" s="315"/>
      <c r="BY196" s="322"/>
      <c r="BZ196" s="307"/>
      <c r="CA196" s="307"/>
      <c r="CB196" s="307"/>
      <c r="CC196" s="315"/>
      <c r="CD196" s="307"/>
      <c r="CE196" s="307"/>
      <c r="CF196" s="307"/>
      <c r="CG196" s="307"/>
      <c r="CH196" s="315"/>
      <c r="CI196" s="322"/>
      <c r="CJ196" s="307"/>
      <c r="CK196" s="307"/>
      <c r="CL196" s="315"/>
      <c r="CM196" s="322"/>
      <c r="CN196" s="307"/>
      <c r="CO196" s="315"/>
      <c r="CP196" s="322"/>
      <c r="CQ196" s="307"/>
      <c r="CR196" s="315"/>
      <c r="CS196" s="322"/>
      <c r="CT196" s="307"/>
      <c r="CU196" s="315"/>
      <c r="CV196" s="322"/>
      <c r="CW196" s="307"/>
      <c r="CX196" s="315"/>
      <c r="CY196" s="322"/>
      <c r="CZ196" s="307"/>
      <c r="DA196" s="315"/>
      <c r="DB196" s="322"/>
      <c r="DC196" s="307"/>
      <c r="DD196" s="315"/>
      <c r="DE196" s="322"/>
      <c r="DF196" s="307"/>
      <c r="DG196" s="315"/>
      <c r="DH196" s="322"/>
      <c r="DI196" s="307"/>
      <c r="DJ196" s="307"/>
      <c r="DK196" s="307"/>
      <c r="DL196" s="307"/>
    </row>
    <row r="197" spans="1:116" ht="12.75" hidden="1" customHeight="1" outlineLevel="1">
      <c r="A197" s="30"/>
      <c r="B197" s="30"/>
      <c r="C197" s="30"/>
      <c r="D197" s="314"/>
      <c r="E197" s="310"/>
      <c r="F197" s="314"/>
      <c r="G197" s="30"/>
      <c r="H197" s="30"/>
      <c r="I197" s="30"/>
      <c r="J197" s="316"/>
      <c r="K197" s="30"/>
      <c r="L197" s="314"/>
      <c r="M197" s="30"/>
      <c r="N197" s="314"/>
      <c r="O197" s="30"/>
      <c r="P197" s="314"/>
      <c r="Q197" s="30"/>
      <c r="R197" s="30"/>
      <c r="S197" s="30"/>
      <c r="T197" s="314"/>
      <c r="U197" s="30"/>
      <c r="V197" s="314"/>
      <c r="W197" s="30"/>
      <c r="X197" s="30"/>
      <c r="Y197" s="30"/>
      <c r="Z197" s="314"/>
      <c r="AA197" s="30"/>
      <c r="AB197" s="314"/>
      <c r="AC197" s="30"/>
      <c r="AD197" s="314"/>
      <c r="AE197" s="30"/>
      <c r="AF197" s="30"/>
      <c r="AG197" s="30"/>
      <c r="AH197" s="30"/>
      <c r="AI197" s="30"/>
      <c r="AJ197" s="30"/>
      <c r="AK197" s="30"/>
      <c r="AL197" s="30"/>
      <c r="AM197" s="30"/>
      <c r="AN197" s="374"/>
      <c r="AO197" s="30"/>
      <c r="AP197" s="30"/>
      <c r="AQ197" s="453"/>
      <c r="AR197" s="30"/>
      <c r="AS197" s="30"/>
      <c r="AT197" s="30"/>
      <c r="AU197" s="30"/>
      <c r="AV197" s="30"/>
      <c r="AW197" s="314"/>
      <c r="AX197" s="310"/>
      <c r="AY197" s="310"/>
      <c r="AZ197" s="314"/>
      <c r="BA197" s="30"/>
      <c r="BB197" s="310"/>
      <c r="BC197" s="30"/>
      <c r="BD197" s="30"/>
      <c r="BE197" s="30"/>
      <c r="BF197" s="310"/>
      <c r="BG197" s="316"/>
      <c r="BH197" s="30"/>
      <c r="BI197" s="30"/>
      <c r="BJ197" s="310"/>
      <c r="BK197" s="314"/>
      <c r="BL197" s="30"/>
      <c r="BM197" s="30"/>
      <c r="BN197" s="310"/>
      <c r="BO197" s="314"/>
      <c r="BP197" s="30"/>
      <c r="BQ197" s="253"/>
      <c r="BR197" s="253"/>
      <c r="BS197" s="1177"/>
      <c r="BT197" s="314"/>
      <c r="BU197" s="30"/>
      <c r="BV197" s="30"/>
      <c r="BW197" s="30"/>
      <c r="BX197" s="310"/>
      <c r="BY197" s="314"/>
      <c r="BZ197" s="30"/>
      <c r="CA197" s="30"/>
      <c r="CB197" s="30"/>
      <c r="CC197" s="310"/>
      <c r="CD197" s="30"/>
      <c r="CE197" s="30"/>
      <c r="CF197" s="30"/>
      <c r="CG197" s="30"/>
      <c r="CH197" s="310"/>
      <c r="CI197" s="314"/>
      <c r="CJ197" s="30"/>
      <c r="CK197" s="30"/>
      <c r="CL197" s="310"/>
      <c r="CM197" s="314"/>
      <c r="CN197" s="30"/>
      <c r="CO197" s="310"/>
      <c r="CP197" s="314"/>
      <c r="CQ197" s="30"/>
      <c r="CR197" s="310"/>
      <c r="CS197" s="314"/>
      <c r="CT197" s="30"/>
      <c r="CU197" s="310"/>
      <c r="CV197" s="314"/>
      <c r="CW197" s="30"/>
      <c r="CX197" s="310"/>
      <c r="CY197" s="314"/>
      <c r="CZ197" s="30"/>
      <c r="DA197" s="310"/>
      <c r="DB197" s="314"/>
      <c r="DC197" s="30"/>
      <c r="DD197" s="310"/>
      <c r="DE197" s="314"/>
      <c r="DF197" s="30"/>
      <c r="DG197" s="310"/>
      <c r="DH197" s="314"/>
      <c r="DI197" s="30"/>
      <c r="DJ197" s="30"/>
      <c r="DK197" s="30"/>
      <c r="DL197" s="30"/>
    </row>
    <row r="198" spans="1:116" ht="12.75" hidden="1" customHeight="1" outlineLevel="1">
      <c r="A198" s="301"/>
      <c r="B198" s="312">
        <f>+B16</f>
        <v>1990</v>
      </c>
      <c r="C198" s="301"/>
      <c r="D198" s="301"/>
      <c r="E198" s="313"/>
      <c r="F198" s="301"/>
      <c r="G198" s="301"/>
      <c r="H198" s="301"/>
      <c r="I198" s="301"/>
      <c r="J198" s="301"/>
      <c r="K198" s="301"/>
      <c r="L198" s="301"/>
      <c r="M198" s="301"/>
      <c r="N198" s="301"/>
      <c r="O198" s="301"/>
      <c r="P198" s="301"/>
      <c r="Q198" s="301"/>
      <c r="R198" s="301"/>
      <c r="S198" s="301"/>
      <c r="T198" s="301"/>
      <c r="U198" s="301"/>
      <c r="V198" s="301"/>
      <c r="W198" s="301"/>
      <c r="X198" s="301"/>
      <c r="Y198" s="301"/>
      <c r="Z198" s="301"/>
      <c r="AA198" s="301"/>
      <c r="AB198" s="301"/>
      <c r="AC198" s="301"/>
      <c r="AD198" s="301"/>
      <c r="AE198" s="301"/>
      <c r="AF198" s="301"/>
      <c r="AG198" s="301"/>
      <c r="AH198" s="301"/>
      <c r="AI198" s="301"/>
      <c r="AJ198" s="301"/>
      <c r="AK198" s="301"/>
      <c r="AL198" s="301"/>
      <c r="AM198" s="301"/>
      <c r="AN198" s="301"/>
      <c r="AO198" s="301"/>
      <c r="AP198" s="301"/>
      <c r="AQ198" s="454"/>
      <c r="AR198" s="301"/>
      <c r="AS198" s="301"/>
      <c r="AT198" s="301"/>
      <c r="AU198" s="301"/>
      <c r="AV198" s="301"/>
      <c r="AW198" s="301"/>
      <c r="AX198" s="313"/>
      <c r="AY198" s="313"/>
      <c r="AZ198" s="301"/>
      <c r="BA198" s="301"/>
      <c r="BB198" s="313"/>
      <c r="BC198" s="301"/>
      <c r="BD198" s="301"/>
      <c r="BE198" s="301"/>
      <c r="BF198" s="313"/>
      <c r="BG198" s="301"/>
      <c r="BH198" s="301"/>
      <c r="BI198" s="301"/>
      <c r="BJ198" s="313"/>
      <c r="BK198" s="301"/>
      <c r="BL198" s="301"/>
      <c r="BM198" s="301"/>
      <c r="BN198" s="313"/>
      <c r="BO198" s="301"/>
      <c r="BP198" s="301"/>
      <c r="BQ198" s="614"/>
      <c r="BR198" s="614"/>
      <c r="BS198" s="920"/>
      <c r="BT198" s="301"/>
      <c r="BU198" s="301"/>
      <c r="BV198" s="301"/>
      <c r="BW198" s="301"/>
      <c r="BX198" s="313"/>
      <c r="BY198" s="301"/>
      <c r="BZ198" s="301"/>
      <c r="CA198" s="301"/>
      <c r="CB198" s="301"/>
      <c r="CC198" s="313"/>
      <c r="CD198" s="301"/>
      <c r="CE198" s="301"/>
      <c r="CF198" s="301"/>
      <c r="CG198" s="301"/>
      <c r="CH198" s="313"/>
      <c r="CI198" s="301"/>
      <c r="CJ198" s="301"/>
      <c r="CK198" s="301"/>
      <c r="CL198" s="313"/>
      <c r="CM198" s="301"/>
      <c r="CN198" s="301"/>
      <c r="CO198" s="313"/>
      <c r="CP198" s="301"/>
      <c r="CQ198" s="301"/>
      <c r="CR198" s="313"/>
      <c r="CS198" s="301"/>
      <c r="CT198" s="301"/>
      <c r="CU198" s="313"/>
      <c r="CV198" s="301"/>
      <c r="CW198" s="301"/>
      <c r="CX198" s="313"/>
      <c r="CY198" s="301"/>
      <c r="CZ198" s="301"/>
      <c r="DA198" s="313"/>
      <c r="DB198" s="301"/>
      <c r="DC198" s="301"/>
      <c r="DD198" s="313"/>
      <c r="DE198" s="301"/>
      <c r="DF198" s="301"/>
      <c r="DG198" s="313"/>
      <c r="DH198" s="301"/>
      <c r="DI198" s="301"/>
      <c r="DJ198" s="301"/>
      <c r="DK198" s="301"/>
      <c r="DL198" s="301"/>
    </row>
    <row r="199" spans="1:116" ht="12.75" hidden="1" customHeight="1" outlineLevel="1">
      <c r="A199" s="30" t="str">
        <f>+A17</f>
        <v>1Q</v>
      </c>
      <c r="B199" s="30" t="str">
        <f>+B17</f>
        <v>Apr</v>
      </c>
      <c r="C199" s="30"/>
      <c r="D199" s="322"/>
      <c r="E199" s="315"/>
      <c r="F199" s="322"/>
      <c r="G199" s="307"/>
      <c r="H199" s="307"/>
      <c r="I199" s="307"/>
      <c r="J199" s="316"/>
      <c r="K199" s="307"/>
      <c r="L199" s="322"/>
      <c r="M199" s="307"/>
      <c r="N199" s="322"/>
      <c r="O199" s="307"/>
      <c r="P199" s="322"/>
      <c r="Q199" s="307"/>
      <c r="R199" s="307"/>
      <c r="S199" s="307"/>
      <c r="T199" s="322"/>
      <c r="U199" s="307"/>
      <c r="V199" s="322"/>
      <c r="W199" s="307"/>
      <c r="X199" s="307"/>
      <c r="Y199" s="307"/>
      <c r="Z199" s="322"/>
      <c r="AA199" s="307"/>
      <c r="AB199" s="322"/>
      <c r="AC199" s="30"/>
      <c r="AD199" s="322"/>
      <c r="AE199" s="307"/>
      <c r="AF199" s="322"/>
      <c r="AG199" s="30"/>
      <c r="AH199" s="322"/>
      <c r="AI199" s="30"/>
      <c r="AJ199" s="322"/>
      <c r="AK199" s="30"/>
      <c r="AL199" s="322"/>
      <c r="AM199" s="30"/>
      <c r="AN199" s="322"/>
      <c r="AO199" s="30"/>
      <c r="AP199" s="30"/>
      <c r="AQ199" s="455">
        <v>14.814</v>
      </c>
      <c r="AR199" s="308">
        <f>+(AQ199/AQ193-1)*100</f>
        <v>0.68646774960918755</v>
      </c>
      <c r="AS199" s="308"/>
      <c r="AT199" s="30"/>
      <c r="AU199" s="30"/>
      <c r="AV199" s="30"/>
      <c r="AW199" s="322"/>
      <c r="AX199" s="315"/>
      <c r="AY199" s="315"/>
      <c r="AZ199" s="322"/>
      <c r="BA199" s="307"/>
      <c r="BB199" s="315"/>
      <c r="BC199" s="307"/>
      <c r="BD199" s="307"/>
      <c r="BE199" s="307"/>
      <c r="BF199" s="315"/>
      <c r="BG199" s="316"/>
      <c r="BH199" s="307"/>
      <c r="BI199" s="307"/>
      <c r="BJ199" s="315"/>
      <c r="BK199" s="322"/>
      <c r="BL199" s="307"/>
      <c r="BM199" s="307"/>
      <c r="BN199" s="315"/>
      <c r="BO199" s="322"/>
      <c r="BP199" s="307"/>
      <c r="BQ199" s="366"/>
      <c r="BR199" s="366"/>
      <c r="BT199" s="322"/>
      <c r="BU199" s="307"/>
      <c r="BV199" s="307"/>
      <c r="BW199" s="307"/>
      <c r="BX199" s="315"/>
      <c r="BY199" s="322"/>
      <c r="BZ199" s="307"/>
      <c r="CA199" s="307"/>
      <c r="CB199" s="307"/>
      <c r="CC199" s="315"/>
      <c r="CD199" s="307"/>
      <c r="CE199" s="307"/>
      <c r="CF199" s="307"/>
      <c r="CG199" s="307"/>
      <c r="CH199" s="315"/>
      <c r="CI199" s="322"/>
      <c r="CJ199" s="307"/>
      <c r="CK199" s="307"/>
      <c r="CL199" s="315"/>
      <c r="CM199" s="322"/>
      <c r="CN199" s="307"/>
      <c r="CO199" s="315"/>
      <c r="CP199" s="322"/>
      <c r="CQ199" s="307"/>
      <c r="CR199" s="315"/>
      <c r="CS199" s="322"/>
      <c r="CT199" s="307"/>
      <c r="CU199" s="315"/>
      <c r="CV199" s="322"/>
      <c r="CW199" s="307"/>
      <c r="CX199" s="315"/>
      <c r="CY199" s="322"/>
      <c r="CZ199" s="307"/>
      <c r="DA199" s="315"/>
      <c r="DB199" s="322"/>
      <c r="DC199" s="307"/>
      <c r="DD199" s="315"/>
      <c r="DE199" s="322"/>
      <c r="DF199" s="307"/>
      <c r="DG199" s="315"/>
      <c r="DH199" s="322"/>
      <c r="DI199" s="307"/>
      <c r="DJ199" s="307"/>
      <c r="DK199" s="307"/>
      <c r="DL199" s="307"/>
    </row>
    <row r="200" spans="1:116" ht="12.75" hidden="1" customHeight="1" outlineLevel="1">
      <c r="A200" s="30" t="str">
        <f>+A18</f>
        <v>2Q</v>
      </c>
      <c r="B200" s="30" t="str">
        <f>+B18</f>
        <v>Jul</v>
      </c>
      <c r="C200" s="30"/>
      <c r="D200" s="322"/>
      <c r="E200" s="315"/>
      <c r="F200" s="322"/>
      <c r="G200" s="307"/>
      <c r="H200" s="307"/>
      <c r="I200" s="307"/>
      <c r="J200" s="316"/>
      <c r="K200" s="307"/>
      <c r="L200" s="322"/>
      <c r="M200" s="307"/>
      <c r="N200" s="322"/>
      <c r="O200" s="307"/>
      <c r="P200" s="322"/>
      <c r="Q200" s="307"/>
      <c r="R200" s="307"/>
      <c r="S200" s="307"/>
      <c r="T200" s="322"/>
      <c r="U200" s="307"/>
      <c r="V200" s="322"/>
      <c r="W200" s="307"/>
      <c r="X200" s="307"/>
      <c r="Y200" s="307"/>
      <c r="Z200" s="322"/>
      <c r="AA200" s="307"/>
      <c r="AB200" s="322"/>
      <c r="AC200" s="30"/>
      <c r="AD200" s="322"/>
      <c r="AE200" s="307"/>
      <c r="AF200" s="322"/>
      <c r="AG200" s="30"/>
      <c r="AH200" s="322"/>
      <c r="AI200" s="30"/>
      <c r="AJ200" s="322"/>
      <c r="AK200" s="30"/>
      <c r="AL200" s="322"/>
      <c r="AM200" s="30"/>
      <c r="AN200" s="322"/>
      <c r="AO200" s="30"/>
      <c r="AP200" s="30"/>
      <c r="AQ200" s="455">
        <v>15.444000000000001</v>
      </c>
      <c r="AR200" s="308">
        <f>+(AQ200/AQ194-1)*100</f>
        <v>13.893805309734519</v>
      </c>
      <c r="AS200" s="308"/>
      <c r="AT200" s="30"/>
      <c r="AU200" s="30"/>
      <c r="AV200" s="30"/>
      <c r="AW200" s="322"/>
      <c r="AX200" s="315"/>
      <c r="AY200" s="315"/>
      <c r="AZ200" s="322"/>
      <c r="BA200" s="307"/>
      <c r="BB200" s="315"/>
      <c r="BC200" s="307"/>
      <c r="BD200" s="307"/>
      <c r="BE200" s="307"/>
      <c r="BF200" s="315"/>
      <c r="BG200" s="316"/>
      <c r="BH200" s="307"/>
      <c r="BI200" s="307"/>
      <c r="BJ200" s="315"/>
      <c r="BK200" s="322"/>
      <c r="BL200" s="307"/>
      <c r="BM200" s="307"/>
      <c r="BN200" s="315"/>
      <c r="BO200" s="322"/>
      <c r="BP200" s="307"/>
      <c r="BQ200" s="366"/>
      <c r="BR200" s="366"/>
      <c r="BT200" s="322"/>
      <c r="BU200" s="307"/>
      <c r="BV200" s="307"/>
      <c r="BW200" s="307"/>
      <c r="BX200" s="315"/>
      <c r="BY200" s="322"/>
      <c r="BZ200" s="307"/>
      <c r="CA200" s="307"/>
      <c r="CB200" s="307"/>
      <c r="CC200" s="315"/>
      <c r="CD200" s="307"/>
      <c r="CE200" s="307"/>
      <c r="CF200" s="307"/>
      <c r="CG200" s="307"/>
      <c r="CH200" s="315"/>
      <c r="CI200" s="322"/>
      <c r="CJ200" s="307"/>
      <c r="CK200" s="307"/>
      <c r="CL200" s="315"/>
      <c r="CM200" s="322"/>
      <c r="CN200" s="307"/>
      <c r="CO200" s="315"/>
      <c r="CP200" s="322"/>
      <c r="CQ200" s="307"/>
      <c r="CR200" s="315"/>
      <c r="CS200" s="322"/>
      <c r="CT200" s="307"/>
      <c r="CU200" s="315"/>
      <c r="CV200" s="322"/>
      <c r="CW200" s="307"/>
      <c r="CX200" s="315"/>
      <c r="CY200" s="322"/>
      <c r="CZ200" s="307"/>
      <c r="DA200" s="315"/>
      <c r="DB200" s="322"/>
      <c r="DC200" s="307"/>
      <c r="DD200" s="315"/>
      <c r="DE200" s="322"/>
      <c r="DF200" s="307"/>
      <c r="DG200" s="315"/>
      <c r="DH200" s="322"/>
      <c r="DI200" s="307"/>
      <c r="DJ200" s="307"/>
      <c r="DK200" s="307"/>
      <c r="DL200" s="307"/>
    </row>
    <row r="201" spans="1:116" ht="12.75" hidden="1" customHeight="1" outlineLevel="1">
      <c r="A201" s="30" t="str">
        <f>+A19</f>
        <v>3Q</v>
      </c>
      <c r="B201" s="30" t="str">
        <f>+B19</f>
        <v>Oct</v>
      </c>
      <c r="C201" s="30"/>
      <c r="D201" s="322"/>
      <c r="E201" s="315"/>
      <c r="F201" s="322"/>
      <c r="G201" s="307"/>
      <c r="H201" s="307"/>
      <c r="I201" s="307"/>
      <c r="J201" s="316"/>
      <c r="K201" s="307"/>
      <c r="L201" s="322"/>
      <c r="M201" s="307"/>
      <c r="N201" s="322"/>
      <c r="O201" s="307"/>
      <c r="P201" s="322"/>
      <c r="Q201" s="307"/>
      <c r="R201" s="307"/>
      <c r="S201" s="307"/>
      <c r="T201" s="322"/>
      <c r="U201" s="307"/>
      <c r="V201" s="322"/>
      <c r="W201" s="307"/>
      <c r="X201" s="307"/>
      <c r="Y201" s="307"/>
      <c r="Z201" s="322"/>
      <c r="AA201" s="307"/>
      <c r="AB201" s="322"/>
      <c r="AC201" s="30"/>
      <c r="AD201" s="322"/>
      <c r="AE201" s="307"/>
      <c r="AF201" s="322"/>
      <c r="AG201" s="30"/>
      <c r="AH201" s="322"/>
      <c r="AI201" s="30"/>
      <c r="AJ201" s="322"/>
      <c r="AK201" s="30"/>
      <c r="AL201" s="322"/>
      <c r="AM201" s="30"/>
      <c r="AN201" s="322"/>
      <c r="AO201" s="30"/>
      <c r="AP201" s="30"/>
      <c r="AQ201" s="455">
        <v>16.55</v>
      </c>
      <c r="AR201" s="308">
        <f>+(AQ201/AQ195-1)*100</f>
        <v>17.978329056173358</v>
      </c>
      <c r="AS201" s="308"/>
      <c r="AT201" s="30"/>
      <c r="AU201" s="30"/>
      <c r="AV201" s="30"/>
      <c r="AW201" s="322"/>
      <c r="AX201" s="315"/>
      <c r="AY201" s="315"/>
      <c r="AZ201" s="322"/>
      <c r="BA201" s="307"/>
      <c r="BB201" s="315"/>
      <c r="BC201" s="307"/>
      <c r="BD201" s="307"/>
      <c r="BE201" s="307"/>
      <c r="BF201" s="315"/>
      <c r="BG201" s="316"/>
      <c r="BH201" s="307"/>
      <c r="BI201" s="307"/>
      <c r="BJ201" s="315"/>
      <c r="BK201" s="322"/>
      <c r="BL201" s="307"/>
      <c r="BM201" s="307"/>
      <c r="BN201" s="315"/>
      <c r="BO201" s="322"/>
      <c r="BP201" s="307"/>
      <c r="BQ201" s="366"/>
      <c r="BR201" s="366"/>
      <c r="BT201" s="322"/>
      <c r="BU201" s="307"/>
      <c r="BV201" s="307"/>
      <c r="BW201" s="307"/>
      <c r="BX201" s="315"/>
      <c r="BY201" s="322"/>
      <c r="BZ201" s="307"/>
      <c r="CA201" s="307"/>
      <c r="CB201" s="307"/>
      <c r="CC201" s="315"/>
      <c r="CD201" s="307"/>
      <c r="CE201" s="307"/>
      <c r="CF201" s="307"/>
      <c r="CG201" s="307"/>
      <c r="CH201" s="315"/>
      <c r="CI201" s="322"/>
      <c r="CJ201" s="307"/>
      <c r="CK201" s="307"/>
      <c r="CL201" s="315"/>
      <c r="CM201" s="322"/>
      <c r="CN201" s="307"/>
      <c r="CO201" s="315"/>
      <c r="CP201" s="322"/>
      <c r="CQ201" s="307"/>
      <c r="CR201" s="315"/>
      <c r="CS201" s="322"/>
      <c r="CT201" s="307"/>
      <c r="CU201" s="315"/>
      <c r="CV201" s="322"/>
      <c r="CW201" s="307"/>
      <c r="CX201" s="315"/>
      <c r="CY201" s="322"/>
      <c r="CZ201" s="307"/>
      <c r="DA201" s="315"/>
      <c r="DB201" s="322"/>
      <c r="DC201" s="307"/>
      <c r="DD201" s="315"/>
      <c r="DE201" s="322"/>
      <c r="DF201" s="307"/>
      <c r="DG201" s="315"/>
      <c r="DH201" s="322"/>
      <c r="DI201" s="307"/>
      <c r="DJ201" s="307"/>
      <c r="DK201" s="307"/>
      <c r="DL201" s="307"/>
    </row>
    <row r="202" spans="1:116" ht="12.75" hidden="1" customHeight="1" outlineLevel="1">
      <c r="A202" s="30" t="str">
        <f>+A20</f>
        <v>4Q</v>
      </c>
      <c r="B202" s="30" t="str">
        <f>+B20</f>
        <v>Jan</v>
      </c>
      <c r="C202" s="30"/>
      <c r="D202" s="322">
        <f>1.21+0.076</f>
        <v>1.286</v>
      </c>
      <c r="E202" s="308">
        <f>+(D202/D196-1)*100</f>
        <v>33.126293995859221</v>
      </c>
      <c r="F202" s="322"/>
      <c r="G202" s="307"/>
      <c r="H202" s="307"/>
      <c r="I202" s="307"/>
      <c r="J202" s="316">
        <f>+D202+F202</f>
        <v>1.286</v>
      </c>
      <c r="K202" s="308">
        <f>+(J202/J196-1)*100</f>
        <v>33.126293995859221</v>
      </c>
      <c r="L202" s="322">
        <v>2.4E-2</v>
      </c>
      <c r="M202" s="308">
        <f>+(L202/L196-1)*100</f>
        <v>1100</v>
      </c>
      <c r="N202" s="322">
        <v>2.1509999999999998</v>
      </c>
      <c r="O202" s="308">
        <f>+(N202/N196-1)*100</f>
        <v>34.521575984990619</v>
      </c>
      <c r="P202" s="322">
        <v>0.35499999999999998</v>
      </c>
      <c r="Q202" s="308">
        <f>+(P202/P196-1)*100</f>
        <v>164.92537313432831</v>
      </c>
      <c r="R202" s="307"/>
      <c r="S202" s="307"/>
      <c r="T202" s="322">
        <v>3.5259999999999998</v>
      </c>
      <c r="U202" s="308">
        <f>+(T202/T196-1)*100</f>
        <v>11.370814908401773</v>
      </c>
      <c r="V202" s="322">
        <v>7.1999999999999995E-2</v>
      </c>
      <c r="W202" s="308">
        <f>+(V202/V196-1)*100</f>
        <v>414.28571428571422</v>
      </c>
      <c r="X202" s="308"/>
      <c r="Y202" s="308"/>
      <c r="Z202" s="322"/>
      <c r="AA202" s="308"/>
      <c r="AB202" s="322">
        <v>5.7210000000000001</v>
      </c>
      <c r="AC202" s="308">
        <f>+(AB202/AB196-1)*100</f>
        <v>12.2865554465162</v>
      </c>
      <c r="AD202" s="322">
        <v>3.2949999999999999</v>
      </c>
      <c r="AE202" s="308">
        <f>+(AD202/AD196-1)*100</f>
        <v>8.4952255515311279</v>
      </c>
      <c r="AF202" s="322"/>
      <c r="AG202" s="30"/>
      <c r="AH202" s="322">
        <v>0.26800000000000002</v>
      </c>
      <c r="AI202" s="308">
        <f>+(AH202/AH196-1)*100</f>
        <v>155.23809523809527</v>
      </c>
      <c r="AJ202" s="322">
        <v>0.115</v>
      </c>
      <c r="AK202" s="308">
        <f>+(AJ202/AJ196-1)*100</f>
        <v>27.777777777777789</v>
      </c>
      <c r="AL202" s="322">
        <v>0.192</v>
      </c>
      <c r="AM202" s="308">
        <f>+(AL202/AL196-1)*100</f>
        <v>15.662650602409634</v>
      </c>
      <c r="AN202" s="374">
        <v>3.0000000000000001E-3</v>
      </c>
      <c r="AO202" s="308"/>
      <c r="AP202" s="30"/>
      <c r="AQ202" s="453">
        <f>+J202+L202+N202+P202+R202+T202+V202+AB202+AD202+AF202+AH202+AJ202+AL202+AN202</f>
        <v>17.007999999999999</v>
      </c>
      <c r="AR202" s="308">
        <f>+(AQ202/AQ196-1)*100</f>
        <v>18.324753026297479</v>
      </c>
      <c r="AS202" s="308"/>
      <c r="AT202" s="30"/>
      <c r="AU202" s="30"/>
      <c r="AV202" s="30"/>
      <c r="AW202" s="322"/>
      <c r="AX202" s="315"/>
      <c r="AY202" s="315"/>
      <c r="AZ202" s="322"/>
      <c r="BA202" s="307"/>
      <c r="BB202" s="315"/>
      <c r="BC202" s="307"/>
      <c r="BD202" s="307"/>
      <c r="BE202" s="307"/>
      <c r="BF202" s="315"/>
      <c r="BG202" s="316"/>
      <c r="BH202" s="307"/>
      <c r="BI202" s="307"/>
      <c r="BJ202" s="315"/>
      <c r="BK202" s="322"/>
      <c r="BL202" s="307"/>
      <c r="BM202" s="307"/>
      <c r="BN202" s="315"/>
      <c r="BO202" s="322"/>
      <c r="BP202" s="307"/>
      <c r="BQ202" s="366"/>
      <c r="BR202" s="366"/>
      <c r="BT202" s="322"/>
      <c r="BU202" s="307"/>
      <c r="BV202" s="307"/>
      <c r="BW202" s="307"/>
      <c r="BX202" s="315"/>
      <c r="BY202" s="322"/>
      <c r="BZ202" s="307"/>
      <c r="CA202" s="307"/>
      <c r="CB202" s="307"/>
      <c r="CC202" s="315"/>
      <c r="CD202" s="307"/>
      <c r="CE202" s="307"/>
      <c r="CF202" s="307"/>
      <c r="CG202" s="307"/>
      <c r="CH202" s="315"/>
      <c r="CI202" s="322"/>
      <c r="CJ202" s="307"/>
      <c r="CK202" s="307"/>
      <c r="CL202" s="315"/>
      <c r="CM202" s="322"/>
      <c r="CN202" s="307"/>
      <c r="CO202" s="315"/>
      <c r="CP202" s="322"/>
      <c r="CQ202" s="307"/>
      <c r="CR202" s="315"/>
      <c r="CS202" s="322"/>
      <c r="CT202" s="307"/>
      <c r="CU202" s="315"/>
      <c r="CV202" s="322"/>
      <c r="CW202" s="307"/>
      <c r="CX202" s="315"/>
      <c r="CY202" s="322"/>
      <c r="CZ202" s="307"/>
      <c r="DA202" s="315"/>
      <c r="DB202" s="322"/>
      <c r="DC202" s="307"/>
      <c r="DD202" s="315"/>
      <c r="DE202" s="322"/>
      <c r="DF202" s="307"/>
      <c r="DG202" s="315"/>
      <c r="DH202" s="322"/>
      <c r="DI202" s="307"/>
      <c r="DJ202" s="307"/>
      <c r="DK202" s="307"/>
      <c r="DL202" s="307"/>
    </row>
    <row r="203" spans="1:116" ht="12.75" hidden="1" customHeight="1" outlineLevel="1">
      <c r="A203" s="30"/>
      <c r="B203" s="30"/>
      <c r="C203" s="30"/>
      <c r="D203" s="314"/>
      <c r="E203" s="310"/>
      <c r="F203" s="314"/>
      <c r="G203" s="30"/>
      <c r="H203" s="30"/>
      <c r="I203" s="30"/>
      <c r="J203" s="316"/>
      <c r="K203" s="30"/>
      <c r="L203" s="314"/>
      <c r="M203" s="30"/>
      <c r="N203" s="314"/>
      <c r="O203" s="30"/>
      <c r="P203" s="314"/>
      <c r="Q203" s="30"/>
      <c r="R203" s="30"/>
      <c r="S203" s="30"/>
      <c r="T203" s="314"/>
      <c r="U203" s="30"/>
      <c r="V203" s="314"/>
      <c r="W203" s="30"/>
      <c r="X203" s="30"/>
      <c r="Y203" s="30"/>
      <c r="Z203" s="314"/>
      <c r="AA203" s="30"/>
      <c r="AB203" s="314"/>
      <c r="AC203" s="30"/>
      <c r="AD203" s="314"/>
      <c r="AE203" s="30"/>
      <c r="AF203" s="30"/>
      <c r="AG203" s="30"/>
      <c r="AH203" s="30"/>
      <c r="AI203" s="30"/>
      <c r="AJ203" s="30"/>
      <c r="AK203" s="30"/>
      <c r="AL203" s="30"/>
      <c r="AM203" s="30"/>
      <c r="AN203" s="374"/>
      <c r="AO203" s="30"/>
      <c r="AP203" s="30"/>
      <c r="AQ203" s="453"/>
      <c r="AR203" s="30"/>
      <c r="AS203" s="30"/>
      <c r="AT203" s="30"/>
      <c r="AU203" s="30"/>
      <c r="AV203" s="30"/>
      <c r="AW203" s="314"/>
      <c r="AX203" s="310"/>
      <c r="AY203" s="310"/>
      <c r="AZ203" s="314"/>
      <c r="BA203" s="30"/>
      <c r="BB203" s="310"/>
      <c r="BC203" s="30"/>
      <c r="BD203" s="30"/>
      <c r="BE203" s="30"/>
      <c r="BF203" s="310"/>
      <c r="BG203" s="316"/>
      <c r="BH203" s="30"/>
      <c r="BI203" s="30"/>
      <c r="BJ203" s="310"/>
      <c r="BK203" s="314"/>
      <c r="BL203" s="30"/>
      <c r="BM203" s="30"/>
      <c r="BN203" s="310"/>
      <c r="BO203" s="314"/>
      <c r="BP203" s="30"/>
      <c r="BQ203" s="253"/>
      <c r="BR203" s="253"/>
      <c r="BS203" s="1177"/>
      <c r="BT203" s="314"/>
      <c r="BU203" s="30"/>
      <c r="BV203" s="30"/>
      <c r="BW203" s="30"/>
      <c r="BX203" s="310"/>
      <c r="BY203" s="314"/>
      <c r="BZ203" s="30"/>
      <c r="CA203" s="30"/>
      <c r="CB203" s="30"/>
      <c r="CC203" s="310"/>
      <c r="CD203" s="30"/>
      <c r="CE203" s="30"/>
      <c r="CF203" s="30"/>
      <c r="CG203" s="30"/>
      <c r="CH203" s="310"/>
      <c r="CI203" s="314"/>
      <c r="CJ203" s="30"/>
      <c r="CK203" s="30"/>
      <c r="CL203" s="310"/>
      <c r="CM203" s="314"/>
      <c r="CN203" s="30"/>
      <c r="CO203" s="310"/>
      <c r="CP203" s="314"/>
      <c r="CQ203" s="30"/>
      <c r="CR203" s="310"/>
      <c r="CS203" s="314"/>
      <c r="CT203" s="30"/>
      <c r="CU203" s="310"/>
      <c r="CV203" s="314"/>
      <c r="CW203" s="30"/>
      <c r="CX203" s="310"/>
      <c r="CY203" s="314"/>
      <c r="CZ203" s="30"/>
      <c r="DA203" s="310"/>
      <c r="DB203" s="314"/>
      <c r="DC203" s="30"/>
      <c r="DD203" s="310"/>
      <c r="DE203" s="314"/>
      <c r="DF203" s="30"/>
      <c r="DG203" s="310"/>
      <c r="DH203" s="314"/>
      <c r="DI203" s="30"/>
      <c r="DJ203" s="30"/>
      <c r="DK203" s="30"/>
      <c r="DL203" s="30"/>
    </row>
    <row r="204" spans="1:116" ht="12.75" hidden="1" customHeight="1" outlineLevel="1">
      <c r="A204" s="301"/>
      <c r="B204" s="312">
        <f>+B22</f>
        <v>1991</v>
      </c>
      <c r="C204" s="301"/>
      <c r="D204" s="301"/>
      <c r="E204" s="313"/>
      <c r="F204" s="301"/>
      <c r="G204" s="301"/>
      <c r="H204" s="301"/>
      <c r="I204" s="301"/>
      <c r="J204" s="301"/>
      <c r="K204" s="301"/>
      <c r="L204" s="301"/>
      <c r="M204" s="301"/>
      <c r="N204" s="301"/>
      <c r="O204" s="301"/>
      <c r="P204" s="301"/>
      <c r="Q204" s="301"/>
      <c r="R204" s="301"/>
      <c r="S204" s="301"/>
      <c r="T204" s="301"/>
      <c r="U204" s="301"/>
      <c r="V204" s="301"/>
      <c r="W204" s="301"/>
      <c r="X204" s="301"/>
      <c r="Y204" s="301"/>
      <c r="Z204" s="301"/>
      <c r="AA204" s="301"/>
      <c r="AB204" s="301"/>
      <c r="AC204" s="301"/>
      <c r="AD204" s="301"/>
      <c r="AE204" s="301"/>
      <c r="AF204" s="301"/>
      <c r="AG204" s="301"/>
      <c r="AH204" s="301"/>
      <c r="AI204" s="301"/>
      <c r="AJ204" s="301"/>
      <c r="AK204" s="301"/>
      <c r="AL204" s="301"/>
      <c r="AM204" s="301"/>
      <c r="AN204" s="374"/>
      <c r="AO204" s="301"/>
      <c r="AP204" s="301"/>
      <c r="AQ204" s="454"/>
      <c r="AR204" s="301"/>
      <c r="AS204" s="301"/>
      <c r="AT204" s="301"/>
      <c r="AU204" s="301"/>
      <c r="AV204" s="301"/>
      <c r="AW204" s="301"/>
      <c r="AX204" s="313"/>
      <c r="AY204" s="313"/>
      <c r="AZ204" s="301"/>
      <c r="BA204" s="301"/>
      <c r="BB204" s="313"/>
      <c r="BC204" s="301"/>
      <c r="BD204" s="301"/>
      <c r="BE204" s="301"/>
      <c r="BF204" s="313"/>
      <c r="BG204" s="301"/>
      <c r="BH204" s="301"/>
      <c r="BI204" s="301"/>
      <c r="BJ204" s="313"/>
      <c r="BK204" s="301"/>
      <c r="BL204" s="301"/>
      <c r="BM204" s="301"/>
      <c r="BN204" s="313"/>
      <c r="BO204" s="301"/>
      <c r="BP204" s="301"/>
      <c r="BQ204" s="614"/>
      <c r="BR204" s="614"/>
      <c r="BS204" s="920"/>
      <c r="BT204" s="301"/>
      <c r="BU204" s="301"/>
      <c r="BV204" s="301"/>
      <c r="BW204" s="301"/>
      <c r="BX204" s="313"/>
      <c r="BY204" s="301"/>
      <c r="BZ204" s="301"/>
      <c r="CA204" s="301"/>
      <c r="CB204" s="301"/>
      <c r="CC204" s="313"/>
      <c r="CD204" s="301"/>
      <c r="CE204" s="301"/>
      <c r="CF204" s="301"/>
      <c r="CG204" s="301"/>
      <c r="CH204" s="313"/>
      <c r="CI204" s="301"/>
      <c r="CJ204" s="301"/>
      <c r="CK204" s="301"/>
      <c r="CL204" s="313"/>
      <c r="CM204" s="301"/>
      <c r="CN204" s="301"/>
      <c r="CO204" s="313"/>
      <c r="CP204" s="301"/>
      <c r="CQ204" s="301"/>
      <c r="CR204" s="313"/>
      <c r="CS204" s="301"/>
      <c r="CT204" s="301"/>
      <c r="CU204" s="313"/>
      <c r="CV204" s="301"/>
      <c r="CW204" s="301"/>
      <c r="CX204" s="313"/>
      <c r="CY204" s="301"/>
      <c r="CZ204" s="301"/>
      <c r="DA204" s="313"/>
      <c r="DB204" s="301"/>
      <c r="DC204" s="301"/>
      <c r="DD204" s="313"/>
      <c r="DE204" s="301"/>
      <c r="DF204" s="301"/>
      <c r="DG204" s="313"/>
      <c r="DH204" s="301"/>
      <c r="DI204" s="301"/>
      <c r="DJ204" s="301"/>
      <c r="DK204" s="301"/>
      <c r="DL204" s="301"/>
    </row>
    <row r="205" spans="1:116" hidden="1" outlineLevel="1">
      <c r="A205" s="30" t="str">
        <f>+A23</f>
        <v>1Q</v>
      </c>
      <c r="B205" s="30" t="str">
        <f>+B23</f>
        <v>Apr</v>
      </c>
      <c r="C205" s="30"/>
      <c r="D205" s="322"/>
      <c r="E205" s="315"/>
      <c r="F205" s="322"/>
      <c r="G205" s="307"/>
      <c r="H205" s="307"/>
      <c r="I205" s="307"/>
      <c r="J205" s="316"/>
      <c r="K205" s="307"/>
      <c r="L205" s="322"/>
      <c r="M205" s="307"/>
      <c r="N205" s="322"/>
      <c r="O205" s="307"/>
      <c r="P205" s="322"/>
      <c r="Q205" s="307"/>
      <c r="R205" s="307"/>
      <c r="S205" s="307"/>
      <c r="T205" s="322"/>
      <c r="U205" s="307"/>
      <c r="V205" s="322"/>
      <c r="W205" s="307"/>
      <c r="X205" s="307"/>
      <c r="Y205" s="307"/>
      <c r="Z205" s="322"/>
      <c r="AA205" s="307"/>
      <c r="AB205" s="322"/>
      <c r="AC205" s="30"/>
      <c r="AD205" s="322"/>
      <c r="AE205" s="307"/>
      <c r="AF205" s="322"/>
      <c r="AG205" s="30"/>
      <c r="AH205" s="322"/>
      <c r="AI205" s="30"/>
      <c r="AJ205" s="322"/>
      <c r="AK205" s="30"/>
      <c r="AL205" s="322"/>
      <c r="AM205" s="30"/>
      <c r="AN205" s="374"/>
      <c r="AO205" s="30"/>
      <c r="AP205" s="30"/>
      <c r="AQ205" s="455">
        <v>17.324999999999999</v>
      </c>
      <c r="AR205" s="308">
        <f>+(AQ205/AQ199-1)*100</f>
        <v>16.950182260024292</v>
      </c>
      <c r="AS205" s="308"/>
      <c r="AT205" s="30"/>
      <c r="AU205" s="30"/>
      <c r="AV205" s="30"/>
      <c r="AW205" s="322"/>
      <c r="AX205" s="315"/>
      <c r="AY205" s="315"/>
      <c r="AZ205" s="322"/>
      <c r="BA205" s="307"/>
      <c r="BB205" s="315"/>
      <c r="BC205" s="307"/>
      <c r="BD205" s="307"/>
      <c r="BE205" s="307"/>
      <c r="BF205" s="315"/>
      <c r="BG205" s="316"/>
      <c r="BH205" s="307"/>
      <c r="BI205" s="307"/>
      <c r="BJ205" s="315"/>
      <c r="BK205" s="322"/>
      <c r="BL205" s="307"/>
      <c r="BM205" s="307"/>
      <c r="BN205" s="315"/>
      <c r="BO205" s="322"/>
      <c r="BP205" s="307"/>
      <c r="BQ205" s="366"/>
      <c r="BR205" s="366"/>
      <c r="BT205" s="322"/>
      <c r="BU205" s="307"/>
      <c r="BV205" s="307"/>
      <c r="BW205" s="307"/>
      <c r="BX205" s="315"/>
      <c r="BY205" s="322"/>
      <c r="BZ205" s="307"/>
      <c r="CA205" s="307"/>
      <c r="CB205" s="307"/>
      <c r="CC205" s="315"/>
      <c r="CD205" s="307"/>
      <c r="CE205" s="307"/>
      <c r="CF205" s="307"/>
      <c r="CG205" s="307"/>
      <c r="CH205" s="315"/>
      <c r="CI205" s="322"/>
      <c r="CJ205" s="307"/>
      <c r="CK205" s="307"/>
      <c r="CL205" s="315"/>
      <c r="CM205" s="322"/>
      <c r="CN205" s="307"/>
      <c r="CO205" s="315"/>
      <c r="CP205" s="322"/>
      <c r="CQ205" s="307"/>
      <c r="CR205" s="315"/>
      <c r="CS205" s="322"/>
      <c r="CT205" s="307"/>
      <c r="CU205" s="315"/>
      <c r="CV205" s="322"/>
      <c r="CW205" s="307"/>
      <c r="CX205" s="315"/>
      <c r="CY205" s="322"/>
      <c r="CZ205" s="307"/>
      <c r="DA205" s="315"/>
      <c r="DB205" s="322"/>
      <c r="DC205" s="307"/>
      <c r="DD205" s="315"/>
      <c r="DE205" s="322"/>
      <c r="DF205" s="307"/>
      <c r="DG205" s="315"/>
      <c r="DH205" s="322"/>
      <c r="DI205" s="307"/>
      <c r="DJ205" s="307"/>
      <c r="DK205" s="307"/>
      <c r="DL205" s="307"/>
    </row>
    <row r="206" spans="1:116" hidden="1" outlineLevel="1">
      <c r="A206" s="30" t="str">
        <f>+A24</f>
        <v>2Q</v>
      </c>
      <c r="B206" s="30" t="str">
        <f>+B24</f>
        <v>Jul</v>
      </c>
      <c r="C206" s="30"/>
      <c r="D206" s="322"/>
      <c r="E206" s="315"/>
      <c r="F206" s="322"/>
      <c r="G206" s="307"/>
      <c r="H206" s="307"/>
      <c r="I206" s="307"/>
      <c r="J206" s="316"/>
      <c r="K206" s="307"/>
      <c r="L206" s="322"/>
      <c r="M206" s="307"/>
      <c r="N206" s="322"/>
      <c r="O206" s="307"/>
      <c r="P206" s="322"/>
      <c r="Q206" s="307"/>
      <c r="R206" s="307"/>
      <c r="S206" s="307"/>
      <c r="T206" s="322"/>
      <c r="U206" s="307"/>
      <c r="V206" s="322"/>
      <c r="W206" s="307"/>
      <c r="X206" s="307"/>
      <c r="Y206" s="307"/>
      <c r="Z206" s="322"/>
      <c r="AA206" s="307"/>
      <c r="AB206" s="322"/>
      <c r="AC206" s="30"/>
      <c r="AD206" s="322"/>
      <c r="AE206" s="307"/>
      <c r="AF206" s="322"/>
      <c r="AG206" s="30"/>
      <c r="AH206" s="322"/>
      <c r="AI206" s="30"/>
      <c r="AJ206" s="322"/>
      <c r="AK206" s="30"/>
      <c r="AL206" s="322"/>
      <c r="AM206" s="30"/>
      <c r="AN206" s="374"/>
      <c r="AO206" s="30"/>
      <c r="AP206" s="30"/>
      <c r="AQ206" s="455">
        <v>18.036000000000001</v>
      </c>
      <c r="AR206" s="308">
        <f>+(AQ206/AQ200-1)*100</f>
        <v>16.783216783216794</v>
      </c>
      <c r="AS206" s="308"/>
      <c r="AT206" s="30"/>
      <c r="AU206" s="30"/>
      <c r="AV206" s="30"/>
      <c r="AW206" s="322"/>
      <c r="AX206" s="315"/>
      <c r="AY206" s="315"/>
      <c r="AZ206" s="322"/>
      <c r="BA206" s="307"/>
      <c r="BB206" s="315"/>
      <c r="BC206" s="307"/>
      <c r="BD206" s="307"/>
      <c r="BE206" s="307"/>
      <c r="BF206" s="315"/>
      <c r="BG206" s="316"/>
      <c r="BH206" s="307"/>
      <c r="BI206" s="307"/>
      <c r="BJ206" s="315"/>
      <c r="BK206" s="322"/>
      <c r="BL206" s="307"/>
      <c r="BM206" s="307"/>
      <c r="BN206" s="315"/>
      <c r="BO206" s="322"/>
      <c r="BP206" s="307"/>
      <c r="BQ206" s="366"/>
      <c r="BR206" s="366"/>
      <c r="BT206" s="322"/>
      <c r="BU206" s="307"/>
      <c r="BV206" s="307"/>
      <c r="BW206" s="307"/>
      <c r="BX206" s="315"/>
      <c r="BY206" s="322"/>
      <c r="BZ206" s="307"/>
      <c r="CA206" s="307"/>
      <c r="CB206" s="307"/>
      <c r="CC206" s="315"/>
      <c r="CD206" s="307"/>
      <c r="CE206" s="307"/>
      <c r="CF206" s="307"/>
      <c r="CG206" s="307"/>
      <c r="CH206" s="315"/>
      <c r="CI206" s="322"/>
      <c r="CJ206" s="307"/>
      <c r="CK206" s="307"/>
      <c r="CL206" s="315"/>
      <c r="CM206" s="322"/>
      <c r="CN206" s="307"/>
      <c r="CO206" s="315"/>
      <c r="CP206" s="322"/>
      <c r="CQ206" s="307"/>
      <c r="CR206" s="315"/>
      <c r="CS206" s="322"/>
      <c r="CT206" s="307"/>
      <c r="CU206" s="315"/>
      <c r="CV206" s="322"/>
      <c r="CW206" s="307"/>
      <c r="CX206" s="315"/>
      <c r="CY206" s="322"/>
      <c r="CZ206" s="307"/>
      <c r="DA206" s="315"/>
      <c r="DB206" s="322"/>
      <c r="DC206" s="307"/>
      <c r="DD206" s="315"/>
      <c r="DE206" s="322"/>
      <c r="DF206" s="307"/>
      <c r="DG206" s="315"/>
      <c r="DH206" s="322"/>
      <c r="DI206" s="307"/>
      <c r="DJ206" s="307"/>
      <c r="DK206" s="307"/>
      <c r="DL206" s="307"/>
    </row>
    <row r="207" spans="1:116" hidden="1" outlineLevel="1">
      <c r="A207" s="30" t="str">
        <f>+A25</f>
        <v>3Q</v>
      </c>
      <c r="B207" s="30" t="str">
        <f>+B25</f>
        <v>Oct</v>
      </c>
      <c r="C207" s="30"/>
      <c r="D207" s="322">
        <v>1.5720000000000001</v>
      </c>
      <c r="E207" s="315"/>
      <c r="F207" s="322"/>
      <c r="G207" s="307"/>
      <c r="H207" s="307"/>
      <c r="I207" s="307"/>
      <c r="J207" s="316">
        <f>+D207+F207</f>
        <v>1.5720000000000001</v>
      </c>
      <c r="K207" s="307"/>
      <c r="L207" s="322">
        <v>7.9000000000000001E-2</v>
      </c>
      <c r="M207" s="307"/>
      <c r="N207" s="322">
        <v>2.681</v>
      </c>
      <c r="O207" s="307"/>
      <c r="P207" s="322">
        <v>0.57699999999999996</v>
      </c>
      <c r="Q207" s="307"/>
      <c r="R207" s="307"/>
      <c r="S207" s="307"/>
      <c r="T207" s="322">
        <v>3.8420000000000001</v>
      </c>
      <c r="U207" s="307"/>
      <c r="V207" s="322">
        <v>9.2999999999999999E-2</v>
      </c>
      <c r="W207" s="307"/>
      <c r="X207" s="307"/>
      <c r="Y207" s="307"/>
      <c r="Z207" s="322"/>
      <c r="AA207" s="307"/>
      <c r="AB207" s="322">
        <v>6.3040000000000003</v>
      </c>
      <c r="AC207" s="30"/>
      <c r="AD207" s="322">
        <v>3.4729999999999999</v>
      </c>
      <c r="AE207" s="307"/>
      <c r="AF207" s="322"/>
      <c r="AG207" s="30"/>
      <c r="AH207" s="322">
        <v>0.443</v>
      </c>
      <c r="AI207" s="30"/>
      <c r="AJ207" s="322">
        <v>0.122</v>
      </c>
      <c r="AK207" s="30"/>
      <c r="AL207" s="322">
        <v>0.28799999999999998</v>
      </c>
      <c r="AM207" s="30"/>
      <c r="AN207" s="374">
        <v>3.0000000000000001E-3</v>
      </c>
      <c r="AO207" s="30"/>
      <c r="AP207" s="30"/>
      <c r="AQ207" s="453">
        <f>+J207+L207+N207+P207+R207+T207+V207+AB207+AD207+AF207+AH207+AJ207+AL207+AN207</f>
        <v>19.477</v>
      </c>
      <c r="AR207" s="308">
        <f>+(AQ207/AQ201-1)*100</f>
        <v>17.685800604229595</v>
      </c>
      <c r="AS207" s="308"/>
      <c r="AT207" s="30"/>
      <c r="AU207" s="30"/>
      <c r="AV207" s="30"/>
      <c r="AW207" s="322"/>
      <c r="AX207" s="315"/>
      <c r="AY207" s="315"/>
      <c r="AZ207" s="322"/>
      <c r="BA207" s="307"/>
      <c r="BB207" s="315"/>
      <c r="BC207" s="307"/>
      <c r="BD207" s="307"/>
      <c r="BE207" s="307"/>
      <c r="BF207" s="315"/>
      <c r="BG207" s="316"/>
      <c r="BH207" s="307"/>
      <c r="BI207" s="307"/>
      <c r="BJ207" s="315"/>
      <c r="BK207" s="322"/>
      <c r="BL207" s="307"/>
      <c r="BM207" s="307"/>
      <c r="BN207" s="315"/>
      <c r="BO207" s="322"/>
      <c r="BP207" s="307"/>
      <c r="BQ207" s="366"/>
      <c r="BR207" s="366"/>
      <c r="BT207" s="322"/>
      <c r="BU207" s="307"/>
      <c r="BV207" s="307"/>
      <c r="BW207" s="307"/>
      <c r="BX207" s="315"/>
      <c r="BY207" s="322"/>
      <c r="BZ207" s="307"/>
      <c r="CA207" s="307"/>
      <c r="CB207" s="307"/>
      <c r="CC207" s="315"/>
      <c r="CD207" s="307"/>
      <c r="CE207" s="307"/>
      <c r="CF207" s="307"/>
      <c r="CG207" s="307"/>
      <c r="CH207" s="315"/>
      <c r="CI207" s="322"/>
      <c r="CJ207" s="307"/>
      <c r="CK207" s="307"/>
      <c r="CL207" s="315"/>
      <c r="CM207" s="322"/>
      <c r="CN207" s="307"/>
      <c r="CO207" s="315"/>
      <c r="CP207" s="322"/>
      <c r="CQ207" s="307"/>
      <c r="CR207" s="315"/>
      <c r="CS207" s="322"/>
      <c r="CT207" s="307"/>
      <c r="CU207" s="315"/>
      <c r="CV207" s="322"/>
      <c r="CW207" s="307"/>
      <c r="CX207" s="315"/>
      <c r="CY207" s="322"/>
      <c r="CZ207" s="307"/>
      <c r="DA207" s="315"/>
      <c r="DB207" s="322"/>
      <c r="DC207" s="307"/>
      <c r="DD207" s="315"/>
      <c r="DE207" s="322"/>
      <c r="DF207" s="307"/>
      <c r="DG207" s="315"/>
      <c r="DH207" s="322"/>
      <c r="DI207" s="307"/>
      <c r="DJ207" s="307"/>
      <c r="DK207" s="307"/>
      <c r="DL207" s="307"/>
    </row>
    <row r="208" spans="1:116" hidden="1" outlineLevel="1">
      <c r="A208" s="30" t="str">
        <f>+A26</f>
        <v>4Q</v>
      </c>
      <c r="B208" s="30" t="str">
        <f>+B26</f>
        <v>Jan</v>
      </c>
      <c r="C208" s="30"/>
      <c r="D208" s="322">
        <v>1.6659999999999999</v>
      </c>
      <c r="E208" s="308">
        <f>+(D208/D202-1)*100</f>
        <v>29.548989113530322</v>
      </c>
      <c r="F208" s="322"/>
      <c r="G208" s="307"/>
      <c r="H208" s="307"/>
      <c r="I208" s="307"/>
      <c r="J208" s="316">
        <f>+D208+F208</f>
        <v>1.6659999999999999</v>
      </c>
      <c r="K208" s="308">
        <f>+(J208/J202-1)*100</f>
        <v>29.548989113530322</v>
      </c>
      <c r="L208" s="322">
        <v>9.9000000000000005E-2</v>
      </c>
      <c r="M208" s="308">
        <f>+(L208/L202-1)*100</f>
        <v>312.5</v>
      </c>
      <c r="N208" s="322">
        <v>2.9260000000000002</v>
      </c>
      <c r="O208" s="308">
        <f>+(N208/N202-1)*100</f>
        <v>36.029753602975376</v>
      </c>
      <c r="P208" s="322">
        <v>0.67600000000000005</v>
      </c>
      <c r="Q208" s="308">
        <f>+(P208/P202-1)*100</f>
        <v>90.422535211267615</v>
      </c>
      <c r="R208" s="307"/>
      <c r="S208" s="307"/>
      <c r="T208" s="322">
        <v>3.927</v>
      </c>
      <c r="U208" s="308">
        <f>+(T208/T202-1)*100</f>
        <v>11.372660238230292</v>
      </c>
      <c r="V208" s="322">
        <v>9.2999999999999999E-2</v>
      </c>
      <c r="W208" s="308">
        <f>+(V208/V202-1)*100</f>
        <v>29.166666666666675</v>
      </c>
      <c r="X208" s="308"/>
      <c r="Y208" s="308"/>
      <c r="Z208" s="322"/>
      <c r="AA208" s="308"/>
      <c r="AB208" s="322">
        <v>6.5149999999999997</v>
      </c>
      <c r="AC208" s="308">
        <f>+(AB208/AB202-1)*100</f>
        <v>13.878692536269877</v>
      </c>
      <c r="AD208" s="322">
        <v>3.5219999999999998</v>
      </c>
      <c r="AE208" s="308">
        <f>+(AD208/AD202-1)*100</f>
        <v>6.8892261001517463</v>
      </c>
      <c r="AF208" s="322"/>
      <c r="AG208" s="30"/>
      <c r="AH208" s="322">
        <v>0.51400000000000001</v>
      </c>
      <c r="AI208" s="308">
        <f>+(AH208/AH202-1)*100</f>
        <v>91.791044776119392</v>
      </c>
      <c r="AJ208" s="322">
        <v>0.127</v>
      </c>
      <c r="AK208" s="308">
        <f>+(AJ208/AJ202-1)*100</f>
        <v>10.434782608695659</v>
      </c>
      <c r="AL208" s="322">
        <v>0.28699999999999998</v>
      </c>
      <c r="AM208" s="308">
        <f>+(AL208/AL202-1)*100</f>
        <v>49.47916666666665</v>
      </c>
      <c r="AN208" s="374">
        <v>3.0000000000000001E-3</v>
      </c>
      <c r="AO208" s="308">
        <f>+(AN208/AN202-1)*100</f>
        <v>0</v>
      </c>
      <c r="AP208" s="30"/>
      <c r="AQ208" s="453">
        <f>+J208+L208+N208+P208+R208+T208+V208+AB208+AD208+AF208+AH208+AJ208+AL208+AN208</f>
        <v>20.354999999999997</v>
      </c>
      <c r="AR208" s="308">
        <f>+(AQ208/AQ202-1)*100</f>
        <v>19.678974600188127</v>
      </c>
      <c r="AS208" s="308"/>
      <c r="AT208" s="30"/>
      <c r="AU208" s="30"/>
      <c r="AV208" s="30"/>
      <c r="AW208" s="322"/>
      <c r="AX208" s="315"/>
      <c r="AY208" s="315"/>
      <c r="AZ208" s="322"/>
      <c r="BA208" s="307"/>
      <c r="BB208" s="315"/>
      <c r="BC208" s="307"/>
      <c r="BD208" s="307"/>
      <c r="BE208" s="307"/>
      <c r="BF208" s="315"/>
      <c r="BG208" s="316"/>
      <c r="BH208" s="307"/>
      <c r="BI208" s="307"/>
      <c r="BJ208" s="315"/>
      <c r="BK208" s="322"/>
      <c r="BL208" s="307"/>
      <c r="BM208" s="307"/>
      <c r="BN208" s="315"/>
      <c r="BO208" s="322"/>
      <c r="BP208" s="307"/>
      <c r="BQ208" s="366"/>
      <c r="BR208" s="366"/>
      <c r="BT208" s="322"/>
      <c r="BU208" s="307"/>
      <c r="BV208" s="307"/>
      <c r="BW208" s="307"/>
      <c r="BX208" s="315"/>
      <c r="BY208" s="322"/>
      <c r="BZ208" s="307"/>
      <c r="CA208" s="307"/>
      <c r="CB208" s="307"/>
      <c r="CC208" s="315"/>
      <c r="CD208" s="307"/>
      <c r="CE208" s="307"/>
      <c r="CF208" s="307"/>
      <c r="CG208" s="307"/>
      <c r="CH208" s="315"/>
      <c r="CI208" s="322"/>
      <c r="CJ208" s="307"/>
      <c r="CK208" s="307"/>
      <c r="CL208" s="315"/>
      <c r="CM208" s="322"/>
      <c r="CN208" s="307"/>
      <c r="CO208" s="315"/>
      <c r="CP208" s="322"/>
      <c r="CQ208" s="307"/>
      <c r="CR208" s="315"/>
      <c r="CS208" s="322"/>
      <c r="CT208" s="307"/>
      <c r="CU208" s="315"/>
      <c r="CV208" s="322"/>
      <c r="CW208" s="307"/>
      <c r="CX208" s="315"/>
      <c r="CY208" s="322"/>
      <c r="CZ208" s="307"/>
      <c r="DA208" s="315"/>
      <c r="DB208" s="322"/>
      <c r="DC208" s="307"/>
      <c r="DD208" s="315"/>
      <c r="DE208" s="322"/>
      <c r="DF208" s="307"/>
      <c r="DG208" s="315"/>
      <c r="DH208" s="322"/>
      <c r="DI208" s="307"/>
      <c r="DJ208" s="307"/>
      <c r="DK208" s="307"/>
      <c r="DL208" s="307"/>
    </row>
    <row r="209" spans="1:116" hidden="1" outlineLevel="1">
      <c r="A209" s="30"/>
      <c r="B209" s="30"/>
      <c r="C209" s="30"/>
      <c r="D209" s="314"/>
      <c r="E209" s="310"/>
      <c r="F209" s="314"/>
      <c r="G209" s="30"/>
      <c r="H209" s="30"/>
      <c r="I209" s="30"/>
      <c r="J209" s="316"/>
      <c r="K209" s="30"/>
      <c r="L209" s="314"/>
      <c r="M209" s="30"/>
      <c r="N209" s="314"/>
      <c r="O209" s="30"/>
      <c r="P209" s="314"/>
      <c r="Q209" s="30"/>
      <c r="R209" s="30"/>
      <c r="S209" s="30"/>
      <c r="T209" s="314"/>
      <c r="U209" s="30"/>
      <c r="V209" s="314"/>
      <c r="W209" s="30"/>
      <c r="X209" s="30"/>
      <c r="Y209" s="30"/>
      <c r="Z209" s="314"/>
      <c r="AA209" s="30"/>
      <c r="AB209" s="314"/>
      <c r="AC209" s="30"/>
      <c r="AD209" s="314"/>
      <c r="AE209" s="30"/>
      <c r="AF209" s="30"/>
      <c r="AG209" s="30"/>
      <c r="AH209" s="30"/>
      <c r="AI209" s="30"/>
      <c r="AJ209" s="30"/>
      <c r="AK209" s="30"/>
      <c r="AL209" s="30"/>
      <c r="AM209" s="30"/>
      <c r="AN209" s="374"/>
      <c r="AO209" s="30"/>
      <c r="AP209" s="30"/>
      <c r="AQ209" s="453"/>
      <c r="AR209" s="30"/>
      <c r="AS209" s="30"/>
      <c r="AT209" s="30"/>
      <c r="AU209" s="30"/>
      <c r="AV209" s="30"/>
      <c r="AW209" s="314"/>
      <c r="AX209" s="310"/>
      <c r="AY209" s="310"/>
      <c r="AZ209" s="314"/>
      <c r="BA209" s="30"/>
      <c r="BB209" s="310"/>
      <c r="BC209" s="30"/>
      <c r="BD209" s="30"/>
      <c r="BE209" s="30"/>
      <c r="BF209" s="310"/>
      <c r="BG209" s="316"/>
      <c r="BH209" s="30"/>
      <c r="BI209" s="30"/>
      <c r="BJ209" s="310"/>
      <c r="BK209" s="314"/>
      <c r="BL209" s="30"/>
      <c r="BM209" s="30"/>
      <c r="BN209" s="310"/>
      <c r="BO209" s="314"/>
      <c r="BP209" s="30"/>
      <c r="BQ209" s="253"/>
      <c r="BR209" s="253"/>
      <c r="BS209" s="1177"/>
      <c r="BT209" s="314"/>
      <c r="BU209" s="30"/>
      <c r="BV209" s="30"/>
      <c r="BW209" s="30"/>
      <c r="BX209" s="310"/>
      <c r="BY209" s="314"/>
      <c r="BZ209" s="30"/>
      <c r="CA209" s="30"/>
      <c r="CB209" s="30"/>
      <c r="CC209" s="310"/>
      <c r="CD209" s="30"/>
      <c r="CE209" s="30"/>
      <c r="CF209" s="30"/>
      <c r="CG209" s="30"/>
      <c r="CH209" s="310"/>
      <c r="CI209" s="314"/>
      <c r="CJ209" s="30"/>
      <c r="CK209" s="30"/>
      <c r="CL209" s="310"/>
      <c r="CM209" s="314"/>
      <c r="CN209" s="30"/>
      <c r="CO209" s="310"/>
      <c r="CP209" s="314"/>
      <c r="CQ209" s="30"/>
      <c r="CR209" s="310"/>
      <c r="CS209" s="314"/>
      <c r="CT209" s="30"/>
      <c r="CU209" s="310"/>
      <c r="CV209" s="314"/>
      <c r="CW209" s="30"/>
      <c r="CX209" s="310"/>
      <c r="CY209" s="314"/>
      <c r="CZ209" s="30"/>
      <c r="DA209" s="310"/>
      <c r="DB209" s="314"/>
      <c r="DC209" s="30"/>
      <c r="DD209" s="310"/>
      <c r="DE209" s="314"/>
      <c r="DF209" s="30"/>
      <c r="DG209" s="310"/>
      <c r="DH209" s="314"/>
      <c r="DI209" s="30"/>
      <c r="DJ209" s="30"/>
      <c r="DK209" s="30"/>
      <c r="DL209" s="30"/>
    </row>
    <row r="210" spans="1:116" hidden="1" outlineLevel="1">
      <c r="A210" s="301"/>
      <c r="B210" s="312">
        <f>+B28</f>
        <v>1992</v>
      </c>
      <c r="C210" s="301"/>
      <c r="D210" s="301"/>
      <c r="E210" s="313"/>
      <c r="F210" s="301"/>
      <c r="G210" s="301"/>
      <c r="H210" s="301"/>
      <c r="I210" s="301"/>
      <c r="J210" s="301"/>
      <c r="K210" s="301"/>
      <c r="L210" s="301"/>
      <c r="M210" s="301"/>
      <c r="N210" s="301"/>
      <c r="O210" s="301"/>
      <c r="P210" s="301"/>
      <c r="Q210" s="301"/>
      <c r="R210" s="301"/>
      <c r="S210" s="301"/>
      <c r="T210" s="301"/>
      <c r="U210" s="301"/>
      <c r="V210" s="301"/>
      <c r="W210" s="301"/>
      <c r="X210" s="301"/>
      <c r="Y210" s="301"/>
      <c r="Z210" s="301"/>
      <c r="AA210" s="301"/>
      <c r="AB210" s="301"/>
      <c r="AC210" s="301"/>
      <c r="AD210" s="301"/>
      <c r="AE210" s="301"/>
      <c r="AF210" s="301"/>
      <c r="AG210" s="301"/>
      <c r="AH210" s="301"/>
      <c r="AI210" s="301"/>
      <c r="AJ210" s="301"/>
      <c r="AK210" s="301"/>
      <c r="AL210" s="301"/>
      <c r="AM210" s="301"/>
      <c r="AN210" s="374"/>
      <c r="AO210" s="301"/>
      <c r="AP210" s="301"/>
      <c r="AQ210" s="454"/>
      <c r="AR210" s="301"/>
      <c r="AS210" s="301"/>
      <c r="AT210" s="301"/>
      <c r="AU210" s="301"/>
      <c r="AV210" s="301"/>
      <c r="AW210" s="301"/>
      <c r="AX210" s="313"/>
      <c r="AY210" s="313"/>
      <c r="AZ210" s="301"/>
      <c r="BA210" s="301"/>
      <c r="BB210" s="313"/>
      <c r="BC210" s="301"/>
      <c r="BD210" s="301"/>
      <c r="BE210" s="301"/>
      <c r="BF210" s="313"/>
      <c r="BG210" s="301"/>
      <c r="BH210" s="301"/>
      <c r="BI210" s="301"/>
      <c r="BJ210" s="313"/>
      <c r="BK210" s="301"/>
      <c r="BL210" s="301"/>
      <c r="BM210" s="301"/>
      <c r="BN210" s="313"/>
      <c r="BO210" s="301"/>
      <c r="BP210" s="301"/>
      <c r="BQ210" s="614"/>
      <c r="BR210" s="614"/>
      <c r="BS210" s="920"/>
      <c r="BT210" s="301"/>
      <c r="BU210" s="301"/>
      <c r="BV210" s="301"/>
      <c r="BW210" s="301"/>
      <c r="BX210" s="313"/>
      <c r="BY210" s="301"/>
      <c r="BZ210" s="301"/>
      <c r="CA210" s="301"/>
      <c r="CB210" s="301"/>
      <c r="CC210" s="313"/>
      <c r="CD210" s="301"/>
      <c r="CE210" s="301"/>
      <c r="CF210" s="301"/>
      <c r="CG210" s="301"/>
      <c r="CH210" s="313"/>
      <c r="CI210" s="301"/>
      <c r="CJ210" s="301"/>
      <c r="CK210" s="301"/>
      <c r="CL210" s="313"/>
      <c r="CM210" s="301"/>
      <c r="CN210" s="301"/>
      <c r="CO210" s="313"/>
      <c r="CP210" s="301"/>
      <c r="CQ210" s="301"/>
      <c r="CR210" s="313"/>
      <c r="CS210" s="301"/>
      <c r="CT210" s="301"/>
      <c r="CU210" s="313"/>
      <c r="CV210" s="301"/>
      <c r="CW210" s="301"/>
      <c r="CX210" s="313"/>
      <c r="CY210" s="301"/>
      <c r="CZ210" s="301"/>
      <c r="DA210" s="313"/>
      <c r="DB210" s="301"/>
      <c r="DC210" s="301"/>
      <c r="DD210" s="313"/>
      <c r="DE210" s="301"/>
      <c r="DF210" s="301"/>
      <c r="DG210" s="313"/>
      <c r="DH210" s="301"/>
      <c r="DI210" s="301"/>
      <c r="DJ210" s="301"/>
      <c r="DK210" s="301"/>
      <c r="DL210" s="301"/>
    </row>
    <row r="211" spans="1:116" hidden="1" outlineLevel="1">
      <c r="A211" s="30" t="str">
        <f>+A29</f>
        <v>1Q</v>
      </c>
      <c r="B211" s="30" t="str">
        <f>+B29</f>
        <v>Apr</v>
      </c>
      <c r="C211" s="30"/>
      <c r="D211" s="322"/>
      <c r="E211" s="315"/>
      <c r="F211" s="322"/>
      <c r="G211" s="307"/>
      <c r="H211" s="307"/>
      <c r="I211" s="307"/>
      <c r="J211" s="316">
        <f>+D211+F211</f>
        <v>0</v>
      </c>
      <c r="K211" s="307"/>
      <c r="L211" s="322"/>
      <c r="M211" s="307"/>
      <c r="N211" s="322"/>
      <c r="O211" s="307"/>
      <c r="P211" s="322"/>
      <c r="Q211" s="307"/>
      <c r="R211" s="307"/>
      <c r="S211" s="307"/>
      <c r="T211" s="322"/>
      <c r="U211" s="307"/>
      <c r="V211" s="322"/>
      <c r="W211" s="307"/>
      <c r="X211" s="307"/>
      <c r="Y211" s="307"/>
      <c r="Z211" s="322"/>
      <c r="AA211" s="307"/>
      <c r="AB211" s="322"/>
      <c r="AC211" s="30"/>
      <c r="AD211" s="322"/>
      <c r="AE211" s="307"/>
      <c r="AF211" s="322"/>
      <c r="AG211" s="30"/>
      <c r="AH211" s="322"/>
      <c r="AI211" s="30"/>
      <c r="AJ211" s="322"/>
      <c r="AK211" s="30"/>
      <c r="AL211" s="322"/>
      <c r="AM211" s="30"/>
      <c r="AN211" s="374"/>
      <c r="AO211" s="30"/>
      <c r="AP211" s="30"/>
      <c r="AQ211" s="455">
        <v>20.841999999999999</v>
      </c>
      <c r="AR211" s="308">
        <f>+(AQ211/AQ205-1)*100</f>
        <v>20.300144300144307</v>
      </c>
      <c r="AS211" s="308"/>
      <c r="AT211" s="30"/>
      <c r="AU211" s="30"/>
      <c r="AV211" s="30"/>
      <c r="AW211" s="322"/>
      <c r="AX211" s="315"/>
      <c r="AY211" s="315"/>
      <c r="AZ211" s="322"/>
      <c r="BA211" s="307"/>
      <c r="BB211" s="315"/>
      <c r="BC211" s="307"/>
      <c r="BD211" s="307"/>
      <c r="BE211" s="307"/>
      <c r="BF211" s="315"/>
      <c r="BG211" s="316"/>
      <c r="BH211" s="307"/>
      <c r="BI211" s="307"/>
      <c r="BJ211" s="315"/>
      <c r="BK211" s="322"/>
      <c r="BL211" s="307"/>
      <c r="BM211" s="307"/>
      <c r="BN211" s="315"/>
      <c r="BO211" s="322"/>
      <c r="BP211" s="307"/>
      <c r="BQ211" s="366"/>
      <c r="BR211" s="366"/>
      <c r="BT211" s="322"/>
      <c r="BU211" s="307"/>
      <c r="BV211" s="307"/>
      <c r="BW211" s="307"/>
      <c r="BX211" s="315"/>
      <c r="BY211" s="322"/>
      <c r="BZ211" s="307"/>
      <c r="CA211" s="307"/>
      <c r="CB211" s="307"/>
      <c r="CC211" s="315"/>
      <c r="CD211" s="307"/>
      <c r="CE211" s="307"/>
      <c r="CF211" s="307"/>
      <c r="CG211" s="307"/>
      <c r="CH211" s="315"/>
      <c r="CI211" s="322"/>
      <c r="CJ211" s="307"/>
      <c r="CK211" s="307"/>
      <c r="CL211" s="315"/>
      <c r="CM211" s="322"/>
      <c r="CN211" s="307"/>
      <c r="CO211" s="315"/>
      <c r="CP211" s="322"/>
      <c r="CQ211" s="307"/>
      <c r="CR211" s="315"/>
      <c r="CS211" s="322"/>
      <c r="CT211" s="307"/>
      <c r="CU211" s="315"/>
      <c r="CV211" s="322"/>
      <c r="CW211" s="307"/>
      <c r="CX211" s="315"/>
      <c r="CY211" s="322"/>
      <c r="CZ211" s="307"/>
      <c r="DA211" s="315"/>
      <c r="DB211" s="322"/>
      <c r="DC211" s="307"/>
      <c r="DD211" s="315"/>
      <c r="DE211" s="322"/>
      <c r="DF211" s="307"/>
      <c r="DG211" s="315"/>
      <c r="DH211" s="322"/>
      <c r="DI211" s="307"/>
      <c r="DJ211" s="307"/>
      <c r="DK211" s="307"/>
      <c r="DL211" s="307"/>
    </row>
    <row r="212" spans="1:116" hidden="1" outlineLevel="1">
      <c r="A212" s="30" t="str">
        <f>+A30</f>
        <v>2Q</v>
      </c>
      <c r="B212" s="30" t="str">
        <f>+B30</f>
        <v>Jul</v>
      </c>
      <c r="C212" s="30"/>
      <c r="D212" s="322"/>
      <c r="E212" s="315"/>
      <c r="F212" s="322"/>
      <c r="G212" s="307"/>
      <c r="H212" s="307"/>
      <c r="I212" s="307"/>
      <c r="J212" s="316">
        <f>+D212+F212</f>
        <v>0</v>
      </c>
      <c r="K212" s="307"/>
      <c r="L212" s="322"/>
      <c r="M212" s="307"/>
      <c r="N212" s="322"/>
      <c r="O212" s="307"/>
      <c r="P212" s="322"/>
      <c r="Q212" s="307"/>
      <c r="R212" s="307"/>
      <c r="S212" s="307"/>
      <c r="T212" s="322"/>
      <c r="U212" s="307"/>
      <c r="V212" s="322"/>
      <c r="W212" s="307"/>
      <c r="X212" s="307"/>
      <c r="Y212" s="307"/>
      <c r="Z212" s="322"/>
      <c r="AA212" s="307"/>
      <c r="AB212" s="322"/>
      <c r="AC212" s="30"/>
      <c r="AD212" s="322"/>
      <c r="AE212" s="307"/>
      <c r="AF212" s="322"/>
      <c r="AG212" s="30"/>
      <c r="AH212" s="322"/>
      <c r="AI212" s="30"/>
      <c r="AJ212" s="322"/>
      <c r="AK212" s="30"/>
      <c r="AL212" s="322"/>
      <c r="AM212" s="30"/>
      <c r="AN212" s="374"/>
      <c r="AO212" s="30"/>
      <c r="AP212" s="30"/>
      <c r="AQ212" s="455">
        <v>21.504000000000001</v>
      </c>
      <c r="AR212" s="308">
        <f>+(AQ212/AQ206-1)*100</f>
        <v>19.228210246174314</v>
      </c>
      <c r="AS212" s="308"/>
      <c r="AT212" s="30"/>
      <c r="AU212" s="30"/>
      <c r="AV212" s="30"/>
      <c r="AW212" s="322"/>
      <c r="AX212" s="315"/>
      <c r="AY212" s="315"/>
      <c r="AZ212" s="322"/>
      <c r="BA212" s="307"/>
      <c r="BB212" s="315"/>
      <c r="BC212" s="307"/>
      <c r="BD212" s="307"/>
      <c r="BE212" s="307"/>
      <c r="BF212" s="315"/>
      <c r="BG212" s="316"/>
      <c r="BH212" s="307"/>
      <c r="BI212" s="307"/>
      <c r="BJ212" s="315"/>
      <c r="BK212" s="322"/>
      <c r="BL212" s="307"/>
      <c r="BM212" s="307"/>
      <c r="BN212" s="315"/>
      <c r="BO212" s="322"/>
      <c r="BP212" s="307"/>
      <c r="BQ212" s="366"/>
      <c r="BR212" s="366"/>
      <c r="BT212" s="322"/>
      <c r="BU212" s="307"/>
      <c r="BV212" s="307"/>
      <c r="BW212" s="307"/>
      <c r="BX212" s="315"/>
      <c r="BY212" s="322"/>
      <c r="BZ212" s="307"/>
      <c r="CA212" s="307"/>
      <c r="CB212" s="307"/>
      <c r="CC212" s="315"/>
      <c r="CD212" s="307"/>
      <c r="CE212" s="307"/>
      <c r="CF212" s="307"/>
      <c r="CG212" s="307"/>
      <c r="CH212" s="315"/>
      <c r="CI212" s="322"/>
      <c r="CJ212" s="307"/>
      <c r="CK212" s="307"/>
      <c r="CL212" s="315"/>
      <c r="CM212" s="322"/>
      <c r="CN212" s="307"/>
      <c r="CO212" s="315"/>
      <c r="CP212" s="322"/>
      <c r="CQ212" s="307"/>
      <c r="CR212" s="315"/>
      <c r="CS212" s="322"/>
      <c r="CT212" s="307"/>
      <c r="CU212" s="315"/>
      <c r="CV212" s="322"/>
      <c r="CW212" s="307"/>
      <c r="CX212" s="315"/>
      <c r="CY212" s="322"/>
      <c r="CZ212" s="307"/>
      <c r="DA212" s="315"/>
      <c r="DB212" s="322"/>
      <c r="DC212" s="307"/>
      <c r="DD212" s="315"/>
      <c r="DE212" s="322"/>
      <c r="DF212" s="307"/>
      <c r="DG212" s="315"/>
      <c r="DH212" s="322"/>
      <c r="DI212" s="307"/>
      <c r="DJ212" s="307"/>
      <c r="DK212" s="307"/>
      <c r="DL212" s="307"/>
    </row>
    <row r="213" spans="1:116" hidden="1" outlineLevel="1">
      <c r="A213" s="30" t="str">
        <f>+A31</f>
        <v>3Q</v>
      </c>
      <c r="B213" s="30" t="str">
        <f>+B31</f>
        <v>Oct</v>
      </c>
      <c r="C213" s="30"/>
      <c r="D213" s="322">
        <v>1.907</v>
      </c>
      <c r="E213" s="308">
        <f>+(D213/D207-1)*100</f>
        <v>21.310432569974559</v>
      </c>
      <c r="F213" s="322"/>
      <c r="G213" s="307"/>
      <c r="H213" s="307"/>
      <c r="I213" s="307"/>
      <c r="J213" s="316">
        <f>+D213+F213</f>
        <v>1.907</v>
      </c>
      <c r="K213" s="308">
        <f>+(J213/J207-1)*100</f>
        <v>21.310432569974559</v>
      </c>
      <c r="L213" s="322">
        <v>0.127</v>
      </c>
      <c r="M213" s="308">
        <f>+(L213/L207-1)*100</f>
        <v>60.759493670886066</v>
      </c>
      <c r="N213" s="322">
        <v>3.327</v>
      </c>
      <c r="O213" s="308">
        <f>+(N213/N207-1)*100</f>
        <v>24.095486758672124</v>
      </c>
      <c r="P213" s="322">
        <v>1.012</v>
      </c>
      <c r="Q213" s="308">
        <f>+(P213/P207-1)*100</f>
        <v>75.389948006932414</v>
      </c>
      <c r="R213" s="307"/>
      <c r="S213" s="307"/>
      <c r="T213" s="322">
        <v>4.2169999999999996</v>
      </c>
      <c r="U213" s="308">
        <f>+(T213/T207-1)*100</f>
        <v>9.7605413846954647</v>
      </c>
      <c r="V213" s="322">
        <v>9.2999999999999999E-2</v>
      </c>
      <c r="W213" s="308">
        <f>+(V213/V207-1)*100</f>
        <v>0</v>
      </c>
      <c r="X213" s="308"/>
      <c r="Y213" s="308"/>
      <c r="Z213" s="322"/>
      <c r="AA213" s="308"/>
      <c r="AB213" s="322">
        <v>6.9649999999999999</v>
      </c>
      <c r="AC213" s="308">
        <f>+(AB213/AB207-1)*100</f>
        <v>10.485406091370542</v>
      </c>
      <c r="AD213" s="322">
        <v>3.6779999999999999</v>
      </c>
      <c r="AE213" s="308">
        <f>+(AD213/AD207-1)*100</f>
        <v>5.9026778001727731</v>
      </c>
      <c r="AF213" s="322"/>
      <c r="AG213" s="30"/>
      <c r="AH213" s="322">
        <v>0.56699999999999995</v>
      </c>
      <c r="AI213" s="308">
        <f>+(AH213/AH207-1)*100</f>
        <v>27.990970654627525</v>
      </c>
      <c r="AJ213" s="322">
        <v>0.17799999999999999</v>
      </c>
      <c r="AK213" s="308">
        <f>+(AJ213/AJ207-1)*100</f>
        <v>45.9016393442623</v>
      </c>
      <c r="AL213" s="322">
        <v>0.311</v>
      </c>
      <c r="AM213" s="308">
        <f>+(AL213/AL207-1)*100</f>
        <v>7.986111111111116</v>
      </c>
      <c r="AN213" s="374">
        <v>3.0000000000000001E-3</v>
      </c>
      <c r="AO213" s="308">
        <f>+(AN213/AN207-1)*100</f>
        <v>0</v>
      </c>
      <c r="AP213" s="30"/>
      <c r="AQ213" s="453">
        <f>+J213+L213+N213+P213+R213+T213+V213+AB213+AD213+AF213+AH213+AJ213+AL213+AN213</f>
        <v>22.385000000000002</v>
      </c>
      <c r="AR213" s="308">
        <f>+(AQ213/AQ207-1)*100</f>
        <v>14.930430764491454</v>
      </c>
      <c r="AS213" s="308"/>
      <c r="AT213" s="30"/>
      <c r="AU213" s="30"/>
      <c r="AV213" s="30"/>
      <c r="AW213" s="322"/>
      <c r="AX213" s="315"/>
      <c r="AY213" s="315"/>
      <c r="AZ213" s="322"/>
      <c r="BA213" s="307"/>
      <c r="BB213" s="315"/>
      <c r="BC213" s="307"/>
      <c r="BD213" s="307"/>
      <c r="BE213" s="307"/>
      <c r="BF213" s="315"/>
      <c r="BG213" s="316"/>
      <c r="BH213" s="307"/>
      <c r="BI213" s="307"/>
      <c r="BJ213" s="315"/>
      <c r="BK213" s="322"/>
      <c r="BL213" s="307"/>
      <c r="BM213" s="307"/>
      <c r="BN213" s="315"/>
      <c r="BO213" s="322"/>
      <c r="BP213" s="307"/>
      <c r="BQ213" s="366"/>
      <c r="BR213" s="366"/>
      <c r="BT213" s="322"/>
      <c r="BU213" s="307"/>
      <c r="BV213" s="307"/>
      <c r="BW213" s="307"/>
      <c r="BX213" s="315"/>
      <c r="BY213" s="322"/>
      <c r="BZ213" s="307"/>
      <c r="CA213" s="307"/>
      <c r="CB213" s="307"/>
      <c r="CC213" s="315"/>
      <c r="CD213" s="307"/>
      <c r="CE213" s="307"/>
      <c r="CF213" s="307"/>
      <c r="CG213" s="307"/>
      <c r="CH213" s="315"/>
      <c r="CI213" s="322"/>
      <c r="CJ213" s="307"/>
      <c r="CK213" s="307"/>
      <c r="CL213" s="315"/>
      <c r="CM213" s="322"/>
      <c r="CN213" s="307"/>
      <c r="CO213" s="315"/>
      <c r="CP213" s="322"/>
      <c r="CQ213" s="307"/>
      <c r="CR213" s="315"/>
      <c r="CS213" s="322"/>
      <c r="CT213" s="307"/>
      <c r="CU213" s="315"/>
      <c r="CV213" s="322"/>
      <c r="CW213" s="307"/>
      <c r="CX213" s="315"/>
      <c r="CY213" s="322"/>
      <c r="CZ213" s="307"/>
      <c r="DA213" s="315"/>
      <c r="DB213" s="322"/>
      <c r="DC213" s="307"/>
      <c r="DD213" s="315"/>
      <c r="DE213" s="322"/>
      <c r="DF213" s="307"/>
      <c r="DG213" s="315"/>
      <c r="DH213" s="322"/>
      <c r="DI213" s="307"/>
      <c r="DJ213" s="307"/>
      <c r="DK213" s="307"/>
      <c r="DL213" s="307"/>
    </row>
    <row r="214" spans="1:116" hidden="1" outlineLevel="1">
      <c r="A214" s="30" t="str">
        <f>+A32</f>
        <v>4Q</v>
      </c>
      <c r="B214" s="30" t="str">
        <f>+B32</f>
        <v>Jan</v>
      </c>
      <c r="C214" s="30"/>
      <c r="D214" s="322">
        <v>2.0289999999999999</v>
      </c>
      <c r="E214" s="308">
        <f>+(D214/D208-1)*100</f>
        <v>21.788715486194477</v>
      </c>
      <c r="F214" s="322"/>
      <c r="G214" s="307"/>
      <c r="H214" s="307"/>
      <c r="I214" s="307"/>
      <c r="J214" s="316">
        <f>+D214+F214</f>
        <v>2.0289999999999999</v>
      </c>
      <c r="K214" s="308">
        <f>+(J214/J208-1)*100</f>
        <v>21.788715486194477</v>
      </c>
      <c r="L214" s="322">
        <v>0.13200000000000001</v>
      </c>
      <c r="M214" s="308">
        <f>+(L214/L208-1)*100</f>
        <v>33.333333333333329</v>
      </c>
      <c r="N214" s="322">
        <v>3.47</v>
      </c>
      <c r="O214" s="308">
        <f>+(N214/N208-1)*100</f>
        <v>18.59193438140807</v>
      </c>
      <c r="P214" s="322">
        <v>1.0760000000000001</v>
      </c>
      <c r="Q214" s="308">
        <f>+(P214/P208-1)*100</f>
        <v>59.171597633136088</v>
      </c>
      <c r="R214" s="307"/>
      <c r="S214" s="307"/>
      <c r="T214" s="322">
        <v>4.2569999999999997</v>
      </c>
      <c r="U214" s="308">
        <f>+(T214/T208-1)*100</f>
        <v>8.4033613445378066</v>
      </c>
      <c r="V214" s="322">
        <v>9.2999999999999999E-2</v>
      </c>
      <c r="W214" s="308">
        <f>+(V214/V208-1)*100</f>
        <v>0</v>
      </c>
      <c r="X214" s="308"/>
      <c r="Y214" s="308"/>
      <c r="Z214" s="322"/>
      <c r="AA214" s="308"/>
      <c r="AB214" s="322">
        <v>6.9630000000000001</v>
      </c>
      <c r="AC214" s="308">
        <f>+(AB214/AB208-1)*100</f>
        <v>6.8764389869531817</v>
      </c>
      <c r="AD214" s="322">
        <v>3.7549999999999999</v>
      </c>
      <c r="AE214" s="308">
        <f>+(AD214/AD208-1)*100</f>
        <v>6.6155593412833724</v>
      </c>
      <c r="AF214" s="322"/>
      <c r="AG214" s="30"/>
      <c r="AH214" s="322">
        <v>0.56699999999999995</v>
      </c>
      <c r="AI214" s="308">
        <f>+(AH214/AH208-1)*100</f>
        <v>10.311284046692592</v>
      </c>
      <c r="AJ214" s="322">
        <v>0.186</v>
      </c>
      <c r="AK214" s="308">
        <f>+(AJ214/AJ208-1)*100</f>
        <v>46.456692913385837</v>
      </c>
      <c r="AL214" s="322">
        <v>0.33200000000000002</v>
      </c>
      <c r="AM214" s="308">
        <f>+(AL214/AL208-1)*100</f>
        <v>15.679442508710807</v>
      </c>
      <c r="AN214" s="374">
        <v>3.0000000000000001E-3</v>
      </c>
      <c r="AO214" s="308">
        <f>+(AN214/AN208-1)*100</f>
        <v>0</v>
      </c>
      <c r="AP214" s="30"/>
      <c r="AQ214" s="453">
        <f>+J214+L214+N214+P214+R214+T214+V214+AB214+AD214+AF214+AH214+AJ214+AL214+AN214</f>
        <v>22.863</v>
      </c>
      <c r="AR214" s="308">
        <f>+(AQ214/AQ208-1)*100</f>
        <v>12.321296978629338</v>
      </c>
      <c r="AS214" s="308"/>
      <c r="AT214" s="30"/>
      <c r="AU214" s="30"/>
      <c r="AV214" s="30"/>
      <c r="AW214" s="322"/>
      <c r="AX214" s="315"/>
      <c r="AY214" s="315"/>
      <c r="AZ214" s="322"/>
      <c r="BA214" s="307"/>
      <c r="BB214" s="315"/>
      <c r="BC214" s="307"/>
      <c r="BD214" s="307"/>
      <c r="BE214" s="307"/>
      <c r="BF214" s="315"/>
      <c r="BG214" s="316"/>
      <c r="BH214" s="307"/>
      <c r="BI214" s="307"/>
      <c r="BJ214" s="315"/>
      <c r="BK214" s="322"/>
      <c r="BL214" s="307"/>
      <c r="BM214" s="307"/>
      <c r="BN214" s="315"/>
      <c r="BO214" s="322"/>
      <c r="BP214" s="307"/>
      <c r="BQ214" s="366"/>
      <c r="BR214" s="366"/>
      <c r="BT214" s="322"/>
      <c r="BU214" s="307"/>
      <c r="BV214" s="307"/>
      <c r="BW214" s="307"/>
      <c r="BX214" s="315"/>
      <c r="BY214" s="322"/>
      <c r="BZ214" s="307"/>
      <c r="CA214" s="307"/>
      <c r="CB214" s="307"/>
      <c r="CC214" s="315"/>
      <c r="CD214" s="307"/>
      <c r="CE214" s="307"/>
      <c r="CF214" s="307"/>
      <c r="CG214" s="307"/>
      <c r="CH214" s="315"/>
      <c r="CI214" s="322"/>
      <c r="CJ214" s="307"/>
      <c r="CK214" s="307"/>
      <c r="CL214" s="315"/>
      <c r="CM214" s="322"/>
      <c r="CN214" s="307"/>
      <c r="CO214" s="315"/>
      <c r="CP214" s="322"/>
      <c r="CQ214" s="307"/>
      <c r="CR214" s="315"/>
      <c r="CS214" s="322"/>
      <c r="CT214" s="307"/>
      <c r="CU214" s="315"/>
      <c r="CV214" s="322"/>
      <c r="CW214" s="307"/>
      <c r="CX214" s="315"/>
      <c r="CY214" s="322"/>
      <c r="CZ214" s="307"/>
      <c r="DA214" s="315"/>
      <c r="DB214" s="322"/>
      <c r="DC214" s="307"/>
      <c r="DD214" s="315"/>
      <c r="DE214" s="322"/>
      <c r="DF214" s="307"/>
      <c r="DG214" s="315"/>
      <c r="DH214" s="322"/>
      <c r="DI214" s="307"/>
      <c r="DJ214" s="307"/>
      <c r="DK214" s="307"/>
      <c r="DL214" s="307"/>
    </row>
    <row r="215" spans="1:116" hidden="1" outlineLevel="1">
      <c r="A215" s="30"/>
      <c r="B215" s="30"/>
      <c r="C215" s="30"/>
      <c r="D215" s="314"/>
      <c r="E215" s="310"/>
      <c r="F215" s="314"/>
      <c r="G215" s="30"/>
      <c r="H215" s="30"/>
      <c r="I215" s="30"/>
      <c r="J215" s="316"/>
      <c r="K215" s="30"/>
      <c r="L215" s="314"/>
      <c r="M215" s="30"/>
      <c r="N215" s="314"/>
      <c r="O215" s="30"/>
      <c r="P215" s="314"/>
      <c r="Q215" s="30"/>
      <c r="R215" s="30"/>
      <c r="S215" s="30"/>
      <c r="T215" s="314"/>
      <c r="U215" s="30"/>
      <c r="V215" s="314"/>
      <c r="W215" s="30"/>
      <c r="X215" s="30"/>
      <c r="Y215" s="30"/>
      <c r="Z215" s="314"/>
      <c r="AA215" s="30"/>
      <c r="AB215" s="314"/>
      <c r="AC215" s="30"/>
      <c r="AD215" s="314"/>
      <c r="AE215" s="30"/>
      <c r="AF215" s="30"/>
      <c r="AG215" s="30"/>
      <c r="AH215" s="30"/>
      <c r="AI215" s="30"/>
      <c r="AJ215" s="30"/>
      <c r="AK215" s="30"/>
      <c r="AL215" s="30"/>
      <c r="AM215" s="30"/>
      <c r="AN215" s="30"/>
      <c r="AO215" s="30"/>
      <c r="AP215" s="30"/>
      <c r="AQ215" s="453"/>
      <c r="AR215" s="30"/>
      <c r="AS215" s="30"/>
      <c r="AT215" s="30"/>
      <c r="AU215" s="30"/>
      <c r="AV215" s="30"/>
      <c r="AW215" s="314"/>
      <c r="AX215" s="310"/>
      <c r="AY215" s="310"/>
      <c r="AZ215" s="314"/>
      <c r="BA215" s="30"/>
      <c r="BB215" s="310"/>
      <c r="BC215" s="30"/>
      <c r="BD215" s="30"/>
      <c r="BE215" s="30"/>
      <c r="BF215" s="310"/>
      <c r="BG215" s="316"/>
      <c r="BH215" s="30"/>
      <c r="BI215" s="30"/>
      <c r="BJ215" s="310"/>
      <c r="BK215" s="314"/>
      <c r="BL215" s="30"/>
      <c r="BM215" s="30"/>
      <c r="BN215" s="310"/>
      <c r="BO215" s="314"/>
      <c r="BP215" s="30"/>
      <c r="BQ215" s="253"/>
      <c r="BR215" s="253"/>
      <c r="BS215" s="1177"/>
      <c r="BT215" s="314"/>
      <c r="BU215" s="30"/>
      <c r="BV215" s="30"/>
      <c r="BW215" s="30"/>
      <c r="BX215" s="310"/>
      <c r="BY215" s="314"/>
      <c r="BZ215" s="30"/>
      <c r="CA215" s="30"/>
      <c r="CB215" s="30"/>
      <c r="CC215" s="310"/>
      <c r="CD215" s="30"/>
      <c r="CE215" s="30"/>
      <c r="CF215" s="30"/>
      <c r="CG215" s="30"/>
      <c r="CH215" s="310"/>
      <c r="CI215" s="314"/>
      <c r="CJ215" s="30"/>
      <c r="CK215" s="30"/>
      <c r="CL215" s="310"/>
      <c r="CM215" s="314"/>
      <c r="CN215" s="30"/>
      <c r="CO215" s="310"/>
      <c r="CP215" s="314"/>
      <c r="CQ215" s="30"/>
      <c r="CR215" s="310"/>
      <c r="CS215" s="314"/>
      <c r="CT215" s="30"/>
      <c r="CU215" s="310"/>
      <c r="CV215" s="314"/>
      <c r="CW215" s="30"/>
      <c r="CX215" s="310"/>
      <c r="CY215" s="314"/>
      <c r="CZ215" s="30"/>
      <c r="DA215" s="310"/>
      <c r="DB215" s="314"/>
      <c r="DC215" s="30"/>
      <c r="DD215" s="310"/>
      <c r="DE215" s="314"/>
      <c r="DF215" s="30"/>
      <c r="DG215" s="310"/>
      <c r="DH215" s="314"/>
      <c r="DI215" s="30"/>
      <c r="DJ215" s="30"/>
      <c r="DK215" s="30"/>
      <c r="DL215" s="30"/>
    </row>
    <row r="216" spans="1:116" hidden="1" outlineLevel="1">
      <c r="A216" s="301"/>
      <c r="B216" s="312">
        <f>+B34</f>
        <v>1993</v>
      </c>
      <c r="C216" s="301"/>
      <c r="D216" s="301"/>
      <c r="E216" s="313"/>
      <c r="F216" s="301"/>
      <c r="G216" s="301"/>
      <c r="H216" s="301"/>
      <c r="I216" s="301"/>
      <c r="J216" s="301"/>
      <c r="K216" s="301"/>
      <c r="L216" s="301"/>
      <c r="M216" s="301"/>
      <c r="N216" s="301"/>
      <c r="O216" s="301"/>
      <c r="P216" s="301"/>
      <c r="Q216" s="301"/>
      <c r="R216" s="301"/>
      <c r="S216" s="301"/>
      <c r="T216" s="301"/>
      <c r="U216" s="301"/>
      <c r="V216" s="301"/>
      <c r="W216" s="301"/>
      <c r="X216" s="301"/>
      <c r="Y216" s="301"/>
      <c r="Z216" s="301"/>
      <c r="AA216" s="301"/>
      <c r="AB216" s="301"/>
      <c r="AC216" s="301"/>
      <c r="AD216" s="301"/>
      <c r="AE216" s="301"/>
      <c r="AF216" s="301"/>
      <c r="AG216" s="301"/>
      <c r="AH216" s="301"/>
      <c r="AI216" s="301"/>
      <c r="AJ216" s="301"/>
      <c r="AK216" s="301"/>
      <c r="AL216" s="301"/>
      <c r="AM216" s="301"/>
      <c r="AN216" s="301"/>
      <c r="AO216" s="301"/>
      <c r="AP216" s="301"/>
      <c r="AQ216" s="454"/>
      <c r="AR216" s="301"/>
      <c r="AS216" s="301"/>
      <c r="AT216" s="301"/>
      <c r="AU216" s="301"/>
      <c r="AV216" s="301"/>
      <c r="AW216" s="301"/>
      <c r="AX216" s="313"/>
      <c r="AY216" s="313"/>
      <c r="AZ216" s="301"/>
      <c r="BA216" s="301"/>
      <c r="BB216" s="313"/>
      <c r="BC216" s="301"/>
      <c r="BD216" s="301"/>
      <c r="BE216" s="301"/>
      <c r="BF216" s="313"/>
      <c r="BG216" s="301"/>
      <c r="BH216" s="301"/>
      <c r="BI216" s="301"/>
      <c r="BJ216" s="313"/>
      <c r="BK216" s="301"/>
      <c r="BL216" s="301"/>
      <c r="BM216" s="301"/>
      <c r="BN216" s="313"/>
      <c r="BO216" s="301"/>
      <c r="BP216" s="301"/>
      <c r="BQ216" s="614"/>
      <c r="BR216" s="614"/>
      <c r="BS216" s="920"/>
      <c r="BT216" s="301"/>
      <c r="BU216" s="301"/>
      <c r="BV216" s="301"/>
      <c r="BW216" s="301"/>
      <c r="BX216" s="313"/>
      <c r="BY216" s="301"/>
      <c r="BZ216" s="301"/>
      <c r="CA216" s="301"/>
      <c r="CB216" s="301"/>
      <c r="CC216" s="313"/>
      <c r="CD216" s="301"/>
      <c r="CE216" s="301"/>
      <c r="CF216" s="301"/>
      <c r="CG216" s="301"/>
      <c r="CH216" s="313"/>
      <c r="CI216" s="301"/>
      <c r="CJ216" s="301"/>
      <c r="CK216" s="301"/>
      <c r="CL216" s="313"/>
      <c r="CM216" s="301"/>
      <c r="CN216" s="301"/>
      <c r="CO216" s="313"/>
      <c r="CP216" s="301"/>
      <c r="CQ216" s="301"/>
      <c r="CR216" s="313"/>
      <c r="CS216" s="301"/>
      <c r="CT216" s="301"/>
      <c r="CU216" s="313"/>
      <c r="CV216" s="301"/>
      <c r="CW216" s="301"/>
      <c r="CX216" s="313"/>
      <c r="CY216" s="301"/>
      <c r="CZ216" s="301"/>
      <c r="DA216" s="313"/>
      <c r="DB216" s="301"/>
      <c r="DC216" s="301"/>
      <c r="DD216" s="313"/>
      <c r="DE216" s="301"/>
      <c r="DF216" s="301"/>
      <c r="DG216" s="313"/>
      <c r="DH216" s="301"/>
      <c r="DI216" s="301"/>
      <c r="DJ216" s="301"/>
      <c r="DK216" s="301"/>
      <c r="DL216" s="301"/>
    </row>
    <row r="217" spans="1:116" hidden="1" outlineLevel="1">
      <c r="A217" s="30" t="str">
        <f>+A35</f>
        <v>1Q</v>
      </c>
      <c r="B217" s="30" t="str">
        <f>+B35</f>
        <v>Apr</v>
      </c>
      <c r="C217" s="30"/>
      <c r="D217" s="322">
        <v>2.0920000000000001</v>
      </c>
      <c r="E217" s="315"/>
      <c r="F217" s="322"/>
      <c r="G217" s="307"/>
      <c r="H217" s="307"/>
      <c r="I217" s="307"/>
      <c r="J217" s="316">
        <f>+D217+F217</f>
        <v>2.0920000000000001</v>
      </c>
      <c r="K217" s="307"/>
      <c r="L217" s="322">
        <v>0.13700000000000001</v>
      </c>
      <c r="M217" s="307"/>
      <c r="N217" s="322">
        <v>3.5150000000000001</v>
      </c>
      <c r="O217" s="308"/>
      <c r="P217" s="322">
        <v>1.1479999999999999</v>
      </c>
      <c r="Q217" s="308"/>
      <c r="R217" s="307"/>
      <c r="S217" s="307"/>
      <c r="T217" s="322">
        <v>4.33</v>
      </c>
      <c r="U217" s="307"/>
      <c r="V217" s="322">
        <v>9.2999999999999999E-2</v>
      </c>
      <c r="W217" s="307"/>
      <c r="X217" s="307"/>
      <c r="Y217" s="307"/>
      <c r="Z217" s="322"/>
      <c r="AA217" s="307"/>
      <c r="AB217" s="322">
        <v>6.9450000000000003</v>
      </c>
      <c r="AC217" s="30"/>
      <c r="AD217" s="322">
        <v>3.794</v>
      </c>
      <c r="AE217" s="307"/>
      <c r="AF217" s="322"/>
      <c r="AG217" s="30"/>
      <c r="AH217" s="322">
        <v>0.56799999999999995</v>
      </c>
      <c r="AI217" s="30"/>
      <c r="AJ217" s="322">
        <v>0.20799999999999999</v>
      </c>
      <c r="AK217" s="30"/>
      <c r="AL217" s="322">
        <v>0.33400000000000002</v>
      </c>
      <c r="AM217" s="30"/>
      <c r="AN217" s="374">
        <v>3.0000000000000001E-3</v>
      </c>
      <c r="AO217" s="308"/>
      <c r="AP217" s="30"/>
      <c r="AQ217" s="453">
        <f>+J217+L217+N217+P217+R217+T217+V217+AB217+AD217+AF217+AH217+AJ217+AL217+AN217</f>
        <v>23.166999999999998</v>
      </c>
      <c r="AR217" s="308">
        <f>+(AQ217/AQ211-1)*100</f>
        <v>11.155359370501872</v>
      </c>
      <c r="AS217" s="308"/>
      <c r="AT217" s="30"/>
      <c r="AU217" s="30"/>
      <c r="AV217" s="30"/>
      <c r="AW217" s="322"/>
      <c r="AX217" s="315"/>
      <c r="AY217" s="315"/>
      <c r="AZ217" s="322"/>
      <c r="BA217" s="307"/>
      <c r="BB217" s="315"/>
      <c r="BC217" s="307"/>
      <c r="BD217" s="307"/>
      <c r="BE217" s="307"/>
      <c r="BF217" s="315"/>
      <c r="BG217" s="316"/>
      <c r="BH217" s="307"/>
      <c r="BI217" s="307"/>
      <c r="BJ217" s="315"/>
      <c r="BK217" s="322"/>
      <c r="BL217" s="307"/>
      <c r="BM217" s="307"/>
      <c r="BN217" s="315"/>
      <c r="BO217" s="322"/>
      <c r="BP217" s="307"/>
      <c r="BQ217" s="366"/>
      <c r="BR217" s="366"/>
      <c r="BT217" s="322"/>
      <c r="BU217" s="307"/>
      <c r="BV217" s="307"/>
      <c r="BW217" s="307"/>
      <c r="BX217" s="315"/>
      <c r="BY217" s="322"/>
      <c r="BZ217" s="307"/>
      <c r="CA217" s="307"/>
      <c r="CB217" s="307"/>
      <c r="CC217" s="315"/>
      <c r="CD217" s="307"/>
      <c r="CE217" s="307"/>
      <c r="CF217" s="307"/>
      <c r="CG217" s="307"/>
      <c r="CH217" s="315"/>
      <c r="CI217" s="322"/>
      <c r="CJ217" s="307"/>
      <c r="CK217" s="307"/>
      <c r="CL217" s="315"/>
      <c r="CM217" s="322"/>
      <c r="CN217" s="307"/>
      <c r="CO217" s="315"/>
      <c r="CP217" s="322"/>
      <c r="CQ217" s="307"/>
      <c r="CR217" s="315"/>
      <c r="CS217" s="322"/>
      <c r="CT217" s="307"/>
      <c r="CU217" s="315"/>
      <c r="CV217" s="322"/>
      <c r="CW217" s="307"/>
      <c r="CX217" s="315"/>
      <c r="CY217" s="322"/>
      <c r="CZ217" s="307"/>
      <c r="DA217" s="315"/>
      <c r="DB217" s="322"/>
      <c r="DC217" s="307"/>
      <c r="DD217" s="315"/>
      <c r="DE217" s="322"/>
      <c r="DF217" s="307"/>
      <c r="DG217" s="315"/>
      <c r="DH217" s="322"/>
      <c r="DI217" s="307"/>
      <c r="DJ217" s="307"/>
      <c r="DK217" s="307"/>
      <c r="DL217" s="307"/>
    </row>
    <row r="218" spans="1:116" hidden="1" outlineLevel="1">
      <c r="A218" s="30" t="str">
        <f>+A36</f>
        <v>2Q</v>
      </c>
      <c r="B218" s="30" t="str">
        <f>+B36</f>
        <v>Jul</v>
      </c>
      <c r="C218" s="30"/>
      <c r="D218" s="322">
        <v>2.1549999999999998</v>
      </c>
      <c r="E218" s="315"/>
      <c r="F218" s="322"/>
      <c r="G218" s="307"/>
      <c r="H218" s="307"/>
      <c r="I218" s="307"/>
      <c r="J218" s="316">
        <f>+D218+F218</f>
        <v>2.1549999999999998</v>
      </c>
      <c r="K218" s="307"/>
      <c r="L218" s="322">
        <v>0.14599999999999999</v>
      </c>
      <c r="M218" s="307"/>
      <c r="N218" s="322">
        <v>3.609</v>
      </c>
      <c r="O218" s="308"/>
      <c r="P218" s="322">
        <v>1.2250000000000001</v>
      </c>
      <c r="Q218" s="308"/>
      <c r="R218" s="307"/>
      <c r="S218" s="307"/>
      <c r="T218" s="322">
        <v>4.3520000000000003</v>
      </c>
      <c r="U218" s="307"/>
      <c r="V218" s="322">
        <v>9.2999999999999999E-2</v>
      </c>
      <c r="W218" s="307"/>
      <c r="X218" s="307"/>
      <c r="Y218" s="307"/>
      <c r="Z218" s="322"/>
      <c r="AA218" s="307"/>
      <c r="AB218" s="322">
        <v>6.8970000000000002</v>
      </c>
      <c r="AC218" s="30"/>
      <c r="AD218" s="322">
        <v>3.8149999999999999</v>
      </c>
      <c r="AE218" s="307"/>
      <c r="AF218" s="322"/>
      <c r="AG218" s="30"/>
      <c r="AH218" s="322">
        <v>0.56799999999999995</v>
      </c>
      <c r="AI218" s="30"/>
      <c r="AJ218" s="322">
        <v>0.26</v>
      </c>
      <c r="AK218" s="30"/>
      <c r="AL218" s="322">
        <v>0.34300000000000003</v>
      </c>
      <c r="AM218" s="30"/>
      <c r="AN218" s="374">
        <v>3.0000000000000001E-3</v>
      </c>
      <c r="AO218" s="308"/>
      <c r="AP218" s="30"/>
      <c r="AQ218" s="453">
        <f>+J218+L218+N218+P218+R218+T218+V218+AB218+AD218+AF218+AH218+AJ218+AL218+AN218</f>
        <v>23.466000000000005</v>
      </c>
      <c r="AR218" s="308">
        <f>+(AQ218/AQ212-1)*100</f>
        <v>9.1238839285714413</v>
      </c>
      <c r="AS218" s="308"/>
      <c r="AT218" s="30"/>
      <c r="AU218" s="30"/>
      <c r="AV218" s="30"/>
      <c r="AW218" s="322"/>
      <c r="AX218" s="315"/>
      <c r="AY218" s="315"/>
      <c r="AZ218" s="322"/>
      <c r="BA218" s="307"/>
      <c r="BB218" s="315"/>
      <c r="BC218" s="307"/>
      <c r="BD218" s="307"/>
      <c r="BE218" s="307"/>
      <c r="BF218" s="315"/>
      <c r="BG218" s="316"/>
      <c r="BH218" s="307"/>
      <c r="BI218" s="307"/>
      <c r="BJ218" s="315"/>
      <c r="BK218" s="322"/>
      <c r="BL218" s="307"/>
      <c r="BM218" s="307"/>
      <c r="BN218" s="315"/>
      <c r="BO218" s="322"/>
      <c r="BP218" s="307"/>
      <c r="BQ218" s="366"/>
      <c r="BR218" s="366"/>
      <c r="BT218" s="322"/>
      <c r="BU218" s="307"/>
      <c r="BV218" s="307"/>
      <c r="BW218" s="307"/>
      <c r="BX218" s="315"/>
      <c r="BY218" s="322"/>
      <c r="BZ218" s="307"/>
      <c r="CA218" s="307"/>
      <c r="CB218" s="307"/>
      <c r="CC218" s="315"/>
      <c r="CD218" s="307"/>
      <c r="CE218" s="307"/>
      <c r="CF218" s="307"/>
      <c r="CG218" s="307"/>
      <c r="CH218" s="315"/>
      <c r="CI218" s="322"/>
      <c r="CJ218" s="307"/>
      <c r="CK218" s="307"/>
      <c r="CL218" s="315"/>
      <c r="CM218" s="322"/>
      <c r="CN218" s="307"/>
      <c r="CO218" s="315"/>
      <c r="CP218" s="322"/>
      <c r="CQ218" s="307"/>
      <c r="CR218" s="315"/>
      <c r="CS218" s="322"/>
      <c r="CT218" s="307"/>
      <c r="CU218" s="315"/>
      <c r="CV218" s="322"/>
      <c r="CW218" s="307"/>
      <c r="CX218" s="315"/>
      <c r="CY218" s="322"/>
      <c r="CZ218" s="307"/>
      <c r="DA218" s="315"/>
      <c r="DB218" s="322"/>
      <c r="DC218" s="307"/>
      <c r="DD218" s="315"/>
      <c r="DE218" s="322"/>
      <c r="DF218" s="307"/>
      <c r="DG218" s="315"/>
      <c r="DH218" s="322"/>
      <c r="DI218" s="307"/>
      <c r="DJ218" s="307"/>
      <c r="DK218" s="307"/>
      <c r="DL218" s="307"/>
    </row>
    <row r="219" spans="1:116" hidden="1" outlineLevel="1">
      <c r="A219" s="30" t="str">
        <f>+A37</f>
        <v>3Q</v>
      </c>
      <c r="B219" s="30" t="str">
        <f>+B37</f>
        <v>Oct</v>
      </c>
      <c r="C219" s="30"/>
      <c r="D219" s="322">
        <v>2.2879999999999998</v>
      </c>
      <c r="E219" s="308">
        <f>+(D219/D213-1)*100</f>
        <v>19.979024646040887</v>
      </c>
      <c r="F219" s="322"/>
      <c r="G219" s="307"/>
      <c r="H219" s="307"/>
      <c r="I219" s="307"/>
      <c r="J219" s="316">
        <f>+D219+F219</f>
        <v>2.2879999999999998</v>
      </c>
      <c r="K219" s="308">
        <f>+(J219/J213-1)*100</f>
        <v>19.979024646040887</v>
      </c>
      <c r="L219" s="322">
        <v>0.221</v>
      </c>
      <c r="M219" s="308">
        <f>+(L219/L213-1)*100</f>
        <v>74.015748031496059</v>
      </c>
      <c r="N219" s="322">
        <v>3.7930000000000001</v>
      </c>
      <c r="O219" s="308">
        <f>+(N219/N213-1)*100</f>
        <v>14.006612563871368</v>
      </c>
      <c r="P219" s="322">
        <v>1.33</v>
      </c>
      <c r="Q219" s="308">
        <f>+(P219/P213-1)*100</f>
        <v>31.422924901185766</v>
      </c>
      <c r="R219" s="307"/>
      <c r="S219" s="307"/>
      <c r="T219" s="322">
        <v>4.4550000000000001</v>
      </c>
      <c r="U219" s="308">
        <f>+(T219/T213-1)*100</f>
        <v>5.6438226227175869</v>
      </c>
      <c r="V219" s="322">
        <v>9.2999999999999999E-2</v>
      </c>
      <c r="W219" s="308">
        <f>+(V219/V213-1)*100</f>
        <v>0</v>
      </c>
      <c r="X219" s="308"/>
      <c r="Y219" s="308"/>
      <c r="Z219" s="322"/>
      <c r="AA219" s="308"/>
      <c r="AB219" s="322">
        <v>6.9349999999999996</v>
      </c>
      <c r="AC219" s="308">
        <f>+(AB219/AB213-1)*100</f>
        <v>-0.43072505384063042</v>
      </c>
      <c r="AD219" s="322">
        <v>3.8460000000000001</v>
      </c>
      <c r="AE219" s="308">
        <f>+(AD219/AD213-1)*100</f>
        <v>4.5676998368678667</v>
      </c>
      <c r="AF219" s="322"/>
      <c r="AG219" s="30"/>
      <c r="AH219" s="322">
        <v>0.56799999999999995</v>
      </c>
      <c r="AI219" s="308">
        <f>+(AH219/AH213-1)*100</f>
        <v>0.17636684303350414</v>
      </c>
      <c r="AJ219" s="322">
        <v>0.29099999999999998</v>
      </c>
      <c r="AK219" s="308">
        <f>+(AJ219/AJ213-1)*100</f>
        <v>63.483146067415717</v>
      </c>
      <c r="AL219" s="322">
        <v>0.375</v>
      </c>
      <c r="AM219" s="308">
        <f>+(AL219/AL213-1)*100</f>
        <v>20.578778135048225</v>
      </c>
      <c r="AN219" s="374">
        <v>3.0000000000000001E-3</v>
      </c>
      <c r="AO219" s="308">
        <f>+(AN219/AN213-1)*100</f>
        <v>0</v>
      </c>
      <c r="AP219" s="30"/>
      <c r="AQ219" s="453">
        <f>+J219+L219+N219+P219+R219+T219+V219+AB219+AD219+AF219+AH219+AJ219+AL219+AN219</f>
        <v>24.198</v>
      </c>
      <c r="AR219" s="308">
        <f>+(AQ219/AQ213-1)*100</f>
        <v>8.0991735537190088</v>
      </c>
      <c r="AS219" s="308"/>
      <c r="AT219" s="30"/>
      <c r="AU219" s="30"/>
      <c r="AV219" s="30"/>
      <c r="AW219" s="322"/>
      <c r="AX219" s="315"/>
      <c r="AY219" s="315"/>
      <c r="AZ219" s="322"/>
      <c r="BA219" s="307"/>
      <c r="BB219" s="315"/>
      <c r="BC219" s="307"/>
      <c r="BD219" s="307"/>
      <c r="BE219" s="307"/>
      <c r="BF219" s="315"/>
      <c r="BG219" s="316"/>
      <c r="BH219" s="307"/>
      <c r="BI219" s="307"/>
      <c r="BJ219" s="315"/>
      <c r="BK219" s="322"/>
      <c r="BL219" s="307"/>
      <c r="BM219" s="307"/>
      <c r="BN219" s="315"/>
      <c r="BO219" s="322"/>
      <c r="BP219" s="307"/>
      <c r="BQ219" s="366"/>
      <c r="BR219" s="366"/>
      <c r="BT219" s="322"/>
      <c r="BU219" s="307"/>
      <c r="BV219" s="307"/>
      <c r="BW219" s="307"/>
      <c r="BX219" s="315"/>
      <c r="BY219" s="322"/>
      <c r="BZ219" s="307"/>
      <c r="CA219" s="307"/>
      <c r="CB219" s="307"/>
      <c r="CC219" s="315"/>
      <c r="CD219" s="307"/>
      <c r="CE219" s="307"/>
      <c r="CF219" s="307"/>
      <c r="CG219" s="307"/>
      <c r="CH219" s="315"/>
      <c r="CI219" s="322"/>
      <c r="CJ219" s="307"/>
      <c r="CK219" s="307"/>
      <c r="CL219" s="315"/>
      <c r="CM219" s="322"/>
      <c r="CN219" s="307"/>
      <c r="CO219" s="315"/>
      <c r="CP219" s="322"/>
      <c r="CQ219" s="307"/>
      <c r="CR219" s="315"/>
      <c r="CS219" s="322"/>
      <c r="CT219" s="307"/>
      <c r="CU219" s="315"/>
      <c r="CV219" s="322"/>
      <c r="CW219" s="307"/>
      <c r="CX219" s="315"/>
      <c r="CY219" s="322"/>
      <c r="CZ219" s="307"/>
      <c r="DA219" s="315"/>
      <c r="DB219" s="322"/>
      <c r="DC219" s="307"/>
      <c r="DD219" s="315"/>
      <c r="DE219" s="322"/>
      <c r="DF219" s="307"/>
      <c r="DG219" s="315"/>
      <c r="DH219" s="322"/>
      <c r="DI219" s="307"/>
      <c r="DJ219" s="307"/>
      <c r="DK219" s="307"/>
      <c r="DL219" s="307"/>
    </row>
    <row r="220" spans="1:116" hidden="1" outlineLevel="1">
      <c r="A220" s="30" t="str">
        <f>+A38</f>
        <v>4Q</v>
      </c>
      <c r="B220" s="30" t="str">
        <f>+B38</f>
        <v>Jan</v>
      </c>
      <c r="C220" s="30"/>
      <c r="D220" s="322">
        <v>2.3460000000000001</v>
      </c>
      <c r="E220" s="308">
        <f>+(D220/D214-1)*100</f>
        <v>15.623459832429788</v>
      </c>
      <c r="F220" s="322"/>
      <c r="G220" s="307"/>
      <c r="H220" s="307"/>
      <c r="I220" s="307"/>
      <c r="J220" s="316">
        <f>+D220+F220</f>
        <v>2.3460000000000001</v>
      </c>
      <c r="K220" s="308">
        <f>+(J220/J214-1)*100</f>
        <v>15.623459832429788</v>
      </c>
      <c r="L220" s="322">
        <v>0.248</v>
      </c>
      <c r="M220" s="308">
        <f>+(L220/L214-1)*100</f>
        <v>87.878787878787861</v>
      </c>
      <c r="N220" s="322">
        <v>3.9020000000000001</v>
      </c>
      <c r="O220" s="308">
        <f>+(N220/N214-1)*100</f>
        <v>12.449567723342936</v>
      </c>
      <c r="P220" s="322">
        <v>1.409</v>
      </c>
      <c r="Q220" s="308">
        <f>+(P220/P214-1)*100</f>
        <v>30.94795539033457</v>
      </c>
      <c r="R220" s="307"/>
      <c r="S220" s="307"/>
      <c r="T220" s="322">
        <v>4.4820000000000002</v>
      </c>
      <c r="U220" s="308">
        <f>+(T220/T214-1)*100</f>
        <v>5.2854122621564636</v>
      </c>
      <c r="V220" s="322">
        <v>9.2999999999999999E-2</v>
      </c>
      <c r="W220" s="308">
        <f>+(V220/V214-1)*100</f>
        <v>0</v>
      </c>
      <c r="X220" s="308"/>
      <c r="Y220" s="308"/>
      <c r="Z220" s="322"/>
      <c r="AA220" s="308"/>
      <c r="AB220" s="322">
        <v>6.8019999999999996</v>
      </c>
      <c r="AC220" s="308">
        <f>+(AB220/AB214-1)*100</f>
        <v>-2.3122217435013748</v>
      </c>
      <c r="AD220" s="322">
        <v>3.8519999999999999</v>
      </c>
      <c r="AE220" s="308">
        <f>+(AD220/AD214-1)*100</f>
        <v>2.5832223701730994</v>
      </c>
      <c r="AF220" s="322"/>
      <c r="AG220" s="30"/>
      <c r="AH220" s="322">
        <v>0.56599999999999995</v>
      </c>
      <c r="AI220" s="308">
        <f>+(AH220/AH214-1)*100</f>
        <v>-0.17636684303351524</v>
      </c>
      <c r="AJ220" s="322">
        <v>0.318</v>
      </c>
      <c r="AK220" s="308">
        <f>+(AJ220/AJ214-1)*100</f>
        <v>70.967741935483872</v>
      </c>
      <c r="AL220" s="322">
        <v>0.40500000000000003</v>
      </c>
      <c r="AM220" s="308">
        <f>+(AL220/AL214-1)*100</f>
        <v>21.987951807228924</v>
      </c>
      <c r="AN220" s="374">
        <v>3.0000000000000001E-3</v>
      </c>
      <c r="AO220" s="308">
        <f>+(AN220/AN214-1)*100</f>
        <v>0</v>
      </c>
      <c r="AP220" s="30"/>
      <c r="AQ220" s="453">
        <f>+J220+L220+N220+P220+R220+T220+V220+AB220+AD220+AF220+AH220+AJ220+AL220+AN220</f>
        <v>24.426000000000002</v>
      </c>
      <c r="AR220" s="308">
        <f>+(AQ220/AQ214-1)*100</f>
        <v>6.8363731793728011</v>
      </c>
      <c r="AS220" s="308"/>
      <c r="AT220" s="30"/>
      <c r="AU220" s="30"/>
      <c r="AV220" s="30"/>
      <c r="AW220" s="322"/>
      <c r="AX220" s="315"/>
      <c r="AY220" s="315"/>
      <c r="AZ220" s="322"/>
      <c r="BA220" s="307"/>
      <c r="BB220" s="315"/>
      <c r="BC220" s="307"/>
      <c r="BD220" s="307"/>
      <c r="BE220" s="307"/>
      <c r="BF220" s="315"/>
      <c r="BG220" s="316"/>
      <c r="BH220" s="307"/>
      <c r="BI220" s="307"/>
      <c r="BJ220" s="315"/>
      <c r="BK220" s="322"/>
      <c r="BL220" s="307"/>
      <c r="BM220" s="307"/>
      <c r="BN220" s="315"/>
      <c r="BO220" s="322"/>
      <c r="BP220" s="307"/>
      <c r="BQ220" s="366"/>
      <c r="BR220" s="366"/>
      <c r="BT220" s="322"/>
      <c r="BU220" s="307"/>
      <c r="BV220" s="307"/>
      <c r="BW220" s="307"/>
      <c r="BX220" s="315"/>
      <c r="BY220" s="322"/>
      <c r="BZ220" s="307"/>
      <c r="CA220" s="307"/>
      <c r="CB220" s="307"/>
      <c r="CC220" s="315"/>
      <c r="CD220" s="307"/>
      <c r="CE220" s="307"/>
      <c r="CF220" s="307"/>
      <c r="CG220" s="307"/>
      <c r="CH220" s="315"/>
      <c r="CI220" s="322"/>
      <c r="CJ220" s="307"/>
      <c r="CK220" s="307"/>
      <c r="CL220" s="315"/>
      <c r="CM220" s="322"/>
      <c r="CN220" s="307"/>
      <c r="CO220" s="315"/>
      <c r="CP220" s="322"/>
      <c r="CQ220" s="307"/>
      <c r="CR220" s="315"/>
      <c r="CS220" s="322"/>
      <c r="CT220" s="307"/>
      <c r="CU220" s="315"/>
      <c r="CV220" s="322"/>
      <c r="CW220" s="307"/>
      <c r="CX220" s="315"/>
      <c r="CY220" s="322"/>
      <c r="CZ220" s="307"/>
      <c r="DA220" s="315"/>
      <c r="DB220" s="322"/>
      <c r="DC220" s="307"/>
      <c r="DD220" s="315"/>
      <c r="DE220" s="322"/>
      <c r="DF220" s="307"/>
      <c r="DG220" s="315"/>
      <c r="DH220" s="322"/>
      <c r="DI220" s="307"/>
      <c r="DJ220" s="307"/>
      <c r="DK220" s="307"/>
      <c r="DL220" s="307"/>
    </row>
    <row r="221" spans="1:116" hidden="1" outlineLevel="1">
      <c r="A221" s="30"/>
      <c r="B221" s="30"/>
      <c r="C221" s="30"/>
      <c r="D221" s="314"/>
      <c r="E221" s="310"/>
      <c r="F221" s="314"/>
      <c r="G221" s="30"/>
      <c r="H221" s="30"/>
      <c r="I221" s="30"/>
      <c r="J221" s="316"/>
      <c r="K221" s="30"/>
      <c r="L221" s="314"/>
      <c r="M221" s="30"/>
      <c r="N221" s="314"/>
      <c r="O221" s="30"/>
      <c r="P221" s="314"/>
      <c r="Q221" s="30"/>
      <c r="R221" s="30"/>
      <c r="S221" s="30"/>
      <c r="T221" s="314"/>
      <c r="U221" s="30"/>
      <c r="V221" s="314"/>
      <c r="W221" s="30"/>
      <c r="X221" s="30"/>
      <c r="Y221" s="30"/>
      <c r="Z221" s="314"/>
      <c r="AA221" s="30"/>
      <c r="AB221" s="314"/>
      <c r="AC221" s="30"/>
      <c r="AD221" s="314"/>
      <c r="AE221" s="30"/>
      <c r="AF221" s="30"/>
      <c r="AG221" s="30"/>
      <c r="AH221" s="30"/>
      <c r="AI221" s="30"/>
      <c r="AJ221" s="30"/>
      <c r="AK221" s="30"/>
      <c r="AL221" s="30"/>
      <c r="AM221" s="30"/>
      <c r="AN221" s="375"/>
      <c r="AO221" s="30"/>
      <c r="AP221" s="30"/>
      <c r="AQ221" s="453"/>
      <c r="AR221" s="30"/>
      <c r="AS221" s="30"/>
      <c r="AT221" s="30"/>
      <c r="AU221" s="30"/>
      <c r="AV221" s="30"/>
      <c r="AW221" s="314"/>
      <c r="AX221" s="310"/>
      <c r="AY221" s="310"/>
      <c r="AZ221" s="314"/>
      <c r="BA221" s="30"/>
      <c r="BB221" s="310"/>
      <c r="BC221" s="30"/>
      <c r="BD221" s="30"/>
      <c r="BE221" s="30"/>
      <c r="BF221" s="310"/>
      <c r="BG221" s="316"/>
      <c r="BH221" s="30"/>
      <c r="BI221" s="30"/>
      <c r="BJ221" s="310"/>
      <c r="BK221" s="314"/>
      <c r="BL221" s="30"/>
      <c r="BM221" s="30"/>
      <c r="BN221" s="310"/>
      <c r="BO221" s="314"/>
      <c r="BP221" s="30"/>
      <c r="BQ221" s="253"/>
      <c r="BR221" s="253"/>
      <c r="BS221" s="1177"/>
      <c r="BT221" s="314"/>
      <c r="BU221" s="30"/>
      <c r="BV221" s="30"/>
      <c r="BW221" s="30"/>
      <c r="BX221" s="310"/>
      <c r="BY221" s="314"/>
      <c r="BZ221" s="30"/>
      <c r="CA221" s="30"/>
      <c r="CB221" s="30"/>
      <c r="CC221" s="310"/>
      <c r="CD221" s="30"/>
      <c r="CE221" s="30"/>
      <c r="CF221" s="30"/>
      <c r="CG221" s="30"/>
      <c r="CH221" s="310"/>
      <c r="CI221" s="314"/>
      <c r="CJ221" s="30"/>
      <c r="CK221" s="30"/>
      <c r="CL221" s="310"/>
      <c r="CM221" s="314"/>
      <c r="CN221" s="30"/>
      <c r="CO221" s="310"/>
      <c r="CP221" s="314"/>
      <c r="CQ221" s="30"/>
      <c r="CR221" s="310"/>
      <c r="CS221" s="314"/>
      <c r="CT221" s="30"/>
      <c r="CU221" s="310"/>
      <c r="CV221" s="314"/>
      <c r="CW221" s="30"/>
      <c r="CX221" s="310"/>
      <c r="CY221" s="314"/>
      <c r="CZ221" s="30"/>
      <c r="DA221" s="310"/>
      <c r="DB221" s="314"/>
      <c r="DC221" s="30"/>
      <c r="DD221" s="310"/>
      <c r="DE221" s="314"/>
      <c r="DF221" s="30"/>
      <c r="DG221" s="310"/>
      <c r="DH221" s="314"/>
      <c r="DI221" s="30"/>
      <c r="DJ221" s="30"/>
      <c r="DK221" s="30"/>
      <c r="DL221" s="30"/>
    </row>
    <row r="222" spans="1:116" hidden="1" outlineLevel="1">
      <c r="A222" s="301"/>
      <c r="B222" s="312">
        <f>+B40</f>
        <v>1994</v>
      </c>
      <c r="C222" s="301"/>
      <c r="D222" s="301"/>
      <c r="E222" s="313"/>
      <c r="F222" s="301"/>
      <c r="G222" s="301"/>
      <c r="H222" s="301"/>
      <c r="I222" s="301"/>
      <c r="J222" s="301"/>
      <c r="K222" s="301"/>
      <c r="L222" s="301"/>
      <c r="M222" s="301"/>
      <c r="N222" s="301"/>
      <c r="O222" s="301"/>
      <c r="P222" s="301"/>
      <c r="Q222" s="301"/>
      <c r="R222" s="301"/>
      <c r="S222" s="301"/>
      <c r="T222" s="301"/>
      <c r="U222" s="301"/>
      <c r="V222" s="301"/>
      <c r="W222" s="301"/>
      <c r="X222" s="301"/>
      <c r="Y222" s="301"/>
      <c r="Z222" s="301"/>
      <c r="AA222" s="301"/>
      <c r="AB222" s="301"/>
      <c r="AC222" s="301"/>
      <c r="AD222" s="301"/>
      <c r="AE222" s="301"/>
      <c r="AF222" s="301"/>
      <c r="AG222" s="301"/>
      <c r="AH222" s="301"/>
      <c r="AI222" s="301"/>
      <c r="AJ222" s="301"/>
      <c r="AK222" s="301"/>
      <c r="AL222" s="301"/>
      <c r="AM222" s="301"/>
      <c r="AN222" s="376"/>
      <c r="AO222" s="301"/>
      <c r="AP222" s="301"/>
      <c r="AQ222" s="454"/>
      <c r="AR222" s="301"/>
      <c r="AS222" s="301"/>
      <c r="AT222" s="301"/>
      <c r="AU222" s="301"/>
      <c r="AV222" s="301"/>
      <c r="AW222" s="301"/>
      <c r="AX222" s="313"/>
      <c r="AY222" s="313"/>
      <c r="AZ222" s="301"/>
      <c r="BA222" s="301"/>
      <c r="BB222" s="313"/>
      <c r="BC222" s="301"/>
      <c r="BD222" s="301"/>
      <c r="BE222" s="301"/>
      <c r="BF222" s="313"/>
      <c r="BG222" s="301"/>
      <c r="BH222" s="301"/>
      <c r="BI222" s="301"/>
      <c r="BJ222" s="313"/>
      <c r="BK222" s="301"/>
      <c r="BL222" s="301"/>
      <c r="BM222" s="301"/>
      <c r="BN222" s="313"/>
      <c r="BO222" s="301"/>
      <c r="BP222" s="301"/>
      <c r="BQ222" s="614"/>
      <c r="BR222" s="614"/>
      <c r="BS222" s="920"/>
      <c r="BT222" s="301"/>
      <c r="BU222" s="301"/>
      <c r="BV222" s="301"/>
      <c r="BW222" s="301"/>
      <c r="BX222" s="313"/>
      <c r="BY222" s="301"/>
      <c r="BZ222" s="301"/>
      <c r="CA222" s="301"/>
      <c r="CB222" s="301"/>
      <c r="CC222" s="313"/>
      <c r="CD222" s="301"/>
      <c r="CE222" s="301"/>
      <c r="CF222" s="301"/>
      <c r="CG222" s="301"/>
      <c r="CH222" s="313"/>
      <c r="CI222" s="301"/>
      <c r="CJ222" s="301"/>
      <c r="CK222" s="301"/>
      <c r="CL222" s="313"/>
      <c r="CM222" s="301"/>
      <c r="CN222" s="301"/>
      <c r="CO222" s="313"/>
      <c r="CP222" s="301"/>
      <c r="CQ222" s="301"/>
      <c r="CR222" s="313"/>
      <c r="CS222" s="301"/>
      <c r="CT222" s="301"/>
      <c r="CU222" s="313"/>
      <c r="CV222" s="301"/>
      <c r="CW222" s="301"/>
      <c r="CX222" s="313"/>
      <c r="CY222" s="301"/>
      <c r="CZ222" s="301"/>
      <c r="DA222" s="313"/>
      <c r="DB222" s="301"/>
      <c r="DC222" s="301"/>
      <c r="DD222" s="313"/>
      <c r="DE222" s="301"/>
      <c r="DF222" s="301"/>
      <c r="DG222" s="313"/>
      <c r="DH222" s="301"/>
      <c r="DI222" s="301"/>
      <c r="DJ222" s="301"/>
      <c r="DK222" s="301"/>
      <c r="DL222" s="301"/>
    </row>
    <row r="223" spans="1:116" hidden="1" outlineLevel="1">
      <c r="A223" s="30" t="str">
        <f>+A41</f>
        <v>1Q</v>
      </c>
      <c r="B223" s="30" t="str">
        <f>+B41</f>
        <v>Apr</v>
      </c>
      <c r="C223" s="30"/>
      <c r="D223" s="322">
        <v>2.4020000000000001</v>
      </c>
      <c r="E223" s="308">
        <f>+(D223/D217-1)*100</f>
        <v>14.818355640535374</v>
      </c>
      <c r="F223" s="322"/>
      <c r="G223" s="307"/>
      <c r="H223" s="307"/>
      <c r="I223" s="307"/>
      <c r="J223" s="316">
        <f>+D223+F223</f>
        <v>2.4020000000000001</v>
      </c>
      <c r="K223" s="308">
        <f>+(J223/J217-1)*100</f>
        <v>14.818355640535374</v>
      </c>
      <c r="L223" s="322">
        <v>0.27900000000000003</v>
      </c>
      <c r="M223" s="308">
        <f>+(L223/L217-1)*100</f>
        <v>103.64963503649633</v>
      </c>
      <c r="N223" s="322">
        <v>3.9849999999999999</v>
      </c>
      <c r="O223" s="308">
        <f>+(N223/N217-1)*100</f>
        <v>13.371266002844951</v>
      </c>
      <c r="P223" s="322">
        <v>1.4550000000000001</v>
      </c>
      <c r="Q223" s="308">
        <f>+(P223/P217-1)*100</f>
        <v>26.742160278745651</v>
      </c>
      <c r="R223" s="307"/>
      <c r="S223" s="307"/>
      <c r="T223" s="322">
        <v>4.4219999999999997</v>
      </c>
      <c r="U223" s="308">
        <f>+(T223/T217-1)*100</f>
        <v>2.1247113163972209</v>
      </c>
      <c r="V223" s="322">
        <v>9.2999999999999999E-2</v>
      </c>
      <c r="W223" s="308">
        <f>+(V223/V217-1)*100</f>
        <v>0</v>
      </c>
      <c r="X223" s="308"/>
      <c r="Y223" s="308"/>
      <c r="Z223" s="322"/>
      <c r="AA223" s="308"/>
      <c r="AB223" s="322">
        <v>6.7610000000000001</v>
      </c>
      <c r="AC223" s="308">
        <f>+(AB223/AB217-1)*100</f>
        <v>-2.6493880489560806</v>
      </c>
      <c r="AD223" s="322">
        <v>3.8519999999999999</v>
      </c>
      <c r="AE223" s="308">
        <f>+(AD223/AD217-1)*100</f>
        <v>1.5287295730100015</v>
      </c>
      <c r="AF223" s="322"/>
      <c r="AG223" s="30"/>
      <c r="AH223" s="322">
        <v>0.56899999999999995</v>
      </c>
      <c r="AI223" s="308">
        <f>+(AH223/AH217-1)*100</f>
        <v>0.17605633802817433</v>
      </c>
      <c r="AJ223" s="322">
        <v>0.32200000000000001</v>
      </c>
      <c r="AK223" s="308">
        <f>+(AJ223/AJ217-1)*100</f>
        <v>54.807692307692314</v>
      </c>
      <c r="AL223" s="322">
        <v>0.41199999999999998</v>
      </c>
      <c r="AM223" s="308">
        <f>+(AL223/AL217-1)*100</f>
        <v>23.353293413173649</v>
      </c>
      <c r="AN223" s="374">
        <v>3.0000000000000001E-3</v>
      </c>
      <c r="AO223" s="308">
        <f>+(AN223/AN217-1)*100</f>
        <v>0</v>
      </c>
      <c r="AP223" s="30"/>
      <c r="AQ223" s="453">
        <f>+J223+L223+N223+P223+R223+T223+V223+AB223+AD223+AF223+AH223+AJ223+AL223+AN223</f>
        <v>24.554999999999996</v>
      </c>
      <c r="AR223" s="308">
        <f>+(AQ223/AQ217-1)*100</f>
        <v>5.9912807009971036</v>
      </c>
      <c r="AS223" s="308"/>
      <c r="AT223" s="30"/>
      <c r="AU223" s="30"/>
      <c r="AV223" s="30"/>
      <c r="AW223" s="322"/>
      <c r="AX223" s="315"/>
      <c r="AY223" s="315"/>
      <c r="AZ223" s="322"/>
      <c r="BA223" s="307"/>
      <c r="BB223" s="315"/>
      <c r="BC223" s="307"/>
      <c r="BD223" s="307"/>
      <c r="BE223" s="307"/>
      <c r="BF223" s="315"/>
      <c r="BG223" s="316"/>
      <c r="BH223" s="307"/>
      <c r="BI223" s="307"/>
      <c r="BJ223" s="315"/>
      <c r="BK223" s="322"/>
      <c r="BL223" s="307"/>
      <c r="BM223" s="307"/>
      <c r="BN223" s="315"/>
      <c r="BO223" s="322"/>
      <c r="BP223" s="307"/>
      <c r="BQ223" s="366"/>
      <c r="BR223" s="366"/>
      <c r="BT223" s="322"/>
      <c r="BU223" s="307"/>
      <c r="BV223" s="307"/>
      <c r="BW223" s="307"/>
      <c r="BX223" s="315"/>
      <c r="BY223" s="322"/>
      <c r="BZ223" s="307"/>
      <c r="CA223" s="307"/>
      <c r="CB223" s="307"/>
      <c r="CC223" s="315"/>
      <c r="CD223" s="307"/>
      <c r="CE223" s="307"/>
      <c r="CF223" s="307"/>
      <c r="CG223" s="307"/>
      <c r="CH223" s="315"/>
      <c r="CI223" s="322"/>
      <c r="CJ223" s="307"/>
      <c r="CK223" s="307"/>
      <c r="CL223" s="315"/>
      <c r="CM223" s="322"/>
      <c r="CN223" s="307"/>
      <c r="CO223" s="315"/>
      <c r="CP223" s="322"/>
      <c r="CQ223" s="307"/>
      <c r="CR223" s="315"/>
      <c r="CS223" s="322"/>
      <c r="CT223" s="307"/>
      <c r="CU223" s="315"/>
      <c r="CV223" s="322"/>
      <c r="CW223" s="307"/>
      <c r="CX223" s="315"/>
      <c r="CY223" s="322"/>
      <c r="CZ223" s="307"/>
      <c r="DA223" s="315"/>
      <c r="DB223" s="322"/>
      <c r="DC223" s="307"/>
      <c r="DD223" s="315"/>
      <c r="DE223" s="322"/>
      <c r="DF223" s="307"/>
      <c r="DG223" s="315"/>
      <c r="DH223" s="322"/>
      <c r="DI223" s="307"/>
      <c r="DJ223" s="307"/>
      <c r="DK223" s="307"/>
      <c r="DL223" s="307"/>
    </row>
    <row r="224" spans="1:116" hidden="1" outlineLevel="1">
      <c r="A224" s="30" t="str">
        <f>+A42</f>
        <v>2Q</v>
      </c>
      <c r="B224" s="30" t="str">
        <f>+B42</f>
        <v>Jul</v>
      </c>
      <c r="C224" s="30"/>
      <c r="D224" s="322">
        <v>2.4300000000000002</v>
      </c>
      <c r="E224" s="308">
        <f>+(D224/D218-1)*100</f>
        <v>12.761020881670548</v>
      </c>
      <c r="F224" s="322"/>
      <c r="G224" s="307"/>
      <c r="H224" s="307"/>
      <c r="I224" s="307"/>
      <c r="J224" s="316">
        <f>+D224+F224</f>
        <v>2.4300000000000002</v>
      </c>
      <c r="K224" s="308">
        <f>+(J224/J218-1)*100</f>
        <v>12.761020881670548</v>
      </c>
      <c r="L224" s="322">
        <v>0.33800000000000002</v>
      </c>
      <c r="M224" s="308">
        <f>+(L224/L218-1)*100</f>
        <v>131.50684931506854</v>
      </c>
      <c r="N224" s="322">
        <v>4.09</v>
      </c>
      <c r="O224" s="308">
        <f>+(N224/N218-1)*100</f>
        <v>13.327791632031039</v>
      </c>
      <c r="P224" s="322">
        <v>1.5229999999999999</v>
      </c>
      <c r="Q224" s="308">
        <f>+(P224/P218-1)*100</f>
        <v>24.326530612244881</v>
      </c>
      <c r="R224" s="307"/>
      <c r="S224" s="307"/>
      <c r="T224" s="322">
        <v>4.444</v>
      </c>
      <c r="U224" s="308">
        <f>+(T224/T218-1)*100</f>
        <v>2.1139705882352811</v>
      </c>
      <c r="V224" s="322">
        <v>9.2999999999999999E-2</v>
      </c>
      <c r="W224" s="308">
        <f>+(V224/V218-1)*100</f>
        <v>0</v>
      </c>
      <c r="X224" s="308"/>
      <c r="Y224" s="308"/>
      <c r="Z224" s="322"/>
      <c r="AA224" s="308"/>
      <c r="AB224" s="322">
        <v>6.694</v>
      </c>
      <c r="AC224" s="308">
        <f>+(AB224/AB218-1)*100</f>
        <v>-2.9433086849354861</v>
      </c>
      <c r="AD224" s="322">
        <v>3.8580000000000001</v>
      </c>
      <c r="AE224" s="308">
        <f>+(AD224/AD218-1)*100</f>
        <v>1.1271297509829692</v>
      </c>
      <c r="AF224" s="322"/>
      <c r="AG224" s="30"/>
      <c r="AH224" s="322">
        <v>0.56999999999999995</v>
      </c>
      <c r="AI224" s="308">
        <f>+(AH224/AH218-1)*100</f>
        <v>0.35211267605634866</v>
      </c>
      <c r="AJ224" s="322">
        <v>0.32400000000000001</v>
      </c>
      <c r="AK224" s="308">
        <f>+(AJ224/AJ218-1)*100</f>
        <v>24.615384615384617</v>
      </c>
      <c r="AL224" s="322">
        <v>0.46200000000000002</v>
      </c>
      <c r="AM224" s="308">
        <f>+(AL224/AL218-1)*100</f>
        <v>34.6938775510204</v>
      </c>
      <c r="AN224" s="374">
        <v>3.0000000000000001E-3</v>
      </c>
      <c r="AO224" s="308">
        <f>+(AN224/AN218-1)*100</f>
        <v>0</v>
      </c>
      <c r="AP224" s="30"/>
      <c r="AQ224" s="453">
        <f>+J224+L224+N224+P224+R224+T224+V224+AB224+AD224+AF224+AH224+AJ224+AL224+AN224</f>
        <v>24.829000000000001</v>
      </c>
      <c r="AR224" s="308">
        <f>+(AQ224/AQ218-1)*100</f>
        <v>5.8084036478308843</v>
      </c>
      <c r="AS224" s="308"/>
      <c r="AT224" s="30"/>
      <c r="AU224" s="30"/>
      <c r="AV224" s="30"/>
      <c r="AW224" s="322"/>
      <c r="AX224" s="315"/>
      <c r="AY224" s="315"/>
      <c r="AZ224" s="322"/>
      <c r="BA224" s="307"/>
      <c r="BB224" s="315"/>
      <c r="BC224" s="307"/>
      <c r="BD224" s="307"/>
      <c r="BE224" s="307"/>
      <c r="BF224" s="315"/>
      <c r="BG224" s="316"/>
      <c r="BH224" s="307"/>
      <c r="BI224" s="307"/>
      <c r="BJ224" s="315"/>
      <c r="BK224" s="322"/>
      <c r="BL224" s="307"/>
      <c r="BM224" s="307"/>
      <c r="BN224" s="315"/>
      <c r="BO224" s="322"/>
      <c r="BP224" s="307"/>
      <c r="BQ224" s="366"/>
      <c r="BR224" s="366"/>
      <c r="BT224" s="322"/>
      <c r="BU224" s="307"/>
      <c r="BV224" s="307"/>
      <c r="BW224" s="307"/>
      <c r="BX224" s="315"/>
      <c r="BY224" s="322"/>
      <c r="BZ224" s="307"/>
      <c r="CA224" s="307"/>
      <c r="CB224" s="307"/>
      <c r="CC224" s="315"/>
      <c r="CD224" s="307"/>
      <c r="CE224" s="307"/>
      <c r="CF224" s="307"/>
      <c r="CG224" s="307"/>
      <c r="CH224" s="315"/>
      <c r="CI224" s="322"/>
      <c r="CJ224" s="307"/>
      <c r="CK224" s="307"/>
      <c r="CL224" s="315"/>
      <c r="CM224" s="322"/>
      <c r="CN224" s="307"/>
      <c r="CO224" s="315"/>
      <c r="CP224" s="322"/>
      <c r="CQ224" s="307"/>
      <c r="CR224" s="315"/>
      <c r="CS224" s="322"/>
      <c r="CT224" s="307"/>
      <c r="CU224" s="315"/>
      <c r="CV224" s="322"/>
      <c r="CW224" s="307"/>
      <c r="CX224" s="315"/>
      <c r="CY224" s="322"/>
      <c r="CZ224" s="307"/>
      <c r="DA224" s="315"/>
      <c r="DB224" s="322"/>
      <c r="DC224" s="307"/>
      <c r="DD224" s="315"/>
      <c r="DE224" s="322"/>
      <c r="DF224" s="307"/>
      <c r="DG224" s="315"/>
      <c r="DH224" s="322"/>
      <c r="DI224" s="307"/>
      <c r="DJ224" s="307"/>
      <c r="DK224" s="307"/>
      <c r="DL224" s="307"/>
    </row>
    <row r="225" spans="1:116" hidden="1" outlineLevel="1">
      <c r="A225" s="30" t="str">
        <f>+A43</f>
        <v>3Q</v>
      </c>
      <c r="B225" s="30" t="str">
        <f>+B43</f>
        <v>Oct</v>
      </c>
      <c r="C225" s="30"/>
      <c r="D225" s="322">
        <v>2.5310000000000001</v>
      </c>
      <c r="E225" s="308">
        <f>+(D225/D219-1)*100</f>
        <v>10.620629370629375</v>
      </c>
      <c r="F225" s="322"/>
      <c r="G225" s="307"/>
      <c r="H225" s="307"/>
      <c r="I225" s="307"/>
      <c r="J225" s="316">
        <f>+D225+F225</f>
        <v>2.5310000000000001</v>
      </c>
      <c r="K225" s="308">
        <f>+(J225/J219-1)*100</f>
        <v>10.620629370629375</v>
      </c>
      <c r="L225" s="322">
        <v>0.42399999999999999</v>
      </c>
      <c r="M225" s="308">
        <f>+(L225/L219-1)*100</f>
        <v>91.855203619909489</v>
      </c>
      <c r="N225" s="322">
        <v>4.2190000000000003</v>
      </c>
      <c r="O225" s="308">
        <f>+(N225/N219-1)*100</f>
        <v>11.231215396783556</v>
      </c>
      <c r="P225" s="322">
        <v>1.6359999999999999</v>
      </c>
      <c r="Q225" s="308">
        <f>+(P225/P219-1)*100</f>
        <v>23.007518796992478</v>
      </c>
      <c r="R225" s="307"/>
      <c r="S225" s="307"/>
      <c r="T225" s="322">
        <v>4.4470000000000001</v>
      </c>
      <c r="U225" s="308">
        <f>+(T225/T219-1)*100</f>
        <v>-0.17957351290684986</v>
      </c>
      <c r="V225" s="322">
        <v>9.2999999999999999E-2</v>
      </c>
      <c r="W225" s="308">
        <f>+(V225/V219-1)*100</f>
        <v>0</v>
      </c>
      <c r="X225" s="308"/>
      <c r="Y225" s="308"/>
      <c r="Z225" s="322"/>
      <c r="AA225" s="308"/>
      <c r="AB225" s="322">
        <v>6.6870000000000003</v>
      </c>
      <c r="AC225" s="308">
        <f>+(AB225/AB219-1)*100</f>
        <v>-3.5760634462869367</v>
      </c>
      <c r="AD225" s="322">
        <v>3.8769999999999998</v>
      </c>
      <c r="AE225" s="308">
        <f>+(AD225/AD219-1)*100</f>
        <v>0.80603224128963369</v>
      </c>
      <c r="AF225" s="322"/>
      <c r="AG225" s="30"/>
      <c r="AH225" s="322">
        <v>0.64600000000000002</v>
      </c>
      <c r="AI225" s="308">
        <f>+(AH225/AH219-1)*100</f>
        <v>13.732394366197198</v>
      </c>
      <c r="AJ225" s="322">
        <v>0.34399999999999997</v>
      </c>
      <c r="AK225" s="308">
        <f>+(AJ225/AJ219-1)*100</f>
        <v>18.213058419243989</v>
      </c>
      <c r="AL225" s="322">
        <v>0.499</v>
      </c>
      <c r="AM225" s="308">
        <f>+(AL225/AL219-1)*100</f>
        <v>33.066666666666663</v>
      </c>
      <c r="AN225" s="374">
        <v>3.0000000000000001E-3</v>
      </c>
      <c r="AO225" s="308">
        <f>+(AN225/AN219-1)*100</f>
        <v>0</v>
      </c>
      <c r="AP225" s="30"/>
      <c r="AQ225" s="453">
        <f>+J225+L225+N225+P225+R225+T225+V225+AB225+AD225+AF225+AH225+AJ225+AL225+AN225</f>
        <v>25.406000000000002</v>
      </c>
      <c r="AR225" s="308">
        <f>+(AQ225/AQ219-1)*100</f>
        <v>4.9921481114141741</v>
      </c>
      <c r="AS225" s="308"/>
      <c r="AT225" s="30"/>
      <c r="AU225" s="30"/>
      <c r="AV225" s="30"/>
      <c r="AW225" s="322"/>
      <c r="AX225" s="315"/>
      <c r="AY225" s="315"/>
      <c r="AZ225" s="322"/>
      <c r="BA225" s="307"/>
      <c r="BB225" s="315"/>
      <c r="BC225" s="307"/>
      <c r="BD225" s="307"/>
      <c r="BE225" s="307"/>
      <c r="BF225" s="315"/>
      <c r="BG225" s="316"/>
      <c r="BH225" s="307"/>
      <c r="BI225" s="307"/>
      <c r="BJ225" s="315"/>
      <c r="BK225" s="322"/>
      <c r="BL225" s="307"/>
      <c r="BM225" s="307"/>
      <c r="BN225" s="315"/>
      <c r="BO225" s="322"/>
      <c r="BP225" s="307"/>
      <c r="BQ225" s="366"/>
      <c r="BR225" s="366"/>
      <c r="BT225" s="322"/>
      <c r="BU225" s="307"/>
      <c r="BV225" s="307"/>
      <c r="BW225" s="307"/>
      <c r="BX225" s="315"/>
      <c r="BY225" s="322"/>
      <c r="BZ225" s="307"/>
      <c r="CA225" s="307"/>
      <c r="CB225" s="307"/>
      <c r="CC225" s="315"/>
      <c r="CD225" s="307"/>
      <c r="CE225" s="307"/>
      <c r="CF225" s="307"/>
      <c r="CG225" s="307"/>
      <c r="CH225" s="315"/>
      <c r="CI225" s="322"/>
      <c r="CJ225" s="307"/>
      <c r="CK225" s="307"/>
      <c r="CL225" s="315"/>
      <c r="CM225" s="322"/>
      <c r="CN225" s="307"/>
      <c r="CO225" s="315"/>
      <c r="CP225" s="322"/>
      <c r="CQ225" s="307"/>
      <c r="CR225" s="315"/>
      <c r="CS225" s="322"/>
      <c r="CT225" s="307"/>
      <c r="CU225" s="315"/>
      <c r="CV225" s="322"/>
      <c r="CW225" s="307"/>
      <c r="CX225" s="315"/>
      <c r="CY225" s="322"/>
      <c r="CZ225" s="307"/>
      <c r="DA225" s="315"/>
      <c r="DB225" s="322"/>
      <c r="DC225" s="307"/>
      <c r="DD225" s="315"/>
      <c r="DE225" s="322"/>
      <c r="DF225" s="307"/>
      <c r="DG225" s="315"/>
      <c r="DH225" s="322"/>
      <c r="DI225" s="307"/>
      <c r="DJ225" s="307"/>
      <c r="DK225" s="307"/>
      <c r="DL225" s="307"/>
    </row>
    <row r="226" spans="1:116" hidden="1" outlineLevel="1">
      <c r="A226" s="30" t="str">
        <f>+A44</f>
        <v>4Q</v>
      </c>
      <c r="B226" s="30" t="str">
        <f>+B44</f>
        <v>Jan</v>
      </c>
      <c r="C226" s="30"/>
      <c r="D226" s="322">
        <v>2.5859999999999999</v>
      </c>
      <c r="E226" s="308">
        <f>+(D226/D220-1)*100</f>
        <v>10.230179028132991</v>
      </c>
      <c r="F226" s="322"/>
      <c r="G226" s="307"/>
      <c r="H226" s="307"/>
      <c r="I226" s="307"/>
      <c r="J226" s="316">
        <f>+D226+F226</f>
        <v>2.5859999999999999</v>
      </c>
      <c r="K226" s="308">
        <f>+(J226/J220-1)*100</f>
        <v>10.230179028132991</v>
      </c>
      <c r="L226" s="322">
        <v>0.48899999999999999</v>
      </c>
      <c r="M226" s="308">
        <f>+(L226/L220-1)*100</f>
        <v>97.177419354838705</v>
      </c>
      <c r="N226" s="322">
        <v>4.3570000000000002</v>
      </c>
      <c r="O226" s="308">
        <f>+(N226/N220-1)*100</f>
        <v>11.660686827268062</v>
      </c>
      <c r="P226" s="322">
        <v>1.7549999999999999</v>
      </c>
      <c r="Q226" s="308">
        <f>+(P226/P220-1)*100</f>
        <v>24.556422995031934</v>
      </c>
      <c r="R226" s="307"/>
      <c r="S226" s="307"/>
      <c r="T226" s="322">
        <v>4.3579999999999997</v>
      </c>
      <c r="U226" s="308">
        <f>+(T226/T220-1)*100</f>
        <v>-2.7666220437304934</v>
      </c>
      <c r="V226" s="322">
        <v>9.2999999999999999E-2</v>
      </c>
      <c r="W226" s="308">
        <f>+(V226/V220-1)*100</f>
        <v>0</v>
      </c>
      <c r="X226" s="308"/>
      <c r="Y226" s="308"/>
      <c r="Z226" s="322"/>
      <c r="AA226" s="308"/>
      <c r="AB226" s="322">
        <v>6.58</v>
      </c>
      <c r="AC226" s="308">
        <f>+(AB226/AB220-1)*100</f>
        <v>-3.26374595707144</v>
      </c>
      <c r="AD226" s="322">
        <v>3.859</v>
      </c>
      <c r="AE226" s="308">
        <f>+(AD226/AD220-1)*100</f>
        <v>0.18172377985461452</v>
      </c>
      <c r="AF226" s="322"/>
      <c r="AG226" s="30"/>
      <c r="AH226" s="322">
        <v>0.66500000000000004</v>
      </c>
      <c r="AI226" s="308">
        <f>+(AH226/AH220-1)*100</f>
        <v>17.49116607773853</v>
      </c>
      <c r="AJ226" s="322">
        <v>0.34200000000000003</v>
      </c>
      <c r="AK226" s="308">
        <f>+(AJ226/AJ220-1)*100</f>
        <v>7.547169811320753</v>
      </c>
      <c r="AL226" s="322">
        <v>0.54100000000000004</v>
      </c>
      <c r="AM226" s="308">
        <f>+(AL226/AL220-1)*100</f>
        <v>33.58024691358024</v>
      </c>
      <c r="AN226" s="374">
        <v>2E-3</v>
      </c>
      <c r="AO226" s="308">
        <f>+(AN226/AN220-1)*100</f>
        <v>-33.333333333333336</v>
      </c>
      <c r="AP226" s="30"/>
      <c r="AQ226" s="453">
        <f>+J226+L226+N226+P226+R226+T226+V226+AB226+AD226+AF226+AH226+AJ226+AL226+AN226</f>
        <v>25.627000000000002</v>
      </c>
      <c r="AR226" s="308">
        <f>+(AQ226/AQ220-1)*100</f>
        <v>4.9168918365675829</v>
      </c>
      <c r="AS226" s="308"/>
      <c r="AT226" s="30"/>
      <c r="AU226" s="30"/>
      <c r="AV226" s="30"/>
      <c r="AW226" s="322"/>
      <c r="AX226" s="315"/>
      <c r="AY226" s="315"/>
      <c r="AZ226" s="322"/>
      <c r="BA226" s="307"/>
      <c r="BB226" s="315"/>
      <c r="BC226" s="307"/>
      <c r="BD226" s="307"/>
      <c r="BE226" s="307"/>
      <c r="BF226" s="315"/>
      <c r="BG226" s="316"/>
      <c r="BH226" s="307"/>
      <c r="BI226" s="307"/>
      <c r="BJ226" s="315"/>
      <c r="BK226" s="322"/>
      <c r="BL226" s="307"/>
      <c r="BM226" s="307"/>
      <c r="BN226" s="315"/>
      <c r="BO226" s="322"/>
      <c r="BP226" s="307"/>
      <c r="BQ226" s="366"/>
      <c r="BR226" s="366"/>
      <c r="BT226" s="322"/>
      <c r="BU226" s="307"/>
      <c r="BV226" s="307"/>
      <c r="BW226" s="307"/>
      <c r="BX226" s="315"/>
      <c r="BY226" s="322"/>
      <c r="BZ226" s="307"/>
      <c r="CA226" s="307"/>
      <c r="CB226" s="307"/>
      <c r="CC226" s="315"/>
      <c r="CD226" s="307"/>
      <c r="CE226" s="307"/>
      <c r="CF226" s="307"/>
      <c r="CG226" s="307"/>
      <c r="CH226" s="315"/>
      <c r="CI226" s="322"/>
      <c r="CJ226" s="307"/>
      <c r="CK226" s="307"/>
      <c r="CL226" s="315"/>
      <c r="CM226" s="322"/>
      <c r="CN226" s="307"/>
      <c r="CO226" s="315"/>
      <c r="CP226" s="322"/>
      <c r="CQ226" s="307"/>
      <c r="CR226" s="315"/>
      <c r="CS226" s="322"/>
      <c r="CT226" s="307"/>
      <c r="CU226" s="315"/>
      <c r="CV226" s="322"/>
      <c r="CW226" s="307"/>
      <c r="CX226" s="315"/>
      <c r="CY226" s="322"/>
      <c r="CZ226" s="307"/>
      <c r="DA226" s="315"/>
      <c r="DB226" s="322"/>
      <c r="DC226" s="307"/>
      <c r="DD226" s="315"/>
      <c r="DE226" s="322"/>
      <c r="DF226" s="307"/>
      <c r="DG226" s="315"/>
      <c r="DH226" s="322"/>
      <c r="DI226" s="307"/>
      <c r="DJ226" s="307"/>
      <c r="DK226" s="307"/>
      <c r="DL226" s="307"/>
    </row>
    <row r="227" spans="1:116" hidden="1" outlineLevel="1">
      <c r="A227" s="30"/>
      <c r="B227" s="30"/>
      <c r="C227" s="30"/>
      <c r="D227" s="314"/>
      <c r="E227" s="310"/>
      <c r="F227" s="314"/>
      <c r="G227" s="30"/>
      <c r="H227" s="30"/>
      <c r="I227" s="30"/>
      <c r="J227" s="316"/>
      <c r="K227" s="30"/>
      <c r="L227" s="314"/>
      <c r="M227" s="30"/>
      <c r="N227" s="314"/>
      <c r="O227" s="30"/>
      <c r="P227" s="314"/>
      <c r="Q227" s="30"/>
      <c r="R227" s="30"/>
      <c r="S227" s="30"/>
      <c r="T227" s="314"/>
      <c r="U227" s="30"/>
      <c r="V227" s="314"/>
      <c r="W227" s="30"/>
      <c r="X227" s="30"/>
      <c r="Y227" s="30"/>
      <c r="Z227" s="314"/>
      <c r="AA227" s="30"/>
      <c r="AB227" s="314"/>
      <c r="AC227" s="30"/>
      <c r="AD227" s="314"/>
      <c r="AE227" s="30"/>
      <c r="AF227" s="30"/>
      <c r="AG227" s="30"/>
      <c r="AH227" s="30"/>
      <c r="AI227" s="30"/>
      <c r="AJ227" s="30"/>
      <c r="AK227" s="30"/>
      <c r="AL227" s="30"/>
      <c r="AM227" s="30"/>
      <c r="AN227" s="375"/>
      <c r="AO227" s="30"/>
      <c r="AP227" s="30"/>
      <c r="AQ227" s="453"/>
      <c r="AR227" s="30"/>
      <c r="AS227" s="30"/>
      <c r="AT227" s="30"/>
      <c r="AU227" s="30"/>
      <c r="AV227" s="30"/>
      <c r="AW227" s="314"/>
      <c r="AX227" s="310"/>
      <c r="AY227" s="310"/>
      <c r="AZ227" s="314"/>
      <c r="BA227" s="30"/>
      <c r="BB227" s="310"/>
      <c r="BC227" s="30"/>
      <c r="BD227" s="30"/>
      <c r="BE227" s="30"/>
      <c r="BF227" s="310"/>
      <c r="BG227" s="316"/>
      <c r="BH227" s="30"/>
      <c r="BI227" s="30"/>
      <c r="BJ227" s="310"/>
      <c r="BK227" s="314"/>
      <c r="BL227" s="30"/>
      <c r="BM227" s="30"/>
      <c r="BN227" s="310"/>
      <c r="BO227" s="314"/>
      <c r="BP227" s="30"/>
      <c r="BQ227" s="253"/>
      <c r="BR227" s="253"/>
      <c r="BS227" s="1177"/>
      <c r="BT227" s="314"/>
      <c r="BU227" s="30"/>
      <c r="BV227" s="30"/>
      <c r="BW227" s="30"/>
      <c r="BX227" s="310"/>
      <c r="BY227" s="314"/>
      <c r="BZ227" s="30"/>
      <c r="CA227" s="30"/>
      <c r="CB227" s="30"/>
      <c r="CC227" s="310"/>
      <c r="CD227" s="30"/>
      <c r="CE227" s="30"/>
      <c r="CF227" s="30"/>
      <c r="CG227" s="30"/>
      <c r="CH227" s="310"/>
      <c r="CI227" s="314"/>
      <c r="CJ227" s="30"/>
      <c r="CK227" s="30"/>
      <c r="CL227" s="310"/>
      <c r="CM227" s="314"/>
      <c r="CN227" s="30"/>
      <c r="CO227" s="310"/>
      <c r="CP227" s="314"/>
      <c r="CQ227" s="30"/>
      <c r="CR227" s="310"/>
      <c r="CS227" s="314"/>
      <c r="CT227" s="30"/>
      <c r="CU227" s="310"/>
      <c r="CV227" s="314"/>
      <c r="CW227" s="30"/>
      <c r="CX227" s="310"/>
      <c r="CY227" s="314"/>
      <c r="CZ227" s="30"/>
      <c r="DA227" s="310"/>
      <c r="DB227" s="314"/>
      <c r="DC227" s="30"/>
      <c r="DD227" s="310"/>
      <c r="DE227" s="314"/>
      <c r="DF227" s="30"/>
      <c r="DG227" s="310"/>
      <c r="DH227" s="314"/>
      <c r="DI227" s="30"/>
      <c r="DJ227" s="30"/>
      <c r="DK227" s="30"/>
      <c r="DL227" s="30"/>
    </row>
    <row r="228" spans="1:116" hidden="1" outlineLevel="1">
      <c r="A228" s="301"/>
      <c r="B228" s="312">
        <f>+B46</f>
        <v>1995</v>
      </c>
      <c r="C228" s="301"/>
      <c r="D228" s="301"/>
      <c r="E228" s="313"/>
      <c r="F228" s="301"/>
      <c r="G228" s="301"/>
      <c r="H228" s="301"/>
      <c r="I228" s="301"/>
      <c r="J228" s="301"/>
      <c r="K228" s="301"/>
      <c r="L228" s="301"/>
      <c r="M228" s="301"/>
      <c r="N228" s="301"/>
      <c r="O228" s="301"/>
      <c r="P228" s="301"/>
      <c r="Q228" s="301"/>
      <c r="R228" s="301"/>
      <c r="S228" s="301"/>
      <c r="T228" s="301"/>
      <c r="U228" s="301"/>
      <c r="V228" s="301"/>
      <c r="W228" s="301"/>
      <c r="X228" s="301"/>
      <c r="Y228" s="301"/>
      <c r="Z228" s="301"/>
      <c r="AA228" s="301"/>
      <c r="AB228" s="301"/>
      <c r="AC228" s="301"/>
      <c r="AD228" s="301"/>
      <c r="AE228" s="301"/>
      <c r="AF228" s="301"/>
      <c r="AG228" s="301"/>
      <c r="AH228" s="301"/>
      <c r="AI228" s="301"/>
      <c r="AJ228" s="301"/>
      <c r="AK228" s="301"/>
      <c r="AL228" s="301"/>
      <c r="AM228" s="301"/>
      <c r="AN228" s="376"/>
      <c r="AO228" s="301"/>
      <c r="AP228" s="301"/>
      <c r="AQ228" s="454"/>
      <c r="AR228" s="301"/>
      <c r="AS228" s="301"/>
      <c r="AT228" s="301"/>
      <c r="AU228" s="301"/>
      <c r="AV228" s="301"/>
      <c r="AW228" s="301"/>
      <c r="AX228" s="313"/>
      <c r="AY228" s="313"/>
      <c r="AZ228" s="301"/>
      <c r="BA228" s="301"/>
      <c r="BB228" s="313"/>
      <c r="BC228" s="301"/>
      <c r="BD228" s="301"/>
      <c r="BE228" s="301"/>
      <c r="BF228" s="313"/>
      <c r="BG228" s="301"/>
      <c r="BH228" s="301"/>
      <c r="BI228" s="301"/>
      <c r="BJ228" s="313"/>
      <c r="BK228" s="301"/>
      <c r="BL228" s="301"/>
      <c r="BM228" s="301"/>
      <c r="BN228" s="313"/>
      <c r="BO228" s="301"/>
      <c r="BP228" s="301"/>
      <c r="BQ228" s="614"/>
      <c r="BR228" s="614"/>
      <c r="BS228" s="920"/>
      <c r="BT228" s="301"/>
      <c r="BU228" s="301"/>
      <c r="BV228" s="301"/>
      <c r="BW228" s="301"/>
      <c r="BX228" s="313"/>
      <c r="BY228" s="301"/>
      <c r="BZ228" s="301"/>
      <c r="CA228" s="301"/>
      <c r="CB228" s="301"/>
      <c r="CC228" s="313"/>
      <c r="CD228" s="301"/>
      <c r="CE228" s="301"/>
      <c r="CF228" s="301"/>
      <c r="CG228" s="301"/>
      <c r="CH228" s="313"/>
      <c r="CI228" s="301"/>
      <c r="CJ228" s="301"/>
      <c r="CK228" s="301"/>
      <c r="CL228" s="313"/>
      <c r="CM228" s="301"/>
      <c r="CN228" s="301"/>
      <c r="CO228" s="313"/>
      <c r="CP228" s="301"/>
      <c r="CQ228" s="301"/>
      <c r="CR228" s="313"/>
      <c r="CS228" s="301"/>
      <c r="CT228" s="301"/>
      <c r="CU228" s="313"/>
      <c r="CV228" s="301"/>
      <c r="CW228" s="301"/>
      <c r="CX228" s="313"/>
      <c r="CY228" s="301"/>
      <c r="CZ228" s="301"/>
      <c r="DA228" s="313"/>
      <c r="DB228" s="301"/>
      <c r="DC228" s="301"/>
      <c r="DD228" s="313"/>
      <c r="DE228" s="301"/>
      <c r="DF228" s="301"/>
      <c r="DG228" s="313"/>
      <c r="DH228" s="301"/>
      <c r="DI228" s="301"/>
      <c r="DJ228" s="301"/>
      <c r="DK228" s="301"/>
      <c r="DL228" s="301"/>
    </row>
    <row r="229" spans="1:116" hidden="1" outlineLevel="1">
      <c r="A229" s="30" t="str">
        <f>+A47</f>
        <v>1Q</v>
      </c>
      <c r="B229" s="30" t="str">
        <f>+B47</f>
        <v>Apr</v>
      </c>
      <c r="C229" s="30"/>
      <c r="D229" s="322">
        <v>2.6459999999999999</v>
      </c>
      <c r="E229" s="308">
        <f>+(D229/D223-1)*100</f>
        <v>10.158201498751041</v>
      </c>
      <c r="F229" s="322"/>
      <c r="G229" s="307"/>
      <c r="H229" s="307"/>
      <c r="I229" s="307"/>
      <c r="J229" s="316">
        <f>+D229+F229</f>
        <v>2.6459999999999999</v>
      </c>
      <c r="K229" s="308">
        <f>+(J229/J223-1)*100</f>
        <v>10.158201498751041</v>
      </c>
      <c r="L229" s="322">
        <v>0.54900000000000004</v>
      </c>
      <c r="M229" s="308">
        <f>+(L229/L223-1)*100</f>
        <v>96.774193548387103</v>
      </c>
      <c r="N229" s="322">
        <v>4.4009999999999998</v>
      </c>
      <c r="O229" s="308">
        <f>+(N229/N223-1)*100</f>
        <v>10.439146800501886</v>
      </c>
      <c r="P229" s="322">
        <v>1.784</v>
      </c>
      <c r="Q229" s="308">
        <f>+(P229/P223-1)*100</f>
        <v>22.611683848797238</v>
      </c>
      <c r="R229" s="307"/>
      <c r="S229" s="307"/>
      <c r="T229" s="322">
        <v>4.3280000000000003</v>
      </c>
      <c r="U229" s="308">
        <f>+(T229/T223-1)*100</f>
        <v>-2.1257349615558474</v>
      </c>
      <c r="V229" s="322">
        <v>8.7999999999999995E-2</v>
      </c>
      <c r="W229" s="308">
        <f>+(V229/V223-1)*100</f>
        <v>-5.3763440860215113</v>
      </c>
      <c r="X229" s="308"/>
      <c r="Y229" s="308"/>
      <c r="Z229" s="322"/>
      <c r="AA229" s="308"/>
      <c r="AB229" s="322">
        <v>6.5359999999999996</v>
      </c>
      <c r="AC229" s="308">
        <f>+(AB229/AB223-1)*100</f>
        <v>-3.3279100724744937</v>
      </c>
      <c r="AD229" s="322">
        <v>3.8660000000000001</v>
      </c>
      <c r="AE229" s="308">
        <f>+(AD229/AD223-1)*100</f>
        <v>0.36344755970925124</v>
      </c>
      <c r="AF229" s="322">
        <v>0</v>
      </c>
      <c r="AG229" s="30"/>
      <c r="AH229" s="322">
        <v>0.76</v>
      </c>
      <c r="AI229" s="308">
        <f>+(AH229/AH223-1)*100</f>
        <v>33.56766256590511</v>
      </c>
      <c r="AJ229" s="322">
        <v>0.35199999999999998</v>
      </c>
      <c r="AK229" s="308">
        <f>+(AJ229/AJ223-1)*100</f>
        <v>9.316770186335388</v>
      </c>
      <c r="AL229" s="322">
        <v>0.57999999999999996</v>
      </c>
      <c r="AM229" s="308">
        <f>+(AL229/AL223-1)*100</f>
        <v>40.77669902912622</v>
      </c>
      <c r="AN229" s="374">
        <v>2E-3</v>
      </c>
      <c r="AO229" s="308">
        <f>+(AN229/AN223-1)*100</f>
        <v>-33.333333333333336</v>
      </c>
      <c r="AP229" s="30"/>
      <c r="AQ229" s="453">
        <f>+J229+L229+N229+P229+R229+T229+V229+AB229+AD229+AF229+AH229+AJ229+AL229+AN229</f>
        <v>25.891999999999999</v>
      </c>
      <c r="AR229" s="308">
        <f>+(AQ229/AQ223-1)*100</f>
        <v>5.4449195683160312</v>
      </c>
      <c r="AS229" s="308"/>
      <c r="AT229" s="30"/>
      <c r="AU229" s="30"/>
      <c r="AV229" s="30"/>
      <c r="AW229" s="322"/>
      <c r="AX229" s="315"/>
      <c r="AY229" s="315"/>
      <c r="AZ229" s="322"/>
      <c r="BA229" s="307"/>
      <c r="BB229" s="315"/>
      <c r="BC229" s="307"/>
      <c r="BD229" s="307"/>
      <c r="BE229" s="307"/>
      <c r="BF229" s="315"/>
      <c r="BG229" s="316"/>
      <c r="BH229" s="307"/>
      <c r="BI229" s="307"/>
      <c r="BJ229" s="315"/>
      <c r="BK229" s="322"/>
      <c r="BL229" s="307"/>
      <c r="BM229" s="307"/>
      <c r="BN229" s="315"/>
      <c r="BO229" s="322"/>
      <c r="BP229" s="307"/>
      <c r="BQ229" s="366"/>
      <c r="BR229" s="366"/>
      <c r="BT229" s="322"/>
      <c r="BU229" s="307"/>
      <c r="BV229" s="307"/>
      <c r="BW229" s="307"/>
      <c r="BX229" s="315"/>
      <c r="BY229" s="322"/>
      <c r="BZ229" s="307"/>
      <c r="CA229" s="307"/>
      <c r="CB229" s="307"/>
      <c r="CC229" s="315"/>
      <c r="CD229" s="307"/>
      <c r="CE229" s="307"/>
      <c r="CF229" s="307"/>
      <c r="CG229" s="307"/>
      <c r="CH229" s="315"/>
      <c r="CI229" s="322"/>
      <c r="CJ229" s="307"/>
      <c r="CK229" s="307"/>
      <c r="CL229" s="315"/>
      <c r="CM229" s="322"/>
      <c r="CN229" s="307"/>
      <c r="CO229" s="315"/>
      <c r="CP229" s="322"/>
      <c r="CQ229" s="307"/>
      <c r="CR229" s="315"/>
      <c r="CS229" s="322"/>
      <c r="CT229" s="307"/>
      <c r="CU229" s="315"/>
      <c r="CV229" s="322"/>
      <c r="CW229" s="307"/>
      <c r="CX229" s="315"/>
      <c r="CY229" s="322"/>
      <c r="CZ229" s="307"/>
      <c r="DA229" s="315"/>
      <c r="DB229" s="322"/>
      <c r="DC229" s="307"/>
      <c r="DD229" s="315"/>
      <c r="DE229" s="322"/>
      <c r="DF229" s="307"/>
      <c r="DG229" s="315"/>
      <c r="DH229" s="322"/>
      <c r="DI229" s="307"/>
      <c r="DJ229" s="307"/>
      <c r="DK229" s="307"/>
      <c r="DL229" s="307"/>
    </row>
    <row r="230" spans="1:116" hidden="1" outlineLevel="1">
      <c r="A230" s="30" t="str">
        <f>+A48</f>
        <v>2Q</v>
      </c>
      <c r="B230" s="30" t="str">
        <f>+B48</f>
        <v>Jul</v>
      </c>
      <c r="C230" s="30"/>
      <c r="D230" s="322">
        <v>2.7629999999999999</v>
      </c>
      <c r="E230" s="308">
        <f>+(D230/D224-1)*100</f>
        <v>13.703703703703685</v>
      </c>
      <c r="F230" s="322"/>
      <c r="G230" s="307"/>
      <c r="H230" s="307"/>
      <c r="I230" s="307"/>
      <c r="J230" s="316">
        <f>+D230+F230</f>
        <v>2.7629999999999999</v>
      </c>
      <c r="K230" s="308">
        <f>+(J230/J224-1)*100</f>
        <v>13.703703703703685</v>
      </c>
      <c r="L230" s="322">
        <v>0.622</v>
      </c>
      <c r="M230" s="308">
        <f>+(L230/L224-1)*100</f>
        <v>84.023668639053241</v>
      </c>
      <c r="N230" s="322">
        <v>4.4610000000000003</v>
      </c>
      <c r="O230" s="308">
        <f>+(N230/N224-1)*100</f>
        <v>9.070904645476773</v>
      </c>
      <c r="P230" s="322">
        <v>1.837</v>
      </c>
      <c r="Q230" s="308">
        <f>+(P230/P224-1)*100</f>
        <v>20.617202889034814</v>
      </c>
      <c r="R230" s="307"/>
      <c r="S230" s="307"/>
      <c r="T230" s="322">
        <v>4.3150000000000004</v>
      </c>
      <c r="U230" s="308">
        <f>+(T230/T224-1)*100</f>
        <v>-2.9027902790278892</v>
      </c>
      <c r="V230" s="322">
        <v>8.7999999999999995E-2</v>
      </c>
      <c r="W230" s="308">
        <f>+(V230/V224-1)*100</f>
        <v>-5.3763440860215113</v>
      </c>
      <c r="X230" s="308"/>
      <c r="Y230" s="308"/>
      <c r="Z230" s="322"/>
      <c r="AA230" s="308"/>
      <c r="AB230" s="322">
        <v>6.4950000000000001</v>
      </c>
      <c r="AC230" s="308">
        <f>+(AB230/AB224-1)*100</f>
        <v>-2.9728114729608568</v>
      </c>
      <c r="AD230" s="322">
        <v>3.88</v>
      </c>
      <c r="AE230" s="308">
        <f>+(AD230/AD224-1)*100</f>
        <v>0.57024364955935436</v>
      </c>
      <c r="AF230" s="322">
        <v>0.23200000000000001</v>
      </c>
      <c r="AG230" s="30"/>
      <c r="AH230" s="322">
        <v>0.81799999999999995</v>
      </c>
      <c r="AI230" s="308">
        <f>+(AH230/AH224-1)*100</f>
        <v>43.508771929824562</v>
      </c>
      <c r="AJ230" s="322">
        <v>0.35</v>
      </c>
      <c r="AK230" s="308">
        <f>+(AJ230/AJ224-1)*100</f>
        <v>8.0246913580246826</v>
      </c>
      <c r="AL230" s="322">
        <v>0.61699999999999999</v>
      </c>
      <c r="AM230" s="308">
        <f>+(AL230/AL224-1)*100</f>
        <v>33.549783549783555</v>
      </c>
      <c r="AN230" s="374">
        <v>2E-3</v>
      </c>
      <c r="AO230" s="308">
        <f>+(AN230/AN224-1)*100</f>
        <v>-33.333333333333336</v>
      </c>
      <c r="AP230" s="30"/>
      <c r="AQ230" s="453">
        <f>+J230+L230+N230+P230+R230+T230+V230+AB230+AD230+AF230+AH230+AJ230+AL230+AN230</f>
        <v>26.48</v>
      </c>
      <c r="AR230" s="308">
        <f>+(AQ230/AQ224-1)*100</f>
        <v>6.64948246002659</v>
      </c>
      <c r="AS230" s="308"/>
      <c r="AT230" s="30"/>
      <c r="AU230" s="30"/>
      <c r="AV230" s="30"/>
      <c r="AW230" s="322"/>
      <c r="AX230" s="315"/>
      <c r="AY230" s="315"/>
      <c r="AZ230" s="322"/>
      <c r="BA230" s="307"/>
      <c r="BB230" s="315"/>
      <c r="BC230" s="307"/>
      <c r="BD230" s="307"/>
      <c r="BE230" s="307"/>
      <c r="BF230" s="315"/>
      <c r="BG230" s="316"/>
      <c r="BH230" s="307"/>
      <c r="BI230" s="307"/>
      <c r="BJ230" s="315"/>
      <c r="BK230" s="322"/>
      <c r="BL230" s="307"/>
      <c r="BM230" s="307"/>
      <c r="BN230" s="315"/>
      <c r="BO230" s="322"/>
      <c r="BP230" s="307"/>
      <c r="BQ230" s="366"/>
      <c r="BR230" s="366"/>
      <c r="BT230" s="322"/>
      <c r="BU230" s="307"/>
      <c r="BV230" s="307"/>
      <c r="BW230" s="307"/>
      <c r="BX230" s="315"/>
      <c r="BY230" s="322"/>
      <c r="BZ230" s="307"/>
      <c r="CA230" s="307"/>
      <c r="CB230" s="307"/>
      <c r="CC230" s="315"/>
      <c r="CD230" s="307"/>
      <c r="CE230" s="307"/>
      <c r="CF230" s="307"/>
      <c r="CG230" s="307"/>
      <c r="CH230" s="315"/>
      <c r="CI230" s="322"/>
      <c r="CJ230" s="307"/>
      <c r="CK230" s="307"/>
      <c r="CL230" s="315"/>
      <c r="CM230" s="322"/>
      <c r="CN230" s="307"/>
      <c r="CO230" s="315"/>
      <c r="CP230" s="322"/>
      <c r="CQ230" s="307"/>
      <c r="CR230" s="315"/>
      <c r="CS230" s="322"/>
      <c r="CT230" s="307"/>
      <c r="CU230" s="315"/>
      <c r="CV230" s="322"/>
      <c r="CW230" s="307"/>
      <c r="CX230" s="315"/>
      <c r="CY230" s="322"/>
      <c r="CZ230" s="307"/>
      <c r="DA230" s="315"/>
      <c r="DB230" s="322"/>
      <c r="DC230" s="307"/>
      <c r="DD230" s="315"/>
      <c r="DE230" s="322"/>
      <c r="DF230" s="307"/>
      <c r="DG230" s="315"/>
      <c r="DH230" s="322"/>
      <c r="DI230" s="307"/>
      <c r="DJ230" s="307"/>
      <c r="DK230" s="307"/>
      <c r="DL230" s="307"/>
    </row>
    <row r="231" spans="1:116" hidden="1" outlineLevel="1">
      <c r="A231" s="30" t="str">
        <f>+A49</f>
        <v>3Q</v>
      </c>
      <c r="B231" s="30" t="str">
        <f>+B49</f>
        <v>Oct</v>
      </c>
      <c r="C231" s="30"/>
      <c r="D231" s="322">
        <v>2.9409999999999998</v>
      </c>
      <c r="E231" s="308">
        <f>+(D231/D225-1)*100</f>
        <v>16.199130778348469</v>
      </c>
      <c r="F231" s="322"/>
      <c r="G231" s="307"/>
      <c r="H231" s="307"/>
      <c r="I231" s="307"/>
      <c r="J231" s="316">
        <f>+D231+F231</f>
        <v>2.9409999999999998</v>
      </c>
      <c r="K231" s="308">
        <f>+(J231/J225-1)*100</f>
        <v>16.199130778348469</v>
      </c>
      <c r="L231" s="322">
        <v>0.748</v>
      </c>
      <c r="M231" s="308">
        <f>+(L231/L225-1)*100</f>
        <v>76.415094339622641</v>
      </c>
      <c r="N231" s="322">
        <v>4.5519999999999996</v>
      </c>
      <c r="O231" s="308">
        <f>+(N231/N225-1)*100</f>
        <v>7.8928656079639614</v>
      </c>
      <c r="P231" s="322">
        <v>1.9159999999999999</v>
      </c>
      <c r="Q231" s="308">
        <f>+(P231/P225-1)*100</f>
        <v>17.114914425427873</v>
      </c>
      <c r="R231" s="307"/>
      <c r="S231" s="307"/>
      <c r="T231" s="322">
        <v>4.2690000000000001</v>
      </c>
      <c r="U231" s="308">
        <f>+(T231/T225-1)*100</f>
        <v>-4.0026984483921719</v>
      </c>
      <c r="V231" s="322">
        <v>8.7999999999999995E-2</v>
      </c>
      <c r="W231" s="308">
        <f>+(V231/V225-1)*100</f>
        <v>-5.3763440860215113</v>
      </c>
      <c r="X231" s="308"/>
      <c r="Y231" s="308"/>
      <c r="Z231" s="322"/>
      <c r="AA231" s="308"/>
      <c r="AB231" s="322">
        <v>6.4889999999999999</v>
      </c>
      <c r="AC231" s="308">
        <f>+(AB231/AB225-1)*100</f>
        <v>-2.9609690444145409</v>
      </c>
      <c r="AD231" s="322">
        <v>3.9329999999999998</v>
      </c>
      <c r="AE231" s="308">
        <f>+(AD231/AD225-1)*100</f>
        <v>1.4444157854010875</v>
      </c>
      <c r="AF231" s="322">
        <v>0.23899999999999999</v>
      </c>
      <c r="AG231" s="30"/>
      <c r="AH231" s="322">
        <v>0.88700000000000001</v>
      </c>
      <c r="AI231" s="308">
        <f>+(AH231/AH225-1)*100</f>
        <v>37.306501547987601</v>
      </c>
      <c r="AJ231" s="322">
        <v>0.36299999999999999</v>
      </c>
      <c r="AK231" s="308">
        <f>+(AJ231/AJ225-1)*100</f>
        <v>5.5232558139534982</v>
      </c>
      <c r="AL231" s="322">
        <v>0.68899999999999995</v>
      </c>
      <c r="AM231" s="308">
        <f>+(AL231/AL225-1)*100</f>
        <v>38.076152304609209</v>
      </c>
      <c r="AN231" s="374">
        <v>2E-3</v>
      </c>
      <c r="AO231" s="308">
        <f>+(AN231/AN225-1)*100</f>
        <v>-33.333333333333336</v>
      </c>
      <c r="AP231" s="30"/>
      <c r="AQ231" s="453">
        <f>+J231+L231+N231+P231+R231+T231+V231+AB231+AD231+AF231+AH231+AJ231+AL231+AN231</f>
        <v>27.116</v>
      </c>
      <c r="AR231" s="308">
        <f>+(AQ231/AQ225-1)*100</f>
        <v>6.7306935369597642</v>
      </c>
      <c r="AS231" s="308"/>
      <c r="AT231" s="30"/>
      <c r="AU231" s="30"/>
      <c r="AV231" s="30"/>
      <c r="AW231" s="322"/>
      <c r="AX231" s="315"/>
      <c r="AY231" s="315"/>
      <c r="AZ231" s="322"/>
      <c r="BA231" s="307"/>
      <c r="BB231" s="315"/>
      <c r="BC231" s="307"/>
      <c r="BD231" s="307"/>
      <c r="BE231" s="307"/>
      <c r="BF231" s="315"/>
      <c r="BG231" s="316"/>
      <c r="BH231" s="307"/>
      <c r="BI231" s="307"/>
      <c r="BJ231" s="315"/>
      <c r="BK231" s="322"/>
      <c r="BL231" s="307"/>
      <c r="BM231" s="307"/>
      <c r="BN231" s="315"/>
      <c r="BO231" s="322"/>
      <c r="BP231" s="307"/>
      <c r="BQ231" s="366"/>
      <c r="BR231" s="366"/>
      <c r="BT231" s="322"/>
      <c r="BU231" s="307"/>
      <c r="BV231" s="307"/>
      <c r="BW231" s="307"/>
      <c r="BX231" s="315"/>
      <c r="BY231" s="322"/>
      <c r="BZ231" s="307"/>
      <c r="CA231" s="307"/>
      <c r="CB231" s="307"/>
      <c r="CC231" s="315"/>
      <c r="CD231" s="307"/>
      <c r="CE231" s="307"/>
      <c r="CF231" s="307"/>
      <c r="CG231" s="307"/>
      <c r="CH231" s="315"/>
      <c r="CI231" s="322"/>
      <c r="CJ231" s="307"/>
      <c r="CK231" s="307"/>
      <c r="CL231" s="315"/>
      <c r="CM231" s="322"/>
      <c r="CN231" s="307"/>
      <c r="CO231" s="315"/>
      <c r="CP231" s="322"/>
      <c r="CQ231" s="307"/>
      <c r="CR231" s="315"/>
      <c r="CS231" s="322"/>
      <c r="CT231" s="307"/>
      <c r="CU231" s="315"/>
      <c r="CV231" s="322"/>
      <c r="CW231" s="307"/>
      <c r="CX231" s="315"/>
      <c r="CY231" s="322"/>
      <c r="CZ231" s="307"/>
      <c r="DA231" s="315"/>
      <c r="DB231" s="322"/>
      <c r="DC231" s="307"/>
      <c r="DD231" s="315"/>
      <c r="DE231" s="322"/>
      <c r="DF231" s="307"/>
      <c r="DG231" s="315"/>
      <c r="DH231" s="322"/>
      <c r="DI231" s="307"/>
      <c r="DJ231" s="307"/>
      <c r="DK231" s="307"/>
      <c r="DL231" s="307"/>
    </row>
    <row r="232" spans="1:116" hidden="1" outlineLevel="1">
      <c r="A232" s="30" t="str">
        <f>+A50</f>
        <v>4Q</v>
      </c>
      <c r="B232" s="30" t="str">
        <f>+B50</f>
        <v>Jan</v>
      </c>
      <c r="C232" s="30"/>
      <c r="D232" s="322">
        <v>3.0139999999999998</v>
      </c>
      <c r="E232" s="308">
        <f>+(D232/D226-1)*100</f>
        <v>16.550657385924204</v>
      </c>
      <c r="F232" s="322"/>
      <c r="G232" s="307"/>
      <c r="H232" s="307"/>
      <c r="I232" s="307"/>
      <c r="J232" s="316">
        <f>+D232+F232</f>
        <v>3.0139999999999998</v>
      </c>
      <c r="K232" s="308">
        <f>+(J232/J226-1)*100</f>
        <v>16.550657385924204</v>
      </c>
      <c r="L232" s="322">
        <v>0.84799999999999998</v>
      </c>
      <c r="M232" s="308">
        <f>+(L232/L226-1)*100</f>
        <v>73.415132924335367</v>
      </c>
      <c r="N232" s="322">
        <v>4.5880000000000001</v>
      </c>
      <c r="O232" s="308">
        <f>+(N232/N226-1)*100</f>
        <v>5.3018131742024188</v>
      </c>
      <c r="P232" s="322">
        <v>1.9930000000000001</v>
      </c>
      <c r="Q232" s="308">
        <f>+(P232/P226-1)*100</f>
        <v>13.561253561253572</v>
      </c>
      <c r="R232" s="307"/>
      <c r="S232" s="307"/>
      <c r="T232" s="322">
        <v>4.2110000000000003</v>
      </c>
      <c r="U232" s="308">
        <f>+(T232/T226-1)*100</f>
        <v>-3.3731069297842864</v>
      </c>
      <c r="V232" s="322">
        <v>8.7999999999999995E-2</v>
      </c>
      <c r="W232" s="308">
        <f>+(V232/V226-1)*100</f>
        <v>-5.3763440860215113</v>
      </c>
      <c r="X232" s="308"/>
      <c r="Y232" s="308"/>
      <c r="Z232" s="322"/>
      <c r="AA232" s="308"/>
      <c r="AB232" s="322">
        <v>6.3929999999999998</v>
      </c>
      <c r="AC232" s="308">
        <f>+(AB232/AB226-1)*100</f>
        <v>-2.8419452887537999</v>
      </c>
      <c r="AD232" s="322">
        <v>3.9550000000000001</v>
      </c>
      <c r="AE232" s="308">
        <f>+(AD232/AD226-1)*100</f>
        <v>2.4876911116869627</v>
      </c>
      <c r="AF232" s="322">
        <v>0.25</v>
      </c>
      <c r="AG232" s="30"/>
      <c r="AH232" s="322">
        <v>0.90300000000000002</v>
      </c>
      <c r="AI232" s="308">
        <f>+(AH232/AH226-1)*100</f>
        <v>35.789473684210527</v>
      </c>
      <c r="AJ232" s="322">
        <v>0.36599999999999999</v>
      </c>
      <c r="AK232" s="308">
        <f>+(AJ232/AJ226-1)*100</f>
        <v>7.0175438596491224</v>
      </c>
      <c r="AL232" s="322">
        <v>0.79200000000000004</v>
      </c>
      <c r="AM232" s="308">
        <f>+(AL232/AL226-1)*100</f>
        <v>46.395563770794809</v>
      </c>
      <c r="AN232" s="374">
        <v>2E-3</v>
      </c>
      <c r="AO232" s="308">
        <f>+(AN232/AN226-1)*100</f>
        <v>0</v>
      </c>
      <c r="AP232" s="30"/>
      <c r="AQ232" s="453">
        <f>+J232+L232+N232+P232+R232+T232+V232+AB232+AD232+AF232+AH232+AJ232+AL232+AN232</f>
        <v>27.402999999999995</v>
      </c>
      <c r="AR232" s="308">
        <f>+(AQ232/AQ226-1)*100</f>
        <v>6.9301908143754254</v>
      </c>
      <c r="AS232" s="308"/>
      <c r="AT232" s="30"/>
      <c r="AU232" s="30"/>
      <c r="AV232" s="30"/>
      <c r="AW232" s="322"/>
      <c r="AX232" s="315"/>
      <c r="AY232" s="315"/>
      <c r="AZ232" s="322"/>
      <c r="BA232" s="307"/>
      <c r="BB232" s="315"/>
      <c r="BC232" s="307"/>
      <c r="BD232" s="307"/>
      <c r="BE232" s="307"/>
      <c r="BF232" s="315"/>
      <c r="BG232" s="316"/>
      <c r="BH232" s="307"/>
      <c r="BI232" s="307"/>
      <c r="BJ232" s="315"/>
      <c r="BK232" s="322"/>
      <c r="BL232" s="307"/>
      <c r="BM232" s="307"/>
      <c r="BN232" s="315"/>
      <c r="BO232" s="322"/>
      <c r="BP232" s="307"/>
      <c r="BQ232" s="366"/>
      <c r="BR232" s="366"/>
      <c r="BT232" s="322"/>
      <c r="BU232" s="307"/>
      <c r="BV232" s="307"/>
      <c r="BW232" s="307"/>
      <c r="BX232" s="315"/>
      <c r="BY232" s="322"/>
      <c r="BZ232" s="307"/>
      <c r="CA232" s="307"/>
      <c r="CB232" s="307"/>
      <c r="CC232" s="315"/>
      <c r="CD232" s="307"/>
      <c r="CE232" s="307"/>
      <c r="CF232" s="307"/>
      <c r="CG232" s="307"/>
      <c r="CH232" s="315"/>
      <c r="CI232" s="322"/>
      <c r="CJ232" s="307"/>
      <c r="CK232" s="307"/>
      <c r="CL232" s="315"/>
      <c r="CM232" s="322"/>
      <c r="CN232" s="307"/>
      <c r="CO232" s="315"/>
      <c r="CP232" s="322"/>
      <c r="CQ232" s="307"/>
      <c r="CR232" s="315"/>
      <c r="CS232" s="322"/>
      <c r="CT232" s="307"/>
      <c r="CU232" s="315"/>
      <c r="CV232" s="322"/>
      <c r="CW232" s="307"/>
      <c r="CX232" s="315"/>
      <c r="CY232" s="322"/>
      <c r="CZ232" s="307"/>
      <c r="DA232" s="315"/>
      <c r="DB232" s="322"/>
      <c r="DC232" s="307"/>
      <c r="DD232" s="315"/>
      <c r="DE232" s="322"/>
      <c r="DF232" s="307"/>
      <c r="DG232" s="315"/>
      <c r="DH232" s="322"/>
      <c r="DI232" s="307"/>
      <c r="DJ232" s="307"/>
      <c r="DK232" s="307"/>
      <c r="DL232" s="307"/>
    </row>
    <row r="233" spans="1:116" hidden="1" outlineLevel="1">
      <c r="A233" s="30"/>
      <c r="B233" s="30"/>
      <c r="C233" s="30"/>
      <c r="D233" s="314"/>
      <c r="E233" s="310"/>
      <c r="F233" s="314"/>
      <c r="G233" s="30"/>
      <c r="H233" s="30"/>
      <c r="I233" s="30"/>
      <c r="J233" s="316"/>
      <c r="K233" s="30"/>
      <c r="L233" s="314"/>
      <c r="M233" s="30"/>
      <c r="N233" s="314"/>
      <c r="O233" s="30"/>
      <c r="P233" s="314"/>
      <c r="Q233" s="30"/>
      <c r="R233" s="30"/>
      <c r="S233" s="30"/>
      <c r="T233" s="314"/>
      <c r="U233" s="30"/>
      <c r="V233" s="314"/>
      <c r="W233" s="30"/>
      <c r="X233" s="30"/>
      <c r="Y233" s="30"/>
      <c r="Z233" s="314"/>
      <c r="AA233" s="30"/>
      <c r="AB233" s="314"/>
      <c r="AC233" s="30"/>
      <c r="AD233" s="314"/>
      <c r="AE233" s="30"/>
      <c r="AF233" s="30"/>
      <c r="AG233" s="30"/>
      <c r="AH233" s="30"/>
      <c r="AI233" s="30"/>
      <c r="AJ233" s="30"/>
      <c r="AK233" s="30"/>
      <c r="AL233" s="30"/>
      <c r="AM233" s="30"/>
      <c r="AN233" s="375"/>
      <c r="AO233" s="30"/>
      <c r="AP233" s="30"/>
      <c r="AQ233" s="453"/>
      <c r="AR233" s="30"/>
      <c r="AS233" s="30"/>
      <c r="AT233" s="30"/>
      <c r="AU233" s="30"/>
      <c r="AV233" s="30"/>
      <c r="AW233" s="314"/>
      <c r="AX233" s="310"/>
      <c r="AY233" s="310"/>
      <c r="AZ233" s="314"/>
      <c r="BA233" s="30"/>
      <c r="BB233" s="310"/>
      <c r="BC233" s="30"/>
      <c r="BD233" s="30"/>
      <c r="BE233" s="30"/>
      <c r="BF233" s="310"/>
      <c r="BG233" s="316"/>
      <c r="BH233" s="30"/>
      <c r="BI233" s="30"/>
      <c r="BJ233" s="310"/>
      <c r="BK233" s="314"/>
      <c r="BL233" s="30"/>
      <c r="BM233" s="30"/>
      <c r="BN233" s="310"/>
      <c r="BO233" s="314"/>
      <c r="BP233" s="30"/>
      <c r="BQ233" s="253"/>
      <c r="BR233" s="253"/>
      <c r="BS233" s="1177"/>
      <c r="BT233" s="314"/>
      <c r="BU233" s="30"/>
      <c r="BV233" s="30"/>
      <c r="BW233" s="30"/>
      <c r="BX233" s="310"/>
      <c r="BY233" s="314"/>
      <c r="BZ233" s="30"/>
      <c r="CA233" s="30"/>
      <c r="CB233" s="30"/>
      <c r="CC233" s="310"/>
      <c r="CD233" s="30"/>
      <c r="CE233" s="30"/>
      <c r="CF233" s="30"/>
      <c r="CG233" s="30"/>
      <c r="CH233" s="310"/>
      <c r="CI233" s="314"/>
      <c r="CJ233" s="30"/>
      <c r="CK233" s="30"/>
      <c r="CL233" s="310"/>
      <c r="CM233" s="314"/>
      <c r="CN233" s="30"/>
      <c r="CO233" s="310"/>
      <c r="CP233" s="314"/>
      <c r="CQ233" s="30"/>
      <c r="CR233" s="310"/>
      <c r="CS233" s="314"/>
      <c r="CT233" s="30"/>
      <c r="CU233" s="310"/>
      <c r="CV233" s="314"/>
      <c r="CW233" s="30"/>
      <c r="CX233" s="310"/>
      <c r="CY233" s="314"/>
      <c r="CZ233" s="30"/>
      <c r="DA233" s="310"/>
      <c r="DB233" s="314"/>
      <c r="DC233" s="30"/>
      <c r="DD233" s="310"/>
      <c r="DE233" s="314"/>
      <c r="DF233" s="30"/>
      <c r="DG233" s="310"/>
      <c r="DH233" s="314"/>
      <c r="DI233" s="30"/>
      <c r="DJ233" s="30"/>
      <c r="DK233" s="30"/>
      <c r="DL233" s="30"/>
    </row>
    <row r="234" spans="1:116" hidden="1" outlineLevel="1">
      <c r="A234" s="301"/>
      <c r="B234" s="312">
        <f>+B52</f>
        <v>1996</v>
      </c>
      <c r="C234" s="30"/>
      <c r="D234" s="314"/>
      <c r="E234" s="310"/>
      <c r="F234" s="314"/>
      <c r="G234" s="30"/>
      <c r="H234" s="30"/>
      <c r="I234" s="30"/>
      <c r="J234" s="316"/>
      <c r="K234" s="30"/>
      <c r="L234" s="314"/>
      <c r="M234" s="30"/>
      <c r="N234" s="314"/>
      <c r="O234" s="30"/>
      <c r="P234" s="314"/>
      <c r="Q234" s="30"/>
      <c r="R234" s="30"/>
      <c r="S234" s="30"/>
      <c r="T234" s="314"/>
      <c r="U234" s="30"/>
      <c r="V234" s="314"/>
      <c r="W234" s="30"/>
      <c r="X234" s="30"/>
      <c r="Y234" s="30"/>
      <c r="Z234" s="314"/>
      <c r="AA234" s="30"/>
      <c r="AB234" s="314"/>
      <c r="AC234" s="30"/>
      <c r="AD234" s="314"/>
      <c r="AE234" s="30"/>
      <c r="AF234" s="30"/>
      <c r="AG234" s="30"/>
      <c r="AH234" s="30"/>
      <c r="AI234" s="30"/>
      <c r="AJ234" s="30"/>
      <c r="AK234" s="30"/>
      <c r="AL234" s="30"/>
      <c r="AM234" s="30"/>
      <c r="AN234" s="375"/>
      <c r="AO234" s="30"/>
      <c r="AP234" s="30"/>
      <c r="AQ234" s="453"/>
      <c r="AR234" s="30"/>
      <c r="AS234" s="30"/>
      <c r="AT234" s="30"/>
      <c r="AU234" s="30"/>
      <c r="AV234" s="30"/>
      <c r="AW234" s="314"/>
      <c r="AX234" s="310"/>
      <c r="AY234" s="310"/>
      <c r="AZ234" s="314"/>
      <c r="BA234" s="30"/>
      <c r="BB234" s="310"/>
      <c r="BC234" s="30"/>
      <c r="BD234" s="30"/>
      <c r="BE234" s="30"/>
      <c r="BF234" s="310"/>
      <c r="BG234" s="316"/>
      <c r="BH234" s="30"/>
      <c r="BI234" s="30"/>
      <c r="BJ234" s="310"/>
      <c r="BK234" s="314"/>
      <c r="BL234" s="30"/>
      <c r="BM234" s="30"/>
      <c r="BN234" s="310"/>
      <c r="BO234" s="314"/>
      <c r="BP234" s="30"/>
      <c r="BQ234" s="253"/>
      <c r="BR234" s="253"/>
      <c r="BS234" s="1177"/>
      <c r="BT234" s="314"/>
      <c r="BU234" s="30"/>
      <c r="BV234" s="30"/>
      <c r="BW234" s="30"/>
      <c r="BX234" s="310"/>
      <c r="BY234" s="314"/>
      <c r="BZ234" s="30"/>
      <c r="CA234" s="30"/>
      <c r="CB234" s="30"/>
      <c r="CC234" s="310"/>
      <c r="CD234" s="30"/>
      <c r="CE234" s="30"/>
      <c r="CF234" s="30"/>
      <c r="CG234" s="30"/>
      <c r="CH234" s="310"/>
      <c r="CI234" s="314"/>
      <c r="CJ234" s="30"/>
      <c r="CK234" s="30"/>
      <c r="CL234" s="310"/>
      <c r="CM234" s="314"/>
      <c r="CN234" s="30"/>
      <c r="CO234" s="310"/>
      <c r="CP234" s="314"/>
      <c r="CQ234" s="30"/>
      <c r="CR234" s="310"/>
      <c r="CS234" s="314"/>
      <c r="CT234" s="30"/>
      <c r="CU234" s="310"/>
      <c r="CV234" s="314"/>
      <c r="CW234" s="30"/>
      <c r="CX234" s="310"/>
      <c r="CY234" s="314"/>
      <c r="CZ234" s="30"/>
      <c r="DA234" s="310"/>
      <c r="DB234" s="314"/>
      <c r="DC234" s="30"/>
      <c r="DD234" s="310"/>
      <c r="DE234" s="314"/>
      <c r="DF234" s="30"/>
      <c r="DG234" s="310"/>
      <c r="DH234" s="314"/>
      <c r="DI234" s="30"/>
      <c r="DJ234" s="30"/>
      <c r="DK234" s="30"/>
      <c r="DL234" s="30"/>
    </row>
    <row r="235" spans="1:116" hidden="1" outlineLevel="1">
      <c r="A235" s="30" t="str">
        <f>+A53</f>
        <v>1Q</v>
      </c>
      <c r="B235" s="30" t="str">
        <f>+B53</f>
        <v>Apr</v>
      </c>
      <c r="C235" s="30"/>
      <c r="D235" s="322">
        <v>2.6789999999999998</v>
      </c>
      <c r="E235" s="308">
        <f>+(D235/D229-1)*100</f>
        <v>1.2471655328798237</v>
      </c>
      <c r="F235" s="322">
        <v>0.39500000000000002</v>
      </c>
      <c r="G235" s="323"/>
      <c r="H235" s="323"/>
      <c r="I235" s="323"/>
      <c r="J235" s="316">
        <f>+D235+F235</f>
        <v>3.0739999999999998</v>
      </c>
      <c r="K235" s="308">
        <f>+(J235/J229-1)*100</f>
        <v>16.175359032501891</v>
      </c>
      <c r="L235" s="322">
        <v>0.90600000000000003</v>
      </c>
      <c r="M235" s="308">
        <f>+(L235/L229-1)*100</f>
        <v>65.027322404371574</v>
      </c>
      <c r="N235" s="322">
        <v>4.633</v>
      </c>
      <c r="O235" s="308">
        <f>+(N235/N229-1)*100</f>
        <v>5.2715291979095635</v>
      </c>
      <c r="P235" s="322">
        <v>2.016</v>
      </c>
      <c r="Q235" s="308">
        <f>+(P235/P229-1)*100</f>
        <v>13.004484304932728</v>
      </c>
      <c r="R235" s="307"/>
      <c r="S235" s="308"/>
      <c r="T235" s="322">
        <v>4.1829999999999998</v>
      </c>
      <c r="U235" s="308">
        <f>+(T235/T229-1)*100</f>
        <v>-3.3502772643253298</v>
      </c>
      <c r="V235" s="322">
        <v>8.7999999999999995E-2</v>
      </c>
      <c r="W235" s="308">
        <f>+(V235/V229-1)*100</f>
        <v>0</v>
      </c>
      <c r="X235" s="308"/>
      <c r="Y235" s="308"/>
      <c r="Z235" s="322"/>
      <c r="AA235" s="308"/>
      <c r="AB235" s="322">
        <v>6.2809999999999997</v>
      </c>
      <c r="AC235" s="308">
        <f>+(AB235/AB229-1)*100</f>
        <v>-3.9014687882496957</v>
      </c>
      <c r="AD235" s="322">
        <v>3.9849999999999999</v>
      </c>
      <c r="AE235" s="308">
        <f>+(AD235/AD229-1)*100</f>
        <v>3.0781169167097611</v>
      </c>
      <c r="AF235" s="322">
        <v>0.25</v>
      </c>
      <c r="AG235" s="367" t="s">
        <v>886</v>
      </c>
      <c r="AH235" s="322">
        <v>0.93700000000000006</v>
      </c>
      <c r="AI235" s="308">
        <f>+(AH235/AH229-1)*100</f>
        <v>23.289473684210527</v>
      </c>
      <c r="AJ235" s="322">
        <v>0.36899999999999999</v>
      </c>
      <c r="AK235" s="308">
        <f>+(AJ235/AJ229-1)*100</f>
        <v>4.8295454545454586</v>
      </c>
      <c r="AL235" s="322">
        <v>0.80400000000000005</v>
      </c>
      <c r="AM235" s="308">
        <f>+(AL235/AL229-1)*100</f>
        <v>38.620689655172427</v>
      </c>
      <c r="AN235" s="374">
        <v>2E-3</v>
      </c>
      <c r="AO235" s="308">
        <f>+(AN235/AN229-1)*100</f>
        <v>0</v>
      </c>
      <c r="AP235" s="30"/>
      <c r="AQ235" s="453">
        <f>+J235+L235+N235+P235+R235+T235+V235+AB235+AD235+AF235+AH235+AJ235+AL235+AN235</f>
        <v>27.527999999999995</v>
      </c>
      <c r="AR235" s="308">
        <f>+(AQ235/AQ229-1)*100</f>
        <v>6.3185539935114887</v>
      </c>
      <c r="AS235" s="308"/>
      <c r="AT235" s="30"/>
      <c r="AU235" s="30"/>
      <c r="AV235" s="30"/>
      <c r="AW235" s="322"/>
      <c r="AX235" s="308"/>
      <c r="AY235" s="308"/>
      <c r="AZ235" s="322"/>
      <c r="BA235" s="323"/>
      <c r="BB235" s="308"/>
      <c r="BC235" s="323"/>
      <c r="BD235" s="323"/>
      <c r="BE235" s="323"/>
      <c r="BF235" s="308"/>
      <c r="BG235" s="316"/>
      <c r="BH235" s="323"/>
      <c r="BI235" s="323"/>
      <c r="BJ235" s="308"/>
      <c r="BK235" s="322"/>
      <c r="BL235" s="323"/>
      <c r="BM235" s="323"/>
      <c r="BN235" s="308"/>
      <c r="BO235" s="322"/>
      <c r="BP235" s="323"/>
      <c r="BS235" s="589"/>
      <c r="BT235" s="322"/>
      <c r="BU235" s="323"/>
      <c r="BV235" s="323"/>
      <c r="BW235" s="323"/>
      <c r="BX235" s="308"/>
      <c r="BY235" s="322"/>
      <c r="BZ235" s="323"/>
      <c r="CA235" s="323"/>
      <c r="CB235" s="323"/>
      <c r="CC235" s="308"/>
      <c r="CD235" s="307"/>
      <c r="CE235" s="323"/>
      <c r="CF235" s="323"/>
      <c r="CG235" s="323"/>
      <c r="CH235" s="308"/>
      <c r="CI235" s="322"/>
      <c r="CJ235" s="323"/>
      <c r="CK235" s="323"/>
      <c r="CL235" s="308"/>
      <c r="CM235" s="322"/>
      <c r="CN235" s="323"/>
      <c r="CO235" s="308"/>
      <c r="CP235" s="322"/>
      <c r="CQ235" s="323"/>
      <c r="CR235" s="308"/>
      <c r="CS235" s="322"/>
      <c r="CT235" s="323"/>
      <c r="CU235" s="308"/>
      <c r="CV235" s="322"/>
      <c r="CW235" s="323"/>
      <c r="CX235" s="308"/>
      <c r="CY235" s="322"/>
      <c r="CZ235" s="323"/>
      <c r="DA235" s="308"/>
      <c r="DB235" s="322"/>
      <c r="DC235" s="323"/>
      <c r="DD235" s="308"/>
      <c r="DE235" s="322"/>
      <c r="DF235" s="323"/>
      <c r="DG235" s="308"/>
      <c r="DH235" s="322"/>
      <c r="DI235" s="323"/>
      <c r="DJ235" s="323"/>
      <c r="DK235" s="323"/>
      <c r="DL235" s="323"/>
    </row>
    <row r="236" spans="1:116" hidden="1" outlineLevel="1">
      <c r="A236" s="30" t="str">
        <f>+A54</f>
        <v>2Q</v>
      </c>
      <c r="B236" s="30" t="str">
        <f>+B54</f>
        <v>Jul</v>
      </c>
      <c r="C236" s="30"/>
      <c r="D236" s="322">
        <v>2.8</v>
      </c>
      <c r="E236" s="308">
        <f>+(D236/D230-1)*100</f>
        <v>1.3391241404270726</v>
      </c>
      <c r="F236" s="322">
        <v>0.39500000000000002</v>
      </c>
      <c r="G236" s="323"/>
      <c r="H236" s="323"/>
      <c r="I236" s="323"/>
      <c r="J236" s="316">
        <f>+D236+F236</f>
        <v>3.1949999999999998</v>
      </c>
      <c r="K236" s="308">
        <f>+(J236/J230-1)*100</f>
        <v>15.635179153094469</v>
      </c>
      <c r="L236" s="322">
        <v>1.042</v>
      </c>
      <c r="M236" s="308">
        <f>+(L236/L230-1)*100</f>
        <v>67.524115755627022</v>
      </c>
      <c r="N236" s="322">
        <v>4.6879999999999997</v>
      </c>
      <c r="O236" s="308">
        <f>+(N236/N230-1)*100</f>
        <v>5.0885451692445516</v>
      </c>
      <c r="P236" s="322">
        <v>2.0670000000000002</v>
      </c>
      <c r="Q236" s="308">
        <f>+(P236/P230-1)*100</f>
        <v>12.520413718018531</v>
      </c>
      <c r="R236" s="307"/>
      <c r="S236" s="308"/>
      <c r="T236" s="322">
        <v>4.1420000000000003</v>
      </c>
      <c r="U236" s="308">
        <f>+(T236/T230-1)*100</f>
        <v>-4.0092699884125116</v>
      </c>
      <c r="V236" s="322">
        <v>8.7999999999999995E-2</v>
      </c>
      <c r="W236" s="308">
        <f>+(V236/V230-1)*100</f>
        <v>0</v>
      </c>
      <c r="X236" s="308"/>
      <c r="Y236" s="308"/>
      <c r="Z236" s="322"/>
      <c r="AA236" s="308"/>
      <c r="AB236" s="322">
        <v>6.2249999999999996</v>
      </c>
      <c r="AC236" s="308">
        <f>+(AB236/AB230-1)*100</f>
        <v>-4.1570438799076292</v>
      </c>
      <c r="AD236" s="322">
        <v>3.9540000000000002</v>
      </c>
      <c r="AE236" s="308">
        <f>+(AD236/AD230-1)*100</f>
        <v>1.9072164948453763</v>
      </c>
      <c r="AF236" s="322">
        <v>0.25</v>
      </c>
      <c r="AG236" s="308">
        <f>+(AF236/AF230-1)*100</f>
        <v>7.7586206896551602</v>
      </c>
      <c r="AH236" s="322">
        <v>0.95299999999999996</v>
      </c>
      <c r="AI236" s="308">
        <f>+(AH236/AH230-1)*100</f>
        <v>16.503667481662589</v>
      </c>
      <c r="AJ236" s="322">
        <v>0.36799999999999999</v>
      </c>
      <c r="AK236" s="308">
        <f>+(AJ236/AJ230-1)*100</f>
        <v>5.1428571428571379</v>
      </c>
      <c r="AL236" s="322">
        <v>0.83</v>
      </c>
      <c r="AM236" s="308">
        <f>+(AL236/AL230-1)*100</f>
        <v>34.521880064829816</v>
      </c>
      <c r="AN236" s="374">
        <v>2E-3</v>
      </c>
      <c r="AO236" s="308">
        <f>+(AN236/AN230-1)*100</f>
        <v>0</v>
      </c>
      <c r="AP236" s="30"/>
      <c r="AQ236" s="453">
        <f>+J236+L236+N236+P236+R236+T236+V236+AB236+AD236+AF236+AH236+AJ236+AL236+AN236</f>
        <v>27.803999999999995</v>
      </c>
      <c r="AR236" s="308">
        <f>+(AQ236/AQ230-1)*100</f>
        <v>4.9999999999999822</v>
      </c>
      <c r="AS236" s="308"/>
      <c r="AT236" s="30"/>
      <c r="AU236" s="30"/>
      <c r="AV236" s="30"/>
      <c r="AW236" s="322"/>
      <c r="AX236" s="308"/>
      <c r="AY236" s="308"/>
      <c r="AZ236" s="322"/>
      <c r="BA236" s="323"/>
      <c r="BB236" s="308"/>
      <c r="BC236" s="323"/>
      <c r="BD236" s="323"/>
      <c r="BE236" s="323"/>
      <c r="BF236" s="308"/>
      <c r="BG236" s="316"/>
      <c r="BH236" s="323"/>
      <c r="BI236" s="323"/>
      <c r="BJ236" s="308"/>
      <c r="BK236" s="322"/>
      <c r="BL236" s="323"/>
      <c r="BM236" s="323"/>
      <c r="BN236" s="308"/>
      <c r="BO236" s="322"/>
      <c r="BP236" s="323"/>
      <c r="BS236" s="589"/>
      <c r="BT236" s="322"/>
      <c r="BU236" s="323"/>
      <c r="BV236" s="323"/>
      <c r="BW236" s="323"/>
      <c r="BX236" s="308"/>
      <c r="BY236" s="322"/>
      <c r="BZ236" s="323"/>
      <c r="CA236" s="323"/>
      <c r="CB236" s="323"/>
      <c r="CC236" s="308"/>
      <c r="CD236" s="307"/>
      <c r="CE236" s="323"/>
      <c r="CF236" s="323"/>
      <c r="CG236" s="323"/>
      <c r="CH236" s="308"/>
      <c r="CI236" s="322"/>
      <c r="CJ236" s="323"/>
      <c r="CK236" s="323"/>
      <c r="CL236" s="308"/>
      <c r="CM236" s="322"/>
      <c r="CN236" s="323"/>
      <c r="CO236" s="308"/>
      <c r="CP236" s="322"/>
      <c r="CQ236" s="323"/>
      <c r="CR236" s="308"/>
      <c r="CS236" s="322"/>
      <c r="CT236" s="323"/>
      <c r="CU236" s="308"/>
      <c r="CV236" s="322"/>
      <c r="CW236" s="323"/>
      <c r="CX236" s="308"/>
      <c r="CY236" s="322"/>
      <c r="CZ236" s="323"/>
      <c r="DA236" s="308"/>
      <c r="DB236" s="322"/>
      <c r="DC236" s="323"/>
      <c r="DD236" s="308"/>
      <c r="DE236" s="322"/>
      <c r="DF236" s="323"/>
      <c r="DG236" s="308"/>
      <c r="DH236" s="322"/>
      <c r="DI236" s="323"/>
      <c r="DJ236" s="323"/>
      <c r="DK236" s="323"/>
      <c r="DL236" s="323"/>
    </row>
    <row r="237" spans="1:116" hidden="1" outlineLevel="1">
      <c r="A237" s="30" t="str">
        <f>+A55</f>
        <v>3Q</v>
      </c>
      <c r="B237" s="30" t="str">
        <f>+B55</f>
        <v>Oct</v>
      </c>
      <c r="C237" s="30"/>
      <c r="D237" s="322">
        <v>2.8860000000000001</v>
      </c>
      <c r="E237" s="308">
        <f>+(D237/D231-1)*100</f>
        <v>-1.8701122067323994</v>
      </c>
      <c r="F237" s="322">
        <v>0.39600000000000002</v>
      </c>
      <c r="G237" s="323"/>
      <c r="H237" s="323"/>
      <c r="I237" s="323"/>
      <c r="J237" s="316">
        <f>+D237+F237</f>
        <v>3.282</v>
      </c>
      <c r="K237" s="308">
        <f>+(J237/J231-1)*100</f>
        <v>11.594695681740919</v>
      </c>
      <c r="L237" s="322">
        <v>1.3129999999999999</v>
      </c>
      <c r="M237" s="308">
        <f>+(L237/L231-1)*100</f>
        <v>75.534759358288767</v>
      </c>
      <c r="N237" s="322">
        <v>4.7519999999999998</v>
      </c>
      <c r="O237" s="308">
        <f>+(N237/N231-1)*100</f>
        <v>4.393673110720564</v>
      </c>
      <c r="P237" s="322">
        <v>2.1160000000000001</v>
      </c>
      <c r="Q237" s="308">
        <f>+(P237/P231-1)*100</f>
        <v>10.438413361169108</v>
      </c>
      <c r="R237" s="307"/>
      <c r="S237" s="308"/>
      <c r="T237" s="322">
        <v>4.0990000000000002</v>
      </c>
      <c r="U237" s="308">
        <f>+(T237/T231-1)*100</f>
        <v>-3.9821972358866198</v>
      </c>
      <c r="V237" s="322">
        <v>0.113</v>
      </c>
      <c r="W237" s="308">
        <f>+(V237/V231-1)*100</f>
        <v>28.409090909090917</v>
      </c>
      <c r="X237" s="308"/>
      <c r="Y237" s="308"/>
      <c r="Z237" s="322"/>
      <c r="AA237" s="308"/>
      <c r="AB237" s="322">
        <v>6.1680000000000001</v>
      </c>
      <c r="AC237" s="308">
        <f>+(AB237/AB231-1)*100</f>
        <v>-4.9468331021728984</v>
      </c>
      <c r="AD237" s="322">
        <v>3.9820000000000002</v>
      </c>
      <c r="AE237" s="308">
        <f>+(AD237/AD231-1)*100</f>
        <v>1.2458682939232135</v>
      </c>
      <c r="AF237" s="322">
        <v>0.48799999999999999</v>
      </c>
      <c r="AG237" s="308">
        <f>+(AF237/AF231-1)*100</f>
        <v>104.18410041841004</v>
      </c>
      <c r="AH237" s="322">
        <v>0.96899999999999997</v>
      </c>
      <c r="AI237" s="308">
        <f>+(AH237/AH231-1)*100</f>
        <v>9.2446448703494823</v>
      </c>
      <c r="AJ237" s="322">
        <v>0.371</v>
      </c>
      <c r="AK237" s="308">
        <f>+(AJ237/AJ231-1)*100</f>
        <v>2.2038567493112948</v>
      </c>
      <c r="AL237" s="322">
        <v>0.93400000000000005</v>
      </c>
      <c r="AM237" s="308">
        <f>+(AL237/AL231-1)*100</f>
        <v>35.558780841799731</v>
      </c>
      <c r="AN237" s="374">
        <v>2E-3</v>
      </c>
      <c r="AO237" s="308">
        <f>+(AN237/AN231-1)*100</f>
        <v>0</v>
      </c>
      <c r="AP237" s="30"/>
      <c r="AQ237" s="453">
        <f>+J237+L237+N237+P237+R237+T237+V237+AB237+AD237+AF237+AH237+AJ237+AL237+AN237</f>
        <v>28.588999999999999</v>
      </c>
      <c r="AR237" s="308">
        <f>+(AQ237/AQ231-1)*100</f>
        <v>5.4322171411712583</v>
      </c>
      <c r="AS237" s="308"/>
      <c r="AT237" s="30"/>
      <c r="AU237" s="30"/>
      <c r="AV237" s="30"/>
      <c r="AW237" s="322"/>
      <c r="AX237" s="308"/>
      <c r="AY237" s="308"/>
      <c r="AZ237" s="322"/>
      <c r="BA237" s="323"/>
      <c r="BB237" s="308"/>
      <c r="BC237" s="323"/>
      <c r="BD237" s="323"/>
      <c r="BE237" s="323"/>
      <c r="BF237" s="308"/>
      <c r="BG237" s="316"/>
      <c r="BH237" s="323"/>
      <c r="BI237" s="323"/>
      <c r="BJ237" s="308"/>
      <c r="BK237" s="322"/>
      <c r="BL237" s="323"/>
      <c r="BM237" s="323"/>
      <c r="BN237" s="308"/>
      <c r="BO237" s="322"/>
      <c r="BP237" s="323"/>
      <c r="BS237" s="589"/>
      <c r="BT237" s="322"/>
      <c r="BU237" s="323"/>
      <c r="BV237" s="323"/>
      <c r="BW237" s="323"/>
      <c r="BX237" s="308"/>
      <c r="BY237" s="322"/>
      <c r="BZ237" s="323"/>
      <c r="CA237" s="323"/>
      <c r="CB237" s="323"/>
      <c r="CC237" s="308"/>
      <c r="CD237" s="307"/>
      <c r="CE237" s="323"/>
      <c r="CF237" s="323"/>
      <c r="CG237" s="323"/>
      <c r="CH237" s="308"/>
      <c r="CI237" s="322"/>
      <c r="CJ237" s="323"/>
      <c r="CK237" s="323"/>
      <c r="CL237" s="308"/>
      <c r="CM237" s="322"/>
      <c r="CN237" s="323"/>
      <c r="CO237" s="308"/>
      <c r="CP237" s="322"/>
      <c r="CQ237" s="323"/>
      <c r="CR237" s="308"/>
      <c r="CS237" s="322"/>
      <c r="CT237" s="323"/>
      <c r="CU237" s="308"/>
      <c r="CV237" s="322"/>
      <c r="CW237" s="323"/>
      <c r="CX237" s="308"/>
      <c r="CY237" s="322"/>
      <c r="CZ237" s="323"/>
      <c r="DA237" s="308"/>
      <c r="DB237" s="322"/>
      <c r="DC237" s="323"/>
      <c r="DD237" s="308"/>
      <c r="DE237" s="322"/>
      <c r="DF237" s="323"/>
      <c r="DG237" s="308"/>
      <c r="DH237" s="322"/>
      <c r="DI237" s="323"/>
      <c r="DJ237" s="323"/>
      <c r="DK237" s="323"/>
      <c r="DL237" s="323"/>
    </row>
    <row r="238" spans="1:116" hidden="1" outlineLevel="1">
      <c r="A238" s="30" t="str">
        <f>+A56</f>
        <v>4Q</v>
      </c>
      <c r="B238" s="30" t="str">
        <f>+B56</f>
        <v>Jan</v>
      </c>
      <c r="C238" s="30"/>
      <c r="D238" s="322">
        <v>2.923</v>
      </c>
      <c r="E238" s="308">
        <f>+(D238/D232-1)*100</f>
        <v>-3.0192435301924281</v>
      </c>
      <c r="F238" s="322">
        <v>0.40300000000000002</v>
      </c>
      <c r="G238" s="323"/>
      <c r="H238" s="323"/>
      <c r="I238" s="323"/>
      <c r="J238" s="316">
        <f>+D238+F238</f>
        <v>3.3260000000000001</v>
      </c>
      <c r="K238" s="308">
        <f>+(J238/J232-1)*100</f>
        <v>10.351692103516941</v>
      </c>
      <c r="L238" s="322">
        <v>1.3540000000000001</v>
      </c>
      <c r="M238" s="308">
        <f>+(L238/L232-1)*100</f>
        <v>59.669811320754732</v>
      </c>
      <c r="N238" s="322">
        <v>4.726</v>
      </c>
      <c r="O238" s="308">
        <f>+(N238/N232-1)*100</f>
        <v>3.0078465562336509</v>
      </c>
      <c r="P238" s="322">
        <v>2.117</v>
      </c>
      <c r="Q238" s="308">
        <f>+(P238/P232-1)*100</f>
        <v>6.2217762167586566</v>
      </c>
      <c r="R238" s="307"/>
      <c r="S238" s="308"/>
      <c r="T238" s="322">
        <v>3.9769999999999999</v>
      </c>
      <c r="U238" s="308">
        <f>+(T238/T232-1)*100</f>
        <v>-5.5568748515792077</v>
      </c>
      <c r="V238" s="322">
        <v>0.113</v>
      </c>
      <c r="W238" s="308">
        <f>+(V238/V232-1)*100</f>
        <v>28.409090909090917</v>
      </c>
      <c r="X238" s="308"/>
      <c r="Y238" s="308"/>
      <c r="Z238" s="322"/>
      <c r="AA238" s="308"/>
      <c r="AB238" s="322">
        <v>5.984</v>
      </c>
      <c r="AC238" s="308">
        <f>+(AB238/AB232-1)*100</f>
        <v>-6.397622399499447</v>
      </c>
      <c r="AD238" s="322">
        <v>3.98</v>
      </c>
      <c r="AE238" s="308">
        <f>+(AD238/AD232-1)*100</f>
        <v>0.6321112515802696</v>
      </c>
      <c r="AF238" s="322">
        <v>0.48799999999999999</v>
      </c>
      <c r="AG238" s="308">
        <f>+(AF238/AF232-1)*100</f>
        <v>95.199999999999989</v>
      </c>
      <c r="AH238" s="322">
        <v>0.96699999999999997</v>
      </c>
      <c r="AI238" s="308">
        <f>+(AH238/AH232-1)*100</f>
        <v>7.0874861572535863</v>
      </c>
      <c r="AJ238" s="322">
        <v>0.36499999999999999</v>
      </c>
      <c r="AK238" s="308">
        <f>+(AJ238/AJ232-1)*100</f>
        <v>-0.2732240437158473</v>
      </c>
      <c r="AL238" s="322">
        <v>1.006</v>
      </c>
      <c r="AM238" s="308">
        <f>+(AL238/AL232-1)*100</f>
        <v>27.02020202020201</v>
      </c>
      <c r="AN238" s="374">
        <v>2E-3</v>
      </c>
      <c r="AO238" s="308">
        <f>+(AN238/AN232-1)*100</f>
        <v>0</v>
      </c>
      <c r="AP238" s="30"/>
      <c r="AQ238" s="453">
        <f>+J238+L238+N238+P238+R238+T238+V238+AB238+AD238+AF238+AH238+AJ238+AL238+AN238</f>
        <v>28.404999999999998</v>
      </c>
      <c r="AR238" s="308">
        <f>+(AQ238/AQ232-1)*100</f>
        <v>3.6565339561362098</v>
      </c>
      <c r="AS238" s="308"/>
      <c r="AT238" s="30"/>
      <c r="AU238" s="30"/>
      <c r="AV238" s="30"/>
      <c r="AW238" s="322"/>
      <c r="AX238" s="308"/>
      <c r="AY238" s="308"/>
      <c r="AZ238" s="322"/>
      <c r="BA238" s="323"/>
      <c r="BB238" s="308"/>
      <c r="BC238" s="323"/>
      <c r="BD238" s="323"/>
      <c r="BE238" s="323"/>
      <c r="BF238" s="308"/>
      <c r="BG238" s="316"/>
      <c r="BH238" s="323"/>
      <c r="BI238" s="323"/>
      <c r="BJ238" s="308"/>
      <c r="BK238" s="322"/>
      <c r="BL238" s="323"/>
      <c r="BM238" s="323"/>
      <c r="BN238" s="308"/>
      <c r="BO238" s="322"/>
      <c r="BP238" s="323"/>
      <c r="BS238" s="589"/>
      <c r="BT238" s="322"/>
      <c r="BU238" s="323"/>
      <c r="BV238" s="323"/>
      <c r="BW238" s="323"/>
      <c r="BX238" s="308"/>
      <c r="BY238" s="322"/>
      <c r="BZ238" s="323"/>
      <c r="CA238" s="323"/>
      <c r="CB238" s="323"/>
      <c r="CC238" s="308"/>
      <c r="CD238" s="307"/>
      <c r="CE238" s="323"/>
      <c r="CF238" s="323"/>
      <c r="CG238" s="323"/>
      <c r="CH238" s="308"/>
      <c r="CI238" s="322"/>
      <c r="CJ238" s="323"/>
      <c r="CK238" s="323"/>
      <c r="CL238" s="308"/>
      <c r="CM238" s="322"/>
      <c r="CN238" s="323"/>
      <c r="CO238" s="308"/>
      <c r="CP238" s="322"/>
      <c r="CQ238" s="323"/>
      <c r="CR238" s="308"/>
      <c r="CS238" s="322"/>
      <c r="CT238" s="323"/>
      <c r="CU238" s="308"/>
      <c r="CV238" s="322"/>
      <c r="CW238" s="323"/>
      <c r="CX238" s="308"/>
      <c r="CY238" s="322"/>
      <c r="CZ238" s="323"/>
      <c r="DA238" s="308"/>
      <c r="DB238" s="322"/>
      <c r="DC238" s="323"/>
      <c r="DD238" s="308"/>
      <c r="DE238" s="322"/>
      <c r="DF238" s="323"/>
      <c r="DG238" s="308"/>
      <c r="DH238" s="322"/>
      <c r="DI238" s="323"/>
      <c r="DJ238" s="323"/>
      <c r="DK238" s="323"/>
      <c r="DL238" s="323"/>
    </row>
    <row r="239" spans="1:116" hidden="1" outlineLevel="1">
      <c r="A239" s="301"/>
      <c r="B239" s="312"/>
      <c r="C239" s="30"/>
      <c r="D239" s="314"/>
      <c r="E239" s="310"/>
      <c r="F239" s="314"/>
      <c r="G239" s="30"/>
      <c r="H239" s="30"/>
      <c r="I239" s="30"/>
      <c r="J239" s="316"/>
      <c r="K239" s="30"/>
      <c r="L239" s="314"/>
      <c r="M239" s="310"/>
      <c r="N239" s="314"/>
      <c r="O239" s="310"/>
      <c r="P239" s="314"/>
      <c r="Q239" s="30"/>
      <c r="R239" s="30"/>
      <c r="S239" s="310"/>
      <c r="T239" s="314"/>
      <c r="U239" s="310"/>
      <c r="V239" s="314"/>
      <c r="W239" s="319"/>
      <c r="X239" s="319"/>
      <c r="Y239" s="319"/>
      <c r="Z239" s="314"/>
      <c r="AA239" s="319"/>
      <c r="AB239" s="314"/>
      <c r="AC239" s="310"/>
      <c r="AD239" s="314"/>
      <c r="AE239" s="310"/>
      <c r="AF239" s="30"/>
      <c r="AG239" s="310"/>
      <c r="AH239" s="30"/>
      <c r="AI239" s="310"/>
      <c r="AJ239" s="30"/>
      <c r="AK239" s="310"/>
      <c r="AL239" s="30"/>
      <c r="AM239" s="310"/>
      <c r="AN239" s="30"/>
      <c r="AO239" s="310"/>
      <c r="AP239" s="30"/>
      <c r="AQ239" s="453"/>
      <c r="AR239" s="310"/>
      <c r="AS239" s="310"/>
      <c r="AT239" s="30"/>
      <c r="AU239" s="30"/>
      <c r="AV239" s="30"/>
      <c r="AW239" s="314"/>
      <c r="AX239" s="310"/>
      <c r="AY239" s="310"/>
      <c r="AZ239" s="314"/>
      <c r="BA239" s="30"/>
      <c r="BB239" s="310"/>
      <c r="BC239" s="30"/>
      <c r="BD239" s="30"/>
      <c r="BE239" s="30"/>
      <c r="BF239" s="310"/>
      <c r="BG239" s="316"/>
      <c r="BH239" s="30"/>
      <c r="BI239" s="30"/>
      <c r="BJ239" s="310"/>
      <c r="BK239" s="314"/>
      <c r="BL239" s="30"/>
      <c r="BM239" s="30"/>
      <c r="BN239" s="310"/>
      <c r="BO239" s="314"/>
      <c r="BP239" s="30"/>
      <c r="BQ239" s="253"/>
      <c r="BR239" s="253"/>
      <c r="BS239" s="1177"/>
      <c r="BT239" s="314"/>
      <c r="BU239" s="30"/>
      <c r="BV239" s="30"/>
      <c r="BW239" s="30"/>
      <c r="BX239" s="310"/>
      <c r="BY239" s="314"/>
      <c r="BZ239" s="30"/>
      <c r="CA239" s="30"/>
      <c r="CB239" s="30"/>
      <c r="CC239" s="310"/>
      <c r="CD239" s="30"/>
      <c r="CE239" s="30"/>
      <c r="CF239" s="30"/>
      <c r="CG239" s="30"/>
      <c r="CH239" s="310"/>
      <c r="CI239" s="314"/>
      <c r="CJ239" s="30"/>
      <c r="CK239" s="30"/>
      <c r="CL239" s="310"/>
      <c r="CM239" s="314"/>
      <c r="CN239" s="30"/>
      <c r="CO239" s="310"/>
      <c r="CP239" s="314"/>
      <c r="CQ239" s="30"/>
      <c r="CR239" s="310"/>
      <c r="CS239" s="314"/>
      <c r="CT239" s="30"/>
      <c r="CU239" s="310"/>
      <c r="CV239" s="314"/>
      <c r="CW239" s="30"/>
      <c r="CX239" s="310"/>
      <c r="CY239" s="314"/>
      <c r="CZ239" s="30"/>
      <c r="DA239" s="310"/>
      <c r="DB239" s="314"/>
      <c r="DC239" s="30"/>
      <c r="DD239" s="310"/>
      <c r="DE239" s="314"/>
      <c r="DF239" s="30"/>
      <c r="DG239" s="310"/>
      <c r="DH239" s="314"/>
      <c r="DI239" s="30"/>
      <c r="DJ239" s="30"/>
      <c r="DK239" s="30"/>
      <c r="DL239" s="30"/>
    </row>
    <row r="240" spans="1:116" hidden="1" outlineLevel="1">
      <c r="A240" s="30"/>
      <c r="B240" s="324">
        <f>+B58</f>
        <v>1997</v>
      </c>
      <c r="C240" s="30"/>
      <c r="D240" s="314"/>
      <c r="E240" s="310"/>
      <c r="F240" s="314"/>
      <c r="G240" s="30"/>
      <c r="H240" s="30"/>
      <c r="I240" s="30"/>
      <c r="J240" s="316"/>
      <c r="K240" s="30"/>
      <c r="L240" s="314"/>
      <c r="M240" s="310"/>
      <c r="N240" s="314"/>
      <c r="O240" s="310"/>
      <c r="P240" s="314"/>
      <c r="Q240" s="30"/>
      <c r="R240" s="30"/>
      <c r="S240" s="310"/>
      <c r="T240" s="314"/>
      <c r="U240" s="310"/>
      <c r="V240" s="314"/>
      <c r="W240" s="319"/>
      <c r="X240" s="319"/>
      <c r="Y240" s="319"/>
      <c r="Z240" s="314"/>
      <c r="AA240" s="319"/>
      <c r="AB240" s="314"/>
      <c r="AC240" s="310"/>
      <c r="AD240" s="314"/>
      <c r="AE240" s="310"/>
      <c r="AF240" s="30"/>
      <c r="AG240" s="310"/>
      <c r="AH240" s="30"/>
      <c r="AI240" s="310"/>
      <c r="AJ240" s="30"/>
      <c r="AK240" s="310"/>
      <c r="AL240" s="30"/>
      <c r="AM240" s="310"/>
      <c r="AN240" s="30"/>
      <c r="AO240" s="310"/>
      <c r="AP240" s="30"/>
      <c r="AQ240" s="453"/>
      <c r="AR240" s="310"/>
      <c r="AS240" s="310"/>
      <c r="AT240" s="30"/>
      <c r="AU240" s="30"/>
      <c r="AV240" s="30"/>
      <c r="AW240" s="314"/>
      <c r="AX240" s="310"/>
      <c r="AY240" s="310"/>
      <c r="AZ240" s="314"/>
      <c r="BA240" s="30"/>
      <c r="BB240" s="310"/>
      <c r="BC240" s="30"/>
      <c r="BD240" s="30"/>
      <c r="BE240" s="30"/>
      <c r="BF240" s="310"/>
      <c r="BG240" s="316"/>
      <c r="BH240" s="30"/>
      <c r="BI240" s="30"/>
      <c r="BJ240" s="310"/>
      <c r="BK240" s="314"/>
      <c r="BL240" s="30"/>
      <c r="BM240" s="30"/>
      <c r="BN240" s="310"/>
      <c r="BO240" s="314"/>
      <c r="BP240" s="30"/>
      <c r="BQ240" s="253"/>
      <c r="BR240" s="253"/>
      <c r="BS240" s="1177"/>
      <c r="BT240" s="314"/>
      <c r="BU240" s="30"/>
      <c r="BV240" s="30"/>
      <c r="BW240" s="30"/>
      <c r="BX240" s="310"/>
      <c r="BY240" s="314"/>
      <c r="BZ240" s="30"/>
      <c r="CA240" s="30"/>
      <c r="CB240" s="30"/>
      <c r="CC240" s="310"/>
      <c r="CD240" s="30"/>
      <c r="CE240" s="30"/>
      <c r="CF240" s="30"/>
      <c r="CG240" s="30"/>
      <c r="CH240" s="310"/>
      <c r="CI240" s="314"/>
      <c r="CJ240" s="30"/>
      <c r="CK240" s="30"/>
      <c r="CL240" s="310"/>
      <c r="CM240" s="314"/>
      <c r="CN240" s="30"/>
      <c r="CO240" s="310"/>
      <c r="CP240" s="314"/>
      <c r="CQ240" s="30"/>
      <c r="CR240" s="310"/>
      <c r="CS240" s="314"/>
      <c r="CT240" s="30"/>
      <c r="CU240" s="310"/>
      <c r="CV240" s="314"/>
      <c r="CW240" s="30"/>
      <c r="CX240" s="310"/>
      <c r="CY240" s="314"/>
      <c r="CZ240" s="30"/>
      <c r="DA240" s="310"/>
      <c r="DB240" s="314"/>
      <c r="DC240" s="30"/>
      <c r="DD240" s="310"/>
      <c r="DE240" s="314"/>
      <c r="DF240" s="30"/>
      <c r="DG240" s="310"/>
      <c r="DH240" s="314"/>
      <c r="DI240" s="30"/>
      <c r="DJ240" s="30"/>
      <c r="DK240" s="30"/>
      <c r="DL240" s="30"/>
    </row>
    <row r="241" spans="1:116" hidden="1" outlineLevel="1">
      <c r="A241" s="30" t="str">
        <f>+A59</f>
        <v>1Q</v>
      </c>
      <c r="B241" s="30" t="str">
        <f>+B59</f>
        <v>Apr</v>
      </c>
      <c r="C241" s="30"/>
      <c r="D241" s="322">
        <v>2.9569999999999999</v>
      </c>
      <c r="E241" s="308">
        <f>+(D241/D235-1)*100</f>
        <v>10.377006345651374</v>
      </c>
      <c r="F241" s="322">
        <v>0.40300000000000002</v>
      </c>
      <c r="G241" s="308">
        <f>+(F241/F235-1)*100</f>
        <v>2.0253164556962133</v>
      </c>
      <c r="H241" s="308"/>
      <c r="I241" s="308"/>
      <c r="J241" s="316">
        <f>+D241+F241</f>
        <v>3.36</v>
      </c>
      <c r="K241" s="308">
        <f>+(J241/J235-1)*100</f>
        <v>9.3038386467143788</v>
      </c>
      <c r="L241" s="322">
        <v>1.4570000000000001</v>
      </c>
      <c r="M241" s="308">
        <f>+(L241/L235-1)*100</f>
        <v>60.816777041942615</v>
      </c>
      <c r="N241" s="322">
        <v>4.7370000000000001</v>
      </c>
      <c r="O241" s="308">
        <f>+(N241/N235-1)*100</f>
        <v>2.244765810489957</v>
      </c>
      <c r="P241" s="322">
        <v>2.12</v>
      </c>
      <c r="Q241" s="308">
        <f>+(P241/P235-1)*100</f>
        <v>5.1587301587301626</v>
      </c>
      <c r="R241" s="307"/>
      <c r="S241" s="308"/>
      <c r="T241" s="322">
        <v>3.9089999999999998</v>
      </c>
      <c r="U241" s="308">
        <f>+(T241/T235-1)*100</f>
        <v>-6.550322734879277</v>
      </c>
      <c r="V241" s="322">
        <v>0.113</v>
      </c>
      <c r="W241" s="308">
        <f>+(V241/V235-1)*100</f>
        <v>28.409090909090917</v>
      </c>
      <c r="X241" s="308"/>
      <c r="Y241" s="308"/>
      <c r="Z241" s="322"/>
      <c r="AA241" s="308"/>
      <c r="AB241" s="322">
        <v>5.8239999999999998</v>
      </c>
      <c r="AC241" s="308">
        <f>+(AB241/AB235-1)*100</f>
        <v>-7.2759114790638453</v>
      </c>
      <c r="AD241" s="322">
        <v>3.8969999999999998</v>
      </c>
      <c r="AE241" s="308">
        <f>+(AD241/AD235-1)*100</f>
        <v>-2.2082810539523212</v>
      </c>
      <c r="AF241" s="322">
        <v>0.48799999999999999</v>
      </c>
      <c r="AG241" s="308">
        <f>+(AF241/AF235-1)*100</f>
        <v>95.199999999999989</v>
      </c>
      <c r="AH241" s="322">
        <v>0.97</v>
      </c>
      <c r="AI241" s="308">
        <f>+(AH241/AH235-1)*100</f>
        <v>3.5218783351120608</v>
      </c>
      <c r="AJ241" s="322">
        <v>0.36199999999999999</v>
      </c>
      <c r="AK241" s="308">
        <f>+(AJ241/AJ235-1)*100</f>
        <v>-1.8970189701897011</v>
      </c>
      <c r="AL241" s="322">
        <v>1.0409999999999999</v>
      </c>
      <c r="AM241" s="308">
        <f>+(AL241/AL235-1)*100</f>
        <v>29.477611940298498</v>
      </c>
      <c r="AN241" s="374">
        <v>0</v>
      </c>
      <c r="AO241" s="308">
        <f>+(AN241/AN235-1)*100</f>
        <v>-100</v>
      </c>
      <c r="AP241" s="30"/>
      <c r="AQ241" s="453">
        <f>+J241+L241+N241+P241+R241+T241+V241+AB241+AD241+AF241+AH241+AJ241+AL241+AN241</f>
        <v>28.277999999999992</v>
      </c>
      <c r="AR241" s="308">
        <f>+(AQ241/AQ235-1)*100</f>
        <v>2.7244986922406067</v>
      </c>
      <c r="AS241" s="308"/>
      <c r="AT241" s="30"/>
      <c r="AU241" s="30"/>
      <c r="AV241" s="30"/>
      <c r="AW241" s="322"/>
      <c r="AX241" s="308"/>
      <c r="AY241" s="308"/>
      <c r="AZ241" s="322"/>
      <c r="BA241" s="308"/>
      <c r="BB241" s="308"/>
      <c r="BC241" s="308"/>
      <c r="BD241" s="308"/>
      <c r="BE241" s="308"/>
      <c r="BF241" s="308"/>
      <c r="BG241" s="316"/>
      <c r="BH241" s="308"/>
      <c r="BI241" s="308"/>
      <c r="BJ241" s="308"/>
      <c r="BK241" s="322"/>
      <c r="BL241" s="308"/>
      <c r="BM241" s="308"/>
      <c r="BN241" s="308"/>
      <c r="BO241" s="322"/>
      <c r="BP241" s="308"/>
      <c r="BQ241" s="589"/>
      <c r="BR241" s="589"/>
      <c r="BS241" s="589"/>
      <c r="BT241" s="322"/>
      <c r="BU241" s="308"/>
      <c r="BV241" s="308"/>
      <c r="BW241" s="308"/>
      <c r="BX241" s="308"/>
      <c r="BY241" s="322"/>
      <c r="BZ241" s="308"/>
      <c r="CA241" s="308"/>
      <c r="CB241" s="308"/>
      <c r="CC241" s="308"/>
      <c r="CD241" s="307"/>
      <c r="CE241" s="308"/>
      <c r="CF241" s="308"/>
      <c r="CG241" s="308"/>
      <c r="CH241" s="308"/>
      <c r="CI241" s="322"/>
      <c r="CJ241" s="308"/>
      <c r="CK241" s="308"/>
      <c r="CL241" s="308"/>
      <c r="CM241" s="322"/>
      <c r="CN241" s="308"/>
      <c r="CO241" s="308"/>
      <c r="CP241" s="322"/>
      <c r="CQ241" s="308"/>
      <c r="CR241" s="308"/>
      <c r="CS241" s="322"/>
      <c r="CT241" s="308"/>
      <c r="CU241" s="308"/>
      <c r="CV241" s="322"/>
      <c r="CW241" s="308"/>
      <c r="CX241" s="308"/>
      <c r="CY241" s="322"/>
      <c r="CZ241" s="308"/>
      <c r="DA241" s="308"/>
      <c r="DB241" s="322"/>
      <c r="DC241" s="308"/>
      <c r="DD241" s="308"/>
      <c r="DE241" s="322"/>
      <c r="DF241" s="308"/>
      <c r="DG241" s="308"/>
      <c r="DH241" s="322"/>
      <c r="DI241" s="308"/>
      <c r="DJ241" s="308"/>
      <c r="DK241" s="308"/>
      <c r="DL241" s="308"/>
    </row>
    <row r="242" spans="1:116" hidden="1" outlineLevel="1">
      <c r="A242" s="30" t="str">
        <f>+A60</f>
        <v>2Q</v>
      </c>
      <c r="B242" s="30" t="str">
        <f>+B60</f>
        <v>Jul</v>
      </c>
      <c r="C242" s="30"/>
      <c r="D242" s="322">
        <v>3.0259999999999998</v>
      </c>
      <c r="E242" s="308">
        <f>+(D242/D236-1)*100</f>
        <v>8.071428571428573</v>
      </c>
      <c r="F242" s="322">
        <v>0.40699999999999997</v>
      </c>
      <c r="G242" s="308">
        <f>+(F242/F236-1)*100</f>
        <v>3.0379746835442978</v>
      </c>
      <c r="H242" s="308"/>
      <c r="I242" s="308"/>
      <c r="J242" s="316">
        <f>+D242+F242</f>
        <v>3.4329999999999998</v>
      </c>
      <c r="K242" s="308">
        <f>+(J242/J236-1)*100</f>
        <v>7.4491392801252054</v>
      </c>
      <c r="L242" s="322">
        <v>1.5640000000000001</v>
      </c>
      <c r="M242" s="308">
        <f>+(L242/L236-1)*100</f>
        <v>50.095969289827245</v>
      </c>
      <c r="N242" s="322">
        <v>4.7380000000000004</v>
      </c>
      <c r="O242" s="308">
        <f>+(N242/N236-1)*100</f>
        <v>1.0665529010239094</v>
      </c>
      <c r="P242" s="322">
        <v>2.133</v>
      </c>
      <c r="Q242" s="308">
        <f>+(P242/P236-1)*100</f>
        <v>3.1930333817126177</v>
      </c>
      <c r="R242" s="307"/>
      <c r="S242" s="308"/>
      <c r="T242" s="322">
        <v>3.891</v>
      </c>
      <c r="U242" s="308">
        <f>+(T242/T236-1)*100</f>
        <v>-6.0598744567841649</v>
      </c>
      <c r="V242" s="322">
        <v>0.113</v>
      </c>
      <c r="W242" s="308">
        <f>+(V242/V236-1)*100</f>
        <v>28.409090909090917</v>
      </c>
      <c r="X242" s="308"/>
      <c r="Y242" s="308"/>
      <c r="Z242" s="322"/>
      <c r="AA242" s="308"/>
      <c r="AB242" s="322">
        <v>5.8029999999999999</v>
      </c>
      <c r="AC242" s="308">
        <f>+(AB242/AB236-1)*100</f>
        <v>-6.7791164658634546</v>
      </c>
      <c r="AD242" s="322">
        <v>3.875</v>
      </c>
      <c r="AE242" s="308">
        <f>+(AD242/AD236-1)*100</f>
        <v>-1.9979767324228681</v>
      </c>
      <c r="AF242" s="322">
        <v>0.48799999999999999</v>
      </c>
      <c r="AG242" s="308">
        <f>+(AF242/AF236-1)*100</f>
        <v>95.199999999999989</v>
      </c>
      <c r="AH242" s="322">
        <v>0.97299999999999998</v>
      </c>
      <c r="AI242" s="308">
        <f>+(AH242/AH236-1)*100</f>
        <v>2.0986358866736721</v>
      </c>
      <c r="AJ242" s="322">
        <v>0.36299999999999999</v>
      </c>
      <c r="AK242" s="308">
        <f>+(AJ242/AJ236-1)*100</f>
        <v>-1.3586956521739135</v>
      </c>
      <c r="AL242" s="322">
        <v>1.101</v>
      </c>
      <c r="AM242" s="308">
        <f>+(AL242/AL236-1)*100</f>
        <v>32.650602409638552</v>
      </c>
      <c r="AN242" s="374">
        <v>0</v>
      </c>
      <c r="AO242" s="308">
        <f>+(AN242/AN236-1)*100</f>
        <v>-100</v>
      </c>
      <c r="AP242" s="30"/>
      <c r="AQ242" s="453">
        <f>+J242+L242+N242+P242+R242+T242+V242+AB242+AD242+AF242+AH242+AJ242+AL242+AN242</f>
        <v>28.474999999999994</v>
      </c>
      <c r="AR242" s="308">
        <f>+(AQ242/AQ236-1)*100</f>
        <v>2.4133218241979559</v>
      </c>
      <c r="AS242" s="308"/>
      <c r="AT242" s="30"/>
      <c r="AU242" s="30"/>
      <c r="AV242" s="30"/>
      <c r="AW242" s="322"/>
      <c r="AX242" s="308"/>
      <c r="AY242" s="308"/>
      <c r="AZ242" s="322"/>
      <c r="BA242" s="308"/>
      <c r="BB242" s="308"/>
      <c r="BC242" s="308"/>
      <c r="BD242" s="308"/>
      <c r="BE242" s="308"/>
      <c r="BF242" s="308"/>
      <c r="BG242" s="316"/>
      <c r="BH242" s="308"/>
      <c r="BI242" s="308"/>
      <c r="BJ242" s="308"/>
      <c r="BK242" s="322"/>
      <c r="BL242" s="308"/>
      <c r="BM242" s="308"/>
      <c r="BN242" s="308"/>
      <c r="BO242" s="322"/>
      <c r="BP242" s="308"/>
      <c r="BQ242" s="589"/>
      <c r="BR242" s="589"/>
      <c r="BS242" s="589"/>
      <c r="BT242" s="322"/>
      <c r="BU242" s="308"/>
      <c r="BV242" s="308"/>
      <c r="BW242" s="308"/>
      <c r="BX242" s="308"/>
      <c r="BY242" s="322"/>
      <c r="BZ242" s="308"/>
      <c r="CA242" s="308"/>
      <c r="CB242" s="308"/>
      <c r="CC242" s="308"/>
      <c r="CD242" s="307"/>
      <c r="CE242" s="308"/>
      <c r="CF242" s="308"/>
      <c r="CG242" s="308"/>
      <c r="CH242" s="308"/>
      <c r="CI242" s="322"/>
      <c r="CJ242" s="308"/>
      <c r="CK242" s="308"/>
      <c r="CL242" s="308"/>
      <c r="CM242" s="322"/>
      <c r="CN242" s="308"/>
      <c r="CO242" s="308"/>
      <c r="CP242" s="322"/>
      <c r="CQ242" s="308"/>
      <c r="CR242" s="308"/>
      <c r="CS242" s="322"/>
      <c r="CT242" s="308"/>
      <c r="CU242" s="308"/>
      <c r="CV242" s="322"/>
      <c r="CW242" s="308"/>
      <c r="CX242" s="308"/>
      <c r="CY242" s="322"/>
      <c r="CZ242" s="308"/>
      <c r="DA242" s="308"/>
      <c r="DB242" s="322"/>
      <c r="DC242" s="308"/>
      <c r="DD242" s="308"/>
      <c r="DE242" s="322"/>
      <c r="DF242" s="308"/>
      <c r="DG242" s="308"/>
      <c r="DH242" s="322"/>
      <c r="DI242" s="308"/>
      <c r="DJ242" s="308"/>
      <c r="DK242" s="308"/>
      <c r="DL242" s="308"/>
    </row>
    <row r="243" spans="1:116" hidden="1" outlineLevel="1">
      <c r="A243" s="30" t="str">
        <f>+A61</f>
        <v>3Q</v>
      </c>
      <c r="B243" s="30" t="str">
        <f>+B61</f>
        <v>Oct</v>
      </c>
      <c r="C243" s="30"/>
      <c r="D243" s="322">
        <v>3.1160000000000001</v>
      </c>
      <c r="E243" s="308">
        <f>+(D243/D237-1)*100</f>
        <v>7.9695079695079718</v>
      </c>
      <c r="F243" s="322">
        <v>0.41699999999999998</v>
      </c>
      <c r="G243" s="308">
        <f>+(F243/F237-1)*100</f>
        <v>5.3030303030302983</v>
      </c>
      <c r="H243" s="308"/>
      <c r="I243" s="308"/>
      <c r="J243" s="316">
        <f>+D243+F243</f>
        <v>3.5329999999999999</v>
      </c>
      <c r="K243" s="308">
        <f>+(J243/J237-1)*100</f>
        <v>7.6477757464960439</v>
      </c>
      <c r="L243" s="322">
        <v>1.728</v>
      </c>
      <c r="M243" s="308">
        <f>+(L243/L237-1)*100</f>
        <v>31.607006854531615</v>
      </c>
      <c r="N243" s="322">
        <v>4.7640000000000002</v>
      </c>
      <c r="O243" s="308">
        <f>+(N243/N237-1)*100</f>
        <v>0.2525252525252597</v>
      </c>
      <c r="P243" s="322">
        <v>2.149</v>
      </c>
      <c r="Q243" s="308">
        <f>+(P243/P237-1)*100</f>
        <v>1.5595463137996202</v>
      </c>
      <c r="R243" s="307"/>
      <c r="S243" s="308"/>
      <c r="T243" s="322">
        <v>3.8740000000000001</v>
      </c>
      <c r="U243" s="308">
        <f>+(T243/T237-1)*100</f>
        <v>-5.4891436935837978</v>
      </c>
      <c r="V243" s="322">
        <v>0.113</v>
      </c>
      <c r="W243" s="308">
        <f>+(V243/V237-1)*100</f>
        <v>0</v>
      </c>
      <c r="X243" s="308"/>
      <c r="Y243" s="308"/>
      <c r="Z243" s="322"/>
      <c r="AA243" s="308"/>
      <c r="AB243" s="322">
        <v>5.7430000000000003</v>
      </c>
      <c r="AC243" s="308">
        <f>+(AB243/AB237-1)*100</f>
        <v>-6.8904020752269757</v>
      </c>
      <c r="AD243" s="322">
        <v>3.8690000000000002</v>
      </c>
      <c r="AE243" s="308">
        <f>+(AD243/AD237-1)*100</f>
        <v>-2.8377699648417853</v>
      </c>
      <c r="AF243" s="322">
        <v>0.64100000000000001</v>
      </c>
      <c r="AG243" s="308">
        <f>+(AF243/AF237-1)*100</f>
        <v>31.352459016393453</v>
      </c>
      <c r="AH243" s="322">
        <v>0.97599999999999998</v>
      </c>
      <c r="AI243" s="308">
        <f>+(AH243/AH237-1)*100</f>
        <v>0.72239422084623417</v>
      </c>
      <c r="AJ243" s="322">
        <v>0.36299999999999999</v>
      </c>
      <c r="AK243" s="308">
        <f>+(AJ243/AJ237-1)*100</f>
        <v>-2.1563342318059342</v>
      </c>
      <c r="AL243" s="322">
        <v>1.1779999999999999</v>
      </c>
      <c r="AM243" s="308">
        <f>+(AL243/AL237-1)*100</f>
        <v>26.124197002141301</v>
      </c>
      <c r="AN243" s="374">
        <v>0</v>
      </c>
      <c r="AO243" s="308">
        <f>+(AN243/AN237-1)*100</f>
        <v>-100</v>
      </c>
      <c r="AP243" s="30"/>
      <c r="AQ243" s="453">
        <f>+J243+L243+N243+P243+R243+T243+V243+AB243+AD243+AF243+AH243+AJ243+AL243+AN243</f>
        <v>28.930999999999994</v>
      </c>
      <c r="AR243" s="308">
        <f>+(AQ243/AQ237-1)*100</f>
        <v>1.1962642974570503</v>
      </c>
      <c r="AS243" s="308"/>
      <c r="AT243" s="30"/>
      <c r="AU243" s="30"/>
      <c r="AV243" s="30"/>
      <c r="AW243" s="322"/>
      <c r="AX243" s="308"/>
      <c r="AY243" s="308"/>
      <c r="AZ243" s="322"/>
      <c r="BA243" s="308"/>
      <c r="BB243" s="308"/>
      <c r="BC243" s="308"/>
      <c r="BD243" s="308"/>
      <c r="BE243" s="308"/>
      <c r="BF243" s="308"/>
      <c r="BG243" s="316"/>
      <c r="BH243" s="308"/>
      <c r="BI243" s="308"/>
      <c r="BJ243" s="308"/>
      <c r="BK243" s="322"/>
      <c r="BL243" s="308"/>
      <c r="BM243" s="308"/>
      <c r="BN243" s="308"/>
      <c r="BO243" s="322"/>
      <c r="BP243" s="308"/>
      <c r="BQ243" s="589"/>
      <c r="BR243" s="589"/>
      <c r="BS243" s="589"/>
      <c r="BT243" s="322"/>
      <c r="BU243" s="308"/>
      <c r="BV243" s="308"/>
      <c r="BW243" s="308"/>
      <c r="BX243" s="308"/>
      <c r="BY243" s="322"/>
      <c r="BZ243" s="308"/>
      <c r="CA243" s="308"/>
      <c r="CB243" s="308"/>
      <c r="CC243" s="308"/>
      <c r="CD243" s="307"/>
      <c r="CE243" s="308"/>
      <c r="CF243" s="308"/>
      <c r="CG243" s="308"/>
      <c r="CH243" s="308"/>
      <c r="CI243" s="322"/>
      <c r="CJ243" s="308"/>
      <c r="CK243" s="308"/>
      <c r="CL243" s="308"/>
      <c r="CM243" s="322"/>
      <c r="CN243" s="308"/>
      <c r="CO243" s="308"/>
      <c r="CP243" s="322"/>
      <c r="CQ243" s="308"/>
      <c r="CR243" s="308"/>
      <c r="CS243" s="322"/>
      <c r="CT243" s="308"/>
      <c r="CU243" s="308"/>
      <c r="CV243" s="322"/>
      <c r="CW243" s="308"/>
      <c r="CX243" s="308"/>
      <c r="CY243" s="322"/>
      <c r="CZ243" s="308"/>
      <c r="DA243" s="308"/>
      <c r="DB243" s="322"/>
      <c r="DC243" s="308"/>
      <c r="DD243" s="308"/>
      <c r="DE243" s="322"/>
      <c r="DF243" s="308"/>
      <c r="DG243" s="308"/>
      <c r="DH243" s="322"/>
      <c r="DI243" s="308"/>
      <c r="DJ243" s="308"/>
      <c r="DK243" s="308"/>
      <c r="DL243" s="308"/>
    </row>
    <row r="244" spans="1:116" hidden="1" outlineLevel="1">
      <c r="A244" s="30"/>
      <c r="B244" s="30" t="str">
        <f>+B62</f>
        <v>Jan</v>
      </c>
      <c r="C244" s="30"/>
      <c r="D244" s="322">
        <v>3.1360000000000001</v>
      </c>
      <c r="E244" s="308">
        <f>+(D244/D238-1)*100</f>
        <v>7.2870338693123538</v>
      </c>
      <c r="F244" s="322">
        <v>0.41899999999999998</v>
      </c>
      <c r="G244" s="308">
        <f>+(F244/F238-1)*100</f>
        <v>3.9702233250620278</v>
      </c>
      <c r="H244" s="308"/>
      <c r="I244" s="308"/>
      <c r="J244" s="316">
        <f>+D244+F244</f>
        <v>3.5550000000000002</v>
      </c>
      <c r="K244" s="308">
        <f>+(J244/J238-1)*100</f>
        <v>6.8851473241130501</v>
      </c>
      <c r="L244" s="322">
        <v>1.7729999999999999</v>
      </c>
      <c r="M244" s="308">
        <f>+(L244/L238-1)*100</f>
        <v>30.945347119645472</v>
      </c>
      <c r="N244" s="322">
        <v>4.7389999999999999</v>
      </c>
      <c r="O244" s="308">
        <f>+(N244/N238-1)*100</f>
        <v>0.27507405840032639</v>
      </c>
      <c r="P244" s="322">
        <v>2.1429999999999998</v>
      </c>
      <c r="Q244" s="308">
        <f>+(P244/P238-1)*100</f>
        <v>1.2281530467642687</v>
      </c>
      <c r="R244" s="307"/>
      <c r="S244" s="308"/>
      <c r="T244" s="322">
        <v>3.79</v>
      </c>
      <c r="U244" s="308">
        <f>+(T244/T238-1)*100</f>
        <v>-4.7020367110887529</v>
      </c>
      <c r="V244" s="322">
        <v>0.113</v>
      </c>
      <c r="W244" s="308">
        <f>+(V244/V238-1)*100</f>
        <v>0</v>
      </c>
      <c r="X244" s="308"/>
      <c r="Y244" s="308"/>
      <c r="Z244" s="322"/>
      <c r="AA244" s="308"/>
      <c r="AB244" s="322">
        <v>5.6980000000000004</v>
      </c>
      <c r="AC244" s="308">
        <f>+(AB244/AB238-1)*100</f>
        <v>-4.7794117647058769</v>
      </c>
      <c r="AD244" s="322">
        <v>3.7349999999999999</v>
      </c>
      <c r="AE244" s="308">
        <f>+(AD244/AD238-1)*100</f>
        <v>-6.1557788944723635</v>
      </c>
      <c r="AF244" s="322">
        <v>0.64100000000000001</v>
      </c>
      <c r="AG244" s="308">
        <f>+(AF244/AF238-1)*100</f>
        <v>31.352459016393453</v>
      </c>
      <c r="AH244" s="322">
        <v>0.97899999999999998</v>
      </c>
      <c r="AI244" s="308">
        <f>+(AH244/AH238-1)*100</f>
        <v>1.2409513960703222</v>
      </c>
      <c r="AJ244" s="322">
        <v>0</v>
      </c>
      <c r="AK244" s="308">
        <f>+(AJ244/AJ238-1)*100</f>
        <v>-100</v>
      </c>
      <c r="AL244" s="322">
        <v>1.234</v>
      </c>
      <c r="AM244" s="308">
        <f>+(AL244/AL238-1)*100</f>
        <v>22.664015904572565</v>
      </c>
      <c r="AN244" s="374">
        <v>0</v>
      </c>
      <c r="AO244" s="308">
        <f>+(AN244/AN238-1)*100</f>
        <v>-100</v>
      </c>
      <c r="AP244" s="30"/>
      <c r="AQ244" s="453">
        <f>+J244+L244+N244+P244+R244+T244+V244+AB244+AD244+AF244+AH244+AJ244+AL244+AN244</f>
        <v>28.4</v>
      </c>
      <c r="AR244" s="308">
        <f>+(AQ244/AQ238-1)*100</f>
        <v>-1.7602534765004396E-2</v>
      </c>
      <c r="AS244" s="308"/>
      <c r="AT244" s="30"/>
      <c r="AU244" s="30"/>
      <c r="AV244" s="30"/>
      <c r="AW244" s="322"/>
      <c r="AX244" s="308"/>
      <c r="AY244" s="308"/>
      <c r="AZ244" s="322"/>
      <c r="BA244" s="308"/>
      <c r="BB244" s="308"/>
      <c r="BC244" s="308"/>
      <c r="BD244" s="308"/>
      <c r="BE244" s="308"/>
      <c r="BF244" s="308"/>
      <c r="BG244" s="316"/>
      <c r="BH244" s="308"/>
      <c r="BI244" s="308"/>
      <c r="BJ244" s="308"/>
      <c r="BK244" s="322"/>
      <c r="BL244" s="308"/>
      <c r="BM244" s="308"/>
      <c r="BN244" s="308"/>
      <c r="BO244" s="322"/>
      <c r="BP244" s="308"/>
      <c r="BQ244" s="589"/>
      <c r="BR244" s="589"/>
      <c r="BS244" s="589"/>
      <c r="BT244" s="322"/>
      <c r="BU244" s="308"/>
      <c r="BV244" s="308"/>
      <c r="BW244" s="308"/>
      <c r="BX244" s="308"/>
      <c r="BY244" s="322"/>
      <c r="BZ244" s="308"/>
      <c r="CA244" s="308"/>
      <c r="CB244" s="308"/>
      <c r="CC244" s="308"/>
      <c r="CD244" s="307"/>
      <c r="CE244" s="308"/>
      <c r="CF244" s="308"/>
      <c r="CG244" s="308"/>
      <c r="CH244" s="308"/>
      <c r="CI244" s="322"/>
      <c r="CJ244" s="308"/>
      <c r="CK244" s="308"/>
      <c r="CL244" s="308"/>
      <c r="CM244" s="322"/>
      <c r="CN244" s="308"/>
      <c r="CO244" s="308"/>
      <c r="CP244" s="322"/>
      <c r="CQ244" s="308"/>
      <c r="CR244" s="308"/>
      <c r="CS244" s="322"/>
      <c r="CT244" s="308"/>
      <c r="CU244" s="308"/>
      <c r="CV244" s="322"/>
      <c r="CW244" s="308"/>
      <c r="CX244" s="308"/>
      <c r="CY244" s="322"/>
      <c r="CZ244" s="308"/>
      <c r="DA244" s="308"/>
      <c r="DB244" s="322"/>
      <c r="DC244" s="308"/>
      <c r="DD244" s="308"/>
      <c r="DE244" s="322"/>
      <c r="DF244" s="308"/>
      <c r="DG244" s="308"/>
      <c r="DH244" s="322"/>
      <c r="DI244" s="308"/>
      <c r="DJ244" s="308"/>
      <c r="DK244" s="308"/>
      <c r="DL244" s="308"/>
    </row>
    <row r="245" spans="1:116" hidden="1" outlineLevel="1">
      <c r="A245" s="30"/>
      <c r="B245" s="30"/>
      <c r="C245" s="30"/>
      <c r="D245" s="314"/>
      <c r="E245" s="310"/>
      <c r="F245" s="314"/>
      <c r="G245" s="319"/>
      <c r="H245" s="319"/>
      <c r="I245" s="319"/>
      <c r="J245" s="316"/>
      <c r="K245" s="319"/>
      <c r="L245" s="314"/>
      <c r="M245" s="310"/>
      <c r="N245" s="314"/>
      <c r="O245" s="310"/>
      <c r="P245" s="314"/>
      <c r="Q245" s="30"/>
      <c r="R245" s="30"/>
      <c r="S245" s="310"/>
      <c r="T245" s="314"/>
      <c r="U245" s="310"/>
      <c r="V245" s="314"/>
      <c r="W245" s="319"/>
      <c r="X245" s="319"/>
      <c r="Y245" s="319"/>
      <c r="Z245" s="314"/>
      <c r="AA245" s="319"/>
      <c r="AB245" s="314"/>
      <c r="AC245" s="310"/>
      <c r="AD245" s="314"/>
      <c r="AE245" s="310"/>
      <c r="AF245" s="30"/>
      <c r="AG245" s="310"/>
      <c r="AH245" s="30"/>
      <c r="AI245" s="310"/>
      <c r="AJ245" s="30"/>
      <c r="AK245" s="310"/>
      <c r="AL245" s="30"/>
      <c r="AM245" s="310"/>
      <c r="AN245" s="30"/>
      <c r="AO245" s="310"/>
      <c r="AP245" s="30"/>
      <c r="AQ245" s="453"/>
      <c r="AR245" s="310"/>
      <c r="AS245" s="310"/>
      <c r="AT245" s="30"/>
      <c r="AU245" s="30"/>
      <c r="AV245" s="30"/>
      <c r="AW245" s="314"/>
      <c r="AX245" s="310"/>
      <c r="AY245" s="310"/>
      <c r="AZ245" s="314"/>
      <c r="BA245" s="319"/>
      <c r="BB245" s="310"/>
      <c r="BC245" s="319"/>
      <c r="BD245" s="319"/>
      <c r="BE245" s="319"/>
      <c r="BF245" s="310"/>
      <c r="BG245" s="316"/>
      <c r="BH245" s="319"/>
      <c r="BI245" s="319"/>
      <c r="BJ245" s="310"/>
      <c r="BK245" s="314"/>
      <c r="BL245" s="319"/>
      <c r="BM245" s="319"/>
      <c r="BN245" s="310"/>
      <c r="BO245" s="314"/>
      <c r="BP245" s="319"/>
      <c r="BS245" s="1177"/>
      <c r="BT245" s="314"/>
      <c r="BU245" s="319"/>
      <c r="BV245" s="319"/>
      <c r="BW245" s="319"/>
      <c r="BX245" s="310"/>
      <c r="BY245" s="314"/>
      <c r="BZ245" s="319"/>
      <c r="CA245" s="319"/>
      <c r="CB245" s="319"/>
      <c r="CC245" s="310"/>
      <c r="CD245" s="30"/>
      <c r="CE245" s="319"/>
      <c r="CF245" s="319"/>
      <c r="CG245" s="319"/>
      <c r="CH245" s="310"/>
      <c r="CI245" s="314"/>
      <c r="CJ245" s="319"/>
      <c r="CK245" s="319"/>
      <c r="CL245" s="310"/>
      <c r="CM245" s="314"/>
      <c r="CN245" s="319"/>
      <c r="CO245" s="310"/>
      <c r="CP245" s="314"/>
      <c r="CQ245" s="319"/>
      <c r="CR245" s="310"/>
      <c r="CS245" s="314"/>
      <c r="CT245" s="319"/>
      <c r="CU245" s="310"/>
      <c r="CV245" s="314"/>
      <c r="CW245" s="319"/>
      <c r="CX245" s="310"/>
      <c r="CY245" s="314"/>
      <c r="CZ245" s="319"/>
      <c r="DA245" s="310"/>
      <c r="DB245" s="314"/>
      <c r="DC245" s="319"/>
      <c r="DD245" s="310"/>
      <c r="DE245" s="314"/>
      <c r="DF245" s="319"/>
      <c r="DG245" s="310"/>
      <c r="DH245" s="314"/>
      <c r="DI245" s="319"/>
      <c r="DJ245" s="319"/>
      <c r="DK245" s="319"/>
      <c r="DL245" s="319"/>
    </row>
    <row r="246" spans="1:116" hidden="1" outlineLevel="1">
      <c r="A246" s="30"/>
      <c r="B246" s="324">
        <f>+B64</f>
        <v>1998</v>
      </c>
      <c r="C246" s="30"/>
      <c r="D246" s="314"/>
      <c r="E246" s="310"/>
      <c r="F246" s="314"/>
      <c r="G246" s="319"/>
      <c r="H246" s="319"/>
      <c r="I246" s="319"/>
      <c r="J246" s="316"/>
      <c r="K246" s="319"/>
      <c r="L246" s="314"/>
      <c r="M246" s="310"/>
      <c r="N246" s="314"/>
      <c r="O246" s="310"/>
      <c r="P246" s="314"/>
      <c r="Q246" s="30"/>
      <c r="R246" s="30"/>
      <c r="S246" s="310"/>
      <c r="T246" s="314"/>
      <c r="U246" s="310"/>
      <c r="V246" s="314"/>
      <c r="W246" s="319"/>
      <c r="X246" s="319"/>
      <c r="Y246" s="319"/>
      <c r="Z246" s="314"/>
      <c r="AA246" s="319"/>
      <c r="AB246" s="314"/>
      <c r="AC246" s="310"/>
      <c r="AD246" s="314"/>
      <c r="AE246" s="310"/>
      <c r="AF246" s="30"/>
      <c r="AG246" s="310"/>
      <c r="AH246" s="30"/>
      <c r="AI246" s="310"/>
      <c r="AJ246" s="30"/>
      <c r="AK246" s="310"/>
      <c r="AL246" s="30"/>
      <c r="AM246" s="310"/>
      <c r="AN246" s="30"/>
      <c r="AO246" s="310"/>
      <c r="AP246" s="30"/>
      <c r="AQ246" s="453"/>
      <c r="AR246" s="310"/>
      <c r="AS246" s="310"/>
      <c r="AT246" s="30"/>
      <c r="AU246" s="30"/>
      <c r="AV246" s="30"/>
      <c r="AW246" s="314"/>
      <c r="AX246" s="310"/>
      <c r="AY246" s="310"/>
      <c r="AZ246" s="314"/>
      <c r="BA246" s="319"/>
      <c r="BB246" s="310"/>
      <c r="BC246" s="319"/>
      <c r="BD246" s="319"/>
      <c r="BE246" s="319"/>
      <c r="BF246" s="310"/>
      <c r="BG246" s="316"/>
      <c r="BH246" s="319"/>
      <c r="BI246" s="319"/>
      <c r="BJ246" s="310"/>
      <c r="BK246" s="314"/>
      <c r="BL246" s="319"/>
      <c r="BM246" s="319"/>
      <c r="BN246" s="310"/>
      <c r="BO246" s="314"/>
      <c r="BP246" s="319"/>
      <c r="BS246" s="1177"/>
      <c r="BT246" s="314"/>
      <c r="BU246" s="319"/>
      <c r="BV246" s="319"/>
      <c r="BW246" s="319"/>
      <c r="BX246" s="310"/>
      <c r="BY246" s="314"/>
      <c r="BZ246" s="319"/>
      <c r="CA246" s="319"/>
      <c r="CB246" s="319"/>
      <c r="CC246" s="310"/>
      <c r="CD246" s="30"/>
      <c r="CE246" s="319"/>
      <c r="CF246" s="319"/>
      <c r="CG246" s="319"/>
      <c r="CH246" s="310"/>
      <c r="CI246" s="314"/>
      <c r="CJ246" s="319"/>
      <c r="CK246" s="319"/>
      <c r="CL246" s="310"/>
      <c r="CM246" s="314"/>
      <c r="CN246" s="319"/>
      <c r="CO246" s="310"/>
      <c r="CP246" s="314"/>
      <c r="CQ246" s="319"/>
      <c r="CR246" s="310"/>
      <c r="CS246" s="314"/>
      <c r="CT246" s="319"/>
      <c r="CU246" s="310"/>
      <c r="CV246" s="314"/>
      <c r="CW246" s="319"/>
      <c r="CX246" s="310"/>
      <c r="CY246" s="314"/>
      <c r="CZ246" s="319"/>
      <c r="DA246" s="310"/>
      <c r="DB246" s="314"/>
      <c r="DC246" s="319"/>
      <c r="DD246" s="310"/>
      <c r="DE246" s="314"/>
      <c r="DF246" s="319"/>
      <c r="DG246" s="310"/>
      <c r="DH246" s="314"/>
      <c r="DI246" s="319"/>
      <c r="DJ246" s="319"/>
      <c r="DK246" s="319"/>
      <c r="DL246" s="319"/>
    </row>
    <row r="247" spans="1:116" hidden="1" outlineLevel="1">
      <c r="A247" s="30" t="str">
        <f>+A65</f>
        <v>1Q</v>
      </c>
      <c r="B247" s="30" t="str">
        <f>+B65</f>
        <v>Apr</v>
      </c>
      <c r="C247" s="30"/>
      <c r="D247" s="322">
        <v>3.1640000000000001</v>
      </c>
      <c r="E247" s="308">
        <f>+(D247/D241-1)*100</f>
        <v>7.0003381805884501</v>
      </c>
      <c r="F247" s="322">
        <v>0.41599999999999998</v>
      </c>
      <c r="G247" s="308">
        <f>+(F247/F241-1)*100</f>
        <v>3.2258064516129004</v>
      </c>
      <c r="H247" s="308"/>
      <c r="I247" s="308"/>
      <c r="J247" s="316">
        <f>+D247+F247</f>
        <v>3.58</v>
      </c>
      <c r="K247" s="308">
        <f>+(J247/J241-1)*100</f>
        <v>6.5476190476190466</v>
      </c>
      <c r="L247" s="322">
        <v>1.8680000000000001</v>
      </c>
      <c r="M247" s="308">
        <f>+(L247/L241-1)*100</f>
        <v>28.208647906657514</v>
      </c>
      <c r="N247" s="322">
        <v>4.6740000000000004</v>
      </c>
      <c r="O247" s="308">
        <f>+(N247/N241-1)*100</f>
        <v>-1.3299556681443891</v>
      </c>
      <c r="P247" s="322">
        <v>2.1349999999999998</v>
      </c>
      <c r="Q247" s="308">
        <f>+(P247/P241-1)*100</f>
        <v>0.70754716981129562</v>
      </c>
      <c r="R247" s="307"/>
      <c r="S247" s="308"/>
      <c r="T247" s="322">
        <v>3.7090000000000001</v>
      </c>
      <c r="U247" s="308">
        <f>+(T247/T241-1)*100</f>
        <v>-5.1163980557687339</v>
      </c>
      <c r="V247" s="322">
        <v>3.5000000000000003E-2</v>
      </c>
      <c r="W247" s="308">
        <f>+(V247/V241-1)*100</f>
        <v>-69.026548672566364</v>
      </c>
      <c r="X247" s="308"/>
      <c r="Y247" s="308"/>
      <c r="Z247" s="322"/>
      <c r="AA247" s="308"/>
      <c r="AB247" s="322">
        <v>5.391</v>
      </c>
      <c r="AC247" s="308">
        <f>+(AB247/AB241-1)*100</f>
        <v>-7.4347527472527482</v>
      </c>
      <c r="AD247" s="322">
        <v>3.7349999999999999</v>
      </c>
      <c r="AE247" s="308">
        <f>+(AD247/AD241-1)*100</f>
        <v>-4.1570438799076186</v>
      </c>
      <c r="AF247" s="322">
        <v>0.64100000000000001</v>
      </c>
      <c r="AG247" s="308">
        <f>+(AF247/AF241-1)*100</f>
        <v>31.352459016393453</v>
      </c>
      <c r="AH247" s="322">
        <v>0.98299999999999998</v>
      </c>
      <c r="AI247" s="308">
        <f>+(AH247/AH241-1)*100</f>
        <v>1.3402061855670055</v>
      </c>
      <c r="AJ247" s="322">
        <v>0</v>
      </c>
      <c r="AK247" s="308">
        <f>+(AJ247/AJ241-1)*100</f>
        <v>-100</v>
      </c>
      <c r="AL247" s="322">
        <v>1.2490000000000001</v>
      </c>
      <c r="AM247" s="308">
        <f>+(AL247/AL241-1)*100</f>
        <v>19.980787704130655</v>
      </c>
      <c r="AN247" s="374"/>
      <c r="AO247" s="308"/>
      <c r="AP247" s="30"/>
      <c r="AQ247" s="453">
        <f>+J247+L247+N247+P247+R247+T247+V247+AB247+AD247+AF247+AH247+AJ247+AL247+AN247</f>
        <v>27.999999999999993</v>
      </c>
      <c r="AR247" s="308">
        <f>+(AQ247/AQ241-1)*100</f>
        <v>-0.98309640002828269</v>
      </c>
      <c r="AS247" s="308"/>
      <c r="AT247" s="30"/>
      <c r="AU247" s="30"/>
      <c r="AV247" s="30"/>
      <c r="AW247" s="322"/>
      <c r="AX247" s="308"/>
      <c r="AY247" s="308"/>
      <c r="AZ247" s="322"/>
      <c r="BA247" s="308"/>
      <c r="BB247" s="308"/>
      <c r="BC247" s="308"/>
      <c r="BD247" s="308"/>
      <c r="BE247" s="308"/>
      <c r="BF247" s="308"/>
      <c r="BG247" s="316"/>
      <c r="BH247" s="308"/>
      <c r="BI247" s="308"/>
      <c r="BJ247" s="308"/>
      <c r="BK247" s="322"/>
      <c r="BL247" s="308"/>
      <c r="BM247" s="308"/>
      <c r="BN247" s="308"/>
      <c r="BO247" s="322"/>
      <c r="BP247" s="308"/>
      <c r="BQ247" s="589"/>
      <c r="BR247" s="589"/>
      <c r="BS247" s="589"/>
      <c r="BT247" s="322"/>
      <c r="BU247" s="308"/>
      <c r="BV247" s="308"/>
      <c r="BW247" s="308"/>
      <c r="BX247" s="308"/>
      <c r="BY247" s="322"/>
      <c r="BZ247" s="308"/>
      <c r="CA247" s="308"/>
      <c r="CB247" s="308"/>
      <c r="CC247" s="308"/>
      <c r="CD247" s="307"/>
      <c r="CE247" s="308"/>
      <c r="CF247" s="308"/>
      <c r="CG247" s="308"/>
      <c r="CH247" s="308"/>
      <c r="CI247" s="322"/>
      <c r="CJ247" s="308"/>
      <c r="CK247" s="308"/>
      <c r="CL247" s="308"/>
      <c r="CM247" s="322"/>
      <c r="CN247" s="308"/>
      <c r="CO247" s="308"/>
      <c r="CP247" s="322"/>
      <c r="CQ247" s="308"/>
      <c r="CR247" s="308"/>
      <c r="CS247" s="322"/>
      <c r="CT247" s="308"/>
      <c r="CU247" s="308"/>
      <c r="CV247" s="322"/>
      <c r="CW247" s="308"/>
      <c r="CX247" s="308"/>
      <c r="CY247" s="322"/>
      <c r="CZ247" s="308"/>
      <c r="DA247" s="308"/>
      <c r="DB247" s="322"/>
      <c r="DC247" s="308"/>
      <c r="DD247" s="308"/>
      <c r="DE247" s="322"/>
      <c r="DF247" s="308"/>
      <c r="DG247" s="308"/>
      <c r="DH247" s="322"/>
      <c r="DI247" s="308"/>
      <c r="DJ247" s="308"/>
      <c r="DK247" s="308"/>
      <c r="DL247" s="308"/>
    </row>
    <row r="248" spans="1:116" hidden="1" outlineLevel="1">
      <c r="A248" s="30" t="str">
        <f>+A66</f>
        <v>2Q</v>
      </c>
      <c r="B248" s="30" t="str">
        <f>+B66</f>
        <v>Jul</v>
      </c>
      <c r="C248" s="30"/>
      <c r="D248" s="322">
        <v>3.1789999999999998</v>
      </c>
      <c r="E248" s="308">
        <f>+(D248/D242-1)*100</f>
        <v>5.0561797752809001</v>
      </c>
      <c r="F248" s="322">
        <v>0.41599999999999998</v>
      </c>
      <c r="G248" s="308">
        <f>+(F248/F242-1)*100</f>
        <v>2.2113022113022129</v>
      </c>
      <c r="H248" s="308"/>
      <c r="I248" s="308"/>
      <c r="J248" s="316">
        <f>+D248+F248</f>
        <v>3.5949999999999998</v>
      </c>
      <c r="K248" s="308">
        <f>+(J248/J242-1)*100</f>
        <v>4.7189047480337809</v>
      </c>
      <c r="L248" s="322">
        <v>1.954</v>
      </c>
      <c r="M248" s="308">
        <f>+(L248/L242-1)*100</f>
        <v>24.936061381074161</v>
      </c>
      <c r="N248" s="322">
        <v>4.6079999999999997</v>
      </c>
      <c r="O248" s="308">
        <f>+(N248/N242-1)*100</f>
        <v>-2.7437737441958765</v>
      </c>
      <c r="P248" s="322">
        <v>2.129</v>
      </c>
      <c r="Q248" s="308">
        <f>+(P248/P242-1)*100</f>
        <v>-0.18752930145334856</v>
      </c>
      <c r="R248" s="307"/>
      <c r="S248" s="308"/>
      <c r="T248" s="322">
        <v>3.6150000000000002</v>
      </c>
      <c r="U248" s="308">
        <f>+(T248/T242-1)*100</f>
        <v>-7.0932922127987634</v>
      </c>
      <c r="V248" s="322">
        <v>3.5000000000000003E-2</v>
      </c>
      <c r="W248" s="308">
        <f>+(V248/V242-1)*100</f>
        <v>-69.026548672566364</v>
      </c>
      <c r="X248" s="308"/>
      <c r="Y248" s="308"/>
      <c r="Z248" s="322"/>
      <c r="AA248" s="308"/>
      <c r="AB248" s="322">
        <v>5.2889999999999997</v>
      </c>
      <c r="AC248" s="308">
        <f>+(AB248/AB242-1)*100</f>
        <v>-8.8574875064621814</v>
      </c>
      <c r="AD248" s="322">
        <v>3.7189999999999999</v>
      </c>
      <c r="AE248" s="308">
        <f>+(AD248/AD242-1)*100</f>
        <v>-4.0258064516129117</v>
      </c>
      <c r="AF248" s="322">
        <v>0.81100000000000005</v>
      </c>
      <c r="AG248" s="308">
        <f>+(AF248/AF242-1)*100</f>
        <v>66.188524590163951</v>
      </c>
      <c r="AH248" s="322">
        <v>0.97899999999999998</v>
      </c>
      <c r="AI248" s="308">
        <f>+(AH248/AH242-1)*100</f>
        <v>0.61664953751283669</v>
      </c>
      <c r="AJ248" s="322">
        <v>0</v>
      </c>
      <c r="AK248" s="308">
        <f>+(AJ248/AJ242-1)*100</f>
        <v>-100</v>
      </c>
      <c r="AL248" s="322">
        <v>0</v>
      </c>
      <c r="AM248" s="308">
        <f>+(AL248/AL242-1)*100</f>
        <v>-100</v>
      </c>
      <c r="AN248" s="374"/>
      <c r="AO248" s="308"/>
      <c r="AP248" s="30"/>
      <c r="AQ248" s="453">
        <f>+J248+L248+N248+P248+R248+T248+V248+AB248+AD248+AF248+AH248+AJ248+AL248+AN248</f>
        <v>26.734000000000002</v>
      </c>
      <c r="AR248" s="308">
        <f>+(AQ248/AQ242-1)*100</f>
        <v>-6.1141352063213139</v>
      </c>
      <c r="AS248" s="308"/>
      <c r="AT248" s="30"/>
      <c r="AU248" s="30"/>
      <c r="AV248" s="30"/>
      <c r="AW248" s="322"/>
      <c r="AX248" s="308"/>
      <c r="AY248" s="308"/>
      <c r="AZ248" s="322"/>
      <c r="BA248" s="308"/>
      <c r="BB248" s="308"/>
      <c r="BC248" s="308"/>
      <c r="BD248" s="308"/>
      <c r="BE248" s="308"/>
      <c r="BF248" s="308"/>
      <c r="BG248" s="316"/>
      <c r="BH248" s="308"/>
      <c r="BI248" s="308"/>
      <c r="BJ248" s="308"/>
      <c r="BK248" s="322"/>
      <c r="BL248" s="308"/>
      <c r="BM248" s="308"/>
      <c r="BN248" s="308"/>
      <c r="BO248" s="322"/>
      <c r="BP248" s="308"/>
      <c r="BQ248" s="589"/>
      <c r="BR248" s="589"/>
      <c r="BS248" s="589"/>
      <c r="BT248" s="322"/>
      <c r="BU248" s="308"/>
      <c r="BV248" s="308"/>
      <c r="BW248" s="308"/>
      <c r="BX248" s="308"/>
      <c r="BY248" s="322"/>
      <c r="BZ248" s="308"/>
      <c r="CA248" s="308"/>
      <c r="CB248" s="308"/>
      <c r="CC248" s="308"/>
      <c r="CD248" s="307"/>
      <c r="CE248" s="308"/>
      <c r="CF248" s="308"/>
      <c r="CG248" s="308"/>
      <c r="CH248" s="308"/>
      <c r="CI248" s="322"/>
      <c r="CJ248" s="308"/>
      <c r="CK248" s="308"/>
      <c r="CL248" s="308"/>
      <c r="CM248" s="322"/>
      <c r="CN248" s="308"/>
      <c r="CO248" s="308"/>
      <c r="CP248" s="322"/>
      <c r="CQ248" s="308"/>
      <c r="CR248" s="308"/>
      <c r="CS248" s="322"/>
      <c r="CT248" s="308"/>
      <c r="CU248" s="308"/>
      <c r="CV248" s="322"/>
      <c r="CW248" s="308"/>
      <c r="CX248" s="308"/>
      <c r="CY248" s="322"/>
      <c r="CZ248" s="308"/>
      <c r="DA248" s="308"/>
      <c r="DB248" s="322"/>
      <c r="DC248" s="308"/>
      <c r="DD248" s="308"/>
      <c r="DE248" s="322"/>
      <c r="DF248" s="308"/>
      <c r="DG248" s="308"/>
      <c r="DH248" s="322"/>
      <c r="DI248" s="308"/>
      <c r="DJ248" s="308"/>
      <c r="DK248" s="308"/>
      <c r="DL248" s="308"/>
    </row>
    <row r="249" spans="1:116" hidden="1" outlineLevel="1">
      <c r="A249" s="30" t="str">
        <f>+A67</f>
        <v>3Q</v>
      </c>
      <c r="B249" s="30" t="str">
        <f>+B67</f>
        <v>Oct</v>
      </c>
      <c r="C249" s="30"/>
      <c r="D249" s="322">
        <v>3.2410000000000001</v>
      </c>
      <c r="E249" s="308">
        <f>+(D249/D243-1)*100</f>
        <v>4.0115532734274817</v>
      </c>
      <c r="F249" s="322">
        <v>0.42099999999999999</v>
      </c>
      <c r="G249" s="308">
        <f>+(F249/F243-1)*100</f>
        <v>0.95923261390886694</v>
      </c>
      <c r="H249" s="308"/>
      <c r="I249" s="308"/>
      <c r="J249" s="316">
        <f>+D249+F249</f>
        <v>3.6619999999999999</v>
      </c>
      <c r="K249" s="308">
        <f>+(J249/J243-1)*100</f>
        <v>3.6512878573450314</v>
      </c>
      <c r="L249" s="322">
        <v>2.0539999999999998</v>
      </c>
      <c r="M249" s="308">
        <f>+(L249/L243-1)*100</f>
        <v>18.865740740740723</v>
      </c>
      <c r="N249" s="322">
        <v>4.5350000000000001</v>
      </c>
      <c r="O249" s="308">
        <f>+(N249/N243-1)*100</f>
        <v>-4.8068849706129342</v>
      </c>
      <c r="P249" s="322">
        <v>2.1259999999999999</v>
      </c>
      <c r="Q249" s="308">
        <f>+(P249/P243-1)*100</f>
        <v>-1.0702652396463508</v>
      </c>
      <c r="R249" s="307"/>
      <c r="S249" s="308"/>
      <c r="T249" s="322">
        <v>3.577</v>
      </c>
      <c r="U249" s="308">
        <f>+(T249/T243-1)*100</f>
        <v>-7.6664945792462635</v>
      </c>
      <c r="V249" s="322">
        <v>3.5000000000000003E-2</v>
      </c>
      <c r="W249" s="308">
        <f>+(V249/V243-1)*100</f>
        <v>-69.026548672566364</v>
      </c>
      <c r="X249" s="308"/>
      <c r="Y249" s="308"/>
      <c r="Z249" s="322"/>
      <c r="AA249" s="308"/>
      <c r="AB249" s="322">
        <v>5.1950000000000003</v>
      </c>
      <c r="AC249" s="308">
        <f>+(AB249/AB243-1)*100</f>
        <v>-9.5420511927563965</v>
      </c>
      <c r="AD249" s="322">
        <v>3.74</v>
      </c>
      <c r="AE249" s="308">
        <f>+(AD249/AD243-1)*100</f>
        <v>-3.3341948823985557</v>
      </c>
      <c r="AF249" s="322">
        <v>0.94699999999999995</v>
      </c>
      <c r="AG249" s="308">
        <f>+(AF249/AF243-1)*100</f>
        <v>47.73790951638064</v>
      </c>
      <c r="AH249" s="322">
        <v>0.98299999999999998</v>
      </c>
      <c r="AI249" s="308">
        <f>+(AH249/AH243-1)*100</f>
        <v>0.71721311475410054</v>
      </c>
      <c r="AJ249" s="322">
        <v>0</v>
      </c>
      <c r="AK249" s="308">
        <f>+(AJ249/AJ243-1)*100</f>
        <v>-100</v>
      </c>
      <c r="AL249" s="322">
        <v>0</v>
      </c>
      <c r="AM249" s="308">
        <f>+(AL249/AL243-1)*100</f>
        <v>-100</v>
      </c>
      <c r="AN249" s="374"/>
      <c r="AO249" s="308"/>
      <c r="AP249" s="30"/>
      <c r="AQ249" s="453">
        <f>+J249+L249+N249+P249+R249+T249+V249+AB249+AD249+AF249+AH249+AJ249+AL249+AN249</f>
        <v>26.853999999999999</v>
      </c>
      <c r="AR249" s="308">
        <f>+(AQ249/AQ243-1)*100</f>
        <v>-7.179150392312728</v>
      </c>
      <c r="AS249" s="308"/>
      <c r="AT249" s="30"/>
      <c r="AU249" s="30"/>
      <c r="AV249" s="30"/>
      <c r="AW249" s="322"/>
      <c r="AX249" s="308"/>
      <c r="AY249" s="308"/>
      <c r="AZ249" s="322"/>
      <c r="BA249" s="308"/>
      <c r="BB249" s="308"/>
      <c r="BC249" s="308"/>
      <c r="BD249" s="308"/>
      <c r="BE249" s="308"/>
      <c r="BF249" s="308"/>
      <c r="BG249" s="316"/>
      <c r="BH249" s="308"/>
      <c r="BI249" s="308"/>
      <c r="BJ249" s="308"/>
      <c r="BK249" s="322"/>
      <c r="BL249" s="308"/>
      <c r="BM249" s="308"/>
      <c r="BN249" s="308"/>
      <c r="BO249" s="322"/>
      <c r="BP249" s="308"/>
      <c r="BQ249" s="589"/>
      <c r="BR249" s="589"/>
      <c r="BS249" s="589"/>
      <c r="BT249" s="322"/>
      <c r="BU249" s="308"/>
      <c r="BV249" s="308"/>
      <c r="BW249" s="308"/>
      <c r="BX249" s="308"/>
      <c r="BY249" s="322"/>
      <c r="BZ249" s="308"/>
      <c r="CA249" s="308"/>
      <c r="CB249" s="308"/>
      <c r="CC249" s="308"/>
      <c r="CD249" s="307"/>
      <c r="CE249" s="308"/>
      <c r="CF249" s="308"/>
      <c r="CG249" s="308"/>
      <c r="CH249" s="308"/>
      <c r="CI249" s="322"/>
      <c r="CJ249" s="308"/>
      <c r="CK249" s="308"/>
      <c r="CL249" s="308"/>
      <c r="CM249" s="322"/>
      <c r="CN249" s="308"/>
      <c r="CO249" s="308"/>
      <c r="CP249" s="322"/>
      <c r="CQ249" s="308"/>
      <c r="CR249" s="308"/>
      <c r="CS249" s="322"/>
      <c r="CT249" s="308"/>
      <c r="CU249" s="308"/>
      <c r="CV249" s="322"/>
      <c r="CW249" s="308"/>
      <c r="CX249" s="308"/>
      <c r="CY249" s="322"/>
      <c r="CZ249" s="308"/>
      <c r="DA249" s="308"/>
      <c r="DB249" s="322"/>
      <c r="DC249" s="308"/>
      <c r="DD249" s="308"/>
      <c r="DE249" s="322"/>
      <c r="DF249" s="308"/>
      <c r="DG249" s="308"/>
      <c r="DH249" s="322"/>
      <c r="DI249" s="308"/>
      <c r="DJ249" s="308"/>
      <c r="DK249" s="308"/>
      <c r="DL249" s="308"/>
    </row>
    <row r="250" spans="1:116" hidden="1" outlineLevel="1">
      <c r="A250" s="30" t="str">
        <f>+A68</f>
        <v>4Q</v>
      </c>
      <c r="B250" s="310" t="str">
        <f>+B68</f>
        <v>Jan</v>
      </c>
      <c r="C250" s="30"/>
      <c r="D250" s="322">
        <v>3.2639999999999998</v>
      </c>
      <c r="E250" s="308">
        <f>+(D250/D244-1)*100</f>
        <v>4.0816326530612068</v>
      </c>
      <c r="F250" s="322">
        <v>0.438</v>
      </c>
      <c r="G250" s="308">
        <f>+(F250/F244-1)*100</f>
        <v>4.5346062052505909</v>
      </c>
      <c r="H250" s="308"/>
      <c r="I250" s="308"/>
      <c r="J250" s="316">
        <f>+D250+F250</f>
        <v>3.702</v>
      </c>
      <c r="K250" s="308">
        <f>+(J250/J244-1)*100</f>
        <v>4.1350210970463985</v>
      </c>
      <c r="L250" s="322">
        <v>2.0920000000000001</v>
      </c>
      <c r="M250" s="308">
        <f>+(L250/L244-1)*100</f>
        <v>17.992103778905811</v>
      </c>
      <c r="N250" s="322">
        <v>4.5110000000000001</v>
      </c>
      <c r="O250" s="308">
        <f>+(N250/N244-1)*100</f>
        <v>-4.8111415910529587</v>
      </c>
      <c r="P250" s="322">
        <v>2.1179999999999999</v>
      </c>
      <c r="Q250" s="308">
        <f>+(P250/P244-1)*100</f>
        <v>-1.1665888940737279</v>
      </c>
      <c r="R250" s="307"/>
      <c r="S250" s="308"/>
      <c r="T250" s="322">
        <v>3.371</v>
      </c>
      <c r="U250" s="308">
        <f>+(T250/T244-1)*100</f>
        <v>-11.055408970976256</v>
      </c>
      <c r="V250" s="322">
        <v>3.5000000000000003E-2</v>
      </c>
      <c r="W250" s="308">
        <f>+(V250/V244-1)*100</f>
        <v>-69.026548672566364</v>
      </c>
      <c r="X250" s="308"/>
      <c r="Y250" s="308"/>
      <c r="Z250" s="322"/>
      <c r="AA250" s="308"/>
      <c r="AB250" s="322">
        <v>5</v>
      </c>
      <c r="AC250" s="308">
        <f>+(AB250/AB244-1)*100</f>
        <v>-12.249912249912253</v>
      </c>
      <c r="AD250" s="322">
        <v>3.5169999999999999</v>
      </c>
      <c r="AE250" s="308">
        <f>+(AD250/AD244-1)*100</f>
        <v>-5.8366800535475267</v>
      </c>
      <c r="AF250" s="322">
        <v>0.96399999999999997</v>
      </c>
      <c r="AG250" s="308">
        <f>+(AF250/AF244-1)*100</f>
        <v>50.390015600624018</v>
      </c>
      <c r="AH250" s="322">
        <v>1.006</v>
      </c>
      <c r="AI250" s="308"/>
      <c r="AJ250" s="322"/>
      <c r="AK250" s="308"/>
      <c r="AL250" s="322"/>
      <c r="AM250" s="308"/>
      <c r="AN250" s="374"/>
      <c r="AO250" s="308"/>
      <c r="AP250" s="30"/>
      <c r="AQ250" s="453">
        <f>+J250+L250+N250+P250+R250+T250+V250+AB250+AD250+AF250+AH250+AJ250+AL250+AN250</f>
        <v>26.315999999999999</v>
      </c>
      <c r="AR250" s="308">
        <f>+(AQ250/AQ244-1)*100</f>
        <v>-7.3380281690140876</v>
      </c>
      <c r="AS250" s="308"/>
      <c r="AT250" s="30"/>
      <c r="AU250" s="30"/>
      <c r="AV250" s="30"/>
      <c r="AW250" s="322"/>
      <c r="AX250" s="308"/>
      <c r="AY250" s="308"/>
      <c r="AZ250" s="322"/>
      <c r="BA250" s="308"/>
      <c r="BB250" s="308"/>
      <c r="BC250" s="308"/>
      <c r="BD250" s="308"/>
      <c r="BE250" s="308"/>
      <c r="BF250" s="308"/>
      <c r="BG250" s="316"/>
      <c r="BH250" s="308"/>
      <c r="BI250" s="308"/>
      <c r="BJ250" s="308"/>
      <c r="BK250" s="322"/>
      <c r="BL250" s="308"/>
      <c r="BM250" s="308"/>
      <c r="BN250" s="308"/>
      <c r="BO250" s="322"/>
      <c r="BP250" s="308"/>
      <c r="BQ250" s="589"/>
      <c r="BR250" s="589"/>
      <c r="BS250" s="589"/>
      <c r="BT250" s="322"/>
      <c r="BU250" s="308"/>
      <c r="BV250" s="308"/>
      <c r="BW250" s="308"/>
      <c r="BX250" s="308"/>
      <c r="BY250" s="322"/>
      <c r="BZ250" s="308"/>
      <c r="CA250" s="308"/>
      <c r="CB250" s="308"/>
      <c r="CC250" s="308"/>
      <c r="CD250" s="307"/>
      <c r="CE250" s="308"/>
      <c r="CF250" s="308"/>
      <c r="CG250" s="308"/>
      <c r="CH250" s="308"/>
      <c r="CI250" s="322"/>
      <c r="CJ250" s="308"/>
      <c r="CK250" s="308"/>
      <c r="CL250" s="308"/>
      <c r="CM250" s="322"/>
      <c r="CN250" s="308"/>
      <c r="CO250" s="308"/>
      <c r="CP250" s="322"/>
      <c r="CQ250" s="308"/>
      <c r="CR250" s="308"/>
      <c r="CS250" s="322"/>
      <c r="CT250" s="308"/>
      <c r="CU250" s="308"/>
      <c r="CV250" s="322"/>
      <c r="CW250" s="308"/>
      <c r="CX250" s="308"/>
      <c r="CY250" s="322"/>
      <c r="CZ250" s="308"/>
      <c r="DA250" s="308"/>
      <c r="DB250" s="322"/>
      <c r="DC250" s="308"/>
      <c r="DD250" s="308"/>
      <c r="DE250" s="322"/>
      <c r="DF250" s="308"/>
      <c r="DG250" s="308"/>
      <c r="DH250" s="322"/>
      <c r="DI250" s="308"/>
      <c r="DJ250" s="308"/>
      <c r="DK250" s="308"/>
      <c r="DL250" s="308"/>
    </row>
    <row r="251" spans="1:116" hidden="1" outlineLevel="1">
      <c r="A251" s="30"/>
      <c r="B251" s="30"/>
      <c r="C251" s="30"/>
      <c r="D251" s="314"/>
      <c r="E251" s="310"/>
      <c r="F251" s="314"/>
      <c r="G251" s="319"/>
      <c r="H251" s="319"/>
      <c r="I251" s="319"/>
      <c r="J251" s="316"/>
      <c r="K251" s="319"/>
      <c r="L251" s="314"/>
      <c r="M251" s="310"/>
      <c r="N251" s="314"/>
      <c r="O251" s="310"/>
      <c r="P251" s="314"/>
      <c r="Q251" s="30"/>
      <c r="R251" s="30"/>
      <c r="S251" s="310"/>
      <c r="T251" s="314"/>
      <c r="U251" s="310"/>
      <c r="V251" s="314"/>
      <c r="W251" s="319"/>
      <c r="X251" s="319"/>
      <c r="Y251" s="319"/>
      <c r="Z251" s="314"/>
      <c r="AA251" s="319"/>
      <c r="AB251" s="314"/>
      <c r="AC251" s="310"/>
      <c r="AD251" s="314"/>
      <c r="AE251" s="310"/>
      <c r="AF251" s="30"/>
      <c r="AG251" s="310"/>
      <c r="AH251" s="30"/>
      <c r="AI251" s="310"/>
      <c r="AJ251" s="30"/>
      <c r="AK251" s="310"/>
      <c r="AL251" s="30"/>
      <c r="AM251" s="310"/>
      <c r="AN251" s="30"/>
      <c r="AO251" s="310"/>
      <c r="AP251" s="30"/>
      <c r="AQ251" s="453"/>
      <c r="AR251" s="310"/>
      <c r="AS251" s="310"/>
      <c r="AT251" s="30"/>
      <c r="AU251" s="30"/>
      <c r="AV251" s="30"/>
      <c r="AW251" s="314"/>
      <c r="AX251" s="310"/>
      <c r="AY251" s="310"/>
      <c r="AZ251" s="314"/>
      <c r="BA251" s="319"/>
      <c r="BB251" s="310"/>
      <c r="BC251" s="319"/>
      <c r="BD251" s="319"/>
      <c r="BE251" s="319"/>
      <c r="BF251" s="310"/>
      <c r="BG251" s="316"/>
      <c r="BH251" s="319"/>
      <c r="BI251" s="319"/>
      <c r="BJ251" s="310"/>
      <c r="BK251" s="314"/>
      <c r="BL251" s="319"/>
      <c r="BM251" s="319"/>
      <c r="BN251" s="310"/>
      <c r="BO251" s="314"/>
      <c r="BP251" s="319"/>
      <c r="BS251" s="1177"/>
      <c r="BT251" s="314"/>
      <c r="BU251" s="319"/>
      <c r="BV251" s="319"/>
      <c r="BW251" s="319"/>
      <c r="BX251" s="310"/>
      <c r="BY251" s="314"/>
      <c r="BZ251" s="319"/>
      <c r="CA251" s="319"/>
      <c r="CB251" s="319"/>
      <c r="CC251" s="310"/>
      <c r="CD251" s="30"/>
      <c r="CE251" s="319"/>
      <c r="CF251" s="319"/>
      <c r="CG251" s="319"/>
      <c r="CH251" s="310"/>
      <c r="CI251" s="314"/>
      <c r="CJ251" s="319"/>
      <c r="CK251" s="319"/>
      <c r="CL251" s="310"/>
      <c r="CM251" s="314"/>
      <c r="CN251" s="319"/>
      <c r="CO251" s="310"/>
      <c r="CP251" s="314"/>
      <c r="CQ251" s="319"/>
      <c r="CR251" s="310"/>
      <c r="CS251" s="314"/>
      <c r="CT251" s="319"/>
      <c r="CU251" s="310"/>
      <c r="CV251" s="314"/>
      <c r="CW251" s="319"/>
      <c r="CX251" s="310"/>
      <c r="CY251" s="314"/>
      <c r="CZ251" s="319"/>
      <c r="DA251" s="310"/>
      <c r="DB251" s="314"/>
      <c r="DC251" s="319"/>
      <c r="DD251" s="310"/>
      <c r="DE251" s="314"/>
      <c r="DF251" s="319"/>
      <c r="DG251" s="310"/>
      <c r="DH251" s="314"/>
      <c r="DI251" s="319"/>
      <c r="DJ251" s="319"/>
      <c r="DK251" s="319"/>
      <c r="DL251" s="319"/>
    </row>
    <row r="252" spans="1:116" hidden="1" outlineLevel="1" collapsed="1">
      <c r="A252" s="30"/>
      <c r="B252" s="324">
        <f>+B70</f>
        <v>1999</v>
      </c>
      <c r="C252" s="30"/>
      <c r="D252" s="314"/>
      <c r="E252" s="310"/>
      <c r="F252" s="314"/>
      <c r="G252" s="319"/>
      <c r="H252" s="319"/>
      <c r="I252" s="319"/>
      <c r="J252" s="316"/>
      <c r="K252" s="319"/>
      <c r="L252" s="314"/>
      <c r="M252" s="310"/>
      <c r="N252" s="314"/>
      <c r="O252" s="310"/>
      <c r="P252" s="314"/>
      <c r="Q252" s="30"/>
      <c r="R252" s="30"/>
      <c r="S252" s="310"/>
      <c r="T252" s="314"/>
      <c r="U252" s="310"/>
      <c r="V252" s="314"/>
      <c r="W252" s="319"/>
      <c r="X252" s="319"/>
      <c r="Y252" s="319"/>
      <c r="Z252" s="314"/>
      <c r="AA252" s="319"/>
      <c r="AB252" s="314"/>
      <c r="AC252" s="310"/>
      <c r="AD252" s="314"/>
      <c r="AE252" s="310"/>
      <c r="AF252" s="30"/>
      <c r="AG252" s="310"/>
      <c r="AH252" s="30"/>
      <c r="AI252" s="310"/>
      <c r="AJ252" s="30"/>
      <c r="AK252" s="310"/>
      <c r="AL252" s="30"/>
      <c r="AM252" s="310"/>
      <c r="AN252" s="30"/>
      <c r="AO252" s="310"/>
      <c r="AP252" s="30"/>
      <c r="AQ252" s="453"/>
      <c r="AR252" s="310"/>
      <c r="AS252" s="310"/>
      <c r="AT252" s="30"/>
      <c r="AU252" s="30"/>
      <c r="AV252" s="30"/>
      <c r="AW252" s="314"/>
      <c r="AX252" s="310"/>
      <c r="AY252" s="310"/>
      <c r="AZ252" s="314"/>
      <c r="BA252" s="319"/>
      <c r="BB252" s="310"/>
      <c r="BC252" s="319"/>
      <c r="BD252" s="319"/>
      <c r="BE252" s="319"/>
      <c r="BF252" s="310"/>
      <c r="BG252" s="316"/>
      <c r="BH252" s="319"/>
      <c r="BI252" s="319"/>
      <c r="BJ252" s="310"/>
      <c r="BK252" s="314"/>
      <c r="BL252" s="319"/>
      <c r="BM252" s="319"/>
      <c r="BN252" s="310"/>
      <c r="BO252" s="314"/>
      <c r="BP252" s="319"/>
      <c r="BS252" s="1177"/>
      <c r="BT252" s="314"/>
      <c r="BU252" s="319"/>
      <c r="BV252" s="319"/>
      <c r="BW252" s="319"/>
      <c r="BX252" s="310"/>
      <c r="BY252" s="314"/>
      <c r="BZ252" s="319"/>
      <c r="CA252" s="319"/>
      <c r="CB252" s="319"/>
      <c r="CC252" s="310"/>
      <c r="CD252" s="30"/>
      <c r="CE252" s="319"/>
      <c r="CF252" s="319"/>
      <c r="CG252" s="319"/>
      <c r="CH252" s="310"/>
      <c r="CI252" s="314"/>
      <c r="CJ252" s="319"/>
      <c r="CK252" s="319"/>
      <c r="CL252" s="310"/>
      <c r="CM252" s="314"/>
      <c r="CN252" s="319"/>
      <c r="CO252" s="310"/>
      <c r="CP252" s="314"/>
      <c r="CQ252" s="319"/>
      <c r="CR252" s="310"/>
      <c r="CS252" s="314"/>
      <c r="CT252" s="319"/>
      <c r="CU252" s="310"/>
      <c r="CV252" s="314"/>
      <c r="CW252" s="319"/>
      <c r="CX252" s="310"/>
      <c r="CY252" s="314"/>
      <c r="CZ252" s="319"/>
      <c r="DA252" s="310"/>
      <c r="DB252" s="314"/>
      <c r="DC252" s="319"/>
      <c r="DD252" s="310"/>
      <c r="DE252" s="314"/>
      <c r="DF252" s="319"/>
      <c r="DG252" s="310"/>
      <c r="DH252" s="314"/>
      <c r="DI252" s="319"/>
      <c r="DJ252" s="319"/>
      <c r="DK252" s="319"/>
      <c r="DL252" s="319"/>
    </row>
    <row r="253" spans="1:116" hidden="1" outlineLevel="1">
      <c r="A253" s="30" t="str">
        <f>+A71</f>
        <v>1Q</v>
      </c>
      <c r="B253" s="30" t="str">
        <f>+B71</f>
        <v>Apr</v>
      </c>
      <c r="C253" s="30"/>
      <c r="D253" s="322">
        <v>3.33</v>
      </c>
      <c r="E253" s="308">
        <f>+(D253/D247-1)*100</f>
        <v>5.2465233881163087</v>
      </c>
      <c r="F253" s="322">
        <v>0.434</v>
      </c>
      <c r="G253" s="308">
        <f>+(F253/F247-1)*100</f>
        <v>4.3269230769230838</v>
      </c>
      <c r="H253" s="308"/>
      <c r="I253" s="308"/>
      <c r="J253" s="316">
        <f>+D253+F253</f>
        <v>3.7640000000000002</v>
      </c>
      <c r="K253" s="308">
        <f>+(J253/J247-1)*100</f>
        <v>5.1396648044692794</v>
      </c>
      <c r="L253" s="322">
        <v>2.177</v>
      </c>
      <c r="M253" s="308">
        <f>+(L253/L247-1)*100</f>
        <v>16.541755888650968</v>
      </c>
      <c r="N253" s="322">
        <v>4.4619999999999997</v>
      </c>
      <c r="O253" s="308">
        <f>+(N253/N247-1)*100</f>
        <v>-4.5357295678220115</v>
      </c>
      <c r="P253" s="322">
        <v>2.08</v>
      </c>
      <c r="Q253" s="308">
        <f>+(P253/P247-1)*100</f>
        <v>-2.5761124121779777</v>
      </c>
      <c r="R253" s="307"/>
      <c r="S253" s="308"/>
      <c r="T253" s="322">
        <v>3.1659999999999999</v>
      </c>
      <c r="U253" s="308">
        <f>+(T253/T247-1)*100</f>
        <v>-14.640064707468326</v>
      </c>
      <c r="V253" s="322">
        <v>3.5000000000000003E-2</v>
      </c>
      <c r="W253" s="308">
        <f>+(V253/V247-1)*100</f>
        <v>0</v>
      </c>
      <c r="X253" s="308"/>
      <c r="Y253" s="308"/>
      <c r="Z253" s="322"/>
      <c r="AA253" s="308"/>
      <c r="AB253" s="322">
        <v>4.891</v>
      </c>
      <c r="AC253" s="308">
        <f>+(AB253/AB247-1)*100</f>
        <v>-9.2747171211278072</v>
      </c>
      <c r="AD253" s="322">
        <v>3.4220000000000002</v>
      </c>
      <c r="AE253" s="308">
        <f>+(AD253/AD247-1)*100</f>
        <v>-8.3801874163319852</v>
      </c>
      <c r="AF253" s="322">
        <v>1.1060000000000001</v>
      </c>
      <c r="AG253" s="308">
        <f>+(AF253/AF247-1)*100</f>
        <v>72.542901716068656</v>
      </c>
      <c r="AH253" s="322">
        <v>1.014</v>
      </c>
      <c r="AI253" s="308">
        <f>+(AH253/AH247-1)*100</f>
        <v>3.1536113936927901</v>
      </c>
      <c r="AJ253" s="322"/>
      <c r="AK253" s="308"/>
      <c r="AL253" s="322"/>
      <c r="AM253" s="308"/>
      <c r="AN253" s="374"/>
      <c r="AO253" s="308"/>
      <c r="AP253" s="30"/>
      <c r="AQ253" s="453">
        <f>+J253+L253+N253+P253+R253+T253+V253+AB253+AD253+AF253+AH253+AJ253+AL253+AN253</f>
        <v>26.117000000000004</v>
      </c>
      <c r="AR253" s="308">
        <f>+(AQ253/AQ247-1)*100</f>
        <v>-6.7249999999999588</v>
      </c>
      <c r="AS253" s="308"/>
      <c r="AT253" s="30"/>
      <c r="AU253" s="30"/>
      <c r="AV253" s="30"/>
      <c r="AW253" s="322"/>
      <c r="AX253" s="308"/>
      <c r="AY253" s="308"/>
      <c r="AZ253" s="322"/>
      <c r="BA253" s="308"/>
      <c r="BB253" s="308"/>
      <c r="BC253" s="308"/>
      <c r="BD253" s="308"/>
      <c r="BE253" s="308"/>
      <c r="BF253" s="308"/>
      <c r="BG253" s="316"/>
      <c r="BH253" s="308"/>
      <c r="BI253" s="308"/>
      <c r="BJ253" s="308"/>
      <c r="BK253" s="322"/>
      <c r="BL253" s="308"/>
      <c r="BM253" s="308"/>
      <c r="BN253" s="308"/>
      <c r="BO253" s="322"/>
      <c r="BP253" s="308"/>
      <c r="BQ253" s="589"/>
      <c r="BR253" s="589"/>
      <c r="BS253" s="589"/>
      <c r="BT253" s="322"/>
      <c r="BU253" s="308"/>
      <c r="BV253" s="308"/>
      <c r="BW253" s="308"/>
      <c r="BX253" s="308"/>
      <c r="BY253" s="322"/>
      <c r="BZ253" s="308"/>
      <c r="CA253" s="308"/>
      <c r="CB253" s="308"/>
      <c r="CC253" s="308"/>
      <c r="CD253" s="307"/>
      <c r="CE253" s="308"/>
      <c r="CF253" s="308"/>
      <c r="CG253" s="308"/>
      <c r="CH253" s="308"/>
      <c r="CI253" s="322"/>
      <c r="CJ253" s="308"/>
      <c r="CK253" s="308"/>
      <c r="CL253" s="308"/>
      <c r="CM253" s="322"/>
      <c r="CN253" s="308"/>
      <c r="CO253" s="308"/>
      <c r="CP253" s="322"/>
      <c r="CQ253" s="308"/>
      <c r="CR253" s="308"/>
      <c r="CS253" s="322"/>
      <c r="CT253" s="308"/>
      <c r="CU253" s="308"/>
      <c r="CV253" s="322"/>
      <c r="CW253" s="308"/>
      <c r="CX253" s="308"/>
      <c r="CY253" s="322"/>
      <c r="CZ253" s="308"/>
      <c r="DA253" s="308"/>
      <c r="DB253" s="322"/>
      <c r="DC253" s="308"/>
      <c r="DD253" s="308"/>
      <c r="DE253" s="322"/>
      <c r="DF253" s="308"/>
      <c r="DG253" s="308"/>
      <c r="DH253" s="322"/>
      <c r="DI253" s="308"/>
      <c r="DJ253" s="308"/>
      <c r="DK253" s="308"/>
      <c r="DL253" s="308"/>
    </row>
    <row r="254" spans="1:116" hidden="1" outlineLevel="1">
      <c r="A254" s="30" t="str">
        <f>+A72</f>
        <v>2Q</v>
      </c>
      <c r="B254" s="30" t="str">
        <f>+B72</f>
        <v>Jul</v>
      </c>
      <c r="C254" s="30"/>
      <c r="D254" s="322">
        <v>3.375</v>
      </c>
      <c r="E254" s="308">
        <f>+(D254/D248-1)*100</f>
        <v>6.1654608367411212</v>
      </c>
      <c r="F254" s="322">
        <v>0.435</v>
      </c>
      <c r="G254" s="308">
        <f>+(F254/F248-1)*100</f>
        <v>4.5673076923076872</v>
      </c>
      <c r="H254" s="308"/>
      <c r="I254" s="308"/>
      <c r="J254" s="316">
        <f>+D254+F254</f>
        <v>3.81</v>
      </c>
      <c r="K254" s="308">
        <f>+(J254/J248-1)*100</f>
        <v>5.9805285118219809</v>
      </c>
      <c r="L254" s="322">
        <v>2.238</v>
      </c>
      <c r="M254" s="308">
        <f>+(L254/L248-1)*100</f>
        <v>14.534288638689862</v>
      </c>
      <c r="N254" s="322">
        <v>4.43</v>
      </c>
      <c r="O254" s="308">
        <f>+(N254/N248-1)*100</f>
        <v>-3.862847222222221</v>
      </c>
      <c r="P254" s="322">
        <v>2.0539999999999998</v>
      </c>
      <c r="Q254" s="308">
        <f>+(P254/P248-1)*100</f>
        <v>-3.5227806481916479</v>
      </c>
      <c r="R254" s="307"/>
      <c r="S254" s="308"/>
      <c r="T254" s="322">
        <v>3.0219999999999998</v>
      </c>
      <c r="U254" s="308">
        <f>+(T254/T248-1)*100</f>
        <v>-16.403872752420479</v>
      </c>
      <c r="V254" s="322">
        <v>3.5000000000000003E-2</v>
      </c>
      <c r="W254" s="308">
        <f>+(V254/V248-1)*100</f>
        <v>0</v>
      </c>
      <c r="X254" s="308"/>
      <c r="Y254" s="308"/>
      <c r="Z254" s="322"/>
      <c r="AA254" s="308"/>
      <c r="AB254" s="322">
        <v>4.8310000000000004</v>
      </c>
      <c r="AC254" s="308">
        <f>+(AB254/AB248-1)*100</f>
        <v>-8.6594819436566333</v>
      </c>
      <c r="AD254" s="322">
        <v>3.3980000000000001</v>
      </c>
      <c r="AE254" s="308">
        <f>+(AD254/AD248-1)*100</f>
        <v>-8.6313525141166849</v>
      </c>
      <c r="AF254" s="322">
        <v>1.196</v>
      </c>
      <c r="AG254" s="308">
        <f>+(AF254/AF248-1)*100</f>
        <v>47.472256473489495</v>
      </c>
      <c r="AH254" s="322">
        <v>1.054</v>
      </c>
      <c r="AI254" s="308">
        <f>+(AH254/AH248-1)*100</f>
        <v>7.660878447395314</v>
      </c>
      <c r="AJ254" s="322"/>
      <c r="AK254" s="308"/>
      <c r="AL254" s="322"/>
      <c r="AM254" s="308"/>
      <c r="AN254" s="374"/>
      <c r="AO254" s="308"/>
      <c r="AP254" s="30"/>
      <c r="AQ254" s="453">
        <f>+J254+L254+N254+P254+R254+T254+V254+AB254+AD254+AF254+AH254+AJ254+AL254+AN254</f>
        <v>26.068000000000001</v>
      </c>
      <c r="AR254" s="308">
        <f>+(AQ254/AQ248-1)*100</f>
        <v>-2.4912096955188145</v>
      </c>
      <c r="AS254" s="308"/>
      <c r="AT254" s="30"/>
      <c r="AU254" s="30"/>
      <c r="AV254" s="30"/>
      <c r="AW254" s="322"/>
      <c r="AX254" s="308"/>
      <c r="AY254" s="308"/>
      <c r="AZ254" s="322"/>
      <c r="BA254" s="308"/>
      <c r="BB254" s="308"/>
      <c r="BC254" s="308"/>
      <c r="BD254" s="308"/>
      <c r="BE254" s="308"/>
      <c r="BF254" s="308"/>
      <c r="BG254" s="316"/>
      <c r="BH254" s="308"/>
      <c r="BI254" s="308"/>
      <c r="BJ254" s="308"/>
      <c r="BK254" s="322"/>
      <c r="BL254" s="308"/>
      <c r="BM254" s="308"/>
      <c r="BN254" s="308"/>
      <c r="BO254" s="322"/>
      <c r="BP254" s="308"/>
      <c r="BQ254" s="589"/>
      <c r="BR254" s="589"/>
      <c r="BS254" s="589"/>
      <c r="BT254" s="322"/>
      <c r="BU254" s="308"/>
      <c r="BV254" s="308"/>
      <c r="BW254" s="308"/>
      <c r="BX254" s="308"/>
      <c r="BY254" s="322"/>
      <c r="BZ254" s="308"/>
      <c r="CA254" s="308"/>
      <c r="CB254" s="308"/>
      <c r="CC254" s="308"/>
      <c r="CD254" s="307"/>
      <c r="CE254" s="308"/>
      <c r="CF254" s="308"/>
      <c r="CG254" s="308"/>
      <c r="CH254" s="308"/>
      <c r="CI254" s="322"/>
      <c r="CJ254" s="308"/>
      <c r="CK254" s="308"/>
      <c r="CL254" s="308"/>
      <c r="CM254" s="322"/>
      <c r="CN254" s="308"/>
      <c r="CO254" s="308"/>
      <c r="CP254" s="322"/>
      <c r="CQ254" s="308"/>
      <c r="CR254" s="308"/>
      <c r="CS254" s="322"/>
      <c r="CT254" s="308"/>
      <c r="CU254" s="308"/>
      <c r="CV254" s="322"/>
      <c r="CW254" s="308"/>
      <c r="CX254" s="308"/>
      <c r="CY254" s="322"/>
      <c r="CZ254" s="308"/>
      <c r="DA254" s="308"/>
      <c r="DB254" s="322"/>
      <c r="DC254" s="308"/>
      <c r="DD254" s="308"/>
      <c r="DE254" s="322"/>
      <c r="DF254" s="308"/>
      <c r="DG254" s="308"/>
      <c r="DH254" s="322"/>
      <c r="DI254" s="308"/>
      <c r="DJ254" s="308"/>
      <c r="DK254" s="308"/>
      <c r="DL254" s="308"/>
    </row>
    <row r="255" spans="1:116" hidden="1" outlineLevel="1">
      <c r="A255" s="30" t="str">
        <f>+A73</f>
        <v>3Q</v>
      </c>
      <c r="B255" s="30" t="str">
        <f>+B73</f>
        <v>Oct</v>
      </c>
      <c r="C255" s="30"/>
      <c r="D255" s="322">
        <v>3.4710000000000001</v>
      </c>
      <c r="E255" s="308">
        <f>+(D255/D249-1)*100</f>
        <v>7.0965751311323766</v>
      </c>
      <c r="F255" s="322">
        <v>0.45400000000000001</v>
      </c>
      <c r="G255" s="308">
        <f>+(F255/F249-1)*100</f>
        <v>7.8384798099762509</v>
      </c>
      <c r="H255" s="308"/>
      <c r="I255" s="308"/>
      <c r="J255" s="316">
        <f>+D255+F255</f>
        <v>3.9250000000000003</v>
      </c>
      <c r="K255" s="308">
        <f>+(J255/J249-1)*100</f>
        <v>7.1818678317859153</v>
      </c>
      <c r="L255" s="322">
        <v>2.34</v>
      </c>
      <c r="M255" s="308">
        <f>+(L255/L249-1)*100</f>
        <v>13.924050632911399</v>
      </c>
      <c r="N255" s="322">
        <v>4.4400000000000004</v>
      </c>
      <c r="O255" s="308">
        <f>+(N255/N249-1)*100</f>
        <v>-2.094818081587646</v>
      </c>
      <c r="P255" s="322">
        <v>2.0219999999999998</v>
      </c>
      <c r="Q255" s="308">
        <f>+(P255/P249-1)*100</f>
        <v>-4.8918156161806277</v>
      </c>
      <c r="R255" s="307"/>
      <c r="S255" s="308"/>
      <c r="T255" s="322">
        <v>2.9889999999999999</v>
      </c>
      <c r="U255" s="308">
        <f>+(T255/T249-1)*100</f>
        <v>-16.43835616438356</v>
      </c>
      <c r="V255" s="322">
        <v>3.5000000000000003E-2</v>
      </c>
      <c r="W255" s="308">
        <f>+(V255/V249-1)*100</f>
        <v>0</v>
      </c>
      <c r="X255" s="308"/>
      <c r="Y255" s="308"/>
      <c r="Z255" s="322"/>
      <c r="AA255" s="308"/>
      <c r="AB255" s="322">
        <v>4.798</v>
      </c>
      <c r="AC255" s="308">
        <f>+(AB255/AB249-1)*100</f>
        <v>-7.6419634263715119</v>
      </c>
      <c r="AD255" s="322">
        <v>3.3769999999999998</v>
      </c>
      <c r="AE255" s="308">
        <f>+(AD255/AD249-1)*100</f>
        <v>-9.7058823529411864</v>
      </c>
      <c r="AF255" s="322">
        <v>0</v>
      </c>
      <c r="AG255" s="308">
        <f>+(AF255/AF249-1)*100</f>
        <v>-100</v>
      </c>
      <c r="AH255" s="322">
        <v>0</v>
      </c>
      <c r="AI255" s="308">
        <f>+(AH255/AH249-1)*100</f>
        <v>-100</v>
      </c>
      <c r="AJ255" s="322"/>
      <c r="AK255" s="308"/>
      <c r="AL255" s="322"/>
      <c r="AM255" s="308"/>
      <c r="AN255" s="374"/>
      <c r="AO255" s="308"/>
      <c r="AP255" s="30"/>
      <c r="AQ255" s="453">
        <f>+J255+L255+N255+P255+R255+T255+V255+AB255+AD255+AF255+AH255+AJ255+AL255+AN255</f>
        <v>23.925999999999998</v>
      </c>
      <c r="AR255" s="308">
        <f>+(AQ255/AQ249-1)*100</f>
        <v>-10.90340358978179</v>
      </c>
      <c r="AS255" s="308"/>
      <c r="AT255" s="30"/>
      <c r="AU255" s="30"/>
      <c r="AV255" s="30"/>
      <c r="AW255" s="322"/>
      <c r="AX255" s="308"/>
      <c r="AY255" s="308"/>
      <c r="AZ255" s="322"/>
      <c r="BA255" s="308"/>
      <c r="BB255" s="308"/>
      <c r="BC255" s="308"/>
      <c r="BD255" s="308"/>
      <c r="BE255" s="308"/>
      <c r="BF255" s="308"/>
      <c r="BG255" s="316"/>
      <c r="BH255" s="308"/>
      <c r="BI255" s="308"/>
      <c r="BJ255" s="308"/>
      <c r="BK255" s="322"/>
      <c r="BL255" s="308"/>
      <c r="BM255" s="308"/>
      <c r="BN255" s="308"/>
      <c r="BO255" s="322"/>
      <c r="BP255" s="308"/>
      <c r="BQ255" s="589"/>
      <c r="BR255" s="589"/>
      <c r="BS255" s="589"/>
      <c r="BT255" s="322"/>
      <c r="BU255" s="308"/>
      <c r="BV255" s="308"/>
      <c r="BW255" s="308"/>
      <c r="BX255" s="308"/>
      <c r="BY255" s="322"/>
      <c r="BZ255" s="308"/>
      <c r="CA255" s="308"/>
      <c r="CB255" s="308"/>
      <c r="CC255" s="308"/>
      <c r="CD255" s="307"/>
      <c r="CE255" s="308"/>
      <c r="CF255" s="308"/>
      <c r="CG255" s="308"/>
      <c r="CH255" s="308"/>
      <c r="CI255" s="322"/>
      <c r="CJ255" s="308"/>
      <c r="CK255" s="308"/>
      <c r="CL255" s="308"/>
      <c r="CM255" s="322"/>
      <c r="CN255" s="308"/>
      <c r="CO255" s="308"/>
      <c r="CP255" s="322"/>
      <c r="CQ255" s="308"/>
      <c r="CR255" s="308"/>
      <c r="CS255" s="322"/>
      <c r="CT255" s="308"/>
      <c r="CU255" s="308"/>
      <c r="CV255" s="322"/>
      <c r="CW255" s="308"/>
      <c r="CX255" s="308"/>
      <c r="CY255" s="322"/>
      <c r="CZ255" s="308"/>
      <c r="DA255" s="308"/>
      <c r="DB255" s="322"/>
      <c r="DC255" s="308"/>
      <c r="DD255" s="308"/>
      <c r="DE255" s="322"/>
      <c r="DF255" s="308"/>
      <c r="DG255" s="308"/>
      <c r="DH255" s="322"/>
      <c r="DI255" s="308"/>
      <c r="DJ255" s="308"/>
      <c r="DK255" s="308"/>
      <c r="DL255" s="308"/>
    </row>
    <row r="256" spans="1:116" hidden="1" outlineLevel="1">
      <c r="A256" s="30" t="str">
        <f>+A74</f>
        <v>4Q</v>
      </c>
      <c r="B256" s="30" t="str">
        <f>+B74</f>
        <v>Jan</v>
      </c>
      <c r="C256" s="30"/>
      <c r="D256" s="322">
        <v>3.4950000000000001</v>
      </c>
      <c r="E256" s="308">
        <f>+(D256/D250-1)*100</f>
        <v>7.0772058823529438</v>
      </c>
      <c r="F256" s="322">
        <v>0.48099999999999998</v>
      </c>
      <c r="G256" s="308">
        <f>+(F256/F250-1)*100</f>
        <v>9.8173515981735182</v>
      </c>
      <c r="H256" s="308"/>
      <c r="I256" s="308"/>
      <c r="J256" s="316">
        <f>+D256+F256</f>
        <v>3.976</v>
      </c>
      <c r="K256" s="308">
        <f>+(J256/J250-1)*100</f>
        <v>7.4014046461372329</v>
      </c>
      <c r="L256" s="322">
        <v>2.4900000000000002</v>
      </c>
      <c r="M256" s="308">
        <f>+(L256/L250-1)*100</f>
        <v>19.024856596558326</v>
      </c>
      <c r="N256" s="322">
        <v>4.4290000000000003</v>
      </c>
      <c r="O256" s="308">
        <f>+(N256/N250-1)*100</f>
        <v>-1.8177787630237141</v>
      </c>
      <c r="P256" s="322">
        <v>1.978</v>
      </c>
      <c r="Q256" s="308">
        <f>+(P256/P250-1)*100</f>
        <v>-6.6100094428706235</v>
      </c>
      <c r="R256" s="307"/>
      <c r="S256" s="308"/>
      <c r="T256" s="322">
        <v>2.7490000000000001</v>
      </c>
      <c r="U256" s="308">
        <f>+(T256/T250-1)*100</f>
        <v>-18.451498071788784</v>
      </c>
      <c r="V256" s="322">
        <v>3.5000000000000003E-2</v>
      </c>
      <c r="W256" s="308">
        <f>+(V256/V250-1)*100</f>
        <v>0</v>
      </c>
      <c r="X256" s="308"/>
      <c r="Y256" s="308"/>
      <c r="Z256" s="322"/>
      <c r="AA256" s="308"/>
      <c r="AB256" s="322">
        <v>4.5919999999999996</v>
      </c>
      <c r="AC256" s="308">
        <f>+(AB256/AB250-1)*100</f>
        <v>-8.1600000000000108</v>
      </c>
      <c r="AD256" s="322">
        <v>3.343</v>
      </c>
      <c r="AE256" s="308">
        <f>+(AD256/AD250-1)*100</f>
        <v>-4.9473983508672159</v>
      </c>
      <c r="AF256" s="322">
        <v>0</v>
      </c>
      <c r="AG256" s="308">
        <f>+(AF256/AF250-1)*100</f>
        <v>-100</v>
      </c>
      <c r="AH256" s="322">
        <v>0</v>
      </c>
      <c r="AI256" s="308">
        <f>+(AH256/AH250-1)*100</f>
        <v>-100</v>
      </c>
      <c r="AJ256" s="322"/>
      <c r="AK256" s="308"/>
      <c r="AL256" s="322"/>
      <c r="AM256" s="308"/>
      <c r="AN256" s="374"/>
      <c r="AO256" s="308"/>
      <c r="AP256" s="30"/>
      <c r="AQ256" s="453">
        <f>+J256+L256+N256+P256+R256+T256+V256+AB256+AD256+AF256+AH256+AJ256+AL256+AN256</f>
        <v>23.591999999999999</v>
      </c>
      <c r="AR256" s="308">
        <f>+(AQ256/AQ250-1)*100</f>
        <v>-10.351117191062475</v>
      </c>
      <c r="AS256" s="308"/>
      <c r="AT256" s="30"/>
      <c r="AU256" s="30"/>
      <c r="AV256" s="30"/>
      <c r="AW256" s="322"/>
      <c r="AX256" s="308"/>
      <c r="AY256" s="308"/>
      <c r="AZ256" s="322"/>
      <c r="BA256" s="308"/>
      <c r="BB256" s="308"/>
      <c r="BC256" s="308"/>
      <c r="BD256" s="308"/>
      <c r="BE256" s="308"/>
      <c r="BF256" s="308"/>
      <c r="BG256" s="316"/>
      <c r="BH256" s="308"/>
      <c r="BI256" s="308"/>
      <c r="BJ256" s="308"/>
      <c r="BK256" s="322"/>
      <c r="BL256" s="308"/>
      <c r="BM256" s="308"/>
      <c r="BN256" s="308"/>
      <c r="BO256" s="322"/>
      <c r="BP256" s="308"/>
      <c r="BQ256" s="589"/>
      <c r="BR256" s="589"/>
      <c r="BS256" s="589"/>
      <c r="BT256" s="322"/>
      <c r="BU256" s="308"/>
      <c r="BV256" s="308"/>
      <c r="BW256" s="308"/>
      <c r="BX256" s="308"/>
      <c r="BY256" s="322"/>
      <c r="BZ256" s="308"/>
      <c r="CA256" s="308"/>
      <c r="CB256" s="308"/>
      <c r="CC256" s="308"/>
      <c r="CD256" s="307"/>
      <c r="CE256" s="308"/>
      <c r="CF256" s="308"/>
      <c r="CG256" s="308"/>
      <c r="CH256" s="308"/>
      <c r="CI256" s="322"/>
      <c r="CJ256" s="308"/>
      <c r="CK256" s="308"/>
      <c r="CL256" s="308"/>
      <c r="CM256" s="322"/>
      <c r="CN256" s="308"/>
      <c r="CO256" s="308"/>
      <c r="CP256" s="322"/>
      <c r="CQ256" s="308"/>
      <c r="CR256" s="308"/>
      <c r="CS256" s="322"/>
      <c r="CT256" s="308"/>
      <c r="CU256" s="308"/>
      <c r="CV256" s="322"/>
      <c r="CW256" s="308"/>
      <c r="CX256" s="308"/>
      <c r="CY256" s="322"/>
      <c r="CZ256" s="308"/>
      <c r="DA256" s="308"/>
      <c r="DB256" s="322"/>
      <c r="DC256" s="308"/>
      <c r="DD256" s="308"/>
      <c r="DE256" s="322"/>
      <c r="DF256" s="308"/>
      <c r="DG256" s="308"/>
      <c r="DH256" s="322"/>
      <c r="DI256" s="308"/>
      <c r="DJ256" s="308"/>
      <c r="DK256" s="308"/>
      <c r="DL256" s="308"/>
    </row>
    <row r="257" spans="1:116" hidden="1" outlineLevel="1">
      <c r="A257" s="30"/>
      <c r="B257" s="30"/>
      <c r="C257" s="30"/>
      <c r="D257" s="314"/>
      <c r="E257" s="30"/>
      <c r="F257" s="314"/>
      <c r="G257" s="319"/>
      <c r="H257" s="319"/>
      <c r="I257" s="319"/>
      <c r="J257" s="316"/>
      <c r="K257" s="319"/>
      <c r="L257" s="314"/>
      <c r="M257" s="30"/>
      <c r="N257" s="314"/>
      <c r="O257" s="30"/>
      <c r="P257" s="314"/>
      <c r="Q257" s="30"/>
      <c r="R257" s="30"/>
      <c r="S257" s="30"/>
      <c r="T257" s="314"/>
      <c r="U257" s="30"/>
      <c r="V257" s="314"/>
      <c r="W257" s="378"/>
      <c r="X257" s="378"/>
      <c r="Y257" s="378"/>
      <c r="Z257" s="314"/>
      <c r="AA257" s="378"/>
      <c r="AB257" s="314"/>
      <c r="AC257" s="30"/>
      <c r="AD257" s="314"/>
      <c r="AE257" s="30"/>
      <c r="AF257" s="30"/>
      <c r="AG257" s="30"/>
      <c r="AH257" s="30"/>
      <c r="AI257" s="30"/>
      <c r="AJ257" s="30"/>
      <c r="AK257" s="30"/>
      <c r="AL257" s="30"/>
      <c r="AM257" s="30"/>
      <c r="AN257" s="30"/>
      <c r="AO257" s="30"/>
      <c r="AP257" s="30"/>
      <c r="AQ257" s="453"/>
      <c r="AR257" s="30"/>
      <c r="AS257" s="30"/>
      <c r="AT257" s="30"/>
      <c r="AU257" s="30"/>
      <c r="AV257" s="30"/>
      <c r="AW257" s="314"/>
      <c r="AX257" s="30"/>
      <c r="AY257" s="30"/>
      <c r="AZ257" s="314"/>
      <c r="BA257" s="319"/>
      <c r="BB257" s="30"/>
      <c r="BC257" s="319"/>
      <c r="BD257" s="319"/>
      <c r="BE257" s="319"/>
      <c r="BF257" s="30"/>
      <c r="BG257" s="316"/>
      <c r="BH257" s="319"/>
      <c r="BI257" s="319"/>
      <c r="BJ257" s="30"/>
      <c r="BK257" s="314"/>
      <c r="BL257" s="319"/>
      <c r="BM257" s="319"/>
      <c r="BN257" s="30"/>
      <c r="BO257" s="314"/>
      <c r="BP257" s="319"/>
      <c r="BS257" s="253"/>
      <c r="BT257" s="314"/>
      <c r="BU257" s="319"/>
      <c r="BV257" s="319"/>
      <c r="BW257" s="319"/>
      <c r="BX257" s="30"/>
      <c r="BY257" s="314"/>
      <c r="BZ257" s="319"/>
      <c r="CA257" s="319"/>
      <c r="CB257" s="319"/>
      <c r="CC257" s="30"/>
      <c r="CD257" s="30"/>
      <c r="CE257" s="319"/>
      <c r="CF257" s="319"/>
      <c r="CG257" s="319"/>
      <c r="CH257" s="30"/>
      <c r="CI257" s="314"/>
      <c r="CJ257" s="319"/>
      <c r="CK257" s="319"/>
      <c r="CL257" s="30"/>
      <c r="CM257" s="314"/>
      <c r="CN257" s="319"/>
      <c r="CO257" s="30"/>
      <c r="CP257" s="314"/>
      <c r="CQ257" s="319"/>
      <c r="CR257" s="30"/>
      <c r="CS257" s="314"/>
      <c r="CT257" s="319"/>
      <c r="CU257" s="30"/>
      <c r="CV257" s="314"/>
      <c r="CW257" s="319"/>
      <c r="CX257" s="30"/>
      <c r="CY257" s="314"/>
      <c r="CZ257" s="319"/>
      <c r="DA257" s="30"/>
      <c r="DB257" s="314"/>
      <c r="DC257" s="319"/>
      <c r="DD257" s="30"/>
      <c r="DE257" s="314"/>
      <c r="DF257" s="319"/>
      <c r="DG257" s="30"/>
      <c r="DH257" s="314"/>
      <c r="DI257" s="319"/>
      <c r="DJ257" s="319"/>
      <c r="DK257" s="319"/>
      <c r="DL257" s="319"/>
    </row>
    <row r="258" spans="1:116" hidden="1" outlineLevel="1">
      <c r="A258" s="30"/>
      <c r="B258" s="324">
        <f>+B76</f>
        <v>2000</v>
      </c>
      <c r="C258" s="30"/>
      <c r="D258" s="314"/>
      <c r="E258" s="310"/>
      <c r="F258" s="314"/>
      <c r="G258" s="319"/>
      <c r="H258" s="319"/>
      <c r="I258" s="319"/>
      <c r="J258" s="316"/>
      <c r="K258" s="319"/>
      <c r="L258" s="314"/>
      <c r="M258" s="310"/>
      <c r="N258" s="314"/>
      <c r="O258" s="310"/>
      <c r="P258" s="314"/>
      <c r="Q258" s="30"/>
      <c r="R258" s="30"/>
      <c r="S258" s="310"/>
      <c r="T258" s="314"/>
      <c r="U258" s="310"/>
      <c r="V258" s="314"/>
      <c r="W258" s="319"/>
      <c r="X258" s="319"/>
      <c r="Y258" s="319"/>
      <c r="Z258" s="314"/>
      <c r="AA258" s="319"/>
      <c r="AB258" s="314"/>
      <c r="AC258" s="310"/>
      <c r="AD258" s="314"/>
      <c r="AE258" s="310"/>
      <c r="AF258" s="30"/>
      <c r="AG258" s="310"/>
      <c r="AH258" s="30"/>
      <c r="AI258" s="310"/>
      <c r="AJ258" s="30"/>
      <c r="AK258" s="310"/>
      <c r="AL258" s="30"/>
      <c r="AM258" s="310"/>
      <c r="AN258" s="30"/>
      <c r="AO258" s="310"/>
      <c r="AP258" s="30"/>
      <c r="AQ258" s="453"/>
      <c r="AR258" s="310"/>
      <c r="AS258" s="310"/>
      <c r="AT258" s="30"/>
      <c r="AU258" s="30"/>
      <c r="AV258" s="30"/>
      <c r="AW258" s="314"/>
      <c r="AX258" s="310"/>
      <c r="AY258" s="310"/>
      <c r="AZ258" s="314"/>
      <c r="BA258" s="319"/>
      <c r="BB258" s="310"/>
      <c r="BC258" s="319"/>
      <c r="BD258" s="319"/>
      <c r="BE258" s="319"/>
      <c r="BF258" s="310"/>
      <c r="BG258" s="316"/>
      <c r="BH258" s="319"/>
      <c r="BI258" s="319"/>
      <c r="BJ258" s="310"/>
      <c r="BK258" s="314"/>
      <c r="BL258" s="319"/>
      <c r="BM258" s="319"/>
      <c r="BN258" s="310"/>
      <c r="BO258" s="314"/>
      <c r="BP258" s="319"/>
      <c r="BS258" s="1177"/>
      <c r="BT258" s="314"/>
      <c r="BU258" s="319"/>
      <c r="BV258" s="319"/>
      <c r="BW258" s="319"/>
      <c r="BX258" s="310"/>
      <c r="BY258" s="314"/>
      <c r="BZ258" s="319"/>
      <c r="CA258" s="319"/>
      <c r="CB258" s="319"/>
      <c r="CC258" s="310"/>
      <c r="CD258" s="30"/>
      <c r="CE258" s="319"/>
      <c r="CF258" s="319"/>
      <c r="CG258" s="319"/>
      <c r="CH258" s="310"/>
      <c r="CI258" s="314"/>
      <c r="CJ258" s="319"/>
      <c r="CK258" s="319"/>
      <c r="CL258" s="310"/>
      <c r="CM258" s="314"/>
      <c r="CN258" s="319"/>
      <c r="CO258" s="310"/>
      <c r="CP258" s="314"/>
      <c r="CQ258" s="319"/>
      <c r="CR258" s="310"/>
      <c r="CS258" s="314"/>
      <c r="CT258" s="319"/>
      <c r="CU258" s="310"/>
      <c r="CV258" s="314"/>
      <c r="CW258" s="319"/>
      <c r="CX258" s="310"/>
      <c r="CY258" s="314"/>
      <c r="CZ258" s="319"/>
      <c r="DA258" s="310"/>
      <c r="DB258" s="314"/>
      <c r="DC258" s="319"/>
      <c r="DD258" s="310"/>
      <c r="DE258" s="314"/>
      <c r="DF258" s="319"/>
      <c r="DG258" s="310"/>
      <c r="DH258" s="314"/>
      <c r="DI258" s="319"/>
      <c r="DJ258" s="319"/>
      <c r="DK258" s="319"/>
      <c r="DL258" s="319"/>
    </row>
    <row r="259" spans="1:116" hidden="1" outlineLevel="1">
      <c r="A259" s="30" t="str">
        <f>+A77</f>
        <v>1Q</v>
      </c>
      <c r="B259" s="30" t="str">
        <f>+B77</f>
        <v>Apr</v>
      </c>
      <c r="C259" s="30"/>
      <c r="D259" s="322">
        <v>3.492</v>
      </c>
      <c r="E259" s="308">
        <f>+(D259/D253-1)*100</f>
        <v>4.8648648648648596</v>
      </c>
      <c r="F259" s="322">
        <v>0.47799999999999998</v>
      </c>
      <c r="G259" s="308">
        <f>+(F259/F253-1)*100</f>
        <v>10.138248847926267</v>
      </c>
      <c r="H259" s="308"/>
      <c r="I259" s="308"/>
      <c r="J259" s="316">
        <f>+D259+F259</f>
        <v>3.9699999999999998</v>
      </c>
      <c r="K259" s="308">
        <f>+(J259/J253-1)*100</f>
        <v>5.4729011689691687</v>
      </c>
      <c r="L259" s="322">
        <v>2.585</v>
      </c>
      <c r="M259" s="308">
        <f>+(L259/L253-1)*100</f>
        <v>18.74138723013321</v>
      </c>
      <c r="N259" s="322">
        <v>4.3449999999999998</v>
      </c>
      <c r="O259" s="308">
        <f>+(N259/N253-1)*100</f>
        <v>-2.6221425369789331</v>
      </c>
      <c r="P259" s="322">
        <v>1.956</v>
      </c>
      <c r="Q259" s="308">
        <f>+(P259/P253-1)*100</f>
        <v>-5.9615384615384626</v>
      </c>
      <c r="R259" s="307"/>
      <c r="S259" s="308"/>
      <c r="T259" s="322">
        <v>2.681</v>
      </c>
      <c r="U259" s="308">
        <f>+(T259/T253-1)*100</f>
        <v>-15.319014529374597</v>
      </c>
      <c r="V259" s="322">
        <v>3.5000000000000003E-2</v>
      </c>
      <c r="W259" s="308">
        <f>+(V259/V253-1)*100</f>
        <v>0</v>
      </c>
      <c r="X259" s="308"/>
      <c r="Y259" s="308"/>
      <c r="Z259" s="322"/>
      <c r="AA259" s="308"/>
      <c r="AB259" s="322">
        <v>4.5279999999999996</v>
      </c>
      <c r="AC259" s="308">
        <f>+(AB259/AB253-1)*100</f>
        <v>-7.421795133919451</v>
      </c>
      <c r="AD259" s="322">
        <v>3.2229999999999999</v>
      </c>
      <c r="AE259" s="308">
        <f>+(AD259/AD253-1)*100</f>
        <v>-5.8153126826417374</v>
      </c>
      <c r="AF259" s="307"/>
      <c r="AG259" s="308"/>
      <c r="AH259" s="307"/>
      <c r="AI259" s="308"/>
      <c r="AJ259" s="307"/>
      <c r="AK259" s="308"/>
      <c r="AL259" s="307"/>
      <c r="AM259" s="308"/>
      <c r="AN259" s="307"/>
      <c r="AO259" s="308"/>
      <c r="AP259" s="30"/>
      <c r="AQ259" s="453">
        <f>+J259+L259+N259+P259+R259+T259+V259+AB259+AD259+AF259+AH259+AJ259+AL259+AN259</f>
        <v>23.322999999999997</v>
      </c>
      <c r="AR259" s="308">
        <f>+(AQ259/AQ253-1)*100</f>
        <v>-10.698012788605149</v>
      </c>
      <c r="AS259" s="308"/>
      <c r="AT259" s="30"/>
      <c r="AU259" s="30"/>
      <c r="AV259" s="30"/>
      <c r="AW259" s="322"/>
      <c r="AX259" s="308"/>
      <c r="AY259" s="308"/>
      <c r="AZ259" s="322"/>
      <c r="BA259" s="308"/>
      <c r="BB259" s="308"/>
      <c r="BC259" s="308"/>
      <c r="BD259" s="308"/>
      <c r="BE259" s="308"/>
      <c r="BF259" s="308"/>
      <c r="BG259" s="316"/>
      <c r="BH259" s="308"/>
      <c r="BI259" s="308"/>
      <c r="BJ259" s="308"/>
      <c r="BK259" s="322"/>
      <c r="BL259" s="308"/>
      <c r="BM259" s="308"/>
      <c r="BN259" s="308"/>
      <c r="BO259" s="322"/>
      <c r="BP259" s="308"/>
      <c r="BQ259" s="589"/>
      <c r="BR259" s="589"/>
      <c r="BS259" s="589"/>
      <c r="BT259" s="322"/>
      <c r="BU259" s="308"/>
      <c r="BV259" s="308"/>
      <c r="BW259" s="308"/>
      <c r="BX259" s="308"/>
      <c r="BY259" s="322"/>
      <c r="BZ259" s="308"/>
      <c r="CA259" s="308"/>
      <c r="CB259" s="308"/>
      <c r="CC259" s="308"/>
      <c r="CD259" s="307"/>
      <c r="CE259" s="308"/>
      <c r="CF259" s="308"/>
      <c r="CG259" s="308"/>
      <c r="CH259" s="308"/>
      <c r="CI259" s="322"/>
      <c r="CJ259" s="308"/>
      <c r="CK259" s="308"/>
      <c r="CL259" s="308"/>
      <c r="CM259" s="322"/>
      <c r="CN259" s="308"/>
      <c r="CO259" s="308"/>
      <c r="CP259" s="322"/>
      <c r="CQ259" s="308"/>
      <c r="CR259" s="308"/>
      <c r="CS259" s="322"/>
      <c r="CT259" s="308"/>
      <c r="CU259" s="308"/>
      <c r="CV259" s="322"/>
      <c r="CW259" s="308"/>
      <c r="CX259" s="308"/>
      <c r="CY259" s="322"/>
      <c r="CZ259" s="308"/>
      <c r="DA259" s="308"/>
      <c r="DB259" s="322"/>
      <c r="DC259" s="308"/>
      <c r="DD259" s="308"/>
      <c r="DE259" s="322"/>
      <c r="DF259" s="308"/>
      <c r="DG259" s="308"/>
      <c r="DH259" s="322"/>
      <c r="DI259" s="308"/>
      <c r="DJ259" s="308"/>
      <c r="DK259" s="308"/>
      <c r="DL259" s="308"/>
    </row>
    <row r="260" spans="1:116" hidden="1" outlineLevel="1">
      <c r="A260" s="30" t="str">
        <f>+A78</f>
        <v>2Q</v>
      </c>
      <c r="B260" s="310" t="str">
        <f>+B78</f>
        <v>Jul</v>
      </c>
      <c r="C260" s="30"/>
      <c r="D260" s="322">
        <v>3.5259999999999998</v>
      </c>
      <c r="E260" s="308">
        <f>+(D260/D254-1)*100</f>
        <v>4.4740740740740748</v>
      </c>
      <c r="F260" s="322">
        <v>0.47299999999999998</v>
      </c>
      <c r="G260" s="308">
        <f>+(F260/F254-1)*100</f>
        <v>8.7356321839080486</v>
      </c>
      <c r="H260" s="308"/>
      <c r="I260" s="308"/>
      <c r="J260" s="316">
        <f>+D260+F260</f>
        <v>3.9989999999999997</v>
      </c>
      <c r="K260" s="308">
        <f>+(J260/J254-1)*100</f>
        <v>4.9606299212598293</v>
      </c>
      <c r="L260" s="322">
        <v>2.72</v>
      </c>
      <c r="M260" s="308">
        <f>+(L260/L254-1)*100</f>
        <v>21.537086684539773</v>
      </c>
      <c r="N260" s="322">
        <v>4.3479999999999999</v>
      </c>
      <c r="O260" s="308">
        <f>+(N260/N254-1)*100</f>
        <v>-1.8510158013543943</v>
      </c>
      <c r="P260" s="322">
        <v>1.9410000000000001</v>
      </c>
      <c r="Q260" s="308">
        <f>+(P260/P254-1)*100</f>
        <v>-5.5014605647516923</v>
      </c>
      <c r="R260" s="307"/>
      <c r="S260" s="308"/>
      <c r="T260" s="322">
        <v>2.569</v>
      </c>
      <c r="U260" s="308">
        <f>+(T260/T254-1)*100</f>
        <v>-14.990072799470544</v>
      </c>
      <c r="V260" s="322">
        <v>3.5000000000000003E-2</v>
      </c>
      <c r="W260" s="308">
        <f>+(V260/V254-1)*100</f>
        <v>0</v>
      </c>
      <c r="X260" s="308"/>
      <c r="Y260" s="308"/>
      <c r="Z260" s="322"/>
      <c r="AA260" s="308"/>
      <c r="AB260" s="322">
        <v>4.4459999999999997</v>
      </c>
      <c r="AC260" s="308">
        <f>+(AB260/AB254-1)*100</f>
        <v>-7.9693645208031576</v>
      </c>
      <c r="AD260" s="322">
        <v>3.2050000000000001</v>
      </c>
      <c r="AE260" s="308">
        <f>+(AD260/AD254-1)*100</f>
        <v>-5.6798116539140686</v>
      </c>
      <c r="AF260" s="307"/>
      <c r="AG260" s="308"/>
      <c r="AH260" s="307"/>
      <c r="AI260" s="308"/>
      <c r="AJ260" s="307"/>
      <c r="AK260" s="308"/>
      <c r="AL260" s="307"/>
      <c r="AM260" s="308"/>
      <c r="AN260" s="307"/>
      <c r="AO260" s="308"/>
      <c r="AP260" s="30"/>
      <c r="AQ260" s="453">
        <f>+J260+L260+N260+P260+R260+T260+V260+AB260+AD260+AF260+AH260+AJ260+AL260+AN260</f>
        <v>23.262999999999998</v>
      </c>
      <c r="AR260" s="308">
        <f>+(AQ260/AQ254-1)*100</f>
        <v>-10.760319165260102</v>
      </c>
      <c r="AS260" s="308"/>
      <c r="AT260" s="30"/>
      <c r="AU260" s="30"/>
      <c r="AV260" s="30"/>
      <c r="AW260" s="322"/>
      <c r="AX260" s="308"/>
      <c r="AY260" s="308"/>
      <c r="AZ260" s="322"/>
      <c r="BA260" s="308"/>
      <c r="BB260" s="308"/>
      <c r="BC260" s="308"/>
      <c r="BD260" s="308"/>
      <c r="BE260" s="308"/>
      <c r="BF260" s="308"/>
      <c r="BG260" s="316"/>
      <c r="BH260" s="308"/>
      <c r="BI260" s="308"/>
      <c r="BJ260" s="308"/>
      <c r="BK260" s="322"/>
      <c r="BL260" s="308"/>
      <c r="BM260" s="308"/>
      <c r="BN260" s="308"/>
      <c r="BO260" s="322"/>
      <c r="BP260" s="308"/>
      <c r="BQ260" s="589"/>
      <c r="BR260" s="589"/>
      <c r="BS260" s="589"/>
      <c r="BT260" s="322"/>
      <c r="BU260" s="308"/>
      <c r="BV260" s="308"/>
      <c r="BW260" s="308"/>
      <c r="BX260" s="308"/>
      <c r="BY260" s="322"/>
      <c r="BZ260" s="308"/>
      <c r="CA260" s="308"/>
      <c r="CB260" s="308"/>
      <c r="CC260" s="308"/>
      <c r="CD260" s="307"/>
      <c r="CE260" s="308"/>
      <c r="CF260" s="308"/>
      <c r="CG260" s="308"/>
      <c r="CH260" s="308"/>
      <c r="CI260" s="322"/>
      <c r="CJ260" s="308"/>
      <c r="CK260" s="308"/>
      <c r="CL260" s="308"/>
      <c r="CM260" s="322"/>
      <c r="CN260" s="308"/>
      <c r="CO260" s="308"/>
      <c r="CP260" s="322"/>
      <c r="CQ260" s="308"/>
      <c r="CR260" s="308"/>
      <c r="CS260" s="322"/>
      <c r="CT260" s="308"/>
      <c r="CU260" s="308"/>
      <c r="CV260" s="322"/>
      <c r="CW260" s="308"/>
      <c r="CX260" s="308"/>
      <c r="CY260" s="322"/>
      <c r="CZ260" s="308"/>
      <c r="DA260" s="308"/>
      <c r="DB260" s="322"/>
      <c r="DC260" s="308"/>
      <c r="DD260" s="308"/>
      <c r="DE260" s="322"/>
      <c r="DF260" s="308"/>
      <c r="DG260" s="308"/>
      <c r="DH260" s="322"/>
      <c r="DI260" s="308"/>
      <c r="DJ260" s="308"/>
      <c r="DK260" s="308"/>
      <c r="DL260" s="308"/>
    </row>
    <row r="261" spans="1:116" hidden="1" outlineLevel="1">
      <c r="A261" s="30" t="str">
        <f>+A79</f>
        <v>3Q</v>
      </c>
      <c r="B261" s="30" t="str">
        <f>+B79</f>
        <v>Oct</v>
      </c>
      <c r="C261" s="30"/>
      <c r="D261" s="322">
        <v>3.61</v>
      </c>
      <c r="E261" s="308">
        <f>+(D261/D255-1)*100</f>
        <v>4.0046096225871519</v>
      </c>
      <c r="F261" s="322">
        <v>0.48499999999999999</v>
      </c>
      <c r="G261" s="308">
        <f>+(F261/F255-1)*100</f>
        <v>6.8281938325991165</v>
      </c>
      <c r="H261" s="308"/>
      <c r="I261" s="308"/>
      <c r="J261" s="316">
        <f>+D261+F261</f>
        <v>4.0949999999999998</v>
      </c>
      <c r="K261" s="308">
        <f>+(J261/J255-1)*100</f>
        <v>4.3312101910827794</v>
      </c>
      <c r="L261" s="322">
        <v>2.9780000000000002</v>
      </c>
      <c r="M261" s="308">
        <f>+(L261/L255-1)*100</f>
        <v>27.264957264957278</v>
      </c>
      <c r="N261" s="322">
        <v>4.3419999999999996</v>
      </c>
      <c r="O261" s="308">
        <f>+(N261/N255-1)*100</f>
        <v>-2.2072072072072291</v>
      </c>
      <c r="P261" s="322">
        <v>1.917</v>
      </c>
      <c r="Q261" s="308">
        <f>+(P261/P255-1)*100</f>
        <v>-5.1928783382789163</v>
      </c>
      <c r="R261" s="307"/>
      <c r="S261" s="308"/>
      <c r="T261" s="322">
        <v>2.5470000000000002</v>
      </c>
      <c r="U261" s="308">
        <f>+(T261/T255-1)*100</f>
        <v>-14.787554366008692</v>
      </c>
      <c r="V261" s="322">
        <v>3.5000000000000003E-2</v>
      </c>
      <c r="W261" s="308">
        <f>+(V261/V255-1)*100</f>
        <v>0</v>
      </c>
      <c r="X261" s="308"/>
      <c r="Y261" s="308"/>
      <c r="Z261" s="322"/>
      <c r="AA261" s="308"/>
      <c r="AB261" s="322">
        <v>4.3490000000000002</v>
      </c>
      <c r="AC261" s="308">
        <f>+(AB261/AB255-1)*100</f>
        <v>-9.3580658607753229</v>
      </c>
      <c r="AD261" s="322">
        <v>3.2160000000000002</v>
      </c>
      <c r="AE261" s="308">
        <f>+(AD261/AD255-1)*100</f>
        <v>-4.7675451584246247</v>
      </c>
      <c r="AF261" s="307"/>
      <c r="AG261" s="308"/>
      <c r="AH261" s="307"/>
      <c r="AI261" s="308"/>
      <c r="AJ261" s="307"/>
      <c r="AK261" s="308"/>
      <c r="AL261" s="307"/>
      <c r="AM261" s="308"/>
      <c r="AN261" s="307"/>
      <c r="AO261" s="308"/>
      <c r="AP261" s="30"/>
      <c r="AQ261" s="453">
        <f>+J261+L261+N261+P261+R261+T261+V261+AB261+AD261+AF261+AH261+AJ261+AL261+AN261</f>
        <v>23.478999999999999</v>
      </c>
      <c r="AR261" s="308">
        <f>+(AQ261/AQ255-1)*100</f>
        <v>-1.8682604697818239</v>
      </c>
      <c r="AS261" s="308"/>
      <c r="AT261" s="30"/>
      <c r="AU261" s="30"/>
      <c r="AV261" s="30"/>
      <c r="AW261" s="322"/>
      <c r="AX261" s="308"/>
      <c r="AY261" s="308"/>
      <c r="AZ261" s="322"/>
      <c r="BA261" s="308"/>
      <c r="BB261" s="308"/>
      <c r="BC261" s="308"/>
      <c r="BD261" s="308"/>
      <c r="BE261" s="308"/>
      <c r="BF261" s="308"/>
      <c r="BG261" s="316"/>
      <c r="BH261" s="308"/>
      <c r="BI261" s="308"/>
      <c r="BJ261" s="308"/>
      <c r="BK261" s="322"/>
      <c r="BL261" s="308"/>
      <c r="BM261" s="308"/>
      <c r="BN261" s="308"/>
      <c r="BO261" s="322"/>
      <c r="BP261" s="308"/>
      <c r="BQ261" s="589"/>
      <c r="BR261" s="589"/>
      <c r="BS261" s="589"/>
      <c r="BT261" s="322"/>
      <c r="BU261" s="308"/>
      <c r="BV261" s="308"/>
      <c r="BW261" s="308"/>
      <c r="BX261" s="308"/>
      <c r="BY261" s="322"/>
      <c r="BZ261" s="308"/>
      <c r="CA261" s="308"/>
      <c r="CB261" s="308"/>
      <c r="CC261" s="308"/>
      <c r="CD261" s="307"/>
      <c r="CE261" s="308"/>
      <c r="CF261" s="308"/>
      <c r="CG261" s="308"/>
      <c r="CH261" s="308"/>
      <c r="CI261" s="322"/>
      <c r="CJ261" s="308"/>
      <c r="CK261" s="308"/>
      <c r="CL261" s="308"/>
      <c r="CM261" s="322"/>
      <c r="CN261" s="308"/>
      <c r="CO261" s="308"/>
      <c r="CP261" s="322"/>
      <c r="CQ261" s="308"/>
      <c r="CR261" s="308"/>
      <c r="CS261" s="322"/>
      <c r="CT261" s="308"/>
      <c r="CU261" s="308"/>
      <c r="CV261" s="322"/>
      <c r="CW261" s="308"/>
      <c r="CX261" s="308"/>
      <c r="CY261" s="322"/>
      <c r="CZ261" s="308"/>
      <c r="DA261" s="308"/>
      <c r="DB261" s="322"/>
      <c r="DC261" s="308"/>
      <c r="DD261" s="308"/>
      <c r="DE261" s="322"/>
      <c r="DF261" s="308"/>
      <c r="DG261" s="308"/>
      <c r="DH261" s="322"/>
      <c r="DI261" s="308"/>
      <c r="DJ261" s="308"/>
      <c r="DK261" s="308"/>
      <c r="DL261" s="308"/>
    </row>
    <row r="262" spans="1:116" hidden="1" outlineLevel="1">
      <c r="A262" s="30" t="str">
        <f>+A80</f>
        <v>4Q</v>
      </c>
      <c r="B262" s="30" t="str">
        <f>+B80</f>
        <v>Jan</v>
      </c>
      <c r="C262" s="30"/>
      <c r="D262" s="322">
        <v>3.6739999999999999</v>
      </c>
      <c r="E262" s="308">
        <f>+(D262/D256-1)*100</f>
        <v>5.1216022889842616</v>
      </c>
      <c r="F262" s="322">
        <v>0.53300000000000003</v>
      </c>
      <c r="G262" s="308">
        <f>+(F262/F256-1)*100</f>
        <v>10.810810810810811</v>
      </c>
      <c r="H262" s="308"/>
      <c r="I262" s="308"/>
      <c r="J262" s="316">
        <f>+D262+F262</f>
        <v>4.2069999999999999</v>
      </c>
      <c r="K262" s="308">
        <f>+(J262/J256-1)*100</f>
        <v>5.8098591549295753</v>
      </c>
      <c r="L262" s="322">
        <v>3.0390000000000001</v>
      </c>
      <c r="M262" s="308">
        <f>+(L262/L256-1)*100</f>
        <v>22.048192771084342</v>
      </c>
      <c r="N262" s="322">
        <v>4.2880000000000003</v>
      </c>
      <c r="O262" s="308">
        <f>+(N262/N256-1)*100</f>
        <v>-3.1835628810115146</v>
      </c>
      <c r="P262" s="322">
        <v>1.885</v>
      </c>
      <c r="Q262" s="308">
        <f>+(P262/P256-1)*100</f>
        <v>-4.7017189079878623</v>
      </c>
      <c r="R262" s="307"/>
      <c r="S262" s="308"/>
      <c r="T262" s="322">
        <v>2.4449999999999998</v>
      </c>
      <c r="U262" s="308">
        <f>+(T262/T256-1)*100</f>
        <v>-11.058566751546028</v>
      </c>
      <c r="V262" s="322">
        <v>3.5000000000000003E-2</v>
      </c>
      <c r="W262" s="308">
        <f>+(V262/V256-1)*100</f>
        <v>0</v>
      </c>
      <c r="X262" s="308"/>
      <c r="Y262" s="308"/>
      <c r="Z262" s="322"/>
      <c r="AA262" s="308"/>
      <c r="AB262" s="322">
        <v>4.1630000000000003</v>
      </c>
      <c r="AC262" s="308">
        <f>+(AB262/AB256-1)*100</f>
        <v>-9.3423344947735067</v>
      </c>
      <c r="AD262" s="322">
        <v>3.1619999999999999</v>
      </c>
      <c r="AE262" s="308">
        <f>+(AD262/AD256-1)*100</f>
        <v>-5.4142985342506726</v>
      </c>
      <c r="AF262" s="307"/>
      <c r="AG262" s="308"/>
      <c r="AH262" s="307"/>
      <c r="AI262" s="308"/>
      <c r="AJ262" s="307"/>
      <c r="AK262" s="308"/>
      <c r="AL262" s="307"/>
      <c r="AM262" s="308"/>
      <c r="AN262" s="307"/>
      <c r="AO262" s="308"/>
      <c r="AP262" s="30"/>
      <c r="AQ262" s="453">
        <f>+J262+L262+N262+P262+R262+T262+V262+AB262+AD262+AF262+AH262+AJ262+AL262+AN262</f>
        <v>23.224</v>
      </c>
      <c r="AR262" s="308">
        <f>+(AQ262/AQ256-1)*100</f>
        <v>-1.559850796880291</v>
      </c>
      <c r="AS262" s="308"/>
      <c r="AT262" s="30"/>
      <c r="AU262" s="30"/>
      <c r="AV262" s="30"/>
      <c r="AW262" s="322"/>
      <c r="AX262" s="308"/>
      <c r="AY262" s="308"/>
      <c r="AZ262" s="322"/>
      <c r="BA262" s="308"/>
      <c r="BB262" s="308"/>
      <c r="BC262" s="308"/>
      <c r="BD262" s="308"/>
      <c r="BE262" s="308"/>
      <c r="BF262" s="308"/>
      <c r="BG262" s="316"/>
      <c r="BH262" s="308"/>
      <c r="BI262" s="308"/>
      <c r="BJ262" s="308"/>
      <c r="BK262" s="322"/>
      <c r="BL262" s="308"/>
      <c r="BM262" s="308"/>
      <c r="BN262" s="308"/>
      <c r="BO262" s="322"/>
      <c r="BP262" s="308"/>
      <c r="BQ262" s="589"/>
      <c r="BR262" s="589"/>
      <c r="BS262" s="589"/>
      <c r="BT262" s="322"/>
      <c r="BU262" s="308"/>
      <c r="BV262" s="308"/>
      <c r="BW262" s="308"/>
      <c r="BX262" s="308"/>
      <c r="BY262" s="322"/>
      <c r="BZ262" s="308"/>
      <c r="CA262" s="308"/>
      <c r="CB262" s="308"/>
      <c r="CC262" s="308"/>
      <c r="CD262" s="307"/>
      <c r="CE262" s="308"/>
      <c r="CF262" s="308"/>
      <c r="CG262" s="308"/>
      <c r="CH262" s="308"/>
      <c r="CI262" s="322"/>
      <c r="CJ262" s="308"/>
      <c r="CK262" s="308"/>
      <c r="CL262" s="308"/>
      <c r="CM262" s="322"/>
      <c r="CN262" s="308"/>
      <c r="CO262" s="308"/>
      <c r="CP262" s="322"/>
      <c r="CQ262" s="308"/>
      <c r="CR262" s="308"/>
      <c r="CS262" s="322"/>
      <c r="CT262" s="308"/>
      <c r="CU262" s="308"/>
      <c r="CV262" s="322"/>
      <c r="CW262" s="308"/>
      <c r="CX262" s="308"/>
      <c r="CY262" s="322"/>
      <c r="CZ262" s="308"/>
      <c r="DA262" s="308"/>
      <c r="DB262" s="322"/>
      <c r="DC262" s="308"/>
      <c r="DD262" s="308"/>
      <c r="DE262" s="322"/>
      <c r="DF262" s="308"/>
      <c r="DG262" s="308"/>
      <c r="DH262" s="322"/>
      <c r="DI262" s="308"/>
      <c r="DJ262" s="308"/>
      <c r="DK262" s="308"/>
      <c r="DL262" s="308"/>
    </row>
    <row r="263" spans="1:116" hidden="1" outlineLevel="1">
      <c r="A263" s="30"/>
      <c r="B263" s="30"/>
      <c r="C263" s="30"/>
      <c r="D263" s="314"/>
      <c r="E263" s="30"/>
      <c r="F263" s="314"/>
      <c r="G263" s="319"/>
      <c r="H263" s="319"/>
      <c r="I263" s="319"/>
      <c r="J263" s="316"/>
      <c r="K263" s="319"/>
      <c r="L263" s="314"/>
      <c r="M263" s="30"/>
      <c r="N263" s="314"/>
      <c r="O263" s="30"/>
      <c r="P263" s="314"/>
      <c r="Q263" s="30"/>
      <c r="R263" s="30"/>
      <c r="S263" s="30"/>
      <c r="T263" s="314"/>
      <c r="U263" s="30"/>
      <c r="V263" s="314"/>
      <c r="W263" s="378"/>
      <c r="X263" s="378"/>
      <c r="Y263" s="378"/>
      <c r="Z263" s="314"/>
      <c r="AA263" s="378"/>
      <c r="AB263" s="314"/>
      <c r="AC263" s="30"/>
      <c r="AD263" s="314"/>
      <c r="AE263" s="30"/>
      <c r="AF263" s="30"/>
      <c r="AG263" s="30"/>
      <c r="AH263" s="30"/>
      <c r="AI263" s="30"/>
      <c r="AJ263" s="30"/>
      <c r="AK263" s="30"/>
      <c r="AL263" s="30"/>
      <c r="AM263" s="30"/>
      <c r="AN263" s="30"/>
      <c r="AO263" s="30"/>
      <c r="AP263" s="30"/>
      <c r="AQ263" s="453"/>
      <c r="AR263" s="30"/>
      <c r="AS263" s="30"/>
      <c r="AT263" s="30"/>
      <c r="AU263" s="30"/>
      <c r="AV263" s="30"/>
      <c r="AW263" s="314"/>
      <c r="AX263" s="30"/>
      <c r="AY263" s="30"/>
      <c r="AZ263" s="314"/>
      <c r="BA263" s="319"/>
      <c r="BB263" s="30"/>
      <c r="BC263" s="319"/>
      <c r="BD263" s="319"/>
      <c r="BE263" s="319"/>
      <c r="BF263" s="30"/>
      <c r="BG263" s="316"/>
      <c r="BH263" s="319"/>
      <c r="BI263" s="319"/>
      <c r="BJ263" s="30"/>
      <c r="BK263" s="314"/>
      <c r="BL263" s="319"/>
      <c r="BM263" s="319"/>
      <c r="BN263" s="30"/>
      <c r="BO263" s="314"/>
      <c r="BP263" s="319"/>
      <c r="BS263" s="253"/>
      <c r="BT263" s="314"/>
      <c r="BU263" s="319"/>
      <c r="BV263" s="319"/>
      <c r="BW263" s="319"/>
      <c r="BX263" s="30"/>
      <c r="BY263" s="314"/>
      <c r="BZ263" s="319"/>
      <c r="CA263" s="319"/>
      <c r="CB263" s="319"/>
      <c r="CC263" s="30"/>
      <c r="CD263" s="30"/>
      <c r="CE263" s="319"/>
      <c r="CF263" s="319"/>
      <c r="CG263" s="319"/>
      <c r="CH263" s="30"/>
      <c r="CI263" s="314"/>
      <c r="CJ263" s="319"/>
      <c r="CK263" s="319"/>
      <c r="CL263" s="30"/>
      <c r="CM263" s="314"/>
      <c r="CN263" s="319"/>
      <c r="CO263" s="30"/>
      <c r="CP263" s="314"/>
      <c r="CQ263" s="319"/>
      <c r="CR263" s="30"/>
      <c r="CS263" s="314"/>
      <c r="CT263" s="319"/>
      <c r="CU263" s="30"/>
      <c r="CV263" s="314"/>
      <c r="CW263" s="319"/>
      <c r="CX263" s="30"/>
      <c r="CY263" s="314"/>
      <c r="CZ263" s="319"/>
      <c r="DA263" s="30"/>
      <c r="DB263" s="314"/>
      <c r="DC263" s="319"/>
      <c r="DD263" s="30"/>
      <c r="DE263" s="314"/>
      <c r="DF263" s="319"/>
      <c r="DG263" s="30"/>
      <c r="DH263" s="314"/>
      <c r="DI263" s="319"/>
      <c r="DJ263" s="319"/>
      <c r="DK263" s="319"/>
      <c r="DL263" s="319"/>
    </row>
    <row r="264" spans="1:116" hidden="1" outlineLevel="1">
      <c r="A264" s="30"/>
      <c r="B264" s="324">
        <f>+B82</f>
        <v>2001</v>
      </c>
      <c r="C264" s="30"/>
      <c r="D264" s="314"/>
      <c r="E264" s="310"/>
      <c r="F264" s="314"/>
      <c r="G264" s="319"/>
      <c r="H264" s="319"/>
      <c r="I264" s="319"/>
      <c r="J264" s="316"/>
      <c r="K264" s="319"/>
      <c r="L264" s="314"/>
      <c r="M264" s="310"/>
      <c r="N264" s="314"/>
      <c r="O264" s="310"/>
      <c r="P264" s="314"/>
      <c r="Q264" s="30"/>
      <c r="R264" s="30"/>
      <c r="S264" s="310"/>
      <c r="T264" s="314"/>
      <c r="U264" s="310"/>
      <c r="V264" s="314"/>
      <c r="W264" s="319"/>
      <c r="X264" s="319"/>
      <c r="Y264" s="319"/>
      <c r="Z264" s="314"/>
      <c r="AA264" s="319"/>
      <c r="AB264" s="314"/>
      <c r="AC264" s="310"/>
      <c r="AD264" s="314"/>
      <c r="AE264" s="310"/>
      <c r="AF264" s="30"/>
      <c r="AG264" s="310"/>
      <c r="AH264" s="30"/>
      <c r="AI264" s="310"/>
      <c r="AJ264" s="30"/>
      <c r="AK264" s="310"/>
      <c r="AL264" s="30"/>
      <c r="AM264" s="310"/>
      <c r="AN264" s="30"/>
      <c r="AO264" s="310"/>
      <c r="AP264" s="30"/>
      <c r="AQ264" s="453"/>
      <c r="AR264" s="310"/>
      <c r="AS264" s="310"/>
      <c r="AT264" s="30"/>
      <c r="AU264" s="30"/>
      <c r="AV264" s="30"/>
      <c r="AW264" s="314"/>
      <c r="AX264" s="310"/>
      <c r="AY264" s="310"/>
      <c r="AZ264" s="314"/>
      <c r="BA264" s="319"/>
      <c r="BB264" s="310"/>
      <c r="BC264" s="319"/>
      <c r="BD264" s="319"/>
      <c r="BE264" s="319"/>
      <c r="BF264" s="310"/>
      <c r="BG264" s="316"/>
      <c r="BH264" s="319"/>
      <c r="BI264" s="319"/>
      <c r="BJ264" s="310"/>
      <c r="BK264" s="314"/>
      <c r="BL264" s="319"/>
      <c r="BM264" s="319"/>
      <c r="BN264" s="310"/>
      <c r="BO264" s="314"/>
      <c r="BP264" s="319"/>
      <c r="BS264" s="1177"/>
      <c r="BT264" s="314"/>
      <c r="BU264" s="319"/>
      <c r="BV264" s="319"/>
      <c r="BW264" s="319"/>
      <c r="BX264" s="310"/>
      <c r="BY264" s="314"/>
      <c r="BZ264" s="319"/>
      <c r="CA264" s="319"/>
      <c r="CB264" s="319"/>
      <c r="CC264" s="310"/>
      <c r="CD264" s="30"/>
      <c r="CE264" s="319"/>
      <c r="CF264" s="319"/>
      <c r="CG264" s="319"/>
      <c r="CH264" s="310"/>
      <c r="CI264" s="314"/>
      <c r="CJ264" s="319"/>
      <c r="CK264" s="319"/>
      <c r="CL264" s="310"/>
      <c r="CM264" s="314"/>
      <c r="CN264" s="319"/>
      <c r="CO264" s="310"/>
      <c r="CP264" s="314"/>
      <c r="CQ264" s="319"/>
      <c r="CR264" s="310"/>
      <c r="CS264" s="314"/>
      <c r="CT264" s="319"/>
      <c r="CU264" s="310"/>
      <c r="CV264" s="314"/>
      <c r="CW264" s="319"/>
      <c r="CX264" s="310"/>
      <c r="CY264" s="314"/>
      <c r="CZ264" s="319"/>
      <c r="DA264" s="310"/>
      <c r="DB264" s="314"/>
      <c r="DC264" s="319"/>
      <c r="DD264" s="310"/>
      <c r="DE264" s="314"/>
      <c r="DF264" s="319"/>
      <c r="DG264" s="310"/>
      <c r="DH264" s="314"/>
      <c r="DI264" s="319"/>
      <c r="DJ264" s="319"/>
      <c r="DK264" s="319"/>
      <c r="DL264" s="319"/>
    </row>
    <row r="265" spans="1:116" hidden="1" outlineLevel="1">
      <c r="A265" s="30" t="str">
        <f>+A83</f>
        <v>1Q</v>
      </c>
      <c r="B265" s="310" t="str">
        <f>+B83</f>
        <v>Apr</v>
      </c>
      <c r="C265" s="30"/>
      <c r="D265" s="322">
        <v>3.69</v>
      </c>
      <c r="E265" s="308">
        <f>+(D265/D259-1)*100</f>
        <v>5.6701030927835072</v>
      </c>
      <c r="F265" s="322">
        <v>0.53700000000000003</v>
      </c>
      <c r="G265" s="308">
        <f>+(F265/F259-1)*100</f>
        <v>12.343096234309625</v>
      </c>
      <c r="H265" s="308"/>
      <c r="I265" s="308"/>
      <c r="J265" s="316">
        <f>+D265+F265</f>
        <v>4.2270000000000003</v>
      </c>
      <c r="K265" s="308">
        <f>+(J265/J259-1)*100</f>
        <v>6.4735516372796065</v>
      </c>
      <c r="L265" s="322">
        <v>3.14</v>
      </c>
      <c r="M265" s="308">
        <f>+(L265/L259-1)*100</f>
        <v>21.47001934235977</v>
      </c>
      <c r="N265" s="322">
        <v>4.25</v>
      </c>
      <c r="O265" s="308">
        <f>+(N265/N259-1)*100</f>
        <v>-2.1864211737629424</v>
      </c>
      <c r="P265" s="322">
        <v>1.867</v>
      </c>
      <c r="Q265" s="308">
        <f>+(P265/P259-1)*100</f>
        <v>-4.5501022494887522</v>
      </c>
      <c r="R265" s="176"/>
      <c r="S265" s="308"/>
      <c r="T265" s="322">
        <v>2.4089999999999998</v>
      </c>
      <c r="U265" s="308">
        <f>+(T265/T259-1)*100</f>
        <v>-10.14546810891459</v>
      </c>
      <c r="V265" s="322">
        <v>3.5000000000000003E-2</v>
      </c>
      <c r="W265" s="308">
        <f>+(V265/V259-1)*100</f>
        <v>0</v>
      </c>
      <c r="X265" s="308"/>
      <c r="Y265" s="308"/>
      <c r="Z265" s="322"/>
      <c r="AA265" s="308"/>
      <c r="AB265" s="322">
        <v>4.101</v>
      </c>
      <c r="AC265" s="308">
        <f>+(AB265/AB259-1)*100</f>
        <v>-9.4302120141342645</v>
      </c>
      <c r="AD265" s="322">
        <v>3.1520000000000001</v>
      </c>
      <c r="AE265" s="308">
        <f>+(AD265/AD259-1)*100</f>
        <v>-2.2029165373875226</v>
      </c>
      <c r="AF265" s="327"/>
      <c r="AG265" s="308"/>
      <c r="AH265" s="307"/>
      <c r="AI265" s="308"/>
      <c r="AJ265" s="307"/>
      <c r="AK265" s="308"/>
      <c r="AL265" s="307"/>
      <c r="AM265" s="308"/>
      <c r="AN265" s="307"/>
      <c r="AO265" s="308"/>
      <c r="AP265" s="30"/>
      <c r="AQ265" s="453">
        <f>+J265+L265+N265+P265+R265+T265+V265+AB265+AD265+AF265+AH265+AJ265+AL265+AN265</f>
        <v>23.181000000000001</v>
      </c>
      <c r="AR265" s="308">
        <f>+(AQ265/AQ259-1)*100</f>
        <v>-0.60884105818289624</v>
      </c>
      <c r="AS265" s="308"/>
      <c r="AT265" s="30"/>
      <c r="AU265" s="30"/>
      <c r="AV265" s="30"/>
      <c r="AW265" s="322"/>
      <c r="AX265" s="308"/>
      <c r="AY265" s="308"/>
      <c r="AZ265" s="322"/>
      <c r="BA265" s="308"/>
      <c r="BB265" s="308"/>
      <c r="BC265" s="308"/>
      <c r="BD265" s="308"/>
      <c r="BE265" s="308"/>
      <c r="BF265" s="308"/>
      <c r="BG265" s="316"/>
      <c r="BH265" s="308"/>
      <c r="BI265" s="308"/>
      <c r="BJ265" s="308"/>
      <c r="BK265" s="322"/>
      <c r="BL265" s="308"/>
      <c r="BM265" s="308"/>
      <c r="BN265" s="308"/>
      <c r="BO265" s="322"/>
      <c r="BP265" s="308"/>
      <c r="BQ265" s="308"/>
      <c r="BR265" s="308"/>
      <c r="BS265" s="308"/>
      <c r="BT265" s="322"/>
      <c r="BU265" s="308"/>
      <c r="BV265" s="308"/>
      <c r="BW265" s="308"/>
      <c r="BX265" s="308"/>
      <c r="BY265" s="322"/>
      <c r="BZ265" s="308"/>
      <c r="CA265" s="308"/>
      <c r="CB265" s="308"/>
      <c r="CC265" s="308"/>
      <c r="CD265" s="307"/>
      <c r="CE265" s="308"/>
      <c r="CF265" s="308"/>
      <c r="CG265" s="308"/>
      <c r="CH265" s="308"/>
      <c r="CI265" s="322"/>
      <c r="CJ265" s="308"/>
      <c r="CK265" s="308"/>
      <c r="CL265" s="308"/>
      <c r="CM265" s="322"/>
      <c r="CN265" s="308"/>
      <c r="CO265" s="308"/>
      <c r="CP265" s="322"/>
      <c r="CQ265" s="308"/>
      <c r="CR265" s="308"/>
      <c r="CS265" s="322"/>
      <c r="CT265" s="308"/>
      <c r="CU265" s="308"/>
      <c r="CV265" s="322"/>
      <c r="CW265" s="308"/>
      <c r="CX265" s="308"/>
      <c r="CY265" s="322"/>
      <c r="CZ265" s="308"/>
      <c r="DA265" s="308"/>
      <c r="DB265" s="322"/>
      <c r="DC265" s="308"/>
      <c r="DD265" s="308"/>
      <c r="DE265" s="322"/>
      <c r="DF265" s="308"/>
      <c r="DG265" s="308"/>
      <c r="DH265" s="322"/>
      <c r="DI265" s="308"/>
      <c r="DJ265" s="308"/>
      <c r="DK265" s="308"/>
      <c r="DL265" s="308"/>
    </row>
    <row r="266" spans="1:116" hidden="1" outlineLevel="1">
      <c r="A266" s="30" t="str">
        <f>+A84</f>
        <v>2Q</v>
      </c>
      <c r="B266" s="30" t="str">
        <f>+B84</f>
        <v>Jul</v>
      </c>
      <c r="C266" s="30"/>
      <c r="D266" s="322">
        <v>3.7629999999999999</v>
      </c>
      <c r="E266" s="308">
        <f>+(D266/D260-1)*100</f>
        <v>6.7214974475326095</v>
      </c>
      <c r="F266" s="322">
        <v>0.54900000000000004</v>
      </c>
      <c r="G266" s="308">
        <f>+(F266/F260-1)*100</f>
        <v>16.067653276955607</v>
      </c>
      <c r="H266" s="308"/>
      <c r="I266" s="308"/>
      <c r="J266" s="316">
        <f>+D266+F266</f>
        <v>4.3120000000000003</v>
      </c>
      <c r="K266" s="308">
        <f>+(J266/J260-1)*100</f>
        <v>7.8269567391848094</v>
      </c>
      <c r="L266" s="322">
        <v>3.2869999999999999</v>
      </c>
      <c r="M266" s="308">
        <f>+(L266/L260-1)*100</f>
        <v>20.845588235294098</v>
      </c>
      <c r="N266" s="322">
        <v>4.2530000000000001</v>
      </c>
      <c r="O266" s="308">
        <f>+(N266/N260-1)*100</f>
        <v>-2.1849126034958588</v>
      </c>
      <c r="P266" s="322">
        <v>1.837</v>
      </c>
      <c r="Q266" s="308">
        <f>+(P266/P260-1)*100</f>
        <v>-5.3580628541988755</v>
      </c>
      <c r="R266" s="176"/>
      <c r="S266" s="308"/>
      <c r="T266" s="322">
        <v>2.3580000000000001</v>
      </c>
      <c r="U266" s="308">
        <f>+(T266/T260-1)*100</f>
        <v>-8.2133125729855863</v>
      </c>
      <c r="V266" s="322">
        <v>3.5000000000000003E-2</v>
      </c>
      <c r="W266" s="308">
        <f>+(V266/V260-1)*100</f>
        <v>0</v>
      </c>
      <c r="X266" s="308"/>
      <c r="Y266" s="308"/>
      <c r="Z266" s="322"/>
      <c r="AA266" s="308"/>
      <c r="AB266" s="322">
        <v>4.0199999999999996</v>
      </c>
      <c r="AC266" s="308">
        <f>+(AB266/AB260-1)*100</f>
        <v>-9.581646423751689</v>
      </c>
      <c r="AD266" s="322">
        <v>3.1440000000000001</v>
      </c>
      <c r="AE266" s="308">
        <f>+(AD266/AD260-1)*100</f>
        <v>-1.9032761310452395</v>
      </c>
      <c r="AF266" s="327"/>
      <c r="AG266" s="308"/>
      <c r="AH266" s="307"/>
      <c r="AI266" s="308"/>
      <c r="AJ266" s="307"/>
      <c r="AK266" s="308"/>
      <c r="AL266" s="307"/>
      <c r="AM266" s="308"/>
      <c r="AN266" s="307"/>
      <c r="AO266" s="308"/>
      <c r="AP266" s="30"/>
      <c r="AQ266" s="453">
        <f>+J266+L266+N266+P266+R266+T266+V266+AB266+AD266+AF266+AH266+AJ266+AL266+AN266</f>
        <v>23.246000000000002</v>
      </c>
      <c r="AR266" s="308">
        <f>+(AQ266/AQ260-1)*100</f>
        <v>-7.3077419077482997E-2</v>
      </c>
      <c r="AS266" s="308"/>
      <c r="AT266" s="30"/>
      <c r="AU266" s="30"/>
      <c r="AV266" s="30"/>
      <c r="AW266" s="322"/>
      <c r="AX266" s="308"/>
      <c r="AY266" s="308"/>
      <c r="AZ266" s="322"/>
      <c r="BA266" s="308"/>
      <c r="BB266" s="308"/>
      <c r="BC266" s="308"/>
      <c r="BD266" s="308"/>
      <c r="BE266" s="308"/>
      <c r="BF266" s="308"/>
      <c r="BG266" s="316"/>
      <c r="BH266" s="308"/>
      <c r="BI266" s="308"/>
      <c r="BJ266" s="308"/>
      <c r="BK266" s="322"/>
      <c r="BL266" s="308"/>
      <c r="BM266" s="308"/>
      <c r="BN266" s="308"/>
      <c r="BO266" s="322"/>
      <c r="BP266" s="308"/>
      <c r="BQ266" s="308"/>
      <c r="BR266" s="308"/>
      <c r="BS266" s="308"/>
      <c r="BT266" s="322"/>
      <c r="BU266" s="308"/>
      <c r="BV266" s="308"/>
      <c r="BW266" s="308"/>
      <c r="BX266" s="308"/>
      <c r="BY266" s="322"/>
      <c r="BZ266" s="308"/>
      <c r="CA266" s="308"/>
      <c r="CB266" s="308"/>
      <c r="CC266" s="308"/>
      <c r="CD266" s="307"/>
      <c r="CE266" s="308"/>
      <c r="CF266" s="308"/>
      <c r="CG266" s="308"/>
      <c r="CH266" s="308"/>
      <c r="CI266" s="322"/>
      <c r="CJ266" s="308"/>
      <c r="CK266" s="308"/>
      <c r="CL266" s="308"/>
      <c r="CM266" s="322"/>
      <c r="CN266" s="308"/>
      <c r="CO266" s="308"/>
      <c r="CP266" s="322"/>
      <c r="CQ266" s="308"/>
      <c r="CR266" s="308"/>
      <c r="CS266" s="322"/>
      <c r="CT266" s="308"/>
      <c r="CU266" s="308"/>
      <c r="CV266" s="322"/>
      <c r="CW266" s="308"/>
      <c r="CX266" s="308"/>
      <c r="CY266" s="322"/>
      <c r="CZ266" s="308"/>
      <c r="DA266" s="308"/>
      <c r="DB266" s="322"/>
      <c r="DC266" s="308"/>
      <c r="DD266" s="308"/>
      <c r="DE266" s="322"/>
      <c r="DF266" s="308"/>
      <c r="DG266" s="308"/>
      <c r="DH266" s="322"/>
      <c r="DI266" s="308"/>
      <c r="DJ266" s="308"/>
      <c r="DK266" s="308"/>
      <c r="DL266" s="308"/>
    </row>
    <row r="267" spans="1:116" hidden="1" outlineLevel="1">
      <c r="A267" s="30" t="str">
        <f>+A85</f>
        <v>3Q</v>
      </c>
      <c r="B267" s="30" t="str">
        <f>+B85</f>
        <v>Oct</v>
      </c>
      <c r="C267" s="30"/>
      <c r="D267" s="322">
        <v>3.8679999999999999</v>
      </c>
      <c r="E267" s="308">
        <f>+(D267/D261-1)*100</f>
        <v>7.1468144044321225</v>
      </c>
      <c r="F267" s="322">
        <v>0.56899999999999995</v>
      </c>
      <c r="G267" s="308">
        <f>+(F267/F261-1)*100</f>
        <v>17.31958762886596</v>
      </c>
      <c r="H267" s="308"/>
      <c r="I267" s="308"/>
      <c r="J267" s="316">
        <f>+D267+F267</f>
        <v>4.4369999999999994</v>
      </c>
      <c r="K267" s="308">
        <f>+(J267/J261-1)*100</f>
        <v>8.3516483516483433</v>
      </c>
      <c r="L267" s="322">
        <v>3.4350000000000001</v>
      </c>
      <c r="M267" s="308">
        <f>+(L267/L261-1)*100</f>
        <v>15.345869711215565</v>
      </c>
      <c r="N267" s="322">
        <v>4.2910000000000004</v>
      </c>
      <c r="O267" s="308">
        <f>+(N267/N261-1)*100</f>
        <v>-1.174573929064926</v>
      </c>
      <c r="P267" s="322">
        <v>1.8260000000000001</v>
      </c>
      <c r="Q267" s="308">
        <f>+(P267/P261-1)*100</f>
        <v>-4.7470005216484035</v>
      </c>
      <c r="R267" s="176"/>
      <c r="S267" s="308"/>
      <c r="T267" s="322">
        <v>2.359</v>
      </c>
      <c r="U267" s="308">
        <f>+(T267/T261-1)*100</f>
        <v>-7.3812328229289399</v>
      </c>
      <c r="V267" s="322">
        <v>3.5000000000000003E-2</v>
      </c>
      <c r="W267" s="308">
        <f>+(V267/V261-1)*100</f>
        <v>0</v>
      </c>
      <c r="X267" s="308"/>
      <c r="Y267" s="308"/>
      <c r="Z267" s="322"/>
      <c r="AA267" s="308"/>
      <c r="AB267" s="322">
        <v>3.9780000000000002</v>
      </c>
      <c r="AC267" s="308">
        <f>+(AB267/AB261-1)*100</f>
        <v>-8.5306967118877868</v>
      </c>
      <c r="AD267" s="322">
        <v>0</v>
      </c>
      <c r="AE267" s="308">
        <f>+(AD267/AD261-1)*100</f>
        <v>-100</v>
      </c>
      <c r="AF267" s="307"/>
      <c r="AG267" s="308"/>
      <c r="AH267" s="307"/>
      <c r="AI267" s="308"/>
      <c r="AJ267" s="307"/>
      <c r="AK267" s="308"/>
      <c r="AL267" s="307"/>
      <c r="AM267" s="308"/>
      <c r="AN267" s="307"/>
      <c r="AO267" s="308"/>
      <c r="AP267" s="30"/>
      <c r="AQ267" s="453">
        <f>+J267+L267+N267+P267+R267+T267+V267+AB267+AD267+AF267+AH267+AJ267+AL267+AN267</f>
        <v>20.361000000000001</v>
      </c>
      <c r="AR267" s="308">
        <f>+(AQ267/AQ261-1)*100</f>
        <v>-13.279952297798026</v>
      </c>
      <c r="AS267" s="308"/>
      <c r="AT267" s="30"/>
      <c r="AU267" s="30"/>
      <c r="AV267" s="30"/>
      <c r="AW267" s="322"/>
      <c r="AX267" s="308"/>
      <c r="AY267" s="308"/>
      <c r="AZ267" s="322"/>
      <c r="BA267" s="308"/>
      <c r="BB267" s="308"/>
      <c r="BC267" s="308"/>
      <c r="BD267" s="308"/>
      <c r="BE267" s="308"/>
      <c r="BF267" s="308"/>
      <c r="BG267" s="316"/>
      <c r="BH267" s="308"/>
      <c r="BI267" s="308"/>
      <c r="BJ267" s="308"/>
      <c r="BK267" s="322"/>
      <c r="BL267" s="308"/>
      <c r="BM267" s="308"/>
      <c r="BN267" s="308"/>
      <c r="BO267" s="322"/>
      <c r="BP267" s="308"/>
      <c r="BQ267" s="308"/>
      <c r="BR267" s="308"/>
      <c r="BS267" s="308"/>
      <c r="BT267" s="322"/>
      <c r="BU267" s="308"/>
      <c r="BV267" s="308"/>
      <c r="BW267" s="308"/>
      <c r="BX267" s="308"/>
      <c r="BY267" s="322"/>
      <c r="BZ267" s="308"/>
      <c r="CA267" s="308"/>
      <c r="CB267" s="308"/>
      <c r="CC267" s="308"/>
      <c r="CD267" s="307"/>
      <c r="CE267" s="308"/>
      <c r="CF267" s="308"/>
      <c r="CG267" s="308"/>
      <c r="CH267" s="308"/>
      <c r="CI267" s="322"/>
      <c r="CJ267" s="308"/>
      <c r="CK267" s="308"/>
      <c r="CL267" s="308"/>
      <c r="CM267" s="322"/>
      <c r="CN267" s="308"/>
      <c r="CO267" s="308"/>
      <c r="CP267" s="322"/>
      <c r="CQ267" s="308"/>
      <c r="CR267" s="308"/>
      <c r="CS267" s="322"/>
      <c r="CT267" s="308"/>
      <c r="CU267" s="308"/>
      <c r="CV267" s="322"/>
      <c r="CW267" s="308"/>
      <c r="CX267" s="308"/>
      <c r="CY267" s="322"/>
      <c r="CZ267" s="308"/>
      <c r="DA267" s="308"/>
      <c r="DB267" s="322"/>
      <c r="DC267" s="308"/>
      <c r="DD267" s="308"/>
      <c r="DE267" s="322"/>
      <c r="DF267" s="308"/>
      <c r="DG267" s="308"/>
      <c r="DH267" s="322"/>
      <c r="DI267" s="308"/>
      <c r="DJ267" s="308"/>
      <c r="DK267" s="308"/>
      <c r="DL267" s="308"/>
    </row>
    <row r="268" spans="1:116" hidden="1" outlineLevel="1">
      <c r="A268" s="30" t="str">
        <f>+A86</f>
        <v>4Q</v>
      </c>
      <c r="B268" s="30" t="str">
        <f>+B86</f>
        <v>Jan</v>
      </c>
      <c r="C268" s="30"/>
      <c r="D268" s="322">
        <v>3.8740000000000001</v>
      </c>
      <c r="E268" s="308">
        <f>+(D268/D262-1)*100</f>
        <v>5.4436581382689253</v>
      </c>
      <c r="F268" s="322">
        <v>0.58399999999999996</v>
      </c>
      <c r="G268" s="308">
        <f>+(F268/F262-1)*100</f>
        <v>9.5684803001875984</v>
      </c>
      <c r="H268" s="308"/>
      <c r="I268" s="308"/>
      <c r="J268" s="316">
        <f>+D268+F268</f>
        <v>4.4580000000000002</v>
      </c>
      <c r="K268" s="308">
        <f>+(J268/J262-1)*100</f>
        <v>5.9662467316377477</v>
      </c>
      <c r="L268" s="322">
        <v>3.4630000000000001</v>
      </c>
      <c r="M268" s="308">
        <f>+(L268/L262-1)*100</f>
        <v>13.95195788088186</v>
      </c>
      <c r="N268" s="322">
        <v>4.28</v>
      </c>
      <c r="O268" s="308">
        <f>+(N268/N262-1)*100</f>
        <v>-0.18656716417910779</v>
      </c>
      <c r="P268" s="322">
        <v>1.774</v>
      </c>
      <c r="Q268" s="308">
        <f>+(P268/P262-1)*100</f>
        <v>-5.8885941644562294</v>
      </c>
      <c r="R268" s="176"/>
      <c r="S268" s="308"/>
      <c r="T268" s="322">
        <v>2.3130000000000002</v>
      </c>
      <c r="U268" s="308">
        <f>+(T268/T262-1)*100</f>
        <v>-5.3987730061349604</v>
      </c>
      <c r="V268" s="322">
        <v>3.5000000000000003E-2</v>
      </c>
      <c r="W268" s="308">
        <f>+(V268/V262-1)*100</f>
        <v>0</v>
      </c>
      <c r="X268" s="308"/>
      <c r="Y268" s="308"/>
      <c r="Z268" s="322"/>
      <c r="AA268" s="308"/>
      <c r="AB268" s="322">
        <v>3.823</v>
      </c>
      <c r="AC268" s="308">
        <f>+(AB268/AB262-1)*100</f>
        <v>-8.1671871246697165</v>
      </c>
      <c r="AD268" s="322">
        <v>0</v>
      </c>
      <c r="AE268" s="308">
        <f>+(AD268/AD262-1)*100</f>
        <v>-100</v>
      </c>
      <c r="AF268" s="307"/>
      <c r="AG268" s="308"/>
      <c r="AH268" s="307"/>
      <c r="AI268" s="308"/>
      <c r="AJ268" s="307"/>
      <c r="AK268" s="308"/>
      <c r="AL268" s="307"/>
      <c r="AM268" s="308"/>
      <c r="AN268" s="307"/>
      <c r="AO268" s="308"/>
      <c r="AP268" s="30"/>
      <c r="AQ268" s="453">
        <f>+J268+L268+N268+P268+R268+T268+V268+AB268+AD268+AF268+AH268+AJ268+AL268+AN268</f>
        <v>20.146000000000001</v>
      </c>
      <c r="AR268" s="308">
        <f>+(AQ268/AQ262-1)*100</f>
        <v>-13.253530830175675</v>
      </c>
      <c r="AS268" s="308"/>
      <c r="AT268" s="30"/>
      <c r="AU268" s="30"/>
      <c r="AV268" s="30"/>
      <c r="AW268" s="322"/>
      <c r="AX268" s="308"/>
      <c r="AY268" s="308"/>
      <c r="AZ268" s="322"/>
      <c r="BA268" s="308"/>
      <c r="BB268" s="308"/>
      <c r="BC268" s="308"/>
      <c r="BD268" s="308"/>
      <c r="BE268" s="308"/>
      <c r="BF268" s="308"/>
      <c r="BG268" s="316"/>
      <c r="BH268" s="308"/>
      <c r="BI268" s="308"/>
      <c r="BJ268" s="308"/>
      <c r="BK268" s="322"/>
      <c r="BL268" s="308"/>
      <c r="BM268" s="308"/>
      <c r="BN268" s="308"/>
      <c r="BO268" s="322"/>
      <c r="BP268" s="308"/>
      <c r="BQ268" s="308"/>
      <c r="BR268" s="308"/>
      <c r="BS268" s="308"/>
      <c r="BT268" s="322"/>
      <c r="BU268" s="308"/>
      <c r="BV268" s="308"/>
      <c r="BW268" s="308"/>
      <c r="BX268" s="308"/>
      <c r="BY268" s="322"/>
      <c r="BZ268" s="308"/>
      <c r="CA268" s="308"/>
      <c r="CB268" s="308"/>
      <c r="CC268" s="308"/>
      <c r="CD268" s="307"/>
      <c r="CE268" s="308"/>
      <c r="CF268" s="308"/>
      <c r="CG268" s="308"/>
      <c r="CH268" s="308"/>
      <c r="CI268" s="322"/>
      <c r="CJ268" s="308"/>
      <c r="CK268" s="308"/>
      <c r="CL268" s="308"/>
      <c r="CM268" s="322"/>
      <c r="CN268" s="308"/>
      <c r="CO268" s="308"/>
      <c r="CP268" s="322"/>
      <c r="CQ268" s="308"/>
      <c r="CR268" s="308"/>
      <c r="CS268" s="322"/>
      <c r="CT268" s="308"/>
      <c r="CU268" s="308"/>
      <c r="CV268" s="322"/>
      <c r="CW268" s="308"/>
      <c r="CX268" s="308"/>
      <c r="CY268" s="322"/>
      <c r="CZ268" s="308"/>
      <c r="DA268" s="308"/>
      <c r="DB268" s="322"/>
      <c r="DC268" s="308"/>
      <c r="DD268" s="308"/>
      <c r="DE268" s="322"/>
      <c r="DF268" s="308"/>
      <c r="DG268" s="308"/>
      <c r="DH268" s="322"/>
      <c r="DI268" s="308"/>
      <c r="DJ268" s="308"/>
      <c r="DK268" s="308"/>
      <c r="DL268" s="308"/>
    </row>
    <row r="269" spans="1:116" hidden="1" outlineLevel="1">
      <c r="A269" s="30"/>
      <c r="B269" s="30"/>
      <c r="C269" s="30"/>
      <c r="D269" s="30"/>
      <c r="E269" s="30"/>
      <c r="F269" s="30"/>
      <c r="G269" s="318"/>
      <c r="H269" s="318"/>
      <c r="I269" s="318"/>
      <c r="J269" s="30"/>
      <c r="K269" s="319"/>
      <c r="L269" s="30"/>
      <c r="M269" s="30"/>
      <c r="N269" s="30"/>
      <c r="O269" s="30"/>
      <c r="P269" s="30"/>
      <c r="Q269" s="30"/>
      <c r="R269" s="30"/>
      <c r="S269" s="30"/>
      <c r="T269" s="30"/>
      <c r="U269" s="30"/>
      <c r="V269" s="314"/>
      <c r="W269" s="378"/>
      <c r="X269" s="378"/>
      <c r="Y269" s="378"/>
      <c r="Z269" s="30"/>
      <c r="AA269" s="378"/>
      <c r="AB269" s="30"/>
      <c r="AC269" s="30"/>
      <c r="AD269" s="30"/>
      <c r="AE269" s="30"/>
      <c r="AF269" s="30"/>
      <c r="AG269" s="30"/>
      <c r="AH269" s="30"/>
      <c r="AI269" s="30"/>
      <c r="AJ269" s="30"/>
      <c r="AK269" s="30"/>
      <c r="AL269" s="30"/>
      <c r="AM269" s="30"/>
      <c r="AN269" s="30"/>
      <c r="AO269" s="30"/>
      <c r="AP269" s="30"/>
      <c r="AQ269" s="453"/>
      <c r="AR269" s="30"/>
      <c r="AS269" s="30"/>
      <c r="AT269" s="140" t="s">
        <v>1123</v>
      </c>
      <c r="AU269" s="30"/>
      <c r="AV269" s="30"/>
      <c r="AW269" s="30"/>
      <c r="AX269" s="30"/>
      <c r="AY269" s="30"/>
      <c r="AZ269" s="30"/>
      <c r="BA269" s="318"/>
      <c r="BB269" s="30"/>
      <c r="BC269" s="318"/>
      <c r="BD269" s="318"/>
      <c r="BE269" s="318"/>
      <c r="BF269" s="30"/>
      <c r="BG269" s="30"/>
      <c r="BH269" s="318"/>
      <c r="BI269" s="318"/>
      <c r="BJ269" s="30"/>
      <c r="BK269" s="30"/>
      <c r="BL269" s="318"/>
      <c r="BM269" s="318"/>
      <c r="BN269" s="30"/>
      <c r="BO269" s="30"/>
      <c r="BP269" s="318"/>
      <c r="BQ269" s="318"/>
      <c r="BR269" s="318"/>
      <c r="BS269" s="30"/>
      <c r="BT269" s="30"/>
      <c r="BU269" s="318"/>
      <c r="BV269" s="318"/>
      <c r="BW269" s="318"/>
      <c r="BX269" s="30"/>
      <c r="BY269" s="30"/>
      <c r="BZ269" s="318"/>
      <c r="CA269" s="318"/>
      <c r="CB269" s="318"/>
      <c r="CC269" s="30"/>
      <c r="CD269" s="30"/>
      <c r="CE269" s="318"/>
      <c r="CF269" s="318"/>
      <c r="CG269" s="318"/>
      <c r="CH269" s="30"/>
      <c r="CI269" s="30"/>
      <c r="CJ269" s="318"/>
      <c r="CK269" s="318"/>
      <c r="CL269" s="30"/>
      <c r="CM269" s="30"/>
      <c r="CN269" s="318"/>
      <c r="CO269" s="30"/>
      <c r="CP269" s="30"/>
      <c r="CQ269" s="318"/>
      <c r="CR269" s="30"/>
      <c r="CS269" s="30"/>
      <c r="CT269" s="318"/>
      <c r="CU269" s="30"/>
      <c r="CV269" s="30"/>
      <c r="CW269" s="318"/>
      <c r="CX269" s="30"/>
      <c r="CY269" s="30"/>
      <c r="CZ269" s="318"/>
      <c r="DA269" s="30"/>
      <c r="DB269" s="30"/>
      <c r="DC269" s="318"/>
      <c r="DD269" s="30"/>
      <c r="DE269" s="30"/>
      <c r="DF269" s="318"/>
      <c r="DG269" s="30"/>
      <c r="DH269" s="30"/>
      <c r="DI269" s="318"/>
      <c r="DJ269" s="318"/>
      <c r="DK269" s="318"/>
      <c r="DL269" s="318"/>
    </row>
    <row r="270" spans="1:116" hidden="1" outlineLevel="1">
      <c r="A270" s="301"/>
      <c r="B270" s="312">
        <f>+B88</f>
        <v>2002</v>
      </c>
      <c r="C270" s="30"/>
      <c r="D270" s="30"/>
      <c r="E270" s="310"/>
      <c r="F270" s="314"/>
      <c r="G270" s="318"/>
      <c r="H270" s="318"/>
      <c r="I270" s="318"/>
      <c r="J270" s="30"/>
      <c r="K270" s="319"/>
      <c r="L270" s="30"/>
      <c r="M270" s="310"/>
      <c r="N270" s="30"/>
      <c r="O270" s="310"/>
      <c r="P270" s="30"/>
      <c r="Q270" s="30"/>
      <c r="R270" s="30"/>
      <c r="S270" s="310"/>
      <c r="T270" s="30"/>
      <c r="U270" s="310"/>
      <c r="V270" s="314"/>
      <c r="W270" s="319"/>
      <c r="X270" s="319"/>
      <c r="Y270" s="319"/>
      <c r="Z270" s="30"/>
      <c r="AA270" s="319"/>
      <c r="AB270" s="30"/>
      <c r="AC270" s="310"/>
      <c r="AD270" s="30"/>
      <c r="AE270" s="310"/>
      <c r="AF270" s="30"/>
      <c r="AG270" s="310"/>
      <c r="AH270" s="30"/>
      <c r="AI270" s="310"/>
      <c r="AJ270" s="30"/>
      <c r="AK270" s="310"/>
      <c r="AL270" s="30"/>
      <c r="AM270" s="310"/>
      <c r="AN270" s="30"/>
      <c r="AO270" s="310"/>
      <c r="AP270" s="30"/>
      <c r="AQ270" s="453"/>
      <c r="AR270" s="310"/>
      <c r="AS270" s="310"/>
      <c r="AT270" s="30"/>
      <c r="AU270" s="30"/>
      <c r="AV270" s="30"/>
      <c r="AW270" s="30"/>
      <c r="AX270" s="310"/>
      <c r="AY270" s="310"/>
      <c r="AZ270" s="30"/>
      <c r="BA270" s="318"/>
      <c r="BB270" s="310"/>
      <c r="BC270" s="318"/>
      <c r="BD270" s="318"/>
      <c r="BE270" s="318"/>
      <c r="BF270" s="310"/>
      <c r="BG270" s="420" t="s">
        <v>725</v>
      </c>
      <c r="BH270" s="420" t="s">
        <v>9</v>
      </c>
      <c r="BI270" s="421" t="s">
        <v>226</v>
      </c>
      <c r="BJ270" s="310"/>
      <c r="BK270" s="30"/>
      <c r="BL270" s="318"/>
      <c r="BM270" s="318"/>
      <c r="BN270" s="310"/>
      <c r="BO270" s="30"/>
      <c r="BP270" s="318"/>
      <c r="BQ270" s="318"/>
      <c r="BR270" s="318"/>
      <c r="BS270" s="310"/>
      <c r="BT270" s="30"/>
      <c r="BU270" s="318"/>
      <c r="BV270" s="318"/>
      <c r="BW270" s="318"/>
      <c r="BX270" s="310"/>
      <c r="BY270" s="30"/>
      <c r="BZ270" s="318"/>
      <c r="CA270" s="318"/>
      <c r="CB270" s="318"/>
      <c r="CC270" s="310"/>
      <c r="CD270" s="30"/>
      <c r="CE270" s="318"/>
      <c r="CF270" s="318"/>
      <c r="CG270" s="318"/>
      <c r="CH270" s="310"/>
      <c r="CI270" s="30"/>
      <c r="CJ270" s="318"/>
      <c r="CK270" s="318"/>
      <c r="CL270" s="310"/>
      <c r="CM270" s="30"/>
      <c r="CN270" s="318"/>
      <c r="CO270" s="310"/>
      <c r="CP270" s="30"/>
      <c r="CQ270" s="318"/>
      <c r="CR270" s="310"/>
      <c r="CS270" s="30"/>
      <c r="CT270" s="318"/>
      <c r="CU270" s="310"/>
      <c r="CV270" s="30"/>
      <c r="CW270" s="318"/>
      <c r="CX270" s="310"/>
      <c r="CY270" s="30"/>
      <c r="CZ270" s="318"/>
      <c r="DA270" s="310"/>
      <c r="DB270" s="30"/>
      <c r="DC270" s="318"/>
      <c r="DD270" s="310"/>
      <c r="DE270" s="30"/>
      <c r="DF270" s="318"/>
      <c r="DG270" s="310"/>
      <c r="DH270" s="30"/>
      <c r="DI270" s="318"/>
      <c r="DJ270" s="318"/>
      <c r="DK270" s="318"/>
      <c r="DL270" s="318"/>
    </row>
    <row r="271" spans="1:116" hidden="1" outlineLevel="1">
      <c r="A271" s="30" t="str">
        <f>+A89</f>
        <v>1Q</v>
      </c>
      <c r="B271" s="30" t="str">
        <f>+B89</f>
        <v>Apr</v>
      </c>
      <c r="C271" s="30"/>
      <c r="D271" s="321"/>
      <c r="E271" s="308"/>
      <c r="F271" s="487"/>
      <c r="G271" s="317"/>
      <c r="H271" s="317"/>
      <c r="I271" s="317"/>
      <c r="J271" s="322">
        <v>4.4809999999999999</v>
      </c>
      <c r="K271" s="308">
        <f>+(J271/J265-1)*100</f>
        <v>6.0089898273006703</v>
      </c>
      <c r="L271" s="322">
        <v>3.492</v>
      </c>
      <c r="M271" s="308">
        <f>+(L271/L265-1)*100</f>
        <v>11.210191082802545</v>
      </c>
      <c r="N271" s="322">
        <v>4.2210000000000001</v>
      </c>
      <c r="O271" s="308">
        <f>+(N271/N265-1)*100</f>
        <v>-0.68235294117646728</v>
      </c>
      <c r="P271" s="322">
        <v>1.718</v>
      </c>
      <c r="Q271" s="308">
        <f>+(P271/P265-1)*100</f>
        <v>-7.9807177289769715</v>
      </c>
      <c r="R271" s="326">
        <v>0</v>
      </c>
      <c r="S271" s="308"/>
      <c r="T271" s="322">
        <v>2.2210000000000001</v>
      </c>
      <c r="U271" s="308">
        <f>+(T271/T265-1)*100</f>
        <v>-7.8040680780406717</v>
      </c>
      <c r="V271" s="322">
        <v>3.5000000000000003E-2</v>
      </c>
      <c r="W271" s="308">
        <f>+(V271/V265-1)*100</f>
        <v>0</v>
      </c>
      <c r="X271" s="308"/>
      <c r="Y271" s="308"/>
      <c r="Z271" s="322"/>
      <c r="AA271" s="308"/>
      <c r="AB271" s="322">
        <v>3.7770000000000001</v>
      </c>
      <c r="AC271" s="308">
        <f>+(AB271/AB265-1)*100</f>
        <v>-7.9005120702267728</v>
      </c>
      <c r="AD271" s="307"/>
      <c r="AE271" s="308"/>
      <c r="AF271" s="307"/>
      <c r="AG271" s="308"/>
      <c r="AH271" s="307"/>
      <c r="AI271" s="308"/>
      <c r="AJ271" s="307"/>
      <c r="AK271" s="308"/>
      <c r="AL271" s="307"/>
      <c r="AM271" s="308"/>
      <c r="AN271" s="307"/>
      <c r="AO271" s="308"/>
      <c r="AP271" s="30"/>
      <c r="AQ271" s="453">
        <f>+J271+L271+N271+P271+R271+T271+V271+AB271+AD271+AF271+AH271+AJ271+AL271+AN271</f>
        <v>19.945</v>
      </c>
      <c r="AR271" s="308">
        <f>+(AQ271/AQ265-1)*100</f>
        <v>-13.959708381864456</v>
      </c>
      <c r="AS271" s="308"/>
      <c r="AT271" s="30"/>
      <c r="AU271" s="30"/>
      <c r="AV271" s="30"/>
      <c r="AW271" s="321"/>
      <c r="AX271" s="308"/>
      <c r="AY271" s="308"/>
      <c r="AZ271" s="321"/>
      <c r="BA271" s="317"/>
      <c r="BB271" s="308"/>
      <c r="BC271" s="317"/>
      <c r="BD271" s="317"/>
      <c r="BE271" s="317"/>
      <c r="BF271" s="308"/>
      <c r="BG271" s="322"/>
      <c r="BH271" s="317"/>
      <c r="BI271" s="317"/>
      <c r="BJ271" s="308"/>
      <c r="BK271" s="322"/>
      <c r="BL271" s="317"/>
      <c r="BM271" s="317"/>
      <c r="BN271" s="308"/>
      <c r="BO271" s="322"/>
      <c r="BP271" s="317"/>
      <c r="BQ271" s="317"/>
      <c r="BR271" s="317"/>
      <c r="BS271" s="308"/>
      <c r="BT271" s="322"/>
      <c r="BU271" s="317"/>
      <c r="BV271" s="317"/>
      <c r="BW271" s="317"/>
      <c r="BX271" s="308"/>
      <c r="BY271" s="322"/>
      <c r="BZ271" s="317"/>
      <c r="CA271" s="317"/>
      <c r="CB271" s="317"/>
      <c r="CC271" s="308"/>
      <c r="CD271" s="307"/>
      <c r="CE271" s="317"/>
      <c r="CF271" s="317"/>
      <c r="CG271" s="317"/>
      <c r="CH271" s="308"/>
      <c r="CI271" s="322"/>
      <c r="CJ271" s="317"/>
      <c r="CK271" s="317"/>
      <c r="CL271" s="308"/>
      <c r="CM271" s="322"/>
      <c r="CN271" s="317"/>
      <c r="CO271" s="308"/>
      <c r="CP271" s="322"/>
      <c r="CQ271" s="317"/>
      <c r="CR271" s="308"/>
      <c r="CS271" s="322"/>
      <c r="CT271" s="317"/>
      <c r="CU271" s="308"/>
      <c r="CV271" s="322"/>
      <c r="CW271" s="317"/>
      <c r="CX271" s="308"/>
      <c r="CY271" s="322"/>
      <c r="CZ271" s="317"/>
      <c r="DA271" s="308"/>
      <c r="DB271" s="322"/>
      <c r="DC271" s="317"/>
      <c r="DD271" s="308"/>
      <c r="DE271" s="322"/>
      <c r="DF271" s="317"/>
      <c r="DG271" s="308"/>
      <c r="DH271" s="322"/>
      <c r="DI271" s="317"/>
      <c r="DJ271" s="317"/>
      <c r="DK271" s="317"/>
      <c r="DL271" s="317"/>
    </row>
    <row r="272" spans="1:116" hidden="1" outlineLevel="1">
      <c r="A272" s="30" t="str">
        <f>+A90</f>
        <v>2Q</v>
      </c>
      <c r="B272" s="30" t="str">
        <f>+B90</f>
        <v>Jul</v>
      </c>
      <c r="C272" s="30"/>
      <c r="D272" s="321"/>
      <c r="E272" s="308"/>
      <c r="F272" s="321"/>
      <c r="G272" s="317"/>
      <c r="H272" s="317"/>
      <c r="I272" s="317"/>
      <c r="J272" s="322">
        <v>4.5369999999999999</v>
      </c>
      <c r="K272" s="308">
        <f>+(J272/J266-1)*100</f>
        <v>5.2179962894248533</v>
      </c>
      <c r="L272" s="322">
        <v>3.5049999999999999</v>
      </c>
      <c r="M272" s="308">
        <f>+(L272/L266-1)*100</f>
        <v>6.6321874049285023</v>
      </c>
      <c r="N272" s="322">
        <v>4.032</v>
      </c>
      <c r="O272" s="308">
        <f>+(N272/N266-1)*100</f>
        <v>-5.1963320009405178</v>
      </c>
      <c r="P272" s="322">
        <v>1.5649999999999999</v>
      </c>
      <c r="Q272" s="308">
        <f>+(P272/P266-1)*100</f>
        <v>-14.806750136091452</v>
      </c>
      <c r="R272" s="326">
        <v>0.27</v>
      </c>
      <c r="S272" s="308"/>
      <c r="T272" s="322">
        <v>2.2109999999999999</v>
      </c>
      <c r="U272" s="308">
        <f>+(T272/T266-1)*100</f>
        <v>-6.2340966921119678</v>
      </c>
      <c r="V272" s="322">
        <v>3.5000000000000003E-2</v>
      </c>
      <c r="W272" s="308">
        <f>+(V272/V266-1)*100</f>
        <v>0</v>
      </c>
      <c r="X272" s="308"/>
      <c r="Y272" s="308"/>
      <c r="Z272" s="322"/>
      <c r="AA272" s="308"/>
      <c r="AB272" s="322">
        <v>3.7370000000000001</v>
      </c>
      <c r="AC272" s="308">
        <f>+(AB272/AB266-1)*100</f>
        <v>-7.0398009950248586</v>
      </c>
      <c r="AD272" s="307"/>
      <c r="AE272" s="308"/>
      <c r="AF272" s="307"/>
      <c r="AG272" s="308"/>
      <c r="AH272" s="307"/>
      <c r="AI272" s="308"/>
      <c r="AJ272" s="307"/>
      <c r="AK272" s="308"/>
      <c r="AL272" s="307"/>
      <c r="AM272" s="308"/>
      <c r="AN272" s="307"/>
      <c r="AO272" s="308"/>
      <c r="AP272" s="30"/>
      <c r="AQ272" s="453">
        <f>+J272+L272+N272+P272+R272+T272+V272+AB272+AD272+AF272+AH272+AJ272+AL272+AN272</f>
        <v>19.891999999999996</v>
      </c>
      <c r="AR272" s="308">
        <f>+(AQ272/AQ266-1)*100</f>
        <v>-14.428288737847394</v>
      </c>
      <c r="AS272" s="308"/>
      <c r="AT272" s="30"/>
      <c r="AU272" s="30"/>
      <c r="AV272" s="30"/>
      <c r="AW272" s="321"/>
      <c r="AX272" s="308"/>
      <c r="AY272" s="308"/>
      <c r="AZ272" s="321"/>
      <c r="BA272" s="317"/>
      <c r="BB272" s="308"/>
      <c r="BC272" s="317"/>
      <c r="BD272" s="317"/>
      <c r="BE272" s="317"/>
      <c r="BF272" s="308"/>
      <c r="BG272" s="322"/>
      <c r="BH272" s="317"/>
      <c r="BI272" s="317"/>
      <c r="BJ272" s="308"/>
      <c r="BK272" s="322"/>
      <c r="BL272" s="317"/>
      <c r="BM272" s="317"/>
      <c r="BN272" s="308"/>
      <c r="BO272" s="322"/>
      <c r="BP272" s="317"/>
      <c r="BQ272" s="317"/>
      <c r="BR272" s="317"/>
      <c r="BS272" s="308"/>
      <c r="BT272" s="322"/>
      <c r="BU272" s="317"/>
      <c r="BV272" s="317"/>
      <c r="BW272" s="317"/>
      <c r="BX272" s="308"/>
      <c r="BY272" s="322"/>
      <c r="BZ272" s="317"/>
      <c r="CA272" s="317"/>
      <c r="CB272" s="317"/>
      <c r="CC272" s="308"/>
      <c r="CD272" s="326"/>
      <c r="CE272" s="317"/>
      <c r="CF272" s="317"/>
      <c r="CG272" s="317"/>
      <c r="CH272" s="308"/>
      <c r="CI272" s="322"/>
      <c r="CJ272" s="317"/>
      <c r="CK272" s="317"/>
      <c r="CL272" s="308"/>
      <c r="CM272" s="322"/>
      <c r="CN272" s="317"/>
      <c r="CO272" s="308"/>
      <c r="CP272" s="322"/>
      <c r="CQ272" s="317"/>
      <c r="CR272" s="308"/>
      <c r="CS272" s="322"/>
      <c r="CT272" s="317"/>
      <c r="CU272" s="308"/>
      <c r="CV272" s="322"/>
      <c r="CW272" s="317"/>
      <c r="CX272" s="308"/>
      <c r="CY272" s="322"/>
      <c r="CZ272" s="317"/>
      <c r="DA272" s="308"/>
      <c r="DB272" s="322"/>
      <c r="DC272" s="317"/>
      <c r="DD272" s="308"/>
      <c r="DE272" s="322"/>
      <c r="DF272" s="317"/>
      <c r="DG272" s="308"/>
      <c r="DH272" s="322"/>
      <c r="DI272" s="317"/>
      <c r="DJ272" s="317"/>
      <c r="DK272" s="317"/>
      <c r="DL272" s="317"/>
    </row>
    <row r="273" spans="1:116" hidden="1" outlineLevel="1">
      <c r="A273" s="30" t="str">
        <f>+A91</f>
        <v>3Q</v>
      </c>
      <c r="B273" s="30" t="str">
        <f>+B91</f>
        <v>Oct</v>
      </c>
      <c r="C273" s="30"/>
      <c r="D273" s="321"/>
      <c r="E273" s="308"/>
      <c r="F273" s="321"/>
      <c r="G273" s="317"/>
      <c r="H273" s="317"/>
      <c r="I273" s="317"/>
      <c r="J273" s="322">
        <v>4.6459999999999999</v>
      </c>
      <c r="K273" s="308">
        <f>+(J273/J267-1)*100</f>
        <v>4.710389903087675</v>
      </c>
      <c r="L273" s="322">
        <v>3.57</v>
      </c>
      <c r="M273" s="308">
        <f>+(L273/L267-1)*100</f>
        <v>3.9301310043668103</v>
      </c>
      <c r="N273" s="322">
        <v>4.0110000000000001</v>
      </c>
      <c r="O273" s="308">
        <f>+(N273/N267-1)*100</f>
        <v>-6.5252854812398065</v>
      </c>
      <c r="P273" s="322">
        <v>1.548</v>
      </c>
      <c r="Q273" s="308">
        <f>+(P273/P267-1)*100</f>
        <v>-15.224534501642939</v>
      </c>
      <c r="R273" s="326">
        <v>0.41099999999999998</v>
      </c>
      <c r="S273" s="308"/>
      <c r="T273" s="322">
        <v>2.1970000000000001</v>
      </c>
      <c r="U273" s="308">
        <f>+(T273/T267-1)*100</f>
        <v>-6.8673166596015189</v>
      </c>
      <c r="V273" s="322">
        <v>3.5000000000000003E-2</v>
      </c>
      <c r="W273" s="308">
        <f>+(V273/V267-1)*100</f>
        <v>0</v>
      </c>
      <c r="X273" s="308"/>
      <c r="Y273" s="308"/>
      <c r="Z273" s="322"/>
      <c r="AA273" s="308"/>
      <c r="AB273" s="322">
        <v>3.7269999999999999</v>
      </c>
      <c r="AC273" s="308">
        <f>+(AB273/AB267-1)*100</f>
        <v>-6.3097033685269093</v>
      </c>
      <c r="AD273" s="307"/>
      <c r="AE273" s="308"/>
      <c r="AF273" s="307"/>
      <c r="AG273" s="308"/>
      <c r="AH273" s="307"/>
      <c r="AI273" s="308"/>
      <c r="AJ273" s="307"/>
      <c r="AK273" s="308"/>
      <c r="AL273" s="307"/>
      <c r="AM273" s="308"/>
      <c r="AN273" s="307"/>
      <c r="AO273" s="308"/>
      <c r="AP273" s="30"/>
      <c r="AQ273" s="453">
        <f>+J273+L273+N273+P273+R273+T273+V273+AB273+AD273+AF273+AH273+AJ273+AL273+AN273</f>
        <v>20.145</v>
      </c>
      <c r="AR273" s="308">
        <f>+(AQ273/AQ267-1)*100</f>
        <v>-1.0608516281125691</v>
      </c>
      <c r="AS273" s="308"/>
      <c r="AT273" s="30"/>
      <c r="AU273" s="30"/>
      <c r="AV273" s="30"/>
      <c r="AW273" s="302"/>
      <c r="AX273" s="302"/>
      <c r="AY273" s="308"/>
      <c r="AZ273" s="302"/>
      <c r="BA273" s="302"/>
      <c r="BB273" s="308"/>
      <c r="BC273" s="307"/>
      <c r="BD273" s="307"/>
      <c r="BE273" s="307"/>
      <c r="BF273" s="308"/>
      <c r="BG273" s="338"/>
      <c r="BH273" s="338"/>
      <c r="BI273" s="338"/>
      <c r="BJ273" s="308"/>
      <c r="BK273" s="302"/>
      <c r="BL273" s="302"/>
      <c r="BM273" s="302"/>
      <c r="BN273" s="308"/>
      <c r="BO273" s="302"/>
      <c r="BP273" s="302"/>
      <c r="BQ273" s="307"/>
      <c r="BR273" s="307"/>
      <c r="BS273" s="308"/>
      <c r="BT273" s="302"/>
      <c r="BU273" s="302"/>
      <c r="BV273" s="302"/>
      <c r="BW273" s="302"/>
      <c r="BX273" s="308"/>
      <c r="BY273" s="302"/>
      <c r="BZ273" s="302"/>
      <c r="CA273" s="302"/>
      <c r="CB273" s="302"/>
      <c r="CC273" s="308"/>
      <c r="CD273" s="302"/>
      <c r="CE273" s="302"/>
      <c r="CF273" s="302"/>
      <c r="CG273" s="302"/>
      <c r="CH273" s="308"/>
      <c r="CI273" s="302"/>
      <c r="CJ273" s="302"/>
      <c r="CK273" s="302"/>
      <c r="CL273" s="308"/>
      <c r="CM273" s="302"/>
      <c r="CN273" s="302"/>
      <c r="CO273" s="308"/>
      <c r="CP273" s="302"/>
      <c r="CQ273" s="302"/>
      <c r="CR273" s="308"/>
      <c r="CS273" s="302"/>
      <c r="CT273" s="302"/>
      <c r="CU273" s="308"/>
      <c r="CV273" s="302"/>
      <c r="CW273" s="302"/>
      <c r="CX273" s="308"/>
      <c r="CY273" s="302"/>
      <c r="CZ273" s="302"/>
      <c r="DA273" s="308"/>
      <c r="DB273" s="302"/>
      <c r="DC273" s="302"/>
      <c r="DD273" s="308"/>
      <c r="DE273" s="302"/>
      <c r="DF273" s="302"/>
      <c r="DG273" s="308"/>
      <c r="DH273" s="306"/>
      <c r="DI273" s="306"/>
      <c r="DJ273" s="306"/>
      <c r="DK273" s="306"/>
      <c r="DL273" s="321"/>
    </row>
    <row r="274" spans="1:116" hidden="1" outlineLevel="1">
      <c r="A274" s="30" t="str">
        <f>+A92</f>
        <v>4Q</v>
      </c>
      <c r="B274" s="30" t="str">
        <f>+B92</f>
        <v>Jan</v>
      </c>
      <c r="C274" s="339"/>
      <c r="D274" s="321"/>
      <c r="E274" s="308"/>
      <c r="F274" s="321"/>
      <c r="G274" s="317"/>
      <c r="H274" s="317"/>
      <c r="I274" s="317"/>
      <c r="J274" s="322">
        <v>4.6630000000000003</v>
      </c>
      <c r="K274" s="308">
        <f>+(J274/J268-1)*100</f>
        <v>4.5984746523104469</v>
      </c>
      <c r="L274" s="322">
        <v>3.5680000000000001</v>
      </c>
      <c r="M274" s="308">
        <f>+(L274/L268-1)*100</f>
        <v>3.0320531331215594</v>
      </c>
      <c r="N274" s="322">
        <v>3.927</v>
      </c>
      <c r="O274" s="308">
        <f>+(N274/N268-1)*100</f>
        <v>-8.2476635514018746</v>
      </c>
      <c r="P274" s="322">
        <v>1.458</v>
      </c>
      <c r="Q274" s="308">
        <f>+(P274/P268-1)*100</f>
        <v>-17.812852311161219</v>
      </c>
      <c r="R274" s="326">
        <v>0.46700000000000003</v>
      </c>
      <c r="S274" s="308"/>
      <c r="T274" s="322">
        <v>2.1789999999999998</v>
      </c>
      <c r="U274" s="308">
        <f>+(T274/T268-1)*100</f>
        <v>-5.7933419801124213</v>
      </c>
      <c r="V274" s="314">
        <f>+V262+BO274+BP274</f>
        <v>3.5000000000000003E-2</v>
      </c>
      <c r="W274" s="308">
        <f>+(V274/V268-1)*100</f>
        <v>0</v>
      </c>
      <c r="X274" s="308"/>
      <c r="Y274" s="308"/>
      <c r="Z274" s="322"/>
      <c r="AA274" s="308"/>
      <c r="AB274" s="322">
        <v>0</v>
      </c>
      <c r="AC274" s="308">
        <f>+(AB274/AB268-1)*100</f>
        <v>-100</v>
      </c>
      <c r="AD274" s="307"/>
      <c r="AE274" s="308"/>
      <c r="AF274" s="307"/>
      <c r="AG274" s="308"/>
      <c r="AH274" s="307"/>
      <c r="AI274" s="308"/>
      <c r="AJ274" s="307"/>
      <c r="AK274" s="308"/>
      <c r="AL274" s="307"/>
      <c r="AM274" s="308"/>
      <c r="AN274" s="307"/>
      <c r="AO274" s="308"/>
      <c r="AP274" s="30"/>
      <c r="AQ274" s="453">
        <f>+J274+L274+N274+P274+R274+T274+V274+AB274+AD274+AF274+AH274+AJ274+AL274+AN274</f>
        <v>16.297000000000001</v>
      </c>
      <c r="AR274" s="308">
        <f>+(AQ274/AQ268-1)*100</f>
        <v>-19.10552963367418</v>
      </c>
      <c r="AS274" s="308"/>
      <c r="AT274" s="30"/>
      <c r="AU274" s="30"/>
      <c r="AV274" s="30"/>
      <c r="AW274" s="341"/>
      <c r="AX274" s="341"/>
      <c r="AY274" s="24"/>
      <c r="AZ274" s="341"/>
      <c r="BA274" s="341"/>
      <c r="BB274" s="24"/>
      <c r="BC274" s="341"/>
      <c r="BD274" s="341"/>
      <c r="BE274" s="341"/>
      <c r="BF274" s="24"/>
      <c r="BG274" s="340">
        <f>0.203</f>
        <v>0.20300000000000001</v>
      </c>
      <c r="BH274" s="340">
        <v>-5.8999999999999997E-2</v>
      </c>
      <c r="BI274" s="340">
        <v>7.6999999999999999E-2</v>
      </c>
      <c r="BJ274" s="368"/>
      <c r="BK274" s="340">
        <f>0.118</f>
        <v>0.11799999999999999</v>
      </c>
      <c r="BL274" s="340">
        <v>-4.2999999999999997E-2</v>
      </c>
      <c r="BM274" s="340">
        <v>3.6999999999999998E-2</v>
      </c>
      <c r="BN274" s="368"/>
      <c r="BO274" s="340">
        <v>0</v>
      </c>
      <c r="BP274" s="340">
        <v>0</v>
      </c>
      <c r="BQ274" s="340"/>
      <c r="BR274" s="340"/>
      <c r="BS274" s="368"/>
      <c r="BT274" s="340">
        <v>5.5E-2</v>
      </c>
      <c r="BU274" s="340">
        <f>-0.061</f>
        <v>-6.0999999999999999E-2</v>
      </c>
      <c r="BV274" s="340">
        <v>-0.27100000000000002</v>
      </c>
      <c r="BW274" s="340">
        <v>-1.2999999999999999E-2</v>
      </c>
      <c r="BX274" s="368"/>
      <c r="BY274" s="340">
        <v>0</v>
      </c>
      <c r="BZ274" s="340">
        <f>-0.215</f>
        <v>-0.215</v>
      </c>
      <c r="CA274" s="340">
        <v>-7.0000000000000007E-2</v>
      </c>
      <c r="CB274" s="340">
        <v>0</v>
      </c>
      <c r="CC274" s="368"/>
      <c r="CD274" s="340">
        <f>0.08</f>
        <v>0.08</v>
      </c>
      <c r="CE274" s="340">
        <v>0</v>
      </c>
      <c r="CF274" s="340">
        <v>0.37</v>
      </c>
      <c r="CG274" s="340"/>
      <c r="CH274" s="368"/>
      <c r="CI274" s="340">
        <v>5.0000000000000001E-3</v>
      </c>
      <c r="CJ274" s="340">
        <f>-0.078</f>
        <v>-7.8E-2</v>
      </c>
      <c r="CK274" s="340">
        <v>-3.1E-2</v>
      </c>
      <c r="CL274" s="368"/>
      <c r="CM274" s="340"/>
      <c r="CN274" s="340"/>
      <c r="CO274" s="368"/>
      <c r="CP274" s="340"/>
      <c r="CQ274" s="340"/>
      <c r="CR274" s="24"/>
      <c r="CS274" s="24"/>
      <c r="CT274" s="305"/>
      <c r="CU274" s="24"/>
      <c r="CV274" s="24"/>
      <c r="CW274" s="305"/>
      <c r="CX274" s="24"/>
      <c r="CY274" s="24"/>
      <c r="CZ274" s="305"/>
      <c r="DA274" s="24"/>
      <c r="DB274" s="24"/>
      <c r="DC274" s="305"/>
      <c r="DD274" s="24"/>
      <c r="DE274" s="24"/>
      <c r="DF274" s="305"/>
      <c r="DG274" s="24"/>
      <c r="DH274" s="342">
        <f>+BG274+BK274+BT274+BY274+CD274+CI274+BO274+CP274+CS274+CV274+CY274+DB274+DE274</f>
        <v>0.46100000000000002</v>
      </c>
      <c r="DI274" s="342">
        <f>+BH274+BL274+BU274+BZ274+CE274+CJ274+BP274+CQ274+CT274+CW274+CZ274+DC274+DF274</f>
        <v>-0.45600000000000002</v>
      </c>
      <c r="DJ274" s="342">
        <f>+BI274+BM274+BW274+CB274+CG274+CK274</f>
        <v>6.9999999999999993E-2</v>
      </c>
      <c r="DK274" s="342">
        <f>+BJ274+BS274+BX274+CC274+CH274+BN274</f>
        <v>0</v>
      </c>
      <c r="DL274" s="630"/>
    </row>
    <row r="275" spans="1:116" hidden="1" outlineLevel="1">
      <c r="A275" s="30"/>
      <c r="B275" s="30"/>
      <c r="C275" s="30"/>
      <c r="D275" s="30"/>
      <c r="E275" s="30"/>
      <c r="F275" s="30"/>
      <c r="G275" s="318"/>
      <c r="H275" s="318"/>
      <c r="I275" s="318"/>
      <c r="J275" s="30"/>
      <c r="K275" s="319"/>
      <c r="L275" s="30"/>
      <c r="M275" s="30"/>
      <c r="N275" s="30"/>
      <c r="O275" s="30"/>
      <c r="P275" s="30"/>
      <c r="Q275" s="30"/>
      <c r="R275" s="30"/>
      <c r="S275" s="30"/>
      <c r="T275" s="30"/>
      <c r="U275" s="30"/>
      <c r="V275" s="314"/>
      <c r="W275" s="378"/>
      <c r="X275" s="378"/>
      <c r="Y275" s="378"/>
      <c r="Z275" s="30"/>
      <c r="AA275" s="378"/>
      <c r="AB275" s="30"/>
      <c r="AC275" s="30"/>
      <c r="AD275" s="30"/>
      <c r="AE275" s="30"/>
      <c r="AF275" s="30"/>
      <c r="AG275" s="30"/>
      <c r="AH275" s="30"/>
      <c r="AI275" s="30"/>
      <c r="AJ275" s="30"/>
      <c r="AK275" s="30"/>
      <c r="AL275" s="30"/>
      <c r="AM275" s="30"/>
      <c r="AN275" s="30"/>
      <c r="AO275" s="30"/>
      <c r="AP275" s="30"/>
      <c r="AQ275" s="453"/>
      <c r="AR275" s="30"/>
      <c r="AS275" s="30"/>
      <c r="AT275" s="140"/>
      <c r="AU275" s="30"/>
      <c r="AV275" s="30"/>
      <c r="AW275" s="30"/>
      <c r="AX275" s="30"/>
      <c r="AY275" s="30"/>
      <c r="AZ275" s="30"/>
      <c r="BA275" s="318"/>
      <c r="BB275" s="30"/>
      <c r="BC275" s="318"/>
      <c r="BD275" s="318"/>
      <c r="BE275" s="318"/>
      <c r="BF275" s="30"/>
      <c r="BG275" s="30"/>
      <c r="BH275" s="318"/>
      <c r="BI275" s="318"/>
      <c r="BJ275" s="30"/>
      <c r="BK275" s="30"/>
      <c r="BL275" s="318"/>
      <c r="BM275" s="318"/>
      <c r="BN275" s="30"/>
      <c r="BO275" s="30"/>
      <c r="BP275" s="318"/>
      <c r="BQ275" s="318"/>
      <c r="BR275" s="318"/>
      <c r="BS275" s="30"/>
      <c r="BT275" s="30"/>
      <c r="BU275" s="318"/>
      <c r="BV275" s="318"/>
      <c r="BW275" s="318"/>
      <c r="BX275" s="30"/>
      <c r="BY275" s="30"/>
      <c r="BZ275" s="318"/>
      <c r="CA275" s="318"/>
      <c r="CB275" s="318"/>
      <c r="CC275" s="30"/>
      <c r="CD275" s="30"/>
      <c r="CE275" s="318"/>
      <c r="CF275" s="318"/>
      <c r="CG275" s="318"/>
      <c r="CH275" s="30"/>
      <c r="CI275" s="30"/>
      <c r="CJ275" s="318"/>
      <c r="CK275" s="318"/>
      <c r="CL275" s="30"/>
      <c r="CM275" s="30"/>
      <c r="CN275" s="318"/>
      <c r="CO275" s="30"/>
      <c r="CP275" s="30"/>
      <c r="CQ275" s="318"/>
      <c r="CR275" s="30"/>
      <c r="CS275" s="30"/>
      <c r="CT275" s="318"/>
      <c r="CU275" s="30"/>
      <c r="CV275" s="30"/>
      <c r="CW275" s="318"/>
      <c r="CX275" s="30"/>
      <c r="CY275" s="30"/>
      <c r="CZ275" s="318"/>
      <c r="DA275" s="30"/>
      <c r="DB275" s="30"/>
      <c r="DC275" s="318"/>
      <c r="DD275" s="30"/>
      <c r="DE275" s="30"/>
      <c r="DF275" s="318"/>
      <c r="DG275" s="30"/>
      <c r="DH275" s="30"/>
      <c r="DI275" s="318"/>
      <c r="DJ275" s="318"/>
      <c r="DK275" s="318"/>
      <c r="DL275" s="318"/>
    </row>
    <row r="276" spans="1:116" hidden="1" outlineLevel="1">
      <c r="A276" s="301"/>
      <c r="B276" s="312">
        <f>+B94</f>
        <v>2003</v>
      </c>
      <c r="C276" s="30"/>
      <c r="D276" s="30"/>
      <c r="E276" s="310"/>
      <c r="F276" s="30"/>
      <c r="G276" s="318"/>
      <c r="H276" s="318"/>
      <c r="I276" s="318"/>
      <c r="J276" s="314"/>
      <c r="K276" s="319"/>
      <c r="L276" s="30"/>
      <c r="M276" s="310"/>
      <c r="N276" s="30"/>
      <c r="O276" s="310"/>
      <c r="P276" s="30"/>
      <c r="Q276" s="30"/>
      <c r="R276" s="30"/>
      <c r="S276" s="310"/>
      <c r="T276" s="30"/>
      <c r="U276" s="310"/>
      <c r="V276" s="314"/>
      <c r="W276" s="319"/>
      <c r="X276" s="319"/>
      <c r="Y276" s="319"/>
      <c r="Z276" s="30"/>
      <c r="AA276" s="319"/>
      <c r="AB276" s="30"/>
      <c r="AC276" s="310"/>
      <c r="AD276" s="30"/>
      <c r="AE276" s="310"/>
      <c r="AF276" s="30"/>
      <c r="AG276" s="310"/>
      <c r="AH276" s="30"/>
      <c r="AI276" s="310"/>
      <c r="AJ276" s="30"/>
      <c r="AK276" s="310"/>
      <c r="AL276" s="30"/>
      <c r="AM276" s="310"/>
      <c r="AN276" s="30"/>
      <c r="AO276" s="310"/>
      <c r="AP276" s="30"/>
      <c r="AQ276" s="453"/>
      <c r="AR276" s="310"/>
      <c r="AS276" s="310"/>
      <c r="AT276" s="30"/>
      <c r="AU276" s="30"/>
      <c r="AV276" s="30"/>
      <c r="AW276" s="30"/>
      <c r="AX276" s="310"/>
      <c r="AY276" s="310"/>
      <c r="AZ276" s="30"/>
      <c r="BA276" s="318"/>
      <c r="BB276" s="310"/>
      <c r="BC276" s="318"/>
      <c r="BD276" s="318"/>
      <c r="BE276" s="318"/>
      <c r="BF276" s="310"/>
      <c r="BG276" s="30"/>
      <c r="BH276" s="318"/>
      <c r="BI276" s="318"/>
      <c r="BJ276" s="310"/>
      <c r="BK276" s="30"/>
      <c r="BL276" s="318"/>
      <c r="BM276" s="318"/>
      <c r="BN276" s="310"/>
      <c r="BO276" s="30"/>
      <c r="BP276" s="318"/>
      <c r="BQ276" s="318"/>
      <c r="BR276" s="318"/>
      <c r="BS276" s="310"/>
      <c r="BT276" s="30"/>
      <c r="BU276" s="318"/>
      <c r="BV276" s="318"/>
      <c r="BW276" s="318"/>
      <c r="BX276" s="310"/>
      <c r="BY276" s="30"/>
      <c r="BZ276" s="318"/>
      <c r="CA276" s="318"/>
      <c r="CB276" s="318"/>
      <c r="CC276" s="310"/>
      <c r="CD276" s="30"/>
      <c r="CE276" s="318"/>
      <c r="CF276" s="318"/>
      <c r="CG276" s="318"/>
      <c r="CH276" s="310"/>
      <c r="CI276" s="30"/>
      <c r="CJ276" s="318"/>
      <c r="CK276" s="318"/>
      <c r="CL276" s="310"/>
      <c r="CM276" s="30"/>
      <c r="CN276" s="318"/>
      <c r="CO276" s="310"/>
      <c r="CP276" s="30"/>
      <c r="CQ276" s="318"/>
      <c r="CR276" s="310"/>
      <c r="CS276" s="30"/>
      <c r="CT276" s="318"/>
      <c r="CU276" s="310"/>
      <c r="CV276" s="30"/>
      <c r="CW276" s="318"/>
      <c r="CX276" s="310"/>
      <c r="CY276" s="30"/>
      <c r="CZ276" s="318"/>
      <c r="DA276" s="310"/>
      <c r="DB276" s="30"/>
      <c r="DC276" s="318"/>
      <c r="DD276" s="310"/>
      <c r="DE276" s="30"/>
      <c r="DF276" s="318"/>
      <c r="DG276" s="310"/>
      <c r="DH276" s="30"/>
      <c r="DI276" s="318"/>
      <c r="DJ276" s="318"/>
      <c r="DK276" s="318"/>
      <c r="DL276" s="318"/>
    </row>
    <row r="277" spans="1:116" hidden="1" outlineLevel="1">
      <c r="A277" s="30" t="str">
        <f>+A95</f>
        <v>1Q</v>
      </c>
      <c r="B277" s="30" t="str">
        <f>+B95</f>
        <v>Apr</v>
      </c>
      <c r="C277" s="30"/>
      <c r="D277" s="321"/>
      <c r="E277" s="308"/>
      <c r="F277" s="321"/>
      <c r="G277" s="317"/>
      <c r="H277" s="317"/>
      <c r="I277" s="317"/>
      <c r="J277" s="322">
        <v>4.6539999999999999</v>
      </c>
      <c r="K277" s="308">
        <f>+(J277/J271-1)*100</f>
        <v>3.860745369337204</v>
      </c>
      <c r="L277" s="322">
        <v>3.5569999999999999</v>
      </c>
      <c r="M277" s="308">
        <f>+(L277/L271-1)*100</f>
        <v>1.8613974799541744</v>
      </c>
      <c r="N277" s="322">
        <v>3.8679999999999999</v>
      </c>
      <c r="O277" s="308">
        <f>+(N277/N271-1)*100</f>
        <v>-8.3629471689173229</v>
      </c>
      <c r="P277" s="322">
        <v>1.4159999999999999</v>
      </c>
      <c r="Q277" s="308">
        <f>+(P277/P271-1)*100</f>
        <v>-17.578579743888245</v>
      </c>
      <c r="R277" s="326">
        <v>0.47</v>
      </c>
      <c r="S277" s="367" t="s">
        <v>886</v>
      </c>
      <c r="T277" s="322">
        <v>2.1469999999999998</v>
      </c>
      <c r="U277" s="308">
        <f>+(T277/T271-1)*100</f>
        <v>-3.3318325078793509</v>
      </c>
      <c r="V277" s="322">
        <v>3.5000000000000003E-2</v>
      </c>
      <c r="W277" s="308">
        <f>+(V277/V271-1)*100</f>
        <v>0</v>
      </c>
      <c r="X277" s="308"/>
      <c r="Y277" s="308"/>
      <c r="Z277" s="322"/>
      <c r="AA277" s="308"/>
      <c r="AB277" s="322"/>
      <c r="AC277" s="308"/>
      <c r="AD277" s="307"/>
      <c r="AE277" s="308"/>
      <c r="AF277" s="307"/>
      <c r="AG277" s="308"/>
      <c r="AH277" s="307"/>
      <c r="AI277" s="308"/>
      <c r="AJ277" s="307"/>
      <c r="AK277" s="308"/>
      <c r="AL277" s="307"/>
      <c r="AM277" s="308"/>
      <c r="AN277" s="307"/>
      <c r="AO277" s="308"/>
      <c r="AP277" s="30"/>
      <c r="AQ277" s="453">
        <f>+J277+L277+N277+P277+R277+T277+V277+AB277+AD277+AF277+AH277+AJ277+AL277+AN277</f>
        <v>16.147000000000002</v>
      </c>
      <c r="AR277" s="308">
        <f>+(AQ277/AQ271-1)*100</f>
        <v>-19.042366507896702</v>
      </c>
      <c r="AS277" s="308"/>
      <c r="AT277" s="30"/>
      <c r="AU277" s="30"/>
      <c r="AV277" s="30"/>
      <c r="AW277" s="321"/>
      <c r="AX277" s="308"/>
      <c r="AY277" s="308"/>
      <c r="AZ277" s="321"/>
      <c r="BA277" s="317"/>
      <c r="BB277" s="308"/>
      <c r="BC277" s="317"/>
      <c r="BD277" s="317"/>
      <c r="BE277" s="317"/>
      <c r="BF277" s="308"/>
      <c r="BG277" s="322"/>
      <c r="BH277" s="317"/>
      <c r="BI277" s="317"/>
      <c r="BJ277" s="308"/>
      <c r="BK277" s="322"/>
      <c r="BL277" s="317"/>
      <c r="BM277" s="317"/>
      <c r="BN277" s="308"/>
      <c r="BO277" s="322"/>
      <c r="BP277" s="317"/>
      <c r="BQ277" s="317"/>
      <c r="BR277" s="317"/>
      <c r="BS277" s="308"/>
      <c r="BT277" s="322"/>
      <c r="BU277" s="317"/>
      <c r="BV277" s="317"/>
      <c r="BW277" s="317"/>
      <c r="BX277" s="308"/>
      <c r="BY277" s="322"/>
      <c r="BZ277" s="317"/>
      <c r="CA277" s="317"/>
      <c r="CB277" s="317"/>
      <c r="CC277" s="308"/>
      <c r="CD277" s="307"/>
      <c r="CE277" s="317"/>
      <c r="CF277" s="317"/>
      <c r="CG277" s="317"/>
      <c r="CH277" s="308"/>
      <c r="CI277" s="322"/>
      <c r="CJ277" s="317"/>
      <c r="CK277" s="317"/>
      <c r="CL277" s="308"/>
      <c r="CM277" s="322"/>
      <c r="CN277" s="317"/>
      <c r="CO277" s="308"/>
      <c r="CP277" s="322"/>
      <c r="CQ277" s="317"/>
      <c r="CR277" s="308"/>
      <c r="CS277" s="322"/>
      <c r="CT277" s="317"/>
      <c r="CU277" s="308"/>
      <c r="CV277" s="322"/>
      <c r="CW277" s="317"/>
      <c r="CX277" s="308"/>
      <c r="CY277" s="322"/>
      <c r="CZ277" s="317"/>
      <c r="DA277" s="308"/>
      <c r="DB277" s="322"/>
      <c r="DC277" s="317"/>
      <c r="DD277" s="308"/>
      <c r="DE277" s="322"/>
      <c r="DF277" s="317"/>
      <c r="DG277" s="308"/>
      <c r="DH277" s="322"/>
      <c r="DI277" s="317"/>
      <c r="DJ277" s="317"/>
      <c r="DK277" s="317"/>
      <c r="DL277" s="317"/>
    </row>
    <row r="278" spans="1:116" hidden="1" outlineLevel="1">
      <c r="A278" s="30" t="str">
        <f>+A96</f>
        <v>2Q</v>
      </c>
      <c r="B278" s="30" t="str">
        <f>+B96</f>
        <v>Jul</v>
      </c>
      <c r="C278" s="30"/>
      <c r="D278" s="321"/>
      <c r="E278" s="308"/>
      <c r="F278" s="321"/>
      <c r="G278" s="317"/>
      <c r="H278" s="317"/>
      <c r="I278" s="317"/>
      <c r="J278" s="322">
        <v>4.6660000000000004</v>
      </c>
      <c r="K278" s="308">
        <f>+(J278/J272-1)*100</f>
        <v>2.8432885166409516</v>
      </c>
      <c r="L278" s="322">
        <v>3.5510000000000002</v>
      </c>
      <c r="M278" s="308">
        <f>+(L278/L272-1)*100</f>
        <v>1.3124108416547875</v>
      </c>
      <c r="N278" s="322">
        <v>3.73</v>
      </c>
      <c r="O278" s="308">
        <f>+(N278/N272-1)*100</f>
        <v>-7.4900793650793602</v>
      </c>
      <c r="P278" s="322">
        <v>1.32</v>
      </c>
      <c r="Q278" s="308">
        <f>+(P278/P272-1)*100</f>
        <v>-15.654952076677308</v>
      </c>
      <c r="R278" s="326">
        <v>0.59699999999999998</v>
      </c>
      <c r="S278" s="308">
        <f>+(R278/R272-1)*100</f>
        <v>121.11111111111109</v>
      </c>
      <c r="T278" s="322">
        <v>2.1259999999999999</v>
      </c>
      <c r="U278" s="308">
        <f>+(T278/T272-1)*100</f>
        <v>-3.8444142921754798</v>
      </c>
      <c r="V278" s="322">
        <v>3.5000000000000003E-2</v>
      </c>
      <c r="W278" s="308">
        <f>+(V278/V272-1)*100</f>
        <v>0</v>
      </c>
      <c r="X278" s="308"/>
      <c r="Y278" s="308"/>
      <c r="Z278" s="322"/>
      <c r="AA278" s="308"/>
      <c r="AB278" s="322"/>
      <c r="AC278" s="308"/>
      <c r="AD278" s="307"/>
      <c r="AE278" s="308"/>
      <c r="AF278" s="307"/>
      <c r="AG278" s="308"/>
      <c r="AH278" s="307"/>
      <c r="AI278" s="308"/>
      <c r="AJ278" s="307"/>
      <c r="AK278" s="308"/>
      <c r="AL278" s="307"/>
      <c r="AM278" s="308"/>
      <c r="AN278" s="307"/>
      <c r="AO278" s="308"/>
      <c r="AP278" s="30"/>
      <c r="AQ278" s="453">
        <f>+J278+L278+N278+P278+R278+T278+V278+AB278+AD278+AF278+AH278+AJ278+AL278+AN278</f>
        <v>16.024999999999999</v>
      </c>
      <c r="AR278" s="308">
        <f>+(AQ278/AQ272-1)*100</f>
        <v>-19.439975869696347</v>
      </c>
      <c r="AS278" s="308"/>
      <c r="AT278" s="30"/>
      <c r="AU278" s="30"/>
      <c r="AV278" s="30"/>
      <c r="AW278" s="321"/>
      <c r="AX278" s="308"/>
      <c r="AY278" s="308"/>
      <c r="AZ278" s="321"/>
      <c r="BA278" s="317"/>
      <c r="BB278" s="308"/>
      <c r="BC278" s="317"/>
      <c r="BD278" s="317"/>
      <c r="BE278" s="317"/>
      <c r="BF278" s="308"/>
      <c r="BG278" s="322"/>
      <c r="BH278" s="317"/>
      <c r="BI278" s="317"/>
      <c r="BJ278" s="308"/>
      <c r="BK278" s="322"/>
      <c r="BL278" s="317"/>
      <c r="BM278" s="317"/>
      <c r="BN278" s="308"/>
      <c r="BO278" s="322"/>
      <c r="BP278" s="317"/>
      <c r="BQ278" s="317"/>
      <c r="BR278" s="317"/>
      <c r="BS278" s="308"/>
      <c r="BT278" s="322"/>
      <c r="BU278" s="317"/>
      <c r="BV278" s="317"/>
      <c r="BW278" s="317"/>
      <c r="BX278" s="308"/>
      <c r="BY278" s="322"/>
      <c r="BZ278" s="317"/>
      <c r="CA278" s="317"/>
      <c r="CB278" s="317"/>
      <c r="CC278" s="308"/>
      <c r="CD278" s="326"/>
      <c r="CE278" s="317"/>
      <c r="CF278" s="317"/>
      <c r="CG278" s="317"/>
      <c r="CH278" s="308"/>
      <c r="CI278" s="322"/>
      <c r="CJ278" s="317"/>
      <c r="CK278" s="317"/>
      <c r="CL278" s="308"/>
      <c r="CM278" s="322"/>
      <c r="CN278" s="317"/>
      <c r="CO278" s="308"/>
      <c r="CP278" s="322"/>
      <c r="CQ278" s="317"/>
      <c r="CR278" s="308"/>
      <c r="CS278" s="322"/>
      <c r="CT278" s="317"/>
      <c r="CU278" s="308"/>
      <c r="CV278" s="322"/>
      <c r="CW278" s="317"/>
      <c r="CX278" s="308"/>
      <c r="CY278" s="322"/>
      <c r="CZ278" s="317"/>
      <c r="DA278" s="308"/>
      <c r="DB278" s="322"/>
      <c r="DC278" s="317"/>
      <c r="DD278" s="308"/>
      <c r="DE278" s="322"/>
      <c r="DF278" s="317"/>
      <c r="DG278" s="308"/>
      <c r="DH278" s="322"/>
      <c r="DI278" s="317"/>
      <c r="DJ278" s="317"/>
      <c r="DK278" s="317"/>
      <c r="DL278" s="317"/>
    </row>
    <row r="279" spans="1:116" hidden="1" outlineLevel="1">
      <c r="A279" s="30" t="str">
        <f>+A97</f>
        <v>3Q</v>
      </c>
      <c r="B279" s="30" t="str">
        <f>+B97</f>
        <v>Oct</v>
      </c>
      <c r="C279" s="30"/>
      <c r="D279" s="321"/>
      <c r="E279" s="308"/>
      <c r="F279" s="321"/>
      <c r="G279" s="317"/>
      <c r="H279" s="317"/>
      <c r="I279" s="317"/>
      <c r="J279" s="322">
        <v>4.71</v>
      </c>
      <c r="K279" s="308">
        <f>+(J279/J273-1)*100</f>
        <v>1.3775290572535459</v>
      </c>
      <c r="L279" s="322">
        <v>3.5649999999999999</v>
      </c>
      <c r="M279" s="308">
        <f>+(L279/L273-1)*100</f>
        <v>-0.14005602240896309</v>
      </c>
      <c r="N279" s="322">
        <v>3.6539999999999999</v>
      </c>
      <c r="O279" s="308">
        <f>+(N279/N273-1)*100</f>
        <v>-8.9005235602094288</v>
      </c>
      <c r="P279" s="322">
        <v>1.294</v>
      </c>
      <c r="Q279" s="308">
        <f>+(P279/P273-1)*100</f>
        <v>-16.408268733850129</v>
      </c>
      <c r="R279" s="326">
        <v>0.80600000000000005</v>
      </c>
      <c r="S279" s="308">
        <f>+(R279/R273-1)*100</f>
        <v>96.107055961070586</v>
      </c>
      <c r="T279" s="322">
        <v>2.137</v>
      </c>
      <c r="U279" s="308">
        <f>+(T279/T273-1)*100</f>
        <v>-2.73099681383705</v>
      </c>
      <c r="V279" s="322">
        <v>3.5000000000000003E-2</v>
      </c>
      <c r="W279" s="308">
        <f>+(V279/V273-1)*100</f>
        <v>0</v>
      </c>
      <c r="X279" s="308"/>
      <c r="Y279" s="308"/>
      <c r="Z279" s="322"/>
      <c r="AA279" s="308"/>
      <c r="AB279" s="322"/>
      <c r="AC279" s="308"/>
      <c r="AD279" s="307"/>
      <c r="AE279" s="308"/>
      <c r="AF279" s="307"/>
      <c r="AG279" s="308"/>
      <c r="AH279" s="307"/>
      <c r="AI279" s="308"/>
      <c r="AJ279" s="307"/>
      <c r="AK279" s="308"/>
      <c r="AL279" s="307"/>
      <c r="AM279" s="308"/>
      <c r="AN279" s="307"/>
      <c r="AO279" s="308"/>
      <c r="AP279" s="30"/>
      <c r="AQ279" s="453">
        <f>+J279+L279+N279+P279+R279+T279+V279+AB279+AD279+AF279+AH279+AJ279+AL279+AN279</f>
        <v>16.201000000000001</v>
      </c>
      <c r="AR279" s="308">
        <f>+(AQ279/AQ273-1)*100</f>
        <v>-19.57805907172996</v>
      </c>
      <c r="AS279" s="308"/>
      <c r="AT279" s="30"/>
      <c r="AU279" s="30"/>
      <c r="AV279" s="30"/>
      <c r="AW279" s="302"/>
      <c r="AX279" s="302"/>
      <c r="AY279" s="308"/>
      <c r="AZ279" s="302"/>
      <c r="BA279" s="302"/>
      <c r="BB279" s="308"/>
      <c r="BC279" s="307"/>
      <c r="BD279" s="307"/>
      <c r="BE279" s="307"/>
      <c r="BF279" s="308"/>
      <c r="BG279" s="338"/>
      <c r="BH279" s="338"/>
      <c r="BI279" s="338"/>
      <c r="BJ279" s="308"/>
      <c r="BK279" s="302"/>
      <c r="BL279" s="302"/>
      <c r="BM279" s="302"/>
      <c r="BN279" s="308"/>
      <c r="BO279" s="302"/>
      <c r="BP279" s="302"/>
      <c r="BQ279" s="307"/>
      <c r="BR279" s="307"/>
      <c r="BS279" s="308"/>
      <c r="BT279" s="302"/>
      <c r="BU279" s="302"/>
      <c r="BV279" s="302"/>
      <c r="BW279" s="302"/>
      <c r="BX279" s="308"/>
      <c r="BY279" s="302"/>
      <c r="BZ279" s="302"/>
      <c r="CA279" s="302"/>
      <c r="CB279" s="302"/>
      <c r="CC279" s="308"/>
      <c r="CD279" s="302"/>
      <c r="CE279" s="302"/>
      <c r="CF279" s="302"/>
      <c r="CG279" s="302"/>
      <c r="CH279" s="308"/>
      <c r="CI279" s="302"/>
      <c r="CJ279" s="302"/>
      <c r="CK279" s="302"/>
      <c r="CL279" s="308"/>
      <c r="CM279" s="302"/>
      <c r="CN279" s="302"/>
      <c r="CO279" s="308"/>
      <c r="CP279" s="302"/>
      <c r="CQ279" s="302"/>
      <c r="CR279" s="308"/>
      <c r="CS279" s="302"/>
      <c r="CT279" s="302"/>
      <c r="CU279" s="308"/>
      <c r="CV279" s="302"/>
      <c r="CW279" s="302"/>
      <c r="CX279" s="308"/>
      <c r="CY279" s="302"/>
      <c r="CZ279" s="302"/>
      <c r="DA279" s="308"/>
      <c r="DB279" s="302"/>
      <c r="DC279" s="302"/>
      <c r="DD279" s="308"/>
      <c r="DE279" s="302"/>
      <c r="DF279" s="302"/>
      <c r="DG279" s="308"/>
      <c r="DH279" s="306"/>
      <c r="DI279" s="306"/>
      <c r="DJ279" s="306"/>
      <c r="DK279" s="306"/>
      <c r="DL279" s="321"/>
    </row>
    <row r="280" spans="1:116" hidden="1" outlineLevel="1">
      <c r="A280" s="30" t="str">
        <f>+A98</f>
        <v>4Q</v>
      </c>
      <c r="B280" s="30" t="str">
        <f>+B98</f>
        <v>Jan</v>
      </c>
      <c r="C280" s="339"/>
      <c r="D280" s="321"/>
      <c r="E280" s="308"/>
      <c r="F280" s="321"/>
      <c r="G280" s="317"/>
      <c r="H280" s="317"/>
      <c r="I280" s="317"/>
      <c r="J280" s="322">
        <v>4.7350000000000003</v>
      </c>
      <c r="K280" s="308">
        <f>+(J280/J274-1)*100</f>
        <v>1.5440703409822065</v>
      </c>
      <c r="L280" s="322">
        <v>3.5419999999999998</v>
      </c>
      <c r="M280" s="308">
        <f>+(L280/L274-1)*100</f>
        <v>-0.72869955156951161</v>
      </c>
      <c r="N280" s="322">
        <v>3.5030000000000001</v>
      </c>
      <c r="O280" s="308">
        <f>+(N280/N274-1)*100</f>
        <v>-10.797046091163731</v>
      </c>
      <c r="P280" s="322">
        <v>1.179</v>
      </c>
      <c r="Q280" s="308">
        <f>+(P280/P274-1)*100</f>
        <v>-19.135802469135797</v>
      </c>
      <c r="R280" s="326">
        <v>0.94399999999999995</v>
      </c>
      <c r="S280" s="308">
        <f>+(R280/R274-1)*100</f>
        <v>102.14132762312632</v>
      </c>
      <c r="T280" s="322">
        <v>2.1</v>
      </c>
      <c r="U280" s="308">
        <f>+(T280/T274-1)*100</f>
        <v>-3.6255162918769956</v>
      </c>
      <c r="V280" s="314">
        <f>+V274+BO280+BP280</f>
        <v>3.5000000000000003E-2</v>
      </c>
      <c r="W280" s="308">
        <f>+(V280/V274-1)*100</f>
        <v>0</v>
      </c>
      <c r="X280" s="308"/>
      <c r="Y280" s="308"/>
      <c r="Z280" s="322"/>
      <c r="AA280" s="308"/>
      <c r="AB280" s="314"/>
      <c r="AC280" s="308"/>
      <c r="AD280" s="307"/>
      <c r="AE280" s="308"/>
      <c r="AF280" s="307"/>
      <c r="AG280" s="308"/>
      <c r="AH280" s="307"/>
      <c r="AI280" s="308"/>
      <c r="AJ280" s="307"/>
      <c r="AK280" s="308"/>
      <c r="AL280" s="307"/>
      <c r="AM280" s="308"/>
      <c r="AN280" s="307"/>
      <c r="AO280" s="308"/>
      <c r="AP280" s="30"/>
      <c r="AQ280" s="453">
        <f>+J280+L280+N280+P280+R280+T280+V280+AB280+AD280+AF280+AH280+AJ280+AL280+AN280</f>
        <v>16.038000000000004</v>
      </c>
      <c r="AR280" s="308">
        <f>+(AQ280/AQ274-1)*100</f>
        <v>-1.5892495551328323</v>
      </c>
      <c r="AS280" s="308"/>
      <c r="AT280" s="30"/>
      <c r="AU280" s="30"/>
      <c r="AV280" s="30"/>
      <c r="AW280" s="341"/>
      <c r="AX280" s="341"/>
      <c r="AY280" s="24"/>
      <c r="AZ280" s="341"/>
      <c r="BA280" s="341"/>
      <c r="BB280" s="24"/>
      <c r="BC280" s="341"/>
      <c r="BD280" s="341"/>
      <c r="BE280" s="341"/>
      <c r="BF280" s="24"/>
      <c r="BG280" s="340">
        <v>5.2999999999999999E-2</v>
      </c>
      <c r="BH280" s="340">
        <v>-5.5E-2</v>
      </c>
      <c r="BI280" s="340">
        <v>5.7000000000000002E-2</v>
      </c>
      <c r="BJ280" s="368"/>
      <c r="BK280" s="340">
        <v>1.7000000000000001E-2</v>
      </c>
      <c r="BL280" s="340">
        <v>-7.0999999999999994E-2</v>
      </c>
      <c r="BM280" s="340">
        <v>3.1E-2</v>
      </c>
      <c r="BN280" s="368"/>
      <c r="BO280" s="340">
        <v>0</v>
      </c>
      <c r="BP280" s="340">
        <v>0</v>
      </c>
      <c r="BQ280" s="340"/>
      <c r="BR280" s="340"/>
      <c r="BS280" s="368"/>
      <c r="BT280" s="340">
        <v>1.0999999999999999E-2</v>
      </c>
      <c r="BU280" s="340">
        <v>-8.6999999999999994E-2</v>
      </c>
      <c r="BV280" s="340">
        <v>-0.35099999999999998</v>
      </c>
      <c r="BW280" s="340">
        <v>0</v>
      </c>
      <c r="BX280" s="368"/>
      <c r="BY280" s="340">
        <v>0</v>
      </c>
      <c r="BZ280" s="340">
        <v>-0.247</v>
      </c>
      <c r="CA280" s="340">
        <v>0</v>
      </c>
      <c r="CB280" s="340">
        <v>0</v>
      </c>
      <c r="CC280" s="368"/>
      <c r="CD280" s="340">
        <f>0.026</f>
        <v>2.5999999999999999E-2</v>
      </c>
      <c r="CE280" s="340">
        <v>0</v>
      </c>
      <c r="CF280" s="340">
        <v>0.41</v>
      </c>
      <c r="CG280" s="340">
        <v>-3.0000000000000001E-3</v>
      </c>
      <c r="CH280" s="368"/>
      <c r="CI280" s="340">
        <v>8.9999999999999993E-3</v>
      </c>
      <c r="CJ280" s="340">
        <v>-6.3E-2</v>
      </c>
      <c r="CK280" s="340">
        <v>-2.1000000000000001E-2</v>
      </c>
      <c r="CL280" s="368"/>
      <c r="CM280" s="340"/>
      <c r="CN280" s="340"/>
      <c r="CO280" s="368"/>
      <c r="CP280" s="340"/>
      <c r="CQ280" s="340"/>
      <c r="CR280" s="24"/>
      <c r="CS280" s="24"/>
      <c r="CT280" s="305"/>
      <c r="CU280" s="24"/>
      <c r="CV280" s="24"/>
      <c r="CW280" s="305"/>
      <c r="CX280" s="24"/>
      <c r="CY280" s="24"/>
      <c r="CZ280" s="305"/>
      <c r="DA280" s="24"/>
      <c r="DB280" s="24"/>
      <c r="DC280" s="305"/>
      <c r="DD280" s="24"/>
      <c r="DE280" s="24"/>
      <c r="DF280" s="305"/>
      <c r="DG280" s="24"/>
      <c r="DH280" s="342">
        <f>+BG280+BK280+BT280+BY280+CD280+CI280+BO280+CP280+CS280+CV280+CY280+DB280+DE280</f>
        <v>0.11599999999999999</v>
      </c>
      <c r="DI280" s="342">
        <f>+BH280+BL280+BU280+BZ280+CE280+CJ280+BP280+CQ280+CT280+CW280+CZ280+DC280+DF280</f>
        <v>-0.52299999999999991</v>
      </c>
      <c r="DJ280" s="342">
        <f>+BI280+BM280+BW280+CB280+CG280+CK280</f>
        <v>6.3999999999999987E-2</v>
      </c>
      <c r="DK280" s="342">
        <f>+BJ280+BS280+BX280+CC280+CH280+BN280</f>
        <v>0</v>
      </c>
      <c r="DL280" s="630"/>
    </row>
    <row r="281" spans="1:116" hidden="1" outlineLevel="1">
      <c r="A281" s="30"/>
      <c r="B281" s="30"/>
      <c r="C281" s="30"/>
      <c r="D281" s="30"/>
      <c r="E281" s="30"/>
      <c r="F281" s="30"/>
      <c r="G281" s="318"/>
      <c r="H281" s="318"/>
      <c r="I281" s="318"/>
      <c r="J281" s="30"/>
      <c r="K281" s="319"/>
      <c r="L281" s="30"/>
      <c r="M281" s="30"/>
      <c r="N281" s="30"/>
      <c r="O281" s="30"/>
      <c r="P281" s="30"/>
      <c r="Q281" s="30"/>
      <c r="R281" s="30"/>
      <c r="S281" s="30"/>
      <c r="T281" s="30"/>
      <c r="U281" s="30"/>
      <c r="V281" s="314"/>
      <c r="W281" s="378"/>
      <c r="X281" s="378"/>
      <c r="Y281" s="378"/>
      <c r="Z281" s="30"/>
      <c r="AA281" s="378"/>
      <c r="AB281" s="30"/>
      <c r="AC281" s="30"/>
      <c r="AD281" s="30"/>
      <c r="AE281" s="30"/>
      <c r="AF281" s="30"/>
      <c r="AG281" s="30"/>
      <c r="AH281" s="30"/>
      <c r="AI281" s="30"/>
      <c r="AJ281" s="30"/>
      <c r="AK281" s="30"/>
      <c r="AL281" s="30"/>
      <c r="AM281" s="30"/>
      <c r="AN281" s="30"/>
      <c r="AO281" s="30"/>
      <c r="AP281" s="30"/>
      <c r="AQ281" s="453"/>
      <c r="AR281" s="30"/>
      <c r="AS281" s="30"/>
      <c r="AT281" s="140"/>
      <c r="AU281" s="30"/>
      <c r="AV281" s="30"/>
      <c r="AW281" s="30"/>
      <c r="AX281" s="30"/>
      <c r="AY281" s="30"/>
      <c r="AZ281" s="30"/>
      <c r="BA281" s="318"/>
      <c r="BB281" s="30"/>
      <c r="BC281" s="318"/>
      <c r="BD281" s="318"/>
      <c r="BE281" s="318"/>
      <c r="BF281" s="30"/>
      <c r="BG281" s="30"/>
      <c r="BH281" s="318"/>
      <c r="BI281" s="318"/>
      <c r="BJ281" s="30"/>
      <c r="BK281" s="30"/>
      <c r="BL281" s="318"/>
      <c r="BM281" s="318"/>
      <c r="BN281" s="30"/>
      <c r="BO281" s="30"/>
      <c r="BP281" s="318"/>
      <c r="BQ281" s="318"/>
      <c r="BR281" s="318"/>
      <c r="BS281" s="30"/>
      <c r="BT281" s="30"/>
      <c r="BU281" s="318"/>
      <c r="BV281" s="318"/>
      <c r="BW281" s="318"/>
      <c r="BX281" s="30"/>
      <c r="BY281" s="30"/>
      <c r="BZ281" s="318"/>
      <c r="CA281" s="318"/>
      <c r="CB281" s="318"/>
      <c r="CC281" s="30"/>
      <c r="CD281" s="30"/>
      <c r="CE281" s="318"/>
      <c r="CF281" s="318"/>
      <c r="CG281" s="318"/>
      <c r="CH281" s="30"/>
      <c r="CI281" s="30"/>
      <c r="CJ281" s="318"/>
      <c r="CK281" s="318"/>
      <c r="CL281" s="30"/>
      <c r="CM281" s="30"/>
      <c r="CN281" s="318"/>
      <c r="CO281" s="30"/>
      <c r="CP281" s="30"/>
      <c r="CQ281" s="318"/>
      <c r="CR281" s="30"/>
      <c r="CS281" s="30"/>
      <c r="CT281" s="318"/>
      <c r="CU281" s="30"/>
      <c r="CV281" s="30"/>
      <c r="CW281" s="318"/>
      <c r="CX281" s="30"/>
      <c r="CY281" s="30"/>
      <c r="CZ281" s="318"/>
      <c r="DA281" s="30"/>
      <c r="DB281" s="30"/>
      <c r="DC281" s="318"/>
      <c r="DD281" s="30"/>
      <c r="DE281" s="30"/>
      <c r="DF281" s="318"/>
      <c r="DG281" s="30"/>
      <c r="DH281" s="30"/>
      <c r="DI281" s="318"/>
      <c r="DJ281" s="318"/>
      <c r="DK281" s="318"/>
      <c r="DL281" s="318"/>
    </row>
    <row r="282" spans="1:116" hidden="1" outlineLevel="1">
      <c r="A282" s="301"/>
      <c r="B282" s="312" t="str">
        <f>+B100</f>
        <v>2004A</v>
      </c>
      <c r="C282" s="30"/>
      <c r="D282" s="30"/>
      <c r="E282" s="310"/>
      <c r="F282" s="30"/>
      <c r="G282" s="318"/>
      <c r="H282" s="318"/>
      <c r="I282" s="318"/>
      <c r="J282" s="30"/>
      <c r="K282" s="319"/>
      <c r="L282" s="30"/>
      <c r="M282" s="310"/>
      <c r="N282" s="30"/>
      <c r="O282" s="310"/>
      <c r="P282" s="30"/>
      <c r="Q282" s="30"/>
      <c r="R282" s="30"/>
      <c r="S282" s="310"/>
      <c r="T282" s="30"/>
      <c r="U282" s="310"/>
      <c r="V282" s="314"/>
      <c r="W282" s="319"/>
      <c r="X282" s="319"/>
      <c r="Y282" s="319"/>
      <c r="Z282" s="30"/>
      <c r="AA282" s="319"/>
      <c r="AB282" s="30"/>
      <c r="AC282" s="310"/>
      <c r="AD282" s="30"/>
      <c r="AE282" s="310"/>
      <c r="AF282" s="30"/>
      <c r="AG282" s="310"/>
      <c r="AH282" s="30"/>
      <c r="AI282" s="310"/>
      <c r="AJ282" s="30"/>
      <c r="AK282" s="310"/>
      <c r="AL282" s="30"/>
      <c r="AM282" s="310"/>
      <c r="AN282" s="30"/>
      <c r="AO282" s="310"/>
      <c r="AP282" s="30"/>
      <c r="AQ282" s="453"/>
      <c r="AR282" s="310"/>
      <c r="AS282" s="310"/>
      <c r="AT282" s="30"/>
      <c r="AU282" s="30"/>
      <c r="AV282" s="30"/>
      <c r="AW282" s="30"/>
      <c r="AX282" s="310"/>
      <c r="AY282" s="310"/>
      <c r="AZ282" s="30"/>
      <c r="BA282" s="318"/>
      <c r="BB282" s="310"/>
      <c r="BC282" s="318"/>
      <c r="BD282" s="318"/>
      <c r="BE282" s="318"/>
      <c r="BF282" s="310"/>
      <c r="BG282" s="30"/>
      <c r="BH282" s="318"/>
      <c r="BI282" s="318"/>
      <c r="BJ282" s="310"/>
      <c r="BK282" s="30"/>
      <c r="BL282" s="318"/>
      <c r="BM282" s="318"/>
      <c r="BN282" s="310"/>
      <c r="BO282" s="30"/>
      <c r="BP282" s="318"/>
      <c r="BQ282" s="318"/>
      <c r="BR282" s="318"/>
      <c r="BS282" s="310"/>
      <c r="BT282" s="30"/>
      <c r="BU282" s="318"/>
      <c r="BV282" s="318"/>
      <c r="BW282" s="318"/>
      <c r="BX282" s="310"/>
      <c r="BY282" s="30"/>
      <c r="BZ282" s="318"/>
      <c r="CA282" s="318"/>
      <c r="CB282" s="318"/>
      <c r="CC282" s="310"/>
      <c r="CD282" s="30"/>
      <c r="CE282" s="318"/>
      <c r="CF282" s="318"/>
      <c r="CG282" s="318"/>
      <c r="CH282" s="310"/>
      <c r="CI282" s="30"/>
      <c r="CJ282" s="318"/>
      <c r="CK282" s="318"/>
      <c r="CL282" s="310"/>
      <c r="CM282" s="30"/>
      <c r="CN282" s="318"/>
      <c r="CO282" s="310"/>
      <c r="CP282" s="30"/>
      <c r="CQ282" s="318"/>
      <c r="CR282" s="310"/>
      <c r="CS282" s="30"/>
      <c r="CT282" s="318"/>
      <c r="CU282" s="310"/>
      <c r="CV282" s="30"/>
      <c r="CW282" s="318"/>
      <c r="CX282" s="310"/>
      <c r="CY282" s="30"/>
      <c r="CZ282" s="318"/>
      <c r="DA282" s="310"/>
      <c r="DB282" s="30"/>
      <c r="DC282" s="318"/>
      <c r="DD282" s="310"/>
      <c r="DE282" s="30"/>
      <c r="DF282" s="318"/>
      <c r="DG282" s="310"/>
      <c r="DH282" s="30"/>
      <c r="DI282" s="318"/>
      <c r="DJ282" s="318"/>
      <c r="DK282" s="318"/>
      <c r="DL282" s="318"/>
    </row>
    <row r="283" spans="1:116" hidden="1" outlineLevel="1">
      <c r="A283" s="30" t="str">
        <f>+A101</f>
        <v>1Q</v>
      </c>
      <c r="B283" s="30" t="str">
        <f>+B101</f>
        <v>Apr</v>
      </c>
      <c r="C283" s="30"/>
      <c r="D283" s="321"/>
      <c r="E283" s="308"/>
      <c r="F283" s="321"/>
      <c r="G283" s="317"/>
      <c r="H283" s="317"/>
      <c r="I283" s="317"/>
      <c r="J283" s="322">
        <v>4.7279999999999998</v>
      </c>
      <c r="K283" s="308">
        <f>+(J283/J277-1)*100</f>
        <v>1.5900300816501955</v>
      </c>
      <c r="L283" s="322">
        <v>3.5249999999999999</v>
      </c>
      <c r="M283" s="308">
        <f>+(L283/L277-1)*100</f>
        <v>-0.89963452347483486</v>
      </c>
      <c r="N283" s="322">
        <v>3.4580000000000002</v>
      </c>
      <c r="O283" s="308">
        <f>+(N283/N277-1)*100</f>
        <v>-10.599793174767314</v>
      </c>
      <c r="P283" s="322">
        <v>1.0940000000000001</v>
      </c>
      <c r="Q283" s="308">
        <f>+(P283/P277-1)*100</f>
        <v>-22.74011299435027</v>
      </c>
      <c r="R283" s="326">
        <v>1.002</v>
      </c>
      <c r="S283" s="308">
        <f>+(R283/R277-1)*100</f>
        <v>113.19148936170214</v>
      </c>
      <c r="T283" s="322">
        <v>2.0910000000000002</v>
      </c>
      <c r="U283" s="308">
        <f>+(T283/T277-1)*100</f>
        <v>-2.6082906380996529</v>
      </c>
      <c r="V283" s="322">
        <v>3.5000000000000003E-2</v>
      </c>
      <c r="W283" s="308">
        <f>+(V283/V277-1)*100</f>
        <v>0</v>
      </c>
      <c r="X283" s="308"/>
      <c r="Y283" s="308"/>
      <c r="Z283" s="322"/>
      <c r="AA283" s="308"/>
      <c r="AB283" s="322"/>
      <c r="AC283" s="308"/>
      <c r="AD283" s="307"/>
      <c r="AE283" s="308"/>
      <c r="AF283" s="307"/>
      <c r="AG283" s="308"/>
      <c r="AH283" s="307"/>
      <c r="AI283" s="308"/>
      <c r="AJ283" s="307"/>
      <c r="AK283" s="308"/>
      <c r="AL283" s="307"/>
      <c r="AM283" s="308"/>
      <c r="AN283" s="307"/>
      <c r="AO283" s="308"/>
      <c r="AP283" s="30"/>
      <c r="AQ283" s="453">
        <f>+J283+L283+N283+P283+R283+T283+V283+AB283+AD283+AF283+AH283+AJ283+AL283+AN283</f>
        <v>15.933</v>
      </c>
      <c r="AR283" s="308">
        <f>+(AQ283/AQ277-1)*100</f>
        <v>-1.3253235895212878</v>
      </c>
      <c r="AS283" s="308"/>
      <c r="AT283" s="30"/>
      <c r="AU283" s="30"/>
      <c r="AV283" s="30"/>
      <c r="AW283" s="321"/>
      <c r="AX283" s="308"/>
      <c r="AY283" s="308"/>
      <c r="AZ283" s="321"/>
      <c r="BA283" s="317"/>
      <c r="BB283" s="308"/>
      <c r="BC283" s="317"/>
      <c r="BD283" s="317"/>
      <c r="BE283" s="317"/>
      <c r="BF283" s="308"/>
      <c r="BG283" s="322"/>
      <c r="BH283" s="317"/>
      <c r="BI283" s="317"/>
      <c r="BJ283" s="308"/>
      <c r="BK283" s="322"/>
      <c r="BL283" s="317"/>
      <c r="BM283" s="317"/>
      <c r="BN283" s="308"/>
      <c r="BO283" s="322"/>
      <c r="BP283" s="317"/>
      <c r="BQ283" s="317"/>
      <c r="BR283" s="317"/>
      <c r="BS283" s="308"/>
      <c r="BT283" s="322"/>
      <c r="BU283" s="317"/>
      <c r="BV283" s="317"/>
      <c r="BW283" s="317"/>
      <c r="BX283" s="308"/>
      <c r="BY283" s="322"/>
      <c r="BZ283" s="317"/>
      <c r="CA283" s="317"/>
      <c r="CB283" s="317"/>
      <c r="CC283" s="308"/>
      <c r="CD283" s="307"/>
      <c r="CE283" s="317"/>
      <c r="CF283" s="317"/>
      <c r="CG283" s="526"/>
      <c r="CH283" s="308"/>
      <c r="CI283" s="322"/>
      <c r="CJ283" s="317"/>
      <c r="CK283" s="317"/>
      <c r="CL283" s="308"/>
      <c r="CM283" s="322"/>
      <c r="CN283" s="317"/>
      <c r="CO283" s="308"/>
      <c r="CP283" s="322"/>
      <c r="CQ283" s="317"/>
      <c r="CR283" s="308"/>
      <c r="CS283" s="322"/>
      <c r="CT283" s="317"/>
      <c r="CU283" s="308"/>
      <c r="CV283" s="322"/>
      <c r="CW283" s="317"/>
      <c r="CX283" s="308"/>
      <c r="CY283" s="322"/>
      <c r="CZ283" s="317"/>
      <c r="DA283" s="308"/>
      <c r="DB283" s="322"/>
      <c r="DC283" s="317"/>
      <c r="DD283" s="308"/>
      <c r="DE283" s="322"/>
      <c r="DF283" s="317"/>
      <c r="DG283" s="308"/>
      <c r="DH283" s="322"/>
      <c r="DI283" s="317"/>
      <c r="DJ283" s="317"/>
      <c r="DK283" s="317"/>
      <c r="DL283" s="317"/>
    </row>
    <row r="284" spans="1:116" hidden="1" outlineLevel="1">
      <c r="A284" s="30" t="str">
        <f>+A102</f>
        <v>2Q</v>
      </c>
      <c r="B284" s="30" t="str">
        <f>+B102</f>
        <v>Jul</v>
      </c>
      <c r="C284" s="30"/>
      <c r="D284" s="321"/>
      <c r="E284" s="308"/>
      <c r="F284" s="321"/>
      <c r="G284" s="317"/>
      <c r="H284" s="317"/>
      <c r="I284" s="317"/>
      <c r="J284" s="322">
        <v>4.7720000000000002</v>
      </c>
      <c r="K284" s="308">
        <f>+(J284/J278-1)*100</f>
        <v>2.2717531075868047</v>
      </c>
      <c r="L284" s="322">
        <v>3.56</v>
      </c>
      <c r="M284" s="308">
        <f>+(L284/L278-1)*100</f>
        <v>0.2534497324697238</v>
      </c>
      <c r="N284" s="322">
        <v>3.1789999999999998</v>
      </c>
      <c r="O284" s="308">
        <f>+(N284/N278-1)*100</f>
        <v>-14.772117962466492</v>
      </c>
      <c r="P284" s="322">
        <v>1.012</v>
      </c>
      <c r="Q284" s="308">
        <f>+(P284/P278-1)*100</f>
        <v>-23.333333333333339</v>
      </c>
      <c r="R284" s="326">
        <v>1.31</v>
      </c>
      <c r="S284" s="308">
        <f>+(R284/R278-1)*100</f>
        <v>119.43048576214407</v>
      </c>
      <c r="T284" s="322">
        <v>2.0390000000000001</v>
      </c>
      <c r="U284" s="308">
        <f>+(T284/T278-1)*100</f>
        <v>-4.0921919096895465</v>
      </c>
      <c r="V284" s="322">
        <v>3.5000000000000003E-2</v>
      </c>
      <c r="W284" s="308">
        <f>+(V284/V278-1)*100</f>
        <v>0</v>
      </c>
      <c r="X284" s="308"/>
      <c r="Y284" s="308"/>
      <c r="Z284" s="322"/>
      <c r="AA284" s="308"/>
      <c r="AB284" s="322"/>
      <c r="AC284" s="308"/>
      <c r="AD284" s="307"/>
      <c r="AE284" s="308"/>
      <c r="AF284" s="307"/>
      <c r="AG284" s="308"/>
      <c r="AH284" s="307"/>
      <c r="AI284" s="308"/>
      <c r="AJ284" s="307"/>
      <c r="AK284" s="308"/>
      <c r="AL284" s="307"/>
      <c r="AM284" s="308"/>
      <c r="AN284" s="307"/>
      <c r="AO284" s="308"/>
      <c r="AP284" s="30"/>
      <c r="AQ284" s="453">
        <f>+J284+L284+N284+P284+R284+T284+V284+AB284+AD284+AF284+AH284+AJ284+AL284+AN284</f>
        <v>15.907000000000002</v>
      </c>
      <c r="AR284" s="308">
        <f>+(AQ284/AQ278-1)*100</f>
        <v>-0.73634945397813567</v>
      </c>
      <c r="AS284" s="308"/>
      <c r="AT284" s="30"/>
      <c r="AU284" s="30"/>
      <c r="AV284" s="30"/>
      <c r="AW284" s="321"/>
      <c r="AX284" s="308"/>
      <c r="AY284" s="308"/>
      <c r="AZ284" s="321"/>
      <c r="BA284" s="317"/>
      <c r="BB284" s="308"/>
      <c r="BC284" s="317"/>
      <c r="BD284" s="317"/>
      <c r="BE284" s="317"/>
      <c r="BF284" s="308"/>
      <c r="BG284" s="322"/>
      <c r="BH284" s="317"/>
      <c r="BI284" s="317"/>
      <c r="BJ284" s="308"/>
      <c r="BK284" s="322"/>
      <c r="BL284" s="317"/>
      <c r="BM284" s="317"/>
      <c r="BN284" s="308"/>
      <c r="BO284" s="322"/>
      <c r="BP284" s="317"/>
      <c r="BQ284" s="317"/>
      <c r="BR284" s="317"/>
      <c r="BS284" s="308"/>
      <c r="BT284" s="322"/>
      <c r="BU284" s="317"/>
      <c r="BV284" s="317"/>
      <c r="BW284" s="317"/>
      <c r="BX284" s="308"/>
      <c r="BY284" s="322"/>
      <c r="BZ284" s="317"/>
      <c r="CA284" s="317"/>
      <c r="CB284" s="317"/>
      <c r="CC284" s="308"/>
      <c r="CD284" s="326"/>
      <c r="CE284" s="317"/>
      <c r="CF284" s="317"/>
      <c r="CG284" s="317"/>
      <c r="CH284" s="308"/>
      <c r="CI284" s="322"/>
      <c r="CJ284" s="317"/>
      <c r="CK284" s="317"/>
      <c r="CL284" s="308"/>
      <c r="CM284" s="322"/>
      <c r="CN284" s="317"/>
      <c r="CO284" s="308"/>
      <c r="CP284" s="322"/>
      <c r="CQ284" s="317"/>
      <c r="CR284" s="308"/>
      <c r="CS284" s="322"/>
      <c r="CT284" s="317"/>
      <c r="CU284" s="308"/>
      <c r="CV284" s="322"/>
      <c r="CW284" s="317"/>
      <c r="CX284" s="308"/>
      <c r="CY284" s="322"/>
      <c r="CZ284" s="317"/>
      <c r="DA284" s="308"/>
      <c r="DB284" s="322"/>
      <c r="DC284" s="317"/>
      <c r="DD284" s="308"/>
      <c r="DE284" s="322"/>
      <c r="DF284" s="317"/>
      <c r="DG284" s="308"/>
      <c r="DH284" s="322"/>
      <c r="DI284" s="317"/>
      <c r="DJ284" s="317"/>
      <c r="DK284" s="317"/>
      <c r="DL284" s="317"/>
    </row>
    <row r="285" spans="1:116" hidden="1" outlineLevel="1">
      <c r="A285" s="30" t="str">
        <f>+A103</f>
        <v>3Q</v>
      </c>
      <c r="B285" s="30" t="str">
        <f>+B103</f>
        <v>Oct</v>
      </c>
      <c r="C285" s="30"/>
      <c r="D285" s="321"/>
      <c r="E285" s="308"/>
      <c r="F285" s="321"/>
      <c r="G285" s="317"/>
      <c r="H285" s="317"/>
      <c r="I285" s="317"/>
      <c r="J285" s="322">
        <v>4.8259999999999996</v>
      </c>
      <c r="K285" s="308">
        <f>+(J285/J279-1)*100</f>
        <v>2.4628450106157107</v>
      </c>
      <c r="L285" s="322">
        <v>3.577</v>
      </c>
      <c r="M285" s="308">
        <f>+(L285/L279-1)*100</f>
        <v>0.33660589060309221</v>
      </c>
      <c r="N285" s="322">
        <v>3.02</v>
      </c>
      <c r="O285" s="308">
        <f>+(N285/N279-1)*100</f>
        <v>-17.35084838533114</v>
      </c>
      <c r="P285" s="322">
        <v>0.997</v>
      </c>
      <c r="Q285" s="308">
        <f>+(P285/P279-1)*100</f>
        <v>-22.952086553323035</v>
      </c>
      <c r="R285" s="326">
        <v>1.526</v>
      </c>
      <c r="S285" s="308">
        <f>+(R285/R279-1)*100</f>
        <v>89.330024813895776</v>
      </c>
      <c r="T285" s="322">
        <v>2.0019999999999998</v>
      </c>
      <c r="U285" s="308">
        <f>+(T285/T279-1)*100</f>
        <v>-6.3172671970051608</v>
      </c>
      <c r="V285" s="322">
        <v>3.5999999999999997E-2</v>
      </c>
      <c r="W285" s="308">
        <f>+(V285/V279-1)*100</f>
        <v>2.857142857142847</v>
      </c>
      <c r="X285" s="308"/>
      <c r="Y285" s="308"/>
      <c r="Z285" s="322"/>
      <c r="AA285" s="308"/>
      <c r="AB285" s="322"/>
      <c r="AC285" s="308"/>
      <c r="AD285" s="307"/>
      <c r="AE285" s="308"/>
      <c r="AF285" s="307"/>
      <c r="AG285" s="308"/>
      <c r="AH285" s="307"/>
      <c r="AI285" s="308"/>
      <c r="AJ285" s="307"/>
      <c r="AK285" s="308"/>
      <c r="AL285" s="307"/>
      <c r="AM285" s="308"/>
      <c r="AN285" s="307"/>
      <c r="AO285" s="308"/>
      <c r="AP285" s="30"/>
      <c r="AQ285" s="453">
        <f>+J285+L285+N285+P285+R285+T285+V285+AB285+AD285+AF285+AH285+AJ285+AL285+AN285</f>
        <v>15.983999999999996</v>
      </c>
      <c r="AR285" s="308">
        <f>+(AQ285/AQ279-1)*100</f>
        <v>-1.3394234923770343</v>
      </c>
      <c r="AS285" s="308"/>
      <c r="AT285" s="30"/>
      <c r="AU285" s="30"/>
      <c r="AV285" s="30"/>
      <c r="AW285" s="302"/>
      <c r="AX285" s="302"/>
      <c r="AY285" s="308"/>
      <c r="AZ285" s="302"/>
      <c r="BA285" s="302"/>
      <c r="BB285" s="308"/>
      <c r="BC285" s="307"/>
      <c r="BD285" s="307"/>
      <c r="BE285" s="307"/>
      <c r="BF285" s="308"/>
      <c r="BG285" s="338"/>
      <c r="BH285" s="338"/>
      <c r="BI285" s="338"/>
      <c r="BJ285" s="308"/>
      <c r="BK285" s="302"/>
      <c r="BL285" s="302"/>
      <c r="BM285" s="302"/>
      <c r="BN285" s="308"/>
      <c r="BO285" s="302"/>
      <c r="BP285" s="302"/>
      <c r="BQ285" s="307"/>
      <c r="BR285" s="307"/>
      <c r="BS285" s="308"/>
      <c r="BT285" s="302"/>
      <c r="BU285" s="302"/>
      <c r="BV285" s="302"/>
      <c r="BW285" s="302"/>
      <c r="BX285" s="308"/>
      <c r="BY285" s="302"/>
      <c r="BZ285" s="302"/>
      <c r="CA285" s="302"/>
      <c r="CB285" s="302"/>
      <c r="CC285" s="308"/>
      <c r="CD285" s="302"/>
      <c r="CE285" s="302"/>
      <c r="CF285" s="302"/>
      <c r="CG285" s="302"/>
      <c r="CH285" s="308"/>
      <c r="CI285" s="302"/>
      <c r="CJ285" s="302"/>
      <c r="CK285" s="302"/>
      <c r="CL285" s="308"/>
      <c r="CM285" s="302"/>
      <c r="CN285" s="302"/>
      <c r="CO285" s="308"/>
      <c r="CP285" s="302"/>
      <c r="CQ285" s="302"/>
      <c r="CR285" s="308"/>
      <c r="CS285" s="302"/>
      <c r="CT285" s="302"/>
      <c r="CU285" s="308"/>
      <c r="CV285" s="302"/>
      <c r="CW285" s="302"/>
      <c r="CX285" s="308"/>
      <c r="CY285" s="302"/>
      <c r="CZ285" s="302"/>
      <c r="DA285" s="308"/>
      <c r="DB285" s="302"/>
      <c r="DC285" s="302"/>
      <c r="DD285" s="308"/>
      <c r="DE285" s="302"/>
      <c r="DF285" s="302"/>
      <c r="DG285" s="308"/>
      <c r="DH285" s="306"/>
      <c r="DI285" s="306"/>
      <c r="DJ285" s="306"/>
      <c r="DK285" s="306"/>
      <c r="DL285" s="321"/>
    </row>
    <row r="286" spans="1:116" hidden="1" outlineLevel="1">
      <c r="A286" s="30" t="str">
        <f>+A104</f>
        <v>4Q</v>
      </c>
      <c r="B286" s="30" t="str">
        <f>+B104</f>
        <v>Jan</v>
      </c>
      <c r="C286" s="339"/>
      <c r="D286" s="321"/>
      <c r="E286" s="308"/>
      <c r="F286" s="321"/>
      <c r="G286" s="317"/>
      <c r="H286" s="317"/>
      <c r="I286" s="317"/>
      <c r="J286" s="322">
        <v>4.8680000000000003</v>
      </c>
      <c r="K286" s="308">
        <f>+(J286/J280-1)*100</f>
        <v>2.8088701161562923</v>
      </c>
      <c r="L286" s="322">
        <v>3.556</v>
      </c>
      <c r="M286" s="308">
        <f>+(L286/L280-1)*100</f>
        <v>0.39525691699604515</v>
      </c>
      <c r="N286" s="322">
        <v>2.8879999999999999</v>
      </c>
      <c r="O286" s="308">
        <f>+(N286/N280-1)*100</f>
        <v>-17.556380245503856</v>
      </c>
      <c r="P286" s="322">
        <v>0.90400000000000003</v>
      </c>
      <c r="Q286" s="308">
        <f>+(P286/P280-1)*100</f>
        <v>-23.32485156912638</v>
      </c>
      <c r="R286" s="326">
        <v>1.6</v>
      </c>
      <c r="S286" s="308">
        <f>+(R286/R280-1)*100</f>
        <v>69.491525423728831</v>
      </c>
      <c r="T286" s="322">
        <v>1.948</v>
      </c>
      <c r="U286" s="308">
        <f>+(T286/T280-1)*100</f>
        <v>-7.2380952380952435</v>
      </c>
      <c r="V286" s="322">
        <v>3.6999999999999998E-2</v>
      </c>
      <c r="W286" s="308">
        <f>+(V286/V280-1)*100</f>
        <v>5.714285714285694</v>
      </c>
      <c r="X286" s="308"/>
      <c r="Y286" s="308"/>
      <c r="Z286" s="322"/>
      <c r="AA286" s="308"/>
      <c r="AB286" s="314"/>
      <c r="AC286" s="308"/>
      <c r="AD286" s="307"/>
      <c r="AE286" s="308"/>
      <c r="AF286" s="307"/>
      <c r="AG286" s="308"/>
      <c r="AH286" s="307"/>
      <c r="AI286" s="308"/>
      <c r="AJ286" s="307"/>
      <c r="AK286" s="308"/>
      <c r="AL286" s="307"/>
      <c r="AM286" s="308"/>
      <c r="AN286" s="307"/>
      <c r="AO286" s="308"/>
      <c r="AP286" s="30"/>
      <c r="AQ286" s="453">
        <f>+J286+L286+N286+P286+R286+T286+V286+AB286+AD286+AF286+AH286+AJ286+AL286+AN286</f>
        <v>15.801</v>
      </c>
      <c r="AR286" s="308">
        <f>+(AQ286/AQ280-1)*100</f>
        <v>-1.4777403666292765</v>
      </c>
      <c r="AS286" s="308"/>
      <c r="AT286" s="30"/>
      <c r="AU286" s="30"/>
      <c r="AV286" s="30"/>
      <c r="AW286" s="341"/>
      <c r="AX286" s="341"/>
      <c r="AY286" s="24"/>
      <c r="AZ286" s="341"/>
      <c r="BA286" s="341"/>
      <c r="BB286" s="24"/>
      <c r="BC286" s="341"/>
      <c r="BD286" s="341"/>
      <c r="BE286" s="341"/>
      <c r="BF286" s="24"/>
      <c r="BG286" s="340">
        <v>6.6000000000000003E-2</v>
      </c>
      <c r="BH286" s="340">
        <v>-6.2E-2</v>
      </c>
      <c r="BI286" s="340">
        <v>0.10199999999999999</v>
      </c>
      <c r="BJ286" s="368"/>
      <c r="BK286" s="340">
        <v>2.8000000000000001E-2</v>
      </c>
      <c r="BL286" s="340">
        <v>-9.1999999999999998E-2</v>
      </c>
      <c r="BM286" s="340">
        <v>9.4E-2</v>
      </c>
      <c r="BN286" s="368"/>
      <c r="BO286" s="340"/>
      <c r="BP286" s="340"/>
      <c r="BQ286" s="340"/>
      <c r="BR286" s="340"/>
      <c r="BS286" s="368"/>
      <c r="BT286" s="340">
        <v>5.0000000000000001E-3</v>
      </c>
      <c r="BU286" s="340">
        <v>-0.09</v>
      </c>
      <c r="BV286" s="340">
        <v>-0.47399999999999998</v>
      </c>
      <c r="BW286" s="340">
        <v>-2E-3</v>
      </c>
      <c r="BX286" s="368"/>
      <c r="BY286" s="340">
        <v>0</v>
      </c>
      <c r="BZ286" s="340">
        <v>-0.215</v>
      </c>
      <c r="CA286" s="340">
        <v>0</v>
      </c>
      <c r="CB286" s="340">
        <v>0</v>
      </c>
      <c r="CC286" s="368"/>
      <c r="CD286" s="340">
        <v>9.8000000000000004E-2</v>
      </c>
      <c r="CE286" s="340">
        <v>0</v>
      </c>
      <c r="CF286" s="340">
        <v>0.51600000000000001</v>
      </c>
      <c r="CG286" s="340">
        <v>-2E-3</v>
      </c>
      <c r="CH286" s="368"/>
      <c r="CI286" s="340">
        <v>0</v>
      </c>
      <c r="CJ286" s="340">
        <v>-0.14000000000000001</v>
      </c>
      <c r="CK286" s="340">
        <v>-4.4999999999999998E-2</v>
      </c>
      <c r="CL286" s="368"/>
      <c r="CM286" s="340"/>
      <c r="CN286" s="340"/>
      <c r="CO286" s="368"/>
      <c r="CP286" s="340"/>
      <c r="CQ286" s="340"/>
      <c r="CR286" s="24"/>
      <c r="CS286" s="24"/>
      <c r="CT286" s="305"/>
      <c r="CU286" s="24"/>
      <c r="CV286" s="24"/>
      <c r="CW286" s="305"/>
      <c r="CX286" s="24"/>
      <c r="CY286" s="24"/>
      <c r="CZ286" s="305"/>
      <c r="DA286" s="24"/>
      <c r="DB286" s="24"/>
      <c r="DC286" s="305"/>
      <c r="DD286" s="24"/>
      <c r="DE286" s="24"/>
      <c r="DF286" s="305"/>
      <c r="DG286" s="24"/>
      <c r="DH286" s="342">
        <f>+BG286+BK286+BT286+BY286+CD286+CI286+BO286+CP286+CS286+CV286+CY286+DB286+DE286</f>
        <v>0.19700000000000001</v>
      </c>
      <c r="DI286" s="342">
        <f>+BH286+BL286+BU286+BZ286+CE286+CJ286+BP286+CQ286+CT286+CW286+CZ286+DC286+DF286</f>
        <v>-0.59899999999999998</v>
      </c>
      <c r="DJ286" s="342">
        <f>+BI286+BM286+BW286+CB286+CG286+CK286</f>
        <v>0.14700000000000002</v>
      </c>
      <c r="DK286" s="342">
        <f>+BJ286+BS286+BX286+CC286+CH286+BN286</f>
        <v>0</v>
      </c>
      <c r="DL286" s="630"/>
    </row>
    <row r="287" spans="1:116" hidden="1" outlineLevel="1">
      <c r="A287" s="30"/>
      <c r="B287" s="30"/>
      <c r="C287" s="30"/>
      <c r="D287" s="30"/>
      <c r="E287" s="30"/>
      <c r="F287" s="30"/>
      <c r="G287" s="318"/>
      <c r="H287" s="318"/>
      <c r="I287" s="318"/>
      <c r="J287" s="30"/>
      <c r="K287" s="319"/>
      <c r="L287" s="30"/>
      <c r="M287" s="30"/>
      <c r="N287" s="30"/>
      <c r="O287" s="30"/>
      <c r="P287" s="30"/>
      <c r="Q287" s="30"/>
      <c r="R287" s="30"/>
      <c r="S287" s="30"/>
      <c r="T287" s="30"/>
      <c r="U287" s="30"/>
      <c r="V287" s="314"/>
      <c r="W287" s="378"/>
      <c r="X287" s="378"/>
      <c r="Y287" s="378"/>
      <c r="Z287" s="30"/>
      <c r="AA287" s="378"/>
      <c r="AB287" s="30"/>
      <c r="AC287" s="30"/>
      <c r="AD287" s="30"/>
      <c r="AE287" s="30"/>
      <c r="AF287" s="30"/>
      <c r="AG287" s="30"/>
      <c r="AH287" s="30"/>
      <c r="AI287" s="30"/>
      <c r="AJ287" s="30"/>
      <c r="AK287" s="30"/>
      <c r="AL287" s="30"/>
      <c r="AM287" s="30"/>
      <c r="AN287" s="30"/>
      <c r="AO287" s="30"/>
      <c r="AP287" s="30"/>
      <c r="AQ287" s="453"/>
      <c r="AR287" s="30"/>
      <c r="AS287" s="30"/>
      <c r="AT287" s="140"/>
      <c r="AU287" s="30"/>
      <c r="AV287" s="30"/>
      <c r="AW287" s="30"/>
      <c r="AX287" s="30"/>
      <c r="AY287" s="30"/>
      <c r="AZ287" s="30"/>
      <c r="BA287" s="318"/>
      <c r="BB287" s="30"/>
      <c r="BC287" s="318"/>
      <c r="BD287" s="318"/>
      <c r="BE287" s="318"/>
      <c r="BF287" s="30"/>
      <c r="BG287" s="30"/>
      <c r="BH287" s="318"/>
      <c r="BI287" s="318"/>
      <c r="BJ287" s="30"/>
      <c r="BK287" s="30"/>
      <c r="BL287" s="318"/>
      <c r="BM287" s="318"/>
      <c r="BN287" s="30"/>
      <c r="BO287" s="30"/>
      <c r="BP287" s="318"/>
      <c r="BQ287" s="318"/>
      <c r="BR287" s="318"/>
      <c r="BS287" s="30"/>
      <c r="BT287" s="30"/>
      <c r="BU287" s="318"/>
      <c r="BV287" s="318"/>
      <c r="BW287" s="318"/>
      <c r="BX287" s="30"/>
      <c r="BY287" s="30"/>
      <c r="BZ287" s="318"/>
      <c r="CA287" s="318"/>
      <c r="CB287" s="318"/>
      <c r="CC287" s="30"/>
      <c r="CD287" s="30"/>
      <c r="CE287" s="318"/>
      <c r="CF287" s="318"/>
      <c r="CG287" s="318"/>
      <c r="CH287" s="30"/>
      <c r="CI287" s="30"/>
      <c r="CJ287" s="318"/>
      <c r="CK287" s="318"/>
      <c r="CL287" s="30"/>
      <c r="CM287" s="30"/>
      <c r="CN287" s="318"/>
      <c r="CO287" s="30"/>
      <c r="CP287" s="30"/>
      <c r="CQ287" s="318"/>
      <c r="CR287" s="30"/>
      <c r="CS287" s="30"/>
      <c r="CT287" s="318"/>
      <c r="CU287" s="30"/>
      <c r="CV287" s="30"/>
      <c r="CW287" s="318"/>
      <c r="CX287" s="30"/>
      <c r="CY287" s="30"/>
      <c r="CZ287" s="318"/>
      <c r="DA287" s="30"/>
      <c r="DB287" s="30"/>
      <c r="DC287" s="318"/>
      <c r="DD287" s="30"/>
      <c r="DE287" s="30"/>
      <c r="DF287" s="318"/>
      <c r="DG287" s="30"/>
      <c r="DH287" s="30"/>
      <c r="DI287" s="318"/>
      <c r="DJ287" s="318"/>
      <c r="DK287" s="318"/>
      <c r="DL287" s="318"/>
    </row>
    <row r="288" spans="1:116" hidden="1" outlineLevel="1">
      <c r="A288" s="301"/>
      <c r="B288" s="312" t="str">
        <f>+B106</f>
        <v>2005A</v>
      </c>
      <c r="C288" s="30"/>
      <c r="D288" s="30"/>
      <c r="E288" s="310"/>
      <c r="F288" s="30"/>
      <c r="G288" s="318"/>
      <c r="H288" s="318"/>
      <c r="I288" s="318"/>
      <c r="J288" s="30"/>
      <c r="K288" s="319"/>
      <c r="L288" s="30"/>
      <c r="M288" s="310"/>
      <c r="N288" s="30"/>
      <c r="O288" s="310"/>
      <c r="P288" s="30"/>
      <c r="Q288" s="30"/>
      <c r="R288" s="30"/>
      <c r="S288" s="310"/>
      <c r="T288" s="30"/>
      <c r="U288" s="310"/>
      <c r="V288" s="314"/>
      <c r="W288" s="319"/>
      <c r="X288" s="319"/>
      <c r="Y288" s="319"/>
      <c r="Z288" s="30"/>
      <c r="AA288" s="319"/>
      <c r="AB288" s="30"/>
      <c r="AC288" s="310"/>
      <c r="AD288" s="30"/>
      <c r="AE288" s="310"/>
      <c r="AF288" s="30"/>
      <c r="AG288" s="310"/>
      <c r="AH288" s="30"/>
      <c r="AI288" s="310"/>
      <c r="AJ288" s="30"/>
      <c r="AK288" s="310"/>
      <c r="AL288" s="30"/>
      <c r="AM288" s="310"/>
      <c r="AN288" s="30"/>
      <c r="AO288" s="310"/>
      <c r="AP288" s="30"/>
      <c r="AQ288" s="453"/>
      <c r="AR288" s="310"/>
      <c r="AS288" s="310"/>
      <c r="AT288" s="30"/>
      <c r="AU288" s="30"/>
      <c r="AV288" s="30"/>
      <c r="AW288" s="30"/>
      <c r="AX288" s="310"/>
      <c r="AY288" s="310"/>
      <c r="AZ288" s="30"/>
      <c r="BA288" s="318"/>
      <c r="BB288" s="310"/>
      <c r="BC288" s="318"/>
      <c r="BD288" s="318"/>
      <c r="BE288" s="318"/>
      <c r="BF288" s="310"/>
      <c r="BG288" s="30"/>
      <c r="BH288" s="318"/>
      <c r="BI288" s="318"/>
      <c r="BJ288" s="310"/>
      <c r="BK288" s="30"/>
      <c r="BL288" s="318"/>
      <c r="BM288" s="318"/>
      <c r="BN288" s="310"/>
      <c r="BO288" s="30"/>
      <c r="BP288" s="318"/>
      <c r="BQ288" s="318"/>
      <c r="BR288" s="318"/>
      <c r="BS288" s="310"/>
      <c r="BT288" s="30"/>
      <c r="BU288" s="318"/>
      <c r="BV288" s="318"/>
      <c r="BW288" s="318"/>
      <c r="BX288" s="310"/>
      <c r="BY288" s="30"/>
      <c r="BZ288" s="318"/>
      <c r="CA288" s="318"/>
      <c r="CB288" s="318"/>
      <c r="CC288" s="310"/>
      <c r="CD288" s="30"/>
      <c r="CE288" s="318"/>
      <c r="CF288" s="318"/>
      <c r="CG288" s="318"/>
      <c r="CH288" s="310"/>
      <c r="CI288" s="30"/>
      <c r="CJ288" s="318"/>
      <c r="CK288" s="318"/>
      <c r="CL288" s="310"/>
      <c r="CM288" s="30"/>
      <c r="CN288" s="318"/>
      <c r="CO288" s="310"/>
      <c r="CP288" s="30"/>
      <c r="CQ288" s="318"/>
      <c r="CR288" s="310"/>
      <c r="CS288" s="30"/>
      <c r="CT288" s="318"/>
      <c r="CU288" s="310"/>
      <c r="CV288" s="30"/>
      <c r="CW288" s="318"/>
      <c r="CX288" s="310"/>
      <c r="CY288" s="30"/>
      <c r="CZ288" s="318"/>
      <c r="DA288" s="310"/>
      <c r="DB288" s="30"/>
      <c r="DC288" s="318"/>
      <c r="DD288" s="310"/>
      <c r="DE288" s="30"/>
      <c r="DF288" s="318"/>
      <c r="DG288" s="310"/>
      <c r="DH288" s="30"/>
      <c r="DI288" s="318"/>
      <c r="DJ288" s="318"/>
      <c r="DK288" s="318"/>
      <c r="DL288" s="318"/>
    </row>
    <row r="289" spans="1:116" hidden="1" outlineLevel="1">
      <c r="A289" s="30" t="str">
        <f>+A107</f>
        <v>1Q</v>
      </c>
      <c r="B289" s="30" t="str">
        <f>+B107</f>
        <v>Apr</v>
      </c>
      <c r="C289" s="30"/>
      <c r="D289" s="321"/>
      <c r="E289" s="308"/>
      <c r="F289" s="321"/>
      <c r="G289" s="317"/>
      <c r="H289" s="317"/>
      <c r="I289" s="317"/>
      <c r="J289" s="322">
        <v>4.875</v>
      </c>
      <c r="K289" s="308">
        <f>+(J289/J283-1)*100</f>
        <v>3.1091370558375742</v>
      </c>
      <c r="L289" s="322">
        <v>3.5739999999999998</v>
      </c>
      <c r="M289" s="308">
        <f>+(L289/L283-1)*100</f>
        <v>1.3900709219858198</v>
      </c>
      <c r="N289" s="322">
        <v>2.4820000000000002</v>
      </c>
      <c r="O289" s="308">
        <f>+(N289/N283-1)*100</f>
        <v>-28.224407171775589</v>
      </c>
      <c r="P289" s="322">
        <v>0.64500000000000002</v>
      </c>
      <c r="Q289" s="308">
        <f>+(P289/P283-1)*100</f>
        <v>-41.042047531992687</v>
      </c>
      <c r="R289" s="326">
        <v>2.1789999999999998</v>
      </c>
      <c r="S289" s="308">
        <f>+(R289/R283-1)*100</f>
        <v>117.4650698602794</v>
      </c>
      <c r="T289" s="322">
        <v>1.9079999999999999</v>
      </c>
      <c r="U289" s="308">
        <f>+(T289/T283-1)*100</f>
        <v>-8.7517934002869566</v>
      </c>
      <c r="V289" s="322">
        <f>0.037</f>
        <v>3.6999999999999998E-2</v>
      </c>
      <c r="W289" s="308">
        <f>+(V289/V283-1)*100</f>
        <v>5.714285714285694</v>
      </c>
      <c r="X289" s="308"/>
      <c r="Y289" s="308"/>
      <c r="Z289" s="322"/>
      <c r="AA289" s="308"/>
      <c r="AB289" s="322"/>
      <c r="AC289" s="308"/>
      <c r="AD289" s="307"/>
      <c r="AE289" s="308"/>
      <c r="AF289" s="307"/>
      <c r="AG289" s="308"/>
      <c r="AH289" s="307"/>
      <c r="AI289" s="308"/>
      <c r="AJ289" s="307"/>
      <c r="AK289" s="308"/>
      <c r="AL289" s="307"/>
      <c r="AM289" s="308"/>
      <c r="AN289" s="307"/>
      <c r="AO289" s="308"/>
      <c r="AP289" s="30"/>
      <c r="AQ289" s="453">
        <f>+J289+L289+N289+P289+R289+T289+V289+AB289+AD289+AF289+AH289+AJ289+AL289+AN289</f>
        <v>15.700000000000001</v>
      </c>
      <c r="AR289" s="308">
        <f>+(AQ289/AQ283-1)*100</f>
        <v>-1.4623736898261352</v>
      </c>
      <c r="AS289" s="308"/>
      <c r="AT289" s="30"/>
      <c r="AU289" s="30"/>
      <c r="AV289" s="30"/>
      <c r="AW289" s="321"/>
      <c r="AX289" s="308"/>
      <c r="AY289" s="308"/>
      <c r="AZ289" s="321"/>
      <c r="BA289" s="317"/>
      <c r="BB289" s="308"/>
      <c r="BC289" s="317"/>
      <c r="BD289" s="317"/>
      <c r="BE289" s="317"/>
      <c r="BF289" s="308"/>
      <c r="BG289" s="322"/>
      <c r="BH289" s="317"/>
      <c r="BI289" s="317"/>
      <c r="BJ289" s="308"/>
      <c r="BK289" s="322"/>
      <c r="BL289" s="317"/>
      <c r="BM289" s="317"/>
      <c r="BN289" s="308"/>
      <c r="BO289" s="322"/>
      <c r="BP289" s="317"/>
      <c r="BQ289" s="317"/>
      <c r="BR289" s="317"/>
      <c r="BS289" s="308"/>
      <c r="BT289" s="322"/>
      <c r="BU289" s="317"/>
      <c r="BV289" s="317"/>
      <c r="BW289" s="317"/>
      <c r="BX289" s="308"/>
      <c r="BY289" s="322"/>
      <c r="BZ289" s="317"/>
      <c r="CA289" s="317"/>
      <c r="CB289" s="317"/>
      <c r="CC289" s="308"/>
      <c r="CD289" s="307"/>
      <c r="CE289" s="317"/>
      <c r="CF289" s="317"/>
      <c r="CG289" s="526"/>
      <c r="CH289" s="308"/>
      <c r="CI289" s="322"/>
      <c r="CJ289" s="317"/>
      <c r="CK289" s="317"/>
      <c r="CL289" s="308"/>
      <c r="CM289" s="322"/>
      <c r="CN289" s="317"/>
      <c r="CO289" s="308"/>
      <c r="CP289" s="322"/>
      <c r="CQ289" s="317"/>
      <c r="CR289" s="308"/>
      <c r="CS289" s="322"/>
      <c r="CT289" s="317"/>
      <c r="CU289" s="308"/>
      <c r="CV289" s="322"/>
      <c r="CW289" s="317"/>
      <c r="CX289" s="308"/>
      <c r="CY289" s="322"/>
      <c r="CZ289" s="317"/>
      <c r="DA289" s="308"/>
      <c r="DB289" s="322"/>
      <c r="DC289" s="317"/>
      <c r="DD289" s="308"/>
      <c r="DE289" s="322"/>
      <c r="DF289" s="317"/>
      <c r="DG289" s="308"/>
      <c r="DH289" s="322"/>
      <c r="DI289" s="317"/>
      <c r="DJ289" s="317"/>
      <c r="DK289" s="317"/>
      <c r="DL289" s="317"/>
    </row>
    <row r="290" spans="1:116" hidden="1" outlineLevel="1">
      <c r="A290" s="30" t="str">
        <f>+A108</f>
        <v>2Q</v>
      </c>
      <c r="B290" s="30" t="str">
        <f>+B108</f>
        <v>Jul</v>
      </c>
      <c r="C290" s="30"/>
      <c r="D290" s="321"/>
      <c r="E290" s="308"/>
      <c r="F290" s="321"/>
      <c r="G290" s="317"/>
      <c r="H290" s="317"/>
      <c r="I290" s="317"/>
      <c r="J290" s="322">
        <v>4.9039999999999999</v>
      </c>
      <c r="K290" s="308">
        <f>+(J290/J284-1)*100</f>
        <v>2.7661357921207053</v>
      </c>
      <c r="L290" s="322">
        <v>3.5710000000000002</v>
      </c>
      <c r="M290" s="308">
        <f>+(L290/L284-1)*100</f>
        <v>0.30898876404494846</v>
      </c>
      <c r="N290" s="322">
        <v>2.2669999999999999</v>
      </c>
      <c r="O290" s="308">
        <f>+(N290/N284-1)*100</f>
        <v>-28.688266750550483</v>
      </c>
      <c r="P290" s="322">
        <v>0.58099999999999996</v>
      </c>
      <c r="Q290" s="308">
        <f>+(P290/P284-1)*100</f>
        <v>-42.588932806324124</v>
      </c>
      <c r="R290" s="326">
        <v>2.3969999999999998</v>
      </c>
      <c r="S290" s="308">
        <f>+(R290/R284-1)*100</f>
        <v>82.977099236641209</v>
      </c>
      <c r="T290" s="322">
        <v>1.8680000000000001</v>
      </c>
      <c r="U290" s="308">
        <f>+(T290/T284-1)*100</f>
        <v>-8.3864639529180991</v>
      </c>
      <c r="V290" s="322">
        <v>3.6999999999999998E-2</v>
      </c>
      <c r="W290" s="308">
        <f>+(V290/V284-1)*100</f>
        <v>5.714285714285694</v>
      </c>
      <c r="X290" s="308"/>
      <c r="Y290" s="308"/>
      <c r="Z290" s="322"/>
      <c r="AA290" s="308"/>
      <c r="AB290" s="322"/>
      <c r="AC290" s="308"/>
      <c r="AD290" s="307"/>
      <c r="AE290" s="308"/>
      <c r="AF290" s="307"/>
      <c r="AG290" s="308"/>
      <c r="AH290" s="307"/>
      <c r="AI290" s="308"/>
      <c r="AJ290" s="307"/>
      <c r="AK290" s="308"/>
      <c r="AL290" s="307"/>
      <c r="AM290" s="308"/>
      <c r="AN290" s="307"/>
      <c r="AO290" s="308"/>
      <c r="AP290" s="30"/>
      <c r="AQ290" s="453">
        <f>+J290+L290+N290+P290+R290+T290+V290+AB290+AD290+AF290+AH290+AJ290+AL290+AN290</f>
        <v>15.625</v>
      </c>
      <c r="AR290" s="308">
        <f>+(AQ290/AQ284-1)*100</f>
        <v>-1.772804425724539</v>
      </c>
      <c r="AS290" s="308"/>
      <c r="AT290" s="30"/>
      <c r="AU290" s="576"/>
      <c r="AV290" s="30"/>
      <c r="AW290" s="321"/>
      <c r="AX290" s="308"/>
      <c r="AY290" s="308"/>
      <c r="AZ290" s="321"/>
      <c r="BA290" s="317"/>
      <c r="BB290" s="308"/>
      <c r="BC290" s="317"/>
      <c r="BD290" s="317"/>
      <c r="BE290" s="317"/>
      <c r="BF290" s="308"/>
      <c r="BG290" s="322"/>
      <c r="BH290" s="317"/>
      <c r="BI290" s="317"/>
      <c r="BJ290" s="308"/>
      <c r="BK290" s="322"/>
      <c r="BL290" s="317"/>
      <c r="BM290" s="317"/>
      <c r="BN290" s="308"/>
      <c r="BO290" s="322"/>
      <c r="BP290" s="317"/>
      <c r="BQ290" s="317"/>
      <c r="BR290" s="317"/>
      <c r="BS290" s="308"/>
      <c r="BT290" s="322"/>
      <c r="BU290" s="317"/>
      <c r="BV290" s="317"/>
      <c r="BW290" s="317"/>
      <c r="BX290" s="308"/>
      <c r="BY290" s="322"/>
      <c r="BZ290" s="317"/>
      <c r="CA290" s="317"/>
      <c r="CB290" s="317"/>
      <c r="CC290" s="308"/>
      <c r="CD290" s="326"/>
      <c r="CE290" s="317"/>
      <c r="CF290" s="317"/>
      <c r="CG290" s="317"/>
      <c r="CH290" s="308"/>
      <c r="CI290" s="322"/>
      <c r="CJ290" s="317"/>
      <c r="CK290" s="317"/>
      <c r="CL290" s="308"/>
      <c r="CM290" s="322"/>
      <c r="CN290" s="317"/>
      <c r="CO290" s="308"/>
      <c r="CP290" s="322"/>
      <c r="CQ290" s="317"/>
      <c r="CR290" s="308"/>
      <c r="CS290" s="322"/>
      <c r="CT290" s="317"/>
      <c r="CU290" s="308"/>
      <c r="CV290" s="322"/>
      <c r="CW290" s="317"/>
      <c r="CX290" s="308"/>
      <c r="CY290" s="322"/>
      <c r="CZ290" s="317"/>
      <c r="DA290" s="308"/>
      <c r="DB290" s="322"/>
      <c r="DC290" s="317"/>
      <c r="DD290" s="308"/>
      <c r="DE290" s="322"/>
      <c r="DF290" s="317"/>
      <c r="DG290" s="308"/>
      <c r="DH290" s="322"/>
      <c r="DI290" s="317"/>
      <c r="DJ290" s="317"/>
      <c r="DK290" s="317"/>
      <c r="DL290" s="317"/>
    </row>
    <row r="291" spans="1:116" hidden="1" outlineLevel="1">
      <c r="A291" s="30" t="str">
        <f>+A109</f>
        <v>3Q</v>
      </c>
      <c r="B291" s="30" t="str">
        <f>+B109</f>
        <v>Oct</v>
      </c>
      <c r="C291" s="30"/>
      <c r="D291" s="321"/>
      <c r="E291" s="308"/>
      <c r="F291" s="321"/>
      <c r="G291" s="317"/>
      <c r="H291" s="317"/>
      <c r="I291" s="317"/>
      <c r="J291" s="322">
        <v>4.9790000000000001</v>
      </c>
      <c r="K291" s="308">
        <f>+(J291/J285-1)*100</f>
        <v>3.1703273932863762</v>
      </c>
      <c r="L291" s="322">
        <f>3.596</f>
        <v>3.5960000000000001</v>
      </c>
      <c r="M291" s="308">
        <f>+(L291/L285-1)*100</f>
        <v>0.53117137265865644</v>
      </c>
      <c r="N291" s="322">
        <v>2.1859999999999999</v>
      </c>
      <c r="O291" s="308">
        <f>+(N291/N285-1)*100</f>
        <v>-27.6158940397351</v>
      </c>
      <c r="P291" s="322">
        <v>0.55300000000000005</v>
      </c>
      <c r="Q291" s="308">
        <f>+(P291/P285-1)*100</f>
        <v>-44.533600802407214</v>
      </c>
      <c r="R291" s="326">
        <v>2.532</v>
      </c>
      <c r="S291" s="308">
        <f>+(R291/R285-1)*100</f>
        <v>65.923984272608124</v>
      </c>
      <c r="T291" s="322">
        <v>1.8540000000000001</v>
      </c>
      <c r="U291" s="308">
        <f>+(T291/T285-1)*100</f>
        <v>-7.3926073926073759</v>
      </c>
      <c r="V291" s="322">
        <v>3.6999999999999998E-2</v>
      </c>
      <c r="W291" s="308">
        <f>+(V291/V285-1)*100</f>
        <v>2.7777777777777901</v>
      </c>
      <c r="X291" s="308"/>
      <c r="Y291" s="308"/>
      <c r="Z291" s="322"/>
      <c r="AA291" s="308"/>
      <c r="AB291" s="322"/>
      <c r="AC291" s="308"/>
      <c r="AD291" s="307"/>
      <c r="AE291" s="308"/>
      <c r="AF291" s="307"/>
      <c r="AG291" s="308"/>
      <c r="AH291" s="307"/>
      <c r="AI291" s="308"/>
      <c r="AJ291" s="307"/>
      <c r="AK291" s="308"/>
      <c r="AL291" s="307"/>
      <c r="AM291" s="308"/>
      <c r="AN291" s="307"/>
      <c r="AO291" s="308"/>
      <c r="AP291" s="30"/>
      <c r="AQ291" s="453">
        <f>+J291+L291+N291+P291+R291+T291+V291+AB291+AD291+AF291+AH291+AJ291+AL291+AN291</f>
        <v>15.737</v>
      </c>
      <c r="AR291" s="308">
        <f>+(AQ291/AQ285-1)*100</f>
        <v>-1.5452952952952681</v>
      </c>
      <c r="AS291" s="308"/>
      <c r="AT291" s="30"/>
      <c r="AU291" s="30"/>
      <c r="AV291" s="30"/>
      <c r="AW291" s="302"/>
      <c r="AX291" s="302"/>
      <c r="AY291" s="308"/>
      <c r="AZ291" s="302"/>
      <c r="BA291" s="302"/>
      <c r="BB291" s="308"/>
      <c r="BC291" s="307"/>
      <c r="BD291" s="307"/>
      <c r="BE291" s="307"/>
      <c r="BF291" s="308"/>
      <c r="BG291" s="338"/>
      <c r="BH291" s="338"/>
      <c r="BI291" s="338"/>
      <c r="BJ291" s="308"/>
      <c r="BK291" s="302"/>
      <c r="BL291" s="302"/>
      <c r="BM291" s="302"/>
      <c r="BN291" s="308"/>
      <c r="BO291" s="302"/>
      <c r="BP291" s="302"/>
      <c r="BQ291" s="307"/>
      <c r="BR291" s="307"/>
      <c r="BS291" s="308"/>
      <c r="BT291" s="302"/>
      <c r="BU291" s="302"/>
      <c r="BV291" s="302"/>
      <c r="BW291" s="302"/>
      <c r="BX291" s="308"/>
      <c r="BY291" s="302"/>
      <c r="BZ291" s="302"/>
      <c r="CA291" s="302"/>
      <c r="CB291" s="302"/>
      <c r="CC291" s="308"/>
      <c r="CD291" s="302"/>
      <c r="CE291" s="302"/>
      <c r="CF291" s="302"/>
      <c r="CG291" s="302"/>
      <c r="CH291" s="308"/>
      <c r="CI291" s="302"/>
      <c r="CJ291" s="302"/>
      <c r="CK291" s="302"/>
      <c r="CL291" s="308"/>
      <c r="CM291" s="302"/>
      <c r="CN291" s="302"/>
      <c r="CO291" s="308"/>
      <c r="CP291" s="302"/>
      <c r="CQ291" s="302"/>
      <c r="CR291" s="308"/>
      <c r="CS291" s="302"/>
      <c r="CT291" s="302"/>
      <c r="CU291" s="308"/>
      <c r="CV291" s="302"/>
      <c r="CW291" s="302"/>
      <c r="CX291" s="308"/>
      <c r="CY291" s="302"/>
      <c r="CZ291" s="302"/>
      <c r="DA291" s="308"/>
      <c r="DB291" s="302"/>
      <c r="DC291" s="302"/>
      <c r="DD291" s="308"/>
      <c r="DE291" s="302"/>
      <c r="DF291" s="302"/>
      <c r="DG291" s="308"/>
      <c r="DH291" s="306"/>
      <c r="DI291" s="306"/>
      <c r="DJ291" s="306"/>
      <c r="DK291" s="306"/>
      <c r="DL291" s="321"/>
    </row>
    <row r="292" spans="1:116" hidden="1" outlineLevel="1">
      <c r="A292" s="30" t="str">
        <f>+A110</f>
        <v>4Q</v>
      </c>
      <c r="B292" s="30" t="str">
        <f>+B110</f>
        <v>Jan</v>
      </c>
      <c r="C292" s="30"/>
      <c r="D292" s="321"/>
      <c r="E292" s="308"/>
      <c r="F292" s="321"/>
      <c r="G292" s="317"/>
      <c r="H292" s="317"/>
      <c r="I292" s="317"/>
      <c r="J292" s="322">
        <v>5.0010000000000003</v>
      </c>
      <c r="K292" s="308">
        <f>+(J292/J286-1)*100</f>
        <v>2.7321281840591682</v>
      </c>
      <c r="L292" s="322">
        <v>3.57</v>
      </c>
      <c r="M292" s="308">
        <f>+(L292/L286-1)*100</f>
        <v>0.3937007874015741</v>
      </c>
      <c r="N292" s="322">
        <v>1.9830000000000001</v>
      </c>
      <c r="O292" s="308">
        <f>+(N292/N286-1)*100</f>
        <v>-31.336565096952906</v>
      </c>
      <c r="P292" s="322">
        <v>0.48599999999999999</v>
      </c>
      <c r="Q292" s="308">
        <f>+(P292/P286-1)*100</f>
        <v>-46.238938053097343</v>
      </c>
      <c r="R292" s="326">
        <v>2.5379999999999998</v>
      </c>
      <c r="S292" s="308">
        <f>+(R292/R286-1)*100</f>
        <v>58.624999999999972</v>
      </c>
      <c r="T292" s="322">
        <v>1.7170000000000001</v>
      </c>
      <c r="U292" s="308">
        <f>+(T292/T286-1)*100</f>
        <v>-11.858316221765907</v>
      </c>
      <c r="V292" s="322">
        <v>3.6999999999999998E-2</v>
      </c>
      <c r="W292" s="308">
        <f>+(V292/V286-1)*100</f>
        <v>0</v>
      </c>
      <c r="X292" s="308"/>
      <c r="Y292" s="308"/>
      <c r="Z292" s="322"/>
      <c r="AA292" s="308"/>
      <c r="AB292" s="322"/>
      <c r="AC292" s="308"/>
      <c r="AD292" s="307"/>
      <c r="AE292" s="308"/>
      <c r="AF292" s="307"/>
      <c r="AG292" s="308"/>
      <c r="AH292" s="307"/>
      <c r="AI292" s="308"/>
      <c r="AJ292" s="307"/>
      <c r="AK292" s="308"/>
      <c r="AL292" s="307"/>
      <c r="AM292" s="308"/>
      <c r="AN292" s="307"/>
      <c r="AO292" s="308"/>
      <c r="AP292" s="30"/>
      <c r="AQ292" s="453">
        <f>+J292+L292+N292+P292+R292+T292+V292+AB292+AD292+AF292+AH292+AJ292+AL292+AN292</f>
        <v>15.332000000000003</v>
      </c>
      <c r="AR292" s="308">
        <f>+(AQ292/AQ286-1)*100</f>
        <v>-2.9681665717359529</v>
      </c>
      <c r="AS292" s="308"/>
      <c r="AT292" s="30"/>
      <c r="AU292" s="30"/>
      <c r="AV292" s="30"/>
      <c r="AW292" s="302"/>
      <c r="AX292" s="302"/>
      <c r="AY292" s="308"/>
      <c r="AZ292" s="302"/>
      <c r="BA292" s="302"/>
      <c r="BB292" s="308"/>
      <c r="BC292" s="307"/>
      <c r="BD292" s="307"/>
      <c r="BE292" s="307"/>
      <c r="BF292" s="308"/>
      <c r="BG292" s="338">
        <v>0.10199999999999999</v>
      </c>
      <c r="BH292" s="338">
        <v>-6.3E-2</v>
      </c>
      <c r="BI292" s="338">
        <v>6.8000000000000005E-2</v>
      </c>
      <c r="BJ292" s="308"/>
      <c r="BK292" s="302">
        <v>4.2000000000000003E-2</v>
      </c>
      <c r="BL292" s="302">
        <v>-8.3000000000000004E-2</v>
      </c>
      <c r="BM292" s="302">
        <v>2.1000000000000001E-2</v>
      </c>
      <c r="BN292" s="308"/>
      <c r="BO292" s="302">
        <v>3.5000000000000003E-2</v>
      </c>
      <c r="BP292" s="302">
        <v>0</v>
      </c>
      <c r="BQ292" s="307"/>
      <c r="BR292" s="307"/>
      <c r="BS292" s="308"/>
      <c r="BT292" s="302">
        <v>0</v>
      </c>
      <c r="BU292" s="302">
        <v>-0.13300000000000001</v>
      </c>
      <c r="BV292" s="302">
        <v>-0.23799999999999999</v>
      </c>
      <c r="BW292" s="302">
        <v>0</v>
      </c>
      <c r="BX292" s="308"/>
      <c r="BY292" s="302">
        <v>0</v>
      </c>
      <c r="BZ292" s="302">
        <v>-0.16700000000000001</v>
      </c>
      <c r="CA292" s="302">
        <v>-4.0000000000000001E-3</v>
      </c>
      <c r="CB292" s="302">
        <v>0</v>
      </c>
      <c r="CC292" s="308"/>
      <c r="CD292" s="302">
        <v>8.5000000000000006E-2</v>
      </c>
      <c r="CE292" s="302">
        <v>0</v>
      </c>
      <c r="CF292" s="302">
        <v>0.25800000000000001</v>
      </c>
      <c r="CG292" s="302">
        <v>4.0000000000000001E-3</v>
      </c>
      <c r="CH292" s="308"/>
      <c r="CI292" s="302">
        <v>0</v>
      </c>
      <c r="CJ292" s="302">
        <v>-0.21199999999999999</v>
      </c>
      <c r="CK292" s="302">
        <v>-4.1000000000000002E-2</v>
      </c>
      <c r="CL292" s="308"/>
      <c r="CM292" s="302"/>
      <c r="CN292" s="302"/>
      <c r="CO292" s="308"/>
      <c r="CP292" s="302"/>
      <c r="CQ292" s="302"/>
      <c r="CR292" s="308"/>
      <c r="CS292" s="302"/>
      <c r="CT292" s="302"/>
      <c r="CU292" s="308"/>
      <c r="CV292" s="302"/>
      <c r="CW292" s="302"/>
      <c r="CX292" s="308"/>
      <c r="CY292" s="302"/>
      <c r="CZ292" s="302"/>
      <c r="DA292" s="308"/>
      <c r="DB292" s="302"/>
      <c r="DC292" s="302"/>
      <c r="DD292" s="308"/>
      <c r="DE292" s="302"/>
      <c r="DF292" s="302"/>
      <c r="DG292" s="308"/>
      <c r="DH292" s="306">
        <f>+BG292+BK292+BT292+BY292+CD292+CI292+BO292+CP292+CS292+CV292+CY292+DB292+DE292</f>
        <v>0.26400000000000001</v>
      </c>
      <c r="DI292" s="306">
        <f>+BH292+BL292+BU292+BZ292+CE292+CJ292+BP292+CQ292+CT292+CW292+CZ292+DC292+DF292</f>
        <v>-0.65800000000000003</v>
      </c>
      <c r="DJ292" s="306">
        <f>+BI292+BM292+BW292+CB292+CG292+CK292</f>
        <v>5.2000000000000011E-2</v>
      </c>
      <c r="DK292" s="306">
        <f>+BJ292+BS292+BX292+CC292+CH292+BN292</f>
        <v>0</v>
      </c>
      <c r="DL292" s="321"/>
    </row>
    <row r="293" spans="1:116" hidden="1" outlineLevel="1">
      <c r="A293" s="30"/>
      <c r="B293" s="30"/>
      <c r="C293" s="30"/>
      <c r="D293" s="30"/>
      <c r="E293" s="30"/>
      <c r="F293" s="30"/>
      <c r="G293" s="318"/>
      <c r="H293" s="318"/>
      <c r="I293" s="318"/>
      <c r="J293" s="30"/>
      <c r="K293" s="319"/>
      <c r="L293" s="30"/>
      <c r="M293" s="30"/>
      <c r="N293" s="30"/>
      <c r="O293" s="30"/>
      <c r="P293" s="30"/>
      <c r="Q293" s="30"/>
      <c r="R293" s="30"/>
      <c r="S293" s="30"/>
      <c r="T293" s="30"/>
      <c r="U293" s="30"/>
      <c r="V293" s="314"/>
      <c r="W293" s="378"/>
      <c r="X293" s="378"/>
      <c r="Y293" s="378"/>
      <c r="Z293" s="30"/>
      <c r="AA293" s="378"/>
      <c r="AB293" s="30"/>
      <c r="AC293" s="30"/>
      <c r="AD293" s="30"/>
      <c r="AE293" s="30"/>
      <c r="AF293" s="30"/>
      <c r="AG293" s="30"/>
      <c r="AH293" s="30"/>
      <c r="AI293" s="30"/>
      <c r="AJ293" s="30"/>
      <c r="AK293" s="30"/>
      <c r="AL293" s="30"/>
      <c r="AM293" s="30"/>
      <c r="AN293" s="30"/>
      <c r="AO293" s="30"/>
      <c r="AP293" s="30"/>
      <c r="AQ293" s="453"/>
      <c r="AR293" s="30"/>
      <c r="AS293" s="30"/>
      <c r="AT293" s="140"/>
      <c r="AU293" s="30"/>
      <c r="AV293" s="30"/>
      <c r="AW293" s="30"/>
      <c r="AX293" s="30"/>
      <c r="AY293" s="30"/>
      <c r="AZ293" s="30"/>
      <c r="BA293" s="318"/>
      <c r="BB293" s="30"/>
      <c r="BC293" s="318"/>
      <c r="BD293" s="318"/>
      <c r="BE293" s="318"/>
      <c r="BF293" s="30"/>
      <c r="BG293" s="30"/>
      <c r="BH293" s="318"/>
      <c r="BI293" s="318"/>
      <c r="BJ293" s="30"/>
      <c r="BK293" s="30"/>
      <c r="BL293" s="318"/>
      <c r="BM293" s="318"/>
      <c r="BN293" s="30"/>
      <c r="BO293" s="30"/>
      <c r="BP293" s="318"/>
      <c r="BQ293" s="318"/>
      <c r="BR293" s="318"/>
      <c r="BS293" s="30"/>
      <c r="BT293" s="30"/>
      <c r="BU293" s="318"/>
      <c r="BV293" s="318"/>
      <c r="BW293" s="318"/>
      <c r="BX293" s="30"/>
      <c r="BY293" s="30"/>
      <c r="BZ293" s="318"/>
      <c r="CA293" s="318"/>
      <c r="CB293" s="318"/>
      <c r="CC293" s="30"/>
      <c r="CD293" s="30"/>
      <c r="CE293" s="318"/>
      <c r="CF293" s="318"/>
      <c r="CG293" s="318"/>
      <c r="CH293" s="30"/>
      <c r="CI293" s="30"/>
      <c r="CJ293" s="318"/>
      <c r="CK293" s="318"/>
      <c r="CL293" s="30"/>
      <c r="CM293" s="30"/>
      <c r="CN293" s="318"/>
      <c r="CO293" s="30"/>
      <c r="CP293" s="30"/>
      <c r="CQ293" s="318"/>
      <c r="CR293" s="30"/>
      <c r="CS293" s="30"/>
      <c r="CT293" s="318"/>
      <c r="CU293" s="30"/>
      <c r="CV293" s="30"/>
      <c r="CW293" s="318"/>
      <c r="CX293" s="30"/>
      <c r="CY293" s="30"/>
      <c r="CZ293" s="318"/>
      <c r="DA293" s="30"/>
      <c r="DB293" s="30"/>
      <c r="DC293" s="318"/>
      <c r="DD293" s="30"/>
      <c r="DE293" s="30"/>
      <c r="DF293" s="318"/>
      <c r="DG293" s="30"/>
      <c r="DH293" s="30"/>
      <c r="DI293" s="318"/>
      <c r="DJ293" s="318"/>
      <c r="DK293" s="318"/>
      <c r="DL293" s="318"/>
    </row>
    <row r="294" spans="1:116" hidden="1" outlineLevel="1">
      <c r="A294" s="301"/>
      <c r="B294" s="312" t="str">
        <f>B112</f>
        <v>2006A</v>
      </c>
      <c r="C294" s="30"/>
      <c r="D294" s="30"/>
      <c r="E294" s="310"/>
      <c r="F294" s="30"/>
      <c r="G294" s="318"/>
      <c r="H294" s="318"/>
      <c r="I294" s="318"/>
      <c r="J294" s="30"/>
      <c r="K294" s="319"/>
      <c r="L294" s="30"/>
      <c r="M294" s="310"/>
      <c r="N294" s="30"/>
      <c r="O294" s="310"/>
      <c r="P294" s="30"/>
      <c r="Q294" s="30"/>
      <c r="R294" s="30"/>
      <c r="S294" s="310"/>
      <c r="T294" s="30"/>
      <c r="U294" s="310"/>
      <c r="V294" s="314"/>
      <c r="W294" s="319"/>
      <c r="X294" s="319"/>
      <c r="Y294" s="319"/>
      <c r="Z294" s="30"/>
      <c r="AA294" s="319"/>
      <c r="AB294" s="30"/>
      <c r="AC294" s="310"/>
      <c r="AD294" s="30"/>
      <c r="AE294" s="310"/>
      <c r="AF294" s="30"/>
      <c r="AG294" s="310"/>
      <c r="AH294" s="30"/>
      <c r="AI294" s="310"/>
      <c r="AJ294" s="30"/>
      <c r="AK294" s="310"/>
      <c r="AL294" s="30"/>
      <c r="AM294" s="310"/>
      <c r="AN294" s="30"/>
      <c r="AO294" s="310"/>
      <c r="AP294" s="30"/>
      <c r="AQ294" s="593"/>
      <c r="AR294" s="310"/>
      <c r="AS294" s="310"/>
      <c r="AT294" s="30"/>
      <c r="AU294" s="30"/>
      <c r="AV294" s="30"/>
      <c r="AW294" s="30"/>
      <c r="AX294" s="310"/>
      <c r="AY294" s="310"/>
      <c r="AZ294" s="30"/>
      <c r="BA294" s="318"/>
      <c r="BB294" s="310"/>
      <c r="BC294" s="318"/>
      <c r="BD294" s="318"/>
      <c r="BE294" s="318"/>
      <c r="BF294" s="310"/>
      <c r="BG294" s="30"/>
      <c r="BH294" s="318"/>
      <c r="BI294" s="318"/>
      <c r="BJ294" s="310"/>
      <c r="BK294" s="30"/>
      <c r="BL294" s="318"/>
      <c r="BM294" s="318"/>
      <c r="BN294" s="310"/>
      <c r="BO294" s="30"/>
      <c r="BP294" s="318"/>
      <c r="BQ294" s="318"/>
      <c r="BR294" s="318"/>
      <c r="BS294" s="310"/>
      <c r="BT294" s="30"/>
      <c r="BU294" s="318"/>
      <c r="BV294" s="318"/>
      <c r="BW294" s="318"/>
      <c r="BX294" s="310"/>
      <c r="BY294" s="30"/>
      <c r="BZ294" s="318"/>
      <c r="CA294" s="318"/>
      <c r="CB294" s="318"/>
      <c r="CC294" s="310"/>
      <c r="CD294" s="30"/>
      <c r="CE294" s="318"/>
      <c r="CF294" s="318"/>
      <c r="CG294" s="318"/>
      <c r="CH294" s="310"/>
      <c r="CI294" s="30"/>
      <c r="CJ294" s="318"/>
      <c r="CK294" s="318"/>
      <c r="CL294" s="310"/>
      <c r="CM294" s="30"/>
      <c r="CN294" s="318"/>
      <c r="CO294" s="310"/>
      <c r="CP294" s="30"/>
      <c r="CQ294" s="318"/>
      <c r="CR294" s="310"/>
      <c r="CS294" s="30"/>
      <c r="CT294" s="318"/>
      <c r="CU294" s="310"/>
      <c r="CV294" s="30"/>
      <c r="CW294" s="318"/>
      <c r="CX294" s="310"/>
      <c r="CY294" s="30"/>
      <c r="CZ294" s="318"/>
      <c r="DA294" s="310"/>
      <c r="DB294" s="30"/>
      <c r="DC294" s="318"/>
      <c r="DD294" s="310"/>
      <c r="DE294" s="30"/>
      <c r="DF294" s="318"/>
      <c r="DG294" s="310"/>
      <c r="DH294" s="30"/>
      <c r="DI294" s="318"/>
      <c r="DJ294" s="318"/>
      <c r="DK294" s="318"/>
      <c r="DL294" s="318"/>
    </row>
    <row r="295" spans="1:116" hidden="1" outlineLevel="1">
      <c r="A295" s="310" t="str">
        <f>A113</f>
        <v>1Q</v>
      </c>
      <c r="B295" s="310" t="str">
        <f>B113</f>
        <v>Apr</v>
      </c>
      <c r="C295" s="30"/>
      <c r="D295" s="321"/>
      <c r="E295" s="308"/>
      <c r="F295" s="321"/>
      <c r="G295" s="317"/>
      <c r="H295" s="317"/>
      <c r="I295" s="317"/>
      <c r="J295" s="322">
        <v>4.9989999999999997</v>
      </c>
      <c r="K295" s="308">
        <f>+(J295/J289-1)*100</f>
        <v>2.543589743589747</v>
      </c>
      <c r="L295" s="322">
        <v>3.5720000000000001</v>
      </c>
      <c r="M295" s="308">
        <f>+(L295/L289-1)*100</f>
        <v>-5.5959709009512082E-2</v>
      </c>
      <c r="N295" s="322">
        <v>1.7589999999999999</v>
      </c>
      <c r="O295" s="308">
        <f>+(N295/N289-1)*100</f>
        <v>-29.129734085414995</v>
      </c>
      <c r="P295" s="322">
        <v>0.40899999999999997</v>
      </c>
      <c r="Q295" s="308">
        <f>+(P295/P289-1)*100</f>
        <v>-36.589147286821714</v>
      </c>
      <c r="R295" s="326">
        <v>2.73</v>
      </c>
      <c r="S295" s="308">
        <f>+(R295/R289-1)*100</f>
        <v>25.286828820559904</v>
      </c>
      <c r="T295" s="322">
        <v>1.6879999999999999</v>
      </c>
      <c r="U295" s="308">
        <f>+(T295/T289-1)*100</f>
        <v>-11.530398322851154</v>
      </c>
      <c r="V295" s="322">
        <v>3.6999999999999998E-2</v>
      </c>
      <c r="W295" s="308">
        <f>+(V295/V289-1)*100</f>
        <v>0</v>
      </c>
      <c r="X295" s="308"/>
      <c r="Y295" s="308"/>
      <c r="Z295" s="322"/>
      <c r="AA295" s="308"/>
      <c r="AB295" s="322"/>
      <c r="AC295" s="308"/>
      <c r="AD295" s="307"/>
      <c r="AE295" s="308"/>
      <c r="AF295" s="307"/>
      <c r="AG295" s="308"/>
      <c r="AH295" s="307"/>
      <c r="AI295" s="308"/>
      <c r="AJ295" s="307"/>
      <c r="AK295" s="308"/>
      <c r="AL295" s="307"/>
      <c r="AM295" s="308"/>
      <c r="AN295" s="307"/>
      <c r="AO295" s="308"/>
      <c r="AP295" s="30"/>
      <c r="AQ295" s="453">
        <f>+J295+L295+N295+P295+R295+T295+V295+AB295+AD295+AF295+AH295+AJ295+AL295+AN295</f>
        <v>15.194000000000003</v>
      </c>
      <c r="AR295" s="308">
        <f>+(AQ295/AQ289-1)*100</f>
        <v>-3.2229299363057184</v>
      </c>
      <c r="AS295" s="308"/>
      <c r="AT295" s="30"/>
      <c r="AU295" s="30"/>
      <c r="AV295" s="30"/>
      <c r="AW295" s="321"/>
      <c r="AX295" s="308"/>
      <c r="AY295" s="308"/>
      <c r="AZ295" s="321"/>
      <c r="BA295" s="317"/>
      <c r="BB295" s="308"/>
      <c r="BC295" s="317"/>
      <c r="BD295" s="317"/>
      <c r="BE295" s="317"/>
      <c r="BF295" s="308"/>
      <c r="BG295" s="322"/>
      <c r="BH295" s="317"/>
      <c r="BI295" s="317"/>
      <c r="BJ295" s="308"/>
      <c r="BK295" s="322"/>
      <c r="BL295" s="317"/>
      <c r="BM295" s="317"/>
      <c r="BN295" s="308"/>
      <c r="BO295" s="322"/>
      <c r="BP295" s="317"/>
      <c r="BQ295" s="317"/>
      <c r="BR295" s="317"/>
      <c r="BS295" s="308"/>
      <c r="BT295" s="322"/>
      <c r="BU295" s="317"/>
      <c r="BV295" s="317"/>
      <c r="BW295" s="317"/>
      <c r="BX295" s="308"/>
      <c r="BY295" s="322"/>
      <c r="BZ295" s="317"/>
      <c r="CA295" s="317"/>
      <c r="CB295" s="317"/>
      <c r="CC295" s="308"/>
      <c r="CD295" s="307"/>
      <c r="CE295" s="317"/>
      <c r="CF295" s="317"/>
      <c r="CG295" s="526"/>
      <c r="CH295" s="308"/>
      <c r="CI295" s="322"/>
      <c r="CJ295" s="317"/>
      <c r="CK295" s="317"/>
      <c r="CL295" s="308"/>
      <c r="CM295" s="322"/>
      <c r="CN295" s="317"/>
      <c r="CO295" s="308"/>
      <c r="CP295" s="322"/>
      <c r="CQ295" s="317"/>
      <c r="CR295" s="308"/>
      <c r="CS295" s="322"/>
      <c r="CT295" s="317"/>
      <c r="CU295" s="308"/>
      <c r="CV295" s="322"/>
      <c r="CW295" s="317"/>
      <c r="CX295" s="308"/>
      <c r="CY295" s="322"/>
      <c r="CZ295" s="317"/>
      <c r="DA295" s="308"/>
      <c r="DB295" s="322"/>
      <c r="DC295" s="317"/>
      <c r="DD295" s="308"/>
      <c r="DE295" s="322"/>
      <c r="DF295" s="317"/>
      <c r="DG295" s="308"/>
      <c r="DH295" s="322"/>
      <c r="DI295" s="317"/>
      <c r="DJ295" s="317"/>
      <c r="DK295" s="317"/>
      <c r="DL295" s="317"/>
    </row>
    <row r="296" spans="1:116" hidden="1" outlineLevel="1">
      <c r="A296" s="310" t="str">
        <f>A114</f>
        <v>2Q</v>
      </c>
      <c r="B296" s="310" t="str">
        <f>B114</f>
        <v>Jul</v>
      </c>
      <c r="C296" s="30"/>
      <c r="D296" s="321"/>
      <c r="E296" s="308"/>
      <c r="F296" s="321"/>
      <c r="G296" s="317"/>
      <c r="H296" s="317"/>
      <c r="I296" s="317"/>
      <c r="J296" s="322">
        <v>5.0209999999999999</v>
      </c>
      <c r="K296" s="308">
        <f>+(J296/J290-1)*100</f>
        <v>2.3858075040783078</v>
      </c>
      <c r="L296" s="322">
        <v>3.5910000000000002</v>
      </c>
      <c r="M296" s="308">
        <f>+(L296/L290-1)*100</f>
        <v>0.56006720806496268</v>
      </c>
      <c r="N296" s="322">
        <v>1.349</v>
      </c>
      <c r="O296" s="308">
        <f>+(N296/N290-1)*100</f>
        <v>-40.494044993383326</v>
      </c>
      <c r="P296" s="322">
        <v>0.35</v>
      </c>
      <c r="Q296" s="308">
        <f>+(P296/P290-1)*100</f>
        <v>-39.75903614457831</v>
      </c>
      <c r="R296" s="326">
        <v>3.0529999999999999</v>
      </c>
      <c r="S296" s="308">
        <f>+(R296/R290-1)*100</f>
        <v>27.367542761785568</v>
      </c>
      <c r="T296" s="322">
        <v>1.6120000000000001</v>
      </c>
      <c r="U296" s="308">
        <f>+(T296/T290-1)*100</f>
        <v>-13.704496788008569</v>
      </c>
      <c r="V296" s="322">
        <v>3.6999999999999998E-2</v>
      </c>
      <c r="W296" s="308">
        <f>+(V296/V290-1)*100</f>
        <v>0</v>
      </c>
      <c r="X296" s="308"/>
      <c r="Y296" s="308"/>
      <c r="Z296" s="322"/>
      <c r="AA296" s="308"/>
      <c r="AB296" s="322"/>
      <c r="AC296" s="308"/>
      <c r="AD296" s="307"/>
      <c r="AE296" s="308"/>
      <c r="AF296" s="307"/>
      <c r="AG296" s="308"/>
      <c r="AH296" s="307"/>
      <c r="AI296" s="308"/>
      <c r="AJ296" s="307"/>
      <c r="AK296" s="308"/>
      <c r="AL296" s="307"/>
      <c r="AM296" s="308"/>
      <c r="AN296" s="307"/>
      <c r="AO296" s="308"/>
      <c r="AP296" s="30"/>
      <c r="AQ296" s="453">
        <f>+J296+L296+N296+P296+R296+T296+V296+AB296+AD296+AF296+AH296+AJ296+AL296+AN296</f>
        <v>15.013000000000002</v>
      </c>
      <c r="AR296" s="308">
        <f>+(AQ296/AQ290-1)*100</f>
        <v>-3.916799999999987</v>
      </c>
      <c r="AS296" s="308"/>
      <c r="AT296" s="30"/>
      <c r="AU296" s="576"/>
      <c r="AV296" s="30"/>
      <c r="AW296" s="321"/>
      <c r="AX296" s="308"/>
      <c r="AY296" s="308"/>
      <c r="AZ296" s="321"/>
      <c r="BA296" s="317"/>
      <c r="BB296" s="308"/>
      <c r="BC296" s="317"/>
      <c r="BD296" s="317"/>
      <c r="BE296" s="317"/>
      <c r="BF296" s="308"/>
      <c r="BG296" s="322"/>
      <c r="BH296" s="317"/>
      <c r="BI296" s="317"/>
      <c r="BJ296" s="308"/>
      <c r="BK296" s="322"/>
      <c r="BL296" s="317"/>
      <c r="BM296" s="317"/>
      <c r="BN296" s="308"/>
      <c r="BO296" s="322"/>
      <c r="BP296" s="317"/>
      <c r="BQ296" s="317"/>
      <c r="BR296" s="317"/>
      <c r="BS296" s="308"/>
      <c r="BT296" s="322"/>
      <c r="BU296" s="317"/>
      <c r="BV296" s="317"/>
      <c r="BW296" s="317"/>
      <c r="BX296" s="308"/>
      <c r="BY296" s="322"/>
      <c r="BZ296" s="317"/>
      <c r="CA296" s="317"/>
      <c r="CB296" s="317"/>
      <c r="CC296" s="308"/>
      <c r="CD296" s="326"/>
      <c r="CE296" s="317"/>
      <c r="CF296" s="317"/>
      <c r="CG296" s="317"/>
      <c r="CH296" s="308"/>
      <c r="CI296" s="322"/>
      <c r="CJ296" s="317"/>
      <c r="CK296" s="317"/>
      <c r="CL296" s="308"/>
      <c r="CM296" s="322"/>
      <c r="CN296" s="317"/>
      <c r="CO296" s="308"/>
      <c r="CP296" s="322"/>
      <c r="CQ296" s="317"/>
      <c r="CR296" s="308"/>
      <c r="CS296" s="322"/>
      <c r="CT296" s="317"/>
      <c r="CU296" s="308"/>
      <c r="CV296" s="322"/>
      <c r="CW296" s="317"/>
      <c r="CX296" s="308"/>
      <c r="CY296" s="322"/>
      <c r="CZ296" s="317"/>
      <c r="DA296" s="308"/>
      <c r="DB296" s="322"/>
      <c r="DC296" s="317"/>
      <c r="DD296" s="308"/>
      <c r="DE296" s="322"/>
      <c r="DF296" s="317"/>
      <c r="DG296" s="308"/>
      <c r="DH296" s="322"/>
      <c r="DI296" s="317"/>
      <c r="DJ296" s="317"/>
      <c r="DK296" s="317"/>
      <c r="DL296" s="317"/>
    </row>
    <row r="297" spans="1:116" hidden="1" outlineLevel="1">
      <c r="A297" s="310" t="str">
        <f>A115</f>
        <v>3Q</v>
      </c>
      <c r="B297" s="310" t="str">
        <f>B115</f>
        <v>Oct</v>
      </c>
      <c r="C297" s="30"/>
      <c r="D297" s="321"/>
      <c r="E297" s="308"/>
      <c r="F297" s="321"/>
      <c r="G297" s="317"/>
      <c r="H297" s="317"/>
      <c r="I297" s="317"/>
      <c r="J297" s="322">
        <v>5.0869999999999997</v>
      </c>
      <c r="K297" s="308">
        <f>+(J297/J291-1)*100</f>
        <v>2.1691102631050452</v>
      </c>
      <c r="L297" s="322">
        <v>3.6110000000000002</v>
      </c>
      <c r="M297" s="308">
        <f>+(L297/L291-1)*100</f>
        <v>0.41713014460511566</v>
      </c>
      <c r="N297" s="322">
        <v>1.32</v>
      </c>
      <c r="O297" s="308">
        <f>+(N297/N291-1)*100</f>
        <v>-39.615736505032018</v>
      </c>
      <c r="P297" s="322">
        <v>0.34599999999999997</v>
      </c>
      <c r="Q297" s="308">
        <f>+(P297/P291-1)*100</f>
        <v>-37.432188065099467</v>
      </c>
      <c r="R297" s="326">
        <v>3.0640000000000001</v>
      </c>
      <c r="S297" s="308">
        <f>+(R297/R291-1)*100</f>
        <v>21.011058451816744</v>
      </c>
      <c r="T297" s="322">
        <v>1.595</v>
      </c>
      <c r="U297" s="308">
        <f>+(T297/T291-1)*100</f>
        <v>-13.969795037756205</v>
      </c>
      <c r="V297" s="322">
        <v>3.6999999999999998E-2</v>
      </c>
      <c r="W297" s="308">
        <f>+(V297/V291-1)*100</f>
        <v>0</v>
      </c>
      <c r="X297" s="308"/>
      <c r="Y297" s="308"/>
      <c r="Z297" s="322">
        <v>2E-3</v>
      </c>
      <c r="AA297" s="308"/>
      <c r="AB297" s="322"/>
      <c r="AC297" s="308"/>
      <c r="AD297" s="307"/>
      <c r="AE297" s="308"/>
      <c r="AF297" s="307"/>
      <c r="AG297" s="308"/>
      <c r="AH297" s="307"/>
      <c r="AI297" s="308"/>
      <c r="AJ297" s="307"/>
      <c r="AK297" s="308"/>
      <c r="AL297" s="307"/>
      <c r="AM297" s="308"/>
      <c r="AN297" s="307"/>
      <c r="AO297" s="308"/>
      <c r="AP297" s="30"/>
      <c r="AQ297" s="453">
        <f>+J297+L297+N297+P297+R297+T297+V297+AB297+AD297+AF297+AH297+AJ297+AL297+AN297</f>
        <v>15.060000000000002</v>
      </c>
      <c r="AR297" s="308">
        <f>+(AQ297/AQ291-1)*100</f>
        <v>-4.3019635254495592</v>
      </c>
      <c r="AS297" s="308"/>
      <c r="AT297" s="30"/>
      <c r="AU297" s="30"/>
      <c r="AV297" s="30"/>
      <c r="AW297" s="302"/>
      <c r="AX297" s="302"/>
      <c r="AY297" s="308"/>
      <c r="AZ297" s="302"/>
      <c r="BA297" s="302"/>
      <c r="BB297" s="308"/>
      <c r="BC297" s="307"/>
      <c r="BD297" s="307"/>
      <c r="BE297" s="307"/>
      <c r="BF297" s="308"/>
      <c r="BG297" s="338"/>
      <c r="BH297" s="338"/>
      <c r="BI297" s="338"/>
      <c r="BJ297" s="308"/>
      <c r="BK297" s="302"/>
      <c r="BL297" s="302"/>
      <c r="BM297" s="302"/>
      <c r="BN297" s="308"/>
      <c r="BO297" s="302"/>
      <c r="BP297" s="302"/>
      <c r="BQ297" s="307"/>
      <c r="BR297" s="307"/>
      <c r="BS297" s="308"/>
      <c r="BT297" s="302"/>
      <c r="BU297" s="302"/>
      <c r="BV297" s="302"/>
      <c r="BW297" s="302"/>
      <c r="BX297" s="308"/>
      <c r="BY297" s="302"/>
      <c r="BZ297" s="302"/>
      <c r="CA297" s="302"/>
      <c r="CB297" s="302"/>
      <c r="CC297" s="308"/>
      <c r="CD297" s="302"/>
      <c r="CE297" s="302"/>
      <c r="CF297" s="302"/>
      <c r="CG297" s="302"/>
      <c r="CH297" s="308"/>
      <c r="CI297" s="302"/>
      <c r="CJ297" s="302"/>
      <c r="CK297" s="302"/>
      <c r="CL297" s="308"/>
      <c r="CM297" s="302"/>
      <c r="CN297" s="302"/>
      <c r="CO297" s="308"/>
      <c r="CP297" s="302"/>
      <c r="CQ297" s="302"/>
      <c r="CR297" s="308"/>
      <c r="CS297" s="302"/>
      <c r="CT297" s="302"/>
      <c r="CU297" s="308"/>
      <c r="CV297" s="302"/>
      <c r="CW297" s="302"/>
      <c r="CX297" s="308"/>
      <c r="CY297" s="302"/>
      <c r="CZ297" s="302"/>
      <c r="DA297" s="308"/>
      <c r="DB297" s="302"/>
      <c r="DC297" s="302"/>
      <c r="DD297" s="308"/>
      <c r="DE297" s="302"/>
      <c r="DF297" s="302"/>
      <c r="DG297" s="308"/>
      <c r="DH297" s="306"/>
      <c r="DI297" s="306"/>
      <c r="DJ297" s="306"/>
      <c r="DK297" s="306"/>
      <c r="DL297" s="321"/>
    </row>
    <row r="298" spans="1:116" hidden="1" outlineLevel="1">
      <c r="A298" s="310" t="str">
        <f>A116</f>
        <v>4Q</v>
      </c>
      <c r="B298" s="310" t="str">
        <f>B116</f>
        <v>Jan</v>
      </c>
      <c r="C298" s="339"/>
      <c r="D298" s="321"/>
      <c r="E298" s="308"/>
      <c r="F298" s="321"/>
      <c r="G298" s="317"/>
      <c r="H298" s="322">
        <v>0.94399999999999995</v>
      </c>
      <c r="I298" s="317"/>
      <c r="J298" s="322">
        <v>5.1260000000000003</v>
      </c>
      <c r="K298" s="308">
        <f>+(J298/J292-1)*100</f>
        <v>2.4995000999800121</v>
      </c>
      <c r="L298" s="322">
        <v>3.6040000000000001</v>
      </c>
      <c r="M298" s="308">
        <f>+(L298/L292-1)*100</f>
        <v>0.952380952380949</v>
      </c>
      <c r="N298" s="322">
        <v>1.1499999999999999</v>
      </c>
      <c r="O298" s="308">
        <f>+(N298/N292-1)*100</f>
        <v>-42.007060010085738</v>
      </c>
      <c r="P298" s="322">
        <v>0.28499999999999998</v>
      </c>
      <c r="Q298" s="308">
        <f>+(P298/P292-1)*100</f>
        <v>-41.358024691358032</v>
      </c>
      <c r="R298" s="326">
        <v>3.073</v>
      </c>
      <c r="S298" s="308">
        <f>+(R298/R292-1)*100</f>
        <v>21.079590228526413</v>
      </c>
      <c r="T298" s="322">
        <v>1.496</v>
      </c>
      <c r="U298" s="308">
        <f>+(T298/T292-1)*100</f>
        <v>-12.871287128712872</v>
      </c>
      <c r="V298" s="322">
        <v>3.6999999999999998E-2</v>
      </c>
      <c r="W298" s="308">
        <f>+(V298/V292-1)*100</f>
        <v>0</v>
      </c>
      <c r="X298" s="308"/>
      <c r="Y298" s="308"/>
      <c r="Z298" s="322">
        <v>3.0000000000000001E-3</v>
      </c>
      <c r="AA298" s="308"/>
      <c r="AB298" s="314"/>
      <c r="AC298" s="308"/>
      <c r="AD298" s="307"/>
      <c r="AE298" s="308"/>
      <c r="AF298" s="307"/>
      <c r="AG298" s="308"/>
      <c r="AH298" s="307"/>
      <c r="AI298" s="308"/>
      <c r="AJ298" s="307"/>
      <c r="AK298" s="308"/>
      <c r="AL298" s="307"/>
      <c r="AM298" s="308"/>
      <c r="AN298" s="307"/>
      <c r="AO298" s="308"/>
      <c r="AP298" s="30"/>
      <c r="AQ298" s="453">
        <f>+J298+L298+N298+P298+R298+T298+V298+AB298+AD298+AF298+AH298+AJ298+AL298+AN298</f>
        <v>14.771000000000003</v>
      </c>
      <c r="AR298" s="308">
        <f>+(AQ298/AQ292-1)*100</f>
        <v>-3.6590138272893258</v>
      </c>
      <c r="AS298" s="308"/>
      <c r="AT298" s="30"/>
      <c r="AU298" s="30"/>
      <c r="AV298" s="30"/>
      <c r="AW298" s="341"/>
      <c r="AX298" s="341"/>
      <c r="AY298" s="24"/>
      <c r="AZ298" s="341"/>
      <c r="BA298" s="341"/>
      <c r="BB298" s="24"/>
      <c r="BC298" s="341"/>
      <c r="BD298" s="341"/>
      <c r="BE298" s="341"/>
      <c r="BF298" s="24"/>
      <c r="BG298" s="580">
        <v>0.10199999999999999</v>
      </c>
      <c r="BH298" s="631">
        <v>-6.3E-2</v>
      </c>
      <c r="BI298" s="340">
        <v>6.8000000000000005E-2</v>
      </c>
      <c r="BJ298" s="581"/>
      <c r="BK298" s="580">
        <v>4.2000000000000003E-2</v>
      </c>
      <c r="BL298" s="580">
        <v>-8.3000000000000004E-2</v>
      </c>
      <c r="BM298" s="580">
        <v>2.1000000000000001E-2</v>
      </c>
      <c r="BN298" s="581"/>
      <c r="BO298" s="580">
        <v>3.5000000000000003E-2</v>
      </c>
      <c r="BP298" s="580">
        <v>0</v>
      </c>
      <c r="BQ298" s="580"/>
      <c r="BR298" s="580"/>
      <c r="BS298" s="581"/>
      <c r="BT298" s="580">
        <v>0</v>
      </c>
      <c r="BU298" s="580">
        <v>-0.13300000000000001</v>
      </c>
      <c r="BV298" s="580">
        <v>-0.23799999999999999</v>
      </c>
      <c r="BW298" s="580">
        <v>0</v>
      </c>
      <c r="BX298" s="581"/>
      <c r="BY298" s="580">
        <v>0</v>
      </c>
      <c r="BZ298" s="580">
        <v>-0.1</v>
      </c>
      <c r="CA298" s="580">
        <v>-4.0000000000000001E-3</v>
      </c>
      <c r="CB298" s="580">
        <v>0</v>
      </c>
      <c r="CC298" s="581"/>
      <c r="CD298" s="580">
        <v>8.5000000000000006E-2</v>
      </c>
      <c r="CE298" s="580">
        <v>0</v>
      </c>
      <c r="CF298" s="580">
        <v>0.25800000000000001</v>
      </c>
      <c r="CG298" s="580">
        <v>4.0000000000000001E-3</v>
      </c>
      <c r="CH298" s="581"/>
      <c r="CI298" s="580">
        <v>0</v>
      </c>
      <c r="CJ298" s="580">
        <v>-0.06</v>
      </c>
      <c r="CK298" s="580">
        <v>-4.1000000000000002E-2</v>
      </c>
      <c r="CL298" s="581"/>
      <c r="CM298" s="580"/>
      <c r="CN298" s="580"/>
      <c r="CO298" s="581"/>
      <c r="CP298" s="340"/>
      <c r="CQ298" s="340"/>
      <c r="CR298" s="24"/>
      <c r="CS298" s="24"/>
      <c r="CT298" s="305"/>
      <c r="CU298" s="24"/>
      <c r="CV298" s="24"/>
      <c r="CW298" s="305"/>
      <c r="CX298" s="24"/>
      <c r="CY298" s="24"/>
      <c r="CZ298" s="305"/>
      <c r="DA298" s="24"/>
      <c r="DB298" s="24"/>
      <c r="DC298" s="305"/>
      <c r="DD298" s="24"/>
      <c r="DE298" s="24"/>
      <c r="DF298" s="305"/>
      <c r="DG298" s="24"/>
      <c r="DH298" s="342">
        <f>+BG298+BK298+BT298+BY298+CD298+CI298+BO298+CP298+CS298+CV298+CY298+DB298+DE298</f>
        <v>0.26400000000000001</v>
      </c>
      <c r="DI298" s="342">
        <f>+BH298+BL298+BU298+BZ298+CE298+CJ298+BP298+CQ298+CT298+CW298+CZ298+DC298+DF298</f>
        <v>-0.439</v>
      </c>
      <c r="DJ298" s="342">
        <f>+BI298+BM298+BW298+CB298+CG298+CK298</f>
        <v>5.2000000000000011E-2</v>
      </c>
      <c r="DK298" s="342">
        <f>+BJ298+BS298+BX298+CC298+CH298+BN298</f>
        <v>0</v>
      </c>
      <c r="DL298" s="630"/>
    </row>
    <row r="299" spans="1:116" hidden="1" outlineLevel="1">
      <c r="A299" s="310"/>
      <c r="B299" s="310"/>
      <c r="C299" s="339"/>
      <c r="D299" s="321"/>
      <c r="E299" s="308"/>
      <c r="F299" s="321"/>
      <c r="G299" s="317"/>
      <c r="H299" s="317"/>
      <c r="I299" s="656"/>
      <c r="J299" s="322"/>
      <c r="K299" s="308"/>
      <c r="L299" s="322"/>
      <c r="M299" s="308"/>
      <c r="N299" s="322"/>
      <c r="O299" s="308"/>
      <c r="P299" s="322"/>
      <c r="Q299" s="308"/>
      <c r="R299" s="326"/>
      <c r="S299" s="308"/>
      <c r="T299" s="322"/>
      <c r="U299" s="308"/>
      <c r="V299" s="322"/>
      <c r="W299" s="308"/>
      <c r="X299" s="308"/>
      <c r="Y299" s="308"/>
      <c r="Z299" s="322"/>
      <c r="AA299" s="308"/>
      <c r="AB299" s="314"/>
      <c r="AC299" s="308"/>
      <c r="AD299" s="307"/>
      <c r="AE299" s="308"/>
      <c r="AF299" s="307"/>
      <c r="AG299" s="308"/>
      <c r="AH299" s="307"/>
      <c r="AI299" s="308"/>
      <c r="AJ299" s="307"/>
      <c r="AK299" s="308"/>
      <c r="AL299" s="307"/>
      <c r="AM299" s="308"/>
      <c r="AN299" s="307"/>
      <c r="AO299" s="308"/>
      <c r="AP299" s="30"/>
      <c r="AQ299" s="593"/>
      <c r="AR299" s="308"/>
      <c r="AS299" s="308"/>
      <c r="AT299" s="30"/>
      <c r="AU299" s="30"/>
      <c r="AV299" s="30"/>
      <c r="AW299" s="341"/>
      <c r="AX299" s="341"/>
      <c r="AY299" s="24"/>
      <c r="AZ299" s="341"/>
      <c r="BA299" s="341"/>
      <c r="BB299" s="24"/>
      <c r="BC299" s="341"/>
      <c r="BD299" s="341"/>
      <c r="BE299" s="341"/>
      <c r="BF299" s="24"/>
      <c r="BG299" s="580"/>
      <c r="BH299" s="580"/>
      <c r="BI299" s="340"/>
      <c r="BJ299" s="581"/>
      <c r="BK299" s="580"/>
      <c r="BL299" s="580"/>
      <c r="BM299" s="580"/>
      <c r="BN299" s="581"/>
      <c r="BO299" s="580"/>
      <c r="BP299" s="580"/>
      <c r="BQ299" s="580"/>
      <c r="BR299" s="580"/>
      <c r="BS299" s="581"/>
      <c r="BT299" s="580"/>
      <c r="BU299" s="580"/>
      <c r="BV299" s="580"/>
      <c r="BW299" s="580"/>
      <c r="BX299" s="581"/>
      <c r="BY299" s="580"/>
      <c r="BZ299" s="580"/>
      <c r="CA299" s="580"/>
      <c r="CB299" s="580"/>
      <c r="CC299" s="581"/>
      <c r="CD299" s="580"/>
      <c r="CE299" s="580"/>
      <c r="CF299" s="580"/>
      <c r="CG299" s="580"/>
      <c r="CH299" s="581"/>
      <c r="CI299" s="580"/>
      <c r="CJ299" s="580"/>
      <c r="CK299" s="580"/>
      <c r="CL299" s="581"/>
      <c r="CM299" s="580"/>
      <c r="CN299" s="580"/>
      <c r="CO299" s="581"/>
      <c r="CP299" s="340"/>
      <c r="CQ299" s="340"/>
      <c r="CR299" s="24"/>
      <c r="CS299" s="24"/>
      <c r="CT299" s="305"/>
      <c r="CU299" s="24"/>
      <c r="CV299" s="24"/>
      <c r="CW299" s="305"/>
      <c r="CX299" s="24"/>
      <c r="CY299" s="24"/>
      <c r="CZ299" s="305"/>
      <c r="DA299" s="24"/>
      <c r="DB299" s="24"/>
      <c r="DC299" s="305"/>
      <c r="DD299" s="24"/>
      <c r="DE299" s="24"/>
      <c r="DF299" s="305"/>
      <c r="DG299" s="24"/>
      <c r="DH299" s="630"/>
      <c r="DI299" s="630"/>
      <c r="DJ299" s="630"/>
      <c r="DK299" s="630"/>
      <c r="DL299" s="630"/>
    </row>
    <row r="300" spans="1:116" hidden="1" outlineLevel="1">
      <c r="A300" s="301"/>
      <c r="B300" s="312" t="str">
        <f>B118</f>
        <v>2007A</v>
      </c>
      <c r="C300" s="30"/>
      <c r="D300" s="30"/>
      <c r="E300" s="310"/>
      <c r="F300" s="30"/>
      <c r="G300" s="318"/>
      <c r="H300" s="318"/>
      <c r="I300" s="318"/>
      <c r="J300" s="30"/>
      <c r="K300" s="319"/>
      <c r="L300" s="30"/>
      <c r="M300" s="310"/>
      <c r="N300" s="30"/>
      <c r="O300" s="310"/>
      <c r="P300" s="30"/>
      <c r="Q300" s="30"/>
      <c r="R300" s="30"/>
      <c r="S300" s="310"/>
      <c r="T300" s="30"/>
      <c r="U300" s="310"/>
      <c r="V300" s="314"/>
      <c r="W300" s="319"/>
      <c r="X300" s="319"/>
      <c r="Y300" s="319"/>
      <c r="Z300" s="30"/>
      <c r="AA300" s="319"/>
      <c r="AB300" s="30"/>
      <c r="AC300" s="310"/>
      <c r="AD300" s="30"/>
      <c r="AE300" s="310"/>
      <c r="AF300" s="30"/>
      <c r="AG300" s="310"/>
      <c r="AH300" s="30"/>
      <c r="AI300" s="310"/>
      <c r="AJ300" s="30"/>
      <c r="AK300" s="310"/>
      <c r="AL300" s="30"/>
      <c r="AM300" s="310"/>
      <c r="AN300" s="30"/>
      <c r="AO300" s="310"/>
      <c r="AP300" s="30"/>
      <c r="AQ300" s="593"/>
      <c r="AR300" s="310"/>
      <c r="AS300" s="310"/>
      <c r="AT300" s="30"/>
      <c r="AU300" s="30"/>
      <c r="AV300" s="30"/>
      <c r="AW300" s="30"/>
      <c r="AX300" s="310"/>
      <c r="AY300" s="310"/>
      <c r="AZ300" s="30"/>
      <c r="BA300" s="318"/>
      <c r="BB300" s="310"/>
      <c r="BC300" s="318"/>
      <c r="BD300" s="318"/>
      <c r="BE300" s="318"/>
      <c r="BF300" s="310"/>
      <c r="BG300" s="30"/>
      <c r="BH300" s="318"/>
      <c r="BI300" s="318"/>
      <c r="BJ300" s="310"/>
      <c r="BK300" s="30"/>
      <c r="BL300" s="318"/>
      <c r="BM300" s="318"/>
      <c r="BN300" s="310"/>
      <c r="BO300" s="30"/>
      <c r="BP300" s="318"/>
      <c r="BQ300" s="318"/>
      <c r="BR300" s="318"/>
      <c r="BS300" s="310"/>
      <c r="BT300" s="30"/>
      <c r="BU300" s="318"/>
      <c r="BV300" s="318"/>
      <c r="BW300" s="318"/>
      <c r="BX300" s="310"/>
      <c r="BY300" s="30"/>
      <c r="BZ300" s="318"/>
      <c r="CA300" s="318"/>
      <c r="CB300" s="318"/>
      <c r="CC300" s="310"/>
      <c r="CD300" s="30"/>
      <c r="CE300" s="318"/>
      <c r="CF300" s="318"/>
      <c r="CG300" s="318"/>
      <c r="CH300" s="310"/>
      <c r="CI300" s="30"/>
      <c r="CJ300" s="318"/>
      <c r="CK300" s="318"/>
      <c r="CL300" s="310"/>
      <c r="CM300" s="30"/>
      <c r="CN300" s="318"/>
      <c r="CO300" s="310"/>
      <c r="CP300" s="30"/>
      <c r="CQ300" s="318"/>
      <c r="CR300" s="310"/>
      <c r="CS300" s="30"/>
      <c r="CT300" s="318"/>
      <c r="CU300" s="310"/>
      <c r="CV300" s="30"/>
      <c r="CW300" s="318"/>
      <c r="CX300" s="310"/>
      <c r="CY300" s="30"/>
      <c r="CZ300" s="318"/>
      <c r="DA300" s="310"/>
      <c r="DB300" s="30"/>
      <c r="DC300" s="318"/>
      <c r="DD300" s="310"/>
      <c r="DE300" s="30"/>
      <c r="DF300" s="318"/>
      <c r="DG300" s="310"/>
      <c r="DH300" s="30"/>
      <c r="DI300" s="318"/>
      <c r="DJ300" s="318"/>
      <c r="DK300" s="318"/>
      <c r="DL300" s="318"/>
    </row>
    <row r="301" spans="1:116" hidden="1" outlineLevel="1">
      <c r="A301" s="310" t="str">
        <f>A119</f>
        <v>1Q</v>
      </c>
      <c r="B301" s="310" t="str">
        <f>B119</f>
        <v>Apr</v>
      </c>
      <c r="C301" s="30"/>
      <c r="D301" s="321"/>
      <c r="E301" s="308"/>
      <c r="F301" s="321"/>
      <c r="G301" s="317"/>
      <c r="H301" s="322">
        <v>0.83099999999999996</v>
      </c>
      <c r="I301" s="308"/>
      <c r="J301" s="322">
        <v>5.1440000000000001</v>
      </c>
      <c r="K301" s="308">
        <f>+(J301/J295-1)*100</f>
        <v>2.9005801160232103</v>
      </c>
      <c r="L301" s="322">
        <v>3.597</v>
      </c>
      <c r="M301" s="308">
        <f>+(L301/L295-1)*100</f>
        <v>0.69988801791713851</v>
      </c>
      <c r="N301" s="322">
        <v>0.879</v>
      </c>
      <c r="O301" s="308">
        <f>+(N301/N295-1)*100</f>
        <v>-50.028425241614549</v>
      </c>
      <c r="P301" s="322">
        <v>0.23799999999999999</v>
      </c>
      <c r="Q301" s="308">
        <f>+(P301/P295-1)*100</f>
        <v>-41.809290953545229</v>
      </c>
      <c r="R301" s="326">
        <v>3.2309999999999999</v>
      </c>
      <c r="S301" s="308">
        <f>+(R301/R295-1)*100</f>
        <v>18.351648351648354</v>
      </c>
      <c r="T301" s="322">
        <v>1.4330000000000001</v>
      </c>
      <c r="U301" s="308">
        <f>+(T301/T295-1)*100</f>
        <v>-15.106635071090047</v>
      </c>
      <c r="V301" s="322">
        <v>3.6999999999999998E-2</v>
      </c>
      <c r="W301" s="308">
        <f>+(V301/V295-1)*100</f>
        <v>0</v>
      </c>
      <c r="X301" s="308"/>
      <c r="Y301" s="308"/>
      <c r="Z301" s="322">
        <v>3.0000000000000001E-3</v>
      </c>
      <c r="AA301" s="526">
        <f>+R301-R298</f>
        <v>0.15799999999999992</v>
      </c>
      <c r="AB301" s="322"/>
      <c r="AC301" s="308"/>
      <c r="AD301" s="307"/>
      <c r="AE301" s="308"/>
      <c r="AF301" s="307"/>
      <c r="AG301" s="308"/>
      <c r="AH301" s="307"/>
      <c r="AI301" s="308"/>
      <c r="AJ301" s="307"/>
      <c r="AK301" s="308"/>
      <c r="AL301" s="307"/>
      <c r="AM301" s="308"/>
      <c r="AN301" s="307"/>
      <c r="AO301" s="308"/>
      <c r="AP301" s="30"/>
      <c r="AQ301" s="453">
        <f>+J301+L301+N301+P301+R301+T301+V301+AB301+AD301+AF301+AH301+AJ301+AL301+AN301</f>
        <v>14.558999999999999</v>
      </c>
      <c r="AR301" s="308">
        <f>+(AQ301/AQ295-1)*100</f>
        <v>-4.1792812952481491</v>
      </c>
      <c r="AS301" s="308"/>
      <c r="AT301" s="30"/>
      <c r="AU301" s="30"/>
      <c r="AV301" s="30"/>
      <c r="AW301" s="321"/>
      <c r="AX301" s="308"/>
      <c r="AY301" s="308"/>
      <c r="AZ301" s="321"/>
      <c r="BA301" s="317"/>
      <c r="BB301" s="308"/>
      <c r="BC301" s="317"/>
      <c r="BD301" s="317"/>
      <c r="BE301" s="317"/>
      <c r="BF301" s="308"/>
      <c r="BG301" s="322"/>
      <c r="BH301" s="317"/>
      <c r="BI301" s="317"/>
      <c r="BJ301" s="308"/>
      <c r="BK301" s="322"/>
      <c r="BL301" s="317"/>
      <c r="BM301" s="317"/>
      <c r="BN301" s="308"/>
      <c r="BO301" s="322"/>
      <c r="BP301" s="317"/>
      <c r="BQ301" s="317"/>
      <c r="BR301" s="317"/>
      <c r="BS301" s="308"/>
      <c r="BT301" s="322"/>
      <c r="BU301" s="317"/>
      <c r="BV301" s="317"/>
      <c r="BW301" s="317"/>
      <c r="BX301" s="308"/>
      <c r="BY301" s="322"/>
      <c r="BZ301" s="317"/>
      <c r="CA301" s="317"/>
      <c r="CB301" s="317"/>
      <c r="CC301" s="308"/>
      <c r="CD301" s="307"/>
      <c r="CE301" s="317"/>
      <c r="CF301" s="317"/>
      <c r="CG301" s="526"/>
      <c r="CH301" s="308"/>
      <c r="CI301" s="322"/>
      <c r="CJ301" s="317"/>
      <c r="CK301" s="317"/>
      <c r="CL301" s="308"/>
      <c r="CM301" s="322"/>
      <c r="CN301" s="317"/>
      <c r="CO301" s="308"/>
      <c r="CP301" s="322"/>
      <c r="CQ301" s="317"/>
      <c r="CR301" s="308"/>
      <c r="CS301" s="322"/>
      <c r="CT301" s="317"/>
      <c r="CU301" s="308"/>
      <c r="CV301" s="322"/>
      <c r="CW301" s="317"/>
      <c r="CX301" s="308"/>
      <c r="CY301" s="322"/>
      <c r="CZ301" s="317"/>
      <c r="DA301" s="308"/>
      <c r="DB301" s="322"/>
      <c r="DC301" s="317"/>
      <c r="DD301" s="308"/>
      <c r="DE301" s="322"/>
      <c r="DF301" s="317"/>
      <c r="DG301" s="308"/>
      <c r="DH301" s="322"/>
      <c r="DI301" s="317"/>
      <c r="DJ301" s="317"/>
      <c r="DK301" s="317"/>
      <c r="DL301" s="317"/>
    </row>
    <row r="302" spans="1:116" hidden="1" outlineLevel="1">
      <c r="A302" s="310" t="str">
        <f>A120</f>
        <v>2Q</v>
      </c>
      <c r="B302" s="310" t="str">
        <f>B120</f>
        <v>Jul</v>
      </c>
      <c r="C302" s="30"/>
      <c r="D302" s="321"/>
      <c r="E302" s="308"/>
      <c r="F302" s="321"/>
      <c r="G302" s="317"/>
      <c r="H302" s="322">
        <v>0.85199999999999998</v>
      </c>
      <c r="I302" s="308"/>
      <c r="J302" s="322">
        <v>5.2770000000000001</v>
      </c>
      <c r="K302" s="308">
        <f>+(J302/J296-1)*100</f>
        <v>5.0985859390559662</v>
      </c>
      <c r="L302" s="322">
        <v>3.6269999999999998</v>
      </c>
      <c r="M302" s="308">
        <f>+(L302/L296-1)*100</f>
        <v>1.0025062656641381</v>
      </c>
      <c r="N302" s="754">
        <f>+N301+(BT120*yrSales!$AC$216/1000000)+('store&amp;sf'!BU120*yrSales!AC$216/1000000)+BV304/4+BW304/4</f>
        <v>0.71550000000000014</v>
      </c>
      <c r="O302" s="755">
        <f>+(N302/N296-1)*100</f>
        <v>-46.960711638250544</v>
      </c>
      <c r="P302" s="754">
        <f>+P301+(BZ120*yrSales!$AC$217/1000000)</f>
        <v>0.19009499999999999</v>
      </c>
      <c r="Q302" s="755">
        <f>+(P302/P296-1)*100</f>
        <v>-45.687142857142859</v>
      </c>
      <c r="R302" s="756">
        <f>+R301+(CD120*yrSales!$AC$218/1000000)+CE304/4+(CF120*yrSales!$AC$218/1000000)+('store&amp;sf'!$CG$304)/4</f>
        <v>3.4819499999999999</v>
      </c>
      <c r="S302" s="755">
        <f>+(R302/R296-1)*100</f>
        <v>14.050114641336386</v>
      </c>
      <c r="T302" s="754">
        <f>+T301+(CJ120*yrSales!AC263/1000000)+('store&amp;sf'!$CK$304/4)</f>
        <v>1.37235</v>
      </c>
      <c r="U302" s="755">
        <f>+(T302/T296-1)*100</f>
        <v>-14.86662531017371</v>
      </c>
      <c r="V302" s="322">
        <v>3.6999999999999998E-2</v>
      </c>
      <c r="W302" s="308">
        <f>+(V302/V296-1)*100</f>
        <v>0</v>
      </c>
      <c r="X302" s="308"/>
      <c r="Y302" s="308"/>
      <c r="Z302" s="754">
        <f>+Z299</f>
        <v>0</v>
      </c>
      <c r="AA302" s="526">
        <f>+R302-R299</f>
        <v>3.4819499999999999</v>
      </c>
      <c r="AB302" s="322"/>
      <c r="AC302" s="308"/>
      <c r="AD302" s="307"/>
      <c r="AE302" s="308"/>
      <c r="AF302" s="307"/>
      <c r="AG302" s="308"/>
      <c r="AH302" s="307"/>
      <c r="AI302" s="308"/>
      <c r="AJ302" s="307"/>
      <c r="AK302" s="308"/>
      <c r="AL302" s="307"/>
      <c r="AM302" s="308"/>
      <c r="AN302" s="307"/>
      <c r="AO302" s="308"/>
      <c r="AP302" s="30"/>
      <c r="AQ302" s="453">
        <f>H302+J302+L302+V302</f>
        <v>9.793000000000001</v>
      </c>
      <c r="AR302" s="308">
        <f>+(AQ302/AQ296-1)*100</f>
        <v>-34.76986611603278</v>
      </c>
      <c r="AS302" s="308"/>
      <c r="AT302" s="30"/>
      <c r="AU302" s="576"/>
      <c r="AV302" s="30"/>
      <c r="AW302" s="321"/>
      <c r="AX302" s="308"/>
      <c r="AY302" s="308"/>
      <c r="AZ302" s="321"/>
      <c r="BA302" s="317"/>
      <c r="BB302" s="308"/>
      <c r="BC302" s="317"/>
      <c r="BD302" s="317"/>
      <c r="BE302" s="317"/>
      <c r="BF302" s="308"/>
      <c r="BG302" s="322"/>
      <c r="BH302" s="317"/>
      <c r="BI302" s="317"/>
      <c r="BJ302" s="308"/>
      <c r="BK302" s="322"/>
      <c r="BL302" s="317"/>
      <c r="BM302" s="317"/>
      <c r="BN302" s="308"/>
      <c r="BO302" s="322"/>
      <c r="BP302" s="317"/>
      <c r="BQ302" s="317"/>
      <c r="BR302" s="317"/>
      <c r="BS302" s="308"/>
      <c r="BT302" s="322"/>
      <c r="BU302" s="317"/>
      <c r="BV302" s="317"/>
      <c r="BW302" s="317"/>
      <c r="BX302" s="308"/>
      <c r="BY302" s="322"/>
      <c r="BZ302" s="317"/>
      <c r="CA302" s="317"/>
      <c r="CB302" s="317"/>
      <c r="CC302" s="308"/>
      <c r="CD302" s="326"/>
      <c r="CE302" s="317"/>
      <c r="CF302" s="317"/>
      <c r="CG302" s="317"/>
      <c r="CH302" s="308"/>
      <c r="CI302" s="322"/>
      <c r="CJ302" s="317"/>
      <c r="CK302" s="317"/>
      <c r="CL302" s="308"/>
      <c r="CM302" s="322"/>
      <c r="CN302" s="317"/>
      <c r="CO302" s="308"/>
      <c r="CP302" s="322"/>
      <c r="CQ302" s="317"/>
      <c r="CR302" s="308"/>
      <c r="CS302" s="322"/>
      <c r="CT302" s="317"/>
      <c r="CU302" s="308"/>
      <c r="CV302" s="322"/>
      <c r="CW302" s="317"/>
      <c r="CX302" s="308"/>
      <c r="CY302" s="322"/>
      <c r="CZ302" s="317"/>
      <c r="DA302" s="308"/>
      <c r="DB302" s="322"/>
      <c r="DC302" s="317"/>
      <c r="DD302" s="308"/>
      <c r="DE302" s="322"/>
      <c r="DF302" s="317"/>
      <c r="DG302" s="308"/>
      <c r="DH302" s="322"/>
      <c r="DI302" s="317"/>
      <c r="DJ302" s="317"/>
      <c r="DK302" s="317"/>
      <c r="DL302" s="317"/>
    </row>
    <row r="303" spans="1:116" hidden="1" outlineLevel="1">
      <c r="A303" s="310" t="str">
        <f>A121</f>
        <v>3Q</v>
      </c>
      <c r="B303" s="310" t="str">
        <f>B121</f>
        <v>Oct</v>
      </c>
      <c r="C303" s="30"/>
      <c r="D303" s="321"/>
      <c r="E303" s="308"/>
      <c r="F303" s="321"/>
      <c r="G303" s="317"/>
      <c r="H303" s="322">
        <v>0.89100000000000001</v>
      </c>
      <c r="I303" s="308"/>
      <c r="J303" s="322">
        <v>5.5090000000000003</v>
      </c>
      <c r="K303" s="308">
        <f>+(J303/J297-1)*100</f>
        <v>8.2956555926872575</v>
      </c>
      <c r="L303" s="322">
        <v>3.7559999999999998</v>
      </c>
      <c r="M303" s="308">
        <f>+(L303/L297-1)*100</f>
        <v>4.0155081694821293</v>
      </c>
      <c r="N303" s="754">
        <f>+N302+(BT121*yrSales!$AC$216/1000000)+('store&amp;sf'!BU121*yrSales!AC$216/1000000)+BV304/4+BW304/4</f>
        <v>0.56600000000000017</v>
      </c>
      <c r="O303" s="755">
        <f>+(N303/N297-1)*100</f>
        <v>-57.121212121212103</v>
      </c>
      <c r="P303" s="754">
        <f>+P302+(BZ121*yrSales!$AC$217/1000000)</f>
        <v>0.17702999999999999</v>
      </c>
      <c r="Q303" s="755">
        <f>+(P303/P297-1)*100</f>
        <v>-48.835260115606935</v>
      </c>
      <c r="R303" s="756">
        <f>+R302+(CD121*yrSales!$AC$218/1000000)+CE304/4+(CF121*yrSales!$AC$218/1000000)+('store&amp;sf'!$CG$304)/4</f>
        <v>3.44625</v>
      </c>
      <c r="S303" s="755">
        <f>+(R303/R297-1)*100</f>
        <v>12.475522193211486</v>
      </c>
      <c r="T303" s="754">
        <f>+T302+(CJ121*yrSales!AC263/1000000)+('store&amp;sf'!$CK$304/4)</f>
        <v>1.3489</v>
      </c>
      <c r="U303" s="755">
        <f>+(T303/T297-1)*100</f>
        <v>-15.429467084639503</v>
      </c>
      <c r="V303" s="322">
        <v>3.6999999999999998E-2</v>
      </c>
      <c r="W303" s="308">
        <f>+(V303/V297-1)*100</f>
        <v>0</v>
      </c>
      <c r="X303" s="308"/>
      <c r="Y303" s="308"/>
      <c r="Z303" s="754">
        <v>0</v>
      </c>
      <c r="AA303" s="526">
        <f>+R303-R300</f>
        <v>3.44625</v>
      </c>
      <c r="AB303" s="322"/>
      <c r="AC303" s="308"/>
      <c r="AD303" s="307"/>
      <c r="AE303" s="308"/>
      <c r="AF303" s="307"/>
      <c r="AG303" s="308"/>
      <c r="AH303" s="307"/>
      <c r="AI303" s="308"/>
      <c r="AJ303" s="307"/>
      <c r="AK303" s="308"/>
      <c r="AL303" s="307"/>
      <c r="AM303" s="308"/>
      <c r="AN303" s="307"/>
      <c r="AO303" s="308"/>
      <c r="AP303" s="30"/>
      <c r="AQ303" s="453">
        <f>H303+J303+L303+V303</f>
        <v>10.193000000000001</v>
      </c>
      <c r="AR303" s="308">
        <f>+(AQ303/AQ297-1)*100</f>
        <v>-32.317397078353252</v>
      </c>
      <c r="AS303" s="308"/>
      <c r="AT303" s="30"/>
      <c r="AU303" s="30"/>
      <c r="AV303" s="30"/>
      <c r="AW303" s="302"/>
      <c r="AX303" s="302"/>
      <c r="AY303" s="308"/>
      <c r="AZ303" s="302"/>
      <c r="BA303" s="302"/>
      <c r="BB303" s="308"/>
      <c r="BC303" s="307"/>
      <c r="BD303" s="307"/>
      <c r="BE303" s="307"/>
      <c r="BF303" s="308"/>
      <c r="BG303" s="338"/>
      <c r="BH303" s="338"/>
      <c r="BI303" s="338"/>
      <c r="BJ303" s="308"/>
      <c r="BK303" s="302"/>
      <c r="BL303" s="302"/>
      <c r="BM303" s="302"/>
      <c r="BN303" s="308"/>
      <c r="BO303" s="302"/>
      <c r="BP303" s="302"/>
      <c r="BQ303" s="307"/>
      <c r="BR303" s="307"/>
      <c r="BS303" s="308"/>
      <c r="BT303" s="302"/>
      <c r="BU303" s="302"/>
      <c r="BV303" s="302"/>
      <c r="BW303" s="302"/>
      <c r="BX303" s="308"/>
      <c r="BY303" s="302"/>
      <c r="BZ303" s="302"/>
      <c r="CA303" s="302"/>
      <c r="CB303" s="302"/>
      <c r="CC303" s="308"/>
      <c r="CD303" s="302"/>
      <c r="CE303" s="302"/>
      <c r="CF303" s="302"/>
      <c r="CG303" s="302"/>
      <c r="CH303" s="308"/>
      <c r="CI303" s="302"/>
      <c r="CJ303" s="302"/>
      <c r="CK303" s="302"/>
      <c r="CL303" s="308"/>
      <c r="CM303" s="302"/>
      <c r="CN303" s="302"/>
      <c r="CO303" s="308"/>
      <c r="CP303" s="302"/>
      <c r="CQ303" s="302"/>
      <c r="CR303" s="308"/>
      <c r="CS303" s="302"/>
      <c r="CT303" s="302"/>
      <c r="CU303" s="308"/>
      <c r="CV303" s="302"/>
      <c r="CW303" s="302"/>
      <c r="CX303" s="308"/>
      <c r="CY303" s="302"/>
      <c r="CZ303" s="302"/>
      <c r="DA303" s="308"/>
      <c r="DB303" s="302"/>
      <c r="DC303" s="302"/>
      <c r="DD303" s="308"/>
      <c r="DE303" s="302"/>
      <c r="DF303" s="302"/>
      <c r="DG303" s="308"/>
      <c r="DH303" s="306"/>
      <c r="DI303" s="306"/>
      <c r="DJ303" s="306"/>
      <c r="DK303" s="306"/>
      <c r="DL303" s="321"/>
    </row>
    <row r="304" spans="1:116" hidden="1" outlineLevel="1">
      <c r="A304" s="310" t="str">
        <f>A122</f>
        <v>4Q</v>
      </c>
      <c r="B304" s="310" t="str">
        <f>B122</f>
        <v>Jan</v>
      </c>
      <c r="C304" s="339"/>
      <c r="D304" s="321"/>
      <c r="E304" s="308"/>
      <c r="F304" s="321"/>
      <c r="G304" s="317"/>
      <c r="H304" s="322">
        <v>0.90100000000000002</v>
      </c>
      <c r="I304" s="589">
        <f>+(H304/H298-1)*100</f>
        <v>-4.5550847457627057</v>
      </c>
      <c r="J304" s="919">
        <v>5.5990000000000002</v>
      </c>
      <c r="K304" s="589">
        <f>+(J304/J298-1)*100</f>
        <v>9.227467811158796</v>
      </c>
      <c r="L304" s="919">
        <v>3.7730000000000001</v>
      </c>
      <c r="M304" s="589">
        <f>+(L304/L298-1)*100</f>
        <v>4.6892341842397434</v>
      </c>
      <c r="N304" s="757">
        <f>+N303+(BT122*yrSales!$AC$216/1000000)+('store&amp;sf'!BU122*yrSales!AC$216/1000000)+BV304/4+BW304/4</f>
        <v>0.39550000000000018</v>
      </c>
      <c r="O304" s="758">
        <f>+(N304/N298-1)*100</f>
        <v>-65.608695652173893</v>
      </c>
      <c r="P304" s="757">
        <f>+P303+(BZ122*yrSales!$AC$217/1000000)</f>
        <v>0.15089999999999998</v>
      </c>
      <c r="Q304" s="758">
        <f>+(P304/P298-1)*100</f>
        <v>-47.05263157894737</v>
      </c>
      <c r="R304" s="759">
        <f>+R303+(CD122*yrSales!$AC$218/1000000)+CE304/4+(CF122*yrSales!$AC$218/1000000)+('store&amp;sf'!$CG$304)/4</f>
        <v>3.4105500000000002</v>
      </c>
      <c r="S304" s="758">
        <f>+(R304/R298-1)*100</f>
        <v>10.984380084607892</v>
      </c>
      <c r="T304" s="757">
        <f>+T303+(CJ122*yrSales!AC263/1000000)+('store&amp;sf'!$CK$304/4)</f>
        <v>1.25725</v>
      </c>
      <c r="U304" s="758">
        <f>+(T304/T298-1)*100</f>
        <v>-15.959224598930478</v>
      </c>
      <c r="V304" s="919">
        <v>3.6999999999999998E-2</v>
      </c>
      <c r="W304" s="589">
        <f>+(V304/V298-1)*100</f>
        <v>0</v>
      </c>
      <c r="X304" s="589"/>
      <c r="Y304" s="589"/>
      <c r="Z304" s="757">
        <f>+Z303</f>
        <v>0</v>
      </c>
      <c r="AA304" s="526">
        <f>+R304-R301</f>
        <v>0.17955000000000032</v>
      </c>
      <c r="AB304" s="314"/>
      <c r="AC304" s="308"/>
      <c r="AD304" s="307"/>
      <c r="AE304" s="308"/>
      <c r="AF304" s="307"/>
      <c r="AG304" s="308"/>
      <c r="AH304" s="307"/>
      <c r="AI304" s="308"/>
      <c r="AJ304" s="307"/>
      <c r="AK304" s="308"/>
      <c r="AL304" s="307"/>
      <c r="AM304" s="308"/>
      <c r="AN304" s="307"/>
      <c r="AO304" s="308"/>
      <c r="AP304" s="30"/>
      <c r="AQ304" s="453">
        <f>H304+J304+L304+V304</f>
        <v>10.31</v>
      </c>
      <c r="AR304" s="308">
        <f>+(AQ304/AQ298-1)*100</f>
        <v>-30.2010696635299</v>
      </c>
      <c r="AS304" s="308"/>
      <c r="AT304" s="30"/>
      <c r="AU304" s="30"/>
      <c r="AV304" s="30"/>
      <c r="AW304" s="341"/>
      <c r="AX304" s="341"/>
      <c r="AY304" s="24"/>
      <c r="AZ304" s="341"/>
      <c r="BA304" s="341"/>
      <c r="BB304" s="24"/>
      <c r="BC304" s="341">
        <v>0.14000000000000001</v>
      </c>
      <c r="BD304" s="341">
        <v>-1.0999999999999999E-2</v>
      </c>
      <c r="BE304" s="341"/>
      <c r="BF304" s="24"/>
      <c r="BG304" s="580">
        <v>0.217</v>
      </c>
      <c r="BH304" s="631">
        <v>-7.0000000000000007E-2</v>
      </c>
      <c r="BI304" s="340">
        <v>0.29899999999999999</v>
      </c>
      <c r="BJ304" s="581"/>
      <c r="BK304" s="580">
        <v>0.17699999999999999</v>
      </c>
      <c r="BL304" s="580">
        <v>-0.06</v>
      </c>
      <c r="BM304" s="580">
        <v>3.9E-2</v>
      </c>
      <c r="BN304" s="581"/>
      <c r="BO304" s="580">
        <v>0</v>
      </c>
      <c r="BP304" s="580">
        <v>0</v>
      </c>
      <c r="BQ304" s="580"/>
      <c r="BR304" s="580"/>
      <c r="BS304" s="581"/>
      <c r="BT304" s="580">
        <v>0</v>
      </c>
      <c r="BU304" s="580">
        <v>-0.17699999999999999</v>
      </c>
      <c r="BV304" s="580">
        <v>-0.55000000000000004</v>
      </c>
      <c r="BW304" s="580">
        <v>-6.0000000000000001E-3</v>
      </c>
      <c r="BX304" s="581"/>
      <c r="BY304" s="580">
        <v>0</v>
      </c>
      <c r="BZ304" s="580">
        <v>-0.129</v>
      </c>
      <c r="CA304" s="580">
        <v>0</v>
      </c>
      <c r="CB304" s="580">
        <v>0</v>
      </c>
      <c r="CC304" s="581"/>
      <c r="CD304" s="580">
        <v>1.2E-2</v>
      </c>
      <c r="CE304" s="580">
        <v>-0.14199999999999999</v>
      </c>
      <c r="CF304" s="580">
        <v>0.53800000000000003</v>
      </c>
      <c r="CG304" s="580">
        <v>-7.0999999999999994E-2</v>
      </c>
      <c r="CH304" s="581"/>
      <c r="CI304" s="580">
        <v>0</v>
      </c>
      <c r="CJ304" s="580">
        <v>-0.17299999999999999</v>
      </c>
      <c r="CK304" s="580">
        <v>-6.9000000000000006E-2</v>
      </c>
      <c r="CL304" s="581"/>
      <c r="CM304" s="580"/>
      <c r="CN304" s="580"/>
      <c r="CO304" s="581"/>
      <c r="CP304" s="340"/>
      <c r="CQ304" s="340"/>
      <c r="CR304" s="24"/>
      <c r="CS304" s="24"/>
      <c r="CT304" s="305"/>
      <c r="CU304" s="24"/>
      <c r="CV304" s="24"/>
      <c r="CW304" s="305"/>
      <c r="CX304" s="24"/>
      <c r="CY304" s="24"/>
      <c r="CZ304" s="305"/>
      <c r="DA304" s="24"/>
      <c r="DB304" s="24"/>
      <c r="DC304" s="305"/>
      <c r="DD304" s="24"/>
      <c r="DE304" s="24"/>
      <c r="DF304" s="305"/>
      <c r="DG304" s="24"/>
      <c r="DH304" s="342">
        <f>+BG304+BK304+BT304+BY304+CD304+CI304+BO304+CP304+CS304+CV304+CY304+DB304+DE304</f>
        <v>0.40600000000000003</v>
      </c>
      <c r="DI304" s="342">
        <f>+BH304+BL304+BU304+BZ304+CE304+CJ304+BP304+CQ304+CT304+CW304+CZ304+DC304+DF304</f>
        <v>-0.75099999999999989</v>
      </c>
      <c r="DJ304" s="342">
        <f>+BI304+BM304+BW304+CB304+CG304+CK304</f>
        <v>0.19199999999999995</v>
      </c>
      <c r="DK304" s="342">
        <f>+BJ304+BS304+BX304+CC304+CH304+BN304</f>
        <v>0</v>
      </c>
      <c r="DL304" s="630"/>
    </row>
    <row r="305" spans="1:116" hidden="1" outlineLevel="1">
      <c r="A305" s="310"/>
      <c r="B305" s="310"/>
      <c r="C305" s="339"/>
      <c r="D305" s="321"/>
      <c r="E305" s="308"/>
      <c r="F305" s="321"/>
      <c r="G305" s="317"/>
      <c r="H305" s="314"/>
      <c r="I305" s="589"/>
      <c r="J305" s="661"/>
      <c r="K305" s="589"/>
      <c r="L305" s="661"/>
      <c r="M305" s="589"/>
      <c r="N305" s="757"/>
      <c r="O305" s="758"/>
      <c r="P305" s="757"/>
      <c r="Q305" s="758"/>
      <c r="R305" s="759"/>
      <c r="S305" s="758"/>
      <c r="T305" s="757"/>
      <c r="U305" s="758"/>
      <c r="V305" s="661"/>
      <c r="W305" s="589"/>
      <c r="X305" s="589"/>
      <c r="Y305" s="589"/>
      <c r="Z305" s="757"/>
      <c r="AA305" s="526"/>
      <c r="AB305" s="314"/>
      <c r="AC305" s="308"/>
      <c r="AD305" s="307"/>
      <c r="AE305" s="308"/>
      <c r="AF305" s="307"/>
      <c r="AG305" s="308"/>
      <c r="AH305" s="307"/>
      <c r="AI305" s="308"/>
      <c r="AJ305" s="307"/>
      <c r="AK305" s="308"/>
      <c r="AL305" s="307"/>
      <c r="AM305" s="308"/>
      <c r="AN305" s="307"/>
      <c r="AO305" s="308"/>
      <c r="AP305" s="30"/>
      <c r="AQ305" s="453"/>
      <c r="AR305" s="308"/>
      <c r="AS305" s="308"/>
      <c r="AT305" s="30"/>
      <c r="AU305" s="30"/>
      <c r="AV305" s="30"/>
      <c r="AW305" s="341"/>
      <c r="AX305" s="341"/>
      <c r="AY305" s="24"/>
      <c r="AZ305" s="341"/>
      <c r="BA305" s="341"/>
      <c r="BB305" s="24"/>
      <c r="BC305" s="341"/>
      <c r="BD305" s="341"/>
      <c r="BE305" s="341"/>
      <c r="BF305" s="24"/>
      <c r="BG305" s="580"/>
      <c r="BH305" s="631"/>
      <c r="BI305" s="340"/>
      <c r="BJ305" s="581"/>
      <c r="BK305" s="580"/>
      <c r="BL305" s="580"/>
      <c r="BM305" s="580"/>
      <c r="BN305" s="581"/>
      <c r="BO305" s="580"/>
      <c r="BP305" s="580"/>
      <c r="BQ305" s="580"/>
      <c r="BR305" s="580"/>
      <c r="BS305" s="581"/>
      <c r="BT305" s="580"/>
      <c r="BU305" s="580"/>
      <c r="BV305" s="580"/>
      <c r="BW305" s="580"/>
      <c r="BX305" s="581"/>
      <c r="BY305" s="580"/>
      <c r="BZ305" s="580"/>
      <c r="CA305" s="580"/>
      <c r="CB305" s="580"/>
      <c r="CC305" s="581"/>
      <c r="CD305" s="580"/>
      <c r="CE305" s="580"/>
      <c r="CF305" s="580"/>
      <c r="CG305" s="580"/>
      <c r="CH305" s="581"/>
      <c r="CI305" s="580"/>
      <c r="CJ305" s="580"/>
      <c r="CK305" s="580"/>
      <c r="CL305" s="581"/>
      <c r="CM305" s="580"/>
      <c r="CN305" s="580"/>
      <c r="CO305" s="581"/>
      <c r="CP305" s="340"/>
      <c r="CQ305" s="340"/>
      <c r="CR305" s="24"/>
      <c r="CS305" s="24"/>
      <c r="CT305" s="305"/>
      <c r="CU305" s="24"/>
      <c r="CV305" s="24"/>
      <c r="CW305" s="305"/>
      <c r="CX305" s="24"/>
      <c r="CY305" s="24"/>
      <c r="CZ305" s="305"/>
      <c r="DA305" s="24"/>
      <c r="DB305" s="24"/>
      <c r="DC305" s="305"/>
      <c r="DD305" s="24"/>
      <c r="DE305" s="24"/>
      <c r="DF305" s="305"/>
      <c r="DG305" s="24"/>
      <c r="DH305" s="630"/>
      <c r="DI305" s="630"/>
      <c r="DJ305" s="630"/>
      <c r="DK305" s="630"/>
      <c r="DL305" s="630"/>
    </row>
    <row r="306" spans="1:116" hidden="1" outlineLevel="1">
      <c r="A306" s="301"/>
      <c r="B306" s="312" t="str">
        <f>B124</f>
        <v>2008A</v>
      </c>
      <c r="C306" s="30"/>
      <c r="D306" s="30"/>
      <c r="E306" s="310"/>
      <c r="F306" s="30"/>
      <c r="G306" s="318"/>
      <c r="H306" s="644"/>
      <c r="I306" s="318"/>
      <c r="J306" s="30"/>
      <c r="K306" s="319"/>
      <c r="L306" s="30"/>
      <c r="M306" s="310"/>
      <c r="N306" s="30"/>
      <c r="O306" s="310"/>
      <c r="P306" s="30"/>
      <c r="Q306" s="30"/>
      <c r="R306" s="30"/>
      <c r="S306" s="310"/>
      <c r="T306" s="30"/>
      <c r="U306" s="310"/>
      <c r="V306" s="314"/>
      <c r="W306" s="319"/>
      <c r="X306" s="319"/>
      <c r="Y306" s="319"/>
      <c r="Z306" s="30"/>
      <c r="AA306" s="319"/>
      <c r="AB306" s="30"/>
      <c r="AC306" s="310"/>
      <c r="AD306" s="30"/>
      <c r="AE306" s="310"/>
      <c r="AF306" s="30"/>
      <c r="AG306" s="310"/>
      <c r="AH306" s="30"/>
      <c r="AI306" s="310"/>
      <c r="AJ306" s="30"/>
      <c r="AK306" s="310"/>
      <c r="AL306" s="30"/>
      <c r="AM306" s="310"/>
      <c r="AN306" s="30"/>
      <c r="AO306" s="310"/>
      <c r="AP306" s="30"/>
      <c r="AQ306" s="593"/>
      <c r="AR306" s="310"/>
      <c r="AS306" s="310"/>
      <c r="AT306" s="30"/>
      <c r="AU306" s="30"/>
      <c r="AV306" s="30"/>
      <c r="AW306" s="30"/>
      <c r="AX306" s="310"/>
      <c r="AY306" s="310"/>
      <c r="AZ306" s="30"/>
      <c r="BA306" s="318"/>
      <c r="BB306" s="310"/>
      <c r="BC306" s="318"/>
      <c r="BD306" s="318"/>
      <c r="BE306" s="318"/>
      <c r="BF306" s="310"/>
      <c r="BG306" s="30"/>
      <c r="BH306" s="318"/>
      <c r="BI306" s="318"/>
      <c r="BJ306" s="310"/>
      <c r="BK306" s="30"/>
      <c r="BL306" s="318"/>
      <c r="BM306" s="318"/>
      <c r="BN306" s="310"/>
      <c r="BO306" s="30"/>
      <c r="BP306" s="318"/>
      <c r="BQ306" s="318"/>
      <c r="BR306" s="318"/>
      <c r="BS306" s="310"/>
      <c r="BT306" s="30"/>
      <c r="BU306" s="318"/>
      <c r="BV306" s="318"/>
      <c r="BW306" s="318"/>
      <c r="BX306" s="310"/>
      <c r="BY306" s="30"/>
      <c r="BZ306" s="318"/>
      <c r="CA306" s="318"/>
      <c r="CB306" s="318"/>
      <c r="CC306" s="310"/>
      <c r="CD306" s="30"/>
      <c r="CE306" s="318"/>
      <c r="CF306" s="318"/>
      <c r="CG306" s="318"/>
      <c r="CH306" s="310"/>
      <c r="CI306" s="30"/>
      <c r="CJ306" s="318"/>
      <c r="CK306" s="318"/>
      <c r="CL306" s="310"/>
      <c r="CM306" s="30"/>
      <c r="CN306" s="318"/>
      <c r="CO306" s="310"/>
      <c r="CP306" s="30"/>
      <c r="CQ306" s="318"/>
      <c r="CR306" s="310"/>
      <c r="CS306" s="30"/>
      <c r="CT306" s="318"/>
      <c r="CU306" s="310"/>
      <c r="CV306" s="30"/>
      <c r="CW306" s="318"/>
      <c r="CX306" s="310"/>
      <c r="CY306" s="30"/>
      <c r="CZ306" s="318"/>
      <c r="DA306" s="310"/>
      <c r="DB306" s="30"/>
      <c r="DC306" s="318"/>
      <c r="DD306" s="310"/>
      <c r="DE306" s="30"/>
      <c r="DF306" s="318"/>
      <c r="DG306" s="310"/>
      <c r="DH306" s="30"/>
      <c r="DI306" s="318"/>
      <c r="DJ306" s="318"/>
      <c r="DK306" s="318"/>
      <c r="DL306" s="318"/>
    </row>
    <row r="307" spans="1:116" hidden="1" outlineLevel="1">
      <c r="A307" s="310" t="str">
        <f>A125</f>
        <v>1Q</v>
      </c>
      <c r="B307" s="310" t="str">
        <f>B125</f>
        <v>Apr</v>
      </c>
      <c r="C307" s="30"/>
      <c r="D307" s="321"/>
      <c r="E307" s="308"/>
      <c r="F307" s="321"/>
      <c r="G307" s="317"/>
      <c r="H307" s="322">
        <v>0.93200000000000005</v>
      </c>
      <c r="I307" s="308"/>
      <c r="J307" s="322">
        <v>5.6580000000000004</v>
      </c>
      <c r="K307" s="308">
        <f>+(J307/J301-1)*100</f>
        <v>9.9922239502332921</v>
      </c>
      <c r="L307" s="322">
        <v>3.8580000000000001</v>
      </c>
      <c r="M307" s="308">
        <f>+(L307/L301-1)*100</f>
        <v>7.2560467055879929</v>
      </c>
      <c r="N307" s="831">
        <f>+N304+(BT125*yrSales!$AD$216/1000000)+('store&amp;sf'!BU125*yrSales!AD$216/1000000)+BV308/4+BW308/4</f>
        <v>0.39550000000000018</v>
      </c>
      <c r="O307" s="752">
        <f>+(N307/N301-1)*100</f>
        <v>-55.005688282138763</v>
      </c>
      <c r="P307" s="831">
        <f>+P304+(BZ125*yrSales!$AC$217/1000000)</f>
        <v>0.15089999999999998</v>
      </c>
      <c r="Q307" s="752">
        <f>+(P307/P301-1)*100</f>
        <v>-36.596638655462186</v>
      </c>
      <c r="R307" s="832">
        <f>+R304+(CD125*yrSales!$AC$218/1000000)+CE308/4+(CF125*yrSales!$AC$218/1000000)+('store&amp;sf'!$CG$304)/4</f>
        <v>3.3928000000000003</v>
      </c>
      <c r="S307" s="752">
        <f>+(R307/R301-1)*100</f>
        <v>5.0077375425565007</v>
      </c>
      <c r="T307" s="831">
        <f>+T304+(CJ125*yrSales!AC267/1000000)+('store&amp;sf'!$CK$304/4)</f>
        <v>1.24</v>
      </c>
      <c r="U307" s="752">
        <f>+(T307/T301-1)*100</f>
        <v>-13.468248429867414</v>
      </c>
      <c r="V307" s="322">
        <v>3.6999999999999998E-2</v>
      </c>
      <c r="W307" s="308">
        <f>+(V307/V301-1)*100</f>
        <v>0</v>
      </c>
      <c r="X307" s="308"/>
      <c r="Y307" s="308"/>
      <c r="Z307" s="831">
        <f>+Z304</f>
        <v>0</v>
      </c>
      <c r="AA307" s="836">
        <f>+R307-R304</f>
        <v>-1.7749999999999932E-2</v>
      </c>
      <c r="AB307" s="322"/>
      <c r="AC307" s="308"/>
      <c r="AD307" s="307"/>
      <c r="AE307" s="308"/>
      <c r="AF307" s="307"/>
      <c r="AG307" s="308"/>
      <c r="AH307" s="307"/>
      <c r="AI307" s="308"/>
      <c r="AJ307" s="307"/>
      <c r="AK307" s="308"/>
      <c r="AL307" s="307"/>
      <c r="AM307" s="308"/>
      <c r="AN307" s="307"/>
      <c r="AO307" s="308"/>
      <c r="AP307" s="30"/>
      <c r="AQ307" s="453">
        <f>H307+J307+L307+V307</f>
        <v>10.485000000000001</v>
      </c>
      <c r="AR307" s="308">
        <f>+(AQ307/AQ301-1)*100</f>
        <v>-27.98269111889552</v>
      </c>
      <c r="AS307" s="308"/>
      <c r="AT307" s="30"/>
      <c r="AU307" s="30"/>
      <c r="AV307" s="30"/>
      <c r="AW307" s="321"/>
      <c r="AX307" s="308"/>
      <c r="AY307" s="308"/>
      <c r="AZ307" s="321"/>
      <c r="BA307" s="317"/>
      <c r="BB307" s="308"/>
      <c r="BC307" s="317"/>
      <c r="BD307" s="317"/>
      <c r="BE307" s="317"/>
      <c r="BF307" s="308"/>
      <c r="BG307" s="322"/>
      <c r="BH307" s="317"/>
      <c r="BI307" s="317"/>
      <c r="BJ307" s="308"/>
      <c r="BK307" s="322"/>
      <c r="BL307" s="317"/>
      <c r="BM307" s="317"/>
      <c r="BN307" s="308"/>
      <c r="BO307" s="322"/>
      <c r="BP307" s="317"/>
      <c r="BQ307" s="317"/>
      <c r="BR307" s="317"/>
      <c r="BS307" s="308"/>
      <c r="BT307" s="322"/>
      <c r="BU307" s="317"/>
      <c r="BV307" s="317"/>
      <c r="BW307" s="317"/>
      <c r="BX307" s="308"/>
      <c r="BY307" s="322"/>
      <c r="BZ307" s="317"/>
      <c r="CA307" s="317"/>
      <c r="CB307" s="317"/>
      <c r="CC307" s="308"/>
      <c r="CD307" s="307"/>
      <c r="CE307" s="317"/>
      <c r="CF307" s="317"/>
      <c r="CG307" s="526"/>
      <c r="CH307" s="308"/>
      <c r="CI307" s="322"/>
      <c r="CJ307" s="317"/>
      <c r="CK307" s="317"/>
      <c r="CL307" s="308"/>
      <c r="CM307" s="322"/>
      <c r="CN307" s="317"/>
      <c r="CO307" s="308"/>
      <c r="CP307" s="322"/>
      <c r="CQ307" s="317"/>
      <c r="CR307" s="308"/>
      <c r="CS307" s="322"/>
      <c r="CT307" s="317"/>
      <c r="CU307" s="308"/>
      <c r="CV307" s="322"/>
      <c r="CW307" s="317"/>
      <c r="CX307" s="308"/>
      <c r="CY307" s="322"/>
      <c r="CZ307" s="317"/>
      <c r="DA307" s="308"/>
      <c r="DB307" s="322"/>
      <c r="DC307" s="317"/>
      <c r="DD307" s="308"/>
      <c r="DE307" s="322"/>
      <c r="DF307" s="317"/>
      <c r="DG307" s="308"/>
      <c r="DH307" s="322"/>
      <c r="DI307" s="317"/>
      <c r="DJ307" s="317"/>
      <c r="DK307" s="317"/>
      <c r="DL307" s="317"/>
    </row>
    <row r="308" spans="1:116" hidden="1" outlineLevel="1">
      <c r="A308" s="310" t="str">
        <f>A126</f>
        <v>2Q</v>
      </c>
      <c r="B308" s="310" t="str">
        <f>B126</f>
        <v>Jul</v>
      </c>
      <c r="C308" s="30"/>
      <c r="D308" s="321"/>
      <c r="E308" s="308"/>
      <c r="F308" s="321"/>
      <c r="G308" s="317"/>
      <c r="H308" s="322">
        <v>0.94899999999999995</v>
      </c>
      <c r="I308" s="308"/>
      <c r="J308" s="322">
        <v>5.8120000000000003</v>
      </c>
      <c r="K308" s="308">
        <f>+(J308/J302-1)*100</f>
        <v>10.138336175857487</v>
      </c>
      <c r="L308" s="322">
        <v>3.88</v>
      </c>
      <c r="M308" s="308">
        <f>+(L308/L302-1)*100</f>
        <v>6.9754618141715019</v>
      </c>
      <c r="N308" s="831">
        <f>+N307+(BT126*yrSales!$AD$216/1000000)+('store&amp;sf'!BU126*yrSales!AD$216/1000000)+BV309/4+BW309/4</f>
        <v>0.39550000000000018</v>
      </c>
      <c r="O308" s="752">
        <f>+(N308/N302-1)*100</f>
        <v>-44.723969252271125</v>
      </c>
      <c r="P308" s="831">
        <f>+P307+(BZ126*yrSales!$AC$217/1000000)</f>
        <v>0.15089999999999998</v>
      </c>
      <c r="Q308" s="752">
        <f>+(P308/P302-1)*100</f>
        <v>-20.618638049396367</v>
      </c>
      <c r="R308" s="832">
        <f>+R307+(CD126*yrSales!$AC$218/1000000)+CE309/4+(CF126*yrSales!$AC$218/1000000)+('store&amp;sf'!$CG$304)/4</f>
        <v>3.3750500000000003</v>
      </c>
      <c r="S308" s="752">
        <f>+(R308/R302-1)*100</f>
        <v>-3.0701187552951481</v>
      </c>
      <c r="T308" s="831">
        <f>+T307+(CJ126*yrSales!AC268/1000000)+('store&amp;sf'!$CK$304/4)</f>
        <v>1.22275</v>
      </c>
      <c r="U308" s="752">
        <f>+(T308/T302-1)*100</f>
        <v>-10.901009217765145</v>
      </c>
      <c r="V308" s="322">
        <v>3.6999999999999998E-2</v>
      </c>
      <c r="W308" s="308">
        <f>+(V308/V302-1)*100</f>
        <v>0</v>
      </c>
      <c r="X308" s="308"/>
      <c r="Y308" s="308"/>
      <c r="Z308" s="831">
        <f>+Z307</f>
        <v>0</v>
      </c>
      <c r="AA308" s="836">
        <f>+R308-R305</f>
        <v>3.3750500000000003</v>
      </c>
      <c r="AB308" s="322"/>
      <c r="AC308" s="308"/>
      <c r="AD308" s="307"/>
      <c r="AE308" s="308"/>
      <c r="AF308" s="307"/>
      <c r="AG308" s="308"/>
      <c r="AH308" s="307"/>
      <c r="AI308" s="308"/>
      <c r="AJ308" s="307"/>
      <c r="AK308" s="308"/>
      <c r="AL308" s="307"/>
      <c r="AM308" s="308"/>
      <c r="AN308" s="307"/>
      <c r="AO308" s="308"/>
      <c r="AP308" s="30"/>
      <c r="AQ308" s="453">
        <f>H308+J308+L308+V308</f>
        <v>10.678000000000001</v>
      </c>
      <c r="AR308" s="308">
        <f>+(AQ308/AQ302-1)*100</f>
        <v>9.0370672929643625</v>
      </c>
      <c r="AS308" s="308"/>
      <c r="AT308" s="30"/>
      <c r="AU308" s="918"/>
      <c r="AV308" s="30"/>
      <c r="AW308" s="321"/>
      <c r="AX308" s="308"/>
      <c r="AY308" s="308"/>
      <c r="AZ308" s="321"/>
      <c r="BA308" s="317"/>
      <c r="BB308" s="308"/>
      <c r="BC308" s="317"/>
      <c r="BD308" s="317"/>
      <c r="BE308" s="317"/>
      <c r="BF308" s="308"/>
      <c r="BG308" s="322"/>
      <c r="BH308" s="317"/>
      <c r="BI308" s="317"/>
      <c r="BJ308" s="308"/>
      <c r="BK308" s="322"/>
      <c r="BL308" s="317"/>
      <c r="BM308" s="317"/>
      <c r="BN308" s="308"/>
      <c r="BO308" s="322"/>
      <c r="BP308" s="317"/>
      <c r="BQ308" s="317"/>
      <c r="BR308" s="317"/>
      <c r="BS308" s="308"/>
      <c r="BT308" s="322"/>
      <c r="BU308" s="317"/>
      <c r="BV308" s="317"/>
      <c r="BW308" s="317"/>
      <c r="BX308" s="308"/>
      <c r="BY308" s="322"/>
      <c r="BZ308" s="317"/>
      <c r="CA308" s="317"/>
      <c r="CB308" s="317"/>
      <c r="CC308" s="308"/>
      <c r="CD308" s="326"/>
      <c r="CE308" s="317"/>
      <c r="CF308" s="317"/>
      <c r="CG308" s="317"/>
      <c r="CH308" s="308"/>
      <c r="CI308" s="322"/>
      <c r="CJ308" s="317"/>
      <c r="CK308" s="317"/>
      <c r="CL308" s="308"/>
      <c r="CM308" s="322"/>
      <c r="CN308" s="317"/>
      <c r="CO308" s="308"/>
      <c r="CP308" s="322"/>
      <c r="CQ308" s="317"/>
      <c r="CR308" s="308"/>
      <c r="CS308" s="322"/>
      <c r="CT308" s="317"/>
      <c r="CU308" s="308"/>
      <c r="CV308" s="322"/>
      <c r="CW308" s="317"/>
      <c r="CX308" s="308"/>
      <c r="CY308" s="322"/>
      <c r="CZ308" s="317"/>
      <c r="DA308" s="308"/>
      <c r="DB308" s="322"/>
      <c r="DC308" s="317"/>
      <c r="DD308" s="308"/>
      <c r="DE308" s="322"/>
      <c r="DF308" s="317"/>
      <c r="DG308" s="308"/>
      <c r="DH308" s="322"/>
      <c r="DI308" s="317"/>
      <c r="DJ308" s="317"/>
      <c r="DK308" s="317"/>
      <c r="DL308" s="317"/>
    </row>
    <row r="309" spans="1:116" hidden="1" outlineLevel="1">
      <c r="A309" s="310" t="str">
        <f>A127</f>
        <v>3Q</v>
      </c>
      <c r="B309" s="310" t="str">
        <f>B127</f>
        <v>Oct</v>
      </c>
      <c r="C309" s="30"/>
      <c r="D309" s="321"/>
      <c r="E309" s="308"/>
      <c r="F309" s="321"/>
      <c r="G309" s="317"/>
      <c r="H309" s="322">
        <v>0.95299999999999996</v>
      </c>
      <c r="I309" s="308"/>
      <c r="J309" s="322">
        <v>5.9429999999999996</v>
      </c>
      <c r="K309" s="308">
        <f>+(J309/J303-1)*100</f>
        <v>7.8780177890724223</v>
      </c>
      <c r="L309" s="322">
        <f>3.919+0.011</f>
        <v>3.93</v>
      </c>
      <c r="M309" s="308">
        <f>+(L309/L303-1)*100</f>
        <v>4.6325878594249303</v>
      </c>
      <c r="N309" s="831">
        <f>+N308+(BT127*yrSales!$AD$216/1000000)+('store&amp;sf'!BU127*yrSales!AD$216/1000000)+BV310/4+BW310/4</f>
        <v>0.25650000000000017</v>
      </c>
      <c r="O309" s="752">
        <f>+(N309/N303-1)*100</f>
        <v>-54.681978798586563</v>
      </c>
      <c r="P309" s="831">
        <f>+P308+(BZ127*yrSales!$AC$217/1000000)</f>
        <v>0.15089999999999998</v>
      </c>
      <c r="Q309" s="752">
        <f>+(P309/P303-1)*100</f>
        <v>-14.760210133875617</v>
      </c>
      <c r="R309" s="832">
        <f>+R308+(CD127*yrSales!$AC$218/1000000)+CE310/4+(CF127*yrSales!$AC$218/1000000)+('store&amp;sf'!$CG$304)/4</f>
        <v>3.3218000000000005</v>
      </c>
      <c r="S309" s="752">
        <f>+(R309/R303-1)*100</f>
        <v>-3.6111715632934249</v>
      </c>
      <c r="T309" s="831">
        <f>+T308+(CJ127*yrSales!AC269/1000000)+('store&amp;sf'!$CK$304/4)</f>
        <v>1.2055</v>
      </c>
      <c r="U309" s="752">
        <f>+(T309/T303-1)*100</f>
        <v>-10.630884424345766</v>
      </c>
      <c r="V309" s="322">
        <v>0.04</v>
      </c>
      <c r="W309" s="308">
        <f>+(V309/V303-1)*100</f>
        <v>8.1081081081081141</v>
      </c>
      <c r="X309" s="308"/>
      <c r="Y309" s="308"/>
      <c r="Z309" s="831">
        <f>+Z308</f>
        <v>0</v>
      </c>
      <c r="AA309" s="836">
        <f>+R309-R306</f>
        <v>3.3218000000000005</v>
      </c>
      <c r="AB309" s="322"/>
      <c r="AC309" s="308"/>
      <c r="AD309" s="307"/>
      <c r="AE309" s="308"/>
      <c r="AF309" s="307"/>
      <c r="AG309" s="308"/>
      <c r="AH309" s="307"/>
      <c r="AI309" s="308"/>
      <c r="AJ309" s="307"/>
      <c r="AK309" s="308"/>
      <c r="AL309" s="307"/>
      <c r="AM309" s="308"/>
      <c r="AN309" s="307"/>
      <c r="AO309" s="308"/>
      <c r="AP309" s="30"/>
      <c r="AQ309" s="453">
        <f>H309+J309+L309+V309</f>
        <v>10.866</v>
      </c>
      <c r="AR309" s="308">
        <f>+(AQ309/AQ303-1)*100</f>
        <v>6.6025703914450951</v>
      </c>
      <c r="AS309" s="308"/>
      <c r="AT309" s="30"/>
      <c r="AU309" s="30"/>
      <c r="AV309" s="30"/>
      <c r="AW309" s="302"/>
      <c r="AX309" s="302"/>
      <c r="AY309" s="308"/>
      <c r="AZ309" s="302"/>
      <c r="BA309" s="302"/>
      <c r="BB309" s="308"/>
      <c r="BC309" s="307"/>
      <c r="BD309" s="307"/>
      <c r="BE309" s="307"/>
      <c r="BF309" s="308"/>
      <c r="BG309" s="338"/>
      <c r="BH309" s="338"/>
      <c r="BI309" s="338"/>
      <c r="BJ309" s="308"/>
      <c r="BK309" s="302"/>
      <c r="BL309" s="302"/>
      <c r="BM309" s="302"/>
      <c r="BN309" s="308"/>
      <c r="BO309" s="302"/>
      <c r="BP309" s="302"/>
      <c r="BQ309" s="307"/>
      <c r="BR309" s="307"/>
      <c r="BS309" s="308"/>
      <c r="BT309" s="302"/>
      <c r="BU309" s="302"/>
      <c r="BV309" s="302"/>
      <c r="BW309" s="302"/>
      <c r="BX309" s="308"/>
      <c r="BY309" s="302"/>
      <c r="BZ309" s="302"/>
      <c r="CA309" s="302"/>
      <c r="CB309" s="302"/>
      <c r="CC309" s="308"/>
      <c r="CD309" s="302"/>
      <c r="CE309" s="302"/>
      <c r="CF309" s="302"/>
      <c r="CG309" s="302"/>
      <c r="CH309" s="308"/>
      <c r="CI309" s="302"/>
      <c r="CJ309" s="302"/>
      <c r="CK309" s="302"/>
      <c r="CL309" s="308"/>
      <c r="CM309" s="302"/>
      <c r="CN309" s="302"/>
      <c r="CO309" s="308"/>
      <c r="CP309" s="302"/>
      <c r="CQ309" s="302"/>
      <c r="CR309" s="308"/>
      <c r="CS309" s="302"/>
      <c r="CT309" s="302"/>
      <c r="CU309" s="308"/>
      <c r="CV309" s="302"/>
      <c r="CW309" s="302"/>
      <c r="CX309" s="308"/>
      <c r="CY309" s="302"/>
      <c r="CZ309" s="302"/>
      <c r="DA309" s="308"/>
      <c r="DB309" s="302"/>
      <c r="DC309" s="302"/>
      <c r="DD309" s="308"/>
      <c r="DE309" s="302"/>
      <c r="DF309" s="302"/>
      <c r="DG309" s="308"/>
      <c r="DH309" s="306"/>
      <c r="DI309" s="306"/>
      <c r="DJ309" s="306"/>
      <c r="DK309" s="306"/>
      <c r="DL309" s="321"/>
    </row>
    <row r="310" spans="1:116" hidden="1" outlineLevel="1">
      <c r="A310" s="310" t="str">
        <f>A128</f>
        <v>4Q</v>
      </c>
      <c r="B310" s="310" t="str">
        <f>B128</f>
        <v>Jan</v>
      </c>
      <c r="C310" s="339"/>
      <c r="D310" s="321"/>
      <c r="E310" s="308"/>
      <c r="F310" s="321"/>
      <c r="G310" s="317"/>
      <c r="H310" s="322">
        <v>0.97399999999999998</v>
      </c>
      <c r="I310" s="589">
        <f>+(H310/H304-1)*100</f>
        <v>8.1021087680355208</v>
      </c>
      <c r="J310" s="919">
        <v>5.9729999999999999</v>
      </c>
      <c r="K310" s="589">
        <f>+(J310/J304-1)*100</f>
        <v>6.6797642436149163</v>
      </c>
      <c r="L310" s="919">
        <f>3.895+0.014</f>
        <v>3.9089999999999998</v>
      </c>
      <c r="M310" s="589">
        <f>+(L310/L304-1)*100</f>
        <v>3.6045587065995033</v>
      </c>
      <c r="N310" s="833">
        <f>+N309+(BT128*yrSales!$AD$216/1000000)+('store&amp;sf'!BU128*yrSales!AD$216/1000000)+BV310/4+BW310/4</f>
        <v>0.11750000000000016</v>
      </c>
      <c r="O310" s="834">
        <f>+(N310/N304-1)*100</f>
        <v>-70.290771175726903</v>
      </c>
      <c r="P310" s="833">
        <f>+P309+(BZ128*yrSales!$AC$217/1000000)</f>
        <v>0.15089999999999998</v>
      </c>
      <c r="Q310" s="834">
        <f>+(P310/P304-1)*100</f>
        <v>0</v>
      </c>
      <c r="R310" s="835">
        <f>+R309+(CD128*yrSales!$AC$218/1000000)+CE310/4+(CF128*yrSales!$AC$218/1000000)+('store&amp;sf'!$CG$304)/4</f>
        <v>3.2685500000000007</v>
      </c>
      <c r="S310" s="834">
        <f>+(R310/R304-1)*100</f>
        <v>-4.1635513333626362</v>
      </c>
      <c r="T310" s="833">
        <f>+T309+(CJ128*yrSales!AC269/1000000)+('store&amp;sf'!$CK$304/4)</f>
        <v>1.18825</v>
      </c>
      <c r="U310" s="834">
        <f>+(T310/T304-1)*100</f>
        <v>-5.4881686219924397</v>
      </c>
      <c r="V310" s="919">
        <v>4.2000000000000003E-2</v>
      </c>
      <c r="W310" s="589">
        <f>+(V310/V304-1)*100</f>
        <v>13.51351351351353</v>
      </c>
      <c r="X310" s="589"/>
      <c r="Y310" s="589"/>
      <c r="Z310" s="833">
        <f>+Z309</f>
        <v>0</v>
      </c>
      <c r="AA310" s="836">
        <f>+R310-R307</f>
        <v>-0.12424999999999953</v>
      </c>
      <c r="AB310" s="314"/>
      <c r="AC310" s="308"/>
      <c r="AD310" s="307"/>
      <c r="AE310" s="308"/>
      <c r="AF310" s="307"/>
      <c r="AG310" s="308"/>
      <c r="AH310" s="307"/>
      <c r="AI310" s="308"/>
      <c r="AJ310" s="307"/>
      <c r="AK310" s="308"/>
      <c r="AL310" s="307"/>
      <c r="AM310" s="308"/>
      <c r="AN310" s="307"/>
      <c r="AO310" s="308"/>
      <c r="AP310" s="30"/>
      <c r="AQ310" s="453">
        <f>H310+J310+L310+V310</f>
        <v>10.898</v>
      </c>
      <c r="AR310" s="308">
        <f>+(AQ310/AQ304-1)*100</f>
        <v>5.7032007759456826</v>
      </c>
      <c r="AS310" s="308"/>
      <c r="AT310" s="30"/>
      <c r="AU310" s="429"/>
      <c r="AV310" s="30"/>
      <c r="AW310" s="341"/>
      <c r="AX310" s="341"/>
      <c r="AY310" s="24"/>
      <c r="AZ310" s="341"/>
      <c r="BA310" s="341"/>
      <c r="BB310" s="24"/>
      <c r="BC310" s="341">
        <v>0.107</v>
      </c>
      <c r="BD310" s="341">
        <v>-8.9999999999999993E-3</v>
      </c>
      <c r="BE310" s="341"/>
      <c r="BF310" s="24"/>
      <c r="BG310" s="580">
        <v>0.28699999999999998</v>
      </c>
      <c r="BH310" s="631">
        <v>-7.1999999999999995E-2</v>
      </c>
      <c r="BI310" s="340">
        <v>0.183</v>
      </c>
      <c r="BJ310" s="581"/>
      <c r="BK310" s="580">
        <v>0.20399999999999999</v>
      </c>
      <c r="BL310" s="580">
        <v>-6.4000000000000001E-2</v>
      </c>
      <c r="BM310" s="580">
        <v>2.3E-2</v>
      </c>
      <c r="BN310" s="581"/>
      <c r="BO310" s="580">
        <v>6.0000000000000001E-3</v>
      </c>
      <c r="BP310" s="580">
        <v>0</v>
      </c>
      <c r="BQ310" s="580"/>
      <c r="BR310" s="580"/>
      <c r="BS310" s="581"/>
      <c r="BT310" s="580">
        <v>0</v>
      </c>
      <c r="BU310" s="580">
        <v>-0.17699999999999999</v>
      </c>
      <c r="BV310" s="580">
        <v>-0.55000000000000004</v>
      </c>
      <c r="BW310" s="580">
        <v>-6.0000000000000001E-3</v>
      </c>
      <c r="BX310" s="581"/>
      <c r="BY310" s="580">
        <v>0</v>
      </c>
      <c r="BZ310" s="580">
        <v>-0.129</v>
      </c>
      <c r="CA310" s="580">
        <v>0</v>
      </c>
      <c r="CB310" s="580">
        <v>0</v>
      </c>
      <c r="CC310" s="581"/>
      <c r="CD310" s="580">
        <v>1.2E-2</v>
      </c>
      <c r="CE310" s="580">
        <v>-0.14199999999999999</v>
      </c>
      <c r="CF310" s="580">
        <v>0.53800000000000003</v>
      </c>
      <c r="CG310" s="580">
        <v>-7.0999999999999994E-2</v>
      </c>
      <c r="CH310" s="581"/>
      <c r="CI310" s="580">
        <v>0</v>
      </c>
      <c r="CJ310" s="580">
        <v>-0.17299999999999999</v>
      </c>
      <c r="CK310" s="580">
        <v>-6.9000000000000006E-2</v>
      </c>
      <c r="CL310" s="581"/>
      <c r="CM310" s="580"/>
      <c r="CN310" s="580"/>
      <c r="CO310" s="581"/>
      <c r="CP310" s="340"/>
      <c r="CQ310" s="340"/>
      <c r="CR310" s="24"/>
      <c r="CS310" s="24"/>
      <c r="CT310" s="305"/>
      <c r="CU310" s="24"/>
      <c r="CV310" s="24"/>
      <c r="CW310" s="305"/>
      <c r="CX310" s="24"/>
      <c r="CY310" s="24"/>
      <c r="CZ310" s="305"/>
      <c r="DA310" s="24"/>
      <c r="DB310" s="24"/>
      <c r="DC310" s="305"/>
      <c r="DD310" s="24"/>
      <c r="DE310" s="24"/>
      <c r="DF310" s="305"/>
      <c r="DG310" s="24"/>
      <c r="DH310" s="342">
        <f>+BG310+BK310+BT310+BY310+CD310+CI310+BO310+CP310+CS310+CV310+CY310+DB310+DE310+BC310</f>
        <v>0.61599999999999999</v>
      </c>
      <c r="DI310" s="342">
        <f>+BH310+BL310+BU310+BZ310+CE310+CJ310+BP310+CQ310+CT310+CW310+CZ310+DC310+DF310</f>
        <v>-0.7569999999999999</v>
      </c>
      <c r="DJ310" s="342">
        <f>+BI310+BM310+BW310+CB310+CG310+CK310</f>
        <v>0.06</v>
      </c>
      <c r="DK310" s="342">
        <f>+BJ310+BS310+BX310+CC310+CH310+BN310</f>
        <v>0</v>
      </c>
      <c r="DL310" s="630"/>
    </row>
    <row r="311" spans="1:116" hidden="1" outlineLevel="1">
      <c r="A311" s="24"/>
      <c r="B311" s="24"/>
      <c r="C311" s="24"/>
      <c r="D311" s="24"/>
      <c r="E311" s="24"/>
      <c r="F311" s="24"/>
      <c r="G311" s="305"/>
      <c r="H311" s="923"/>
      <c r="I311" s="662"/>
      <c r="J311" s="24"/>
      <c r="K311" s="662"/>
      <c r="L311" s="929"/>
      <c r="M311" s="168"/>
      <c r="N311" s="663"/>
      <c r="O311" s="168"/>
      <c r="P311" s="663"/>
      <c r="Q311" s="168"/>
      <c r="R311" s="664"/>
      <c r="S311" s="168"/>
      <c r="T311" s="663"/>
      <c r="U311" s="168"/>
      <c r="V311" s="168"/>
      <c r="W311" s="168"/>
      <c r="X311" s="168"/>
      <c r="Y311" s="168"/>
      <c r="Z311" s="663"/>
      <c r="AA311" s="24"/>
      <c r="AB311" s="24"/>
      <c r="AC311" s="24"/>
      <c r="AD311" s="24"/>
      <c r="AE311" s="24"/>
      <c r="AF311" s="30"/>
      <c r="AG311" s="30"/>
      <c r="AH311" s="30"/>
      <c r="AI311" s="30"/>
      <c r="AJ311" s="30"/>
      <c r="AK311" s="30"/>
      <c r="AL311" s="30"/>
      <c r="AM311" s="30"/>
      <c r="AN311" s="30"/>
      <c r="AO311" s="30"/>
      <c r="AP311" s="24"/>
      <c r="AQ311" s="453"/>
      <c r="AR311" s="30"/>
      <c r="AS311" s="30"/>
      <c r="AT311" s="24"/>
      <c r="AU311" s="24"/>
      <c r="AV311" s="24"/>
      <c r="AW311" s="30"/>
      <c r="AX311" s="30"/>
      <c r="AY311" s="30"/>
      <c r="AZ311" s="30"/>
      <c r="BA311" s="320"/>
      <c r="BB311" s="30"/>
      <c r="BC311" s="320"/>
      <c r="BD311" s="320"/>
      <c r="BE311" s="320"/>
      <c r="BF311" s="30"/>
      <c r="BG311" s="419"/>
      <c r="BH311" s="320"/>
      <c r="BI311" s="320"/>
      <c r="BJ311" s="30"/>
      <c r="BK311" s="30"/>
      <c r="BL311" s="320"/>
      <c r="BM311" s="320"/>
      <c r="BN311" s="30"/>
      <c r="BO311" s="30"/>
      <c r="BP311" s="320"/>
      <c r="BQ311" s="320"/>
      <c r="BR311" s="320"/>
      <c r="BS311" s="30"/>
      <c r="BT311" s="30"/>
      <c r="BU311" s="320"/>
      <c r="BV311" s="658"/>
      <c r="BW311" s="320"/>
      <c r="BX311" s="30"/>
      <c r="BY311" s="30"/>
      <c r="BZ311" s="320"/>
      <c r="CA311" s="320"/>
      <c r="CB311" s="320"/>
      <c r="CC311" s="30"/>
      <c r="CD311" s="30"/>
      <c r="CE311" s="320"/>
      <c r="CF311" s="320"/>
      <c r="CG311" s="320"/>
      <c r="CH311" s="30"/>
      <c r="CI311" s="30"/>
      <c r="CJ311" s="320"/>
      <c r="CK311" s="320"/>
      <c r="CL311" s="30"/>
      <c r="CM311" s="30"/>
      <c r="CN311" s="320"/>
      <c r="CO311" s="30"/>
      <c r="CP311" s="30"/>
      <c r="CQ311" s="320"/>
      <c r="CR311" s="30"/>
      <c r="CS311" s="30"/>
      <c r="CT311" s="320"/>
      <c r="CU311" s="30"/>
      <c r="CV311" s="30"/>
      <c r="CW311" s="320"/>
      <c r="CX311" s="30"/>
      <c r="CY311" s="30"/>
      <c r="CZ311" s="320"/>
      <c r="DA311" s="30"/>
      <c r="DB311" s="30"/>
      <c r="DC311" s="320"/>
      <c r="DD311" s="30"/>
      <c r="DE311" s="30"/>
      <c r="DF311" s="320"/>
      <c r="DG311" s="30"/>
      <c r="DH311" s="24"/>
      <c r="DI311" s="320"/>
      <c r="DJ311" s="320"/>
      <c r="DK311" s="320"/>
      <c r="DL311" s="320"/>
    </row>
    <row r="312" spans="1:116" hidden="1" outlineLevel="1">
      <c r="A312" s="301"/>
      <c r="B312" s="312" t="str">
        <f>B130</f>
        <v>2009A</v>
      </c>
      <c r="C312" s="30"/>
      <c r="D312" s="30"/>
      <c r="E312" s="310"/>
      <c r="F312" s="30"/>
      <c r="G312" s="318"/>
      <c r="H312" s="644"/>
      <c r="I312" s="318"/>
      <c r="J312" s="30"/>
      <c r="K312" s="319"/>
      <c r="L312" s="30"/>
      <c r="M312" s="310"/>
      <c r="N312" s="30"/>
      <c r="O312" s="310"/>
      <c r="P312" s="30"/>
      <c r="Q312" s="30"/>
      <c r="R312" s="30"/>
      <c r="S312" s="310"/>
      <c r="T312" s="30"/>
      <c r="U312" s="310"/>
      <c r="V312" s="314"/>
      <c r="W312" s="319"/>
      <c r="X312" s="319"/>
      <c r="Y312" s="319"/>
      <c r="Z312" s="30"/>
      <c r="AA312" s="319"/>
      <c r="AB312" s="30"/>
      <c r="AC312" s="310"/>
      <c r="AD312" s="30"/>
      <c r="AE312" s="310"/>
      <c r="AF312" s="30"/>
      <c r="AG312" s="310"/>
      <c r="AH312" s="30"/>
      <c r="AI312" s="310"/>
      <c r="AJ312" s="30"/>
      <c r="AK312" s="310"/>
      <c r="AL312" s="30"/>
      <c r="AM312" s="310"/>
      <c r="AN312" s="30"/>
      <c r="AO312" s="310"/>
      <c r="AP312" s="30"/>
      <c r="AQ312" s="593"/>
      <c r="AR312" s="310"/>
      <c r="AS312" s="310"/>
      <c r="AT312" s="30"/>
      <c r="AU312" s="30"/>
      <c r="AV312" s="30"/>
      <c r="AW312" s="30"/>
      <c r="AX312" s="310"/>
      <c r="AY312" s="310"/>
      <c r="AZ312" s="30"/>
      <c r="BA312" s="318"/>
      <c r="BB312" s="310"/>
      <c r="BC312" s="318"/>
      <c r="BD312" s="318"/>
      <c r="BE312" s="318"/>
      <c r="BF312" s="310"/>
      <c r="BG312" s="30"/>
      <c r="BH312" s="318"/>
      <c r="BI312" s="318"/>
      <c r="BJ312" s="310"/>
      <c r="BK312" s="30"/>
      <c r="BL312" s="318"/>
      <c r="BM312" s="318"/>
      <c r="BN312" s="310"/>
      <c r="BO312" s="30"/>
      <c r="BP312" s="318"/>
      <c r="BQ312" s="318"/>
      <c r="BR312" s="318"/>
      <c r="BS312" s="310"/>
      <c r="BT312" s="30"/>
      <c r="BU312" s="318"/>
      <c r="BV312" s="318"/>
      <c r="BW312" s="318"/>
      <c r="BX312" s="310"/>
      <c r="BY312" s="30"/>
      <c r="BZ312" s="318"/>
      <c r="CA312" s="318"/>
      <c r="CB312" s="318"/>
      <c r="CC312" s="310"/>
      <c r="CD312" s="30"/>
      <c r="CE312" s="318"/>
      <c r="CF312" s="318"/>
      <c r="CG312" s="318"/>
      <c r="CH312" s="310"/>
      <c r="CI312" s="30"/>
      <c r="CJ312" s="318"/>
      <c r="CK312" s="318"/>
      <c r="CL312" s="310"/>
      <c r="CM312" s="30"/>
      <c r="CN312" s="318"/>
      <c r="CO312" s="310"/>
      <c r="CP312" s="30"/>
      <c r="CQ312" s="318"/>
      <c r="CR312" s="310"/>
      <c r="CS312" s="30"/>
      <c r="CT312" s="318"/>
      <c r="CU312" s="310"/>
      <c r="CV312" s="30"/>
      <c r="CW312" s="318"/>
      <c r="CX312" s="310"/>
      <c r="CY312" s="30"/>
      <c r="CZ312" s="318"/>
      <c r="DA312" s="310"/>
      <c r="DB312" s="30"/>
      <c r="DC312" s="318"/>
      <c r="DD312" s="310"/>
      <c r="DE312" s="30"/>
      <c r="DF312" s="318"/>
      <c r="DG312" s="310"/>
      <c r="DH312" s="30"/>
      <c r="DI312" s="318"/>
      <c r="DJ312" s="318"/>
      <c r="DK312" s="318"/>
      <c r="DL312" s="318"/>
    </row>
    <row r="313" spans="1:116" hidden="1" outlineLevel="1">
      <c r="A313" s="310" t="str">
        <f>A131</f>
        <v>1Q</v>
      </c>
      <c r="B313" s="310" t="str">
        <f>B131</f>
        <v>Apr</v>
      </c>
      <c r="C313" s="30"/>
      <c r="D313" s="321"/>
      <c r="E313" s="308"/>
      <c r="F313" s="321"/>
      <c r="G313" s="317"/>
      <c r="H313" s="322">
        <v>0.96599999999999997</v>
      </c>
      <c r="I313" s="308"/>
      <c r="J313" s="322">
        <v>5.9749999999999996</v>
      </c>
      <c r="K313" s="308">
        <f>+(J313/J307-1)*100</f>
        <v>5.6026864616472105</v>
      </c>
      <c r="L313" s="322">
        <f>3.891+0.016</f>
        <v>3.907</v>
      </c>
      <c r="M313" s="308">
        <f>+(L313/L307-1)*100</f>
        <v>1.2700881285640175</v>
      </c>
      <c r="N313" s="831">
        <f>+N310+(BT190*yrSales!$AD$216/1000000)+('store&amp;sf'!BU190*yrSales!AD$216/1000000)+BV314/4+BW314/4</f>
        <v>0.11750000000000016</v>
      </c>
      <c r="O313" s="752">
        <f>+(N313/N307-1)*100</f>
        <v>-70.290771175726903</v>
      </c>
      <c r="P313" s="831">
        <f>+P310+(BZ190*yrSales!$AC$217/1000000)</f>
        <v>0.15089999999999998</v>
      </c>
      <c r="Q313" s="752">
        <f>+(P313/P307-1)*100</f>
        <v>0</v>
      </c>
      <c r="R313" s="832">
        <f>+R310+(CD190*yrSales!$AC$218/1000000)+CE314/4+(CF190*yrSales!$AC$218/1000000)+('store&amp;sf'!$CG$304)/4</f>
        <v>3.2508000000000008</v>
      </c>
      <c r="S313" s="752">
        <f>+(R313/R307-1)*100</f>
        <v>-4.1853336477245762</v>
      </c>
      <c r="T313" s="831">
        <f>+T310+(CJ190*yrSales!AC273/1000000)+('store&amp;sf'!$CK$304/4)</f>
        <v>1.171</v>
      </c>
      <c r="U313" s="752">
        <f>+(T313/T307-1)*100</f>
        <v>-5.5645161290322491</v>
      </c>
      <c r="V313" s="322">
        <v>4.2000000000000003E-2</v>
      </c>
      <c r="W313" s="308">
        <f>+(V313/V307-1)*100</f>
        <v>13.51351351351353</v>
      </c>
      <c r="X313" s="308"/>
      <c r="Y313" s="308"/>
      <c r="Z313" s="831">
        <f>+Z310</f>
        <v>0</v>
      </c>
      <c r="AA313" s="836">
        <f>+R313-R310</f>
        <v>-1.7749999999999932E-2</v>
      </c>
      <c r="AB313" s="322"/>
      <c r="AC313" s="308"/>
      <c r="AD313" s="307"/>
      <c r="AE313" s="308"/>
      <c r="AF313" s="307"/>
      <c r="AG313" s="308"/>
      <c r="AH313" s="307"/>
      <c r="AI313" s="308"/>
      <c r="AJ313" s="307"/>
      <c r="AK313" s="308"/>
      <c r="AL313" s="307"/>
      <c r="AM313" s="308"/>
      <c r="AN313" s="307"/>
      <c r="AO313" s="308"/>
      <c r="AP313" s="30"/>
      <c r="AQ313" s="453">
        <f>H313+J313+L313+V313</f>
        <v>10.889999999999999</v>
      </c>
      <c r="AR313" s="308">
        <f>+(AQ313/AQ307-1)*100</f>
        <v>3.8626609442059756</v>
      </c>
      <c r="AS313" s="308"/>
      <c r="AT313" s="30"/>
      <c r="AU313" s="30"/>
      <c r="AV313" s="30"/>
      <c r="AW313" s="321"/>
      <c r="AX313" s="308"/>
      <c r="AY313" s="308"/>
      <c r="AZ313" s="321"/>
      <c r="BA313" s="317"/>
      <c r="BB313" s="308"/>
      <c r="BC313" s="317"/>
      <c r="BD313" s="317"/>
      <c r="BE313" s="317"/>
      <c r="BF313" s="308"/>
      <c r="BG313" s="322"/>
      <c r="BH313" s="317"/>
      <c r="BI313" s="317"/>
      <c r="BJ313" s="308"/>
      <c r="BK313" s="322"/>
      <c r="BL313" s="317"/>
      <c r="BM313" s="317"/>
      <c r="BN313" s="308"/>
      <c r="BO313" s="322"/>
      <c r="BP313" s="317"/>
      <c r="BQ313" s="317"/>
      <c r="BR313" s="317"/>
      <c r="BS313" s="308"/>
      <c r="BT313" s="322"/>
      <c r="BU313" s="317"/>
      <c r="BV313" s="317"/>
      <c r="BW313" s="317"/>
      <c r="BX313" s="308"/>
      <c r="BY313" s="322"/>
      <c r="BZ313" s="317"/>
      <c r="CA313" s="317"/>
      <c r="CB313" s="317"/>
      <c r="CC313" s="308"/>
      <c r="CD313" s="307"/>
      <c r="CE313" s="317"/>
      <c r="CF313" s="317"/>
      <c r="CG313" s="526"/>
      <c r="CH313" s="308"/>
      <c r="CI313" s="322"/>
      <c r="CJ313" s="317"/>
      <c r="CK313" s="317"/>
      <c r="CL313" s="308"/>
      <c r="CM313" s="322"/>
      <c r="CN313" s="317"/>
      <c r="CO313" s="308"/>
      <c r="CP313" s="322"/>
      <c r="CQ313" s="317"/>
      <c r="CR313" s="308"/>
      <c r="CS313" s="322"/>
      <c r="CT313" s="317"/>
      <c r="CU313" s="308"/>
      <c r="CV313" s="322"/>
      <c r="CW313" s="317"/>
      <c r="CX313" s="308"/>
      <c r="CY313" s="322"/>
      <c r="CZ313" s="317"/>
      <c r="DA313" s="308"/>
      <c r="DB313" s="322"/>
      <c r="DC313" s="317"/>
      <c r="DD313" s="308"/>
      <c r="DE313" s="322"/>
      <c r="DF313" s="317"/>
      <c r="DG313" s="308"/>
      <c r="DH313" s="322"/>
      <c r="DI313" s="317"/>
      <c r="DJ313" s="317"/>
      <c r="DK313" s="317"/>
      <c r="DL313" s="317"/>
    </row>
    <row r="314" spans="1:116" hidden="1" outlineLevel="1">
      <c r="A314" s="310" t="str">
        <f>A132</f>
        <v>2Q</v>
      </c>
      <c r="B314" s="310" t="str">
        <f>B132</f>
        <v>Jul</v>
      </c>
      <c r="C314" s="30"/>
      <c r="D314" s="321"/>
      <c r="E314" s="308"/>
      <c r="F314" s="321"/>
      <c r="G314" s="317"/>
      <c r="H314" s="322">
        <v>0.94499999999999995</v>
      </c>
      <c r="I314" s="308"/>
      <c r="J314" s="322">
        <v>6.02</v>
      </c>
      <c r="K314" s="308">
        <f>+(J314/J308-1)*100</f>
        <v>3.5788024776324701</v>
      </c>
      <c r="L314" s="322">
        <f>3.886+0.033</f>
        <v>3.919</v>
      </c>
      <c r="M314" s="308">
        <f>+(L314/L308-1)*100</f>
        <v>1.0051546391752542</v>
      </c>
      <c r="N314" s="831">
        <f>+N313+(BT191*yrSales!$AD$216/1000000)+('store&amp;sf'!BU191*yrSales!AD$216/1000000)+BV315/4+BW315/4</f>
        <v>0.11750000000000016</v>
      </c>
      <c r="O314" s="752">
        <f>+(N314/N308-1)*100</f>
        <v>-70.290771175726903</v>
      </c>
      <c r="P314" s="831">
        <f>+P313+(BZ191*yrSales!$AC$217/1000000)</f>
        <v>0.15089999999999998</v>
      </c>
      <c r="Q314" s="752">
        <f>+(P314/P308-1)*100</f>
        <v>0</v>
      </c>
      <c r="R314" s="832">
        <f>+R313+(CD191*yrSales!$AC$218/1000000)+CE315/4+(CF191*yrSales!$AC$218/1000000)+('store&amp;sf'!$CG$304)/4</f>
        <v>3.2330500000000009</v>
      </c>
      <c r="S314" s="752">
        <f>+(R314/R308-1)*100</f>
        <v>-4.2073450763692177</v>
      </c>
      <c r="T314" s="831">
        <f>+T313+(CJ191*yrSales!AC274/1000000)+('store&amp;sf'!$CK$304/4)</f>
        <v>1.1537500000000001</v>
      </c>
      <c r="U314" s="752">
        <f>+(T314/T308-1)*100</f>
        <v>-5.6430177877734522</v>
      </c>
      <c r="V314" s="322">
        <v>4.3999999999999997E-2</v>
      </c>
      <c r="W314" s="308">
        <f>+(V314/V308-1)*100</f>
        <v>18.918918918918926</v>
      </c>
      <c r="X314" s="308"/>
      <c r="Y314" s="308"/>
      <c r="Z314" s="831">
        <f>+Z313</f>
        <v>0</v>
      </c>
      <c r="AA314" s="836">
        <f>+R314-R311</f>
        <v>3.2330500000000009</v>
      </c>
      <c r="AB314" s="322"/>
      <c r="AC314" s="308"/>
      <c r="AD314" s="307"/>
      <c r="AE314" s="308"/>
      <c r="AF314" s="307"/>
      <c r="AG314" s="308"/>
      <c r="AH314" s="307"/>
      <c r="AI314" s="308"/>
      <c r="AJ314" s="307"/>
      <c r="AK314" s="308"/>
      <c r="AL314" s="307"/>
      <c r="AM314" s="308"/>
      <c r="AN314" s="307"/>
      <c r="AO314" s="308"/>
      <c r="AP314" s="30"/>
      <c r="AQ314" s="455">
        <v>10.927</v>
      </c>
      <c r="AR314" s="308">
        <f>+(AQ314/AQ308-1)*100</f>
        <v>2.3318973590559899</v>
      </c>
      <c r="AS314" s="308"/>
      <c r="AT314" s="30"/>
      <c r="AU314" s="918"/>
      <c r="AV314" s="30"/>
      <c r="AW314" s="321"/>
      <c r="AX314" s="308"/>
      <c r="AY314" s="308"/>
      <c r="AZ314" s="321"/>
      <c r="BA314" s="317"/>
      <c r="BB314" s="308"/>
      <c r="BC314" s="317"/>
      <c r="BD314" s="317"/>
      <c r="BE314" s="317"/>
      <c r="BF314" s="308"/>
      <c r="BG314" s="322"/>
      <c r="BH314" s="317"/>
      <c r="BI314" s="317"/>
      <c r="BJ314" s="308"/>
      <c r="BK314" s="322"/>
      <c r="BL314" s="317"/>
      <c r="BM314" s="317"/>
      <c r="BN314" s="308"/>
      <c r="BO314" s="322"/>
      <c r="BP314" s="317"/>
      <c r="BQ314" s="317"/>
      <c r="BR314" s="317"/>
      <c r="BS314" s="308"/>
      <c r="BT314" s="322"/>
      <c r="BU314" s="317"/>
      <c r="BV314" s="317"/>
      <c r="BW314" s="317"/>
      <c r="BX314" s="308"/>
      <c r="BY314" s="322"/>
      <c r="BZ314" s="317"/>
      <c r="CA314" s="317"/>
      <c r="CB314" s="317"/>
      <c r="CC314" s="308"/>
      <c r="CD314" s="326"/>
      <c r="CE314" s="317"/>
      <c r="CF314" s="317"/>
      <c r="CG314" s="317"/>
      <c r="CH314" s="308"/>
      <c r="CI314" s="322"/>
      <c r="CJ314" s="317"/>
      <c r="CK314" s="317"/>
      <c r="CL314" s="308"/>
      <c r="CM314" s="322"/>
      <c r="CN314" s="317"/>
      <c r="CO314" s="308"/>
      <c r="CP314" s="322"/>
      <c r="CQ314" s="317"/>
      <c r="CR314" s="308"/>
      <c r="CS314" s="322"/>
      <c r="CT314" s="317"/>
      <c r="CU314" s="308"/>
      <c r="CV314" s="322"/>
      <c r="CW314" s="317"/>
      <c r="CX314" s="308"/>
      <c r="CY314" s="322"/>
      <c r="CZ314" s="317"/>
      <c r="DA314" s="308"/>
      <c r="DB314" s="322"/>
      <c r="DC314" s="317"/>
      <c r="DD314" s="308"/>
      <c r="DE314" s="322"/>
      <c r="DF314" s="317"/>
      <c r="DG314" s="308"/>
      <c r="DH314" s="322"/>
      <c r="DI314" s="317"/>
      <c r="DJ314" s="317"/>
      <c r="DK314" s="317"/>
      <c r="DL314" s="317"/>
    </row>
    <row r="315" spans="1:116" hidden="1" outlineLevel="1">
      <c r="A315" s="310" t="str">
        <f>A133</f>
        <v>3Q</v>
      </c>
      <c r="B315" s="310" t="str">
        <f>B133</f>
        <v>Oct</v>
      </c>
      <c r="C315" s="30"/>
      <c r="D315" s="321"/>
      <c r="E315" s="308"/>
      <c r="F315" s="321"/>
      <c r="G315" s="317"/>
      <c r="H315" s="322">
        <v>0.95299999999999996</v>
      </c>
      <c r="I315" s="308"/>
      <c r="J315" s="322">
        <f>6.069+0.011</f>
        <v>6.08</v>
      </c>
      <c r="K315" s="308">
        <f>+(J315/J309-1)*100</f>
        <v>2.3052330472825178</v>
      </c>
      <c r="L315" s="322">
        <f>3.881+0.063</f>
        <v>3.944</v>
      </c>
      <c r="M315" s="308">
        <f>+(L315/L309-1)*100</f>
        <v>0.35623409669209849</v>
      </c>
      <c r="N315" s="831">
        <f>+N314+(BT192*yrSales!$AD$216/1000000)+('store&amp;sf'!BU192*yrSales!AD$216/1000000)+BV316/4+BW316/4</f>
        <v>-2.1499999999999853E-2</v>
      </c>
      <c r="O315" s="752">
        <f>+(N315/N309-1)*100</f>
        <v>-108.38206627680304</v>
      </c>
      <c r="P315" s="831">
        <f>+P314+(BZ192*yrSales!$AC$217/1000000)</f>
        <v>0.15089999999999998</v>
      </c>
      <c r="Q315" s="752">
        <f>+(P315/P309-1)*100</f>
        <v>0</v>
      </c>
      <c r="R315" s="832">
        <f>+R314+(CD192*yrSales!$AC$218/1000000)+CE316/4+(CF192*yrSales!$AC$218/1000000)+('store&amp;sf'!$CG$304)/4</f>
        <v>3.1798000000000011</v>
      </c>
      <c r="S315" s="752">
        <f>+(R315/R309-1)*100</f>
        <v>-4.2747907760852355</v>
      </c>
      <c r="T315" s="831">
        <f>+T314+(CJ192*yrSales!AC275/1000000)+('store&amp;sf'!$CK$304/4)</f>
        <v>1.1365000000000001</v>
      </c>
      <c r="U315" s="752">
        <f>+(T315/T309-1)*100</f>
        <v>-5.723766072169223</v>
      </c>
      <c r="V315" s="322">
        <v>4.9000000000000002E-2</v>
      </c>
      <c r="W315" s="308">
        <f>+(V315/V309-1)*100</f>
        <v>22.500000000000007</v>
      </c>
      <c r="X315" s="308"/>
      <c r="Y315" s="308"/>
      <c r="Z315" s="831">
        <f>+Z314</f>
        <v>0</v>
      </c>
      <c r="AA315" s="836">
        <f>+R315-R312</f>
        <v>3.1798000000000011</v>
      </c>
      <c r="AB315" s="322"/>
      <c r="AC315" s="308"/>
      <c r="AD315" s="307"/>
      <c r="AE315" s="308"/>
      <c r="AF315" s="307"/>
      <c r="AG315" s="308"/>
      <c r="AH315" s="307"/>
      <c r="AI315" s="308"/>
      <c r="AJ315" s="307"/>
      <c r="AK315" s="308"/>
      <c r="AL315" s="307"/>
      <c r="AM315" s="308"/>
      <c r="AN315" s="307"/>
      <c r="AO315" s="308"/>
      <c r="AP315" s="30"/>
      <c r="AQ315" s="455">
        <v>11.026</v>
      </c>
      <c r="AR315" s="308">
        <f>+(AQ315/AQ309-1)*100</f>
        <v>1.4724829744156009</v>
      </c>
      <c r="AS315" s="308"/>
      <c r="AT315" s="30"/>
      <c r="AU315" s="30"/>
      <c r="AV315" s="30"/>
      <c r="AW315" s="302"/>
      <c r="AX315" s="302"/>
      <c r="AY315" s="308"/>
      <c r="AZ315" s="302"/>
      <c r="BA315" s="302"/>
      <c r="BB315" s="308"/>
      <c r="BC315" s="307"/>
      <c r="BD315" s="307"/>
      <c r="BE315" s="307"/>
      <c r="BF315" s="308"/>
      <c r="BG315" s="338"/>
      <c r="BH315" s="338"/>
      <c r="BI315" s="338"/>
      <c r="BJ315" s="308"/>
      <c r="BK315" s="302"/>
      <c r="BL315" s="302"/>
      <c r="BM315" s="302"/>
      <c r="BN315" s="308"/>
      <c r="BO315" s="302"/>
      <c r="BP315" s="302"/>
      <c r="BQ315" s="307"/>
      <c r="BR315" s="307"/>
      <c r="BS315" s="308"/>
      <c r="BT315" s="302"/>
      <c r="BU315" s="302"/>
      <c r="BV315" s="302"/>
      <c r="BW315" s="302"/>
      <c r="BX315" s="308"/>
      <c r="BY315" s="302"/>
      <c r="BZ315" s="302"/>
      <c r="CA315" s="302"/>
      <c r="CB315" s="302"/>
      <c r="CC315" s="308"/>
      <c r="CD315" s="302"/>
      <c r="CE315" s="302"/>
      <c r="CF315" s="302"/>
      <c r="CG315" s="302"/>
      <c r="CH315" s="308"/>
      <c r="CI315" s="302"/>
      <c r="CJ315" s="302"/>
      <c r="CK315" s="302"/>
      <c r="CL315" s="308"/>
      <c r="CM315" s="302"/>
      <c r="CN315" s="302"/>
      <c r="CO315" s="308"/>
      <c r="CP315" s="302"/>
      <c r="CQ315" s="302"/>
      <c r="CR315" s="308"/>
      <c r="CS315" s="302"/>
      <c r="CT315" s="302"/>
      <c r="CU315" s="308"/>
      <c r="CV315" s="302"/>
      <c r="CW315" s="302"/>
      <c r="CX315" s="308"/>
      <c r="CY315" s="302"/>
      <c r="CZ315" s="302"/>
      <c r="DA315" s="308"/>
      <c r="DB315" s="302"/>
      <c r="DC315" s="302"/>
      <c r="DD315" s="308"/>
      <c r="DE315" s="302"/>
      <c r="DF315" s="302"/>
      <c r="DG315" s="308"/>
      <c r="DH315" s="306"/>
      <c r="DI315" s="306"/>
      <c r="DJ315" s="306"/>
      <c r="DK315" s="306"/>
      <c r="DL315" s="321"/>
    </row>
    <row r="316" spans="1:116" hidden="1" outlineLevel="1">
      <c r="A316" s="310" t="str">
        <f>A134</f>
        <v>4Q</v>
      </c>
      <c r="B316" s="310" t="str">
        <f>B134</f>
        <v>Jan</v>
      </c>
      <c r="C316" s="339"/>
      <c r="D316" s="321"/>
      <c r="E316" s="308"/>
      <c r="F316" s="321"/>
      <c r="G316" s="317"/>
      <c r="H316" s="322">
        <v>0.86899999999999999</v>
      </c>
      <c r="I316" s="589">
        <f>+(H316/H310-1)*100</f>
        <v>-10.780287474332651</v>
      </c>
      <c r="J316" s="322">
        <f>6.063+0.015</f>
        <v>6.0779999999999994</v>
      </c>
      <c r="K316" s="589">
        <f>+(J316/J310-1)*100</f>
        <v>1.7579105976895937</v>
      </c>
      <c r="L316" s="322">
        <f>3.856+0.078</f>
        <v>3.9339999999999997</v>
      </c>
      <c r="M316" s="589">
        <f>+(L316/L310-1)*100</f>
        <v>0.63954975697109173</v>
      </c>
      <c r="N316" s="833">
        <f>+N315+(BT193*yrSales!$AD$216/1000000)+('store&amp;sf'!BU193*yrSales!AD$216/1000000)+BV316/4+BW316/4</f>
        <v>-0.16049999999999986</v>
      </c>
      <c r="O316" s="834">
        <f>+(N316/N310-1)*100</f>
        <v>-236.59574468085074</v>
      </c>
      <c r="P316" s="833">
        <f>+P315+(BZ193*yrSales!$AC$217/1000000)</f>
        <v>0.15089999999999998</v>
      </c>
      <c r="Q316" s="834">
        <f>+(P316/P310-1)*100</f>
        <v>0</v>
      </c>
      <c r="R316" s="835">
        <f>+R315+(CD193*yrSales!$AC$218/1000000)+CE316/4+(CF193*yrSales!$AC$218/1000000)+('store&amp;sf'!$CG$304)/4</f>
        <v>3.1265500000000013</v>
      </c>
      <c r="S316" s="834">
        <f>+(R316/R310-1)*100</f>
        <v>-4.344434076272341</v>
      </c>
      <c r="T316" s="833">
        <f>+T315+(CJ193*yrSales!AC275/1000000)+('store&amp;sf'!$CK$304/4)</f>
        <v>1.1192500000000001</v>
      </c>
      <c r="U316" s="834">
        <f>+(T316/T310-1)*100</f>
        <v>-5.8068588260046239</v>
      </c>
      <c r="V316" s="322">
        <v>5.1999999999999998E-2</v>
      </c>
      <c r="W316" s="589">
        <f>+(V316/V310-1)*100</f>
        <v>23.809523809523792</v>
      </c>
      <c r="X316" s="589"/>
      <c r="Y316" s="589"/>
      <c r="Z316" s="833">
        <f>+Z315</f>
        <v>0</v>
      </c>
      <c r="AA316" s="836">
        <f>+R316-R313</f>
        <v>-0.12424999999999953</v>
      </c>
      <c r="AB316" s="314"/>
      <c r="AC316" s="308"/>
      <c r="AD316" s="307"/>
      <c r="AE316" s="308"/>
      <c r="AF316" s="307"/>
      <c r="AG316" s="308"/>
      <c r="AH316" s="307"/>
      <c r="AI316" s="308"/>
      <c r="AJ316" s="307"/>
      <c r="AK316" s="308"/>
      <c r="AL316" s="307"/>
      <c r="AM316" s="308"/>
      <c r="AN316" s="307"/>
      <c r="AO316" s="308"/>
      <c r="AP316" s="30"/>
      <c r="AQ316" s="455">
        <v>10.933999999999999</v>
      </c>
      <c r="AR316" s="308">
        <f>+(AQ316/AQ310-1)*100</f>
        <v>0.33033584143880024</v>
      </c>
      <c r="AS316" s="308"/>
      <c r="AT316" s="30"/>
      <c r="AU316" s="429"/>
      <c r="AV316" s="30"/>
      <c r="AW316" s="341"/>
      <c r="AX316" s="341"/>
      <c r="AY316" s="24"/>
      <c r="AZ316" s="341"/>
      <c r="BA316" s="341"/>
      <c r="BB316" s="24"/>
      <c r="BC316" s="341">
        <v>2.3E-2</v>
      </c>
      <c r="BD316" s="341">
        <v>-5.8000000000000003E-2</v>
      </c>
      <c r="BE316" s="341"/>
      <c r="BF316" s="24"/>
      <c r="BG316" s="580">
        <f>0.074+0.014+0.016</f>
        <v>0.104</v>
      </c>
      <c r="BH316" s="631">
        <f>-0.039</f>
        <v>-3.9E-2</v>
      </c>
      <c r="BI316" s="340">
        <f>0.064-0.001</f>
        <v>6.3E-2</v>
      </c>
      <c r="BJ316" s="581"/>
      <c r="BK316" s="580">
        <f>0.02+0.062</f>
        <v>8.2000000000000003E-2</v>
      </c>
      <c r="BL316" s="580">
        <f>-0.079-0.024</f>
        <v>-0.10300000000000001</v>
      </c>
      <c r="BM316" s="580">
        <f>-0.001+0.003</f>
        <v>2E-3</v>
      </c>
      <c r="BN316" s="581"/>
      <c r="BO316" s="580">
        <v>0.01</v>
      </c>
      <c r="BP316" s="580">
        <v>0</v>
      </c>
      <c r="BQ316" s="580"/>
      <c r="BR316" s="580"/>
      <c r="BS316" s="581"/>
      <c r="BT316" s="580">
        <v>0</v>
      </c>
      <c r="BU316" s="580">
        <v>-0.17699999999999999</v>
      </c>
      <c r="BV316" s="580">
        <v>-0.55000000000000004</v>
      </c>
      <c r="BW316" s="580">
        <v>-6.0000000000000001E-3</v>
      </c>
      <c r="BX316" s="581"/>
      <c r="BY316" s="580">
        <v>0</v>
      </c>
      <c r="BZ316" s="580">
        <v>-0.129</v>
      </c>
      <c r="CA316" s="580">
        <v>0</v>
      </c>
      <c r="CB316" s="580">
        <v>0</v>
      </c>
      <c r="CC316" s="581"/>
      <c r="CD316" s="580">
        <v>1.2E-2</v>
      </c>
      <c r="CE316" s="580">
        <v>-0.14199999999999999</v>
      </c>
      <c r="CF316" s="580">
        <v>0.53800000000000003</v>
      </c>
      <c r="CG316" s="580">
        <v>-7.0999999999999994E-2</v>
      </c>
      <c r="CH316" s="581"/>
      <c r="CI316" s="580">
        <v>0</v>
      </c>
      <c r="CJ316" s="580">
        <v>-0.17299999999999999</v>
      </c>
      <c r="CK316" s="580">
        <v>-6.9000000000000006E-2</v>
      </c>
      <c r="CL316" s="581"/>
      <c r="CM316" s="580"/>
      <c r="CN316" s="580"/>
      <c r="CO316" s="581"/>
      <c r="CP316" s="340"/>
      <c r="CQ316" s="340"/>
      <c r="CR316" s="24"/>
      <c r="CS316" s="24"/>
      <c r="CT316" s="305"/>
      <c r="CU316" s="24"/>
      <c r="CV316" s="24"/>
      <c r="CW316" s="305"/>
      <c r="CX316" s="24"/>
      <c r="CY316" s="24"/>
      <c r="CZ316" s="305"/>
      <c r="DA316" s="24"/>
      <c r="DB316" s="24"/>
      <c r="DC316" s="305"/>
      <c r="DD316" s="24"/>
      <c r="DE316" s="24"/>
      <c r="DF316" s="305"/>
      <c r="DG316" s="24"/>
      <c r="DH316" s="342">
        <f>+BG316+BK316+BO316+BC316</f>
        <v>0.219</v>
      </c>
      <c r="DI316" s="342">
        <f>+BH316+BL316+BP316+BD316</f>
        <v>-0.2</v>
      </c>
      <c r="DJ316" s="342">
        <f>+BI316+BM316</f>
        <v>6.5000000000000002E-2</v>
      </c>
      <c r="DK316" s="342">
        <f>+BJ316+BS316+CM316+BG316</f>
        <v>0.104</v>
      </c>
      <c r="DL316" s="630"/>
    </row>
    <row r="317" spans="1:116" hidden="1" outlineLevel="1">
      <c r="A317" s="24"/>
      <c r="B317" s="24"/>
      <c r="C317" s="24"/>
      <c r="D317" s="24"/>
      <c r="E317" s="24"/>
      <c r="F317" s="24"/>
      <c r="G317" s="305"/>
      <c r="H317" s="923"/>
      <c r="I317" s="662"/>
      <c r="J317" s="929"/>
      <c r="K317" s="662"/>
      <c r="L317" s="922"/>
      <c r="M317" s="168"/>
      <c r="N317" s="663"/>
      <c r="O317" s="168"/>
      <c r="P317" s="663"/>
      <c r="Q317" s="168"/>
      <c r="R317" s="664"/>
      <c r="S317" s="168"/>
      <c r="T317" s="663"/>
      <c r="U317" s="168"/>
      <c r="V317" s="168"/>
      <c r="W317" s="168"/>
      <c r="X317" s="168"/>
      <c r="Y317" s="168"/>
      <c r="Z317" s="663"/>
      <c r="AA317" s="24"/>
      <c r="AB317" s="24"/>
      <c r="AC317" s="24"/>
      <c r="AD317" s="24"/>
      <c r="AE317" s="24"/>
      <c r="AF317" s="30"/>
      <c r="AG317" s="30"/>
      <c r="AH317" s="30"/>
      <c r="AI317" s="30"/>
      <c r="AJ317" s="30"/>
      <c r="AK317" s="30"/>
      <c r="AL317" s="30"/>
      <c r="AM317" s="30"/>
      <c r="AN317" s="30"/>
      <c r="AO317" s="30"/>
      <c r="AP317" s="24"/>
      <c r="AQ317" s="593"/>
      <c r="AR317" s="30"/>
      <c r="AS317" s="30"/>
      <c r="AT317" s="24"/>
      <c r="AU317" s="24"/>
      <c r="AV317" s="24"/>
      <c r="AW317" s="30"/>
      <c r="AX317" s="30"/>
      <c r="AY317" s="30"/>
      <c r="AZ317" s="30"/>
      <c r="BA317" s="320"/>
      <c r="BB317" s="30"/>
      <c r="BC317" s="320"/>
      <c r="BD317" s="320"/>
      <c r="BE317" s="320"/>
      <c r="BF317" s="30"/>
      <c r="BG317" s="419"/>
      <c r="BH317" s="320"/>
      <c r="BI317" s="320"/>
      <c r="BJ317" s="30"/>
      <c r="BK317" s="30"/>
      <c r="BL317" s="320"/>
      <c r="BM317" s="320"/>
      <c r="BN317" s="30"/>
      <c r="BO317" s="30"/>
      <c r="BP317" s="320"/>
      <c r="BQ317" s="320"/>
      <c r="BR317" s="320"/>
      <c r="BS317" s="30"/>
      <c r="BT317" s="30"/>
      <c r="BU317" s="320"/>
      <c r="BV317" s="658"/>
      <c r="BW317" s="320"/>
      <c r="BX317" s="30"/>
      <c r="BY317" s="30"/>
      <c r="BZ317" s="320"/>
      <c r="CA317" s="320"/>
      <c r="CB317" s="320"/>
      <c r="CC317" s="30"/>
      <c r="CD317" s="30"/>
      <c r="CE317" s="320"/>
      <c r="CF317" s="320"/>
      <c r="CG317" s="320"/>
      <c r="CH317" s="30"/>
      <c r="CI317" s="30"/>
      <c r="CJ317" s="320"/>
      <c r="CK317" s="320"/>
      <c r="CL317" s="30"/>
      <c r="CM317" s="30"/>
      <c r="CN317" s="320"/>
      <c r="CO317" s="30"/>
      <c r="CP317" s="30"/>
      <c r="CQ317" s="320"/>
      <c r="CR317" s="30"/>
      <c r="CS317" s="30"/>
      <c r="CT317" s="320"/>
      <c r="CU317" s="30"/>
      <c r="CV317" s="30"/>
      <c r="CW317" s="320"/>
      <c r="CX317" s="30"/>
      <c r="CY317" s="30"/>
      <c r="CZ317" s="320"/>
      <c r="DA317" s="30"/>
      <c r="DB317" s="30"/>
      <c r="DC317" s="320"/>
      <c r="DD317" s="30"/>
      <c r="DE317" s="30"/>
      <c r="DF317" s="320"/>
      <c r="DG317" s="30"/>
      <c r="DH317" s="24"/>
      <c r="DI317" s="320"/>
      <c r="DJ317" s="320"/>
      <c r="DK317" s="320"/>
      <c r="DL317" s="320"/>
    </row>
    <row r="318" spans="1:116" collapsed="1">
      <c r="A318" s="301"/>
      <c r="B318" s="312" t="str">
        <f>B136</f>
        <v>2010A</v>
      </c>
      <c r="C318" s="30"/>
      <c r="D318" s="30"/>
      <c r="E318" s="310"/>
      <c r="F318" s="30"/>
      <c r="G318" s="318"/>
      <c r="H318" s="644"/>
      <c r="I318" s="318"/>
      <c r="J318" s="30"/>
      <c r="K318" s="319"/>
      <c r="L318" s="30"/>
      <c r="M318" s="310"/>
      <c r="N318" s="30"/>
      <c r="O318" s="310"/>
      <c r="P318" s="30"/>
      <c r="Q318" s="30"/>
      <c r="R318" s="30"/>
      <c r="S318" s="310"/>
      <c r="T318" s="30"/>
      <c r="U318" s="310"/>
      <c r="V318" s="314"/>
      <c r="W318" s="319"/>
      <c r="X318" s="319"/>
      <c r="Y318" s="319"/>
      <c r="Z318" s="30"/>
      <c r="AA318" s="319"/>
      <c r="AB318" s="30"/>
      <c r="AC318" s="310"/>
      <c r="AD318" s="30"/>
      <c r="AE318" s="310"/>
      <c r="AF318" s="30"/>
      <c r="AG318" s="310"/>
      <c r="AH318" s="30"/>
      <c r="AI318" s="310"/>
      <c r="AJ318" s="30"/>
      <c r="AK318" s="310"/>
      <c r="AL318" s="30"/>
      <c r="AM318" s="310"/>
      <c r="AN318" s="30"/>
      <c r="AO318" s="310"/>
      <c r="AP318" s="30"/>
      <c r="AQ318" s="593"/>
      <c r="AR318" s="310"/>
      <c r="AS318" s="310"/>
      <c r="AT318" s="30"/>
      <c r="AU318" s="30"/>
      <c r="AV318" s="30"/>
      <c r="AW318" s="30"/>
      <c r="AX318" s="310"/>
      <c r="AY318" s="310"/>
      <c r="AZ318" s="30"/>
      <c r="BA318" s="318"/>
      <c r="BB318" s="310"/>
      <c r="BC318" s="318"/>
      <c r="BD318" s="318"/>
      <c r="BE318" s="318"/>
      <c r="BF318" s="310"/>
      <c r="BG318" s="30"/>
      <c r="BH318" s="318"/>
      <c r="BI318" s="318"/>
      <c r="BJ318" s="310"/>
      <c r="BK318" s="30"/>
      <c r="BL318" s="318"/>
      <c r="BM318" s="318"/>
      <c r="BN318" s="310"/>
      <c r="BO318" s="30"/>
      <c r="BP318" s="318"/>
      <c r="BQ318" s="318"/>
      <c r="BR318" s="318"/>
      <c r="BS318" s="310"/>
      <c r="BT318" s="30"/>
      <c r="BU318" s="318"/>
      <c r="BV318" s="318"/>
      <c r="BW318" s="318"/>
      <c r="BX318" s="310"/>
      <c r="BY318" s="30"/>
      <c r="BZ318" s="318"/>
      <c r="CA318" s="318"/>
      <c r="CB318" s="318"/>
      <c r="CC318" s="310"/>
      <c r="CD318" s="30"/>
      <c r="CE318" s="318"/>
      <c r="CF318" s="318"/>
      <c r="CG318" s="318"/>
      <c r="CH318" s="310"/>
      <c r="CI318" s="30"/>
      <c r="CJ318" s="318"/>
      <c r="CK318" s="318"/>
      <c r="CL318" s="310"/>
      <c r="CM318" s="30"/>
      <c r="CN318" s="318"/>
      <c r="CO318" s="310"/>
      <c r="CP318" s="30"/>
      <c r="CQ318" s="318"/>
      <c r="CR318" s="310"/>
      <c r="CS318" s="30"/>
      <c r="CT318" s="318"/>
      <c r="CU318" s="310"/>
      <c r="CV318" s="30"/>
      <c r="CW318" s="318"/>
      <c r="CX318" s="310"/>
      <c r="CY318" s="30"/>
      <c r="CZ318" s="318"/>
      <c r="DA318" s="310"/>
      <c r="DB318" s="30"/>
      <c r="DC318" s="318"/>
      <c r="DD318" s="310"/>
      <c r="DE318" s="30"/>
      <c r="DF318" s="318"/>
      <c r="DG318" s="310"/>
      <c r="DH318" s="30"/>
      <c r="DI318" s="318"/>
      <c r="DJ318" s="318"/>
      <c r="DK318" s="318"/>
      <c r="DL318" s="318"/>
    </row>
    <row r="319" spans="1:116">
      <c r="A319" s="310" t="str">
        <f>A137</f>
        <v>1Q</v>
      </c>
      <c r="B319" s="310" t="str">
        <f>B137</f>
        <v>Apr</v>
      </c>
      <c r="C319" s="30"/>
      <c r="D319" s="321"/>
      <c r="E319" s="308"/>
      <c r="F319" s="321"/>
      <c r="G319" s="317"/>
      <c r="H319" s="322">
        <v>0.86699999999999999</v>
      </c>
      <c r="I319" s="589">
        <f>+(H319/H313-1)*100</f>
        <v>-10.248447204968947</v>
      </c>
      <c r="J319" s="322">
        <f>6.059+0.015</f>
        <v>6.0739999999999998</v>
      </c>
      <c r="K319" s="308">
        <f>+(J319/J313-1)*100</f>
        <v>1.6569037656903873</v>
      </c>
      <c r="L319" s="322">
        <f>3.842+0.09</f>
        <v>3.9319999999999999</v>
      </c>
      <c r="M319" s="308">
        <f>+(L319/L313-1)*100</f>
        <v>0.63987714358841874</v>
      </c>
      <c r="N319" s="831">
        <f>+N316+(BT196*yrSales!$AD$216/1000000)+('store&amp;sf'!BU196*yrSales!AD$216/1000000)+BV320/4+BW320/4</f>
        <v>-0.16049999999999986</v>
      </c>
      <c r="O319" s="752">
        <f>+(N319/N313-1)*100</f>
        <v>-236.59574468085074</v>
      </c>
      <c r="P319" s="831">
        <f>+P316+(BZ196*yrSales!$AC$217/1000000)</f>
        <v>0.15089999999999998</v>
      </c>
      <c r="Q319" s="752">
        <f>+(P319/P313-1)*100</f>
        <v>0</v>
      </c>
      <c r="R319" s="832">
        <f>+R316+(CD196*yrSales!$AC$218/1000000)+CE320/4+(CF196*yrSales!$AC$218/1000000)+('store&amp;sf'!$CG$304)/4</f>
        <v>3.1088000000000013</v>
      </c>
      <c r="S319" s="752">
        <f>+(R319/R313-1)*100</f>
        <v>-4.3681555309462166</v>
      </c>
      <c r="T319" s="831" t="e">
        <f>+T316+(CJ196*yrSales!AC279/1000000)+('store&amp;sf'!$CK$304/4)</f>
        <v>#DIV/0!</v>
      </c>
      <c r="U319" s="752" t="e">
        <f>+(T319/T313-1)*100</f>
        <v>#DIV/0!</v>
      </c>
      <c r="V319" s="322">
        <v>5.1999999999999998E-2</v>
      </c>
      <c r="W319" s="308">
        <f>+(V319/V313-1)*100</f>
        <v>23.809523809523792</v>
      </c>
      <c r="X319" s="308"/>
      <c r="Y319" s="308"/>
      <c r="Z319" s="831">
        <f>+Z316</f>
        <v>0</v>
      </c>
      <c r="AA319" s="836">
        <f>+R319-R316</f>
        <v>-1.7749999999999932E-2</v>
      </c>
      <c r="AB319" s="322"/>
      <c r="AC319" s="308"/>
      <c r="AD319" s="307"/>
      <c r="AE319" s="308"/>
      <c r="AF319" s="307"/>
      <c r="AG319" s="308"/>
      <c r="AH319" s="307"/>
      <c r="AI319" s="308"/>
      <c r="AJ319" s="307"/>
      <c r="AK319" s="308"/>
      <c r="AL319" s="307"/>
      <c r="AM319" s="308"/>
      <c r="AN319" s="307"/>
      <c r="AO319" s="308"/>
      <c r="AP319" s="30"/>
      <c r="AQ319" s="455">
        <v>10.925000000000001</v>
      </c>
      <c r="AR319" s="308">
        <f>+(AQ319/AQ313-1)*100</f>
        <v>0.32139577594125779</v>
      </c>
      <c r="AS319" s="308"/>
      <c r="AT319" s="30"/>
      <c r="AU319" s="30"/>
      <c r="AV319" s="30"/>
      <c r="AW319" s="321"/>
      <c r="AX319" s="308"/>
      <c r="AY319" s="308"/>
      <c r="AZ319" s="321"/>
      <c r="BA319" s="317"/>
      <c r="BB319" s="308"/>
      <c r="BC319" s="317"/>
      <c r="BD319" s="317"/>
      <c r="BE319" s="317"/>
      <c r="BF319" s="308"/>
      <c r="BG319" s="322"/>
      <c r="BH319" s="317"/>
      <c r="BI319" s="317"/>
      <c r="BJ319" s="308"/>
      <c r="BK319" s="322"/>
      <c r="BL319" s="317"/>
      <c r="BM319" s="317"/>
      <c r="BN319" s="308"/>
      <c r="BO319" s="322"/>
      <c r="BP319" s="317"/>
      <c r="BQ319" s="317"/>
      <c r="BR319" s="317"/>
      <c r="BS319" s="308"/>
      <c r="BT319" s="322"/>
      <c r="BU319" s="317"/>
      <c r="BV319" s="317"/>
      <c r="BW319" s="317"/>
      <c r="BX319" s="308"/>
      <c r="BY319" s="322"/>
      <c r="BZ319" s="317"/>
      <c r="CA319" s="317"/>
      <c r="CB319" s="317"/>
      <c r="CC319" s="308"/>
      <c r="CD319" s="307"/>
      <c r="CE319" s="317"/>
      <c r="CF319" s="317"/>
      <c r="CG319" s="526"/>
      <c r="CH319" s="308"/>
      <c r="CI319" s="322"/>
      <c r="CJ319" s="317"/>
      <c r="CK319" s="317"/>
      <c r="CL319" s="308"/>
      <c r="CM319" s="322"/>
      <c r="CN319" s="317"/>
      <c r="CO319" s="308"/>
      <c r="CP319" s="322"/>
      <c r="CQ319" s="317"/>
      <c r="CR319" s="308"/>
      <c r="CS319" s="322"/>
      <c r="CT319" s="317"/>
      <c r="CU319" s="308"/>
      <c r="CV319" s="322"/>
      <c r="CW319" s="317"/>
      <c r="CX319" s="308"/>
      <c r="CY319" s="322"/>
      <c r="CZ319" s="317"/>
      <c r="DA319" s="308"/>
      <c r="DB319" s="322"/>
      <c r="DC319" s="317"/>
      <c r="DD319" s="308"/>
      <c r="DE319" s="322"/>
      <c r="DF319" s="317"/>
      <c r="DG319" s="308"/>
      <c r="DH319" s="322"/>
      <c r="DI319" s="317"/>
      <c r="DJ319" s="317"/>
      <c r="DK319" s="317"/>
      <c r="DL319" s="317"/>
    </row>
    <row r="320" spans="1:116">
      <c r="A320" s="310" t="str">
        <f>A138</f>
        <v>2Q</v>
      </c>
      <c r="B320" s="310" t="str">
        <f>B138</f>
        <v>Jul</v>
      </c>
      <c r="C320" s="30"/>
      <c r="D320" s="321"/>
      <c r="E320" s="308"/>
      <c r="F320" s="321"/>
      <c r="G320" s="317"/>
      <c r="H320" s="322">
        <v>0.85699999999999998</v>
      </c>
      <c r="I320" s="589">
        <f>+(H320/H314-1)*100</f>
        <v>-9.3121693121693045</v>
      </c>
      <c r="J320" s="322">
        <f>6.084+0.023</f>
        <v>6.1069999999999993</v>
      </c>
      <c r="K320" s="308">
        <f>+(J320/J314-1)*100</f>
        <v>1.4451827242524917</v>
      </c>
      <c r="L320" s="322">
        <f>3.834+0.097</f>
        <v>3.931</v>
      </c>
      <c r="M320" s="308">
        <f>+(L320/L314-1)*100</f>
        <v>0.30620056136769769</v>
      </c>
      <c r="N320" s="831">
        <f>+N319+(BT197*yrSales!$AD$216/1000000)+('store&amp;sf'!BU197*yrSales!AD$216/1000000)+BV321/4+BW321/4</f>
        <v>-0.16049999999999986</v>
      </c>
      <c r="O320" s="752">
        <f>+(N320/N314-1)*100</f>
        <v>-236.59574468085074</v>
      </c>
      <c r="P320" s="831">
        <f>+P319+(BZ197*yrSales!$AC$217/1000000)</f>
        <v>0.15089999999999998</v>
      </c>
      <c r="Q320" s="752">
        <f>+(P320/P314-1)*100</f>
        <v>0</v>
      </c>
      <c r="R320" s="832">
        <f>+R319+(CD197*yrSales!$AC$218/1000000)+CE321/4+(CF197*yrSales!$AC$218/1000000)+('store&amp;sf'!$CG$304)/4</f>
        <v>3.0910500000000014</v>
      </c>
      <c r="S320" s="752">
        <f>+(R320/R314-1)*100</f>
        <v>-4.3921374553440025</v>
      </c>
      <c r="T320" s="831" t="e">
        <f>+T319+(CJ197*yrSales!AC280/1000000)+('store&amp;sf'!$CK$304/4)</f>
        <v>#DIV/0!</v>
      </c>
      <c r="U320" s="752" t="e">
        <f>+(T320/T314-1)*100</f>
        <v>#DIV/0!</v>
      </c>
      <c r="V320" s="322">
        <v>5.1999999999999998E-2</v>
      </c>
      <c r="W320" s="308">
        <f>+(V320/V314-1)*100</f>
        <v>18.181818181818187</v>
      </c>
      <c r="X320" s="308"/>
      <c r="Y320" s="308"/>
      <c r="Z320" s="831">
        <f>+Z319</f>
        <v>0</v>
      </c>
      <c r="AA320" s="836">
        <f>+R320-R317</f>
        <v>3.0910500000000014</v>
      </c>
      <c r="AB320" s="322"/>
      <c r="AC320" s="308"/>
      <c r="AD320" s="307"/>
      <c r="AE320" s="308"/>
      <c r="AF320" s="307"/>
      <c r="AG320" s="308"/>
      <c r="AH320" s="307"/>
      <c r="AI320" s="308"/>
      <c r="AJ320" s="307"/>
      <c r="AK320" s="308"/>
      <c r="AL320" s="307"/>
      <c r="AM320" s="308"/>
      <c r="AN320" s="307"/>
      <c r="AO320" s="308"/>
      <c r="AP320" s="30"/>
      <c r="AQ320" s="455">
        <v>10.946999999999999</v>
      </c>
      <c r="AR320" s="308">
        <f>+(AQ320/AQ314-1)*100</f>
        <v>0.18303285439735806</v>
      </c>
      <c r="AS320" s="308"/>
      <c r="AT320" s="30"/>
      <c r="AU320" s="918"/>
      <c r="AV320" s="30"/>
      <c r="AW320" s="321"/>
      <c r="AX320" s="308"/>
      <c r="AY320" s="308"/>
      <c r="AZ320" s="321"/>
      <c r="BA320" s="317"/>
      <c r="BB320" s="308"/>
      <c r="BC320" s="317"/>
      <c r="BD320" s="317"/>
      <c r="BE320" s="317"/>
      <c r="BF320" s="308"/>
      <c r="BG320" s="322"/>
      <c r="BH320" s="317"/>
      <c r="BI320" s="317"/>
      <c r="BJ320" s="308"/>
      <c r="BK320" s="322"/>
      <c r="BL320" s="317"/>
      <c r="BM320" s="317"/>
      <c r="BN320" s="308"/>
      <c r="BO320" s="322"/>
      <c r="BP320" s="317"/>
      <c r="BQ320" s="317"/>
      <c r="BR320" s="317"/>
      <c r="BS320" s="308"/>
      <c r="BT320" s="322"/>
      <c r="BU320" s="317"/>
      <c r="BV320" s="317"/>
      <c r="BW320" s="317"/>
      <c r="BX320" s="308"/>
      <c r="BY320" s="322"/>
      <c r="BZ320" s="317"/>
      <c r="CA320" s="317"/>
      <c r="CB320" s="317"/>
      <c r="CC320" s="308"/>
      <c r="CD320" s="326"/>
      <c r="CE320" s="317"/>
      <c r="CF320" s="317"/>
      <c r="CG320" s="317"/>
      <c r="CH320" s="308"/>
      <c r="CI320" s="322"/>
      <c r="CJ320" s="317"/>
      <c r="CK320" s="317"/>
      <c r="CL320" s="308"/>
      <c r="CM320" s="322"/>
      <c r="CN320" s="317"/>
      <c r="CO320" s="308"/>
      <c r="CP320" s="322"/>
      <c r="CQ320" s="317"/>
      <c r="CR320" s="308"/>
      <c r="CS320" s="322"/>
      <c r="CT320" s="317"/>
      <c r="CU320" s="308"/>
      <c r="CV320" s="322"/>
      <c r="CW320" s="317"/>
      <c r="CX320" s="308"/>
      <c r="CY320" s="322"/>
      <c r="CZ320" s="317"/>
      <c r="DA320" s="308"/>
      <c r="DB320" s="322"/>
      <c r="DC320" s="317"/>
      <c r="DD320" s="308"/>
      <c r="DE320" s="322"/>
      <c r="DF320" s="317"/>
      <c r="DG320" s="308"/>
      <c r="DH320" s="322"/>
      <c r="DI320" s="317"/>
      <c r="DJ320" s="317"/>
      <c r="DK320" s="317"/>
      <c r="DL320" s="317"/>
    </row>
    <row r="321" spans="1:116">
      <c r="A321" s="310" t="str">
        <f>A139</f>
        <v>3Q</v>
      </c>
      <c r="B321" s="310" t="str">
        <f>B139</f>
        <v>Oct</v>
      </c>
      <c r="C321" s="30"/>
      <c r="D321" s="321"/>
      <c r="E321" s="308"/>
      <c r="F321" s="321"/>
      <c r="G321" s="317"/>
      <c r="H321" s="322">
        <v>0.85599999999999998</v>
      </c>
      <c r="I321" s="589">
        <f>+(H321/H315-1)*100</f>
        <v>-10.178384050367262</v>
      </c>
      <c r="J321" s="322">
        <f>6.094+0.071</f>
        <v>6.165</v>
      </c>
      <c r="K321" s="308">
        <f>+(J321/J315-1)*100</f>
        <v>1.398026315789469</v>
      </c>
      <c r="L321" s="322">
        <f>3.825+0.139</f>
        <v>3.9640000000000004</v>
      </c>
      <c r="M321" s="308">
        <f>+(L321/L315-1)*100</f>
        <v>0.50709939148074756</v>
      </c>
      <c r="N321" s="831">
        <f>+N320+(BT198*yrSales!$AD$216/1000000)+('store&amp;sf'!BU198*yrSales!AD$216/1000000)+BV322/4+BW322/4</f>
        <v>-0.29949999999999988</v>
      </c>
      <c r="O321" s="752">
        <f>+(N321/N315-1)*100</f>
        <v>1293.0232558139626</v>
      </c>
      <c r="P321" s="831">
        <f>+P320+(BZ198*yrSales!$AC$217/1000000)</f>
        <v>0.15089999999999998</v>
      </c>
      <c r="Q321" s="752">
        <f>+(P321/P315-1)*100</f>
        <v>0</v>
      </c>
      <c r="R321" s="832">
        <f>+R320+(CD198*yrSales!$AC$218/1000000)+CE322/4+(CF198*yrSales!$AC$218/1000000)+('store&amp;sf'!$CG$304)/4</f>
        <v>3.0378000000000016</v>
      </c>
      <c r="S321" s="752">
        <f>+(R321/R315-1)*100</f>
        <v>-4.4656896660167149</v>
      </c>
      <c r="T321" s="831" t="e">
        <f>+T320+(CJ198*yrSales!AC281/1000000)+('store&amp;sf'!$CK$304/4)</f>
        <v>#DIV/0!</v>
      </c>
      <c r="U321" s="752" t="e">
        <f>+(T321/T315-1)*100</f>
        <v>#DIV/0!</v>
      </c>
      <c r="V321" s="322">
        <v>5.1999999999999998E-2</v>
      </c>
      <c r="W321" s="308">
        <f>+(V321/V315-1)*100</f>
        <v>6.1224489795918213</v>
      </c>
      <c r="X321" s="308"/>
      <c r="Y321" s="308"/>
      <c r="Z321" s="831">
        <f>+Z320</f>
        <v>0</v>
      </c>
      <c r="AA321" s="836">
        <f>+R321-R318</f>
        <v>3.0378000000000016</v>
      </c>
      <c r="AB321" s="322"/>
      <c r="AC321" s="308"/>
      <c r="AD321" s="307"/>
      <c r="AE321" s="308"/>
      <c r="AF321" s="307"/>
      <c r="AG321" s="308"/>
      <c r="AH321" s="307"/>
      <c r="AI321" s="308"/>
      <c r="AJ321" s="307"/>
      <c r="AK321" s="308"/>
      <c r="AL321" s="307"/>
      <c r="AM321" s="308"/>
      <c r="AN321" s="307"/>
      <c r="AO321" s="308"/>
      <c r="AP321" s="30"/>
      <c r="AQ321" s="455">
        <v>11.037000000000001</v>
      </c>
      <c r="AR321" s="308">
        <f>+(AQ321/AQ315-1)*100</f>
        <v>9.9764193723927974E-2</v>
      </c>
      <c r="AS321" s="308"/>
      <c r="AT321" s="30"/>
      <c r="AU321" s="30"/>
      <c r="AV321" s="30"/>
      <c r="AW321" s="302"/>
      <c r="AX321" s="302"/>
      <c r="AY321" s="308"/>
      <c r="AZ321" s="302"/>
      <c r="BA321" s="302"/>
      <c r="BB321" s="308"/>
      <c r="BC321" s="307"/>
      <c r="BD321" s="307"/>
      <c r="BE321" s="307"/>
      <c r="BF321" s="308"/>
      <c r="BG321" s="338"/>
      <c r="BH321" s="338"/>
      <c r="BI321" s="338"/>
      <c r="BJ321" s="308"/>
      <c r="BK321" s="302"/>
      <c r="BL321" s="302"/>
      <c r="BM321" s="302"/>
      <c r="BN321" s="308"/>
      <c r="BO321" s="302"/>
      <c r="BP321" s="302"/>
      <c r="BQ321" s="307"/>
      <c r="BR321" s="307"/>
      <c r="BS321" s="308"/>
      <c r="BT321" s="302"/>
      <c r="BU321" s="302"/>
      <c r="BV321" s="302"/>
      <c r="BW321" s="302"/>
      <c r="BX321" s="308"/>
      <c r="BY321" s="302"/>
      <c r="BZ321" s="302"/>
      <c r="CA321" s="302"/>
      <c r="CB321" s="302"/>
      <c r="CC321" s="308"/>
      <c r="CD321" s="302"/>
      <c r="CE321" s="302"/>
      <c r="CF321" s="302"/>
      <c r="CG321" s="302"/>
      <c r="CH321" s="308"/>
      <c r="CI321" s="302"/>
      <c r="CJ321" s="302"/>
      <c r="CK321" s="302"/>
      <c r="CL321" s="308"/>
      <c r="CM321" s="302"/>
      <c r="CN321" s="302"/>
      <c r="CO321" s="308"/>
      <c r="CP321" s="302"/>
      <c r="CQ321" s="302"/>
      <c r="CR321" s="308"/>
      <c r="CS321" s="302"/>
      <c r="CT321" s="302"/>
      <c r="CU321" s="308"/>
      <c r="CV321" s="302"/>
      <c r="CW321" s="302"/>
      <c r="CX321" s="308"/>
      <c r="CY321" s="302"/>
      <c r="CZ321" s="302"/>
      <c r="DA321" s="308"/>
      <c r="DB321" s="302"/>
      <c r="DC321" s="302"/>
      <c r="DD321" s="308"/>
      <c r="DE321" s="302"/>
      <c r="DF321" s="302"/>
      <c r="DG321" s="308"/>
      <c r="DH321" s="306"/>
      <c r="DI321" s="306"/>
      <c r="DJ321" s="306"/>
      <c r="DK321" s="306"/>
      <c r="DL321" s="321"/>
    </row>
    <row r="322" spans="1:116">
      <c r="A322" s="310" t="str">
        <f>A140</f>
        <v>4Q</v>
      </c>
      <c r="B322" s="310" t="str">
        <f>B140</f>
        <v>Jan</v>
      </c>
      <c r="C322" s="339"/>
      <c r="D322" s="321"/>
      <c r="E322" s="308"/>
      <c r="F322" s="321"/>
      <c r="G322" s="317"/>
      <c r="H322" s="322">
        <v>0.84299999999999997</v>
      </c>
      <c r="I322" s="589">
        <f>+(H322/H316-1)*100</f>
        <v>-2.9919447640966657</v>
      </c>
      <c r="J322" s="322">
        <f>6.057+0.071</f>
        <v>6.1280000000000001</v>
      </c>
      <c r="K322" s="589">
        <f>+(J322/J316-1)*100</f>
        <v>0.82263902599539751</v>
      </c>
      <c r="L322" s="322">
        <f>3.805+0.147</f>
        <v>3.952</v>
      </c>
      <c r="M322" s="589">
        <f>+(L322/L316-1)*100</f>
        <v>0.45754956786985268</v>
      </c>
      <c r="N322" s="833">
        <f>+N321+(BT199*yrSales!$AD$216/1000000)+('store&amp;sf'!BU199*yrSales!AD$216/1000000)+BV322/4+BW322/4</f>
        <v>-0.43849999999999989</v>
      </c>
      <c r="O322" s="834">
        <f>+(N322/N316-1)*100</f>
        <v>173.20872274143318</v>
      </c>
      <c r="P322" s="833">
        <f>+P321+(BZ199*yrSales!$AC$217/1000000)</f>
        <v>0.15089999999999998</v>
      </c>
      <c r="Q322" s="834">
        <f>+(P322/P316-1)*100</f>
        <v>0</v>
      </c>
      <c r="R322" s="835">
        <f>+R321+(CD199*yrSales!$AC$218/1000000)+CE322/4+(CF199*yrSales!$AC$218/1000000)+('store&amp;sf'!$CG$304)/4</f>
        <v>2.9845500000000018</v>
      </c>
      <c r="S322" s="834">
        <f>+(R322/R316-1)*100</f>
        <v>-4.5417472933424801</v>
      </c>
      <c r="T322" s="833" t="e">
        <f>+T321+(CJ199*yrSales!AC281/1000000)+('store&amp;sf'!$CK$304/4)</f>
        <v>#DIV/0!</v>
      </c>
      <c r="U322" s="834" t="e">
        <f>+(T322/T316-1)*100</f>
        <v>#DIV/0!</v>
      </c>
      <c r="V322" s="322">
        <v>5.1999999999999998E-2</v>
      </c>
      <c r="W322" s="589">
        <f>+(V322/V316-1)*100</f>
        <v>0</v>
      </c>
      <c r="X322" s="589"/>
      <c r="Y322" s="589"/>
      <c r="Z322" s="833">
        <f>+Z321</f>
        <v>0</v>
      </c>
      <c r="AA322" s="836">
        <f>+R322-R319</f>
        <v>-0.12424999999999953</v>
      </c>
      <c r="AB322" s="314"/>
      <c r="AC322" s="308"/>
      <c r="AD322" s="307"/>
      <c r="AE322" s="308"/>
      <c r="AF322" s="307"/>
      <c r="AG322" s="308"/>
      <c r="AH322" s="307"/>
      <c r="AI322" s="308"/>
      <c r="AJ322" s="307"/>
      <c r="AK322" s="308"/>
      <c r="AL322" s="307"/>
      <c r="AM322" s="308"/>
      <c r="AN322" s="307"/>
      <c r="AO322" s="308"/>
      <c r="AP322" s="30"/>
      <c r="AQ322" s="455">
        <v>10.975</v>
      </c>
      <c r="AR322" s="308">
        <f>+(AQ322/AQ316-1)*100</f>
        <v>0.37497713554051071</v>
      </c>
      <c r="AS322" s="308"/>
      <c r="AT322" s="30"/>
      <c r="AU322" s="429"/>
      <c r="AV322" s="30"/>
      <c r="AW322" s="341"/>
      <c r="AX322" s="341"/>
      <c r="AY322" s="24"/>
      <c r="AZ322" s="341"/>
      <c r="BA322" s="341"/>
      <c r="BB322" s="24"/>
      <c r="BC322" s="341">
        <v>0</v>
      </c>
      <c r="BD322" s="341">
        <f>-0.009-0.014</f>
        <v>-2.3E-2</v>
      </c>
      <c r="BE322" s="341"/>
      <c r="BF322" s="24"/>
      <c r="BG322" s="580">
        <f>0.074+0.014+0.016</f>
        <v>0.104</v>
      </c>
      <c r="BH322" s="631">
        <f>-0.039</f>
        <v>-3.9E-2</v>
      </c>
      <c r="BI322" s="340">
        <v>4.1000000000000002E-2</v>
      </c>
      <c r="BJ322" s="581"/>
      <c r="BK322" s="580">
        <f>0.02+0.062</f>
        <v>8.2000000000000003E-2</v>
      </c>
      <c r="BL322" s="580">
        <f>-0.079-0.024</f>
        <v>-0.10300000000000001</v>
      </c>
      <c r="BM322" s="580">
        <v>-6.0000000000000001E-3</v>
      </c>
      <c r="BN322" s="581"/>
      <c r="BO322" s="580">
        <v>0.01</v>
      </c>
      <c r="BP322" s="580">
        <v>0</v>
      </c>
      <c r="BQ322" s="580"/>
      <c r="BR322" s="580"/>
      <c r="BS322" s="581"/>
      <c r="BT322" s="580">
        <v>0</v>
      </c>
      <c r="BU322" s="580">
        <v>-0.17699999999999999</v>
      </c>
      <c r="BV322" s="580">
        <v>-0.55000000000000004</v>
      </c>
      <c r="BW322" s="580">
        <v>-6.0000000000000001E-3</v>
      </c>
      <c r="BX322" s="581"/>
      <c r="BY322" s="580">
        <v>0</v>
      </c>
      <c r="BZ322" s="580">
        <v>-0.129</v>
      </c>
      <c r="CA322" s="580">
        <v>0</v>
      </c>
      <c r="CB322" s="580">
        <v>0</v>
      </c>
      <c r="CC322" s="581"/>
      <c r="CD322" s="580">
        <v>1.2E-2</v>
      </c>
      <c r="CE322" s="580">
        <v>-0.14199999999999999</v>
      </c>
      <c r="CF322" s="580">
        <v>0.53800000000000003</v>
      </c>
      <c r="CG322" s="580">
        <v>-7.0999999999999994E-2</v>
      </c>
      <c r="CH322" s="581"/>
      <c r="CI322" s="580">
        <v>0</v>
      </c>
      <c r="CJ322" s="580">
        <v>-0.17299999999999999</v>
      </c>
      <c r="CK322" s="580">
        <v>-6.9000000000000006E-2</v>
      </c>
      <c r="CL322" s="581"/>
      <c r="CM322" s="580"/>
      <c r="CN322" s="580"/>
      <c r="CO322" s="581"/>
      <c r="CP322" s="340"/>
      <c r="CQ322" s="340"/>
      <c r="CR322" s="24"/>
      <c r="CS322" s="24"/>
      <c r="CT322" s="305"/>
      <c r="CU322" s="24"/>
      <c r="CV322" s="24"/>
      <c r="CW322" s="305"/>
      <c r="CX322" s="24"/>
      <c r="CY322" s="24"/>
      <c r="CZ322" s="305"/>
      <c r="DA322" s="24"/>
      <c r="DB322" s="24"/>
      <c r="DC322" s="305"/>
      <c r="DD322" s="24"/>
      <c r="DE322" s="24"/>
      <c r="DF322" s="305"/>
      <c r="DG322" s="24"/>
      <c r="DH322" s="342">
        <f>+BG322+BK322+BO322+BC322</f>
        <v>0.19600000000000001</v>
      </c>
      <c r="DI322" s="342">
        <f>+BH322+BL322+BP322+BD322</f>
        <v>-0.16500000000000001</v>
      </c>
      <c r="DJ322" s="342">
        <f>+BI322+BM322</f>
        <v>3.5000000000000003E-2</v>
      </c>
      <c r="DK322" s="342">
        <f>+BJ322+BS322+CM322+BG322</f>
        <v>0.104</v>
      </c>
      <c r="DL322" s="630"/>
    </row>
    <row r="323" spans="1:116">
      <c r="A323" s="24"/>
      <c r="B323" s="24"/>
      <c r="C323" s="24"/>
      <c r="D323" s="24"/>
      <c r="E323" s="24"/>
      <c r="F323" s="24"/>
      <c r="G323" s="305"/>
      <c r="H323" s="923"/>
      <c r="I323" s="662"/>
      <c r="J323" s="929"/>
      <c r="K323" s="662"/>
      <c r="L323" s="922"/>
      <c r="M323" s="168"/>
      <c r="N323" s="663"/>
      <c r="O323" s="168"/>
      <c r="P323" s="663"/>
      <c r="Q323" s="168"/>
      <c r="R323" s="664"/>
      <c r="S323" s="168"/>
      <c r="T323" s="663"/>
      <c r="U323" s="168"/>
      <c r="V323" s="963"/>
      <c r="W323" s="168"/>
      <c r="X323" s="168"/>
      <c r="Y323" s="168"/>
      <c r="Z323" s="663"/>
      <c r="AA323" s="24"/>
      <c r="AB323" s="24"/>
      <c r="AC323" s="24"/>
      <c r="AD323" s="24"/>
      <c r="AE323" s="24"/>
      <c r="AF323" s="30"/>
      <c r="AG323" s="30"/>
      <c r="AH323" s="30"/>
      <c r="AI323" s="30"/>
      <c r="AJ323" s="30"/>
      <c r="AK323" s="30"/>
      <c r="AL323" s="30"/>
      <c r="AM323" s="30"/>
      <c r="AN323" s="30"/>
      <c r="AO323" s="30"/>
      <c r="AP323" s="24"/>
      <c r="AQ323" s="593"/>
      <c r="AR323" s="30"/>
      <c r="AS323" s="30"/>
      <c r="AT323" s="24"/>
      <c r="AU323" s="24"/>
      <c r="AV323" s="24"/>
      <c r="AW323" s="30"/>
      <c r="AX323" s="30"/>
      <c r="AY323" s="30"/>
      <c r="AZ323" s="30"/>
      <c r="BA323" s="320"/>
      <c r="BB323" s="30"/>
      <c r="BC323" s="320"/>
      <c r="BD323" s="320"/>
      <c r="BE323" s="320"/>
      <c r="BF323" s="30"/>
      <c r="BG323" s="419"/>
      <c r="BH323" s="320"/>
      <c r="BI323" s="320"/>
      <c r="BJ323" s="30"/>
      <c r="BK323" s="30"/>
      <c r="BL323" s="320"/>
      <c r="BM323" s="320"/>
      <c r="BN323" s="30"/>
      <c r="BO323" s="30"/>
      <c r="BP323" s="320"/>
      <c r="BQ323" s="320"/>
      <c r="BR323" s="320"/>
      <c r="BS323" s="30"/>
      <c r="BT323" s="30"/>
      <c r="BU323" s="320"/>
      <c r="BV323" s="658"/>
      <c r="BW323" s="320"/>
      <c r="BX323" s="30"/>
      <c r="BY323" s="30"/>
      <c r="BZ323" s="320"/>
      <c r="CA323" s="320"/>
      <c r="CB323" s="320"/>
      <c r="CC323" s="30"/>
      <c r="CD323" s="30"/>
      <c r="CE323" s="320"/>
      <c r="CF323" s="320"/>
      <c r="CG323" s="320"/>
      <c r="CH323" s="30"/>
      <c r="CI323" s="30"/>
      <c r="CJ323" s="320"/>
      <c r="CK323" s="320"/>
      <c r="CL323" s="30"/>
      <c r="CM323" s="30"/>
      <c r="CN323" s="320"/>
      <c r="CO323" s="30"/>
      <c r="CP323" s="30"/>
      <c r="CQ323" s="320"/>
      <c r="CR323" s="30"/>
      <c r="CS323" s="30"/>
      <c r="CT323" s="320"/>
      <c r="CU323" s="30"/>
      <c r="CV323" s="30"/>
      <c r="CW323" s="320"/>
      <c r="CX323" s="30"/>
      <c r="CY323" s="30"/>
      <c r="CZ323" s="320"/>
      <c r="DA323" s="30"/>
      <c r="DB323" s="30"/>
      <c r="DC323" s="320"/>
      <c r="DD323" s="30"/>
      <c r="DE323" s="30"/>
      <c r="DF323" s="320"/>
      <c r="DG323" s="30"/>
      <c r="DH323" s="24"/>
      <c r="DI323" s="320"/>
      <c r="DJ323" s="320"/>
      <c r="DK323" s="320"/>
      <c r="DL323" s="320"/>
    </row>
    <row r="324" spans="1:116">
      <c r="A324" s="301"/>
      <c r="B324" s="312" t="str">
        <f>B142</f>
        <v>2011A</v>
      </c>
      <c r="C324" s="30"/>
      <c r="D324" s="30"/>
      <c r="E324" s="310"/>
      <c r="F324" s="30"/>
      <c r="G324" s="318"/>
      <c r="H324" s="644"/>
      <c r="I324" s="318"/>
      <c r="J324" s="30"/>
      <c r="K324" s="319"/>
      <c r="L324" s="30"/>
      <c r="M324" s="310"/>
      <c r="N324" s="30"/>
      <c r="O324" s="310"/>
      <c r="P324" s="30"/>
      <c r="Q324" s="30"/>
      <c r="R324" s="30"/>
      <c r="S324" s="310"/>
      <c r="T324" s="30"/>
      <c r="U324" s="310"/>
      <c r="V324" s="314"/>
      <c r="W324" s="319"/>
      <c r="X324" s="319"/>
      <c r="Y324" s="319"/>
      <c r="Z324" s="30"/>
      <c r="AA324" s="319"/>
      <c r="AB324" s="30"/>
      <c r="AC324" s="310"/>
      <c r="AD324" s="30"/>
      <c r="AE324" s="310"/>
      <c r="AF324" s="30"/>
      <c r="AG324" s="310"/>
      <c r="AH324" s="30"/>
      <c r="AI324" s="310"/>
      <c r="AJ324" s="30"/>
      <c r="AK324" s="310"/>
      <c r="AL324" s="30"/>
      <c r="AM324" s="310"/>
      <c r="AN324" s="30"/>
      <c r="AO324" s="310"/>
      <c r="AP324" s="30"/>
      <c r="AQ324" s="593"/>
      <c r="AR324" s="310"/>
      <c r="AS324" s="310"/>
      <c r="AT324" s="30"/>
      <c r="AU324" s="30"/>
      <c r="AV324" s="30"/>
      <c r="AW324" s="30"/>
      <c r="AX324" s="310"/>
      <c r="AY324" s="310"/>
      <c r="AZ324" s="30"/>
      <c r="BA324" s="318"/>
      <c r="BB324" s="310"/>
      <c r="BC324" s="318"/>
      <c r="BD324" s="318"/>
      <c r="BE324" s="318"/>
      <c r="BF324" s="310"/>
      <c r="BG324" s="30"/>
      <c r="BH324" s="318"/>
      <c r="BI324" s="318"/>
      <c r="BJ324" s="310"/>
      <c r="BK324" s="30"/>
      <c r="BL324" s="318"/>
      <c r="BM324" s="318"/>
      <c r="BN324" s="310"/>
      <c r="BO324" s="30"/>
      <c r="BP324" s="318"/>
      <c r="BQ324" s="318"/>
      <c r="BR324" s="318"/>
      <c r="BS324" s="310"/>
      <c r="BT324" s="30"/>
      <c r="BU324" s="318"/>
      <c r="BV324" s="318"/>
      <c r="BW324" s="318"/>
      <c r="BX324" s="310"/>
      <c r="BY324" s="30"/>
      <c r="BZ324" s="318"/>
      <c r="CA324" s="318"/>
      <c r="CB324" s="318"/>
      <c r="CC324" s="310"/>
      <c r="CD324" s="30"/>
      <c r="CE324" s="318"/>
      <c r="CF324" s="318"/>
      <c r="CG324" s="318"/>
      <c r="CH324" s="310"/>
      <c r="CI324" s="30"/>
      <c r="CJ324" s="318"/>
      <c r="CK324" s="318"/>
      <c r="CL324" s="310"/>
      <c r="CM324" s="30"/>
      <c r="CN324" s="318"/>
      <c r="CO324" s="310"/>
      <c r="CP324" s="30"/>
      <c r="CQ324" s="318"/>
      <c r="CR324" s="310"/>
      <c r="CS324" s="30"/>
      <c r="CT324" s="318"/>
      <c r="CU324" s="310"/>
      <c r="CV324" s="30"/>
      <c r="CW324" s="318"/>
      <c r="CX324" s="310"/>
      <c r="CY324" s="30"/>
      <c r="CZ324" s="318"/>
      <c r="DA324" s="310"/>
      <c r="DB324" s="30"/>
      <c r="DC324" s="318"/>
      <c r="DD324" s="310"/>
      <c r="DE324" s="30"/>
      <c r="DF324" s="318"/>
      <c r="DG324" s="310"/>
      <c r="DH324" s="30"/>
      <c r="DI324" s="318"/>
      <c r="DJ324" s="318"/>
      <c r="DK324" s="318"/>
      <c r="DL324" s="318"/>
    </row>
    <row r="325" spans="1:116">
      <c r="A325" s="310" t="str">
        <f>A143</f>
        <v>1Q</v>
      </c>
      <c r="B325" s="310" t="str">
        <f>B143</f>
        <v>Apr</v>
      </c>
      <c r="C325" s="30"/>
      <c r="D325" s="321"/>
      <c r="E325" s="308"/>
      <c r="F325" s="321"/>
      <c r="G325" s="317"/>
      <c r="H325" s="322">
        <v>0.83</v>
      </c>
      <c r="I325" s="589">
        <f>+(H325/H319-1)*100</f>
        <v>-4.267589388696658</v>
      </c>
      <c r="J325" s="322">
        <f>6.031+0.071</f>
        <v>6.1019999999999994</v>
      </c>
      <c r="K325" s="308">
        <f>+(J325/J319-1)*100</f>
        <v>0.46098123147841896</v>
      </c>
      <c r="L325" s="322">
        <f>3.802+0.147</f>
        <v>3.9489999999999998</v>
      </c>
      <c r="M325" s="308">
        <f>+(L325/L319-1)*100</f>
        <v>0.43234994913530223</v>
      </c>
      <c r="N325" s="831">
        <f>+N322+(BT202*yrSales!$AD$216/1000000)+('store&amp;sf'!BU202*yrSales!AD$216/1000000)+BV326/4+BW326/4</f>
        <v>-0.43849999999999989</v>
      </c>
      <c r="O325" s="752">
        <f>+(N325/N319-1)*100</f>
        <v>173.20872274143318</v>
      </c>
      <c r="P325" s="831">
        <f>+P322+(BZ202*yrSales!$AC$217/1000000)</f>
        <v>0.15089999999999998</v>
      </c>
      <c r="Q325" s="752">
        <f>+(P325/P319-1)*100</f>
        <v>0</v>
      </c>
      <c r="R325" s="832">
        <f>+R322+(CD202*yrSales!$AC$218/1000000)+CE326/4+(CF202*yrSales!$AC$218/1000000)+('store&amp;sf'!$CG$304)/4</f>
        <v>2.9668000000000019</v>
      </c>
      <c r="S325" s="752">
        <f>+(R325/R319-1)*100</f>
        <v>-4.5676788471435747</v>
      </c>
      <c r="T325" s="831" t="e">
        <f>+T322+(CJ202*yrSales!AC285/1000000)+('store&amp;sf'!$CK$304/4)</f>
        <v>#DIV/0!</v>
      </c>
      <c r="U325" s="752" t="e">
        <f>+(T325/T319-1)*100</f>
        <v>#DIV/0!</v>
      </c>
      <c r="V325" s="322">
        <v>5.1999999999999998E-2</v>
      </c>
      <c r="W325" s="308">
        <f>+(V325/V319-1)*100</f>
        <v>0</v>
      </c>
      <c r="X325" s="308"/>
      <c r="Y325" s="308"/>
      <c r="Z325" s="831">
        <f>+Z322</f>
        <v>0</v>
      </c>
      <c r="AA325" s="836">
        <f>+R325-R322</f>
        <v>-1.7749999999999932E-2</v>
      </c>
      <c r="AB325" s="322"/>
      <c r="AC325" s="308"/>
      <c r="AD325" s="307"/>
      <c r="AE325" s="308"/>
      <c r="AF325" s="307"/>
      <c r="AG325" s="308"/>
      <c r="AH325" s="307"/>
      <c r="AI325" s="308"/>
      <c r="AJ325" s="307"/>
      <c r="AK325" s="308"/>
      <c r="AL325" s="307"/>
      <c r="AM325" s="308"/>
      <c r="AN325" s="307"/>
      <c r="AO325" s="308"/>
      <c r="AP325" s="30"/>
      <c r="AQ325" s="455">
        <v>10.933</v>
      </c>
      <c r="AR325" s="308">
        <f>+(AQ325/AQ319-1)*100</f>
        <v>7.3226544622406742E-2</v>
      </c>
      <c r="AS325" s="308"/>
      <c r="AT325" s="30"/>
      <c r="AU325" s="30"/>
      <c r="AV325" s="30"/>
      <c r="AW325" s="321"/>
      <c r="AX325" s="308"/>
      <c r="AY325" s="308"/>
      <c r="AZ325" s="321"/>
      <c r="BA325" s="317"/>
      <c r="BB325" s="308"/>
      <c r="BC325" s="317"/>
      <c r="BD325" s="317"/>
      <c r="BE325" s="317"/>
      <c r="BF325" s="308"/>
      <c r="BG325" s="322"/>
      <c r="BH325" s="317"/>
      <c r="BI325" s="317"/>
      <c r="BJ325" s="308"/>
      <c r="BK325" s="322"/>
      <c r="BL325" s="317"/>
      <c r="BM325" s="317"/>
      <c r="BN325" s="308"/>
      <c r="BO325" s="322"/>
      <c r="BP325" s="317"/>
      <c r="BQ325" s="317"/>
      <c r="BR325" s="317"/>
      <c r="BS325" s="308"/>
      <c r="BT325" s="322"/>
      <c r="BU325" s="317"/>
      <c r="BV325" s="317"/>
      <c r="BW325" s="317"/>
      <c r="BX325" s="308"/>
      <c r="BY325" s="322"/>
      <c r="BZ325" s="317"/>
      <c r="CA325" s="317"/>
      <c r="CB325" s="317"/>
      <c r="CC325" s="308"/>
      <c r="CD325" s="307"/>
      <c r="CE325" s="317"/>
      <c r="CF325" s="317"/>
      <c r="CG325" s="526"/>
      <c r="CH325" s="308"/>
      <c r="CI325" s="322"/>
      <c r="CJ325" s="317"/>
      <c r="CK325" s="317"/>
      <c r="CL325" s="308"/>
      <c r="CM325" s="322"/>
      <c r="CN325" s="317"/>
      <c r="CO325" s="308"/>
      <c r="CP325" s="322"/>
      <c r="CQ325" s="317"/>
      <c r="CR325" s="308"/>
      <c r="CS325" s="322"/>
      <c r="CT325" s="317"/>
      <c r="CU325" s="308"/>
      <c r="CV325" s="322"/>
      <c r="CW325" s="317"/>
      <c r="CX325" s="308"/>
      <c r="CY325" s="322"/>
      <c r="CZ325" s="317"/>
      <c r="DA325" s="308"/>
      <c r="DB325" s="322"/>
      <c r="DC325" s="317"/>
      <c r="DD325" s="308"/>
      <c r="DE325" s="322"/>
      <c r="DF325" s="317"/>
      <c r="DG325" s="308"/>
      <c r="DH325" s="322"/>
      <c r="DI325" s="317"/>
      <c r="DJ325" s="317"/>
      <c r="DK325" s="317"/>
      <c r="DL325" s="317"/>
    </row>
    <row r="326" spans="1:116">
      <c r="A326" s="310" t="str">
        <f>A144</f>
        <v>2Q</v>
      </c>
      <c r="B326" s="310" t="str">
        <f>B144</f>
        <v>Jul</v>
      </c>
      <c r="C326" s="30"/>
      <c r="D326" s="321"/>
      <c r="E326" s="308"/>
      <c r="F326" s="321"/>
      <c r="G326" s="317"/>
      <c r="H326" s="322">
        <v>0.82599999999999996</v>
      </c>
      <c r="I326" s="589">
        <f>+(H326/H320-1)*100</f>
        <v>-3.6172695449241621</v>
      </c>
      <c r="J326" s="322">
        <f>6.019+0.092</f>
        <v>6.1109999999999998</v>
      </c>
      <c r="K326" s="308">
        <f>+(J326/J320-1)*100</f>
        <v>6.5498608154590521E-2</v>
      </c>
      <c r="L326" s="322">
        <f>3.79+0.154</f>
        <v>3.944</v>
      </c>
      <c r="M326" s="308">
        <f>+(L326/L320-1)*100</f>
        <v>0.33070465530398163</v>
      </c>
      <c r="N326" s="831">
        <f>+N325+(BT203*yrSales!$AD$216/1000000)+('store&amp;sf'!BU203*yrSales!AD$216/1000000)+BV327/4+BW327/4</f>
        <v>-0.43849999999999989</v>
      </c>
      <c r="O326" s="752">
        <f>+(N326/N320-1)*100</f>
        <v>173.20872274143318</v>
      </c>
      <c r="P326" s="831">
        <f>+P325+(BZ203*yrSales!$AC$217/1000000)</f>
        <v>0.15089999999999998</v>
      </c>
      <c r="Q326" s="752">
        <f>+(P326/P320-1)*100</f>
        <v>0</v>
      </c>
      <c r="R326" s="832">
        <f>+R325+(CD203*yrSales!$AC$218/1000000)+CE327/4+(CF203*yrSales!$AC$218/1000000)+('store&amp;sf'!$CG$304)/4</f>
        <v>2.9490500000000019</v>
      </c>
      <c r="S326" s="752">
        <f>+(R326/R320-1)*100</f>
        <v>-4.5939082188899967</v>
      </c>
      <c r="T326" s="831" t="e">
        <f>+T325+(CJ203*yrSales!AC286/1000000)+('store&amp;sf'!$CK$304/4)</f>
        <v>#DIV/0!</v>
      </c>
      <c r="U326" s="752" t="e">
        <f>+(T326/T320-1)*100</f>
        <v>#DIV/0!</v>
      </c>
      <c r="V326" s="322">
        <v>5.3999999999999999E-2</v>
      </c>
      <c r="W326" s="308">
        <f>+(V326/V320-1)*100</f>
        <v>3.8461538461538547</v>
      </c>
      <c r="X326" s="308"/>
      <c r="Y326" s="308"/>
      <c r="Z326" s="831">
        <f>+Z325</f>
        <v>0</v>
      </c>
      <c r="AA326" s="836">
        <f>+R326-R323</f>
        <v>2.9490500000000019</v>
      </c>
      <c r="AB326" s="322"/>
      <c r="AC326" s="308"/>
      <c r="AD326" s="307"/>
      <c r="AE326" s="308"/>
      <c r="AF326" s="307"/>
      <c r="AG326" s="308"/>
      <c r="AH326" s="307"/>
      <c r="AI326" s="308"/>
      <c r="AJ326" s="307"/>
      <c r="AK326" s="308"/>
      <c r="AL326" s="307"/>
      <c r="AM326" s="308"/>
      <c r="AN326" s="307"/>
      <c r="AO326" s="308"/>
      <c r="AP326" s="30"/>
      <c r="AQ326" s="455">
        <v>10.936</v>
      </c>
      <c r="AR326" s="308">
        <f>+(AQ326/AQ320-1)*100</f>
        <v>-0.10048415090891938</v>
      </c>
      <c r="AS326" s="308"/>
      <c r="AT326" s="30"/>
      <c r="AU326" s="918"/>
      <c r="AV326" s="30"/>
      <c r="AW326" s="321"/>
      <c r="AX326" s="308"/>
      <c r="AY326" s="308"/>
      <c r="AZ326" s="321"/>
      <c r="BA326" s="317"/>
      <c r="BB326" s="308"/>
      <c r="BC326" s="317"/>
      <c r="BD326" s="317"/>
      <c r="BE326" s="317"/>
      <c r="BF326" s="308"/>
      <c r="BG326" s="322"/>
      <c r="BH326" s="317"/>
      <c r="BI326" s="317"/>
      <c r="BJ326" s="308"/>
      <c r="BK326" s="322"/>
      <c r="BL326" s="317"/>
      <c r="BM326" s="317"/>
      <c r="BN326" s="308"/>
      <c r="BO326" s="322"/>
      <c r="BP326" s="317"/>
      <c r="BQ326" s="317"/>
      <c r="BR326" s="317"/>
      <c r="BS326" s="308"/>
      <c r="BT326" s="322"/>
      <c r="BU326" s="317"/>
      <c r="BV326" s="317"/>
      <c r="BW326" s="317"/>
      <c r="BX326" s="308"/>
      <c r="BY326" s="322"/>
      <c r="BZ326" s="317"/>
      <c r="CA326" s="317"/>
      <c r="CB326" s="317"/>
      <c r="CC326" s="308"/>
      <c r="CD326" s="326"/>
      <c r="CE326" s="317"/>
      <c r="CF326" s="317"/>
      <c r="CG326" s="317"/>
      <c r="CH326" s="308"/>
      <c r="CI326" s="322"/>
      <c r="CJ326" s="317"/>
      <c r="CK326" s="317"/>
      <c r="CL326" s="308"/>
      <c r="CM326" s="322"/>
      <c r="CN326" s="317"/>
      <c r="CO326" s="308"/>
      <c r="CP326" s="322"/>
      <c r="CQ326" s="317"/>
      <c r="CR326" s="308"/>
      <c r="CS326" s="322"/>
      <c r="CT326" s="317"/>
      <c r="CU326" s="308"/>
      <c r="CV326" s="322"/>
      <c r="CW326" s="317"/>
      <c r="CX326" s="308"/>
      <c r="CY326" s="322"/>
      <c r="CZ326" s="317"/>
      <c r="DA326" s="308"/>
      <c r="DB326" s="322"/>
      <c r="DC326" s="317"/>
      <c r="DD326" s="308"/>
      <c r="DE326" s="322"/>
      <c r="DF326" s="317"/>
      <c r="DG326" s="308"/>
      <c r="DH326" s="322"/>
      <c r="DI326" s="317"/>
      <c r="DJ326" s="317"/>
      <c r="DK326" s="317"/>
      <c r="DL326" s="317"/>
    </row>
    <row r="327" spans="1:116">
      <c r="A327" s="310" t="str">
        <f>A145</f>
        <v>3Q</v>
      </c>
      <c r="B327" s="310" t="str">
        <f>B145</f>
        <v>Oct</v>
      </c>
      <c r="C327" s="30"/>
      <c r="D327" s="321"/>
      <c r="E327" s="308"/>
      <c r="F327" s="321"/>
      <c r="G327" s="317"/>
      <c r="H327" s="322">
        <v>0.82599999999999996</v>
      </c>
      <c r="I327" s="589">
        <f>+(H327/H321-1)*100</f>
        <v>-3.5046728971962704</v>
      </c>
      <c r="J327" s="322">
        <f>6.035+0.112</f>
        <v>6.1470000000000002</v>
      </c>
      <c r="K327" s="308">
        <f>+(J327/J321-1)*100</f>
        <v>-0.29197080291970545</v>
      </c>
      <c r="L327" s="322">
        <f>3.784+0.161</f>
        <v>3.9449999999999998</v>
      </c>
      <c r="M327" s="308">
        <f>+(L327/L321-1)*100</f>
        <v>-0.47931382441979142</v>
      </c>
      <c r="N327" s="831">
        <f>+N326+(BT204*yrSales!$AD$216/1000000)+('store&amp;sf'!BU204*yrSales!AD$216/1000000)+BV328/4+BW328/4</f>
        <v>-0.57749999999999979</v>
      </c>
      <c r="O327" s="752">
        <f>+(N327/N321-1)*100</f>
        <v>92.821368948247084</v>
      </c>
      <c r="P327" s="831">
        <f>+P326+(BZ204*yrSales!$AC$217/1000000)</f>
        <v>0.15089999999999998</v>
      </c>
      <c r="Q327" s="752">
        <f>+(P327/P321-1)*100</f>
        <v>0</v>
      </c>
      <c r="R327" s="832">
        <f>+R326+(CD204*yrSales!$AC$218/1000000)+CE328/4+(CF204*yrSales!$AC$218/1000000)+('store&amp;sf'!$CG$304)/4</f>
        <v>2.8958000000000022</v>
      </c>
      <c r="S327" s="752">
        <f>+(R327/R321-1)*100</f>
        <v>-4.6744354467048277</v>
      </c>
      <c r="T327" s="831" t="e">
        <f>+T326+(CJ204*yrSales!AC287/1000000)+('store&amp;sf'!$CK$304/4)</f>
        <v>#DIV/0!</v>
      </c>
      <c r="U327" s="752" t="e">
        <f>+(T327/T321-1)*100</f>
        <v>#DIV/0!</v>
      </c>
      <c r="V327" s="322">
        <v>5.8999999999999997E-2</v>
      </c>
      <c r="W327" s="308">
        <f>+(V327/V321-1)*100</f>
        <v>13.461538461538458</v>
      </c>
      <c r="X327" s="308"/>
      <c r="Y327" s="308"/>
      <c r="Z327" s="831">
        <f>+Z326</f>
        <v>0</v>
      </c>
      <c r="AA327" s="836">
        <f>+R327-R324</f>
        <v>2.8958000000000022</v>
      </c>
      <c r="AB327" s="322"/>
      <c r="AC327" s="308"/>
      <c r="AD327" s="307"/>
      <c r="AE327" s="308"/>
      <c r="AF327" s="307"/>
      <c r="AG327" s="308"/>
      <c r="AH327" s="307"/>
      <c r="AI327" s="308"/>
      <c r="AJ327" s="307"/>
      <c r="AK327" s="308"/>
      <c r="AL327" s="307"/>
      <c r="AM327" s="308"/>
      <c r="AN327" s="307"/>
      <c r="AO327" s="308"/>
      <c r="AP327" s="30"/>
      <c r="AQ327" s="455">
        <v>10.977</v>
      </c>
      <c r="AR327" s="308">
        <f>+(AQ327/AQ321-1)*100</f>
        <v>-0.54362598532210482</v>
      </c>
      <c r="AS327" s="308"/>
      <c r="AT327" s="30"/>
      <c r="AU327" s="30"/>
      <c r="AV327" s="30"/>
      <c r="AW327" s="302"/>
      <c r="AX327" s="302"/>
      <c r="AY327" s="308"/>
      <c r="AZ327" s="302"/>
      <c r="BA327" s="302"/>
      <c r="BB327" s="308"/>
      <c r="BC327" s="307"/>
      <c r="BD327" s="307"/>
      <c r="BE327" s="307"/>
      <c r="BF327" s="308"/>
      <c r="BG327" s="338"/>
      <c r="BH327" s="338"/>
      <c r="BI327" s="338"/>
      <c r="BJ327" s="308"/>
      <c r="BK327" s="302"/>
      <c r="BL327" s="302"/>
      <c r="BM327" s="302"/>
      <c r="BN327" s="308"/>
      <c r="BO327" s="302"/>
      <c r="BP327" s="302"/>
      <c r="BQ327" s="307"/>
      <c r="BR327" s="307"/>
      <c r="BS327" s="308"/>
      <c r="BT327" s="302"/>
      <c r="BU327" s="302"/>
      <c r="BV327" s="302"/>
      <c r="BW327" s="302"/>
      <c r="BX327" s="308"/>
      <c r="BY327" s="302"/>
      <c r="BZ327" s="302"/>
      <c r="CA327" s="302"/>
      <c r="CB327" s="302"/>
      <c r="CC327" s="308"/>
      <c r="CD327" s="302"/>
      <c r="CE327" s="302"/>
      <c r="CF327" s="302"/>
      <c r="CG327" s="302"/>
      <c r="CH327" s="308"/>
      <c r="CI327" s="302"/>
      <c r="CJ327" s="302"/>
      <c r="CK327" s="302"/>
      <c r="CL327" s="308"/>
      <c r="CM327" s="302"/>
      <c r="CN327" s="302"/>
      <c r="CO327" s="308"/>
      <c r="CP327" s="302"/>
      <c r="CQ327" s="302"/>
      <c r="CR327" s="308"/>
      <c r="CS327" s="302"/>
      <c r="CT327" s="302"/>
      <c r="CU327" s="308"/>
      <c r="CV327" s="302"/>
      <c r="CW327" s="302"/>
      <c r="CX327" s="308"/>
      <c r="CY327" s="302"/>
      <c r="CZ327" s="302"/>
      <c r="DA327" s="308"/>
      <c r="DB327" s="302"/>
      <c r="DC327" s="302"/>
      <c r="DD327" s="308"/>
      <c r="DE327" s="302"/>
      <c r="DF327" s="302"/>
      <c r="DG327" s="308"/>
      <c r="DH327" s="306"/>
      <c r="DI327" s="306"/>
      <c r="DJ327" s="306"/>
      <c r="DK327" s="306"/>
      <c r="DL327" s="321"/>
    </row>
    <row r="328" spans="1:116">
      <c r="A328" s="310" t="str">
        <f>A146</f>
        <v>4Q</v>
      </c>
      <c r="B328" s="310" t="str">
        <f>B146</f>
        <v>Jan</v>
      </c>
      <c r="C328" s="339"/>
      <c r="D328" s="321"/>
      <c r="E328" s="308"/>
      <c r="F328" s="321"/>
      <c r="G328" s="317"/>
      <c r="H328" s="322">
        <v>0.76200000000000001</v>
      </c>
      <c r="I328" s="589">
        <f>+(H328/H322-1)*100</f>
        <v>-9.6085409252668956</v>
      </c>
      <c r="J328" s="322">
        <f>6+0.047+0.099+0.029</f>
        <v>6.1749999999999998</v>
      </c>
      <c r="K328" s="589">
        <f>+(J328/J322-1)*100</f>
        <v>0.76697127937337406</v>
      </c>
      <c r="L328" s="322">
        <f>3.772+0.17</f>
        <v>3.9419999999999997</v>
      </c>
      <c r="M328" s="589">
        <f>+(L328/L322-1)*100</f>
        <v>-0.25303643724696734</v>
      </c>
      <c r="N328" s="833">
        <f>+N327+(BT205*yrSales!$AD$216/1000000)+('store&amp;sf'!BU205*yrSales!AD$216/1000000)+BV328/4+BW328/4</f>
        <v>-0.7164999999999998</v>
      </c>
      <c r="O328" s="834">
        <f>+(N328/N322-1)*100</f>
        <v>63.397947548460664</v>
      </c>
      <c r="P328" s="833">
        <f>+P327+(BZ205*yrSales!$AC$217/1000000)</f>
        <v>0.15089999999999998</v>
      </c>
      <c r="Q328" s="834">
        <f>+(P328/P322-1)*100</f>
        <v>0</v>
      </c>
      <c r="R328" s="835">
        <f>+R327+(CD205*yrSales!$AC$218/1000000)+CE328/4+(CF205*yrSales!$AC$218/1000000)+('store&amp;sf'!$CG$304)/4</f>
        <v>2.8425500000000024</v>
      </c>
      <c r="S328" s="834">
        <f>+(R328/R322-1)*100</f>
        <v>-4.7578361897103179</v>
      </c>
      <c r="T328" s="833" t="e">
        <f>+T327+(CJ205*yrSales!AC287/1000000)+('store&amp;sf'!$CK$304/4)</f>
        <v>#DIV/0!</v>
      </c>
      <c r="U328" s="834" t="e">
        <f>+(T328/T322-1)*100</f>
        <v>#DIV/0!</v>
      </c>
      <c r="V328" s="322">
        <v>6.4000000000000001E-2</v>
      </c>
      <c r="W328" s="589">
        <f>+(V328/V322-1)*100</f>
        <v>23.076923076923084</v>
      </c>
      <c r="X328" s="589"/>
      <c r="Y328" s="589"/>
      <c r="Z328" s="833">
        <f>+Z327</f>
        <v>0</v>
      </c>
      <c r="AA328" s="836">
        <f>+R328-R325</f>
        <v>-0.12424999999999953</v>
      </c>
      <c r="AB328" s="314"/>
      <c r="AC328" s="308"/>
      <c r="AD328" s="307"/>
      <c r="AE328" s="308"/>
      <c r="AF328" s="307"/>
      <c r="AG328" s="308"/>
      <c r="AH328" s="307"/>
      <c r="AI328" s="308"/>
      <c r="AJ328" s="307"/>
      <c r="AK328" s="308"/>
      <c r="AL328" s="307"/>
      <c r="AM328" s="308"/>
      <c r="AN328" s="307"/>
      <c r="AO328" s="308"/>
      <c r="AP328" s="30"/>
      <c r="AQ328" s="455">
        <v>10.942</v>
      </c>
      <c r="AR328" s="308">
        <f>+(AQ328/AQ322-1)*100</f>
        <v>-0.30068337129840472</v>
      </c>
      <c r="AS328" s="308"/>
      <c r="AT328" s="30"/>
      <c r="AU328" s="429"/>
      <c r="AV328" s="30"/>
      <c r="AW328" s="341"/>
      <c r="AX328" s="341"/>
      <c r="AY328" s="24"/>
      <c r="AZ328" s="341"/>
      <c r="BA328" s="341"/>
      <c r="BB328" s="24"/>
      <c r="BC328" s="341">
        <v>0</v>
      </c>
      <c r="BD328" s="341">
        <f>-0.009-0.014</f>
        <v>-2.3E-2</v>
      </c>
      <c r="BE328" s="341"/>
      <c r="BF328" s="24"/>
      <c r="BG328" s="580">
        <f>0.074+0.014+0.016</f>
        <v>0.104</v>
      </c>
      <c r="BH328" s="631">
        <f>-0.039</f>
        <v>-3.9E-2</v>
      </c>
      <c r="BI328" s="340">
        <v>4.1000000000000002E-2</v>
      </c>
      <c r="BJ328" s="581"/>
      <c r="BK328" s="580">
        <f>0.02+0.062</f>
        <v>8.2000000000000003E-2</v>
      </c>
      <c r="BL328" s="580">
        <f>-0.079-0.024</f>
        <v>-0.10300000000000001</v>
      </c>
      <c r="BM328" s="580">
        <v>-6.0000000000000001E-3</v>
      </c>
      <c r="BN328" s="581"/>
      <c r="BO328" s="580">
        <v>0.01</v>
      </c>
      <c r="BP328" s="580">
        <v>0</v>
      </c>
      <c r="BQ328" s="580"/>
      <c r="BR328" s="580"/>
      <c r="BS328" s="581"/>
      <c r="BT328" s="580">
        <v>0</v>
      </c>
      <c r="BU328" s="580">
        <v>-0.17699999999999999</v>
      </c>
      <c r="BV328" s="580">
        <v>-0.55000000000000004</v>
      </c>
      <c r="BW328" s="580">
        <v>-6.0000000000000001E-3</v>
      </c>
      <c r="BX328" s="581"/>
      <c r="BY328" s="580">
        <v>0</v>
      </c>
      <c r="BZ328" s="580">
        <v>-0.129</v>
      </c>
      <c r="CA328" s="580">
        <v>0</v>
      </c>
      <c r="CB328" s="580">
        <v>0</v>
      </c>
      <c r="CC328" s="581"/>
      <c r="CD328" s="580">
        <v>1.2E-2</v>
      </c>
      <c r="CE328" s="580">
        <v>-0.14199999999999999</v>
      </c>
      <c r="CF328" s="580">
        <v>0.53800000000000003</v>
      </c>
      <c r="CG328" s="580">
        <v>-7.0999999999999994E-2</v>
      </c>
      <c r="CH328" s="581"/>
      <c r="CI328" s="580">
        <v>0</v>
      </c>
      <c r="CJ328" s="580">
        <v>-0.17299999999999999</v>
      </c>
      <c r="CK328" s="580">
        <v>-6.9000000000000006E-2</v>
      </c>
      <c r="CL328" s="581"/>
      <c r="CM328" s="580"/>
      <c r="CN328" s="580"/>
      <c r="CO328" s="581"/>
      <c r="CP328" s="340"/>
      <c r="CQ328" s="340"/>
      <c r="CR328" s="24"/>
      <c r="CS328" s="24"/>
      <c r="CT328" s="305"/>
      <c r="CU328" s="24"/>
      <c r="CV328" s="24"/>
      <c r="CW328" s="305"/>
      <c r="CX328" s="24"/>
      <c r="CY328" s="24"/>
      <c r="CZ328" s="305"/>
      <c r="DA328" s="24"/>
      <c r="DB328" s="24"/>
      <c r="DC328" s="305"/>
      <c r="DD328" s="24"/>
      <c r="DE328" s="24"/>
      <c r="DF328" s="305"/>
      <c r="DG328" s="24"/>
      <c r="DH328" s="342">
        <f>+BG328+BK328+BO328+BC328</f>
        <v>0.19600000000000001</v>
      </c>
      <c r="DI328" s="342">
        <f>+BH328+BL328+BP328+BD328</f>
        <v>-0.16500000000000001</v>
      </c>
      <c r="DJ328" s="342">
        <f>+BI328+BM328</f>
        <v>3.5000000000000003E-2</v>
      </c>
      <c r="DK328" s="342">
        <f>+BJ328+BS328+CM328+BG328</f>
        <v>0.104</v>
      </c>
      <c r="DL328" s="630"/>
    </row>
    <row r="329" spans="1:116">
      <c r="A329" s="310"/>
      <c r="B329" s="310"/>
      <c r="C329" s="339"/>
      <c r="D329" s="321"/>
      <c r="E329" s="308"/>
      <c r="F329" s="321"/>
      <c r="G329" s="317"/>
      <c r="H329" s="314"/>
      <c r="I329" s="589"/>
      <c r="J329" s="1023"/>
      <c r="K329" s="589"/>
      <c r="L329" s="314"/>
      <c r="M329" s="589"/>
      <c r="N329" s="833"/>
      <c r="O329" s="834"/>
      <c r="P329" s="833"/>
      <c r="Q329" s="834"/>
      <c r="R329" s="835"/>
      <c r="S329" s="834"/>
      <c r="T329" s="833"/>
      <c r="U329" s="834"/>
      <c r="V329" s="375"/>
      <c r="W329" s="589"/>
      <c r="X329" s="589"/>
      <c r="Y329" s="589"/>
      <c r="Z329" s="833"/>
      <c r="AA329" s="836"/>
      <c r="AB329" s="314"/>
      <c r="AC329" s="308"/>
      <c r="AD329" s="307"/>
      <c r="AE329" s="308"/>
      <c r="AF329" s="307"/>
      <c r="AG329" s="308"/>
      <c r="AH329" s="307"/>
      <c r="AI329" s="308"/>
      <c r="AJ329" s="307"/>
      <c r="AK329" s="308"/>
      <c r="AL329" s="307"/>
      <c r="AM329" s="308"/>
      <c r="AN329" s="307"/>
      <c r="AO329" s="308"/>
      <c r="AP329" s="30"/>
      <c r="AQ329" s="453"/>
      <c r="AR329" s="308"/>
      <c r="AS329" s="308"/>
      <c r="AT329" s="30"/>
      <c r="AU329" s="429"/>
      <c r="AV329" s="30"/>
      <c r="AW329" s="341"/>
      <c r="AX329" s="341"/>
      <c r="AY329" s="24"/>
      <c r="AZ329" s="341"/>
      <c r="BA329" s="341"/>
      <c r="BB329" s="24"/>
      <c r="BC329" s="341"/>
      <c r="BD329" s="341"/>
      <c r="BE329" s="341"/>
      <c r="BF329" s="24"/>
      <c r="BG329" s="580"/>
      <c r="BH329" s="631"/>
      <c r="BI329" s="340"/>
      <c r="BJ329" s="581"/>
      <c r="BK329" s="580"/>
      <c r="BL329" s="580"/>
      <c r="BM329" s="580"/>
      <c r="BN329" s="581"/>
      <c r="BO329" s="580"/>
      <c r="BP329" s="580"/>
      <c r="BQ329" s="580"/>
      <c r="BR329" s="580"/>
      <c r="BS329" s="581"/>
      <c r="BT329" s="580"/>
      <c r="BU329" s="580"/>
      <c r="BV329" s="580"/>
      <c r="BW329" s="580"/>
      <c r="BX329" s="581"/>
      <c r="BY329" s="580"/>
      <c r="BZ329" s="580"/>
      <c r="CA329" s="580"/>
      <c r="CB329" s="580"/>
      <c r="CC329" s="581"/>
      <c r="CD329" s="580"/>
      <c r="CE329" s="580"/>
      <c r="CF329" s="580"/>
      <c r="CG329" s="580"/>
      <c r="CH329" s="581"/>
      <c r="CI329" s="580"/>
      <c r="CJ329" s="580"/>
      <c r="CK329" s="580"/>
      <c r="CL329" s="581"/>
      <c r="CM329" s="580"/>
      <c r="CN329" s="580"/>
      <c r="CO329" s="581"/>
      <c r="CP329" s="340"/>
      <c r="CQ329" s="340"/>
      <c r="CR329" s="24"/>
      <c r="CS329" s="24"/>
      <c r="CT329" s="305"/>
      <c r="CU329" s="24"/>
      <c r="CV329" s="24"/>
      <c r="CW329" s="305"/>
      <c r="CX329" s="24"/>
      <c r="CY329" s="24"/>
      <c r="CZ329" s="305"/>
      <c r="DA329" s="24"/>
      <c r="DB329" s="24"/>
      <c r="DC329" s="305"/>
      <c r="DD329" s="24"/>
      <c r="DE329" s="24"/>
      <c r="DF329" s="305"/>
      <c r="DG329" s="24"/>
      <c r="DH329" s="630"/>
      <c r="DI329" s="630"/>
      <c r="DJ329" s="630"/>
      <c r="DK329" s="630"/>
      <c r="DL329" s="630"/>
    </row>
    <row r="330" spans="1:116">
      <c r="A330" s="301"/>
      <c r="B330" s="312" t="str">
        <f>B148</f>
        <v>2012A</v>
      </c>
      <c r="C330" s="30"/>
      <c r="D330" s="30"/>
      <c r="E330" s="310"/>
      <c r="F330" s="30"/>
      <c r="G330" s="318"/>
      <c r="H330" s="644"/>
      <c r="I330" s="318"/>
      <c r="J330" s="1023"/>
      <c r="K330" s="319"/>
      <c r="L330" s="30"/>
      <c r="M330" s="310"/>
      <c r="N330" s="30"/>
      <c r="O330" s="310"/>
      <c r="P330" s="30"/>
      <c r="Q330" s="30"/>
      <c r="R330" s="30"/>
      <c r="S330" s="310"/>
      <c r="T330" s="30"/>
      <c r="U330" s="310"/>
      <c r="V330" s="314"/>
      <c r="W330" s="319"/>
      <c r="X330" s="319"/>
      <c r="Y330" s="319"/>
      <c r="Z330" s="30"/>
      <c r="AA330" s="319"/>
      <c r="AB330" s="30"/>
      <c r="AC330" s="310"/>
      <c r="AD330" s="30"/>
      <c r="AE330" s="310"/>
      <c r="AF330" s="30"/>
      <c r="AG330" s="310"/>
      <c r="AH330" s="30"/>
      <c r="AI330" s="310"/>
      <c r="AJ330" s="30"/>
      <c r="AK330" s="310"/>
      <c r="AL330" s="30"/>
      <c r="AM330" s="310"/>
      <c r="AN330" s="30"/>
      <c r="AO330" s="310"/>
      <c r="AP330" s="30"/>
      <c r="AQ330" s="593"/>
      <c r="AR330" s="310"/>
      <c r="AS330" s="310"/>
      <c r="AT330" s="30"/>
      <c r="AU330" s="30"/>
      <c r="AV330" s="30"/>
      <c r="AW330" s="30"/>
      <c r="AX330" s="310"/>
      <c r="AY330" s="310"/>
      <c r="AZ330" s="30"/>
      <c r="BA330" s="318"/>
      <c r="BB330" s="310"/>
      <c r="BC330" s="318"/>
      <c r="BD330" s="318"/>
      <c r="BE330" s="318"/>
      <c r="BF330" s="310"/>
      <c r="BG330" s="30"/>
      <c r="BH330" s="318"/>
      <c r="BI330" s="318"/>
      <c r="BJ330" s="310"/>
      <c r="BK330" s="30"/>
      <c r="BL330" s="318"/>
      <c r="BM330" s="318"/>
      <c r="BN330" s="310"/>
      <c r="BO330" s="30"/>
      <c r="BP330" s="318"/>
      <c r="BQ330" s="318"/>
      <c r="BR330" s="318"/>
      <c r="BS330" s="310"/>
      <c r="BT330" s="30"/>
      <c r="BU330" s="318"/>
      <c r="BV330" s="318"/>
      <c r="BW330" s="318"/>
      <c r="BX330" s="310"/>
      <c r="BY330" s="30"/>
      <c r="BZ330" s="318"/>
      <c r="CA330" s="318"/>
      <c r="CB330" s="318"/>
      <c r="CC330" s="310"/>
      <c r="CD330" s="30"/>
      <c r="CE330" s="318"/>
      <c r="CF330" s="318"/>
      <c r="CG330" s="318"/>
      <c r="CH330" s="310"/>
      <c r="CI330" s="30"/>
      <c r="CJ330" s="318"/>
      <c r="CK330" s="318"/>
      <c r="CL330" s="310"/>
      <c r="CM330" s="30"/>
      <c r="CN330" s="318"/>
      <c r="CO330" s="310"/>
      <c r="CP330" s="30"/>
      <c r="CQ330" s="318"/>
      <c r="CR330" s="310"/>
      <c r="CS330" s="30"/>
      <c r="CT330" s="318"/>
      <c r="CU330" s="310"/>
      <c r="CV330" s="30"/>
      <c r="CW330" s="318"/>
      <c r="CX330" s="310"/>
      <c r="CY330" s="30"/>
      <c r="CZ330" s="318"/>
      <c r="DA330" s="310"/>
      <c r="DB330" s="30"/>
      <c r="DC330" s="318"/>
      <c r="DD330" s="310"/>
      <c r="DE330" s="30"/>
      <c r="DF330" s="318"/>
      <c r="DG330" s="310"/>
      <c r="DH330" s="30"/>
      <c r="DI330" s="318"/>
      <c r="DJ330" s="318"/>
      <c r="DK330" s="318"/>
      <c r="DL330" s="318"/>
    </row>
    <row r="331" spans="1:116">
      <c r="A331" s="310" t="str">
        <f>A149</f>
        <v>1Q</v>
      </c>
      <c r="B331" s="310" t="str">
        <f>B149</f>
        <v>Apr</v>
      </c>
      <c r="C331" s="30"/>
      <c r="D331" s="321"/>
      <c r="E331" s="308"/>
      <c r="F331" s="321"/>
      <c r="G331" s="317"/>
      <c r="H331" s="322">
        <v>0.66</v>
      </c>
      <c r="I331" s="589">
        <f>+(H331/H325-1)*100</f>
        <v>-20.481927710843362</v>
      </c>
      <c r="J331" s="322">
        <f>6.009+0.134</f>
        <v>6.1430000000000007</v>
      </c>
      <c r="K331" s="308">
        <f>+(J331/J325-1)*100</f>
        <v>0.67191084890201314</v>
      </c>
      <c r="L331" s="322">
        <f>3.758+0.168</f>
        <v>3.9260000000000002</v>
      </c>
      <c r="M331" s="308">
        <f>+(L331/L325-1)*100</f>
        <v>-0.58242593061533787</v>
      </c>
      <c r="N331" s="831">
        <f>+N328+(BT208*yrSales!$AD$216/1000000)+('store&amp;sf'!BU208*yrSales!AD$216/1000000)+BV332/4+BW332/4</f>
        <v>-0.7164999999999998</v>
      </c>
      <c r="O331" s="752">
        <f>+(N331/N325-1)*100</f>
        <v>63.397947548460664</v>
      </c>
      <c r="P331" s="831">
        <f>+P328+(BZ208*yrSales!$AC$217/1000000)</f>
        <v>0.15089999999999998</v>
      </c>
      <c r="Q331" s="752">
        <f>+(P331/P325-1)*100</f>
        <v>0</v>
      </c>
      <c r="R331" s="832">
        <f>+R328+(CD208*yrSales!$AC$218/1000000)+CE332/4+(CF208*yrSales!$AC$218/1000000)+('store&amp;sf'!$CG$304)/4</f>
        <v>2.8248000000000024</v>
      </c>
      <c r="S331" s="752">
        <f>+(R331/R325-1)*100</f>
        <v>-4.7863017392476559</v>
      </c>
      <c r="T331" s="831" t="e">
        <f>+T328+(CJ208*yrSales!AC291/1000000)+('store&amp;sf'!$CK$304/4)</f>
        <v>#DIV/0!</v>
      </c>
      <c r="U331" s="752" t="e">
        <f>+(T331/T325-1)*100</f>
        <v>#DIV/0!</v>
      </c>
      <c r="V331" s="322">
        <v>6.4000000000000001E-2</v>
      </c>
      <c r="W331" s="308">
        <f>+(V331/V325-1)*100</f>
        <v>23.076923076923084</v>
      </c>
      <c r="X331" s="1082">
        <v>0</v>
      </c>
      <c r="Y331" s="308"/>
      <c r="Z331" s="831">
        <f>+Z328</f>
        <v>0</v>
      </c>
      <c r="AA331" s="836">
        <f>+R331-R328</f>
        <v>-1.7749999999999932E-2</v>
      </c>
      <c r="AB331" s="322"/>
      <c r="AC331" s="308"/>
      <c r="AD331" s="307"/>
      <c r="AE331" s="308"/>
      <c r="AF331" s="307"/>
      <c r="AG331" s="308"/>
      <c r="AH331" s="307"/>
      <c r="AI331" s="308"/>
      <c r="AJ331" s="307"/>
      <c r="AK331" s="308"/>
      <c r="AL331" s="307"/>
      <c r="AM331" s="308"/>
      <c r="AN331" s="307"/>
      <c r="AO331" s="308"/>
      <c r="AP331" s="30"/>
      <c r="AQ331" s="455">
        <v>10.792999999999999</v>
      </c>
      <c r="AR331" s="308">
        <f>+(AQ331/AQ325-1)*100</f>
        <v>-1.280526845330654</v>
      </c>
      <c r="AS331" s="308"/>
      <c r="AT331" s="30"/>
      <c r="AU331" s="30"/>
      <c r="AV331" s="30"/>
      <c r="AW331" s="321"/>
      <c r="AX331" s="308"/>
      <c r="AY331" s="308"/>
      <c r="AZ331" s="321"/>
      <c r="BA331" s="317"/>
      <c r="BB331" s="308"/>
      <c r="BC331" s="317"/>
      <c r="BD331" s="317"/>
      <c r="BE331" s="317"/>
      <c r="BF331" s="308"/>
      <c r="BG331" s="322"/>
      <c r="BH331" s="317"/>
      <c r="BI331" s="317"/>
      <c r="BJ331" s="308"/>
      <c r="BK331" s="322"/>
      <c r="BL331" s="317"/>
      <c r="BM331" s="317"/>
      <c r="BN331" s="308"/>
      <c r="BO331" s="322"/>
      <c r="BP331" s="317"/>
      <c r="BQ331" s="317"/>
      <c r="BR331" s="317"/>
      <c r="BS331" s="308"/>
      <c r="BT331" s="322"/>
      <c r="BU331" s="317"/>
      <c r="BV331" s="317"/>
      <c r="BW331" s="317"/>
      <c r="BX331" s="308"/>
      <c r="BY331" s="322"/>
      <c r="BZ331" s="317"/>
      <c r="CA331" s="317"/>
      <c r="CB331" s="317"/>
      <c r="CC331" s="308"/>
      <c r="CD331" s="307"/>
      <c r="CE331" s="317"/>
      <c r="CF331" s="317"/>
      <c r="CG331" s="526"/>
      <c r="CH331" s="308"/>
      <c r="CI331" s="322"/>
      <c r="CJ331" s="317"/>
      <c r="CK331" s="317"/>
      <c r="CL331" s="308"/>
      <c r="CM331" s="322"/>
      <c r="CN331" s="317"/>
      <c r="CO331" s="308"/>
      <c r="CP331" s="322"/>
      <c r="CQ331" s="317"/>
      <c r="CR331" s="308"/>
      <c r="CS331" s="322"/>
      <c r="CT331" s="317"/>
      <c r="CU331" s="308"/>
      <c r="CV331" s="322"/>
      <c r="CW331" s="317"/>
      <c r="CX331" s="308"/>
      <c r="CY331" s="322"/>
      <c r="CZ331" s="317"/>
      <c r="DA331" s="308"/>
      <c r="DB331" s="322"/>
      <c r="DC331" s="317"/>
      <c r="DD331" s="308"/>
      <c r="DE331" s="322"/>
      <c r="DF331" s="317"/>
      <c r="DG331" s="308"/>
      <c r="DH331" s="322"/>
      <c r="DI331" s="317"/>
      <c r="DJ331" s="317"/>
      <c r="DK331" s="317"/>
      <c r="DL331" s="317"/>
    </row>
    <row r="332" spans="1:116">
      <c r="A332" s="310" t="str">
        <f>A150</f>
        <v>2Q</v>
      </c>
      <c r="B332" s="310" t="str">
        <f>B150</f>
        <v>Jul</v>
      </c>
      <c r="C332" s="30"/>
      <c r="D332" s="321"/>
      <c r="E332" s="308"/>
      <c r="F332" s="321"/>
      <c r="G332" s="317"/>
      <c r="H332" s="322">
        <v>0.64800000000000002</v>
      </c>
      <c r="I332" s="589">
        <f>+(H332/H326-1)*100</f>
        <v>-21.549636803874083</v>
      </c>
      <c r="J332" s="322">
        <f>6.057+0.134+0.01</f>
        <v>6.2010000000000005</v>
      </c>
      <c r="K332" s="308">
        <f>+(J332/J326-1)*100</f>
        <v>1.4727540500736547</v>
      </c>
      <c r="L332" s="322">
        <f>3.745+0.171</f>
        <v>3.9159999999999999</v>
      </c>
      <c r="M332" s="308">
        <f>+(L332/L326-1)*100</f>
        <v>-0.70993914807302438</v>
      </c>
      <c r="N332" s="831">
        <f>+N331+(BT209*yrSales!$AD$216/1000000)+('store&amp;sf'!BU209*yrSales!AD$216/1000000)+BV333/4+BW333/4</f>
        <v>-0.7164999999999998</v>
      </c>
      <c r="O332" s="752">
        <f>+(N332/N326-1)*100</f>
        <v>63.397947548460664</v>
      </c>
      <c r="P332" s="831">
        <f>+P331+(BZ209*yrSales!$AC$217/1000000)</f>
        <v>0.15089999999999998</v>
      </c>
      <c r="Q332" s="752">
        <f>+(P332/P326-1)*100</f>
        <v>0</v>
      </c>
      <c r="R332" s="832">
        <f>+R331+(CD209*yrSales!$AC$218/1000000)+CE333/4+(CF209*yrSales!$AC$218/1000000)+('store&amp;sf'!$CG$304)/4</f>
        <v>2.8070500000000025</v>
      </c>
      <c r="S332" s="752">
        <f>+(R332/R326-1)*100</f>
        <v>-4.8151099506620554</v>
      </c>
      <c r="T332" s="831" t="e">
        <f>+T331+(CJ209*yrSales!AC292/1000000)+('store&amp;sf'!$CK$304/4)</f>
        <v>#DIV/0!</v>
      </c>
      <c r="U332" s="752" t="e">
        <f>+(T332/T326-1)*100</f>
        <v>#DIV/0!</v>
      </c>
      <c r="V332" s="322">
        <v>7.0000000000000007E-2</v>
      </c>
      <c r="W332" s="308">
        <f>+(V332/V326-1)*100</f>
        <v>29.629629629629651</v>
      </c>
      <c r="X332" s="1082">
        <v>0</v>
      </c>
      <c r="Y332" s="308"/>
      <c r="Z332" s="831">
        <f>+Z331</f>
        <v>0</v>
      </c>
      <c r="AA332" s="836">
        <f>+R332-R329</f>
        <v>2.8070500000000025</v>
      </c>
      <c r="AB332" s="322"/>
      <c r="AC332" s="308"/>
      <c r="AD332" s="307"/>
      <c r="AE332" s="308"/>
      <c r="AF332" s="307"/>
      <c r="AG332" s="308"/>
      <c r="AH332" s="307"/>
      <c r="AI332" s="308"/>
      <c r="AJ332" s="307"/>
      <c r="AK332" s="308"/>
      <c r="AL332" s="307"/>
      <c r="AM332" s="308"/>
      <c r="AN332" s="307"/>
      <c r="AO332" s="308"/>
      <c r="AP332" s="30"/>
      <c r="AQ332" s="455">
        <f>H332+J332+L332+V332</f>
        <v>10.835000000000001</v>
      </c>
      <c r="AR332" s="308">
        <f>+(AQ332/AQ326-1)*100</f>
        <v>-0.92355523043159415</v>
      </c>
      <c r="AS332" s="308"/>
      <c r="AT332" s="30"/>
      <c r="AU332" s="918"/>
      <c r="AV332" s="30"/>
      <c r="AW332" s="321"/>
      <c r="AX332" s="308"/>
      <c r="AY332" s="308"/>
      <c r="AZ332" s="321"/>
      <c r="BA332" s="317"/>
      <c r="BB332" s="308"/>
      <c r="BC332" s="317"/>
      <c r="BD332" s="317"/>
      <c r="BE332" s="317"/>
      <c r="BF332" s="308"/>
      <c r="BG332" s="322"/>
      <c r="BH332" s="317"/>
      <c r="BI332" s="317"/>
      <c r="BJ332" s="308"/>
      <c r="BK332" s="322"/>
      <c r="BL332" s="317"/>
      <c r="BM332" s="317"/>
      <c r="BN332" s="308"/>
      <c r="BO332" s="322"/>
      <c r="BP332" s="317"/>
      <c r="BQ332" s="317"/>
      <c r="BR332" s="317"/>
      <c r="BS332" s="308"/>
      <c r="BT332" s="322"/>
      <c r="BU332" s="317"/>
      <c r="BV332" s="317"/>
      <c r="BW332" s="317"/>
      <c r="BX332" s="308"/>
      <c r="BY332" s="322"/>
      <c r="BZ332" s="317"/>
      <c r="CA332" s="317"/>
      <c r="CB332" s="317"/>
      <c r="CC332" s="308"/>
      <c r="CD332" s="326"/>
      <c r="CE332" s="317"/>
      <c r="CF332" s="317"/>
      <c r="CG332" s="317"/>
      <c r="CH332" s="308"/>
      <c r="CI332" s="322"/>
      <c r="CJ332" s="317"/>
      <c r="CK332" s="317"/>
      <c r="CL332" s="308"/>
      <c r="CM332" s="322"/>
      <c r="CN332" s="317"/>
      <c r="CO332" s="308"/>
      <c r="CP332" s="322"/>
      <c r="CQ332" s="317"/>
      <c r="CR332" s="308"/>
      <c r="CS332" s="322"/>
      <c r="CT332" s="317"/>
      <c r="CU332" s="308"/>
      <c r="CV332" s="322"/>
      <c r="CW332" s="317"/>
      <c r="CX332" s="308"/>
      <c r="CY332" s="322"/>
      <c r="CZ332" s="317"/>
      <c r="DA332" s="308"/>
      <c r="DB332" s="322"/>
      <c r="DC332" s="317"/>
      <c r="DD332" s="308"/>
      <c r="DE332" s="322"/>
      <c r="DF332" s="317"/>
      <c r="DG332" s="308"/>
      <c r="DH332" s="322"/>
      <c r="DI332" s="317"/>
      <c r="DJ332" s="317"/>
      <c r="DK332" s="317"/>
      <c r="DL332" s="317"/>
    </row>
    <row r="333" spans="1:116">
      <c r="A333" s="310" t="str">
        <f>A151</f>
        <v>3Q</v>
      </c>
      <c r="B333" s="310" t="str">
        <f>B151</f>
        <v>Oct</v>
      </c>
      <c r="C333" s="30"/>
      <c r="D333" s="321"/>
      <c r="E333" s="308"/>
      <c r="F333" s="321"/>
      <c r="G333" s="317"/>
      <c r="H333" s="322">
        <v>0.54900000000000004</v>
      </c>
      <c r="I333" s="589">
        <f>+(H333/H327-1)*100</f>
        <v>-33.535108958837768</v>
      </c>
      <c r="J333" s="322">
        <f>6.131+0.167+0.032</f>
        <v>6.33</v>
      </c>
      <c r="K333" s="308">
        <f>+(J333/J327-1)*100</f>
        <v>2.9770619814543542</v>
      </c>
      <c r="L333" s="322">
        <f>3.734+0.173</f>
        <v>3.907</v>
      </c>
      <c r="M333" s="308">
        <f>+(L333/L327-1)*100</f>
        <v>-0.96324461343472167</v>
      </c>
      <c r="N333" s="831">
        <f>+N332+(BT210*yrSales!$AD$216/1000000)+('store&amp;sf'!BU210*yrSales!AD$216/1000000)+BV334/4+BW334/4</f>
        <v>-0.85549999999999982</v>
      </c>
      <c r="O333" s="752">
        <f>+(N333/N327-1)*100</f>
        <v>48.138528138528173</v>
      </c>
      <c r="P333" s="831">
        <f>+P332+(BZ210*yrSales!$AC$217/1000000)</f>
        <v>0.15089999999999998</v>
      </c>
      <c r="Q333" s="752">
        <f>+(P333/P327-1)*100</f>
        <v>0</v>
      </c>
      <c r="R333" s="832">
        <f>+R332+(CD210*yrSales!$AC$218/1000000)+CE334/4+(CF210*yrSales!$AC$218/1000000)+('store&amp;sf'!$CG$304)/4</f>
        <v>2.7538000000000027</v>
      </c>
      <c r="S333" s="752">
        <f>+(R333/R327-1)*100</f>
        <v>-4.9036535672352883</v>
      </c>
      <c r="T333" s="831" t="e">
        <f>+T332+(CJ210*yrSales!AC293/1000000)+('store&amp;sf'!$CK$304/4)</f>
        <v>#DIV/0!</v>
      </c>
      <c r="U333" s="752" t="e">
        <f>+(T333/T327-1)*100</f>
        <v>#DIV/0!</v>
      </c>
      <c r="V333" s="322">
        <v>7.4999999999999997E-2</v>
      </c>
      <c r="W333" s="308">
        <f>+(V333/V327-1)*100</f>
        <v>27.118644067796605</v>
      </c>
      <c r="X333" s="1082">
        <v>3.2000000000000001E-2</v>
      </c>
      <c r="Y333" s="308"/>
      <c r="Z333" s="831">
        <f>+Z332</f>
        <v>0</v>
      </c>
      <c r="AA333" s="836">
        <f>+R333-R330</f>
        <v>2.7538000000000027</v>
      </c>
      <c r="AB333" s="322"/>
      <c r="AC333" s="308"/>
      <c r="AD333" s="307"/>
      <c r="AE333" s="308"/>
      <c r="AF333" s="307"/>
      <c r="AG333" s="308"/>
      <c r="AH333" s="307"/>
      <c r="AI333" s="308"/>
      <c r="AJ333" s="307"/>
      <c r="AK333" s="308"/>
      <c r="AL333" s="307"/>
      <c r="AM333" s="308"/>
      <c r="AN333" s="307"/>
      <c r="AO333" s="308"/>
      <c r="AP333" s="30"/>
      <c r="AQ333" s="455">
        <v>10.861000000000001</v>
      </c>
      <c r="AR333" s="308">
        <f>+(AQ333/AQ327-1)*100</f>
        <v>-1.0567550332513442</v>
      </c>
      <c r="AS333" s="308"/>
      <c r="AT333" s="30"/>
      <c r="AU333" s="30"/>
      <c r="AV333" s="30"/>
      <c r="AW333" s="302"/>
      <c r="AX333" s="302"/>
      <c r="AY333" s="308"/>
      <c r="AZ333" s="302"/>
      <c r="BA333" s="302"/>
      <c r="BB333" s="308"/>
      <c r="BC333" s="338"/>
      <c r="BD333" s="338"/>
      <c r="BE333" s="338"/>
      <c r="BF333" s="308"/>
      <c r="BG333" s="338"/>
      <c r="BH333" s="338"/>
      <c r="BI333" s="338"/>
      <c r="BJ333" s="308"/>
      <c r="BK333" s="302"/>
      <c r="BL333" s="302"/>
      <c r="BM333" s="302"/>
      <c r="BN333" s="308"/>
      <c r="BO333" s="302"/>
      <c r="BP333" s="302"/>
      <c r="BQ333" s="307"/>
      <c r="BR333" s="307"/>
      <c r="BS333" s="308"/>
      <c r="BT333" s="302"/>
      <c r="BU333" s="302"/>
      <c r="BV333" s="302"/>
      <c r="BW333" s="302"/>
      <c r="BX333" s="308"/>
      <c r="BY333" s="302"/>
      <c r="BZ333" s="302"/>
      <c r="CA333" s="302"/>
      <c r="CB333" s="302"/>
      <c r="CC333" s="308"/>
      <c r="CD333" s="302"/>
      <c r="CE333" s="302"/>
      <c r="CF333" s="302"/>
      <c r="CG333" s="302"/>
      <c r="CH333" s="308"/>
      <c r="CI333" s="302"/>
      <c r="CJ333" s="302"/>
      <c r="CK333" s="302"/>
      <c r="CL333" s="308"/>
      <c r="CM333" s="302"/>
      <c r="CN333" s="302"/>
      <c r="CO333" s="308"/>
      <c r="CP333" s="302"/>
      <c r="CQ333" s="302"/>
      <c r="CR333" s="308"/>
      <c r="CS333" s="302"/>
      <c r="CT333" s="302"/>
      <c r="CU333" s="308"/>
      <c r="CV333" s="302"/>
      <c r="CW333" s="302"/>
      <c r="CX333" s="308"/>
      <c r="CY333" s="302"/>
      <c r="CZ333" s="302"/>
      <c r="DA333" s="308"/>
      <c r="DB333" s="302"/>
      <c r="DC333" s="302"/>
      <c r="DD333" s="308"/>
      <c r="DE333" s="302"/>
      <c r="DF333" s="302"/>
      <c r="DG333" s="308"/>
      <c r="DH333" s="306"/>
      <c r="DI333" s="306"/>
      <c r="DJ333" s="306"/>
      <c r="DK333" s="306"/>
      <c r="DL333" s="321"/>
    </row>
    <row r="334" spans="1:116">
      <c r="A334" s="310" t="str">
        <f>A152</f>
        <v>4Q</v>
      </c>
      <c r="B334" s="310" t="str">
        <f>B152</f>
        <v>Jan</v>
      </c>
      <c r="C334" s="339"/>
      <c r="D334" s="321"/>
      <c r="E334" s="308"/>
      <c r="F334" s="321"/>
      <c r="G334" s="317"/>
      <c r="H334" s="1082">
        <v>0.50900000000000001</v>
      </c>
      <c r="I334" s="589">
        <f>+(H334/H328-1)*100</f>
        <v>-33.202099737532805</v>
      </c>
      <c r="J334" s="1082">
        <f>6.044+0.109+0.143+0.039+0.032</f>
        <v>6.3669999999999991</v>
      </c>
      <c r="K334" s="589">
        <f>+(J334/J328-1)*100</f>
        <v>3.1093117408906856</v>
      </c>
      <c r="L334" s="1082">
        <f>3.716+0.176</f>
        <v>3.8920000000000003</v>
      </c>
      <c r="M334" s="589">
        <f>+(L334/L328-1)*100</f>
        <v>-1.2683916793505667</v>
      </c>
      <c r="N334" s="833">
        <f>+N333+(BT211*yrSales!$AD$216/1000000)+('store&amp;sf'!BU211*yrSales!AD$216/1000000)+BV334/4+BW334/4</f>
        <v>-0.99449999999999983</v>
      </c>
      <c r="O334" s="834">
        <f>+(N334/N328-1)*100</f>
        <v>38.799720865317532</v>
      </c>
      <c r="P334" s="833">
        <f>+P333+(BZ211*yrSales!$AC$217/1000000)</f>
        <v>0.15089999999999998</v>
      </c>
      <c r="Q334" s="834">
        <f>+(P334/P328-1)*100</f>
        <v>0</v>
      </c>
      <c r="R334" s="835">
        <f>+R333+(CD211*yrSales!$AC$218/1000000)+CE334/4+(CF211*yrSales!$AC$218/1000000)+('store&amp;sf'!$CG$304)/4</f>
        <v>2.7005500000000029</v>
      </c>
      <c r="S334" s="834">
        <f>+(R334/R328-1)*100</f>
        <v>-4.9955145907723431</v>
      </c>
      <c r="T334" s="833" t="e">
        <f>+T333+(CJ211*yrSales!AC293/1000000)+('store&amp;sf'!$CK$304/4)</f>
        <v>#DIV/0!</v>
      </c>
      <c r="U334" s="834" t="e">
        <f>+(T334/T328-1)*100</f>
        <v>#DIV/0!</v>
      </c>
      <c r="V334" s="1082">
        <v>8.1000000000000003E-2</v>
      </c>
      <c r="W334" s="589">
        <f>+(V334/V328-1)*100</f>
        <v>26.5625</v>
      </c>
      <c r="X334" s="1082">
        <v>3.2000000000000001E-2</v>
      </c>
      <c r="Y334" s="589"/>
      <c r="Z334" s="833">
        <f>+Z333</f>
        <v>0</v>
      </c>
      <c r="AA334" s="836">
        <f>+R334-R331</f>
        <v>-0.12424999999999953</v>
      </c>
      <c r="AB334" s="314"/>
      <c r="AC334" s="308"/>
      <c r="AD334" s="307"/>
      <c r="AE334" s="308"/>
      <c r="AF334" s="307"/>
      <c r="AG334" s="308"/>
      <c r="AH334" s="307"/>
      <c r="AI334" s="308"/>
      <c r="AJ334" s="307"/>
      <c r="AK334" s="308"/>
      <c r="AL334" s="307"/>
      <c r="AM334" s="308"/>
      <c r="AN334" s="307"/>
      <c r="AO334" s="308"/>
      <c r="AP334" s="30"/>
      <c r="AQ334" s="455">
        <v>10.849</v>
      </c>
      <c r="AR334" s="308">
        <f>+(AQ334/AQ328-1)*100</f>
        <v>-0.84993602632059684</v>
      </c>
      <c r="AS334" s="308"/>
      <c r="AT334" s="30"/>
      <c r="AU334" s="429"/>
      <c r="AV334" s="30"/>
      <c r="AW334" s="341"/>
      <c r="AX334" s="341"/>
      <c r="AY334" s="24"/>
      <c r="AZ334" s="341"/>
      <c r="BA334" s="341"/>
      <c r="BB334" s="24"/>
      <c r="BC334" s="341">
        <v>0</v>
      </c>
      <c r="BD334" s="341">
        <f>0.144/44</f>
        <v>3.2727272727272726E-3</v>
      </c>
      <c r="BE334" s="341">
        <f>0/6</f>
        <v>0</v>
      </c>
      <c r="BF334" s="24"/>
      <c r="BG334" s="580">
        <f>+(0.027+0.061+0.043+0.009+0.031)/(3+18+5+2+2)</f>
        <v>5.7000000000000002E-3</v>
      </c>
      <c r="BH334" s="631">
        <f>0.094/24</f>
        <v>3.9166666666666664E-3</v>
      </c>
      <c r="BI334" s="340">
        <f>0.09/54</f>
        <v>1.6666666666666666E-3</v>
      </c>
      <c r="BJ334" s="581"/>
      <c r="BK334" s="580">
        <f>(0.01+0.007)/(4+3)</f>
        <v>2.4285714285714288E-3</v>
      </c>
      <c r="BL334" s="580">
        <f>+(0.055+0.001)/(24+1)</f>
        <v>2.2400000000000002E-3</v>
      </c>
      <c r="BM334" s="580">
        <f>-0.012/40</f>
        <v>-3.0000000000000003E-4</v>
      </c>
      <c r="BN334" s="581"/>
      <c r="BO334" s="580">
        <f>0.017/10</f>
        <v>1.7000000000000001E-3</v>
      </c>
      <c r="BP334" s="580">
        <v>0</v>
      </c>
      <c r="BQ334" s="580"/>
      <c r="BR334" s="580"/>
      <c r="BS334" s="581"/>
      <c r="BT334" s="580">
        <v>0</v>
      </c>
      <c r="BU334" s="580">
        <v>-0.17699999999999999</v>
      </c>
      <c r="BV334" s="580">
        <v>-0.55000000000000004</v>
      </c>
      <c r="BW334" s="580">
        <v>-6.0000000000000001E-3</v>
      </c>
      <c r="BX334" s="581"/>
      <c r="BY334" s="580">
        <v>0</v>
      </c>
      <c r="BZ334" s="580">
        <v>-0.129</v>
      </c>
      <c r="CA334" s="580">
        <v>0</v>
      </c>
      <c r="CB334" s="580">
        <v>0</v>
      </c>
      <c r="CC334" s="581"/>
      <c r="CD334" s="580">
        <v>1.2E-2</v>
      </c>
      <c r="CE334" s="580">
        <v>-0.14199999999999999</v>
      </c>
      <c r="CF334" s="580">
        <v>0.53800000000000003</v>
      </c>
      <c r="CG334" s="580">
        <v>-7.0999999999999994E-2</v>
      </c>
      <c r="CH334" s="581"/>
      <c r="CI334" s="580">
        <v>0</v>
      </c>
      <c r="CJ334" s="580">
        <v>-0.17299999999999999</v>
      </c>
      <c r="CK334" s="580">
        <v>-6.9000000000000006E-2</v>
      </c>
      <c r="CL334" s="581"/>
      <c r="CM334" s="580"/>
      <c r="CN334" s="580"/>
      <c r="CO334" s="581"/>
      <c r="CP334" s="340"/>
      <c r="CQ334" s="340"/>
      <c r="CR334" s="24"/>
      <c r="CS334" s="24"/>
      <c r="CT334" s="305"/>
      <c r="CU334" s="24"/>
      <c r="CV334" s="24"/>
      <c r="CW334" s="305"/>
      <c r="CX334" s="24"/>
      <c r="CY334" s="24"/>
      <c r="CZ334" s="305"/>
      <c r="DA334" s="24"/>
      <c r="DB334" s="24"/>
      <c r="DC334" s="305"/>
      <c r="DD334" s="24"/>
      <c r="DE334" s="24"/>
      <c r="DF334" s="305"/>
      <c r="DG334" s="24"/>
      <c r="DH334" s="342">
        <f>+BG334+BK334+BO334+BC334</f>
        <v>9.8285714285714296E-3</v>
      </c>
      <c r="DI334" s="342">
        <f>+BH334+BL334+BP334+BD334</f>
        <v>9.4293939393939388E-3</v>
      </c>
      <c r="DJ334" s="342">
        <f>+BI334+BM334</f>
        <v>1.3666666666666666E-3</v>
      </c>
      <c r="DK334" s="342">
        <f>+BJ334+BS334+CM334+BG334</f>
        <v>5.7000000000000002E-3</v>
      </c>
      <c r="DL334" s="630"/>
    </row>
    <row r="335" spans="1:116">
      <c r="A335" s="310"/>
      <c r="B335" s="310"/>
      <c r="C335" s="339"/>
      <c r="D335" s="321"/>
      <c r="E335" s="308"/>
      <c r="F335" s="321"/>
      <c r="G335" s="317"/>
      <c r="H335" s="1082"/>
      <c r="I335" s="589"/>
      <c r="J335" s="1082"/>
      <c r="K335" s="589"/>
      <c r="L335" s="1082"/>
      <c r="M335" s="589"/>
      <c r="N335" s="833"/>
      <c r="O335" s="834"/>
      <c r="P335" s="833"/>
      <c r="Q335" s="834"/>
      <c r="R335" s="835"/>
      <c r="S335" s="834"/>
      <c r="T335" s="833"/>
      <c r="U335" s="834"/>
      <c r="V335" s="1082"/>
      <c r="W335" s="589"/>
      <c r="X335" s="589"/>
      <c r="Y335" s="589"/>
      <c r="Z335" s="833"/>
      <c r="AA335" s="836"/>
      <c r="AB335" s="314"/>
      <c r="AC335" s="308"/>
      <c r="AD335" s="307"/>
      <c r="AE335" s="308"/>
      <c r="AF335" s="307"/>
      <c r="AG335" s="308"/>
      <c r="AH335" s="307"/>
      <c r="AI335" s="308"/>
      <c r="AJ335" s="307"/>
      <c r="AK335" s="308"/>
      <c r="AL335" s="307"/>
      <c r="AM335" s="308"/>
      <c r="AN335" s="307"/>
      <c r="AO335" s="308"/>
      <c r="AP335" s="30"/>
      <c r="AQ335" s="1095"/>
      <c r="AR335" s="308"/>
      <c r="AS335" s="308"/>
      <c r="AT335" s="30"/>
      <c r="AU335" s="429"/>
      <c r="AV335" s="30"/>
      <c r="AW335" s="341"/>
      <c r="AX335" s="341"/>
      <c r="AY335" s="24"/>
      <c r="AZ335" s="341"/>
      <c r="BA335" s="341"/>
      <c r="BB335" s="24"/>
      <c r="BC335" s="341"/>
      <c r="BD335" s="341"/>
      <c r="BE335" s="341"/>
      <c r="BF335" s="24"/>
      <c r="BG335" s="580"/>
      <c r="BH335" s="631"/>
      <c r="BI335" s="340"/>
      <c r="BJ335" s="581"/>
      <c r="BK335" s="580"/>
      <c r="BL335" s="580"/>
      <c r="BM335" s="580"/>
      <c r="BN335" s="581"/>
      <c r="BO335" s="580"/>
      <c r="BP335" s="580"/>
      <c r="BQ335" s="580"/>
      <c r="BR335" s="580"/>
      <c r="BS335" s="581"/>
      <c r="BT335" s="580"/>
      <c r="BU335" s="580"/>
      <c r="BV335" s="580"/>
      <c r="BW335" s="580"/>
      <c r="BX335" s="581"/>
      <c r="BY335" s="580"/>
      <c r="BZ335" s="580"/>
      <c r="CA335" s="580"/>
      <c r="CB335" s="580"/>
      <c r="CC335" s="581"/>
      <c r="CD335" s="580"/>
      <c r="CE335" s="580"/>
      <c r="CF335" s="580"/>
      <c r="CG335" s="580"/>
      <c r="CH335" s="581"/>
      <c r="CI335" s="580"/>
      <c r="CJ335" s="580"/>
      <c r="CK335" s="580"/>
      <c r="CL335" s="581"/>
      <c r="CM335" s="580"/>
      <c r="CN335" s="580"/>
      <c r="CO335" s="581"/>
      <c r="CP335" s="340"/>
      <c r="CQ335" s="340"/>
      <c r="CR335" s="24"/>
      <c r="CS335" s="24"/>
      <c r="CT335" s="305"/>
      <c r="CU335" s="24"/>
      <c r="CV335" s="24"/>
      <c r="CW335" s="305"/>
      <c r="CX335" s="24"/>
      <c r="CY335" s="24"/>
      <c r="CZ335" s="305"/>
      <c r="DA335" s="24"/>
      <c r="DB335" s="24"/>
      <c r="DC335" s="305"/>
      <c r="DD335" s="24"/>
      <c r="DE335" s="24"/>
      <c r="DF335" s="305"/>
      <c r="DG335" s="24"/>
      <c r="DH335" s="630"/>
      <c r="DI335" s="630"/>
      <c r="DJ335" s="630"/>
      <c r="DK335" s="630"/>
      <c r="DL335" s="630"/>
    </row>
    <row r="336" spans="1:116">
      <c r="A336" s="301"/>
      <c r="B336" s="312" t="str">
        <f>B154</f>
        <v>2013A</v>
      </c>
      <c r="C336" s="339"/>
      <c r="D336" s="321"/>
      <c r="E336" s="308"/>
      <c r="F336" s="321"/>
      <c r="G336" s="317"/>
      <c r="H336" s="1082"/>
      <c r="I336" s="589"/>
      <c r="J336" s="1082"/>
      <c r="K336" s="589"/>
      <c r="L336" s="1082"/>
      <c r="M336" s="589"/>
      <c r="N336" s="833"/>
      <c r="O336" s="834"/>
      <c r="P336" s="833"/>
      <c r="Q336" s="834"/>
      <c r="R336" s="835"/>
      <c r="S336" s="834"/>
      <c r="T336" s="833"/>
      <c r="U336" s="834"/>
      <c r="V336" s="1082"/>
      <c r="W336" s="589"/>
      <c r="X336" s="589"/>
      <c r="Y336" s="589"/>
      <c r="Z336" s="833"/>
      <c r="AA336" s="836"/>
      <c r="AB336" s="314"/>
      <c r="AC336" s="308"/>
      <c r="AD336" s="307"/>
      <c r="AE336" s="308"/>
      <c r="AF336" s="307"/>
      <c r="AG336" s="308"/>
      <c r="AH336" s="307"/>
      <c r="AI336" s="308"/>
      <c r="AJ336" s="307"/>
      <c r="AK336" s="308"/>
      <c r="AL336" s="307"/>
      <c r="AM336" s="308"/>
      <c r="AN336" s="307"/>
      <c r="AO336" s="308"/>
      <c r="AP336" s="30"/>
      <c r="AQ336" s="1095"/>
      <c r="AR336" s="308"/>
      <c r="AS336" s="308"/>
      <c r="AT336" s="30"/>
      <c r="AU336" s="429"/>
      <c r="AV336" s="30"/>
      <c r="AW336" s="341"/>
      <c r="AX336" s="341"/>
      <c r="AY336" s="24"/>
      <c r="AZ336" s="341"/>
      <c r="BA336" s="341"/>
      <c r="BB336" s="24"/>
      <c r="BC336" s="341"/>
      <c r="BD336" s="341"/>
      <c r="BE336" s="341"/>
      <c r="BF336" s="24"/>
      <c r="BG336" s="580"/>
      <c r="BH336" s="631"/>
      <c r="BI336" s="340"/>
      <c r="BJ336" s="581"/>
      <c r="BK336" s="580"/>
      <c r="BL336" s="580"/>
      <c r="BM336" s="580"/>
      <c r="BN336" s="581"/>
      <c r="BO336" s="580"/>
      <c r="BP336" s="580"/>
      <c r="BQ336" s="580"/>
      <c r="BR336" s="580"/>
      <c r="BS336" s="581"/>
      <c r="BT336" s="580"/>
      <c r="BU336" s="580"/>
      <c r="BV336" s="580"/>
      <c r="BW336" s="580"/>
      <c r="BX336" s="581"/>
      <c r="BY336" s="580"/>
      <c r="BZ336" s="580"/>
      <c r="CA336" s="580"/>
      <c r="CB336" s="580"/>
      <c r="CC336" s="581"/>
      <c r="CD336" s="580"/>
      <c r="CE336" s="580"/>
      <c r="CF336" s="580"/>
      <c r="CG336" s="580"/>
      <c r="CH336" s="581"/>
      <c r="CI336" s="580"/>
      <c r="CJ336" s="580"/>
      <c r="CK336" s="580"/>
      <c r="CL336" s="581"/>
      <c r="CM336" s="580"/>
      <c r="CN336" s="580"/>
      <c r="CO336" s="581"/>
      <c r="CP336" s="340"/>
      <c r="CQ336" s="340"/>
      <c r="CR336" s="24"/>
      <c r="CS336" s="24"/>
      <c r="CT336" s="305"/>
      <c r="CU336" s="24"/>
      <c r="CV336" s="24"/>
      <c r="CW336" s="305"/>
      <c r="CX336" s="24"/>
      <c r="CY336" s="24"/>
      <c r="CZ336" s="305"/>
      <c r="DA336" s="24"/>
      <c r="DB336" s="24"/>
      <c r="DC336" s="305"/>
      <c r="DD336" s="24"/>
      <c r="DE336" s="24"/>
      <c r="DF336" s="305"/>
      <c r="DG336" s="24"/>
      <c r="DH336" s="630"/>
      <c r="DI336" s="630"/>
      <c r="DJ336" s="630"/>
      <c r="DK336" s="630"/>
      <c r="DL336" s="630"/>
    </row>
    <row r="337" spans="1:116">
      <c r="A337" s="310" t="str">
        <f>A155</f>
        <v>1Q</v>
      </c>
      <c r="B337" s="310" t="str">
        <f>B155</f>
        <v>Apr</v>
      </c>
      <c r="C337" s="339"/>
      <c r="D337" s="321"/>
      <c r="E337" s="308"/>
      <c r="F337" s="321"/>
      <c r="G337" s="317"/>
      <c r="H337" s="322">
        <v>0.504</v>
      </c>
      <c r="I337" s="589">
        <f>+(H337/H331-1)*100</f>
        <v>-23.636363636363644</v>
      </c>
      <c r="J337" s="322">
        <f>6.149+0.182</f>
        <v>6.3310000000000004</v>
      </c>
      <c r="K337" s="308">
        <f>+(J337/J331-1)*100</f>
        <v>3.0603939443268668</v>
      </c>
      <c r="L337" s="322">
        <f>3.706+0.179</f>
        <v>3.8849999999999998</v>
      </c>
      <c r="M337" s="308">
        <f>+(L337/L331-1)*100</f>
        <v>-1.0443199184921093</v>
      </c>
      <c r="N337" s="831">
        <f>+N334+(BT214*yrSales!$AD$216/1000000)+('store&amp;sf'!BU214*yrSales!AD$216/1000000)+BV338/4+BW338/4</f>
        <v>-0.99449999999999983</v>
      </c>
      <c r="O337" s="752">
        <f>+(N337/N331-1)*100</f>
        <v>38.799720865317532</v>
      </c>
      <c r="P337" s="831">
        <f>+P334+(BZ214*yrSales!$AC$217/1000000)</f>
        <v>0.15089999999999998</v>
      </c>
      <c r="Q337" s="752">
        <f>+(P337/P331-1)*100</f>
        <v>0</v>
      </c>
      <c r="R337" s="832">
        <f>+R334+(CD214*yrSales!$AC$218/1000000)+CE338/4+(CF214*yrSales!$AC$218/1000000)+('store&amp;sf'!$CG$304)/4</f>
        <v>2.682800000000003</v>
      </c>
      <c r="S337" s="752">
        <f>+(R337/R331-1)*100</f>
        <v>-5.0269045596148203</v>
      </c>
      <c r="T337" s="831" t="e">
        <f>+T334+(CJ214*yrSales!AC297/1000000)+('store&amp;sf'!$CK$304/4)</f>
        <v>#DIV/0!</v>
      </c>
      <c r="U337" s="752" t="e">
        <f>+(T337/T331-1)*100</f>
        <v>#DIV/0!</v>
      </c>
      <c r="V337" s="322">
        <v>8.1000000000000003E-2</v>
      </c>
      <c r="W337" s="308">
        <f>+(V337/V331-1)*100</f>
        <v>26.5625</v>
      </c>
      <c r="X337" s="1082">
        <f>X334</f>
        <v>3.2000000000000001E-2</v>
      </c>
      <c r="Y337" s="308"/>
      <c r="Z337" s="831">
        <f>+Z334</f>
        <v>0</v>
      </c>
      <c r="AA337" s="836">
        <f>+R337-R334</f>
        <v>-1.7749999999999932E-2</v>
      </c>
      <c r="AB337" s="322"/>
      <c r="AC337" s="308"/>
      <c r="AD337" s="307"/>
      <c r="AE337" s="308"/>
      <c r="AF337" s="307"/>
      <c r="AG337" s="308"/>
      <c r="AH337" s="307"/>
      <c r="AI337" s="308"/>
      <c r="AJ337" s="307"/>
      <c r="AK337" s="308"/>
      <c r="AL337" s="307"/>
      <c r="AM337" s="308"/>
      <c r="AN337" s="307"/>
      <c r="AO337" s="308"/>
      <c r="AP337" s="30"/>
      <c r="AQ337" s="1126">
        <v>10.833</v>
      </c>
      <c r="AR337" s="308">
        <f>+(AQ337/AQ331-1)*100</f>
        <v>0.37061058093208477</v>
      </c>
      <c r="AS337" s="308"/>
      <c r="AT337" s="30"/>
      <c r="AU337" s="429"/>
      <c r="AV337" s="30"/>
      <c r="AW337" s="341"/>
      <c r="AX337" s="341"/>
      <c r="AY337" s="24"/>
      <c r="AZ337" s="341"/>
      <c r="BA337" s="341"/>
      <c r="BB337" s="24"/>
      <c r="BC337" s="341"/>
      <c r="BD337" s="341"/>
      <c r="BE337" s="341"/>
      <c r="BF337" s="24"/>
      <c r="BG337" s="580"/>
      <c r="BH337" s="631"/>
      <c r="BI337" s="340"/>
      <c r="BJ337" s="581"/>
      <c r="BK337" s="580"/>
      <c r="BL337" s="580"/>
      <c r="BM337" s="580"/>
      <c r="BN337" s="581"/>
      <c r="BO337" s="580"/>
      <c r="BP337" s="580"/>
      <c r="BQ337" s="580"/>
      <c r="BR337" s="580"/>
      <c r="BS337" s="581"/>
      <c r="BT337" s="580"/>
      <c r="BU337" s="580"/>
      <c r="BV337" s="580"/>
      <c r="BW337" s="580"/>
      <c r="BX337" s="581"/>
      <c r="BY337" s="580"/>
      <c r="BZ337" s="580"/>
      <c r="CA337" s="580"/>
      <c r="CB337" s="580"/>
      <c r="CC337" s="581"/>
      <c r="CD337" s="580"/>
      <c r="CE337" s="580"/>
      <c r="CF337" s="580"/>
      <c r="CG337" s="580"/>
      <c r="CH337" s="581"/>
      <c r="CI337" s="580"/>
      <c r="CJ337" s="580"/>
      <c r="CK337" s="580"/>
      <c r="CL337" s="581"/>
      <c r="CM337" s="580"/>
      <c r="CN337" s="580"/>
      <c r="CO337" s="581"/>
      <c r="CP337" s="340"/>
      <c r="CQ337" s="340"/>
      <c r="CR337" s="24"/>
      <c r="CS337" s="24"/>
      <c r="CT337" s="305"/>
      <c r="CU337" s="24"/>
      <c r="CV337" s="24"/>
      <c r="CW337" s="305"/>
      <c r="CX337" s="24"/>
      <c r="CY337" s="24"/>
      <c r="CZ337" s="305"/>
      <c r="DA337" s="24"/>
      <c r="DB337" s="24"/>
      <c r="DC337" s="305"/>
      <c r="DD337" s="24"/>
      <c r="DE337" s="24"/>
      <c r="DF337" s="305"/>
      <c r="DG337" s="24"/>
      <c r="DH337" s="630"/>
      <c r="DI337" s="630"/>
      <c r="DJ337" s="630"/>
      <c r="DK337" s="630"/>
      <c r="DL337" s="630"/>
    </row>
    <row r="338" spans="1:116">
      <c r="A338" s="310" t="str">
        <f>A156</f>
        <v>2Q</v>
      </c>
      <c r="B338" s="310" t="str">
        <f>B156</f>
        <v>Jul</v>
      </c>
      <c r="C338" s="339"/>
      <c r="D338" s="321"/>
      <c r="E338" s="308"/>
      <c r="F338" s="321"/>
      <c r="G338" s="317"/>
      <c r="H338" s="322">
        <v>0.501</v>
      </c>
      <c r="I338" s="589">
        <f>+(H338/H332-1)*100</f>
        <v>-22.685185185185187</v>
      </c>
      <c r="J338" s="322">
        <f>6.227+0.19</f>
        <v>6.4170000000000007</v>
      </c>
      <c r="K338" s="308">
        <f>+(J338/J332-1)*100</f>
        <v>3.4833091436865082</v>
      </c>
      <c r="L338" s="322">
        <f>3.692+0.19</f>
        <v>3.8820000000000001</v>
      </c>
      <c r="M338" s="308">
        <f>+(L338/L332-1)*100</f>
        <v>-0.86823289070480092</v>
      </c>
      <c r="N338" s="831">
        <f>+N337+(BT215*yrSales!$AD$216/1000000)+('store&amp;sf'!BU215*yrSales!AD$216/1000000)+BV339/4+BW339/4</f>
        <v>-0.99449999999999983</v>
      </c>
      <c r="O338" s="752">
        <f>+(N338/N332-1)*100</f>
        <v>38.799720865317532</v>
      </c>
      <c r="P338" s="831">
        <f>+P337+(BZ215*yrSales!$AC$217/1000000)</f>
        <v>0.15089999999999998</v>
      </c>
      <c r="Q338" s="752">
        <f>+(P338/P332-1)*100</f>
        <v>0</v>
      </c>
      <c r="R338" s="832">
        <f>+R337+(CD215*yrSales!$AC$218/1000000)+CE339/4+(CF215*yrSales!$AC$218/1000000)+('store&amp;sf'!$CG$304)/4</f>
        <v>2.665050000000003</v>
      </c>
      <c r="S338" s="752">
        <f>+(R338/R332-1)*100</f>
        <v>-5.0586915088794093</v>
      </c>
      <c r="T338" s="831" t="e">
        <f>+T337+(CJ215*yrSales!AC298/1000000)+('store&amp;sf'!$CK$304/4)</f>
        <v>#DIV/0!</v>
      </c>
      <c r="U338" s="752" t="e">
        <f>+(T338/T332-1)*100</f>
        <v>#DIV/0!</v>
      </c>
      <c r="V338" s="322">
        <v>8.1000000000000003E-2</v>
      </c>
      <c r="W338" s="308">
        <f>+(V338/V332-1)*100</f>
        <v>15.714285714285703</v>
      </c>
      <c r="X338" s="1082">
        <v>3.2000000000000001E-2</v>
      </c>
      <c r="Y338" s="308"/>
      <c r="Z338" s="831">
        <f>+Z337</f>
        <v>0</v>
      </c>
      <c r="AA338" s="836">
        <f>+R338-R335</f>
        <v>2.665050000000003</v>
      </c>
      <c r="AB338" s="322"/>
      <c r="AC338" s="308"/>
      <c r="AD338" s="307"/>
      <c r="AE338" s="308"/>
      <c r="AF338" s="307"/>
      <c r="AG338" s="308"/>
      <c r="AH338" s="307"/>
      <c r="AI338" s="308"/>
      <c r="AJ338" s="307"/>
      <c r="AK338" s="308"/>
      <c r="AL338" s="307"/>
      <c r="AM338" s="308"/>
      <c r="AN338" s="307"/>
      <c r="AO338" s="308"/>
      <c r="AP338" s="30"/>
      <c r="AQ338" s="1126">
        <v>10.913</v>
      </c>
      <c r="AR338" s="308">
        <f>+(AQ338/AQ332-1)*100</f>
        <v>0.71988924780801433</v>
      </c>
      <c r="AS338" s="308"/>
      <c r="AT338" s="30"/>
      <c r="AU338" s="429"/>
      <c r="AV338" s="30"/>
      <c r="AW338" s="341"/>
      <c r="AX338" s="341"/>
      <c r="AY338" s="24"/>
      <c r="AZ338" s="341"/>
      <c r="BA338" s="341"/>
      <c r="BB338" s="24"/>
      <c r="BC338" s="341"/>
      <c r="BD338" s="341"/>
      <c r="BE338" s="341"/>
      <c r="BF338" s="24"/>
      <c r="BG338" s="580"/>
      <c r="BH338" s="631"/>
      <c r="BI338" s="340"/>
      <c r="BJ338" s="581"/>
      <c r="BK338" s="580"/>
      <c r="BL338" s="580"/>
      <c r="BM338" s="580"/>
      <c r="BN338" s="581"/>
      <c r="BO338" s="580"/>
      <c r="BP338" s="580"/>
      <c r="BQ338" s="580"/>
      <c r="BR338" s="580"/>
      <c r="BS338" s="581"/>
      <c r="BT338" s="580"/>
      <c r="BU338" s="580"/>
      <c r="BV338" s="580"/>
      <c r="BW338" s="580"/>
      <c r="BX338" s="581"/>
      <c r="BY338" s="580"/>
      <c r="BZ338" s="580"/>
      <c r="CA338" s="580"/>
      <c r="CB338" s="580"/>
      <c r="CC338" s="581"/>
      <c r="CD338" s="580"/>
      <c r="CE338" s="580"/>
      <c r="CF338" s="580"/>
      <c r="CG338" s="580"/>
      <c r="CH338" s="581"/>
      <c r="CI338" s="580"/>
      <c r="CJ338" s="580"/>
      <c r="CK338" s="580"/>
      <c r="CL338" s="581"/>
      <c r="CM338" s="580"/>
      <c r="CN338" s="580"/>
      <c r="CO338" s="581"/>
      <c r="CP338" s="340"/>
      <c r="CQ338" s="340"/>
      <c r="CR338" s="24"/>
      <c r="CS338" s="24"/>
      <c r="CT338" s="305"/>
      <c r="CU338" s="24"/>
      <c r="CV338" s="24"/>
      <c r="CW338" s="305"/>
      <c r="CX338" s="24"/>
      <c r="CY338" s="24"/>
      <c r="CZ338" s="305"/>
      <c r="DA338" s="24"/>
      <c r="DB338" s="24"/>
      <c r="DC338" s="305"/>
      <c r="DD338" s="24"/>
      <c r="DE338" s="24"/>
      <c r="DF338" s="305"/>
      <c r="DG338" s="24"/>
      <c r="DH338" s="630"/>
      <c r="DI338" s="630"/>
      <c r="DJ338" s="630"/>
      <c r="DK338" s="630"/>
      <c r="DL338" s="630"/>
    </row>
    <row r="339" spans="1:116">
      <c r="A339" s="310" t="str">
        <f>A157</f>
        <v>3Q</v>
      </c>
      <c r="B339" s="310" t="str">
        <f>B157</f>
        <v>Oct</v>
      </c>
      <c r="C339" s="339"/>
      <c r="D339" s="321"/>
      <c r="E339" s="308"/>
      <c r="F339" s="321"/>
      <c r="G339" s="317"/>
      <c r="H339" s="322">
        <v>0.5</v>
      </c>
      <c r="I339" s="589">
        <f>+(H339/H333-1)*100</f>
        <v>-8.9253187613843377</v>
      </c>
      <c r="J339" s="322">
        <f>6.351+0.239+0.065</f>
        <v>6.6550000000000002</v>
      </c>
      <c r="K339" s="308">
        <f>+(J339/J333-1)*100</f>
        <v>5.1342812006319072</v>
      </c>
      <c r="L339" s="322">
        <f>3.698+0.194</f>
        <v>3.8919999999999999</v>
      </c>
      <c r="M339" s="308">
        <f>+(L339/L333-1)*100</f>
        <v>-0.38392628615305791</v>
      </c>
      <c r="N339" s="831">
        <f>+N338+(BT216*yrSales!$AD$216/1000000)+('store&amp;sf'!BU216*yrSales!AD$216/1000000)+BV340/4+BW340/4</f>
        <v>-1.1335</v>
      </c>
      <c r="O339" s="752">
        <f>+(N339/N333-1)*100</f>
        <v>32.495616598480439</v>
      </c>
      <c r="P339" s="831">
        <f>+P338+(BZ216*yrSales!$AC$217/1000000)</f>
        <v>0.15089999999999998</v>
      </c>
      <c r="Q339" s="752">
        <f>+(P339/P333-1)*100</f>
        <v>0</v>
      </c>
      <c r="R339" s="832">
        <f>+R338+(CD216*yrSales!$AC$218/1000000)+CE340/4+(CF216*yrSales!$AC$218/1000000)+('store&amp;sf'!$CG$304)/4</f>
        <v>2.6118000000000032</v>
      </c>
      <c r="S339" s="752">
        <f>+(R339/R333-1)*100</f>
        <v>-5.1565110029776822</v>
      </c>
      <c r="T339" s="831" t="e">
        <f>+T338+(CJ216*yrSales!AC299/1000000)+('store&amp;sf'!$CK$304/4)</f>
        <v>#DIV/0!</v>
      </c>
      <c r="U339" s="752" t="e">
        <f>+(T339/T333-1)*100</f>
        <v>#DIV/0!</v>
      </c>
      <c r="V339" s="322">
        <v>8.1000000000000003E-2</v>
      </c>
      <c r="W339" s="308">
        <f>+(V339/V333-1)*100</f>
        <v>8.0000000000000071</v>
      </c>
      <c r="X339" s="1082">
        <v>6.5000000000000002E-2</v>
      </c>
      <c r="Y339" s="308"/>
      <c r="Z339" s="831">
        <f>+Z338</f>
        <v>0</v>
      </c>
      <c r="AA339" s="836">
        <f>+R339-R336</f>
        <v>2.6118000000000032</v>
      </c>
      <c r="AB339" s="322"/>
      <c r="AC339" s="308"/>
      <c r="AD339" s="307"/>
      <c r="AE339" s="308"/>
      <c r="AF339" s="307"/>
      <c r="AG339" s="308"/>
      <c r="AH339" s="307"/>
      <c r="AI339" s="308"/>
      <c r="AJ339" s="307"/>
      <c r="AK339" s="308"/>
      <c r="AL339" s="307"/>
      <c r="AM339" s="308"/>
      <c r="AN339" s="307"/>
      <c r="AO339" s="308"/>
      <c r="AP339" s="30"/>
      <c r="AQ339" s="1126">
        <f>H339+J339+L339+V339</f>
        <v>11.128</v>
      </c>
      <c r="AR339" s="308">
        <f>+(AQ339/AQ333-1)*100</f>
        <v>2.4583371696897061</v>
      </c>
      <c r="AS339" s="308"/>
      <c r="AT339" s="30"/>
      <c r="AU339" s="429"/>
      <c r="AV339" s="30"/>
      <c r="AW339" s="341"/>
      <c r="AX339" s="341"/>
      <c r="AY339" s="24"/>
      <c r="AZ339" s="341"/>
      <c r="BA339" s="341"/>
      <c r="BB339" s="24"/>
      <c r="BC339" s="338"/>
      <c r="BD339" s="338"/>
      <c r="BE339" s="338"/>
      <c r="BF339" s="308"/>
      <c r="BG339" s="338"/>
      <c r="BH339" s="338"/>
      <c r="BI339" s="338"/>
      <c r="BJ339" s="308"/>
      <c r="BK339" s="302"/>
      <c r="BL339" s="302"/>
      <c r="BM339" s="302"/>
      <c r="BN339" s="308"/>
      <c r="BO339" s="302"/>
      <c r="BP339" s="302"/>
      <c r="BQ339" s="307"/>
      <c r="BR339" s="307"/>
      <c r="BS339" s="308"/>
      <c r="BT339" s="302"/>
      <c r="BU339" s="302"/>
      <c r="BV339" s="302"/>
      <c r="BW339" s="302"/>
      <c r="BX339" s="308"/>
      <c r="BY339" s="302"/>
      <c r="BZ339" s="302"/>
      <c r="CA339" s="302"/>
      <c r="CB339" s="302"/>
      <c r="CC339" s="308"/>
      <c r="CD339" s="302"/>
      <c r="CE339" s="302"/>
      <c r="CF339" s="302"/>
      <c r="CG339" s="302"/>
      <c r="CH339" s="308"/>
      <c r="CI339" s="302"/>
      <c r="CJ339" s="302"/>
      <c r="CK339" s="302"/>
      <c r="CL339" s="308"/>
      <c r="CM339" s="302"/>
      <c r="CN339" s="302"/>
      <c r="CO339" s="308"/>
      <c r="CP339" s="302"/>
      <c r="CQ339" s="302"/>
      <c r="CR339" s="308"/>
      <c r="CS339" s="302"/>
      <c r="CT339" s="302"/>
      <c r="CU339" s="308"/>
      <c r="CV339" s="302"/>
      <c r="CW339" s="302"/>
      <c r="CX339" s="308"/>
      <c r="CY339" s="302"/>
      <c r="CZ339" s="302"/>
      <c r="DA339" s="308"/>
      <c r="DB339" s="302"/>
      <c r="DC339" s="302"/>
      <c r="DD339" s="308"/>
      <c r="DE339" s="302"/>
      <c r="DF339" s="302"/>
      <c r="DG339" s="308"/>
      <c r="DH339" s="306"/>
      <c r="DI339" s="306"/>
      <c r="DJ339" s="306"/>
      <c r="DK339" s="306"/>
      <c r="DL339" s="630"/>
    </row>
    <row r="340" spans="1:116">
      <c r="A340" s="310" t="str">
        <f>A158</f>
        <v>4Q</v>
      </c>
      <c r="B340" s="310" t="str">
        <f>B158</f>
        <v>Jan</v>
      </c>
      <c r="C340" s="24"/>
      <c r="D340" s="24"/>
      <c r="E340" s="24"/>
      <c r="F340" s="24"/>
      <c r="G340" s="305"/>
      <c r="H340" s="1082">
        <v>0.5</v>
      </c>
      <c r="I340" s="589">
        <f>+(H340/H334-1)*100</f>
        <v>-1.7681728880157177</v>
      </c>
      <c r="J340" s="1082">
        <f>6.107+0.272+0.227+0.039+0.065</f>
        <v>6.7100000000000009</v>
      </c>
      <c r="K340" s="589">
        <f>+(J340/J334-1)*100</f>
        <v>5.3871525051044644</v>
      </c>
      <c r="L340" s="1082">
        <f>3.684+0.194</f>
        <v>3.8780000000000001</v>
      </c>
      <c r="M340" s="589">
        <f>+(L340/L334-1)*100</f>
        <v>-0.3597122302158362</v>
      </c>
      <c r="N340" s="833">
        <f>+N339+(BT217*yrSales!$AD$216/1000000)+('store&amp;sf'!BU217*yrSales!AD$216/1000000)+BV340/4+BW340/4</f>
        <v>-1.2725</v>
      </c>
      <c r="O340" s="834">
        <f>+(N340/N334-1)*100</f>
        <v>27.953745600804435</v>
      </c>
      <c r="P340" s="833">
        <f>+P339+(BZ217*yrSales!$AC$217/1000000)</f>
        <v>0.15089999999999998</v>
      </c>
      <c r="Q340" s="834">
        <f>+(P340/P334-1)*100</f>
        <v>0</v>
      </c>
      <c r="R340" s="835">
        <f>+R339+(CD217*yrSales!$AC$218/1000000)+CE340/4+(CF217*yrSales!$AC$218/1000000)+('store&amp;sf'!$CG$304)/4</f>
        <v>2.5585500000000034</v>
      </c>
      <c r="S340" s="834">
        <f>+(R340/R334-1)*100</f>
        <v>-5.2581881468589442</v>
      </c>
      <c r="T340" s="833" t="e">
        <f>+T339+(CJ217*yrSales!AC299/1000000)+('store&amp;sf'!$CK$304/4)</f>
        <v>#DIV/0!</v>
      </c>
      <c r="U340" s="834" t="e">
        <f>+(T340/T334-1)*100</f>
        <v>#DIV/0!</v>
      </c>
      <c r="V340" s="1082">
        <v>8.1000000000000003E-2</v>
      </c>
      <c r="W340" s="589">
        <f>+(V340/V334-1)*100</f>
        <v>0</v>
      </c>
      <c r="X340" s="1082">
        <v>6.5000000000000002E-2</v>
      </c>
      <c r="Y340" s="589"/>
      <c r="Z340" s="833">
        <f>+Z339</f>
        <v>0</v>
      </c>
      <c r="AA340" s="836">
        <f>+R340-R337</f>
        <v>-0.12424999999999953</v>
      </c>
      <c r="AB340" s="314"/>
      <c r="AC340" s="308"/>
      <c r="AD340" s="307"/>
      <c r="AE340" s="308"/>
      <c r="AF340" s="307"/>
      <c r="AG340" s="308"/>
      <c r="AH340" s="307"/>
      <c r="AI340" s="308"/>
      <c r="AJ340" s="307"/>
      <c r="AK340" s="308"/>
      <c r="AL340" s="307"/>
      <c r="AM340" s="308"/>
      <c r="AN340" s="307"/>
      <c r="AO340" s="308"/>
      <c r="AP340" s="30"/>
      <c r="AQ340" s="1126">
        <v>11.169</v>
      </c>
      <c r="AR340" s="308">
        <f>+(AQ340/AQ334-1)*100</f>
        <v>2.9495806065075181</v>
      </c>
      <c r="AS340" s="30"/>
      <c r="AT340" s="24"/>
      <c r="AU340" s="24"/>
      <c r="AV340" s="24"/>
      <c r="AW340" s="30"/>
      <c r="AX340" s="30"/>
      <c r="AY340" s="30"/>
      <c r="AZ340" s="30"/>
      <c r="BA340" s="320"/>
      <c r="BB340" s="30"/>
      <c r="BC340" s="341">
        <v>0</v>
      </c>
      <c r="BD340" s="341">
        <f>0.003/9</f>
        <v>3.3333333333333332E-4</v>
      </c>
      <c r="BE340" s="341">
        <f>-0.007/5</f>
        <v>-1.4E-3</v>
      </c>
      <c r="BF340" s="24"/>
      <c r="BG340" s="580">
        <f>+(0.031+0.174+0.087+0.032)/(5+49+8+3)</f>
        <v>4.9846153846153842E-3</v>
      </c>
      <c r="BH340" s="631">
        <f>(0.083)/18</f>
        <v>4.611111111111111E-3</v>
      </c>
      <c r="BI340" s="340">
        <f>0.096/89</f>
        <v>1.0786516853932586E-3</v>
      </c>
      <c r="BJ340" s="581"/>
      <c r="BK340" s="580">
        <f>(0.07)/(7+8)</f>
        <v>4.6666666666666671E-3</v>
      </c>
      <c r="BL340" s="580">
        <f>+(0.058+0.001)/(26+1)</f>
        <v>2.1851851851851854E-3</v>
      </c>
      <c r="BM340" s="580">
        <f>0.004/58</f>
        <v>6.8965517241379313E-5</v>
      </c>
      <c r="BN340" s="581"/>
      <c r="BO340" s="580">
        <v>0</v>
      </c>
      <c r="BP340" s="580">
        <v>0</v>
      </c>
      <c r="BQ340" s="580">
        <f>+(0.031+0.174+0.087+0.032)/(5+49+8+3)</f>
        <v>4.9846153846153842E-3</v>
      </c>
      <c r="BR340" s="580"/>
      <c r="BS340" s="581"/>
      <c r="BT340" s="580">
        <v>0</v>
      </c>
      <c r="BU340" s="580">
        <v>-0.17699999999999999</v>
      </c>
      <c r="BV340" s="580">
        <v>-0.55000000000000004</v>
      </c>
      <c r="BW340" s="580">
        <v>-6.0000000000000001E-3</v>
      </c>
      <c r="BX340" s="581"/>
      <c r="BY340" s="580">
        <v>0</v>
      </c>
      <c r="BZ340" s="580">
        <v>-0.129</v>
      </c>
      <c r="CA340" s="580">
        <v>0</v>
      </c>
      <c r="CB340" s="580">
        <v>0</v>
      </c>
      <c r="CC340" s="581"/>
      <c r="CD340" s="580">
        <v>1.2E-2</v>
      </c>
      <c r="CE340" s="580">
        <v>-0.14199999999999999</v>
      </c>
      <c r="CF340" s="580">
        <v>0.53800000000000003</v>
      </c>
      <c r="CG340" s="580">
        <v>-7.0999999999999994E-2</v>
      </c>
      <c r="CH340" s="581"/>
      <c r="CI340" s="580">
        <v>0</v>
      </c>
      <c r="CJ340" s="580">
        <v>-0.17299999999999999</v>
      </c>
      <c r="CK340" s="580">
        <v>-6.9000000000000006E-2</v>
      </c>
      <c r="CL340" s="581"/>
      <c r="CM340" s="580"/>
      <c r="CN340" s="580"/>
      <c r="CO340" s="581"/>
      <c r="CP340" s="340"/>
      <c r="CQ340" s="340"/>
      <c r="CR340" s="24"/>
      <c r="CS340" s="24"/>
      <c r="CT340" s="305"/>
      <c r="CU340" s="24"/>
      <c r="CV340" s="24"/>
      <c r="CW340" s="305"/>
      <c r="CX340" s="24"/>
      <c r="CY340" s="24"/>
      <c r="CZ340" s="305"/>
      <c r="DA340" s="24"/>
      <c r="DB340" s="24"/>
      <c r="DC340" s="305"/>
      <c r="DD340" s="24"/>
      <c r="DE340" s="24"/>
      <c r="DF340" s="305"/>
      <c r="DG340" s="24"/>
      <c r="DH340" s="342">
        <f>+BG340+BK340+BO340+BC340</f>
        <v>9.6512820512820521E-3</v>
      </c>
      <c r="DI340" s="342">
        <f>+BH340+BL340+BP340+BD340</f>
        <v>7.1296296296296299E-3</v>
      </c>
      <c r="DJ340" s="342">
        <f>+BI340+BM340</f>
        <v>1.1476172026346379E-3</v>
      </c>
      <c r="DK340" s="342">
        <f>+BJ340+BS340+CM340+BG340</f>
        <v>4.9846153846153842E-3</v>
      </c>
      <c r="DL340" s="320"/>
    </row>
    <row r="341" spans="1:116">
      <c r="A341" s="310"/>
      <c r="B341" s="310"/>
      <c r="C341" s="24"/>
      <c r="D341" s="24"/>
      <c r="E341" s="24"/>
      <c r="F341" s="24"/>
      <c r="G341" s="305"/>
      <c r="H341" s="923"/>
      <c r="I341" s="662"/>
      <c r="J341" s="929"/>
      <c r="K341" s="662"/>
      <c r="L341" s="922"/>
      <c r="M341" s="168"/>
      <c r="N341" s="663"/>
      <c r="O341" s="168"/>
      <c r="P341" s="663"/>
      <c r="Q341" s="168"/>
      <c r="R341" s="664"/>
      <c r="S341" s="168"/>
      <c r="T341" s="663"/>
      <c r="U341" s="168"/>
      <c r="V341" s="168"/>
      <c r="W341" s="168"/>
      <c r="X341" s="168"/>
      <c r="Y341" s="168"/>
      <c r="Z341" s="663"/>
      <c r="AA341" s="24"/>
      <c r="AB341" s="24"/>
      <c r="AC341" s="24"/>
      <c r="AD341" s="24"/>
      <c r="AE341" s="24"/>
      <c r="AF341" s="30"/>
      <c r="AG341" s="30"/>
      <c r="AH341" s="30"/>
      <c r="AI341" s="30"/>
      <c r="AJ341" s="30"/>
      <c r="AK341" s="30"/>
      <c r="AL341" s="30"/>
      <c r="AM341" s="30"/>
      <c r="AN341" s="30"/>
      <c r="AO341" s="30"/>
      <c r="AP341" s="24"/>
      <c r="AQ341" s="593"/>
      <c r="AR341" s="30"/>
      <c r="AS341" s="30"/>
      <c r="AT341" s="24"/>
      <c r="AU341" s="24"/>
      <c r="AV341" s="24"/>
      <c r="AW341" s="30"/>
      <c r="AX341" s="30"/>
      <c r="AY341" s="30"/>
      <c r="AZ341" s="30"/>
      <c r="BA341" s="320"/>
      <c r="BB341" s="30"/>
      <c r="BC341" s="320"/>
      <c r="BD341" s="320"/>
      <c r="BE341" s="320"/>
      <c r="BF341" s="30"/>
      <c r="BG341" s="419"/>
      <c r="BH341" s="320"/>
      <c r="BI341" s="320"/>
      <c r="BJ341" s="30"/>
      <c r="BK341" s="30"/>
      <c r="BL341" s="320"/>
      <c r="BM341" s="320"/>
      <c r="BN341" s="30"/>
      <c r="BO341" s="30"/>
      <c r="BP341" s="320"/>
      <c r="BQ341" s="320"/>
      <c r="BR341" s="320"/>
      <c r="BS341" s="30"/>
      <c r="BT341" s="30"/>
      <c r="BU341" s="320"/>
      <c r="BV341" s="658"/>
      <c r="BW341" s="320"/>
      <c r="BX341" s="30"/>
      <c r="BY341" s="30"/>
      <c r="BZ341" s="320"/>
      <c r="CA341" s="320"/>
      <c r="CB341" s="320"/>
      <c r="CC341" s="30"/>
      <c r="CD341" s="30"/>
      <c r="CE341" s="320"/>
      <c r="CF341" s="320"/>
      <c r="CG341" s="320"/>
      <c r="CH341" s="30"/>
      <c r="CI341" s="30"/>
      <c r="CJ341" s="320"/>
      <c r="CK341" s="320"/>
      <c r="CL341" s="30"/>
      <c r="CM341" s="30"/>
      <c r="CN341" s="320"/>
      <c r="CO341" s="30"/>
      <c r="CP341" s="30"/>
      <c r="CQ341" s="320"/>
      <c r="CR341" s="30"/>
      <c r="CS341" s="30"/>
      <c r="CT341" s="320"/>
      <c r="CU341" s="30"/>
      <c r="CV341" s="30"/>
      <c r="CW341" s="320"/>
      <c r="CX341" s="30"/>
      <c r="CY341" s="30"/>
      <c r="CZ341" s="320"/>
      <c r="DA341" s="30"/>
      <c r="DB341" s="30"/>
      <c r="DC341" s="320"/>
      <c r="DD341" s="30"/>
      <c r="DE341" s="30"/>
      <c r="DF341" s="320"/>
      <c r="DG341" s="30"/>
      <c r="DH341" s="24"/>
      <c r="DI341" s="320"/>
      <c r="DJ341" s="320"/>
      <c r="DK341" s="320"/>
      <c r="DL341" s="320"/>
    </row>
    <row r="342" spans="1:116">
      <c r="A342" s="301"/>
      <c r="B342" s="312" t="str">
        <f>B160</f>
        <v>2014A</v>
      </c>
      <c r="C342" s="339"/>
      <c r="D342" s="321"/>
      <c r="E342" s="308"/>
      <c r="F342" s="321"/>
      <c r="G342" s="317"/>
      <c r="H342" s="1082"/>
      <c r="I342" s="589"/>
      <c r="J342" s="1082"/>
      <c r="K342" s="589"/>
      <c r="L342" s="1082"/>
      <c r="M342" s="589"/>
      <c r="N342" s="833"/>
      <c r="O342" s="834"/>
      <c r="P342" s="833"/>
      <c r="Q342" s="834"/>
      <c r="R342" s="835"/>
      <c r="S342" s="834"/>
      <c r="T342" s="833"/>
      <c r="U342" s="834"/>
      <c r="V342" s="1082"/>
      <c r="W342" s="589"/>
      <c r="X342" s="589"/>
      <c r="Y342" s="589"/>
      <c r="Z342" s="833"/>
      <c r="AA342" s="836"/>
      <c r="AB342" s="314"/>
      <c r="AC342" s="308"/>
      <c r="AD342" s="307"/>
      <c r="AE342" s="308"/>
      <c r="AF342" s="307"/>
      <c r="AG342" s="308"/>
      <c r="AH342" s="307"/>
      <c r="AI342" s="308"/>
      <c r="AJ342" s="307"/>
      <c r="AK342" s="308"/>
      <c r="AL342" s="307"/>
      <c r="AM342" s="308"/>
      <c r="AN342" s="307"/>
      <c r="AO342" s="308"/>
      <c r="AP342" s="30"/>
      <c r="AQ342" s="1095"/>
      <c r="AR342" s="308"/>
      <c r="AS342" s="308"/>
      <c r="AT342" s="30"/>
      <c r="AU342" s="429"/>
      <c r="AV342" s="30"/>
      <c r="AW342" s="341"/>
      <c r="AX342" s="341"/>
      <c r="AY342" s="24"/>
      <c r="AZ342" s="341"/>
      <c r="BA342" s="341"/>
      <c r="BB342" s="24"/>
      <c r="BC342" s="341"/>
      <c r="BD342" s="341"/>
      <c r="BE342" s="341"/>
      <c r="BF342" s="24"/>
      <c r="BG342" s="580"/>
      <c r="BH342" s="631"/>
      <c r="BI342" s="340"/>
      <c r="BJ342" s="581"/>
      <c r="BK342" s="580"/>
      <c r="BL342" s="580"/>
      <c r="BM342" s="580"/>
      <c r="BN342" s="581"/>
      <c r="BO342" s="580"/>
      <c r="BP342" s="580"/>
      <c r="BQ342" s="580"/>
      <c r="BR342" s="580"/>
      <c r="BS342" s="581"/>
      <c r="BT342" s="580"/>
      <c r="BU342" s="580"/>
      <c r="BV342" s="580"/>
      <c r="BW342" s="580"/>
      <c r="BX342" s="581"/>
      <c r="BY342" s="580"/>
      <c r="BZ342" s="580"/>
      <c r="CA342" s="580"/>
      <c r="CB342" s="580"/>
      <c r="CC342" s="581"/>
      <c r="CD342" s="580"/>
      <c r="CE342" s="580"/>
      <c r="CF342" s="580"/>
      <c r="CG342" s="580"/>
      <c r="CH342" s="581"/>
      <c r="CI342" s="580"/>
      <c r="CJ342" s="580"/>
      <c r="CK342" s="580"/>
      <c r="CL342" s="581"/>
      <c r="CM342" s="580"/>
      <c r="CN342" s="580"/>
      <c r="CO342" s="581"/>
      <c r="CP342" s="340"/>
      <c r="CQ342" s="340"/>
      <c r="CR342" s="24"/>
      <c r="CS342" s="24"/>
      <c r="CT342" s="305"/>
      <c r="CU342" s="24"/>
      <c r="CV342" s="24"/>
      <c r="CW342" s="305"/>
      <c r="CX342" s="24"/>
      <c r="CY342" s="24"/>
      <c r="CZ342" s="305"/>
      <c r="DA342" s="24"/>
      <c r="DB342" s="24"/>
      <c r="DC342" s="305"/>
      <c r="DD342" s="24"/>
      <c r="DE342" s="24"/>
      <c r="DF342" s="305"/>
      <c r="DG342" s="24"/>
      <c r="DH342" s="630"/>
      <c r="DI342" s="630"/>
      <c r="DJ342" s="630"/>
      <c r="DK342" s="630"/>
      <c r="DL342" s="630"/>
    </row>
    <row r="343" spans="1:116">
      <c r="A343" s="310" t="str">
        <f>A161</f>
        <v>1Q</v>
      </c>
      <c r="B343" s="310" t="str">
        <f>B161</f>
        <v>Apr</v>
      </c>
      <c r="C343" s="339"/>
      <c r="D343" s="321"/>
      <c r="E343" s="308"/>
      <c r="F343" s="321"/>
      <c r="G343" s="317"/>
      <c r="H343" s="1372">
        <v>0.48099999999999998</v>
      </c>
      <c r="I343" s="589">
        <f>+(H343/H337-1)*100</f>
        <v>-4.5634920634920695</v>
      </c>
      <c r="J343" s="1372">
        <f>6.408+0.277</f>
        <v>6.6850000000000005</v>
      </c>
      <c r="K343" s="308">
        <f>+(J343/J337-1)*100</f>
        <v>5.5915337229505591</v>
      </c>
      <c r="L343" s="1372">
        <f>3.668+0.199</f>
        <v>3.867</v>
      </c>
      <c r="M343" s="308">
        <f>+(L343/L337-1)*100</f>
        <v>-0.46332046332046017</v>
      </c>
      <c r="N343" s="831">
        <f>+N340+(BT220*yrSales!$AD$216/1000000)+('store&amp;sf'!BU220*yrSales!AD$216/1000000)+BV344/4+BW344/4</f>
        <v>-1.2725</v>
      </c>
      <c r="O343" s="752">
        <f>+(N343/N337-1)*100</f>
        <v>27.953745600804435</v>
      </c>
      <c r="P343" s="831">
        <f>+P340+(BZ220*yrSales!$AC$217/1000000)</f>
        <v>0.15089999999999998</v>
      </c>
      <c r="Q343" s="752">
        <f>+(P343/P337-1)*100</f>
        <v>0</v>
      </c>
      <c r="R343" s="832">
        <f>+R340+(CD220*yrSales!$AC$218/1000000)+CE344/4+(CF220*yrSales!$AC$218/1000000)+('store&amp;sf'!$CG$304)/4</f>
        <v>2.5408000000000035</v>
      </c>
      <c r="S343" s="752">
        <f>+(R343/R337-1)*100</f>
        <v>-5.2929774862084162</v>
      </c>
      <c r="T343" s="831" t="e">
        <f>+T340+(CJ220*yrSales!AC303/1000000)+('store&amp;sf'!$CK$304/4)</f>
        <v>#DIV/0!</v>
      </c>
      <c r="U343" s="752" t="e">
        <f>+(T343/T337-1)*100</f>
        <v>#DIV/0!</v>
      </c>
      <c r="V343" s="1372">
        <v>8.1000000000000003E-2</v>
      </c>
      <c r="W343" s="308">
        <f>+(V343/V337-1)*100</f>
        <v>0</v>
      </c>
      <c r="X343" s="1372">
        <v>7.8E-2</v>
      </c>
      <c r="Y343" s="308"/>
      <c r="Z343" s="831">
        <f>+Z340</f>
        <v>0</v>
      </c>
      <c r="AA343" s="836">
        <f>+R343-R340</f>
        <v>-1.7749999999999932E-2</v>
      </c>
      <c r="AB343" s="322"/>
      <c r="AC343" s="308"/>
      <c r="AD343" s="307"/>
      <c r="AE343" s="308"/>
      <c r="AF343" s="307"/>
      <c r="AG343" s="308"/>
      <c r="AH343" s="307"/>
      <c r="AI343" s="308"/>
      <c r="AJ343" s="307"/>
      <c r="AK343" s="308"/>
      <c r="AL343" s="307"/>
      <c r="AM343" s="308"/>
      <c r="AN343" s="307"/>
      <c r="AO343" s="308"/>
      <c r="AP343" s="30"/>
      <c r="AQ343" s="1373">
        <v>11.192</v>
      </c>
      <c r="AR343" s="308">
        <f>+(AQ343/AQ337-1)*100</f>
        <v>3.3139481214806699</v>
      </c>
      <c r="AS343" s="308"/>
      <c r="AT343" s="30"/>
      <c r="AU343" s="429"/>
      <c r="AV343" s="30"/>
      <c r="AW343" s="341"/>
      <c r="AX343" s="341"/>
      <c r="AY343" s="24"/>
      <c r="AZ343" s="341"/>
      <c r="BA343" s="341"/>
      <c r="BB343" s="24"/>
      <c r="BC343" s="341"/>
      <c r="BD343" s="341"/>
      <c r="BE343" s="341"/>
      <c r="BF343" s="24"/>
      <c r="BG343" s="580"/>
      <c r="BH343" s="631"/>
      <c r="BI343" s="340"/>
      <c r="BJ343" s="581"/>
      <c r="BK343" s="580"/>
      <c r="BL343" s="580"/>
      <c r="BM343" s="580"/>
      <c r="BN343" s="581"/>
      <c r="BO343" s="580"/>
      <c r="BP343" s="580"/>
      <c r="BQ343" s="580"/>
      <c r="BR343" s="580"/>
      <c r="BS343" s="581"/>
      <c r="BT343" s="580"/>
      <c r="BU343" s="580"/>
      <c r="BV343" s="580"/>
      <c r="BW343" s="580"/>
      <c r="BX343" s="581"/>
      <c r="BY343" s="580"/>
      <c r="BZ343" s="580"/>
      <c r="CA343" s="580"/>
      <c r="CB343" s="580"/>
      <c r="CC343" s="581"/>
      <c r="CD343" s="580"/>
      <c r="CE343" s="580"/>
      <c r="CF343" s="580"/>
      <c r="CG343" s="580"/>
      <c r="CH343" s="581"/>
      <c r="CI343" s="580"/>
      <c r="CJ343" s="580"/>
      <c r="CK343" s="580"/>
      <c r="CL343" s="581"/>
      <c r="CM343" s="580"/>
      <c r="CN343" s="580"/>
      <c r="CO343" s="581"/>
      <c r="CP343" s="340"/>
      <c r="CQ343" s="340"/>
      <c r="CR343" s="24"/>
      <c r="CS343" s="24"/>
      <c r="CT343" s="305"/>
      <c r="CU343" s="24"/>
      <c r="CV343" s="24"/>
      <c r="CW343" s="305"/>
      <c r="CX343" s="24"/>
      <c r="CY343" s="24"/>
      <c r="CZ343" s="305"/>
      <c r="DA343" s="24"/>
      <c r="DB343" s="24"/>
      <c r="DC343" s="305"/>
      <c r="DD343" s="24"/>
      <c r="DE343" s="24"/>
      <c r="DF343" s="305"/>
      <c r="DG343" s="24"/>
      <c r="DH343" s="630"/>
      <c r="DI343" s="630"/>
      <c r="DJ343" s="630"/>
      <c r="DK343" s="630"/>
      <c r="DL343" s="630"/>
    </row>
    <row r="344" spans="1:116">
      <c r="A344" s="310" t="str">
        <f>A162</f>
        <v>2Q</v>
      </c>
      <c r="B344" s="310" t="str">
        <f>B162</f>
        <v>Jul</v>
      </c>
      <c r="C344" s="339"/>
      <c r="D344" s="321"/>
      <c r="E344" s="308"/>
      <c r="F344" s="321"/>
      <c r="G344" s="317"/>
      <c r="H344" s="1372">
        <v>0.48</v>
      </c>
      <c r="I344" s="589">
        <f>+(H344/H338-1)*100</f>
        <v>-4.1916167664670656</v>
      </c>
      <c r="J344" s="1372">
        <f>6.473+0.302</f>
        <v>6.7749999999999995</v>
      </c>
      <c r="K344" s="308">
        <f>+(J344/J338-1)*100</f>
        <v>5.5789309646251839</v>
      </c>
      <c r="L344" s="1372">
        <f>0.21+3.665</f>
        <v>3.875</v>
      </c>
      <c r="M344" s="308">
        <f>+(L344/L338-1)*100</f>
        <v>-0.1803194229778482</v>
      </c>
      <c r="N344" s="831">
        <f>+N343+(BT221*yrSales!$AD$216/1000000)+('store&amp;sf'!BU221*yrSales!AD$216/1000000)+BV345/4+BW345/4</f>
        <v>-1.2725</v>
      </c>
      <c r="O344" s="752">
        <f>+(N344/N338-1)*100</f>
        <v>27.953745600804435</v>
      </c>
      <c r="P344" s="831">
        <f>+P343+(BZ221*yrSales!$AC$217/1000000)</f>
        <v>0.15089999999999998</v>
      </c>
      <c r="Q344" s="752">
        <f>+(P344/P338-1)*100</f>
        <v>0</v>
      </c>
      <c r="R344" s="832">
        <f>+R343+(CD221*yrSales!$AC$218/1000000)+CE345/4+(CF221*yrSales!$AC$218/1000000)+('store&amp;sf'!$CG$304)/4</f>
        <v>2.5230500000000036</v>
      </c>
      <c r="S344" s="752">
        <f>+(R344/R338-1)*100</f>
        <v>-5.3282302395827212</v>
      </c>
      <c r="T344" s="831" t="e">
        <f>+T343+(CJ221*yrSales!AC304/1000000)+('store&amp;sf'!$CK$304/4)</f>
        <v>#DIV/0!</v>
      </c>
      <c r="U344" s="752" t="e">
        <f>+(T344/T338-1)*100</f>
        <v>#DIV/0!</v>
      </c>
      <c r="V344" s="1372">
        <v>8.1000000000000003E-2</v>
      </c>
      <c r="W344" s="308">
        <f>+(V344/V338-1)*100</f>
        <v>0</v>
      </c>
      <c r="X344" s="1372">
        <v>7.8E-2</v>
      </c>
      <c r="Y344" s="308"/>
      <c r="Z344" s="831">
        <f>+Z343</f>
        <v>0</v>
      </c>
      <c r="AA344" s="836">
        <f>+R344-R341</f>
        <v>2.5230500000000036</v>
      </c>
      <c r="AB344" s="322"/>
      <c r="AC344" s="308"/>
      <c r="AD344" s="307"/>
      <c r="AE344" s="308"/>
      <c r="AF344" s="307"/>
      <c r="AG344" s="308"/>
      <c r="AH344" s="307"/>
      <c r="AI344" s="308"/>
      <c r="AJ344" s="307"/>
      <c r="AK344" s="308"/>
      <c r="AL344" s="307"/>
      <c r="AM344" s="308"/>
      <c r="AN344" s="307"/>
      <c r="AO344" s="308"/>
      <c r="AP344" s="30"/>
      <c r="AQ344" s="1373">
        <v>11.289</v>
      </c>
      <c r="AR344" s="308">
        <f>+(AQ344/AQ338-1)*100</f>
        <v>3.4454320535141525</v>
      </c>
      <c r="AS344" s="308"/>
      <c r="AT344" s="30"/>
      <c r="AU344" s="429"/>
      <c r="AV344" s="30"/>
      <c r="AW344" s="341"/>
      <c r="AX344" s="341"/>
      <c r="AY344" s="24"/>
      <c r="AZ344" s="341"/>
      <c r="BA344" s="341"/>
      <c r="BB344" s="24"/>
      <c r="BC344" s="341"/>
      <c r="BD344" s="341"/>
      <c r="BE344" s="341"/>
      <c r="BF344" s="24"/>
      <c r="BG344" s="580"/>
      <c r="BH344" s="631"/>
      <c r="BI344" s="340"/>
      <c r="BJ344" s="581"/>
      <c r="BK344" s="580"/>
      <c r="BL344" s="580"/>
      <c r="BM344" s="580"/>
      <c r="BN344" s="581"/>
      <c r="BO344" s="580"/>
      <c r="BP344" s="580"/>
      <c r="BQ344" s="580"/>
      <c r="BR344" s="580"/>
      <c r="BS344" s="581"/>
      <c r="BT344" s="580"/>
      <c r="BU344" s="580"/>
      <c r="BV344" s="580"/>
      <c r="BW344" s="580"/>
      <c r="BX344" s="581"/>
      <c r="BY344" s="580"/>
      <c r="BZ344" s="580"/>
      <c r="CA344" s="580"/>
      <c r="CB344" s="580"/>
      <c r="CC344" s="581"/>
      <c r="CD344" s="580"/>
      <c r="CE344" s="580"/>
      <c r="CF344" s="580"/>
      <c r="CG344" s="580"/>
      <c r="CH344" s="581"/>
      <c r="CI344" s="580"/>
      <c r="CJ344" s="580"/>
      <c r="CK344" s="580"/>
      <c r="CL344" s="581"/>
      <c r="CM344" s="580"/>
      <c r="CN344" s="580"/>
      <c r="CO344" s="581"/>
      <c r="CP344" s="340"/>
      <c r="CQ344" s="340"/>
      <c r="CR344" s="24"/>
      <c r="CS344" s="24"/>
      <c r="CT344" s="305"/>
      <c r="CU344" s="24"/>
      <c r="CV344" s="24"/>
      <c r="CW344" s="305"/>
      <c r="CX344" s="24"/>
      <c r="CY344" s="24"/>
      <c r="CZ344" s="305"/>
      <c r="DA344" s="24"/>
      <c r="DB344" s="24"/>
      <c r="DC344" s="305"/>
      <c r="DD344" s="24"/>
      <c r="DE344" s="24"/>
      <c r="DF344" s="305"/>
      <c r="DG344" s="24"/>
      <c r="DH344" s="630"/>
      <c r="DI344" s="630"/>
      <c r="DJ344" s="630"/>
      <c r="DK344" s="630"/>
      <c r="DL344" s="630"/>
    </row>
    <row r="345" spans="1:116">
      <c r="A345" s="310" t="str">
        <f>A163</f>
        <v>3Q</v>
      </c>
      <c r="B345" s="310" t="str">
        <f>B163</f>
        <v>Oct</v>
      </c>
      <c r="C345" s="339"/>
      <c r="D345" s="321"/>
      <c r="E345" s="308"/>
      <c r="F345" s="321"/>
      <c r="G345" s="317"/>
      <c r="H345" s="1372">
        <v>0.46700000000000003</v>
      </c>
      <c r="I345" s="589">
        <f>+(H345/H339-1)*100</f>
        <v>-6.5999999999999943</v>
      </c>
      <c r="J345" s="1372">
        <f>6.646+0.319</f>
        <v>6.9649999999999999</v>
      </c>
      <c r="K345" s="308">
        <f>+(J345/J339-1)*100</f>
        <v>4.6581517655897686</v>
      </c>
      <c r="L345" s="1372">
        <f>3.681+0.217</f>
        <v>3.8980000000000001</v>
      </c>
      <c r="M345" s="308">
        <f>+(L345/L339-1)*100</f>
        <v>0.15416238437822027</v>
      </c>
      <c r="N345" s="831">
        <f>+N344+(BT222*yrSales!$AD$216/1000000)+('store&amp;sf'!BU222*yrSales!AD$216/1000000)+BV346/4+BW346/4</f>
        <v>-1.4115</v>
      </c>
      <c r="O345" s="752">
        <f>+(N345/N339-1)*100</f>
        <v>24.525805028672252</v>
      </c>
      <c r="P345" s="831">
        <f>+P344+(BZ222*yrSales!$AC$217/1000000)</f>
        <v>0.15089999999999998</v>
      </c>
      <c r="Q345" s="752">
        <f>+(P345/P339-1)*100</f>
        <v>0</v>
      </c>
      <c r="R345" s="832">
        <f>+R344+(CD222*yrSales!$AC$218/1000000)+CE346/4+(CF222*yrSales!$AC$218/1000000)+('store&amp;sf'!$CG$304)/4</f>
        <v>2.4698000000000038</v>
      </c>
      <c r="S345" s="752">
        <f>+(R345/R339-1)*100</f>
        <v>-5.4368634658089938</v>
      </c>
      <c r="T345" s="831" t="e">
        <f>+T344+(CJ222*yrSales!AC305/1000000)+('store&amp;sf'!$CK$304/4)</f>
        <v>#DIV/0!</v>
      </c>
      <c r="U345" s="752" t="e">
        <f>+(T345/T339-1)*100</f>
        <v>#DIV/0!</v>
      </c>
      <c r="V345" s="1372">
        <v>8.1000000000000003E-2</v>
      </c>
      <c r="W345" s="308">
        <f>+(V345/V339-1)*100</f>
        <v>0</v>
      </c>
      <c r="X345" s="1372">
        <v>9.4E-2</v>
      </c>
      <c r="Y345" s="308"/>
      <c r="Z345" s="831">
        <f>+Z344</f>
        <v>0</v>
      </c>
      <c r="AA345" s="836">
        <f>+R345-R342</f>
        <v>2.4698000000000038</v>
      </c>
      <c r="AB345" s="322"/>
      <c r="AC345" s="308"/>
      <c r="AD345" s="307"/>
      <c r="AE345" s="308"/>
      <c r="AF345" s="307"/>
      <c r="AG345" s="308"/>
      <c r="AH345" s="307"/>
      <c r="AI345" s="308"/>
      <c r="AJ345" s="307"/>
      <c r="AK345" s="308"/>
      <c r="AL345" s="307"/>
      <c r="AM345" s="308"/>
      <c r="AN345" s="307"/>
      <c r="AO345" s="308"/>
      <c r="AP345" s="30"/>
      <c r="AQ345" s="1373">
        <v>11.505000000000001</v>
      </c>
      <c r="AR345" s="308">
        <f>+(AQ345/AQ339-1)*100</f>
        <v>3.3878504672897325</v>
      </c>
      <c r="AS345" s="308"/>
      <c r="AT345" s="30"/>
      <c r="AU345" s="429"/>
      <c r="AV345" s="30"/>
      <c r="AW345" s="341"/>
      <c r="AX345" s="341"/>
      <c r="AY345" s="24"/>
      <c r="AZ345" s="341"/>
      <c r="BA345" s="341"/>
      <c r="BB345" s="24"/>
      <c r="BC345" s="338"/>
      <c r="BD345" s="338"/>
      <c r="BE345" s="338"/>
      <c r="BF345" s="308"/>
      <c r="BG345" s="338"/>
      <c r="BH345" s="338"/>
      <c r="BI345" s="338"/>
      <c r="BJ345" s="308"/>
      <c r="BK345" s="302"/>
      <c r="BL345" s="302"/>
      <c r="BM345" s="302"/>
      <c r="BN345" s="308"/>
      <c r="BO345" s="302"/>
      <c r="BP345" s="302"/>
      <c r="BQ345" s="307"/>
      <c r="BR345" s="307"/>
      <c r="BS345" s="308"/>
      <c r="BT345" s="302"/>
      <c r="BU345" s="302"/>
      <c r="BV345" s="302"/>
      <c r="BW345" s="302"/>
      <c r="BX345" s="308"/>
      <c r="BY345" s="302"/>
      <c r="BZ345" s="302"/>
      <c r="CA345" s="302"/>
      <c r="CB345" s="302"/>
      <c r="CC345" s="308"/>
      <c r="CD345" s="302"/>
      <c r="CE345" s="302"/>
      <c r="CF345" s="302"/>
      <c r="CG345" s="302"/>
      <c r="CH345" s="308"/>
      <c r="CI345" s="302"/>
      <c r="CJ345" s="302"/>
      <c r="CK345" s="302"/>
      <c r="CL345" s="308"/>
      <c r="CM345" s="302"/>
      <c r="CN345" s="302"/>
      <c r="CO345" s="308"/>
      <c r="CP345" s="302"/>
      <c r="CQ345" s="302"/>
      <c r="CR345" s="308"/>
      <c r="CS345" s="302"/>
      <c r="CT345" s="302"/>
      <c r="CU345" s="308"/>
      <c r="CV345" s="302"/>
      <c r="CW345" s="302"/>
      <c r="CX345" s="308"/>
      <c r="CY345" s="302"/>
      <c r="CZ345" s="302"/>
      <c r="DA345" s="308"/>
      <c r="DB345" s="302"/>
      <c r="DC345" s="302"/>
      <c r="DD345" s="308"/>
      <c r="DE345" s="302"/>
      <c r="DF345" s="302"/>
      <c r="DG345" s="308"/>
      <c r="DH345" s="306"/>
      <c r="DI345" s="306"/>
      <c r="DJ345" s="306"/>
      <c r="DK345" s="306"/>
      <c r="DL345" s="630"/>
    </row>
    <row r="346" spans="1:116">
      <c r="A346" s="310" t="str">
        <f>A164</f>
        <v>4Q</v>
      </c>
      <c r="B346" s="310" t="str">
        <f>B164</f>
        <v>Jan</v>
      </c>
      <c r="C346" s="24"/>
      <c r="D346" s="24"/>
      <c r="E346" s="24"/>
      <c r="F346" s="24"/>
      <c r="G346" s="305"/>
      <c r="H346" s="1372">
        <v>0.45200000000000001</v>
      </c>
      <c r="I346" s="589">
        <f>+(H346/H340-1)*100</f>
        <v>-9.5999999999999979</v>
      </c>
      <c r="J346" s="1372">
        <v>7.0060000000000002</v>
      </c>
      <c r="K346" s="308">
        <f>+(J346/J340-1)*100</f>
        <v>4.4113263785394929</v>
      </c>
      <c r="L346" s="1372">
        <v>3.8919999999999999</v>
      </c>
      <c r="M346" s="308">
        <f>+(L346/L340-1)*100</f>
        <v>0.36101083032491488</v>
      </c>
      <c r="N346" s="831">
        <f>+N345+(BT223*yrSales!$AD$216/1000000)+('store&amp;sf'!BU223*yrSales!AD$216/1000000)+BV346/4+BW346/4</f>
        <v>-1.5505</v>
      </c>
      <c r="O346" s="752">
        <f>+(N346/N340-1)*100</f>
        <v>21.846758349705308</v>
      </c>
      <c r="P346" s="831">
        <f>+P345+(BZ223*yrSales!$AC$217/1000000)</f>
        <v>0.15089999999999998</v>
      </c>
      <c r="Q346" s="752">
        <f>+(P346/P340-1)*100</f>
        <v>0</v>
      </c>
      <c r="R346" s="832">
        <f>+R345+(CD223*yrSales!$AC$218/1000000)+CE346/4+(CF223*yrSales!$AC$218/1000000)+('store&amp;sf'!$CG$304)/4</f>
        <v>2.416550000000004</v>
      </c>
      <c r="S346" s="752">
        <f>+(R346/R340-1)*100</f>
        <v>-5.5500185652029188</v>
      </c>
      <c r="T346" s="831" t="e">
        <f>+T345+(CJ223*yrSales!AC305/1000000)+('store&amp;sf'!$CK$304/4)</f>
        <v>#DIV/0!</v>
      </c>
      <c r="U346" s="752" t="e">
        <f>+(T346/T340-1)*100</f>
        <v>#DIV/0!</v>
      </c>
      <c r="V346" s="1372">
        <v>8.1000000000000003E-2</v>
      </c>
      <c r="W346" s="308">
        <f>+(V346/V340-1)*100</f>
        <v>0</v>
      </c>
      <c r="X346" s="1372">
        <v>0.105</v>
      </c>
      <c r="Y346" s="308"/>
      <c r="Z346" s="831">
        <f>+Z345</f>
        <v>0</v>
      </c>
      <c r="AA346" s="836">
        <f>+R346-R343</f>
        <v>-0.12424999999999953</v>
      </c>
      <c r="AB346" s="322"/>
      <c r="AC346" s="308"/>
      <c r="AD346" s="307"/>
      <c r="AE346" s="308"/>
      <c r="AF346" s="307"/>
      <c r="AG346" s="308"/>
      <c r="AH346" s="307"/>
      <c r="AI346" s="308"/>
      <c r="AJ346" s="307"/>
      <c r="AK346" s="308"/>
      <c r="AL346" s="307"/>
      <c r="AM346" s="308"/>
      <c r="AN346" s="307"/>
      <c r="AO346" s="308"/>
      <c r="AP346" s="30"/>
      <c r="AQ346" s="1373">
        <v>11.536</v>
      </c>
      <c r="AR346" s="308">
        <f>+(AQ346/AQ340-1)*100</f>
        <v>3.2858805622705711</v>
      </c>
      <c r="AS346" s="30"/>
      <c r="AT346" s="24"/>
      <c r="AU346" s="24"/>
      <c r="AV346" s="24"/>
      <c r="AW346" s="30"/>
      <c r="AX346" s="30"/>
      <c r="AY346" s="30"/>
      <c r="AZ346" s="30"/>
      <c r="BA346" s="320"/>
      <c r="BB346" s="30"/>
      <c r="BC346" s="341">
        <v>0</v>
      </c>
      <c r="BD346" s="341">
        <f>0.003/9</f>
        <v>3.3333333333333332E-4</v>
      </c>
      <c r="BE346" s="341">
        <f>-0.007/5</f>
        <v>-1.4E-3</v>
      </c>
      <c r="BF346" s="24"/>
      <c r="BG346" s="580">
        <f>+(0.031+0.174+0.087+0.032)/(5+49+8+3)</f>
        <v>4.9846153846153842E-3</v>
      </c>
      <c r="BH346" s="631">
        <f>(0.083)/18</f>
        <v>4.611111111111111E-3</v>
      </c>
      <c r="BI346" s="340">
        <f>0.096/89</f>
        <v>1.0786516853932586E-3</v>
      </c>
      <c r="BJ346" s="581"/>
      <c r="BK346" s="580">
        <f>(0.019+0.018)/(7+8)</f>
        <v>2.4666666666666665E-3</v>
      </c>
      <c r="BL346" s="580">
        <f>+(0.058+0.001)/(26+1)</f>
        <v>2.1851851851851854E-3</v>
      </c>
      <c r="BM346" s="580">
        <f>-0.002/58</f>
        <v>-3.4482758620689657E-5</v>
      </c>
      <c r="BN346" s="581"/>
      <c r="BO346" s="580">
        <v>0</v>
      </c>
      <c r="BP346" s="580">
        <v>0</v>
      </c>
      <c r="BQ346" s="580"/>
      <c r="BR346" s="580"/>
      <c r="BS346" s="581"/>
      <c r="BT346" s="580">
        <v>0</v>
      </c>
      <c r="BU346" s="580">
        <v>-0.17699999999999999</v>
      </c>
      <c r="BV346" s="580">
        <v>-0.55000000000000004</v>
      </c>
      <c r="BW346" s="580">
        <v>-6.0000000000000001E-3</v>
      </c>
      <c r="BX346" s="581"/>
      <c r="BY346" s="580">
        <v>0</v>
      </c>
      <c r="BZ346" s="580">
        <v>-0.129</v>
      </c>
      <c r="CA346" s="580">
        <v>0</v>
      </c>
      <c r="CB346" s="580">
        <v>0</v>
      </c>
      <c r="CC346" s="581"/>
      <c r="CD346" s="580">
        <v>1.2E-2</v>
      </c>
      <c r="CE346" s="580">
        <v>-0.14199999999999999</v>
      </c>
      <c r="CF346" s="580">
        <v>0.53800000000000003</v>
      </c>
      <c r="CG346" s="580">
        <v>-7.0999999999999994E-2</v>
      </c>
      <c r="CH346" s="581"/>
      <c r="CI346" s="580">
        <v>0</v>
      </c>
      <c r="CJ346" s="580">
        <v>-0.17299999999999999</v>
      </c>
      <c r="CK346" s="580">
        <v>-6.9000000000000006E-2</v>
      </c>
      <c r="CL346" s="581"/>
      <c r="CM346" s="580"/>
      <c r="CN346" s="580"/>
      <c r="CO346" s="581"/>
      <c r="CP346" s="340"/>
      <c r="CQ346" s="340"/>
      <c r="CR346" s="24"/>
      <c r="CS346" s="24"/>
      <c r="CT346" s="305"/>
      <c r="CU346" s="24"/>
      <c r="CV346" s="24"/>
      <c r="CW346" s="305"/>
      <c r="CX346" s="24"/>
      <c r="CY346" s="24"/>
      <c r="CZ346" s="305"/>
      <c r="DA346" s="24"/>
      <c r="DB346" s="24"/>
      <c r="DC346" s="305"/>
      <c r="DD346" s="24"/>
      <c r="DE346" s="24"/>
      <c r="DF346" s="305"/>
      <c r="DG346" s="24"/>
      <c r="DH346" s="342">
        <f>+BG346+BK346+BO346+BC346</f>
        <v>7.4512820512820507E-3</v>
      </c>
      <c r="DI346" s="342">
        <f>+BH346+BL346+BP346+BD346</f>
        <v>7.1296296296296299E-3</v>
      </c>
      <c r="DJ346" s="342">
        <f>+BI346+BM346</f>
        <v>1.0441689267725689E-3</v>
      </c>
      <c r="DK346" s="342">
        <f>+BJ346+BS346+CM346+BG346</f>
        <v>4.9846153846153842E-3</v>
      </c>
      <c r="DL346" s="320"/>
    </row>
    <row r="347" spans="1:116">
      <c r="A347" s="310"/>
      <c r="B347" s="310"/>
      <c r="C347" s="24"/>
      <c r="D347" s="24"/>
      <c r="E347" s="24"/>
      <c r="F347" s="24"/>
      <c r="G347" s="305"/>
      <c r="H347" s="923"/>
      <c r="I347" s="662"/>
      <c r="J347" s="929"/>
      <c r="K347" s="662"/>
      <c r="L347" s="922"/>
      <c r="M347" s="168"/>
      <c r="N347" s="663"/>
      <c r="O347" s="168"/>
      <c r="P347" s="663"/>
      <c r="Q347" s="168"/>
      <c r="R347" s="664"/>
      <c r="S347" s="168"/>
      <c r="T347" s="663"/>
      <c r="U347" s="168"/>
      <c r="V347" s="168"/>
      <c r="W347" s="168"/>
      <c r="X347" s="168"/>
      <c r="Y347" s="168"/>
      <c r="Z347" s="663"/>
      <c r="AA347" s="24"/>
      <c r="AB347" s="24"/>
      <c r="AC347" s="24"/>
      <c r="AD347" s="24"/>
      <c r="AE347" s="24"/>
      <c r="AF347" s="30"/>
      <c r="AG347" s="30"/>
      <c r="AH347" s="30"/>
      <c r="AI347" s="30"/>
      <c r="AJ347" s="30"/>
      <c r="AK347" s="30"/>
      <c r="AL347" s="30"/>
      <c r="AM347" s="30"/>
      <c r="AN347" s="30"/>
      <c r="AO347" s="30"/>
      <c r="AP347" s="24"/>
      <c r="AQ347" s="593"/>
      <c r="AR347" s="30"/>
      <c r="AS347" s="30"/>
      <c r="AT347" s="24"/>
      <c r="AU347" s="24"/>
      <c r="AV347" s="24"/>
      <c r="AW347" s="30"/>
      <c r="AX347" s="30"/>
      <c r="AY347" s="30"/>
      <c r="AZ347" s="30"/>
      <c r="BA347" s="320"/>
      <c r="BB347" s="30"/>
      <c r="BC347" s="320"/>
      <c r="BD347" s="320"/>
      <c r="BE347" s="320"/>
      <c r="BF347" s="30"/>
      <c r="BG347" s="419"/>
      <c r="BH347" s="320"/>
      <c r="BI347" s="320"/>
      <c r="BJ347" s="30"/>
      <c r="BK347" s="30"/>
      <c r="BL347" s="320"/>
      <c r="BM347" s="320"/>
      <c r="BN347" s="30"/>
      <c r="BO347" s="30"/>
      <c r="BP347" s="320"/>
      <c r="BQ347" s="320"/>
      <c r="BR347" s="320"/>
      <c r="BS347" s="30"/>
      <c r="BT347" s="30"/>
      <c r="BU347" s="320"/>
      <c r="BV347" s="658"/>
      <c r="BW347" s="320"/>
      <c r="BX347" s="30"/>
      <c r="BY347" s="30"/>
      <c r="BZ347" s="320"/>
      <c r="CA347" s="320"/>
      <c r="CB347" s="320"/>
      <c r="CC347" s="30"/>
      <c r="CD347" s="30"/>
      <c r="CE347" s="320"/>
      <c r="CF347" s="320"/>
      <c r="CG347" s="320"/>
      <c r="CH347" s="30"/>
      <c r="CI347" s="30"/>
      <c r="CJ347" s="320"/>
      <c r="CK347" s="320"/>
      <c r="CL347" s="30"/>
      <c r="CM347" s="30"/>
      <c r="CN347" s="320"/>
      <c r="CO347" s="30"/>
      <c r="CP347" s="30"/>
      <c r="CQ347" s="320"/>
      <c r="CR347" s="30"/>
      <c r="CS347" s="30"/>
      <c r="CT347" s="320"/>
      <c r="CU347" s="30"/>
      <c r="CV347" s="30"/>
      <c r="CW347" s="320"/>
      <c r="CX347" s="30"/>
      <c r="CY347" s="30"/>
      <c r="CZ347" s="320"/>
      <c r="DA347" s="30"/>
      <c r="DB347" s="30"/>
      <c r="DC347" s="320"/>
      <c r="DD347" s="30"/>
      <c r="DE347" s="30"/>
      <c r="DF347" s="320"/>
      <c r="DG347" s="30"/>
      <c r="DH347" s="24"/>
      <c r="DI347" s="320"/>
      <c r="DJ347" s="320"/>
      <c r="DK347" s="320"/>
      <c r="DL347" s="320"/>
    </row>
    <row r="348" spans="1:116">
      <c r="A348" s="301"/>
      <c r="B348" s="312" t="str">
        <f>B166</f>
        <v>2015A</v>
      </c>
      <c r="C348" s="339"/>
      <c r="D348" s="321"/>
      <c r="E348" s="308"/>
      <c r="F348" s="321"/>
      <c r="G348" s="317"/>
      <c r="H348" s="1082"/>
      <c r="I348" s="589"/>
      <c r="J348" s="1082"/>
      <c r="K348" s="589"/>
      <c r="L348" s="1082"/>
      <c r="M348" s="589"/>
      <c r="N348" s="833"/>
      <c r="O348" s="834"/>
      <c r="P348" s="833"/>
      <c r="Q348" s="834"/>
      <c r="R348" s="835"/>
      <c r="S348" s="834"/>
      <c r="T348" s="833"/>
      <c r="U348" s="834"/>
      <c r="V348" s="1082"/>
      <c r="W348" s="589"/>
      <c r="X348" s="589"/>
      <c r="Y348" s="589"/>
      <c r="Z348" s="833"/>
      <c r="AA348" s="836"/>
      <c r="AB348" s="314"/>
      <c r="AC348" s="308"/>
      <c r="AD348" s="307"/>
      <c r="AE348" s="308"/>
      <c r="AF348" s="307"/>
      <c r="AG348" s="308"/>
      <c r="AH348" s="307"/>
      <c r="AI348" s="308"/>
      <c r="AJ348" s="307"/>
      <c r="AK348" s="308"/>
      <c r="AL348" s="307"/>
      <c r="AM348" s="308"/>
      <c r="AN348" s="307"/>
      <c r="AO348" s="308"/>
      <c r="AP348" s="30"/>
      <c r="AQ348" s="1095"/>
      <c r="AR348" s="308"/>
      <c r="AS348" s="308"/>
      <c r="AT348" s="30"/>
      <c r="AU348" s="429"/>
      <c r="AV348" s="30"/>
      <c r="AW348" s="341"/>
      <c r="AX348" s="341"/>
      <c r="AY348" s="24"/>
      <c r="AZ348" s="341"/>
      <c r="BA348" s="341"/>
      <c r="BB348" s="24"/>
      <c r="BC348" s="341"/>
      <c r="BD348" s="341"/>
      <c r="BE348" s="341"/>
      <c r="BF348" s="24"/>
      <c r="BG348" s="580"/>
      <c r="BH348" s="631"/>
      <c r="BI348" s="340"/>
      <c r="BJ348" s="581"/>
      <c r="BK348" s="580"/>
      <c r="BL348" s="580"/>
      <c r="BM348" s="580"/>
      <c r="BN348" s="581"/>
      <c r="BO348" s="580"/>
      <c r="BP348" s="580"/>
      <c r="BQ348" s="580"/>
      <c r="BR348" s="580"/>
      <c r="BS348" s="581"/>
      <c r="BT348" s="580"/>
      <c r="BU348" s="580"/>
      <c r="BV348" s="580"/>
      <c r="BW348" s="580"/>
      <c r="BX348" s="581"/>
      <c r="BY348" s="580"/>
      <c r="BZ348" s="580"/>
      <c r="CA348" s="580"/>
      <c r="CB348" s="580"/>
      <c r="CC348" s="581"/>
      <c r="CD348" s="580"/>
      <c r="CE348" s="580"/>
      <c r="CF348" s="580"/>
      <c r="CG348" s="580"/>
      <c r="CH348" s="581"/>
      <c r="CI348" s="580"/>
      <c r="CJ348" s="580"/>
      <c r="CK348" s="580"/>
      <c r="CL348" s="581"/>
      <c r="CM348" s="580"/>
      <c r="CN348" s="580"/>
      <c r="CO348" s="581"/>
      <c r="CP348" s="340"/>
      <c r="CQ348" s="340"/>
      <c r="CR348" s="24"/>
      <c r="CS348" s="24"/>
      <c r="CT348" s="305"/>
      <c r="CU348" s="24"/>
      <c r="CV348" s="24"/>
      <c r="CW348" s="305"/>
      <c r="CX348" s="24"/>
      <c r="CY348" s="24"/>
      <c r="CZ348" s="305"/>
      <c r="DA348" s="24"/>
      <c r="DB348" s="24"/>
      <c r="DC348" s="305"/>
      <c r="DD348" s="24"/>
      <c r="DE348" s="24"/>
      <c r="DF348" s="305"/>
      <c r="DG348" s="24"/>
      <c r="DH348" s="630"/>
      <c r="DI348" s="630"/>
      <c r="DJ348" s="630"/>
      <c r="DK348" s="630"/>
      <c r="DL348" s="630"/>
    </row>
    <row r="349" spans="1:116">
      <c r="A349" s="310" t="str">
        <f>A167</f>
        <v>1Q</v>
      </c>
      <c r="B349" s="310" t="str">
        <f>B167</f>
        <v>Apr</v>
      </c>
      <c r="C349" s="339"/>
      <c r="D349" s="321"/>
      <c r="E349" s="308"/>
      <c r="F349" s="321"/>
      <c r="G349" s="317"/>
      <c r="H349" s="2416">
        <v>0.42499999999999999</v>
      </c>
      <c r="I349" s="589">
        <f>+(H349/H343-1)*100</f>
        <v>-11.642411642411643</v>
      </c>
      <c r="J349" s="2416">
        <f>6.301+0.405+0.295+0.039</f>
        <v>7.04</v>
      </c>
      <c r="K349" s="308">
        <f>+(J349/J343-1)*100</f>
        <v>5.3103964098728529</v>
      </c>
      <c r="L349" s="2416">
        <f>3.681+0.22</f>
        <v>3.9010000000000002</v>
      </c>
      <c r="M349" s="308">
        <f>+(L349/L343-1)*100</f>
        <v>0.87923454874581086</v>
      </c>
      <c r="N349" s="831">
        <f>+N346+(BT226*yrSales!$AD$216/1000000)+('store&amp;sf'!BU226*yrSales!AD$216/1000000)+BV350/4+BW350/4</f>
        <v>-1.5505</v>
      </c>
      <c r="O349" s="752">
        <f>+(N349/N343-1)*100</f>
        <v>21.846758349705308</v>
      </c>
      <c r="P349" s="831">
        <f>+P346+(BZ226*yrSales!$AC$217/1000000)</f>
        <v>0.15089999999999998</v>
      </c>
      <c r="Q349" s="752">
        <f>+(P349/P343-1)*100</f>
        <v>0</v>
      </c>
      <c r="R349" s="832">
        <f>+R346+(CD226*yrSales!$AC$218/1000000)+CE350/4+(CF226*yrSales!$AC$218/1000000)+('store&amp;sf'!$CG$304)/4</f>
        <v>2.398800000000004</v>
      </c>
      <c r="S349" s="752">
        <f>+(R349/R343-1)*100</f>
        <v>-5.5887909319898954</v>
      </c>
      <c r="T349" s="831" t="e">
        <f>+T346+(CJ226*yrSales!AC309/1000000)+('store&amp;sf'!$CK$304/4)</f>
        <v>#DIV/0!</v>
      </c>
      <c r="U349" s="752" t="e">
        <f>+(T349/T343-1)*100</f>
        <v>#DIV/0!</v>
      </c>
      <c r="V349" s="2416">
        <v>8.1000000000000003E-2</v>
      </c>
      <c r="W349" s="308">
        <f>+(V349/V343-1)*100</f>
        <v>0</v>
      </c>
      <c r="X349" s="2416">
        <f>0.096+0.009</f>
        <v>0.105</v>
      </c>
      <c r="Y349" s="308"/>
      <c r="Z349" s="831">
        <f>+Z346</f>
        <v>0</v>
      </c>
      <c r="AA349" s="836">
        <f>+R349-R346</f>
        <v>-1.7749999999999932E-2</v>
      </c>
      <c r="AB349" s="322"/>
      <c r="AC349" s="308"/>
      <c r="AD349" s="307"/>
      <c r="AE349" s="308"/>
      <c r="AF349" s="307"/>
      <c r="AG349" s="308"/>
      <c r="AH349" s="307"/>
      <c r="AI349" s="308"/>
      <c r="AJ349" s="307"/>
      <c r="AK349" s="308"/>
      <c r="AL349" s="307"/>
      <c r="AM349" s="308"/>
      <c r="AN349" s="307"/>
      <c r="AO349" s="308"/>
      <c r="AP349" s="30"/>
      <c r="AQ349" s="2417">
        <v>11.552</v>
      </c>
      <c r="AR349" s="308">
        <f>+(AQ349/AQ343-1)*100</f>
        <v>3.2165832737669708</v>
      </c>
      <c r="AS349" s="308"/>
      <c r="AT349" s="30"/>
      <c r="AU349" s="429"/>
      <c r="AV349" s="30"/>
      <c r="AW349" s="341"/>
      <c r="AX349" s="341"/>
      <c r="AY349" s="24"/>
      <c r="AZ349" s="341"/>
      <c r="BA349" s="341"/>
      <c r="BB349" s="24"/>
      <c r="BC349" s="341"/>
      <c r="BD349" s="341"/>
      <c r="BE349" s="341"/>
      <c r="BF349" s="24"/>
      <c r="BG349" s="580"/>
      <c r="BH349" s="631"/>
      <c r="BI349" s="340"/>
      <c r="BJ349" s="581"/>
      <c r="BK349" s="580"/>
      <c r="BL349" s="580"/>
      <c r="BM349" s="580"/>
      <c r="BN349" s="581"/>
      <c r="BO349" s="580"/>
      <c r="BP349" s="580"/>
      <c r="BQ349" s="580"/>
      <c r="BR349" s="580"/>
      <c r="BS349" s="581"/>
      <c r="BT349" s="580"/>
      <c r="BU349" s="580"/>
      <c r="BV349" s="580"/>
      <c r="BW349" s="580"/>
      <c r="BX349" s="581"/>
      <c r="BY349" s="580"/>
      <c r="BZ349" s="580"/>
      <c r="CA349" s="580"/>
      <c r="CB349" s="580"/>
      <c r="CC349" s="581"/>
      <c r="CD349" s="580"/>
      <c r="CE349" s="580"/>
      <c r="CF349" s="580"/>
      <c r="CG349" s="580"/>
      <c r="CH349" s="581"/>
      <c r="CI349" s="580"/>
      <c r="CJ349" s="580"/>
      <c r="CK349" s="580"/>
      <c r="CL349" s="581"/>
      <c r="CM349" s="580"/>
      <c r="CN349" s="580"/>
      <c r="CO349" s="581"/>
      <c r="CP349" s="340"/>
      <c r="CQ349" s="340"/>
      <c r="CR349" s="24"/>
      <c r="CS349" s="24"/>
      <c r="CT349" s="305"/>
      <c r="CU349" s="24"/>
      <c r="CV349" s="24"/>
      <c r="CW349" s="305"/>
      <c r="CX349" s="24"/>
      <c r="CY349" s="24"/>
      <c r="CZ349" s="305"/>
      <c r="DA349" s="24"/>
      <c r="DB349" s="24"/>
      <c r="DC349" s="305"/>
      <c r="DD349" s="24"/>
      <c r="DE349" s="24"/>
      <c r="DF349" s="305"/>
      <c r="DG349" s="24"/>
      <c r="DH349" s="630"/>
      <c r="DI349" s="630"/>
      <c r="DJ349" s="630"/>
      <c r="DK349" s="630"/>
      <c r="DL349" s="630"/>
    </row>
    <row r="350" spans="1:116">
      <c r="A350" s="310" t="str">
        <f>A168</f>
        <v>2Q</v>
      </c>
      <c r="B350" s="310" t="str">
        <f>B168</f>
        <v>Jul</v>
      </c>
      <c r="C350" s="339"/>
      <c r="D350" s="321"/>
      <c r="E350" s="308"/>
      <c r="F350" s="321"/>
      <c r="G350" s="317"/>
      <c r="H350" s="2416">
        <v>0.42299999999999999</v>
      </c>
      <c r="I350" s="589">
        <f>+(H350/H344-1)*100</f>
        <v>-11.875000000000002</v>
      </c>
      <c r="J350" s="2416">
        <f>6.334+0.414+0.302+0.039</f>
        <v>7.0889999999999986</v>
      </c>
      <c r="K350" s="308">
        <f>+(J350/J344-1)*100</f>
        <v>4.6346863468634591</v>
      </c>
      <c r="L350" s="2416">
        <f>3.697+0.224</f>
        <v>3.9210000000000003</v>
      </c>
      <c r="M350" s="308">
        <f>+(L350/L344-1)*100</f>
        <v>1.1870967741935523</v>
      </c>
      <c r="N350" s="831">
        <f>+N349+(BT227*yrSales!$AD$216/1000000)+('store&amp;sf'!BU227*yrSales!AD$216/1000000)+BV351/4+BW351/4</f>
        <v>-1.5505</v>
      </c>
      <c r="O350" s="752">
        <f>+(N350/N344-1)*100</f>
        <v>21.846758349705308</v>
      </c>
      <c r="P350" s="831">
        <f>+P349+(BZ227*yrSales!$AC$217/1000000)</f>
        <v>0.15089999999999998</v>
      </c>
      <c r="Q350" s="752">
        <f>+(P350/P344-1)*100</f>
        <v>0</v>
      </c>
      <c r="R350" s="832">
        <f>+R349+(CD227*yrSales!$AC$218/1000000)+CE351/4+(CF227*yrSales!$AC$218/1000000)+('store&amp;sf'!$CG$304)/4</f>
        <v>2.3810500000000041</v>
      </c>
      <c r="S350" s="752">
        <f>+(R350/R344-1)*100</f>
        <v>-5.6281088365271899</v>
      </c>
      <c r="T350" s="831" t="e">
        <f>+T349+(CJ227*yrSales!AC310/1000000)+('store&amp;sf'!$CK$304/4)</f>
        <v>#DIV/0!</v>
      </c>
      <c r="U350" s="752" t="e">
        <f>+(T350/T344-1)*100</f>
        <v>#DIV/0!</v>
      </c>
      <c r="V350" s="2416">
        <v>8.1000000000000003E-2</v>
      </c>
      <c r="W350" s="308">
        <f>+(V350/V344-1)*100</f>
        <v>0</v>
      </c>
      <c r="X350" s="2416">
        <f>0.095+0.009</f>
        <v>0.104</v>
      </c>
      <c r="Y350" s="308"/>
      <c r="Z350" s="831">
        <f>+Z349</f>
        <v>0</v>
      </c>
      <c r="AA350" s="836">
        <f>+R350-R347</f>
        <v>2.3810500000000041</v>
      </c>
      <c r="AB350" s="322"/>
      <c r="AC350" s="308"/>
      <c r="AD350" s="307"/>
      <c r="AE350" s="308"/>
      <c r="AF350" s="307"/>
      <c r="AG350" s="308"/>
      <c r="AH350" s="307"/>
      <c r="AI350" s="308"/>
      <c r="AJ350" s="307"/>
      <c r="AK350" s="308"/>
      <c r="AL350" s="307"/>
      <c r="AM350" s="308"/>
      <c r="AN350" s="307"/>
      <c r="AO350" s="308"/>
      <c r="AP350" s="30"/>
      <c r="AQ350" s="2417">
        <v>11.618</v>
      </c>
      <c r="AR350" s="308">
        <f>+(AQ350/AQ344-1)*100</f>
        <v>2.9143413942776197</v>
      </c>
      <c r="AS350" s="308"/>
      <c r="AT350" s="30"/>
      <c r="AU350" s="429"/>
      <c r="AV350" s="30"/>
      <c r="AW350" s="341"/>
      <c r="AX350" s="341"/>
      <c r="AY350" s="24"/>
      <c r="AZ350" s="341"/>
      <c r="BA350" s="341"/>
      <c r="BB350" s="24"/>
      <c r="BC350" s="341"/>
      <c r="BD350" s="341"/>
      <c r="BE350" s="341"/>
      <c r="BF350" s="24"/>
      <c r="BG350" s="580"/>
      <c r="BH350" s="631"/>
      <c r="BI350" s="340"/>
      <c r="BJ350" s="581"/>
      <c r="BK350" s="580"/>
      <c r="BL350" s="580"/>
      <c r="BM350" s="580"/>
      <c r="BN350" s="581"/>
      <c r="BO350" s="580"/>
      <c r="BP350" s="580"/>
      <c r="BQ350" s="580"/>
      <c r="BR350" s="580"/>
      <c r="BS350" s="581"/>
      <c r="BT350" s="580"/>
      <c r="BU350" s="580"/>
      <c r="BV350" s="580"/>
      <c r="BW350" s="580"/>
      <c r="BX350" s="581"/>
      <c r="BY350" s="580"/>
      <c r="BZ350" s="580"/>
      <c r="CA350" s="580"/>
      <c r="CB350" s="580"/>
      <c r="CC350" s="581"/>
      <c r="CD350" s="580"/>
      <c r="CE350" s="580"/>
      <c r="CF350" s="580"/>
      <c r="CG350" s="580"/>
      <c r="CH350" s="581"/>
      <c r="CI350" s="580"/>
      <c r="CJ350" s="580"/>
      <c r="CK350" s="580"/>
      <c r="CL350" s="581"/>
      <c r="CM350" s="580"/>
      <c r="CN350" s="580"/>
      <c r="CO350" s="581"/>
      <c r="CP350" s="340"/>
      <c r="CQ350" s="340"/>
      <c r="CR350" s="24"/>
      <c r="CS350" s="24"/>
      <c r="CT350" s="305"/>
      <c r="CU350" s="24"/>
      <c r="CV350" s="24"/>
      <c r="CW350" s="305"/>
      <c r="CX350" s="24"/>
      <c r="CY350" s="24"/>
      <c r="CZ350" s="305"/>
      <c r="DA350" s="24"/>
      <c r="DB350" s="24"/>
      <c r="DC350" s="305"/>
      <c r="DD350" s="24"/>
      <c r="DE350" s="24"/>
      <c r="DF350" s="305"/>
      <c r="DG350" s="24"/>
      <c r="DH350" s="630"/>
      <c r="DI350" s="630"/>
      <c r="DJ350" s="630"/>
      <c r="DK350" s="630"/>
      <c r="DL350" s="630"/>
    </row>
    <row r="351" spans="1:116">
      <c r="A351" s="310" t="str">
        <f>A169</f>
        <v>3Q</v>
      </c>
      <c r="B351" s="310" t="str">
        <f>B169</f>
        <v>Oct</v>
      </c>
      <c r="C351" s="339"/>
      <c r="D351" s="321"/>
      <c r="E351" s="308"/>
      <c r="F351" s="321"/>
      <c r="G351" s="317"/>
      <c r="H351" s="2416">
        <v>0.40300000000000002</v>
      </c>
      <c r="I351" s="589">
        <f>+(H351/H345-1)*100</f>
        <v>-13.704496788008569</v>
      </c>
      <c r="J351" s="2416">
        <f>6.429+0.435+0.32+0.039</f>
        <v>7.2229999999999999</v>
      </c>
      <c r="K351" s="308">
        <f>+(J351/J345-1)*100</f>
        <v>3.7042354630294261</v>
      </c>
      <c r="L351" s="2416">
        <f>3.735+0.242</f>
        <v>3.9769999999999999</v>
      </c>
      <c r="M351" s="308">
        <f>+(L351/L345-1)*100</f>
        <v>2.0266803488968588</v>
      </c>
      <c r="N351" s="831">
        <f>+N350+(BT228*yrSales!$AD$216/1000000)+('store&amp;sf'!BU228*yrSales!AD$216/1000000)+BV352/4+BW352/4</f>
        <v>-1.6895</v>
      </c>
      <c r="O351" s="752">
        <f>+(N351/N345-1)*100</f>
        <v>19.69535954658166</v>
      </c>
      <c r="P351" s="831">
        <f>+P350+(BZ228*yrSales!$AC$217/1000000)</f>
        <v>0.15089999999999998</v>
      </c>
      <c r="Q351" s="752">
        <f>+(P351/P345-1)*100</f>
        <v>0</v>
      </c>
      <c r="R351" s="832">
        <f>+R350+(CD228*yrSales!$AC$218/1000000)+CE352/4+(CF228*yrSales!$AC$218/1000000)+('store&amp;sf'!$CG$304)/4</f>
        <v>2.3278000000000043</v>
      </c>
      <c r="S351" s="752">
        <f>+(R351/R345-1)*100</f>
        <v>-5.7494533970361639</v>
      </c>
      <c r="T351" s="831" t="e">
        <f>+T350+(CJ228*yrSales!AC311/1000000)+('store&amp;sf'!$CK$304/4)</f>
        <v>#DIV/0!</v>
      </c>
      <c r="U351" s="752" t="e">
        <f>+(T351/T345-1)*100</f>
        <v>#DIV/0!</v>
      </c>
      <c r="V351" s="2416">
        <v>8.1000000000000003E-2</v>
      </c>
      <c r="W351" s="308">
        <f>+(V351/V345-1)*100</f>
        <v>0</v>
      </c>
      <c r="X351" s="2416">
        <f>0.095+0.009</f>
        <v>0.104</v>
      </c>
      <c r="Y351" s="308"/>
      <c r="Z351" s="831">
        <f>+Z350</f>
        <v>0</v>
      </c>
      <c r="AA351" s="836">
        <f>+R351-R348</f>
        <v>2.3278000000000043</v>
      </c>
      <c r="AB351" s="322"/>
      <c r="AC351" s="308"/>
      <c r="AD351" s="307"/>
      <c r="AE351" s="308"/>
      <c r="AF351" s="307"/>
      <c r="AG351" s="308"/>
      <c r="AH351" s="307"/>
      <c r="AI351" s="308"/>
      <c r="AJ351" s="307"/>
      <c r="AK351" s="308"/>
      <c r="AL351" s="307"/>
      <c r="AM351" s="308"/>
      <c r="AN351" s="307"/>
      <c r="AO351" s="308"/>
      <c r="AP351" s="30"/>
      <c r="AQ351" s="2417">
        <v>11.788</v>
      </c>
      <c r="AR351" s="308">
        <f>+(AQ351/AQ345-1)*100</f>
        <v>2.4598000869187286</v>
      </c>
      <c r="AS351" s="308"/>
      <c r="AT351" s="30"/>
      <c r="AU351" s="429"/>
      <c r="AV351" s="30"/>
      <c r="AW351" s="341"/>
      <c r="AX351" s="341"/>
      <c r="AY351" s="24"/>
      <c r="AZ351" s="341"/>
      <c r="BA351" s="341"/>
      <c r="BB351" s="24"/>
      <c r="BC351" s="338"/>
      <c r="BD351" s="338"/>
      <c r="BE351" s="338"/>
      <c r="BF351" s="308"/>
      <c r="BG351" s="338"/>
      <c r="BH351" s="338"/>
      <c r="BI351" s="338"/>
      <c r="BJ351" s="308"/>
      <c r="BK351" s="302"/>
      <c r="BL351" s="302"/>
      <c r="BM351" s="302"/>
      <c r="BN351" s="308"/>
      <c r="BO351" s="302"/>
      <c r="BP351" s="302"/>
      <c r="BQ351" s="307"/>
      <c r="BR351" s="307"/>
      <c r="BS351" s="308"/>
      <c r="BT351" s="302"/>
      <c r="BU351" s="302"/>
      <c r="BV351" s="302"/>
      <c r="BW351" s="302"/>
      <c r="BX351" s="308"/>
      <c r="BY351" s="302"/>
      <c r="BZ351" s="302"/>
      <c r="CA351" s="302"/>
      <c r="CB351" s="302"/>
      <c r="CC351" s="308"/>
      <c r="CD351" s="302"/>
      <c r="CE351" s="302"/>
      <c r="CF351" s="302"/>
      <c r="CG351" s="302"/>
      <c r="CH351" s="308"/>
      <c r="CI351" s="302"/>
      <c r="CJ351" s="302"/>
      <c r="CK351" s="302"/>
      <c r="CL351" s="308"/>
      <c r="CM351" s="302"/>
      <c r="CN351" s="302"/>
      <c r="CO351" s="308"/>
      <c r="CP351" s="302"/>
      <c r="CQ351" s="302"/>
      <c r="CR351" s="308"/>
      <c r="CS351" s="302"/>
      <c r="CT351" s="302"/>
      <c r="CU351" s="308"/>
      <c r="CV351" s="302"/>
      <c r="CW351" s="302"/>
      <c r="CX351" s="308"/>
      <c r="CY351" s="302"/>
      <c r="CZ351" s="302"/>
      <c r="DA351" s="308"/>
      <c r="DB351" s="302"/>
      <c r="DC351" s="302"/>
      <c r="DD351" s="308"/>
      <c r="DE351" s="302"/>
      <c r="DF351" s="302"/>
      <c r="DG351" s="308"/>
      <c r="DH351" s="306"/>
      <c r="DI351" s="306"/>
      <c r="DJ351" s="306"/>
      <c r="DK351" s="306"/>
      <c r="DL351" s="630"/>
    </row>
    <row r="352" spans="1:116">
      <c r="A352" s="310" t="str">
        <f>A170</f>
        <v>4Q</v>
      </c>
      <c r="B352" s="310" t="str">
        <f>B170</f>
        <v>Jan</v>
      </c>
      <c r="C352" s="24"/>
      <c r="D352" s="24"/>
      <c r="E352" s="24"/>
      <c r="F352" s="24"/>
      <c r="G352" s="305"/>
      <c r="H352" s="2416">
        <v>0.38400000000000001</v>
      </c>
      <c r="I352" s="589">
        <f>+(H352/H346-1)*100</f>
        <v>-15.044247787610621</v>
      </c>
      <c r="J352" s="2416">
        <f>6.479+0.438+0.357+0.035</f>
        <v>7.3090000000000002</v>
      </c>
      <c r="K352" s="308">
        <f>+(J352/J346-1)*100</f>
        <v>4.3248644019411975</v>
      </c>
      <c r="L352" s="2416">
        <f>3.749+0.242</f>
        <v>3.9910000000000001</v>
      </c>
      <c r="M352" s="308">
        <f>+(L352/L346-1)*100</f>
        <v>2.5436793422404902</v>
      </c>
      <c r="N352" s="831">
        <f>+N351+(BT229*yrSales!$AD$216/1000000)+('store&amp;sf'!BU229*yrSales!AD$216/1000000)+BV352/4+BW352/4</f>
        <v>-1.8285</v>
      </c>
      <c r="O352" s="752">
        <f>+(N352/N346-1)*100</f>
        <v>17.929700096742994</v>
      </c>
      <c r="P352" s="831">
        <f>+P351+(BZ229*yrSales!$AC$217/1000000)</f>
        <v>0.15089999999999998</v>
      </c>
      <c r="Q352" s="752">
        <f>+(P352/P346-1)*100</f>
        <v>0</v>
      </c>
      <c r="R352" s="832">
        <f>+R351+(CD229*yrSales!$AC$218/1000000)+CE352/4+(CF229*yrSales!$AC$218/1000000)+('store&amp;sf'!$CG$304)/4</f>
        <v>2.2745500000000045</v>
      </c>
      <c r="S352" s="752">
        <f>+(R352/R346-1)*100</f>
        <v>-5.8761457449669656</v>
      </c>
      <c r="T352" s="831" t="e">
        <f>+T351+(CJ229*yrSales!AC311/1000000)+('store&amp;sf'!$CK$304/4)</f>
        <v>#DIV/0!</v>
      </c>
      <c r="U352" s="752" t="e">
        <f>+(T352/T346-1)*100</f>
        <v>#DIV/0!</v>
      </c>
      <c r="V352" s="2416">
        <v>8.1000000000000003E-2</v>
      </c>
      <c r="W352" s="308">
        <f>+(V352/V346-1)*100</f>
        <v>0</v>
      </c>
      <c r="X352" s="2416">
        <f>0.128+0.009</f>
        <v>0.13700000000000001</v>
      </c>
      <c r="Y352" s="308"/>
      <c r="Z352" s="831">
        <f>+Z351</f>
        <v>0</v>
      </c>
      <c r="AA352" s="836">
        <f>+R352-R349</f>
        <v>-0.12424999999999953</v>
      </c>
      <c r="AB352" s="322"/>
      <c r="AC352" s="308"/>
      <c r="AD352" s="307"/>
      <c r="AE352" s="308"/>
      <c r="AF352" s="307"/>
      <c r="AG352" s="308"/>
      <c r="AH352" s="307"/>
      <c r="AI352" s="308"/>
      <c r="AJ352" s="307"/>
      <c r="AK352" s="308"/>
      <c r="AL352" s="307"/>
      <c r="AM352" s="308"/>
      <c r="AN352" s="307"/>
      <c r="AO352" s="308"/>
      <c r="AP352" s="30"/>
      <c r="AQ352" s="2417">
        <v>11.901999999999999</v>
      </c>
      <c r="AR352" s="308">
        <f>+(AQ352/AQ346-1)*100</f>
        <v>3.1726768377253745</v>
      </c>
      <c r="AS352" s="30"/>
      <c r="AT352" s="24"/>
      <c r="AU352" s="24"/>
      <c r="AV352" s="24"/>
      <c r="AW352" s="30"/>
      <c r="AX352" s="30"/>
      <c r="AY352" s="30"/>
      <c r="AZ352" s="30"/>
      <c r="BA352" s="320"/>
      <c r="BB352" s="30"/>
      <c r="BC352" s="341">
        <v>0</v>
      </c>
      <c r="BD352" s="341">
        <f>0.003/9</f>
        <v>3.3333333333333332E-4</v>
      </c>
      <c r="BE352" s="341">
        <f>-0.007/5</f>
        <v>-1.4E-3</v>
      </c>
      <c r="BF352" s="24"/>
      <c r="BG352" s="580">
        <f>+(0.031+0.174+0.087+0.032)/(5+49+8+3)</f>
        <v>4.9846153846153842E-3</v>
      </c>
      <c r="BH352" s="631">
        <f>(0.083)/18</f>
        <v>4.611111111111111E-3</v>
      </c>
      <c r="BI352" s="340">
        <f>0.096/89</f>
        <v>1.0786516853932586E-3</v>
      </c>
      <c r="BJ352" s="581"/>
      <c r="BK352" s="580">
        <f>(0.019+0.018)/(7+8)</f>
        <v>2.4666666666666665E-3</v>
      </c>
      <c r="BL352" s="580">
        <f>+(0.058+0.001)/(26+1)</f>
        <v>2.1851851851851854E-3</v>
      </c>
      <c r="BM352" s="580">
        <f>-0.002/58</f>
        <v>-3.4482758620689657E-5</v>
      </c>
      <c r="BN352" s="581"/>
      <c r="BO352" s="580">
        <v>0</v>
      </c>
      <c r="BP352" s="580">
        <v>0</v>
      </c>
      <c r="BQ352" s="580"/>
      <c r="BR352" s="580"/>
      <c r="BS352" s="581"/>
      <c r="BT352" s="580">
        <v>0</v>
      </c>
      <c r="BU352" s="580">
        <v>-0.17699999999999999</v>
      </c>
      <c r="BV352" s="580">
        <v>-0.55000000000000004</v>
      </c>
      <c r="BW352" s="580">
        <v>-6.0000000000000001E-3</v>
      </c>
      <c r="BX352" s="581"/>
      <c r="BY352" s="580">
        <v>0</v>
      </c>
      <c r="BZ352" s="580">
        <v>-0.129</v>
      </c>
      <c r="CA352" s="580">
        <v>0</v>
      </c>
      <c r="CB352" s="580">
        <v>0</v>
      </c>
      <c r="CC352" s="581"/>
      <c r="CD352" s="580">
        <v>1.2E-2</v>
      </c>
      <c r="CE352" s="580">
        <v>-0.14199999999999999</v>
      </c>
      <c r="CF352" s="580">
        <v>0.53800000000000003</v>
      </c>
      <c r="CG352" s="580">
        <v>-7.0999999999999994E-2</v>
      </c>
      <c r="CH352" s="581"/>
      <c r="CI352" s="580">
        <v>0</v>
      </c>
      <c r="CJ352" s="580">
        <v>-0.17299999999999999</v>
      </c>
      <c r="CK352" s="580">
        <v>-6.9000000000000006E-2</v>
      </c>
      <c r="CL352" s="581"/>
      <c r="CM352" s="580"/>
      <c r="CN352" s="580"/>
      <c r="CO352" s="581"/>
      <c r="CP352" s="340"/>
      <c r="CQ352" s="340"/>
      <c r="CR352" s="24"/>
      <c r="CS352" s="24"/>
      <c r="CT352" s="305"/>
      <c r="CU352" s="24"/>
      <c r="CV352" s="24"/>
      <c r="CW352" s="305"/>
      <c r="CX352" s="24"/>
      <c r="CY352" s="24"/>
      <c r="CZ352" s="305"/>
      <c r="DA352" s="24"/>
      <c r="DB352" s="24"/>
      <c r="DC352" s="305"/>
      <c r="DD352" s="24"/>
      <c r="DE352" s="24"/>
      <c r="DF352" s="305"/>
      <c r="DG352" s="24"/>
      <c r="DH352" s="342">
        <f>+BG352+BK352+BO352+BC352</f>
        <v>7.4512820512820507E-3</v>
      </c>
      <c r="DI352" s="342">
        <f>+BH352+BL352+BP352+BD352</f>
        <v>7.1296296296296299E-3</v>
      </c>
      <c r="DJ352" s="342">
        <f>+BI352+BM352</f>
        <v>1.0441689267725689E-3</v>
      </c>
      <c r="DK352" s="342">
        <f>+BJ352+BS352+CM352+BG352</f>
        <v>4.9846153846153842E-3</v>
      </c>
      <c r="DL352" s="320"/>
    </row>
    <row r="353" spans="1:116">
      <c r="A353" s="310"/>
      <c r="B353" s="310"/>
      <c r="C353" s="24"/>
      <c r="D353" s="24"/>
      <c r="E353" s="24"/>
      <c r="F353" s="24"/>
      <c r="G353" s="305"/>
      <c r="H353" s="923"/>
      <c r="I353" s="662"/>
      <c r="J353" s="929"/>
      <c r="K353" s="662"/>
      <c r="L353" s="922"/>
      <c r="M353" s="168"/>
      <c r="N353" s="663"/>
      <c r="O353" s="168"/>
      <c r="P353" s="663"/>
      <c r="Q353" s="168"/>
      <c r="R353" s="664"/>
      <c r="S353" s="168"/>
      <c r="T353" s="663"/>
      <c r="U353" s="168"/>
      <c r="V353" s="168"/>
      <c r="W353" s="168"/>
      <c r="X353" s="168"/>
      <c r="Y353" s="168"/>
      <c r="Z353" s="663"/>
      <c r="AA353" s="24"/>
      <c r="AB353" s="24"/>
      <c r="AC353" s="24"/>
      <c r="AD353" s="24"/>
      <c r="AE353" s="24"/>
      <c r="AF353" s="30"/>
      <c r="AG353" s="30"/>
      <c r="AH353" s="30"/>
      <c r="AI353" s="30"/>
      <c r="AJ353" s="30"/>
      <c r="AK353" s="30"/>
      <c r="AL353" s="30"/>
      <c r="AM353" s="30"/>
      <c r="AN353" s="30"/>
      <c r="AO353" s="30"/>
      <c r="AP353" s="24"/>
      <c r="AQ353" s="593"/>
      <c r="AR353" s="30"/>
      <c r="AS353" s="30"/>
      <c r="AT353" s="24"/>
      <c r="AU353" s="24"/>
      <c r="AV353" s="24"/>
      <c r="AW353" s="30"/>
      <c r="AX353" s="30"/>
      <c r="AY353" s="30"/>
      <c r="AZ353" s="30"/>
      <c r="BA353" s="320"/>
      <c r="BB353" s="30"/>
      <c r="BC353" s="320"/>
      <c r="BD353" s="320"/>
      <c r="BE353" s="320"/>
      <c r="BF353" s="30"/>
      <c r="BG353" s="419"/>
      <c r="BH353" s="320"/>
      <c r="BI353" s="320"/>
      <c r="BJ353" s="30"/>
      <c r="BK353" s="30"/>
      <c r="BL353" s="320"/>
      <c r="BM353" s="320"/>
      <c r="BN353" s="30"/>
      <c r="BO353" s="30"/>
      <c r="BP353" s="320"/>
      <c r="BQ353" s="320"/>
      <c r="BR353" s="320"/>
      <c r="BS353" s="30"/>
      <c r="BT353" s="30"/>
      <c r="BU353" s="320"/>
      <c r="BV353" s="658"/>
      <c r="BW353" s="320"/>
      <c r="BX353" s="30"/>
      <c r="BY353" s="30"/>
      <c r="BZ353" s="320"/>
      <c r="CA353" s="320"/>
      <c r="CB353" s="320"/>
      <c r="CC353" s="30"/>
      <c r="CD353" s="30"/>
      <c r="CE353" s="320"/>
      <c r="CF353" s="320"/>
      <c r="CG353" s="320"/>
      <c r="CH353" s="30"/>
      <c r="CI353" s="30"/>
      <c r="CJ353" s="320"/>
      <c r="CK353" s="320"/>
      <c r="CL353" s="30"/>
      <c r="CM353" s="30"/>
      <c r="CN353" s="320"/>
      <c r="CO353" s="30"/>
      <c r="CP353" s="30"/>
      <c r="CQ353" s="320"/>
      <c r="CR353" s="30"/>
      <c r="CS353" s="30"/>
      <c r="CT353" s="320"/>
      <c r="CU353" s="30"/>
      <c r="CV353" s="30"/>
      <c r="CW353" s="320"/>
      <c r="CX353" s="30"/>
      <c r="CY353" s="30"/>
      <c r="CZ353" s="320"/>
      <c r="DA353" s="30"/>
      <c r="DB353" s="30"/>
      <c r="DC353" s="320"/>
      <c r="DD353" s="30"/>
      <c r="DE353" s="30"/>
      <c r="DF353" s="320"/>
      <c r="DG353" s="30"/>
      <c r="DH353" s="24"/>
      <c r="DI353" s="320"/>
      <c r="DJ353" s="320"/>
      <c r="DK353" s="320"/>
      <c r="DL353" s="320"/>
    </row>
    <row r="354" spans="1:116">
      <c r="A354" s="301"/>
      <c r="B354" s="312" t="str">
        <f>B172</f>
        <v>2016E</v>
      </c>
      <c r="C354" s="339"/>
      <c r="D354" s="321"/>
      <c r="E354" s="308"/>
      <c r="F354" s="321"/>
      <c r="G354" s="317"/>
      <c r="H354" s="1082"/>
      <c r="I354" s="589"/>
      <c r="J354" s="1082"/>
      <c r="K354" s="589"/>
      <c r="L354" s="1082"/>
      <c r="M354" s="589"/>
      <c r="N354" s="833"/>
      <c r="O354" s="834"/>
      <c r="P354" s="833"/>
      <c r="Q354" s="834"/>
      <c r="R354" s="835"/>
      <c r="S354" s="834"/>
      <c r="T354" s="833"/>
      <c r="U354" s="834"/>
      <c r="V354" s="1082"/>
      <c r="W354" s="589"/>
      <c r="X354" s="589"/>
      <c r="Y354" s="589"/>
      <c r="Z354" s="833"/>
      <c r="AA354" s="836"/>
      <c r="AB354" s="314"/>
      <c r="AC354" s="308"/>
      <c r="AD354" s="307"/>
      <c r="AE354" s="308"/>
      <c r="AF354" s="307"/>
      <c r="AG354" s="308"/>
      <c r="AH354" s="307"/>
      <c r="AI354" s="308"/>
      <c r="AJ354" s="307"/>
      <c r="AK354" s="308"/>
      <c r="AL354" s="307"/>
      <c r="AM354" s="308"/>
      <c r="AN354" s="307"/>
      <c r="AO354" s="308"/>
      <c r="AP354" s="30"/>
      <c r="AQ354" s="1095"/>
      <c r="AR354" s="308"/>
      <c r="AS354" s="308"/>
      <c r="AT354" s="30"/>
      <c r="AU354" s="429"/>
      <c r="AV354" s="30"/>
      <c r="AW354" s="341"/>
      <c r="AX354" s="341"/>
      <c r="AY354" s="24"/>
      <c r="AZ354" s="341"/>
      <c r="BA354" s="341"/>
      <c r="BB354" s="24"/>
      <c r="BC354" s="341"/>
      <c r="BD354" s="341"/>
      <c r="BE354" s="341"/>
      <c r="BF354" s="24"/>
      <c r="BG354" s="580"/>
      <c r="BH354" s="631"/>
      <c r="BI354" s="340"/>
      <c r="BJ354" s="581"/>
      <c r="BK354" s="580"/>
      <c r="BL354" s="580"/>
      <c r="BM354" s="580"/>
      <c r="BN354" s="581"/>
      <c r="BO354" s="580"/>
      <c r="BP354" s="580"/>
      <c r="BQ354" s="580"/>
      <c r="BR354" s="580"/>
      <c r="BS354" s="581"/>
      <c r="BT354" s="580"/>
      <c r="BU354" s="580"/>
      <c r="BV354" s="580"/>
      <c r="BW354" s="580"/>
      <c r="BX354" s="581"/>
      <c r="BY354" s="580"/>
      <c r="BZ354" s="580"/>
      <c r="CA354" s="580"/>
      <c r="CB354" s="580"/>
      <c r="CC354" s="581"/>
      <c r="CD354" s="580"/>
      <c r="CE354" s="580"/>
      <c r="CF354" s="580"/>
      <c r="CG354" s="580"/>
      <c r="CH354" s="581"/>
      <c r="CI354" s="580"/>
      <c r="CJ354" s="580"/>
      <c r="CK354" s="580"/>
      <c r="CL354" s="581"/>
      <c r="CM354" s="580"/>
      <c r="CN354" s="580"/>
      <c r="CO354" s="581"/>
      <c r="CP354" s="340"/>
      <c r="CQ354" s="340"/>
      <c r="CR354" s="24"/>
      <c r="CS354" s="24"/>
      <c r="CT354" s="305"/>
      <c r="CU354" s="24"/>
      <c r="CV354" s="24"/>
      <c r="CW354" s="305"/>
      <c r="CX354" s="24"/>
      <c r="CY354" s="24"/>
      <c r="CZ354" s="305"/>
      <c r="DA354" s="24"/>
      <c r="DB354" s="24"/>
      <c r="DC354" s="305"/>
      <c r="DD354" s="24"/>
      <c r="DE354" s="24"/>
      <c r="DF354" s="305"/>
      <c r="DG354" s="24"/>
      <c r="DH354" s="630"/>
      <c r="DI354" s="630"/>
      <c r="DJ354" s="630"/>
      <c r="DK354" s="630"/>
      <c r="DL354" s="630"/>
    </row>
    <row r="355" spans="1:116">
      <c r="A355" s="310" t="str">
        <f>A173</f>
        <v>1Q</v>
      </c>
      <c r="B355" s="310" t="str">
        <f>B173</f>
        <v>Apr</v>
      </c>
      <c r="C355" s="339"/>
      <c r="D355" s="321"/>
      <c r="E355" s="308"/>
      <c r="F355" s="321"/>
      <c r="G355" s="317"/>
      <c r="H355" s="2416">
        <v>0.38200000000000001</v>
      </c>
      <c r="I355" s="589">
        <f>+(H355/H349-1)*100</f>
        <v>-10.11764705882352</v>
      </c>
      <c r="J355" s="2416">
        <f>6.495+0.442+0.357+0.035</f>
        <v>7.3290000000000006</v>
      </c>
      <c r="K355" s="308">
        <f>+(J355/J349-1)*100</f>
        <v>4.1051136363636553</v>
      </c>
      <c r="L355" s="2416">
        <f>3.76+0.244</f>
        <v>4.0039999999999996</v>
      </c>
      <c r="M355" s="308">
        <f>+(L355/L349-1)*100</f>
        <v>2.6403486285567546</v>
      </c>
      <c r="N355" s="831">
        <f>+N352+(BT232*yrSales!$AD$216/1000000)+('store&amp;sf'!BU232*yrSales!AD$216/1000000)+BV356/4+BW356/4</f>
        <v>-1.8285</v>
      </c>
      <c r="O355" s="752">
        <f>+(N355/N349-1)*100</f>
        <v>17.929700096742994</v>
      </c>
      <c r="P355" s="831">
        <f>+P352+(BZ232*yrSales!$AC$217/1000000)</f>
        <v>0.15089999999999998</v>
      </c>
      <c r="Q355" s="752">
        <f>+(P355/P349-1)*100</f>
        <v>0</v>
      </c>
      <c r="R355" s="832">
        <f>+R352+(CD232*yrSales!$AC$218/1000000)+CE356/4+(CF232*yrSales!$AC$218/1000000)+('store&amp;sf'!$CG$304)/4</f>
        <v>2.2568000000000046</v>
      </c>
      <c r="S355" s="752">
        <f>+(R355/R349-1)*100</f>
        <v>-5.9196264799065919</v>
      </c>
      <c r="T355" s="831" t="e">
        <f>+T352+(CJ232*yrSales!AC315/1000000)+('store&amp;sf'!$CK$304/4)</f>
        <v>#DIV/0!</v>
      </c>
      <c r="U355" s="752" t="e">
        <f>+(T355/T349-1)*100</f>
        <v>#DIV/0!</v>
      </c>
      <c r="V355" s="2416">
        <v>8.1000000000000003E-2</v>
      </c>
      <c r="W355" s="308">
        <f>+(V355/V349-1)*100</f>
        <v>0</v>
      </c>
      <c r="X355" s="2416">
        <f>0.128+0.011+0.029</f>
        <v>0.16800000000000001</v>
      </c>
      <c r="Y355" s="308"/>
      <c r="Z355" s="831">
        <f>+Z352</f>
        <v>0</v>
      </c>
      <c r="AA355" s="836">
        <f>+R355-R352</f>
        <v>-1.7749999999999932E-2</v>
      </c>
      <c r="AB355" s="322"/>
      <c r="AC355" s="308"/>
      <c r="AD355" s="307"/>
      <c r="AE355" s="308"/>
      <c r="AF355" s="307"/>
      <c r="AG355" s="308"/>
      <c r="AH355" s="307"/>
      <c r="AI355" s="308"/>
      <c r="AJ355" s="307"/>
      <c r="AK355" s="308"/>
      <c r="AL355" s="307"/>
      <c r="AM355" s="308"/>
      <c r="AN355" s="307"/>
      <c r="AO355" s="308"/>
      <c r="AP355" s="30"/>
      <c r="AQ355" s="2417">
        <v>11.964</v>
      </c>
      <c r="AR355" s="308">
        <f>+(AQ355/AQ349-1)*100</f>
        <v>3.5664819944598358</v>
      </c>
      <c r="AS355" s="308"/>
      <c r="AT355" s="30"/>
      <c r="AU355" s="429"/>
      <c r="AV355" s="30"/>
      <c r="AW355" s="341"/>
      <c r="AX355" s="341"/>
      <c r="AY355" s="24"/>
      <c r="AZ355" s="341"/>
      <c r="BA355" s="341"/>
      <c r="BB355" s="24"/>
      <c r="BC355" s="341"/>
      <c r="BD355" s="341"/>
      <c r="BE355" s="341"/>
      <c r="BF355" s="24"/>
      <c r="BG355" s="580"/>
      <c r="BH355" s="631"/>
      <c r="BI355" s="340"/>
      <c r="BJ355" s="581"/>
      <c r="BK355" s="580"/>
      <c r="BL355" s="580"/>
      <c r="BM355" s="580"/>
      <c r="BN355" s="581"/>
      <c r="BO355" s="580"/>
      <c r="BP355" s="580"/>
      <c r="BQ355" s="580"/>
      <c r="BR355" s="580"/>
      <c r="BS355" s="581"/>
      <c r="BT355" s="580"/>
      <c r="BU355" s="580"/>
      <c r="BV355" s="580"/>
      <c r="BW355" s="580"/>
      <c r="BX355" s="581"/>
      <c r="BY355" s="580"/>
      <c r="BZ355" s="580"/>
      <c r="CA355" s="580"/>
      <c r="CB355" s="580"/>
      <c r="CC355" s="581"/>
      <c r="CD355" s="580"/>
      <c r="CE355" s="580"/>
      <c r="CF355" s="580"/>
      <c r="CG355" s="580"/>
      <c r="CH355" s="581"/>
      <c r="CI355" s="580"/>
      <c r="CJ355" s="580"/>
      <c r="CK355" s="580"/>
      <c r="CL355" s="581"/>
      <c r="CM355" s="580"/>
      <c r="CN355" s="580"/>
      <c r="CO355" s="581"/>
      <c r="CP355" s="340"/>
      <c r="CQ355" s="340"/>
      <c r="CR355" s="24"/>
      <c r="CS355" s="24"/>
      <c r="CT355" s="305"/>
      <c r="CU355" s="24"/>
      <c r="CV355" s="24"/>
      <c r="CW355" s="305"/>
      <c r="CX355" s="24"/>
      <c r="CY355" s="24"/>
      <c r="CZ355" s="305"/>
      <c r="DA355" s="24"/>
      <c r="DB355" s="24"/>
      <c r="DC355" s="305"/>
      <c r="DD355" s="24"/>
      <c r="DE355" s="24"/>
      <c r="DF355" s="305"/>
      <c r="DG355" s="24"/>
      <c r="DH355" s="630"/>
      <c r="DI355" s="630"/>
      <c r="DJ355" s="630"/>
      <c r="DK355" s="630"/>
      <c r="DL355" s="630"/>
    </row>
    <row r="356" spans="1:116">
      <c r="A356" s="310" t="str">
        <f>A174</f>
        <v>2Q</v>
      </c>
      <c r="B356" s="310" t="str">
        <f>B174</f>
        <v>Jul</v>
      </c>
      <c r="C356" s="339"/>
      <c r="D356" s="321"/>
      <c r="E356" s="308"/>
      <c r="F356" s="321"/>
      <c r="G356" s="317"/>
      <c r="H356" s="2554">
        <v>0.379</v>
      </c>
      <c r="I356" s="589">
        <f>+(H356/H350-1)*100</f>
        <v>-10.401891252955075</v>
      </c>
      <c r="J356" s="2416">
        <f>6.555+0.445+0.357+0.035</f>
        <v>7.3920000000000003</v>
      </c>
      <c r="K356" s="308">
        <f>+(J356/J350-1)*100</f>
        <v>4.2742276766822185</v>
      </c>
      <c r="L356" s="2416">
        <f>3.813+0.252</f>
        <v>4.0650000000000004</v>
      </c>
      <c r="M356" s="308">
        <f>+(L356/L350-1)*100</f>
        <v>3.6725325172149992</v>
      </c>
      <c r="N356" s="831">
        <f>+N355+(BT233*yrSales!$AD$216/1000000)+('store&amp;sf'!BU233*yrSales!AD$216/1000000)+BV357/4+BW357/4</f>
        <v>-1.8285</v>
      </c>
      <c r="O356" s="752">
        <f>+(N356/N350-1)*100</f>
        <v>17.929700096742994</v>
      </c>
      <c r="P356" s="831">
        <f>+P355+(BZ233*yrSales!$AC$217/1000000)</f>
        <v>0.15089999999999998</v>
      </c>
      <c r="Q356" s="752">
        <f>+(P356/P350-1)*100</f>
        <v>0</v>
      </c>
      <c r="R356" s="832">
        <f>+R355+(CD233*yrSales!$AC$218/1000000)+CE357/4+(CF233*yrSales!$AC$218/1000000)+('store&amp;sf'!$CG$304)/4</f>
        <v>2.2390500000000046</v>
      </c>
      <c r="S356" s="752">
        <f>+(R356/R350-1)*100</f>
        <v>-5.9637554860250352</v>
      </c>
      <c r="T356" s="831" t="e">
        <f>+T355+(CJ233*yrSales!AC316/1000000)+('store&amp;sf'!$CK$304/4)</f>
        <v>#DIV/0!</v>
      </c>
      <c r="U356" s="752" t="e">
        <f>+(T356/T350-1)*100</f>
        <v>#DIV/0!</v>
      </c>
      <c r="V356" s="2416">
        <v>8.1000000000000003E-2</v>
      </c>
      <c r="W356" s="308">
        <f>+(V356/V350-1)*100</f>
        <v>0</v>
      </c>
      <c r="X356" s="2416">
        <f>0.136+0.011+0.029</f>
        <v>0.17600000000000002</v>
      </c>
      <c r="Y356" s="308"/>
      <c r="Z356" s="831">
        <f>+Z355</f>
        <v>0</v>
      </c>
      <c r="AA356" s="836">
        <f>+R356-R353</f>
        <v>2.2390500000000046</v>
      </c>
      <c r="AB356" s="322"/>
      <c r="AC356" s="308"/>
      <c r="AD356" s="307"/>
      <c r="AE356" s="308"/>
      <c r="AF356" s="307"/>
      <c r="AG356" s="308"/>
      <c r="AH356" s="307"/>
      <c r="AI356" s="308"/>
      <c r="AJ356" s="307"/>
      <c r="AK356" s="308"/>
      <c r="AL356" s="307"/>
      <c r="AM356" s="308"/>
      <c r="AN356" s="307"/>
      <c r="AO356" s="308"/>
      <c r="AP356" s="30"/>
      <c r="AQ356" s="2555">
        <v>12.093</v>
      </c>
      <c r="AR356" s="308">
        <f>+(AQ356/AQ350-1)*100</f>
        <v>4.0884833878464422</v>
      </c>
      <c r="AS356" s="308"/>
      <c r="AT356" s="30"/>
      <c r="AU356" s="429"/>
      <c r="AV356" s="30"/>
      <c r="AW356" s="341"/>
      <c r="AX356" s="341"/>
      <c r="AY356" s="24"/>
      <c r="AZ356" s="341"/>
      <c r="BA356" s="341"/>
      <c r="BB356" s="24"/>
      <c r="BC356" s="341"/>
      <c r="BD356" s="341"/>
      <c r="BE356" s="341"/>
      <c r="BF356" s="24"/>
      <c r="BG356" s="580"/>
      <c r="BH356" s="631"/>
      <c r="BI356" s="340"/>
      <c r="BJ356" s="581"/>
      <c r="BK356" s="580"/>
      <c r="BL356" s="580"/>
      <c r="BM356" s="580"/>
      <c r="BN356" s="581"/>
      <c r="BO356" s="580"/>
      <c r="BP356" s="580"/>
      <c r="BQ356" s="580"/>
      <c r="BR356" s="580"/>
      <c r="BS356" s="581"/>
      <c r="BT356" s="580"/>
      <c r="BU356" s="580"/>
      <c r="BV356" s="580"/>
      <c r="BW356" s="580"/>
      <c r="BX356" s="581"/>
      <c r="BY356" s="580"/>
      <c r="BZ356" s="580"/>
      <c r="CA356" s="580"/>
      <c r="CB356" s="580"/>
      <c r="CC356" s="581"/>
      <c r="CD356" s="580"/>
      <c r="CE356" s="580"/>
      <c r="CF356" s="580"/>
      <c r="CG356" s="580"/>
      <c r="CH356" s="581"/>
      <c r="CI356" s="580"/>
      <c r="CJ356" s="580"/>
      <c r="CK356" s="580"/>
      <c r="CL356" s="581"/>
      <c r="CM356" s="580"/>
      <c r="CN356" s="580"/>
      <c r="CO356" s="581"/>
      <c r="CP356" s="340"/>
      <c r="CQ356" s="340"/>
      <c r="CR356" s="24"/>
      <c r="CS356" s="24"/>
      <c r="CT356" s="305"/>
      <c r="CU356" s="24"/>
      <c r="CV356" s="24"/>
      <c r="CW356" s="305"/>
      <c r="CX356" s="24"/>
      <c r="CY356" s="24"/>
      <c r="CZ356" s="305"/>
      <c r="DA356" s="24"/>
      <c r="DB356" s="24"/>
      <c r="DC356" s="305"/>
      <c r="DD356" s="24"/>
      <c r="DE356" s="24"/>
      <c r="DF356" s="305"/>
      <c r="DG356" s="24"/>
      <c r="DH356" s="630"/>
      <c r="DI356" s="630"/>
      <c r="DJ356" s="630"/>
      <c r="DK356" s="630"/>
      <c r="DL356" s="630"/>
    </row>
    <row r="357" spans="1:116">
      <c r="A357" s="310" t="str">
        <f>A175</f>
        <v>3Q</v>
      </c>
      <c r="B357" s="310" t="str">
        <f>B175</f>
        <v>Oct</v>
      </c>
      <c r="C357" s="339"/>
      <c r="D357" s="321"/>
      <c r="E357" s="308"/>
      <c r="F357" s="321"/>
      <c r="G357" s="317"/>
      <c r="H357" s="2554">
        <f>0.379+0.008</f>
        <v>0.38700000000000001</v>
      </c>
      <c r="I357" s="589">
        <f>+(H357/H351-1)*100</f>
        <v>-3.9702233250620389</v>
      </c>
      <c r="J357" s="2416">
        <f>6.7+0.454+0.361+0.035</f>
        <v>7.55</v>
      </c>
      <c r="K357" s="308">
        <f>+(J357/J351-1)*100</f>
        <v>4.5272047625640299</v>
      </c>
      <c r="L357" s="2416">
        <f>3.891+0.253</f>
        <v>4.1440000000000001</v>
      </c>
      <c r="M357" s="308">
        <f>+(L357/L351-1)*100</f>
        <v>4.199145084234357</v>
      </c>
      <c r="N357" s="831">
        <f>+N356+(BT234*yrSales!$AD$216/1000000)+('store&amp;sf'!BU234*yrSales!AD$216/1000000)+BV358/4+BW358/4</f>
        <v>-1.9675</v>
      </c>
      <c r="O357" s="752">
        <f>+(N357/N351-1)*100</f>
        <v>16.454572358685994</v>
      </c>
      <c r="P357" s="831">
        <f>+P356+(BZ234*yrSales!$AC$217/1000000)</f>
        <v>0.15089999999999998</v>
      </c>
      <c r="Q357" s="752">
        <f>+(P357/P351-1)*100</f>
        <v>0</v>
      </c>
      <c r="R357" s="832">
        <f>+R356+(CD234*yrSales!$AC$218/1000000)+CE358/4+(CF234*yrSales!$AC$218/1000000)+('store&amp;sf'!$CG$304)/4</f>
        <v>2.1858000000000049</v>
      </c>
      <c r="S357" s="752">
        <f>+(R357/R351-1)*100</f>
        <v>-6.1001804278717708</v>
      </c>
      <c r="T357" s="831" t="e">
        <f>+T356+(CJ234*yrSales!AC317/1000000)+('store&amp;sf'!$CK$304/4)</f>
        <v>#DIV/0!</v>
      </c>
      <c r="U357" s="752" t="e">
        <f>+(T357/T351-1)*100</f>
        <v>#DIV/0!</v>
      </c>
      <c r="V357" s="2416">
        <v>8.1000000000000003E-2</v>
      </c>
      <c r="W357" s="308">
        <f>+(V357/V351-1)*100</f>
        <v>0</v>
      </c>
      <c r="X357" s="2416">
        <f>0.144+0.011+0.03</f>
        <v>0.185</v>
      </c>
      <c r="Y357" s="308"/>
      <c r="Z357" s="831">
        <f>+Z356</f>
        <v>0</v>
      </c>
      <c r="AA357" s="836">
        <f>+R357-R354</f>
        <v>2.1858000000000049</v>
      </c>
      <c r="AB357" s="322"/>
      <c r="AC357" s="308"/>
      <c r="AD357" s="307"/>
      <c r="AE357" s="308"/>
      <c r="AF357" s="307"/>
      <c r="AG357" s="308"/>
      <c r="AH357" s="307"/>
      <c r="AI357" s="308"/>
      <c r="AJ357" s="307"/>
      <c r="AK357" s="308"/>
      <c r="AL357" s="307"/>
      <c r="AM357" s="308"/>
      <c r="AN357" s="307"/>
      <c r="AO357" s="308"/>
      <c r="AP357" s="30"/>
      <c r="AQ357" s="2555">
        <v>12.347</v>
      </c>
      <c r="AR357" s="308">
        <f>+(AQ357/AQ351-1)*100</f>
        <v>4.7421106209704744</v>
      </c>
      <c r="AS357" s="308"/>
      <c r="AT357" s="30"/>
      <c r="AU357" s="429"/>
      <c r="AV357" s="30"/>
      <c r="AW357" s="341"/>
      <c r="AX357" s="341"/>
      <c r="AY357" s="24"/>
      <c r="AZ357" s="341"/>
      <c r="BA357" s="341"/>
      <c r="BB357" s="24"/>
      <c r="BC357" s="338"/>
      <c r="BD357" s="338"/>
      <c r="BE357" s="338"/>
      <c r="BF357" s="308"/>
      <c r="BG357" s="338"/>
      <c r="BH357" s="338"/>
      <c r="BI357" s="338"/>
      <c r="BJ357" s="308"/>
      <c r="BK357" s="302"/>
      <c r="BL357" s="302"/>
      <c r="BM357" s="302"/>
      <c r="BN357" s="308"/>
      <c r="BO357" s="302"/>
      <c r="BP357" s="302"/>
      <c r="BQ357" s="307"/>
      <c r="BR357" s="307"/>
      <c r="BS357" s="308"/>
      <c r="BT357" s="302"/>
      <c r="BU357" s="302"/>
      <c r="BV357" s="302"/>
      <c r="BW357" s="302"/>
      <c r="BX357" s="308"/>
      <c r="BY357" s="302"/>
      <c r="BZ357" s="302"/>
      <c r="CA357" s="302"/>
      <c r="CB357" s="302"/>
      <c r="CC357" s="308"/>
      <c r="CD357" s="302"/>
      <c r="CE357" s="302"/>
      <c r="CF357" s="302"/>
      <c r="CG357" s="302"/>
      <c r="CH357" s="308"/>
      <c r="CI357" s="302"/>
      <c r="CJ357" s="302"/>
      <c r="CK357" s="302"/>
      <c r="CL357" s="308"/>
      <c r="CM357" s="302"/>
      <c r="CN357" s="302"/>
      <c r="CO357" s="308"/>
      <c r="CP357" s="302"/>
      <c r="CQ357" s="302"/>
      <c r="CR357" s="308"/>
      <c r="CS357" s="302"/>
      <c r="CT357" s="302"/>
      <c r="CU357" s="308"/>
      <c r="CV357" s="302"/>
      <c r="CW357" s="302"/>
      <c r="CX357" s="308"/>
      <c r="CY357" s="302"/>
      <c r="CZ357" s="302"/>
      <c r="DA357" s="308"/>
      <c r="DB357" s="302"/>
      <c r="DC357" s="302"/>
      <c r="DD357" s="308"/>
      <c r="DE357" s="302"/>
      <c r="DF357" s="302"/>
      <c r="DG357" s="308"/>
      <c r="DH357" s="306"/>
      <c r="DI357" s="306"/>
      <c r="DJ357" s="306"/>
      <c r="DK357" s="306"/>
      <c r="DL357" s="630"/>
    </row>
    <row r="358" spans="1:116">
      <c r="A358" s="310" t="str">
        <f>A176</f>
        <v>4Q</v>
      </c>
      <c r="B358" s="310" t="str">
        <f>B176</f>
        <v>Jan</v>
      </c>
      <c r="C358" s="24"/>
      <c r="D358" s="24"/>
      <c r="E358" s="24"/>
      <c r="F358" s="24"/>
      <c r="G358" s="305"/>
      <c r="H358" s="2576">
        <f>0.01+0.361</f>
        <v>0.371</v>
      </c>
      <c r="I358" s="589">
        <f>+(H358/H352-1)*100</f>
        <v>-3.3854166666666741</v>
      </c>
      <c r="J358" s="2576">
        <v>7.577</v>
      </c>
      <c r="K358" s="589">
        <f>+(J358/J352-1)*100</f>
        <v>3.6667122725406953</v>
      </c>
      <c r="L358" s="2576">
        <v>4.165</v>
      </c>
      <c r="M358" s="589">
        <f>+(L358/L352-1)*100</f>
        <v>4.3598095715359442</v>
      </c>
      <c r="N358" s="833">
        <f>+N357+(BT235*yrSales!$AD$216/1000000)+('store&amp;sf'!BU235*yrSales!AD$216/1000000)+BV358/4+BW358/4</f>
        <v>-2.1065</v>
      </c>
      <c r="O358" s="834">
        <f>+(N358/N352-1)*100</f>
        <v>15.203718895269347</v>
      </c>
      <c r="P358" s="833">
        <f>+P357+(BZ235*yrSales!$AC$217/1000000)</f>
        <v>0.15089999999999998</v>
      </c>
      <c r="Q358" s="834">
        <f>+(P358/P352-1)*100</f>
        <v>0</v>
      </c>
      <c r="R358" s="835">
        <f>+R357+(CD235*yrSales!$AC$218/1000000)+CE358/4+(CF235*yrSales!$AC$218/1000000)+('store&amp;sf'!$CG$304)/4</f>
        <v>2.1325500000000051</v>
      </c>
      <c r="S358" s="834">
        <f>+(R358/R352-1)*100</f>
        <v>-6.2429931195181148</v>
      </c>
      <c r="T358" s="833" t="e">
        <f>+T357+(CJ235*yrSales!AC317/1000000)+('store&amp;sf'!$CK$304/4)</f>
        <v>#DIV/0!</v>
      </c>
      <c r="U358" s="834" t="e">
        <f>+(T358/T352-1)*100</f>
        <v>#DIV/0!</v>
      </c>
      <c r="V358" s="2576">
        <v>8.1000000000000003E-2</v>
      </c>
      <c r="W358" s="589">
        <f>+(V358/V352-1)*100</f>
        <v>0</v>
      </c>
      <c r="X358" s="2576">
        <f>0.158+0.011+0.032</f>
        <v>0.20100000000000001</v>
      </c>
      <c r="Y358" s="589"/>
      <c r="Z358" s="833">
        <f>+Z357</f>
        <v>0</v>
      </c>
      <c r="AA358" s="836">
        <f>+R358-R355</f>
        <v>-0.12424999999999953</v>
      </c>
      <c r="AB358" s="314"/>
      <c r="AC358" s="308"/>
      <c r="AD358" s="307"/>
      <c r="AE358" s="308"/>
      <c r="AF358" s="307"/>
      <c r="AG358" s="308"/>
      <c r="AH358" s="307"/>
      <c r="AI358" s="308"/>
      <c r="AJ358" s="307"/>
      <c r="AK358" s="308"/>
      <c r="AL358" s="307"/>
      <c r="AM358" s="308"/>
      <c r="AN358" s="307"/>
      <c r="AO358" s="308"/>
      <c r="AP358" s="30"/>
      <c r="AQ358" s="2577">
        <v>12.396000000000001</v>
      </c>
      <c r="AR358" s="308">
        <f>+(AQ358/AQ352-1)*100</f>
        <v>4.1505629305999214</v>
      </c>
      <c r="AS358" s="30"/>
      <c r="AT358" s="24"/>
      <c r="AU358" s="24"/>
      <c r="AV358" s="24"/>
      <c r="AW358" s="30"/>
      <c r="AX358" s="30"/>
      <c r="AY358" s="30"/>
      <c r="AZ358" s="30"/>
      <c r="BA358" s="320"/>
      <c r="BB358" s="30"/>
      <c r="BC358" s="341">
        <v>0</v>
      </c>
      <c r="BD358" s="341">
        <f>0.003/9</f>
        <v>3.3333333333333332E-4</v>
      </c>
      <c r="BE358" s="341">
        <f>-0.007/5</f>
        <v>-1.4E-3</v>
      </c>
      <c r="BF358" s="24"/>
      <c r="BG358" s="580">
        <f>+(0.031+0.174+0.087+0.032)/(5+49+8+3)</f>
        <v>4.9846153846153842E-3</v>
      </c>
      <c r="BH358" s="631">
        <f>(0.083)/18</f>
        <v>4.611111111111111E-3</v>
      </c>
      <c r="BI358" s="340">
        <f>0.096/89</f>
        <v>1.0786516853932586E-3</v>
      </c>
      <c r="BJ358" s="581"/>
      <c r="BK358" s="580">
        <f>(0.019+0.018)/(7+8)</f>
        <v>2.4666666666666665E-3</v>
      </c>
      <c r="BL358" s="580">
        <f>+(0.058+0.001)/(26+1)</f>
        <v>2.1851851851851854E-3</v>
      </c>
      <c r="BM358" s="580">
        <f>-0.002/58</f>
        <v>-3.4482758620689657E-5</v>
      </c>
      <c r="BN358" s="581"/>
      <c r="BO358" s="580">
        <v>0</v>
      </c>
      <c r="BP358" s="580">
        <v>0</v>
      </c>
      <c r="BQ358" s="580"/>
      <c r="BR358" s="580"/>
      <c r="BS358" s="581"/>
      <c r="BT358" s="580">
        <v>0</v>
      </c>
      <c r="BU358" s="580">
        <v>-0.17699999999999999</v>
      </c>
      <c r="BV358" s="580">
        <v>-0.55000000000000004</v>
      </c>
      <c r="BW358" s="580">
        <v>-6.0000000000000001E-3</v>
      </c>
      <c r="BX358" s="581"/>
      <c r="BY358" s="580">
        <v>0</v>
      </c>
      <c r="BZ358" s="580">
        <v>-0.129</v>
      </c>
      <c r="CA358" s="580">
        <v>0</v>
      </c>
      <c r="CB358" s="580">
        <v>0</v>
      </c>
      <c r="CC358" s="581"/>
      <c r="CD358" s="580">
        <v>1.2E-2</v>
      </c>
      <c r="CE358" s="580">
        <v>-0.14199999999999999</v>
      </c>
      <c r="CF358" s="580">
        <v>0.53800000000000003</v>
      </c>
      <c r="CG358" s="580">
        <v>-7.0999999999999994E-2</v>
      </c>
      <c r="CH358" s="581"/>
      <c r="CI358" s="580">
        <v>0</v>
      </c>
      <c r="CJ358" s="580">
        <v>-0.17299999999999999</v>
      </c>
      <c r="CK358" s="580">
        <v>-6.9000000000000006E-2</v>
      </c>
      <c r="CL358" s="581"/>
      <c r="CM358" s="580"/>
      <c r="CN358" s="580"/>
      <c r="CO358" s="581"/>
      <c r="CP358" s="340"/>
      <c r="CQ358" s="340"/>
      <c r="CR358" s="24"/>
      <c r="CS358" s="24"/>
      <c r="CT358" s="305"/>
      <c r="CU358" s="24"/>
      <c r="CV358" s="24"/>
      <c r="CW358" s="305"/>
      <c r="CX358" s="24"/>
      <c r="CY358" s="24"/>
      <c r="CZ358" s="305"/>
      <c r="DA358" s="24"/>
      <c r="DB358" s="24"/>
      <c r="DC358" s="305"/>
      <c r="DD358" s="24"/>
      <c r="DE358" s="24"/>
      <c r="DF358" s="305"/>
      <c r="DG358" s="24"/>
      <c r="DH358" s="342">
        <f>+BG358+BK358+BO358+BC358</f>
        <v>7.4512820512820507E-3</v>
      </c>
      <c r="DI358" s="342">
        <f>+BH358+BL358+BP358+BD358</f>
        <v>7.1296296296296299E-3</v>
      </c>
      <c r="DJ358" s="342">
        <f>+BI358+BM358</f>
        <v>1.0441689267725689E-3</v>
      </c>
      <c r="DK358" s="342">
        <f>+BJ358+BS358+CM358+BG358</f>
        <v>4.9846153846153842E-3</v>
      </c>
      <c r="DL358" s="320"/>
    </row>
    <row r="359" spans="1:116">
      <c r="A359" s="310"/>
      <c r="B359" s="310"/>
      <c r="C359" s="24"/>
      <c r="D359" s="24"/>
      <c r="E359" s="24"/>
      <c r="F359" s="24"/>
      <c r="G359" s="305"/>
      <c r="H359" s="923"/>
      <c r="I359" s="662"/>
      <c r="J359" s="929"/>
      <c r="K359" s="662"/>
      <c r="L359" s="922"/>
      <c r="M359" s="168"/>
      <c r="N359" s="663"/>
      <c r="O359" s="168"/>
      <c r="P359" s="663"/>
      <c r="Q359" s="168"/>
      <c r="R359" s="664"/>
      <c r="S359" s="168"/>
      <c r="T359" s="663"/>
      <c r="U359" s="168"/>
      <c r="V359" s="168"/>
      <c r="W359" s="168"/>
      <c r="X359" s="168"/>
      <c r="Y359" s="168"/>
      <c r="Z359" s="663"/>
      <c r="AA359" s="24"/>
      <c r="AB359" s="24"/>
      <c r="AC359" s="24"/>
      <c r="AD359" s="24"/>
      <c r="AE359" s="24"/>
      <c r="AF359" s="30"/>
      <c r="AG359" s="30"/>
      <c r="AH359" s="30"/>
      <c r="AI359" s="30"/>
      <c r="AJ359" s="30"/>
      <c r="AK359" s="30"/>
      <c r="AL359" s="30"/>
      <c r="AM359" s="30"/>
      <c r="AN359" s="30"/>
      <c r="AO359" s="30"/>
      <c r="AP359" s="24"/>
      <c r="AQ359" s="593"/>
      <c r="AR359" s="30"/>
      <c r="AS359" s="30"/>
      <c r="AT359" s="24"/>
      <c r="AU359" s="24"/>
      <c r="AV359" s="24"/>
      <c r="AW359" s="30"/>
      <c r="AX359" s="30"/>
      <c r="AY359" s="30"/>
      <c r="AZ359" s="30"/>
      <c r="BA359" s="320"/>
      <c r="BB359" s="30"/>
      <c r="BC359" s="320"/>
      <c r="BD359" s="320"/>
      <c r="BE359" s="320"/>
      <c r="BF359" s="30"/>
      <c r="BG359" s="419"/>
      <c r="BH359" s="320"/>
      <c r="BI359" s="320"/>
      <c r="BJ359" s="30"/>
      <c r="BK359" s="30"/>
      <c r="BL359" s="320"/>
      <c r="BM359" s="320"/>
      <c r="BN359" s="30"/>
      <c r="BO359" s="30"/>
      <c r="BP359" s="320"/>
      <c r="BQ359" s="320"/>
      <c r="BR359" s="320"/>
      <c r="BS359" s="30"/>
      <c r="BT359" s="30"/>
      <c r="BU359" s="320"/>
      <c r="BV359" s="658"/>
      <c r="BW359" s="320"/>
      <c r="BX359" s="30"/>
      <c r="BY359" s="30"/>
      <c r="BZ359" s="320"/>
      <c r="CA359" s="320"/>
      <c r="CB359" s="320"/>
      <c r="CC359" s="30"/>
      <c r="CD359" s="30"/>
      <c r="CE359" s="320"/>
      <c r="CF359" s="320"/>
      <c r="CG359" s="320"/>
      <c r="CH359" s="30"/>
      <c r="CI359" s="30"/>
      <c r="CJ359" s="320"/>
      <c r="CK359" s="320"/>
      <c r="CL359" s="30"/>
      <c r="CM359" s="30"/>
      <c r="CN359" s="320"/>
      <c r="CO359" s="30"/>
      <c r="CP359" s="30"/>
      <c r="CQ359" s="320"/>
      <c r="CR359" s="30"/>
      <c r="CS359" s="30"/>
      <c r="CT359" s="320"/>
      <c r="CU359" s="30"/>
      <c r="CV359" s="30"/>
      <c r="CW359" s="320"/>
      <c r="CX359" s="30"/>
      <c r="CY359" s="30"/>
      <c r="CZ359" s="320"/>
      <c r="DA359" s="30"/>
      <c r="DB359" s="30"/>
      <c r="DC359" s="320"/>
      <c r="DD359" s="30"/>
      <c r="DE359" s="30"/>
      <c r="DF359" s="320"/>
      <c r="DG359" s="30"/>
      <c r="DH359" s="24"/>
      <c r="DI359" s="320"/>
      <c r="DJ359" s="320"/>
      <c r="DK359" s="320"/>
      <c r="DL359" s="320"/>
    </row>
    <row r="360" spans="1:116">
      <c r="A360" s="301"/>
      <c r="B360" s="312" t="str">
        <f>B178</f>
        <v>2017A</v>
      </c>
      <c r="C360" s="339"/>
      <c r="D360" s="321"/>
      <c r="E360" s="308"/>
      <c r="F360" s="321"/>
      <c r="G360" s="317"/>
      <c r="H360" s="1082"/>
      <c r="I360" s="589"/>
      <c r="J360" s="1082"/>
      <c r="K360" s="589"/>
      <c r="L360" s="1082"/>
      <c r="M360" s="589"/>
      <c r="N360" s="833"/>
      <c r="O360" s="834"/>
      <c r="P360" s="833"/>
      <c r="Q360" s="834"/>
      <c r="R360" s="835"/>
      <c r="S360" s="834"/>
      <c r="T360" s="833"/>
      <c r="U360" s="834"/>
      <c r="V360" s="1082"/>
      <c r="W360" s="589"/>
      <c r="X360" s="589"/>
      <c r="Y360" s="589"/>
      <c r="Z360" s="833"/>
      <c r="AA360" s="836"/>
      <c r="AB360" s="314"/>
      <c r="AC360" s="308"/>
      <c r="AD360" s="307"/>
      <c r="AE360" s="308"/>
      <c r="AF360" s="307"/>
      <c r="AG360" s="308"/>
      <c r="AH360" s="307"/>
      <c r="AI360" s="308"/>
      <c r="AJ360" s="307"/>
      <c r="AK360" s="308"/>
      <c r="AL360" s="307"/>
      <c r="AM360" s="308"/>
      <c r="AN360" s="307"/>
      <c r="AO360" s="308"/>
      <c r="AP360" s="30"/>
      <c r="AQ360" s="1095"/>
      <c r="AR360" s="308"/>
      <c r="AS360" s="308"/>
      <c r="AT360" s="30"/>
      <c r="AU360" s="429"/>
      <c r="AV360" s="30"/>
      <c r="AW360" s="341"/>
      <c r="AX360" s="341"/>
      <c r="AY360" s="24"/>
      <c r="AZ360" s="341"/>
      <c r="BA360" s="341"/>
      <c r="BB360" s="24"/>
      <c r="BC360" s="341"/>
      <c r="BD360" s="341"/>
      <c r="BE360" s="341"/>
      <c r="BF360" s="24"/>
      <c r="BG360" s="580"/>
      <c r="BH360" s="631"/>
      <c r="BI360" s="340"/>
      <c r="BJ360" s="581"/>
      <c r="BK360" s="580"/>
      <c r="BL360" s="580"/>
      <c r="BM360" s="580"/>
      <c r="BN360" s="581"/>
      <c r="BO360" s="580"/>
      <c r="BP360" s="580"/>
      <c r="BQ360" s="580"/>
      <c r="BR360" s="580"/>
      <c r="BS360" s="581"/>
      <c r="BT360" s="580"/>
      <c r="BU360" s="580"/>
      <c r="BV360" s="580"/>
      <c r="BW360" s="580"/>
      <c r="BX360" s="581"/>
      <c r="BY360" s="580"/>
      <c r="BZ360" s="580"/>
      <c r="CA360" s="580"/>
      <c r="CB360" s="580"/>
      <c r="CC360" s="581"/>
      <c r="CD360" s="580"/>
      <c r="CE360" s="580"/>
      <c r="CF360" s="580"/>
      <c r="CG360" s="580"/>
      <c r="CH360" s="581"/>
      <c r="CI360" s="580"/>
      <c r="CJ360" s="580"/>
      <c r="CK360" s="580"/>
      <c r="CL360" s="581"/>
      <c r="CM360" s="580"/>
      <c r="CN360" s="580"/>
      <c r="CO360" s="581"/>
      <c r="CP360" s="340"/>
      <c r="CQ360" s="340"/>
      <c r="CR360" s="24"/>
      <c r="CS360" s="24"/>
      <c r="CT360" s="305"/>
      <c r="CU360" s="24"/>
      <c r="CV360" s="24"/>
      <c r="CW360" s="305"/>
      <c r="CX360" s="24"/>
      <c r="CY360" s="24"/>
      <c r="CZ360" s="305"/>
      <c r="DA360" s="24"/>
      <c r="DB360" s="24"/>
      <c r="DC360" s="305"/>
      <c r="DD360" s="24"/>
      <c r="DE360" s="24"/>
      <c r="DF360" s="305"/>
      <c r="DG360" s="24"/>
      <c r="DH360" s="630"/>
      <c r="DI360" s="630"/>
      <c r="DJ360" s="630"/>
      <c r="DK360" s="630"/>
      <c r="DL360" s="630"/>
    </row>
    <row r="361" spans="1:116">
      <c r="A361" s="310" t="str">
        <f>A179</f>
        <v>1Q</v>
      </c>
      <c r="B361" s="310" t="str">
        <f>B179</f>
        <v>Apr</v>
      </c>
      <c r="C361" s="339"/>
      <c r="D361" s="321"/>
      <c r="E361" s="308"/>
      <c r="F361" s="321"/>
      <c r="G361" s="317"/>
      <c r="H361" s="2611">
        <f>0.341+0.01</f>
        <v>0.35100000000000003</v>
      </c>
      <c r="I361" s="589">
        <f>+(H361/H355-1)*100</f>
        <v>-8.115183246073288</v>
      </c>
      <c r="J361" s="2611">
        <f>6.73+0.461+0.369+0.031</f>
        <v>7.5910000000000002</v>
      </c>
      <c r="K361" s="589">
        <f>+(J361/J355-1)*100</f>
        <v>3.5748396779915259</v>
      </c>
      <c r="L361" s="2576">
        <f>3.935+0.255</f>
        <v>4.1900000000000004</v>
      </c>
      <c r="M361" s="308">
        <f>+(L361/L355-1)*100</f>
        <v>4.6453546453546712</v>
      </c>
      <c r="N361" s="831">
        <f>+N360+(BT238*yrSales!$AD$216/1000000)+('store&amp;sf'!BU238*yrSales!AD$216/1000000)+BV362/4+BW362/4</f>
        <v>0</v>
      </c>
      <c r="O361" s="752">
        <f>+(N361/N355-1)*100</f>
        <v>-100</v>
      </c>
      <c r="P361" s="831">
        <f>+P360+(BZ238*yrSales!$AC$217/1000000)</f>
        <v>0</v>
      </c>
      <c r="Q361" s="752">
        <f>+(P361/P355-1)*100</f>
        <v>-100</v>
      </c>
      <c r="R361" s="832">
        <f>+R360+(CD238*yrSales!$AC$218/1000000)+CE362/4+(CF238*yrSales!$AC$218/1000000)+('store&amp;sf'!$CG$304)/4</f>
        <v>-1.7749999999999998E-2</v>
      </c>
      <c r="S361" s="752">
        <f>+(R361/R355-1)*100</f>
        <v>-100.78651187522154</v>
      </c>
      <c r="T361" s="831">
        <f>+T360+(CJ238*yrSales!AC321/1000000)+('store&amp;sf'!$CK$304/4)</f>
        <v>-1.7250000000000001E-2</v>
      </c>
      <c r="U361" s="752" t="e">
        <f>+(T361/T355-1)*100</f>
        <v>#DIV/0!</v>
      </c>
      <c r="V361" s="2576">
        <v>8.1000000000000003E-2</v>
      </c>
      <c r="W361" s="308">
        <f>+(V361/V355-1)*100</f>
        <v>0</v>
      </c>
      <c r="X361" s="2576">
        <f>0.158+0.011+0.032+0.038</f>
        <v>0.23900000000000002</v>
      </c>
      <c r="Y361" s="308"/>
      <c r="Z361" s="831">
        <f>+Z360</f>
        <v>0</v>
      </c>
      <c r="AA361" s="836">
        <f>+R361-R358</f>
        <v>-2.150300000000005</v>
      </c>
      <c r="AB361" s="322"/>
      <c r="AC361" s="308"/>
      <c r="AD361" s="307"/>
      <c r="AE361" s="308"/>
      <c r="AF361" s="307"/>
      <c r="AG361" s="308"/>
      <c r="AH361" s="307"/>
      <c r="AI361" s="308"/>
      <c r="AJ361" s="307"/>
      <c r="AK361" s="308"/>
      <c r="AL361" s="307"/>
      <c r="AM361" s="308"/>
      <c r="AN361" s="307"/>
      <c r="AO361" s="308"/>
      <c r="AP361" s="30"/>
      <c r="AQ361" s="2577">
        <v>12.452</v>
      </c>
      <c r="AR361" s="308">
        <f>+(AQ361/AQ355-1)*100</f>
        <v>4.0789033767970606</v>
      </c>
      <c r="AS361" s="308"/>
      <c r="AT361" s="30"/>
      <c r="AU361" s="429"/>
      <c r="AV361" s="30"/>
      <c r="AW361" s="341"/>
      <c r="AX361" s="341"/>
      <c r="AY361" s="24"/>
      <c r="AZ361" s="341"/>
      <c r="BA361" s="341"/>
      <c r="BB361" s="24"/>
      <c r="BC361" s="341"/>
      <c r="BD361" s="341"/>
      <c r="BE361" s="341"/>
      <c r="BF361" s="24"/>
      <c r="BG361" s="580"/>
      <c r="BH361" s="631"/>
      <c r="BI361" s="340"/>
      <c r="BJ361" s="581"/>
      <c r="BK361" s="580"/>
      <c r="BL361" s="580"/>
      <c r="BM361" s="580"/>
      <c r="BN361" s="581"/>
      <c r="BO361" s="580"/>
      <c r="BP361" s="580"/>
      <c r="BQ361" s="580"/>
      <c r="BR361" s="580"/>
      <c r="BS361" s="581"/>
      <c r="BT361" s="580"/>
      <c r="BU361" s="580"/>
      <c r="BV361" s="580"/>
      <c r="BW361" s="580"/>
      <c r="BX361" s="581"/>
      <c r="BY361" s="580"/>
      <c r="BZ361" s="580"/>
      <c r="CA361" s="580"/>
      <c r="CB361" s="580"/>
      <c r="CC361" s="581"/>
      <c r="CD361" s="580"/>
      <c r="CE361" s="580"/>
      <c r="CF361" s="580"/>
      <c r="CG361" s="580"/>
      <c r="CH361" s="581"/>
      <c r="CI361" s="580"/>
      <c r="CJ361" s="580"/>
      <c r="CK361" s="580"/>
      <c r="CL361" s="581"/>
      <c r="CM361" s="580"/>
      <c r="CN361" s="580"/>
      <c r="CO361" s="581"/>
      <c r="CP361" s="340"/>
      <c r="CQ361" s="340"/>
      <c r="CR361" s="24"/>
      <c r="CS361" s="24"/>
      <c r="CT361" s="305"/>
      <c r="CU361" s="24"/>
      <c r="CV361" s="24"/>
      <c r="CW361" s="305"/>
      <c r="CX361" s="24"/>
      <c r="CY361" s="24"/>
      <c r="CZ361" s="305"/>
      <c r="DA361" s="24"/>
      <c r="DB361" s="24"/>
      <c r="DC361" s="305"/>
      <c r="DD361" s="24"/>
      <c r="DE361" s="24"/>
      <c r="DF361" s="305"/>
      <c r="DG361" s="24"/>
      <c r="DH361" s="630"/>
      <c r="DI361" s="630"/>
      <c r="DJ361" s="630"/>
      <c r="DK361" s="630"/>
      <c r="DL361" s="630"/>
    </row>
    <row r="362" spans="1:116">
      <c r="A362" s="310" t="str">
        <f>A180</f>
        <v>2Q</v>
      </c>
      <c r="B362" s="310" t="str">
        <f>B180</f>
        <v>Jul</v>
      </c>
      <c r="C362" s="339"/>
      <c r="D362" s="321"/>
      <c r="E362" s="308"/>
      <c r="F362" s="321"/>
      <c r="G362" s="317"/>
      <c r="H362" s="2611">
        <f>0.339+0.01</f>
        <v>0.34900000000000003</v>
      </c>
      <c r="I362" s="589">
        <f>+(H362/H356-1)*100</f>
        <v>-7.9155672823218897</v>
      </c>
      <c r="J362" s="2611">
        <f>6.74+0.467+0.378+0.028</f>
        <v>7.6129999999999995</v>
      </c>
      <c r="K362" s="589">
        <f>+(J362/J356-1)*100</f>
        <v>2.989718614718595</v>
      </c>
      <c r="L362" s="2576">
        <f>3.996+0.255</f>
        <v>4.2510000000000003</v>
      </c>
      <c r="M362" s="308">
        <f>+(L362/L356-1)*100</f>
        <v>4.5756457564575692</v>
      </c>
      <c r="N362" s="831">
        <f>+N361+(BT239*yrSales!$AD$216/1000000)+('store&amp;sf'!BU239*yrSales!AD$216/1000000)+BV363/4+BW363/4</f>
        <v>0</v>
      </c>
      <c r="O362" s="752">
        <f>+(N362/N356-1)*100</f>
        <v>-100</v>
      </c>
      <c r="P362" s="831">
        <f>+P361+(BZ239*yrSales!$AC$217/1000000)</f>
        <v>0</v>
      </c>
      <c r="Q362" s="752">
        <f>+(P362/P356-1)*100</f>
        <v>-100</v>
      </c>
      <c r="R362" s="832">
        <f>+R361+(CD239*yrSales!$AC$218/1000000)+CE363/4+(CF239*yrSales!$AC$218/1000000)+('store&amp;sf'!$CG$304)/4</f>
        <v>-3.5499999999999997E-2</v>
      </c>
      <c r="S362" s="752">
        <f>+(R362/R356-1)*100</f>
        <v>-101.58549384783724</v>
      </c>
      <c r="T362" s="831">
        <f>+T361+(CJ239*yrSales!AC322/1000000)+('store&amp;sf'!$CK$304/4)</f>
        <v>-3.4500000000000003E-2</v>
      </c>
      <c r="U362" s="752" t="e">
        <f>+(T362/T356-1)*100</f>
        <v>#DIV/0!</v>
      </c>
      <c r="V362" s="2576">
        <v>8.1000000000000003E-2</v>
      </c>
      <c r="W362" s="308">
        <f>+(V362/V356-1)*100</f>
        <v>0</v>
      </c>
      <c r="X362" s="2576">
        <f>0.165+0.011+0.032+0.038</f>
        <v>0.24600000000000002</v>
      </c>
      <c r="Y362" s="308"/>
      <c r="Z362" s="831">
        <f>+Z361</f>
        <v>0</v>
      </c>
      <c r="AA362" s="836">
        <f>+R362-R359</f>
        <v>-3.5499999999999997E-2</v>
      </c>
      <c r="AB362" s="322"/>
      <c r="AC362" s="308"/>
      <c r="AD362" s="307"/>
      <c r="AE362" s="308"/>
      <c r="AF362" s="307"/>
      <c r="AG362" s="308"/>
      <c r="AH362" s="307"/>
      <c r="AI362" s="308"/>
      <c r="AJ362" s="307"/>
      <c r="AK362" s="308"/>
      <c r="AL362" s="307"/>
      <c r="AM362" s="308"/>
      <c r="AN362" s="307"/>
      <c r="AO362" s="308"/>
      <c r="AP362" s="30"/>
      <c r="AQ362" s="2577">
        <v>12.539</v>
      </c>
      <c r="AR362" s="308">
        <f>+(AQ362/AQ356-1)*100</f>
        <v>3.6880840155461891</v>
      </c>
      <c r="AS362" s="308"/>
      <c r="AT362" s="30"/>
      <c r="AU362" s="429"/>
      <c r="AV362" s="30"/>
      <c r="AW362" s="341"/>
      <c r="AX362" s="341"/>
      <c r="AY362" s="24"/>
      <c r="AZ362" s="341"/>
      <c r="BA362" s="341"/>
      <c r="BB362" s="24"/>
      <c r="BC362" s="341"/>
      <c r="BD362" s="341"/>
      <c r="BE362" s="341"/>
      <c r="BF362" s="24"/>
      <c r="BG362" s="580"/>
      <c r="BH362" s="631"/>
      <c r="BI362" s="340"/>
      <c r="BJ362" s="581"/>
      <c r="BK362" s="580"/>
      <c r="BL362" s="580"/>
      <c r="BM362" s="580"/>
      <c r="BN362" s="581"/>
      <c r="BO362" s="580"/>
      <c r="BP362" s="580"/>
      <c r="BQ362" s="580"/>
      <c r="BR362" s="580"/>
      <c r="BS362" s="581"/>
      <c r="BT362" s="580"/>
      <c r="BU362" s="580"/>
      <c r="BV362" s="580"/>
      <c r="BW362" s="580"/>
      <c r="BX362" s="581"/>
      <c r="BY362" s="580"/>
      <c r="BZ362" s="580"/>
      <c r="CA362" s="580"/>
      <c r="CB362" s="580"/>
      <c r="CC362" s="581"/>
      <c r="CD362" s="580"/>
      <c r="CE362" s="580"/>
      <c r="CF362" s="580"/>
      <c r="CG362" s="580"/>
      <c r="CH362" s="581"/>
      <c r="CI362" s="580"/>
      <c r="CJ362" s="580"/>
      <c r="CK362" s="580"/>
      <c r="CL362" s="581"/>
      <c r="CM362" s="580"/>
      <c r="CN362" s="580"/>
      <c r="CO362" s="581"/>
      <c r="CP362" s="340"/>
      <c r="CQ362" s="340"/>
      <c r="CR362" s="24"/>
      <c r="CS362" s="24"/>
      <c r="CT362" s="305"/>
      <c r="CU362" s="24"/>
      <c r="CV362" s="24"/>
      <c r="CW362" s="305"/>
      <c r="CX362" s="24"/>
      <c r="CY362" s="24"/>
      <c r="CZ362" s="305"/>
      <c r="DA362" s="24"/>
      <c r="DB362" s="24"/>
      <c r="DC362" s="305"/>
      <c r="DD362" s="24"/>
      <c r="DE362" s="24"/>
      <c r="DF362" s="305"/>
      <c r="DG362" s="24"/>
      <c r="DH362" s="630"/>
      <c r="DI362" s="630"/>
      <c r="DJ362" s="630"/>
      <c r="DK362" s="630"/>
      <c r="DL362" s="630"/>
    </row>
    <row r="363" spans="1:116">
      <c r="A363" s="310" t="str">
        <f>A181</f>
        <v>3Q</v>
      </c>
      <c r="B363" s="310" t="str">
        <f>B181</f>
        <v>Oct</v>
      </c>
      <c r="C363" s="339"/>
      <c r="D363" s="321"/>
      <c r="E363" s="308"/>
      <c r="F363" s="321"/>
      <c r="G363" s="317"/>
      <c r="H363" s="2611">
        <f>0.339+0.013</f>
        <v>0.35200000000000004</v>
      </c>
      <c r="I363" s="589">
        <f>+(H363/H357-1)*100</f>
        <v>-9.0439276485788085</v>
      </c>
      <c r="J363" s="2611">
        <f>6.746+0.488+0.379+0.028</f>
        <v>7.6409999999999991</v>
      </c>
      <c r="K363" s="589">
        <f>+(J363/J357-1)*100</f>
        <v>1.2052980132450264</v>
      </c>
      <c r="L363" s="2576">
        <f>4.045+0.255+0.165+0.014</f>
        <v>4.4790000000000001</v>
      </c>
      <c r="M363" s="308">
        <f>+(L363/L357-1)*100</f>
        <v>8.0839768339768359</v>
      </c>
      <c r="N363" s="831">
        <f>+N362+(BT240*yrSales!$AD$216/1000000)+('store&amp;sf'!BU240*yrSales!AD$216/1000000)+BV364/4+BW364/4</f>
        <v>-0.13900000000000001</v>
      </c>
      <c r="O363" s="752">
        <f>+(N363/N357-1)*100</f>
        <v>-92.93519695044472</v>
      </c>
      <c r="P363" s="831">
        <f>+P362+(BZ240*yrSales!$AC$217/1000000)</f>
        <v>0</v>
      </c>
      <c r="Q363" s="752">
        <f>+(P363/P357-1)*100</f>
        <v>-100</v>
      </c>
      <c r="R363" s="832">
        <f>+R362+(CD240*yrSales!$AC$218/1000000)+CE364/4+(CF240*yrSales!$AC$218/1000000)+('store&amp;sf'!$CG$304)/4</f>
        <v>-8.8749999999999996E-2</v>
      </c>
      <c r="S363" s="752">
        <f>+(R363/R357-1)*100</f>
        <v>-104.06029828895598</v>
      </c>
      <c r="T363" s="831">
        <f>+T362+(CJ240*yrSales!AC323/1000000)+('store&amp;sf'!$CK$304/4)</f>
        <v>-5.1750000000000004E-2</v>
      </c>
      <c r="U363" s="752" t="e">
        <f>+(T363/T357-1)*100</f>
        <v>#DIV/0!</v>
      </c>
      <c r="V363" s="2576">
        <v>7.9000000000000001E-2</v>
      </c>
      <c r="W363" s="308">
        <f>+(V363/V357-1)*100</f>
        <v>-2.4691358024691357</v>
      </c>
      <c r="X363" s="2576">
        <f>0.03+0.238</f>
        <v>0.26800000000000002</v>
      </c>
      <c r="Y363" s="308"/>
      <c r="Z363" s="831">
        <f>+Z362</f>
        <v>0</v>
      </c>
      <c r="AA363" s="836">
        <f>+R363-R360</f>
        <v>-8.8749999999999996E-2</v>
      </c>
      <c r="AB363" s="322"/>
      <c r="AC363" s="308"/>
      <c r="AD363" s="307"/>
      <c r="AE363" s="308"/>
      <c r="AF363" s="307"/>
      <c r="AG363" s="308"/>
      <c r="AH363" s="307"/>
      <c r="AI363" s="308"/>
      <c r="AJ363" s="307"/>
      <c r="AK363" s="308"/>
      <c r="AL363" s="307"/>
      <c r="AM363" s="308"/>
      <c r="AN363" s="307"/>
      <c r="AO363" s="308"/>
      <c r="AP363" s="30"/>
      <c r="AQ363" s="2577">
        <v>12.619</v>
      </c>
      <c r="AR363" s="308">
        <f>+(AQ363/AQ357-1)*100</f>
        <v>2.2029642828217399</v>
      </c>
      <c r="AS363" s="308"/>
      <c r="AT363" s="30"/>
      <c r="AU363" s="429"/>
      <c r="AV363" s="30"/>
      <c r="AW363" s="341"/>
      <c r="AX363" s="341"/>
      <c r="AY363" s="24"/>
      <c r="AZ363" s="341"/>
      <c r="BA363" s="341"/>
      <c r="BB363" s="24"/>
      <c r="BC363" s="338"/>
      <c r="BD363" s="338"/>
      <c r="BE363" s="338"/>
      <c r="BF363" s="308"/>
      <c r="BG363" s="338"/>
      <c r="BH363" s="338"/>
      <c r="BI363" s="338"/>
      <c r="BJ363" s="308"/>
      <c r="BK363" s="302"/>
      <c r="BL363" s="302"/>
      <c r="BM363" s="302"/>
      <c r="BN363" s="308"/>
      <c r="BO363" s="302"/>
      <c r="BP363" s="302"/>
      <c r="BQ363" s="307"/>
      <c r="BR363" s="307"/>
      <c r="BS363" s="308"/>
      <c r="BT363" s="302"/>
      <c r="BU363" s="302"/>
      <c r="BV363" s="302"/>
      <c r="BW363" s="302"/>
      <c r="BX363" s="308"/>
      <c r="BY363" s="302"/>
      <c r="BZ363" s="302"/>
      <c r="CA363" s="302"/>
      <c r="CB363" s="302"/>
      <c r="CC363" s="308"/>
      <c r="CD363" s="302"/>
      <c r="CE363" s="302"/>
      <c r="CF363" s="302"/>
      <c r="CG363" s="302"/>
      <c r="CH363" s="308"/>
      <c r="CI363" s="302"/>
      <c r="CJ363" s="302"/>
      <c r="CK363" s="302"/>
      <c r="CL363" s="308"/>
      <c r="CM363" s="302"/>
      <c r="CN363" s="302"/>
      <c r="CO363" s="308"/>
      <c r="CP363" s="302"/>
      <c r="CQ363" s="302"/>
      <c r="CR363" s="308"/>
      <c r="CS363" s="302"/>
      <c r="CT363" s="302"/>
      <c r="CU363" s="308"/>
      <c r="CV363" s="302"/>
      <c r="CW363" s="302"/>
      <c r="CX363" s="308"/>
      <c r="CY363" s="302"/>
      <c r="CZ363" s="302"/>
      <c r="DA363" s="308"/>
      <c r="DB363" s="302"/>
      <c r="DC363" s="302"/>
      <c r="DD363" s="308"/>
      <c r="DE363" s="302"/>
      <c r="DF363" s="302"/>
      <c r="DG363" s="308"/>
      <c r="DH363" s="306"/>
      <c r="DI363" s="306"/>
      <c r="DJ363" s="306"/>
      <c r="DK363" s="306"/>
      <c r="DL363" s="630"/>
    </row>
    <row r="364" spans="1:116">
      <c r="A364" s="310" t="str">
        <f>A182</f>
        <v>4Q</v>
      </c>
      <c r="B364" s="310" t="str">
        <f>B182</f>
        <v>Jan</v>
      </c>
      <c r="C364" s="24"/>
      <c r="D364" s="24"/>
      <c r="E364" s="24"/>
      <c r="F364" s="24"/>
      <c r="G364" s="305"/>
      <c r="H364" s="2611">
        <v>0.34699999999999998</v>
      </c>
      <c r="I364" s="589">
        <f>+(H364/H358-1)*100</f>
        <v>-6.4690026954177915</v>
      </c>
      <c r="J364" s="2611">
        <f>6.719+0.491+0.379+0.028</f>
        <v>7.617</v>
      </c>
      <c r="K364" s="589">
        <f>+(J364/J358-1)*100</f>
        <v>0.52791342219875581</v>
      </c>
      <c r="L364" s="2576">
        <f>4.286</f>
        <v>4.2859999999999996</v>
      </c>
      <c r="M364" s="589">
        <f>+(L364/L358-1)*100</f>
        <v>2.9051620648259169</v>
      </c>
      <c r="N364" s="833">
        <f>+N363+(BT241*yrSales!$AD$216/1000000)+('store&amp;sf'!BU241*yrSales!AD$216/1000000)+BV364/4+BW364/4</f>
        <v>-0.27800000000000002</v>
      </c>
      <c r="O364" s="834">
        <f>+(N364/N358-1)*100</f>
        <v>-86.802753382387849</v>
      </c>
      <c r="P364" s="833">
        <f>+P363+(BZ241*yrSales!$AC$217/1000000)</f>
        <v>0</v>
      </c>
      <c r="Q364" s="834">
        <f>+(P364/P358-1)*100</f>
        <v>-100</v>
      </c>
      <c r="R364" s="835">
        <f>+R363+(CD241*yrSales!$AC$218/1000000)+CE364/4+(CF241*yrSales!$AC$218/1000000)+('store&amp;sf'!$CG$304)/4</f>
        <v>-0.14199999999999999</v>
      </c>
      <c r="S364" s="834">
        <f>+(R364/R358-1)*100</f>
        <v>-106.65869498956646</v>
      </c>
      <c r="T364" s="833">
        <f>+T363+(CJ241*yrSales!AC323/1000000)+('store&amp;sf'!$CK$304/4)</f>
        <v>-6.9000000000000006E-2</v>
      </c>
      <c r="U364" s="834" t="e">
        <f>+(T364/T358-1)*100</f>
        <v>#DIV/0!</v>
      </c>
      <c r="V364" s="2576">
        <v>7.8E-2</v>
      </c>
      <c r="W364" s="589">
        <f>+(V364/V358-1)*100</f>
        <v>-3.703703703703709</v>
      </c>
      <c r="X364" s="2576">
        <v>0.32800000000000001</v>
      </c>
      <c r="Y364" s="589"/>
      <c r="Z364" s="833">
        <f>+Z363</f>
        <v>0</v>
      </c>
      <c r="AA364" s="836">
        <f>+R364-R361</f>
        <v>-0.12424999999999999</v>
      </c>
      <c r="AB364" s="314"/>
      <c r="AC364" s="308"/>
      <c r="AD364" s="307"/>
      <c r="AE364" s="308"/>
      <c r="AF364" s="307"/>
      <c r="AG364" s="308"/>
      <c r="AH364" s="307"/>
      <c r="AI364" s="308"/>
      <c r="AJ364" s="307"/>
      <c r="AK364" s="308"/>
      <c r="AL364" s="307"/>
      <c r="AM364" s="308"/>
      <c r="AN364" s="307"/>
      <c r="AO364" s="308"/>
      <c r="AP364" s="30"/>
      <c r="AQ364" s="2577">
        <v>12.656000000000001</v>
      </c>
      <c r="AR364" s="308">
        <f>+(AQ364/AQ358-1)*100</f>
        <v>2.097450790577593</v>
      </c>
      <c r="AS364" s="30"/>
      <c r="AT364" s="24"/>
      <c r="AU364" s="24"/>
      <c r="AV364" s="24"/>
      <c r="AW364" s="30"/>
      <c r="AX364" s="30"/>
      <c r="AY364" s="30"/>
      <c r="AZ364" s="30"/>
      <c r="BA364" s="320"/>
      <c r="BB364" s="30"/>
      <c r="BC364" s="341">
        <v>0</v>
      </c>
      <c r="BD364" s="341">
        <f>0.003/9</f>
        <v>3.3333333333333332E-4</v>
      </c>
      <c r="BE364" s="341">
        <f>-0.007/5</f>
        <v>-1.4E-3</v>
      </c>
      <c r="BF364" s="24"/>
      <c r="BG364" s="580">
        <f>+(0.031+0.174+0.087+0.032)/(5+49+8+3)</f>
        <v>4.9846153846153842E-3</v>
      </c>
      <c r="BH364" s="631">
        <f>(0.083)/18</f>
        <v>4.611111111111111E-3</v>
      </c>
      <c r="BI364" s="340">
        <f>0.096/89</f>
        <v>1.0786516853932586E-3</v>
      </c>
      <c r="BJ364" s="581"/>
      <c r="BK364" s="580">
        <f>(0.019+0.018)/(7+8)</f>
        <v>2.4666666666666665E-3</v>
      </c>
      <c r="BL364" s="580">
        <f>+(0.058+0.001)/(26+1)</f>
        <v>2.1851851851851854E-3</v>
      </c>
      <c r="BM364" s="580">
        <f>-0.002/58</f>
        <v>-3.4482758620689657E-5</v>
      </c>
      <c r="BN364" s="581"/>
      <c r="BO364" s="580">
        <v>0</v>
      </c>
      <c r="BP364" s="580">
        <v>0</v>
      </c>
      <c r="BQ364" s="580"/>
      <c r="BR364" s="580"/>
      <c r="BS364" s="581"/>
      <c r="BT364" s="580">
        <v>0</v>
      </c>
      <c r="BU364" s="580">
        <v>-0.17699999999999999</v>
      </c>
      <c r="BV364" s="580">
        <v>-0.55000000000000004</v>
      </c>
      <c r="BW364" s="580">
        <v>-6.0000000000000001E-3</v>
      </c>
      <c r="BX364" s="581"/>
      <c r="BY364" s="580">
        <v>0</v>
      </c>
      <c r="BZ364" s="580">
        <v>-0.129</v>
      </c>
      <c r="CA364" s="580">
        <v>0</v>
      </c>
      <c r="CB364" s="580">
        <v>0</v>
      </c>
      <c r="CC364" s="581"/>
      <c r="CD364" s="580">
        <v>1.2E-2</v>
      </c>
      <c r="CE364" s="580">
        <v>-0.14199999999999999</v>
      </c>
      <c r="CF364" s="580">
        <v>0.53800000000000003</v>
      </c>
      <c r="CG364" s="580">
        <v>-7.0999999999999994E-2</v>
      </c>
      <c r="CH364" s="581"/>
      <c r="CI364" s="580">
        <v>0</v>
      </c>
      <c r="CJ364" s="580">
        <v>-0.17299999999999999</v>
      </c>
      <c r="CK364" s="580">
        <v>-6.9000000000000006E-2</v>
      </c>
      <c r="CL364" s="581"/>
      <c r="CM364" s="580"/>
      <c r="CN364" s="580"/>
      <c r="CO364" s="581"/>
      <c r="CP364" s="340"/>
      <c r="CQ364" s="340"/>
      <c r="CR364" s="24"/>
      <c r="CS364" s="24"/>
      <c r="CT364" s="305"/>
      <c r="CU364" s="24"/>
      <c r="CV364" s="24"/>
      <c r="CW364" s="305"/>
      <c r="CX364" s="24"/>
      <c r="CY364" s="24"/>
      <c r="CZ364" s="305"/>
      <c r="DA364" s="24"/>
      <c r="DB364" s="24"/>
      <c r="DC364" s="305"/>
      <c r="DD364" s="24"/>
      <c r="DE364" s="24"/>
      <c r="DF364" s="305"/>
      <c r="DG364" s="24"/>
      <c r="DH364" s="342">
        <f>+BG364+BK364+BO364+BC364</f>
        <v>7.4512820512820507E-3</v>
      </c>
      <c r="DI364" s="342">
        <f>+BH364+BL364+BP364+BD364</f>
        <v>7.1296296296296299E-3</v>
      </c>
      <c r="DJ364" s="342">
        <f>+BI364+BM364</f>
        <v>1.0441689267725689E-3</v>
      </c>
      <c r="DK364" s="342">
        <f>+BJ364+BS364+CM364+BG364</f>
        <v>4.9846153846153842E-3</v>
      </c>
      <c r="DL364" s="320"/>
    </row>
    <row r="365" spans="1:116" s="2702" customFormat="1">
      <c r="A365" s="310"/>
      <c r="B365" s="310"/>
      <c r="C365" s="24"/>
      <c r="D365" s="24"/>
      <c r="E365" s="24"/>
      <c r="F365" s="24"/>
      <c r="G365" s="305"/>
      <c r="H365" s="923"/>
      <c r="I365" s="662"/>
      <c r="J365" s="929"/>
      <c r="K365" s="662"/>
      <c r="L365" s="922"/>
      <c r="M365" s="168"/>
      <c r="N365" s="663"/>
      <c r="O365" s="168"/>
      <c r="P365" s="663"/>
      <c r="Q365" s="168"/>
      <c r="R365" s="664"/>
      <c r="S365" s="168"/>
      <c r="T365" s="663"/>
      <c r="U365" s="168"/>
      <c r="V365" s="168"/>
      <c r="W365" s="168"/>
      <c r="X365" s="168"/>
      <c r="Y365" s="168"/>
      <c r="Z365" s="663"/>
      <c r="AA365" s="24"/>
      <c r="AB365" s="24"/>
      <c r="AC365" s="24"/>
      <c r="AD365" s="24"/>
      <c r="AE365" s="24"/>
      <c r="AF365" s="30"/>
      <c r="AG365" s="30"/>
      <c r="AH365" s="30"/>
      <c r="AI365" s="30"/>
      <c r="AJ365" s="30"/>
      <c r="AK365" s="30"/>
      <c r="AL365" s="30"/>
      <c r="AM365" s="30"/>
      <c r="AN365" s="30"/>
      <c r="AO365" s="30"/>
      <c r="AP365" s="24"/>
      <c r="AQ365" s="593"/>
      <c r="AR365" s="30"/>
      <c r="AS365" s="30"/>
      <c r="AT365" s="24"/>
      <c r="AU365" s="24"/>
      <c r="AV365" s="24"/>
      <c r="AW365" s="30"/>
      <c r="AX365" s="30"/>
      <c r="AY365" s="30"/>
      <c r="AZ365" s="30"/>
      <c r="BA365" s="320"/>
      <c r="BB365" s="30"/>
      <c r="BC365" s="320"/>
      <c r="BD365" s="320"/>
      <c r="BE365" s="320"/>
      <c r="BF365" s="30"/>
      <c r="BG365" s="419"/>
      <c r="BH365" s="320"/>
      <c r="BI365" s="320"/>
      <c r="BJ365" s="30"/>
      <c r="BK365" s="30"/>
      <c r="BL365" s="320"/>
      <c r="BM365" s="320"/>
      <c r="BN365" s="30"/>
      <c r="BO365" s="30"/>
      <c r="BP365" s="320"/>
      <c r="BQ365" s="320"/>
      <c r="BR365" s="320"/>
      <c r="BS365" s="30"/>
      <c r="BT365" s="30"/>
      <c r="BU365" s="320"/>
      <c r="BV365" s="658"/>
      <c r="BW365" s="320"/>
      <c r="BX365" s="30"/>
      <c r="BY365" s="30"/>
      <c r="BZ365" s="320"/>
      <c r="CA365" s="320"/>
      <c r="CB365" s="320"/>
      <c r="CC365" s="30"/>
      <c r="CD365" s="30"/>
      <c r="CE365" s="320"/>
      <c r="CF365" s="320"/>
      <c r="CG365" s="320"/>
      <c r="CH365" s="30"/>
      <c r="CI365" s="30"/>
      <c r="CJ365" s="320"/>
      <c r="CK365" s="320"/>
      <c r="CL365" s="30"/>
      <c r="CM365" s="30"/>
      <c r="CN365" s="320"/>
      <c r="CO365" s="30"/>
      <c r="CP365" s="30"/>
      <c r="CQ365" s="320"/>
      <c r="CR365" s="30"/>
      <c r="CS365" s="30"/>
      <c r="CT365" s="320"/>
      <c r="CU365" s="30"/>
      <c r="CV365" s="30"/>
      <c r="CW365" s="320"/>
      <c r="CX365" s="30"/>
      <c r="CY365" s="30"/>
      <c r="CZ365" s="320"/>
      <c r="DA365" s="30"/>
      <c r="DB365" s="30"/>
      <c r="DC365" s="320"/>
      <c r="DD365" s="30"/>
      <c r="DE365" s="30"/>
      <c r="DF365" s="320"/>
      <c r="DG365" s="30"/>
      <c r="DH365" s="24"/>
      <c r="DI365" s="320"/>
      <c r="DJ365" s="320"/>
      <c r="DK365" s="320"/>
      <c r="DL365" s="320"/>
    </row>
    <row r="366" spans="1:116" s="2702" customFormat="1">
      <c r="A366" s="301"/>
      <c r="B366" s="312" t="str">
        <f>B184</f>
        <v>2018E</v>
      </c>
      <c r="C366" s="339"/>
      <c r="D366" s="321"/>
      <c r="E366" s="308"/>
      <c r="F366" s="321"/>
      <c r="G366" s="317"/>
      <c r="H366" s="1082"/>
      <c r="I366" s="589"/>
      <c r="J366" s="1082"/>
      <c r="K366" s="589"/>
      <c r="L366" s="1082"/>
      <c r="M366" s="589"/>
      <c r="N366" s="833"/>
      <c r="O366" s="834"/>
      <c r="P366" s="833"/>
      <c r="Q366" s="834"/>
      <c r="R366" s="835"/>
      <c r="S366" s="834"/>
      <c r="T366" s="833"/>
      <c r="U366" s="834"/>
      <c r="V366" s="1082"/>
      <c r="W366" s="589"/>
      <c r="X366" s="589"/>
      <c r="Y366" s="589"/>
      <c r="Z366" s="833"/>
      <c r="AA366" s="836"/>
      <c r="AB366" s="314"/>
      <c r="AC366" s="308"/>
      <c r="AD366" s="307"/>
      <c r="AE366" s="308"/>
      <c r="AF366" s="307"/>
      <c r="AG366" s="308"/>
      <c r="AH366" s="307"/>
      <c r="AI366" s="308"/>
      <c r="AJ366" s="307"/>
      <c r="AK366" s="308"/>
      <c r="AL366" s="307"/>
      <c r="AM366" s="308"/>
      <c r="AN366" s="307"/>
      <c r="AO366" s="308"/>
      <c r="AP366" s="30"/>
      <c r="AQ366" s="1095"/>
      <c r="AR366" s="308"/>
      <c r="AS366" s="308"/>
      <c r="AT366" s="30"/>
      <c r="AU366" s="429"/>
      <c r="AV366" s="30"/>
      <c r="AW366" s="341"/>
      <c r="AX366" s="341"/>
      <c r="AY366" s="24"/>
      <c r="AZ366" s="341"/>
      <c r="BA366" s="341"/>
      <c r="BB366" s="24"/>
      <c r="BC366" s="341"/>
      <c r="BD366" s="341"/>
      <c r="BE366" s="341"/>
      <c r="BF366" s="24"/>
      <c r="BG366" s="580"/>
      <c r="BH366" s="631"/>
      <c r="BI366" s="340"/>
      <c r="BJ366" s="581"/>
      <c r="BK366" s="580"/>
      <c r="BL366" s="580"/>
      <c r="BM366" s="580"/>
      <c r="BN366" s="581"/>
      <c r="BO366" s="580"/>
      <c r="BP366" s="580"/>
      <c r="BQ366" s="580"/>
      <c r="BR366" s="580"/>
      <c r="BS366" s="581"/>
      <c r="BT366" s="580"/>
      <c r="BU366" s="580"/>
      <c r="BV366" s="580"/>
      <c r="BW366" s="580"/>
      <c r="BX366" s="581"/>
      <c r="BY366" s="580"/>
      <c r="BZ366" s="580"/>
      <c r="CA366" s="580"/>
      <c r="CB366" s="580"/>
      <c r="CC366" s="581"/>
      <c r="CD366" s="580"/>
      <c r="CE366" s="580"/>
      <c r="CF366" s="580"/>
      <c r="CG366" s="580"/>
      <c r="CH366" s="581"/>
      <c r="CI366" s="580"/>
      <c r="CJ366" s="580"/>
      <c r="CK366" s="580"/>
      <c r="CL366" s="581"/>
      <c r="CM366" s="580"/>
      <c r="CN366" s="580"/>
      <c r="CO366" s="581"/>
      <c r="CP366" s="340"/>
      <c r="CQ366" s="340"/>
      <c r="CR366" s="24"/>
      <c r="CS366" s="24"/>
      <c r="CT366" s="305"/>
      <c r="CU366" s="24"/>
      <c r="CV366" s="24"/>
      <c r="CW366" s="305"/>
      <c r="CX366" s="24"/>
      <c r="CY366" s="24"/>
      <c r="CZ366" s="305"/>
      <c r="DA366" s="24"/>
      <c r="DB366" s="24"/>
      <c r="DC366" s="305"/>
      <c r="DD366" s="24"/>
      <c r="DE366" s="24"/>
      <c r="DF366" s="305"/>
      <c r="DG366" s="24"/>
      <c r="DH366" s="630"/>
      <c r="DI366" s="630"/>
      <c r="DJ366" s="630"/>
      <c r="DK366" s="630"/>
      <c r="DL366" s="630"/>
    </row>
    <row r="367" spans="1:116" s="2702" customFormat="1">
      <c r="A367" s="310" t="str">
        <f>A185</f>
        <v>1Q</v>
      </c>
      <c r="B367" s="310" t="str">
        <f>B185</f>
        <v>Apr</v>
      </c>
      <c r="C367" s="339"/>
      <c r="D367" s="321"/>
      <c r="E367" s="308"/>
      <c r="F367" s="321"/>
      <c r="G367" s="317"/>
      <c r="H367" s="661">
        <f>H364+(BC185*BC$340)+(BD185*BD$340)+(BE185*BE$340)</f>
        <v>0.34699999999999998</v>
      </c>
      <c r="I367" s="589">
        <f>+(H367/H361-1)*100</f>
        <v>-1.1396011396011541</v>
      </c>
      <c r="J367" s="661">
        <f>J364+(BG185*BG$340)+(BH185*BH$340)+(BI185*BI$340)</f>
        <v>7.6447133006818406</v>
      </c>
      <c r="K367" s="589">
        <f>+(J367/J361-1)*100</f>
        <v>0.70759189410933843</v>
      </c>
      <c r="L367" s="314">
        <f>L364+(BK185*BK$340)+(BL185*BL$340)+(BM185*BM$340)</f>
        <v>4.3528927203065129</v>
      </c>
      <c r="M367" s="589">
        <f>+(L367/L361-1)*100</f>
        <v>3.8876544225898035</v>
      </c>
      <c r="N367" s="831">
        <f>+N366+(BT244*yrSales!$AD$216/1000000)+('store&amp;sf'!BU244*yrSales!AD$216/1000000)+BV368/4+BW368/4</f>
        <v>0</v>
      </c>
      <c r="O367" s="752" t="e">
        <f>+(N367/N361-1)*100</f>
        <v>#DIV/0!</v>
      </c>
      <c r="P367" s="831">
        <f>+P366+(BZ244*yrSales!$AC$217/1000000)</f>
        <v>0</v>
      </c>
      <c r="Q367" s="752" t="e">
        <f>+(P367/P361-1)*100</f>
        <v>#DIV/0!</v>
      </c>
      <c r="R367" s="832">
        <f>+R366+(CD244*yrSales!$AC$218/1000000)+CE368/4+(CF244*yrSales!$AC$218/1000000)+('store&amp;sf'!$CG$304)/4</f>
        <v>-1.7749999999999998E-2</v>
      </c>
      <c r="S367" s="752">
        <f>+(R367/R361-1)*100</f>
        <v>0</v>
      </c>
      <c r="T367" s="831">
        <f>+T366+(CJ244*yrSales!AC327/1000000)+('store&amp;sf'!$CK$304/4)</f>
        <v>-1.7250000000000001E-2</v>
      </c>
      <c r="U367" s="752">
        <f>+(T367/T361-1)*100</f>
        <v>0</v>
      </c>
      <c r="V367" s="661">
        <f>V364</f>
        <v>7.8E-2</v>
      </c>
      <c r="W367" s="589">
        <f>+(V367/V361-1)*100</f>
        <v>-3.703703703703709</v>
      </c>
      <c r="X367" s="314">
        <f>X364+(BQ185*BQ$340)+(BR185*BR$340)</f>
        <v>0.35292307692307695</v>
      </c>
      <c r="Y367" s="308"/>
      <c r="Z367" s="831">
        <f>+Z366</f>
        <v>0</v>
      </c>
      <c r="AA367" s="836">
        <f>+R367-R364</f>
        <v>0.12424999999999999</v>
      </c>
      <c r="AB367" s="322"/>
      <c r="AC367" s="308"/>
      <c r="AD367" s="307"/>
      <c r="AE367" s="308"/>
      <c r="AF367" s="307"/>
      <c r="AG367" s="308"/>
      <c r="AH367" s="307"/>
      <c r="AI367" s="308"/>
      <c r="AJ367" s="307"/>
      <c r="AK367" s="308"/>
      <c r="AL367" s="307"/>
      <c r="AM367" s="308"/>
      <c r="AN367" s="307"/>
      <c r="AO367" s="308"/>
      <c r="AP367" s="30"/>
      <c r="AQ367" s="1127">
        <f t="shared" ref="AQ367:AQ368" si="25">SUM(H367+J367+L367+V367+X367)</f>
        <v>12.775529097911431</v>
      </c>
      <c r="AR367" s="308">
        <f>+(AQ367/AQ361-1)*100</f>
        <v>2.5982099093433186</v>
      </c>
      <c r="AS367" s="308"/>
      <c r="AT367" s="30"/>
      <c r="AU367" s="429"/>
      <c r="AV367" s="30"/>
      <c r="AW367" s="341"/>
      <c r="AX367" s="341"/>
      <c r="AY367" s="24"/>
      <c r="AZ367" s="341"/>
      <c r="BA367" s="341"/>
      <c r="BB367" s="24"/>
      <c r="BC367" s="341"/>
      <c r="BD367" s="341"/>
      <c r="BE367" s="341"/>
      <c r="BF367" s="24"/>
      <c r="BG367" s="580"/>
      <c r="BH367" s="631"/>
      <c r="BI367" s="340"/>
      <c r="BJ367" s="581"/>
      <c r="BK367" s="580"/>
      <c r="BL367" s="580"/>
      <c r="BM367" s="580"/>
      <c r="BN367" s="581"/>
      <c r="BO367" s="580"/>
      <c r="BP367" s="580"/>
      <c r="BQ367" s="580"/>
      <c r="BR367" s="580"/>
      <c r="BS367" s="581"/>
      <c r="BT367" s="580"/>
      <c r="BU367" s="580"/>
      <c r="BV367" s="580"/>
      <c r="BW367" s="580"/>
      <c r="BX367" s="581"/>
      <c r="BY367" s="580"/>
      <c r="BZ367" s="580"/>
      <c r="CA367" s="580"/>
      <c r="CB367" s="580"/>
      <c r="CC367" s="581"/>
      <c r="CD367" s="580"/>
      <c r="CE367" s="580"/>
      <c r="CF367" s="580"/>
      <c r="CG367" s="580"/>
      <c r="CH367" s="581"/>
      <c r="CI367" s="580"/>
      <c r="CJ367" s="580"/>
      <c r="CK367" s="580"/>
      <c r="CL367" s="581"/>
      <c r="CM367" s="580"/>
      <c r="CN367" s="580"/>
      <c r="CO367" s="581"/>
      <c r="CP367" s="340"/>
      <c r="CQ367" s="340"/>
      <c r="CR367" s="24"/>
      <c r="CS367" s="24"/>
      <c r="CT367" s="305"/>
      <c r="CU367" s="24"/>
      <c r="CV367" s="24"/>
      <c r="CW367" s="305"/>
      <c r="CX367" s="24"/>
      <c r="CY367" s="24"/>
      <c r="CZ367" s="305"/>
      <c r="DA367" s="24"/>
      <c r="DB367" s="24"/>
      <c r="DC367" s="305"/>
      <c r="DD367" s="24"/>
      <c r="DE367" s="24"/>
      <c r="DF367" s="305"/>
      <c r="DG367" s="24"/>
      <c r="DH367" s="630"/>
      <c r="DI367" s="630"/>
      <c r="DJ367" s="630"/>
      <c r="DK367" s="630"/>
      <c r="DL367" s="630"/>
    </row>
    <row r="368" spans="1:116" s="2702" customFormat="1">
      <c r="A368" s="310" t="str">
        <f>A186</f>
        <v>2Q</v>
      </c>
      <c r="B368" s="310" t="str">
        <f>B186</f>
        <v>Jul</v>
      </c>
      <c r="C368" s="339"/>
      <c r="D368" s="321"/>
      <c r="E368" s="308"/>
      <c r="F368" s="321"/>
      <c r="G368" s="317"/>
      <c r="H368" s="661">
        <f t="shared" ref="H368" si="26">H367+(BC186*BC$340)+(BD186*BD$340)+(BE186*BE$340)</f>
        <v>0.34559999999999996</v>
      </c>
      <c r="I368" s="589">
        <f t="shared" ref="I368:K370" si="27">+(H368/H362-1)*100</f>
        <v>-0.97421203438396997</v>
      </c>
      <c r="J368" s="661">
        <f>J367+(BG186*BG$340)+(BH186*BH$340)+(BI186*BI$340)</f>
        <v>7.6539821569192368</v>
      </c>
      <c r="K368" s="589">
        <f t="shared" si="27"/>
        <v>0.53831809955651178</v>
      </c>
      <c r="L368" s="314">
        <f>L367+(BK186*BK$340)+(BL186*BL$340)+(BM186*BM$340)</f>
        <v>4.4306973180076623</v>
      </c>
      <c r="M368" s="589">
        <f t="shared" ref="M368" si="28">+(L368/L362-1)*100</f>
        <v>4.227177558401829</v>
      </c>
      <c r="N368" s="831">
        <f>+N367+(BT245*yrSales!$AD$216/1000000)+('store&amp;sf'!BU245*yrSales!AD$216/1000000)+BV369/4+BW369/4</f>
        <v>0</v>
      </c>
      <c r="O368" s="752" t="e">
        <f>+(N368/N362-1)*100</f>
        <v>#DIV/0!</v>
      </c>
      <c r="P368" s="831">
        <f>+P367+(BZ245*yrSales!$AC$217/1000000)</f>
        <v>0</v>
      </c>
      <c r="Q368" s="752" t="e">
        <f>+(P368/P362-1)*100</f>
        <v>#DIV/0!</v>
      </c>
      <c r="R368" s="832">
        <f>+R367+(CD245*yrSales!$AC$218/1000000)+CE369/4+(CF245*yrSales!$AC$218/1000000)+('store&amp;sf'!$CG$304)/4</f>
        <v>-3.5499999999999997E-2</v>
      </c>
      <c r="S368" s="752">
        <f>+(R368/R362-1)*100</f>
        <v>0</v>
      </c>
      <c r="T368" s="831">
        <f>+T367+(CJ245*yrSales!AC328/1000000)+('store&amp;sf'!$CK$304/4)</f>
        <v>-3.4500000000000003E-2</v>
      </c>
      <c r="U368" s="752">
        <f>+(T368/T362-1)*100</f>
        <v>0</v>
      </c>
      <c r="V368" s="661">
        <f>V367</f>
        <v>7.8E-2</v>
      </c>
      <c r="W368" s="589">
        <f t="shared" ref="W368" si="29">+(V368/V362-1)*100</f>
        <v>-3.703703703703709</v>
      </c>
      <c r="X368" s="314">
        <f>X367+(BQ186*BQ$340)+(BR186*BR$340)</f>
        <v>0.37784615384615389</v>
      </c>
      <c r="Y368" s="308"/>
      <c r="Z368" s="831">
        <f>+Z367</f>
        <v>0</v>
      </c>
      <c r="AA368" s="836">
        <f>+R368-R365</f>
        <v>-3.5499999999999997E-2</v>
      </c>
      <c r="AB368" s="322"/>
      <c r="AC368" s="308"/>
      <c r="AD368" s="307"/>
      <c r="AE368" s="308"/>
      <c r="AF368" s="307"/>
      <c r="AG368" s="308"/>
      <c r="AH368" s="307"/>
      <c r="AI368" s="308"/>
      <c r="AJ368" s="307"/>
      <c r="AK368" s="308"/>
      <c r="AL368" s="307"/>
      <c r="AM368" s="308"/>
      <c r="AN368" s="307"/>
      <c r="AO368" s="308"/>
      <c r="AP368" s="30"/>
      <c r="AQ368" s="1127">
        <f t="shared" si="25"/>
        <v>12.886125628773051</v>
      </c>
      <c r="AR368" s="308">
        <f>+(AQ368/AQ362-1)*100</f>
        <v>2.768367722888998</v>
      </c>
      <c r="AS368" s="308"/>
      <c r="AT368" s="30"/>
      <c r="AU368" s="429"/>
      <c r="AV368" s="30"/>
      <c r="AW368" s="341"/>
      <c r="AX368" s="341"/>
      <c r="AY368" s="24"/>
      <c r="AZ368" s="341"/>
      <c r="BA368" s="341"/>
      <c r="BB368" s="24"/>
      <c r="BC368" s="341"/>
      <c r="BD368" s="341"/>
      <c r="BE368" s="341"/>
      <c r="BF368" s="24"/>
      <c r="BG368" s="580"/>
      <c r="BH368" s="631"/>
      <c r="BI368" s="340"/>
      <c r="BJ368" s="581"/>
      <c r="BK368" s="580"/>
      <c r="BL368" s="580"/>
      <c r="BM368" s="580"/>
      <c r="BN368" s="581"/>
      <c r="BO368" s="580"/>
      <c r="BP368" s="580"/>
      <c r="BQ368" s="580"/>
      <c r="BR368" s="580"/>
      <c r="BS368" s="581"/>
      <c r="BT368" s="580"/>
      <c r="BU368" s="580"/>
      <c r="BV368" s="580"/>
      <c r="BW368" s="580"/>
      <c r="BX368" s="581"/>
      <c r="BY368" s="580"/>
      <c r="BZ368" s="580"/>
      <c r="CA368" s="580"/>
      <c r="CB368" s="580"/>
      <c r="CC368" s="581"/>
      <c r="CD368" s="580"/>
      <c r="CE368" s="580"/>
      <c r="CF368" s="580"/>
      <c r="CG368" s="580"/>
      <c r="CH368" s="581"/>
      <c r="CI368" s="580"/>
      <c r="CJ368" s="580"/>
      <c r="CK368" s="580"/>
      <c r="CL368" s="581"/>
      <c r="CM368" s="580"/>
      <c r="CN368" s="580"/>
      <c r="CO368" s="581"/>
      <c r="CP368" s="340"/>
      <c r="CQ368" s="340"/>
      <c r="CR368" s="24"/>
      <c r="CS368" s="24"/>
      <c r="CT368" s="305"/>
      <c r="CU368" s="24"/>
      <c r="CV368" s="24"/>
      <c r="CW368" s="305"/>
      <c r="CX368" s="24"/>
      <c r="CY368" s="24"/>
      <c r="CZ368" s="305"/>
      <c r="DA368" s="24"/>
      <c r="DB368" s="24"/>
      <c r="DC368" s="305"/>
      <c r="DD368" s="24"/>
      <c r="DE368" s="24"/>
      <c r="DF368" s="305"/>
      <c r="DG368" s="24"/>
      <c r="DH368" s="630"/>
      <c r="DI368" s="630"/>
      <c r="DJ368" s="630"/>
      <c r="DK368" s="630"/>
      <c r="DL368" s="630"/>
    </row>
    <row r="369" spans="1:116" s="2702" customFormat="1">
      <c r="A369" s="310" t="str">
        <f>A187</f>
        <v>3Q</v>
      </c>
      <c r="B369" s="310" t="str">
        <f>B187</f>
        <v>Oct</v>
      </c>
      <c r="C369" s="339"/>
      <c r="D369" s="321"/>
      <c r="E369" s="308"/>
      <c r="F369" s="321"/>
      <c r="G369" s="317"/>
      <c r="H369" s="661">
        <f>H368+(BC187*BC$340)+(BD187*BD$340)+(BE187*BE$340)</f>
        <v>0.3435333333333333</v>
      </c>
      <c r="I369" s="589">
        <f t="shared" si="27"/>
        <v>-2.405303030303052</v>
      </c>
      <c r="J369" s="661">
        <f>J368+(BG187*BG$340)+(BH187*BH$340)+(BI187*BI$340)</f>
        <v>7.6803203015461454</v>
      </c>
      <c r="K369" s="589">
        <f t="shared" si="27"/>
        <v>0.51459627726928581</v>
      </c>
      <c r="L369" s="314">
        <f t="shared" ref="L369:L370" si="30">L368+(BK187*BK$340)+(BL187*BL$340)+(BM187*BM$340)</f>
        <v>4.5076053639846743</v>
      </c>
      <c r="M369" s="589">
        <f t="shared" ref="M369" si="31">+(L369/L363-1)*100</f>
        <v>0.63865514589582784</v>
      </c>
      <c r="N369" s="831">
        <f>+N368+(BT246*yrSales!$AD$216/1000000)+('store&amp;sf'!BU246*yrSales!AD$216/1000000)+BV370/4+BW370/4</f>
        <v>-0.13900000000000001</v>
      </c>
      <c r="O369" s="752">
        <f>+(N369/N363-1)*100</f>
        <v>0</v>
      </c>
      <c r="P369" s="831">
        <f>+P368+(BZ246*yrSales!$AC$217/1000000)</f>
        <v>0</v>
      </c>
      <c r="Q369" s="752" t="e">
        <f>+(P369/P363-1)*100</f>
        <v>#DIV/0!</v>
      </c>
      <c r="R369" s="832">
        <f>+R368+(CD246*yrSales!$AC$218/1000000)+CE370/4+(CF246*yrSales!$AC$218/1000000)+('store&amp;sf'!$CG$304)/4</f>
        <v>-8.8749999999999996E-2</v>
      </c>
      <c r="S369" s="752">
        <f>+(R369/R363-1)*100</f>
        <v>0</v>
      </c>
      <c r="T369" s="831">
        <f>+T368+(CJ246*yrSales!AC329/1000000)+('store&amp;sf'!$CK$304/4)</f>
        <v>-5.1750000000000004E-2</v>
      </c>
      <c r="U369" s="752">
        <f>+(T369/T363-1)*100</f>
        <v>0</v>
      </c>
      <c r="V369" s="661">
        <f t="shared" ref="V369:V370" si="32">V368</f>
        <v>7.8E-2</v>
      </c>
      <c r="W369" s="589">
        <f t="shared" ref="W369" si="33">+(V369/V363-1)*100</f>
        <v>-1.2658227848101222</v>
      </c>
      <c r="X369" s="314">
        <f t="shared" ref="X369:X370" si="34">X368+(BQ187*BQ$340)+(BR187*BR$340)</f>
        <v>0.4276923076923077</v>
      </c>
      <c r="Y369" s="308"/>
      <c r="Z369" s="831">
        <f>+Z368</f>
        <v>0</v>
      </c>
      <c r="AA369" s="836">
        <f>+R369-R366</f>
        <v>-8.8749999999999996E-2</v>
      </c>
      <c r="AB369" s="322"/>
      <c r="AC369" s="308"/>
      <c r="AD369" s="307"/>
      <c r="AE369" s="308"/>
      <c r="AF369" s="307"/>
      <c r="AG369" s="308"/>
      <c r="AH369" s="307"/>
      <c r="AI369" s="308"/>
      <c r="AJ369" s="307"/>
      <c r="AK369" s="308"/>
      <c r="AL369" s="307"/>
      <c r="AM369" s="308"/>
      <c r="AN369" s="307"/>
      <c r="AO369" s="308"/>
      <c r="AP369" s="30"/>
      <c r="AQ369" s="1127">
        <f>SUM(H369+J369+L369+V369+X369)</f>
        <v>13.03715130655646</v>
      </c>
      <c r="AR369" s="308">
        <f>+(AQ369/AQ363-1)*100</f>
        <v>3.3136643676714428</v>
      </c>
      <c r="AS369" s="308"/>
      <c r="AT369" s="30"/>
      <c r="AU369" s="429"/>
      <c r="AV369" s="30"/>
      <c r="AW369" s="341"/>
      <c r="AX369" s="341"/>
      <c r="AY369" s="24"/>
      <c r="AZ369" s="341"/>
      <c r="BA369" s="341"/>
      <c r="BB369" s="24"/>
      <c r="BC369" s="338"/>
      <c r="BD369" s="338"/>
      <c r="BE369" s="338"/>
      <c r="BF369" s="308"/>
      <c r="BG369" s="338"/>
      <c r="BH369" s="338"/>
      <c r="BI369" s="338"/>
      <c r="BJ369" s="308"/>
      <c r="BK369" s="302"/>
      <c r="BL369" s="302"/>
      <c r="BM369" s="302"/>
      <c r="BN369" s="308"/>
      <c r="BO369" s="302"/>
      <c r="BP369" s="302"/>
      <c r="BQ369" s="307"/>
      <c r="BR369" s="307"/>
      <c r="BS369" s="308"/>
      <c r="BT369" s="302"/>
      <c r="BU369" s="302"/>
      <c r="BV369" s="302"/>
      <c r="BW369" s="302"/>
      <c r="BX369" s="308"/>
      <c r="BY369" s="302"/>
      <c r="BZ369" s="302"/>
      <c r="CA369" s="302"/>
      <c r="CB369" s="302"/>
      <c r="CC369" s="308"/>
      <c r="CD369" s="302"/>
      <c r="CE369" s="302"/>
      <c r="CF369" s="302"/>
      <c r="CG369" s="302"/>
      <c r="CH369" s="308"/>
      <c r="CI369" s="302"/>
      <c r="CJ369" s="302"/>
      <c r="CK369" s="302"/>
      <c r="CL369" s="308"/>
      <c r="CM369" s="302"/>
      <c r="CN369" s="302"/>
      <c r="CO369" s="308"/>
      <c r="CP369" s="302"/>
      <c r="CQ369" s="302"/>
      <c r="CR369" s="308"/>
      <c r="CS369" s="302"/>
      <c r="CT369" s="302"/>
      <c r="CU369" s="308"/>
      <c r="CV369" s="302"/>
      <c r="CW369" s="302"/>
      <c r="CX369" s="308"/>
      <c r="CY369" s="302"/>
      <c r="CZ369" s="302"/>
      <c r="DA369" s="308"/>
      <c r="DB369" s="302"/>
      <c r="DC369" s="302"/>
      <c r="DD369" s="308"/>
      <c r="DE369" s="302"/>
      <c r="DF369" s="302"/>
      <c r="DG369" s="308"/>
      <c r="DH369" s="306"/>
      <c r="DI369" s="306"/>
      <c r="DJ369" s="306"/>
      <c r="DK369" s="306"/>
      <c r="DL369" s="630"/>
    </row>
    <row r="370" spans="1:116" s="2702" customFormat="1">
      <c r="A370" s="310" t="str">
        <f>A188</f>
        <v>4Q</v>
      </c>
      <c r="B370" s="310" t="str">
        <f>B188</f>
        <v>Jan</v>
      </c>
      <c r="C370" s="24"/>
      <c r="D370" s="24"/>
      <c r="E370" s="24"/>
      <c r="F370" s="24"/>
      <c r="G370" s="305"/>
      <c r="H370" s="661">
        <f>H369+(BC188*BC$340)+(BD188*BD$340)+(BE188*BE$340)</f>
        <v>0.34286666666666665</v>
      </c>
      <c r="I370" s="589">
        <f t="shared" si="27"/>
        <v>-1.1911623439000985</v>
      </c>
      <c r="J370" s="661">
        <f>J369+(BG188*BG$340)+(BH188*BH$340)+(BI188*BI$340)</f>
        <v>7.6622493613752054</v>
      </c>
      <c r="K370" s="589">
        <f t="shared" si="27"/>
        <v>0.59405752100833986</v>
      </c>
      <c r="L370" s="314">
        <f t="shared" si="30"/>
        <v>4.511272030651341</v>
      </c>
      <c r="M370" s="589">
        <f t="shared" ref="M370" si="35">+(L370/L364-1)*100</f>
        <v>5.2559969820658248</v>
      </c>
      <c r="N370" s="833">
        <f>+N369+(BT247*yrSales!$AD$216/1000000)+('store&amp;sf'!BU247*yrSales!AD$216/1000000)+BV370/4+BW370/4</f>
        <v>-0.27800000000000002</v>
      </c>
      <c r="O370" s="834">
        <f>+(N370/N364-1)*100</f>
        <v>0</v>
      </c>
      <c r="P370" s="833">
        <f>+P369+(BZ247*yrSales!$AC$217/1000000)</f>
        <v>0</v>
      </c>
      <c r="Q370" s="834" t="e">
        <f>+(P370/P364-1)*100</f>
        <v>#DIV/0!</v>
      </c>
      <c r="R370" s="835">
        <f>+R369+(CD247*yrSales!$AC$218/1000000)+CE370/4+(CF247*yrSales!$AC$218/1000000)+('store&amp;sf'!$CG$304)/4</f>
        <v>-0.14199999999999999</v>
      </c>
      <c r="S370" s="834">
        <f>+(R370/R364-1)*100</f>
        <v>0</v>
      </c>
      <c r="T370" s="833">
        <f>+T369+(CJ247*yrSales!AC329/1000000)+('store&amp;sf'!$CK$304/4)</f>
        <v>-6.9000000000000006E-2</v>
      </c>
      <c r="U370" s="834">
        <f>+(T370/T364-1)*100</f>
        <v>0</v>
      </c>
      <c r="V370" s="661">
        <f t="shared" si="32"/>
        <v>7.8E-2</v>
      </c>
      <c r="W370" s="589">
        <f t="shared" ref="W370" si="36">+(V370/V364-1)*100</f>
        <v>0</v>
      </c>
      <c r="X370" s="314">
        <f t="shared" si="34"/>
        <v>0.45261538461538464</v>
      </c>
      <c r="Y370" s="589"/>
      <c r="Z370" s="833">
        <f>+Z369</f>
        <v>0</v>
      </c>
      <c r="AA370" s="836">
        <f>+R370-R367</f>
        <v>-0.12424999999999999</v>
      </c>
      <c r="AB370" s="314"/>
      <c r="AC370" s="308"/>
      <c r="AD370" s="307"/>
      <c r="AE370" s="308"/>
      <c r="AF370" s="307"/>
      <c r="AG370" s="308"/>
      <c r="AH370" s="307"/>
      <c r="AI370" s="308"/>
      <c r="AJ370" s="307"/>
      <c r="AK370" s="308"/>
      <c r="AL370" s="307"/>
      <c r="AM370" s="308"/>
      <c r="AN370" s="307"/>
      <c r="AO370" s="308"/>
      <c r="AP370" s="30"/>
      <c r="AQ370" s="1127">
        <f>SUM(H370+J370+L370+V370+X370)</f>
        <v>13.047003443308597</v>
      </c>
      <c r="AR370" s="308">
        <f>+(AQ370/AQ364-1)*100</f>
        <v>3.0894709490249417</v>
      </c>
      <c r="AS370" s="30"/>
      <c r="AT370" s="24"/>
      <c r="AU370" s="24"/>
      <c r="AV370" s="24"/>
      <c r="AW370" s="30"/>
      <c r="AX370" s="30"/>
      <c r="AY370" s="30"/>
      <c r="AZ370" s="30"/>
      <c r="BA370" s="320"/>
      <c r="BB370" s="30"/>
      <c r="BC370" s="341">
        <v>0</v>
      </c>
      <c r="BD370" s="341">
        <f>0.003/9</f>
        <v>3.3333333333333332E-4</v>
      </c>
      <c r="BE370" s="341">
        <f>-0.007/5</f>
        <v>-1.4E-3</v>
      </c>
      <c r="BF370" s="24"/>
      <c r="BG370" s="580">
        <f>+(0.031+0.174+0.087+0.032)/(5+49+8+3)</f>
        <v>4.9846153846153842E-3</v>
      </c>
      <c r="BH370" s="631">
        <f>(0.083)/18</f>
        <v>4.611111111111111E-3</v>
      </c>
      <c r="BI370" s="340">
        <f>0.096/89</f>
        <v>1.0786516853932586E-3</v>
      </c>
      <c r="BJ370" s="581"/>
      <c r="BK370" s="580">
        <f>(0.019+0.018)/(7+8)</f>
        <v>2.4666666666666665E-3</v>
      </c>
      <c r="BL370" s="580">
        <f>+(0.058+0.001)/(26+1)</f>
        <v>2.1851851851851854E-3</v>
      </c>
      <c r="BM370" s="580">
        <f>-0.002/58</f>
        <v>-3.4482758620689657E-5</v>
      </c>
      <c r="BN370" s="581"/>
      <c r="BO370" s="580">
        <v>0</v>
      </c>
      <c r="BP370" s="580">
        <v>0</v>
      </c>
      <c r="BQ370" s="580"/>
      <c r="BR370" s="580"/>
      <c r="BS370" s="581"/>
      <c r="BT370" s="580">
        <v>0</v>
      </c>
      <c r="BU370" s="580">
        <v>-0.17699999999999999</v>
      </c>
      <c r="BV370" s="580">
        <v>-0.55000000000000004</v>
      </c>
      <c r="BW370" s="580">
        <v>-6.0000000000000001E-3</v>
      </c>
      <c r="BX370" s="581"/>
      <c r="BY370" s="580">
        <v>0</v>
      </c>
      <c r="BZ370" s="580">
        <v>-0.129</v>
      </c>
      <c r="CA370" s="580">
        <v>0</v>
      </c>
      <c r="CB370" s="580">
        <v>0</v>
      </c>
      <c r="CC370" s="581"/>
      <c r="CD370" s="580">
        <v>1.2E-2</v>
      </c>
      <c r="CE370" s="580">
        <v>-0.14199999999999999</v>
      </c>
      <c r="CF370" s="580">
        <v>0.53800000000000003</v>
      </c>
      <c r="CG370" s="580">
        <v>-7.0999999999999994E-2</v>
      </c>
      <c r="CH370" s="581"/>
      <c r="CI370" s="580">
        <v>0</v>
      </c>
      <c r="CJ370" s="580">
        <v>-0.17299999999999999</v>
      </c>
      <c r="CK370" s="580">
        <v>-6.9000000000000006E-2</v>
      </c>
      <c r="CL370" s="581"/>
      <c r="CM370" s="580"/>
      <c r="CN370" s="580"/>
      <c r="CO370" s="581"/>
      <c r="CP370" s="340"/>
      <c r="CQ370" s="340"/>
      <c r="CR370" s="24"/>
      <c r="CS370" s="24"/>
      <c r="CT370" s="305"/>
      <c r="CU370" s="24"/>
      <c r="CV370" s="24"/>
      <c r="CW370" s="305"/>
      <c r="CX370" s="24"/>
      <c r="CY370" s="24"/>
      <c r="CZ370" s="305"/>
      <c r="DA370" s="24"/>
      <c r="DB370" s="24"/>
      <c r="DC370" s="305"/>
      <c r="DD370" s="24"/>
      <c r="DE370" s="24"/>
      <c r="DF370" s="305"/>
      <c r="DG370" s="24"/>
      <c r="DH370" s="342">
        <f>+BG370+BK370+BO370+BC370</f>
        <v>7.4512820512820507E-3</v>
      </c>
      <c r="DI370" s="342">
        <f>+BH370+BL370+BP370+BD370</f>
        <v>7.1296296296296299E-3</v>
      </c>
      <c r="DJ370" s="342">
        <f>+BI370+BM370</f>
        <v>1.0441689267725689E-3</v>
      </c>
      <c r="DK370" s="342">
        <f>+BJ370+BS370+CM370+BG370</f>
        <v>4.9846153846153842E-3</v>
      </c>
      <c r="DL370" s="320"/>
    </row>
    <row r="371" spans="1:116">
      <c r="A371" s="310"/>
      <c r="B371" s="310"/>
      <c r="C371" s="24"/>
      <c r="D371" s="24"/>
      <c r="E371" s="24"/>
      <c r="F371" s="24"/>
      <c r="G371" s="305"/>
      <c r="H371" s="314"/>
      <c r="I371" s="589"/>
      <c r="J371" s="314"/>
      <c r="K371" s="589"/>
      <c r="L371" s="314"/>
      <c r="M371" s="589"/>
      <c r="N371" s="833"/>
      <c r="O371" s="834"/>
      <c r="P371" s="833"/>
      <c r="Q371" s="834"/>
      <c r="R371" s="835"/>
      <c r="S371" s="834"/>
      <c r="T371" s="833"/>
      <c r="U371" s="834"/>
      <c r="V371" s="314"/>
      <c r="W371" s="589"/>
      <c r="X371" s="314"/>
      <c r="Y371" s="589"/>
      <c r="Z371" s="833"/>
      <c r="AA371" s="836"/>
      <c r="AB371" s="314"/>
      <c r="AC371" s="308"/>
      <c r="AD371" s="307"/>
      <c r="AE371" s="308"/>
      <c r="AF371" s="307"/>
      <c r="AG371" s="308"/>
      <c r="AH371" s="307"/>
      <c r="AI371" s="308"/>
      <c r="AJ371" s="307"/>
      <c r="AK371" s="308"/>
      <c r="AL371" s="307"/>
      <c r="AM371" s="308"/>
      <c r="AN371" s="307"/>
      <c r="AO371" s="308"/>
      <c r="AP371" s="30"/>
      <c r="AQ371" s="1127"/>
      <c r="AR371" s="308"/>
      <c r="AS371" s="30"/>
      <c r="AT371" s="24"/>
      <c r="AU371" s="24"/>
      <c r="AV371" s="24"/>
      <c r="AW371" s="30"/>
      <c r="AX371" s="30"/>
      <c r="AY371" s="30"/>
      <c r="AZ371" s="30"/>
      <c r="BA371" s="320"/>
      <c r="BB371" s="30"/>
      <c r="BC371" s="341"/>
      <c r="BD371" s="341"/>
      <c r="BE371" s="341"/>
      <c r="BF371" s="24"/>
      <c r="BG371" s="580"/>
      <c r="BH371" s="631"/>
      <c r="BI371" s="340"/>
      <c r="BJ371" s="581"/>
      <c r="BK371" s="580"/>
      <c r="BL371" s="580"/>
      <c r="BM371" s="580"/>
      <c r="BN371" s="581"/>
      <c r="BO371" s="580"/>
      <c r="BP371" s="580"/>
      <c r="BQ371" s="580"/>
      <c r="BR371" s="580"/>
      <c r="BS371" s="581"/>
      <c r="BT371" s="580"/>
      <c r="BU371" s="580"/>
      <c r="BV371" s="580"/>
      <c r="BW371" s="580"/>
      <c r="BX371" s="581"/>
      <c r="BY371" s="580"/>
      <c r="BZ371" s="580"/>
      <c r="CA371" s="580"/>
      <c r="CB371" s="580"/>
      <c r="CC371" s="581"/>
      <c r="CD371" s="580"/>
      <c r="CE371" s="580"/>
      <c r="CF371" s="580"/>
      <c r="CG371" s="580"/>
      <c r="CH371" s="581"/>
      <c r="CI371" s="580"/>
      <c r="CJ371" s="580"/>
      <c r="CK371" s="580"/>
      <c r="CL371" s="581"/>
      <c r="CM371" s="580"/>
      <c r="CN371" s="580"/>
      <c r="CO371" s="581"/>
      <c r="CP371" s="340"/>
      <c r="CQ371" s="340"/>
      <c r="CR371" s="24"/>
      <c r="CS371" s="24"/>
      <c r="CT371" s="305"/>
      <c r="CU371" s="24"/>
      <c r="CV371" s="24"/>
      <c r="CW371" s="305"/>
      <c r="CX371" s="24"/>
      <c r="CY371" s="24"/>
      <c r="CZ371" s="305"/>
      <c r="DA371" s="24"/>
      <c r="DB371" s="24"/>
      <c r="DC371" s="305"/>
      <c r="DD371" s="24"/>
      <c r="DE371" s="24"/>
      <c r="DF371" s="305"/>
      <c r="DG371" s="24"/>
      <c r="DH371" s="630"/>
      <c r="DI371" s="630"/>
      <c r="DJ371" s="630"/>
      <c r="DK371" s="630"/>
      <c r="DL371" s="320"/>
    </row>
    <row r="372" spans="1:116">
      <c r="A372" s="24"/>
      <c r="B372" s="24"/>
      <c r="C372" s="24"/>
      <c r="D372" s="171" t="s">
        <v>722</v>
      </c>
      <c r="E372" s="172"/>
      <c r="F372" s="172"/>
      <c r="G372" s="172"/>
      <c r="H372" s="171" t="s">
        <v>722</v>
      </c>
      <c r="I372" s="172"/>
      <c r="J372" s="172"/>
      <c r="K372" s="172"/>
      <c r="L372" s="172"/>
      <c r="M372" s="172"/>
      <c r="N372" s="172"/>
      <c r="O372" s="172"/>
      <c r="P372" s="172"/>
      <c r="Q372" s="172"/>
      <c r="R372" s="172"/>
      <c r="S372" s="172"/>
      <c r="T372" s="172"/>
      <c r="U372" s="172"/>
      <c r="V372" s="172"/>
      <c r="W372" s="172"/>
      <c r="X372" s="172"/>
      <c r="Y372" s="172"/>
      <c r="Z372" s="172"/>
      <c r="AA372" s="172"/>
      <c r="AB372" s="172"/>
      <c r="AC372" s="311"/>
      <c r="AD372" s="172"/>
      <c r="AE372" s="172"/>
      <c r="AF372" s="172"/>
      <c r="AG372" s="311"/>
      <c r="AH372" s="172"/>
      <c r="AI372" s="311"/>
      <c r="AJ372" s="172"/>
      <c r="AK372" s="311"/>
      <c r="AL372" s="172"/>
      <c r="AM372" s="311"/>
      <c r="AN372" s="172"/>
      <c r="AO372" s="311"/>
      <c r="AP372" s="311"/>
      <c r="AQ372" s="456"/>
      <c r="AR372" s="331"/>
      <c r="AS372" s="333"/>
      <c r="AT372" s="24"/>
      <c r="AU372" s="24"/>
      <c r="AV372" s="24"/>
      <c r="AW372" s="71"/>
      <c r="AX372" s="71"/>
      <c r="AY372" s="71"/>
      <c r="AZ372" s="71"/>
      <c r="BA372" s="71"/>
      <c r="BB372" s="71"/>
      <c r="BC372" s="71"/>
      <c r="BD372" s="71"/>
      <c r="BE372" s="71"/>
      <c r="BF372" s="71"/>
      <c r="BG372" s="71"/>
      <c r="BH372" s="71"/>
      <c r="BI372" s="71"/>
      <c r="BJ372" s="71"/>
      <c r="BK372" s="71"/>
      <c r="BL372" s="71"/>
      <c r="BM372" s="71"/>
      <c r="BN372" s="71"/>
      <c r="BO372" s="71"/>
      <c r="BP372" s="71"/>
      <c r="BQ372" s="71"/>
      <c r="BR372" s="71"/>
      <c r="BS372" s="71"/>
      <c r="BT372" s="71"/>
      <c r="BU372" s="71"/>
      <c r="BV372" s="71"/>
      <c r="BW372" s="71"/>
      <c r="BX372" s="71"/>
      <c r="BY372" s="71"/>
      <c r="BZ372" s="71"/>
      <c r="CA372" s="71"/>
      <c r="CB372" s="71"/>
      <c r="CC372" s="71"/>
      <c r="CD372" s="71"/>
      <c r="CE372" s="71"/>
      <c r="CF372" s="71"/>
      <c r="CG372" s="71"/>
      <c r="CH372" s="71"/>
      <c r="CI372" s="71"/>
      <c r="CJ372" s="71"/>
      <c r="CK372" s="71"/>
      <c r="CL372" s="71"/>
      <c r="CM372" s="71"/>
      <c r="CN372" s="71"/>
      <c r="CO372" s="71"/>
      <c r="CP372" s="71"/>
      <c r="CQ372" s="71"/>
      <c r="CR372" s="71"/>
      <c r="CS372" s="71"/>
      <c r="CT372" s="71"/>
      <c r="CU372" s="71"/>
      <c r="CV372" s="71"/>
      <c r="CW372" s="71"/>
      <c r="CX372" s="71"/>
      <c r="CY372" s="71"/>
      <c r="CZ372" s="71"/>
      <c r="DA372" s="71"/>
      <c r="DB372" s="71"/>
      <c r="DC372" s="71"/>
      <c r="DD372" s="71"/>
      <c r="DE372" s="71"/>
      <c r="DF372" s="71"/>
      <c r="DG372" s="71"/>
      <c r="DH372" s="71"/>
      <c r="DI372" s="71"/>
      <c r="DJ372" s="71"/>
      <c r="DK372" s="71"/>
      <c r="DL372" s="71"/>
    </row>
    <row r="373" spans="1:116">
      <c r="A373" s="24"/>
      <c r="B373" s="24"/>
      <c r="C373" s="24"/>
      <c r="D373" s="24"/>
      <c r="E373" s="24"/>
      <c r="F373" s="24"/>
      <c r="G373" s="24"/>
      <c r="H373" s="24"/>
      <c r="I373" s="24"/>
      <c r="J373" s="24"/>
      <c r="K373" s="24"/>
      <c r="L373" s="24"/>
      <c r="M373" s="24"/>
      <c r="N373" s="24"/>
      <c r="O373" s="24"/>
      <c r="P373" s="24"/>
      <c r="Q373" s="24"/>
      <c r="R373" s="24"/>
      <c r="S373" s="24"/>
      <c r="T373" s="24"/>
      <c r="U373" s="24"/>
      <c r="V373" s="24"/>
      <c r="W373" s="24"/>
      <c r="X373" s="24"/>
      <c r="Y373" s="24"/>
      <c r="Z373" s="24"/>
      <c r="AA373" s="24"/>
      <c r="AB373" s="24"/>
      <c r="AC373" s="24"/>
      <c r="AD373" s="24"/>
      <c r="AE373" s="24"/>
      <c r="AF373" s="24"/>
      <c r="AG373" s="24"/>
      <c r="AH373" s="24"/>
      <c r="AI373" s="24"/>
      <c r="AJ373" s="24"/>
      <c r="AK373" s="24"/>
      <c r="AL373" s="24"/>
      <c r="AM373" s="24"/>
      <c r="AN373" s="24"/>
      <c r="AO373" s="24"/>
      <c r="AP373" s="24"/>
      <c r="AQ373" s="457" t="s">
        <v>723</v>
      </c>
      <c r="AR373" s="369">
        <v>0.8</v>
      </c>
      <c r="AS373" s="332"/>
      <c r="AT373" s="24"/>
      <c r="AU373" s="24"/>
      <c r="AV373" s="24"/>
      <c r="AW373" s="30"/>
      <c r="AX373" s="30"/>
      <c r="AY373" s="30"/>
      <c r="AZ373" s="30"/>
      <c r="BA373" s="30"/>
      <c r="BB373" s="30"/>
      <c r="BC373" s="30"/>
      <c r="BD373" s="30"/>
      <c r="BE373" s="30"/>
      <c r="BF373" s="30"/>
      <c r="BG373" s="30"/>
      <c r="BH373" s="30"/>
      <c r="BI373" s="30"/>
      <c r="BJ373" s="30"/>
      <c r="BK373" s="30"/>
      <c r="BL373" s="30"/>
      <c r="BM373" s="30"/>
      <c r="BN373" s="30"/>
      <c r="BO373" s="30"/>
      <c r="BP373" s="30"/>
      <c r="BQ373" s="30"/>
      <c r="BR373" s="30"/>
      <c r="BS373" s="30"/>
      <c r="BT373" s="30"/>
      <c r="BU373" s="30"/>
      <c r="BV373" s="30"/>
      <c r="BW373" s="30"/>
      <c r="BX373" s="30"/>
      <c r="BY373" s="30"/>
      <c r="BZ373" s="30"/>
      <c r="CA373" s="30"/>
      <c r="CB373" s="30"/>
      <c r="CC373" s="30"/>
      <c r="CD373" s="30"/>
      <c r="CE373" s="30"/>
      <c r="CF373" s="30"/>
      <c r="CG373" s="30"/>
      <c r="CH373" s="30"/>
      <c r="CI373" s="30"/>
      <c r="CJ373" s="30"/>
      <c r="CK373" s="30"/>
      <c r="CL373" s="30"/>
      <c r="CM373" s="30"/>
      <c r="CN373" s="30"/>
      <c r="CO373" s="30"/>
      <c r="CP373" s="30"/>
      <c r="CQ373" s="30"/>
      <c r="CR373" s="30"/>
      <c r="CS373" s="30"/>
      <c r="CT373" s="30"/>
      <c r="CU373" s="30"/>
      <c r="CV373" s="30"/>
      <c r="CW373" s="30"/>
      <c r="CX373" s="30"/>
      <c r="CY373" s="30"/>
      <c r="CZ373" s="30"/>
      <c r="DA373" s="30"/>
      <c r="DB373" s="30"/>
      <c r="DC373" s="30"/>
      <c r="DD373" s="30"/>
      <c r="DE373" s="30"/>
      <c r="DF373" s="30"/>
      <c r="DG373" s="30"/>
      <c r="DH373" s="30"/>
      <c r="DI373" s="30"/>
      <c r="DJ373" s="30"/>
      <c r="DK373" s="30"/>
      <c r="DL373" s="30"/>
    </row>
    <row r="374" spans="1:116" hidden="1" outlineLevel="1">
      <c r="A374" s="301"/>
      <c r="B374" s="312">
        <f>+B192</f>
        <v>1989</v>
      </c>
      <c r="C374" s="301"/>
      <c r="D374" s="301"/>
      <c r="E374" s="313"/>
      <c r="F374" s="301"/>
      <c r="G374" s="301"/>
      <c r="H374" s="301"/>
      <c r="I374" s="301"/>
      <c r="J374" s="301"/>
      <c r="K374" s="301"/>
      <c r="L374" s="301"/>
      <c r="M374" s="301"/>
      <c r="N374" s="301"/>
      <c r="O374" s="301"/>
      <c r="P374" s="301"/>
      <c r="Q374" s="301"/>
      <c r="R374" s="301"/>
      <c r="S374" s="301"/>
      <c r="T374" s="301"/>
      <c r="U374" s="301"/>
      <c r="V374" s="301"/>
      <c r="W374" s="301"/>
      <c r="X374" s="301"/>
      <c r="Y374" s="301"/>
      <c r="Z374" s="301"/>
      <c r="AA374" s="301"/>
      <c r="AB374" s="301"/>
      <c r="AC374" s="301"/>
      <c r="AD374" s="301"/>
      <c r="AE374" s="301"/>
      <c r="AF374" s="301"/>
      <c r="AG374" s="301"/>
      <c r="AH374" s="301"/>
      <c r="AI374" s="301"/>
      <c r="AJ374" s="301"/>
      <c r="AK374" s="301"/>
      <c r="AL374" s="301"/>
      <c r="AM374" s="301"/>
      <c r="AN374" s="301"/>
      <c r="AO374" s="301"/>
      <c r="AP374" s="301"/>
      <c r="AQ374" s="454"/>
      <c r="AR374" s="301"/>
      <c r="AS374" s="301"/>
      <c r="AT374" s="301"/>
      <c r="AU374" s="301"/>
      <c r="AV374" s="301"/>
      <c r="AW374" s="301"/>
      <c r="AX374" s="313"/>
      <c r="AY374" s="313"/>
      <c r="AZ374" s="301"/>
      <c r="BA374" s="301"/>
      <c r="BB374" s="313"/>
      <c r="BC374" s="301"/>
      <c r="BD374" s="301"/>
      <c r="BE374" s="301"/>
      <c r="BF374" s="313"/>
      <c r="BG374" s="301"/>
      <c r="BH374" s="301"/>
      <c r="BI374" s="301"/>
      <c r="BJ374" s="313"/>
      <c r="BK374" s="301"/>
      <c r="BL374" s="301"/>
      <c r="BM374" s="301"/>
      <c r="BN374" s="313"/>
      <c r="BO374" s="301"/>
      <c r="BP374" s="301"/>
      <c r="BQ374" s="301"/>
      <c r="BR374" s="301"/>
      <c r="BS374" s="313"/>
      <c r="BT374" s="301"/>
      <c r="BU374" s="301"/>
      <c r="BV374" s="301"/>
      <c r="BW374" s="301"/>
      <c r="BX374" s="313"/>
      <c r="BY374" s="301"/>
      <c r="BZ374" s="301"/>
      <c r="CA374" s="301"/>
      <c r="CB374" s="301"/>
      <c r="CC374" s="313"/>
      <c r="CD374" s="301"/>
      <c r="CE374" s="301"/>
      <c r="CF374" s="301"/>
      <c r="CG374" s="301"/>
      <c r="CH374" s="313"/>
      <c r="CI374" s="301"/>
      <c r="CJ374" s="301"/>
      <c r="CK374" s="301"/>
      <c r="CL374" s="313"/>
      <c r="CM374" s="301"/>
      <c r="CN374" s="301"/>
      <c r="CO374" s="313"/>
      <c r="CP374" s="301"/>
      <c r="CQ374" s="301"/>
      <c r="CR374" s="313"/>
      <c r="CS374" s="301"/>
      <c r="CT374" s="301"/>
      <c r="CU374" s="313"/>
      <c r="CV374" s="301"/>
      <c r="CW374" s="301"/>
      <c r="CX374" s="313"/>
      <c r="CY374" s="301"/>
      <c r="CZ374" s="301"/>
      <c r="DA374" s="313"/>
      <c r="DB374" s="301"/>
      <c r="DC374" s="301"/>
      <c r="DD374" s="313"/>
      <c r="DE374" s="301"/>
      <c r="DF374" s="301"/>
      <c r="DG374" s="313"/>
      <c r="DH374" s="301"/>
      <c r="DI374" s="301"/>
      <c r="DJ374" s="301"/>
      <c r="DK374" s="301"/>
      <c r="DL374" s="301"/>
    </row>
    <row r="375" spans="1:116" hidden="1" outlineLevel="1">
      <c r="A375" s="30" t="str">
        <f>+A193</f>
        <v>1Q</v>
      </c>
      <c r="B375" s="30" t="str">
        <f>+B193</f>
        <v>Apr</v>
      </c>
      <c r="C375" s="30"/>
      <c r="D375" s="314"/>
      <c r="E375" s="315"/>
      <c r="F375" s="314"/>
      <c r="G375" s="307"/>
      <c r="H375" s="307"/>
      <c r="I375" s="307"/>
      <c r="J375" s="316"/>
      <c r="K375" s="307"/>
      <c r="L375" s="314"/>
      <c r="M375" s="307"/>
      <c r="N375" s="314"/>
      <c r="O375" s="307"/>
      <c r="P375" s="314"/>
      <c r="Q375" s="307"/>
      <c r="R375" s="307"/>
      <c r="S375" s="307"/>
      <c r="T375" s="314"/>
      <c r="U375" s="307"/>
      <c r="V375" s="314"/>
      <c r="W375" s="307"/>
      <c r="X375" s="307"/>
      <c r="Y375" s="307"/>
      <c r="Z375" s="314"/>
      <c r="AA375" s="307"/>
      <c r="AB375" s="314"/>
      <c r="AC375" s="30"/>
      <c r="AD375" s="314"/>
      <c r="AE375" s="307"/>
      <c r="AF375" s="307"/>
      <c r="AG375" s="30"/>
      <c r="AH375" s="307"/>
      <c r="AI375" s="30"/>
      <c r="AJ375" s="307"/>
      <c r="AK375" s="30"/>
      <c r="AL375" s="307"/>
      <c r="AM375" s="30"/>
      <c r="AN375" s="307"/>
      <c r="AO375" s="30"/>
      <c r="AP375" s="30"/>
      <c r="AQ375" s="458">
        <f>+AQ193/$AR$373</f>
        <v>18.391249999999999</v>
      </c>
      <c r="AR375" s="308"/>
      <c r="AS375" s="308"/>
      <c r="AT375" s="30"/>
      <c r="AU375" s="30"/>
      <c r="AV375" s="30"/>
      <c r="AW375" s="314"/>
      <c r="AX375" s="315"/>
      <c r="AY375" s="315"/>
      <c r="AZ375" s="314"/>
      <c r="BA375" s="307"/>
      <c r="BB375" s="315"/>
      <c r="BC375" s="307"/>
      <c r="BD375" s="307"/>
      <c r="BE375" s="307"/>
      <c r="BF375" s="315"/>
      <c r="BG375" s="316"/>
      <c r="BH375" s="307"/>
      <c r="BI375" s="307"/>
      <c r="BJ375" s="315"/>
      <c r="BK375" s="314"/>
      <c r="BL375" s="307"/>
      <c r="BM375" s="307"/>
      <c r="BN375" s="315"/>
      <c r="BO375" s="314"/>
      <c r="BP375" s="307"/>
      <c r="BQ375" s="307"/>
      <c r="BR375" s="307"/>
      <c r="BS375" s="315"/>
      <c r="BT375" s="314"/>
      <c r="BU375" s="307"/>
      <c r="BV375" s="307"/>
      <c r="BW375" s="307"/>
      <c r="BX375" s="315"/>
      <c r="BY375" s="314"/>
      <c r="BZ375" s="307"/>
      <c r="CA375" s="307"/>
      <c r="CB375" s="307"/>
      <c r="CC375" s="315"/>
      <c r="CD375" s="307"/>
      <c r="CE375" s="307"/>
      <c r="CF375" s="307"/>
      <c r="CG375" s="307"/>
      <c r="CH375" s="315"/>
      <c r="CI375" s="314"/>
      <c r="CJ375" s="307"/>
      <c r="CK375" s="307"/>
      <c r="CL375" s="315"/>
      <c r="CM375" s="314"/>
      <c r="CN375" s="307"/>
      <c r="CO375" s="315"/>
      <c r="CP375" s="314"/>
      <c r="CQ375" s="307"/>
      <c r="CR375" s="315"/>
      <c r="CS375" s="314"/>
      <c r="CT375" s="307"/>
      <c r="CU375" s="315"/>
      <c r="CV375" s="314"/>
      <c r="CW375" s="307"/>
      <c r="CX375" s="315"/>
      <c r="CY375" s="314"/>
      <c r="CZ375" s="307"/>
      <c r="DA375" s="315"/>
      <c r="DB375" s="314"/>
      <c r="DC375" s="307"/>
      <c r="DD375" s="315"/>
      <c r="DE375" s="314"/>
      <c r="DF375" s="307"/>
      <c r="DG375" s="315"/>
      <c r="DH375" s="314"/>
      <c r="DI375" s="307"/>
      <c r="DJ375" s="307"/>
      <c r="DK375" s="307"/>
      <c r="DL375" s="307"/>
    </row>
    <row r="376" spans="1:116" hidden="1" outlineLevel="1">
      <c r="A376" s="30" t="str">
        <f>+A194</f>
        <v>2Q</v>
      </c>
      <c r="B376" s="30" t="str">
        <f>+B194</f>
        <v>Jul</v>
      </c>
      <c r="C376" s="30"/>
      <c r="D376" s="314"/>
      <c r="E376" s="315"/>
      <c r="F376" s="314"/>
      <c r="G376" s="307"/>
      <c r="H376" s="307"/>
      <c r="I376" s="307"/>
      <c r="J376" s="316"/>
      <c r="K376" s="307"/>
      <c r="L376" s="314"/>
      <c r="M376" s="307"/>
      <c r="N376" s="314"/>
      <c r="O376" s="307"/>
      <c r="P376" s="314"/>
      <c r="Q376" s="307"/>
      <c r="R376" s="307"/>
      <c r="S376" s="307"/>
      <c r="T376" s="314"/>
      <c r="U376" s="307"/>
      <c r="V376" s="314"/>
      <c r="W376" s="307"/>
      <c r="X376" s="307"/>
      <c r="Y376" s="307"/>
      <c r="Z376" s="314"/>
      <c r="AA376" s="307"/>
      <c r="AB376" s="314"/>
      <c r="AC376" s="30"/>
      <c r="AD376" s="314"/>
      <c r="AE376" s="307"/>
      <c r="AF376" s="307"/>
      <c r="AG376" s="30"/>
      <c r="AH376" s="307"/>
      <c r="AI376" s="30"/>
      <c r="AJ376" s="307"/>
      <c r="AK376" s="30"/>
      <c r="AL376" s="307"/>
      <c r="AM376" s="30"/>
      <c r="AN376" s="307"/>
      <c r="AO376" s="30"/>
      <c r="AP376" s="30"/>
      <c r="AQ376" s="458">
        <f>+AQ194/$AR$373</f>
        <v>16.95</v>
      </c>
      <c r="AR376" s="308"/>
      <c r="AS376" s="308"/>
      <c r="AT376" s="30"/>
      <c r="AU376" s="30"/>
      <c r="AV376" s="30"/>
      <c r="AW376" s="314"/>
      <c r="AX376" s="315"/>
      <c r="AY376" s="315"/>
      <c r="AZ376" s="314"/>
      <c r="BA376" s="307"/>
      <c r="BB376" s="315"/>
      <c r="BC376" s="307"/>
      <c r="BD376" s="307"/>
      <c r="BE376" s="307"/>
      <c r="BF376" s="315"/>
      <c r="BG376" s="316"/>
      <c r="BH376" s="307"/>
      <c r="BI376" s="307"/>
      <c r="BJ376" s="315"/>
      <c r="BK376" s="314"/>
      <c r="BL376" s="307"/>
      <c r="BM376" s="307"/>
      <c r="BN376" s="315"/>
      <c r="BO376" s="314"/>
      <c r="BP376" s="307"/>
      <c r="BQ376" s="307"/>
      <c r="BR376" s="307"/>
      <c r="BS376" s="315"/>
      <c r="BT376" s="314"/>
      <c r="BU376" s="307"/>
      <c r="BV376" s="307"/>
      <c r="BW376" s="307"/>
      <c r="BX376" s="315"/>
      <c r="BY376" s="314"/>
      <c r="BZ376" s="307"/>
      <c r="CA376" s="307"/>
      <c r="CB376" s="307"/>
      <c r="CC376" s="315"/>
      <c r="CD376" s="307"/>
      <c r="CE376" s="307"/>
      <c r="CF376" s="307"/>
      <c r="CG376" s="307"/>
      <c r="CH376" s="315"/>
      <c r="CI376" s="314"/>
      <c r="CJ376" s="307"/>
      <c r="CK376" s="307"/>
      <c r="CL376" s="315"/>
      <c r="CM376" s="314"/>
      <c r="CN376" s="307"/>
      <c r="CO376" s="315"/>
      <c r="CP376" s="314"/>
      <c r="CQ376" s="307"/>
      <c r="CR376" s="315"/>
      <c r="CS376" s="314"/>
      <c r="CT376" s="307"/>
      <c r="CU376" s="315"/>
      <c r="CV376" s="314"/>
      <c r="CW376" s="307"/>
      <c r="CX376" s="315"/>
      <c r="CY376" s="314"/>
      <c r="CZ376" s="307"/>
      <c r="DA376" s="315"/>
      <c r="DB376" s="314"/>
      <c r="DC376" s="307"/>
      <c r="DD376" s="315"/>
      <c r="DE376" s="314"/>
      <c r="DF376" s="307"/>
      <c r="DG376" s="315"/>
      <c r="DH376" s="314"/>
      <c r="DI376" s="307"/>
      <c r="DJ376" s="307"/>
      <c r="DK376" s="307"/>
      <c r="DL376" s="307"/>
    </row>
    <row r="377" spans="1:116" hidden="1" outlineLevel="1">
      <c r="A377" s="30" t="str">
        <f>+A195</f>
        <v>3Q</v>
      </c>
      <c r="B377" s="30" t="str">
        <f>+B195</f>
        <v>Oct</v>
      </c>
      <c r="C377" s="30"/>
      <c r="D377" s="314"/>
      <c r="E377" s="315"/>
      <c r="F377" s="314"/>
      <c r="G377" s="307"/>
      <c r="H377" s="307"/>
      <c r="I377" s="307"/>
      <c r="J377" s="316"/>
      <c r="K377" s="307"/>
      <c r="L377" s="314"/>
      <c r="M377" s="307"/>
      <c r="N377" s="314"/>
      <c r="O377" s="307"/>
      <c r="P377" s="314"/>
      <c r="Q377" s="307"/>
      <c r="R377" s="307"/>
      <c r="S377" s="307"/>
      <c r="T377" s="314"/>
      <c r="U377" s="307"/>
      <c r="V377" s="314"/>
      <c r="W377" s="307"/>
      <c r="X377" s="307"/>
      <c r="Y377" s="307"/>
      <c r="Z377" s="314"/>
      <c r="AA377" s="307"/>
      <c r="AB377" s="314"/>
      <c r="AC377" s="30"/>
      <c r="AD377" s="314"/>
      <c r="AE377" s="307"/>
      <c r="AF377" s="307"/>
      <c r="AG377" s="30"/>
      <c r="AH377" s="307"/>
      <c r="AI377" s="30"/>
      <c r="AJ377" s="307"/>
      <c r="AK377" s="30"/>
      <c r="AL377" s="307"/>
      <c r="AM377" s="30"/>
      <c r="AN377" s="307"/>
      <c r="AO377" s="30"/>
      <c r="AP377" s="30"/>
      <c r="AQ377" s="458">
        <f>+AQ195/$AR$373</f>
        <v>17.535</v>
      </c>
      <c r="AR377" s="308"/>
      <c r="AS377" s="308"/>
      <c r="AT377" s="30"/>
      <c r="AU377" s="30"/>
      <c r="AV377" s="30"/>
      <c r="AW377" s="314"/>
      <c r="AX377" s="315"/>
      <c r="AY377" s="315"/>
      <c r="AZ377" s="314"/>
      <c r="BA377" s="307"/>
      <c r="BB377" s="315"/>
      <c r="BC377" s="307"/>
      <c r="BD377" s="307"/>
      <c r="BE377" s="307"/>
      <c r="BF377" s="315"/>
      <c r="BG377" s="316"/>
      <c r="BH377" s="307"/>
      <c r="BI377" s="307"/>
      <c r="BJ377" s="315"/>
      <c r="BK377" s="314"/>
      <c r="BL377" s="307"/>
      <c r="BM377" s="307"/>
      <c r="BN377" s="315"/>
      <c r="BO377" s="314"/>
      <c r="BP377" s="307"/>
      <c r="BQ377" s="307"/>
      <c r="BR377" s="307"/>
      <c r="BS377" s="315"/>
      <c r="BT377" s="314"/>
      <c r="BU377" s="307"/>
      <c r="BV377" s="307"/>
      <c r="BW377" s="307"/>
      <c r="BX377" s="315"/>
      <c r="BY377" s="314"/>
      <c r="BZ377" s="307"/>
      <c r="CA377" s="307"/>
      <c r="CB377" s="307"/>
      <c r="CC377" s="315"/>
      <c r="CD377" s="307"/>
      <c r="CE377" s="307"/>
      <c r="CF377" s="307"/>
      <c r="CG377" s="307"/>
      <c r="CH377" s="315"/>
      <c r="CI377" s="314"/>
      <c r="CJ377" s="307"/>
      <c r="CK377" s="307"/>
      <c r="CL377" s="315"/>
      <c r="CM377" s="314"/>
      <c r="CN377" s="307"/>
      <c r="CO377" s="315"/>
      <c r="CP377" s="314"/>
      <c r="CQ377" s="307"/>
      <c r="CR377" s="315"/>
      <c r="CS377" s="314"/>
      <c r="CT377" s="307"/>
      <c r="CU377" s="315"/>
      <c r="CV377" s="314"/>
      <c r="CW377" s="307"/>
      <c r="CX377" s="315"/>
      <c r="CY377" s="314"/>
      <c r="CZ377" s="307"/>
      <c r="DA377" s="315"/>
      <c r="DB377" s="314"/>
      <c r="DC377" s="307"/>
      <c r="DD377" s="315"/>
      <c r="DE377" s="314"/>
      <c r="DF377" s="307"/>
      <c r="DG377" s="315"/>
      <c r="DH377" s="314"/>
      <c r="DI377" s="307"/>
      <c r="DJ377" s="307"/>
      <c r="DK377" s="307"/>
      <c r="DL377" s="307"/>
    </row>
    <row r="378" spans="1:116" hidden="1" outlineLevel="1">
      <c r="A378" s="30" t="str">
        <f>+A196</f>
        <v>4Q</v>
      </c>
      <c r="B378" s="30" t="str">
        <f>+B196</f>
        <v>Jan</v>
      </c>
      <c r="C378" s="30"/>
      <c r="D378" s="314">
        <f>+D196/$AR$373</f>
        <v>1.2074999999999998</v>
      </c>
      <c r="E378" s="315"/>
      <c r="F378" s="314">
        <f>+F196/$AR$373</f>
        <v>0</v>
      </c>
      <c r="G378" s="307"/>
      <c r="H378" s="307"/>
      <c r="I378" s="307"/>
      <c r="J378" s="316">
        <f>+D378+F378</f>
        <v>1.2074999999999998</v>
      </c>
      <c r="K378" s="307"/>
      <c r="L378" s="314">
        <f>+L196/$AR$373</f>
        <v>2.5000000000000001E-3</v>
      </c>
      <c r="M378" s="307"/>
      <c r="N378" s="314">
        <f>+N196/$AR$373</f>
        <v>1.9987499999999998</v>
      </c>
      <c r="O378" s="307"/>
      <c r="P378" s="314">
        <f>+P196/$AR$373</f>
        <v>0.16750000000000001</v>
      </c>
      <c r="Q378" s="307"/>
      <c r="R378" s="307"/>
      <c r="S378" s="307"/>
      <c r="T378" s="314">
        <f>+T196/$AR$373</f>
        <v>3.9574999999999996</v>
      </c>
      <c r="U378" s="307"/>
      <c r="V378" s="314">
        <f>+V196/$AR$373</f>
        <v>1.7499999999999998E-2</v>
      </c>
      <c r="W378" s="307"/>
      <c r="X378" s="307"/>
      <c r="Y378" s="307"/>
      <c r="Z378" s="314"/>
      <c r="AA378" s="307"/>
      <c r="AB378" s="314">
        <f>+AB196/$AR$373</f>
        <v>6.3687499999999995</v>
      </c>
      <c r="AC378" s="30"/>
      <c r="AD378" s="314">
        <f>+AD196/$AR$373</f>
        <v>3.7962499999999997</v>
      </c>
      <c r="AE378" s="307"/>
      <c r="AF378" s="314">
        <f>+AF196/$AR$373</f>
        <v>0</v>
      </c>
      <c r="AG378" s="30"/>
      <c r="AH378" s="314">
        <f>+AH196/$AR$373</f>
        <v>0.13124999999999998</v>
      </c>
      <c r="AI378" s="30"/>
      <c r="AJ378" s="314">
        <f>+AJ196/$AR$373</f>
        <v>0.11249999999999999</v>
      </c>
      <c r="AK378" s="30"/>
      <c r="AL378" s="314">
        <f>+AL196/$AR$373</f>
        <v>0.20749999999999999</v>
      </c>
      <c r="AM378" s="30"/>
      <c r="AN378" s="314">
        <f>+AN196/$AR$373</f>
        <v>0</v>
      </c>
      <c r="AO378" s="30"/>
      <c r="AP378" s="30"/>
      <c r="AQ378" s="453">
        <f>+J378+L378+N378+P378+R378+T378+V378+AB378+AD378+AF378+AH378+AJ378+AL378+AN378</f>
        <v>17.967500000000001</v>
      </c>
      <c r="AR378" s="308"/>
      <c r="AS378" s="308"/>
      <c r="AT378" s="30"/>
      <c r="AU378" s="30"/>
      <c r="AV378" s="30"/>
      <c r="AW378" s="314"/>
      <c r="AX378" s="315"/>
      <c r="AY378" s="315"/>
      <c r="AZ378" s="314"/>
      <c r="BA378" s="307"/>
      <c r="BB378" s="315"/>
      <c r="BC378" s="307"/>
      <c r="BD378" s="307"/>
      <c r="BE378" s="307"/>
      <c r="BF378" s="315"/>
      <c r="BG378" s="316"/>
      <c r="BH378" s="307"/>
      <c r="BI378" s="307"/>
      <c r="BJ378" s="315"/>
      <c r="BK378" s="314"/>
      <c r="BL378" s="307"/>
      <c r="BM378" s="307"/>
      <c r="BN378" s="315"/>
      <c r="BO378" s="314"/>
      <c r="BP378" s="307"/>
      <c r="BQ378" s="307"/>
      <c r="BR378" s="307"/>
      <c r="BS378" s="315"/>
      <c r="BT378" s="314"/>
      <c r="BU378" s="307"/>
      <c r="BV378" s="307"/>
      <c r="BW378" s="307"/>
      <c r="BX378" s="315"/>
      <c r="BY378" s="314"/>
      <c r="BZ378" s="307"/>
      <c r="CA378" s="307"/>
      <c r="CB378" s="307"/>
      <c r="CC378" s="315"/>
      <c r="CD378" s="307"/>
      <c r="CE378" s="307"/>
      <c r="CF378" s="307"/>
      <c r="CG378" s="307"/>
      <c r="CH378" s="315"/>
      <c r="CI378" s="314"/>
      <c r="CJ378" s="307"/>
      <c r="CK378" s="307"/>
      <c r="CL378" s="315"/>
      <c r="CM378" s="314"/>
      <c r="CN378" s="307"/>
      <c r="CO378" s="315"/>
      <c r="CP378" s="314"/>
      <c r="CQ378" s="307"/>
      <c r="CR378" s="315"/>
      <c r="CS378" s="314"/>
      <c r="CT378" s="307"/>
      <c r="CU378" s="315"/>
      <c r="CV378" s="314"/>
      <c r="CW378" s="307"/>
      <c r="CX378" s="315"/>
      <c r="CY378" s="314"/>
      <c r="CZ378" s="307"/>
      <c r="DA378" s="315"/>
      <c r="DB378" s="314"/>
      <c r="DC378" s="307"/>
      <c r="DD378" s="315"/>
      <c r="DE378" s="314"/>
      <c r="DF378" s="307"/>
      <c r="DG378" s="315"/>
      <c r="DH378" s="314"/>
      <c r="DI378" s="307"/>
      <c r="DJ378" s="307"/>
      <c r="DK378" s="307"/>
      <c r="DL378" s="307"/>
    </row>
    <row r="379" spans="1:116" hidden="1" outlineLevel="1">
      <c r="A379" s="30"/>
      <c r="B379" s="30"/>
      <c r="C379" s="30"/>
      <c r="D379" s="314"/>
      <c r="E379" s="310"/>
      <c r="F379" s="314"/>
      <c r="G379" s="30"/>
      <c r="H379" s="30"/>
      <c r="I379" s="30"/>
      <c r="J379" s="316"/>
      <c r="K379" s="30"/>
      <c r="L379" s="314"/>
      <c r="M379" s="30"/>
      <c r="N379" s="314"/>
      <c r="O379" s="30"/>
      <c r="P379" s="314"/>
      <c r="Q379" s="30"/>
      <c r="R379" s="30"/>
      <c r="S379" s="30"/>
      <c r="T379" s="314"/>
      <c r="U379" s="30"/>
      <c r="V379" s="314"/>
      <c r="W379" s="30"/>
      <c r="X379" s="30"/>
      <c r="Y379" s="30"/>
      <c r="Z379" s="314"/>
      <c r="AA379" s="30"/>
      <c r="AB379" s="314"/>
      <c r="AC379" s="30"/>
      <c r="AD379" s="314"/>
      <c r="AE379" s="30"/>
      <c r="AF379" s="30"/>
      <c r="AG379" s="30"/>
      <c r="AH379" s="30"/>
      <c r="AI379" s="30"/>
      <c r="AJ379" s="30"/>
      <c r="AK379" s="30"/>
      <c r="AL379" s="30"/>
      <c r="AM379" s="30"/>
      <c r="AN379" s="30"/>
      <c r="AO379" s="30"/>
      <c r="AP379" s="30"/>
      <c r="AQ379" s="453"/>
      <c r="AR379" s="30"/>
      <c r="AS379" s="30"/>
      <c r="AT379" s="30"/>
      <c r="AU379" s="30"/>
      <c r="AV379" s="30"/>
      <c r="AW379" s="314"/>
      <c r="AX379" s="310"/>
      <c r="AY379" s="310"/>
      <c r="AZ379" s="314"/>
      <c r="BA379" s="30"/>
      <c r="BB379" s="310"/>
      <c r="BC379" s="30"/>
      <c r="BD379" s="30"/>
      <c r="BE379" s="30"/>
      <c r="BF379" s="310"/>
      <c r="BG379" s="316"/>
      <c r="BH379" s="30"/>
      <c r="BI379" s="30"/>
      <c r="BJ379" s="310"/>
      <c r="BK379" s="314"/>
      <c r="BL379" s="30"/>
      <c r="BM379" s="30"/>
      <c r="BN379" s="310"/>
      <c r="BO379" s="314"/>
      <c r="BP379" s="30"/>
      <c r="BQ379" s="30"/>
      <c r="BR379" s="30"/>
      <c r="BS379" s="310"/>
      <c r="BT379" s="314"/>
      <c r="BU379" s="30"/>
      <c r="BV379" s="30"/>
      <c r="BW379" s="30"/>
      <c r="BX379" s="310"/>
      <c r="BY379" s="314"/>
      <c r="BZ379" s="30"/>
      <c r="CA379" s="30"/>
      <c r="CB379" s="30"/>
      <c r="CC379" s="310"/>
      <c r="CD379" s="30"/>
      <c r="CE379" s="30"/>
      <c r="CF379" s="30"/>
      <c r="CG379" s="30"/>
      <c r="CH379" s="310"/>
      <c r="CI379" s="314"/>
      <c r="CJ379" s="30"/>
      <c r="CK379" s="30"/>
      <c r="CL379" s="310"/>
      <c r="CM379" s="314"/>
      <c r="CN379" s="30"/>
      <c r="CO379" s="310"/>
      <c r="CP379" s="314"/>
      <c r="CQ379" s="30"/>
      <c r="CR379" s="310"/>
      <c r="CS379" s="314"/>
      <c r="CT379" s="30"/>
      <c r="CU379" s="310"/>
      <c r="CV379" s="314"/>
      <c r="CW379" s="30"/>
      <c r="CX379" s="310"/>
      <c r="CY379" s="314"/>
      <c r="CZ379" s="30"/>
      <c r="DA379" s="310"/>
      <c r="DB379" s="314"/>
      <c r="DC379" s="30"/>
      <c r="DD379" s="310"/>
      <c r="DE379" s="314"/>
      <c r="DF379" s="30"/>
      <c r="DG379" s="310"/>
      <c r="DH379" s="314"/>
      <c r="DI379" s="30"/>
      <c r="DJ379" s="30"/>
      <c r="DK379" s="30"/>
      <c r="DL379" s="30"/>
    </row>
    <row r="380" spans="1:116" hidden="1" outlineLevel="1">
      <c r="A380" s="301"/>
      <c r="B380" s="312">
        <f>+B198</f>
        <v>1990</v>
      </c>
      <c r="C380" s="301"/>
      <c r="D380" s="301"/>
      <c r="E380" s="313"/>
      <c r="F380" s="301"/>
      <c r="G380" s="301"/>
      <c r="H380" s="301"/>
      <c r="I380" s="301"/>
      <c r="J380" s="301"/>
      <c r="K380" s="301"/>
      <c r="L380" s="301"/>
      <c r="M380" s="301"/>
      <c r="N380" s="301"/>
      <c r="O380" s="301"/>
      <c r="P380" s="301"/>
      <c r="Q380" s="301"/>
      <c r="R380" s="301"/>
      <c r="S380" s="301"/>
      <c r="T380" s="301"/>
      <c r="U380" s="301"/>
      <c r="V380" s="301"/>
      <c r="W380" s="301"/>
      <c r="X380" s="301"/>
      <c r="Y380" s="301"/>
      <c r="Z380" s="301"/>
      <c r="AA380" s="301"/>
      <c r="AB380" s="301"/>
      <c r="AC380" s="301"/>
      <c r="AD380" s="301"/>
      <c r="AE380" s="301"/>
      <c r="AF380" s="301"/>
      <c r="AG380" s="301"/>
      <c r="AH380" s="301"/>
      <c r="AI380" s="301"/>
      <c r="AJ380" s="301"/>
      <c r="AK380" s="301"/>
      <c r="AL380" s="301"/>
      <c r="AM380" s="301"/>
      <c r="AN380" s="301"/>
      <c r="AO380" s="301"/>
      <c r="AP380" s="301"/>
      <c r="AQ380" s="454"/>
      <c r="AR380" s="301"/>
      <c r="AS380" s="301"/>
      <c r="AT380" s="301"/>
      <c r="AU380" s="301"/>
      <c r="AV380" s="301"/>
      <c r="AW380" s="301"/>
      <c r="AX380" s="313"/>
      <c r="AY380" s="313"/>
      <c r="AZ380" s="301"/>
      <c r="BA380" s="301"/>
      <c r="BB380" s="313"/>
      <c r="BC380" s="301"/>
      <c r="BD380" s="301"/>
      <c r="BE380" s="301"/>
      <c r="BF380" s="313"/>
      <c r="BG380" s="301"/>
      <c r="BH380" s="301"/>
      <c r="BI380" s="301"/>
      <c r="BJ380" s="313"/>
      <c r="BK380" s="301"/>
      <c r="BL380" s="301"/>
      <c r="BM380" s="301"/>
      <c r="BN380" s="313"/>
      <c r="BO380" s="301"/>
      <c r="BP380" s="301"/>
      <c r="BQ380" s="301"/>
      <c r="BR380" s="301"/>
      <c r="BS380" s="313"/>
      <c r="BT380" s="301"/>
      <c r="BU380" s="301"/>
      <c r="BV380" s="301"/>
      <c r="BW380" s="301"/>
      <c r="BX380" s="313"/>
      <c r="BY380" s="301"/>
      <c r="BZ380" s="301"/>
      <c r="CA380" s="301"/>
      <c r="CB380" s="301"/>
      <c r="CC380" s="313"/>
      <c r="CD380" s="301"/>
      <c r="CE380" s="301"/>
      <c r="CF380" s="301"/>
      <c r="CG380" s="301"/>
      <c r="CH380" s="313"/>
      <c r="CI380" s="301"/>
      <c r="CJ380" s="301"/>
      <c r="CK380" s="301"/>
      <c r="CL380" s="313"/>
      <c r="CM380" s="301"/>
      <c r="CN380" s="301"/>
      <c r="CO380" s="313"/>
      <c r="CP380" s="301"/>
      <c r="CQ380" s="301"/>
      <c r="CR380" s="313"/>
      <c r="CS380" s="301"/>
      <c r="CT380" s="301"/>
      <c r="CU380" s="313"/>
      <c r="CV380" s="301"/>
      <c r="CW380" s="301"/>
      <c r="CX380" s="313"/>
      <c r="CY380" s="301"/>
      <c r="CZ380" s="301"/>
      <c r="DA380" s="313"/>
      <c r="DB380" s="301"/>
      <c r="DC380" s="301"/>
      <c r="DD380" s="313"/>
      <c r="DE380" s="301"/>
      <c r="DF380" s="301"/>
      <c r="DG380" s="313"/>
      <c r="DH380" s="301"/>
      <c r="DI380" s="301"/>
      <c r="DJ380" s="301"/>
      <c r="DK380" s="301"/>
      <c r="DL380" s="301"/>
    </row>
    <row r="381" spans="1:116" hidden="1" outlineLevel="1">
      <c r="A381" s="30" t="str">
        <f>+A199</f>
        <v>1Q</v>
      </c>
      <c r="B381" s="30" t="str">
        <f>+B199</f>
        <v>Apr</v>
      </c>
      <c r="C381" s="30"/>
      <c r="D381" s="314"/>
      <c r="E381" s="315"/>
      <c r="F381" s="314"/>
      <c r="G381" s="307"/>
      <c r="H381" s="307"/>
      <c r="I381" s="307"/>
      <c r="J381" s="316"/>
      <c r="K381" s="307"/>
      <c r="L381" s="314"/>
      <c r="M381" s="307"/>
      <c r="N381" s="314"/>
      <c r="O381" s="307"/>
      <c r="P381" s="314"/>
      <c r="Q381" s="307"/>
      <c r="R381" s="307"/>
      <c r="S381" s="307"/>
      <c r="T381" s="314"/>
      <c r="U381" s="307"/>
      <c r="V381" s="314"/>
      <c r="W381" s="307"/>
      <c r="X381" s="307"/>
      <c r="Y381" s="307"/>
      <c r="Z381" s="314"/>
      <c r="AA381" s="307"/>
      <c r="AB381" s="314"/>
      <c r="AC381" s="30"/>
      <c r="AD381" s="314"/>
      <c r="AE381" s="307"/>
      <c r="AF381" s="307"/>
      <c r="AG381" s="30"/>
      <c r="AH381" s="307"/>
      <c r="AI381" s="30"/>
      <c r="AJ381" s="307"/>
      <c r="AK381" s="30"/>
      <c r="AL381" s="307"/>
      <c r="AM381" s="30"/>
      <c r="AN381" s="307"/>
      <c r="AO381" s="30"/>
      <c r="AP381" s="30"/>
      <c r="AQ381" s="458">
        <f>+AQ199/$AR$373</f>
        <v>18.517499999999998</v>
      </c>
      <c r="AR381" s="308">
        <f>+(AQ381/AQ375-1)*100</f>
        <v>0.68646774960918755</v>
      </c>
      <c r="AS381" s="308"/>
      <c r="AT381" s="30"/>
      <c r="AU381" s="30"/>
      <c r="AV381" s="30"/>
      <c r="AW381" s="314"/>
      <c r="AX381" s="315"/>
      <c r="AY381" s="315"/>
      <c r="AZ381" s="314"/>
      <c r="BA381" s="307"/>
      <c r="BB381" s="315"/>
      <c r="BC381" s="307"/>
      <c r="BD381" s="307"/>
      <c r="BE381" s="307"/>
      <c r="BF381" s="315"/>
      <c r="BG381" s="316"/>
      <c r="BH381" s="307"/>
      <c r="BI381" s="307"/>
      <c r="BJ381" s="315"/>
      <c r="BK381" s="314"/>
      <c r="BL381" s="307"/>
      <c r="BM381" s="307"/>
      <c r="BN381" s="315"/>
      <c r="BO381" s="314"/>
      <c r="BP381" s="307"/>
      <c r="BQ381" s="307"/>
      <c r="BR381" s="307"/>
      <c r="BS381" s="315"/>
      <c r="BT381" s="314"/>
      <c r="BU381" s="307"/>
      <c r="BV381" s="307"/>
      <c r="BW381" s="307"/>
      <c r="BX381" s="315"/>
      <c r="BY381" s="314"/>
      <c r="BZ381" s="307"/>
      <c r="CA381" s="307"/>
      <c r="CB381" s="307"/>
      <c r="CC381" s="315"/>
      <c r="CD381" s="307"/>
      <c r="CE381" s="307"/>
      <c r="CF381" s="307"/>
      <c r="CG381" s="307"/>
      <c r="CH381" s="315"/>
      <c r="CI381" s="314"/>
      <c r="CJ381" s="307"/>
      <c r="CK381" s="307"/>
      <c r="CL381" s="315"/>
      <c r="CM381" s="314"/>
      <c r="CN381" s="307"/>
      <c r="CO381" s="315"/>
      <c r="CP381" s="314"/>
      <c r="CQ381" s="307"/>
      <c r="CR381" s="315"/>
      <c r="CS381" s="314"/>
      <c r="CT381" s="307"/>
      <c r="CU381" s="315"/>
      <c r="CV381" s="314"/>
      <c r="CW381" s="307"/>
      <c r="CX381" s="315"/>
      <c r="CY381" s="314"/>
      <c r="CZ381" s="307"/>
      <c r="DA381" s="315"/>
      <c r="DB381" s="314"/>
      <c r="DC381" s="307"/>
      <c r="DD381" s="315"/>
      <c r="DE381" s="314"/>
      <c r="DF381" s="307"/>
      <c r="DG381" s="315"/>
      <c r="DH381" s="314"/>
      <c r="DI381" s="307"/>
      <c r="DJ381" s="307"/>
      <c r="DK381" s="307"/>
      <c r="DL381" s="307"/>
    </row>
    <row r="382" spans="1:116" hidden="1" outlineLevel="1">
      <c r="A382" s="30" t="str">
        <f>+A200</f>
        <v>2Q</v>
      </c>
      <c r="B382" s="30" t="str">
        <f>+B200</f>
        <v>Jul</v>
      </c>
      <c r="C382" s="30"/>
      <c r="D382" s="314"/>
      <c r="E382" s="315"/>
      <c r="F382" s="314"/>
      <c r="G382" s="307"/>
      <c r="H382" s="307"/>
      <c r="I382" s="307"/>
      <c r="J382" s="316"/>
      <c r="K382" s="307"/>
      <c r="L382" s="314"/>
      <c r="M382" s="307"/>
      <c r="N382" s="314"/>
      <c r="O382" s="307"/>
      <c r="P382" s="314"/>
      <c r="Q382" s="307"/>
      <c r="R382" s="307"/>
      <c r="S382" s="307"/>
      <c r="T382" s="314"/>
      <c r="U382" s="307"/>
      <c r="V382" s="314"/>
      <c r="W382" s="307"/>
      <c r="X382" s="307"/>
      <c r="Y382" s="307"/>
      <c r="Z382" s="314"/>
      <c r="AA382" s="307"/>
      <c r="AB382" s="314"/>
      <c r="AC382" s="30"/>
      <c r="AD382" s="314"/>
      <c r="AE382" s="307"/>
      <c r="AF382" s="307"/>
      <c r="AG382" s="30"/>
      <c r="AH382" s="307"/>
      <c r="AI382" s="30"/>
      <c r="AJ382" s="307"/>
      <c r="AK382" s="30"/>
      <c r="AL382" s="307"/>
      <c r="AM382" s="30"/>
      <c r="AN382" s="307"/>
      <c r="AO382" s="30"/>
      <c r="AP382" s="30"/>
      <c r="AQ382" s="458">
        <f>+AQ200/$AR$373</f>
        <v>19.305</v>
      </c>
      <c r="AR382" s="308">
        <f>+(AQ382/AQ376-1)*100</f>
        <v>13.893805309734519</v>
      </c>
      <c r="AS382" s="308"/>
      <c r="AT382" s="30"/>
      <c r="AU382" s="30"/>
      <c r="AV382" s="30"/>
      <c r="AW382" s="314"/>
      <c r="AX382" s="315"/>
      <c r="AY382" s="315"/>
      <c r="AZ382" s="314"/>
      <c r="BA382" s="307"/>
      <c r="BB382" s="315"/>
      <c r="BC382" s="307"/>
      <c r="BD382" s="307"/>
      <c r="BE382" s="307"/>
      <c r="BF382" s="315"/>
      <c r="BG382" s="316"/>
      <c r="BH382" s="307"/>
      <c r="BI382" s="307"/>
      <c r="BJ382" s="315"/>
      <c r="BK382" s="314"/>
      <c r="BL382" s="307"/>
      <c r="BM382" s="307"/>
      <c r="BN382" s="315"/>
      <c r="BO382" s="314"/>
      <c r="BP382" s="307"/>
      <c r="BQ382" s="307"/>
      <c r="BR382" s="307"/>
      <c r="BS382" s="315"/>
      <c r="BT382" s="314"/>
      <c r="BU382" s="307"/>
      <c r="BV382" s="307"/>
      <c r="BW382" s="307"/>
      <c r="BX382" s="315"/>
      <c r="BY382" s="314"/>
      <c r="BZ382" s="307"/>
      <c r="CA382" s="307"/>
      <c r="CB382" s="307"/>
      <c r="CC382" s="315"/>
      <c r="CD382" s="307"/>
      <c r="CE382" s="307"/>
      <c r="CF382" s="307"/>
      <c r="CG382" s="307"/>
      <c r="CH382" s="315"/>
      <c r="CI382" s="314"/>
      <c r="CJ382" s="307"/>
      <c r="CK382" s="307"/>
      <c r="CL382" s="315"/>
      <c r="CM382" s="314"/>
      <c r="CN382" s="307"/>
      <c r="CO382" s="315"/>
      <c r="CP382" s="314"/>
      <c r="CQ382" s="307"/>
      <c r="CR382" s="315"/>
      <c r="CS382" s="314"/>
      <c r="CT382" s="307"/>
      <c r="CU382" s="315"/>
      <c r="CV382" s="314"/>
      <c r="CW382" s="307"/>
      <c r="CX382" s="315"/>
      <c r="CY382" s="314"/>
      <c r="CZ382" s="307"/>
      <c r="DA382" s="315"/>
      <c r="DB382" s="314"/>
      <c r="DC382" s="307"/>
      <c r="DD382" s="315"/>
      <c r="DE382" s="314"/>
      <c r="DF382" s="307"/>
      <c r="DG382" s="315"/>
      <c r="DH382" s="314"/>
      <c r="DI382" s="307"/>
      <c r="DJ382" s="307"/>
      <c r="DK382" s="307"/>
      <c r="DL382" s="307"/>
    </row>
    <row r="383" spans="1:116" hidden="1" outlineLevel="1">
      <c r="A383" s="30" t="str">
        <f>+A201</f>
        <v>3Q</v>
      </c>
      <c r="B383" s="30" t="str">
        <f>+B201</f>
        <v>Oct</v>
      </c>
      <c r="C383" s="30"/>
      <c r="D383" s="314"/>
      <c r="E383" s="315"/>
      <c r="F383" s="314"/>
      <c r="G383" s="307"/>
      <c r="H383" s="307"/>
      <c r="I383" s="307"/>
      <c r="J383" s="316"/>
      <c r="K383" s="307"/>
      <c r="L383" s="314"/>
      <c r="M383" s="307"/>
      <c r="N383" s="314"/>
      <c r="O383" s="307"/>
      <c r="P383" s="314"/>
      <c r="Q383" s="307"/>
      <c r="R383" s="307"/>
      <c r="S383" s="307"/>
      <c r="T383" s="314"/>
      <c r="U383" s="307"/>
      <c r="V383" s="314"/>
      <c r="W383" s="307"/>
      <c r="X383" s="307"/>
      <c r="Y383" s="307"/>
      <c r="Z383" s="314"/>
      <c r="AA383" s="307"/>
      <c r="AB383" s="314"/>
      <c r="AC383" s="30"/>
      <c r="AD383" s="314"/>
      <c r="AE383" s="307"/>
      <c r="AF383" s="307"/>
      <c r="AG383" s="30"/>
      <c r="AH383" s="307"/>
      <c r="AI383" s="30"/>
      <c r="AJ383" s="307"/>
      <c r="AK383" s="30"/>
      <c r="AL383" s="307"/>
      <c r="AM383" s="30"/>
      <c r="AN383" s="307"/>
      <c r="AO383" s="30"/>
      <c r="AP383" s="30"/>
      <c r="AQ383" s="458">
        <f>+AQ201/$AR$373</f>
        <v>20.6875</v>
      </c>
      <c r="AR383" s="308">
        <f>+(AQ383/AQ377-1)*100</f>
        <v>17.978329056173358</v>
      </c>
      <c r="AS383" s="308"/>
      <c r="AT383" s="30"/>
      <c r="AU383" s="30"/>
      <c r="AV383" s="30"/>
      <c r="AW383" s="314"/>
      <c r="AX383" s="315"/>
      <c r="AY383" s="315"/>
      <c r="AZ383" s="314"/>
      <c r="BA383" s="307"/>
      <c r="BB383" s="315"/>
      <c r="BC383" s="307"/>
      <c r="BD383" s="307"/>
      <c r="BE383" s="307"/>
      <c r="BF383" s="315"/>
      <c r="BG383" s="316"/>
      <c r="BH383" s="307"/>
      <c r="BI383" s="307"/>
      <c r="BJ383" s="315"/>
      <c r="BK383" s="314"/>
      <c r="BL383" s="307"/>
      <c r="BM383" s="307"/>
      <c r="BN383" s="315"/>
      <c r="BO383" s="314"/>
      <c r="BP383" s="307"/>
      <c r="BQ383" s="307"/>
      <c r="BR383" s="307"/>
      <c r="BS383" s="315"/>
      <c r="BT383" s="314"/>
      <c r="BU383" s="307"/>
      <c r="BV383" s="307"/>
      <c r="BW383" s="307"/>
      <c r="BX383" s="315"/>
      <c r="BY383" s="314"/>
      <c r="BZ383" s="307"/>
      <c r="CA383" s="307"/>
      <c r="CB383" s="307"/>
      <c r="CC383" s="315"/>
      <c r="CD383" s="307"/>
      <c r="CE383" s="307"/>
      <c r="CF383" s="307"/>
      <c r="CG383" s="307"/>
      <c r="CH383" s="315"/>
      <c r="CI383" s="314"/>
      <c r="CJ383" s="307"/>
      <c r="CK383" s="307"/>
      <c r="CL383" s="315"/>
      <c r="CM383" s="314"/>
      <c r="CN383" s="307"/>
      <c r="CO383" s="315"/>
      <c r="CP383" s="314"/>
      <c r="CQ383" s="307"/>
      <c r="CR383" s="315"/>
      <c r="CS383" s="314"/>
      <c r="CT383" s="307"/>
      <c r="CU383" s="315"/>
      <c r="CV383" s="314"/>
      <c r="CW383" s="307"/>
      <c r="CX383" s="315"/>
      <c r="CY383" s="314"/>
      <c r="CZ383" s="307"/>
      <c r="DA383" s="315"/>
      <c r="DB383" s="314"/>
      <c r="DC383" s="307"/>
      <c r="DD383" s="315"/>
      <c r="DE383" s="314"/>
      <c r="DF383" s="307"/>
      <c r="DG383" s="315"/>
      <c r="DH383" s="314"/>
      <c r="DI383" s="307"/>
      <c r="DJ383" s="307"/>
      <c r="DK383" s="307"/>
      <c r="DL383" s="307"/>
    </row>
    <row r="384" spans="1:116" hidden="1" outlineLevel="1">
      <c r="A384" s="30" t="str">
        <f>+A202</f>
        <v>4Q</v>
      </c>
      <c r="B384" s="30" t="str">
        <f>+B202</f>
        <v>Jan</v>
      </c>
      <c r="C384" s="30"/>
      <c r="D384" s="314">
        <f>+D202/$AR$373</f>
        <v>1.6074999999999999</v>
      </c>
      <c r="E384" s="308">
        <f>+(D384/D378-1)*100</f>
        <v>33.126293995859221</v>
      </c>
      <c r="F384" s="314">
        <f>+F202/$AR$373</f>
        <v>0</v>
      </c>
      <c r="G384" s="307"/>
      <c r="H384" s="307"/>
      <c r="I384" s="307"/>
      <c r="J384" s="316">
        <f>+D384+F384</f>
        <v>1.6074999999999999</v>
      </c>
      <c r="K384" s="308">
        <f>+(J384/J378-1)*100</f>
        <v>33.126293995859221</v>
      </c>
      <c r="L384" s="314">
        <f>+L202/$AR$373</f>
        <v>0.03</v>
      </c>
      <c r="M384" s="308">
        <f>+(L384/L378-1)*100</f>
        <v>1100</v>
      </c>
      <c r="N384" s="314">
        <f>+N202/$AR$373</f>
        <v>2.6887499999999998</v>
      </c>
      <c r="O384" s="308">
        <f>+(N384/N378-1)*100</f>
        <v>34.521575984990619</v>
      </c>
      <c r="P384" s="314">
        <f>+P202/$AR$373</f>
        <v>0.44374999999999998</v>
      </c>
      <c r="Q384" s="308">
        <f>+(P384/P378-1)*100</f>
        <v>164.92537313432831</v>
      </c>
      <c r="R384" s="307"/>
      <c r="S384" s="307"/>
      <c r="T384" s="314">
        <f>+T202/$AR$373</f>
        <v>4.4074999999999998</v>
      </c>
      <c r="U384" s="308">
        <f>+(T384/T378-1)*100</f>
        <v>11.370814908401773</v>
      </c>
      <c r="V384" s="314">
        <f>+V202/$AR$373</f>
        <v>8.9999999999999983E-2</v>
      </c>
      <c r="W384" s="308">
        <f>+(V384/V378-1)*100</f>
        <v>414.28571428571422</v>
      </c>
      <c r="X384" s="308"/>
      <c r="Y384" s="308"/>
      <c r="Z384" s="314"/>
      <c r="AA384" s="308"/>
      <c r="AB384" s="314">
        <f>+AB202/$AR$373</f>
        <v>7.1512500000000001</v>
      </c>
      <c r="AC384" s="308">
        <f>+(AB384/AB378-1)*100</f>
        <v>12.2865554465162</v>
      </c>
      <c r="AD384" s="314">
        <f>+AD202/$AR$373</f>
        <v>4.1187499999999995</v>
      </c>
      <c r="AE384" s="308">
        <f>+(AD384/AD378-1)*100</f>
        <v>8.4952255515311048</v>
      </c>
      <c r="AF384" s="314">
        <f>+AF202/$AR$373</f>
        <v>0</v>
      </c>
      <c r="AG384" s="308"/>
      <c r="AH384" s="314">
        <f>+AH202/$AR$373</f>
        <v>0.33500000000000002</v>
      </c>
      <c r="AI384" s="308">
        <f>+(AH384/AH378-1)*100</f>
        <v>155.2380952380953</v>
      </c>
      <c r="AJ384" s="314">
        <f>+AJ202/$AR$373</f>
        <v>0.14374999999999999</v>
      </c>
      <c r="AK384" s="308">
        <f>+(AJ384/AJ378-1)*100</f>
        <v>27.777777777777789</v>
      </c>
      <c r="AL384" s="314">
        <f>+AL202/$AR$373</f>
        <v>0.24</v>
      </c>
      <c r="AM384" s="308">
        <f>+(AL384/AL378-1)*100</f>
        <v>15.662650602409634</v>
      </c>
      <c r="AN384" s="375">
        <f>+AN202/$AR$373</f>
        <v>3.7499999999999999E-3</v>
      </c>
      <c r="AO384" s="308"/>
      <c r="AP384" s="30"/>
      <c r="AQ384" s="453">
        <f>+J384+L384+N384+P384+R384+T384+V384+AB384+AD384+AF384+AH384+AJ384+AL384+AN384</f>
        <v>21.259999999999998</v>
      </c>
      <c r="AR384" s="308">
        <f>+(AQ384/AQ378-1)*100</f>
        <v>18.324753026297458</v>
      </c>
      <c r="AS384" s="308"/>
      <c r="AT384" s="30"/>
      <c r="AU384" s="30"/>
      <c r="AV384" s="30"/>
      <c r="AW384" s="314"/>
      <c r="AX384" s="315"/>
      <c r="AY384" s="315"/>
      <c r="AZ384" s="314"/>
      <c r="BA384" s="307"/>
      <c r="BB384" s="315"/>
      <c r="BC384" s="307"/>
      <c r="BD384" s="307"/>
      <c r="BE384" s="307"/>
      <c r="BF384" s="315"/>
      <c r="BG384" s="316"/>
      <c r="BH384" s="307"/>
      <c r="BI384" s="307"/>
      <c r="BJ384" s="315"/>
      <c r="BK384" s="314"/>
      <c r="BL384" s="307"/>
      <c r="BM384" s="307"/>
      <c r="BN384" s="315"/>
      <c r="BO384" s="314"/>
      <c r="BP384" s="307"/>
      <c r="BQ384" s="307"/>
      <c r="BR384" s="307"/>
      <c r="BS384" s="315"/>
      <c r="BT384" s="314"/>
      <c r="BU384" s="307"/>
      <c r="BV384" s="307"/>
      <c r="BW384" s="307"/>
      <c r="BX384" s="315"/>
      <c r="BY384" s="314"/>
      <c r="BZ384" s="307"/>
      <c r="CA384" s="307"/>
      <c r="CB384" s="307"/>
      <c r="CC384" s="315"/>
      <c r="CD384" s="307"/>
      <c r="CE384" s="307"/>
      <c r="CF384" s="307"/>
      <c r="CG384" s="307"/>
      <c r="CH384" s="315"/>
      <c r="CI384" s="314"/>
      <c r="CJ384" s="307"/>
      <c r="CK384" s="307"/>
      <c r="CL384" s="315"/>
      <c r="CM384" s="314"/>
      <c r="CN384" s="307"/>
      <c r="CO384" s="315"/>
      <c r="CP384" s="314"/>
      <c r="CQ384" s="307"/>
      <c r="CR384" s="315"/>
      <c r="CS384" s="314"/>
      <c r="CT384" s="307"/>
      <c r="CU384" s="315"/>
      <c r="CV384" s="314"/>
      <c r="CW384" s="307"/>
      <c r="CX384" s="315"/>
      <c r="CY384" s="314"/>
      <c r="CZ384" s="307"/>
      <c r="DA384" s="315"/>
      <c r="DB384" s="314"/>
      <c r="DC384" s="307"/>
      <c r="DD384" s="315"/>
      <c r="DE384" s="314"/>
      <c r="DF384" s="307"/>
      <c r="DG384" s="315"/>
      <c r="DH384" s="314"/>
      <c r="DI384" s="307"/>
      <c r="DJ384" s="307"/>
      <c r="DK384" s="307"/>
      <c r="DL384" s="307"/>
    </row>
    <row r="385" spans="1:116" hidden="1" outlineLevel="1">
      <c r="A385" s="30"/>
      <c r="B385" s="30"/>
      <c r="C385" s="30"/>
      <c r="D385" s="314"/>
      <c r="E385" s="310"/>
      <c r="F385" s="314"/>
      <c r="G385" s="30"/>
      <c r="H385" s="30"/>
      <c r="I385" s="30"/>
      <c r="J385" s="316"/>
      <c r="K385" s="30"/>
      <c r="L385" s="314"/>
      <c r="M385" s="30"/>
      <c r="N385" s="314"/>
      <c r="O385" s="30"/>
      <c r="P385" s="314"/>
      <c r="Q385" s="30"/>
      <c r="R385" s="30"/>
      <c r="S385" s="30"/>
      <c r="T385" s="314"/>
      <c r="U385" s="30"/>
      <c r="V385" s="314"/>
      <c r="W385" s="30"/>
      <c r="X385" s="30"/>
      <c r="Y385" s="30"/>
      <c r="Z385" s="314"/>
      <c r="AA385" s="30"/>
      <c r="AB385" s="314"/>
      <c r="AC385" s="30"/>
      <c r="AD385" s="314"/>
      <c r="AE385" s="30"/>
      <c r="AF385" s="30"/>
      <c r="AG385" s="30"/>
      <c r="AH385" s="30"/>
      <c r="AI385" s="30"/>
      <c r="AJ385" s="30"/>
      <c r="AK385" s="30"/>
      <c r="AL385" s="30"/>
      <c r="AM385" s="30"/>
      <c r="AN385" s="30"/>
      <c r="AO385" s="30"/>
      <c r="AP385" s="30"/>
      <c r="AQ385" s="453"/>
      <c r="AR385" s="30"/>
      <c r="AS385" s="30"/>
      <c r="AT385" s="30"/>
      <c r="AU385" s="30"/>
      <c r="AV385" s="30"/>
      <c r="AW385" s="314"/>
      <c r="AX385" s="310"/>
      <c r="AY385" s="310"/>
      <c r="AZ385" s="314"/>
      <c r="BA385" s="30"/>
      <c r="BB385" s="310"/>
      <c r="BC385" s="30"/>
      <c r="BD385" s="30"/>
      <c r="BE385" s="30"/>
      <c r="BF385" s="310"/>
      <c r="BG385" s="316"/>
      <c r="BH385" s="30"/>
      <c r="BI385" s="30"/>
      <c r="BJ385" s="310"/>
      <c r="BK385" s="314"/>
      <c r="BL385" s="30"/>
      <c r="BM385" s="30"/>
      <c r="BN385" s="310"/>
      <c r="BO385" s="314"/>
      <c r="BP385" s="30"/>
      <c r="BQ385" s="30"/>
      <c r="BR385" s="30"/>
      <c r="BS385" s="310"/>
      <c r="BT385" s="314"/>
      <c r="BU385" s="30"/>
      <c r="BV385" s="30"/>
      <c r="BW385" s="30"/>
      <c r="BX385" s="310"/>
      <c r="BY385" s="314"/>
      <c r="BZ385" s="30"/>
      <c r="CA385" s="30"/>
      <c r="CB385" s="30"/>
      <c r="CC385" s="310"/>
      <c r="CD385" s="30"/>
      <c r="CE385" s="30"/>
      <c r="CF385" s="30"/>
      <c r="CG385" s="30"/>
      <c r="CH385" s="310"/>
      <c r="CI385" s="314"/>
      <c r="CJ385" s="30"/>
      <c r="CK385" s="30"/>
      <c r="CL385" s="310"/>
      <c r="CM385" s="314"/>
      <c r="CN385" s="30"/>
      <c r="CO385" s="310"/>
      <c r="CP385" s="314"/>
      <c r="CQ385" s="30"/>
      <c r="CR385" s="310"/>
      <c r="CS385" s="314"/>
      <c r="CT385" s="30"/>
      <c r="CU385" s="310"/>
      <c r="CV385" s="314"/>
      <c r="CW385" s="30"/>
      <c r="CX385" s="310"/>
      <c r="CY385" s="314"/>
      <c r="CZ385" s="30"/>
      <c r="DA385" s="310"/>
      <c r="DB385" s="314"/>
      <c r="DC385" s="30"/>
      <c r="DD385" s="310"/>
      <c r="DE385" s="314"/>
      <c r="DF385" s="30"/>
      <c r="DG385" s="310"/>
      <c r="DH385" s="314"/>
      <c r="DI385" s="30"/>
      <c r="DJ385" s="30"/>
      <c r="DK385" s="30"/>
      <c r="DL385" s="30"/>
    </row>
    <row r="386" spans="1:116" hidden="1" outlineLevel="1">
      <c r="A386" s="301"/>
      <c r="B386" s="312">
        <f>+B204</f>
        <v>1991</v>
      </c>
      <c r="C386" s="301"/>
      <c r="D386" s="301"/>
      <c r="E386" s="313"/>
      <c r="F386" s="301"/>
      <c r="G386" s="301"/>
      <c r="H386" s="301"/>
      <c r="I386" s="301"/>
      <c r="J386" s="301"/>
      <c r="K386" s="301"/>
      <c r="L386" s="301"/>
      <c r="M386" s="301"/>
      <c r="N386" s="301"/>
      <c r="O386" s="301"/>
      <c r="P386" s="301"/>
      <c r="Q386" s="301"/>
      <c r="R386" s="301"/>
      <c r="S386" s="301"/>
      <c r="T386" s="301"/>
      <c r="U386" s="301"/>
      <c r="V386" s="301"/>
      <c r="W386" s="301"/>
      <c r="X386" s="301"/>
      <c r="Y386" s="301"/>
      <c r="Z386" s="301"/>
      <c r="AA386" s="301"/>
      <c r="AB386" s="301"/>
      <c r="AC386" s="301"/>
      <c r="AD386" s="301"/>
      <c r="AE386" s="301"/>
      <c r="AF386" s="301"/>
      <c r="AG386" s="301"/>
      <c r="AH386" s="301"/>
      <c r="AI386" s="301"/>
      <c r="AJ386" s="301"/>
      <c r="AK386" s="301"/>
      <c r="AL386" s="301"/>
      <c r="AM386" s="301"/>
      <c r="AN386" s="301"/>
      <c r="AO386" s="301"/>
      <c r="AP386" s="301"/>
      <c r="AQ386" s="454"/>
      <c r="AR386" s="301"/>
      <c r="AS386" s="301"/>
      <c r="AT386" s="301"/>
      <c r="AU386" s="301"/>
      <c r="AV386" s="301"/>
      <c r="AW386" s="301"/>
      <c r="AX386" s="313"/>
      <c r="AY386" s="313"/>
      <c r="AZ386" s="301"/>
      <c r="BA386" s="301"/>
      <c r="BB386" s="313"/>
      <c r="BC386" s="301"/>
      <c r="BD386" s="301"/>
      <c r="BE386" s="301"/>
      <c r="BF386" s="313"/>
      <c r="BG386" s="301"/>
      <c r="BH386" s="301"/>
      <c r="BI386" s="301"/>
      <c r="BJ386" s="313"/>
      <c r="BK386" s="301"/>
      <c r="BL386" s="301"/>
      <c r="BM386" s="301"/>
      <c r="BN386" s="313"/>
      <c r="BO386" s="301"/>
      <c r="BP386" s="301"/>
      <c r="BQ386" s="301"/>
      <c r="BR386" s="301"/>
      <c r="BS386" s="313"/>
      <c r="BT386" s="301"/>
      <c r="BU386" s="301"/>
      <c r="BV386" s="301"/>
      <c r="BW386" s="301"/>
      <c r="BX386" s="313"/>
      <c r="BY386" s="301"/>
      <c r="BZ386" s="301"/>
      <c r="CA386" s="301"/>
      <c r="CB386" s="301"/>
      <c r="CC386" s="313"/>
      <c r="CD386" s="301"/>
      <c r="CE386" s="301"/>
      <c r="CF386" s="301"/>
      <c r="CG386" s="301"/>
      <c r="CH386" s="313"/>
      <c r="CI386" s="301"/>
      <c r="CJ386" s="301"/>
      <c r="CK386" s="301"/>
      <c r="CL386" s="313"/>
      <c r="CM386" s="301"/>
      <c r="CN386" s="301"/>
      <c r="CO386" s="313"/>
      <c r="CP386" s="301"/>
      <c r="CQ386" s="301"/>
      <c r="CR386" s="313"/>
      <c r="CS386" s="301"/>
      <c r="CT386" s="301"/>
      <c r="CU386" s="313"/>
      <c r="CV386" s="301"/>
      <c r="CW386" s="301"/>
      <c r="CX386" s="313"/>
      <c r="CY386" s="301"/>
      <c r="CZ386" s="301"/>
      <c r="DA386" s="313"/>
      <c r="DB386" s="301"/>
      <c r="DC386" s="301"/>
      <c r="DD386" s="313"/>
      <c r="DE386" s="301"/>
      <c r="DF386" s="301"/>
      <c r="DG386" s="313"/>
      <c r="DH386" s="301"/>
      <c r="DI386" s="301"/>
      <c r="DJ386" s="301"/>
      <c r="DK386" s="301"/>
      <c r="DL386" s="301"/>
    </row>
    <row r="387" spans="1:116" hidden="1" outlineLevel="1">
      <c r="A387" s="30" t="str">
        <f>+A205</f>
        <v>1Q</v>
      </c>
      <c r="B387" s="30" t="str">
        <f>+B205</f>
        <v>Apr</v>
      </c>
      <c r="C387" s="30"/>
      <c r="D387" s="314"/>
      <c r="E387" s="315"/>
      <c r="F387" s="314"/>
      <c r="G387" s="307"/>
      <c r="H387" s="307"/>
      <c r="I387" s="307"/>
      <c r="J387" s="316"/>
      <c r="K387" s="307"/>
      <c r="L387" s="314"/>
      <c r="M387" s="307"/>
      <c r="N387" s="314"/>
      <c r="O387" s="307"/>
      <c r="P387" s="314"/>
      <c r="Q387" s="307"/>
      <c r="R387" s="307"/>
      <c r="S387" s="307"/>
      <c r="T387" s="314"/>
      <c r="U387" s="307"/>
      <c r="V387" s="314"/>
      <c r="W387" s="307"/>
      <c r="X387" s="307"/>
      <c r="Y387" s="307"/>
      <c r="Z387" s="314"/>
      <c r="AA387" s="307"/>
      <c r="AB387" s="314"/>
      <c r="AC387" s="30"/>
      <c r="AD387" s="314"/>
      <c r="AE387" s="307"/>
      <c r="AF387" s="307"/>
      <c r="AG387" s="30"/>
      <c r="AH387" s="307"/>
      <c r="AI387" s="30"/>
      <c r="AJ387" s="307"/>
      <c r="AK387" s="30"/>
      <c r="AL387" s="307"/>
      <c r="AM387" s="30"/>
      <c r="AN387" s="307"/>
      <c r="AO387" s="30"/>
      <c r="AP387" s="30"/>
      <c r="AQ387" s="458">
        <f>+AQ205/$AR$373</f>
        <v>21.656249999999996</v>
      </c>
      <c r="AR387" s="308">
        <f>+(AQ387/AQ381-1)*100</f>
        <v>16.950182260024292</v>
      </c>
      <c r="AS387" s="308"/>
      <c r="AT387" s="30"/>
      <c r="AU387" s="30"/>
      <c r="AV387" s="30"/>
      <c r="AW387" s="314"/>
      <c r="AX387" s="315"/>
      <c r="AY387" s="315"/>
      <c r="AZ387" s="314"/>
      <c r="BA387" s="307"/>
      <c r="BB387" s="315"/>
      <c r="BC387" s="307"/>
      <c r="BD387" s="307"/>
      <c r="BE387" s="307"/>
      <c r="BF387" s="315"/>
      <c r="BG387" s="316"/>
      <c r="BH387" s="307"/>
      <c r="BI387" s="307"/>
      <c r="BJ387" s="315"/>
      <c r="BK387" s="314"/>
      <c r="BL387" s="307"/>
      <c r="BM387" s="307"/>
      <c r="BN387" s="315"/>
      <c r="BO387" s="314"/>
      <c r="BP387" s="307"/>
      <c r="BQ387" s="307"/>
      <c r="BR387" s="307"/>
      <c r="BS387" s="315"/>
      <c r="BT387" s="314"/>
      <c r="BU387" s="307"/>
      <c r="BV387" s="307"/>
      <c r="BW387" s="307"/>
      <c r="BX387" s="315"/>
      <c r="BY387" s="314"/>
      <c r="BZ387" s="307"/>
      <c r="CA387" s="307"/>
      <c r="CB387" s="307"/>
      <c r="CC387" s="315"/>
      <c r="CD387" s="307"/>
      <c r="CE387" s="307"/>
      <c r="CF387" s="307"/>
      <c r="CG387" s="307"/>
      <c r="CH387" s="315"/>
      <c r="CI387" s="314"/>
      <c r="CJ387" s="307"/>
      <c r="CK387" s="307"/>
      <c r="CL387" s="315"/>
      <c r="CM387" s="314"/>
      <c r="CN387" s="307"/>
      <c r="CO387" s="315"/>
      <c r="CP387" s="314"/>
      <c r="CQ387" s="307"/>
      <c r="CR387" s="315"/>
      <c r="CS387" s="314"/>
      <c r="CT387" s="307"/>
      <c r="CU387" s="315"/>
      <c r="CV387" s="314"/>
      <c r="CW387" s="307"/>
      <c r="CX387" s="315"/>
      <c r="CY387" s="314"/>
      <c r="CZ387" s="307"/>
      <c r="DA387" s="315"/>
      <c r="DB387" s="314"/>
      <c r="DC387" s="307"/>
      <c r="DD387" s="315"/>
      <c r="DE387" s="314"/>
      <c r="DF387" s="307"/>
      <c r="DG387" s="315"/>
      <c r="DH387" s="314"/>
      <c r="DI387" s="307"/>
      <c r="DJ387" s="307"/>
      <c r="DK387" s="307"/>
      <c r="DL387" s="307"/>
    </row>
    <row r="388" spans="1:116" hidden="1" outlineLevel="1">
      <c r="A388" s="30" t="str">
        <f>+A206</f>
        <v>2Q</v>
      </c>
      <c r="B388" s="30" t="str">
        <f>+B206</f>
        <v>Jul</v>
      </c>
      <c r="C388" s="30"/>
      <c r="D388" s="314"/>
      <c r="E388" s="315"/>
      <c r="F388" s="314"/>
      <c r="G388" s="307"/>
      <c r="H388" s="307"/>
      <c r="I388" s="307"/>
      <c r="J388" s="316"/>
      <c r="K388" s="307"/>
      <c r="L388" s="314"/>
      <c r="M388" s="307"/>
      <c r="N388" s="314"/>
      <c r="O388" s="307"/>
      <c r="P388" s="314"/>
      <c r="Q388" s="307"/>
      <c r="R388" s="307"/>
      <c r="S388" s="307"/>
      <c r="T388" s="314"/>
      <c r="U388" s="307"/>
      <c r="V388" s="314"/>
      <c r="W388" s="307"/>
      <c r="X388" s="307"/>
      <c r="Y388" s="307"/>
      <c r="Z388" s="314"/>
      <c r="AA388" s="307"/>
      <c r="AB388" s="314"/>
      <c r="AC388" s="30"/>
      <c r="AD388" s="314"/>
      <c r="AE388" s="307"/>
      <c r="AF388" s="307"/>
      <c r="AG388" s="30"/>
      <c r="AH388" s="307"/>
      <c r="AI388" s="30"/>
      <c r="AJ388" s="307"/>
      <c r="AK388" s="30"/>
      <c r="AL388" s="307"/>
      <c r="AM388" s="30"/>
      <c r="AN388" s="307"/>
      <c r="AO388" s="30"/>
      <c r="AP388" s="30"/>
      <c r="AQ388" s="458">
        <f>+AQ206/$AR$373</f>
        <v>22.545000000000002</v>
      </c>
      <c r="AR388" s="308">
        <f>+(AQ388/AQ382-1)*100</f>
        <v>16.783216783216794</v>
      </c>
      <c r="AS388" s="308"/>
      <c r="AT388" s="30"/>
      <c r="AU388" s="30"/>
      <c r="AV388" s="30"/>
      <c r="AW388" s="314"/>
      <c r="AX388" s="315"/>
      <c r="AY388" s="315"/>
      <c r="AZ388" s="314"/>
      <c r="BA388" s="307"/>
      <c r="BB388" s="315"/>
      <c r="BC388" s="307"/>
      <c r="BD388" s="307"/>
      <c r="BE388" s="307"/>
      <c r="BF388" s="315"/>
      <c r="BG388" s="316"/>
      <c r="BH388" s="307"/>
      <c r="BI388" s="307"/>
      <c r="BJ388" s="315"/>
      <c r="BK388" s="314"/>
      <c r="BL388" s="307"/>
      <c r="BM388" s="307"/>
      <c r="BN388" s="315"/>
      <c r="BO388" s="314"/>
      <c r="BP388" s="307"/>
      <c r="BQ388" s="307"/>
      <c r="BR388" s="307"/>
      <c r="BS388" s="315"/>
      <c r="BT388" s="314"/>
      <c r="BU388" s="307"/>
      <c r="BV388" s="307"/>
      <c r="BW388" s="307"/>
      <c r="BX388" s="315"/>
      <c r="BY388" s="314"/>
      <c r="BZ388" s="307"/>
      <c r="CA388" s="307"/>
      <c r="CB388" s="307"/>
      <c r="CC388" s="315"/>
      <c r="CD388" s="307"/>
      <c r="CE388" s="307"/>
      <c r="CF388" s="307"/>
      <c r="CG388" s="307"/>
      <c r="CH388" s="315"/>
      <c r="CI388" s="314"/>
      <c r="CJ388" s="307"/>
      <c r="CK388" s="307"/>
      <c r="CL388" s="315"/>
      <c r="CM388" s="314"/>
      <c r="CN388" s="307"/>
      <c r="CO388" s="315"/>
      <c r="CP388" s="314"/>
      <c r="CQ388" s="307"/>
      <c r="CR388" s="315"/>
      <c r="CS388" s="314"/>
      <c r="CT388" s="307"/>
      <c r="CU388" s="315"/>
      <c r="CV388" s="314"/>
      <c r="CW388" s="307"/>
      <c r="CX388" s="315"/>
      <c r="CY388" s="314"/>
      <c r="CZ388" s="307"/>
      <c r="DA388" s="315"/>
      <c r="DB388" s="314"/>
      <c r="DC388" s="307"/>
      <c r="DD388" s="315"/>
      <c r="DE388" s="314"/>
      <c r="DF388" s="307"/>
      <c r="DG388" s="315"/>
      <c r="DH388" s="314"/>
      <c r="DI388" s="307"/>
      <c r="DJ388" s="307"/>
      <c r="DK388" s="307"/>
      <c r="DL388" s="307"/>
    </row>
    <row r="389" spans="1:116" hidden="1" outlineLevel="1">
      <c r="A389" s="30" t="str">
        <f>+A207</f>
        <v>3Q</v>
      </c>
      <c r="B389" s="30" t="str">
        <f>+B207</f>
        <v>Oct</v>
      </c>
      <c r="C389" s="30"/>
      <c r="D389" s="314">
        <f>+D207/$AR$373</f>
        <v>1.9650000000000001</v>
      </c>
      <c r="E389" s="315"/>
      <c r="F389" s="314">
        <f>+F207/$AR$373</f>
        <v>0</v>
      </c>
      <c r="G389" s="307"/>
      <c r="H389" s="307"/>
      <c r="I389" s="307"/>
      <c r="J389" s="316">
        <f>+D389+F389</f>
        <v>1.9650000000000001</v>
      </c>
      <c r="K389" s="307"/>
      <c r="L389" s="314">
        <f>+L207/$AR$373</f>
        <v>9.8749999999999991E-2</v>
      </c>
      <c r="M389" s="307"/>
      <c r="N389" s="314">
        <f>+N207/$AR$373</f>
        <v>3.3512499999999998</v>
      </c>
      <c r="O389" s="307"/>
      <c r="P389" s="314">
        <f>+P207/$AR$373</f>
        <v>0.72124999999999995</v>
      </c>
      <c r="Q389" s="307"/>
      <c r="R389" s="307"/>
      <c r="S389" s="307"/>
      <c r="T389" s="314">
        <f>+T207/$AR$373</f>
        <v>4.8025000000000002</v>
      </c>
      <c r="U389" s="307"/>
      <c r="V389" s="314">
        <f>+V207/$AR$373</f>
        <v>0.11624999999999999</v>
      </c>
      <c r="W389" s="307"/>
      <c r="X389" s="307"/>
      <c r="Y389" s="307"/>
      <c r="Z389" s="314"/>
      <c r="AA389" s="307"/>
      <c r="AB389" s="314">
        <f>+AB207/$AR$373</f>
        <v>7.88</v>
      </c>
      <c r="AC389" s="30"/>
      <c r="AD389" s="314">
        <f>+AD207/$AR$373</f>
        <v>4.3412499999999996</v>
      </c>
      <c r="AE389" s="307"/>
      <c r="AF389" s="314">
        <f>+AF207/$AR$373</f>
        <v>0</v>
      </c>
      <c r="AG389" s="30"/>
      <c r="AH389" s="314">
        <f>+AH207/$AR$373</f>
        <v>0.55374999999999996</v>
      </c>
      <c r="AI389" s="30"/>
      <c r="AJ389" s="314">
        <f>+AJ207/$AR$373</f>
        <v>0.1525</v>
      </c>
      <c r="AK389" s="30"/>
      <c r="AL389" s="314">
        <f>+AL207/$AR$373</f>
        <v>0.35999999999999993</v>
      </c>
      <c r="AM389" s="30"/>
      <c r="AN389" s="375">
        <f>+AN207/$AR$373</f>
        <v>3.7499999999999999E-3</v>
      </c>
      <c r="AO389" s="30"/>
      <c r="AP389" s="30"/>
      <c r="AQ389" s="453">
        <f>+J389+L389+N389+P389+R389+T389+V389+AB389+AD389+AF389+AH389+AJ389+AL389+AN389</f>
        <v>24.346250000000001</v>
      </c>
      <c r="AR389" s="308">
        <f>+(AQ389/AQ383-1)*100</f>
        <v>17.68580060422962</v>
      </c>
      <c r="AS389" s="308"/>
      <c r="AT389" s="30"/>
      <c r="AU389" s="30"/>
      <c r="AV389" s="30"/>
      <c r="AW389" s="314"/>
      <c r="AX389" s="315"/>
      <c r="AY389" s="315"/>
      <c r="AZ389" s="314"/>
      <c r="BA389" s="307"/>
      <c r="BB389" s="315"/>
      <c r="BC389" s="307"/>
      <c r="BD389" s="307"/>
      <c r="BE389" s="307"/>
      <c r="BF389" s="315"/>
      <c r="BG389" s="316"/>
      <c r="BH389" s="307"/>
      <c r="BI389" s="307"/>
      <c r="BJ389" s="315"/>
      <c r="BK389" s="314"/>
      <c r="BL389" s="307"/>
      <c r="BM389" s="307"/>
      <c r="BN389" s="315"/>
      <c r="BO389" s="314"/>
      <c r="BP389" s="307"/>
      <c r="BQ389" s="307"/>
      <c r="BR389" s="307"/>
      <c r="BS389" s="315"/>
      <c r="BT389" s="314"/>
      <c r="BU389" s="307"/>
      <c r="BV389" s="307"/>
      <c r="BW389" s="307"/>
      <c r="BX389" s="315"/>
      <c r="BY389" s="314"/>
      <c r="BZ389" s="307"/>
      <c r="CA389" s="307"/>
      <c r="CB389" s="307"/>
      <c r="CC389" s="315"/>
      <c r="CD389" s="307"/>
      <c r="CE389" s="307"/>
      <c r="CF389" s="307"/>
      <c r="CG389" s="307"/>
      <c r="CH389" s="315"/>
      <c r="CI389" s="314"/>
      <c r="CJ389" s="307"/>
      <c r="CK389" s="307"/>
      <c r="CL389" s="315"/>
      <c r="CM389" s="314"/>
      <c r="CN389" s="307"/>
      <c r="CO389" s="315"/>
      <c r="CP389" s="314"/>
      <c r="CQ389" s="307"/>
      <c r="CR389" s="315"/>
      <c r="CS389" s="314"/>
      <c r="CT389" s="307"/>
      <c r="CU389" s="315"/>
      <c r="CV389" s="314"/>
      <c r="CW389" s="307"/>
      <c r="CX389" s="315"/>
      <c r="CY389" s="314"/>
      <c r="CZ389" s="307"/>
      <c r="DA389" s="315"/>
      <c r="DB389" s="314"/>
      <c r="DC389" s="307"/>
      <c r="DD389" s="315"/>
      <c r="DE389" s="314"/>
      <c r="DF389" s="307"/>
      <c r="DG389" s="315"/>
      <c r="DH389" s="314"/>
      <c r="DI389" s="307"/>
      <c r="DJ389" s="307"/>
      <c r="DK389" s="307"/>
      <c r="DL389" s="307"/>
    </row>
    <row r="390" spans="1:116" hidden="1" outlineLevel="1">
      <c r="A390" s="30" t="str">
        <f>+A208</f>
        <v>4Q</v>
      </c>
      <c r="B390" s="30" t="str">
        <f>+B208</f>
        <v>Jan</v>
      </c>
      <c r="C390" s="30"/>
      <c r="D390" s="314">
        <f>+D208/$AR$373</f>
        <v>2.0824999999999996</v>
      </c>
      <c r="E390" s="308">
        <f>+(D390/D384-1)*100</f>
        <v>29.5489891135303</v>
      </c>
      <c r="F390" s="314">
        <f>+F208/$AR$373</f>
        <v>0</v>
      </c>
      <c r="G390" s="308"/>
      <c r="H390" s="308"/>
      <c r="I390" s="308"/>
      <c r="J390" s="316">
        <f>+D390+F390</f>
        <v>2.0824999999999996</v>
      </c>
      <c r="K390" s="308">
        <f>+(J390/J384-1)*100</f>
        <v>29.5489891135303</v>
      </c>
      <c r="L390" s="314">
        <f>+L208/$AR$373</f>
        <v>0.12375</v>
      </c>
      <c r="M390" s="308">
        <f>+(L390/L384-1)*100</f>
        <v>312.5</v>
      </c>
      <c r="N390" s="314">
        <f>+N208/$AR$373</f>
        <v>3.6575000000000002</v>
      </c>
      <c r="O390" s="308">
        <f>+(N390/N384-1)*100</f>
        <v>36.029753602975376</v>
      </c>
      <c r="P390" s="314">
        <f>+P208/$AR$373</f>
        <v>0.84499999999999997</v>
      </c>
      <c r="Q390" s="308">
        <f>+(P390/P384-1)*100</f>
        <v>90.422535211267615</v>
      </c>
      <c r="R390" s="307"/>
      <c r="S390" s="307"/>
      <c r="T390" s="314">
        <f>+T208/$AR$373</f>
        <v>4.9087499999999995</v>
      </c>
      <c r="U390" s="308">
        <f>+(T390/T384-1)*100</f>
        <v>11.372660238230292</v>
      </c>
      <c r="V390" s="314">
        <f>+V208/$AR$373</f>
        <v>0.11624999999999999</v>
      </c>
      <c r="W390" s="308">
        <f>+(V390/V384-1)*100</f>
        <v>29.166666666666675</v>
      </c>
      <c r="X390" s="308"/>
      <c r="Y390" s="308"/>
      <c r="Z390" s="314"/>
      <c r="AA390" s="308"/>
      <c r="AB390" s="314">
        <f>+AB208/$AR$373</f>
        <v>8.1437499999999989</v>
      </c>
      <c r="AC390" s="308">
        <f>+(AB390/AB384-1)*100</f>
        <v>13.878692536269877</v>
      </c>
      <c r="AD390" s="314">
        <f>+AD208/$AR$373</f>
        <v>4.4024999999999999</v>
      </c>
      <c r="AE390" s="308">
        <f>+(AD390/AD384-1)*100</f>
        <v>6.8892261001517463</v>
      </c>
      <c r="AF390" s="314">
        <f>+AF208/$AR$373</f>
        <v>0</v>
      </c>
      <c r="AG390" s="30"/>
      <c r="AH390" s="314">
        <f>+AH208/$AR$373</f>
        <v>0.64249999999999996</v>
      </c>
      <c r="AI390" s="308">
        <f>+(AH390/AH384-1)*100</f>
        <v>91.791044776119392</v>
      </c>
      <c r="AJ390" s="314">
        <f>+AJ208/$AR$373</f>
        <v>0.15875</v>
      </c>
      <c r="AK390" s="308">
        <f>+(AJ390/AJ384-1)*100</f>
        <v>10.434782608695659</v>
      </c>
      <c r="AL390" s="314">
        <f>+AL208/$AR$373</f>
        <v>0.35874999999999996</v>
      </c>
      <c r="AM390" s="308">
        <f>+(AL390/AL384-1)*100</f>
        <v>49.47916666666665</v>
      </c>
      <c r="AN390" s="375">
        <f>+AN208/$AR$373</f>
        <v>3.7499999999999999E-3</v>
      </c>
      <c r="AO390" s="308">
        <f>+(AN390/AN384-1)*100</f>
        <v>0</v>
      </c>
      <c r="AP390" s="30"/>
      <c r="AQ390" s="453">
        <f>+J390+L390+N390+P390+R390+T390+V390+AB390+AD390+AF390+AH390+AJ390+AL390+AN390</f>
        <v>25.443749999999998</v>
      </c>
      <c r="AR390" s="308">
        <f>+(AQ390/AQ384-1)*100</f>
        <v>19.678974600188148</v>
      </c>
      <c r="AS390" s="308"/>
      <c r="AT390" s="30"/>
      <c r="AU390" s="30"/>
      <c r="AV390" s="30"/>
      <c r="AW390" s="314"/>
      <c r="AX390" s="315"/>
      <c r="AY390" s="315"/>
      <c r="AZ390" s="314"/>
      <c r="BA390" s="307"/>
      <c r="BB390" s="315"/>
      <c r="BC390" s="307"/>
      <c r="BD390" s="307"/>
      <c r="BE390" s="307"/>
      <c r="BF390" s="315"/>
      <c r="BG390" s="316"/>
      <c r="BH390" s="307"/>
      <c r="BI390" s="307"/>
      <c r="BJ390" s="315"/>
      <c r="BK390" s="314"/>
      <c r="BL390" s="307"/>
      <c r="BM390" s="307"/>
      <c r="BN390" s="315"/>
      <c r="BO390" s="314"/>
      <c r="BP390" s="307"/>
      <c r="BQ390" s="307"/>
      <c r="BR390" s="307"/>
      <c r="BS390" s="315"/>
      <c r="BT390" s="314"/>
      <c r="BU390" s="307"/>
      <c r="BV390" s="307"/>
      <c r="BW390" s="307"/>
      <c r="BX390" s="315"/>
      <c r="BY390" s="314"/>
      <c r="BZ390" s="307"/>
      <c r="CA390" s="307"/>
      <c r="CB390" s="307"/>
      <c r="CC390" s="315"/>
      <c r="CD390" s="307"/>
      <c r="CE390" s="307"/>
      <c r="CF390" s="307"/>
      <c r="CG390" s="307"/>
      <c r="CH390" s="315"/>
      <c r="CI390" s="314"/>
      <c r="CJ390" s="307"/>
      <c r="CK390" s="307"/>
      <c r="CL390" s="315"/>
      <c r="CM390" s="314"/>
      <c r="CN390" s="307"/>
      <c r="CO390" s="315"/>
      <c r="CP390" s="314"/>
      <c r="CQ390" s="307"/>
      <c r="CR390" s="315"/>
      <c r="CS390" s="314"/>
      <c r="CT390" s="307"/>
      <c r="CU390" s="315"/>
      <c r="CV390" s="314"/>
      <c r="CW390" s="307"/>
      <c r="CX390" s="315"/>
      <c r="CY390" s="314"/>
      <c r="CZ390" s="307"/>
      <c r="DA390" s="315"/>
      <c r="DB390" s="314"/>
      <c r="DC390" s="307"/>
      <c r="DD390" s="315"/>
      <c r="DE390" s="314"/>
      <c r="DF390" s="307"/>
      <c r="DG390" s="315"/>
      <c r="DH390" s="314"/>
      <c r="DI390" s="307"/>
      <c r="DJ390" s="307"/>
      <c r="DK390" s="307"/>
      <c r="DL390" s="307"/>
    </row>
    <row r="391" spans="1:116" hidden="1" outlineLevel="1">
      <c r="A391" s="30"/>
      <c r="B391" s="30"/>
      <c r="C391" s="30"/>
      <c r="D391" s="314"/>
      <c r="E391" s="310"/>
      <c r="F391" s="314"/>
      <c r="G391" s="30"/>
      <c r="H391" s="30"/>
      <c r="I391" s="30"/>
      <c r="J391" s="316"/>
      <c r="K391" s="30"/>
      <c r="L391" s="314"/>
      <c r="M391" s="30"/>
      <c r="N391" s="314"/>
      <c r="O391" s="30"/>
      <c r="P391" s="314"/>
      <c r="Q391" s="30"/>
      <c r="R391" s="30"/>
      <c r="S391" s="30"/>
      <c r="T391" s="314"/>
      <c r="U391" s="30"/>
      <c r="V391" s="314"/>
      <c r="W391" s="30"/>
      <c r="X391" s="30"/>
      <c r="Y391" s="30"/>
      <c r="Z391" s="314"/>
      <c r="AA391" s="30"/>
      <c r="AB391" s="314"/>
      <c r="AC391" s="30"/>
      <c r="AD391" s="314"/>
      <c r="AE391" s="30"/>
      <c r="AF391" s="30"/>
      <c r="AG391" s="30"/>
      <c r="AH391" s="30"/>
      <c r="AI391" s="30"/>
      <c r="AJ391" s="30"/>
      <c r="AK391" s="30"/>
      <c r="AL391" s="30"/>
      <c r="AM391" s="30"/>
      <c r="AN391" s="30"/>
      <c r="AO391" s="30"/>
      <c r="AP391" s="30"/>
      <c r="AQ391" s="453"/>
      <c r="AR391" s="30"/>
      <c r="AS391" s="30"/>
      <c r="AT391" s="30"/>
      <c r="AU391" s="30"/>
      <c r="AV391" s="30"/>
      <c r="AW391" s="314"/>
      <c r="AX391" s="310"/>
      <c r="AY391" s="310"/>
      <c r="AZ391" s="314"/>
      <c r="BA391" s="30"/>
      <c r="BB391" s="310"/>
      <c r="BC391" s="30"/>
      <c r="BD391" s="30"/>
      <c r="BE391" s="30"/>
      <c r="BF391" s="310"/>
      <c r="BG391" s="316"/>
      <c r="BH391" s="30"/>
      <c r="BI391" s="30"/>
      <c r="BJ391" s="310"/>
      <c r="BK391" s="314"/>
      <c r="BL391" s="30"/>
      <c r="BM391" s="30"/>
      <c r="BN391" s="310"/>
      <c r="BO391" s="314"/>
      <c r="BP391" s="30"/>
      <c r="BQ391" s="30"/>
      <c r="BR391" s="30"/>
      <c r="BS391" s="310"/>
      <c r="BT391" s="314"/>
      <c r="BU391" s="30"/>
      <c r="BV391" s="30"/>
      <c r="BW391" s="30"/>
      <c r="BX391" s="310"/>
      <c r="BY391" s="314"/>
      <c r="BZ391" s="30"/>
      <c r="CA391" s="30"/>
      <c r="CB391" s="30"/>
      <c r="CC391" s="310"/>
      <c r="CD391" s="30"/>
      <c r="CE391" s="30"/>
      <c r="CF391" s="30"/>
      <c r="CG391" s="30"/>
      <c r="CH391" s="310"/>
      <c r="CI391" s="314"/>
      <c r="CJ391" s="30"/>
      <c r="CK391" s="30"/>
      <c r="CL391" s="310"/>
      <c r="CM391" s="314"/>
      <c r="CN391" s="30"/>
      <c r="CO391" s="310"/>
      <c r="CP391" s="314"/>
      <c r="CQ391" s="30"/>
      <c r="CR391" s="310"/>
      <c r="CS391" s="314"/>
      <c r="CT391" s="30"/>
      <c r="CU391" s="310"/>
      <c r="CV391" s="314"/>
      <c r="CW391" s="30"/>
      <c r="CX391" s="310"/>
      <c r="CY391" s="314"/>
      <c r="CZ391" s="30"/>
      <c r="DA391" s="310"/>
      <c r="DB391" s="314"/>
      <c r="DC391" s="30"/>
      <c r="DD391" s="310"/>
      <c r="DE391" s="314"/>
      <c r="DF391" s="30"/>
      <c r="DG391" s="310"/>
      <c r="DH391" s="314"/>
      <c r="DI391" s="30"/>
      <c r="DJ391" s="30"/>
      <c r="DK391" s="30"/>
      <c r="DL391" s="30"/>
    </row>
    <row r="392" spans="1:116" hidden="1" outlineLevel="1">
      <c r="A392" s="301"/>
      <c r="B392" s="312">
        <f>+B210</f>
        <v>1992</v>
      </c>
      <c r="C392" s="301"/>
      <c r="D392" s="301"/>
      <c r="E392" s="313"/>
      <c r="F392" s="301"/>
      <c r="G392" s="301"/>
      <c r="H392" s="301"/>
      <c r="I392" s="301"/>
      <c r="J392" s="301"/>
      <c r="K392" s="301"/>
      <c r="L392" s="301"/>
      <c r="M392" s="301"/>
      <c r="N392" s="301"/>
      <c r="O392" s="301"/>
      <c r="P392" s="301"/>
      <c r="Q392" s="301"/>
      <c r="R392" s="301"/>
      <c r="S392" s="301"/>
      <c r="T392" s="301"/>
      <c r="U392" s="301"/>
      <c r="V392" s="301"/>
      <c r="W392" s="301"/>
      <c r="X392" s="301"/>
      <c r="Y392" s="301"/>
      <c r="Z392" s="301"/>
      <c r="AA392" s="301"/>
      <c r="AB392" s="301"/>
      <c r="AC392" s="301"/>
      <c r="AD392" s="301"/>
      <c r="AE392" s="301"/>
      <c r="AF392" s="301"/>
      <c r="AG392" s="301"/>
      <c r="AH392" s="301"/>
      <c r="AI392" s="301"/>
      <c r="AJ392" s="301"/>
      <c r="AK392" s="301"/>
      <c r="AL392" s="301"/>
      <c r="AM392" s="301"/>
      <c r="AN392" s="301"/>
      <c r="AO392" s="301"/>
      <c r="AP392" s="301"/>
      <c r="AQ392" s="454"/>
      <c r="AR392" s="301"/>
      <c r="AS392" s="301"/>
      <c r="AT392" s="301"/>
      <c r="AU392" s="301"/>
      <c r="AV392" s="301"/>
      <c r="AW392" s="301"/>
      <c r="AX392" s="313"/>
      <c r="AY392" s="313"/>
      <c r="AZ392" s="301"/>
      <c r="BA392" s="301"/>
      <c r="BB392" s="313"/>
      <c r="BC392" s="301"/>
      <c r="BD392" s="301"/>
      <c r="BE392" s="301"/>
      <c r="BF392" s="313"/>
      <c r="BG392" s="301"/>
      <c r="BH392" s="301"/>
      <c r="BI392" s="301"/>
      <c r="BJ392" s="313"/>
      <c r="BK392" s="301"/>
      <c r="BL392" s="301"/>
      <c r="BM392" s="301"/>
      <c r="BN392" s="313"/>
      <c r="BO392" s="301"/>
      <c r="BP392" s="301"/>
      <c r="BQ392" s="301"/>
      <c r="BR392" s="301"/>
      <c r="BS392" s="313"/>
      <c r="BT392" s="301"/>
      <c r="BU392" s="301"/>
      <c r="BV392" s="301"/>
      <c r="BW392" s="301"/>
      <c r="BX392" s="313"/>
      <c r="BY392" s="301"/>
      <c r="BZ392" s="301"/>
      <c r="CA392" s="301"/>
      <c r="CB392" s="301"/>
      <c r="CC392" s="313"/>
      <c r="CD392" s="301"/>
      <c r="CE392" s="301"/>
      <c r="CF392" s="301"/>
      <c r="CG392" s="301"/>
      <c r="CH392" s="313"/>
      <c r="CI392" s="301"/>
      <c r="CJ392" s="301"/>
      <c r="CK392" s="301"/>
      <c r="CL392" s="313"/>
      <c r="CM392" s="301"/>
      <c r="CN392" s="301"/>
      <c r="CO392" s="313"/>
      <c r="CP392" s="301"/>
      <c r="CQ392" s="301"/>
      <c r="CR392" s="313"/>
      <c r="CS392" s="301"/>
      <c r="CT392" s="301"/>
      <c r="CU392" s="313"/>
      <c r="CV392" s="301"/>
      <c r="CW392" s="301"/>
      <c r="CX392" s="313"/>
      <c r="CY392" s="301"/>
      <c r="CZ392" s="301"/>
      <c r="DA392" s="313"/>
      <c r="DB392" s="301"/>
      <c r="DC392" s="301"/>
      <c r="DD392" s="313"/>
      <c r="DE392" s="301"/>
      <c r="DF392" s="301"/>
      <c r="DG392" s="313"/>
      <c r="DH392" s="301"/>
      <c r="DI392" s="301"/>
      <c r="DJ392" s="301"/>
      <c r="DK392" s="301"/>
      <c r="DL392" s="301"/>
    </row>
    <row r="393" spans="1:116" hidden="1" outlineLevel="1">
      <c r="A393" s="30" t="str">
        <f>+A211</f>
        <v>1Q</v>
      </c>
      <c r="B393" s="30" t="str">
        <f>+B211</f>
        <v>Apr</v>
      </c>
      <c r="C393" s="30"/>
      <c r="D393" s="314"/>
      <c r="E393" s="315"/>
      <c r="F393" s="314"/>
      <c r="G393" s="307"/>
      <c r="H393" s="307"/>
      <c r="I393" s="307"/>
      <c r="J393" s="316"/>
      <c r="K393" s="307"/>
      <c r="L393" s="314"/>
      <c r="M393" s="307"/>
      <c r="N393" s="314"/>
      <c r="O393" s="307"/>
      <c r="P393" s="314"/>
      <c r="Q393" s="307"/>
      <c r="R393" s="307"/>
      <c r="S393" s="307"/>
      <c r="T393" s="314"/>
      <c r="U393" s="307"/>
      <c r="V393" s="314"/>
      <c r="W393" s="307"/>
      <c r="X393" s="307"/>
      <c r="Y393" s="307"/>
      <c r="Z393" s="314"/>
      <c r="AA393" s="307"/>
      <c r="AB393" s="314"/>
      <c r="AC393" s="30"/>
      <c r="AD393" s="314"/>
      <c r="AE393" s="307"/>
      <c r="AF393" s="314"/>
      <c r="AG393" s="30"/>
      <c r="AH393" s="314"/>
      <c r="AI393" s="30"/>
      <c r="AJ393" s="314"/>
      <c r="AK393" s="30"/>
      <c r="AL393" s="314"/>
      <c r="AM393" s="30"/>
      <c r="AN393" s="375"/>
      <c r="AO393" s="30"/>
      <c r="AP393" s="30"/>
      <c r="AQ393" s="458">
        <f>+AQ211/$AR$373</f>
        <v>26.052499999999998</v>
      </c>
      <c r="AR393" s="308">
        <f>+(AQ393/AQ387-1)*100</f>
        <v>20.300144300144307</v>
      </c>
      <c r="AS393" s="308"/>
      <c r="AT393" s="30"/>
      <c r="AU393" s="30"/>
      <c r="AV393" s="30"/>
      <c r="AW393" s="314"/>
      <c r="AX393" s="315"/>
      <c r="AY393" s="315"/>
      <c r="AZ393" s="314"/>
      <c r="BA393" s="307"/>
      <c r="BB393" s="315"/>
      <c r="BC393" s="307"/>
      <c r="BD393" s="307"/>
      <c r="BE393" s="307"/>
      <c r="BF393" s="315"/>
      <c r="BG393" s="316"/>
      <c r="BH393" s="307"/>
      <c r="BI393" s="307"/>
      <c r="BJ393" s="315"/>
      <c r="BK393" s="314"/>
      <c r="BL393" s="307"/>
      <c r="BM393" s="307"/>
      <c r="BN393" s="315"/>
      <c r="BO393" s="314"/>
      <c r="BP393" s="307"/>
      <c r="BQ393" s="307"/>
      <c r="BR393" s="307"/>
      <c r="BS393" s="315"/>
      <c r="BT393" s="314"/>
      <c r="BU393" s="307"/>
      <c r="BV393" s="307"/>
      <c r="BW393" s="307"/>
      <c r="BX393" s="315"/>
      <c r="BY393" s="314"/>
      <c r="BZ393" s="307"/>
      <c r="CA393" s="307"/>
      <c r="CB393" s="307"/>
      <c r="CC393" s="315"/>
      <c r="CD393" s="307"/>
      <c r="CE393" s="307"/>
      <c r="CF393" s="307"/>
      <c r="CG393" s="307"/>
      <c r="CH393" s="315"/>
      <c r="CI393" s="314"/>
      <c r="CJ393" s="307"/>
      <c r="CK393" s="307"/>
      <c r="CL393" s="315"/>
      <c r="CM393" s="314"/>
      <c r="CN393" s="307"/>
      <c r="CO393" s="315"/>
      <c r="CP393" s="314"/>
      <c r="CQ393" s="307"/>
      <c r="CR393" s="315"/>
      <c r="CS393" s="314"/>
      <c r="CT393" s="307"/>
      <c r="CU393" s="315"/>
      <c r="CV393" s="314"/>
      <c r="CW393" s="307"/>
      <c r="CX393" s="315"/>
      <c r="CY393" s="314"/>
      <c r="CZ393" s="307"/>
      <c r="DA393" s="315"/>
      <c r="DB393" s="314"/>
      <c r="DC393" s="307"/>
      <c r="DD393" s="315"/>
      <c r="DE393" s="314"/>
      <c r="DF393" s="307"/>
      <c r="DG393" s="315"/>
      <c r="DH393" s="314"/>
      <c r="DI393" s="307"/>
      <c r="DJ393" s="307"/>
      <c r="DK393" s="307"/>
      <c r="DL393" s="307"/>
    </row>
    <row r="394" spans="1:116" hidden="1" outlineLevel="1">
      <c r="A394" s="30" t="str">
        <f>+A212</f>
        <v>2Q</v>
      </c>
      <c r="B394" s="30" t="str">
        <f>+B212</f>
        <v>Jul</v>
      </c>
      <c r="C394" s="30"/>
      <c r="D394" s="314"/>
      <c r="E394" s="315"/>
      <c r="F394" s="314"/>
      <c r="G394" s="307"/>
      <c r="H394" s="307"/>
      <c r="I394" s="307"/>
      <c r="J394" s="316"/>
      <c r="K394" s="307"/>
      <c r="L394" s="314"/>
      <c r="M394" s="307"/>
      <c r="N394" s="314"/>
      <c r="O394" s="307"/>
      <c r="P394" s="314"/>
      <c r="Q394" s="307"/>
      <c r="R394" s="307"/>
      <c r="S394" s="307"/>
      <c r="T394" s="314"/>
      <c r="U394" s="307"/>
      <c r="V394" s="314"/>
      <c r="W394" s="307"/>
      <c r="X394" s="307"/>
      <c r="Y394" s="307"/>
      <c r="Z394" s="314"/>
      <c r="AA394" s="307"/>
      <c r="AB394" s="314"/>
      <c r="AC394" s="30"/>
      <c r="AD394" s="314"/>
      <c r="AE394" s="307"/>
      <c r="AF394" s="314"/>
      <c r="AG394" s="30"/>
      <c r="AH394" s="314"/>
      <c r="AI394" s="30"/>
      <c r="AJ394" s="314"/>
      <c r="AK394" s="30"/>
      <c r="AL394" s="314"/>
      <c r="AM394" s="30"/>
      <c r="AN394" s="375"/>
      <c r="AO394" s="30"/>
      <c r="AP394" s="30"/>
      <c r="AQ394" s="458">
        <f>+AQ212/$AR$373</f>
        <v>26.88</v>
      </c>
      <c r="AR394" s="308">
        <f>+(AQ394/AQ388-1)*100</f>
        <v>19.228210246174314</v>
      </c>
      <c r="AS394" s="308"/>
      <c r="AT394" s="30"/>
      <c r="AU394" s="30"/>
      <c r="AV394" s="30"/>
      <c r="AW394" s="314"/>
      <c r="AX394" s="315"/>
      <c r="AY394" s="315"/>
      <c r="AZ394" s="314"/>
      <c r="BA394" s="307"/>
      <c r="BB394" s="315"/>
      <c r="BC394" s="307"/>
      <c r="BD394" s="307"/>
      <c r="BE394" s="307"/>
      <c r="BF394" s="315"/>
      <c r="BG394" s="316"/>
      <c r="BH394" s="307"/>
      <c r="BI394" s="307"/>
      <c r="BJ394" s="315"/>
      <c r="BK394" s="314"/>
      <c r="BL394" s="307"/>
      <c r="BM394" s="307"/>
      <c r="BN394" s="315"/>
      <c r="BO394" s="314"/>
      <c r="BP394" s="307"/>
      <c r="BQ394" s="307"/>
      <c r="BR394" s="307"/>
      <c r="BS394" s="315"/>
      <c r="BT394" s="314"/>
      <c r="BU394" s="307"/>
      <c r="BV394" s="307"/>
      <c r="BW394" s="307"/>
      <c r="BX394" s="315"/>
      <c r="BY394" s="314"/>
      <c r="BZ394" s="307"/>
      <c r="CA394" s="307"/>
      <c r="CB394" s="307"/>
      <c r="CC394" s="315"/>
      <c r="CD394" s="307"/>
      <c r="CE394" s="307"/>
      <c r="CF394" s="307"/>
      <c r="CG394" s="307"/>
      <c r="CH394" s="315"/>
      <c r="CI394" s="314"/>
      <c r="CJ394" s="307"/>
      <c r="CK394" s="307"/>
      <c r="CL394" s="315"/>
      <c r="CM394" s="314"/>
      <c r="CN394" s="307"/>
      <c r="CO394" s="315"/>
      <c r="CP394" s="314"/>
      <c r="CQ394" s="307"/>
      <c r="CR394" s="315"/>
      <c r="CS394" s="314"/>
      <c r="CT394" s="307"/>
      <c r="CU394" s="315"/>
      <c r="CV394" s="314"/>
      <c r="CW394" s="307"/>
      <c r="CX394" s="315"/>
      <c r="CY394" s="314"/>
      <c r="CZ394" s="307"/>
      <c r="DA394" s="315"/>
      <c r="DB394" s="314"/>
      <c r="DC394" s="307"/>
      <c r="DD394" s="315"/>
      <c r="DE394" s="314"/>
      <c r="DF394" s="307"/>
      <c r="DG394" s="315"/>
      <c r="DH394" s="314"/>
      <c r="DI394" s="307"/>
      <c r="DJ394" s="307"/>
      <c r="DK394" s="307"/>
      <c r="DL394" s="307"/>
    </row>
    <row r="395" spans="1:116" hidden="1" outlineLevel="1">
      <c r="A395" s="30" t="str">
        <f>+A213</f>
        <v>3Q</v>
      </c>
      <c r="B395" s="30" t="str">
        <f>+B213</f>
        <v>Oct</v>
      </c>
      <c r="C395" s="30"/>
      <c r="D395" s="314">
        <f>+D213/$AR$373</f>
        <v>2.38375</v>
      </c>
      <c r="E395" s="308">
        <f>+(D395/D389-1)*100</f>
        <v>21.310432569974559</v>
      </c>
      <c r="F395" s="314">
        <f>+F213/$AR$373</f>
        <v>0</v>
      </c>
      <c r="G395" s="307"/>
      <c r="H395" s="307"/>
      <c r="I395" s="307"/>
      <c r="J395" s="316">
        <f>+D395+F395</f>
        <v>2.38375</v>
      </c>
      <c r="K395" s="308">
        <f>+(J395/J389-1)*100</f>
        <v>21.310432569974559</v>
      </c>
      <c r="L395" s="314">
        <f>+L213/$AR$373</f>
        <v>0.15875</v>
      </c>
      <c r="M395" s="308">
        <f>+(L395/L389-1)*100</f>
        <v>60.759493670886087</v>
      </c>
      <c r="N395" s="314">
        <f>+N213/$AR$373</f>
        <v>4.1587499999999995</v>
      </c>
      <c r="O395" s="308">
        <f>+(N395/N389-1)*100</f>
        <v>24.095486758672124</v>
      </c>
      <c r="P395" s="314">
        <f>+P213/$AR$373</f>
        <v>1.2649999999999999</v>
      </c>
      <c r="Q395" s="308">
        <f>+(P395/P389-1)*100</f>
        <v>75.389948006932414</v>
      </c>
      <c r="R395" s="307"/>
      <c r="S395" s="307"/>
      <c r="T395" s="314">
        <f>+T213/$AR$373</f>
        <v>5.2712499999999993</v>
      </c>
      <c r="U395" s="308">
        <f>+(T395/T389-1)*100</f>
        <v>9.7605413846954434</v>
      </c>
      <c r="V395" s="314">
        <f>+V213/$AR$373</f>
        <v>0.11624999999999999</v>
      </c>
      <c r="W395" s="308">
        <f>+(V395/V389-1)*100</f>
        <v>0</v>
      </c>
      <c r="X395" s="308"/>
      <c r="Y395" s="308"/>
      <c r="Z395" s="314"/>
      <c r="AA395" s="308"/>
      <c r="AB395" s="314">
        <f>+AB213/$AR$373</f>
        <v>8.7062499999999989</v>
      </c>
      <c r="AC395" s="308">
        <f>+(AB395/AB389-1)*100</f>
        <v>10.485406091370542</v>
      </c>
      <c r="AD395" s="314">
        <f>+AD213/$AR$373</f>
        <v>4.5974999999999993</v>
      </c>
      <c r="AE395" s="308">
        <f>+(AD395/AD389-1)*100</f>
        <v>5.9026778001727509</v>
      </c>
      <c r="AF395" s="314">
        <f>+AF213/$AR$373</f>
        <v>0</v>
      </c>
      <c r="AG395" s="30"/>
      <c r="AH395" s="314">
        <f>+AH213/$AR$373</f>
        <v>0.70874999999999988</v>
      </c>
      <c r="AI395" s="308">
        <f>+(AH395/AH389-1)*100</f>
        <v>27.990970654627525</v>
      </c>
      <c r="AJ395" s="314">
        <f>+AJ213/$AR$373</f>
        <v>0.22249999999999998</v>
      </c>
      <c r="AK395" s="308">
        <f>+(AJ395/AJ389-1)*100</f>
        <v>45.901639344262279</v>
      </c>
      <c r="AL395" s="314">
        <f>+AL213/$AR$373</f>
        <v>0.38874999999999998</v>
      </c>
      <c r="AM395" s="308">
        <f>+(AL395/AL389-1)*100</f>
        <v>7.9861111111111382</v>
      </c>
      <c r="AN395" s="375">
        <f>+AN213/$AR$373</f>
        <v>3.7499999999999999E-3</v>
      </c>
      <c r="AO395" s="308">
        <f>+(AN395/AN389-1)*100</f>
        <v>0</v>
      </c>
      <c r="AP395" s="30"/>
      <c r="AQ395" s="453">
        <f>+J395+L395+N395+P395+R395+T395+V395+AB395+AD395+AF395+AH395+AJ395+AL395+AN395</f>
        <v>27.981249999999999</v>
      </c>
      <c r="AR395" s="308">
        <f>+(AQ395/AQ389-1)*100</f>
        <v>14.930430764491454</v>
      </c>
      <c r="AS395" s="308"/>
      <c r="AT395" s="30"/>
      <c r="AU395" s="30"/>
      <c r="AV395" s="30"/>
      <c r="AW395" s="314"/>
      <c r="AX395" s="315"/>
      <c r="AY395" s="315"/>
      <c r="AZ395" s="314"/>
      <c r="BA395" s="307"/>
      <c r="BB395" s="315"/>
      <c r="BC395" s="307"/>
      <c r="BD395" s="307"/>
      <c r="BE395" s="307"/>
      <c r="BF395" s="315"/>
      <c r="BG395" s="316"/>
      <c r="BH395" s="307"/>
      <c r="BI395" s="307"/>
      <c r="BJ395" s="315"/>
      <c r="BK395" s="314"/>
      <c r="BL395" s="307"/>
      <c r="BM395" s="307"/>
      <c r="BN395" s="315"/>
      <c r="BO395" s="314"/>
      <c r="BP395" s="307"/>
      <c r="BQ395" s="307"/>
      <c r="BR395" s="307"/>
      <c r="BS395" s="315"/>
      <c r="BT395" s="314"/>
      <c r="BU395" s="307"/>
      <c r="BV395" s="307"/>
      <c r="BW395" s="307"/>
      <c r="BX395" s="315"/>
      <c r="BY395" s="314"/>
      <c r="BZ395" s="307"/>
      <c r="CA395" s="307"/>
      <c r="CB395" s="307"/>
      <c r="CC395" s="315"/>
      <c r="CD395" s="307"/>
      <c r="CE395" s="307"/>
      <c r="CF395" s="307"/>
      <c r="CG395" s="307"/>
      <c r="CH395" s="315"/>
      <c r="CI395" s="314"/>
      <c r="CJ395" s="307"/>
      <c r="CK395" s="307"/>
      <c r="CL395" s="315"/>
      <c r="CM395" s="314"/>
      <c r="CN395" s="307"/>
      <c r="CO395" s="315"/>
      <c r="CP395" s="314"/>
      <c r="CQ395" s="307"/>
      <c r="CR395" s="315"/>
      <c r="CS395" s="314"/>
      <c r="CT395" s="307"/>
      <c r="CU395" s="315"/>
      <c r="CV395" s="314"/>
      <c r="CW395" s="307"/>
      <c r="CX395" s="315"/>
      <c r="CY395" s="314"/>
      <c r="CZ395" s="307"/>
      <c r="DA395" s="315"/>
      <c r="DB395" s="314"/>
      <c r="DC395" s="307"/>
      <c r="DD395" s="315"/>
      <c r="DE395" s="314"/>
      <c r="DF395" s="307"/>
      <c r="DG395" s="315"/>
      <c r="DH395" s="314"/>
      <c r="DI395" s="307"/>
      <c r="DJ395" s="307"/>
      <c r="DK395" s="307"/>
      <c r="DL395" s="307"/>
    </row>
    <row r="396" spans="1:116" hidden="1" outlineLevel="1">
      <c r="A396" s="30" t="str">
        <f>+A214</f>
        <v>4Q</v>
      </c>
      <c r="B396" s="30" t="str">
        <f>+B214</f>
        <v>Jan</v>
      </c>
      <c r="C396" s="30"/>
      <c r="D396" s="314">
        <f>+D214/$AR$373</f>
        <v>2.5362499999999999</v>
      </c>
      <c r="E396" s="308">
        <f>+(D396/D390-1)*100</f>
        <v>21.788715486194498</v>
      </c>
      <c r="F396" s="314">
        <f>+F214/$AR$373</f>
        <v>0</v>
      </c>
      <c r="G396" s="307"/>
      <c r="H396" s="307"/>
      <c r="I396" s="307"/>
      <c r="J396" s="316">
        <f>+D396+F396</f>
        <v>2.5362499999999999</v>
      </c>
      <c r="K396" s="308">
        <f>+(J396/J390-1)*100</f>
        <v>21.788715486194498</v>
      </c>
      <c r="L396" s="314">
        <f>+L214/$AR$373</f>
        <v>0.16500000000000001</v>
      </c>
      <c r="M396" s="308">
        <f>+(L396/L390-1)*100</f>
        <v>33.33333333333335</v>
      </c>
      <c r="N396" s="314">
        <f>+N214/$AR$373</f>
        <v>4.3375000000000004</v>
      </c>
      <c r="O396" s="308">
        <f>+(N396/N390-1)*100</f>
        <v>18.59193438140807</v>
      </c>
      <c r="P396" s="314">
        <f>+P214/$AR$373</f>
        <v>1.345</v>
      </c>
      <c r="Q396" s="308">
        <f>+(P396/P390-1)*100</f>
        <v>59.171597633136088</v>
      </c>
      <c r="R396" s="307"/>
      <c r="S396" s="307"/>
      <c r="T396" s="314">
        <f>+T214/$AR$373</f>
        <v>5.3212499999999991</v>
      </c>
      <c r="U396" s="308">
        <f>+(T396/T390-1)*100</f>
        <v>8.4033613445378066</v>
      </c>
      <c r="V396" s="314">
        <f>+V214/$AR$373</f>
        <v>0.11624999999999999</v>
      </c>
      <c r="W396" s="308">
        <f>+(V396/V390-1)*100</f>
        <v>0</v>
      </c>
      <c r="X396" s="308"/>
      <c r="Y396" s="308"/>
      <c r="Z396" s="314"/>
      <c r="AA396" s="308"/>
      <c r="AB396" s="314">
        <f>+AB214/$AR$373</f>
        <v>8.7037499999999994</v>
      </c>
      <c r="AC396" s="308">
        <f>+(AB396/AB390-1)*100</f>
        <v>6.8764389869531817</v>
      </c>
      <c r="AD396" s="314">
        <f>+AD214/$AR$373</f>
        <v>4.6937499999999996</v>
      </c>
      <c r="AE396" s="308">
        <f>+(AD396/AD390-1)*100</f>
        <v>6.6155593412833502</v>
      </c>
      <c r="AF396" s="314">
        <f>+AF214/$AR$373</f>
        <v>0</v>
      </c>
      <c r="AG396" s="30"/>
      <c r="AH396" s="314">
        <f>+AH214/$AR$373</f>
        <v>0.70874999999999988</v>
      </c>
      <c r="AI396" s="308">
        <f>+(AH396/AH390-1)*100</f>
        <v>10.311284046692592</v>
      </c>
      <c r="AJ396" s="314">
        <f>+AJ214/$AR$373</f>
        <v>0.23249999999999998</v>
      </c>
      <c r="AK396" s="308">
        <f>+(AJ396/AJ390-1)*100</f>
        <v>46.456692913385808</v>
      </c>
      <c r="AL396" s="314">
        <f>+AL214/$AR$373</f>
        <v>0.41499999999999998</v>
      </c>
      <c r="AM396" s="308">
        <f>+(AL396/AL390-1)*100</f>
        <v>15.679442508710807</v>
      </c>
      <c r="AN396" s="375">
        <f>+AN214/$AR$373</f>
        <v>3.7499999999999999E-3</v>
      </c>
      <c r="AO396" s="308">
        <f>+(AN396/AN390-1)*100</f>
        <v>0</v>
      </c>
      <c r="AP396" s="30"/>
      <c r="AQ396" s="453">
        <f>+J396+L396+N396+P396+R396+T396+V396+AB396+AD396+AF396+AH396+AJ396+AL396+AN396</f>
        <v>28.578749999999999</v>
      </c>
      <c r="AR396" s="308">
        <f>+(AQ396/AQ390-1)*100</f>
        <v>12.321296978629338</v>
      </c>
      <c r="AS396" s="308"/>
      <c r="AT396" s="30"/>
      <c r="AU396" s="30"/>
      <c r="AV396" s="30"/>
      <c r="AW396" s="314"/>
      <c r="AX396" s="315"/>
      <c r="AY396" s="315"/>
      <c r="AZ396" s="314"/>
      <c r="BA396" s="307"/>
      <c r="BB396" s="315"/>
      <c r="BC396" s="307"/>
      <c r="BD396" s="307"/>
      <c r="BE396" s="307"/>
      <c r="BF396" s="315"/>
      <c r="BG396" s="316"/>
      <c r="BH396" s="307"/>
      <c r="BI396" s="307"/>
      <c r="BJ396" s="315"/>
      <c r="BK396" s="314"/>
      <c r="BL396" s="307"/>
      <c r="BM396" s="307"/>
      <c r="BN396" s="315"/>
      <c r="BO396" s="314"/>
      <c r="BP396" s="307"/>
      <c r="BQ396" s="307"/>
      <c r="BR396" s="307"/>
      <c r="BS396" s="315"/>
      <c r="BT396" s="314"/>
      <c r="BU396" s="307"/>
      <c r="BV396" s="307"/>
      <c r="BW396" s="307"/>
      <c r="BX396" s="315"/>
      <c r="BY396" s="314"/>
      <c r="BZ396" s="307"/>
      <c r="CA396" s="307"/>
      <c r="CB396" s="307"/>
      <c r="CC396" s="315"/>
      <c r="CD396" s="307"/>
      <c r="CE396" s="307"/>
      <c r="CF396" s="307"/>
      <c r="CG396" s="307"/>
      <c r="CH396" s="315"/>
      <c r="CI396" s="314"/>
      <c r="CJ396" s="307"/>
      <c r="CK396" s="307"/>
      <c r="CL396" s="315"/>
      <c r="CM396" s="314"/>
      <c r="CN396" s="307"/>
      <c r="CO396" s="315"/>
      <c r="CP396" s="314"/>
      <c r="CQ396" s="307"/>
      <c r="CR396" s="315"/>
      <c r="CS396" s="314"/>
      <c r="CT396" s="307"/>
      <c r="CU396" s="315"/>
      <c r="CV396" s="314"/>
      <c r="CW396" s="307"/>
      <c r="CX396" s="315"/>
      <c r="CY396" s="314"/>
      <c r="CZ396" s="307"/>
      <c r="DA396" s="315"/>
      <c r="DB396" s="314"/>
      <c r="DC396" s="307"/>
      <c r="DD396" s="315"/>
      <c r="DE396" s="314"/>
      <c r="DF396" s="307"/>
      <c r="DG396" s="315"/>
      <c r="DH396" s="314"/>
      <c r="DI396" s="307"/>
      <c r="DJ396" s="307"/>
      <c r="DK396" s="307"/>
      <c r="DL396" s="307"/>
    </row>
    <row r="397" spans="1:116" hidden="1" outlineLevel="1">
      <c r="A397" s="30"/>
      <c r="B397" s="30"/>
      <c r="C397" s="30"/>
      <c r="D397" s="314"/>
      <c r="E397" s="310"/>
      <c r="F397" s="314"/>
      <c r="G397" s="30"/>
      <c r="H397" s="30"/>
      <c r="I397" s="30"/>
      <c r="J397" s="316"/>
      <c r="K397" s="30"/>
      <c r="L397" s="314"/>
      <c r="M397" s="30"/>
      <c r="N397" s="314"/>
      <c r="O397" s="30"/>
      <c r="P397" s="314"/>
      <c r="Q397" s="30"/>
      <c r="R397" s="30"/>
      <c r="S397" s="30"/>
      <c r="T397" s="314"/>
      <c r="U397" s="30"/>
      <c r="V397" s="314"/>
      <c r="W397" s="30"/>
      <c r="X397" s="30"/>
      <c r="Y397" s="30"/>
      <c r="Z397" s="314"/>
      <c r="AA397" s="30"/>
      <c r="AB397" s="314"/>
      <c r="AC397" s="30"/>
      <c r="AD397" s="314"/>
      <c r="AE397" s="30"/>
      <c r="AF397" s="30"/>
      <c r="AG397" s="30"/>
      <c r="AH397" s="30"/>
      <c r="AI397" s="30"/>
      <c r="AJ397" s="30"/>
      <c r="AK397" s="30"/>
      <c r="AL397" s="30"/>
      <c r="AM397" s="30"/>
      <c r="AN397" s="30"/>
      <c r="AO397" s="308"/>
      <c r="AP397" s="30"/>
      <c r="AQ397" s="453"/>
      <c r="AR397" s="30"/>
      <c r="AS397" s="30"/>
      <c r="AT397" s="30"/>
      <c r="AU397" s="30"/>
      <c r="AV397" s="30"/>
      <c r="AW397" s="314"/>
      <c r="AX397" s="310"/>
      <c r="AY397" s="310"/>
      <c r="AZ397" s="314"/>
      <c r="BA397" s="30"/>
      <c r="BB397" s="310"/>
      <c r="BC397" s="30"/>
      <c r="BD397" s="30"/>
      <c r="BE397" s="30"/>
      <c r="BF397" s="310"/>
      <c r="BG397" s="316"/>
      <c r="BH397" s="30"/>
      <c r="BI397" s="30"/>
      <c r="BJ397" s="310"/>
      <c r="BK397" s="314"/>
      <c r="BL397" s="30"/>
      <c r="BM397" s="30"/>
      <c r="BN397" s="310"/>
      <c r="BO397" s="314"/>
      <c r="BP397" s="30"/>
      <c r="BQ397" s="30"/>
      <c r="BR397" s="30"/>
      <c r="BS397" s="310"/>
      <c r="BT397" s="314"/>
      <c r="BU397" s="30"/>
      <c r="BV397" s="30"/>
      <c r="BW397" s="30"/>
      <c r="BX397" s="310"/>
      <c r="BY397" s="314"/>
      <c r="BZ397" s="30"/>
      <c r="CA397" s="30"/>
      <c r="CB397" s="30"/>
      <c r="CC397" s="310"/>
      <c r="CD397" s="30"/>
      <c r="CE397" s="30"/>
      <c r="CF397" s="30"/>
      <c r="CG397" s="30"/>
      <c r="CH397" s="310"/>
      <c r="CI397" s="314"/>
      <c r="CJ397" s="30"/>
      <c r="CK397" s="30"/>
      <c r="CL397" s="310"/>
      <c r="CM397" s="314"/>
      <c r="CN397" s="30"/>
      <c r="CO397" s="310"/>
      <c r="CP397" s="314"/>
      <c r="CQ397" s="30"/>
      <c r="CR397" s="310"/>
      <c r="CS397" s="314"/>
      <c r="CT397" s="30"/>
      <c r="CU397" s="310"/>
      <c r="CV397" s="314"/>
      <c r="CW397" s="30"/>
      <c r="CX397" s="310"/>
      <c r="CY397" s="314"/>
      <c r="CZ397" s="30"/>
      <c r="DA397" s="310"/>
      <c r="DB397" s="314"/>
      <c r="DC397" s="30"/>
      <c r="DD397" s="310"/>
      <c r="DE397" s="314"/>
      <c r="DF397" s="30"/>
      <c r="DG397" s="310"/>
      <c r="DH397" s="314"/>
      <c r="DI397" s="30"/>
      <c r="DJ397" s="30"/>
      <c r="DK397" s="30"/>
      <c r="DL397" s="30"/>
    </row>
    <row r="398" spans="1:116" hidden="1" outlineLevel="1">
      <c r="A398" s="301"/>
      <c r="B398" s="312">
        <f>+B216</f>
        <v>1993</v>
      </c>
      <c r="C398" s="301"/>
      <c r="D398" s="301"/>
      <c r="E398" s="313"/>
      <c r="F398" s="301"/>
      <c r="G398" s="301"/>
      <c r="H398" s="301"/>
      <c r="I398" s="301"/>
      <c r="J398" s="301"/>
      <c r="K398" s="301"/>
      <c r="L398" s="301"/>
      <c r="M398" s="301"/>
      <c r="N398" s="301"/>
      <c r="O398" s="301"/>
      <c r="P398" s="301"/>
      <c r="Q398" s="301"/>
      <c r="R398" s="301"/>
      <c r="S398" s="301"/>
      <c r="T398" s="301"/>
      <c r="U398" s="301"/>
      <c r="V398" s="301"/>
      <c r="W398" s="301"/>
      <c r="X398" s="301"/>
      <c r="Y398" s="301"/>
      <c r="Z398" s="301"/>
      <c r="AA398" s="301"/>
      <c r="AB398" s="301"/>
      <c r="AC398" s="301"/>
      <c r="AD398" s="301"/>
      <c r="AE398" s="301"/>
      <c r="AF398" s="301"/>
      <c r="AG398" s="301"/>
      <c r="AH398" s="301"/>
      <c r="AI398" s="301"/>
      <c r="AJ398" s="301"/>
      <c r="AK398" s="301"/>
      <c r="AL398" s="301"/>
      <c r="AM398" s="301"/>
      <c r="AN398" s="301"/>
      <c r="AO398" s="308"/>
      <c r="AP398" s="301"/>
      <c r="AQ398" s="454"/>
      <c r="AR398" s="301"/>
      <c r="AS398" s="301"/>
      <c r="AT398" s="301"/>
      <c r="AU398" s="301"/>
      <c r="AV398" s="301"/>
      <c r="AW398" s="301"/>
      <c r="AX398" s="313"/>
      <c r="AY398" s="313"/>
      <c r="AZ398" s="301"/>
      <c r="BA398" s="301"/>
      <c r="BB398" s="313"/>
      <c r="BC398" s="301"/>
      <c r="BD398" s="301"/>
      <c r="BE398" s="301"/>
      <c r="BF398" s="313"/>
      <c r="BG398" s="301"/>
      <c r="BH398" s="301"/>
      <c r="BI398" s="301"/>
      <c r="BJ398" s="313"/>
      <c r="BK398" s="301"/>
      <c r="BL398" s="301"/>
      <c r="BM398" s="301"/>
      <c r="BN398" s="313"/>
      <c r="BO398" s="301"/>
      <c r="BP398" s="301"/>
      <c r="BQ398" s="301"/>
      <c r="BR398" s="301"/>
      <c r="BS398" s="313"/>
      <c r="BT398" s="301"/>
      <c r="BU398" s="301"/>
      <c r="BV398" s="301"/>
      <c r="BW398" s="301"/>
      <c r="BX398" s="313"/>
      <c r="BY398" s="301"/>
      <c r="BZ398" s="301"/>
      <c r="CA398" s="301"/>
      <c r="CB398" s="301"/>
      <c r="CC398" s="313"/>
      <c r="CD398" s="301"/>
      <c r="CE398" s="301"/>
      <c r="CF398" s="301"/>
      <c r="CG398" s="301"/>
      <c r="CH398" s="313"/>
      <c r="CI398" s="301"/>
      <c r="CJ398" s="301"/>
      <c r="CK398" s="301"/>
      <c r="CL398" s="313"/>
      <c r="CM398" s="301"/>
      <c r="CN398" s="301"/>
      <c r="CO398" s="313"/>
      <c r="CP398" s="301"/>
      <c r="CQ398" s="301"/>
      <c r="CR398" s="313"/>
      <c r="CS398" s="301"/>
      <c r="CT398" s="301"/>
      <c r="CU398" s="313"/>
      <c r="CV398" s="301"/>
      <c r="CW398" s="301"/>
      <c r="CX398" s="313"/>
      <c r="CY398" s="301"/>
      <c r="CZ398" s="301"/>
      <c r="DA398" s="313"/>
      <c r="DB398" s="301"/>
      <c r="DC398" s="301"/>
      <c r="DD398" s="313"/>
      <c r="DE398" s="301"/>
      <c r="DF398" s="301"/>
      <c r="DG398" s="313"/>
      <c r="DH398" s="301"/>
      <c r="DI398" s="301"/>
      <c r="DJ398" s="301"/>
      <c r="DK398" s="301"/>
      <c r="DL398" s="301"/>
    </row>
    <row r="399" spans="1:116" hidden="1" outlineLevel="1">
      <c r="A399" s="30" t="str">
        <f>+A217</f>
        <v>1Q</v>
      </c>
      <c r="B399" s="30" t="str">
        <f>+B217</f>
        <v>Apr</v>
      </c>
      <c r="C399" s="30"/>
      <c r="D399" s="314">
        <f>+D217/$AR$373</f>
        <v>2.6149999999999998</v>
      </c>
      <c r="E399" s="315"/>
      <c r="F399" s="314">
        <f>+F217/$AR$373</f>
        <v>0</v>
      </c>
      <c r="G399" s="307"/>
      <c r="H399" s="307"/>
      <c r="I399" s="307"/>
      <c r="J399" s="316">
        <f>+D399+F399</f>
        <v>2.6149999999999998</v>
      </c>
      <c r="K399" s="307"/>
      <c r="L399" s="314">
        <f>+L217/$AR$373</f>
        <v>0.17125000000000001</v>
      </c>
      <c r="M399" s="307"/>
      <c r="N399" s="314">
        <f>+N217/$AR$373</f>
        <v>4.3937499999999998</v>
      </c>
      <c r="O399" s="307"/>
      <c r="P399" s="314">
        <f>+P217/$AR$373</f>
        <v>1.4349999999999998</v>
      </c>
      <c r="Q399" s="307"/>
      <c r="R399" s="307"/>
      <c r="S399" s="307"/>
      <c r="T399" s="314">
        <f>+T217/$AR$373</f>
        <v>5.4124999999999996</v>
      </c>
      <c r="U399" s="307"/>
      <c r="V399" s="314">
        <f>+V217/$AR$373</f>
        <v>0.11624999999999999</v>
      </c>
      <c r="W399" s="307"/>
      <c r="X399" s="307"/>
      <c r="Y399" s="307"/>
      <c r="Z399" s="314"/>
      <c r="AA399" s="307"/>
      <c r="AB399" s="314">
        <f>+AB217/$AR$373</f>
        <v>8.6812500000000004</v>
      </c>
      <c r="AC399" s="30"/>
      <c r="AD399" s="314">
        <f>+AD217/$AR$373</f>
        <v>4.7424999999999997</v>
      </c>
      <c r="AE399" s="307"/>
      <c r="AF399" s="314">
        <f>+AF217/$AR$373</f>
        <v>0</v>
      </c>
      <c r="AG399" s="30"/>
      <c r="AH399" s="314">
        <f>+AH217/$AR$373</f>
        <v>0.70999999999999985</v>
      </c>
      <c r="AI399" s="30"/>
      <c r="AJ399" s="314">
        <f>+AJ217/$AR$373</f>
        <v>0.25999999999999995</v>
      </c>
      <c r="AK399" s="30"/>
      <c r="AL399" s="314">
        <f>+AL217/$AR$373</f>
        <v>0.41749999999999998</v>
      </c>
      <c r="AM399" s="30"/>
      <c r="AN399" s="375">
        <f>+AN217/$AR$373</f>
        <v>3.7499999999999999E-3</v>
      </c>
      <c r="AO399" s="308"/>
      <c r="AP399" s="30"/>
      <c r="AQ399" s="453">
        <f>+J399+L399+N399+P399+R399+T399+V399+AB399+AD399+AF399+AH399+AJ399+AL399+AN399</f>
        <v>28.958750000000006</v>
      </c>
      <c r="AR399" s="308">
        <f>+(AQ399/AQ393-1)*100</f>
        <v>11.155359370501895</v>
      </c>
      <c r="AS399" s="308"/>
      <c r="AT399" s="30"/>
      <c r="AU399" s="30"/>
      <c r="AV399" s="30"/>
      <c r="AW399" s="314"/>
      <c r="AX399" s="315"/>
      <c r="AY399" s="315"/>
      <c r="AZ399" s="314"/>
      <c r="BA399" s="307"/>
      <c r="BB399" s="315"/>
      <c r="BC399" s="307"/>
      <c r="BD399" s="307"/>
      <c r="BE399" s="307"/>
      <c r="BF399" s="315"/>
      <c r="BG399" s="316"/>
      <c r="BH399" s="307"/>
      <c r="BI399" s="307"/>
      <c r="BJ399" s="315"/>
      <c r="BK399" s="314"/>
      <c r="BL399" s="307"/>
      <c r="BM399" s="307"/>
      <c r="BN399" s="315"/>
      <c r="BO399" s="314"/>
      <c r="BP399" s="307"/>
      <c r="BQ399" s="307"/>
      <c r="BR399" s="307"/>
      <c r="BS399" s="315"/>
      <c r="BT399" s="314"/>
      <c r="BU399" s="307"/>
      <c r="BV399" s="307"/>
      <c r="BW399" s="307"/>
      <c r="BX399" s="315"/>
      <c r="BY399" s="314"/>
      <c r="BZ399" s="307"/>
      <c r="CA399" s="307"/>
      <c r="CB399" s="307"/>
      <c r="CC399" s="315"/>
      <c r="CD399" s="307"/>
      <c r="CE399" s="307"/>
      <c r="CF399" s="307"/>
      <c r="CG399" s="307"/>
      <c r="CH399" s="315"/>
      <c r="CI399" s="314"/>
      <c r="CJ399" s="307"/>
      <c r="CK399" s="307"/>
      <c r="CL399" s="315"/>
      <c r="CM399" s="314"/>
      <c r="CN399" s="307"/>
      <c r="CO399" s="315"/>
      <c r="CP399" s="314"/>
      <c r="CQ399" s="307"/>
      <c r="CR399" s="315"/>
      <c r="CS399" s="314"/>
      <c r="CT399" s="307"/>
      <c r="CU399" s="315"/>
      <c r="CV399" s="314"/>
      <c r="CW399" s="307"/>
      <c r="CX399" s="315"/>
      <c r="CY399" s="314"/>
      <c r="CZ399" s="307"/>
      <c r="DA399" s="315"/>
      <c r="DB399" s="314"/>
      <c r="DC399" s="307"/>
      <c r="DD399" s="315"/>
      <c r="DE399" s="314"/>
      <c r="DF399" s="307"/>
      <c r="DG399" s="315"/>
      <c r="DH399" s="314"/>
      <c r="DI399" s="307"/>
      <c r="DJ399" s="307"/>
      <c r="DK399" s="307"/>
      <c r="DL399" s="307"/>
    </row>
    <row r="400" spans="1:116" hidden="1" outlineLevel="1">
      <c r="A400" s="30" t="str">
        <f>+A218</f>
        <v>2Q</v>
      </c>
      <c r="B400" s="30" t="str">
        <f>+B218</f>
        <v>Jul</v>
      </c>
      <c r="C400" s="30"/>
      <c r="D400" s="314">
        <f>+D218/$AR$373</f>
        <v>2.6937499999999996</v>
      </c>
      <c r="E400" s="315"/>
      <c r="F400" s="314">
        <f>+F218/$AR$373</f>
        <v>0</v>
      </c>
      <c r="G400" s="307"/>
      <c r="H400" s="307"/>
      <c r="I400" s="307"/>
      <c r="J400" s="316">
        <f>+D400+F400</f>
        <v>2.6937499999999996</v>
      </c>
      <c r="K400" s="307"/>
      <c r="L400" s="314">
        <f>+L218/$AR$373</f>
        <v>0.18249999999999997</v>
      </c>
      <c r="M400" s="307"/>
      <c r="N400" s="314">
        <f>+N218/$AR$373</f>
        <v>4.5112499999999995</v>
      </c>
      <c r="O400" s="307"/>
      <c r="P400" s="314">
        <f>+P218/$AR$373</f>
        <v>1.53125</v>
      </c>
      <c r="Q400" s="307"/>
      <c r="R400" s="307"/>
      <c r="S400" s="307"/>
      <c r="T400" s="314">
        <f>+T218/$AR$373</f>
        <v>5.44</v>
      </c>
      <c r="U400" s="307"/>
      <c r="V400" s="314">
        <f>+V218/$AR$373</f>
        <v>0.11624999999999999</v>
      </c>
      <c r="W400" s="307"/>
      <c r="X400" s="307"/>
      <c r="Y400" s="307"/>
      <c r="Z400" s="314"/>
      <c r="AA400" s="307"/>
      <c r="AB400" s="314">
        <f>+AB218/$AR$373</f>
        <v>8.6212499999999999</v>
      </c>
      <c r="AC400" s="30"/>
      <c r="AD400" s="314">
        <f>+AD218/$AR$373</f>
        <v>4.7687499999999998</v>
      </c>
      <c r="AE400" s="307"/>
      <c r="AF400" s="314">
        <f>+AF218/$AR$373</f>
        <v>0</v>
      </c>
      <c r="AG400" s="30"/>
      <c r="AH400" s="314">
        <f>+AH218/$AR$373</f>
        <v>0.70999999999999985</v>
      </c>
      <c r="AI400" s="30"/>
      <c r="AJ400" s="314">
        <f>+AJ218/$AR$373</f>
        <v>0.32500000000000001</v>
      </c>
      <c r="AK400" s="30"/>
      <c r="AL400" s="314">
        <f>+AL218/$AR$373</f>
        <v>0.42875000000000002</v>
      </c>
      <c r="AM400" s="30"/>
      <c r="AN400" s="375">
        <f>+AN218/$AR$373</f>
        <v>3.7499999999999999E-3</v>
      </c>
      <c r="AO400" s="308"/>
      <c r="AP400" s="30"/>
      <c r="AQ400" s="453">
        <f>+J400+L400+N400+P400+R400+T400+V400+AB400+AD400+AF400+AH400+AJ400+AL400+AN400</f>
        <v>29.332500000000003</v>
      </c>
      <c r="AR400" s="308">
        <f>+(AQ400/AQ394-1)*100</f>
        <v>9.1238839285714413</v>
      </c>
      <c r="AS400" s="308"/>
      <c r="AT400" s="30"/>
      <c r="AU400" s="30"/>
      <c r="AV400" s="30"/>
      <c r="AW400" s="314"/>
      <c r="AX400" s="315"/>
      <c r="AY400" s="315"/>
      <c r="AZ400" s="314"/>
      <c r="BA400" s="307"/>
      <c r="BB400" s="315"/>
      <c r="BC400" s="307"/>
      <c r="BD400" s="307"/>
      <c r="BE400" s="307"/>
      <c r="BF400" s="315"/>
      <c r="BG400" s="316"/>
      <c r="BH400" s="307"/>
      <c r="BI400" s="307"/>
      <c r="BJ400" s="315"/>
      <c r="BK400" s="314"/>
      <c r="BL400" s="307"/>
      <c r="BM400" s="307"/>
      <c r="BN400" s="315"/>
      <c r="BO400" s="314"/>
      <c r="BP400" s="307"/>
      <c r="BQ400" s="307"/>
      <c r="BR400" s="307"/>
      <c r="BS400" s="315"/>
      <c r="BT400" s="314"/>
      <c r="BU400" s="307"/>
      <c r="BV400" s="307"/>
      <c r="BW400" s="307"/>
      <c r="BX400" s="315"/>
      <c r="BY400" s="314"/>
      <c r="BZ400" s="307"/>
      <c r="CA400" s="307"/>
      <c r="CB400" s="307"/>
      <c r="CC400" s="315"/>
      <c r="CD400" s="307"/>
      <c r="CE400" s="307"/>
      <c r="CF400" s="307"/>
      <c r="CG400" s="307"/>
      <c r="CH400" s="315"/>
      <c r="CI400" s="314"/>
      <c r="CJ400" s="307"/>
      <c r="CK400" s="307"/>
      <c r="CL400" s="315"/>
      <c r="CM400" s="314"/>
      <c r="CN400" s="307"/>
      <c r="CO400" s="315"/>
      <c r="CP400" s="314"/>
      <c r="CQ400" s="307"/>
      <c r="CR400" s="315"/>
      <c r="CS400" s="314"/>
      <c r="CT400" s="307"/>
      <c r="CU400" s="315"/>
      <c r="CV400" s="314"/>
      <c r="CW400" s="307"/>
      <c r="CX400" s="315"/>
      <c r="CY400" s="314"/>
      <c r="CZ400" s="307"/>
      <c r="DA400" s="315"/>
      <c r="DB400" s="314"/>
      <c r="DC400" s="307"/>
      <c r="DD400" s="315"/>
      <c r="DE400" s="314"/>
      <c r="DF400" s="307"/>
      <c r="DG400" s="315"/>
      <c r="DH400" s="314"/>
      <c r="DI400" s="307"/>
      <c r="DJ400" s="307"/>
      <c r="DK400" s="307"/>
      <c r="DL400" s="307"/>
    </row>
    <row r="401" spans="1:116" hidden="1" outlineLevel="1">
      <c r="A401" s="30" t="str">
        <f>+A219</f>
        <v>3Q</v>
      </c>
      <c r="B401" s="30" t="str">
        <f>+B219</f>
        <v>Oct</v>
      </c>
      <c r="C401" s="30"/>
      <c r="D401" s="314">
        <f>+D219/$AR$373</f>
        <v>2.8599999999999994</v>
      </c>
      <c r="E401" s="308">
        <f>+(D401/D395-1)*100</f>
        <v>19.979024646040866</v>
      </c>
      <c r="F401" s="314">
        <f>+F219/$AR$373</f>
        <v>0</v>
      </c>
      <c r="G401" s="307"/>
      <c r="H401" s="307"/>
      <c r="I401" s="307"/>
      <c r="J401" s="316">
        <f>+D401+F401</f>
        <v>2.8599999999999994</v>
      </c>
      <c r="K401" s="308">
        <f>+(J401/J395-1)*100</f>
        <v>19.979024646040866</v>
      </c>
      <c r="L401" s="314">
        <f>+L219/$AR$373</f>
        <v>0.27625</v>
      </c>
      <c r="M401" s="308">
        <f>+(L401/L395-1)*100</f>
        <v>74.015748031496059</v>
      </c>
      <c r="N401" s="314">
        <f>+N219/$AR$373</f>
        <v>4.74125</v>
      </c>
      <c r="O401" s="308">
        <f>+(N401/N395-1)*100</f>
        <v>14.006612563871368</v>
      </c>
      <c r="P401" s="314">
        <f>+P219/$AR$373</f>
        <v>1.6625000000000001</v>
      </c>
      <c r="Q401" s="308">
        <f>+(P401/P395-1)*100</f>
        <v>31.422924901185787</v>
      </c>
      <c r="R401" s="307"/>
      <c r="S401" s="308"/>
      <c r="T401" s="314">
        <f>+T219/$AR$373</f>
        <v>5.5687499999999996</v>
      </c>
      <c r="U401" s="308">
        <f>+(T401/T395-1)*100</f>
        <v>5.6438226227175869</v>
      </c>
      <c r="V401" s="314">
        <f>+V219/$AR$373</f>
        <v>0.11624999999999999</v>
      </c>
      <c r="W401" s="308">
        <f>+(V401/V395-1)*100</f>
        <v>0</v>
      </c>
      <c r="X401" s="308"/>
      <c r="Y401" s="308"/>
      <c r="Z401" s="314"/>
      <c r="AA401" s="308"/>
      <c r="AB401" s="314">
        <f>+AB219/$AR$373</f>
        <v>8.6687499999999993</v>
      </c>
      <c r="AC401" s="308">
        <f>+(AB401/AB395-1)*100</f>
        <v>-0.43072505384063042</v>
      </c>
      <c r="AD401" s="314">
        <f>+AD219/$AR$373</f>
        <v>4.8075000000000001</v>
      </c>
      <c r="AE401" s="308">
        <f>+(AD401/AD395-1)*100</f>
        <v>4.5676998368678889</v>
      </c>
      <c r="AF401" s="314">
        <f>+AF219/$AR$373</f>
        <v>0</v>
      </c>
      <c r="AG401" s="308"/>
      <c r="AH401" s="314">
        <f>+AH219/$AR$373</f>
        <v>0.70999999999999985</v>
      </c>
      <c r="AI401" s="308">
        <f>+(AH401/AH395-1)*100</f>
        <v>0.17636684303350414</v>
      </c>
      <c r="AJ401" s="314">
        <f>+AJ219/$AR$373</f>
        <v>0.36374999999999996</v>
      </c>
      <c r="AK401" s="308">
        <f>+(AJ401/AJ395-1)*100</f>
        <v>63.483146067415738</v>
      </c>
      <c r="AL401" s="314">
        <f>+AL219/$AR$373</f>
        <v>0.46875</v>
      </c>
      <c r="AM401" s="308">
        <f>+(AL401/AL395-1)*100</f>
        <v>20.578778135048225</v>
      </c>
      <c r="AN401" s="375">
        <f>+AN219/$AR$373</f>
        <v>3.7499999999999999E-3</v>
      </c>
      <c r="AO401" s="308">
        <f>+(AN401/AN395-1)*100</f>
        <v>0</v>
      </c>
      <c r="AP401" s="30"/>
      <c r="AQ401" s="453">
        <f>+J401+L401+N401+P401+R401+T401+V401+AB401+AD401+AF401+AH401+AJ401+AL401+AN401</f>
        <v>30.247499999999999</v>
      </c>
      <c r="AR401" s="308">
        <f>+(AQ401/AQ395-1)*100</f>
        <v>8.0991735537190088</v>
      </c>
      <c r="AS401" s="308"/>
      <c r="AT401" s="30"/>
      <c r="AU401" s="30"/>
      <c r="AV401" s="30"/>
      <c r="AW401" s="314"/>
      <c r="AX401" s="315"/>
      <c r="AY401" s="315"/>
      <c r="AZ401" s="314"/>
      <c r="BA401" s="307"/>
      <c r="BB401" s="315"/>
      <c r="BC401" s="307"/>
      <c r="BD401" s="307"/>
      <c r="BE401" s="307"/>
      <c r="BF401" s="315"/>
      <c r="BG401" s="316"/>
      <c r="BH401" s="307"/>
      <c r="BI401" s="307"/>
      <c r="BJ401" s="315"/>
      <c r="BK401" s="314"/>
      <c r="BL401" s="307"/>
      <c r="BM401" s="307"/>
      <c r="BN401" s="315"/>
      <c r="BO401" s="314"/>
      <c r="BP401" s="307"/>
      <c r="BQ401" s="307"/>
      <c r="BR401" s="307"/>
      <c r="BS401" s="315"/>
      <c r="BT401" s="314"/>
      <c r="BU401" s="307"/>
      <c r="BV401" s="307"/>
      <c r="BW401" s="307"/>
      <c r="BX401" s="315"/>
      <c r="BY401" s="314"/>
      <c r="BZ401" s="307"/>
      <c r="CA401" s="307"/>
      <c r="CB401" s="307"/>
      <c r="CC401" s="315"/>
      <c r="CD401" s="307"/>
      <c r="CE401" s="307"/>
      <c r="CF401" s="307"/>
      <c r="CG401" s="307"/>
      <c r="CH401" s="315"/>
      <c r="CI401" s="314"/>
      <c r="CJ401" s="307"/>
      <c r="CK401" s="307"/>
      <c r="CL401" s="315"/>
      <c r="CM401" s="314"/>
      <c r="CN401" s="307"/>
      <c r="CO401" s="315"/>
      <c r="CP401" s="314"/>
      <c r="CQ401" s="307"/>
      <c r="CR401" s="315"/>
      <c r="CS401" s="314"/>
      <c r="CT401" s="307"/>
      <c r="CU401" s="315"/>
      <c r="CV401" s="314"/>
      <c r="CW401" s="307"/>
      <c r="CX401" s="315"/>
      <c r="CY401" s="314"/>
      <c r="CZ401" s="307"/>
      <c r="DA401" s="315"/>
      <c r="DB401" s="314"/>
      <c r="DC401" s="307"/>
      <c r="DD401" s="315"/>
      <c r="DE401" s="314"/>
      <c r="DF401" s="307"/>
      <c r="DG401" s="315"/>
      <c r="DH401" s="314"/>
      <c r="DI401" s="307"/>
      <c r="DJ401" s="307"/>
      <c r="DK401" s="307"/>
      <c r="DL401" s="307"/>
    </row>
    <row r="402" spans="1:116" hidden="1" outlineLevel="1">
      <c r="A402" s="30" t="str">
        <f>+A220</f>
        <v>4Q</v>
      </c>
      <c r="B402" s="30" t="str">
        <f>+B220</f>
        <v>Jan</v>
      </c>
      <c r="C402" s="30"/>
      <c r="D402" s="314">
        <f>+D220/$AR$373</f>
        <v>2.9325000000000001</v>
      </c>
      <c r="E402" s="308">
        <f>+(D402/D396-1)*100</f>
        <v>15.623459832429788</v>
      </c>
      <c r="F402" s="314">
        <f>+F220/$AR$373</f>
        <v>0</v>
      </c>
      <c r="G402" s="307"/>
      <c r="H402" s="307"/>
      <c r="I402" s="307"/>
      <c r="J402" s="316">
        <f>+D402+F402</f>
        <v>2.9325000000000001</v>
      </c>
      <c r="K402" s="308">
        <f>+(J402/J396-1)*100</f>
        <v>15.623459832429788</v>
      </c>
      <c r="L402" s="314">
        <f>+L220/$AR$373</f>
        <v>0.31</v>
      </c>
      <c r="M402" s="308">
        <f>+(L402/L396-1)*100</f>
        <v>87.878787878787861</v>
      </c>
      <c r="N402" s="314">
        <f>+N220/$AR$373</f>
        <v>4.8774999999999995</v>
      </c>
      <c r="O402" s="308">
        <f>+(N402/N396-1)*100</f>
        <v>12.449567723342913</v>
      </c>
      <c r="P402" s="314">
        <f>+P220/$AR$373</f>
        <v>1.76125</v>
      </c>
      <c r="Q402" s="308">
        <f>+(P402/P396-1)*100</f>
        <v>30.94795539033457</v>
      </c>
      <c r="R402" s="307"/>
      <c r="S402" s="308"/>
      <c r="T402" s="314">
        <f>+T220/$AR$373</f>
        <v>5.6025</v>
      </c>
      <c r="U402" s="308">
        <f>+(T402/T396-1)*100</f>
        <v>5.2854122621564636</v>
      </c>
      <c r="V402" s="314">
        <f>+V220/$AR$373</f>
        <v>0.11624999999999999</v>
      </c>
      <c r="W402" s="308">
        <f>+(V402/V396-1)*100</f>
        <v>0</v>
      </c>
      <c r="X402" s="308"/>
      <c r="Y402" s="308"/>
      <c r="Z402" s="314"/>
      <c r="AA402" s="308"/>
      <c r="AB402" s="314">
        <f>+AB220/$AR$373</f>
        <v>8.5024999999999995</v>
      </c>
      <c r="AC402" s="308">
        <f>+(AB402/AB396-1)*100</f>
        <v>-2.3122217435013637</v>
      </c>
      <c r="AD402" s="314">
        <f>+AD220/$AR$373</f>
        <v>4.8149999999999995</v>
      </c>
      <c r="AE402" s="308">
        <f>+(AD402/AD396-1)*100</f>
        <v>2.5832223701730994</v>
      </c>
      <c r="AF402" s="314">
        <f>+AF220/$AR$373</f>
        <v>0</v>
      </c>
      <c r="AG402" s="308"/>
      <c r="AH402" s="314">
        <f>+AH220/$AR$373</f>
        <v>0.70749999999999991</v>
      </c>
      <c r="AI402" s="308">
        <f>+(AH402/AH396-1)*100</f>
        <v>-0.17636684303350414</v>
      </c>
      <c r="AJ402" s="314">
        <f>+AJ220/$AR$373</f>
        <v>0.39749999999999996</v>
      </c>
      <c r="AK402" s="308">
        <f>+(AJ402/AJ396-1)*100</f>
        <v>70.967741935483872</v>
      </c>
      <c r="AL402" s="314">
        <f>+AL220/$AR$373</f>
        <v>0.50624999999999998</v>
      </c>
      <c r="AM402" s="308">
        <f>+(AL402/AL396-1)*100</f>
        <v>21.987951807228924</v>
      </c>
      <c r="AN402" s="375">
        <f>+AN220/$AR$373</f>
        <v>3.7499999999999999E-3</v>
      </c>
      <c r="AO402" s="308">
        <f>+(AN402/AN396-1)*100</f>
        <v>0</v>
      </c>
      <c r="AP402" s="30"/>
      <c r="AQ402" s="453">
        <f>+J402+L402+N402+P402+R402+T402+V402+AB402+AD402+AF402+AH402+AJ402+AL402+AN402</f>
        <v>30.532499999999999</v>
      </c>
      <c r="AR402" s="308">
        <f>+(AQ402/AQ396-1)*100</f>
        <v>6.8363731793727789</v>
      </c>
      <c r="AS402" s="308"/>
      <c r="AT402" s="30"/>
      <c r="AU402" s="30"/>
      <c r="AV402" s="30"/>
      <c r="AW402" s="314"/>
      <c r="AX402" s="315"/>
      <c r="AY402" s="315"/>
      <c r="AZ402" s="314"/>
      <c r="BA402" s="307"/>
      <c r="BB402" s="315"/>
      <c r="BC402" s="307"/>
      <c r="BD402" s="307"/>
      <c r="BE402" s="307"/>
      <c r="BF402" s="315"/>
      <c r="BG402" s="316"/>
      <c r="BH402" s="307"/>
      <c r="BI402" s="307"/>
      <c r="BJ402" s="315"/>
      <c r="BK402" s="314"/>
      <c r="BL402" s="307"/>
      <c r="BM402" s="307"/>
      <c r="BN402" s="315"/>
      <c r="BO402" s="314"/>
      <c r="BP402" s="307"/>
      <c r="BQ402" s="307"/>
      <c r="BR402" s="307"/>
      <c r="BS402" s="315"/>
      <c r="BT402" s="314"/>
      <c r="BU402" s="307"/>
      <c r="BV402" s="307"/>
      <c r="BW402" s="307"/>
      <c r="BX402" s="315"/>
      <c r="BY402" s="314"/>
      <c r="BZ402" s="307"/>
      <c r="CA402" s="307"/>
      <c r="CB402" s="307"/>
      <c r="CC402" s="315"/>
      <c r="CD402" s="307"/>
      <c r="CE402" s="307"/>
      <c r="CF402" s="307"/>
      <c r="CG402" s="307"/>
      <c r="CH402" s="315"/>
      <c r="CI402" s="314"/>
      <c r="CJ402" s="307"/>
      <c r="CK402" s="307"/>
      <c r="CL402" s="315"/>
      <c r="CM402" s="314"/>
      <c r="CN402" s="307"/>
      <c r="CO402" s="315"/>
      <c r="CP402" s="314"/>
      <c r="CQ402" s="307"/>
      <c r="CR402" s="315"/>
      <c r="CS402" s="314"/>
      <c r="CT402" s="307"/>
      <c r="CU402" s="315"/>
      <c r="CV402" s="314"/>
      <c r="CW402" s="307"/>
      <c r="CX402" s="315"/>
      <c r="CY402" s="314"/>
      <c r="CZ402" s="307"/>
      <c r="DA402" s="315"/>
      <c r="DB402" s="314"/>
      <c r="DC402" s="307"/>
      <c r="DD402" s="315"/>
      <c r="DE402" s="314"/>
      <c r="DF402" s="307"/>
      <c r="DG402" s="315"/>
      <c r="DH402" s="314"/>
      <c r="DI402" s="307"/>
      <c r="DJ402" s="307"/>
      <c r="DK402" s="307"/>
      <c r="DL402" s="307"/>
    </row>
    <row r="403" spans="1:116" hidden="1" outlineLevel="1">
      <c r="A403" s="30"/>
      <c r="B403" s="30"/>
      <c r="C403" s="30"/>
      <c r="D403" s="314"/>
      <c r="E403" s="310"/>
      <c r="F403" s="314"/>
      <c r="G403" s="30"/>
      <c r="H403" s="30"/>
      <c r="I403" s="30"/>
      <c r="J403" s="316"/>
      <c r="K403" s="30"/>
      <c r="L403" s="314"/>
      <c r="M403" s="30"/>
      <c r="N403" s="314"/>
      <c r="O403" s="30"/>
      <c r="P403" s="314"/>
      <c r="Q403" s="30"/>
      <c r="R403" s="30"/>
      <c r="S403" s="30"/>
      <c r="T403" s="314"/>
      <c r="U403" s="30"/>
      <c r="V403" s="314"/>
      <c r="W403" s="30"/>
      <c r="X403" s="30"/>
      <c r="Y403" s="30"/>
      <c r="Z403" s="314"/>
      <c r="AA403" s="30"/>
      <c r="AB403" s="314"/>
      <c r="AC403" s="30"/>
      <c r="AD403" s="314"/>
      <c r="AE403" s="30"/>
      <c r="AF403" s="30"/>
      <c r="AG403" s="30"/>
      <c r="AH403" s="30"/>
      <c r="AI403" s="30"/>
      <c r="AJ403" s="30"/>
      <c r="AK403" s="30"/>
      <c r="AL403" s="30"/>
      <c r="AM403" s="30"/>
      <c r="AN403" s="375"/>
      <c r="AO403" s="30"/>
      <c r="AP403" s="30"/>
      <c r="AQ403" s="453"/>
      <c r="AR403" s="30"/>
      <c r="AS403" s="30"/>
      <c r="AT403" s="30"/>
      <c r="AU403" s="30"/>
      <c r="AV403" s="30"/>
      <c r="AW403" s="314"/>
      <c r="AX403" s="310"/>
      <c r="AY403" s="310"/>
      <c r="AZ403" s="314"/>
      <c r="BA403" s="30"/>
      <c r="BB403" s="310"/>
      <c r="BC403" s="30"/>
      <c r="BD403" s="30"/>
      <c r="BE403" s="30"/>
      <c r="BF403" s="310"/>
      <c r="BG403" s="316"/>
      <c r="BH403" s="30"/>
      <c r="BI403" s="30"/>
      <c r="BJ403" s="310"/>
      <c r="BK403" s="314"/>
      <c r="BL403" s="30"/>
      <c r="BM403" s="30"/>
      <c r="BN403" s="310"/>
      <c r="BO403" s="314"/>
      <c r="BP403" s="30"/>
      <c r="BQ403" s="30"/>
      <c r="BR403" s="30"/>
      <c r="BS403" s="310"/>
      <c r="BT403" s="314"/>
      <c r="BU403" s="30"/>
      <c r="BV403" s="30"/>
      <c r="BW403" s="30"/>
      <c r="BX403" s="310"/>
      <c r="BY403" s="314"/>
      <c r="BZ403" s="30"/>
      <c r="CA403" s="30"/>
      <c r="CB403" s="30"/>
      <c r="CC403" s="310"/>
      <c r="CD403" s="30"/>
      <c r="CE403" s="30"/>
      <c r="CF403" s="30"/>
      <c r="CG403" s="30"/>
      <c r="CH403" s="310"/>
      <c r="CI403" s="314"/>
      <c r="CJ403" s="30"/>
      <c r="CK403" s="30"/>
      <c r="CL403" s="310"/>
      <c r="CM403" s="314"/>
      <c r="CN403" s="30"/>
      <c r="CO403" s="310"/>
      <c r="CP403" s="314"/>
      <c r="CQ403" s="30"/>
      <c r="CR403" s="310"/>
      <c r="CS403" s="314"/>
      <c r="CT403" s="30"/>
      <c r="CU403" s="310"/>
      <c r="CV403" s="314"/>
      <c r="CW403" s="30"/>
      <c r="CX403" s="310"/>
      <c r="CY403" s="314"/>
      <c r="CZ403" s="30"/>
      <c r="DA403" s="310"/>
      <c r="DB403" s="314"/>
      <c r="DC403" s="30"/>
      <c r="DD403" s="310"/>
      <c r="DE403" s="314"/>
      <c r="DF403" s="30"/>
      <c r="DG403" s="310"/>
      <c r="DH403" s="314"/>
      <c r="DI403" s="30"/>
      <c r="DJ403" s="30"/>
      <c r="DK403" s="30"/>
      <c r="DL403" s="30"/>
    </row>
    <row r="404" spans="1:116" hidden="1" outlineLevel="1">
      <c r="A404" s="301"/>
      <c r="B404" s="312">
        <f>+B222</f>
        <v>1994</v>
      </c>
      <c r="C404" s="301"/>
      <c r="D404" s="301"/>
      <c r="E404" s="313"/>
      <c r="F404" s="301"/>
      <c r="G404" s="301"/>
      <c r="H404" s="301"/>
      <c r="I404" s="301"/>
      <c r="J404" s="301"/>
      <c r="K404" s="301"/>
      <c r="L404" s="301"/>
      <c r="M404" s="301"/>
      <c r="N404" s="301"/>
      <c r="O404" s="301"/>
      <c r="P404" s="301"/>
      <c r="Q404" s="301"/>
      <c r="R404" s="301"/>
      <c r="S404" s="301"/>
      <c r="T404" s="301"/>
      <c r="U404" s="301"/>
      <c r="V404" s="301"/>
      <c r="W404" s="301"/>
      <c r="X404" s="301"/>
      <c r="Y404" s="301"/>
      <c r="Z404" s="301"/>
      <c r="AA404" s="301"/>
      <c r="AB404" s="301"/>
      <c r="AC404" s="301"/>
      <c r="AD404" s="301"/>
      <c r="AE404" s="301"/>
      <c r="AF404" s="301"/>
      <c r="AG404" s="301"/>
      <c r="AH404" s="301"/>
      <c r="AI404" s="301"/>
      <c r="AJ404" s="301"/>
      <c r="AK404" s="301"/>
      <c r="AL404" s="301"/>
      <c r="AM404" s="301"/>
      <c r="AN404" s="376"/>
      <c r="AO404" s="301"/>
      <c r="AP404" s="301"/>
      <c r="AQ404" s="454"/>
      <c r="AR404" s="301"/>
      <c r="AS404" s="301"/>
      <c r="AT404" s="301"/>
      <c r="AU404" s="301"/>
      <c r="AV404" s="301"/>
      <c r="AW404" s="301"/>
      <c r="AX404" s="313"/>
      <c r="AY404" s="313"/>
      <c r="AZ404" s="301"/>
      <c r="BA404" s="301"/>
      <c r="BB404" s="313"/>
      <c r="BC404" s="301"/>
      <c r="BD404" s="301"/>
      <c r="BE404" s="301"/>
      <c r="BF404" s="313"/>
      <c r="BG404" s="301"/>
      <c r="BH404" s="301"/>
      <c r="BI404" s="301"/>
      <c r="BJ404" s="313"/>
      <c r="BK404" s="301"/>
      <c r="BL404" s="301"/>
      <c r="BM404" s="301"/>
      <c r="BN404" s="313"/>
      <c r="BO404" s="301"/>
      <c r="BP404" s="301"/>
      <c r="BQ404" s="301"/>
      <c r="BR404" s="301"/>
      <c r="BS404" s="313"/>
      <c r="BT404" s="301"/>
      <c r="BU404" s="301"/>
      <c r="BV404" s="301"/>
      <c r="BW404" s="301"/>
      <c r="BX404" s="313"/>
      <c r="BY404" s="301"/>
      <c r="BZ404" s="301"/>
      <c r="CA404" s="301"/>
      <c r="CB404" s="301"/>
      <c r="CC404" s="313"/>
      <c r="CD404" s="301"/>
      <c r="CE404" s="301"/>
      <c r="CF404" s="301"/>
      <c r="CG404" s="301"/>
      <c r="CH404" s="313"/>
      <c r="CI404" s="301"/>
      <c r="CJ404" s="301"/>
      <c r="CK404" s="301"/>
      <c r="CL404" s="313"/>
      <c r="CM404" s="301"/>
      <c r="CN404" s="301"/>
      <c r="CO404" s="313"/>
      <c r="CP404" s="301"/>
      <c r="CQ404" s="301"/>
      <c r="CR404" s="313"/>
      <c r="CS404" s="301"/>
      <c r="CT404" s="301"/>
      <c r="CU404" s="313"/>
      <c r="CV404" s="301"/>
      <c r="CW404" s="301"/>
      <c r="CX404" s="313"/>
      <c r="CY404" s="301"/>
      <c r="CZ404" s="301"/>
      <c r="DA404" s="313"/>
      <c r="DB404" s="301"/>
      <c r="DC404" s="301"/>
      <c r="DD404" s="313"/>
      <c r="DE404" s="301"/>
      <c r="DF404" s="301"/>
      <c r="DG404" s="313"/>
      <c r="DH404" s="301"/>
      <c r="DI404" s="301"/>
      <c r="DJ404" s="301"/>
      <c r="DK404" s="301"/>
      <c r="DL404" s="301"/>
    </row>
    <row r="405" spans="1:116" hidden="1" outlineLevel="1">
      <c r="A405" s="30" t="str">
        <f>+A223</f>
        <v>1Q</v>
      </c>
      <c r="B405" s="30" t="str">
        <f>+B223</f>
        <v>Apr</v>
      </c>
      <c r="C405" s="30"/>
      <c r="D405" s="314">
        <f>+D223/$AR$373</f>
        <v>3.0024999999999999</v>
      </c>
      <c r="E405" s="308">
        <f>+(D405/D399-1)*100</f>
        <v>14.818355640535374</v>
      </c>
      <c r="F405" s="314">
        <f>+F223/$AR$373</f>
        <v>0</v>
      </c>
      <c r="G405" s="307"/>
      <c r="H405" s="307"/>
      <c r="I405" s="307"/>
      <c r="J405" s="316">
        <f>+D405+F405</f>
        <v>3.0024999999999999</v>
      </c>
      <c r="K405" s="308">
        <f>+(J405/J399-1)*100</f>
        <v>14.818355640535374</v>
      </c>
      <c r="L405" s="314">
        <f>+L223/$AR$373</f>
        <v>0.34875</v>
      </c>
      <c r="M405" s="308">
        <f>+(L405/L399-1)*100</f>
        <v>103.64963503649633</v>
      </c>
      <c r="N405" s="314">
        <f>+N223/$AR$373</f>
        <v>4.9812499999999993</v>
      </c>
      <c r="O405" s="308">
        <f>+(N405/N399-1)*100</f>
        <v>13.371266002844928</v>
      </c>
      <c r="P405" s="314">
        <f>+P223/$AR$373</f>
        <v>1.8187500000000001</v>
      </c>
      <c r="Q405" s="308">
        <f>+(P405/P399-1)*100</f>
        <v>26.742160278745676</v>
      </c>
      <c r="R405" s="307"/>
      <c r="S405" s="307"/>
      <c r="T405" s="314">
        <f>+T223/$AR$373</f>
        <v>5.527499999999999</v>
      </c>
      <c r="U405" s="308">
        <f>+(T405/T399-1)*100</f>
        <v>2.1247113163972209</v>
      </c>
      <c r="V405" s="314">
        <f>+V223/$AR$373</f>
        <v>0.11624999999999999</v>
      </c>
      <c r="W405" s="308">
        <f>+(V405/V399-1)*100</f>
        <v>0</v>
      </c>
      <c r="X405" s="308"/>
      <c r="Y405" s="308"/>
      <c r="Z405" s="314"/>
      <c r="AA405" s="308"/>
      <c r="AB405" s="314">
        <f>+AB223/$AR$373</f>
        <v>8.4512499999999999</v>
      </c>
      <c r="AC405" s="308">
        <f>+(AB405/AB399-1)*100</f>
        <v>-2.6493880489560917</v>
      </c>
      <c r="AD405" s="314">
        <f>+AD223/$AR$373</f>
        <v>4.8149999999999995</v>
      </c>
      <c r="AE405" s="308">
        <f>+(AD405/AD399-1)*100</f>
        <v>1.5287295730100015</v>
      </c>
      <c r="AF405" s="314">
        <f>+AF223/$AR$373</f>
        <v>0</v>
      </c>
      <c r="AG405" s="30"/>
      <c r="AH405" s="314">
        <f>+AH223/$AR$373</f>
        <v>0.71124999999999994</v>
      </c>
      <c r="AI405" s="308">
        <f>+(AH405/AH399-1)*100</f>
        <v>0.17605633802817433</v>
      </c>
      <c r="AJ405" s="314">
        <f>+AJ223/$AR$373</f>
        <v>0.40249999999999997</v>
      </c>
      <c r="AK405" s="308">
        <f>+(AJ405/AJ399-1)*100</f>
        <v>54.807692307692314</v>
      </c>
      <c r="AL405" s="314">
        <f>+AL223/$AR$373</f>
        <v>0.5149999999999999</v>
      </c>
      <c r="AM405" s="308">
        <f>+(AL405/AL399-1)*100</f>
        <v>23.353293413173624</v>
      </c>
      <c r="AN405" s="375">
        <f>+AN223/$AR$373</f>
        <v>3.7499999999999999E-3</v>
      </c>
      <c r="AO405" s="308">
        <f>+(AN405/AN399-1)*100</f>
        <v>0</v>
      </c>
      <c r="AP405" s="30"/>
      <c r="AQ405" s="453">
        <f>+J405+L405+N405+P405+R405+T405+V405+AB405+AD405+AF405+AH405+AJ405+AL405+AN405</f>
        <v>30.693749999999994</v>
      </c>
      <c r="AR405" s="308">
        <f>+(AQ405/AQ399-1)*100</f>
        <v>5.9912807009970592</v>
      </c>
      <c r="AS405" s="308"/>
      <c r="AT405" s="30"/>
      <c r="AU405" s="30"/>
      <c r="AV405" s="30"/>
      <c r="AW405" s="314"/>
      <c r="AX405" s="315"/>
      <c r="AY405" s="315"/>
      <c r="AZ405" s="314"/>
      <c r="BA405" s="307"/>
      <c r="BB405" s="315"/>
      <c r="BC405" s="307"/>
      <c r="BD405" s="307"/>
      <c r="BE405" s="307"/>
      <c r="BF405" s="315"/>
      <c r="BG405" s="316"/>
      <c r="BH405" s="307"/>
      <c r="BI405" s="307"/>
      <c r="BJ405" s="315"/>
      <c r="BK405" s="314"/>
      <c r="BL405" s="307"/>
      <c r="BM405" s="307"/>
      <c r="BN405" s="315"/>
      <c r="BO405" s="314"/>
      <c r="BP405" s="307"/>
      <c r="BQ405" s="307"/>
      <c r="BR405" s="307"/>
      <c r="BS405" s="315"/>
      <c r="BT405" s="314"/>
      <c r="BU405" s="307"/>
      <c r="BV405" s="307"/>
      <c r="BW405" s="307"/>
      <c r="BX405" s="315"/>
      <c r="BY405" s="314"/>
      <c r="BZ405" s="307"/>
      <c r="CA405" s="307"/>
      <c r="CB405" s="307"/>
      <c r="CC405" s="315"/>
      <c r="CD405" s="307"/>
      <c r="CE405" s="307"/>
      <c r="CF405" s="307"/>
      <c r="CG405" s="307"/>
      <c r="CH405" s="315"/>
      <c r="CI405" s="314"/>
      <c r="CJ405" s="307"/>
      <c r="CK405" s="307"/>
      <c r="CL405" s="315"/>
      <c r="CM405" s="314"/>
      <c r="CN405" s="307"/>
      <c r="CO405" s="315"/>
      <c r="CP405" s="314"/>
      <c r="CQ405" s="307"/>
      <c r="CR405" s="315"/>
      <c r="CS405" s="314"/>
      <c r="CT405" s="307"/>
      <c r="CU405" s="315"/>
      <c r="CV405" s="314"/>
      <c r="CW405" s="307"/>
      <c r="CX405" s="315"/>
      <c r="CY405" s="314"/>
      <c r="CZ405" s="307"/>
      <c r="DA405" s="315"/>
      <c r="DB405" s="314"/>
      <c r="DC405" s="307"/>
      <c r="DD405" s="315"/>
      <c r="DE405" s="314"/>
      <c r="DF405" s="307"/>
      <c r="DG405" s="315"/>
      <c r="DH405" s="314"/>
      <c r="DI405" s="307"/>
      <c r="DJ405" s="307"/>
      <c r="DK405" s="307"/>
      <c r="DL405" s="307"/>
    </row>
    <row r="406" spans="1:116" hidden="1" outlineLevel="1">
      <c r="A406" s="30" t="str">
        <f>+A224</f>
        <v>2Q</v>
      </c>
      <c r="B406" s="30" t="str">
        <f>+B224</f>
        <v>Jul</v>
      </c>
      <c r="C406" s="30"/>
      <c r="D406" s="314">
        <f>+D224/$AR$373</f>
        <v>3.0375000000000001</v>
      </c>
      <c r="E406" s="308">
        <f>+(D406/D400-1)*100</f>
        <v>12.761020881670548</v>
      </c>
      <c r="F406" s="314">
        <f>+F224/$AR$373</f>
        <v>0</v>
      </c>
      <c r="G406" s="307"/>
      <c r="H406" s="307"/>
      <c r="I406" s="307"/>
      <c r="J406" s="316">
        <f>+D406+F406</f>
        <v>3.0375000000000001</v>
      </c>
      <c r="K406" s="308">
        <f>+(J406/J400-1)*100</f>
        <v>12.761020881670548</v>
      </c>
      <c r="L406" s="314">
        <f>+L224/$AR$373</f>
        <v>0.42249999999999999</v>
      </c>
      <c r="M406" s="308">
        <f>+(L406/L400-1)*100</f>
        <v>131.50684931506854</v>
      </c>
      <c r="N406" s="314">
        <f>+N224/$AR$373</f>
        <v>5.1124999999999998</v>
      </c>
      <c r="O406" s="308">
        <f>+(N406/N400-1)*100</f>
        <v>13.327791632031039</v>
      </c>
      <c r="P406" s="314">
        <f>+P224/$AR$373</f>
        <v>1.9037499999999998</v>
      </c>
      <c r="Q406" s="308">
        <f>+(P406/P400-1)*100</f>
        <v>24.326530612244881</v>
      </c>
      <c r="R406" s="307"/>
      <c r="S406" s="307"/>
      <c r="T406" s="314">
        <f>+T224/$AR$373</f>
        <v>5.5549999999999997</v>
      </c>
      <c r="U406" s="308">
        <f>+(T406/T400-1)*100</f>
        <v>2.1139705882352811</v>
      </c>
      <c r="V406" s="314">
        <f>+V224/$AR$373</f>
        <v>0.11624999999999999</v>
      </c>
      <c r="W406" s="308">
        <f>+(V406/V400-1)*100</f>
        <v>0</v>
      </c>
      <c r="X406" s="308"/>
      <c r="Y406" s="308"/>
      <c r="Z406" s="314"/>
      <c r="AA406" s="308"/>
      <c r="AB406" s="314">
        <f>+AB224/$AR$373</f>
        <v>8.3674999999999997</v>
      </c>
      <c r="AC406" s="308">
        <f>+(AB406/AB400-1)*100</f>
        <v>-2.9433086849354861</v>
      </c>
      <c r="AD406" s="314">
        <f>+AD224/$AR$373</f>
        <v>4.8224999999999998</v>
      </c>
      <c r="AE406" s="308">
        <f>+(AD406/AD400-1)*100</f>
        <v>1.1271297509829692</v>
      </c>
      <c r="AF406" s="314">
        <f>+AF224/$AR$373</f>
        <v>0</v>
      </c>
      <c r="AG406" s="30"/>
      <c r="AH406" s="314">
        <f>+AH224/$AR$373</f>
        <v>0.71249999999999991</v>
      </c>
      <c r="AI406" s="308">
        <f>+(AH406/AH400-1)*100</f>
        <v>0.35211267605634866</v>
      </c>
      <c r="AJ406" s="314">
        <f>+AJ224/$AR$373</f>
        <v>0.40499999999999997</v>
      </c>
      <c r="AK406" s="308">
        <f>+(AJ406/AJ400-1)*100</f>
        <v>24.615384615384595</v>
      </c>
      <c r="AL406" s="314">
        <f>+AL224/$AR$373</f>
        <v>0.57750000000000001</v>
      </c>
      <c r="AM406" s="308">
        <f>+(AL406/AL400-1)*100</f>
        <v>34.6938775510204</v>
      </c>
      <c r="AN406" s="375">
        <f>+AN224/$AR$373</f>
        <v>3.7499999999999999E-3</v>
      </c>
      <c r="AO406" s="308">
        <f>+(AN406/AN400-1)*100</f>
        <v>0</v>
      </c>
      <c r="AP406" s="30"/>
      <c r="AQ406" s="453">
        <f>+J406+L406+N406+P406+R406+T406+V406+AB406+AD406+AF406+AH406+AJ406+AL406+AN406</f>
        <v>31.036249999999999</v>
      </c>
      <c r="AR406" s="308">
        <f>+(AQ406/AQ400-1)*100</f>
        <v>5.8084036478308843</v>
      </c>
      <c r="AS406" s="308"/>
      <c r="AT406" s="30"/>
      <c r="AU406" s="30"/>
      <c r="AV406" s="30"/>
      <c r="AW406" s="314"/>
      <c r="AX406" s="315"/>
      <c r="AY406" s="315"/>
      <c r="AZ406" s="314"/>
      <c r="BA406" s="307"/>
      <c r="BB406" s="315"/>
      <c r="BC406" s="307"/>
      <c r="BD406" s="307"/>
      <c r="BE406" s="307"/>
      <c r="BF406" s="315"/>
      <c r="BG406" s="316"/>
      <c r="BH406" s="307"/>
      <c r="BI406" s="307"/>
      <c r="BJ406" s="315"/>
      <c r="BK406" s="314"/>
      <c r="BL406" s="307"/>
      <c r="BM406" s="307"/>
      <c r="BN406" s="315"/>
      <c r="BO406" s="314"/>
      <c r="BP406" s="307"/>
      <c r="BQ406" s="307"/>
      <c r="BR406" s="307"/>
      <c r="BS406" s="315"/>
      <c r="BT406" s="314"/>
      <c r="BU406" s="307"/>
      <c r="BV406" s="307"/>
      <c r="BW406" s="307"/>
      <c r="BX406" s="315"/>
      <c r="BY406" s="314"/>
      <c r="BZ406" s="307"/>
      <c r="CA406" s="307"/>
      <c r="CB406" s="307"/>
      <c r="CC406" s="315"/>
      <c r="CD406" s="307"/>
      <c r="CE406" s="307"/>
      <c r="CF406" s="307"/>
      <c r="CG406" s="307"/>
      <c r="CH406" s="315"/>
      <c r="CI406" s="314"/>
      <c r="CJ406" s="307"/>
      <c r="CK406" s="307"/>
      <c r="CL406" s="315"/>
      <c r="CM406" s="314"/>
      <c r="CN406" s="307"/>
      <c r="CO406" s="315"/>
      <c r="CP406" s="314"/>
      <c r="CQ406" s="307"/>
      <c r="CR406" s="315"/>
      <c r="CS406" s="314"/>
      <c r="CT406" s="307"/>
      <c r="CU406" s="315"/>
      <c r="CV406" s="314"/>
      <c r="CW406" s="307"/>
      <c r="CX406" s="315"/>
      <c r="CY406" s="314"/>
      <c r="CZ406" s="307"/>
      <c r="DA406" s="315"/>
      <c r="DB406" s="314"/>
      <c r="DC406" s="307"/>
      <c r="DD406" s="315"/>
      <c r="DE406" s="314"/>
      <c r="DF406" s="307"/>
      <c r="DG406" s="315"/>
      <c r="DH406" s="314"/>
      <c r="DI406" s="307"/>
      <c r="DJ406" s="307"/>
      <c r="DK406" s="307"/>
      <c r="DL406" s="307"/>
    </row>
    <row r="407" spans="1:116" hidden="1" outlineLevel="1">
      <c r="A407" s="30" t="str">
        <f>+A225</f>
        <v>3Q</v>
      </c>
      <c r="B407" s="30" t="str">
        <f>+B225</f>
        <v>Oct</v>
      </c>
      <c r="C407" s="30"/>
      <c r="D407" s="314">
        <f>+D225/$AR$373</f>
        <v>3.1637499999999998</v>
      </c>
      <c r="E407" s="308">
        <f>+(D407/D401-1)*100</f>
        <v>10.620629370629398</v>
      </c>
      <c r="F407" s="314">
        <f>+F225/$AR$373</f>
        <v>0</v>
      </c>
      <c r="G407" s="307"/>
      <c r="H407" s="307"/>
      <c r="I407" s="307"/>
      <c r="J407" s="316">
        <f>+D407+F407</f>
        <v>3.1637499999999998</v>
      </c>
      <c r="K407" s="308">
        <f>+(J407/J401-1)*100</f>
        <v>10.620629370629398</v>
      </c>
      <c r="L407" s="314">
        <f>+L225/$AR$373</f>
        <v>0.52999999999999992</v>
      </c>
      <c r="M407" s="308">
        <f>+(L407/L401-1)*100</f>
        <v>91.85520361990946</v>
      </c>
      <c r="N407" s="314">
        <f>+N225/$AR$373</f>
        <v>5.2737499999999997</v>
      </c>
      <c r="O407" s="308">
        <f>+(N407/N401-1)*100</f>
        <v>11.231215396783533</v>
      </c>
      <c r="P407" s="314">
        <f>+P225/$AR$373</f>
        <v>2.0449999999999999</v>
      </c>
      <c r="Q407" s="308">
        <f>+(P407/P401-1)*100</f>
        <v>23.007518796992478</v>
      </c>
      <c r="R407" s="307"/>
      <c r="S407" s="307"/>
      <c r="T407" s="314">
        <f>+T225/$AR$373</f>
        <v>5.5587499999999999</v>
      </c>
      <c r="U407" s="308">
        <f>+(T407/T401-1)*100</f>
        <v>-0.17957351290683876</v>
      </c>
      <c r="V407" s="314">
        <f>+V225/$AR$373</f>
        <v>0.11624999999999999</v>
      </c>
      <c r="W407" s="308">
        <f>+(V407/V401-1)*100</f>
        <v>0</v>
      </c>
      <c r="X407" s="308"/>
      <c r="Y407" s="308"/>
      <c r="Z407" s="314"/>
      <c r="AA407" s="308"/>
      <c r="AB407" s="314">
        <f>+AB225/$AR$373</f>
        <v>8.3587500000000006</v>
      </c>
      <c r="AC407" s="308">
        <f>+(AB407/AB401-1)*100</f>
        <v>-3.5760634462869367</v>
      </c>
      <c r="AD407" s="314">
        <f>+AD225/$AR$373</f>
        <v>4.8462499999999995</v>
      </c>
      <c r="AE407" s="308">
        <f>+(AD407/AD401-1)*100</f>
        <v>0.80603224128963369</v>
      </c>
      <c r="AF407" s="314">
        <f>+AF225/$AR$373</f>
        <v>0</v>
      </c>
      <c r="AG407" s="30"/>
      <c r="AH407" s="314">
        <f>+AH225/$AR$373</f>
        <v>0.8075</v>
      </c>
      <c r="AI407" s="308">
        <f>+(AH407/AH401-1)*100</f>
        <v>13.732394366197198</v>
      </c>
      <c r="AJ407" s="314">
        <f>+AJ225/$AR$373</f>
        <v>0.42999999999999994</v>
      </c>
      <c r="AK407" s="308">
        <f>+(AJ407/AJ401-1)*100</f>
        <v>18.213058419243989</v>
      </c>
      <c r="AL407" s="314">
        <f>+AL225/$AR$373</f>
        <v>0.62374999999999992</v>
      </c>
      <c r="AM407" s="308">
        <f>+(AL407/AL401-1)*100</f>
        <v>33.066666666666642</v>
      </c>
      <c r="AN407" s="375">
        <f>+AN225/$AR$373</f>
        <v>3.7499999999999999E-3</v>
      </c>
      <c r="AO407" s="308">
        <f>+(AN407/AN401-1)*100</f>
        <v>0</v>
      </c>
      <c r="AP407" s="30"/>
      <c r="AQ407" s="453">
        <f>+J407+L407+N407+P407+R407+T407+V407+AB407+AD407+AF407+AH407+AJ407+AL407+AN407</f>
        <v>31.7575</v>
      </c>
      <c r="AR407" s="308">
        <f>+(AQ407/AQ401-1)*100</f>
        <v>4.9921481114141741</v>
      </c>
      <c r="AS407" s="308"/>
      <c r="AT407" s="30"/>
      <c r="AU407" s="30"/>
      <c r="AV407" s="30"/>
      <c r="AW407" s="314"/>
      <c r="AX407" s="315"/>
      <c r="AY407" s="315"/>
      <c r="AZ407" s="314"/>
      <c r="BA407" s="307"/>
      <c r="BB407" s="315"/>
      <c r="BC407" s="307"/>
      <c r="BD407" s="307"/>
      <c r="BE407" s="307"/>
      <c r="BF407" s="315"/>
      <c r="BG407" s="316"/>
      <c r="BH407" s="307"/>
      <c r="BI407" s="307"/>
      <c r="BJ407" s="315"/>
      <c r="BK407" s="314"/>
      <c r="BL407" s="307"/>
      <c r="BM407" s="307"/>
      <c r="BN407" s="315"/>
      <c r="BO407" s="314"/>
      <c r="BP407" s="307"/>
      <c r="BQ407" s="307"/>
      <c r="BR407" s="307"/>
      <c r="BS407" s="315"/>
      <c r="BT407" s="314"/>
      <c r="BU407" s="307"/>
      <c r="BV407" s="307"/>
      <c r="BW407" s="307"/>
      <c r="BX407" s="315"/>
      <c r="BY407" s="314"/>
      <c r="BZ407" s="307"/>
      <c r="CA407" s="307"/>
      <c r="CB407" s="307"/>
      <c r="CC407" s="315"/>
      <c r="CD407" s="307"/>
      <c r="CE407" s="307"/>
      <c r="CF407" s="307"/>
      <c r="CG407" s="307"/>
      <c r="CH407" s="315"/>
      <c r="CI407" s="314"/>
      <c r="CJ407" s="307"/>
      <c r="CK407" s="307"/>
      <c r="CL407" s="315"/>
      <c r="CM407" s="314"/>
      <c r="CN407" s="307"/>
      <c r="CO407" s="315"/>
      <c r="CP407" s="314"/>
      <c r="CQ407" s="307"/>
      <c r="CR407" s="315"/>
      <c r="CS407" s="314"/>
      <c r="CT407" s="307"/>
      <c r="CU407" s="315"/>
      <c r="CV407" s="314"/>
      <c r="CW407" s="307"/>
      <c r="CX407" s="315"/>
      <c r="CY407" s="314"/>
      <c r="CZ407" s="307"/>
      <c r="DA407" s="315"/>
      <c r="DB407" s="314"/>
      <c r="DC407" s="307"/>
      <c r="DD407" s="315"/>
      <c r="DE407" s="314"/>
      <c r="DF407" s="307"/>
      <c r="DG407" s="315"/>
      <c r="DH407" s="314"/>
      <c r="DI407" s="307"/>
      <c r="DJ407" s="307"/>
      <c r="DK407" s="307"/>
      <c r="DL407" s="307"/>
    </row>
    <row r="408" spans="1:116" hidden="1" outlineLevel="1">
      <c r="A408" s="30" t="str">
        <f>+A226</f>
        <v>4Q</v>
      </c>
      <c r="B408" s="30" t="str">
        <f>+B226</f>
        <v>Jan</v>
      </c>
      <c r="C408" s="30"/>
      <c r="D408" s="314">
        <f>+D226/$AR$373</f>
        <v>3.2324999999999995</v>
      </c>
      <c r="E408" s="308">
        <f>+(D408/D402-1)*100</f>
        <v>10.230179028132969</v>
      </c>
      <c r="F408" s="314">
        <f>+F226/$AR$373</f>
        <v>0</v>
      </c>
      <c r="G408" s="307"/>
      <c r="H408" s="307"/>
      <c r="I408" s="307"/>
      <c r="J408" s="316">
        <f>+D408+F408</f>
        <v>3.2324999999999995</v>
      </c>
      <c r="K408" s="308">
        <f>+(J408/J402-1)*100</f>
        <v>10.230179028132969</v>
      </c>
      <c r="L408" s="314">
        <f>+L226/$AR$373</f>
        <v>0.61124999999999996</v>
      </c>
      <c r="M408" s="308">
        <f>+(L408/L402-1)*100</f>
        <v>97.177419354838705</v>
      </c>
      <c r="N408" s="314">
        <f>+N226/$AR$373</f>
        <v>5.44625</v>
      </c>
      <c r="O408" s="308">
        <f>+(N408/N402-1)*100</f>
        <v>11.660686827268085</v>
      </c>
      <c r="P408" s="314">
        <f>+P226/$AR$373</f>
        <v>2.1937499999999996</v>
      </c>
      <c r="Q408" s="308">
        <f>+(P408/P402-1)*100</f>
        <v>24.556422995031912</v>
      </c>
      <c r="R408" s="307"/>
      <c r="S408" s="307"/>
      <c r="T408" s="314">
        <f>+T226/$AR$373</f>
        <v>5.4474999999999989</v>
      </c>
      <c r="U408" s="308">
        <f>+(T408/T402-1)*100</f>
        <v>-2.7666220437304934</v>
      </c>
      <c r="V408" s="314">
        <f>+V226/$AR$373</f>
        <v>0.11624999999999999</v>
      </c>
      <c r="W408" s="308">
        <f>+(V408/V402-1)*100</f>
        <v>0</v>
      </c>
      <c r="X408" s="308"/>
      <c r="Y408" s="308"/>
      <c r="Z408" s="314"/>
      <c r="AA408" s="308"/>
      <c r="AB408" s="314">
        <f>+AB226/$AR$373</f>
        <v>8.2249999999999996</v>
      </c>
      <c r="AC408" s="308">
        <f>+(AB408/AB402-1)*100</f>
        <v>-3.2637459570714511</v>
      </c>
      <c r="AD408" s="314">
        <f>+AD226/$AR$373</f>
        <v>4.8237499999999995</v>
      </c>
      <c r="AE408" s="308">
        <f>+(AD408/AD402-1)*100</f>
        <v>0.18172377985461452</v>
      </c>
      <c r="AF408" s="314">
        <f>+AF226/$AR$373</f>
        <v>0</v>
      </c>
      <c r="AG408" s="30"/>
      <c r="AH408" s="314">
        <f>+AH226/$AR$373</f>
        <v>0.83125000000000004</v>
      </c>
      <c r="AI408" s="308">
        <f>+(AH408/AH402-1)*100</f>
        <v>17.49116607773853</v>
      </c>
      <c r="AJ408" s="314">
        <f>+AJ226/$AR$373</f>
        <v>0.42749999999999999</v>
      </c>
      <c r="AK408" s="308">
        <f>+(AJ408/AJ402-1)*100</f>
        <v>7.547169811320753</v>
      </c>
      <c r="AL408" s="314">
        <f>+AL226/$AR$373</f>
        <v>0.67625000000000002</v>
      </c>
      <c r="AM408" s="308">
        <f>+(AL408/AL402-1)*100</f>
        <v>33.580246913580261</v>
      </c>
      <c r="AN408" s="375">
        <f>+AN226/$AR$373</f>
        <v>2.5000000000000001E-3</v>
      </c>
      <c r="AO408" s="308">
        <f>+(AN408/AN402-1)*100</f>
        <v>-33.333333333333329</v>
      </c>
      <c r="AP408" s="30"/>
      <c r="AQ408" s="453">
        <f>+J408+L408+N408+P408+R408+T408+V408+AB408+AD408+AF408+AH408+AJ408+AL408+AN408</f>
        <v>32.033749999999998</v>
      </c>
      <c r="AR408" s="308">
        <f>+(AQ408/AQ402-1)*100</f>
        <v>4.9168918365675829</v>
      </c>
      <c r="AS408" s="308"/>
      <c r="AT408" s="30"/>
      <c r="AU408" s="30"/>
      <c r="AV408" s="30"/>
      <c r="AW408" s="314"/>
      <c r="AX408" s="315"/>
      <c r="AY408" s="315"/>
      <c r="AZ408" s="314"/>
      <c r="BA408" s="307"/>
      <c r="BB408" s="315"/>
      <c r="BC408" s="307"/>
      <c r="BD408" s="307"/>
      <c r="BE408" s="307"/>
      <c r="BF408" s="315"/>
      <c r="BG408" s="316"/>
      <c r="BH408" s="307"/>
      <c r="BI408" s="307"/>
      <c r="BJ408" s="315"/>
      <c r="BK408" s="314"/>
      <c r="BL408" s="307"/>
      <c r="BM408" s="307"/>
      <c r="BN408" s="315"/>
      <c r="BO408" s="314"/>
      <c r="BP408" s="307"/>
      <c r="BQ408" s="307"/>
      <c r="BR408" s="307"/>
      <c r="BS408" s="315"/>
      <c r="BT408" s="314"/>
      <c r="BU408" s="307"/>
      <c r="BV408" s="307"/>
      <c r="BW408" s="307"/>
      <c r="BX408" s="315"/>
      <c r="BY408" s="314"/>
      <c r="BZ408" s="307"/>
      <c r="CA408" s="307"/>
      <c r="CB408" s="307"/>
      <c r="CC408" s="315"/>
      <c r="CD408" s="307"/>
      <c r="CE408" s="307"/>
      <c r="CF408" s="307"/>
      <c r="CG408" s="307"/>
      <c r="CH408" s="315"/>
      <c r="CI408" s="314"/>
      <c r="CJ408" s="307"/>
      <c r="CK408" s="307"/>
      <c r="CL408" s="315"/>
      <c r="CM408" s="314"/>
      <c r="CN408" s="307"/>
      <c r="CO408" s="315"/>
      <c r="CP408" s="314"/>
      <c r="CQ408" s="307"/>
      <c r="CR408" s="315"/>
      <c r="CS408" s="314"/>
      <c r="CT408" s="307"/>
      <c r="CU408" s="315"/>
      <c r="CV408" s="314"/>
      <c r="CW408" s="307"/>
      <c r="CX408" s="315"/>
      <c r="CY408" s="314"/>
      <c r="CZ408" s="307"/>
      <c r="DA408" s="315"/>
      <c r="DB408" s="314"/>
      <c r="DC408" s="307"/>
      <c r="DD408" s="315"/>
      <c r="DE408" s="314"/>
      <c r="DF408" s="307"/>
      <c r="DG408" s="315"/>
      <c r="DH408" s="314"/>
      <c r="DI408" s="307"/>
      <c r="DJ408" s="307"/>
      <c r="DK408" s="307"/>
      <c r="DL408" s="307"/>
    </row>
    <row r="409" spans="1:116" hidden="1" outlineLevel="1">
      <c r="A409" s="30"/>
      <c r="B409" s="30"/>
      <c r="C409" s="30"/>
      <c r="D409" s="314"/>
      <c r="E409" s="310"/>
      <c r="F409" s="314"/>
      <c r="G409" s="30"/>
      <c r="H409" s="30"/>
      <c r="I409" s="30"/>
      <c r="J409" s="316"/>
      <c r="K409" s="30"/>
      <c r="L409" s="314"/>
      <c r="M409" s="30"/>
      <c r="N409" s="314"/>
      <c r="O409" s="30"/>
      <c r="P409" s="314"/>
      <c r="Q409" s="30"/>
      <c r="R409" s="30"/>
      <c r="S409" s="30"/>
      <c r="T409" s="314"/>
      <c r="U409" s="30"/>
      <c r="V409" s="314"/>
      <c r="W409" s="30"/>
      <c r="X409" s="30"/>
      <c r="Y409" s="30"/>
      <c r="Z409" s="314"/>
      <c r="AA409" s="30"/>
      <c r="AB409" s="314"/>
      <c r="AC409" s="30"/>
      <c r="AD409" s="314"/>
      <c r="AE409" s="30"/>
      <c r="AF409" s="30"/>
      <c r="AG409" s="30"/>
      <c r="AH409" s="30"/>
      <c r="AI409" s="30"/>
      <c r="AJ409" s="30"/>
      <c r="AK409" s="30"/>
      <c r="AL409" s="30"/>
      <c r="AM409" s="30"/>
      <c r="AN409" s="30"/>
      <c r="AO409" s="30"/>
      <c r="AP409" s="30"/>
      <c r="AQ409" s="453"/>
      <c r="AR409" s="30"/>
      <c r="AS409" s="30"/>
      <c r="AT409" s="30"/>
      <c r="AU409" s="30"/>
      <c r="AV409" s="30"/>
      <c r="AW409" s="314"/>
      <c r="AX409" s="310"/>
      <c r="AY409" s="310"/>
      <c r="AZ409" s="314"/>
      <c r="BA409" s="30"/>
      <c r="BB409" s="310"/>
      <c r="BC409" s="30"/>
      <c r="BD409" s="30"/>
      <c r="BE409" s="30"/>
      <c r="BF409" s="310"/>
      <c r="BG409" s="316"/>
      <c r="BH409" s="30"/>
      <c r="BI409" s="30"/>
      <c r="BJ409" s="310"/>
      <c r="BK409" s="314"/>
      <c r="BL409" s="30"/>
      <c r="BM409" s="30"/>
      <c r="BN409" s="310"/>
      <c r="BO409" s="314"/>
      <c r="BP409" s="30"/>
      <c r="BQ409" s="30"/>
      <c r="BR409" s="30"/>
      <c r="BS409" s="310"/>
      <c r="BT409" s="314"/>
      <c r="BU409" s="30"/>
      <c r="BV409" s="30"/>
      <c r="BW409" s="30"/>
      <c r="BX409" s="310"/>
      <c r="BY409" s="314"/>
      <c r="BZ409" s="30"/>
      <c r="CA409" s="30"/>
      <c r="CB409" s="30"/>
      <c r="CC409" s="310"/>
      <c r="CD409" s="30"/>
      <c r="CE409" s="30"/>
      <c r="CF409" s="30"/>
      <c r="CG409" s="30"/>
      <c r="CH409" s="310"/>
      <c r="CI409" s="314"/>
      <c r="CJ409" s="30"/>
      <c r="CK409" s="30"/>
      <c r="CL409" s="310"/>
      <c r="CM409" s="314"/>
      <c r="CN409" s="30"/>
      <c r="CO409" s="310"/>
      <c r="CP409" s="314"/>
      <c r="CQ409" s="30"/>
      <c r="CR409" s="310"/>
      <c r="CS409" s="314"/>
      <c r="CT409" s="30"/>
      <c r="CU409" s="310"/>
      <c r="CV409" s="314"/>
      <c r="CW409" s="30"/>
      <c r="CX409" s="310"/>
      <c r="CY409" s="314"/>
      <c r="CZ409" s="30"/>
      <c r="DA409" s="310"/>
      <c r="DB409" s="314"/>
      <c r="DC409" s="30"/>
      <c r="DD409" s="310"/>
      <c r="DE409" s="314"/>
      <c r="DF409" s="30"/>
      <c r="DG409" s="310"/>
      <c r="DH409" s="314"/>
      <c r="DI409" s="30"/>
      <c r="DJ409" s="30"/>
      <c r="DK409" s="30"/>
      <c r="DL409" s="30"/>
    </row>
    <row r="410" spans="1:116" hidden="1" outlineLevel="1">
      <c r="A410" s="301"/>
      <c r="B410" s="312">
        <f>+B228</f>
        <v>1995</v>
      </c>
      <c r="C410" s="301"/>
      <c r="D410" s="301"/>
      <c r="E410" s="313"/>
      <c r="F410" s="301"/>
      <c r="G410" s="301"/>
      <c r="H410" s="301"/>
      <c r="I410" s="301"/>
      <c r="J410" s="301"/>
      <c r="K410" s="301"/>
      <c r="L410" s="301"/>
      <c r="M410" s="301"/>
      <c r="N410" s="301"/>
      <c r="O410" s="301"/>
      <c r="P410" s="301"/>
      <c r="Q410" s="301"/>
      <c r="R410" s="301"/>
      <c r="S410" s="301"/>
      <c r="T410" s="301"/>
      <c r="U410" s="301"/>
      <c r="V410" s="301"/>
      <c r="W410" s="301"/>
      <c r="X410" s="301"/>
      <c r="Y410" s="301"/>
      <c r="Z410" s="301"/>
      <c r="AA410" s="301"/>
      <c r="AB410" s="301"/>
      <c r="AC410" s="301"/>
      <c r="AD410" s="301"/>
      <c r="AE410" s="301"/>
      <c r="AF410" s="301"/>
      <c r="AG410" s="301"/>
      <c r="AH410" s="301"/>
      <c r="AI410" s="301"/>
      <c r="AJ410" s="301"/>
      <c r="AK410" s="301"/>
      <c r="AL410" s="301"/>
      <c r="AM410" s="301"/>
      <c r="AN410" s="301"/>
      <c r="AO410" s="301"/>
      <c r="AP410" s="301"/>
      <c r="AQ410" s="454"/>
      <c r="AR410" s="301"/>
      <c r="AS410" s="301"/>
      <c r="AT410" s="301"/>
      <c r="AU410" s="301"/>
      <c r="AV410" s="301"/>
      <c r="AW410" s="301"/>
      <c r="AX410" s="313"/>
      <c r="AY410" s="313"/>
      <c r="AZ410" s="301"/>
      <c r="BA410" s="301"/>
      <c r="BB410" s="313"/>
      <c r="BC410" s="301"/>
      <c r="BD410" s="301"/>
      <c r="BE410" s="301"/>
      <c r="BF410" s="313"/>
      <c r="BG410" s="301"/>
      <c r="BH410" s="301"/>
      <c r="BI410" s="301"/>
      <c r="BJ410" s="313"/>
      <c r="BK410" s="301"/>
      <c r="BL410" s="301"/>
      <c r="BM410" s="301"/>
      <c r="BN410" s="313"/>
      <c r="BO410" s="301"/>
      <c r="BP410" s="301"/>
      <c r="BQ410" s="301"/>
      <c r="BR410" s="301"/>
      <c r="BS410" s="313"/>
      <c r="BT410" s="301"/>
      <c r="BU410" s="301"/>
      <c r="BV410" s="301"/>
      <c r="BW410" s="301"/>
      <c r="BX410" s="313"/>
      <c r="BY410" s="301"/>
      <c r="BZ410" s="301"/>
      <c r="CA410" s="301"/>
      <c r="CB410" s="301"/>
      <c r="CC410" s="313"/>
      <c r="CD410" s="301"/>
      <c r="CE410" s="301"/>
      <c r="CF410" s="301"/>
      <c r="CG410" s="301"/>
      <c r="CH410" s="313"/>
      <c r="CI410" s="301"/>
      <c r="CJ410" s="301"/>
      <c r="CK410" s="301"/>
      <c r="CL410" s="313"/>
      <c r="CM410" s="301"/>
      <c r="CN410" s="301"/>
      <c r="CO410" s="313"/>
      <c r="CP410" s="301"/>
      <c r="CQ410" s="301"/>
      <c r="CR410" s="313"/>
      <c r="CS410" s="301"/>
      <c r="CT410" s="301"/>
      <c r="CU410" s="313"/>
      <c r="CV410" s="301"/>
      <c r="CW410" s="301"/>
      <c r="CX410" s="313"/>
      <c r="CY410" s="301"/>
      <c r="CZ410" s="301"/>
      <c r="DA410" s="313"/>
      <c r="DB410" s="301"/>
      <c r="DC410" s="301"/>
      <c r="DD410" s="313"/>
      <c r="DE410" s="301"/>
      <c r="DF410" s="301"/>
      <c r="DG410" s="313"/>
      <c r="DH410" s="301"/>
      <c r="DI410" s="301"/>
      <c r="DJ410" s="301"/>
      <c r="DK410" s="301"/>
      <c r="DL410" s="301"/>
    </row>
    <row r="411" spans="1:116" hidden="1" outlineLevel="1">
      <c r="A411" s="30" t="str">
        <f>+A229</f>
        <v>1Q</v>
      </c>
      <c r="B411" s="30" t="str">
        <f>+B229</f>
        <v>Apr</v>
      </c>
      <c r="C411" s="30"/>
      <c r="D411" s="314">
        <f>+D229/$AR$373</f>
        <v>3.3074999999999997</v>
      </c>
      <c r="E411" s="308">
        <f>+(D411/D405-1)*100</f>
        <v>10.158201498751041</v>
      </c>
      <c r="F411" s="314">
        <f>+F229/$AR$373</f>
        <v>0</v>
      </c>
      <c r="G411" s="307"/>
      <c r="H411" s="307"/>
      <c r="I411" s="307"/>
      <c r="J411" s="316">
        <f>+D411+F411</f>
        <v>3.3074999999999997</v>
      </c>
      <c r="K411" s="308">
        <f>+(J411/J405-1)*100</f>
        <v>10.158201498751041</v>
      </c>
      <c r="L411" s="314">
        <f>+L229/$AR$373</f>
        <v>0.68625000000000003</v>
      </c>
      <c r="M411" s="308">
        <f>+(L411/L405-1)*100</f>
        <v>96.774193548387103</v>
      </c>
      <c r="N411" s="314">
        <f>+N229/$AR$373</f>
        <v>5.5012499999999998</v>
      </c>
      <c r="O411" s="308">
        <f>+(N411/N405-1)*100</f>
        <v>10.439146800501886</v>
      </c>
      <c r="P411" s="314">
        <f>+P229/$AR$373</f>
        <v>2.23</v>
      </c>
      <c r="Q411" s="308">
        <f>+(P411/P405-1)*100</f>
        <v>22.611683848797238</v>
      </c>
      <c r="R411" s="307"/>
      <c r="S411" s="307"/>
      <c r="T411" s="314">
        <f>+T229/$AR$373</f>
        <v>5.41</v>
      </c>
      <c r="U411" s="308">
        <f>+(T411/T405-1)*100</f>
        <v>-2.1257349615558363</v>
      </c>
      <c r="V411" s="314">
        <f>+V229/$AR$373</f>
        <v>0.10999999999999999</v>
      </c>
      <c r="W411" s="308">
        <f>+(V411/V405-1)*100</f>
        <v>-5.3763440860215113</v>
      </c>
      <c r="X411" s="308"/>
      <c r="Y411" s="308"/>
      <c r="Z411" s="314"/>
      <c r="AA411" s="308"/>
      <c r="AB411" s="314">
        <f>+AB229/$AR$373</f>
        <v>8.1699999999999982</v>
      </c>
      <c r="AC411" s="308">
        <f>+(AB411/AB405-1)*100</f>
        <v>-3.3279100724745048</v>
      </c>
      <c r="AD411" s="314">
        <f>+AD229/$AR$373</f>
        <v>4.8324999999999996</v>
      </c>
      <c r="AE411" s="308">
        <f>+(AD411/AD405-1)*100</f>
        <v>0.36344755970925124</v>
      </c>
      <c r="AF411" s="314">
        <f>+AF229/$AR$373</f>
        <v>0</v>
      </c>
      <c r="AG411" s="30"/>
      <c r="AH411" s="314">
        <f>+AH229/$AR$373</f>
        <v>0.95</v>
      </c>
      <c r="AI411" s="308">
        <f>+(AH411/AH405-1)*100</f>
        <v>33.56766256590511</v>
      </c>
      <c r="AJ411" s="314">
        <f>+AJ229/$AR$373</f>
        <v>0.43999999999999995</v>
      </c>
      <c r="AK411" s="308">
        <f>+(AJ411/AJ405-1)*100</f>
        <v>9.316770186335388</v>
      </c>
      <c r="AL411" s="314">
        <f>+AL229/$AR$373</f>
        <v>0.72499999999999987</v>
      </c>
      <c r="AM411" s="308">
        <f>+(AL411/AL405-1)*100</f>
        <v>40.77669902912622</v>
      </c>
      <c r="AN411" s="375">
        <f>+AN229/$AR$373</f>
        <v>2.5000000000000001E-3</v>
      </c>
      <c r="AO411" s="308">
        <f>+(AN411/AN405-1)*100</f>
        <v>-33.333333333333329</v>
      </c>
      <c r="AP411" s="30"/>
      <c r="AQ411" s="453">
        <f>+J411+L411+N411+P411+R411+T411+V411+AB411+AD411+AF411+AH411+AJ411+AL411+AN411</f>
        <v>32.364999999999995</v>
      </c>
      <c r="AR411" s="308">
        <f>+(AQ411/AQ405-1)*100</f>
        <v>5.4449195683160312</v>
      </c>
      <c r="AS411" s="308"/>
      <c r="AT411" s="30"/>
      <c r="AU411" s="30"/>
      <c r="AV411" s="30"/>
      <c r="AW411" s="314"/>
      <c r="AX411" s="315"/>
      <c r="AY411" s="315"/>
      <c r="AZ411" s="314"/>
      <c r="BA411" s="307"/>
      <c r="BB411" s="315"/>
      <c r="BC411" s="307"/>
      <c r="BD411" s="307"/>
      <c r="BE411" s="307"/>
      <c r="BF411" s="315"/>
      <c r="BG411" s="316"/>
      <c r="BH411" s="307"/>
      <c r="BI411" s="307"/>
      <c r="BJ411" s="315"/>
      <c r="BK411" s="314"/>
      <c r="BL411" s="307"/>
      <c r="BM411" s="307"/>
      <c r="BN411" s="315"/>
      <c r="BO411" s="314"/>
      <c r="BP411" s="307"/>
      <c r="BQ411" s="307"/>
      <c r="BR411" s="307"/>
      <c r="BS411" s="315"/>
      <c r="BT411" s="314"/>
      <c r="BU411" s="307"/>
      <c r="BV411" s="307"/>
      <c r="BW411" s="307"/>
      <c r="BX411" s="315"/>
      <c r="BY411" s="314"/>
      <c r="BZ411" s="307"/>
      <c r="CA411" s="307"/>
      <c r="CB411" s="307"/>
      <c r="CC411" s="315"/>
      <c r="CD411" s="307"/>
      <c r="CE411" s="307"/>
      <c r="CF411" s="307"/>
      <c r="CG411" s="307"/>
      <c r="CH411" s="315"/>
      <c r="CI411" s="314"/>
      <c r="CJ411" s="307"/>
      <c r="CK411" s="307"/>
      <c r="CL411" s="315"/>
      <c r="CM411" s="314"/>
      <c r="CN411" s="307"/>
      <c r="CO411" s="315"/>
      <c r="CP411" s="314"/>
      <c r="CQ411" s="307"/>
      <c r="CR411" s="315"/>
      <c r="CS411" s="314"/>
      <c r="CT411" s="307"/>
      <c r="CU411" s="315"/>
      <c r="CV411" s="314"/>
      <c r="CW411" s="307"/>
      <c r="CX411" s="315"/>
      <c r="CY411" s="314"/>
      <c r="CZ411" s="307"/>
      <c r="DA411" s="315"/>
      <c r="DB411" s="314"/>
      <c r="DC411" s="307"/>
      <c r="DD411" s="315"/>
      <c r="DE411" s="314"/>
      <c r="DF411" s="307"/>
      <c r="DG411" s="315"/>
      <c r="DH411" s="314"/>
      <c r="DI411" s="307"/>
      <c r="DJ411" s="307"/>
      <c r="DK411" s="307"/>
      <c r="DL411" s="307"/>
    </row>
    <row r="412" spans="1:116" hidden="1" outlineLevel="1">
      <c r="A412" s="30" t="str">
        <f>+A230</f>
        <v>2Q</v>
      </c>
      <c r="B412" s="30" t="str">
        <f>+B230</f>
        <v>Jul</v>
      </c>
      <c r="C412" s="30"/>
      <c r="D412" s="314">
        <f>+D230/$AR$373</f>
        <v>3.4537499999999999</v>
      </c>
      <c r="E412" s="308">
        <f>+(D412/D406-1)*100</f>
        <v>13.703703703703706</v>
      </c>
      <c r="F412" s="314">
        <f>+F230/$AR$373</f>
        <v>0</v>
      </c>
      <c r="G412" s="307"/>
      <c r="H412" s="307"/>
      <c r="I412" s="307"/>
      <c r="J412" s="316">
        <f>+D412+F412</f>
        <v>3.4537499999999999</v>
      </c>
      <c r="K412" s="308">
        <f>+(J412/J406-1)*100</f>
        <v>13.703703703703706</v>
      </c>
      <c r="L412" s="314">
        <f>+L230/$AR$373</f>
        <v>0.77749999999999997</v>
      </c>
      <c r="M412" s="308">
        <f>+(L412/L406-1)*100</f>
        <v>84.023668639053255</v>
      </c>
      <c r="N412" s="314">
        <f>+N230/$AR$373</f>
        <v>5.5762499999999999</v>
      </c>
      <c r="O412" s="308">
        <f>+(N412/N406-1)*100</f>
        <v>9.070904645476773</v>
      </c>
      <c r="P412" s="314">
        <f>+P230/$AR$373</f>
        <v>2.2962499999999997</v>
      </c>
      <c r="Q412" s="308">
        <f>+(P412/P406-1)*100</f>
        <v>20.617202889034793</v>
      </c>
      <c r="R412" s="307"/>
      <c r="S412" s="307"/>
      <c r="T412" s="314">
        <f>+T230/$AR$373</f>
        <v>5.3937499999999998</v>
      </c>
      <c r="U412" s="308">
        <f>+(T412/T406-1)*100</f>
        <v>-2.9027902790279003</v>
      </c>
      <c r="V412" s="314">
        <f>+V230/$AR$373</f>
        <v>0.10999999999999999</v>
      </c>
      <c r="W412" s="308">
        <f>+(V412/V406-1)*100</f>
        <v>-5.3763440860215113</v>
      </c>
      <c r="X412" s="308"/>
      <c r="Y412" s="308"/>
      <c r="Z412" s="314"/>
      <c r="AA412" s="308"/>
      <c r="AB412" s="314">
        <f>+AB230/$AR$373</f>
        <v>8.1187500000000004</v>
      </c>
      <c r="AC412" s="308">
        <f>+(AB412/AB406-1)*100</f>
        <v>-2.9728114729608568</v>
      </c>
      <c r="AD412" s="314">
        <f>+AD230/$AR$373</f>
        <v>4.8499999999999996</v>
      </c>
      <c r="AE412" s="308">
        <f>+(AD412/AD406-1)*100</f>
        <v>0.57024364955935436</v>
      </c>
      <c r="AF412" s="314">
        <f>+AF230/$AR$373</f>
        <v>0.28999999999999998</v>
      </c>
      <c r="AG412" s="30"/>
      <c r="AH412" s="314">
        <f>+AH230/$AR$373</f>
        <v>1.0225</v>
      </c>
      <c r="AI412" s="308">
        <f>+(AH412/AH406-1)*100</f>
        <v>43.508771929824562</v>
      </c>
      <c r="AJ412" s="314">
        <f>+AJ230/$AR$373</f>
        <v>0.43749999999999994</v>
      </c>
      <c r="AK412" s="308">
        <f>+(AJ412/AJ406-1)*100</f>
        <v>8.0246913580246826</v>
      </c>
      <c r="AL412" s="314">
        <f>+AL230/$AR$373</f>
        <v>0.77124999999999999</v>
      </c>
      <c r="AM412" s="308">
        <f>+(AL412/AL406-1)*100</f>
        <v>33.549783549783555</v>
      </c>
      <c r="AN412" s="375">
        <f>+AN230/$AR$373</f>
        <v>2.5000000000000001E-3</v>
      </c>
      <c r="AO412" s="308">
        <f>+(AN412/AN406-1)*100</f>
        <v>-33.333333333333329</v>
      </c>
      <c r="AP412" s="30"/>
      <c r="AQ412" s="453">
        <f>+J412+L412+N412+P412+R412+T412+V412+AB412+AD412+AF412+AH412+AJ412+AL412+AN412</f>
        <v>33.1</v>
      </c>
      <c r="AR412" s="308">
        <f>+(AQ412/AQ406-1)*100</f>
        <v>6.64948246002659</v>
      </c>
      <c r="AS412" s="308"/>
      <c r="AT412" s="30"/>
      <c r="AU412" s="30"/>
      <c r="AV412" s="30"/>
      <c r="AW412" s="314"/>
      <c r="AX412" s="315"/>
      <c r="AY412" s="315"/>
      <c r="AZ412" s="314"/>
      <c r="BA412" s="307"/>
      <c r="BB412" s="315"/>
      <c r="BC412" s="307"/>
      <c r="BD412" s="307"/>
      <c r="BE412" s="307"/>
      <c r="BF412" s="315"/>
      <c r="BG412" s="316"/>
      <c r="BH412" s="307"/>
      <c r="BI412" s="307"/>
      <c r="BJ412" s="315"/>
      <c r="BK412" s="314"/>
      <c r="BL412" s="307"/>
      <c r="BM412" s="307"/>
      <c r="BN412" s="315"/>
      <c r="BO412" s="314"/>
      <c r="BP412" s="307"/>
      <c r="BQ412" s="307"/>
      <c r="BR412" s="307"/>
      <c r="BS412" s="315"/>
      <c r="BT412" s="314"/>
      <c r="BU412" s="307"/>
      <c r="BV412" s="307"/>
      <c r="BW412" s="307"/>
      <c r="BX412" s="315"/>
      <c r="BY412" s="314"/>
      <c r="BZ412" s="307"/>
      <c r="CA412" s="307"/>
      <c r="CB412" s="307"/>
      <c r="CC412" s="315"/>
      <c r="CD412" s="307"/>
      <c r="CE412" s="307"/>
      <c r="CF412" s="307"/>
      <c r="CG412" s="307"/>
      <c r="CH412" s="315"/>
      <c r="CI412" s="314"/>
      <c r="CJ412" s="307"/>
      <c r="CK412" s="307"/>
      <c r="CL412" s="315"/>
      <c r="CM412" s="314"/>
      <c r="CN412" s="307"/>
      <c r="CO412" s="315"/>
      <c r="CP412" s="314"/>
      <c r="CQ412" s="307"/>
      <c r="CR412" s="315"/>
      <c r="CS412" s="314"/>
      <c r="CT412" s="307"/>
      <c r="CU412" s="315"/>
      <c r="CV412" s="314"/>
      <c r="CW412" s="307"/>
      <c r="CX412" s="315"/>
      <c r="CY412" s="314"/>
      <c r="CZ412" s="307"/>
      <c r="DA412" s="315"/>
      <c r="DB412" s="314"/>
      <c r="DC412" s="307"/>
      <c r="DD412" s="315"/>
      <c r="DE412" s="314"/>
      <c r="DF412" s="307"/>
      <c r="DG412" s="315"/>
      <c r="DH412" s="314"/>
      <c r="DI412" s="307"/>
      <c r="DJ412" s="307"/>
      <c r="DK412" s="307"/>
      <c r="DL412" s="307"/>
    </row>
    <row r="413" spans="1:116" hidden="1" outlineLevel="1">
      <c r="A413" s="30" t="str">
        <f>+A231</f>
        <v>3Q</v>
      </c>
      <c r="B413" s="30" t="str">
        <f>+B231</f>
        <v>Oct</v>
      </c>
      <c r="C413" s="30"/>
      <c r="D413" s="314">
        <f>+D231/$AR$373</f>
        <v>3.6762499999999996</v>
      </c>
      <c r="E413" s="308">
        <f>+(D413/D407-1)*100</f>
        <v>16.199130778348469</v>
      </c>
      <c r="F413" s="314">
        <f>+F231/$AR$373</f>
        <v>0</v>
      </c>
      <c r="G413" s="307"/>
      <c r="H413" s="307"/>
      <c r="I413" s="307"/>
      <c r="J413" s="316">
        <f>+D413+F413</f>
        <v>3.6762499999999996</v>
      </c>
      <c r="K413" s="308">
        <f>+(J413/J407-1)*100</f>
        <v>16.199130778348469</v>
      </c>
      <c r="L413" s="314">
        <f>+L231/$AR$373</f>
        <v>0.93499999999999994</v>
      </c>
      <c r="M413" s="308">
        <f>+(L413/L407-1)*100</f>
        <v>76.415094339622655</v>
      </c>
      <c r="N413" s="314">
        <f>+N231/$AR$373</f>
        <v>5.6899999999999995</v>
      </c>
      <c r="O413" s="308">
        <f>+(N413/N407-1)*100</f>
        <v>7.8928656079639614</v>
      </c>
      <c r="P413" s="314">
        <f>+P231/$AR$373</f>
        <v>2.3949999999999996</v>
      </c>
      <c r="Q413" s="308">
        <f>+(P413/P407-1)*100</f>
        <v>17.114914425427852</v>
      </c>
      <c r="R413" s="307"/>
      <c r="S413" s="307"/>
      <c r="T413" s="314">
        <f>+T231/$AR$373</f>
        <v>5.3362499999999997</v>
      </c>
      <c r="U413" s="308">
        <f>+(T413/T407-1)*100</f>
        <v>-4.0026984483921719</v>
      </c>
      <c r="V413" s="314">
        <f>+V231/$AR$373</f>
        <v>0.10999999999999999</v>
      </c>
      <c r="W413" s="308">
        <f>+(V413/V407-1)*100</f>
        <v>-5.3763440860215113</v>
      </c>
      <c r="X413" s="308"/>
      <c r="Y413" s="308"/>
      <c r="Z413" s="314"/>
      <c r="AA413" s="308"/>
      <c r="AB413" s="314">
        <f>+AB231/$AR$373</f>
        <v>8.1112500000000001</v>
      </c>
      <c r="AC413" s="308">
        <f>+(AB413/AB407-1)*100</f>
        <v>-2.9609690444145409</v>
      </c>
      <c r="AD413" s="314">
        <f>+AD231/$AR$373</f>
        <v>4.9162499999999998</v>
      </c>
      <c r="AE413" s="308">
        <f>+(AD413/AD407-1)*100</f>
        <v>1.4444157854010875</v>
      </c>
      <c r="AF413" s="314">
        <f>+AF231/$AR$373</f>
        <v>0.29874999999999996</v>
      </c>
      <c r="AG413" s="30"/>
      <c r="AH413" s="314">
        <f>+AH231/$AR$373</f>
        <v>1.1087499999999999</v>
      </c>
      <c r="AI413" s="308">
        <f>+(AH413/AH407-1)*100</f>
        <v>37.306501547987601</v>
      </c>
      <c r="AJ413" s="314">
        <f>+AJ231/$AR$373</f>
        <v>0.45374999999999999</v>
      </c>
      <c r="AK413" s="308">
        <f>+(AJ413/AJ407-1)*100</f>
        <v>5.5232558139534982</v>
      </c>
      <c r="AL413" s="314">
        <f>+AL231/$AR$373</f>
        <v>0.86124999999999985</v>
      </c>
      <c r="AM413" s="308">
        <f>+(AL413/AL407-1)*100</f>
        <v>38.076152304609209</v>
      </c>
      <c r="AN413" s="375">
        <f>+AN231/$AR$373</f>
        <v>2.5000000000000001E-3</v>
      </c>
      <c r="AO413" s="308">
        <f>+(AN413/AN407-1)*100</f>
        <v>-33.333333333333329</v>
      </c>
      <c r="AP413" s="30"/>
      <c r="AQ413" s="453">
        <f>+J413+L413+N413+P413+R413+T413+V413+AB413+AD413+AF413+AH413+AJ413+AL413+AN413</f>
        <v>33.894999999999989</v>
      </c>
      <c r="AR413" s="308">
        <f>+(AQ413/AQ407-1)*100</f>
        <v>6.730693536959742</v>
      </c>
      <c r="AS413" s="308"/>
      <c r="AT413" s="30"/>
      <c r="AU413" s="30"/>
      <c r="AV413" s="30"/>
      <c r="AW413" s="314"/>
      <c r="AX413" s="315"/>
      <c r="AY413" s="315"/>
      <c r="AZ413" s="314"/>
      <c r="BA413" s="307"/>
      <c r="BB413" s="315"/>
      <c r="BC413" s="307"/>
      <c r="BD413" s="307"/>
      <c r="BE413" s="307"/>
      <c r="BF413" s="315"/>
      <c r="BG413" s="316"/>
      <c r="BH413" s="307"/>
      <c r="BI413" s="307"/>
      <c r="BJ413" s="315"/>
      <c r="BK413" s="314"/>
      <c r="BL413" s="307"/>
      <c r="BM413" s="307"/>
      <c r="BN413" s="315"/>
      <c r="BO413" s="314"/>
      <c r="BP413" s="307"/>
      <c r="BQ413" s="307"/>
      <c r="BR413" s="307"/>
      <c r="BS413" s="315"/>
      <c r="BT413" s="314"/>
      <c r="BU413" s="307"/>
      <c r="BV413" s="307"/>
      <c r="BW413" s="307"/>
      <c r="BX413" s="315"/>
      <c r="BY413" s="314"/>
      <c r="BZ413" s="307"/>
      <c r="CA413" s="307"/>
      <c r="CB413" s="307"/>
      <c r="CC413" s="315"/>
      <c r="CD413" s="307"/>
      <c r="CE413" s="307"/>
      <c r="CF413" s="307"/>
      <c r="CG413" s="307"/>
      <c r="CH413" s="315"/>
      <c r="CI413" s="314"/>
      <c r="CJ413" s="307"/>
      <c r="CK413" s="307"/>
      <c r="CL413" s="315"/>
      <c r="CM413" s="314"/>
      <c r="CN413" s="307"/>
      <c r="CO413" s="315"/>
      <c r="CP413" s="314"/>
      <c r="CQ413" s="307"/>
      <c r="CR413" s="315"/>
      <c r="CS413" s="314"/>
      <c r="CT413" s="307"/>
      <c r="CU413" s="315"/>
      <c r="CV413" s="314"/>
      <c r="CW413" s="307"/>
      <c r="CX413" s="315"/>
      <c r="CY413" s="314"/>
      <c r="CZ413" s="307"/>
      <c r="DA413" s="315"/>
      <c r="DB413" s="314"/>
      <c r="DC413" s="307"/>
      <c r="DD413" s="315"/>
      <c r="DE413" s="314"/>
      <c r="DF413" s="307"/>
      <c r="DG413" s="315"/>
      <c r="DH413" s="314"/>
      <c r="DI413" s="307"/>
      <c r="DJ413" s="307"/>
      <c r="DK413" s="307"/>
      <c r="DL413" s="307"/>
    </row>
    <row r="414" spans="1:116" hidden="1" outlineLevel="1">
      <c r="A414" s="30" t="str">
        <f>+A232</f>
        <v>4Q</v>
      </c>
      <c r="B414" s="30" t="str">
        <f>+B232</f>
        <v>Jan</v>
      </c>
      <c r="C414" s="30"/>
      <c r="D414" s="314">
        <f>+D232/$AR$373</f>
        <v>3.7674999999999996</v>
      </c>
      <c r="E414" s="308">
        <f>+(D414/D408-1)*100</f>
        <v>16.550657385924204</v>
      </c>
      <c r="F414" s="314">
        <f>+F232/$AR$373</f>
        <v>0</v>
      </c>
      <c r="G414" s="307"/>
      <c r="H414" s="307"/>
      <c r="I414" s="307"/>
      <c r="J414" s="316">
        <f>+D414+F414</f>
        <v>3.7674999999999996</v>
      </c>
      <c r="K414" s="308">
        <f>+(J414/J408-1)*100</f>
        <v>16.550657385924204</v>
      </c>
      <c r="L414" s="314">
        <f>+L232/$AR$373</f>
        <v>1.0599999999999998</v>
      </c>
      <c r="M414" s="308">
        <f>+(L414/L408-1)*100</f>
        <v>73.415132924335367</v>
      </c>
      <c r="N414" s="314">
        <f>+N232/$AR$373</f>
        <v>5.7349999999999994</v>
      </c>
      <c r="O414" s="308">
        <f>+(N414/N408-1)*100</f>
        <v>5.3018131742024188</v>
      </c>
      <c r="P414" s="314">
        <f>+P232/$AR$373</f>
        <v>2.49125</v>
      </c>
      <c r="Q414" s="308">
        <f>+(P414/P408-1)*100</f>
        <v>13.561253561253572</v>
      </c>
      <c r="R414" s="307"/>
      <c r="S414" s="307"/>
      <c r="T414" s="314">
        <f>+T232/$AR$373</f>
        <v>5.2637499999999999</v>
      </c>
      <c r="U414" s="308">
        <f>+(T414/T408-1)*100</f>
        <v>-3.3731069297842864</v>
      </c>
      <c r="V414" s="314">
        <f>+V232/$AR$373</f>
        <v>0.10999999999999999</v>
      </c>
      <c r="W414" s="308">
        <f>+(V414/V408-1)*100</f>
        <v>-5.3763440860215113</v>
      </c>
      <c r="X414" s="308"/>
      <c r="Y414" s="308"/>
      <c r="Z414" s="314"/>
      <c r="AA414" s="308"/>
      <c r="AB414" s="314">
        <f>+AB232/$AR$373</f>
        <v>7.9912499999999991</v>
      </c>
      <c r="AC414" s="308">
        <f>+(AB414/AB408-1)*100</f>
        <v>-2.841945288753811</v>
      </c>
      <c r="AD414" s="314">
        <f>+AD232/$AR$373</f>
        <v>4.9437499999999996</v>
      </c>
      <c r="AE414" s="308">
        <f>+(AD414/AD408-1)*100</f>
        <v>2.4876911116869627</v>
      </c>
      <c r="AF414" s="314">
        <f>+AF232/$AR$373</f>
        <v>0.3125</v>
      </c>
      <c r="AG414" s="30"/>
      <c r="AH414" s="314">
        <f>+AH232/$AR$373</f>
        <v>1.1287499999999999</v>
      </c>
      <c r="AI414" s="308">
        <f>+(AH414/AH408-1)*100</f>
        <v>35.789473684210506</v>
      </c>
      <c r="AJ414" s="314">
        <f>+AJ232/$AR$373</f>
        <v>0.45749999999999996</v>
      </c>
      <c r="AK414" s="308">
        <f>+(AJ414/AJ408-1)*100</f>
        <v>7.0175438596491224</v>
      </c>
      <c r="AL414" s="314">
        <f>+AL232/$AR$373</f>
        <v>0.99</v>
      </c>
      <c r="AM414" s="308">
        <f>+(AL414/AL408-1)*100</f>
        <v>46.395563770794809</v>
      </c>
      <c r="AN414" s="375">
        <f>+AN232/$AR$373</f>
        <v>2.5000000000000001E-3</v>
      </c>
      <c r="AO414" s="308">
        <f>+(AN414/AN408-1)*100</f>
        <v>0</v>
      </c>
      <c r="AP414" s="30"/>
      <c r="AQ414" s="453">
        <f>+J414+L414+N414+P414+R414+T414+V414+AB414+AD414+AF414+AH414+AJ414+AL414+AN414</f>
        <v>34.253750000000004</v>
      </c>
      <c r="AR414" s="308">
        <f>+(AQ414/AQ408-1)*100</f>
        <v>6.930190814375492</v>
      </c>
      <c r="AS414" s="308"/>
      <c r="AT414" s="30"/>
      <c r="AU414" s="30"/>
      <c r="AV414" s="30"/>
      <c r="AW414" s="314"/>
      <c r="AX414" s="315"/>
      <c r="AY414" s="315"/>
      <c r="AZ414" s="314"/>
      <c r="BA414" s="307"/>
      <c r="BB414" s="315"/>
      <c r="BC414" s="307"/>
      <c r="BD414" s="307"/>
      <c r="BE414" s="307"/>
      <c r="BF414" s="315"/>
      <c r="BG414" s="316"/>
      <c r="BH414" s="307"/>
      <c r="BI414" s="307"/>
      <c r="BJ414" s="315"/>
      <c r="BK414" s="314"/>
      <c r="BL414" s="307"/>
      <c r="BM414" s="307"/>
      <c r="BN414" s="315"/>
      <c r="BO414" s="314"/>
      <c r="BP414" s="307"/>
      <c r="BQ414" s="307"/>
      <c r="BR414" s="307"/>
      <c r="BS414" s="315"/>
      <c r="BT414" s="314"/>
      <c r="BU414" s="307"/>
      <c r="BV414" s="307"/>
      <c r="BW414" s="307"/>
      <c r="BX414" s="315"/>
      <c r="BY414" s="314"/>
      <c r="BZ414" s="307"/>
      <c r="CA414" s="307"/>
      <c r="CB414" s="307"/>
      <c r="CC414" s="315"/>
      <c r="CD414" s="307"/>
      <c r="CE414" s="307"/>
      <c r="CF414" s="307"/>
      <c r="CG414" s="307"/>
      <c r="CH414" s="315"/>
      <c r="CI414" s="314"/>
      <c r="CJ414" s="307"/>
      <c r="CK414" s="307"/>
      <c r="CL414" s="315"/>
      <c r="CM414" s="314"/>
      <c r="CN414" s="307"/>
      <c r="CO414" s="315"/>
      <c r="CP414" s="314"/>
      <c r="CQ414" s="307"/>
      <c r="CR414" s="315"/>
      <c r="CS414" s="314"/>
      <c r="CT414" s="307"/>
      <c r="CU414" s="315"/>
      <c r="CV414" s="314"/>
      <c r="CW414" s="307"/>
      <c r="CX414" s="315"/>
      <c r="CY414" s="314"/>
      <c r="CZ414" s="307"/>
      <c r="DA414" s="315"/>
      <c r="DB414" s="314"/>
      <c r="DC414" s="307"/>
      <c r="DD414" s="315"/>
      <c r="DE414" s="314"/>
      <c r="DF414" s="307"/>
      <c r="DG414" s="315"/>
      <c r="DH414" s="314"/>
      <c r="DI414" s="307"/>
      <c r="DJ414" s="307"/>
      <c r="DK414" s="307"/>
      <c r="DL414" s="307"/>
    </row>
    <row r="415" spans="1:116" hidden="1" outlineLevel="1">
      <c r="A415" s="30"/>
      <c r="B415" s="30"/>
      <c r="C415" s="30"/>
      <c r="D415" s="314"/>
      <c r="E415" s="310"/>
      <c r="F415" s="314"/>
      <c r="G415" s="30"/>
      <c r="H415" s="30"/>
      <c r="I415" s="30"/>
      <c r="J415" s="316"/>
      <c r="K415" s="30"/>
      <c r="L415" s="314"/>
      <c r="M415" s="30"/>
      <c r="N415" s="314"/>
      <c r="O415" s="30"/>
      <c r="P415" s="314"/>
      <c r="Q415" s="30"/>
      <c r="R415" s="30"/>
      <c r="S415" s="30"/>
      <c r="T415" s="314"/>
      <c r="U415" s="30"/>
      <c r="V415" s="314"/>
      <c r="W415" s="30"/>
      <c r="X415" s="30"/>
      <c r="Y415" s="30"/>
      <c r="Z415" s="314"/>
      <c r="AA415" s="30"/>
      <c r="AB415" s="314"/>
      <c r="AC415" s="30"/>
      <c r="AD415" s="314"/>
      <c r="AE415" s="30"/>
      <c r="AF415" s="30"/>
      <c r="AG415" s="30"/>
      <c r="AH415" s="30"/>
      <c r="AI415" s="30"/>
      <c r="AJ415" s="30"/>
      <c r="AK415" s="30"/>
      <c r="AL415" s="30"/>
      <c r="AM415" s="30"/>
      <c r="AN415" s="30"/>
      <c r="AO415" s="30"/>
      <c r="AP415" s="30"/>
      <c r="AQ415" s="453"/>
      <c r="AR415" s="30"/>
      <c r="AS415" s="30"/>
      <c r="AT415" s="30"/>
      <c r="AU415" s="30"/>
      <c r="AV415" s="30"/>
      <c r="AW415" s="314"/>
      <c r="AX415" s="310"/>
      <c r="AY415" s="310"/>
      <c r="AZ415" s="314"/>
      <c r="BA415" s="30"/>
      <c r="BB415" s="310"/>
      <c r="BC415" s="30"/>
      <c r="BD415" s="30"/>
      <c r="BE415" s="30"/>
      <c r="BF415" s="310"/>
      <c r="BG415" s="316"/>
      <c r="BH415" s="30"/>
      <c r="BI415" s="30"/>
      <c r="BJ415" s="310"/>
      <c r="BK415" s="314"/>
      <c r="BL415" s="30"/>
      <c r="BM415" s="30"/>
      <c r="BN415" s="310"/>
      <c r="BO415" s="314"/>
      <c r="BP415" s="30"/>
      <c r="BQ415" s="30"/>
      <c r="BR415" s="30"/>
      <c r="BS415" s="310"/>
      <c r="BT415" s="314"/>
      <c r="BU415" s="30"/>
      <c r="BV415" s="30"/>
      <c r="BW415" s="30"/>
      <c r="BX415" s="310"/>
      <c r="BY415" s="314"/>
      <c r="BZ415" s="30"/>
      <c r="CA415" s="30"/>
      <c r="CB415" s="30"/>
      <c r="CC415" s="310"/>
      <c r="CD415" s="30"/>
      <c r="CE415" s="30"/>
      <c r="CF415" s="30"/>
      <c r="CG415" s="30"/>
      <c r="CH415" s="310"/>
      <c r="CI415" s="314"/>
      <c r="CJ415" s="30"/>
      <c r="CK415" s="30"/>
      <c r="CL415" s="310"/>
      <c r="CM415" s="314"/>
      <c r="CN415" s="30"/>
      <c r="CO415" s="310"/>
      <c r="CP415" s="314"/>
      <c r="CQ415" s="30"/>
      <c r="CR415" s="310"/>
      <c r="CS415" s="314"/>
      <c r="CT415" s="30"/>
      <c r="CU415" s="310"/>
      <c r="CV415" s="314"/>
      <c r="CW415" s="30"/>
      <c r="CX415" s="310"/>
      <c r="CY415" s="314"/>
      <c r="CZ415" s="30"/>
      <c r="DA415" s="310"/>
      <c r="DB415" s="314"/>
      <c r="DC415" s="30"/>
      <c r="DD415" s="310"/>
      <c r="DE415" s="314"/>
      <c r="DF415" s="30"/>
      <c r="DG415" s="310"/>
      <c r="DH415" s="314"/>
      <c r="DI415" s="30"/>
      <c r="DJ415" s="30"/>
      <c r="DK415" s="30"/>
      <c r="DL415" s="30"/>
    </row>
    <row r="416" spans="1:116" hidden="1" outlineLevel="1">
      <c r="A416" s="301"/>
      <c r="B416" s="312">
        <f>+B234</f>
        <v>1996</v>
      </c>
      <c r="C416" s="30"/>
      <c r="D416" s="314"/>
      <c r="E416" s="310"/>
      <c r="F416" s="314"/>
      <c r="G416" s="30"/>
      <c r="H416" s="30"/>
      <c r="I416" s="30"/>
      <c r="J416" s="316"/>
      <c r="K416" s="30"/>
      <c r="L416" s="314"/>
      <c r="M416" s="30"/>
      <c r="N416" s="314"/>
      <c r="O416" s="30"/>
      <c r="P416" s="314"/>
      <c r="Q416" s="30"/>
      <c r="R416" s="30"/>
      <c r="S416" s="30"/>
      <c r="T416" s="314"/>
      <c r="U416" s="30"/>
      <c r="V416" s="314"/>
      <c r="W416" s="30"/>
      <c r="X416" s="30"/>
      <c r="Y416" s="30"/>
      <c r="Z416" s="314"/>
      <c r="AA416" s="30"/>
      <c r="AB416" s="314"/>
      <c r="AC416" s="30"/>
      <c r="AD416" s="314"/>
      <c r="AE416" s="30"/>
      <c r="AF416" s="30"/>
      <c r="AG416" s="30"/>
      <c r="AH416" s="30"/>
      <c r="AI416" s="30"/>
      <c r="AJ416" s="30"/>
      <c r="AK416" s="30"/>
      <c r="AL416" s="30"/>
      <c r="AM416" s="30"/>
      <c r="AN416" s="30"/>
      <c r="AO416" s="30"/>
      <c r="AP416" s="30"/>
      <c r="AQ416" s="453"/>
      <c r="AR416" s="30"/>
      <c r="AS416" s="30"/>
      <c r="AT416" s="30"/>
      <c r="AU416" s="30"/>
      <c r="AV416" s="30"/>
      <c r="AW416" s="314"/>
      <c r="AX416" s="310"/>
      <c r="AY416" s="310"/>
      <c r="AZ416" s="314"/>
      <c r="BA416" s="30"/>
      <c r="BB416" s="310"/>
      <c r="BC416" s="30"/>
      <c r="BD416" s="30"/>
      <c r="BE416" s="30"/>
      <c r="BF416" s="310"/>
      <c r="BG416" s="316"/>
      <c r="BH416" s="30"/>
      <c r="BI416" s="30"/>
      <c r="BJ416" s="310"/>
      <c r="BK416" s="314"/>
      <c r="BL416" s="30"/>
      <c r="BM416" s="30"/>
      <c r="BN416" s="310"/>
      <c r="BO416" s="314"/>
      <c r="BP416" s="30"/>
      <c r="BQ416" s="30"/>
      <c r="BR416" s="30"/>
      <c r="BS416" s="310"/>
      <c r="BT416" s="314"/>
      <c r="BU416" s="30"/>
      <c r="BV416" s="30"/>
      <c r="BW416" s="30"/>
      <c r="BX416" s="310"/>
      <c r="BY416" s="314"/>
      <c r="BZ416" s="30"/>
      <c r="CA416" s="30"/>
      <c r="CB416" s="30"/>
      <c r="CC416" s="310"/>
      <c r="CD416" s="30"/>
      <c r="CE416" s="30"/>
      <c r="CF416" s="30"/>
      <c r="CG416" s="30"/>
      <c r="CH416" s="310"/>
      <c r="CI416" s="314"/>
      <c r="CJ416" s="30"/>
      <c r="CK416" s="30"/>
      <c r="CL416" s="310"/>
      <c r="CM416" s="314"/>
      <c r="CN416" s="30"/>
      <c r="CO416" s="310"/>
      <c r="CP416" s="314"/>
      <c r="CQ416" s="30"/>
      <c r="CR416" s="310"/>
      <c r="CS416" s="314"/>
      <c r="CT416" s="30"/>
      <c r="CU416" s="310"/>
      <c r="CV416" s="314"/>
      <c r="CW416" s="30"/>
      <c r="CX416" s="310"/>
      <c r="CY416" s="314"/>
      <c r="CZ416" s="30"/>
      <c r="DA416" s="310"/>
      <c r="DB416" s="314"/>
      <c r="DC416" s="30"/>
      <c r="DD416" s="310"/>
      <c r="DE416" s="314"/>
      <c r="DF416" s="30"/>
      <c r="DG416" s="310"/>
      <c r="DH416" s="314"/>
      <c r="DI416" s="30"/>
      <c r="DJ416" s="30"/>
      <c r="DK416" s="30"/>
      <c r="DL416" s="30"/>
    </row>
    <row r="417" spans="1:116" hidden="1" outlineLevel="1">
      <c r="A417" s="30" t="str">
        <f>+A235</f>
        <v>1Q</v>
      </c>
      <c r="B417" s="30" t="str">
        <f>+B235</f>
        <v>Apr</v>
      </c>
      <c r="C417" s="30"/>
      <c r="D417" s="314">
        <f>+D235/$AR$373</f>
        <v>3.3487499999999994</v>
      </c>
      <c r="E417" s="308">
        <f>+(D417/D411-1)*100</f>
        <v>1.2471655328798015</v>
      </c>
      <c r="F417" s="314">
        <f>+F235/$AR$373</f>
        <v>0.49375000000000002</v>
      </c>
      <c r="G417" s="308"/>
      <c r="H417" s="308"/>
      <c r="I417" s="308"/>
      <c r="J417" s="316">
        <f>+D417+F417</f>
        <v>3.8424999999999994</v>
      </c>
      <c r="K417" s="308">
        <f>+(J417/J411-1)*100</f>
        <v>16.175359032501891</v>
      </c>
      <c r="L417" s="314">
        <f>+L235/$AR$373</f>
        <v>1.1325000000000001</v>
      </c>
      <c r="M417" s="308">
        <f>+(L417/L411-1)*100</f>
        <v>65.027322404371589</v>
      </c>
      <c r="N417" s="314">
        <f>+N235/$AR$373</f>
        <v>5.7912499999999998</v>
      </c>
      <c r="O417" s="308">
        <f>+(N417/N411-1)*100</f>
        <v>5.2715291979095635</v>
      </c>
      <c r="P417" s="314">
        <f>+P235/$AR$373</f>
        <v>2.52</v>
      </c>
      <c r="Q417" s="308">
        <f>+(P417/P411-1)*100</f>
        <v>13.004484304932728</v>
      </c>
      <c r="R417" s="307"/>
      <c r="S417" s="308"/>
      <c r="T417" s="314">
        <f>+T235/$AR$373</f>
        <v>5.2287499999999998</v>
      </c>
      <c r="U417" s="308">
        <f>+(T417/T411-1)*100</f>
        <v>-3.3502772643253298</v>
      </c>
      <c r="V417" s="314">
        <f>+V235/$AR$373</f>
        <v>0.10999999999999999</v>
      </c>
      <c r="W417" s="317">
        <f>+(V417/V411-1)*100</f>
        <v>0</v>
      </c>
      <c r="X417" s="317"/>
      <c r="Y417" s="317"/>
      <c r="Z417" s="314"/>
      <c r="AA417" s="317"/>
      <c r="AB417" s="314">
        <f>+AB235/$AR$373</f>
        <v>7.8512499999999994</v>
      </c>
      <c r="AC417" s="308">
        <f>+(AB417/AB411-1)*100</f>
        <v>-3.9014687882496846</v>
      </c>
      <c r="AD417" s="314">
        <f>+AD235/$AR$373</f>
        <v>4.9812499999999993</v>
      </c>
      <c r="AE417" s="308">
        <f>+(AD417/AD411-1)*100</f>
        <v>3.0781169167097611</v>
      </c>
      <c r="AF417" s="314">
        <f>+AF235/$AR$373</f>
        <v>0.3125</v>
      </c>
      <c r="AG417" s="367" t="s">
        <v>886</v>
      </c>
      <c r="AH417" s="314">
        <f>+AH235/$AR$373</f>
        <v>1.1712499999999999</v>
      </c>
      <c r="AI417" s="308">
        <f>+(AH417/AH411-1)*100</f>
        <v>23.289473684210527</v>
      </c>
      <c r="AJ417" s="314">
        <f>+AJ235/$AR$373</f>
        <v>0.46124999999999999</v>
      </c>
      <c r="AK417" s="308">
        <f>+(AJ417/AJ411-1)*100</f>
        <v>4.8295454545454586</v>
      </c>
      <c r="AL417" s="314">
        <f>+AL235/$AR$373</f>
        <v>1.0049999999999999</v>
      </c>
      <c r="AM417" s="308">
        <f>+(AL417/AL411-1)*100</f>
        <v>38.620689655172427</v>
      </c>
      <c r="AN417" s="375">
        <f>+AN235/$AR$373</f>
        <v>2.5000000000000001E-3</v>
      </c>
      <c r="AO417" s="308">
        <f>+(AN417/AN411-1)*100</f>
        <v>0</v>
      </c>
      <c r="AP417" s="30"/>
      <c r="AQ417" s="453">
        <f>+J417+L417+N417+P417+R417+T417+V417+AB417+AD417+AF417+AH417+AJ417+AL417+AN417</f>
        <v>34.409999999999997</v>
      </c>
      <c r="AR417" s="308">
        <f>+(AQ417/AQ411-1)*100</f>
        <v>6.3185539935115109</v>
      </c>
      <c r="AS417" s="308"/>
      <c r="AT417" s="30"/>
      <c r="AU417" s="30"/>
      <c r="AV417" s="30"/>
      <c r="AW417" s="314"/>
      <c r="AX417" s="308"/>
      <c r="AY417" s="308"/>
      <c r="AZ417" s="314"/>
      <c r="BA417" s="308"/>
      <c r="BB417" s="308"/>
      <c r="BC417" s="308"/>
      <c r="BD417" s="308"/>
      <c r="BE417" s="308"/>
      <c r="BF417" s="308"/>
      <c r="BG417" s="316"/>
      <c r="BH417" s="308"/>
      <c r="BI417" s="308"/>
      <c r="BJ417" s="308"/>
      <c r="BK417" s="314"/>
      <c r="BL417" s="308"/>
      <c r="BM417" s="308"/>
      <c r="BN417" s="308"/>
      <c r="BO417" s="314"/>
      <c r="BP417" s="308"/>
      <c r="BQ417" s="308"/>
      <c r="BR417" s="308"/>
      <c r="BS417" s="308"/>
      <c r="BT417" s="314"/>
      <c r="BU417" s="308"/>
      <c r="BV417" s="308"/>
      <c r="BW417" s="308"/>
      <c r="BX417" s="308"/>
      <c r="BY417" s="314"/>
      <c r="BZ417" s="308"/>
      <c r="CA417" s="308"/>
      <c r="CB417" s="308"/>
      <c r="CC417" s="308"/>
      <c r="CD417" s="307"/>
      <c r="CE417" s="308"/>
      <c r="CF417" s="308"/>
      <c r="CG417" s="308"/>
      <c r="CH417" s="308"/>
      <c r="CI417" s="314"/>
      <c r="CJ417" s="308"/>
      <c r="CK417" s="308"/>
      <c r="CL417" s="308"/>
      <c r="CM417" s="314"/>
      <c r="CN417" s="308"/>
      <c r="CO417" s="308"/>
      <c r="CP417" s="314"/>
      <c r="CQ417" s="308"/>
      <c r="CR417" s="308"/>
      <c r="CS417" s="314"/>
      <c r="CT417" s="308"/>
      <c r="CU417" s="308"/>
      <c r="CV417" s="314"/>
      <c r="CW417" s="308"/>
      <c r="CX417" s="308"/>
      <c r="CY417" s="314"/>
      <c r="CZ417" s="308"/>
      <c r="DA417" s="308"/>
      <c r="DB417" s="314"/>
      <c r="DC417" s="308"/>
      <c r="DD417" s="308"/>
      <c r="DE417" s="314"/>
      <c r="DF417" s="308"/>
      <c r="DG417" s="308"/>
      <c r="DH417" s="314"/>
      <c r="DI417" s="308"/>
      <c r="DJ417" s="308"/>
      <c r="DK417" s="308"/>
      <c r="DL417" s="308"/>
    </row>
    <row r="418" spans="1:116" hidden="1" outlineLevel="1">
      <c r="A418" s="30" t="str">
        <f>+A236</f>
        <v>2Q</v>
      </c>
      <c r="B418" s="30" t="str">
        <f>+B236</f>
        <v>Jul</v>
      </c>
      <c r="C418" s="30"/>
      <c r="D418" s="314">
        <f>+D236/$AR$373</f>
        <v>3.4999999999999996</v>
      </c>
      <c r="E418" s="308">
        <f>+(D418/D412-1)*100</f>
        <v>1.3391241404270726</v>
      </c>
      <c r="F418" s="314">
        <f>+F236/$AR$373</f>
        <v>0.49375000000000002</v>
      </c>
      <c r="G418" s="308"/>
      <c r="H418" s="308"/>
      <c r="I418" s="308"/>
      <c r="J418" s="316">
        <f>+D418+F418</f>
        <v>3.9937499999999995</v>
      </c>
      <c r="K418" s="308">
        <f>+(J418/J412-1)*100</f>
        <v>15.635179153094448</v>
      </c>
      <c r="L418" s="314">
        <f>+L236/$AR$373</f>
        <v>1.3025</v>
      </c>
      <c r="M418" s="308">
        <f>+(L418/L412-1)*100</f>
        <v>67.524115755627022</v>
      </c>
      <c r="N418" s="314">
        <f>+N236/$AR$373</f>
        <v>5.8599999999999994</v>
      </c>
      <c r="O418" s="308">
        <f>+(N418/N412-1)*100</f>
        <v>5.0885451692445516</v>
      </c>
      <c r="P418" s="314">
        <f>+P236/$AR$373</f>
        <v>2.5837500000000002</v>
      </c>
      <c r="Q418" s="308">
        <f>+(P418/P412-1)*100</f>
        <v>12.520413718018531</v>
      </c>
      <c r="R418" s="307"/>
      <c r="S418" s="308"/>
      <c r="T418" s="314">
        <f>+T236/$AR$373</f>
        <v>5.1775000000000002</v>
      </c>
      <c r="U418" s="308">
        <f>+(T418/T412-1)*100</f>
        <v>-4.0092699884125116</v>
      </c>
      <c r="V418" s="314">
        <f>+V236/$AR$373</f>
        <v>0.10999999999999999</v>
      </c>
      <c r="W418" s="317">
        <f>+(V418/V412-1)*100</f>
        <v>0</v>
      </c>
      <c r="X418" s="317"/>
      <c r="Y418" s="317"/>
      <c r="Z418" s="314"/>
      <c r="AA418" s="317"/>
      <c r="AB418" s="314">
        <f>+AB236/$AR$373</f>
        <v>7.7812499999999991</v>
      </c>
      <c r="AC418" s="308">
        <f>+(AB418/AB412-1)*100</f>
        <v>-4.1570438799076399</v>
      </c>
      <c r="AD418" s="314">
        <f>+AD236/$AR$373</f>
        <v>4.9424999999999999</v>
      </c>
      <c r="AE418" s="308">
        <f>+(AD418/AD412-1)*100</f>
        <v>1.9072164948453763</v>
      </c>
      <c r="AF418" s="314">
        <f>+AF236/$AR$373</f>
        <v>0.3125</v>
      </c>
      <c r="AG418" s="308">
        <f>+(AF418/AF412-1)*100</f>
        <v>7.7586206896551824</v>
      </c>
      <c r="AH418" s="314">
        <f>+AH236/$AR$373</f>
        <v>1.1912499999999999</v>
      </c>
      <c r="AI418" s="308">
        <f>+(AH418/AH412-1)*100</f>
        <v>16.503667481662589</v>
      </c>
      <c r="AJ418" s="314">
        <f>+AJ236/$AR$373</f>
        <v>0.45999999999999996</v>
      </c>
      <c r="AK418" s="308">
        <f>+(AJ418/AJ412-1)*100</f>
        <v>5.1428571428571379</v>
      </c>
      <c r="AL418" s="314">
        <f>+AL236/$AR$373</f>
        <v>1.0374999999999999</v>
      </c>
      <c r="AM418" s="308">
        <f>+(AL418/AL412-1)*100</f>
        <v>34.521880064829816</v>
      </c>
      <c r="AN418" s="375">
        <f>+AN236/$AR$373</f>
        <v>2.5000000000000001E-3</v>
      </c>
      <c r="AO418" s="308">
        <f>+(AN418/AN412-1)*100</f>
        <v>0</v>
      </c>
      <c r="AP418" s="30"/>
      <c r="AQ418" s="453">
        <f>+J418+L418+N418+P418+R418+T418+V418+AB418+AD418+AF418+AH418+AJ418+AL418+AN418</f>
        <v>34.754999999999995</v>
      </c>
      <c r="AR418" s="308">
        <f>+(AQ418/AQ412-1)*100</f>
        <v>4.9999999999999822</v>
      </c>
      <c r="AS418" s="308"/>
      <c r="AT418" s="30"/>
      <c r="AU418" s="30"/>
      <c r="AV418" s="30"/>
      <c r="AW418" s="314"/>
      <c r="AX418" s="308"/>
      <c r="AY418" s="308"/>
      <c r="AZ418" s="314"/>
      <c r="BA418" s="308"/>
      <c r="BB418" s="308"/>
      <c r="BC418" s="308"/>
      <c r="BD418" s="308"/>
      <c r="BE418" s="308"/>
      <c r="BF418" s="308"/>
      <c r="BG418" s="316"/>
      <c r="BH418" s="308"/>
      <c r="BI418" s="308"/>
      <c r="BJ418" s="308"/>
      <c r="BK418" s="314"/>
      <c r="BL418" s="308"/>
      <c r="BM418" s="308"/>
      <c r="BN418" s="308"/>
      <c r="BO418" s="314"/>
      <c r="BP418" s="308"/>
      <c r="BQ418" s="308"/>
      <c r="BR418" s="308"/>
      <c r="BS418" s="308"/>
      <c r="BT418" s="314"/>
      <c r="BU418" s="308"/>
      <c r="BV418" s="308"/>
      <c r="BW418" s="308"/>
      <c r="BX418" s="308"/>
      <c r="BY418" s="314"/>
      <c r="BZ418" s="308"/>
      <c r="CA418" s="308"/>
      <c r="CB418" s="308"/>
      <c r="CC418" s="308"/>
      <c r="CD418" s="307"/>
      <c r="CE418" s="308"/>
      <c r="CF418" s="308"/>
      <c r="CG418" s="308"/>
      <c r="CH418" s="308"/>
      <c r="CI418" s="314"/>
      <c r="CJ418" s="308"/>
      <c r="CK418" s="308"/>
      <c r="CL418" s="308"/>
      <c r="CM418" s="314"/>
      <c r="CN418" s="308"/>
      <c r="CO418" s="308"/>
      <c r="CP418" s="314"/>
      <c r="CQ418" s="308"/>
      <c r="CR418" s="308"/>
      <c r="CS418" s="314"/>
      <c r="CT418" s="308"/>
      <c r="CU418" s="308"/>
      <c r="CV418" s="314"/>
      <c r="CW418" s="308"/>
      <c r="CX418" s="308"/>
      <c r="CY418" s="314"/>
      <c r="CZ418" s="308"/>
      <c r="DA418" s="308"/>
      <c r="DB418" s="314"/>
      <c r="DC418" s="308"/>
      <c r="DD418" s="308"/>
      <c r="DE418" s="314"/>
      <c r="DF418" s="308"/>
      <c r="DG418" s="308"/>
      <c r="DH418" s="314"/>
      <c r="DI418" s="308"/>
      <c r="DJ418" s="308"/>
      <c r="DK418" s="308"/>
      <c r="DL418" s="308"/>
    </row>
    <row r="419" spans="1:116" hidden="1" outlineLevel="1">
      <c r="A419" s="30" t="str">
        <f>+A237</f>
        <v>3Q</v>
      </c>
      <c r="B419" s="30" t="str">
        <f>+B237</f>
        <v>Oct</v>
      </c>
      <c r="C419" s="30"/>
      <c r="D419" s="314">
        <f>+D237/$AR$373</f>
        <v>3.6074999999999999</v>
      </c>
      <c r="E419" s="308">
        <f>+(D419/D413-1)*100</f>
        <v>-1.8701122067323994</v>
      </c>
      <c r="F419" s="314">
        <f>+F237/$AR$373</f>
        <v>0.495</v>
      </c>
      <c r="G419" s="308"/>
      <c r="H419" s="308"/>
      <c r="I419" s="308"/>
      <c r="J419" s="316">
        <f>+D419+F419</f>
        <v>4.1025</v>
      </c>
      <c r="K419" s="308">
        <f>+(J419/J413-1)*100</f>
        <v>11.594695681740919</v>
      </c>
      <c r="L419" s="314">
        <f>+L237/$AR$373</f>
        <v>1.6412499999999999</v>
      </c>
      <c r="M419" s="308">
        <f>+(L419/L413-1)*100</f>
        <v>75.534759358288767</v>
      </c>
      <c r="N419" s="314">
        <f>+N237/$AR$373</f>
        <v>5.9399999999999995</v>
      </c>
      <c r="O419" s="308">
        <f>+(N419/N413-1)*100</f>
        <v>4.393673110720564</v>
      </c>
      <c r="P419" s="314">
        <f>+P237/$AR$373</f>
        <v>2.645</v>
      </c>
      <c r="Q419" s="308">
        <f>+(P419/P413-1)*100</f>
        <v>10.438413361169129</v>
      </c>
      <c r="R419" s="307"/>
      <c r="S419" s="308"/>
      <c r="T419" s="314">
        <f>+T237/$AR$373</f>
        <v>5.1237500000000002</v>
      </c>
      <c r="U419" s="308">
        <f>+(T419/T413-1)*100</f>
        <v>-3.9821972358866198</v>
      </c>
      <c r="V419" s="314">
        <f>+V237/$AR$373</f>
        <v>0.14124999999999999</v>
      </c>
      <c r="W419" s="317">
        <f>+(V419/V413-1)*100</f>
        <v>28.409090909090917</v>
      </c>
      <c r="X419" s="317"/>
      <c r="Y419" s="317"/>
      <c r="Z419" s="314"/>
      <c r="AA419" s="317"/>
      <c r="AB419" s="314">
        <f>+AB237/$AR$373</f>
        <v>7.71</v>
      </c>
      <c r="AC419" s="308">
        <f>+(AB419/AB413-1)*100</f>
        <v>-4.9468331021729099</v>
      </c>
      <c r="AD419" s="314">
        <f>+AD237/$AR$373</f>
        <v>4.9775</v>
      </c>
      <c r="AE419" s="308">
        <f>+(AD419/AD413-1)*100</f>
        <v>1.2458682939232135</v>
      </c>
      <c r="AF419" s="314">
        <f>+AF237/$AR$373</f>
        <v>0.61</v>
      </c>
      <c r="AG419" s="308">
        <f>+(AF419/AF413-1)*100</f>
        <v>104.18410041841008</v>
      </c>
      <c r="AH419" s="314">
        <f>+AH237/$AR$373</f>
        <v>1.2112499999999999</v>
      </c>
      <c r="AI419" s="308">
        <f>+(AH419/AH413-1)*100</f>
        <v>9.2446448703495054</v>
      </c>
      <c r="AJ419" s="314">
        <f>+AJ237/$AR$373</f>
        <v>0.46375</v>
      </c>
      <c r="AK419" s="308">
        <f>+(AJ419/AJ413-1)*100</f>
        <v>2.2038567493112948</v>
      </c>
      <c r="AL419" s="314">
        <f>+AL237/$AR$373</f>
        <v>1.1675</v>
      </c>
      <c r="AM419" s="308">
        <f>+(AL419/AL413-1)*100</f>
        <v>35.558780841799731</v>
      </c>
      <c r="AN419" s="375">
        <f>+AN237/$AR$373</f>
        <v>2.5000000000000001E-3</v>
      </c>
      <c r="AO419" s="308">
        <f>+(AN419/AN413-1)*100</f>
        <v>0</v>
      </c>
      <c r="AP419" s="30"/>
      <c r="AQ419" s="453">
        <f>+J419+L419+N419+P419+R419+T419+V419+AB419+AD419+AF419+AH419+AJ419+AL419+AN419</f>
        <v>35.736249999999991</v>
      </c>
      <c r="AR419" s="308">
        <f>+(AQ419/AQ413-1)*100</f>
        <v>5.4322171411712805</v>
      </c>
      <c r="AS419" s="308"/>
      <c r="AT419" s="30"/>
      <c r="AU419" s="30"/>
      <c r="AV419" s="30"/>
      <c r="AW419" s="314"/>
      <c r="AX419" s="308"/>
      <c r="AY419" s="308"/>
      <c r="AZ419" s="314"/>
      <c r="BA419" s="308"/>
      <c r="BB419" s="308"/>
      <c r="BC419" s="308"/>
      <c r="BD419" s="308"/>
      <c r="BE419" s="308"/>
      <c r="BF419" s="308"/>
      <c r="BG419" s="316"/>
      <c r="BH419" s="308"/>
      <c r="BI419" s="308"/>
      <c r="BJ419" s="308"/>
      <c r="BK419" s="314"/>
      <c r="BL419" s="308"/>
      <c r="BM419" s="308"/>
      <c r="BN419" s="308"/>
      <c r="BO419" s="314"/>
      <c r="BP419" s="308"/>
      <c r="BQ419" s="308"/>
      <c r="BR419" s="308"/>
      <c r="BS419" s="308"/>
      <c r="BT419" s="314"/>
      <c r="BU419" s="308"/>
      <c r="BV419" s="308"/>
      <c r="BW419" s="308"/>
      <c r="BX419" s="308"/>
      <c r="BY419" s="314"/>
      <c r="BZ419" s="308"/>
      <c r="CA419" s="308"/>
      <c r="CB419" s="308"/>
      <c r="CC419" s="308"/>
      <c r="CD419" s="307"/>
      <c r="CE419" s="308"/>
      <c r="CF419" s="308"/>
      <c r="CG419" s="308"/>
      <c r="CH419" s="308"/>
      <c r="CI419" s="314"/>
      <c r="CJ419" s="308"/>
      <c r="CK419" s="308"/>
      <c r="CL419" s="308"/>
      <c r="CM419" s="314"/>
      <c r="CN419" s="308"/>
      <c r="CO419" s="308"/>
      <c r="CP419" s="314"/>
      <c r="CQ419" s="308"/>
      <c r="CR419" s="308"/>
      <c r="CS419" s="314"/>
      <c r="CT419" s="308"/>
      <c r="CU419" s="308"/>
      <c r="CV419" s="314"/>
      <c r="CW419" s="308"/>
      <c r="CX419" s="308"/>
      <c r="CY419" s="314"/>
      <c r="CZ419" s="308"/>
      <c r="DA419" s="308"/>
      <c r="DB419" s="314"/>
      <c r="DC419" s="308"/>
      <c r="DD419" s="308"/>
      <c r="DE419" s="314"/>
      <c r="DF419" s="308"/>
      <c r="DG419" s="308"/>
      <c r="DH419" s="314"/>
      <c r="DI419" s="308"/>
      <c r="DJ419" s="308"/>
      <c r="DK419" s="308"/>
      <c r="DL419" s="308"/>
    </row>
    <row r="420" spans="1:116" hidden="1" outlineLevel="1">
      <c r="A420" s="30" t="str">
        <f>+A238</f>
        <v>4Q</v>
      </c>
      <c r="B420" s="30" t="str">
        <f>+B238</f>
        <v>Jan</v>
      </c>
      <c r="C420" s="30"/>
      <c r="D420" s="314">
        <f>+D238/$AR$373</f>
        <v>3.6537500000000001</v>
      </c>
      <c r="E420" s="308">
        <f>+(D420/D414-1)*100</f>
        <v>-3.0192435301924281</v>
      </c>
      <c r="F420" s="314">
        <f>+F238/$AR$373</f>
        <v>0.50375000000000003</v>
      </c>
      <c r="G420" s="308"/>
      <c r="H420" s="308"/>
      <c r="I420" s="308"/>
      <c r="J420" s="316">
        <f>+D420+F420</f>
        <v>4.1574999999999998</v>
      </c>
      <c r="K420" s="308">
        <f>+(J420/J414-1)*100</f>
        <v>10.351692103516918</v>
      </c>
      <c r="L420" s="314">
        <f>+L238/$AR$373</f>
        <v>1.6925000000000001</v>
      </c>
      <c r="M420" s="308">
        <f>+(L420/L414-1)*100</f>
        <v>59.669811320754754</v>
      </c>
      <c r="N420" s="314">
        <f>+N238/$AR$373</f>
        <v>5.9074999999999998</v>
      </c>
      <c r="O420" s="308">
        <f>+(N420/N414-1)*100</f>
        <v>3.0078465562336509</v>
      </c>
      <c r="P420" s="314">
        <f>+P238/$AR$373</f>
        <v>2.6462499999999998</v>
      </c>
      <c r="Q420" s="308">
        <f>+(P420/P414-1)*100</f>
        <v>6.2217762167586566</v>
      </c>
      <c r="R420" s="307"/>
      <c r="S420" s="308"/>
      <c r="T420" s="314">
        <f>+T238/$AR$373</f>
        <v>4.9712499999999995</v>
      </c>
      <c r="U420" s="308">
        <f>+(T420/T414-1)*100</f>
        <v>-5.5568748515792077</v>
      </c>
      <c r="V420" s="314">
        <f>+V238/$AR$373</f>
        <v>0.14124999999999999</v>
      </c>
      <c r="W420" s="317">
        <f>+(V420/V414-1)*100</f>
        <v>28.409090909090917</v>
      </c>
      <c r="X420" s="317"/>
      <c r="Y420" s="317"/>
      <c r="Z420" s="314"/>
      <c r="AA420" s="317"/>
      <c r="AB420" s="314">
        <f>+AB238/$AR$373</f>
        <v>7.4799999999999995</v>
      </c>
      <c r="AC420" s="308">
        <f>+(AB420/AB414-1)*100</f>
        <v>-6.397622399499447</v>
      </c>
      <c r="AD420" s="314">
        <f>+AD238/$AR$373</f>
        <v>4.9749999999999996</v>
      </c>
      <c r="AE420" s="308">
        <f>+(AD420/AD414-1)*100</f>
        <v>0.6321112515802696</v>
      </c>
      <c r="AF420" s="314">
        <f>+AF238/$AR$373</f>
        <v>0.61</v>
      </c>
      <c r="AG420" s="308">
        <f>+(AF420/AF414-1)*100</f>
        <v>95.199999999999989</v>
      </c>
      <c r="AH420" s="314">
        <f>+AH238/$AR$373</f>
        <v>1.20875</v>
      </c>
      <c r="AI420" s="308">
        <f>+(AH420/AH414-1)*100</f>
        <v>7.0874861572536085</v>
      </c>
      <c r="AJ420" s="314">
        <f>+AJ238/$AR$373</f>
        <v>0.45624999999999999</v>
      </c>
      <c r="AK420" s="308">
        <f>+(AJ420/AJ414-1)*100</f>
        <v>-0.2732240437158362</v>
      </c>
      <c r="AL420" s="314">
        <f>+AL238/$AR$373</f>
        <v>1.2574999999999998</v>
      </c>
      <c r="AM420" s="308">
        <f>+(AL420/AL414-1)*100</f>
        <v>27.02020202020201</v>
      </c>
      <c r="AN420" s="375">
        <f>+AN238/$AR$373</f>
        <v>2.5000000000000001E-3</v>
      </c>
      <c r="AO420" s="308">
        <f>+(AN420/AN414-1)*100</f>
        <v>0</v>
      </c>
      <c r="AP420" s="30"/>
      <c r="AQ420" s="453">
        <f>+J420+L420+N420+P420+R420+T420+V420+AB420+AD420+AF420+AH420+AJ420+AL420+AN420</f>
        <v>35.506249999999994</v>
      </c>
      <c r="AR420" s="308">
        <f>+(AQ420/AQ414-1)*100</f>
        <v>3.6565339561361654</v>
      </c>
      <c r="AS420" s="308"/>
      <c r="AT420" s="30"/>
      <c r="AU420" s="30"/>
      <c r="AV420" s="30"/>
      <c r="AW420" s="314"/>
      <c r="AX420" s="308"/>
      <c r="AY420" s="308"/>
      <c r="AZ420" s="314"/>
      <c r="BA420" s="308"/>
      <c r="BB420" s="308"/>
      <c r="BC420" s="308"/>
      <c r="BD420" s="308"/>
      <c r="BE420" s="308"/>
      <c r="BF420" s="308"/>
      <c r="BG420" s="316"/>
      <c r="BH420" s="308"/>
      <c r="BI420" s="308"/>
      <c r="BJ420" s="308"/>
      <c r="BK420" s="314"/>
      <c r="BL420" s="308"/>
      <c r="BM420" s="308"/>
      <c r="BN420" s="308"/>
      <c r="BO420" s="314"/>
      <c r="BP420" s="308"/>
      <c r="BQ420" s="308"/>
      <c r="BR420" s="308"/>
      <c r="BS420" s="308"/>
      <c r="BT420" s="314"/>
      <c r="BU420" s="308"/>
      <c r="BV420" s="308"/>
      <c r="BW420" s="308"/>
      <c r="BX420" s="308"/>
      <c r="BY420" s="314"/>
      <c r="BZ420" s="308"/>
      <c r="CA420" s="308"/>
      <c r="CB420" s="308"/>
      <c r="CC420" s="308"/>
      <c r="CD420" s="307"/>
      <c r="CE420" s="308"/>
      <c r="CF420" s="308"/>
      <c r="CG420" s="308"/>
      <c r="CH420" s="308"/>
      <c r="CI420" s="314"/>
      <c r="CJ420" s="308"/>
      <c r="CK420" s="308"/>
      <c r="CL420" s="308"/>
      <c r="CM420" s="314"/>
      <c r="CN420" s="308"/>
      <c r="CO420" s="308"/>
      <c r="CP420" s="314"/>
      <c r="CQ420" s="308"/>
      <c r="CR420" s="308"/>
      <c r="CS420" s="314"/>
      <c r="CT420" s="308"/>
      <c r="CU420" s="308"/>
      <c r="CV420" s="314"/>
      <c r="CW420" s="308"/>
      <c r="CX420" s="308"/>
      <c r="CY420" s="314"/>
      <c r="CZ420" s="308"/>
      <c r="DA420" s="308"/>
      <c r="DB420" s="314"/>
      <c r="DC420" s="308"/>
      <c r="DD420" s="308"/>
      <c r="DE420" s="314"/>
      <c r="DF420" s="308"/>
      <c r="DG420" s="308"/>
      <c r="DH420" s="314"/>
      <c r="DI420" s="308"/>
      <c r="DJ420" s="308"/>
      <c r="DK420" s="308"/>
      <c r="DL420" s="308"/>
    </row>
    <row r="421" spans="1:116" hidden="1" outlineLevel="1">
      <c r="A421" s="301"/>
      <c r="B421" s="312"/>
      <c r="C421" s="30"/>
      <c r="D421" s="314"/>
      <c r="E421" s="310"/>
      <c r="F421" s="314"/>
      <c r="G421" s="30"/>
      <c r="H421" s="30"/>
      <c r="I421" s="30"/>
      <c r="J421" s="316"/>
      <c r="K421" s="30"/>
      <c r="L421" s="314"/>
      <c r="M421" s="310"/>
      <c r="N421" s="314"/>
      <c r="O421" s="310"/>
      <c r="P421" s="314"/>
      <c r="Q421" s="30"/>
      <c r="R421" s="30"/>
      <c r="S421" s="310"/>
      <c r="T421" s="314"/>
      <c r="U421" s="310"/>
      <c r="V421" s="314"/>
      <c r="W421" s="318"/>
      <c r="X421" s="318"/>
      <c r="Y421" s="318"/>
      <c r="Z421" s="314"/>
      <c r="AA421" s="318"/>
      <c r="AB421" s="314"/>
      <c r="AC421" s="310"/>
      <c r="AD421" s="314"/>
      <c r="AE421" s="310"/>
      <c r="AF421" s="30"/>
      <c r="AG421" s="310"/>
      <c r="AH421" s="30"/>
      <c r="AI421" s="310"/>
      <c r="AJ421" s="30"/>
      <c r="AK421" s="310"/>
      <c r="AL421" s="30"/>
      <c r="AM421" s="310"/>
      <c r="AN421" s="30"/>
      <c r="AO421" s="310"/>
      <c r="AP421" s="30"/>
      <c r="AQ421" s="453"/>
      <c r="AR421" s="310"/>
      <c r="AS421" s="310"/>
      <c r="AT421" s="30"/>
      <c r="AU421" s="30"/>
      <c r="AV421" s="30"/>
      <c r="AW421" s="314"/>
      <c r="AX421" s="310"/>
      <c r="AY421" s="310"/>
      <c r="AZ421" s="314"/>
      <c r="BA421" s="30"/>
      <c r="BB421" s="310"/>
      <c r="BC421" s="30"/>
      <c r="BD421" s="30"/>
      <c r="BE421" s="30"/>
      <c r="BF421" s="310"/>
      <c r="BG421" s="316"/>
      <c r="BH421" s="30"/>
      <c r="BI421" s="30"/>
      <c r="BJ421" s="310"/>
      <c r="BK421" s="314"/>
      <c r="BL421" s="30"/>
      <c r="BM421" s="30"/>
      <c r="BN421" s="310"/>
      <c r="BO421" s="314"/>
      <c r="BP421" s="30"/>
      <c r="BQ421" s="30"/>
      <c r="BR421" s="30"/>
      <c r="BS421" s="310"/>
      <c r="BT421" s="314"/>
      <c r="BU421" s="30"/>
      <c r="BV421" s="30"/>
      <c r="BW421" s="30"/>
      <c r="BX421" s="310"/>
      <c r="BY421" s="314"/>
      <c r="BZ421" s="30"/>
      <c r="CA421" s="30"/>
      <c r="CB421" s="30"/>
      <c r="CC421" s="310"/>
      <c r="CD421" s="30"/>
      <c r="CE421" s="30"/>
      <c r="CF421" s="30"/>
      <c r="CG421" s="30"/>
      <c r="CH421" s="310"/>
      <c r="CI421" s="314"/>
      <c r="CJ421" s="30"/>
      <c r="CK421" s="30"/>
      <c r="CL421" s="310"/>
      <c r="CM421" s="314"/>
      <c r="CN421" s="30"/>
      <c r="CO421" s="310"/>
      <c r="CP421" s="314"/>
      <c r="CQ421" s="30"/>
      <c r="CR421" s="310"/>
      <c r="CS421" s="314"/>
      <c r="CT421" s="30"/>
      <c r="CU421" s="310"/>
      <c r="CV421" s="314"/>
      <c r="CW421" s="30"/>
      <c r="CX421" s="310"/>
      <c r="CY421" s="314"/>
      <c r="CZ421" s="30"/>
      <c r="DA421" s="310"/>
      <c r="DB421" s="314"/>
      <c r="DC421" s="30"/>
      <c r="DD421" s="310"/>
      <c r="DE421" s="314"/>
      <c r="DF421" s="30"/>
      <c r="DG421" s="310"/>
      <c r="DH421" s="314"/>
      <c r="DI421" s="30"/>
      <c r="DJ421" s="30"/>
      <c r="DK421" s="30"/>
      <c r="DL421" s="30"/>
    </row>
    <row r="422" spans="1:116" hidden="1" outlineLevel="1">
      <c r="A422" s="301"/>
      <c r="B422" s="312">
        <f>+B240</f>
        <v>1997</v>
      </c>
      <c r="C422" s="30"/>
      <c r="D422" s="314"/>
      <c r="E422" s="310"/>
      <c r="F422" s="314"/>
      <c r="G422" s="30"/>
      <c r="H422" s="30"/>
      <c r="I422" s="30"/>
      <c r="J422" s="316"/>
      <c r="K422" s="30"/>
      <c r="L422" s="314"/>
      <c r="M422" s="310"/>
      <c r="N422" s="314"/>
      <c r="O422" s="310"/>
      <c r="P422" s="314"/>
      <c r="Q422" s="30"/>
      <c r="R422" s="30"/>
      <c r="S422" s="310"/>
      <c r="T422" s="314"/>
      <c r="U422" s="310"/>
      <c r="V422" s="314"/>
      <c r="W422" s="318"/>
      <c r="X422" s="318"/>
      <c r="Y422" s="318"/>
      <c r="Z422" s="314"/>
      <c r="AA422" s="318"/>
      <c r="AB422" s="314"/>
      <c r="AC422" s="310"/>
      <c r="AD422" s="314"/>
      <c r="AE422" s="310"/>
      <c r="AF422" s="30"/>
      <c r="AG422" s="310"/>
      <c r="AH422" s="30"/>
      <c r="AI422" s="310"/>
      <c r="AJ422" s="30"/>
      <c r="AK422" s="310"/>
      <c r="AL422" s="30"/>
      <c r="AM422" s="310"/>
      <c r="AN422" s="30"/>
      <c r="AO422" s="310"/>
      <c r="AP422" s="30"/>
      <c r="AQ422" s="453"/>
      <c r="AR422" s="310"/>
      <c r="AS422" s="310"/>
      <c r="AT422" s="30"/>
      <c r="AU422" s="30"/>
      <c r="AV422" s="30"/>
      <c r="AW422" s="314"/>
      <c r="AX422" s="310"/>
      <c r="AY422" s="310"/>
      <c r="AZ422" s="314"/>
      <c r="BA422" s="30"/>
      <c r="BB422" s="310"/>
      <c r="BC422" s="30"/>
      <c r="BD422" s="30"/>
      <c r="BE422" s="30"/>
      <c r="BF422" s="310"/>
      <c r="BG422" s="316"/>
      <c r="BH422" s="30"/>
      <c r="BI422" s="30"/>
      <c r="BJ422" s="310"/>
      <c r="BK422" s="314"/>
      <c r="BL422" s="30"/>
      <c r="BM422" s="30"/>
      <c r="BN422" s="310"/>
      <c r="BO422" s="314"/>
      <c r="BP422" s="30"/>
      <c r="BQ422" s="30"/>
      <c r="BR422" s="30"/>
      <c r="BS422" s="310"/>
      <c r="BT422" s="314"/>
      <c r="BU422" s="30"/>
      <c r="BV422" s="30"/>
      <c r="BW422" s="30"/>
      <c r="BX422" s="310"/>
      <c r="BY422" s="314"/>
      <c r="BZ422" s="30"/>
      <c r="CA422" s="30"/>
      <c r="CB422" s="30"/>
      <c r="CC422" s="310"/>
      <c r="CD422" s="30"/>
      <c r="CE422" s="30"/>
      <c r="CF422" s="30"/>
      <c r="CG422" s="30"/>
      <c r="CH422" s="310"/>
      <c r="CI422" s="314"/>
      <c r="CJ422" s="30"/>
      <c r="CK422" s="30"/>
      <c r="CL422" s="310"/>
      <c r="CM422" s="314"/>
      <c r="CN422" s="30"/>
      <c r="CO422" s="310"/>
      <c r="CP422" s="314"/>
      <c r="CQ422" s="30"/>
      <c r="CR422" s="310"/>
      <c r="CS422" s="314"/>
      <c r="CT422" s="30"/>
      <c r="CU422" s="310"/>
      <c r="CV422" s="314"/>
      <c r="CW422" s="30"/>
      <c r="CX422" s="310"/>
      <c r="CY422" s="314"/>
      <c r="CZ422" s="30"/>
      <c r="DA422" s="310"/>
      <c r="DB422" s="314"/>
      <c r="DC422" s="30"/>
      <c r="DD422" s="310"/>
      <c r="DE422" s="314"/>
      <c r="DF422" s="30"/>
      <c r="DG422" s="310"/>
      <c r="DH422" s="314"/>
      <c r="DI422" s="30"/>
      <c r="DJ422" s="30"/>
      <c r="DK422" s="30"/>
      <c r="DL422" s="30"/>
    </row>
    <row r="423" spans="1:116" hidden="1" outlineLevel="1">
      <c r="A423" s="30" t="str">
        <f>+A241</f>
        <v>1Q</v>
      </c>
      <c r="B423" s="30" t="str">
        <f>+B241</f>
        <v>Apr</v>
      </c>
      <c r="C423" s="30"/>
      <c r="D423" s="314">
        <f>+D241/$AR$373</f>
        <v>3.6962499999999996</v>
      </c>
      <c r="E423" s="308">
        <f>+(D423/D417-1)*100</f>
        <v>10.377006345651374</v>
      </c>
      <c r="F423" s="314">
        <f>+F241/$AR$373</f>
        <v>0.50375000000000003</v>
      </c>
      <c r="G423" s="308">
        <f>+(F423/F417-1)*100</f>
        <v>2.0253164556962133</v>
      </c>
      <c r="H423" s="308"/>
      <c r="I423" s="308"/>
      <c r="J423" s="316">
        <f>+D423+F423</f>
        <v>4.1999999999999993</v>
      </c>
      <c r="K423" s="308">
        <f>+(J423/J417-1)*100</f>
        <v>9.3038386467143788</v>
      </c>
      <c r="L423" s="314">
        <f>+L241/$AR$373</f>
        <v>1.82125</v>
      </c>
      <c r="M423" s="308">
        <f>+(L423/L417-1)*100</f>
        <v>60.816777041942593</v>
      </c>
      <c r="N423" s="314">
        <f>+N241/$AR$373</f>
        <v>5.9212499999999997</v>
      </c>
      <c r="O423" s="308">
        <f>+(N423/N417-1)*100</f>
        <v>2.244765810489957</v>
      </c>
      <c r="P423" s="314">
        <f>+P241/$AR$373</f>
        <v>2.65</v>
      </c>
      <c r="Q423" s="308">
        <f>+(P423/P417-1)*100</f>
        <v>5.1587301587301626</v>
      </c>
      <c r="R423" s="307"/>
      <c r="S423" s="308"/>
      <c r="T423" s="314">
        <f>+T241/$AR$373</f>
        <v>4.8862499999999995</v>
      </c>
      <c r="U423" s="308">
        <f>+(T423/T417-1)*100</f>
        <v>-6.550322734879277</v>
      </c>
      <c r="V423" s="314">
        <f>+V241/$AR$373</f>
        <v>0.14124999999999999</v>
      </c>
      <c r="W423" s="317">
        <f>+(V423/V417-1)*100</f>
        <v>28.409090909090917</v>
      </c>
      <c r="X423" s="317"/>
      <c r="Y423" s="317"/>
      <c r="Z423" s="314"/>
      <c r="AA423" s="317"/>
      <c r="AB423" s="314">
        <f>+AB241/$AR$373</f>
        <v>7.2799999999999994</v>
      </c>
      <c r="AC423" s="308">
        <f>+(AB423/AB417-1)*100</f>
        <v>-7.2759114790638453</v>
      </c>
      <c r="AD423" s="314">
        <f>+AD241/$AR$373</f>
        <v>4.8712499999999999</v>
      </c>
      <c r="AE423" s="308">
        <f>+(AD423/AD417-1)*100</f>
        <v>-2.2082810539523101</v>
      </c>
      <c r="AF423" s="314">
        <f>+AF241/$AR$373</f>
        <v>0.61</v>
      </c>
      <c r="AG423" s="308">
        <f>+(AF423/AF417-1)*100</f>
        <v>95.199999999999989</v>
      </c>
      <c r="AH423" s="314">
        <f>+AH241/$AR$373</f>
        <v>1.2124999999999999</v>
      </c>
      <c r="AI423" s="308">
        <f>+(AH423/AH417-1)*100</f>
        <v>3.5218783351120608</v>
      </c>
      <c r="AJ423" s="314">
        <f>+AJ241/$AR$373</f>
        <v>0.45249999999999996</v>
      </c>
      <c r="AK423" s="308">
        <f>+(AJ423/AJ417-1)*100</f>
        <v>-1.8970189701897122</v>
      </c>
      <c r="AL423" s="314">
        <f>+AL241/$AR$373</f>
        <v>1.3012499999999998</v>
      </c>
      <c r="AM423" s="308">
        <f>+(AL423/AL417-1)*100</f>
        <v>29.477611940298498</v>
      </c>
      <c r="AN423" s="314">
        <f>+AN241/$AR$373</f>
        <v>0</v>
      </c>
      <c r="AO423" s="308">
        <f>+(AN423/AN417-1)*100</f>
        <v>-100</v>
      </c>
      <c r="AP423" s="30"/>
      <c r="AQ423" s="453">
        <f>+J423+L423+N423+P423+R423+T423+V423+AB423+AD423+AF423+AH423+AJ423+AL423+AN423</f>
        <v>35.347500000000004</v>
      </c>
      <c r="AR423" s="308">
        <f>+(AQ423/AQ417-1)*100</f>
        <v>2.7244986922406511</v>
      </c>
      <c r="AS423" s="308"/>
      <c r="AT423" s="30"/>
      <c r="AU423" s="30"/>
      <c r="AV423" s="30"/>
      <c r="AW423" s="314"/>
      <c r="AX423" s="308"/>
      <c r="AY423" s="308"/>
      <c r="AZ423" s="314"/>
      <c r="BA423" s="308"/>
      <c r="BB423" s="308"/>
      <c r="BC423" s="308"/>
      <c r="BD423" s="308"/>
      <c r="BE423" s="308"/>
      <c r="BF423" s="308"/>
      <c r="BG423" s="316"/>
      <c r="BH423" s="308"/>
      <c r="BI423" s="308"/>
      <c r="BJ423" s="308"/>
      <c r="BK423" s="314"/>
      <c r="BL423" s="308"/>
      <c r="BM423" s="308"/>
      <c r="BN423" s="308"/>
      <c r="BO423" s="314"/>
      <c r="BP423" s="308"/>
      <c r="BQ423" s="308"/>
      <c r="BR423" s="308"/>
      <c r="BS423" s="308"/>
      <c r="BT423" s="314"/>
      <c r="BU423" s="308"/>
      <c r="BV423" s="308"/>
      <c r="BW423" s="308"/>
      <c r="BX423" s="308"/>
      <c r="BY423" s="314"/>
      <c r="BZ423" s="308"/>
      <c r="CA423" s="308"/>
      <c r="CB423" s="308"/>
      <c r="CC423" s="308"/>
      <c r="CD423" s="307"/>
      <c r="CE423" s="308"/>
      <c r="CF423" s="308"/>
      <c r="CG423" s="308"/>
      <c r="CH423" s="308"/>
      <c r="CI423" s="314"/>
      <c r="CJ423" s="308"/>
      <c r="CK423" s="308"/>
      <c r="CL423" s="308"/>
      <c r="CM423" s="314"/>
      <c r="CN423" s="308"/>
      <c r="CO423" s="308"/>
      <c r="CP423" s="314"/>
      <c r="CQ423" s="308"/>
      <c r="CR423" s="308"/>
      <c r="CS423" s="314"/>
      <c r="CT423" s="308"/>
      <c r="CU423" s="308"/>
      <c r="CV423" s="314"/>
      <c r="CW423" s="308"/>
      <c r="CX423" s="308"/>
      <c r="CY423" s="314"/>
      <c r="CZ423" s="308"/>
      <c r="DA423" s="308"/>
      <c r="DB423" s="314"/>
      <c r="DC423" s="308"/>
      <c r="DD423" s="308"/>
      <c r="DE423" s="314"/>
      <c r="DF423" s="308"/>
      <c r="DG423" s="308"/>
      <c r="DH423" s="314"/>
      <c r="DI423" s="308"/>
      <c r="DJ423" s="308"/>
      <c r="DK423" s="308"/>
      <c r="DL423" s="308"/>
    </row>
    <row r="424" spans="1:116" hidden="1" outlineLevel="1">
      <c r="A424" s="30" t="str">
        <f>+A242</f>
        <v>2Q</v>
      </c>
      <c r="B424" s="30" t="str">
        <f>+B242</f>
        <v>Jul</v>
      </c>
      <c r="C424" s="30"/>
      <c r="D424" s="314">
        <f>+D242/$AR$373</f>
        <v>3.7824999999999998</v>
      </c>
      <c r="E424" s="308">
        <f>+(D424/D418-1)*100</f>
        <v>8.071428571428573</v>
      </c>
      <c r="F424" s="314">
        <f>+F242/$AR$373</f>
        <v>0.50874999999999992</v>
      </c>
      <c r="G424" s="308">
        <f>+(F424/F418-1)*100</f>
        <v>3.0379746835442756</v>
      </c>
      <c r="H424" s="308"/>
      <c r="I424" s="308"/>
      <c r="J424" s="316">
        <f>+D424+F424</f>
        <v>4.2912499999999998</v>
      </c>
      <c r="K424" s="308">
        <f>+(J424/J418-1)*100</f>
        <v>7.4491392801252054</v>
      </c>
      <c r="L424" s="314">
        <f>+L242/$AR$373</f>
        <v>1.9550000000000001</v>
      </c>
      <c r="M424" s="308">
        <f>+(L424/L418-1)*100</f>
        <v>50.095969289827266</v>
      </c>
      <c r="N424" s="314">
        <f>+N242/$AR$373</f>
        <v>5.9225000000000003</v>
      </c>
      <c r="O424" s="308">
        <f>+(N424/N418-1)*100</f>
        <v>1.0665529010239094</v>
      </c>
      <c r="P424" s="314">
        <f>+P242/$AR$373</f>
        <v>2.6662499999999998</v>
      </c>
      <c r="Q424" s="308">
        <f>+(P424/P418-1)*100</f>
        <v>3.1930333817126177</v>
      </c>
      <c r="R424" s="307"/>
      <c r="S424" s="308"/>
      <c r="T424" s="314">
        <f>+T242/$AR$373</f>
        <v>4.8637499999999996</v>
      </c>
      <c r="U424" s="308">
        <f>+(T424/T418-1)*100</f>
        <v>-6.0598744567841756</v>
      </c>
      <c r="V424" s="314">
        <f>+V242/$AR$373</f>
        <v>0.14124999999999999</v>
      </c>
      <c r="W424" s="317">
        <f>+(V424/V418-1)*100</f>
        <v>28.409090909090917</v>
      </c>
      <c r="X424" s="317"/>
      <c r="Y424" s="317"/>
      <c r="Z424" s="314"/>
      <c r="AA424" s="317"/>
      <c r="AB424" s="314">
        <f>+AB242/$AR$373</f>
        <v>7.2537499999999993</v>
      </c>
      <c r="AC424" s="308">
        <f>+(AB424/AB418-1)*100</f>
        <v>-6.7791164658634546</v>
      </c>
      <c r="AD424" s="314">
        <f>+AD242/$AR$373</f>
        <v>4.84375</v>
      </c>
      <c r="AE424" s="308">
        <f>+(AD424/AD418-1)*100</f>
        <v>-1.997976732422857</v>
      </c>
      <c r="AF424" s="314">
        <f>+AF242/$AR$373</f>
        <v>0.61</v>
      </c>
      <c r="AG424" s="308">
        <f>+(AF424/AF418-1)*100</f>
        <v>95.199999999999989</v>
      </c>
      <c r="AH424" s="314">
        <f>+AH242/$AR$373</f>
        <v>1.2162499999999998</v>
      </c>
      <c r="AI424" s="308">
        <f>+(AH424/AH418-1)*100</f>
        <v>2.0986358866736499</v>
      </c>
      <c r="AJ424" s="314">
        <f>+AJ242/$AR$373</f>
        <v>0.45374999999999999</v>
      </c>
      <c r="AK424" s="308">
        <f>+(AJ424/AJ418-1)*100</f>
        <v>-1.3586956521739135</v>
      </c>
      <c r="AL424" s="314">
        <f>+AL242/$AR$373</f>
        <v>1.37625</v>
      </c>
      <c r="AM424" s="308">
        <f>+(AL424/AL418-1)*100</f>
        <v>32.650602409638573</v>
      </c>
      <c r="AN424" s="314">
        <f>+AN242/$AR$373</f>
        <v>0</v>
      </c>
      <c r="AO424" s="308">
        <f>+(AN424/AN418-1)*100</f>
        <v>-100</v>
      </c>
      <c r="AP424" s="30"/>
      <c r="AQ424" s="453">
        <f>+J424+L424+N424+P424+R424+T424+V424+AB424+AD424+AF424+AH424+AJ424+AL424+AN424</f>
        <v>35.59375</v>
      </c>
      <c r="AR424" s="308">
        <f>+(AQ424/AQ418-1)*100</f>
        <v>2.4133218241979781</v>
      </c>
      <c r="AS424" s="308"/>
      <c r="AT424" s="30"/>
      <c r="AU424" s="30"/>
      <c r="AV424" s="30"/>
      <c r="AW424" s="314"/>
      <c r="AX424" s="308"/>
      <c r="AY424" s="308"/>
      <c r="AZ424" s="314"/>
      <c r="BA424" s="308"/>
      <c r="BB424" s="308"/>
      <c r="BC424" s="308"/>
      <c r="BD424" s="308"/>
      <c r="BE424" s="308"/>
      <c r="BF424" s="308"/>
      <c r="BG424" s="316"/>
      <c r="BH424" s="308"/>
      <c r="BI424" s="308"/>
      <c r="BJ424" s="308"/>
      <c r="BK424" s="314"/>
      <c r="BL424" s="308"/>
      <c r="BM424" s="308"/>
      <c r="BN424" s="308"/>
      <c r="BO424" s="314"/>
      <c r="BP424" s="308"/>
      <c r="BQ424" s="308"/>
      <c r="BR424" s="308"/>
      <c r="BS424" s="308"/>
      <c r="BT424" s="314"/>
      <c r="BU424" s="308"/>
      <c r="BV424" s="308"/>
      <c r="BW424" s="308"/>
      <c r="BX424" s="308"/>
      <c r="BY424" s="314"/>
      <c r="BZ424" s="308"/>
      <c r="CA424" s="308"/>
      <c r="CB424" s="308"/>
      <c r="CC424" s="308"/>
      <c r="CD424" s="307"/>
      <c r="CE424" s="308"/>
      <c r="CF424" s="308"/>
      <c r="CG424" s="308"/>
      <c r="CH424" s="308"/>
      <c r="CI424" s="314"/>
      <c r="CJ424" s="308"/>
      <c r="CK424" s="308"/>
      <c r="CL424" s="308"/>
      <c r="CM424" s="314"/>
      <c r="CN424" s="308"/>
      <c r="CO424" s="308"/>
      <c r="CP424" s="314"/>
      <c r="CQ424" s="308"/>
      <c r="CR424" s="308"/>
      <c r="CS424" s="314"/>
      <c r="CT424" s="308"/>
      <c r="CU424" s="308"/>
      <c r="CV424" s="314"/>
      <c r="CW424" s="308"/>
      <c r="CX424" s="308"/>
      <c r="CY424" s="314"/>
      <c r="CZ424" s="308"/>
      <c r="DA424" s="308"/>
      <c r="DB424" s="314"/>
      <c r="DC424" s="308"/>
      <c r="DD424" s="308"/>
      <c r="DE424" s="314"/>
      <c r="DF424" s="308"/>
      <c r="DG424" s="308"/>
      <c r="DH424" s="314"/>
      <c r="DI424" s="308"/>
      <c r="DJ424" s="308"/>
      <c r="DK424" s="308"/>
      <c r="DL424" s="308"/>
    </row>
    <row r="425" spans="1:116" hidden="1" outlineLevel="1">
      <c r="A425" s="30" t="str">
        <f>+A243</f>
        <v>3Q</v>
      </c>
      <c r="B425" s="30" t="str">
        <f>+B243</f>
        <v>Oct</v>
      </c>
      <c r="C425" s="30"/>
      <c r="D425" s="314">
        <f>+D243/$AR$373</f>
        <v>3.895</v>
      </c>
      <c r="E425" s="308">
        <f>+(D425/D419-1)*100</f>
        <v>7.9695079695079718</v>
      </c>
      <c r="F425" s="314">
        <f>+F243/$AR$373</f>
        <v>0.52124999999999999</v>
      </c>
      <c r="G425" s="308">
        <f>+(F425/F419-1)*100</f>
        <v>5.3030303030302983</v>
      </c>
      <c r="H425" s="308"/>
      <c r="I425" s="308"/>
      <c r="J425" s="316">
        <f>+D425+F425</f>
        <v>4.4162499999999998</v>
      </c>
      <c r="K425" s="308">
        <f>+(J425/J419-1)*100</f>
        <v>7.6477757464960439</v>
      </c>
      <c r="L425" s="314">
        <f>+L243/$AR$373</f>
        <v>2.1599999999999997</v>
      </c>
      <c r="M425" s="308">
        <f>+(L425/L419-1)*100</f>
        <v>31.607006854531594</v>
      </c>
      <c r="N425" s="314">
        <f>+N243/$AR$373</f>
        <v>5.9550000000000001</v>
      </c>
      <c r="O425" s="308">
        <f>+(N425/N419-1)*100</f>
        <v>0.2525252525252597</v>
      </c>
      <c r="P425" s="314">
        <f>+P243/$AR$373</f>
        <v>2.6862499999999998</v>
      </c>
      <c r="Q425" s="308">
        <f>+(P425/P419-1)*100</f>
        <v>1.5595463137996202</v>
      </c>
      <c r="R425" s="307"/>
      <c r="S425" s="308"/>
      <c r="T425" s="314">
        <f>+T243/$AR$373</f>
        <v>4.8425000000000002</v>
      </c>
      <c r="U425" s="308">
        <f>+(T425/T419-1)*100</f>
        <v>-5.4891436935837978</v>
      </c>
      <c r="V425" s="314">
        <f>+V243/$AR$373</f>
        <v>0.14124999999999999</v>
      </c>
      <c r="W425" s="317">
        <f>+(V425/V419-1)*100</f>
        <v>0</v>
      </c>
      <c r="X425" s="317"/>
      <c r="Y425" s="317"/>
      <c r="Z425" s="314"/>
      <c r="AA425" s="317"/>
      <c r="AB425" s="314">
        <f>+AB243/$AR$373</f>
        <v>7.17875</v>
      </c>
      <c r="AC425" s="308">
        <f>+(AB425/AB419-1)*100</f>
        <v>-6.8904020752269757</v>
      </c>
      <c r="AD425" s="314">
        <f>+AD243/$AR$373</f>
        <v>4.8362499999999997</v>
      </c>
      <c r="AE425" s="308">
        <f>+(AD425/AD419-1)*100</f>
        <v>-2.8377699648417964</v>
      </c>
      <c r="AF425" s="314">
        <f>+AF243/$AR$373</f>
        <v>0.80125000000000002</v>
      </c>
      <c r="AG425" s="308">
        <f>+(AF425/AF419-1)*100</f>
        <v>31.352459016393453</v>
      </c>
      <c r="AH425" s="314">
        <f>+AH243/$AR$373</f>
        <v>1.22</v>
      </c>
      <c r="AI425" s="308">
        <f>+(AH425/AH419-1)*100</f>
        <v>0.72239422084623417</v>
      </c>
      <c r="AJ425" s="314">
        <f>+AJ243/$AR$373</f>
        <v>0.45374999999999999</v>
      </c>
      <c r="AK425" s="308">
        <f>+(AJ425/AJ419-1)*100</f>
        <v>-2.1563342318059342</v>
      </c>
      <c r="AL425" s="314">
        <f>+AL243/$AR$373</f>
        <v>1.4724999999999999</v>
      </c>
      <c r="AM425" s="308">
        <f>+(AL425/AL419-1)*100</f>
        <v>26.124197002141326</v>
      </c>
      <c r="AN425" s="314">
        <f>+AN243/$AR$373</f>
        <v>0</v>
      </c>
      <c r="AO425" s="308">
        <f>+(AN425/AN419-1)*100</f>
        <v>-100</v>
      </c>
      <c r="AP425" s="30"/>
      <c r="AQ425" s="453">
        <f>+J425+L425+N425+P425+R425+T425+V425+AB425+AD425+AF425+AH425+AJ425+AL425+AN425</f>
        <v>36.16375</v>
      </c>
      <c r="AR425" s="308">
        <f>+(AQ425/AQ419-1)*100</f>
        <v>1.1962642974570947</v>
      </c>
      <c r="AS425" s="308"/>
      <c r="AT425" s="30"/>
      <c r="AU425" s="30"/>
      <c r="AV425" s="30"/>
      <c r="AW425" s="314"/>
      <c r="AX425" s="308"/>
      <c r="AY425" s="308"/>
      <c r="AZ425" s="314"/>
      <c r="BA425" s="308"/>
      <c r="BB425" s="308"/>
      <c r="BC425" s="308"/>
      <c r="BD425" s="308"/>
      <c r="BE425" s="308"/>
      <c r="BF425" s="308"/>
      <c r="BG425" s="316"/>
      <c r="BH425" s="308"/>
      <c r="BI425" s="308"/>
      <c r="BJ425" s="308"/>
      <c r="BK425" s="314"/>
      <c r="BL425" s="308"/>
      <c r="BM425" s="308"/>
      <c r="BN425" s="308"/>
      <c r="BO425" s="314"/>
      <c r="BP425" s="308"/>
      <c r="BQ425" s="308"/>
      <c r="BR425" s="308"/>
      <c r="BS425" s="308"/>
      <c r="BT425" s="314"/>
      <c r="BU425" s="308"/>
      <c r="BV425" s="308"/>
      <c r="BW425" s="308"/>
      <c r="BX425" s="308"/>
      <c r="BY425" s="314"/>
      <c r="BZ425" s="308"/>
      <c r="CA425" s="308"/>
      <c r="CB425" s="308"/>
      <c r="CC425" s="308"/>
      <c r="CD425" s="307"/>
      <c r="CE425" s="308"/>
      <c r="CF425" s="308"/>
      <c r="CG425" s="308"/>
      <c r="CH425" s="308"/>
      <c r="CI425" s="314"/>
      <c r="CJ425" s="308"/>
      <c r="CK425" s="308"/>
      <c r="CL425" s="308"/>
      <c r="CM425" s="314"/>
      <c r="CN425" s="308"/>
      <c r="CO425" s="308"/>
      <c r="CP425" s="314"/>
      <c r="CQ425" s="308"/>
      <c r="CR425" s="308"/>
      <c r="CS425" s="314"/>
      <c r="CT425" s="308"/>
      <c r="CU425" s="308"/>
      <c r="CV425" s="314"/>
      <c r="CW425" s="308"/>
      <c r="CX425" s="308"/>
      <c r="CY425" s="314"/>
      <c r="CZ425" s="308"/>
      <c r="DA425" s="308"/>
      <c r="DB425" s="314"/>
      <c r="DC425" s="308"/>
      <c r="DD425" s="308"/>
      <c r="DE425" s="314"/>
      <c r="DF425" s="308"/>
      <c r="DG425" s="308"/>
      <c r="DH425" s="314"/>
      <c r="DI425" s="308"/>
      <c r="DJ425" s="308"/>
      <c r="DK425" s="308"/>
      <c r="DL425" s="308"/>
    </row>
    <row r="426" spans="1:116" hidden="1" outlineLevel="1">
      <c r="A426" s="30">
        <f>+A244</f>
        <v>0</v>
      </c>
      <c r="B426" s="30" t="str">
        <f>+B244</f>
        <v>Jan</v>
      </c>
      <c r="C426" s="30"/>
      <c r="D426" s="314">
        <f>+D244/$AR$373</f>
        <v>3.92</v>
      </c>
      <c r="E426" s="308">
        <f>+(D426/D420-1)*100</f>
        <v>7.2870338693123538</v>
      </c>
      <c r="F426" s="314">
        <f>+F244/$AR$373</f>
        <v>0.52374999999999994</v>
      </c>
      <c r="G426" s="308">
        <f>+(F426/F420-1)*100</f>
        <v>3.9702233250620056</v>
      </c>
      <c r="H426" s="308"/>
      <c r="I426" s="308"/>
      <c r="J426" s="316">
        <f>+D426+F426</f>
        <v>4.4437499999999996</v>
      </c>
      <c r="K426" s="308">
        <f>+(J426/J420-1)*100</f>
        <v>6.8851473241130501</v>
      </c>
      <c r="L426" s="314">
        <f>+L244/$AR$373</f>
        <v>2.2162499999999996</v>
      </c>
      <c r="M426" s="308">
        <f>+(L426/L420-1)*100</f>
        <v>30.945347119645472</v>
      </c>
      <c r="N426" s="314">
        <f>+N244/$AR$373</f>
        <v>5.9237499999999992</v>
      </c>
      <c r="O426" s="308">
        <f>+(N426/N420-1)*100</f>
        <v>0.27507405840032639</v>
      </c>
      <c r="P426" s="314">
        <f>+P244/$AR$373</f>
        <v>2.6787499999999995</v>
      </c>
      <c r="Q426" s="308">
        <f>+(P426/P420-1)*100</f>
        <v>1.2281530467642687</v>
      </c>
      <c r="R426" s="307"/>
      <c r="S426" s="308"/>
      <c r="T426" s="314">
        <f>+T244/$AR$373</f>
        <v>4.7374999999999998</v>
      </c>
      <c r="U426" s="308">
        <f>+(T426/T420-1)*100</f>
        <v>-4.7020367110887529</v>
      </c>
      <c r="V426" s="314">
        <f>+V244/$AR$373</f>
        <v>0.14124999999999999</v>
      </c>
      <c r="W426" s="317">
        <f>+(V426/V420-1)*100</f>
        <v>0</v>
      </c>
      <c r="X426" s="317"/>
      <c r="Y426" s="317"/>
      <c r="Z426" s="314"/>
      <c r="AA426" s="317"/>
      <c r="AB426" s="314">
        <f>+AB244/$AR$373</f>
        <v>7.1225000000000005</v>
      </c>
      <c r="AC426" s="308">
        <f>+(AB426/AB420-1)*100</f>
        <v>-4.7794117647058654</v>
      </c>
      <c r="AD426" s="314">
        <f>+AD244/$AR$373</f>
        <v>4.6687499999999993</v>
      </c>
      <c r="AE426" s="308">
        <f>+(AD426/AD420-1)*100</f>
        <v>-6.155778894472375</v>
      </c>
      <c r="AF426" s="314">
        <f>+AF244/$AR$373</f>
        <v>0.80125000000000002</v>
      </c>
      <c r="AG426" s="308">
        <f>+(AF426/AF420-1)*100</f>
        <v>31.352459016393453</v>
      </c>
      <c r="AH426" s="314">
        <f>+AH244/$AR$373</f>
        <v>1.2237499999999999</v>
      </c>
      <c r="AI426" s="308">
        <f>+(AH426/AH420-1)*100</f>
        <v>1.2409513960703222</v>
      </c>
      <c r="AJ426" s="314">
        <f>+AJ244/$AR$373</f>
        <v>0</v>
      </c>
      <c r="AK426" s="308">
        <f>+(AJ426/AJ420-1)*100</f>
        <v>-100</v>
      </c>
      <c r="AL426" s="314">
        <f>+AL244/$AR$373</f>
        <v>1.5425</v>
      </c>
      <c r="AM426" s="308">
        <f>+(AL426/AL420-1)*100</f>
        <v>22.664015904572587</v>
      </c>
      <c r="AN426" s="314">
        <f>+AN244/$AR$373</f>
        <v>0</v>
      </c>
      <c r="AO426" s="308">
        <f>+(AN426/AN420-1)*100</f>
        <v>-100</v>
      </c>
      <c r="AP426" s="30"/>
      <c r="AQ426" s="453">
        <f>+J426+L426+N426+P426+R426+T426+V426+AB426+AD426+AF426+AH426+AJ426+AL426+AN426</f>
        <v>35.499999999999993</v>
      </c>
      <c r="AR426" s="308">
        <f>+(AQ426/AQ420-1)*100</f>
        <v>-1.7602534765015498E-2</v>
      </c>
      <c r="AS426" s="308"/>
      <c r="AT426" s="30"/>
      <c r="AU426" s="30"/>
      <c r="AV426" s="30"/>
      <c r="AW426" s="314"/>
      <c r="AX426" s="308"/>
      <c r="AY426" s="308"/>
      <c r="AZ426" s="314"/>
      <c r="BA426" s="308"/>
      <c r="BB426" s="308"/>
      <c r="BC426" s="308"/>
      <c r="BD426" s="308"/>
      <c r="BE426" s="308"/>
      <c r="BF426" s="308"/>
      <c r="BG426" s="316"/>
      <c r="BH426" s="308"/>
      <c r="BI426" s="308"/>
      <c r="BJ426" s="308"/>
      <c r="BK426" s="314"/>
      <c r="BL426" s="308"/>
      <c r="BM426" s="308"/>
      <c r="BN426" s="308"/>
      <c r="BO426" s="314"/>
      <c r="BP426" s="308"/>
      <c r="BQ426" s="308"/>
      <c r="BR426" s="308"/>
      <c r="BS426" s="308"/>
      <c r="BT426" s="314"/>
      <c r="BU426" s="308"/>
      <c r="BV426" s="308"/>
      <c r="BW426" s="308"/>
      <c r="BX426" s="308"/>
      <c r="BY426" s="314"/>
      <c r="BZ426" s="308"/>
      <c r="CA426" s="308"/>
      <c r="CB426" s="308"/>
      <c r="CC426" s="308"/>
      <c r="CD426" s="307"/>
      <c r="CE426" s="308"/>
      <c r="CF426" s="308"/>
      <c r="CG426" s="308"/>
      <c r="CH426" s="308"/>
      <c r="CI426" s="314"/>
      <c r="CJ426" s="308"/>
      <c r="CK426" s="308"/>
      <c r="CL426" s="308"/>
      <c r="CM426" s="314"/>
      <c r="CN426" s="308"/>
      <c r="CO426" s="308"/>
      <c r="CP426" s="314"/>
      <c r="CQ426" s="308"/>
      <c r="CR426" s="308"/>
      <c r="CS426" s="314"/>
      <c r="CT426" s="308"/>
      <c r="CU426" s="308"/>
      <c r="CV426" s="314"/>
      <c r="CW426" s="308"/>
      <c r="CX426" s="308"/>
      <c r="CY426" s="314"/>
      <c r="CZ426" s="308"/>
      <c r="DA426" s="308"/>
      <c r="DB426" s="314"/>
      <c r="DC426" s="308"/>
      <c r="DD426" s="308"/>
      <c r="DE426" s="314"/>
      <c r="DF426" s="308"/>
      <c r="DG426" s="308"/>
      <c r="DH426" s="314"/>
      <c r="DI426" s="308"/>
      <c r="DJ426" s="308"/>
      <c r="DK426" s="308"/>
      <c r="DL426" s="308"/>
    </row>
    <row r="427" spans="1:116" hidden="1" outlineLevel="1">
      <c r="A427" s="30"/>
      <c r="B427" s="30"/>
      <c r="C427" s="30"/>
      <c r="D427" s="314"/>
      <c r="E427" s="310"/>
      <c r="F427" s="314"/>
      <c r="G427" s="318"/>
      <c r="H427" s="318"/>
      <c r="I427" s="318"/>
      <c r="J427" s="316"/>
      <c r="K427" s="319"/>
      <c r="L427" s="314"/>
      <c r="M427" s="310"/>
      <c r="N427" s="314"/>
      <c r="O427" s="310"/>
      <c r="P427" s="314"/>
      <c r="Q427" s="30"/>
      <c r="R427" s="30"/>
      <c r="S427" s="310"/>
      <c r="T427" s="314"/>
      <c r="U427" s="310"/>
      <c r="V427" s="314"/>
      <c r="W427" s="318"/>
      <c r="X427" s="318"/>
      <c r="Y427" s="318"/>
      <c r="Z427" s="314"/>
      <c r="AA427" s="318"/>
      <c r="AB427" s="314"/>
      <c r="AC427" s="310"/>
      <c r="AD427" s="314"/>
      <c r="AE427" s="310"/>
      <c r="AF427" s="30"/>
      <c r="AG427" s="310"/>
      <c r="AH427" s="30"/>
      <c r="AI427" s="310"/>
      <c r="AJ427" s="30"/>
      <c r="AK427" s="310"/>
      <c r="AL427" s="30"/>
      <c r="AM427" s="310"/>
      <c r="AN427" s="30"/>
      <c r="AO427" s="310"/>
      <c r="AP427" s="30"/>
      <c r="AQ427" s="453"/>
      <c r="AR427" s="310"/>
      <c r="AS427" s="310"/>
      <c r="AT427" s="30"/>
      <c r="AU427" s="30"/>
      <c r="AV427" s="30"/>
      <c r="AW427" s="314"/>
      <c r="AX427" s="310"/>
      <c r="AY427" s="310"/>
      <c r="AZ427" s="314"/>
      <c r="BA427" s="318"/>
      <c r="BB427" s="310"/>
      <c r="BC427" s="318"/>
      <c r="BD427" s="318"/>
      <c r="BE427" s="318"/>
      <c r="BF427" s="310"/>
      <c r="BG427" s="316"/>
      <c r="BH427" s="318"/>
      <c r="BI427" s="318"/>
      <c r="BJ427" s="310"/>
      <c r="BK427" s="314"/>
      <c r="BL427" s="318"/>
      <c r="BM427" s="318"/>
      <c r="BN427" s="310"/>
      <c r="BO427" s="314"/>
      <c r="BP427" s="318"/>
      <c r="BQ427" s="318"/>
      <c r="BR427" s="318"/>
      <c r="BS427" s="310"/>
      <c r="BT427" s="314"/>
      <c r="BU427" s="318"/>
      <c r="BV427" s="318"/>
      <c r="BW427" s="318"/>
      <c r="BX427" s="310"/>
      <c r="BY427" s="314"/>
      <c r="BZ427" s="318"/>
      <c r="CA427" s="318"/>
      <c r="CB427" s="318"/>
      <c r="CC427" s="310"/>
      <c r="CD427" s="30"/>
      <c r="CE427" s="318"/>
      <c r="CF427" s="318"/>
      <c r="CG427" s="318"/>
      <c r="CH427" s="310"/>
      <c r="CI427" s="314"/>
      <c r="CJ427" s="318"/>
      <c r="CK427" s="318"/>
      <c r="CL427" s="310"/>
      <c r="CM427" s="314"/>
      <c r="CN427" s="318"/>
      <c r="CO427" s="310"/>
      <c r="CP427" s="314"/>
      <c r="CQ427" s="318"/>
      <c r="CR427" s="310"/>
      <c r="CS427" s="314"/>
      <c r="CT427" s="318"/>
      <c r="CU427" s="310"/>
      <c r="CV427" s="314"/>
      <c r="CW427" s="318"/>
      <c r="CX427" s="310"/>
      <c r="CY427" s="314"/>
      <c r="CZ427" s="318"/>
      <c r="DA427" s="310"/>
      <c r="DB427" s="314"/>
      <c r="DC427" s="318"/>
      <c r="DD427" s="310"/>
      <c r="DE427" s="314"/>
      <c r="DF427" s="318"/>
      <c r="DG427" s="310"/>
      <c r="DH427" s="314"/>
      <c r="DI427" s="318"/>
      <c r="DJ427" s="318"/>
      <c r="DK427" s="318"/>
      <c r="DL427" s="318"/>
    </row>
    <row r="428" spans="1:116" hidden="1" outlineLevel="1">
      <c r="A428" s="301"/>
      <c r="B428" s="312">
        <f>+B246</f>
        <v>1998</v>
      </c>
      <c r="C428" s="30"/>
      <c r="D428" s="314"/>
      <c r="E428" s="310"/>
      <c r="F428" s="314"/>
      <c r="G428" s="318"/>
      <c r="H428" s="318"/>
      <c r="I428" s="318"/>
      <c r="J428" s="316"/>
      <c r="K428" s="319"/>
      <c r="L428" s="314"/>
      <c r="M428" s="310"/>
      <c r="N428" s="314"/>
      <c r="O428" s="310"/>
      <c r="P428" s="314"/>
      <c r="Q428" s="30"/>
      <c r="R428" s="30"/>
      <c r="S428" s="310"/>
      <c r="T428" s="314"/>
      <c r="U428" s="310"/>
      <c r="V428" s="314"/>
      <c r="W428" s="318"/>
      <c r="X428" s="318"/>
      <c r="Y428" s="318"/>
      <c r="Z428" s="314"/>
      <c r="AA428" s="318"/>
      <c r="AB428" s="314"/>
      <c r="AC428" s="310"/>
      <c r="AD428" s="314"/>
      <c r="AE428" s="310"/>
      <c r="AF428" s="30"/>
      <c r="AG428" s="310"/>
      <c r="AH428" s="30"/>
      <c r="AI428" s="310"/>
      <c r="AJ428" s="30"/>
      <c r="AK428" s="310"/>
      <c r="AL428" s="30"/>
      <c r="AM428" s="310"/>
      <c r="AN428" s="30"/>
      <c r="AO428" s="310"/>
      <c r="AP428" s="30"/>
      <c r="AQ428" s="453"/>
      <c r="AR428" s="310"/>
      <c r="AS428" s="310"/>
      <c r="AT428" s="30"/>
      <c r="AU428" s="30"/>
      <c r="AV428" s="30"/>
      <c r="AW428" s="314"/>
      <c r="AX428" s="310"/>
      <c r="AY428" s="310"/>
      <c r="AZ428" s="314"/>
      <c r="BA428" s="318"/>
      <c r="BB428" s="310"/>
      <c r="BC428" s="318"/>
      <c r="BD428" s="318"/>
      <c r="BE428" s="318"/>
      <c r="BF428" s="310"/>
      <c r="BG428" s="316"/>
      <c r="BH428" s="318"/>
      <c r="BI428" s="318"/>
      <c r="BJ428" s="310"/>
      <c r="BK428" s="314"/>
      <c r="BL428" s="318"/>
      <c r="BM428" s="318"/>
      <c r="BN428" s="310"/>
      <c r="BO428" s="314"/>
      <c r="BP428" s="318"/>
      <c r="BQ428" s="318"/>
      <c r="BR428" s="318"/>
      <c r="BS428" s="310"/>
      <c r="BT428" s="314"/>
      <c r="BU428" s="318"/>
      <c r="BV428" s="318"/>
      <c r="BW428" s="318"/>
      <c r="BX428" s="310"/>
      <c r="BY428" s="314"/>
      <c r="BZ428" s="318"/>
      <c r="CA428" s="318"/>
      <c r="CB428" s="318"/>
      <c r="CC428" s="310"/>
      <c r="CD428" s="30"/>
      <c r="CE428" s="318"/>
      <c r="CF428" s="318"/>
      <c r="CG428" s="318"/>
      <c r="CH428" s="310"/>
      <c r="CI428" s="314"/>
      <c r="CJ428" s="318"/>
      <c r="CK428" s="318"/>
      <c r="CL428" s="310"/>
      <c r="CM428" s="314"/>
      <c r="CN428" s="318"/>
      <c r="CO428" s="310"/>
      <c r="CP428" s="314"/>
      <c r="CQ428" s="318"/>
      <c r="CR428" s="310"/>
      <c r="CS428" s="314"/>
      <c r="CT428" s="318"/>
      <c r="CU428" s="310"/>
      <c r="CV428" s="314"/>
      <c r="CW428" s="318"/>
      <c r="CX428" s="310"/>
      <c r="CY428" s="314"/>
      <c r="CZ428" s="318"/>
      <c r="DA428" s="310"/>
      <c r="DB428" s="314"/>
      <c r="DC428" s="318"/>
      <c r="DD428" s="310"/>
      <c r="DE428" s="314"/>
      <c r="DF428" s="318"/>
      <c r="DG428" s="310"/>
      <c r="DH428" s="314"/>
      <c r="DI428" s="318"/>
      <c r="DJ428" s="318"/>
      <c r="DK428" s="318"/>
      <c r="DL428" s="318"/>
    </row>
    <row r="429" spans="1:116" hidden="1" outlineLevel="1">
      <c r="A429" s="30" t="str">
        <f>+A247</f>
        <v>1Q</v>
      </c>
      <c r="B429" s="30" t="str">
        <f>+B247</f>
        <v>Apr</v>
      </c>
      <c r="C429" s="30"/>
      <c r="D429" s="314">
        <f>+D247/$AR$373</f>
        <v>3.9550000000000001</v>
      </c>
      <c r="E429" s="308">
        <f>+(D429/D423-1)*100</f>
        <v>7.0003381805884501</v>
      </c>
      <c r="F429" s="314">
        <f>+F247/$AR$373</f>
        <v>0.51999999999999991</v>
      </c>
      <c r="G429" s="308">
        <f>+(F429/F423-1)*100</f>
        <v>3.2258064516128782</v>
      </c>
      <c r="H429" s="308"/>
      <c r="I429" s="308"/>
      <c r="J429" s="316">
        <f>+D429+F429</f>
        <v>4.4749999999999996</v>
      </c>
      <c r="K429" s="308">
        <f>+(J429/J423-1)*100</f>
        <v>6.5476190476190466</v>
      </c>
      <c r="L429" s="314">
        <f>+L247/$AR$373</f>
        <v>2.335</v>
      </c>
      <c r="M429" s="308">
        <f>+(L429/L423-1)*100</f>
        <v>28.208647906657514</v>
      </c>
      <c r="N429" s="314">
        <f>+N247/$AR$373</f>
        <v>5.8425000000000002</v>
      </c>
      <c r="O429" s="308">
        <f>+(N429/N423-1)*100</f>
        <v>-1.3299556681443891</v>
      </c>
      <c r="P429" s="314">
        <f>+P247/$AR$373</f>
        <v>2.6687499999999997</v>
      </c>
      <c r="Q429" s="308">
        <f>+(P429/P423-1)*100</f>
        <v>0.70754716981131782</v>
      </c>
      <c r="R429" s="307"/>
      <c r="S429" s="308"/>
      <c r="T429" s="314">
        <f>+T247/$AR$373</f>
        <v>4.6362499999999995</v>
      </c>
      <c r="U429" s="308">
        <f>+(T429/T423-1)*100</f>
        <v>-5.1163980557687339</v>
      </c>
      <c r="V429" s="314">
        <f>+V247/$AR$373</f>
        <v>4.3750000000000004E-2</v>
      </c>
      <c r="W429" s="317">
        <f>+(V429/V423-1)*100</f>
        <v>-69.026548672566364</v>
      </c>
      <c r="X429" s="317"/>
      <c r="Y429" s="317"/>
      <c r="Z429" s="314"/>
      <c r="AA429" s="317"/>
      <c r="AB429" s="314">
        <f>+AB247/$AR$373</f>
        <v>6.7387499999999996</v>
      </c>
      <c r="AC429" s="308">
        <f>+(AB429/AB423-1)*100</f>
        <v>-7.4347527472527482</v>
      </c>
      <c r="AD429" s="314">
        <f>+AD247/$AR$373</f>
        <v>4.6687499999999993</v>
      </c>
      <c r="AE429" s="308">
        <f>+(AD429/AD423-1)*100</f>
        <v>-4.1570438799076292</v>
      </c>
      <c r="AF429" s="314">
        <f>+AF247/$AR$373</f>
        <v>0.80125000000000002</v>
      </c>
      <c r="AG429" s="308">
        <f>+(AF429/AF423-1)*100</f>
        <v>31.352459016393453</v>
      </c>
      <c r="AH429" s="314">
        <f>+AH247/$AR$373</f>
        <v>1.22875</v>
      </c>
      <c r="AI429" s="308">
        <f>+(AH429/AH423-1)*100</f>
        <v>1.3402061855670278</v>
      </c>
      <c r="AJ429" s="314">
        <f>+AJ247/$AR$373</f>
        <v>0</v>
      </c>
      <c r="AK429" s="308">
        <f>+(AJ429/AJ423-1)*100</f>
        <v>-100</v>
      </c>
      <c r="AL429" s="314">
        <f>+AL247/$AR$373</f>
        <v>1.56125</v>
      </c>
      <c r="AM429" s="308">
        <f>+(AL429/AL423-1)*100</f>
        <v>19.980787704130655</v>
      </c>
      <c r="AN429" s="307"/>
      <c r="AO429" s="308"/>
      <c r="AP429" s="30"/>
      <c r="AQ429" s="453">
        <f>+J429+L429+N429+P429+R429+T429+V429+AB429+AD429+AF429+AH429+AJ429+AL429+AN429</f>
        <v>35</v>
      </c>
      <c r="AR429" s="308">
        <f>+(AQ429/AQ423-1)*100</f>
        <v>-0.9830964000283049</v>
      </c>
      <c r="AS429" s="308"/>
      <c r="AT429" s="30"/>
      <c r="AU429" s="30"/>
      <c r="AV429" s="30"/>
      <c r="AW429" s="314"/>
      <c r="AX429" s="308"/>
      <c r="AY429" s="308"/>
      <c r="AZ429" s="314"/>
      <c r="BA429" s="308"/>
      <c r="BB429" s="308"/>
      <c r="BC429" s="308"/>
      <c r="BD429" s="308"/>
      <c r="BE429" s="308"/>
      <c r="BF429" s="308"/>
      <c r="BG429" s="316"/>
      <c r="BH429" s="308"/>
      <c r="BI429" s="308"/>
      <c r="BJ429" s="308"/>
      <c r="BK429" s="314"/>
      <c r="BL429" s="308"/>
      <c r="BM429" s="308"/>
      <c r="BN429" s="308"/>
      <c r="BO429" s="314"/>
      <c r="BP429" s="308"/>
      <c r="BQ429" s="308"/>
      <c r="BR429" s="308"/>
      <c r="BS429" s="308"/>
      <c r="BT429" s="314"/>
      <c r="BU429" s="308"/>
      <c r="BV429" s="308"/>
      <c r="BW429" s="308"/>
      <c r="BX429" s="308"/>
      <c r="BY429" s="314"/>
      <c r="BZ429" s="308"/>
      <c r="CA429" s="308"/>
      <c r="CB429" s="308"/>
      <c r="CC429" s="308"/>
      <c r="CD429" s="307"/>
      <c r="CE429" s="308"/>
      <c r="CF429" s="308"/>
      <c r="CG429" s="308"/>
      <c r="CH429" s="308"/>
      <c r="CI429" s="314"/>
      <c r="CJ429" s="308"/>
      <c r="CK429" s="308"/>
      <c r="CL429" s="308"/>
      <c r="CM429" s="314"/>
      <c r="CN429" s="308"/>
      <c r="CO429" s="308"/>
      <c r="CP429" s="314"/>
      <c r="CQ429" s="308"/>
      <c r="CR429" s="308"/>
      <c r="CS429" s="314"/>
      <c r="CT429" s="308"/>
      <c r="CU429" s="308"/>
      <c r="CV429" s="314"/>
      <c r="CW429" s="308"/>
      <c r="CX429" s="308"/>
      <c r="CY429" s="314"/>
      <c r="CZ429" s="308"/>
      <c r="DA429" s="308"/>
      <c r="DB429" s="314"/>
      <c r="DC429" s="308"/>
      <c r="DD429" s="308"/>
      <c r="DE429" s="314"/>
      <c r="DF429" s="308"/>
      <c r="DG429" s="308"/>
      <c r="DH429" s="314"/>
      <c r="DI429" s="308"/>
      <c r="DJ429" s="308"/>
      <c r="DK429" s="308"/>
      <c r="DL429" s="308"/>
    </row>
    <row r="430" spans="1:116" hidden="1" outlineLevel="1">
      <c r="A430" s="30" t="str">
        <f>+A248</f>
        <v>2Q</v>
      </c>
      <c r="B430" s="30" t="str">
        <f>+B248</f>
        <v>Jul</v>
      </c>
      <c r="C430" s="30"/>
      <c r="D430" s="314">
        <f>+D248/$AR$373</f>
        <v>3.9737499999999994</v>
      </c>
      <c r="E430" s="308">
        <f>+(D430/D424-1)*100</f>
        <v>5.0561797752809001</v>
      </c>
      <c r="F430" s="314">
        <f>+F248/$AR$373</f>
        <v>0.51999999999999991</v>
      </c>
      <c r="G430" s="308">
        <f>+(F430/F424-1)*100</f>
        <v>2.2113022113022129</v>
      </c>
      <c r="H430" s="308"/>
      <c r="I430" s="308"/>
      <c r="J430" s="316">
        <f>+D430+F430</f>
        <v>4.4937499999999995</v>
      </c>
      <c r="K430" s="308">
        <f>+(J430/J424-1)*100</f>
        <v>4.7189047480337809</v>
      </c>
      <c r="L430" s="314">
        <f>+L248/$AR$373</f>
        <v>2.4424999999999999</v>
      </c>
      <c r="M430" s="308">
        <f>+(L430/L424-1)*100</f>
        <v>24.936061381074161</v>
      </c>
      <c r="N430" s="314">
        <f>+N248/$AR$373</f>
        <v>5.7599999999999989</v>
      </c>
      <c r="O430" s="308">
        <f>+(N430/N424-1)*100</f>
        <v>-2.7437737441958876</v>
      </c>
      <c r="P430" s="314">
        <f>+P248/$AR$373</f>
        <v>2.6612499999999999</v>
      </c>
      <c r="Q430" s="308">
        <f>+(P430/P424-1)*100</f>
        <v>-0.18752930145334856</v>
      </c>
      <c r="R430" s="307"/>
      <c r="S430" s="308"/>
      <c r="T430" s="314">
        <f>+T248/$AR$373</f>
        <v>4.5187499999999998</v>
      </c>
      <c r="U430" s="308">
        <f>+(T430/T424-1)*100</f>
        <v>-7.0932922127987634</v>
      </c>
      <c r="V430" s="314">
        <f>+V248/$AR$373</f>
        <v>4.3750000000000004E-2</v>
      </c>
      <c r="W430" s="317">
        <f>+(V430/V424-1)*100</f>
        <v>-69.026548672566364</v>
      </c>
      <c r="X430" s="317"/>
      <c r="Y430" s="317"/>
      <c r="Z430" s="314"/>
      <c r="AA430" s="317"/>
      <c r="AB430" s="314">
        <f>+AB248/$AR$373</f>
        <v>6.6112499999999992</v>
      </c>
      <c r="AC430" s="308">
        <f>+(AB430/AB424-1)*100</f>
        <v>-8.8574875064621814</v>
      </c>
      <c r="AD430" s="314">
        <f>+AD248/$AR$373</f>
        <v>4.6487499999999997</v>
      </c>
      <c r="AE430" s="308">
        <f>+(AD430/AD424-1)*100</f>
        <v>-4.0258064516129117</v>
      </c>
      <c r="AF430" s="314">
        <f>+AF248/$AR$373</f>
        <v>1.0137499999999999</v>
      </c>
      <c r="AG430" s="308">
        <f>+(AF430/AF424-1)*100</f>
        <v>66.188524590163937</v>
      </c>
      <c r="AH430" s="314">
        <f>+AH248/$AR$373</f>
        <v>1.2237499999999999</v>
      </c>
      <c r="AI430" s="308">
        <f>+(AH430/AH424-1)*100</f>
        <v>0.61664953751285889</v>
      </c>
      <c r="AJ430" s="314">
        <f>+AJ248/$AR$373</f>
        <v>0</v>
      </c>
      <c r="AK430" s="308">
        <f>+(AJ430/AJ424-1)*100</f>
        <v>-100</v>
      </c>
      <c r="AL430" s="314">
        <f>+AL248/$AR$373</f>
        <v>0</v>
      </c>
      <c r="AM430" s="308">
        <f>+(AL430/AL424-1)*100</f>
        <v>-100</v>
      </c>
      <c r="AN430" s="307"/>
      <c r="AO430" s="308"/>
      <c r="AP430" s="30"/>
      <c r="AQ430" s="453">
        <f>+J430+L430+N430+P430+R430+T430+V430+AB430+AD430+AF430+AH430+AJ430+AL430+AN430</f>
        <v>33.417499999999997</v>
      </c>
      <c r="AR430" s="308">
        <f>+(AQ430/AQ424-1)*100</f>
        <v>-6.1141352063213468</v>
      </c>
      <c r="AS430" s="308"/>
      <c r="AT430" s="30"/>
      <c r="AU430" s="30"/>
      <c r="AV430" s="30"/>
      <c r="AW430" s="314"/>
      <c r="AX430" s="308"/>
      <c r="AY430" s="308"/>
      <c r="AZ430" s="314"/>
      <c r="BA430" s="308"/>
      <c r="BB430" s="308"/>
      <c r="BC430" s="308"/>
      <c r="BD430" s="308"/>
      <c r="BE430" s="308"/>
      <c r="BF430" s="308"/>
      <c r="BG430" s="316"/>
      <c r="BH430" s="308"/>
      <c r="BI430" s="308"/>
      <c r="BJ430" s="308"/>
      <c r="BK430" s="314"/>
      <c r="BL430" s="308"/>
      <c r="BM430" s="308"/>
      <c r="BN430" s="308"/>
      <c r="BO430" s="314"/>
      <c r="BP430" s="308"/>
      <c r="BQ430" s="308"/>
      <c r="BR430" s="308"/>
      <c r="BS430" s="308"/>
      <c r="BT430" s="314"/>
      <c r="BU430" s="308"/>
      <c r="BV430" s="308"/>
      <c r="BW430" s="308"/>
      <c r="BX430" s="308"/>
      <c r="BY430" s="314"/>
      <c r="BZ430" s="308"/>
      <c r="CA430" s="308"/>
      <c r="CB430" s="308"/>
      <c r="CC430" s="308"/>
      <c r="CD430" s="307"/>
      <c r="CE430" s="308"/>
      <c r="CF430" s="308"/>
      <c r="CG430" s="308"/>
      <c r="CH430" s="308"/>
      <c r="CI430" s="314"/>
      <c r="CJ430" s="308"/>
      <c r="CK430" s="308"/>
      <c r="CL430" s="308"/>
      <c r="CM430" s="314"/>
      <c r="CN430" s="308"/>
      <c r="CO430" s="308"/>
      <c r="CP430" s="314"/>
      <c r="CQ430" s="308"/>
      <c r="CR430" s="308"/>
      <c r="CS430" s="314"/>
      <c r="CT430" s="308"/>
      <c r="CU430" s="308"/>
      <c r="CV430" s="314"/>
      <c r="CW430" s="308"/>
      <c r="CX430" s="308"/>
      <c r="CY430" s="314"/>
      <c r="CZ430" s="308"/>
      <c r="DA430" s="308"/>
      <c r="DB430" s="314"/>
      <c r="DC430" s="308"/>
      <c r="DD430" s="308"/>
      <c r="DE430" s="314"/>
      <c r="DF430" s="308"/>
      <c r="DG430" s="308"/>
      <c r="DH430" s="314"/>
      <c r="DI430" s="308"/>
      <c r="DJ430" s="308"/>
      <c r="DK430" s="308"/>
      <c r="DL430" s="308"/>
    </row>
    <row r="431" spans="1:116" hidden="1" outlineLevel="1">
      <c r="A431" s="30" t="str">
        <f>+A249</f>
        <v>3Q</v>
      </c>
      <c r="B431" s="30" t="str">
        <f>+B249</f>
        <v>Oct</v>
      </c>
      <c r="C431" s="30"/>
      <c r="D431" s="314">
        <f>+D249/$AR$373</f>
        <v>4.0512499999999996</v>
      </c>
      <c r="E431" s="308">
        <f>+(D431/D425-1)*100</f>
        <v>4.0115532734274595</v>
      </c>
      <c r="F431" s="314">
        <f>+F249/$AR$373</f>
        <v>0.52625</v>
      </c>
      <c r="G431" s="308">
        <f>+(F431/F425-1)*100</f>
        <v>0.95923261390886694</v>
      </c>
      <c r="H431" s="308"/>
      <c r="I431" s="308"/>
      <c r="J431" s="316">
        <f>+D431+F431</f>
        <v>4.5774999999999997</v>
      </c>
      <c r="K431" s="308">
        <f>+(J431/J425-1)*100</f>
        <v>3.6512878573450314</v>
      </c>
      <c r="L431" s="314">
        <f>+L249/$AR$373</f>
        <v>2.5674999999999994</v>
      </c>
      <c r="M431" s="308">
        <f>+(L431/L425-1)*100</f>
        <v>18.865740740740723</v>
      </c>
      <c r="N431" s="314">
        <f>+N249/$AR$373</f>
        <v>5.6687500000000002</v>
      </c>
      <c r="O431" s="308">
        <f>+(N431/N425-1)*100</f>
        <v>-4.8068849706129235</v>
      </c>
      <c r="P431" s="314">
        <f>+P249/$AR$373</f>
        <v>2.6574999999999998</v>
      </c>
      <c r="Q431" s="308">
        <f>+(P431/P425-1)*100</f>
        <v>-1.0702652396463508</v>
      </c>
      <c r="R431" s="307"/>
      <c r="S431" s="308"/>
      <c r="T431" s="314">
        <f>+T249/$AR$373</f>
        <v>4.4712499999999995</v>
      </c>
      <c r="U431" s="308">
        <f>+(T431/T425-1)*100</f>
        <v>-7.6664945792462742</v>
      </c>
      <c r="V431" s="314">
        <f>+V249/$AR$373</f>
        <v>4.3750000000000004E-2</v>
      </c>
      <c r="W431" s="317">
        <f>+(V431/V425-1)*100</f>
        <v>-69.026548672566364</v>
      </c>
      <c r="X431" s="317"/>
      <c r="Y431" s="317"/>
      <c r="Z431" s="314"/>
      <c r="AA431" s="317"/>
      <c r="AB431" s="314">
        <f>+AB249/$AR$373</f>
        <v>6.4937500000000004</v>
      </c>
      <c r="AC431" s="308">
        <f>+(AB431/AB425-1)*100</f>
        <v>-9.5420511927563965</v>
      </c>
      <c r="AD431" s="314">
        <f>+AD249/$AR$373</f>
        <v>4.6749999999999998</v>
      </c>
      <c r="AE431" s="308">
        <f>+(AD431/AD425-1)*100</f>
        <v>-3.3341948823985557</v>
      </c>
      <c r="AF431" s="314">
        <f>+AF249/$AR$373</f>
        <v>1.1837499999999999</v>
      </c>
      <c r="AG431" s="308">
        <f>+(AF431/AF425-1)*100</f>
        <v>47.73790951638064</v>
      </c>
      <c r="AH431" s="314">
        <f>+AH249/$AR$373</f>
        <v>1.22875</v>
      </c>
      <c r="AI431" s="308">
        <f>+(AH431/AH425-1)*100</f>
        <v>0.71721311475410054</v>
      </c>
      <c r="AJ431" s="314">
        <f>+AJ249/$AR$373</f>
        <v>0</v>
      </c>
      <c r="AK431" s="308">
        <f>+(AJ431/AJ425-1)*100</f>
        <v>-100</v>
      </c>
      <c r="AL431" s="314">
        <f>+AL249/$AR$373</f>
        <v>0</v>
      </c>
      <c r="AM431" s="308">
        <f>+(AL431/AL425-1)*100</f>
        <v>-100</v>
      </c>
      <c r="AN431" s="307"/>
      <c r="AO431" s="308"/>
      <c r="AP431" s="30"/>
      <c r="AQ431" s="453">
        <f>+J431+L431+N431+P431+R431+T431+V431+AB431+AD431+AF431+AH431+AJ431+AL431+AN431</f>
        <v>33.567499999999995</v>
      </c>
      <c r="AR431" s="308">
        <f>+(AQ431/AQ425-1)*100</f>
        <v>-7.1791503923127609</v>
      </c>
      <c r="AS431" s="308"/>
      <c r="AT431" s="30"/>
      <c r="AU431" s="30"/>
      <c r="AV431" s="30"/>
      <c r="AW431" s="314"/>
      <c r="AX431" s="308"/>
      <c r="AY431" s="308"/>
      <c r="AZ431" s="314"/>
      <c r="BA431" s="308"/>
      <c r="BB431" s="308"/>
      <c r="BC431" s="308"/>
      <c r="BD431" s="308"/>
      <c r="BE431" s="308"/>
      <c r="BF431" s="308"/>
      <c r="BG431" s="316"/>
      <c r="BH431" s="308"/>
      <c r="BI431" s="308"/>
      <c r="BJ431" s="308"/>
      <c r="BK431" s="314"/>
      <c r="BL431" s="308"/>
      <c r="BM431" s="308"/>
      <c r="BN431" s="308"/>
      <c r="BO431" s="314"/>
      <c r="BP431" s="308"/>
      <c r="BQ431" s="308"/>
      <c r="BR431" s="308"/>
      <c r="BS431" s="308"/>
      <c r="BT431" s="314"/>
      <c r="BU431" s="308"/>
      <c r="BV431" s="308"/>
      <c r="BW431" s="308"/>
      <c r="BX431" s="308"/>
      <c r="BY431" s="314"/>
      <c r="BZ431" s="308"/>
      <c r="CA431" s="308"/>
      <c r="CB431" s="308"/>
      <c r="CC431" s="308"/>
      <c r="CD431" s="307"/>
      <c r="CE431" s="308"/>
      <c r="CF431" s="308"/>
      <c r="CG431" s="308"/>
      <c r="CH431" s="308"/>
      <c r="CI431" s="314"/>
      <c r="CJ431" s="308"/>
      <c r="CK431" s="308"/>
      <c r="CL431" s="308"/>
      <c r="CM431" s="314"/>
      <c r="CN431" s="308"/>
      <c r="CO431" s="308"/>
      <c r="CP431" s="314"/>
      <c r="CQ431" s="308"/>
      <c r="CR431" s="308"/>
      <c r="CS431" s="314"/>
      <c r="CT431" s="308"/>
      <c r="CU431" s="308"/>
      <c r="CV431" s="314"/>
      <c r="CW431" s="308"/>
      <c r="CX431" s="308"/>
      <c r="CY431" s="314"/>
      <c r="CZ431" s="308"/>
      <c r="DA431" s="308"/>
      <c r="DB431" s="314"/>
      <c r="DC431" s="308"/>
      <c r="DD431" s="308"/>
      <c r="DE431" s="314"/>
      <c r="DF431" s="308"/>
      <c r="DG431" s="308"/>
      <c r="DH431" s="314"/>
      <c r="DI431" s="308"/>
      <c r="DJ431" s="308"/>
      <c r="DK431" s="308"/>
      <c r="DL431" s="308"/>
    </row>
    <row r="432" spans="1:116" hidden="1" outlineLevel="1">
      <c r="A432" s="30" t="str">
        <f>+A250</f>
        <v>4Q</v>
      </c>
      <c r="B432" s="30" t="str">
        <f>+B250</f>
        <v>Jan</v>
      </c>
      <c r="C432" s="30"/>
      <c r="D432" s="314">
        <f>+D250/$AR$373</f>
        <v>4.0799999999999992</v>
      </c>
      <c r="E432" s="308">
        <f>+(D432/D426-1)*100</f>
        <v>4.0816326530612068</v>
      </c>
      <c r="F432" s="314">
        <f>+F250/$AR$373</f>
        <v>0.54749999999999999</v>
      </c>
      <c r="G432" s="308">
        <f>+(F432/F426-1)*100</f>
        <v>4.5346062052506131</v>
      </c>
      <c r="H432" s="308"/>
      <c r="I432" s="308"/>
      <c r="J432" s="316">
        <f>+D432+F432</f>
        <v>4.6274999999999995</v>
      </c>
      <c r="K432" s="308">
        <f>+(J432/J426-1)*100</f>
        <v>4.1350210970464207</v>
      </c>
      <c r="L432" s="314">
        <f>+L250/$AR$373</f>
        <v>2.6149999999999998</v>
      </c>
      <c r="M432" s="308">
        <f>+(L432/L426-1)*100</f>
        <v>17.992103778905811</v>
      </c>
      <c r="N432" s="314">
        <f>+N250/$AR$373</f>
        <v>5.6387499999999999</v>
      </c>
      <c r="O432" s="308">
        <f>+(N432/N426-1)*100</f>
        <v>-4.811141591052948</v>
      </c>
      <c r="P432" s="314">
        <f>+P250/$AR$373</f>
        <v>2.6474999999999995</v>
      </c>
      <c r="Q432" s="308">
        <f>+(P432/P426-1)*100</f>
        <v>-1.1665888940737279</v>
      </c>
      <c r="R432" s="307"/>
      <c r="S432" s="308"/>
      <c r="T432" s="314">
        <f>+T250/$AR$373</f>
        <v>4.2137500000000001</v>
      </c>
      <c r="U432" s="308">
        <f>+(T432/T426-1)*100</f>
        <v>-11.055408970976243</v>
      </c>
      <c r="V432" s="314">
        <f>+V250/$AR$373</f>
        <v>4.3750000000000004E-2</v>
      </c>
      <c r="W432" s="317">
        <f>+(V432/V426-1)*100</f>
        <v>-69.026548672566364</v>
      </c>
      <c r="X432" s="317"/>
      <c r="Y432" s="317"/>
      <c r="Z432" s="314"/>
      <c r="AA432" s="317"/>
      <c r="AB432" s="314">
        <f>+AB250/$AR$373</f>
        <v>6.25</v>
      </c>
      <c r="AC432" s="308">
        <f>+(AB432/AB426-1)*100</f>
        <v>-12.249912249912253</v>
      </c>
      <c r="AD432" s="314">
        <f>+AD250/$AR$373</f>
        <v>4.3962499999999993</v>
      </c>
      <c r="AE432" s="308">
        <f>+(AD432/AD426-1)*100</f>
        <v>-5.8366800535475267</v>
      </c>
      <c r="AF432" s="314">
        <f>+AF250/$AR$373</f>
        <v>1.2049999999999998</v>
      </c>
      <c r="AG432" s="308">
        <f>+(AF432/AF426-1)*100</f>
        <v>50.390015600623997</v>
      </c>
      <c r="AH432" s="314">
        <f>+AH250/$AR$373</f>
        <v>1.2574999999999998</v>
      </c>
      <c r="AI432" s="308">
        <f>+(AH432/AH426-1)*100</f>
        <v>2.757916241062297</v>
      </c>
      <c r="AJ432" s="314">
        <f>+AJ250/$AR$373</f>
        <v>0</v>
      </c>
      <c r="AK432" s="308" t="e">
        <f>+(AJ432/AJ426-1)*100</f>
        <v>#DIV/0!</v>
      </c>
      <c r="AL432" s="314">
        <f>+AL250/$AR$373</f>
        <v>0</v>
      </c>
      <c r="AM432" s="308">
        <f>+(AL432/AL426-1)*100</f>
        <v>-100</v>
      </c>
      <c r="AN432" s="307"/>
      <c r="AO432" s="308"/>
      <c r="AP432" s="30"/>
      <c r="AQ432" s="453">
        <f>+J432+L432+N432+P432+R432+T432+V432+AB432+AD432+AF432+AH432+AJ432+AL432+AN432</f>
        <v>32.894999999999996</v>
      </c>
      <c r="AR432" s="308">
        <f>+(AQ432/AQ426-1)*100</f>
        <v>-7.338028169014077</v>
      </c>
      <c r="AS432" s="308"/>
      <c r="AT432" s="30"/>
      <c r="AU432" s="30"/>
      <c r="AV432" s="30"/>
      <c r="AW432" s="314"/>
      <c r="AX432" s="308"/>
      <c r="AY432" s="308"/>
      <c r="AZ432" s="314"/>
      <c r="BA432" s="308"/>
      <c r="BB432" s="308"/>
      <c r="BC432" s="308"/>
      <c r="BD432" s="308"/>
      <c r="BE432" s="308"/>
      <c r="BF432" s="308"/>
      <c r="BG432" s="316"/>
      <c r="BH432" s="308"/>
      <c r="BI432" s="308"/>
      <c r="BJ432" s="308"/>
      <c r="BK432" s="314"/>
      <c r="BL432" s="308"/>
      <c r="BM432" s="308"/>
      <c r="BN432" s="308"/>
      <c r="BO432" s="314"/>
      <c r="BP432" s="308"/>
      <c r="BQ432" s="308"/>
      <c r="BR432" s="308"/>
      <c r="BS432" s="308"/>
      <c r="BT432" s="314"/>
      <c r="BU432" s="308"/>
      <c r="BV432" s="308"/>
      <c r="BW432" s="308"/>
      <c r="BX432" s="308"/>
      <c r="BY432" s="314"/>
      <c r="BZ432" s="308"/>
      <c r="CA432" s="308"/>
      <c r="CB432" s="308"/>
      <c r="CC432" s="308"/>
      <c r="CD432" s="307"/>
      <c r="CE432" s="308"/>
      <c r="CF432" s="308"/>
      <c r="CG432" s="308"/>
      <c r="CH432" s="308"/>
      <c r="CI432" s="314"/>
      <c r="CJ432" s="308"/>
      <c r="CK432" s="308"/>
      <c r="CL432" s="308"/>
      <c r="CM432" s="314"/>
      <c r="CN432" s="308"/>
      <c r="CO432" s="308"/>
      <c r="CP432" s="314"/>
      <c r="CQ432" s="308"/>
      <c r="CR432" s="308"/>
      <c r="CS432" s="314"/>
      <c r="CT432" s="308"/>
      <c r="CU432" s="308"/>
      <c r="CV432" s="314"/>
      <c r="CW432" s="308"/>
      <c r="CX432" s="308"/>
      <c r="CY432" s="314"/>
      <c r="CZ432" s="308"/>
      <c r="DA432" s="308"/>
      <c r="DB432" s="314"/>
      <c r="DC432" s="308"/>
      <c r="DD432" s="308"/>
      <c r="DE432" s="314"/>
      <c r="DF432" s="308"/>
      <c r="DG432" s="308"/>
      <c r="DH432" s="314"/>
      <c r="DI432" s="308"/>
      <c r="DJ432" s="308"/>
      <c r="DK432" s="308"/>
      <c r="DL432" s="308"/>
    </row>
    <row r="433" spans="1:116" hidden="1" outlineLevel="1">
      <c r="A433" s="30"/>
      <c r="B433" s="30"/>
      <c r="C433" s="30"/>
      <c r="D433" s="314"/>
      <c r="E433" s="310"/>
      <c r="F433" s="314"/>
      <c r="G433" s="318"/>
      <c r="H433" s="318"/>
      <c r="I433" s="318"/>
      <c r="J433" s="316"/>
      <c r="K433" s="319"/>
      <c r="L433" s="314"/>
      <c r="M433" s="310"/>
      <c r="N433" s="314"/>
      <c r="O433" s="310"/>
      <c r="P433" s="314"/>
      <c r="Q433" s="30"/>
      <c r="R433" s="30"/>
      <c r="S433" s="310"/>
      <c r="T433" s="314"/>
      <c r="U433" s="310"/>
      <c r="V433" s="314"/>
      <c r="W433" s="318"/>
      <c r="X433" s="318"/>
      <c r="Y433" s="318"/>
      <c r="Z433" s="314"/>
      <c r="AA433" s="318"/>
      <c r="AB433" s="314"/>
      <c r="AC433" s="310"/>
      <c r="AD433" s="314"/>
      <c r="AE433" s="310"/>
      <c r="AF433" s="30"/>
      <c r="AG433" s="310"/>
      <c r="AH433" s="30"/>
      <c r="AI433" s="310"/>
      <c r="AJ433" s="30"/>
      <c r="AK433" s="310"/>
      <c r="AL433" s="30"/>
      <c r="AM433" s="310"/>
      <c r="AN433" s="30"/>
      <c r="AO433" s="310"/>
      <c r="AP433" s="30"/>
      <c r="AQ433" s="453"/>
      <c r="AR433" s="310"/>
      <c r="AS433" s="310"/>
      <c r="AT433" s="30"/>
      <c r="AU433" s="30"/>
      <c r="AV433" s="30"/>
      <c r="AW433" s="314"/>
      <c r="AX433" s="310"/>
      <c r="AY433" s="310"/>
      <c r="AZ433" s="314"/>
      <c r="BA433" s="318"/>
      <c r="BB433" s="310"/>
      <c r="BC433" s="318"/>
      <c r="BD433" s="318"/>
      <c r="BE433" s="318"/>
      <c r="BF433" s="310"/>
      <c r="BG433" s="316"/>
      <c r="BH433" s="318"/>
      <c r="BI433" s="318"/>
      <c r="BJ433" s="310"/>
      <c r="BK433" s="314"/>
      <c r="BL433" s="318"/>
      <c r="BM433" s="318"/>
      <c r="BN433" s="310"/>
      <c r="BO433" s="314"/>
      <c r="BP433" s="318"/>
      <c r="BQ433" s="318"/>
      <c r="BR433" s="318"/>
      <c r="BS433" s="310"/>
      <c r="BT433" s="314"/>
      <c r="BU433" s="318"/>
      <c r="BV433" s="318"/>
      <c r="BW433" s="318"/>
      <c r="BX433" s="310"/>
      <c r="BY433" s="314"/>
      <c r="BZ433" s="318"/>
      <c r="CA433" s="318"/>
      <c r="CB433" s="318"/>
      <c r="CC433" s="310"/>
      <c r="CD433" s="30"/>
      <c r="CE433" s="318"/>
      <c r="CF433" s="318"/>
      <c r="CG433" s="318"/>
      <c r="CH433" s="310"/>
      <c r="CI433" s="314"/>
      <c r="CJ433" s="318"/>
      <c r="CK433" s="318"/>
      <c r="CL433" s="310"/>
      <c r="CM433" s="314"/>
      <c r="CN433" s="318"/>
      <c r="CO433" s="310"/>
      <c r="CP433" s="314"/>
      <c r="CQ433" s="318"/>
      <c r="CR433" s="310"/>
      <c r="CS433" s="314"/>
      <c r="CT433" s="318"/>
      <c r="CU433" s="310"/>
      <c r="CV433" s="314"/>
      <c r="CW433" s="318"/>
      <c r="CX433" s="310"/>
      <c r="CY433" s="314"/>
      <c r="CZ433" s="318"/>
      <c r="DA433" s="310"/>
      <c r="DB433" s="314"/>
      <c r="DC433" s="318"/>
      <c r="DD433" s="310"/>
      <c r="DE433" s="314"/>
      <c r="DF433" s="318"/>
      <c r="DG433" s="310"/>
      <c r="DH433" s="314"/>
      <c r="DI433" s="318"/>
      <c r="DJ433" s="318"/>
      <c r="DK433" s="318"/>
      <c r="DL433" s="318"/>
    </row>
    <row r="434" spans="1:116" hidden="1" outlineLevel="1">
      <c r="A434" s="301"/>
      <c r="B434" s="312">
        <f>+B252</f>
        <v>1999</v>
      </c>
      <c r="C434" s="30"/>
      <c r="D434" s="314"/>
      <c r="E434" s="310"/>
      <c r="F434" s="314"/>
      <c r="G434" s="318"/>
      <c r="H434" s="318"/>
      <c r="I434" s="318"/>
      <c r="J434" s="316"/>
      <c r="K434" s="319"/>
      <c r="L434" s="314"/>
      <c r="M434" s="310"/>
      <c r="N434" s="314"/>
      <c r="O434" s="310"/>
      <c r="P434" s="314"/>
      <c r="Q434" s="30"/>
      <c r="R434" s="30"/>
      <c r="S434" s="310"/>
      <c r="T434" s="314"/>
      <c r="U434" s="310"/>
      <c r="V434" s="314"/>
      <c r="W434" s="318"/>
      <c r="X434" s="318"/>
      <c r="Y434" s="318"/>
      <c r="Z434" s="314"/>
      <c r="AA434" s="318"/>
      <c r="AB434" s="314"/>
      <c r="AC434" s="310"/>
      <c r="AD434" s="314"/>
      <c r="AE434" s="310"/>
      <c r="AF434" s="30"/>
      <c r="AG434" s="310"/>
      <c r="AH434" s="30"/>
      <c r="AI434" s="310"/>
      <c r="AJ434" s="30"/>
      <c r="AK434" s="310"/>
      <c r="AL434" s="30"/>
      <c r="AM434" s="310"/>
      <c r="AN434" s="30"/>
      <c r="AO434" s="310"/>
      <c r="AP434" s="30"/>
      <c r="AQ434" s="453"/>
      <c r="AR434" s="310"/>
      <c r="AS434" s="310"/>
      <c r="AT434" s="30"/>
      <c r="AU434" s="30"/>
      <c r="AV434" s="30"/>
      <c r="AW434" s="314"/>
      <c r="AX434" s="310"/>
      <c r="AY434" s="310"/>
      <c r="AZ434" s="314"/>
      <c r="BA434" s="318"/>
      <c r="BB434" s="310"/>
      <c r="BC434" s="318"/>
      <c r="BD434" s="318"/>
      <c r="BE434" s="318"/>
      <c r="BF434" s="310"/>
      <c r="BG434" s="316"/>
      <c r="BH434" s="318"/>
      <c r="BI434" s="318"/>
      <c r="BJ434" s="310"/>
      <c r="BK434" s="314"/>
      <c r="BL434" s="318"/>
      <c r="BM434" s="318"/>
      <c r="BN434" s="310"/>
      <c r="BO434" s="314"/>
      <c r="BP434" s="318"/>
      <c r="BQ434" s="318"/>
      <c r="BR434" s="318"/>
      <c r="BS434" s="310"/>
      <c r="BT434" s="314"/>
      <c r="BU434" s="318"/>
      <c r="BV434" s="318"/>
      <c r="BW434" s="318"/>
      <c r="BX434" s="310"/>
      <c r="BY434" s="314"/>
      <c r="BZ434" s="318"/>
      <c r="CA434" s="318"/>
      <c r="CB434" s="318"/>
      <c r="CC434" s="310"/>
      <c r="CD434" s="30"/>
      <c r="CE434" s="318"/>
      <c r="CF434" s="318"/>
      <c r="CG434" s="318"/>
      <c r="CH434" s="310"/>
      <c r="CI434" s="314"/>
      <c r="CJ434" s="318"/>
      <c r="CK434" s="318"/>
      <c r="CL434" s="310"/>
      <c r="CM434" s="314"/>
      <c r="CN434" s="318"/>
      <c r="CO434" s="310"/>
      <c r="CP434" s="314"/>
      <c r="CQ434" s="318"/>
      <c r="CR434" s="310"/>
      <c r="CS434" s="314"/>
      <c r="CT434" s="318"/>
      <c r="CU434" s="310"/>
      <c r="CV434" s="314"/>
      <c r="CW434" s="318"/>
      <c r="CX434" s="310"/>
      <c r="CY434" s="314"/>
      <c r="CZ434" s="318"/>
      <c r="DA434" s="310"/>
      <c r="DB434" s="314"/>
      <c r="DC434" s="318"/>
      <c r="DD434" s="310"/>
      <c r="DE434" s="314"/>
      <c r="DF434" s="318"/>
      <c r="DG434" s="310"/>
      <c r="DH434" s="314"/>
      <c r="DI434" s="318"/>
      <c r="DJ434" s="318"/>
      <c r="DK434" s="318"/>
      <c r="DL434" s="318"/>
    </row>
    <row r="435" spans="1:116" hidden="1" outlineLevel="1">
      <c r="A435" s="30" t="str">
        <f>+A253</f>
        <v>1Q</v>
      </c>
      <c r="B435" s="30" t="str">
        <f>+B253</f>
        <v>Apr</v>
      </c>
      <c r="C435" s="30"/>
      <c r="D435" s="314">
        <f>+D253/$AR$373</f>
        <v>4.1624999999999996</v>
      </c>
      <c r="E435" s="308">
        <f>+(D435/D429-1)*100</f>
        <v>5.2465233881163087</v>
      </c>
      <c r="F435" s="314">
        <f>+F253/$AR$373</f>
        <v>0.54249999999999998</v>
      </c>
      <c r="G435" s="308">
        <f>+(F435/F429-1)*100</f>
        <v>4.3269230769230838</v>
      </c>
      <c r="H435" s="308"/>
      <c r="I435" s="308"/>
      <c r="J435" s="316">
        <f>+D435+F435</f>
        <v>4.7050000000000001</v>
      </c>
      <c r="K435" s="308">
        <f>+(J435/J429-1)*100</f>
        <v>5.1396648044692794</v>
      </c>
      <c r="L435" s="314">
        <f>+L253/$AR$373</f>
        <v>2.7212499999999999</v>
      </c>
      <c r="M435" s="308">
        <f>+(L435/L429-1)*100</f>
        <v>16.541755888650968</v>
      </c>
      <c r="N435" s="314">
        <f>+N253/$AR$373</f>
        <v>5.5774999999999997</v>
      </c>
      <c r="O435" s="308">
        <f>+(N435/N429-1)*100</f>
        <v>-4.535729567822</v>
      </c>
      <c r="P435" s="314">
        <f>+P253/$AR$373</f>
        <v>2.6</v>
      </c>
      <c r="Q435" s="308">
        <f>+(P435/P429-1)*100</f>
        <v>-2.5761124121779777</v>
      </c>
      <c r="R435" s="307"/>
      <c r="S435" s="308"/>
      <c r="T435" s="314">
        <f>+T253/$AR$373</f>
        <v>3.9574999999999996</v>
      </c>
      <c r="U435" s="308">
        <f>+(T435/T429-1)*100</f>
        <v>-14.640064707468326</v>
      </c>
      <c r="V435" s="314">
        <f>+V253/$AR$373</f>
        <v>4.3750000000000004E-2</v>
      </c>
      <c r="W435" s="317">
        <f>+(V435/V429-1)*100</f>
        <v>0</v>
      </c>
      <c r="X435" s="317"/>
      <c r="Y435" s="317"/>
      <c r="Z435" s="314"/>
      <c r="AA435" s="317"/>
      <c r="AB435" s="314">
        <f>+AB253/$AR$373</f>
        <v>6.1137499999999996</v>
      </c>
      <c r="AC435" s="308">
        <f>+(AB435/AB429-1)*100</f>
        <v>-9.2747171211278072</v>
      </c>
      <c r="AD435" s="314">
        <f>+AD253/$AR$373</f>
        <v>4.2774999999999999</v>
      </c>
      <c r="AE435" s="308">
        <f>+(AD435/AD429-1)*100</f>
        <v>-8.3801874163319852</v>
      </c>
      <c r="AF435" s="314">
        <f>+AF253/$AR$373</f>
        <v>1.3825000000000001</v>
      </c>
      <c r="AG435" s="308">
        <f>+(AF435/AF429-1)*100</f>
        <v>72.542901716068656</v>
      </c>
      <c r="AH435" s="314">
        <f>+AH253/$AR$373</f>
        <v>1.2674999999999998</v>
      </c>
      <c r="AI435" s="308">
        <f>+(AH435/AH429-1)*100</f>
        <v>3.1536113936927679</v>
      </c>
      <c r="AJ435" s="314"/>
      <c r="AK435" s="308"/>
      <c r="AL435" s="314"/>
      <c r="AM435" s="308"/>
      <c r="AN435" s="307"/>
      <c r="AO435" s="308"/>
      <c r="AP435" s="30"/>
      <c r="AQ435" s="453">
        <f>+J435+L435+N435+P435+R435+T435+V435+AB435+AD435+AF435+AH435+AJ435+AL435+AN435</f>
        <v>32.646250000000002</v>
      </c>
      <c r="AR435" s="308">
        <f>+(AQ435/AQ429-1)*100</f>
        <v>-6.7249999999999925</v>
      </c>
      <c r="AS435" s="308"/>
      <c r="AT435" s="30"/>
      <c r="AU435" s="30"/>
      <c r="AV435" s="30"/>
      <c r="AW435" s="314"/>
      <c r="AX435" s="308"/>
      <c r="AY435" s="308"/>
      <c r="AZ435" s="314"/>
      <c r="BA435" s="308"/>
      <c r="BB435" s="308"/>
      <c r="BC435" s="308"/>
      <c r="BD435" s="308"/>
      <c r="BE435" s="308"/>
      <c r="BF435" s="308"/>
      <c r="BG435" s="316"/>
      <c r="BH435" s="308"/>
      <c r="BI435" s="308"/>
      <c r="BJ435" s="308"/>
      <c r="BK435" s="314"/>
      <c r="BL435" s="308"/>
      <c r="BM435" s="308"/>
      <c r="BN435" s="308"/>
      <c r="BO435" s="314"/>
      <c r="BP435" s="308"/>
      <c r="BQ435" s="308"/>
      <c r="BR435" s="308"/>
      <c r="BS435" s="308"/>
      <c r="BT435" s="314"/>
      <c r="BU435" s="308"/>
      <c r="BV435" s="308"/>
      <c r="BW435" s="308"/>
      <c r="BX435" s="308"/>
      <c r="BY435" s="314"/>
      <c r="BZ435" s="308"/>
      <c r="CA435" s="308"/>
      <c r="CB435" s="308"/>
      <c r="CC435" s="308"/>
      <c r="CD435" s="307"/>
      <c r="CE435" s="308"/>
      <c r="CF435" s="308"/>
      <c r="CG435" s="308"/>
      <c r="CH435" s="308"/>
      <c r="CI435" s="314"/>
      <c r="CJ435" s="308"/>
      <c r="CK435" s="308"/>
      <c r="CL435" s="308"/>
      <c r="CM435" s="314"/>
      <c r="CN435" s="308"/>
      <c r="CO435" s="308"/>
      <c r="CP435" s="314"/>
      <c r="CQ435" s="308"/>
      <c r="CR435" s="308"/>
      <c r="CS435" s="314"/>
      <c r="CT435" s="308"/>
      <c r="CU435" s="308"/>
      <c r="CV435" s="314"/>
      <c r="CW435" s="308"/>
      <c r="CX435" s="308"/>
      <c r="CY435" s="314"/>
      <c r="CZ435" s="308"/>
      <c r="DA435" s="308"/>
      <c r="DB435" s="314"/>
      <c r="DC435" s="308"/>
      <c r="DD435" s="308"/>
      <c r="DE435" s="314"/>
      <c r="DF435" s="308"/>
      <c r="DG435" s="308"/>
      <c r="DH435" s="314"/>
      <c r="DI435" s="308"/>
      <c r="DJ435" s="308"/>
      <c r="DK435" s="308"/>
      <c r="DL435" s="308"/>
    </row>
    <row r="436" spans="1:116" hidden="1" outlineLevel="1">
      <c r="A436" s="30" t="str">
        <f>+A254</f>
        <v>2Q</v>
      </c>
      <c r="B436" s="30" t="str">
        <f>+B254</f>
        <v>Jul</v>
      </c>
      <c r="C436" s="30"/>
      <c r="D436" s="314">
        <f>+D254/$AR$373</f>
        <v>4.21875</v>
      </c>
      <c r="E436" s="308">
        <f>+(D436/D430-1)*100</f>
        <v>6.1654608367411212</v>
      </c>
      <c r="F436" s="314">
        <f>+F254/$AR$373</f>
        <v>0.54374999999999996</v>
      </c>
      <c r="G436" s="308">
        <f>+(F436/F430-1)*100</f>
        <v>4.5673076923077094</v>
      </c>
      <c r="H436" s="308"/>
      <c r="I436" s="308"/>
      <c r="J436" s="316">
        <f>+D436+F436</f>
        <v>4.7625000000000002</v>
      </c>
      <c r="K436" s="308">
        <f>+(J436/J430-1)*100</f>
        <v>5.9805285118219809</v>
      </c>
      <c r="L436" s="314">
        <f>+L254/$AR$373</f>
        <v>2.7974999999999999</v>
      </c>
      <c r="M436" s="308">
        <f>+(L436/L430-1)*100</f>
        <v>14.534288638689862</v>
      </c>
      <c r="N436" s="314">
        <f>+N254/$AR$373</f>
        <v>5.5374999999999996</v>
      </c>
      <c r="O436" s="308">
        <f>+(N436/N430-1)*100</f>
        <v>-3.8628472222222099</v>
      </c>
      <c r="P436" s="314">
        <f>+P254/$AR$373</f>
        <v>2.5674999999999994</v>
      </c>
      <c r="Q436" s="308">
        <f>+(P436/P430-1)*100</f>
        <v>-3.522780648191659</v>
      </c>
      <c r="R436" s="307"/>
      <c r="S436" s="308"/>
      <c r="T436" s="314">
        <f>+T254/$AR$373</f>
        <v>3.7774999999999994</v>
      </c>
      <c r="U436" s="308">
        <f>+(T436/T430-1)*100</f>
        <v>-16.403872752420479</v>
      </c>
      <c r="V436" s="314">
        <f>+V254/$AR$373</f>
        <v>4.3750000000000004E-2</v>
      </c>
      <c r="W436" s="317">
        <f>+(V436/V430-1)*100</f>
        <v>0</v>
      </c>
      <c r="X436" s="317"/>
      <c r="Y436" s="317"/>
      <c r="Z436" s="314"/>
      <c r="AA436" s="317"/>
      <c r="AB436" s="314">
        <f>+AB254/$AR$373</f>
        <v>6.0387500000000003</v>
      </c>
      <c r="AC436" s="308">
        <f>+(AB436/AB430-1)*100</f>
        <v>-8.6594819436566333</v>
      </c>
      <c r="AD436" s="314">
        <f>+AD254/$AR$373</f>
        <v>4.2474999999999996</v>
      </c>
      <c r="AE436" s="308">
        <f>+(AD436/AD430-1)*100</f>
        <v>-8.6313525141166973</v>
      </c>
      <c r="AF436" s="314">
        <f>+AF254/$AR$373</f>
        <v>1.4949999999999999</v>
      </c>
      <c r="AG436" s="308">
        <f>+(AF436/AF430-1)*100</f>
        <v>47.472256473489516</v>
      </c>
      <c r="AH436" s="314">
        <f>+AH254/$AR$373</f>
        <v>1.3174999999999999</v>
      </c>
      <c r="AI436" s="308">
        <f>+(AH436/AH430-1)*100</f>
        <v>7.6608784473952918</v>
      </c>
      <c r="AJ436" s="314"/>
      <c r="AK436" s="308"/>
      <c r="AL436" s="314"/>
      <c r="AM436" s="308"/>
      <c r="AN436" s="307"/>
      <c r="AO436" s="308"/>
      <c r="AP436" s="30"/>
      <c r="AQ436" s="453">
        <f>+J436+L436+N436+P436+R436+T436+V436+AB436+AD436+AF436+AH436+AJ436+AL436+AN436</f>
        <v>32.585000000000001</v>
      </c>
      <c r="AR436" s="308">
        <f>+(AQ436/AQ430-1)*100</f>
        <v>-2.4912096955188034</v>
      </c>
      <c r="AS436" s="308"/>
      <c r="AT436" s="30"/>
      <c r="AU436" s="30"/>
      <c r="AV436" s="30"/>
      <c r="AW436" s="314"/>
      <c r="AX436" s="308"/>
      <c r="AY436" s="308"/>
      <c r="AZ436" s="314"/>
      <c r="BA436" s="308"/>
      <c r="BB436" s="308"/>
      <c r="BC436" s="308"/>
      <c r="BD436" s="308"/>
      <c r="BE436" s="308"/>
      <c r="BF436" s="308"/>
      <c r="BG436" s="316"/>
      <c r="BH436" s="308"/>
      <c r="BI436" s="308"/>
      <c r="BJ436" s="308"/>
      <c r="BK436" s="314"/>
      <c r="BL436" s="308"/>
      <c r="BM436" s="308"/>
      <c r="BN436" s="308"/>
      <c r="BO436" s="314"/>
      <c r="BP436" s="308"/>
      <c r="BQ436" s="308"/>
      <c r="BR436" s="308"/>
      <c r="BS436" s="308"/>
      <c r="BT436" s="314"/>
      <c r="BU436" s="308"/>
      <c r="BV436" s="308"/>
      <c r="BW436" s="308"/>
      <c r="BX436" s="308"/>
      <c r="BY436" s="314"/>
      <c r="BZ436" s="308"/>
      <c r="CA436" s="308"/>
      <c r="CB436" s="308"/>
      <c r="CC436" s="308"/>
      <c r="CD436" s="307"/>
      <c r="CE436" s="308"/>
      <c r="CF436" s="308"/>
      <c r="CG436" s="308"/>
      <c r="CH436" s="308"/>
      <c r="CI436" s="314"/>
      <c r="CJ436" s="308"/>
      <c r="CK436" s="308"/>
      <c r="CL436" s="308"/>
      <c r="CM436" s="314"/>
      <c r="CN436" s="308"/>
      <c r="CO436" s="308"/>
      <c r="CP436" s="314"/>
      <c r="CQ436" s="308"/>
      <c r="CR436" s="308"/>
      <c r="CS436" s="314"/>
      <c r="CT436" s="308"/>
      <c r="CU436" s="308"/>
      <c r="CV436" s="314"/>
      <c r="CW436" s="308"/>
      <c r="CX436" s="308"/>
      <c r="CY436" s="314"/>
      <c r="CZ436" s="308"/>
      <c r="DA436" s="308"/>
      <c r="DB436" s="314"/>
      <c r="DC436" s="308"/>
      <c r="DD436" s="308"/>
      <c r="DE436" s="314"/>
      <c r="DF436" s="308"/>
      <c r="DG436" s="308"/>
      <c r="DH436" s="314"/>
      <c r="DI436" s="308"/>
      <c r="DJ436" s="308"/>
      <c r="DK436" s="308"/>
      <c r="DL436" s="308"/>
    </row>
    <row r="437" spans="1:116" hidden="1" outlineLevel="1">
      <c r="A437" s="30" t="str">
        <f>+A255</f>
        <v>3Q</v>
      </c>
      <c r="B437" s="30" t="str">
        <f>+B255</f>
        <v>Oct</v>
      </c>
      <c r="C437" s="30"/>
      <c r="D437" s="314">
        <f>+D255/$AR$373</f>
        <v>4.3387500000000001</v>
      </c>
      <c r="E437" s="308">
        <f>+(D437/D431-1)*100</f>
        <v>7.0965751311323766</v>
      </c>
      <c r="F437" s="314">
        <f>+F255/$AR$373</f>
        <v>0.5675</v>
      </c>
      <c r="G437" s="308">
        <f>+(F437/F431-1)*100</f>
        <v>7.8384798099762509</v>
      </c>
      <c r="H437" s="308"/>
      <c r="I437" s="308"/>
      <c r="J437" s="316">
        <f>+D437+F437</f>
        <v>4.90625</v>
      </c>
      <c r="K437" s="308">
        <f>+(J437/J431-1)*100</f>
        <v>7.1818678317859153</v>
      </c>
      <c r="L437" s="314">
        <f>+L255/$AR$373</f>
        <v>2.9249999999999998</v>
      </c>
      <c r="M437" s="308">
        <f>+(L437/L431-1)*100</f>
        <v>13.924050632911399</v>
      </c>
      <c r="N437" s="314">
        <f>+N255/$AR$373</f>
        <v>5.55</v>
      </c>
      <c r="O437" s="308">
        <f>+(N437/N431-1)*100</f>
        <v>-2.0948180815876571</v>
      </c>
      <c r="P437" s="314">
        <f>+P255/$AR$373</f>
        <v>2.5274999999999994</v>
      </c>
      <c r="Q437" s="308">
        <f>+(P437/P431-1)*100</f>
        <v>-4.8918156161806392</v>
      </c>
      <c r="R437" s="307"/>
      <c r="S437" s="308"/>
      <c r="T437" s="314">
        <f>+T255/$AR$373</f>
        <v>3.7362499999999996</v>
      </c>
      <c r="U437" s="308">
        <f>+(T437/T431-1)*100</f>
        <v>-16.43835616438356</v>
      </c>
      <c r="V437" s="314">
        <f>+V255/$AR$373</f>
        <v>4.3750000000000004E-2</v>
      </c>
      <c r="W437" s="317">
        <f>+(V437/V431-1)*100</f>
        <v>0</v>
      </c>
      <c r="X437" s="317"/>
      <c r="Y437" s="317"/>
      <c r="Z437" s="314"/>
      <c r="AA437" s="317"/>
      <c r="AB437" s="314">
        <f>+AB255/$AR$373</f>
        <v>5.9974999999999996</v>
      </c>
      <c r="AC437" s="308">
        <f>+(AB437/AB431-1)*100</f>
        <v>-7.6419634263715235</v>
      </c>
      <c r="AD437" s="314">
        <f>+AD255/$AR$373</f>
        <v>4.2212499999999995</v>
      </c>
      <c r="AE437" s="308">
        <f>+(AD437/AD431-1)*100</f>
        <v>-9.7058823529411864</v>
      </c>
      <c r="AF437" s="314">
        <f>+AF255/$AR$373</f>
        <v>0</v>
      </c>
      <c r="AG437" s="308">
        <f>+(AF437/AF431-1)*100</f>
        <v>-100</v>
      </c>
      <c r="AH437" s="314">
        <f>+AH255/$AR$373</f>
        <v>0</v>
      </c>
      <c r="AI437" s="308">
        <f>+(AH437/AH431-1)*100</f>
        <v>-100</v>
      </c>
      <c r="AJ437" s="314"/>
      <c r="AK437" s="308"/>
      <c r="AL437" s="314"/>
      <c r="AM437" s="308"/>
      <c r="AN437" s="307"/>
      <c r="AO437" s="308"/>
      <c r="AP437" s="30"/>
      <c r="AQ437" s="453">
        <f>+J437+L437+N437+P437+R437+T437+V437+AB437+AD437+AF437+AH437+AJ437+AL437+AN437</f>
        <v>29.907499999999999</v>
      </c>
      <c r="AR437" s="308">
        <f>+(AQ437/AQ431-1)*100</f>
        <v>-10.90340358978178</v>
      </c>
      <c r="AS437" s="308"/>
      <c r="AT437" s="30"/>
      <c r="AU437" s="30"/>
      <c r="AV437" s="30"/>
      <c r="AW437" s="314"/>
      <c r="AX437" s="308"/>
      <c r="AY437" s="308"/>
      <c r="AZ437" s="314"/>
      <c r="BA437" s="308"/>
      <c r="BB437" s="308"/>
      <c r="BC437" s="308"/>
      <c r="BD437" s="308"/>
      <c r="BE437" s="308"/>
      <c r="BF437" s="308"/>
      <c r="BG437" s="316"/>
      <c r="BH437" s="308"/>
      <c r="BI437" s="308"/>
      <c r="BJ437" s="308"/>
      <c r="BK437" s="314"/>
      <c r="BL437" s="308"/>
      <c r="BM437" s="308"/>
      <c r="BN437" s="308"/>
      <c r="BO437" s="314"/>
      <c r="BP437" s="308"/>
      <c r="BQ437" s="308"/>
      <c r="BR437" s="308"/>
      <c r="BS437" s="308"/>
      <c r="BT437" s="314"/>
      <c r="BU437" s="308"/>
      <c r="BV437" s="308"/>
      <c r="BW437" s="308"/>
      <c r="BX437" s="308"/>
      <c r="BY437" s="314"/>
      <c r="BZ437" s="308"/>
      <c r="CA437" s="308"/>
      <c r="CB437" s="308"/>
      <c r="CC437" s="308"/>
      <c r="CD437" s="307"/>
      <c r="CE437" s="308"/>
      <c r="CF437" s="308"/>
      <c r="CG437" s="308"/>
      <c r="CH437" s="308"/>
      <c r="CI437" s="314"/>
      <c r="CJ437" s="308"/>
      <c r="CK437" s="308"/>
      <c r="CL437" s="308"/>
      <c r="CM437" s="314"/>
      <c r="CN437" s="308"/>
      <c r="CO437" s="308"/>
      <c r="CP437" s="314"/>
      <c r="CQ437" s="308"/>
      <c r="CR437" s="308"/>
      <c r="CS437" s="314"/>
      <c r="CT437" s="308"/>
      <c r="CU437" s="308"/>
      <c r="CV437" s="314"/>
      <c r="CW437" s="308"/>
      <c r="CX437" s="308"/>
      <c r="CY437" s="314"/>
      <c r="CZ437" s="308"/>
      <c r="DA437" s="308"/>
      <c r="DB437" s="314"/>
      <c r="DC437" s="308"/>
      <c r="DD437" s="308"/>
      <c r="DE437" s="314"/>
      <c r="DF437" s="308"/>
      <c r="DG437" s="308"/>
      <c r="DH437" s="314"/>
      <c r="DI437" s="308"/>
      <c r="DJ437" s="308"/>
      <c r="DK437" s="308"/>
      <c r="DL437" s="308"/>
    </row>
    <row r="438" spans="1:116" hidden="1" outlineLevel="1">
      <c r="A438" s="30" t="str">
        <f>+A256</f>
        <v>4Q</v>
      </c>
      <c r="B438" s="30" t="str">
        <f>+B256</f>
        <v>Jan</v>
      </c>
      <c r="C438" s="30"/>
      <c r="D438" s="314">
        <f>+D256/$AR$373</f>
        <v>4.3687499999999995</v>
      </c>
      <c r="E438" s="308">
        <f>+(D438/D432-1)*100</f>
        <v>7.0772058823529438</v>
      </c>
      <c r="F438" s="314">
        <f>+F256/$AR$373</f>
        <v>0.60124999999999995</v>
      </c>
      <c r="G438" s="308">
        <f>+(F438/F432-1)*100</f>
        <v>9.8173515981735182</v>
      </c>
      <c r="H438" s="308"/>
      <c r="I438" s="308"/>
      <c r="J438" s="316">
        <f>+D438+F438</f>
        <v>4.97</v>
      </c>
      <c r="K438" s="308">
        <f>+(J438/J432-1)*100</f>
        <v>7.4014046461372329</v>
      </c>
      <c r="L438" s="314">
        <f>+L256/$AR$373</f>
        <v>3.1125000000000003</v>
      </c>
      <c r="M438" s="308">
        <f>+(L438/L432-1)*100</f>
        <v>19.024856596558347</v>
      </c>
      <c r="N438" s="314">
        <f>+N256/$AR$373</f>
        <v>5.5362499999999999</v>
      </c>
      <c r="O438" s="308">
        <f>+(N438/N432-1)*100</f>
        <v>-1.8177787630237252</v>
      </c>
      <c r="P438" s="314">
        <f>+P256/$AR$373</f>
        <v>2.4724999999999997</v>
      </c>
      <c r="Q438" s="308">
        <f>+(P438/P432-1)*100</f>
        <v>-6.6100094428706235</v>
      </c>
      <c r="R438" s="307"/>
      <c r="S438" s="308"/>
      <c r="T438" s="314">
        <f>+T256/$AR$373</f>
        <v>3.4362499999999998</v>
      </c>
      <c r="U438" s="308">
        <f>+(T438/T432-1)*100</f>
        <v>-18.451498071788798</v>
      </c>
      <c r="V438" s="314">
        <f>+V256/$AR$373</f>
        <v>4.3750000000000004E-2</v>
      </c>
      <c r="W438" s="317">
        <f>+(V438/V432-1)*100</f>
        <v>0</v>
      </c>
      <c r="X438" s="317"/>
      <c r="Y438" s="317"/>
      <c r="Z438" s="314"/>
      <c r="AA438" s="317"/>
      <c r="AB438" s="314">
        <f>+AB256/$AR$373</f>
        <v>5.7399999999999993</v>
      </c>
      <c r="AC438" s="308">
        <f>+(AB438/AB432-1)*100</f>
        <v>-8.1600000000000108</v>
      </c>
      <c r="AD438" s="314">
        <f>+AD256/$AR$373</f>
        <v>4.17875</v>
      </c>
      <c r="AE438" s="308">
        <f>+(AD438/AD432-1)*100</f>
        <v>-4.9473983508672053</v>
      </c>
      <c r="AF438" s="314">
        <f>+AF256/$AR$373</f>
        <v>0</v>
      </c>
      <c r="AG438" s="308">
        <f>+(AF438/AF432-1)*100</f>
        <v>-100</v>
      </c>
      <c r="AH438" s="314">
        <f>+AH256/$AR$373</f>
        <v>0</v>
      </c>
      <c r="AI438" s="308">
        <f>+(AH438/AH432-1)*100</f>
        <v>-100</v>
      </c>
      <c r="AJ438" s="314"/>
      <c r="AK438" s="308"/>
      <c r="AL438" s="314"/>
      <c r="AM438" s="308"/>
      <c r="AN438" s="307"/>
      <c r="AO438" s="308"/>
      <c r="AP438" s="30"/>
      <c r="AQ438" s="453">
        <f>+J438+L438+N438+P438+R438+T438+V438+AB438+AD438+AF438+AH438+AJ438+AL438+AN438</f>
        <v>29.49</v>
      </c>
      <c r="AR438" s="308">
        <f>+(AQ438/AQ432-1)*100</f>
        <v>-10.351117191062464</v>
      </c>
      <c r="AS438" s="308"/>
      <c r="AT438" s="30"/>
      <c r="AU438" s="30"/>
      <c r="AV438" s="30"/>
      <c r="AW438" s="314"/>
      <c r="AX438" s="308"/>
      <c r="AY438" s="308"/>
      <c r="AZ438" s="314"/>
      <c r="BA438" s="308"/>
      <c r="BB438" s="308"/>
      <c r="BC438" s="308"/>
      <c r="BD438" s="308"/>
      <c r="BE438" s="308"/>
      <c r="BF438" s="308"/>
      <c r="BG438" s="316"/>
      <c r="BH438" s="308"/>
      <c r="BI438" s="308"/>
      <c r="BJ438" s="308"/>
      <c r="BK438" s="314"/>
      <c r="BL438" s="308"/>
      <c r="BM438" s="308"/>
      <c r="BN438" s="308"/>
      <c r="BO438" s="314"/>
      <c r="BP438" s="308"/>
      <c r="BQ438" s="308"/>
      <c r="BR438" s="308"/>
      <c r="BS438" s="308"/>
      <c r="BT438" s="314"/>
      <c r="BU438" s="308"/>
      <c r="BV438" s="308"/>
      <c r="BW438" s="308"/>
      <c r="BX438" s="308"/>
      <c r="BY438" s="314"/>
      <c r="BZ438" s="308"/>
      <c r="CA438" s="308"/>
      <c r="CB438" s="308"/>
      <c r="CC438" s="308"/>
      <c r="CD438" s="307"/>
      <c r="CE438" s="308"/>
      <c r="CF438" s="308"/>
      <c r="CG438" s="308"/>
      <c r="CH438" s="308"/>
      <c r="CI438" s="314"/>
      <c r="CJ438" s="308"/>
      <c r="CK438" s="308"/>
      <c r="CL438" s="308"/>
      <c r="CM438" s="314"/>
      <c r="CN438" s="308"/>
      <c r="CO438" s="308"/>
      <c r="CP438" s="314"/>
      <c r="CQ438" s="308"/>
      <c r="CR438" s="308"/>
      <c r="CS438" s="314"/>
      <c r="CT438" s="308"/>
      <c r="CU438" s="308"/>
      <c r="CV438" s="314"/>
      <c r="CW438" s="308"/>
      <c r="CX438" s="308"/>
      <c r="CY438" s="314"/>
      <c r="CZ438" s="308"/>
      <c r="DA438" s="308"/>
      <c r="DB438" s="314"/>
      <c r="DC438" s="308"/>
      <c r="DD438" s="308"/>
      <c r="DE438" s="314"/>
      <c r="DF438" s="308"/>
      <c r="DG438" s="308"/>
      <c r="DH438" s="314"/>
      <c r="DI438" s="308"/>
      <c r="DJ438" s="308"/>
      <c r="DK438" s="308"/>
      <c r="DL438" s="308"/>
    </row>
    <row r="439" spans="1:116" hidden="1" outlineLevel="1">
      <c r="A439" s="30"/>
      <c r="B439" s="30"/>
      <c r="C439" s="30"/>
      <c r="D439" s="314"/>
      <c r="E439" s="30"/>
      <c r="F439" s="314"/>
      <c r="G439" s="318"/>
      <c r="H439" s="318"/>
      <c r="I439" s="318"/>
      <c r="J439" s="316"/>
      <c r="K439" s="319"/>
      <c r="L439" s="314"/>
      <c r="M439" s="30"/>
      <c r="N439" s="314"/>
      <c r="O439" s="30"/>
      <c r="P439" s="314"/>
      <c r="Q439" s="30"/>
      <c r="R439" s="30"/>
      <c r="S439" s="30"/>
      <c r="T439" s="314"/>
      <c r="U439" s="30"/>
      <c r="V439" s="314"/>
      <c r="W439" s="320"/>
      <c r="X439" s="320"/>
      <c r="Y439" s="320"/>
      <c r="Z439" s="314"/>
      <c r="AA439" s="320"/>
      <c r="AB439" s="314"/>
      <c r="AC439" s="30"/>
      <c r="AD439" s="314"/>
      <c r="AE439" s="30"/>
      <c r="AF439" s="30"/>
      <c r="AG439" s="30"/>
      <c r="AH439" s="30"/>
      <c r="AI439" s="30"/>
      <c r="AJ439" s="30"/>
      <c r="AK439" s="30"/>
      <c r="AL439" s="30"/>
      <c r="AM439" s="30"/>
      <c r="AN439" s="30"/>
      <c r="AO439" s="30"/>
      <c r="AP439" s="30"/>
      <c r="AQ439" s="453"/>
      <c r="AR439" s="30"/>
      <c r="AS439" s="30"/>
      <c r="AT439" s="30"/>
      <c r="AU439" s="30"/>
      <c r="AV439" s="30"/>
      <c r="AW439" s="314"/>
      <c r="AX439" s="30"/>
      <c r="AY439" s="30"/>
      <c r="AZ439" s="314"/>
      <c r="BA439" s="318"/>
      <c r="BB439" s="30"/>
      <c r="BC439" s="318"/>
      <c r="BD439" s="318"/>
      <c r="BE439" s="318"/>
      <c r="BF439" s="30"/>
      <c r="BG439" s="316"/>
      <c r="BH439" s="318"/>
      <c r="BI439" s="318"/>
      <c r="BJ439" s="30"/>
      <c r="BK439" s="314"/>
      <c r="BL439" s="318"/>
      <c r="BM439" s="318"/>
      <c r="BN439" s="30"/>
      <c r="BO439" s="314"/>
      <c r="BP439" s="318"/>
      <c r="BQ439" s="318"/>
      <c r="BR439" s="318"/>
      <c r="BS439" s="30"/>
      <c r="BT439" s="314"/>
      <c r="BU439" s="318"/>
      <c r="BV439" s="318"/>
      <c r="BW439" s="318"/>
      <c r="BX439" s="30"/>
      <c r="BY439" s="314"/>
      <c r="BZ439" s="318"/>
      <c r="CA439" s="318"/>
      <c r="CB439" s="318"/>
      <c r="CC439" s="30"/>
      <c r="CD439" s="30"/>
      <c r="CE439" s="318"/>
      <c r="CF439" s="318"/>
      <c r="CG439" s="318"/>
      <c r="CH439" s="30"/>
      <c r="CI439" s="314"/>
      <c r="CJ439" s="318"/>
      <c r="CK439" s="318"/>
      <c r="CL439" s="30"/>
      <c r="CM439" s="314"/>
      <c r="CN439" s="318"/>
      <c r="CO439" s="30"/>
      <c r="CP439" s="314"/>
      <c r="CQ439" s="318"/>
      <c r="CR439" s="30"/>
      <c r="CS439" s="314"/>
      <c r="CT439" s="318"/>
      <c r="CU439" s="30"/>
      <c r="CV439" s="314"/>
      <c r="CW439" s="318"/>
      <c r="CX439" s="30"/>
      <c r="CY439" s="314"/>
      <c r="CZ439" s="318"/>
      <c r="DA439" s="30"/>
      <c r="DB439" s="314"/>
      <c r="DC439" s="318"/>
      <c r="DD439" s="30"/>
      <c r="DE439" s="314"/>
      <c r="DF439" s="318"/>
      <c r="DG439" s="30"/>
      <c r="DH439" s="314"/>
      <c r="DI439" s="318"/>
      <c r="DJ439" s="318"/>
      <c r="DK439" s="318"/>
      <c r="DL439" s="318"/>
    </row>
    <row r="440" spans="1:116" hidden="1" outlineLevel="1">
      <c r="A440" s="301"/>
      <c r="B440" s="312">
        <f>+B258</f>
        <v>2000</v>
      </c>
      <c r="C440" s="30"/>
      <c r="D440" s="314"/>
      <c r="E440" s="310"/>
      <c r="F440" s="314"/>
      <c r="G440" s="318"/>
      <c r="H440" s="318"/>
      <c r="I440" s="318"/>
      <c r="J440" s="316"/>
      <c r="K440" s="319"/>
      <c r="L440" s="314"/>
      <c r="M440" s="310"/>
      <c r="N440" s="314"/>
      <c r="O440" s="310"/>
      <c r="P440" s="314"/>
      <c r="Q440" s="30"/>
      <c r="R440" s="30"/>
      <c r="S440" s="310"/>
      <c r="T440" s="314"/>
      <c r="U440" s="310"/>
      <c r="V440" s="314"/>
      <c r="W440" s="318"/>
      <c r="X440" s="318"/>
      <c r="Y440" s="318"/>
      <c r="Z440" s="314"/>
      <c r="AA440" s="318"/>
      <c r="AB440" s="314"/>
      <c r="AC440" s="310"/>
      <c r="AD440" s="314"/>
      <c r="AE440" s="310"/>
      <c r="AF440" s="30"/>
      <c r="AG440" s="310"/>
      <c r="AH440" s="30"/>
      <c r="AI440" s="310"/>
      <c r="AJ440" s="30"/>
      <c r="AK440" s="310"/>
      <c r="AL440" s="30"/>
      <c r="AM440" s="310"/>
      <c r="AN440" s="30"/>
      <c r="AO440" s="310"/>
      <c r="AP440" s="30"/>
      <c r="AQ440" s="453"/>
      <c r="AR440" s="310"/>
      <c r="AS440" s="310"/>
      <c r="AT440" s="30"/>
      <c r="AU440" s="30"/>
      <c r="AV440" s="30"/>
      <c r="AW440" s="314"/>
      <c r="AX440" s="310"/>
      <c r="AY440" s="310"/>
      <c r="AZ440" s="314"/>
      <c r="BA440" s="318"/>
      <c r="BB440" s="310"/>
      <c r="BC440" s="318"/>
      <c r="BD440" s="318"/>
      <c r="BE440" s="318"/>
      <c r="BF440" s="310"/>
      <c r="BG440" s="316"/>
      <c r="BH440" s="318"/>
      <c r="BI440" s="318"/>
      <c r="BJ440" s="310"/>
      <c r="BK440" s="314"/>
      <c r="BL440" s="318"/>
      <c r="BM440" s="318"/>
      <c r="BN440" s="310"/>
      <c r="BO440" s="314"/>
      <c r="BP440" s="318"/>
      <c r="BQ440" s="318"/>
      <c r="BR440" s="318"/>
      <c r="BS440" s="310"/>
      <c r="BT440" s="314"/>
      <c r="BU440" s="318"/>
      <c r="BV440" s="318"/>
      <c r="BW440" s="318"/>
      <c r="BX440" s="310"/>
      <c r="BY440" s="314"/>
      <c r="BZ440" s="318"/>
      <c r="CA440" s="318"/>
      <c r="CB440" s="318"/>
      <c r="CC440" s="310"/>
      <c r="CD440" s="30"/>
      <c r="CE440" s="318"/>
      <c r="CF440" s="318"/>
      <c r="CG440" s="318"/>
      <c r="CH440" s="310"/>
      <c r="CI440" s="314"/>
      <c r="CJ440" s="318"/>
      <c r="CK440" s="318"/>
      <c r="CL440" s="310"/>
      <c r="CM440" s="314"/>
      <c r="CN440" s="318"/>
      <c r="CO440" s="310"/>
      <c r="CP440" s="314"/>
      <c r="CQ440" s="318"/>
      <c r="CR440" s="310"/>
      <c r="CS440" s="314"/>
      <c r="CT440" s="318"/>
      <c r="CU440" s="310"/>
      <c r="CV440" s="314"/>
      <c r="CW440" s="318"/>
      <c r="CX440" s="310"/>
      <c r="CY440" s="314"/>
      <c r="CZ440" s="318"/>
      <c r="DA440" s="310"/>
      <c r="DB440" s="314"/>
      <c r="DC440" s="318"/>
      <c r="DD440" s="310"/>
      <c r="DE440" s="314"/>
      <c r="DF440" s="318"/>
      <c r="DG440" s="310"/>
      <c r="DH440" s="314"/>
      <c r="DI440" s="318"/>
      <c r="DJ440" s="318"/>
      <c r="DK440" s="318"/>
      <c r="DL440" s="318"/>
    </row>
    <row r="441" spans="1:116" hidden="1" outlineLevel="1">
      <c r="A441" s="30" t="str">
        <f>+A259</f>
        <v>1Q</v>
      </c>
      <c r="B441" s="30" t="str">
        <f>+B259</f>
        <v>Apr</v>
      </c>
      <c r="C441" s="30"/>
      <c r="D441" s="314">
        <f>+D259/$AR$373</f>
        <v>4.3649999999999993</v>
      </c>
      <c r="E441" s="308">
        <f>+(D441/D435-1)*100</f>
        <v>4.8648648648648596</v>
      </c>
      <c r="F441" s="314">
        <f>+F259/$AR$373</f>
        <v>0.59749999999999992</v>
      </c>
      <c r="G441" s="308">
        <f>+(F441/F435-1)*100</f>
        <v>10.138248847926246</v>
      </c>
      <c r="H441" s="308"/>
      <c r="I441" s="308"/>
      <c r="J441" s="316">
        <f>+D441+F441</f>
        <v>4.9624999999999995</v>
      </c>
      <c r="K441" s="308">
        <f>+(J441/J435-1)*100</f>
        <v>5.4729011689691687</v>
      </c>
      <c r="L441" s="314">
        <f>+L259/$AR$373</f>
        <v>3.2312499999999997</v>
      </c>
      <c r="M441" s="308">
        <f>+(L441/L435-1)*100</f>
        <v>18.74138723013321</v>
      </c>
      <c r="N441" s="314">
        <f>+N259/$AR$373</f>
        <v>5.4312499999999995</v>
      </c>
      <c r="O441" s="308">
        <f>+(N441/N435-1)*100</f>
        <v>-2.6221425369789331</v>
      </c>
      <c r="P441" s="314">
        <f>+P259/$AR$373</f>
        <v>2.4449999999999998</v>
      </c>
      <c r="Q441" s="308">
        <f>+(P441/P435-1)*100</f>
        <v>-5.9615384615384741</v>
      </c>
      <c r="R441" s="307"/>
      <c r="S441" s="308"/>
      <c r="T441" s="314">
        <f>+T259/$AR$373</f>
        <v>3.3512499999999998</v>
      </c>
      <c r="U441" s="308">
        <f>+(T441/T435-1)*100</f>
        <v>-15.319014529374597</v>
      </c>
      <c r="V441" s="314">
        <f>+V259/$AR$373</f>
        <v>4.3750000000000004E-2</v>
      </c>
      <c r="W441" s="317">
        <f>+(V441/V435-1)*100</f>
        <v>0</v>
      </c>
      <c r="X441" s="317"/>
      <c r="Y441" s="317"/>
      <c r="Z441" s="314"/>
      <c r="AA441" s="317"/>
      <c r="AB441" s="314">
        <f>+AB259/$AR$373</f>
        <v>5.6599999999999993</v>
      </c>
      <c r="AC441" s="308">
        <f>+(AB441/AB435-1)*100</f>
        <v>-7.421795133919451</v>
      </c>
      <c r="AD441" s="314">
        <f>+AD259/$AR$373</f>
        <v>4.0287499999999996</v>
      </c>
      <c r="AE441" s="308">
        <f>+(AD441/AD435-1)*100</f>
        <v>-5.8153126826417374</v>
      </c>
      <c r="AF441" s="307"/>
      <c r="AG441" s="308"/>
      <c r="AH441" s="307"/>
      <c r="AI441" s="308"/>
      <c r="AJ441" s="307"/>
      <c r="AK441" s="308"/>
      <c r="AL441" s="307"/>
      <c r="AM441" s="308"/>
      <c r="AN441" s="307"/>
      <c r="AO441" s="308"/>
      <c r="AP441" s="30"/>
      <c r="AQ441" s="453">
        <f>+J441+L441+N441+P441+R441+T441+V441+AB441+AD441+AF441+AH441+AJ441+AL441+AN441</f>
        <v>29.153749999999999</v>
      </c>
      <c r="AR441" s="308">
        <f>+(AQ441/AQ435-1)*100</f>
        <v>-10.698012788605137</v>
      </c>
      <c r="AS441" s="308"/>
      <c r="AT441" s="30"/>
      <c r="AU441" s="30"/>
      <c r="AV441" s="30"/>
      <c r="AW441" s="314"/>
      <c r="AX441" s="308"/>
      <c r="AY441" s="308"/>
      <c r="AZ441" s="314"/>
      <c r="BA441" s="308"/>
      <c r="BB441" s="308"/>
      <c r="BC441" s="308"/>
      <c r="BD441" s="308"/>
      <c r="BE441" s="308"/>
      <c r="BF441" s="308"/>
      <c r="BG441" s="316"/>
      <c r="BH441" s="308"/>
      <c r="BI441" s="308"/>
      <c r="BJ441" s="308"/>
      <c r="BK441" s="314"/>
      <c r="BL441" s="308"/>
      <c r="BM441" s="308"/>
      <c r="BN441" s="308"/>
      <c r="BO441" s="314"/>
      <c r="BP441" s="308"/>
      <c r="BQ441" s="308"/>
      <c r="BR441" s="308"/>
      <c r="BS441" s="308"/>
      <c r="BT441" s="314"/>
      <c r="BU441" s="308"/>
      <c r="BV441" s="308"/>
      <c r="BW441" s="308"/>
      <c r="BX441" s="308"/>
      <c r="BY441" s="314"/>
      <c r="BZ441" s="308"/>
      <c r="CA441" s="308"/>
      <c r="CB441" s="308"/>
      <c r="CC441" s="308"/>
      <c r="CD441" s="307"/>
      <c r="CE441" s="308"/>
      <c r="CF441" s="308"/>
      <c r="CG441" s="308"/>
      <c r="CH441" s="308"/>
      <c r="CI441" s="314"/>
      <c r="CJ441" s="308"/>
      <c r="CK441" s="308"/>
      <c r="CL441" s="308"/>
      <c r="CM441" s="314"/>
      <c r="CN441" s="308"/>
      <c r="CO441" s="308"/>
      <c r="CP441" s="314"/>
      <c r="CQ441" s="308"/>
      <c r="CR441" s="308"/>
      <c r="CS441" s="314"/>
      <c r="CT441" s="308"/>
      <c r="CU441" s="308"/>
      <c r="CV441" s="314"/>
      <c r="CW441" s="308"/>
      <c r="CX441" s="308"/>
      <c r="CY441" s="314"/>
      <c r="CZ441" s="308"/>
      <c r="DA441" s="308"/>
      <c r="DB441" s="314"/>
      <c r="DC441" s="308"/>
      <c r="DD441" s="308"/>
      <c r="DE441" s="314"/>
      <c r="DF441" s="308"/>
      <c r="DG441" s="308"/>
      <c r="DH441" s="314"/>
      <c r="DI441" s="308"/>
      <c r="DJ441" s="308"/>
      <c r="DK441" s="308"/>
      <c r="DL441" s="308"/>
    </row>
    <row r="442" spans="1:116" hidden="1" outlineLevel="1">
      <c r="A442" s="30" t="str">
        <f>+A260</f>
        <v>2Q</v>
      </c>
      <c r="B442" s="30" t="str">
        <f>+B260</f>
        <v>Jul</v>
      </c>
      <c r="C442" s="30"/>
      <c r="D442" s="314">
        <f>+D260/$AR$373</f>
        <v>4.4074999999999998</v>
      </c>
      <c r="E442" s="308">
        <f>+(D442/D436-1)*100</f>
        <v>4.4740740740740748</v>
      </c>
      <c r="F442" s="314">
        <f>+F260/$AR$373</f>
        <v>0.59124999999999994</v>
      </c>
      <c r="G442" s="308">
        <f>+(F442/F436-1)*100</f>
        <v>8.7356321839080486</v>
      </c>
      <c r="H442" s="308"/>
      <c r="I442" s="308"/>
      <c r="J442" s="316">
        <f>+D442+F442</f>
        <v>4.9987499999999994</v>
      </c>
      <c r="K442" s="308">
        <f>+(J442/J436-1)*100</f>
        <v>4.9606299212598293</v>
      </c>
      <c r="L442" s="314">
        <f>+L260/$AR$373</f>
        <v>3.4</v>
      </c>
      <c r="M442" s="308">
        <f>+(L442/L436-1)*100</f>
        <v>21.537086684539773</v>
      </c>
      <c r="N442" s="314">
        <f>+N260/$AR$373</f>
        <v>5.4349999999999996</v>
      </c>
      <c r="O442" s="308">
        <f>+(N442/N436-1)*100</f>
        <v>-1.8510158013544054</v>
      </c>
      <c r="P442" s="314">
        <f>+P260/$AR$373</f>
        <v>2.42625</v>
      </c>
      <c r="Q442" s="308">
        <f>+(P442/P436-1)*100</f>
        <v>-5.5014605647516817</v>
      </c>
      <c r="R442" s="307"/>
      <c r="S442" s="308"/>
      <c r="T442" s="314">
        <f>+T260/$AR$373</f>
        <v>3.2112499999999997</v>
      </c>
      <c r="U442" s="308">
        <f>+(T442/T436-1)*100</f>
        <v>-14.990072799470544</v>
      </c>
      <c r="V442" s="314">
        <f>+V260/$AR$373</f>
        <v>4.3750000000000004E-2</v>
      </c>
      <c r="W442" s="317">
        <f>+(V442/V436-1)*100</f>
        <v>0</v>
      </c>
      <c r="X442" s="317"/>
      <c r="Y442" s="317"/>
      <c r="Z442" s="314"/>
      <c r="AA442" s="317"/>
      <c r="AB442" s="314">
        <f>+AB260/$AR$373</f>
        <v>5.5574999999999992</v>
      </c>
      <c r="AC442" s="308">
        <f>+(AB442/AB436-1)*100</f>
        <v>-7.9693645208031683</v>
      </c>
      <c r="AD442" s="314">
        <f>+AD260/$AR$373</f>
        <v>4.0062499999999996</v>
      </c>
      <c r="AE442" s="308">
        <f>+(AD442/AD436-1)*100</f>
        <v>-5.6798116539140686</v>
      </c>
      <c r="AF442" s="307"/>
      <c r="AG442" s="308"/>
      <c r="AH442" s="307"/>
      <c r="AI442" s="308"/>
      <c r="AJ442" s="307"/>
      <c r="AK442" s="308"/>
      <c r="AL442" s="307"/>
      <c r="AM442" s="308"/>
      <c r="AN442" s="307"/>
      <c r="AO442" s="308"/>
      <c r="AP442" s="30"/>
      <c r="AQ442" s="453">
        <f>+J442+L442+N442+P442+R442+T442+V442+AB442+AD442+AF442+AH442+AJ442+AL442+AN442</f>
        <v>29.078749999999999</v>
      </c>
      <c r="AR442" s="308">
        <f>+(AQ442/AQ436-1)*100</f>
        <v>-10.760319165260091</v>
      </c>
      <c r="AS442" s="308"/>
      <c r="AT442" s="30"/>
      <c r="AU442" s="30"/>
      <c r="AV442" s="30"/>
      <c r="AW442" s="314"/>
      <c r="AX442" s="308"/>
      <c r="AY442" s="308"/>
      <c r="AZ442" s="314"/>
      <c r="BA442" s="308"/>
      <c r="BB442" s="308"/>
      <c r="BC442" s="308"/>
      <c r="BD442" s="308"/>
      <c r="BE442" s="308"/>
      <c r="BF442" s="308"/>
      <c r="BG442" s="316"/>
      <c r="BH442" s="308"/>
      <c r="BI442" s="308"/>
      <c r="BJ442" s="308"/>
      <c r="BK442" s="314"/>
      <c r="BL442" s="308"/>
      <c r="BM442" s="308"/>
      <c r="BN442" s="308"/>
      <c r="BO442" s="314"/>
      <c r="BP442" s="308"/>
      <c r="BQ442" s="308"/>
      <c r="BR442" s="308"/>
      <c r="BS442" s="308"/>
      <c r="BT442" s="314"/>
      <c r="BU442" s="308"/>
      <c r="BV442" s="308"/>
      <c r="BW442" s="308"/>
      <c r="BX442" s="308"/>
      <c r="BY442" s="314"/>
      <c r="BZ442" s="308"/>
      <c r="CA442" s="308"/>
      <c r="CB442" s="308"/>
      <c r="CC442" s="308"/>
      <c r="CD442" s="307"/>
      <c r="CE442" s="308"/>
      <c r="CF442" s="308"/>
      <c r="CG442" s="308"/>
      <c r="CH442" s="308"/>
      <c r="CI442" s="314"/>
      <c r="CJ442" s="308"/>
      <c r="CK442" s="308"/>
      <c r="CL442" s="308"/>
      <c r="CM442" s="314"/>
      <c r="CN442" s="308"/>
      <c r="CO442" s="308"/>
      <c r="CP442" s="314"/>
      <c r="CQ442" s="308"/>
      <c r="CR442" s="308"/>
      <c r="CS442" s="314"/>
      <c r="CT442" s="308"/>
      <c r="CU442" s="308"/>
      <c r="CV442" s="314"/>
      <c r="CW442" s="308"/>
      <c r="CX442" s="308"/>
      <c r="CY442" s="314"/>
      <c r="CZ442" s="308"/>
      <c r="DA442" s="308"/>
      <c r="DB442" s="314"/>
      <c r="DC442" s="308"/>
      <c r="DD442" s="308"/>
      <c r="DE442" s="314"/>
      <c r="DF442" s="308"/>
      <c r="DG442" s="308"/>
      <c r="DH442" s="314"/>
      <c r="DI442" s="308"/>
      <c r="DJ442" s="308"/>
      <c r="DK442" s="308"/>
      <c r="DL442" s="308"/>
    </row>
    <row r="443" spans="1:116" hidden="1" outlineLevel="1">
      <c r="A443" s="30" t="str">
        <f>+A261</f>
        <v>3Q</v>
      </c>
      <c r="B443" s="30" t="str">
        <f>+B261</f>
        <v>Oct</v>
      </c>
      <c r="C443" s="30"/>
      <c r="D443" s="314">
        <f>+D261/$AR$373</f>
        <v>4.5124999999999993</v>
      </c>
      <c r="E443" s="308">
        <f>+(D443/D437-1)*100</f>
        <v>4.0046096225871297</v>
      </c>
      <c r="F443" s="314">
        <f>+F261/$AR$373</f>
        <v>0.60624999999999996</v>
      </c>
      <c r="G443" s="308">
        <f>+(F443/F437-1)*100</f>
        <v>6.8281938325991165</v>
      </c>
      <c r="H443" s="308"/>
      <c r="I443" s="308"/>
      <c r="J443" s="316">
        <f>+D443+F443</f>
        <v>5.1187499999999995</v>
      </c>
      <c r="K443" s="308">
        <f>+(J443/J437-1)*100</f>
        <v>4.3312101910828016</v>
      </c>
      <c r="L443" s="314">
        <f>+L261/$AR$373</f>
        <v>3.7225000000000001</v>
      </c>
      <c r="M443" s="308">
        <f>+(L443/L437-1)*100</f>
        <v>27.264957264957278</v>
      </c>
      <c r="N443" s="314">
        <f>+N261/$AR$373</f>
        <v>5.4274999999999993</v>
      </c>
      <c r="O443" s="308">
        <f>+(N443/N437-1)*100</f>
        <v>-2.207207207207218</v>
      </c>
      <c r="P443" s="314">
        <f>+P261/$AR$373</f>
        <v>2.3962499999999998</v>
      </c>
      <c r="Q443" s="308">
        <f>+(P443/P437-1)*100</f>
        <v>-5.1928783382789163</v>
      </c>
      <c r="R443" s="307"/>
      <c r="S443" s="308"/>
      <c r="T443" s="314">
        <f>+T261/$AR$373</f>
        <v>3.1837499999999999</v>
      </c>
      <c r="U443" s="308">
        <f>+(T443/T437-1)*100</f>
        <v>-14.787554366008692</v>
      </c>
      <c r="V443" s="314">
        <f>+V261/$AR$373</f>
        <v>4.3750000000000004E-2</v>
      </c>
      <c r="W443" s="317">
        <f>+(V443/V437-1)*100</f>
        <v>0</v>
      </c>
      <c r="X443" s="317"/>
      <c r="Y443" s="317"/>
      <c r="Z443" s="314"/>
      <c r="AA443" s="317"/>
      <c r="AB443" s="314">
        <f>+AB261/$AR$373</f>
        <v>5.4362500000000002</v>
      </c>
      <c r="AC443" s="308">
        <f>+(AB443/AB437-1)*100</f>
        <v>-9.3580658607753104</v>
      </c>
      <c r="AD443" s="314">
        <f>+AD261/$AR$373</f>
        <v>4.0199999999999996</v>
      </c>
      <c r="AE443" s="308">
        <f>+(AD443/AD437-1)*100</f>
        <v>-4.7675451584246353</v>
      </c>
      <c r="AF443" s="307"/>
      <c r="AG443" s="308"/>
      <c r="AH443" s="307"/>
      <c r="AI443" s="308"/>
      <c r="AJ443" s="307"/>
      <c r="AK443" s="308"/>
      <c r="AL443" s="307"/>
      <c r="AM443" s="308"/>
      <c r="AN443" s="307"/>
      <c r="AO443" s="308"/>
      <c r="AP443" s="30"/>
      <c r="AQ443" s="453">
        <f>+J443+L443+N443+P443+R443+T443+V443+AB443+AD443+AF443+AH443+AJ443+AL443+AN443</f>
        <v>29.348749999999995</v>
      </c>
      <c r="AR443" s="308">
        <f>+(AQ443/AQ437-1)*100</f>
        <v>-1.868260469781835</v>
      </c>
      <c r="AS443" s="308"/>
      <c r="AT443" s="30"/>
      <c r="AU443" s="30"/>
      <c r="AV443" s="30"/>
      <c r="AW443" s="314"/>
      <c r="AX443" s="308"/>
      <c r="AY443" s="308"/>
      <c r="AZ443" s="314"/>
      <c r="BA443" s="308"/>
      <c r="BB443" s="308"/>
      <c r="BC443" s="308"/>
      <c r="BD443" s="308"/>
      <c r="BE443" s="308"/>
      <c r="BF443" s="308"/>
      <c r="BG443" s="316"/>
      <c r="BH443" s="308"/>
      <c r="BI443" s="308"/>
      <c r="BJ443" s="308"/>
      <c r="BK443" s="314"/>
      <c r="BL443" s="308"/>
      <c r="BM443" s="308"/>
      <c r="BN443" s="308"/>
      <c r="BO443" s="314"/>
      <c r="BP443" s="308"/>
      <c r="BQ443" s="308"/>
      <c r="BR443" s="308"/>
      <c r="BS443" s="308"/>
      <c r="BT443" s="314"/>
      <c r="BU443" s="308"/>
      <c r="BV443" s="308"/>
      <c r="BW443" s="308"/>
      <c r="BX443" s="308"/>
      <c r="BY443" s="314"/>
      <c r="BZ443" s="308"/>
      <c r="CA443" s="308"/>
      <c r="CB443" s="308"/>
      <c r="CC443" s="308"/>
      <c r="CD443" s="307"/>
      <c r="CE443" s="308"/>
      <c r="CF443" s="308"/>
      <c r="CG443" s="308"/>
      <c r="CH443" s="308"/>
      <c r="CI443" s="314"/>
      <c r="CJ443" s="308"/>
      <c r="CK443" s="308"/>
      <c r="CL443" s="308"/>
      <c r="CM443" s="314"/>
      <c r="CN443" s="308"/>
      <c r="CO443" s="308"/>
      <c r="CP443" s="314"/>
      <c r="CQ443" s="308"/>
      <c r="CR443" s="308"/>
      <c r="CS443" s="314"/>
      <c r="CT443" s="308"/>
      <c r="CU443" s="308"/>
      <c r="CV443" s="314"/>
      <c r="CW443" s="308"/>
      <c r="CX443" s="308"/>
      <c r="CY443" s="314"/>
      <c r="CZ443" s="308"/>
      <c r="DA443" s="308"/>
      <c r="DB443" s="314"/>
      <c r="DC443" s="308"/>
      <c r="DD443" s="308"/>
      <c r="DE443" s="314"/>
      <c r="DF443" s="308"/>
      <c r="DG443" s="308"/>
      <c r="DH443" s="314"/>
      <c r="DI443" s="308"/>
      <c r="DJ443" s="308"/>
      <c r="DK443" s="308"/>
      <c r="DL443" s="308"/>
    </row>
    <row r="444" spans="1:116" hidden="1" outlineLevel="1">
      <c r="A444" s="30" t="str">
        <f>+A262</f>
        <v>4Q</v>
      </c>
      <c r="B444" s="30" t="str">
        <f>+B262</f>
        <v>Jan</v>
      </c>
      <c r="C444" s="30"/>
      <c r="D444" s="314">
        <f>+D262/$AR$373</f>
        <v>4.5924999999999994</v>
      </c>
      <c r="E444" s="308">
        <f>+(D444/D438-1)*100</f>
        <v>5.1216022889842616</v>
      </c>
      <c r="F444" s="314">
        <f>+F262/$AR$373</f>
        <v>0.66625000000000001</v>
      </c>
      <c r="G444" s="308">
        <f>+(F444/F438-1)*100</f>
        <v>10.810810810810811</v>
      </c>
      <c r="H444" s="308"/>
      <c r="I444" s="308"/>
      <c r="J444" s="316">
        <f>+D444+F444</f>
        <v>5.2587499999999991</v>
      </c>
      <c r="K444" s="308">
        <f>+(J444/J438-1)*100</f>
        <v>5.8098591549295753</v>
      </c>
      <c r="L444" s="314">
        <f>+L262/$AR$373</f>
        <v>3.7987500000000001</v>
      </c>
      <c r="M444" s="308">
        <f>+(L444/L438-1)*100</f>
        <v>22.048192771084317</v>
      </c>
      <c r="N444" s="314">
        <f>+N262/$AR$373</f>
        <v>5.36</v>
      </c>
      <c r="O444" s="308">
        <f>+(N444/N438-1)*100</f>
        <v>-3.1835628810115035</v>
      </c>
      <c r="P444" s="314">
        <f>+P262/$AR$373</f>
        <v>2.3562499999999997</v>
      </c>
      <c r="Q444" s="308">
        <f>+(P444/P438-1)*100</f>
        <v>-4.7017189079878623</v>
      </c>
      <c r="R444" s="307"/>
      <c r="S444" s="308"/>
      <c r="T444" s="314">
        <f>+T262/$AR$373</f>
        <v>3.0562499999999995</v>
      </c>
      <c r="U444" s="308">
        <f>+(T444/T438-1)*100</f>
        <v>-11.058566751546028</v>
      </c>
      <c r="V444" s="314">
        <f>+V262/$AR$373</f>
        <v>4.3750000000000004E-2</v>
      </c>
      <c r="W444" s="317">
        <f>+(V444/V438-1)*100</f>
        <v>0</v>
      </c>
      <c r="X444" s="317"/>
      <c r="Y444" s="317"/>
      <c r="Z444" s="314"/>
      <c r="AA444" s="317"/>
      <c r="AB444" s="314">
        <f>+AB262/$AR$373</f>
        <v>5.2037500000000003</v>
      </c>
      <c r="AC444" s="308">
        <f>+(AB444/AB438-1)*100</f>
        <v>-9.3423344947735067</v>
      </c>
      <c r="AD444" s="314">
        <f>+AD262/$AR$373</f>
        <v>3.9524999999999997</v>
      </c>
      <c r="AE444" s="308">
        <f>+(AD444/AD438-1)*100</f>
        <v>-5.4142985342506833</v>
      </c>
      <c r="AF444" s="307"/>
      <c r="AG444" s="308"/>
      <c r="AH444" s="307"/>
      <c r="AI444" s="308"/>
      <c r="AJ444" s="307"/>
      <c r="AK444" s="308"/>
      <c r="AL444" s="307"/>
      <c r="AM444" s="308"/>
      <c r="AN444" s="307"/>
      <c r="AO444" s="308"/>
      <c r="AP444" s="30"/>
      <c r="AQ444" s="453">
        <f>+J444+L444+N444+P444+R444+T444+V444+AB444+AD444+AF444+AH444+AJ444+AL444+AN444</f>
        <v>29.029999999999998</v>
      </c>
      <c r="AR444" s="308">
        <f>+(AQ444/AQ438-1)*100</f>
        <v>-1.5598507968803021</v>
      </c>
      <c r="AS444" s="308"/>
      <c r="AT444" s="30"/>
      <c r="AU444" s="30"/>
      <c r="AV444" s="30"/>
      <c r="AW444" s="314"/>
      <c r="AX444" s="308"/>
      <c r="AY444" s="308"/>
      <c r="AZ444" s="314"/>
      <c r="BA444" s="308"/>
      <c r="BB444" s="308"/>
      <c r="BC444" s="308"/>
      <c r="BD444" s="308"/>
      <c r="BE444" s="308"/>
      <c r="BF444" s="308"/>
      <c r="BG444" s="316"/>
      <c r="BH444" s="308"/>
      <c r="BI444" s="308"/>
      <c r="BJ444" s="308"/>
      <c r="BK444" s="314"/>
      <c r="BL444" s="308"/>
      <c r="BM444" s="308"/>
      <c r="BN444" s="308"/>
      <c r="BO444" s="314"/>
      <c r="BP444" s="308"/>
      <c r="BQ444" s="308"/>
      <c r="BR444" s="308"/>
      <c r="BS444" s="308"/>
      <c r="BT444" s="314"/>
      <c r="BU444" s="308"/>
      <c r="BV444" s="308"/>
      <c r="BW444" s="308"/>
      <c r="BX444" s="308"/>
      <c r="BY444" s="314"/>
      <c r="BZ444" s="308"/>
      <c r="CA444" s="308"/>
      <c r="CB444" s="308"/>
      <c r="CC444" s="308"/>
      <c r="CD444" s="307"/>
      <c r="CE444" s="308"/>
      <c r="CF444" s="308"/>
      <c r="CG444" s="308"/>
      <c r="CH444" s="308"/>
      <c r="CI444" s="314"/>
      <c r="CJ444" s="308"/>
      <c r="CK444" s="308"/>
      <c r="CL444" s="308"/>
      <c r="CM444" s="314"/>
      <c r="CN444" s="308"/>
      <c r="CO444" s="308"/>
      <c r="CP444" s="314"/>
      <c r="CQ444" s="308"/>
      <c r="CR444" s="308"/>
      <c r="CS444" s="314"/>
      <c r="CT444" s="308"/>
      <c r="CU444" s="308"/>
      <c r="CV444" s="314"/>
      <c r="CW444" s="308"/>
      <c r="CX444" s="308"/>
      <c r="CY444" s="314"/>
      <c r="CZ444" s="308"/>
      <c r="DA444" s="308"/>
      <c r="DB444" s="314"/>
      <c r="DC444" s="308"/>
      <c r="DD444" s="308"/>
      <c r="DE444" s="314"/>
      <c r="DF444" s="308"/>
      <c r="DG444" s="308"/>
      <c r="DH444" s="314"/>
      <c r="DI444" s="308"/>
      <c r="DJ444" s="308"/>
      <c r="DK444" s="308"/>
      <c r="DL444" s="308"/>
    </row>
    <row r="445" spans="1:116" hidden="1" outlineLevel="1">
      <c r="A445" s="30"/>
      <c r="B445" s="30"/>
      <c r="C445" s="30"/>
      <c r="D445" s="314"/>
      <c r="E445" s="30"/>
      <c r="F445" s="314"/>
      <c r="G445" s="318"/>
      <c r="H445" s="318"/>
      <c r="I445" s="318"/>
      <c r="J445" s="316"/>
      <c r="K445" s="319"/>
      <c r="L445" s="314"/>
      <c r="M445" s="30"/>
      <c r="N445" s="314"/>
      <c r="O445" s="30"/>
      <c r="P445" s="314"/>
      <c r="Q445" s="30"/>
      <c r="R445" s="30"/>
      <c r="S445" s="30"/>
      <c r="T445" s="314"/>
      <c r="U445" s="30"/>
      <c r="V445" s="314"/>
      <c r="W445" s="320"/>
      <c r="X445" s="320"/>
      <c r="Y445" s="320"/>
      <c r="Z445" s="314"/>
      <c r="AA445" s="320"/>
      <c r="AB445" s="314"/>
      <c r="AC445" s="30"/>
      <c r="AD445" s="314"/>
      <c r="AE445" s="30"/>
      <c r="AF445" s="30"/>
      <c r="AG445" s="30"/>
      <c r="AH445" s="30"/>
      <c r="AI445" s="30"/>
      <c r="AJ445" s="30"/>
      <c r="AK445" s="30"/>
      <c r="AL445" s="30"/>
      <c r="AM445" s="30"/>
      <c r="AN445" s="30"/>
      <c r="AO445" s="30"/>
      <c r="AP445" s="30"/>
      <c r="AQ445" s="453"/>
      <c r="AR445" s="30"/>
      <c r="AS445" s="30"/>
      <c r="AT445" s="30"/>
      <c r="AU445" s="30"/>
      <c r="AV445" s="30"/>
      <c r="AW445" s="314"/>
      <c r="AX445" s="30"/>
      <c r="AY445" s="30"/>
      <c r="AZ445" s="314"/>
      <c r="BA445" s="318"/>
      <c r="BB445" s="30"/>
      <c r="BC445" s="318"/>
      <c r="BD445" s="318"/>
      <c r="BE445" s="318"/>
      <c r="BF445" s="30"/>
      <c r="BG445" s="316"/>
      <c r="BH445" s="318"/>
      <c r="BI445" s="318"/>
      <c r="BJ445" s="30"/>
      <c r="BK445" s="314"/>
      <c r="BL445" s="318"/>
      <c r="BM445" s="318"/>
      <c r="BN445" s="30"/>
      <c r="BO445" s="314"/>
      <c r="BP445" s="318"/>
      <c r="BQ445" s="318"/>
      <c r="BR445" s="318"/>
      <c r="BS445" s="30"/>
      <c r="BT445" s="314"/>
      <c r="BU445" s="318"/>
      <c r="BV445" s="318"/>
      <c r="BW445" s="318"/>
      <c r="BX445" s="30"/>
      <c r="BY445" s="314"/>
      <c r="BZ445" s="318"/>
      <c r="CA445" s="318"/>
      <c r="CB445" s="318"/>
      <c r="CC445" s="30"/>
      <c r="CD445" s="30"/>
      <c r="CE445" s="318"/>
      <c r="CF445" s="318"/>
      <c r="CG445" s="318"/>
      <c r="CH445" s="30"/>
      <c r="CI445" s="314"/>
      <c r="CJ445" s="318"/>
      <c r="CK445" s="318"/>
      <c r="CL445" s="30"/>
      <c r="CM445" s="314"/>
      <c r="CN445" s="318"/>
      <c r="CO445" s="30"/>
      <c r="CP445" s="314"/>
      <c r="CQ445" s="318"/>
      <c r="CR445" s="30"/>
      <c r="CS445" s="314"/>
      <c r="CT445" s="318"/>
      <c r="CU445" s="30"/>
      <c r="CV445" s="314"/>
      <c r="CW445" s="318"/>
      <c r="CX445" s="30"/>
      <c r="CY445" s="314"/>
      <c r="CZ445" s="318"/>
      <c r="DA445" s="30"/>
      <c r="DB445" s="314"/>
      <c r="DC445" s="318"/>
      <c r="DD445" s="30"/>
      <c r="DE445" s="314"/>
      <c r="DF445" s="318"/>
      <c r="DG445" s="30"/>
      <c r="DH445" s="314"/>
      <c r="DI445" s="318"/>
      <c r="DJ445" s="318"/>
      <c r="DK445" s="318"/>
      <c r="DL445" s="318"/>
    </row>
    <row r="446" spans="1:116" hidden="1" outlineLevel="1">
      <c r="A446" s="301"/>
      <c r="B446" s="312">
        <f>+B264</f>
        <v>2001</v>
      </c>
      <c r="C446" s="30"/>
      <c r="D446" s="314"/>
      <c r="E446" s="310"/>
      <c r="F446" s="314"/>
      <c r="G446" s="318"/>
      <c r="H446" s="318"/>
      <c r="I446" s="318"/>
      <c r="J446" s="316"/>
      <c r="K446" s="319"/>
      <c r="L446" s="314"/>
      <c r="M446" s="310"/>
      <c r="N446" s="314"/>
      <c r="O446" s="310"/>
      <c r="P446" s="314"/>
      <c r="Q446" s="30"/>
      <c r="R446" s="30"/>
      <c r="S446" s="310"/>
      <c r="T446" s="314"/>
      <c r="U446" s="310"/>
      <c r="V446" s="314"/>
      <c r="W446" s="318"/>
      <c r="X446" s="318"/>
      <c r="Y446" s="318"/>
      <c r="Z446" s="314"/>
      <c r="AA446" s="318"/>
      <c r="AB446" s="314"/>
      <c r="AC446" s="310"/>
      <c r="AD446" s="314"/>
      <c r="AE446" s="310"/>
      <c r="AF446" s="30"/>
      <c r="AG446" s="310"/>
      <c r="AH446" s="30"/>
      <c r="AI446" s="310"/>
      <c r="AJ446" s="30"/>
      <c r="AK446" s="310"/>
      <c r="AL446" s="30"/>
      <c r="AM446" s="310"/>
      <c r="AN446" s="30"/>
      <c r="AO446" s="310"/>
      <c r="AP446" s="30"/>
      <c r="AQ446" s="453"/>
      <c r="AR446" s="310"/>
      <c r="AS446" s="310"/>
      <c r="AT446" s="30"/>
      <c r="AU446" s="30"/>
      <c r="AV446" s="30"/>
      <c r="AW446" s="314"/>
      <c r="AX446" s="310"/>
      <c r="AY446" s="310"/>
      <c r="AZ446" s="314"/>
      <c r="BA446" s="318"/>
      <c r="BB446" s="310"/>
      <c r="BC446" s="318"/>
      <c r="BD446" s="318"/>
      <c r="BE446" s="318"/>
      <c r="BF446" s="310"/>
      <c r="BG446" s="316"/>
      <c r="BH446" s="318"/>
      <c r="BI446" s="644"/>
      <c r="BJ446" s="310"/>
      <c r="BK446" s="314"/>
      <c r="BL446" s="318"/>
      <c r="BM446" s="318"/>
      <c r="BN446" s="310"/>
      <c r="BO446" s="314"/>
      <c r="BP446" s="318"/>
      <c r="BQ446" s="318"/>
      <c r="BR446" s="318"/>
      <c r="BS446" s="310"/>
      <c r="BT446" s="314"/>
      <c r="BU446" s="318"/>
      <c r="BV446" s="318"/>
      <c r="BW446" s="318"/>
      <c r="BX446" s="310"/>
      <c r="BY446" s="314"/>
      <c r="BZ446" s="318"/>
      <c r="CA446" s="318"/>
      <c r="CB446" s="318"/>
      <c r="CC446" s="310"/>
      <c r="CD446" s="30"/>
      <c r="CE446" s="318"/>
      <c r="CF446" s="318"/>
      <c r="CG446" s="318"/>
      <c r="CH446" s="310"/>
      <c r="CI446" s="314"/>
      <c r="CJ446" s="318"/>
      <c r="CK446" s="318"/>
      <c r="CL446" s="310"/>
      <c r="CM446" s="314"/>
      <c r="CN446" s="318"/>
      <c r="CO446" s="310"/>
      <c r="CP446" s="314"/>
      <c r="CQ446" s="318"/>
      <c r="CR446" s="310"/>
      <c r="CS446" s="314"/>
      <c r="CT446" s="318"/>
      <c r="CU446" s="310"/>
      <c r="CV446" s="314"/>
      <c r="CW446" s="318"/>
      <c r="CX446" s="310"/>
      <c r="CY446" s="314"/>
      <c r="CZ446" s="318"/>
      <c r="DA446" s="310"/>
      <c r="DB446" s="314"/>
      <c r="DC446" s="318"/>
      <c r="DD446" s="310"/>
      <c r="DE446" s="314"/>
      <c r="DF446" s="318"/>
      <c r="DG446" s="310"/>
      <c r="DH446" s="314"/>
      <c r="DI446" s="318"/>
      <c r="DJ446" s="318"/>
      <c r="DK446" s="318"/>
      <c r="DL446" s="318"/>
    </row>
    <row r="447" spans="1:116" hidden="1" outlineLevel="1">
      <c r="A447" s="30" t="str">
        <f>+A265</f>
        <v>1Q</v>
      </c>
      <c r="B447" s="30" t="str">
        <f>+B265</f>
        <v>Apr</v>
      </c>
      <c r="C447" s="30"/>
      <c r="D447" s="314">
        <f>+D265/$AR$373</f>
        <v>4.6124999999999998</v>
      </c>
      <c r="E447" s="308">
        <f>+(D447/D441-1)*100</f>
        <v>5.6701030927835072</v>
      </c>
      <c r="F447" s="314">
        <f>+F265/$AR$373</f>
        <v>0.67125000000000001</v>
      </c>
      <c r="G447" s="308">
        <f>+(F447/F441-1)*100</f>
        <v>12.343096234309648</v>
      </c>
      <c r="H447" s="308"/>
      <c r="I447" s="308"/>
      <c r="J447" s="316">
        <f>+D447+F447</f>
        <v>5.2837499999999995</v>
      </c>
      <c r="K447" s="308">
        <f>+(J447/J441-1)*100</f>
        <v>6.4735516372796065</v>
      </c>
      <c r="L447" s="314">
        <f>+L265/$AR$373</f>
        <v>3.9249999999999998</v>
      </c>
      <c r="M447" s="308">
        <f>+(L447/L441-1)*100</f>
        <v>21.47001934235977</v>
      </c>
      <c r="N447" s="314">
        <f>+N265/$AR$373</f>
        <v>5.3125</v>
      </c>
      <c r="O447" s="308">
        <f>+(N447/N441-1)*100</f>
        <v>-2.1864211737629313</v>
      </c>
      <c r="P447" s="314">
        <f>+P265/$AR$373</f>
        <v>2.3337499999999998</v>
      </c>
      <c r="Q447" s="308">
        <f>+(P447/P441-1)*100</f>
        <v>-4.5501022494887522</v>
      </c>
      <c r="R447" s="307"/>
      <c r="S447" s="308"/>
      <c r="T447" s="314">
        <f>+T265/$AR$373</f>
        <v>3.0112499999999995</v>
      </c>
      <c r="U447" s="308">
        <f>+(T447/T441-1)*100</f>
        <v>-10.14546810891459</v>
      </c>
      <c r="V447" s="314">
        <f>+V265/$AR$373</f>
        <v>4.3750000000000004E-2</v>
      </c>
      <c r="W447" s="317">
        <f>+(V447/V441-1)*100</f>
        <v>0</v>
      </c>
      <c r="X447" s="317"/>
      <c r="Y447" s="317"/>
      <c r="Z447" s="314"/>
      <c r="AA447" s="317"/>
      <c r="AB447" s="314">
        <f>+AB265/$AR$373</f>
        <v>5.1262499999999998</v>
      </c>
      <c r="AC447" s="308">
        <f>+(AB447/AB441-1)*100</f>
        <v>-9.4302120141342645</v>
      </c>
      <c r="AD447" s="314">
        <f>+AD265/$AR$373</f>
        <v>3.94</v>
      </c>
      <c r="AE447" s="308">
        <f>+(AD447/AD441-1)*100</f>
        <v>-2.2029165373875226</v>
      </c>
      <c r="AF447" s="307"/>
      <c r="AG447" s="308"/>
      <c r="AH447" s="307"/>
      <c r="AI447" s="308"/>
      <c r="AJ447" s="307"/>
      <c r="AK447" s="308"/>
      <c r="AL447" s="307"/>
      <c r="AM447" s="308"/>
      <c r="AN447" s="307"/>
      <c r="AO447" s="308"/>
      <c r="AP447" s="30"/>
      <c r="AQ447" s="453">
        <f>+J447+L447+N447+P447+R447+T447+V447+AB447+AD447+AF447+AH447+AJ447+AL447+AN447</f>
        <v>28.976249999999997</v>
      </c>
      <c r="AR447" s="308">
        <f>+(AQ447/AQ441-1)*100</f>
        <v>-0.60884105818291845</v>
      </c>
      <c r="AS447" s="308"/>
      <c r="AT447" s="30"/>
      <c r="AU447" s="30"/>
      <c r="AV447" s="30"/>
      <c r="AW447" s="314"/>
      <c r="AX447" s="308"/>
      <c r="AY447" s="308"/>
      <c r="AZ447" s="314"/>
      <c r="BA447" s="308"/>
      <c r="BB447" s="308"/>
      <c r="BC447" s="308"/>
      <c r="BD447" s="308"/>
      <c r="BE447" s="308"/>
      <c r="BF447" s="308"/>
      <c r="BG447" s="316"/>
      <c r="BH447" s="308"/>
      <c r="BI447" s="308"/>
      <c r="BJ447" s="308"/>
      <c r="BK447" s="314"/>
      <c r="BL447" s="308"/>
      <c r="BM447" s="308"/>
      <c r="BN447" s="308"/>
      <c r="BO447" s="314"/>
      <c r="BP447" s="308"/>
      <c r="BQ447" s="308"/>
      <c r="BR447" s="308"/>
      <c r="BS447" s="308"/>
      <c r="BT447" s="314"/>
      <c r="BU447" s="308"/>
      <c r="BV447" s="308"/>
      <c r="BW447" s="308"/>
      <c r="BX447" s="308"/>
      <c r="BY447" s="314"/>
      <c r="BZ447" s="308"/>
      <c r="CA447" s="308"/>
      <c r="CB447" s="308"/>
      <c r="CC447" s="308"/>
      <c r="CD447" s="307"/>
      <c r="CE447" s="308"/>
      <c r="CF447" s="308"/>
      <c r="CG447" s="308"/>
      <c r="CH447" s="308"/>
      <c r="CI447" s="314"/>
      <c r="CJ447" s="308"/>
      <c r="CK447" s="308"/>
      <c r="CL447" s="308"/>
      <c r="CM447" s="314"/>
      <c r="CN447" s="308"/>
      <c r="CO447" s="308"/>
      <c r="CP447" s="314"/>
      <c r="CQ447" s="308"/>
      <c r="CR447" s="308"/>
      <c r="CS447" s="314"/>
      <c r="CT447" s="308"/>
      <c r="CU447" s="308"/>
      <c r="CV447" s="314"/>
      <c r="CW447" s="308"/>
      <c r="CX447" s="308"/>
      <c r="CY447" s="314"/>
      <c r="CZ447" s="308"/>
      <c r="DA447" s="308"/>
      <c r="DB447" s="314"/>
      <c r="DC447" s="308"/>
      <c r="DD447" s="308"/>
      <c r="DE447" s="314"/>
      <c r="DF447" s="308"/>
      <c r="DG447" s="308"/>
      <c r="DH447" s="314"/>
      <c r="DI447" s="308"/>
      <c r="DJ447" s="308"/>
      <c r="DK447" s="308"/>
      <c r="DL447" s="308"/>
    </row>
    <row r="448" spans="1:116" hidden="1" outlineLevel="1">
      <c r="A448" s="30" t="str">
        <f>+A266</f>
        <v>2Q</v>
      </c>
      <c r="B448" s="30" t="str">
        <f>+B266</f>
        <v>Jul</v>
      </c>
      <c r="C448" s="30"/>
      <c r="D448" s="314">
        <f>+D266/$AR$373</f>
        <v>4.7037499999999994</v>
      </c>
      <c r="E448" s="308">
        <f>+(D448/D442-1)*100</f>
        <v>6.7214974475326095</v>
      </c>
      <c r="F448" s="314">
        <f>+F266/$AR$373</f>
        <v>0.68625000000000003</v>
      </c>
      <c r="G448" s="308">
        <f>+(F448/F442-1)*100</f>
        <v>16.067653276955628</v>
      </c>
      <c r="H448" s="308"/>
      <c r="I448" s="308"/>
      <c r="J448" s="316">
        <f>+D448+F448</f>
        <v>5.39</v>
      </c>
      <c r="K448" s="308">
        <f>+(J448/J442-1)*100</f>
        <v>7.8269567391848094</v>
      </c>
      <c r="L448" s="314">
        <f>+L266/$AR$373</f>
        <v>4.1087499999999997</v>
      </c>
      <c r="M448" s="308">
        <f>+(L448/L442-1)*100</f>
        <v>20.845588235294123</v>
      </c>
      <c r="N448" s="314">
        <f>+N266/$AR$373</f>
        <v>5.3162500000000001</v>
      </c>
      <c r="O448" s="308">
        <f>+(N448/N442-1)*100</f>
        <v>-2.1849126034958477</v>
      </c>
      <c r="P448" s="314">
        <f>+P266/$AR$373</f>
        <v>2.2962499999999997</v>
      </c>
      <c r="Q448" s="308">
        <f>+(P448/P442-1)*100</f>
        <v>-5.3580628541988755</v>
      </c>
      <c r="R448" s="307"/>
      <c r="S448" s="308"/>
      <c r="T448" s="314">
        <f>+T266/$AR$373</f>
        <v>2.9474999999999998</v>
      </c>
      <c r="U448" s="308">
        <f>+(T448/T442-1)*100</f>
        <v>-8.2133125729855987</v>
      </c>
      <c r="V448" s="314">
        <f>+V266/$AR$373</f>
        <v>4.3750000000000004E-2</v>
      </c>
      <c r="W448" s="317">
        <f>+(V448/V442-1)*100</f>
        <v>0</v>
      </c>
      <c r="X448" s="317"/>
      <c r="Y448" s="317"/>
      <c r="Z448" s="314"/>
      <c r="AA448" s="317"/>
      <c r="AB448" s="314">
        <f>+AB266/$AR$373</f>
        <v>5.0249999999999995</v>
      </c>
      <c r="AC448" s="308">
        <f>+(AB448/AB442-1)*100</f>
        <v>-9.581646423751689</v>
      </c>
      <c r="AD448" s="314">
        <f>+AD266/$AR$373</f>
        <v>3.93</v>
      </c>
      <c r="AE448" s="308">
        <f>+(AD448/AD442-1)*100</f>
        <v>-1.9032761310452284</v>
      </c>
      <c r="AF448" s="307"/>
      <c r="AG448" s="308"/>
      <c r="AH448" s="307"/>
      <c r="AI448" s="308"/>
      <c r="AJ448" s="307"/>
      <c r="AK448" s="308"/>
      <c r="AL448" s="307"/>
      <c r="AM448" s="308"/>
      <c r="AN448" s="307"/>
      <c r="AO448" s="308"/>
      <c r="AP448" s="30"/>
      <c r="AQ448" s="453">
        <f>+J448+L448+N448+P448+R448+T448+V448+AB448+AD448+AF448+AH448+AJ448+AL448+AN448</f>
        <v>29.057499999999994</v>
      </c>
      <c r="AR448" s="308">
        <f>+(AQ448/AQ442-1)*100</f>
        <v>-7.3077419077527406E-2</v>
      </c>
      <c r="AS448" s="308"/>
      <c r="AT448" s="30"/>
      <c r="AU448" s="30"/>
      <c r="AV448" s="30"/>
      <c r="AW448" s="314"/>
      <c r="AX448" s="308"/>
      <c r="AY448" s="308"/>
      <c r="AZ448" s="314"/>
      <c r="BA448" s="308"/>
      <c r="BB448" s="308"/>
      <c r="BC448" s="308"/>
      <c r="BD448" s="308"/>
      <c r="BE448" s="308"/>
      <c r="BF448" s="308"/>
      <c r="BG448" s="316"/>
      <c r="BH448" s="308"/>
      <c r="BI448" s="308"/>
      <c r="BJ448" s="308"/>
      <c r="BK448" s="314"/>
      <c r="BL448" s="308"/>
      <c r="BM448" s="308"/>
      <c r="BN448" s="308"/>
      <c r="BO448" s="314"/>
      <c r="BP448" s="308"/>
      <c r="BQ448" s="308"/>
      <c r="BR448" s="308"/>
      <c r="BS448" s="308"/>
      <c r="BT448" s="314"/>
      <c r="BU448" s="308"/>
      <c r="BV448" s="308"/>
      <c r="BW448" s="308"/>
      <c r="BX448" s="308"/>
      <c r="BY448" s="314"/>
      <c r="BZ448" s="308"/>
      <c r="CA448" s="308"/>
      <c r="CB448" s="308"/>
      <c r="CC448" s="308"/>
      <c r="CD448" s="307"/>
      <c r="CE448" s="308"/>
      <c r="CF448" s="308"/>
      <c r="CG448" s="308"/>
      <c r="CH448" s="308"/>
      <c r="CI448" s="314"/>
      <c r="CJ448" s="308"/>
      <c r="CK448" s="308"/>
      <c r="CL448" s="308"/>
      <c r="CM448" s="314"/>
      <c r="CN448" s="308"/>
      <c r="CO448" s="308"/>
      <c r="CP448" s="314"/>
      <c r="CQ448" s="308"/>
      <c r="CR448" s="308"/>
      <c r="CS448" s="314"/>
      <c r="CT448" s="308"/>
      <c r="CU448" s="308"/>
      <c r="CV448" s="314"/>
      <c r="CW448" s="308"/>
      <c r="CX448" s="308"/>
      <c r="CY448" s="314"/>
      <c r="CZ448" s="308"/>
      <c r="DA448" s="308"/>
      <c r="DB448" s="314"/>
      <c r="DC448" s="308"/>
      <c r="DD448" s="308"/>
      <c r="DE448" s="314"/>
      <c r="DF448" s="308"/>
      <c r="DG448" s="308"/>
      <c r="DH448" s="314"/>
      <c r="DI448" s="308"/>
      <c r="DJ448" s="308"/>
      <c r="DK448" s="308"/>
      <c r="DL448" s="308"/>
    </row>
    <row r="449" spans="1:116" hidden="1" outlineLevel="1">
      <c r="A449" s="30" t="str">
        <f>+A267</f>
        <v>3Q</v>
      </c>
      <c r="B449" s="30" t="str">
        <f>+B267</f>
        <v>Oct</v>
      </c>
      <c r="C449" s="30"/>
      <c r="D449" s="314">
        <f>+D267/$AR$373</f>
        <v>4.835</v>
      </c>
      <c r="E449" s="308">
        <f>+(D449/D443-1)*100</f>
        <v>7.1468144044321447</v>
      </c>
      <c r="F449" s="314">
        <f>+F267/$AR$373</f>
        <v>0.71124999999999994</v>
      </c>
      <c r="G449" s="308">
        <f>+(F449/F443-1)*100</f>
        <v>17.319587628865985</v>
      </c>
      <c r="H449" s="308"/>
      <c r="I449" s="308"/>
      <c r="J449" s="316">
        <f>+D449+F449</f>
        <v>5.5462499999999997</v>
      </c>
      <c r="K449" s="308">
        <f>+(J449/J443-1)*100</f>
        <v>8.3516483516483664</v>
      </c>
      <c r="L449" s="314">
        <f>+L267/$AR$373</f>
        <v>4.2937500000000002</v>
      </c>
      <c r="M449" s="308">
        <f>+(L449/L443-1)*100</f>
        <v>15.345869711215588</v>
      </c>
      <c r="N449" s="314">
        <f>+N267/$AR$373</f>
        <v>5.3637500000000005</v>
      </c>
      <c r="O449" s="308">
        <f>+(N449/N443-1)*100</f>
        <v>-1.174573929064926</v>
      </c>
      <c r="P449" s="314">
        <f>+P267/$AR$373</f>
        <v>2.2824999999999998</v>
      </c>
      <c r="Q449" s="308">
        <f>+(P449/P443-1)*100</f>
        <v>-4.747000521648415</v>
      </c>
      <c r="R449" s="307"/>
      <c r="S449" s="308"/>
      <c r="T449" s="314">
        <f>+T267/$AR$373</f>
        <v>2.94875</v>
      </c>
      <c r="U449" s="308">
        <f>+(T449/T443-1)*100</f>
        <v>-7.3812328229289292</v>
      </c>
      <c r="V449" s="314">
        <f>+V267/$AR$373</f>
        <v>4.3750000000000004E-2</v>
      </c>
      <c r="W449" s="317">
        <f>+(V449/V443-1)*100</f>
        <v>0</v>
      </c>
      <c r="X449" s="317"/>
      <c r="Y449" s="317"/>
      <c r="Z449" s="314"/>
      <c r="AA449" s="317"/>
      <c r="AB449" s="314">
        <f>+AB267/$AR$373</f>
        <v>4.9725000000000001</v>
      </c>
      <c r="AC449" s="308">
        <f>+(AB449/AB443-1)*100</f>
        <v>-8.5306967118877868</v>
      </c>
      <c r="AD449" s="314">
        <f>+AD267/$AR$373</f>
        <v>0</v>
      </c>
      <c r="AE449" s="308">
        <f>+(AD449/AD443-1)*100</f>
        <v>-100</v>
      </c>
      <c r="AF449" s="307"/>
      <c r="AG449" s="308"/>
      <c r="AH449" s="307"/>
      <c r="AI449" s="308"/>
      <c r="AJ449" s="307"/>
      <c r="AK449" s="308"/>
      <c r="AL449" s="307"/>
      <c r="AM449" s="308"/>
      <c r="AN449" s="307"/>
      <c r="AO449" s="308"/>
      <c r="AP449" s="30"/>
      <c r="AQ449" s="453">
        <f>+J449+L449+N449+P449+R449+T449+V449+AB449+AD449+AF449+AH449+AJ449+AL449+AN449</f>
        <v>25.451249999999998</v>
      </c>
      <c r="AR449" s="308">
        <f>+(AQ449/AQ443-1)*100</f>
        <v>-13.279952297798026</v>
      </c>
      <c r="AS449" s="308"/>
      <c r="AT449" s="30"/>
      <c r="AU449" s="30"/>
      <c r="AV449" s="30"/>
      <c r="AW449" s="314"/>
      <c r="AX449" s="308"/>
      <c r="AY449" s="308"/>
      <c r="AZ449" s="314"/>
      <c r="BA449" s="308"/>
      <c r="BB449" s="308"/>
      <c r="BC449" s="308"/>
      <c r="BD449" s="308"/>
      <c r="BE449" s="308"/>
      <c r="BF449" s="308"/>
      <c r="BG449" s="316"/>
      <c r="BH449" s="308"/>
      <c r="BI449" s="646"/>
      <c r="BJ449" s="308"/>
      <c r="BK449" s="314"/>
      <c r="BL449" s="308"/>
      <c r="BM449" s="308"/>
      <c r="BN449" s="308"/>
      <c r="BO449" s="314"/>
      <c r="BP449" s="308"/>
      <c r="BQ449" s="308"/>
      <c r="BR449" s="308"/>
      <c r="BS449" s="308"/>
      <c r="BT449" s="314"/>
      <c r="BU449" s="308"/>
      <c r="BV449" s="308"/>
      <c r="BW449" s="308"/>
      <c r="BX449" s="308"/>
      <c r="BY449" s="314"/>
      <c r="BZ449" s="308"/>
      <c r="CA449" s="308"/>
      <c r="CB449" s="308"/>
      <c r="CC449" s="308"/>
      <c r="CD449" s="307"/>
      <c r="CE449" s="308"/>
      <c r="CF449" s="308"/>
      <c r="CG449" s="308"/>
      <c r="CH449" s="308"/>
      <c r="CI449" s="314"/>
      <c r="CJ449" s="308"/>
      <c r="CK449" s="308"/>
      <c r="CL449" s="308"/>
      <c r="CM449" s="314"/>
      <c r="CN449" s="308"/>
      <c r="CO449" s="308"/>
      <c r="CP449" s="314"/>
      <c r="CQ449" s="308"/>
      <c r="CR449" s="308"/>
      <c r="CS449" s="314"/>
      <c r="CT449" s="308"/>
      <c r="CU449" s="308"/>
      <c r="CV449" s="314"/>
      <c r="CW449" s="308"/>
      <c r="CX449" s="308"/>
      <c r="CY449" s="314"/>
      <c r="CZ449" s="308"/>
      <c r="DA449" s="308"/>
      <c r="DB449" s="314"/>
      <c r="DC449" s="308"/>
      <c r="DD449" s="308"/>
      <c r="DE449" s="314"/>
      <c r="DF449" s="308"/>
      <c r="DG449" s="308"/>
      <c r="DH449" s="314"/>
      <c r="DI449" s="308"/>
      <c r="DJ449" s="308"/>
      <c r="DK449" s="308"/>
      <c r="DL449" s="308"/>
    </row>
    <row r="450" spans="1:116" hidden="1" outlineLevel="1">
      <c r="A450" s="30" t="str">
        <f>+A268</f>
        <v>4Q</v>
      </c>
      <c r="B450" s="30" t="str">
        <f>+B268</f>
        <v>Jan</v>
      </c>
      <c r="C450" s="30"/>
      <c r="D450" s="314">
        <f>+D268/$AR$373</f>
        <v>4.8425000000000002</v>
      </c>
      <c r="E450" s="308">
        <f>+(D450/D444-1)*100</f>
        <v>5.4436581382689475</v>
      </c>
      <c r="F450" s="314">
        <f>+F268/$AR$373</f>
        <v>0.72999999999999987</v>
      </c>
      <c r="G450" s="308">
        <f>+(F450/F444-1)*100</f>
        <v>9.5684803001875984</v>
      </c>
      <c r="H450" s="308"/>
      <c r="I450" s="308"/>
      <c r="J450" s="316">
        <f>+D450+F450</f>
        <v>5.5724999999999998</v>
      </c>
      <c r="K450" s="308">
        <f>+(J450/J444-1)*100</f>
        <v>5.9662467316377699</v>
      </c>
      <c r="L450" s="314">
        <f>+L268/$AR$373</f>
        <v>4.3287499999999994</v>
      </c>
      <c r="M450" s="308">
        <f>+(L450/L444-1)*100</f>
        <v>13.95195788088186</v>
      </c>
      <c r="N450" s="314">
        <f>+N268/$AR$373</f>
        <v>5.35</v>
      </c>
      <c r="O450" s="308">
        <f>+(N450/N444-1)*100</f>
        <v>-0.18656716417911889</v>
      </c>
      <c r="P450" s="314">
        <f>+P268/$AR$373</f>
        <v>2.2174999999999998</v>
      </c>
      <c r="Q450" s="308">
        <f>+(P450/P444-1)*100</f>
        <v>-5.8885941644562294</v>
      </c>
      <c r="R450" s="307"/>
      <c r="S450" s="308"/>
      <c r="T450" s="314">
        <f>+T268/$AR$373</f>
        <v>2.8912499999999999</v>
      </c>
      <c r="U450" s="308">
        <f>+(T450/T444-1)*100</f>
        <v>-5.3987730061349604</v>
      </c>
      <c r="V450" s="314">
        <f>+V268/$AR$373</f>
        <v>4.3750000000000004E-2</v>
      </c>
      <c r="W450" s="317">
        <f>+(V450/V444-1)*100</f>
        <v>0</v>
      </c>
      <c r="X450" s="317"/>
      <c r="Y450" s="317"/>
      <c r="Z450" s="314"/>
      <c r="AA450" s="317"/>
      <c r="AB450" s="314">
        <f>+AB268/$AR$373</f>
        <v>4.7787499999999996</v>
      </c>
      <c r="AC450" s="308">
        <f>+(AB450/AB444-1)*100</f>
        <v>-8.1671871246697165</v>
      </c>
      <c r="AD450" s="314">
        <f>+AD268/$AR$373</f>
        <v>0</v>
      </c>
      <c r="AE450" s="308">
        <f>+(AD450/AD444-1)*100</f>
        <v>-100</v>
      </c>
      <c r="AF450" s="307"/>
      <c r="AG450" s="308"/>
      <c r="AH450" s="307"/>
      <c r="AI450" s="308"/>
      <c r="AJ450" s="307"/>
      <c r="AK450" s="308"/>
      <c r="AL450" s="307"/>
      <c r="AM450" s="308"/>
      <c r="AN450" s="307"/>
      <c r="AO450" s="308"/>
      <c r="AP450" s="30"/>
      <c r="AQ450" s="453">
        <f>+J450+L450+N450+P450+R450+T450+V450+AB450+AD450+AF450+AH450+AJ450+AL450+AN450</f>
        <v>25.182499999999997</v>
      </c>
      <c r="AR450" s="308">
        <f>+(AQ450/AQ444-1)*100</f>
        <v>-13.253530830175686</v>
      </c>
      <c r="AS450" s="308"/>
      <c r="AT450" s="30"/>
      <c r="AU450" s="30"/>
      <c r="AV450" s="30"/>
      <c r="AW450" s="314"/>
      <c r="AX450" s="308"/>
      <c r="AY450" s="308"/>
      <c r="AZ450" s="314"/>
      <c r="BA450" s="308"/>
      <c r="BB450" s="308"/>
      <c r="BC450" s="308"/>
      <c r="BD450" s="308"/>
      <c r="BE450" s="308"/>
      <c r="BF450" s="308"/>
      <c r="BG450" s="316"/>
      <c r="BH450" s="308"/>
      <c r="BI450" s="308"/>
      <c r="BJ450" s="308"/>
      <c r="BK450" s="314"/>
      <c r="BL450" s="308"/>
      <c r="BM450" s="308"/>
      <c r="BN450" s="308"/>
      <c r="BO450" s="314"/>
      <c r="BP450" s="308"/>
      <c r="BQ450" s="308"/>
      <c r="BR450" s="308"/>
      <c r="BS450" s="308"/>
      <c r="BT450" s="314"/>
      <c r="BU450" s="308"/>
      <c r="BV450" s="308"/>
      <c r="BW450" s="308"/>
      <c r="BX450" s="308"/>
      <c r="BY450" s="314"/>
      <c r="BZ450" s="308"/>
      <c r="CA450" s="308"/>
      <c r="CB450" s="308"/>
      <c r="CC450" s="308"/>
      <c r="CD450" s="307"/>
      <c r="CE450" s="308"/>
      <c r="CF450" s="308"/>
      <c r="CG450" s="308"/>
      <c r="CH450" s="308"/>
      <c r="CI450" s="314"/>
      <c r="CJ450" s="308"/>
      <c r="CK450" s="308"/>
      <c r="CL450" s="308"/>
      <c r="CM450" s="314"/>
      <c r="CN450" s="308"/>
      <c r="CO450" s="308"/>
      <c r="CP450" s="314"/>
      <c r="CQ450" s="308"/>
      <c r="CR450" s="308"/>
      <c r="CS450" s="314"/>
      <c r="CT450" s="308"/>
      <c r="CU450" s="308"/>
      <c r="CV450" s="314"/>
      <c r="CW450" s="308"/>
      <c r="CX450" s="308"/>
      <c r="CY450" s="314"/>
      <c r="CZ450" s="308"/>
      <c r="DA450" s="308"/>
      <c r="DB450" s="314"/>
      <c r="DC450" s="308"/>
      <c r="DD450" s="308"/>
      <c r="DE450" s="314"/>
      <c r="DF450" s="308"/>
      <c r="DG450" s="308"/>
      <c r="DH450" s="314"/>
      <c r="DI450" s="308"/>
      <c r="DJ450" s="308"/>
      <c r="DK450" s="308"/>
      <c r="DL450" s="308"/>
    </row>
    <row r="451" spans="1:116" hidden="1" outlineLevel="1">
      <c r="A451" s="30"/>
      <c r="B451" s="30"/>
      <c r="C451" s="30"/>
      <c r="D451" s="30"/>
      <c r="E451" s="30"/>
      <c r="F451" s="30"/>
      <c r="G451" s="318"/>
      <c r="H451" s="318"/>
      <c r="I451" s="318"/>
      <c r="J451" s="30"/>
      <c r="K451" s="319"/>
      <c r="L451" s="30"/>
      <c r="M451" s="30"/>
      <c r="N451" s="30"/>
      <c r="O451" s="30"/>
      <c r="P451" s="30"/>
      <c r="Q451" s="30"/>
      <c r="R451" s="30"/>
      <c r="S451" s="30"/>
      <c r="T451" s="30"/>
      <c r="U451" s="30"/>
      <c r="V451" s="314"/>
      <c r="W451" s="320"/>
      <c r="X451" s="320"/>
      <c r="Y451" s="320"/>
      <c r="Z451" s="30"/>
      <c r="AA451" s="320"/>
      <c r="AB451" s="30"/>
      <c r="AC451" s="30"/>
      <c r="AD451" s="30"/>
      <c r="AE451" s="30"/>
      <c r="AF451" s="30"/>
      <c r="AG451" s="30"/>
      <c r="AH451" s="30"/>
      <c r="AI451" s="30"/>
      <c r="AJ451" s="30"/>
      <c r="AK451" s="30"/>
      <c r="AL451" s="30"/>
      <c r="AM451" s="30"/>
      <c r="AN451" s="30"/>
      <c r="AO451" s="30"/>
      <c r="AP451" s="30"/>
      <c r="AQ451" s="453"/>
      <c r="AR451" s="30"/>
      <c r="AS451" s="30"/>
      <c r="AT451" s="30"/>
      <c r="AU451" s="30"/>
      <c r="AV451" s="30"/>
      <c r="AW451" s="30"/>
      <c r="AX451" s="30"/>
      <c r="AY451" s="30"/>
      <c r="AZ451" s="30"/>
      <c r="BA451" s="318"/>
      <c r="BB451" s="30"/>
      <c r="BC451" s="318"/>
      <c r="BD451" s="318"/>
      <c r="BE451" s="318"/>
      <c r="BF451" s="30"/>
      <c r="BG451" s="30"/>
      <c r="BH451" s="318"/>
      <c r="BI451" s="318"/>
      <c r="BJ451" s="30"/>
      <c r="BK451" s="30"/>
      <c r="BL451" s="318"/>
      <c r="BM451" s="318"/>
      <c r="BN451" s="30"/>
      <c r="BO451" s="30"/>
      <c r="BP451" s="318"/>
      <c r="BQ451" s="318"/>
      <c r="BR451" s="318"/>
      <c r="BS451" s="30"/>
      <c r="BT451" s="30"/>
      <c r="BU451" s="318"/>
      <c r="BV451" s="318"/>
      <c r="BW451" s="318"/>
      <c r="BX451" s="30"/>
      <c r="BY451" s="30"/>
      <c r="BZ451" s="318"/>
      <c r="CA451" s="318"/>
      <c r="CB451" s="318"/>
      <c r="CC451" s="30"/>
      <c r="CD451" s="30"/>
      <c r="CE451" s="318"/>
      <c r="CF451" s="318"/>
      <c r="CG451" s="318"/>
      <c r="CH451" s="30"/>
      <c r="CI451" s="30"/>
      <c r="CJ451" s="318"/>
      <c r="CK451" s="318"/>
      <c r="CL451" s="30"/>
      <c r="CM451" s="30"/>
      <c r="CN451" s="318"/>
      <c r="CO451" s="30"/>
      <c r="CP451" s="30"/>
      <c r="CQ451" s="318"/>
      <c r="CR451" s="30"/>
      <c r="CS451" s="30"/>
      <c r="CT451" s="318"/>
      <c r="CU451" s="30"/>
      <c r="CV451" s="30"/>
      <c r="CW451" s="318"/>
      <c r="CX451" s="30"/>
      <c r="CY451" s="30"/>
      <c r="CZ451" s="318"/>
      <c r="DA451" s="30"/>
      <c r="DB451" s="30"/>
      <c r="DC451" s="318"/>
      <c r="DD451" s="30"/>
      <c r="DE451" s="30"/>
      <c r="DF451" s="318"/>
      <c r="DG451" s="30"/>
      <c r="DH451" s="30"/>
      <c r="DI451" s="318"/>
      <c r="DJ451" s="318"/>
      <c r="DK451" s="318"/>
      <c r="DL451" s="318"/>
    </row>
    <row r="452" spans="1:116" hidden="1" outlineLevel="1">
      <c r="A452" s="301"/>
      <c r="B452" s="312">
        <f>+B270</f>
        <v>2002</v>
      </c>
      <c r="C452" s="30"/>
      <c r="D452" s="30"/>
      <c r="E452" s="310"/>
      <c r="F452" s="30"/>
      <c r="G452" s="318"/>
      <c r="H452" s="318"/>
      <c r="I452" s="318"/>
      <c r="J452" s="30"/>
      <c r="K452" s="319"/>
      <c r="L452" s="30"/>
      <c r="M452" s="310"/>
      <c r="N452" s="30"/>
      <c r="O452" s="310"/>
      <c r="P452" s="30"/>
      <c r="Q452" s="30"/>
      <c r="R452" s="30"/>
      <c r="S452" s="310"/>
      <c r="T452" s="30"/>
      <c r="U452" s="310"/>
      <c r="V452" s="314"/>
      <c r="W452" s="318"/>
      <c r="X452" s="318"/>
      <c r="Y452" s="318"/>
      <c r="Z452" s="30"/>
      <c r="AA452" s="318"/>
      <c r="AB452" s="30"/>
      <c r="AC452" s="310"/>
      <c r="AD452" s="30"/>
      <c r="AE452" s="310"/>
      <c r="AF452" s="30"/>
      <c r="AG452" s="310"/>
      <c r="AH452" s="30"/>
      <c r="AI452" s="310"/>
      <c r="AJ452" s="30"/>
      <c r="AK452" s="310"/>
      <c r="AL452" s="30"/>
      <c r="AM452" s="310"/>
      <c r="AN452" s="30"/>
      <c r="AO452" s="310"/>
      <c r="AP452" s="30"/>
      <c r="AQ452" s="453"/>
      <c r="AR452" s="310"/>
      <c r="AS452" s="310"/>
      <c r="AT452" s="30"/>
      <c r="AU452" s="30"/>
      <c r="AV452" s="30"/>
      <c r="AW452" s="30"/>
      <c r="AX452" s="310"/>
      <c r="AY452" s="310"/>
      <c r="AZ452" s="30"/>
      <c r="BA452" s="318"/>
      <c r="BB452" s="310"/>
      <c r="BC452" s="318"/>
      <c r="BD452" s="318"/>
      <c r="BE452" s="318"/>
      <c r="BF452" s="310"/>
      <c r="BG452" s="30"/>
      <c r="BH452" s="318"/>
      <c r="BI452" s="318"/>
      <c r="BJ452" s="310"/>
      <c r="BK452" s="30"/>
      <c r="BL452" s="318"/>
      <c r="BM452" s="318"/>
      <c r="BN452" s="310"/>
      <c r="BO452" s="30"/>
      <c r="BP452" s="318"/>
      <c r="BQ452" s="318"/>
      <c r="BR452" s="318"/>
      <c r="BS452" s="310"/>
      <c r="BT452" s="30"/>
      <c r="BU452" s="318"/>
      <c r="BV452" s="318"/>
      <c r="BW452" s="318"/>
      <c r="BX452" s="310"/>
      <c r="BY452" s="30"/>
      <c r="BZ452" s="318"/>
      <c r="CA452" s="318"/>
      <c r="CB452" s="318"/>
      <c r="CC452" s="310"/>
      <c r="CD452" s="30"/>
      <c r="CE452" s="318"/>
      <c r="CF452" s="318"/>
      <c r="CG452" s="318"/>
      <c r="CH452" s="310"/>
      <c r="CI452" s="30"/>
      <c r="CJ452" s="318"/>
      <c r="CK452" s="318"/>
      <c r="CL452" s="310"/>
      <c r="CM452" s="30"/>
      <c r="CN452" s="318"/>
      <c r="CO452" s="310"/>
      <c r="CP452" s="30"/>
      <c r="CQ452" s="318"/>
      <c r="CR452" s="310"/>
      <c r="CS452" s="30"/>
      <c r="CT452" s="318"/>
      <c r="CU452" s="310"/>
      <c r="CV452" s="30"/>
      <c r="CW452" s="318"/>
      <c r="CX452" s="310"/>
      <c r="CY452" s="30"/>
      <c r="CZ452" s="318"/>
      <c r="DA452" s="310"/>
      <c r="DB452" s="30"/>
      <c r="DC452" s="318"/>
      <c r="DD452" s="310"/>
      <c r="DE452" s="30"/>
      <c r="DF452" s="318"/>
      <c r="DG452" s="310"/>
      <c r="DH452" s="30"/>
      <c r="DI452" s="318"/>
      <c r="DJ452" s="318"/>
      <c r="DK452" s="318"/>
      <c r="DL452" s="318"/>
    </row>
    <row r="453" spans="1:116" hidden="1" outlineLevel="1">
      <c r="A453" s="30" t="str">
        <f>+A271</f>
        <v>1Q</v>
      </c>
      <c r="B453" s="30" t="str">
        <f>+B271</f>
        <v>Apr</v>
      </c>
      <c r="C453" s="30"/>
      <c r="D453" s="321"/>
      <c r="E453" s="308"/>
      <c r="F453" s="321"/>
      <c r="G453" s="317"/>
      <c r="H453" s="317"/>
      <c r="I453" s="317"/>
      <c r="J453" s="330">
        <f>+J271/$AR$373</f>
        <v>5.6012499999999994</v>
      </c>
      <c r="K453" s="308">
        <f>+(J453/J447-1)*100</f>
        <v>6.0089898273006925</v>
      </c>
      <c r="L453" s="314">
        <f>+L271/$AR$373</f>
        <v>4.3649999999999993</v>
      </c>
      <c r="M453" s="308">
        <f>+(L453/L447-1)*100</f>
        <v>11.210191082802545</v>
      </c>
      <c r="N453" s="314">
        <f>+N271/$AR$373</f>
        <v>5.2762500000000001</v>
      </c>
      <c r="O453" s="308">
        <f>+(N453/N447-1)*100</f>
        <v>-0.68235294117646728</v>
      </c>
      <c r="P453" s="314">
        <f>+P271/$AR$373</f>
        <v>2.1475</v>
      </c>
      <c r="Q453" s="308">
        <f>+(P453/P447-1)*100</f>
        <v>-7.9807177289769609</v>
      </c>
      <c r="R453" s="314">
        <f>+R271/$AR$373</f>
        <v>0</v>
      </c>
      <c r="S453" s="308"/>
      <c r="T453" s="314">
        <f>+T271/$AR$373</f>
        <v>2.7762500000000001</v>
      </c>
      <c r="U453" s="308">
        <f>+(T453/T447-1)*100</f>
        <v>-7.8040680780406602</v>
      </c>
      <c r="V453" s="314">
        <f>+V271/$AR$373</f>
        <v>4.3750000000000004E-2</v>
      </c>
      <c r="W453" s="317">
        <f>+(V453/V447-1)*100</f>
        <v>0</v>
      </c>
      <c r="X453" s="317"/>
      <c r="Y453" s="317"/>
      <c r="Z453" s="314"/>
      <c r="AA453" s="317"/>
      <c r="AB453" s="314">
        <f>+AB271/$AR$373</f>
        <v>4.7212499999999995</v>
      </c>
      <c r="AC453" s="308">
        <f>+(AB453/AB447-1)*100</f>
        <v>-7.9005120702267835</v>
      </c>
      <c r="AD453" s="307"/>
      <c r="AE453" s="308"/>
      <c r="AF453" s="307"/>
      <c r="AG453" s="308"/>
      <c r="AH453" s="307"/>
      <c r="AI453" s="308"/>
      <c r="AJ453" s="307"/>
      <c r="AK453" s="308"/>
      <c r="AL453" s="307"/>
      <c r="AM453" s="308"/>
      <c r="AN453" s="307"/>
      <c r="AO453" s="308"/>
      <c r="AP453" s="30"/>
      <c r="AQ453" s="453">
        <f>+J453+L453+N453+P453+R453+T453+V453+AB453+AD453+AF453+AH453+AJ453+AL453+AN453</f>
        <v>24.931249999999999</v>
      </c>
      <c r="AR453" s="308">
        <f>+(AQ453/AQ447-1)*100</f>
        <v>-13.959708381864456</v>
      </c>
      <c r="AS453" s="308"/>
      <c r="AT453" s="30"/>
      <c r="AU453" s="30"/>
      <c r="AV453" s="30"/>
      <c r="AW453" s="321"/>
      <c r="AX453" s="308"/>
      <c r="AY453" s="308"/>
      <c r="AZ453" s="321"/>
      <c r="BA453" s="317"/>
      <c r="BB453" s="308"/>
      <c r="BC453" s="317"/>
      <c r="BD453" s="317"/>
      <c r="BE453" s="317"/>
      <c r="BF453" s="308"/>
      <c r="BG453" s="330"/>
      <c r="BH453" s="317"/>
      <c r="BI453" s="317"/>
      <c r="BJ453" s="308"/>
      <c r="BK453" s="314"/>
      <c r="BL453" s="317"/>
      <c r="BM453" s="317"/>
      <c r="BN453" s="308"/>
      <c r="BO453" s="314"/>
      <c r="BP453" s="317"/>
      <c r="BQ453" s="317"/>
      <c r="BR453" s="317"/>
      <c r="BS453" s="308"/>
      <c r="BT453" s="314"/>
      <c r="BU453" s="317"/>
      <c r="BV453" s="317"/>
      <c r="BW453" s="317"/>
      <c r="BX453" s="308"/>
      <c r="BY453" s="314"/>
      <c r="BZ453" s="317"/>
      <c r="CA453" s="317"/>
      <c r="CB453" s="317"/>
      <c r="CC453" s="308"/>
      <c r="CD453" s="307"/>
      <c r="CE453" s="317"/>
      <c r="CF453" s="317"/>
      <c r="CG453" s="317"/>
      <c r="CH453" s="308"/>
      <c r="CI453" s="314"/>
      <c r="CJ453" s="317"/>
      <c r="CK453" s="317"/>
      <c r="CL453" s="308"/>
      <c r="CM453" s="314"/>
      <c r="CN453" s="317"/>
      <c r="CO453" s="308"/>
      <c r="CP453" s="314"/>
      <c r="CQ453" s="317"/>
      <c r="CR453" s="308"/>
      <c r="CS453" s="314"/>
      <c r="CT453" s="317"/>
      <c r="CU453" s="308"/>
      <c r="CV453" s="314"/>
      <c r="CW453" s="317"/>
      <c r="CX453" s="308"/>
      <c r="CY453" s="314"/>
      <c r="CZ453" s="317"/>
      <c r="DA453" s="308"/>
      <c r="DB453" s="314"/>
      <c r="DC453" s="317"/>
      <c r="DD453" s="308"/>
      <c r="DE453" s="314"/>
      <c r="DF453" s="317"/>
      <c r="DG453" s="308"/>
      <c r="DH453" s="314"/>
      <c r="DI453" s="317"/>
      <c r="DJ453" s="317"/>
      <c r="DK453" s="317"/>
      <c r="DL453" s="317"/>
    </row>
    <row r="454" spans="1:116" hidden="1" outlineLevel="1">
      <c r="A454" s="30" t="str">
        <f>+A272</f>
        <v>2Q</v>
      </c>
      <c r="B454" s="30" t="str">
        <f>+B272</f>
        <v>Jul</v>
      </c>
      <c r="C454" s="30"/>
      <c r="D454" s="321"/>
      <c r="E454" s="308"/>
      <c r="F454" s="321"/>
      <c r="G454" s="317"/>
      <c r="H454" s="317"/>
      <c r="I454" s="317"/>
      <c r="J454" s="330">
        <f>+J272/$AR$373</f>
        <v>5.6712499999999997</v>
      </c>
      <c r="K454" s="308">
        <f>+(J454/J448-1)*100</f>
        <v>5.2179962894248533</v>
      </c>
      <c r="L454" s="314">
        <f>+L272/$AR$373</f>
        <v>4.3812499999999996</v>
      </c>
      <c r="M454" s="308">
        <f>+(L454/L448-1)*100</f>
        <v>6.6321874049285023</v>
      </c>
      <c r="N454" s="314">
        <f>+N272/$AR$373</f>
        <v>5.04</v>
      </c>
      <c r="O454" s="308">
        <f>+(N454/N448-1)*100</f>
        <v>-5.1963320009405178</v>
      </c>
      <c r="P454" s="314">
        <f>+P272/$AR$373</f>
        <v>1.9562499999999998</v>
      </c>
      <c r="Q454" s="308">
        <f>+(P454/P448-1)*100</f>
        <v>-14.806750136091452</v>
      </c>
      <c r="R454" s="314">
        <f>+R272/$AR$373</f>
        <v>0.33750000000000002</v>
      </c>
      <c r="S454" s="308"/>
      <c r="T454" s="314">
        <f>+T272/$AR$373</f>
        <v>2.7637499999999995</v>
      </c>
      <c r="U454" s="308">
        <f>+(T454/T448-1)*100</f>
        <v>-6.2340966921119678</v>
      </c>
      <c r="V454" s="314">
        <f>+V272/$AR$373</f>
        <v>4.3750000000000004E-2</v>
      </c>
      <c r="W454" s="317">
        <f>+(V454/V448-1)*100</f>
        <v>0</v>
      </c>
      <c r="X454" s="317"/>
      <c r="Y454" s="317"/>
      <c r="Z454" s="314"/>
      <c r="AA454" s="317"/>
      <c r="AB454" s="314">
        <f>+AB272/$AR$373</f>
        <v>4.6712499999999997</v>
      </c>
      <c r="AC454" s="308">
        <f>+(AB454/AB448-1)*100</f>
        <v>-7.0398009950248692</v>
      </c>
      <c r="AD454" s="307"/>
      <c r="AE454" s="308"/>
      <c r="AF454" s="307"/>
      <c r="AG454" s="308"/>
      <c r="AH454" s="307"/>
      <c r="AI454" s="308"/>
      <c r="AJ454" s="307"/>
      <c r="AK454" s="308"/>
      <c r="AL454" s="307"/>
      <c r="AM454" s="308"/>
      <c r="AN454" s="307"/>
      <c r="AO454" s="308"/>
      <c r="AP454" s="30"/>
      <c r="AQ454" s="453">
        <f>+J454+L454+N454+P454+R454+T454+V454+AB454+AD454+AF454+AH454+AJ454+AL454+AN454</f>
        <v>24.864999999999995</v>
      </c>
      <c r="AR454" s="308">
        <f>+(AQ454/AQ448-1)*100</f>
        <v>-14.428288737847373</v>
      </c>
      <c r="AS454" s="308"/>
      <c r="AT454" s="30"/>
      <c r="AU454" s="30"/>
      <c r="AV454" s="30"/>
      <c r="AW454" s="321"/>
      <c r="AX454" s="308"/>
      <c r="AY454" s="308"/>
      <c r="AZ454" s="321"/>
      <c r="BA454" s="317"/>
      <c r="BB454" s="308"/>
      <c r="BC454" s="317"/>
      <c r="BD454" s="317"/>
      <c r="BE454" s="317"/>
      <c r="BF454" s="308"/>
      <c r="BG454" s="330"/>
      <c r="BH454" s="317"/>
      <c r="BI454" s="317"/>
      <c r="BJ454" s="308"/>
      <c r="BK454" s="314"/>
      <c r="BL454" s="317"/>
      <c r="BM454" s="317"/>
      <c r="BN454" s="308"/>
      <c r="BO454" s="314"/>
      <c r="BP454" s="317"/>
      <c r="BQ454" s="317"/>
      <c r="BR454" s="317"/>
      <c r="BS454" s="308"/>
      <c r="BT454" s="314"/>
      <c r="BU454" s="317"/>
      <c r="BV454" s="317"/>
      <c r="BW454" s="317"/>
      <c r="BX454" s="308"/>
      <c r="BY454" s="314"/>
      <c r="BZ454" s="317"/>
      <c r="CA454" s="317"/>
      <c r="CB454" s="317"/>
      <c r="CC454" s="308"/>
      <c r="CD454" s="307"/>
      <c r="CE454" s="317"/>
      <c r="CF454" s="317"/>
      <c r="CG454" s="317"/>
      <c r="CH454" s="308"/>
      <c r="CI454" s="314"/>
      <c r="CJ454" s="317"/>
      <c r="CK454" s="317"/>
      <c r="CL454" s="308"/>
      <c r="CM454" s="314"/>
      <c r="CN454" s="317"/>
      <c r="CO454" s="308"/>
      <c r="CP454" s="314"/>
      <c r="CQ454" s="317"/>
      <c r="CR454" s="308"/>
      <c r="CS454" s="314"/>
      <c r="CT454" s="317"/>
      <c r="CU454" s="308"/>
      <c r="CV454" s="314"/>
      <c r="CW454" s="317"/>
      <c r="CX454" s="308"/>
      <c r="CY454" s="314"/>
      <c r="CZ454" s="317"/>
      <c r="DA454" s="308"/>
      <c r="DB454" s="314"/>
      <c r="DC454" s="317"/>
      <c r="DD454" s="308"/>
      <c r="DE454" s="314"/>
      <c r="DF454" s="317"/>
      <c r="DG454" s="308"/>
      <c r="DH454" s="314"/>
      <c r="DI454" s="317"/>
      <c r="DJ454" s="317"/>
      <c r="DK454" s="317"/>
      <c r="DL454" s="317"/>
    </row>
    <row r="455" spans="1:116" hidden="1" outlineLevel="1">
      <c r="A455" s="30" t="str">
        <f>+A273</f>
        <v>3Q</v>
      </c>
      <c r="B455" s="30" t="str">
        <f>+B273</f>
        <v>Oct</v>
      </c>
      <c r="C455" s="30"/>
      <c r="D455" s="321"/>
      <c r="E455" s="308"/>
      <c r="F455" s="321"/>
      <c r="G455" s="317"/>
      <c r="H455" s="317"/>
      <c r="I455" s="317"/>
      <c r="J455" s="330">
        <f>+J273/$AR$373</f>
        <v>5.8074999999999992</v>
      </c>
      <c r="K455" s="308">
        <f>+(J455/J449-1)*100</f>
        <v>4.7103899030876528</v>
      </c>
      <c r="L455" s="314">
        <f>+L273/$AR$373</f>
        <v>4.4624999999999995</v>
      </c>
      <c r="M455" s="308">
        <f>+(L455/L449-1)*100</f>
        <v>3.9301310043667881</v>
      </c>
      <c r="N455" s="314">
        <f>+N273/$AR$373</f>
        <v>5.0137499999999999</v>
      </c>
      <c r="O455" s="308">
        <f>+(N455/N449-1)*100</f>
        <v>-6.525285481239818</v>
      </c>
      <c r="P455" s="314">
        <f>+P273/$AR$373</f>
        <v>1.9350000000000001</v>
      </c>
      <c r="Q455" s="308">
        <f>+(P455/P449-1)*100</f>
        <v>-15.224534501642928</v>
      </c>
      <c r="R455" s="314">
        <f>+R273/$AR$373</f>
        <v>0.51374999999999993</v>
      </c>
      <c r="S455" s="308"/>
      <c r="T455" s="314">
        <f>+T273/$AR$373</f>
        <v>2.7462499999999999</v>
      </c>
      <c r="U455" s="308">
        <f>+(T455/T449-1)*100</f>
        <v>-6.8673166596015296</v>
      </c>
      <c r="V455" s="314">
        <f>+V273/$AR$373</f>
        <v>4.3750000000000004E-2</v>
      </c>
      <c r="W455" s="317">
        <f>+(V455/V449-1)*100</f>
        <v>0</v>
      </c>
      <c r="X455" s="317"/>
      <c r="Y455" s="317"/>
      <c r="Z455" s="314"/>
      <c r="AA455" s="317"/>
      <c r="AB455" s="314">
        <f>+AB273/$AR$373</f>
        <v>4.6587499999999995</v>
      </c>
      <c r="AC455" s="308">
        <f>+(AB455/AB449-1)*100</f>
        <v>-6.3097033685269093</v>
      </c>
      <c r="AD455" s="307"/>
      <c r="AE455" s="308"/>
      <c r="AF455" s="307"/>
      <c r="AG455" s="308"/>
      <c r="AH455" s="307"/>
      <c r="AI455" s="308"/>
      <c r="AJ455" s="307"/>
      <c r="AK455" s="308"/>
      <c r="AL455" s="307"/>
      <c r="AM455" s="308"/>
      <c r="AN455" s="307"/>
      <c r="AO455" s="308"/>
      <c r="AP455" s="30"/>
      <c r="AQ455" s="453">
        <f>+J455+L455+N455+P455+R455+T455+V455+AB455+AD455+AF455+AH455+AJ455+AL455+AN455</f>
        <v>25.181249999999999</v>
      </c>
      <c r="AR455" s="308">
        <f>+(AQ455/AQ449-1)*100</f>
        <v>-1.0608516281125691</v>
      </c>
      <c r="AS455" s="308"/>
      <c r="AT455" s="30"/>
      <c r="AU455" s="30"/>
      <c r="AV455" s="30"/>
      <c r="AW455" s="321"/>
      <c r="AX455" s="308"/>
      <c r="AY455" s="308"/>
      <c r="AZ455" s="321"/>
      <c r="BA455" s="317"/>
      <c r="BB455" s="308"/>
      <c r="BC455" s="317"/>
      <c r="BD455" s="317"/>
      <c r="BE455" s="317"/>
      <c r="BF455" s="308"/>
      <c r="BG455" s="330"/>
      <c r="BH455" s="317"/>
      <c r="BI455" s="317"/>
      <c r="BJ455" s="308"/>
      <c r="BK455" s="314"/>
      <c r="BL455" s="317"/>
      <c r="BM455" s="317"/>
      <c r="BN455" s="308"/>
      <c r="BO455" s="314"/>
      <c r="BP455" s="317"/>
      <c r="BQ455" s="317"/>
      <c r="BR455" s="317"/>
      <c r="BS455" s="308"/>
      <c r="BT455" s="314"/>
      <c r="BU455" s="317"/>
      <c r="BV455" s="317"/>
      <c r="BW455" s="317"/>
      <c r="BX455" s="308"/>
      <c r="BY455" s="314"/>
      <c r="BZ455" s="317"/>
      <c r="CA455" s="317"/>
      <c r="CB455" s="317"/>
      <c r="CC455" s="308"/>
      <c r="CD455" s="307"/>
      <c r="CE455" s="317"/>
      <c r="CF455" s="317"/>
      <c r="CG455" s="317"/>
      <c r="CH455" s="308"/>
      <c r="CI455" s="314"/>
      <c r="CJ455" s="317"/>
      <c r="CK455" s="317"/>
      <c r="CL455" s="308"/>
      <c r="CM455" s="314"/>
      <c r="CN455" s="317"/>
      <c r="CO455" s="308"/>
      <c r="CP455" s="314"/>
      <c r="CQ455" s="317"/>
      <c r="CR455" s="308"/>
      <c r="CS455" s="314"/>
      <c r="CT455" s="317"/>
      <c r="CU455" s="308"/>
      <c r="CV455" s="314"/>
      <c r="CW455" s="317"/>
      <c r="CX455" s="308"/>
      <c r="CY455" s="314"/>
      <c r="CZ455" s="317"/>
      <c r="DA455" s="308"/>
      <c r="DB455" s="314"/>
      <c r="DC455" s="317"/>
      <c r="DD455" s="308"/>
      <c r="DE455" s="314"/>
      <c r="DF455" s="317"/>
      <c r="DG455" s="308"/>
      <c r="DH455" s="314"/>
      <c r="DI455" s="317"/>
      <c r="DJ455" s="317"/>
      <c r="DK455" s="317"/>
      <c r="DL455" s="317"/>
    </row>
    <row r="456" spans="1:116" hidden="1" outlineLevel="1">
      <c r="A456" s="30" t="str">
        <f>+A274</f>
        <v>4Q</v>
      </c>
      <c r="B456" s="30" t="str">
        <f>+B274</f>
        <v>Jan</v>
      </c>
      <c r="C456" s="339"/>
      <c r="D456" s="321"/>
      <c r="E456" s="308"/>
      <c r="F456" s="321"/>
      <c r="G456" s="317"/>
      <c r="H456" s="317"/>
      <c r="I456" s="317"/>
      <c r="J456" s="330">
        <f>+J274/$AR$373</f>
        <v>5.8287500000000003</v>
      </c>
      <c r="K456" s="308">
        <f>+(J456/J450-1)*100</f>
        <v>4.5984746523104691</v>
      </c>
      <c r="L456" s="314">
        <f>+L274/$AR$373</f>
        <v>4.46</v>
      </c>
      <c r="M456" s="308">
        <f>+(L456/L450-1)*100</f>
        <v>3.0320531331215816</v>
      </c>
      <c r="N456" s="314">
        <f>+N274/$AR$373</f>
        <v>4.9087499999999995</v>
      </c>
      <c r="O456" s="308">
        <f>+(N456/N450-1)*100</f>
        <v>-8.2476635514018746</v>
      </c>
      <c r="P456" s="314">
        <f>+P274/$AR$373</f>
        <v>1.8224999999999998</v>
      </c>
      <c r="Q456" s="308">
        <f>+(P456/P450-1)*100</f>
        <v>-17.812852311161219</v>
      </c>
      <c r="R456" s="314">
        <f>+R274/$AR$373</f>
        <v>0.58374999999999999</v>
      </c>
      <c r="S456" s="308"/>
      <c r="T456" s="314">
        <f>+T274/$AR$373</f>
        <v>2.7237499999999994</v>
      </c>
      <c r="U456" s="308">
        <f>+(T456/T450-1)*100</f>
        <v>-5.7933419801124213</v>
      </c>
      <c r="V456" s="314">
        <f>+V274/$AR$373</f>
        <v>4.3750000000000004E-2</v>
      </c>
      <c r="W456" s="317">
        <f>+(V456/V450-1)*100</f>
        <v>0</v>
      </c>
      <c r="X456" s="317"/>
      <c r="Y456" s="317"/>
      <c r="Z456" s="314"/>
      <c r="AA456" s="317"/>
      <c r="AB456" s="314">
        <f>+AB274/$AR$373</f>
        <v>0</v>
      </c>
      <c r="AC456" s="308">
        <f>+(AB456/AB450-1)*100</f>
        <v>-100</v>
      </c>
      <c r="AD456" s="307"/>
      <c r="AE456" s="308"/>
      <c r="AF456" s="307"/>
      <c r="AG456" s="308"/>
      <c r="AH456" s="307"/>
      <c r="AI456" s="308"/>
      <c r="AJ456" s="307"/>
      <c r="AK456" s="308"/>
      <c r="AL456" s="307"/>
      <c r="AM456" s="308"/>
      <c r="AN456" s="307"/>
      <c r="AO456" s="308"/>
      <c r="AP456" s="30"/>
      <c r="AQ456" s="453">
        <f>+J456+L456+N456+P456+R456+T456+V456+AB456+AD456+AF456+AH456+AJ456+AL456+AN456</f>
        <v>20.371249999999996</v>
      </c>
      <c r="AR456" s="308">
        <f>+(AQ456/AQ450-1)*100</f>
        <v>-19.105529633674191</v>
      </c>
      <c r="AS456" s="308"/>
      <c r="AT456" s="30"/>
      <c r="AU456" s="30"/>
      <c r="AV456" s="30"/>
      <c r="AW456" s="321"/>
      <c r="AX456" s="308"/>
      <c r="AY456" s="308"/>
      <c r="AZ456" s="321"/>
      <c r="BA456" s="317"/>
      <c r="BB456" s="308"/>
      <c r="BC456" s="317"/>
      <c r="BD456" s="317"/>
      <c r="BE456" s="317"/>
      <c r="BF456" s="308"/>
      <c r="BG456" s="314"/>
      <c r="BH456" s="317"/>
      <c r="BI456" s="317"/>
      <c r="BJ456" s="308"/>
      <c r="BK456" s="314"/>
      <c r="BL456" s="317"/>
      <c r="BM456" s="317"/>
      <c r="BN456" s="308"/>
      <c r="BO456" s="314"/>
      <c r="BP456" s="317"/>
      <c r="BQ456" s="317"/>
      <c r="BR456" s="317"/>
      <c r="BS456" s="308"/>
      <c r="BT456" s="314"/>
      <c r="BU456" s="317"/>
      <c r="BV456" s="317"/>
      <c r="BW456" s="317"/>
      <c r="BX456" s="308"/>
      <c r="BY456" s="314"/>
      <c r="BZ456" s="317"/>
      <c r="CA456" s="317"/>
      <c r="CB456" s="317"/>
      <c r="CC456" s="308"/>
      <c r="CD456" s="307"/>
      <c r="CE456" s="317"/>
      <c r="CF456" s="317"/>
      <c r="CG456" s="317"/>
      <c r="CH456" s="308"/>
      <c r="CI456" s="314"/>
      <c r="CJ456" s="317"/>
      <c r="CK456" s="317"/>
      <c r="CL456" s="308"/>
      <c r="CM456" s="314"/>
      <c r="CN456" s="317"/>
      <c r="CO456" s="308"/>
      <c r="CP456" s="314"/>
      <c r="CQ456" s="317"/>
      <c r="CR456" s="308"/>
      <c r="CS456" s="314"/>
      <c r="CT456" s="317"/>
      <c r="CU456" s="308"/>
      <c r="CV456" s="314"/>
      <c r="CW456" s="317"/>
      <c r="CX456" s="308"/>
      <c r="CY456" s="314"/>
      <c r="CZ456" s="317"/>
      <c r="DA456" s="308"/>
      <c r="DB456" s="314"/>
      <c r="DC456" s="317"/>
      <c r="DD456" s="308"/>
      <c r="DE456" s="314"/>
      <c r="DF456" s="317"/>
      <c r="DG456" s="308"/>
      <c r="DH456" s="314"/>
      <c r="DI456" s="317"/>
      <c r="DJ456" s="317"/>
      <c r="DK456" s="317"/>
      <c r="DL456" s="317"/>
    </row>
    <row r="457" spans="1:116" hidden="1" outlineLevel="1">
      <c r="A457" s="30"/>
      <c r="B457" s="30"/>
      <c r="C457" s="30"/>
      <c r="D457" s="30"/>
      <c r="E457" s="30"/>
      <c r="F457" s="30"/>
      <c r="G457" s="320"/>
      <c r="H457" s="320"/>
      <c r="I457" s="320"/>
      <c r="J457" s="30"/>
      <c r="K457" s="320"/>
      <c r="L457" s="30"/>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c r="AJ457" s="30"/>
      <c r="AK457" s="30"/>
      <c r="AL457" s="30"/>
      <c r="AM457" s="30"/>
      <c r="AN457" s="30"/>
      <c r="AO457" s="30"/>
      <c r="AP457" s="30"/>
      <c r="AQ457" s="453"/>
      <c r="AR457" s="30"/>
      <c r="AS457" s="30"/>
      <c r="AT457" s="30"/>
      <c r="AU457" s="30"/>
      <c r="AV457" s="30"/>
      <c r="AW457" s="30"/>
      <c r="AX457" s="30"/>
      <c r="AY457" s="30"/>
      <c r="AZ457" s="30"/>
      <c r="BA457" s="320"/>
      <c r="BB457" s="30"/>
      <c r="BC457" s="320"/>
      <c r="BD457" s="320"/>
      <c r="BE457" s="320"/>
      <c r="BF457" s="30"/>
      <c r="BG457" s="30"/>
      <c r="BH457" s="320"/>
      <c r="BI457" s="320"/>
      <c r="BJ457" s="30"/>
      <c r="BK457" s="30"/>
      <c r="BL457" s="320"/>
      <c r="BM457" s="320"/>
      <c r="BN457" s="30"/>
      <c r="BO457" s="30"/>
      <c r="BP457" s="320"/>
      <c r="BQ457" s="320"/>
      <c r="BR457" s="320"/>
      <c r="BS457" s="30"/>
      <c r="BT457" s="30"/>
      <c r="BU457" s="320"/>
      <c r="BV457" s="320"/>
      <c r="BW457" s="320"/>
      <c r="BX457" s="30"/>
      <c r="BY457" s="30"/>
      <c r="BZ457" s="320"/>
      <c r="CA457" s="320"/>
      <c r="CB457" s="320"/>
      <c r="CC457" s="30"/>
      <c r="CD457" s="30"/>
      <c r="CE457" s="320"/>
      <c r="CF457" s="320"/>
      <c r="CG457" s="320"/>
      <c r="CH457" s="30"/>
      <c r="CI457" s="30"/>
      <c r="CJ457" s="320"/>
      <c r="CK457" s="320"/>
      <c r="CL457" s="30"/>
      <c r="CM457" s="30"/>
      <c r="CN457" s="320"/>
      <c r="CO457" s="30"/>
      <c r="CP457" s="30"/>
      <c r="CQ457" s="320"/>
      <c r="CR457" s="30"/>
      <c r="CS457" s="30"/>
      <c r="CT457" s="320"/>
      <c r="CU457" s="30"/>
      <c r="CV457" s="30"/>
      <c r="CW457" s="320"/>
      <c r="CX457" s="30"/>
      <c r="CY457" s="30"/>
      <c r="CZ457" s="320"/>
      <c r="DA457" s="30"/>
      <c r="DB457" s="30"/>
      <c r="DC457" s="320"/>
      <c r="DD457" s="30"/>
      <c r="DE457" s="30"/>
      <c r="DF457" s="320"/>
      <c r="DG457" s="30"/>
      <c r="DH457" s="30"/>
      <c r="DI457" s="320"/>
      <c r="DJ457" s="320"/>
      <c r="DK457" s="320"/>
      <c r="DL457" s="320"/>
    </row>
    <row r="458" spans="1:116" hidden="1" outlineLevel="1">
      <c r="A458" s="301"/>
      <c r="B458" s="312">
        <f>+B276</f>
        <v>2003</v>
      </c>
      <c r="C458" s="30"/>
      <c r="D458" s="30"/>
      <c r="E458" s="310"/>
      <c r="F458" s="30"/>
      <c r="G458" s="318"/>
      <c r="H458" s="318"/>
      <c r="I458" s="318"/>
      <c r="J458" s="30"/>
      <c r="K458" s="319"/>
      <c r="L458" s="30"/>
      <c r="M458" s="310"/>
      <c r="N458" s="30"/>
      <c r="O458" s="310"/>
      <c r="P458" s="30"/>
      <c r="Q458" s="30"/>
      <c r="R458" s="30"/>
      <c r="S458" s="310"/>
      <c r="T458" s="30"/>
      <c r="U458" s="310"/>
      <c r="V458" s="314"/>
      <c r="W458" s="318"/>
      <c r="X458" s="318"/>
      <c r="Y458" s="318"/>
      <c r="Z458" s="30"/>
      <c r="AA458" s="318"/>
      <c r="AB458" s="30"/>
      <c r="AC458" s="310"/>
      <c r="AD458" s="30"/>
      <c r="AE458" s="310"/>
      <c r="AF458" s="30"/>
      <c r="AG458" s="310"/>
      <c r="AH458" s="30"/>
      <c r="AI458" s="310"/>
      <c r="AJ458" s="30"/>
      <c r="AK458" s="310"/>
      <c r="AL458" s="30"/>
      <c r="AM458" s="310"/>
      <c r="AN458" s="30"/>
      <c r="AO458" s="310"/>
      <c r="AP458" s="30"/>
      <c r="AQ458" s="453"/>
      <c r="AR458" s="310"/>
      <c r="AS458" s="310"/>
      <c r="AT458" s="30"/>
      <c r="AU458" s="30"/>
      <c r="AV458" s="30"/>
      <c r="AW458" s="30"/>
      <c r="AX458" s="310"/>
      <c r="AY458" s="310"/>
      <c r="AZ458" s="30"/>
      <c r="BA458" s="318"/>
      <c r="BB458" s="310"/>
      <c r="BC458" s="318"/>
      <c r="BD458" s="318"/>
      <c r="BE458" s="318"/>
      <c r="BF458" s="310"/>
      <c r="BG458" s="30"/>
      <c r="BH458" s="318"/>
      <c r="BI458" s="318"/>
      <c r="BJ458" s="310"/>
      <c r="BK458" s="30"/>
      <c r="BL458" s="318"/>
      <c r="BM458" s="318"/>
      <c r="BN458" s="310"/>
      <c r="BO458" s="30"/>
      <c r="BP458" s="318"/>
      <c r="BQ458" s="318"/>
      <c r="BR458" s="318"/>
      <c r="BS458" s="310"/>
      <c r="BT458" s="30"/>
      <c r="BU458" s="318"/>
      <c r="BV458" s="318"/>
      <c r="BW458" s="318"/>
      <c r="BX458" s="310"/>
      <c r="BY458" s="30"/>
      <c r="BZ458" s="318"/>
      <c r="CA458" s="318"/>
      <c r="CB458" s="318"/>
      <c r="CC458" s="310"/>
      <c r="CD458" s="30"/>
      <c r="CE458" s="318"/>
      <c r="CF458" s="318"/>
      <c r="CG458" s="318"/>
      <c r="CH458" s="310"/>
      <c r="CI458" s="30"/>
      <c r="CJ458" s="318"/>
      <c r="CK458" s="318"/>
      <c r="CL458" s="310"/>
      <c r="CM458" s="30"/>
      <c r="CN458" s="318"/>
      <c r="CO458" s="310"/>
      <c r="CP458" s="30"/>
      <c r="CQ458" s="318"/>
      <c r="CR458" s="310"/>
      <c r="CS458" s="30"/>
      <c r="CT458" s="318"/>
      <c r="CU458" s="310"/>
      <c r="CV458" s="30"/>
      <c r="CW458" s="318"/>
      <c r="CX458" s="310"/>
      <c r="CY458" s="30"/>
      <c r="CZ458" s="318"/>
      <c r="DA458" s="310"/>
      <c r="DB458" s="30"/>
      <c r="DC458" s="318"/>
      <c r="DD458" s="310"/>
      <c r="DE458" s="30"/>
      <c r="DF458" s="318"/>
      <c r="DG458" s="310"/>
      <c r="DH458" s="30"/>
      <c r="DI458" s="318"/>
      <c r="DJ458" s="318"/>
      <c r="DK458" s="318"/>
      <c r="DL458" s="318"/>
    </row>
    <row r="459" spans="1:116" hidden="1" outlineLevel="1">
      <c r="A459" s="30" t="str">
        <f>+A277</f>
        <v>1Q</v>
      </c>
      <c r="B459" s="30" t="str">
        <f>+B277</f>
        <v>Apr</v>
      </c>
      <c r="C459" s="30"/>
      <c r="D459" s="321"/>
      <c r="E459" s="308"/>
      <c r="F459" s="321"/>
      <c r="G459" s="317"/>
      <c r="H459" s="317"/>
      <c r="I459" s="317"/>
      <c r="J459" s="314">
        <f>+J277/$AR$373</f>
        <v>5.8174999999999999</v>
      </c>
      <c r="K459" s="308">
        <f>+(J459/J453-1)*100</f>
        <v>3.860745369337204</v>
      </c>
      <c r="L459" s="314">
        <f>+L277/$AR$373</f>
        <v>4.44625</v>
      </c>
      <c r="M459" s="308">
        <f>+(L459/L453-1)*100</f>
        <v>1.8613974799541966</v>
      </c>
      <c r="N459" s="314">
        <f>+N277/$AR$373</f>
        <v>4.835</v>
      </c>
      <c r="O459" s="308">
        <f>+(N459/N453-1)*100</f>
        <v>-8.3629471689173229</v>
      </c>
      <c r="P459" s="314">
        <f>+P277/$AR$373</f>
        <v>1.7699999999999998</v>
      </c>
      <c r="Q459" s="308">
        <f>+(P459/P453-1)*100</f>
        <v>-17.578579743888245</v>
      </c>
      <c r="R459" s="314">
        <f>+R277/$AR$373</f>
        <v>0.58749999999999991</v>
      </c>
      <c r="S459" s="308"/>
      <c r="T459" s="314">
        <f>+T277/$AR$373</f>
        <v>2.6837499999999994</v>
      </c>
      <c r="U459" s="308">
        <f>+(T459/T453-1)*100</f>
        <v>-3.331832507879362</v>
      </c>
      <c r="V459" s="314">
        <f>+V277/$AR$373</f>
        <v>4.3750000000000004E-2</v>
      </c>
      <c r="W459" s="317">
        <f>+(V459/V453-1)*100</f>
        <v>0</v>
      </c>
      <c r="X459" s="317"/>
      <c r="Y459" s="317"/>
      <c r="Z459" s="314"/>
      <c r="AA459" s="317"/>
      <c r="AB459" s="314"/>
      <c r="AC459" s="308"/>
      <c r="AD459" s="307"/>
      <c r="AE459" s="308"/>
      <c r="AF459" s="307"/>
      <c r="AG459" s="308"/>
      <c r="AH459" s="307"/>
      <c r="AI459" s="308"/>
      <c r="AJ459" s="307"/>
      <c r="AK459" s="308"/>
      <c r="AL459" s="307"/>
      <c r="AM459" s="308"/>
      <c r="AN459" s="307"/>
      <c r="AO459" s="308"/>
      <c r="AP459" s="30"/>
      <c r="AQ459" s="453">
        <f>+J459+L459+N459+P459+R459+T459+V459+AB459+AD459+AF459+AH459+AJ459+AL459+AN459</f>
        <v>20.183749999999996</v>
      </c>
      <c r="AR459" s="308">
        <f>+(AQ459/AQ453-1)*100</f>
        <v>-19.042366507896723</v>
      </c>
      <c r="AS459" s="308"/>
      <c r="AT459" s="30"/>
      <c r="AU459" s="30"/>
      <c r="AV459" s="30"/>
      <c r="AW459" s="321"/>
      <c r="AX459" s="308"/>
      <c r="AY459" s="308"/>
      <c r="AZ459" s="321"/>
      <c r="BA459" s="317"/>
      <c r="BB459" s="308"/>
      <c r="BC459" s="317"/>
      <c r="BD459" s="317"/>
      <c r="BE459" s="317"/>
      <c r="BF459" s="308"/>
      <c r="BG459" s="330"/>
      <c r="BH459" s="317"/>
      <c r="BI459" s="317"/>
      <c r="BJ459" s="308"/>
      <c r="BK459" s="314"/>
      <c r="BL459" s="317"/>
      <c r="BM459" s="317"/>
      <c r="BN459" s="308"/>
      <c r="BO459" s="314"/>
      <c r="BP459" s="317"/>
      <c r="BQ459" s="317"/>
      <c r="BR459" s="317"/>
      <c r="BS459" s="308"/>
      <c r="BT459" s="314"/>
      <c r="BU459" s="317"/>
      <c r="BV459" s="317"/>
      <c r="BW459" s="317"/>
      <c r="BX459" s="308"/>
      <c r="BY459" s="314"/>
      <c r="BZ459" s="317"/>
      <c r="CA459" s="317"/>
      <c r="CB459" s="317"/>
      <c r="CC459" s="308"/>
      <c r="CD459" s="307"/>
      <c r="CE459" s="317"/>
      <c r="CF459" s="317"/>
      <c r="CG459" s="317"/>
      <c r="CH459" s="308"/>
      <c r="CI459" s="314"/>
      <c r="CJ459" s="317"/>
      <c r="CK459" s="317"/>
      <c r="CL459" s="308"/>
      <c r="CM459" s="314"/>
      <c r="CN459" s="317"/>
      <c r="CO459" s="308"/>
      <c r="CP459" s="314"/>
      <c r="CQ459" s="317"/>
      <c r="CR459" s="308"/>
      <c r="CS459" s="314"/>
      <c r="CT459" s="317"/>
      <c r="CU459" s="308"/>
      <c r="CV459" s="314"/>
      <c r="CW459" s="317"/>
      <c r="CX459" s="308"/>
      <c r="CY459" s="314"/>
      <c r="CZ459" s="317"/>
      <c r="DA459" s="308"/>
      <c r="DB459" s="314"/>
      <c r="DC459" s="317"/>
      <c r="DD459" s="308"/>
      <c r="DE459" s="314"/>
      <c r="DF459" s="317"/>
      <c r="DG459" s="308"/>
      <c r="DH459" s="314"/>
      <c r="DI459" s="317"/>
      <c r="DJ459" s="317"/>
      <c r="DK459" s="317"/>
      <c r="DL459" s="317"/>
    </row>
    <row r="460" spans="1:116" hidden="1" outlineLevel="1">
      <c r="A460" s="30" t="str">
        <f>+A278</f>
        <v>2Q</v>
      </c>
      <c r="B460" s="30" t="str">
        <f>+B278</f>
        <v>Jul</v>
      </c>
      <c r="C460" s="30"/>
      <c r="D460" s="321"/>
      <c r="E460" s="308"/>
      <c r="F460" s="321"/>
      <c r="G460" s="317"/>
      <c r="H460" s="317"/>
      <c r="I460" s="317"/>
      <c r="J460" s="314">
        <f>+J278/$AR$373</f>
        <v>5.8325000000000005</v>
      </c>
      <c r="K460" s="308">
        <f>+(J460/J454-1)*100</f>
        <v>2.8432885166409738</v>
      </c>
      <c r="L460" s="314">
        <f>+L278/$AR$373</f>
        <v>4.4387499999999998</v>
      </c>
      <c r="M460" s="308">
        <f>+(L460/L454-1)*100</f>
        <v>1.3124108416547875</v>
      </c>
      <c r="N460" s="314">
        <f>+N278/$AR$373</f>
        <v>4.6624999999999996</v>
      </c>
      <c r="O460" s="308">
        <f>+(N460/N454-1)*100</f>
        <v>-7.4900793650793718</v>
      </c>
      <c r="P460" s="314">
        <f>+P278/$AR$373</f>
        <v>1.65</v>
      </c>
      <c r="Q460" s="308">
        <f>+(P460/P454-1)*100</f>
        <v>-15.654952076677308</v>
      </c>
      <c r="R460" s="314">
        <f>+R278/$AR$373</f>
        <v>0.74624999999999997</v>
      </c>
      <c r="S460" s="308"/>
      <c r="T460" s="314">
        <f>+T278/$AR$373</f>
        <v>2.6574999999999998</v>
      </c>
      <c r="U460" s="308">
        <f>+(T460/T454-1)*100</f>
        <v>-3.8444142921754798</v>
      </c>
      <c r="V460" s="314">
        <f>+V278/$AR$373</f>
        <v>4.3750000000000004E-2</v>
      </c>
      <c r="W460" s="317">
        <f>+(V460/V454-1)*100</f>
        <v>0</v>
      </c>
      <c r="X460" s="317"/>
      <c r="Y460" s="317"/>
      <c r="Z460" s="314"/>
      <c r="AA460" s="317"/>
      <c r="AB460" s="314"/>
      <c r="AC460" s="308"/>
      <c r="AD460" s="307"/>
      <c r="AE460" s="308"/>
      <c r="AF460" s="307"/>
      <c r="AG460" s="308"/>
      <c r="AH460" s="307"/>
      <c r="AI460" s="308"/>
      <c r="AJ460" s="307"/>
      <c r="AK460" s="308"/>
      <c r="AL460" s="307"/>
      <c r="AM460" s="308"/>
      <c r="AN460" s="307"/>
      <c r="AO460" s="308"/>
      <c r="AP460" s="30"/>
      <c r="AQ460" s="453">
        <f>+J460+L460+N460+P460+R460+T460+V460+AB460+AD460+AF460+AH460+AJ460+AL460+AN460</f>
        <v>20.031249999999996</v>
      </c>
      <c r="AR460" s="308">
        <f>+(AQ460/AQ454-1)*100</f>
        <v>-19.439975869696358</v>
      </c>
      <c r="AS460" s="308"/>
      <c r="AT460" s="30"/>
      <c r="AU460" s="30"/>
      <c r="AV460" s="30"/>
      <c r="AW460" s="321"/>
      <c r="AX460" s="308"/>
      <c r="AY460" s="308"/>
      <c r="AZ460" s="321"/>
      <c r="BA460" s="317"/>
      <c r="BB460" s="308"/>
      <c r="BC460" s="317"/>
      <c r="BD460" s="317"/>
      <c r="BE460" s="317"/>
      <c r="BF460" s="308"/>
      <c r="BG460" s="330"/>
      <c r="BH460" s="317"/>
      <c r="BI460" s="317"/>
      <c r="BJ460" s="308"/>
      <c r="BK460" s="314"/>
      <c r="BL460" s="317"/>
      <c r="BM460" s="317"/>
      <c r="BN460" s="308"/>
      <c r="BO460" s="314"/>
      <c r="BP460" s="317"/>
      <c r="BQ460" s="317"/>
      <c r="BR460" s="317"/>
      <c r="BS460" s="308"/>
      <c r="BT460" s="314"/>
      <c r="BU460" s="317"/>
      <c r="BV460" s="317"/>
      <c r="BW460" s="317"/>
      <c r="BX460" s="308"/>
      <c r="BY460" s="314"/>
      <c r="BZ460" s="317"/>
      <c r="CA460" s="317"/>
      <c r="CB460" s="317"/>
      <c r="CC460" s="308"/>
      <c r="CD460" s="307"/>
      <c r="CE460" s="317"/>
      <c r="CF460" s="317"/>
      <c r="CG460" s="317"/>
      <c r="CH460" s="308"/>
      <c r="CI460" s="314"/>
      <c r="CJ460" s="317"/>
      <c r="CK460" s="317"/>
      <c r="CL460" s="308"/>
      <c r="CM460" s="314"/>
      <c r="CN460" s="317"/>
      <c r="CO460" s="308"/>
      <c r="CP460" s="314"/>
      <c r="CQ460" s="317"/>
      <c r="CR460" s="308"/>
      <c r="CS460" s="314"/>
      <c r="CT460" s="317"/>
      <c r="CU460" s="308"/>
      <c r="CV460" s="314"/>
      <c r="CW460" s="317"/>
      <c r="CX460" s="308"/>
      <c r="CY460" s="314"/>
      <c r="CZ460" s="317"/>
      <c r="DA460" s="308"/>
      <c r="DB460" s="314"/>
      <c r="DC460" s="317"/>
      <c r="DD460" s="308"/>
      <c r="DE460" s="314"/>
      <c r="DF460" s="317"/>
      <c r="DG460" s="308"/>
      <c r="DH460" s="314"/>
      <c r="DI460" s="317"/>
      <c r="DJ460" s="317"/>
      <c r="DK460" s="317"/>
      <c r="DL460" s="317"/>
    </row>
    <row r="461" spans="1:116" hidden="1" outlineLevel="1">
      <c r="A461" s="30" t="str">
        <f>+A279</f>
        <v>3Q</v>
      </c>
      <c r="B461" s="30" t="str">
        <f>+B279</f>
        <v>Oct</v>
      </c>
      <c r="C461" s="30"/>
      <c r="D461" s="321"/>
      <c r="E461" s="308"/>
      <c r="F461" s="321"/>
      <c r="G461" s="317"/>
      <c r="H461" s="317"/>
      <c r="I461" s="317"/>
      <c r="J461" s="314">
        <f>+J279/$AR$373</f>
        <v>5.8874999999999993</v>
      </c>
      <c r="K461" s="308">
        <f>+(J461/J455-1)*100</f>
        <v>1.3775290572535459</v>
      </c>
      <c r="L461" s="314">
        <f>+L279/$AR$373</f>
        <v>4.4562499999999998</v>
      </c>
      <c r="M461" s="308">
        <f>+(L461/L455-1)*100</f>
        <v>-0.14005602240895199</v>
      </c>
      <c r="N461" s="314">
        <f>+N279/$AR$373</f>
        <v>4.5674999999999999</v>
      </c>
      <c r="O461" s="308">
        <f>+(N461/N455-1)*100</f>
        <v>-8.9005235602094288</v>
      </c>
      <c r="P461" s="314">
        <f>+P279/$AR$373</f>
        <v>1.6174999999999999</v>
      </c>
      <c r="Q461" s="308">
        <f>+(P461/P455-1)*100</f>
        <v>-16.408268733850139</v>
      </c>
      <c r="R461" s="314">
        <f>+R279/$AR$373</f>
        <v>1.0075000000000001</v>
      </c>
      <c r="S461" s="308"/>
      <c r="T461" s="314">
        <f>+T279/$AR$373</f>
        <v>2.6712499999999997</v>
      </c>
      <c r="U461" s="308">
        <f>+(T461/T455-1)*100</f>
        <v>-2.7309968138370611</v>
      </c>
      <c r="V461" s="314">
        <f>+V279/$AR$373</f>
        <v>4.3750000000000004E-2</v>
      </c>
      <c r="W461" s="317">
        <f>+(V461/V455-1)*100</f>
        <v>0</v>
      </c>
      <c r="X461" s="317"/>
      <c r="Y461" s="317"/>
      <c r="Z461" s="314"/>
      <c r="AA461" s="317"/>
      <c r="AB461" s="314"/>
      <c r="AC461" s="308"/>
      <c r="AD461" s="307"/>
      <c r="AE461" s="308"/>
      <c r="AF461" s="307"/>
      <c r="AG461" s="308"/>
      <c r="AH461" s="307"/>
      <c r="AI461" s="308"/>
      <c r="AJ461" s="307"/>
      <c r="AK461" s="308"/>
      <c r="AL461" s="307"/>
      <c r="AM461" s="308"/>
      <c r="AN461" s="307"/>
      <c r="AO461" s="308"/>
      <c r="AP461" s="30"/>
      <c r="AQ461" s="453">
        <f>+J461+L461+N461+P461+R461+T461+V461+AB461+AD461+AF461+AH461+AJ461+AL461+AN461</f>
        <v>20.251249999999999</v>
      </c>
      <c r="AR461" s="308">
        <f>+(AQ461/AQ455-1)*100</f>
        <v>-19.57805907172996</v>
      </c>
      <c r="AS461" s="308"/>
      <c r="AT461" s="30"/>
      <c r="AU461" s="30"/>
      <c r="AV461" s="30"/>
      <c r="AW461" s="321"/>
      <c r="AX461" s="308"/>
      <c r="AY461" s="308"/>
      <c r="AZ461" s="321"/>
      <c r="BA461" s="317"/>
      <c r="BB461" s="308"/>
      <c r="BC461" s="317"/>
      <c r="BD461" s="317"/>
      <c r="BE461" s="317"/>
      <c r="BF461" s="308"/>
      <c r="BG461" s="330"/>
      <c r="BH461" s="317"/>
      <c r="BI461" s="317"/>
      <c r="BJ461" s="308"/>
      <c r="BK461" s="314"/>
      <c r="BL461" s="317"/>
      <c r="BM461" s="317"/>
      <c r="BN461" s="308"/>
      <c r="BO461" s="314"/>
      <c r="BP461" s="317"/>
      <c r="BQ461" s="317"/>
      <c r="BR461" s="317"/>
      <c r="BS461" s="308"/>
      <c r="BT461" s="314"/>
      <c r="BU461" s="317"/>
      <c r="BV461" s="317"/>
      <c r="BW461" s="317"/>
      <c r="BX461" s="308"/>
      <c r="BY461" s="314"/>
      <c r="BZ461" s="317"/>
      <c r="CA461" s="317"/>
      <c r="CB461" s="317"/>
      <c r="CC461" s="308"/>
      <c r="CD461" s="307"/>
      <c r="CE461" s="317"/>
      <c r="CF461" s="317"/>
      <c r="CG461" s="317"/>
      <c r="CH461" s="308"/>
      <c r="CI461" s="314"/>
      <c r="CJ461" s="317"/>
      <c r="CK461" s="317"/>
      <c r="CL461" s="308"/>
      <c r="CM461" s="314"/>
      <c r="CN461" s="317"/>
      <c r="CO461" s="308"/>
      <c r="CP461" s="314"/>
      <c r="CQ461" s="317"/>
      <c r="CR461" s="308"/>
      <c r="CS461" s="314"/>
      <c r="CT461" s="317"/>
      <c r="CU461" s="308"/>
      <c r="CV461" s="314"/>
      <c r="CW461" s="317"/>
      <c r="CX461" s="308"/>
      <c r="CY461" s="314"/>
      <c r="CZ461" s="317"/>
      <c r="DA461" s="308"/>
      <c r="DB461" s="314"/>
      <c r="DC461" s="317"/>
      <c r="DD461" s="308"/>
      <c r="DE461" s="314"/>
      <c r="DF461" s="317"/>
      <c r="DG461" s="308"/>
      <c r="DH461" s="314"/>
      <c r="DI461" s="317"/>
      <c r="DJ461" s="317"/>
      <c r="DK461" s="317"/>
      <c r="DL461" s="317"/>
    </row>
    <row r="462" spans="1:116" hidden="1" outlineLevel="1">
      <c r="A462" s="30" t="str">
        <f>+A280</f>
        <v>4Q</v>
      </c>
      <c r="B462" s="30" t="str">
        <f>+B280</f>
        <v>Jan</v>
      </c>
      <c r="C462" s="339"/>
      <c r="D462" s="321"/>
      <c r="E462" s="308"/>
      <c r="F462" s="321"/>
      <c r="G462" s="317"/>
      <c r="H462" s="317"/>
      <c r="I462" s="317"/>
      <c r="J462" s="314">
        <f>+J280/$AR$373</f>
        <v>5.9187500000000002</v>
      </c>
      <c r="K462" s="308">
        <f>+(J462/J456-1)*100</f>
        <v>1.5440703409822065</v>
      </c>
      <c r="L462" s="314">
        <f>+L280/$AR$373</f>
        <v>4.4274999999999993</v>
      </c>
      <c r="M462" s="308">
        <f>+(L462/L456-1)*100</f>
        <v>-0.72869955156952271</v>
      </c>
      <c r="N462" s="314">
        <f>+N280/$AR$373</f>
        <v>4.3787500000000001</v>
      </c>
      <c r="O462" s="308">
        <f>+(N462/N456-1)*100</f>
        <v>-10.797046091163731</v>
      </c>
      <c r="P462" s="314">
        <f>+P280/$AR$373</f>
        <v>1.4737499999999999</v>
      </c>
      <c r="Q462" s="308">
        <f>+(P462/P456-1)*100</f>
        <v>-19.135802469135797</v>
      </c>
      <c r="R462" s="314">
        <f>+R280/$AR$373</f>
        <v>1.18</v>
      </c>
      <c r="S462" s="308"/>
      <c r="T462" s="314">
        <f>+T280/$AR$373</f>
        <v>2.625</v>
      </c>
      <c r="U462" s="308">
        <f>+(T462/T456-1)*100</f>
        <v>-3.6255162918769845</v>
      </c>
      <c r="V462" s="314">
        <f>+V280/$AR$373</f>
        <v>4.3750000000000004E-2</v>
      </c>
      <c r="W462" s="317">
        <f>+(V462/V456-1)*100</f>
        <v>0</v>
      </c>
      <c r="X462" s="317"/>
      <c r="Y462" s="317"/>
      <c r="Z462" s="314"/>
      <c r="AA462" s="317"/>
      <c r="AB462" s="314"/>
      <c r="AC462" s="308"/>
      <c r="AD462" s="307"/>
      <c r="AE462" s="308"/>
      <c r="AF462" s="307"/>
      <c r="AG462" s="308"/>
      <c r="AH462" s="307"/>
      <c r="AI462" s="308"/>
      <c r="AJ462" s="307"/>
      <c r="AK462" s="308"/>
      <c r="AL462" s="307"/>
      <c r="AM462" s="308"/>
      <c r="AN462" s="307"/>
      <c r="AO462" s="308"/>
      <c r="AP462" s="30"/>
      <c r="AQ462" s="453">
        <f>+J462+L462+N462+P462+R462+T462+V462+AB462+AD462+AF462+AH462+AJ462+AL462+AN462</f>
        <v>20.047499999999999</v>
      </c>
      <c r="AR462" s="308">
        <f>+(AQ462/AQ456-1)*100</f>
        <v>-1.5892495551328323</v>
      </c>
      <c r="AS462" s="308"/>
      <c r="AT462" s="30"/>
      <c r="AU462" s="30"/>
      <c r="AV462" s="30"/>
      <c r="AW462" s="321"/>
      <c r="AX462" s="308"/>
      <c r="AY462" s="308"/>
      <c r="AZ462" s="321"/>
      <c r="BA462" s="317"/>
      <c r="BB462" s="308"/>
      <c r="BC462" s="317"/>
      <c r="BD462" s="317"/>
      <c r="BE462" s="317"/>
      <c r="BF462" s="308"/>
      <c r="BG462" s="314"/>
      <c r="BH462" s="317"/>
      <c r="BI462" s="317"/>
      <c r="BJ462" s="308"/>
      <c r="BK462" s="314"/>
      <c r="BL462" s="317"/>
      <c r="BM462" s="317"/>
      <c r="BN462" s="308"/>
      <c r="BO462" s="314"/>
      <c r="BP462" s="317"/>
      <c r="BQ462" s="317"/>
      <c r="BR462" s="317"/>
      <c r="BS462" s="308"/>
      <c r="BT462" s="314"/>
      <c r="BU462" s="317"/>
      <c r="BV462" s="317"/>
      <c r="BW462" s="317"/>
      <c r="BX462" s="308"/>
      <c r="BY462" s="314"/>
      <c r="BZ462" s="317"/>
      <c r="CA462" s="317"/>
      <c r="CB462" s="317"/>
      <c r="CC462" s="308"/>
      <c r="CD462" s="307"/>
      <c r="CE462" s="317"/>
      <c r="CF462" s="317"/>
      <c r="CG462" s="317"/>
      <c r="CH462" s="308"/>
      <c r="CI462" s="314"/>
      <c r="CJ462" s="317"/>
      <c r="CK462" s="317"/>
      <c r="CL462" s="308"/>
      <c r="CM462" s="314"/>
      <c r="CN462" s="317"/>
      <c r="CO462" s="308"/>
      <c r="CP462" s="314"/>
      <c r="CQ462" s="317"/>
      <c r="CR462" s="308"/>
      <c r="CS462" s="314"/>
      <c r="CT462" s="317"/>
      <c r="CU462" s="308"/>
      <c r="CV462" s="314"/>
      <c r="CW462" s="317"/>
      <c r="CX462" s="308"/>
      <c r="CY462" s="314"/>
      <c r="CZ462" s="317"/>
      <c r="DA462" s="308"/>
      <c r="DB462" s="314"/>
      <c r="DC462" s="317"/>
      <c r="DD462" s="308"/>
      <c r="DE462" s="314"/>
      <c r="DF462" s="317"/>
      <c r="DG462" s="308"/>
      <c r="DH462" s="314"/>
      <c r="DI462" s="317"/>
      <c r="DJ462" s="317"/>
      <c r="DK462" s="317"/>
      <c r="DL462" s="317"/>
    </row>
    <row r="463" spans="1:116" hidden="1" outlineLevel="1">
      <c r="A463" s="30"/>
      <c r="B463" s="30"/>
      <c r="C463" s="30"/>
      <c r="D463" s="30"/>
      <c r="E463" s="30"/>
      <c r="F463" s="30"/>
      <c r="G463" s="320"/>
      <c r="H463" s="320"/>
      <c r="I463" s="320"/>
      <c r="J463" s="30"/>
      <c r="K463" s="320"/>
      <c r="L463" s="30"/>
      <c r="M463" s="30"/>
      <c r="N463" s="30"/>
      <c r="O463" s="30"/>
      <c r="P463" s="30"/>
      <c r="Q463" s="30"/>
      <c r="R463" s="30"/>
      <c r="S463" s="30"/>
      <c r="T463" s="30"/>
      <c r="U463" s="30"/>
      <c r="V463" s="30"/>
      <c r="W463" s="30"/>
      <c r="X463" s="30"/>
      <c r="Y463" s="30"/>
      <c r="Z463" s="30"/>
      <c r="AA463" s="30"/>
      <c r="AB463" s="30"/>
      <c r="AC463" s="30"/>
      <c r="AD463" s="30"/>
      <c r="AE463" s="30"/>
      <c r="AF463" s="30"/>
      <c r="AG463" s="30"/>
      <c r="AH463" s="30"/>
      <c r="AI463" s="30"/>
      <c r="AJ463" s="30"/>
      <c r="AK463" s="30"/>
      <c r="AL463" s="30"/>
      <c r="AM463" s="30"/>
      <c r="AN463" s="30"/>
      <c r="AO463" s="30"/>
      <c r="AP463" s="30"/>
      <c r="AQ463" s="453"/>
      <c r="AR463" s="30"/>
      <c r="AS463" s="30"/>
      <c r="AT463" s="30"/>
      <c r="AU463" s="30"/>
      <c r="AV463" s="30"/>
      <c r="AW463" s="30"/>
      <c r="AX463" s="30"/>
      <c r="AY463" s="30"/>
      <c r="AZ463" s="30"/>
      <c r="BA463" s="320"/>
      <c r="BB463" s="30"/>
      <c r="BC463" s="320"/>
      <c r="BD463" s="320"/>
      <c r="BE463" s="320"/>
      <c r="BF463" s="30"/>
      <c r="BG463" s="30"/>
      <c r="BH463" s="320"/>
      <c r="BI463" s="320"/>
      <c r="BJ463" s="30"/>
      <c r="BK463" s="30"/>
      <c r="BL463" s="320"/>
      <c r="BM463" s="320"/>
      <c r="BN463" s="30"/>
      <c r="BO463" s="30"/>
      <c r="BP463" s="320"/>
      <c r="BQ463" s="320"/>
      <c r="BR463" s="320"/>
      <c r="BS463" s="30"/>
      <c r="BT463" s="30"/>
      <c r="BU463" s="320"/>
      <c r="BV463" s="320"/>
      <c r="BW463" s="320"/>
      <c r="BX463" s="30"/>
      <c r="BY463" s="30"/>
      <c r="BZ463" s="320"/>
      <c r="CA463" s="320"/>
      <c r="CB463" s="320"/>
      <c r="CC463" s="30"/>
      <c r="CD463" s="30"/>
      <c r="CE463" s="320"/>
      <c r="CF463" s="320"/>
      <c r="CG463" s="320"/>
      <c r="CH463" s="30"/>
      <c r="CI463" s="30"/>
      <c r="CJ463" s="320"/>
      <c r="CK463" s="320"/>
      <c r="CL463" s="30"/>
      <c r="CM463" s="30"/>
      <c r="CN463" s="320"/>
      <c r="CO463" s="30"/>
      <c r="CP463" s="30"/>
      <c r="CQ463" s="320"/>
      <c r="CR463" s="30"/>
      <c r="CS463" s="30"/>
      <c r="CT463" s="320"/>
      <c r="CU463" s="30"/>
      <c r="CV463" s="30"/>
      <c r="CW463" s="320"/>
      <c r="CX463" s="30"/>
      <c r="CY463" s="30"/>
      <c r="CZ463" s="320"/>
      <c r="DA463" s="30"/>
      <c r="DB463" s="30"/>
      <c r="DC463" s="320"/>
      <c r="DD463" s="30"/>
      <c r="DE463" s="30"/>
      <c r="DF463" s="320"/>
      <c r="DG463" s="30"/>
      <c r="DH463" s="30"/>
      <c r="DI463" s="320"/>
      <c r="DJ463" s="320"/>
      <c r="DK463" s="320"/>
      <c r="DL463" s="320"/>
    </row>
    <row r="464" spans="1:116" hidden="1" outlineLevel="1">
      <c r="A464" s="301"/>
      <c r="B464" s="312" t="str">
        <f>+B282</f>
        <v>2004A</v>
      </c>
      <c r="C464" s="30"/>
      <c r="D464" s="30"/>
      <c r="E464" s="310"/>
      <c r="F464" s="30"/>
      <c r="G464" s="318"/>
      <c r="H464" s="318"/>
      <c r="I464" s="318"/>
      <c r="J464" s="30"/>
      <c r="K464" s="319"/>
      <c r="L464" s="30"/>
      <c r="M464" s="310"/>
      <c r="N464" s="30"/>
      <c r="O464" s="310"/>
      <c r="P464" s="30"/>
      <c r="Q464" s="30"/>
      <c r="R464" s="30"/>
      <c r="S464" s="310"/>
      <c r="T464" s="30"/>
      <c r="U464" s="310"/>
      <c r="V464" s="314"/>
      <c r="W464" s="318"/>
      <c r="X464" s="318"/>
      <c r="Y464" s="318"/>
      <c r="Z464" s="30"/>
      <c r="AA464" s="318"/>
      <c r="AB464" s="30"/>
      <c r="AC464" s="310"/>
      <c r="AD464" s="30"/>
      <c r="AE464" s="310"/>
      <c r="AF464" s="30"/>
      <c r="AG464" s="310"/>
      <c r="AH464" s="30"/>
      <c r="AI464" s="310"/>
      <c r="AJ464" s="30"/>
      <c r="AK464" s="310"/>
      <c r="AL464" s="30"/>
      <c r="AM464" s="310"/>
      <c r="AN464" s="30"/>
      <c r="AO464" s="310"/>
      <c r="AP464" s="30"/>
      <c r="AQ464" s="453"/>
      <c r="AR464" s="310"/>
      <c r="AS464" s="310"/>
      <c r="AT464" s="30"/>
      <c r="AU464" s="30"/>
      <c r="AV464" s="30"/>
      <c r="AW464" s="30"/>
      <c r="AX464" s="310"/>
      <c r="AY464" s="310"/>
      <c r="AZ464" s="30"/>
      <c r="BA464" s="318"/>
      <c r="BB464" s="310"/>
      <c r="BC464" s="318"/>
      <c r="BD464" s="318"/>
      <c r="BE464" s="318"/>
      <c r="BF464" s="310"/>
      <c r="BG464" s="30"/>
      <c r="BH464" s="318"/>
      <c r="BI464" s="318"/>
      <c r="BJ464" s="310"/>
      <c r="BK464" s="30"/>
      <c r="BL464" s="318"/>
      <c r="BM464" s="318"/>
      <c r="BN464" s="310"/>
      <c r="BO464" s="30"/>
      <c r="BP464" s="318"/>
      <c r="BQ464" s="318"/>
      <c r="BR464" s="318"/>
      <c r="BS464" s="310"/>
      <c r="BT464" s="30"/>
      <c r="BU464" s="318"/>
      <c r="BV464" s="318"/>
      <c r="BW464" s="318"/>
      <c r="BX464" s="310"/>
      <c r="BY464" s="30"/>
      <c r="BZ464" s="318"/>
      <c r="CA464" s="318"/>
      <c r="CB464" s="318"/>
      <c r="CC464" s="310"/>
      <c r="CD464" s="30"/>
      <c r="CE464" s="318"/>
      <c r="CF464" s="318"/>
      <c r="CG464" s="318"/>
      <c r="CH464" s="310"/>
      <c r="CI464" s="30"/>
      <c r="CJ464" s="318"/>
      <c r="CK464" s="318"/>
      <c r="CL464" s="310"/>
      <c r="CM464" s="30"/>
      <c r="CN464" s="318"/>
      <c r="CO464" s="310"/>
      <c r="CP464" s="30"/>
      <c r="CQ464" s="318"/>
      <c r="CR464" s="310"/>
      <c r="CS464" s="30"/>
      <c r="CT464" s="318"/>
      <c r="CU464" s="310"/>
      <c r="CV464" s="30"/>
      <c r="CW464" s="318"/>
      <c r="CX464" s="310"/>
      <c r="CY464" s="30"/>
      <c r="CZ464" s="318"/>
      <c r="DA464" s="310"/>
      <c r="DB464" s="30"/>
      <c r="DC464" s="318"/>
      <c r="DD464" s="310"/>
      <c r="DE464" s="30"/>
      <c r="DF464" s="318"/>
      <c r="DG464" s="310"/>
      <c r="DH464" s="30"/>
      <c r="DI464" s="318"/>
      <c r="DJ464" s="318"/>
      <c r="DK464" s="318"/>
      <c r="DL464" s="318"/>
    </row>
    <row r="465" spans="1:116" hidden="1" outlineLevel="1">
      <c r="A465" s="30" t="str">
        <f>+A283</f>
        <v>1Q</v>
      </c>
      <c r="B465" s="30" t="str">
        <f>+B283</f>
        <v>Apr</v>
      </c>
      <c r="C465" s="30"/>
      <c r="D465" s="321"/>
      <c r="E465" s="308"/>
      <c r="F465" s="321"/>
      <c r="G465" s="317"/>
      <c r="H465" s="317"/>
      <c r="I465" s="317"/>
      <c r="J465" s="314">
        <f>+J283/$AR$373</f>
        <v>5.9099999999999993</v>
      </c>
      <c r="K465" s="308">
        <f>+(J465/J459-1)*100</f>
        <v>1.5900300816501733</v>
      </c>
      <c r="L465" s="314">
        <f>+L283/$AR$373</f>
        <v>4.40625</v>
      </c>
      <c r="M465" s="308">
        <f>+(L465/L459-1)*100</f>
        <v>-0.89963452347483486</v>
      </c>
      <c r="N465" s="314">
        <f>+N283/$AR$373</f>
        <v>4.3224999999999998</v>
      </c>
      <c r="O465" s="308">
        <f>+(N465/N459-1)*100</f>
        <v>-10.599793174767324</v>
      </c>
      <c r="P465" s="314">
        <f>+P283/$AR$373</f>
        <v>1.3674999999999999</v>
      </c>
      <c r="Q465" s="308">
        <f>+(P465/P459-1)*100</f>
        <v>-22.74011299435028</v>
      </c>
      <c r="R465" s="314">
        <f>+R283/$AR$373</f>
        <v>1.2524999999999999</v>
      </c>
      <c r="S465" s="308"/>
      <c r="T465" s="314">
        <f>+T283/$AR$373</f>
        <v>2.61375</v>
      </c>
      <c r="U465" s="308">
        <f>+(T465/T459-1)*100</f>
        <v>-2.6082906380996529</v>
      </c>
      <c r="V465" s="314">
        <f>+V283/$AR$373</f>
        <v>4.3750000000000004E-2</v>
      </c>
      <c r="W465" s="317">
        <f>+(V465/V459-1)*100</f>
        <v>0</v>
      </c>
      <c r="X465" s="317"/>
      <c r="Y465" s="317"/>
      <c r="Z465" s="314"/>
      <c r="AA465" s="317"/>
      <c r="AB465" s="314"/>
      <c r="AC465" s="308"/>
      <c r="AD465" s="307"/>
      <c r="AE465" s="308"/>
      <c r="AF465" s="307"/>
      <c r="AG465" s="308"/>
      <c r="AH465" s="307"/>
      <c r="AI465" s="308"/>
      <c r="AJ465" s="307"/>
      <c r="AK465" s="308"/>
      <c r="AL465" s="307"/>
      <c r="AM465" s="308"/>
      <c r="AN465" s="307"/>
      <c r="AO465" s="308"/>
      <c r="AP465" s="30"/>
      <c r="AQ465" s="453">
        <f>+J465+L465+N465+P465+R465+T465+V465+AB465+AD465+AF465+AH465+AJ465+AL465+AN465</f>
        <v>19.916250000000002</v>
      </c>
      <c r="AR465" s="308">
        <f>+(AQ465/AQ459-1)*100</f>
        <v>-1.3253235895212434</v>
      </c>
      <c r="AS465" s="308"/>
      <c r="AT465" s="30"/>
      <c r="AU465" s="30"/>
      <c r="AV465" s="30"/>
      <c r="AW465" s="321"/>
      <c r="AX465" s="308"/>
      <c r="AY465" s="308"/>
      <c r="AZ465" s="321"/>
      <c r="BA465" s="317"/>
      <c r="BB465" s="308"/>
      <c r="BC465" s="317"/>
      <c r="BD465" s="317"/>
      <c r="BE465" s="317"/>
      <c r="BF465" s="308"/>
      <c r="BG465" s="330"/>
      <c r="BH465" s="317"/>
      <c r="BI465" s="317"/>
      <c r="BJ465" s="308"/>
      <c r="BK465" s="314"/>
      <c r="BL465" s="317"/>
      <c r="BM465" s="317"/>
      <c r="BN465" s="308"/>
      <c r="BO465" s="314"/>
      <c r="BP465" s="317"/>
      <c r="BQ465" s="317"/>
      <c r="BR465" s="317"/>
      <c r="BS465" s="308"/>
      <c r="BT465" s="314"/>
      <c r="BU465" s="317"/>
      <c r="BV465" s="317"/>
      <c r="BW465" s="317"/>
      <c r="BX465" s="308"/>
      <c r="BY465" s="314"/>
      <c r="BZ465" s="317"/>
      <c r="CA465" s="317"/>
      <c r="CB465" s="317"/>
      <c r="CC465" s="308"/>
      <c r="CD465" s="307"/>
      <c r="CE465" s="317"/>
      <c r="CF465" s="317"/>
      <c r="CG465" s="317"/>
      <c r="CH465" s="308"/>
      <c r="CI465" s="314"/>
      <c r="CJ465" s="317"/>
      <c r="CK465" s="317"/>
      <c r="CL465" s="308"/>
      <c r="CM465" s="314"/>
      <c r="CN465" s="317"/>
      <c r="CO465" s="308"/>
      <c r="CP465" s="314"/>
      <c r="CQ465" s="317"/>
      <c r="CR465" s="308"/>
      <c r="CS465" s="314"/>
      <c r="CT465" s="317"/>
      <c r="CU465" s="308"/>
      <c r="CV465" s="314"/>
      <c r="CW465" s="317"/>
      <c r="CX465" s="308"/>
      <c r="CY465" s="314"/>
      <c r="CZ465" s="317"/>
      <c r="DA465" s="308"/>
      <c r="DB465" s="314"/>
      <c r="DC465" s="317"/>
      <c r="DD465" s="308"/>
      <c r="DE465" s="314"/>
      <c r="DF465" s="317"/>
      <c r="DG465" s="308"/>
      <c r="DH465" s="314"/>
      <c r="DI465" s="317"/>
      <c r="DJ465" s="317"/>
      <c r="DK465" s="317"/>
      <c r="DL465" s="317"/>
    </row>
    <row r="466" spans="1:116" hidden="1" outlineLevel="1">
      <c r="A466" s="30" t="str">
        <f>+A284</f>
        <v>2Q</v>
      </c>
      <c r="B466" s="30" t="str">
        <f>+B284</f>
        <v>Jul</v>
      </c>
      <c r="C466" s="30"/>
      <c r="D466" s="321"/>
      <c r="E466" s="308"/>
      <c r="F466" s="321"/>
      <c r="G466" s="317"/>
      <c r="H466" s="317"/>
      <c r="I466" s="317"/>
      <c r="J466" s="314">
        <f>+J284/$AR$373</f>
        <v>5.9649999999999999</v>
      </c>
      <c r="K466" s="308">
        <f>+(J466/J460-1)*100</f>
        <v>2.2717531075867825</v>
      </c>
      <c r="L466" s="314">
        <f>+L284/$AR$373</f>
        <v>4.45</v>
      </c>
      <c r="M466" s="308">
        <f>+(L466/L460-1)*100</f>
        <v>0.253449732469746</v>
      </c>
      <c r="N466" s="314">
        <f>+N284/$AR$373</f>
        <v>3.9737499999999994</v>
      </c>
      <c r="O466" s="308">
        <f>+(N466/N460-1)*100</f>
        <v>-14.772117962466492</v>
      </c>
      <c r="P466" s="314">
        <f>+P284/$AR$373</f>
        <v>1.2649999999999999</v>
      </c>
      <c r="Q466" s="308">
        <f>+(P466/P460-1)*100</f>
        <v>-23.333333333333339</v>
      </c>
      <c r="R466" s="314">
        <f>+R284/$AR$373</f>
        <v>1.6375</v>
      </c>
      <c r="S466" s="308"/>
      <c r="T466" s="314">
        <f>+T284/$AR$373</f>
        <v>2.5487500000000001</v>
      </c>
      <c r="U466" s="308">
        <f>+(T466/T460-1)*100</f>
        <v>-4.0921919096895465</v>
      </c>
      <c r="V466" s="314">
        <f>+V284/$AR$373</f>
        <v>4.3750000000000004E-2</v>
      </c>
      <c r="W466" s="317">
        <f>+(V466/V460-1)*100</f>
        <v>0</v>
      </c>
      <c r="X466" s="317"/>
      <c r="Y466" s="317"/>
      <c r="Z466" s="314"/>
      <c r="AA466" s="317"/>
      <c r="AB466" s="314"/>
      <c r="AC466" s="308"/>
      <c r="AD466" s="307"/>
      <c r="AE466" s="308"/>
      <c r="AF466" s="307"/>
      <c r="AG466" s="308"/>
      <c r="AH466" s="307"/>
      <c r="AI466" s="308"/>
      <c r="AJ466" s="307"/>
      <c r="AK466" s="308"/>
      <c r="AL466" s="307"/>
      <c r="AM466" s="308"/>
      <c r="AN466" s="307"/>
      <c r="AO466" s="308"/>
      <c r="AP466" s="30"/>
      <c r="AQ466" s="453">
        <f>+J466+L466+N466+P466+R466+T466+V466+AB466+AD466+AF466+AH466+AJ466+AL466+AN466</f>
        <v>19.883749999999996</v>
      </c>
      <c r="AR466" s="308">
        <f>+(AQ466/AQ460-1)*100</f>
        <v>-0.73634945397816898</v>
      </c>
      <c r="AS466" s="308"/>
      <c r="AT466" s="30"/>
      <c r="AU466" s="30"/>
      <c r="AV466" s="30"/>
      <c r="AW466" s="321"/>
      <c r="AX466" s="308"/>
      <c r="AY466" s="308"/>
      <c r="AZ466" s="321"/>
      <c r="BA466" s="317"/>
      <c r="BB466" s="308"/>
      <c r="BC466" s="317"/>
      <c r="BD466" s="317"/>
      <c r="BE466" s="317"/>
      <c r="BF466" s="308"/>
      <c r="BG466" s="330"/>
      <c r="BH466" s="317"/>
      <c r="BI466" s="317"/>
      <c r="BJ466" s="308"/>
      <c r="BK466" s="314"/>
      <c r="BL466" s="317"/>
      <c r="BM466" s="317"/>
      <c r="BN466" s="308"/>
      <c r="BO466" s="314"/>
      <c r="BP466" s="317"/>
      <c r="BQ466" s="317"/>
      <c r="BR466" s="317"/>
      <c r="BS466" s="308"/>
      <c r="BT466" s="314"/>
      <c r="BU466" s="317"/>
      <c r="BV466" s="317"/>
      <c r="BW466" s="317"/>
      <c r="BX466" s="308"/>
      <c r="BY466" s="314"/>
      <c r="BZ466" s="317"/>
      <c r="CA466" s="317"/>
      <c r="CB466" s="317"/>
      <c r="CC466" s="308"/>
      <c r="CD466" s="307"/>
      <c r="CE466" s="317"/>
      <c r="CF466" s="317"/>
      <c r="CG466" s="317"/>
      <c r="CH466" s="308"/>
      <c r="CI466" s="314"/>
      <c r="CJ466" s="317"/>
      <c r="CK466" s="317"/>
      <c r="CL466" s="308"/>
      <c r="CM466" s="314"/>
      <c r="CN466" s="317"/>
      <c r="CO466" s="308"/>
      <c r="CP466" s="314"/>
      <c r="CQ466" s="317"/>
      <c r="CR466" s="308"/>
      <c r="CS466" s="314"/>
      <c r="CT466" s="317"/>
      <c r="CU466" s="308"/>
      <c r="CV466" s="314"/>
      <c r="CW466" s="317"/>
      <c r="CX466" s="308"/>
      <c r="CY466" s="314"/>
      <c r="CZ466" s="317"/>
      <c r="DA466" s="308"/>
      <c r="DB466" s="314"/>
      <c r="DC466" s="317"/>
      <c r="DD466" s="308"/>
      <c r="DE466" s="314"/>
      <c r="DF466" s="317"/>
      <c r="DG466" s="308"/>
      <c r="DH466" s="314"/>
      <c r="DI466" s="317"/>
      <c r="DJ466" s="317"/>
      <c r="DK466" s="317"/>
      <c r="DL466" s="317"/>
    </row>
    <row r="467" spans="1:116" hidden="1" outlineLevel="1">
      <c r="A467" s="30" t="str">
        <f>+A285</f>
        <v>3Q</v>
      </c>
      <c r="B467" s="30" t="str">
        <f>+B285</f>
        <v>Oct</v>
      </c>
      <c r="C467" s="30"/>
      <c r="D467" s="321"/>
      <c r="E467" s="308"/>
      <c r="F467" s="321"/>
      <c r="G467" s="317"/>
      <c r="H467" s="317"/>
      <c r="I467" s="317"/>
      <c r="J467" s="314">
        <f>+J285/$AR$373</f>
        <v>6.0324999999999989</v>
      </c>
      <c r="K467" s="308">
        <f>+(J467/J461-1)*100</f>
        <v>2.4628450106157107</v>
      </c>
      <c r="L467" s="314">
        <f>+L285/$AR$373</f>
        <v>4.4712499999999995</v>
      </c>
      <c r="M467" s="308">
        <f>+(L467/L461-1)*100</f>
        <v>0.33660589060307</v>
      </c>
      <c r="N467" s="314">
        <f>+N285/$AR$373</f>
        <v>3.7749999999999999</v>
      </c>
      <c r="O467" s="308">
        <f>+(N467/N461-1)*100</f>
        <v>-17.35084838533114</v>
      </c>
      <c r="P467" s="314">
        <f>+P285/$AR$373</f>
        <v>1.2462499999999999</v>
      </c>
      <c r="Q467" s="308">
        <f>+(P467/P461-1)*100</f>
        <v>-22.952086553323035</v>
      </c>
      <c r="R467" s="314">
        <f>+R285/$AR$373</f>
        <v>1.9075</v>
      </c>
      <c r="S467" s="308"/>
      <c r="T467" s="314">
        <f>+T285/$AR$373</f>
        <v>2.5024999999999995</v>
      </c>
      <c r="U467" s="308">
        <f>+(T467/T461-1)*100</f>
        <v>-6.3172671970051493</v>
      </c>
      <c r="V467" s="314">
        <f>+V285/$AR$373</f>
        <v>4.4999999999999991E-2</v>
      </c>
      <c r="W467" s="317">
        <f>+(V467/V461-1)*100</f>
        <v>2.8571428571428248</v>
      </c>
      <c r="X467" s="317"/>
      <c r="Y467" s="317"/>
      <c r="Z467" s="314"/>
      <c r="AA467" s="317"/>
      <c r="AB467" s="314"/>
      <c r="AC467" s="308"/>
      <c r="AD467" s="307"/>
      <c r="AE467" s="308"/>
      <c r="AF467" s="307"/>
      <c r="AG467" s="308"/>
      <c r="AH467" s="307"/>
      <c r="AI467" s="308"/>
      <c r="AJ467" s="307"/>
      <c r="AK467" s="308"/>
      <c r="AL467" s="307"/>
      <c r="AM467" s="308"/>
      <c r="AN467" s="307"/>
      <c r="AO467" s="308"/>
      <c r="AP467" s="30"/>
      <c r="AQ467" s="453">
        <f>+J467+L467+N467+P467+R467+T467+V467+AB467+AD467+AF467+AH467+AJ467+AL467+AN467</f>
        <v>19.979999999999997</v>
      </c>
      <c r="AR467" s="308">
        <f>+(AQ467/AQ461-1)*100</f>
        <v>-1.3394234923770232</v>
      </c>
      <c r="AS467" s="308"/>
      <c r="AT467" s="30"/>
      <c r="AU467" s="30"/>
      <c r="AV467" s="30"/>
      <c r="AW467" s="321"/>
      <c r="AX467" s="308"/>
      <c r="AY467" s="308"/>
      <c r="AZ467" s="321"/>
      <c r="BA467" s="317"/>
      <c r="BB467" s="308"/>
      <c r="BC467" s="317"/>
      <c r="BD467" s="317"/>
      <c r="BE467" s="317"/>
      <c r="BF467" s="308"/>
      <c r="BG467" s="330"/>
      <c r="BH467" s="317"/>
      <c r="BI467" s="317"/>
      <c r="BJ467" s="308"/>
      <c r="BK467" s="314"/>
      <c r="BL467" s="317"/>
      <c r="BM467" s="317"/>
      <c r="BN467" s="308"/>
      <c r="BO467" s="314"/>
      <c r="BP467" s="317"/>
      <c r="BQ467" s="317"/>
      <c r="BR467" s="317"/>
      <c r="BS467" s="308"/>
      <c r="BT467" s="314"/>
      <c r="BU467" s="317"/>
      <c r="BV467" s="317"/>
      <c r="BW467" s="317"/>
      <c r="BX467" s="308"/>
      <c r="BY467" s="314"/>
      <c r="BZ467" s="317"/>
      <c r="CA467" s="317"/>
      <c r="CB467" s="317"/>
      <c r="CC467" s="308"/>
      <c r="CD467" s="307"/>
      <c r="CE467" s="317"/>
      <c r="CF467" s="317"/>
      <c r="CG467" s="317"/>
      <c r="CH467" s="308"/>
      <c r="CI467" s="314"/>
      <c r="CJ467" s="317"/>
      <c r="CK467" s="317"/>
      <c r="CL467" s="308"/>
      <c r="CM467" s="314"/>
      <c r="CN467" s="317"/>
      <c r="CO467" s="308"/>
      <c r="CP467" s="314"/>
      <c r="CQ467" s="317"/>
      <c r="CR467" s="308"/>
      <c r="CS467" s="314"/>
      <c r="CT467" s="317"/>
      <c r="CU467" s="308"/>
      <c r="CV467" s="314"/>
      <c r="CW467" s="317"/>
      <c r="CX467" s="308"/>
      <c r="CY467" s="314"/>
      <c r="CZ467" s="317"/>
      <c r="DA467" s="308"/>
      <c r="DB467" s="314"/>
      <c r="DC467" s="317"/>
      <c r="DD467" s="308"/>
      <c r="DE467" s="314"/>
      <c r="DF467" s="317"/>
      <c r="DG467" s="308"/>
      <c r="DH467" s="314"/>
      <c r="DI467" s="317"/>
      <c r="DJ467" s="317"/>
      <c r="DK467" s="317"/>
      <c r="DL467" s="317"/>
    </row>
    <row r="468" spans="1:116" hidden="1" outlineLevel="1">
      <c r="A468" s="30" t="str">
        <f>+A286</f>
        <v>4Q</v>
      </c>
      <c r="B468" s="30" t="str">
        <f>+B286</f>
        <v>Jan</v>
      </c>
      <c r="C468" s="339"/>
      <c r="D468" s="321"/>
      <c r="E468" s="308"/>
      <c r="F468" s="321"/>
      <c r="G468" s="317"/>
      <c r="H468" s="317"/>
      <c r="I468" s="317"/>
      <c r="J468" s="314">
        <f>+J286/$AR$373</f>
        <v>6.085</v>
      </c>
      <c r="K468" s="308">
        <f>+(J468/J462-1)*100</f>
        <v>2.8088701161562701</v>
      </c>
      <c r="L468" s="314">
        <f>+L286/$AR$373</f>
        <v>4.4449999999999994</v>
      </c>
      <c r="M468" s="308">
        <f>+(L468/L462-1)*100</f>
        <v>0.39525691699604515</v>
      </c>
      <c r="N468" s="314">
        <f>+N286/$AR$373</f>
        <v>3.61</v>
      </c>
      <c r="O468" s="308">
        <f>+(N468/N462-1)*100</f>
        <v>-17.556380245503856</v>
      </c>
      <c r="P468" s="314">
        <f>+P286/$AR$373</f>
        <v>1.1299999999999999</v>
      </c>
      <c r="Q468" s="308">
        <f>+(P468/P462-1)*100</f>
        <v>-23.32485156912638</v>
      </c>
      <c r="R468" s="314">
        <f>+R286/$AR$373</f>
        <v>2</v>
      </c>
      <c r="S468" s="308"/>
      <c r="T468" s="314">
        <f>+T286/$AR$373</f>
        <v>2.4349999999999996</v>
      </c>
      <c r="U468" s="308">
        <f>+(T468/T462-1)*100</f>
        <v>-7.238095238095255</v>
      </c>
      <c r="V468" s="314">
        <f>+V286/$AR$373</f>
        <v>4.6249999999999993E-2</v>
      </c>
      <c r="W468" s="317">
        <f>+(V468/V462-1)*100</f>
        <v>5.714285714285694</v>
      </c>
      <c r="X468" s="317"/>
      <c r="Y468" s="317"/>
      <c r="Z468" s="314"/>
      <c r="AA468" s="317"/>
      <c r="AB468" s="314"/>
      <c r="AC468" s="308"/>
      <c r="AD468" s="307"/>
      <c r="AE468" s="308"/>
      <c r="AF468" s="307"/>
      <c r="AG468" s="308"/>
      <c r="AH468" s="307"/>
      <c r="AI468" s="308"/>
      <c r="AJ468" s="307"/>
      <c r="AK468" s="308"/>
      <c r="AL468" s="307"/>
      <c r="AM468" s="308"/>
      <c r="AN468" s="307"/>
      <c r="AO468" s="308"/>
      <c r="AP468" s="30"/>
      <c r="AQ468" s="453">
        <f>+J468+L468+N468+P468+R468+T468+V468+AB468+AD468+AF468+AH468+AJ468+AL468+AN468</f>
        <v>19.751249999999999</v>
      </c>
      <c r="AR468" s="308">
        <f>+(AQ468/AQ462-1)*100</f>
        <v>-1.4777403666292543</v>
      </c>
      <c r="AS468" s="308"/>
      <c r="AT468" s="30"/>
      <c r="AU468" s="30"/>
      <c r="AV468" s="30"/>
      <c r="AW468" s="321"/>
      <c r="AX468" s="308"/>
      <c r="AY468" s="308"/>
      <c r="AZ468" s="321"/>
      <c r="BA468" s="317"/>
      <c r="BB468" s="308"/>
      <c r="BC468" s="317"/>
      <c r="BD468" s="317"/>
      <c r="BE468" s="317"/>
      <c r="BF468" s="308"/>
      <c r="BG468" s="314"/>
      <c r="BH468" s="317"/>
      <c r="BI468" s="317"/>
      <c r="BJ468" s="308"/>
      <c r="BK468" s="314"/>
      <c r="BL468" s="317"/>
      <c r="BM468" s="317"/>
      <c r="BN468" s="308"/>
      <c r="BO468" s="314"/>
      <c r="BP468" s="317"/>
      <c r="BQ468" s="317"/>
      <c r="BR468" s="317"/>
      <c r="BS468" s="308"/>
      <c r="BT468" s="314"/>
      <c r="BU468" s="317"/>
      <c r="BV468" s="317"/>
      <c r="BW468" s="317"/>
      <c r="BX468" s="308"/>
      <c r="BY468" s="314"/>
      <c r="BZ468" s="317"/>
      <c r="CA468" s="317"/>
      <c r="CB468" s="317"/>
      <c r="CC468" s="308"/>
      <c r="CD468" s="307"/>
      <c r="CE468" s="317"/>
      <c r="CF468" s="317"/>
      <c r="CG468" s="317"/>
      <c r="CH468" s="308"/>
      <c r="CI468" s="314"/>
      <c r="CJ468" s="317"/>
      <c r="CK468" s="317"/>
      <c r="CL468" s="308"/>
      <c r="CM468" s="314"/>
      <c r="CN468" s="317"/>
      <c r="CO468" s="308"/>
      <c r="CP468" s="314"/>
      <c r="CQ468" s="317"/>
      <c r="CR468" s="308"/>
      <c r="CS468" s="314"/>
      <c r="CT468" s="317"/>
      <c r="CU468" s="308"/>
      <c r="CV468" s="314"/>
      <c r="CW468" s="317"/>
      <c r="CX468" s="308"/>
      <c r="CY468" s="314"/>
      <c r="CZ468" s="317"/>
      <c r="DA468" s="308"/>
      <c r="DB468" s="314"/>
      <c r="DC468" s="317"/>
      <c r="DD468" s="308"/>
      <c r="DE468" s="314"/>
      <c r="DF468" s="317"/>
      <c r="DG468" s="308"/>
      <c r="DH468" s="314"/>
      <c r="DI468" s="317"/>
      <c r="DJ468" s="317"/>
      <c r="DK468" s="317"/>
      <c r="DL468" s="317"/>
    </row>
    <row r="469" spans="1:116" hidden="1" outlineLevel="1">
      <c r="A469" s="24"/>
      <c r="B469" s="24"/>
      <c r="C469" s="24"/>
      <c r="D469" s="24"/>
      <c r="E469" s="24"/>
      <c r="F469" s="24"/>
      <c r="G469" s="305"/>
      <c r="H469" s="305"/>
      <c r="I469" s="305"/>
      <c r="J469" s="24"/>
      <c r="K469" s="305"/>
      <c r="L469" s="24"/>
      <c r="M469" s="24"/>
      <c r="N469" s="24"/>
      <c r="O469" s="24"/>
      <c r="P469" s="24"/>
      <c r="Q469" s="24"/>
      <c r="R469" s="24"/>
      <c r="S469" s="24"/>
      <c r="T469" s="24"/>
      <c r="U469" s="24"/>
      <c r="V469" s="24"/>
      <c r="W469" s="24"/>
      <c r="X469" s="24"/>
      <c r="Y469" s="24"/>
      <c r="Z469" s="24"/>
      <c r="AA469" s="24"/>
      <c r="AB469" s="24"/>
      <c r="AC469" s="24"/>
      <c r="AD469" s="24"/>
      <c r="AE469" s="24"/>
      <c r="AF469" s="30"/>
      <c r="AG469" s="30"/>
      <c r="AH469" s="30"/>
      <c r="AI469" s="30"/>
      <c r="AJ469" s="30"/>
      <c r="AK469" s="30"/>
      <c r="AL469" s="30"/>
      <c r="AM469" s="30"/>
      <c r="AN469" s="30"/>
      <c r="AO469" s="30"/>
      <c r="AP469" s="24"/>
      <c r="AQ469" s="453"/>
      <c r="AR469" s="30"/>
      <c r="AS469" s="30"/>
      <c r="AT469" s="24"/>
      <c r="AU469" s="24"/>
      <c r="AV469" s="24"/>
      <c r="AW469" s="30"/>
      <c r="AX469" s="30"/>
      <c r="AY469" s="30"/>
      <c r="AZ469" s="30"/>
      <c r="BA469" s="320"/>
      <c r="BB469" s="30"/>
      <c r="BC469" s="320"/>
      <c r="BD469" s="320"/>
      <c r="BE469" s="320"/>
      <c r="BF469" s="30"/>
      <c r="BG469" s="30"/>
      <c r="BH469" s="320"/>
      <c r="BI469" s="320"/>
      <c r="BJ469" s="30"/>
      <c r="BK469" s="30"/>
      <c r="BL469" s="320"/>
      <c r="BM469" s="320"/>
      <c r="BN469" s="30"/>
      <c r="BO469" s="30"/>
      <c r="BP469" s="320"/>
      <c r="BQ469" s="320"/>
      <c r="BR469" s="320"/>
      <c r="BS469" s="30"/>
      <c r="BT469" s="30"/>
      <c r="BU469" s="320"/>
      <c r="BV469" s="320"/>
      <c r="BW469" s="320"/>
      <c r="BX469" s="30"/>
      <c r="BY469" s="30"/>
      <c r="BZ469" s="320"/>
      <c r="CA469" s="320"/>
      <c r="CB469" s="320"/>
      <c r="CC469" s="30"/>
      <c r="CD469" s="30"/>
      <c r="CE469" s="320"/>
      <c r="CF469" s="320"/>
      <c r="CG469" s="320"/>
      <c r="CH469" s="30"/>
      <c r="CI469" s="30"/>
      <c r="CJ469" s="320"/>
      <c r="CK469" s="320"/>
      <c r="CL469" s="30"/>
      <c r="CM469" s="30"/>
      <c r="CN469" s="320"/>
      <c r="CO469" s="30"/>
      <c r="CP469" s="30"/>
      <c r="CQ469" s="320"/>
      <c r="CR469" s="30"/>
      <c r="CS469" s="30"/>
      <c r="CT469" s="320"/>
      <c r="CU469" s="30"/>
      <c r="CV469" s="30"/>
      <c r="CW469" s="320"/>
      <c r="CX469" s="30"/>
      <c r="CY469" s="30"/>
      <c r="CZ469" s="320"/>
      <c r="DA469" s="30"/>
      <c r="DB469" s="30"/>
      <c r="DC469" s="320"/>
      <c r="DD469" s="30"/>
      <c r="DE469" s="30"/>
      <c r="DF469" s="320"/>
      <c r="DG469" s="30"/>
      <c r="DH469" s="30"/>
      <c r="DI469" s="320"/>
      <c r="DJ469" s="320"/>
      <c r="DK469" s="320"/>
      <c r="DL469" s="320"/>
    </row>
    <row r="470" spans="1:116" hidden="1" outlineLevel="1">
      <c r="A470" s="301"/>
      <c r="B470" s="312" t="str">
        <f>+B288</f>
        <v>2005A</v>
      </c>
      <c r="C470" s="30"/>
      <c r="D470" s="30"/>
      <c r="E470" s="310"/>
      <c r="F470" s="30"/>
      <c r="G470" s="318"/>
      <c r="H470" s="318"/>
      <c r="I470" s="318"/>
      <c r="J470" s="30"/>
      <c r="K470" s="319"/>
      <c r="L470" s="30"/>
      <c r="M470" s="310"/>
      <c r="N470" s="30"/>
      <c r="O470" s="310"/>
      <c r="P470" s="30"/>
      <c r="Q470" s="30"/>
      <c r="R470" s="30"/>
      <c r="S470" s="310"/>
      <c r="T470" s="30"/>
      <c r="U470" s="310"/>
      <c r="V470" s="314"/>
      <c r="W470" s="318"/>
      <c r="X470" s="318"/>
      <c r="Y470" s="318"/>
      <c r="Z470" s="30"/>
      <c r="AA470" s="318"/>
      <c r="AB470" s="30"/>
      <c r="AC470" s="310"/>
      <c r="AD470" s="30"/>
      <c r="AE470" s="310"/>
      <c r="AF470" s="30"/>
      <c r="AG470" s="310"/>
      <c r="AH470" s="30"/>
      <c r="AI470" s="310"/>
      <c r="AJ470" s="30"/>
      <c r="AK470" s="310"/>
      <c r="AL470" s="30"/>
      <c r="AM470" s="310"/>
      <c r="AN470" s="30"/>
      <c r="AO470" s="310"/>
      <c r="AP470" s="30"/>
      <c r="AQ470" s="453"/>
      <c r="AR470" s="310"/>
      <c r="AS470" s="310"/>
      <c r="AT470" s="30"/>
      <c r="AU470" s="30"/>
      <c r="AV470" s="30"/>
      <c r="AW470" s="30"/>
      <c r="AX470" s="310"/>
      <c r="AY470" s="310"/>
      <c r="AZ470" s="30"/>
      <c r="BA470" s="318"/>
      <c r="BB470" s="310"/>
      <c r="BC470" s="318"/>
      <c r="BD470" s="318"/>
      <c r="BE470" s="318"/>
      <c r="BF470" s="310"/>
      <c r="BG470" s="30"/>
      <c r="BH470" s="318"/>
      <c r="BI470" s="318"/>
      <c r="BJ470" s="310"/>
      <c r="BK470" s="30"/>
      <c r="BL470" s="318"/>
      <c r="BM470" s="318"/>
      <c r="BN470" s="310"/>
      <c r="BO470" s="30"/>
      <c r="BP470" s="318"/>
      <c r="BQ470" s="318"/>
      <c r="BR470" s="318"/>
      <c r="BS470" s="310"/>
      <c r="BT470" s="30"/>
      <c r="BU470" s="318"/>
      <c r="BV470" s="318"/>
      <c r="BW470" s="318"/>
      <c r="BX470" s="310"/>
      <c r="BY470" s="30"/>
      <c r="BZ470" s="318"/>
      <c r="CA470" s="318"/>
      <c r="CB470" s="318"/>
      <c r="CC470" s="310"/>
      <c r="CD470" s="30"/>
      <c r="CE470" s="318"/>
      <c r="CF470" s="318"/>
      <c r="CG470" s="318"/>
      <c r="CH470" s="310"/>
      <c r="CI470" s="30"/>
      <c r="CJ470" s="318"/>
      <c r="CK470" s="318"/>
      <c r="CL470" s="310"/>
      <c r="CM470" s="30"/>
      <c r="CN470" s="318"/>
      <c r="CO470" s="310"/>
      <c r="CP470" s="30"/>
      <c r="CQ470" s="318"/>
      <c r="CR470" s="310"/>
      <c r="CS470" s="30"/>
      <c r="CT470" s="318"/>
      <c r="CU470" s="310"/>
      <c r="CV470" s="30"/>
      <c r="CW470" s="318"/>
      <c r="CX470" s="310"/>
      <c r="CY470" s="30"/>
      <c r="CZ470" s="318"/>
      <c r="DA470" s="310"/>
      <c r="DB470" s="30"/>
      <c r="DC470" s="318"/>
      <c r="DD470" s="310"/>
      <c r="DE470" s="30"/>
      <c r="DF470" s="318"/>
      <c r="DG470" s="310"/>
      <c r="DH470" s="30"/>
      <c r="DI470" s="318"/>
      <c r="DJ470" s="318"/>
      <c r="DK470" s="318"/>
      <c r="DL470" s="318"/>
    </row>
    <row r="471" spans="1:116" hidden="1" outlineLevel="1">
      <c r="A471" s="30" t="str">
        <f>+A289</f>
        <v>1Q</v>
      </c>
      <c r="B471" s="30" t="str">
        <f>+B289</f>
        <v>Apr</v>
      </c>
      <c r="C471" s="30"/>
      <c r="D471" s="321"/>
      <c r="E471" s="308"/>
      <c r="F471" s="321"/>
      <c r="G471" s="317"/>
      <c r="H471" s="317"/>
      <c r="I471" s="317"/>
      <c r="J471" s="314">
        <f>+J289/$AR$373</f>
        <v>6.09375</v>
      </c>
      <c r="K471" s="308">
        <f>+(J471/J465-1)*100</f>
        <v>3.1091370558375742</v>
      </c>
      <c r="L471" s="314">
        <f>+L289/$AR$373</f>
        <v>4.4674999999999994</v>
      </c>
      <c r="M471" s="308">
        <f>+(L471/L465-1)*100</f>
        <v>1.3900709219857976</v>
      </c>
      <c r="N471" s="314">
        <f>+N289/$AR$373</f>
        <v>3.1025</v>
      </c>
      <c r="O471" s="308">
        <f>+(N471/N465-1)*100</f>
        <v>-28.224407171775589</v>
      </c>
      <c r="P471" s="314">
        <f>+P289/$AR$373</f>
        <v>0.80625000000000002</v>
      </c>
      <c r="Q471" s="308">
        <f>+(P471/P465-1)*100</f>
        <v>-41.042047531992687</v>
      </c>
      <c r="R471" s="314">
        <f>+R289/$AR$373</f>
        <v>2.7237499999999994</v>
      </c>
      <c r="S471" s="308"/>
      <c r="T471" s="314">
        <f>+T289/$AR$373</f>
        <v>2.3849999999999998</v>
      </c>
      <c r="U471" s="308">
        <f>+(T471/T465-1)*100</f>
        <v>-8.7517934002869566</v>
      </c>
      <c r="V471" s="314">
        <f>+V289/$AR$373</f>
        <v>4.6249999999999993E-2</v>
      </c>
      <c r="W471" s="317">
        <f>+(V471/V465-1)*100</f>
        <v>5.714285714285694</v>
      </c>
      <c r="X471" s="317"/>
      <c r="Y471" s="317"/>
      <c r="Z471" s="314"/>
      <c r="AA471" s="317"/>
      <c r="AB471" s="314"/>
      <c r="AC471" s="308"/>
      <c r="AD471" s="307"/>
      <c r="AE471" s="308"/>
      <c r="AF471" s="307"/>
      <c r="AG471" s="308"/>
      <c r="AH471" s="307"/>
      <c r="AI471" s="308"/>
      <c r="AJ471" s="307"/>
      <c r="AK471" s="308"/>
      <c r="AL471" s="307"/>
      <c r="AM471" s="308"/>
      <c r="AN471" s="307"/>
      <c r="AO471" s="308"/>
      <c r="AP471" s="30"/>
      <c r="AQ471" s="453">
        <f>+J471+L471+N471+P471+R471+T471+V471+AB471+AD471+AF471+AH471+AJ471+AL471+AN471</f>
        <v>19.625</v>
      </c>
      <c r="AR471" s="308">
        <f>+(AQ471/AQ465-1)*100</f>
        <v>-1.4623736898261575</v>
      </c>
      <c r="AS471" s="308"/>
      <c r="AT471" s="30"/>
      <c r="AU471" s="30"/>
      <c r="AV471" s="30"/>
      <c r="AW471" s="321"/>
      <c r="AX471" s="308"/>
      <c r="AY471" s="308"/>
      <c r="AZ471" s="321"/>
      <c r="BA471" s="317"/>
      <c r="BB471" s="308"/>
      <c r="BC471" s="317"/>
      <c r="BD471" s="317"/>
      <c r="BE471" s="317"/>
      <c r="BF471" s="308"/>
      <c r="BG471" s="330"/>
      <c r="BH471" s="317"/>
      <c r="BI471" s="317"/>
      <c r="BJ471" s="308"/>
      <c r="BK471" s="314"/>
      <c r="BL471" s="317"/>
      <c r="BM471" s="317"/>
      <c r="BN471" s="308"/>
      <c r="BO471" s="314"/>
      <c r="BP471" s="317"/>
      <c r="BQ471" s="317"/>
      <c r="BR471" s="317"/>
      <c r="BS471" s="308"/>
      <c r="BT471" s="314"/>
      <c r="BU471" s="317"/>
      <c r="BV471" s="317"/>
      <c r="BW471" s="317"/>
      <c r="BX471" s="308"/>
      <c r="BY471" s="314"/>
      <c r="BZ471" s="317"/>
      <c r="CA471" s="317"/>
      <c r="CB471" s="317"/>
      <c r="CC471" s="308"/>
      <c r="CD471" s="307"/>
      <c r="CE471" s="317"/>
      <c r="CF471" s="317"/>
      <c r="CG471" s="317"/>
      <c r="CH471" s="308"/>
      <c r="CI471" s="314"/>
      <c r="CJ471" s="317"/>
      <c r="CK471" s="317"/>
      <c r="CL471" s="308"/>
      <c r="CM471" s="314"/>
      <c r="CN471" s="317"/>
      <c r="CO471" s="308"/>
      <c r="CP471" s="314"/>
      <c r="CQ471" s="317"/>
      <c r="CR471" s="308"/>
      <c r="CS471" s="314"/>
      <c r="CT471" s="317"/>
      <c r="CU471" s="308"/>
      <c r="CV471" s="314"/>
      <c r="CW471" s="317"/>
      <c r="CX471" s="308"/>
      <c r="CY471" s="314"/>
      <c r="CZ471" s="317"/>
      <c r="DA471" s="308"/>
      <c r="DB471" s="314"/>
      <c r="DC471" s="317"/>
      <c r="DD471" s="308"/>
      <c r="DE471" s="314"/>
      <c r="DF471" s="317"/>
      <c r="DG471" s="308"/>
      <c r="DH471" s="314"/>
      <c r="DI471" s="317"/>
      <c r="DJ471" s="317"/>
      <c r="DK471" s="317"/>
      <c r="DL471" s="317"/>
    </row>
    <row r="472" spans="1:116" hidden="1" outlineLevel="1">
      <c r="A472" s="30" t="str">
        <f>+A290</f>
        <v>2Q</v>
      </c>
      <c r="B472" s="30" t="str">
        <f>+B290</f>
        <v>Jul</v>
      </c>
      <c r="C472" s="30"/>
      <c r="D472" s="321"/>
      <c r="E472" s="308"/>
      <c r="F472" s="321"/>
      <c r="G472" s="317"/>
      <c r="H472" s="317"/>
      <c r="I472" s="317"/>
      <c r="J472" s="314">
        <f>+J290/$AR$373</f>
        <v>6.13</v>
      </c>
      <c r="K472" s="308">
        <f>+(J472/J466-1)*100</f>
        <v>2.7661357921207053</v>
      </c>
      <c r="L472" s="314">
        <f>+L290/$AR$373</f>
        <v>4.4637500000000001</v>
      </c>
      <c r="M472" s="308">
        <f>+(L472/L466-1)*100</f>
        <v>0.30898876404494846</v>
      </c>
      <c r="N472" s="314">
        <f>+N290/$AR$373</f>
        <v>2.8337499999999998</v>
      </c>
      <c r="O472" s="308">
        <f>+(N472/N466-1)*100</f>
        <v>-28.688266750550483</v>
      </c>
      <c r="P472" s="314">
        <f>+P290/$AR$373</f>
        <v>0.72624999999999995</v>
      </c>
      <c r="Q472" s="308">
        <f>+(P472/P466-1)*100</f>
        <v>-42.588932806324109</v>
      </c>
      <c r="R472" s="314">
        <f>+R290/$AR$373</f>
        <v>2.9962499999999994</v>
      </c>
      <c r="S472" s="308"/>
      <c r="T472" s="314">
        <f>+T290/$AR$373</f>
        <v>2.335</v>
      </c>
      <c r="U472" s="308">
        <f>+(T472/T466-1)*100</f>
        <v>-8.3864639529180991</v>
      </c>
      <c r="V472" s="314">
        <f>+V290/$AR$373</f>
        <v>4.6249999999999993E-2</v>
      </c>
      <c r="W472" s="317">
        <f>+(V472/V466-1)*100</f>
        <v>5.714285714285694</v>
      </c>
      <c r="X472" s="317"/>
      <c r="Y472" s="317"/>
      <c r="Z472" s="314"/>
      <c r="AA472" s="317"/>
      <c r="AB472" s="314"/>
      <c r="AC472" s="308"/>
      <c r="AD472" s="307"/>
      <c r="AE472" s="308"/>
      <c r="AF472" s="307"/>
      <c r="AG472" s="308"/>
      <c r="AH472" s="307"/>
      <c r="AI472" s="308"/>
      <c r="AJ472" s="307"/>
      <c r="AK472" s="308"/>
      <c r="AL472" s="307"/>
      <c r="AM472" s="308"/>
      <c r="AN472" s="307"/>
      <c r="AO472" s="308"/>
      <c r="AP472" s="30"/>
      <c r="AQ472" s="453">
        <f>+J472+L472+N472+P472+R472+T472+V472+AB472+AD472+AF472+AH472+AJ472+AL472+AN472</f>
        <v>19.53125</v>
      </c>
      <c r="AR472" s="308">
        <f>+(AQ472/AQ466-1)*100</f>
        <v>-1.7728044257245057</v>
      </c>
      <c r="AS472" s="308"/>
      <c r="AT472" s="30"/>
      <c r="AU472" s="30"/>
      <c r="AV472" s="30"/>
      <c r="AW472" s="321"/>
      <c r="AX472" s="308"/>
      <c r="AY472" s="308"/>
      <c r="AZ472" s="321"/>
      <c r="BA472" s="317"/>
      <c r="BB472" s="308"/>
      <c r="BC472" s="317"/>
      <c r="BD472" s="317"/>
      <c r="BE472" s="317"/>
      <c r="BF472" s="308"/>
      <c r="BG472" s="330"/>
      <c r="BH472" s="317"/>
      <c r="BI472" s="317"/>
      <c r="BJ472" s="308"/>
      <c r="BK472" s="314"/>
      <c r="BL472" s="317"/>
      <c r="BM472" s="317"/>
      <c r="BN472" s="308"/>
      <c r="BO472" s="314"/>
      <c r="BP472" s="317"/>
      <c r="BQ472" s="317"/>
      <c r="BR472" s="317"/>
      <c r="BS472" s="308"/>
      <c r="BT472" s="314"/>
      <c r="BU472" s="317"/>
      <c r="BV472" s="317"/>
      <c r="BW472" s="317"/>
      <c r="BX472" s="308"/>
      <c r="BY472" s="314"/>
      <c r="BZ472" s="317"/>
      <c r="CA472" s="317"/>
      <c r="CB472" s="317"/>
      <c r="CC472" s="308"/>
      <c r="CD472" s="307"/>
      <c r="CE472" s="317"/>
      <c r="CF472" s="317"/>
      <c r="CG472" s="317"/>
      <c r="CH472" s="308"/>
      <c r="CI472" s="314"/>
      <c r="CJ472" s="317"/>
      <c r="CK472" s="317"/>
      <c r="CL472" s="308"/>
      <c r="CM472" s="314"/>
      <c r="CN472" s="317"/>
      <c r="CO472" s="308"/>
      <c r="CP472" s="314"/>
      <c r="CQ472" s="317"/>
      <c r="CR472" s="308"/>
      <c r="CS472" s="314"/>
      <c r="CT472" s="317"/>
      <c r="CU472" s="308"/>
      <c r="CV472" s="314"/>
      <c r="CW472" s="317"/>
      <c r="CX472" s="308"/>
      <c r="CY472" s="314"/>
      <c r="CZ472" s="317"/>
      <c r="DA472" s="308"/>
      <c r="DB472" s="314"/>
      <c r="DC472" s="317"/>
      <c r="DD472" s="308"/>
      <c r="DE472" s="314"/>
      <c r="DF472" s="317"/>
      <c r="DG472" s="308"/>
      <c r="DH472" s="314"/>
      <c r="DI472" s="317"/>
      <c r="DJ472" s="317"/>
      <c r="DK472" s="317"/>
      <c r="DL472" s="317"/>
    </row>
    <row r="473" spans="1:116" hidden="1" outlineLevel="1">
      <c r="A473" s="30" t="str">
        <f>+A291</f>
        <v>3Q</v>
      </c>
      <c r="B473" s="30" t="str">
        <f>+B291</f>
        <v>Oct</v>
      </c>
      <c r="C473" s="30"/>
      <c r="D473" s="321"/>
      <c r="E473" s="308"/>
      <c r="F473" s="321"/>
      <c r="G473" s="317"/>
      <c r="H473" s="317"/>
      <c r="I473" s="317"/>
      <c r="J473" s="314">
        <f>+J291/$AR$373</f>
        <v>6.2237499999999999</v>
      </c>
      <c r="K473" s="308">
        <f>+(J473/J467-1)*100</f>
        <v>3.1703273932863762</v>
      </c>
      <c r="L473" s="314">
        <f>+L291/$AR$373</f>
        <v>4.4950000000000001</v>
      </c>
      <c r="M473" s="308">
        <f>+(L473/L467-1)*100</f>
        <v>0.53117137265865644</v>
      </c>
      <c r="N473" s="314">
        <f>+N291/$AR$373</f>
        <v>2.7324999999999999</v>
      </c>
      <c r="O473" s="308">
        <f>+(N473/N467-1)*100</f>
        <v>-27.6158940397351</v>
      </c>
      <c r="P473" s="314">
        <f>+P291/$AR$373</f>
        <v>0.69125000000000003</v>
      </c>
      <c r="Q473" s="308">
        <f>+(P473/P467-1)*100</f>
        <v>-44.533600802407214</v>
      </c>
      <c r="R473" s="314">
        <f>+R291/$AR$373</f>
        <v>3.165</v>
      </c>
      <c r="S473" s="308"/>
      <c r="T473" s="314">
        <f>+T291/$AR$373</f>
        <v>2.3174999999999999</v>
      </c>
      <c r="U473" s="308">
        <f>+(T473/T467-1)*100</f>
        <v>-7.3926073926073759</v>
      </c>
      <c r="V473" s="314">
        <f>+V291/$AR$373</f>
        <v>4.6249999999999993E-2</v>
      </c>
      <c r="W473" s="317">
        <f>+(V473/V467-1)*100</f>
        <v>2.7777777777777901</v>
      </c>
      <c r="X473" s="317"/>
      <c r="Y473" s="317"/>
      <c r="Z473" s="314"/>
      <c r="AA473" s="317"/>
      <c r="AB473" s="314"/>
      <c r="AC473" s="308"/>
      <c r="AD473" s="307"/>
      <c r="AE473" s="308"/>
      <c r="AF473" s="307"/>
      <c r="AG473" s="308"/>
      <c r="AH473" s="307"/>
      <c r="AI473" s="308"/>
      <c r="AJ473" s="307"/>
      <c r="AK473" s="308"/>
      <c r="AL473" s="307"/>
      <c r="AM473" s="308"/>
      <c r="AN473" s="307"/>
      <c r="AO473" s="308"/>
      <c r="AP473" s="30"/>
      <c r="AQ473" s="453">
        <f>+J473+L473+N473+P473+R473+T473+V473+AB473+AD473+AF473+AH473+AJ473+AL473+AN473</f>
        <v>19.671250000000001</v>
      </c>
      <c r="AR473" s="308">
        <f>+(AQ473/AQ467-1)*100</f>
        <v>-1.5452952952952792</v>
      </c>
      <c r="AS473" s="308"/>
      <c r="AT473" s="30"/>
      <c r="AU473" s="30"/>
      <c r="AV473" s="30"/>
      <c r="AW473" s="321"/>
      <c r="AX473" s="308"/>
      <c r="AY473" s="308"/>
      <c r="AZ473" s="321"/>
      <c r="BA473" s="317"/>
      <c r="BB473" s="308"/>
      <c r="BC473" s="317"/>
      <c r="BD473" s="317"/>
      <c r="BE473" s="317"/>
      <c r="BF473" s="308"/>
      <c r="BG473" s="330"/>
      <c r="BH473" s="317"/>
      <c r="BI473" s="317"/>
      <c r="BJ473" s="308"/>
      <c r="BK473" s="314"/>
      <c r="BL473" s="317"/>
      <c r="BM473" s="317"/>
      <c r="BN473" s="308"/>
      <c r="BO473" s="314"/>
      <c r="BP473" s="317"/>
      <c r="BQ473" s="317"/>
      <c r="BR473" s="317"/>
      <c r="BS473" s="308"/>
      <c r="BT473" s="314"/>
      <c r="BU473" s="317"/>
      <c r="BV473" s="317"/>
      <c r="BW473" s="317"/>
      <c r="BX473" s="308"/>
      <c r="BY473" s="314"/>
      <c r="BZ473" s="317"/>
      <c r="CA473" s="317"/>
      <c r="CB473" s="317"/>
      <c r="CC473" s="308"/>
      <c r="CD473" s="307"/>
      <c r="CE473" s="317"/>
      <c r="CF473" s="317"/>
      <c r="CG473" s="317"/>
      <c r="CH473" s="308"/>
      <c r="CI473" s="314"/>
      <c r="CJ473" s="317"/>
      <c r="CK473" s="317"/>
      <c r="CL473" s="308"/>
      <c r="CM473" s="314"/>
      <c r="CN473" s="317"/>
      <c r="CO473" s="308"/>
      <c r="CP473" s="314"/>
      <c r="CQ473" s="317"/>
      <c r="CR473" s="308"/>
      <c r="CS473" s="314"/>
      <c r="CT473" s="317"/>
      <c r="CU473" s="308"/>
      <c r="CV473" s="314"/>
      <c r="CW473" s="317"/>
      <c r="CX473" s="308"/>
      <c r="CY473" s="314"/>
      <c r="CZ473" s="317"/>
      <c r="DA473" s="308"/>
      <c r="DB473" s="314"/>
      <c r="DC473" s="317"/>
      <c r="DD473" s="308"/>
      <c r="DE473" s="314"/>
      <c r="DF473" s="317"/>
      <c r="DG473" s="308"/>
      <c r="DH473" s="314"/>
      <c r="DI473" s="317"/>
      <c r="DJ473" s="317"/>
      <c r="DK473" s="317"/>
      <c r="DL473" s="317"/>
    </row>
    <row r="474" spans="1:116" hidden="1" outlineLevel="1">
      <c r="A474" s="30" t="str">
        <f>+A292</f>
        <v>4Q</v>
      </c>
      <c r="B474" s="30" t="str">
        <f>+B292</f>
        <v>Jan</v>
      </c>
      <c r="C474" s="339"/>
      <c r="D474" s="321"/>
      <c r="E474" s="308"/>
      <c r="F474" s="321"/>
      <c r="G474" s="317"/>
      <c r="H474" s="314">
        <f>+H292/$AR$373</f>
        <v>0</v>
      </c>
      <c r="I474" s="317"/>
      <c r="J474" s="314">
        <f>+J292/$AR$373</f>
        <v>6.2512499999999998</v>
      </c>
      <c r="K474" s="308">
        <f>+(J474/J468-1)*100</f>
        <v>2.7321281840591682</v>
      </c>
      <c r="L474" s="314">
        <f>+L292/$AR$373</f>
        <v>4.4624999999999995</v>
      </c>
      <c r="M474" s="308">
        <f>+(L474/L468-1)*100</f>
        <v>0.3937007874015741</v>
      </c>
      <c r="N474" s="314">
        <f>+N292/$AR$373</f>
        <v>2.4787499999999998</v>
      </c>
      <c r="O474" s="308">
        <f>+(N474/N468-1)*100</f>
        <v>-31.336565096952917</v>
      </c>
      <c r="P474" s="314">
        <f>+P292/$AR$373</f>
        <v>0.60749999999999993</v>
      </c>
      <c r="Q474" s="308">
        <f>+(P474/P468-1)*100</f>
        <v>-46.238938053097343</v>
      </c>
      <c r="R474" s="314">
        <f>+R292/$AR$373</f>
        <v>3.1724999999999994</v>
      </c>
      <c r="S474" s="308"/>
      <c r="T474" s="314">
        <f>+T292/$AR$373</f>
        <v>2.1462499999999998</v>
      </c>
      <c r="U474" s="308">
        <f>+(T474/T468-1)*100</f>
        <v>-11.858316221765907</v>
      </c>
      <c r="V474" s="314">
        <f>+V292/$AR$373</f>
        <v>4.6249999999999993E-2</v>
      </c>
      <c r="W474" s="317">
        <f>+(V474/V468-1)*100</f>
        <v>0</v>
      </c>
      <c r="X474" s="317"/>
      <c r="Y474" s="317"/>
      <c r="Z474" s="314"/>
      <c r="AA474" s="317"/>
      <c r="AB474" s="314"/>
      <c r="AC474" s="308"/>
      <c r="AD474" s="307"/>
      <c r="AE474" s="308"/>
      <c r="AF474" s="307"/>
      <c r="AG474" s="308"/>
      <c r="AH474" s="307"/>
      <c r="AI474" s="308"/>
      <c r="AJ474" s="307"/>
      <c r="AK474" s="308"/>
      <c r="AL474" s="307"/>
      <c r="AM474" s="308"/>
      <c r="AN474" s="307"/>
      <c r="AO474" s="308"/>
      <c r="AP474" s="30"/>
      <c r="AQ474" s="453">
        <f>+J474+L474+N474+P474+R474+T474+V474+AB474+AD474+AF474+AH474+AJ474+AL474+AN474</f>
        <v>19.164999999999996</v>
      </c>
      <c r="AR474" s="308">
        <f>+(AQ474/AQ468-1)*100</f>
        <v>-2.9681665717359862</v>
      </c>
      <c r="AS474" s="308"/>
      <c r="AT474" s="30"/>
      <c r="AU474" s="30"/>
      <c r="AV474" s="30"/>
      <c r="AW474" s="321"/>
      <c r="AX474" s="308"/>
      <c r="AY474" s="308"/>
      <c r="AZ474" s="321"/>
      <c r="BA474" s="317"/>
      <c r="BB474" s="308"/>
      <c r="BC474" s="317"/>
      <c r="BD474" s="317"/>
      <c r="BE474" s="317"/>
      <c r="BF474" s="308"/>
      <c r="BG474" s="314"/>
      <c r="BH474" s="317"/>
      <c r="BI474" s="317"/>
      <c r="BJ474" s="308"/>
      <c r="BK474" s="314"/>
      <c r="BL474" s="317"/>
      <c r="BM474" s="317"/>
      <c r="BN474" s="308"/>
      <c r="BO474" s="314"/>
      <c r="BP474" s="317"/>
      <c r="BQ474" s="317"/>
      <c r="BR474" s="317"/>
      <c r="BS474" s="308"/>
      <c r="BT474" s="314"/>
      <c r="BU474" s="317"/>
      <c r="BV474" s="317"/>
      <c r="BW474" s="317"/>
      <c r="BX474" s="308"/>
      <c r="BY474" s="314"/>
      <c r="BZ474" s="317"/>
      <c r="CA474" s="317"/>
      <c r="CB474" s="317"/>
      <c r="CC474" s="308"/>
      <c r="CD474" s="307"/>
      <c r="CE474" s="317"/>
      <c r="CF474" s="317"/>
      <c r="CG474" s="317"/>
      <c r="CH474" s="308"/>
      <c r="CI474" s="314"/>
      <c r="CJ474" s="317"/>
      <c r="CK474" s="317"/>
      <c r="CL474" s="308"/>
      <c r="CM474" s="314"/>
      <c r="CN474" s="317"/>
      <c r="CO474" s="308"/>
      <c r="CP474" s="314"/>
      <c r="CQ474" s="317"/>
      <c r="CR474" s="308"/>
      <c r="CS474" s="314"/>
      <c r="CT474" s="317"/>
      <c r="CU474" s="308"/>
      <c r="CV474" s="314"/>
      <c r="CW474" s="317"/>
      <c r="CX474" s="308"/>
      <c r="CY474" s="314"/>
      <c r="CZ474" s="317"/>
      <c r="DA474" s="308"/>
      <c r="DB474" s="314"/>
      <c r="DC474" s="317"/>
      <c r="DD474" s="308"/>
      <c r="DE474" s="314"/>
      <c r="DF474" s="317"/>
      <c r="DG474" s="308"/>
      <c r="DH474" s="314"/>
      <c r="DI474" s="317"/>
      <c r="DJ474" s="317"/>
      <c r="DK474" s="317"/>
      <c r="DL474" s="317"/>
    </row>
    <row r="475" spans="1:116" hidden="1" outlineLevel="1">
      <c r="A475" s="24"/>
      <c r="B475" s="24"/>
      <c r="C475" s="24"/>
      <c r="D475" s="24"/>
      <c r="E475" s="24"/>
      <c r="F475" s="24"/>
      <c r="G475" s="305"/>
      <c r="H475" s="305"/>
      <c r="I475" s="305"/>
      <c r="J475" s="24"/>
      <c r="K475" s="305"/>
      <c r="L475" s="24"/>
      <c r="M475" s="24"/>
      <c r="N475" s="24"/>
      <c r="O475" s="24"/>
      <c r="P475" s="24"/>
      <c r="Q475" s="24"/>
      <c r="R475" s="24"/>
      <c r="S475" s="24"/>
      <c r="T475" s="24"/>
      <c r="U475" s="24"/>
      <c r="V475" s="24"/>
      <c r="W475" s="24"/>
      <c r="X475" s="24"/>
      <c r="Y475" s="24"/>
      <c r="Z475" s="24"/>
      <c r="AA475" s="24"/>
      <c r="AB475" s="24"/>
      <c r="AC475" s="24"/>
      <c r="AD475" s="24"/>
      <c r="AE475" s="24"/>
      <c r="AF475" s="24"/>
      <c r="AG475" s="24"/>
      <c r="AH475" s="24"/>
      <c r="AI475" s="24"/>
      <c r="AJ475" s="24"/>
      <c r="AK475" s="24"/>
      <c r="AL475" s="24"/>
      <c r="AM475" s="24"/>
      <c r="AN475" s="24"/>
      <c r="AO475" s="24"/>
      <c r="AP475" s="24"/>
      <c r="AQ475" s="453"/>
      <c r="AR475" s="30"/>
      <c r="AS475" s="30"/>
      <c r="AT475" s="24"/>
      <c r="AU475" s="24"/>
      <c r="AV475" s="24"/>
      <c r="AW475" s="24"/>
      <c r="AX475" s="24"/>
      <c r="AY475" s="24"/>
      <c r="AZ475" s="24"/>
      <c r="BA475" s="305"/>
      <c r="BB475" s="24"/>
      <c r="BC475" s="305"/>
      <c r="BD475" s="305"/>
      <c r="BE475" s="305"/>
      <c r="BF475" s="24"/>
      <c r="BG475" s="24"/>
      <c r="BH475" s="305"/>
      <c r="BI475" s="305"/>
      <c r="BJ475" s="24"/>
      <c r="BK475" s="24"/>
      <c r="BL475" s="305"/>
      <c r="BM475" s="305"/>
      <c r="BN475" s="24"/>
      <c r="BO475" s="24"/>
      <c r="BP475" s="305"/>
      <c r="BQ475" s="305"/>
      <c r="BR475" s="305"/>
      <c r="BS475" s="24"/>
      <c r="BT475" s="24"/>
      <c r="BU475" s="305"/>
      <c r="BV475" s="305"/>
      <c r="BW475" s="305"/>
      <c r="BX475" s="24"/>
      <c r="BY475" s="24"/>
      <c r="BZ475" s="305"/>
      <c r="CA475" s="305"/>
      <c r="CB475" s="305"/>
      <c r="CC475" s="24"/>
      <c r="CD475" s="24"/>
      <c r="CE475" s="305"/>
      <c r="CF475" s="305"/>
      <c r="CG475" s="305"/>
      <c r="CH475" s="24"/>
      <c r="CI475" s="24"/>
      <c r="CJ475" s="305"/>
      <c r="CK475" s="305"/>
      <c r="CL475" s="24"/>
      <c r="CM475" s="24"/>
      <c r="CN475" s="305"/>
      <c r="CO475" s="24"/>
      <c r="CP475" s="24"/>
      <c r="CQ475" s="305"/>
      <c r="CR475" s="24"/>
      <c r="CS475" s="24"/>
      <c r="CT475" s="305"/>
      <c r="CU475" s="24"/>
      <c r="CV475" s="24"/>
      <c r="CW475" s="305"/>
      <c r="CX475" s="24"/>
      <c r="CY475" s="24"/>
      <c r="CZ475" s="305"/>
      <c r="DA475" s="24"/>
      <c r="DB475" s="24"/>
      <c r="DC475" s="305"/>
      <c r="DD475" s="24"/>
      <c r="DE475" s="24"/>
      <c r="DF475" s="305"/>
      <c r="DG475" s="24"/>
      <c r="DH475" s="24"/>
      <c r="DI475" s="305"/>
      <c r="DJ475" s="305"/>
      <c r="DK475" s="305"/>
      <c r="DL475" s="305"/>
    </row>
    <row r="476" spans="1:116" hidden="1" outlineLevel="1">
      <c r="A476" s="301"/>
      <c r="B476" s="312" t="str">
        <f>+B294</f>
        <v>2006A</v>
      </c>
      <c r="C476" s="30"/>
      <c r="D476" s="30"/>
      <c r="E476" s="310"/>
      <c r="F476" s="30"/>
      <c r="G476" s="318"/>
      <c r="H476" s="318"/>
      <c r="I476" s="318"/>
      <c r="J476" s="30"/>
      <c r="K476" s="319"/>
      <c r="L476" s="30"/>
      <c r="M476" s="310"/>
      <c r="N476" s="30"/>
      <c r="O476" s="310"/>
      <c r="P476" s="30"/>
      <c r="Q476" s="30"/>
      <c r="R476" s="30"/>
      <c r="S476" s="310"/>
      <c r="T476" s="30"/>
      <c r="U476" s="310"/>
      <c r="V476" s="314"/>
      <c r="W476" s="318"/>
      <c r="X476" s="318"/>
      <c r="Y476" s="318"/>
      <c r="Z476" s="30"/>
      <c r="AA476" s="318"/>
      <c r="AB476" s="30"/>
      <c r="AC476" s="310"/>
      <c r="AD476" s="30"/>
      <c r="AE476" s="310"/>
      <c r="AF476" s="30"/>
      <c r="AG476" s="310"/>
      <c r="AH476" s="30"/>
      <c r="AI476" s="310"/>
      <c r="AJ476" s="30"/>
      <c r="AK476" s="310"/>
      <c r="AL476" s="30"/>
      <c r="AM476" s="310"/>
      <c r="AN476" s="30"/>
      <c r="AO476" s="310"/>
      <c r="AP476" s="30"/>
      <c r="AQ476" s="453"/>
      <c r="AR476" s="310"/>
      <c r="AS476" s="310"/>
      <c r="AT476" s="30"/>
      <c r="AU476" s="30"/>
      <c r="AV476" s="30"/>
      <c r="AW476" s="30"/>
      <c r="AX476" s="310"/>
      <c r="AY476" s="310"/>
      <c r="AZ476" s="30"/>
      <c r="BA476" s="318"/>
      <c r="BB476" s="310"/>
      <c r="BC476" s="318"/>
      <c r="BD476" s="318"/>
      <c r="BE476" s="318"/>
      <c r="BF476" s="310"/>
      <c r="BG476" s="30"/>
      <c r="BH476" s="318"/>
      <c r="BI476" s="318"/>
      <c r="BJ476" s="310"/>
      <c r="BK476" s="30"/>
      <c r="BL476" s="318"/>
      <c r="BM476" s="318"/>
      <c r="BN476" s="310"/>
      <c r="BO476" s="30"/>
      <c r="BP476" s="318"/>
      <c r="BQ476" s="318"/>
      <c r="BR476" s="318"/>
      <c r="BS476" s="310"/>
      <c r="BT476" s="30"/>
      <c r="BU476" s="318"/>
      <c r="BV476" s="318"/>
      <c r="BW476" s="318"/>
      <c r="BX476" s="310"/>
      <c r="BY476" s="30"/>
      <c r="BZ476" s="318"/>
      <c r="CA476" s="318"/>
      <c r="CB476" s="318"/>
      <c r="CC476" s="310"/>
      <c r="CD476" s="30"/>
      <c r="CE476" s="318"/>
      <c r="CF476" s="318"/>
      <c r="CG476" s="318"/>
      <c r="CH476" s="310"/>
      <c r="CI476" s="30"/>
      <c r="CJ476" s="318"/>
      <c r="CK476" s="318"/>
      <c r="CL476" s="310"/>
      <c r="CM476" s="30"/>
      <c r="CN476" s="318"/>
      <c r="CO476" s="310"/>
      <c r="CP476" s="30"/>
      <c r="CQ476" s="318"/>
      <c r="CR476" s="310"/>
      <c r="CS476" s="30"/>
      <c r="CT476" s="318"/>
      <c r="CU476" s="310"/>
      <c r="CV476" s="30"/>
      <c r="CW476" s="318"/>
      <c r="CX476" s="310"/>
      <c r="CY476" s="30"/>
      <c r="CZ476" s="318"/>
      <c r="DA476" s="310"/>
      <c r="DB476" s="30"/>
      <c r="DC476" s="318"/>
      <c r="DD476" s="310"/>
      <c r="DE476" s="30"/>
      <c r="DF476" s="318"/>
      <c r="DG476" s="310"/>
      <c r="DH476" s="30"/>
      <c r="DI476" s="318"/>
      <c r="DJ476" s="318"/>
      <c r="DK476" s="318"/>
      <c r="DL476" s="318"/>
    </row>
    <row r="477" spans="1:116" hidden="1" outlineLevel="1">
      <c r="A477" s="30" t="str">
        <f>+A295</f>
        <v>1Q</v>
      </c>
      <c r="B477" s="30" t="str">
        <f>+B295</f>
        <v>Apr</v>
      </c>
      <c r="C477" s="30"/>
      <c r="D477" s="321"/>
      <c r="E477" s="308"/>
      <c r="F477" s="321"/>
      <c r="G477" s="317"/>
      <c r="H477" s="317"/>
      <c r="I477" s="317"/>
      <c r="J477" s="314">
        <f>+J295/$AR$373</f>
        <v>6.2487499999999994</v>
      </c>
      <c r="K477" s="308">
        <f>+(J477/J471-1)*100</f>
        <v>2.5435897435897248</v>
      </c>
      <c r="L477" s="314">
        <f>+L295/$AR$373</f>
        <v>4.4649999999999999</v>
      </c>
      <c r="M477" s="308">
        <f>+(L477/L471-1)*100</f>
        <v>-5.595970900950098E-2</v>
      </c>
      <c r="N477" s="314">
        <f>+N295/$AR$373</f>
        <v>2.1987499999999995</v>
      </c>
      <c r="O477" s="308">
        <f>+(N477/N471-1)*100</f>
        <v>-29.129734085415006</v>
      </c>
      <c r="P477" s="314">
        <f>+P295/$AR$373</f>
        <v>0.51124999999999998</v>
      </c>
      <c r="Q477" s="308">
        <f>+(P477/P471-1)*100</f>
        <v>-36.589147286821714</v>
      </c>
      <c r="R477" s="314">
        <f>+R295/$AR$373</f>
        <v>3.4124999999999996</v>
      </c>
      <c r="S477" s="308"/>
      <c r="T477" s="314">
        <f>+T295/$AR$373</f>
        <v>2.11</v>
      </c>
      <c r="U477" s="308">
        <f>+(T477/T471-1)*100</f>
        <v>-11.530398322851154</v>
      </c>
      <c r="V477" s="314">
        <f>+V295/$AR$373</f>
        <v>4.6249999999999993E-2</v>
      </c>
      <c r="W477" s="317">
        <f>+(V477/V471-1)*100</f>
        <v>0</v>
      </c>
      <c r="X477" s="317"/>
      <c r="Y477" s="317"/>
      <c r="Z477" s="314"/>
      <c r="AA477" s="317"/>
      <c r="AB477" s="314"/>
      <c r="AC477" s="308"/>
      <c r="AD477" s="307"/>
      <c r="AE477" s="308"/>
      <c r="AF477" s="307"/>
      <c r="AG477" s="308"/>
      <c r="AH477" s="307"/>
      <c r="AI477" s="308"/>
      <c r="AJ477" s="307"/>
      <c r="AK477" s="308"/>
      <c r="AL477" s="307"/>
      <c r="AM477" s="308"/>
      <c r="AN477" s="307"/>
      <c r="AO477" s="308"/>
      <c r="AP477" s="30"/>
      <c r="AQ477" s="453">
        <f>+J477+L477+N477+P477+R477+T477+V477+AB477+AD477+AF477+AH477+AJ477+AL477+AN477</f>
        <v>18.9925</v>
      </c>
      <c r="AR477" s="308">
        <f>+(AQ477/AQ471-1)*100</f>
        <v>-3.2229299363057295</v>
      </c>
      <c r="AS477" s="308"/>
      <c r="AT477" s="30"/>
      <c r="AU477" s="30"/>
      <c r="AV477" s="30"/>
      <c r="AW477" s="321"/>
      <c r="AX477" s="308"/>
      <c r="AY477" s="308"/>
      <c r="AZ477" s="321"/>
      <c r="BA477" s="317"/>
      <c r="BB477" s="308"/>
      <c r="BC477" s="317"/>
      <c r="BD477" s="317"/>
      <c r="BE477" s="317"/>
      <c r="BF477" s="308"/>
      <c r="BG477" s="330"/>
      <c r="BH477" s="317"/>
      <c r="BI477" s="317"/>
      <c r="BJ477" s="308"/>
      <c r="BK477" s="314"/>
      <c r="BL477" s="317"/>
      <c r="BM477" s="317"/>
      <c r="BN477" s="308"/>
      <c r="BO477" s="314"/>
      <c r="BP477" s="317"/>
      <c r="BQ477" s="317"/>
      <c r="BR477" s="317"/>
      <c r="BS477" s="308"/>
      <c r="BT477" s="314"/>
      <c r="BU477" s="317"/>
      <c r="BV477" s="317"/>
      <c r="BW477" s="317"/>
      <c r="BX477" s="308"/>
      <c r="BY477" s="314"/>
      <c r="BZ477" s="317"/>
      <c r="CA477" s="317"/>
      <c r="CB477" s="317"/>
      <c r="CC477" s="308"/>
      <c r="CD477" s="307"/>
      <c r="CE477" s="317"/>
      <c r="CF477" s="317"/>
      <c r="CG477" s="317"/>
      <c r="CH477" s="308"/>
      <c r="CI477" s="314"/>
      <c r="CJ477" s="317"/>
      <c r="CK477" s="317"/>
      <c r="CL477" s="308"/>
      <c r="CM477" s="314"/>
      <c r="CN477" s="317"/>
      <c r="CO477" s="308"/>
      <c r="CP477" s="314"/>
      <c r="CQ477" s="317"/>
      <c r="CR477" s="308"/>
      <c r="CS477" s="314"/>
      <c r="CT477" s="317"/>
      <c r="CU477" s="308"/>
      <c r="CV477" s="314"/>
      <c r="CW477" s="317"/>
      <c r="CX477" s="308"/>
      <c r="CY477" s="314"/>
      <c r="CZ477" s="317"/>
      <c r="DA477" s="308"/>
      <c r="DB477" s="314"/>
      <c r="DC477" s="317"/>
      <c r="DD477" s="308"/>
      <c r="DE477" s="314"/>
      <c r="DF477" s="317"/>
      <c r="DG477" s="308"/>
      <c r="DH477" s="314"/>
      <c r="DI477" s="317"/>
      <c r="DJ477" s="317"/>
      <c r="DK477" s="317"/>
      <c r="DL477" s="317"/>
    </row>
    <row r="478" spans="1:116" hidden="1" outlineLevel="1">
      <c r="A478" s="30" t="str">
        <f>+A296</f>
        <v>2Q</v>
      </c>
      <c r="B478" s="30" t="str">
        <f>+B296</f>
        <v>Jul</v>
      </c>
      <c r="C478" s="30"/>
      <c r="D478" s="321"/>
      <c r="E478" s="308"/>
      <c r="F478" s="321"/>
      <c r="G478" s="317"/>
      <c r="H478" s="317"/>
      <c r="I478" s="317"/>
      <c r="J478" s="314">
        <f>+J296/$AR$373</f>
        <v>6.2762499999999992</v>
      </c>
      <c r="K478" s="308">
        <f>+(J478/J472-1)*100</f>
        <v>2.3858075040782856</v>
      </c>
      <c r="L478" s="314">
        <f>+L296/$AR$373</f>
        <v>4.4887499999999996</v>
      </c>
      <c r="M478" s="308">
        <f>+(L478/L472-1)*100</f>
        <v>0.56006720806496268</v>
      </c>
      <c r="N478" s="314">
        <f>+N296/$AR$373</f>
        <v>1.6862499999999998</v>
      </c>
      <c r="O478" s="308">
        <f>+(N478/N472-1)*100</f>
        <v>-40.494044993383326</v>
      </c>
      <c r="P478" s="314">
        <f>+P296/$AR$373</f>
        <v>0.43749999999999994</v>
      </c>
      <c r="Q478" s="308">
        <f>+(P478/P472-1)*100</f>
        <v>-39.759036144578317</v>
      </c>
      <c r="R478" s="314">
        <f>+R296/$AR$373</f>
        <v>3.8162499999999997</v>
      </c>
      <c r="S478" s="308"/>
      <c r="T478" s="314">
        <f>+T296/$AR$373</f>
        <v>2.0150000000000001</v>
      </c>
      <c r="U478" s="308">
        <f>+(T478/T472-1)*100</f>
        <v>-13.704496788008559</v>
      </c>
      <c r="V478" s="314">
        <f>+V296/$AR$373</f>
        <v>4.6249999999999993E-2</v>
      </c>
      <c r="W478" s="317">
        <f>+(V478/V472-1)*100</f>
        <v>0</v>
      </c>
      <c r="X478" s="317"/>
      <c r="Y478" s="317"/>
      <c r="Z478" s="314"/>
      <c r="AA478" s="317"/>
      <c r="AB478" s="314"/>
      <c r="AC478" s="308"/>
      <c r="AD478" s="307"/>
      <c r="AE478" s="308"/>
      <c r="AF478" s="307"/>
      <c r="AG478" s="308"/>
      <c r="AH478" s="307"/>
      <c r="AI478" s="308"/>
      <c r="AJ478" s="307"/>
      <c r="AK478" s="308"/>
      <c r="AL478" s="307"/>
      <c r="AM478" s="308"/>
      <c r="AN478" s="307"/>
      <c r="AO478" s="308"/>
      <c r="AP478" s="30"/>
      <c r="AQ478" s="453">
        <f>+J478+L478+N478+P478+R478+T478+V478+AB478+AD478+AF478+AH478+AJ478+AL478+AN478</f>
        <v>18.766249999999999</v>
      </c>
      <c r="AR478" s="308">
        <f>+(AQ478/AQ472-1)*100</f>
        <v>-3.9167999999999981</v>
      </c>
      <c r="AS478" s="308"/>
      <c r="AT478" s="30"/>
      <c r="AU478" s="30"/>
      <c r="AV478" s="30"/>
      <c r="AW478" s="321"/>
      <c r="AX478" s="308"/>
      <c r="AY478" s="308"/>
      <c r="AZ478" s="321"/>
      <c r="BA478" s="317"/>
      <c r="BB478" s="308"/>
      <c r="BC478" s="317"/>
      <c r="BD478" s="317"/>
      <c r="BE478" s="317"/>
      <c r="BF478" s="308"/>
      <c r="BG478" s="330"/>
      <c r="BH478" s="317"/>
      <c r="BI478" s="317"/>
      <c r="BJ478" s="308"/>
      <c r="BK478" s="314"/>
      <c r="BL478" s="317"/>
      <c r="BM478" s="317"/>
      <c r="BN478" s="308"/>
      <c r="BO478" s="314"/>
      <c r="BP478" s="317"/>
      <c r="BQ478" s="317"/>
      <c r="BR478" s="317"/>
      <c r="BS478" s="308"/>
      <c r="BT478" s="314"/>
      <c r="BU478" s="317"/>
      <c r="BV478" s="317"/>
      <c r="BW478" s="317"/>
      <c r="BX478" s="308"/>
      <c r="BY478" s="314"/>
      <c r="BZ478" s="317"/>
      <c r="CA478" s="317"/>
      <c r="CB478" s="317"/>
      <c r="CC478" s="308"/>
      <c r="CD478" s="307"/>
      <c r="CE478" s="317"/>
      <c r="CF478" s="317"/>
      <c r="CG478" s="317"/>
      <c r="CH478" s="308"/>
      <c r="CI478" s="314"/>
      <c r="CJ478" s="317"/>
      <c r="CK478" s="317"/>
      <c r="CL478" s="308"/>
      <c r="CM478" s="314"/>
      <c r="CN478" s="317"/>
      <c r="CO478" s="308"/>
      <c r="CP478" s="314"/>
      <c r="CQ478" s="317"/>
      <c r="CR478" s="308"/>
      <c r="CS478" s="314"/>
      <c r="CT478" s="317"/>
      <c r="CU478" s="308"/>
      <c r="CV478" s="314"/>
      <c r="CW478" s="317"/>
      <c r="CX478" s="308"/>
      <c r="CY478" s="314"/>
      <c r="CZ478" s="317"/>
      <c r="DA478" s="308"/>
      <c r="DB478" s="314"/>
      <c r="DC478" s="317"/>
      <c r="DD478" s="308"/>
      <c r="DE478" s="314"/>
      <c r="DF478" s="317"/>
      <c r="DG478" s="308"/>
      <c r="DH478" s="314"/>
      <c r="DI478" s="317"/>
      <c r="DJ478" s="317"/>
      <c r="DK478" s="317"/>
      <c r="DL478" s="317"/>
    </row>
    <row r="479" spans="1:116" hidden="1" outlineLevel="1">
      <c r="A479" s="30" t="str">
        <f>+A297</f>
        <v>3Q</v>
      </c>
      <c r="B479" s="30" t="str">
        <f>+B297</f>
        <v>Oct</v>
      </c>
      <c r="C479" s="30"/>
      <c r="D479" s="321"/>
      <c r="E479" s="308"/>
      <c r="F479" s="321"/>
      <c r="G479" s="317"/>
      <c r="H479" s="317"/>
      <c r="I479" s="317"/>
      <c r="J479" s="314">
        <f>+J297/$AR$373</f>
        <v>6.3587499999999997</v>
      </c>
      <c r="K479" s="308">
        <f>+(J479/J473-1)*100</f>
        <v>2.1691102631050452</v>
      </c>
      <c r="L479" s="314">
        <f>+L297/$AR$373</f>
        <v>4.5137499999999999</v>
      </c>
      <c r="M479" s="308">
        <f>+(L479/L473-1)*100</f>
        <v>0.41713014460511566</v>
      </c>
      <c r="N479" s="314">
        <f>+N297/$AR$373</f>
        <v>1.65</v>
      </c>
      <c r="O479" s="308">
        <f>+(N479/N473-1)*100</f>
        <v>-39.615736505032032</v>
      </c>
      <c r="P479" s="314">
        <f>+P297/$AR$373</f>
        <v>0.43249999999999994</v>
      </c>
      <c r="Q479" s="308">
        <f>+(P479/P473-1)*100</f>
        <v>-37.432188065099467</v>
      </c>
      <c r="R479" s="314">
        <f>+R297/$AR$373</f>
        <v>3.83</v>
      </c>
      <c r="S479" s="308"/>
      <c r="T479" s="314">
        <f>+T297/$AR$373</f>
        <v>1.9937499999999999</v>
      </c>
      <c r="U479" s="308">
        <f>+(T479/T473-1)*100</f>
        <v>-13.969795037756205</v>
      </c>
      <c r="V479" s="314">
        <f>+V297/$AR$373</f>
        <v>4.6249999999999993E-2</v>
      </c>
      <c r="W479" s="317">
        <f>+(V479/V473-1)*100</f>
        <v>0</v>
      </c>
      <c r="X479" s="317"/>
      <c r="Y479" s="317"/>
      <c r="Z479" s="314">
        <f>+Z297/$AR$373</f>
        <v>2.5000000000000001E-3</v>
      </c>
      <c r="AA479" s="317"/>
      <c r="AB479" s="314"/>
      <c r="AC479" s="308"/>
      <c r="AD479" s="307"/>
      <c r="AE479" s="308"/>
      <c r="AF479" s="307"/>
      <c r="AG479" s="308"/>
      <c r="AH479" s="307"/>
      <c r="AI479" s="308"/>
      <c r="AJ479" s="307"/>
      <c r="AK479" s="308"/>
      <c r="AL479" s="307"/>
      <c r="AM479" s="308"/>
      <c r="AN479" s="307"/>
      <c r="AO479" s="308"/>
      <c r="AP479" s="30"/>
      <c r="AQ479" s="453">
        <f>H479+J479+L479+N479+P479+R479+T479+V479+AB479+AD479+AF479+AH479+AJ479+AL479+AN479+Z479</f>
        <v>18.827499999999997</v>
      </c>
      <c r="AR479" s="308">
        <f>+(AQ479/AQ473-1)*100</f>
        <v>-4.2892546228633366</v>
      </c>
      <c r="AS479" s="308"/>
      <c r="AT479" s="30"/>
      <c r="AU479" s="30"/>
      <c r="AV479" s="30"/>
      <c r="AW479" s="321"/>
      <c r="AX479" s="308"/>
      <c r="AY479" s="308"/>
      <c r="AZ479" s="321"/>
      <c r="BA479" s="317"/>
      <c r="BB479" s="308"/>
      <c r="BC479" s="317"/>
      <c r="BD479" s="317"/>
      <c r="BE479" s="317"/>
      <c r="BF479" s="308"/>
      <c r="BG479" s="330"/>
      <c r="BH479" s="317"/>
      <c r="BI479" s="317"/>
      <c r="BJ479" s="308"/>
      <c r="BK479" s="314"/>
      <c r="BL479" s="317"/>
      <c r="BM479" s="317"/>
      <c r="BN479" s="308"/>
      <c r="BO479" s="314"/>
      <c r="BP479" s="317"/>
      <c r="BQ479" s="317"/>
      <c r="BR479" s="317"/>
      <c r="BS479" s="308"/>
      <c r="BT479" s="314"/>
      <c r="BU479" s="317"/>
      <c r="BV479" s="317"/>
      <c r="BW479" s="317"/>
      <c r="BX479" s="308"/>
      <c r="BY479" s="314"/>
      <c r="BZ479" s="317"/>
      <c r="CA479" s="317"/>
      <c r="CB479" s="317"/>
      <c r="CC479" s="308"/>
      <c r="CD479" s="307"/>
      <c r="CE479" s="317"/>
      <c r="CF479" s="317"/>
      <c r="CG479" s="317"/>
      <c r="CH479" s="308"/>
      <c r="CI479" s="314"/>
      <c r="CJ479" s="317"/>
      <c r="CK479" s="317"/>
      <c r="CL479" s="308"/>
      <c r="CM479" s="314"/>
      <c r="CN479" s="317"/>
      <c r="CO479" s="308"/>
      <c r="CP479" s="314"/>
      <c r="CQ479" s="317"/>
      <c r="CR479" s="308"/>
      <c r="CS479" s="314"/>
      <c r="CT479" s="317"/>
      <c r="CU479" s="308"/>
      <c r="CV479" s="314"/>
      <c r="CW479" s="317"/>
      <c r="CX479" s="308"/>
      <c r="CY479" s="314"/>
      <c r="CZ479" s="317"/>
      <c r="DA479" s="308"/>
      <c r="DB479" s="314"/>
      <c r="DC479" s="317"/>
      <c r="DD479" s="308"/>
      <c r="DE479" s="314"/>
      <c r="DF479" s="317"/>
      <c r="DG479" s="308"/>
      <c r="DH479" s="314"/>
      <c r="DI479" s="317"/>
      <c r="DJ479" s="317"/>
      <c r="DK479" s="317"/>
      <c r="DL479" s="317"/>
    </row>
    <row r="480" spans="1:116" hidden="1" outlineLevel="1">
      <c r="A480" s="30" t="str">
        <f>+A298</f>
        <v>4Q</v>
      </c>
      <c r="B480" s="30" t="str">
        <f>+B298</f>
        <v>Jan</v>
      </c>
      <c r="C480" s="339"/>
      <c r="D480" s="321"/>
      <c r="E480" s="308"/>
      <c r="F480" s="321"/>
      <c r="G480" s="317"/>
      <c r="H480" s="314">
        <f>+H298/$AR$373</f>
        <v>1.18</v>
      </c>
      <c r="I480" s="317"/>
      <c r="J480" s="314">
        <f>+J298/$AR$373</f>
        <v>6.4074999999999998</v>
      </c>
      <c r="K480" s="308">
        <f>+(J480/J474-1)*100</f>
        <v>2.4995000999800121</v>
      </c>
      <c r="L480" s="314">
        <f>+L298/$AR$373</f>
        <v>4.5049999999999999</v>
      </c>
      <c r="M480" s="308">
        <f>+(L480/L474-1)*100</f>
        <v>0.9523809523809712</v>
      </c>
      <c r="N480" s="314">
        <f>+N298/$AR$373</f>
        <v>1.4374999999999998</v>
      </c>
      <c r="O480" s="308">
        <f>+(N480/N474-1)*100</f>
        <v>-42.007060010085731</v>
      </c>
      <c r="P480" s="314">
        <f>+P298/$AR$373</f>
        <v>0.35624999999999996</v>
      </c>
      <c r="Q480" s="308">
        <f>+(P480/P474-1)*100</f>
        <v>-41.358024691358018</v>
      </c>
      <c r="R480" s="314">
        <f>+R298/$AR$373</f>
        <v>3.8412499999999996</v>
      </c>
      <c r="S480" s="308"/>
      <c r="T480" s="314">
        <f>+T298/$AR$373</f>
        <v>1.8699999999999999</v>
      </c>
      <c r="U480" s="308">
        <f>+(T480/T474-1)*100</f>
        <v>-12.871287128712872</v>
      </c>
      <c r="V480" s="314">
        <f>+V298/$AR$373</f>
        <v>4.6249999999999993E-2</v>
      </c>
      <c r="W480" s="317">
        <f>+(V480/V474-1)*100</f>
        <v>0</v>
      </c>
      <c r="X480" s="317"/>
      <c r="Y480" s="317"/>
      <c r="Z480" s="314">
        <f>+Z298/$AR$373</f>
        <v>3.7499999999999999E-3</v>
      </c>
      <c r="AA480" s="317"/>
      <c r="AB480" s="314"/>
      <c r="AC480" s="308"/>
      <c r="AD480" s="307"/>
      <c r="AE480" s="308"/>
      <c r="AF480" s="307"/>
      <c r="AG480" s="308"/>
      <c r="AH480" s="307"/>
      <c r="AI480" s="308"/>
      <c r="AJ480" s="307"/>
      <c r="AK480" s="308"/>
      <c r="AL480" s="307"/>
      <c r="AM480" s="308"/>
      <c r="AN480" s="307"/>
      <c r="AO480" s="308"/>
      <c r="AP480" s="30"/>
      <c r="AQ480" s="453">
        <f>H480+J480+L480+N480+P480+R480+T480+V480+AB480+AD480+AF480+AH480+AJ480+AL480+AN480+Z480</f>
        <v>19.647500000000001</v>
      </c>
      <c r="AR480" s="308">
        <f>+(AQ480/AQ474-1)*100</f>
        <v>2.5176102269762968</v>
      </c>
      <c r="AS480" s="308"/>
      <c r="AT480" s="30"/>
      <c r="AU480" s="30"/>
      <c r="AV480" s="30"/>
      <c r="AW480" s="321"/>
      <c r="AX480" s="308"/>
      <c r="AY480" s="308"/>
      <c r="AZ480" s="321"/>
      <c r="BA480" s="317"/>
      <c r="BB480" s="308"/>
      <c r="BC480" s="317"/>
      <c r="BD480" s="317"/>
      <c r="BE480" s="317"/>
      <c r="BF480" s="308"/>
      <c r="BG480" s="314"/>
      <c r="BH480" s="317"/>
      <c r="BI480" s="317"/>
      <c r="BJ480" s="308"/>
      <c r="BK480" s="314"/>
      <c r="BL480" s="317"/>
      <c r="BM480" s="317"/>
      <c r="BN480" s="308"/>
      <c r="BO480" s="314"/>
      <c r="BP480" s="317"/>
      <c r="BQ480" s="317"/>
      <c r="BR480" s="317"/>
      <c r="BS480" s="308"/>
      <c r="BT480" s="314"/>
      <c r="BU480" s="317"/>
      <c r="BV480" s="317"/>
      <c r="BW480" s="317"/>
      <c r="BX480" s="308"/>
      <c r="BY480" s="314"/>
      <c r="BZ480" s="317"/>
      <c r="CA480" s="317"/>
      <c r="CB480" s="317"/>
      <c r="CC480" s="308"/>
      <c r="CD480" s="307"/>
      <c r="CE480" s="317"/>
      <c r="CF480" s="317"/>
      <c r="CG480" s="317"/>
      <c r="CH480" s="308"/>
      <c r="CI480" s="314"/>
      <c r="CJ480" s="317"/>
      <c r="CK480" s="317"/>
      <c r="CL480" s="308"/>
      <c r="CM480" s="314"/>
      <c r="CN480" s="317"/>
      <c r="CO480" s="308"/>
      <c r="CP480" s="314"/>
      <c r="CQ480" s="317"/>
      <c r="CR480" s="308"/>
      <c r="CS480" s="314"/>
      <c r="CT480" s="317"/>
      <c r="CU480" s="308"/>
      <c r="CV480" s="314"/>
      <c r="CW480" s="317"/>
      <c r="CX480" s="308"/>
      <c r="CY480" s="314"/>
      <c r="CZ480" s="317"/>
      <c r="DA480" s="308"/>
      <c r="DB480" s="314"/>
      <c r="DC480" s="317"/>
      <c r="DD480" s="308"/>
      <c r="DE480" s="314"/>
      <c r="DF480" s="317"/>
      <c r="DG480" s="308"/>
      <c r="DH480" s="314"/>
      <c r="DI480" s="317"/>
      <c r="DJ480" s="317"/>
      <c r="DK480" s="317"/>
      <c r="DL480" s="317"/>
    </row>
    <row r="481" spans="1:116" hidden="1" outlineLevel="1">
      <c r="A481" s="30"/>
      <c r="B481" s="30"/>
      <c r="C481" s="339"/>
      <c r="D481" s="321"/>
      <c r="E481" s="308"/>
      <c r="F481" s="321"/>
      <c r="G481" s="317"/>
      <c r="H481" s="317"/>
      <c r="I481" s="317"/>
      <c r="J481" s="314"/>
      <c r="K481" s="308"/>
      <c r="L481" s="314"/>
      <c r="M481" s="308"/>
      <c r="N481" s="314"/>
      <c r="O481" s="308"/>
      <c r="P481" s="314"/>
      <c r="Q481" s="308"/>
      <c r="R481" s="314"/>
      <c r="S481" s="308"/>
      <c r="T481" s="314"/>
      <c r="U481" s="308"/>
      <c r="V481" s="314"/>
      <c r="W481" s="317"/>
      <c r="X481" s="317"/>
      <c r="Y481" s="317"/>
      <c r="Z481" s="314"/>
      <c r="AA481" s="317"/>
      <c r="AB481" s="314"/>
      <c r="AC481" s="308"/>
      <c r="AD481" s="307"/>
      <c r="AE481" s="308"/>
      <c r="AF481" s="307"/>
      <c r="AG481" s="308"/>
      <c r="AH481" s="307"/>
      <c r="AI481" s="308"/>
      <c r="AJ481" s="307"/>
      <c r="AK481" s="308"/>
      <c r="AL481" s="307"/>
      <c r="AM481" s="308"/>
      <c r="AN481" s="307"/>
      <c r="AO481" s="308"/>
      <c r="AP481" s="30"/>
      <c r="AQ481" s="453"/>
      <c r="AR481" s="308"/>
      <c r="AS481" s="308"/>
      <c r="AT481" s="30"/>
      <c r="AU481" s="30"/>
      <c r="AV481" s="30"/>
      <c r="AW481" s="321"/>
      <c r="AX481" s="308"/>
      <c r="AY481" s="308"/>
      <c r="AZ481" s="321"/>
      <c r="BA481" s="317"/>
      <c r="BB481" s="308"/>
      <c r="BC481" s="317"/>
      <c r="BD481" s="317"/>
      <c r="BE481" s="317"/>
      <c r="BF481" s="308"/>
      <c r="BG481" s="314"/>
      <c r="BH481" s="317"/>
      <c r="BI481" s="317"/>
      <c r="BJ481" s="308"/>
      <c r="BK481" s="314"/>
      <c r="BL481" s="317"/>
      <c r="BM481" s="317"/>
      <c r="BN481" s="308"/>
      <c r="BO481" s="314"/>
      <c r="BP481" s="317"/>
      <c r="BQ481" s="317"/>
      <c r="BR481" s="317"/>
      <c r="BS481" s="308"/>
      <c r="BT481" s="314"/>
      <c r="BU481" s="317"/>
      <c r="BV481" s="317"/>
      <c r="BW481" s="317"/>
      <c r="BX481" s="308"/>
      <c r="BY481" s="314"/>
      <c r="BZ481" s="317"/>
      <c r="CA481" s="317"/>
      <c r="CB481" s="317"/>
      <c r="CC481" s="308"/>
      <c r="CD481" s="307"/>
      <c r="CE481" s="317"/>
      <c r="CF481" s="317"/>
      <c r="CG481" s="317"/>
      <c r="CH481" s="308"/>
      <c r="CI481" s="314"/>
      <c r="CJ481" s="317"/>
      <c r="CK481" s="317"/>
      <c r="CL481" s="308"/>
      <c r="CM481" s="314"/>
      <c r="CN481" s="317"/>
      <c r="CO481" s="308"/>
      <c r="CP481" s="314"/>
      <c r="CQ481" s="317"/>
      <c r="CR481" s="308"/>
      <c r="CS481" s="314"/>
      <c r="CT481" s="317"/>
      <c r="CU481" s="308"/>
      <c r="CV481" s="314"/>
      <c r="CW481" s="317"/>
      <c r="CX481" s="308"/>
      <c r="CY481" s="314"/>
      <c r="CZ481" s="317"/>
      <c r="DA481" s="308"/>
      <c r="DB481" s="314"/>
      <c r="DC481" s="317"/>
      <c r="DD481" s="308"/>
      <c r="DE481" s="314"/>
      <c r="DF481" s="317"/>
      <c r="DG481" s="308"/>
      <c r="DH481" s="314"/>
      <c r="DI481" s="317"/>
      <c r="DJ481" s="317"/>
      <c r="DK481" s="317"/>
      <c r="DL481" s="317"/>
    </row>
    <row r="482" spans="1:116" hidden="1" outlineLevel="1">
      <c r="A482" s="301"/>
      <c r="B482" s="312" t="str">
        <f>+B300</f>
        <v>2007A</v>
      </c>
      <c r="C482" s="30"/>
      <c r="D482" s="30"/>
      <c r="E482" s="310"/>
      <c r="F482" s="30"/>
      <c r="G482" s="318"/>
      <c r="H482" s="318"/>
      <c r="I482" s="318"/>
      <c r="J482" s="30"/>
      <c r="K482" s="319"/>
      <c r="L482" s="30"/>
      <c r="M482" s="310"/>
      <c r="N482" s="30"/>
      <c r="O482" s="310"/>
      <c r="P482" s="30"/>
      <c r="Q482" s="30"/>
      <c r="R482" s="30"/>
      <c r="S482" s="310"/>
      <c r="T482" s="30"/>
      <c r="U482" s="310"/>
      <c r="V482" s="314"/>
      <c r="W482" s="318"/>
      <c r="X482" s="318"/>
      <c r="Y482" s="318"/>
      <c r="Z482" s="30"/>
      <c r="AA482" s="318"/>
      <c r="AB482" s="30"/>
      <c r="AC482" s="310"/>
      <c r="AD482" s="30"/>
      <c r="AE482" s="310"/>
      <c r="AF482" s="30"/>
      <c r="AG482" s="310"/>
      <c r="AH482" s="30"/>
      <c r="AI482" s="310"/>
      <c r="AJ482" s="30"/>
      <c r="AK482" s="310"/>
      <c r="AL482" s="30"/>
      <c r="AM482" s="310"/>
      <c r="AN482" s="30"/>
      <c r="AO482" s="310"/>
      <c r="AP482" s="30"/>
      <c r="AQ482" s="453"/>
      <c r="AR482" s="310"/>
      <c r="AS482" s="310"/>
      <c r="AT482" s="30"/>
      <c r="AU482" s="30"/>
      <c r="AV482" s="30"/>
      <c r="AW482" s="30"/>
      <c r="AX482" s="310"/>
      <c r="AY482" s="310"/>
      <c r="AZ482" s="30"/>
      <c r="BA482" s="318"/>
      <c r="BB482" s="310"/>
      <c r="BC482" s="318"/>
      <c r="BD482" s="318"/>
      <c r="BE482" s="318"/>
      <c r="BF482" s="310"/>
      <c r="BG482" s="30"/>
      <c r="BH482" s="318"/>
      <c r="BI482" s="318"/>
      <c r="BJ482" s="310"/>
      <c r="BK482" s="30"/>
      <c r="BL482" s="318"/>
      <c r="BM482" s="318"/>
      <c r="BN482" s="310"/>
      <c r="BO482" s="30"/>
      <c r="BP482" s="318"/>
      <c r="BQ482" s="318"/>
      <c r="BR482" s="318"/>
      <c r="BS482" s="310"/>
      <c r="BT482" s="30"/>
      <c r="BU482" s="318"/>
      <c r="BV482" s="318"/>
      <c r="BW482" s="318"/>
      <c r="BX482" s="310"/>
      <c r="BY482" s="30"/>
      <c r="BZ482" s="318"/>
      <c r="CA482" s="318"/>
      <c r="CB482" s="318"/>
      <c r="CC482" s="310"/>
      <c r="CD482" s="30"/>
      <c r="CE482" s="318"/>
      <c r="CF482" s="318"/>
      <c r="CG482" s="318"/>
      <c r="CH482" s="310"/>
      <c r="CI482" s="30"/>
      <c r="CJ482" s="318"/>
      <c r="CK482" s="318"/>
      <c r="CL482" s="310"/>
      <c r="CM482" s="30"/>
      <c r="CN482" s="318"/>
      <c r="CO482" s="310"/>
      <c r="CP482" s="30"/>
      <c r="CQ482" s="318"/>
      <c r="CR482" s="310"/>
      <c r="CS482" s="30"/>
      <c r="CT482" s="318"/>
      <c r="CU482" s="310"/>
      <c r="CV482" s="30"/>
      <c r="CW482" s="318"/>
      <c r="CX482" s="310"/>
      <c r="CY482" s="30"/>
      <c r="CZ482" s="318"/>
      <c r="DA482" s="310"/>
      <c r="DB482" s="30"/>
      <c r="DC482" s="318"/>
      <c r="DD482" s="310"/>
      <c r="DE482" s="30"/>
      <c r="DF482" s="318"/>
      <c r="DG482" s="310"/>
      <c r="DH482" s="30"/>
      <c r="DI482" s="318"/>
      <c r="DJ482" s="318"/>
      <c r="DK482" s="318"/>
      <c r="DL482" s="318"/>
    </row>
    <row r="483" spans="1:116" hidden="1" outlineLevel="1">
      <c r="A483" s="30" t="str">
        <f>+A301</f>
        <v>1Q</v>
      </c>
      <c r="B483" s="30" t="str">
        <f>+B301</f>
        <v>Apr</v>
      </c>
      <c r="C483" s="30"/>
      <c r="D483" s="321"/>
      <c r="E483" s="308"/>
      <c r="F483" s="321"/>
      <c r="G483" s="317"/>
      <c r="H483" s="314">
        <f>+H301/$AR$373</f>
        <v>1.0387499999999998</v>
      </c>
      <c r="I483" s="308"/>
      <c r="J483" s="314">
        <f>+J301/$AR$373</f>
        <v>6.43</v>
      </c>
      <c r="K483" s="308">
        <f>+(J483/J477-1)*100</f>
        <v>2.9005801160232103</v>
      </c>
      <c r="L483" s="314">
        <f>+L301/$AR$373</f>
        <v>4.4962499999999999</v>
      </c>
      <c r="M483" s="308">
        <f>+(L483/L477-1)*100</f>
        <v>0.69988801791713851</v>
      </c>
      <c r="N483" s="314">
        <f>+N301/$AR$373</f>
        <v>1.0987499999999999</v>
      </c>
      <c r="O483" s="308">
        <f>+(N483/N477-1)*100</f>
        <v>-50.028425241614549</v>
      </c>
      <c r="P483" s="314">
        <f>+P301/$AR$373</f>
        <v>0.29749999999999999</v>
      </c>
      <c r="Q483" s="308">
        <f>+(P483/P477-1)*100</f>
        <v>-41.809290953545229</v>
      </c>
      <c r="R483" s="314">
        <f>+R301/$AR$373</f>
        <v>4.0387499999999994</v>
      </c>
      <c r="S483" s="308"/>
      <c r="T483" s="314">
        <f>+T301/$AR$373</f>
        <v>1.79125</v>
      </c>
      <c r="U483" s="308">
        <f>+(T483/T477-1)*100</f>
        <v>-15.106635071090047</v>
      </c>
      <c r="V483" s="314">
        <f>+V301/$AR$373</f>
        <v>4.6249999999999993E-2</v>
      </c>
      <c r="W483" s="317">
        <f>+(V483/V477-1)*100</f>
        <v>0</v>
      </c>
      <c r="X483" s="317"/>
      <c r="Y483" s="317"/>
      <c r="Z483" s="314">
        <f>+Z301/$AR$373</f>
        <v>3.7499999999999999E-3</v>
      </c>
      <c r="AA483" s="317"/>
      <c r="AB483" s="314"/>
      <c r="AC483" s="308"/>
      <c r="AD483" s="307"/>
      <c r="AE483" s="308"/>
      <c r="AF483" s="307"/>
      <c r="AG483" s="308"/>
      <c r="AH483" s="307"/>
      <c r="AI483" s="308"/>
      <c r="AJ483" s="307"/>
      <c r="AK483" s="308"/>
      <c r="AL483" s="307"/>
      <c r="AM483" s="308"/>
      <c r="AN483" s="307"/>
      <c r="AO483" s="308"/>
      <c r="AP483" s="30"/>
      <c r="AQ483" s="453">
        <f>H483+J483+L483+N483+P483+R483+T483+V483+AB483+AD483+AF483+AH483+AJ483+AL483+AN483+Z483</f>
        <v>19.241250000000001</v>
      </c>
      <c r="AR483" s="308">
        <f>+(AQ483/AQ477-1)*100</f>
        <v>1.3097275240226525</v>
      </c>
      <c r="AS483" s="308"/>
      <c r="AT483" s="30"/>
      <c r="AU483" s="30"/>
      <c r="AV483" s="30"/>
      <c r="AW483" s="321"/>
      <c r="AX483" s="308"/>
      <c r="AY483" s="308"/>
      <c r="AZ483" s="321"/>
      <c r="BA483" s="317"/>
      <c r="BB483" s="308"/>
      <c r="BC483" s="317"/>
      <c r="BD483" s="317"/>
      <c r="BE483" s="317"/>
      <c r="BF483" s="308"/>
      <c r="BG483" s="330"/>
      <c r="BH483" s="317"/>
      <c r="BI483" s="317"/>
      <c r="BJ483" s="308"/>
      <c r="BK483" s="314"/>
      <c r="BL483" s="317"/>
      <c r="BM483" s="317"/>
      <c r="BN483" s="308"/>
      <c r="BO483" s="314"/>
      <c r="BP483" s="317"/>
      <c r="BQ483" s="317"/>
      <c r="BR483" s="317"/>
      <c r="BS483" s="308"/>
      <c r="BT483" s="314"/>
      <c r="BU483" s="317"/>
      <c r="BV483" s="317"/>
      <c r="BW483" s="317"/>
      <c r="BX483" s="308"/>
      <c r="BY483" s="314"/>
      <c r="BZ483" s="317"/>
      <c r="CA483" s="317"/>
      <c r="CB483" s="317"/>
      <c r="CC483" s="308"/>
      <c r="CD483" s="307"/>
      <c r="CE483" s="317"/>
      <c r="CF483" s="317"/>
      <c r="CG483" s="317"/>
      <c r="CH483" s="308"/>
      <c r="CI483" s="314"/>
      <c r="CJ483" s="317"/>
      <c r="CK483" s="317"/>
      <c r="CL483" s="308"/>
      <c r="CM483" s="314"/>
      <c r="CN483" s="317"/>
      <c r="CO483" s="308"/>
      <c r="CP483" s="314"/>
      <c r="CQ483" s="317"/>
      <c r="CR483" s="308"/>
      <c r="CS483" s="314"/>
      <c r="CT483" s="317"/>
      <c r="CU483" s="308"/>
      <c r="CV483" s="314"/>
      <c r="CW483" s="317"/>
      <c r="CX483" s="308"/>
      <c r="CY483" s="314"/>
      <c r="CZ483" s="317"/>
      <c r="DA483" s="308"/>
      <c r="DB483" s="314"/>
      <c r="DC483" s="317"/>
      <c r="DD483" s="308"/>
      <c r="DE483" s="314"/>
      <c r="DF483" s="317"/>
      <c r="DG483" s="308"/>
      <c r="DH483" s="314"/>
      <c r="DI483" s="317"/>
      <c r="DJ483" s="317"/>
      <c r="DK483" s="317"/>
      <c r="DL483" s="317"/>
    </row>
    <row r="484" spans="1:116" hidden="1" outlineLevel="1">
      <c r="A484" s="30" t="str">
        <f>+A302</f>
        <v>2Q</v>
      </c>
      <c r="B484" s="30" t="str">
        <f>+B302</f>
        <v>Jul</v>
      </c>
      <c r="C484" s="30"/>
      <c r="D484" s="321"/>
      <c r="E484" s="308"/>
      <c r="F484" s="321"/>
      <c r="G484" s="317"/>
      <c r="H484" s="314">
        <f>+H302/$AR$373</f>
        <v>1.0649999999999999</v>
      </c>
      <c r="I484" s="308"/>
      <c r="J484" s="314">
        <f>+J302/$AR$373</f>
        <v>6.5962499999999995</v>
      </c>
      <c r="K484" s="308">
        <f>+(J484/J478-1)*100</f>
        <v>5.0985859390559662</v>
      </c>
      <c r="L484" s="314">
        <f>+L302/$AR$373</f>
        <v>4.5337499999999995</v>
      </c>
      <c r="M484" s="308">
        <f>+(L484/L478-1)*100</f>
        <v>1.0025062656641603</v>
      </c>
      <c r="N484" s="314">
        <f>+N302/$AR$373</f>
        <v>0.89437500000000014</v>
      </c>
      <c r="O484" s="308">
        <f>+(N484/N478-1)*100</f>
        <v>-46.960711638250544</v>
      </c>
      <c r="P484" s="314">
        <f>+P302/$AR$373</f>
        <v>0.23761874999999996</v>
      </c>
      <c r="Q484" s="308">
        <f>+(P484/P478-1)*100</f>
        <v>-45.687142857142859</v>
      </c>
      <c r="R484" s="314">
        <f>+R302/$AR$373</f>
        <v>4.3524374999999997</v>
      </c>
      <c r="S484" s="308"/>
      <c r="T484" s="314">
        <f>+T302/$AR$373</f>
        <v>1.7154374999999999</v>
      </c>
      <c r="U484" s="308">
        <f>+(T484/T478-1)*100</f>
        <v>-14.86662531017371</v>
      </c>
      <c r="V484" s="314">
        <f>+V302/$AR$373</f>
        <v>4.6249999999999993E-2</v>
      </c>
      <c r="W484" s="317">
        <f>+(V484/V478-1)*100</f>
        <v>0</v>
      </c>
      <c r="X484" s="317"/>
      <c r="Y484" s="317"/>
      <c r="Z484" s="314">
        <f>+Z302/$AR$373</f>
        <v>0</v>
      </c>
      <c r="AA484" s="317"/>
      <c r="AB484" s="314"/>
      <c r="AC484" s="308"/>
      <c r="AD484" s="307"/>
      <c r="AE484" s="308"/>
      <c r="AF484" s="307"/>
      <c r="AG484" s="308"/>
      <c r="AH484" s="307"/>
      <c r="AI484" s="308"/>
      <c r="AJ484" s="307"/>
      <c r="AK484" s="308"/>
      <c r="AL484" s="307"/>
      <c r="AM484" s="308"/>
      <c r="AN484" s="307"/>
      <c r="AO484" s="308"/>
      <c r="AP484" s="30"/>
      <c r="AQ484" s="453">
        <f>H484+J484+L484+V484</f>
        <v>12.241249999999999</v>
      </c>
      <c r="AR484" s="308">
        <f>+(AQ484/AQ478-1)*100</f>
        <v>-34.76986611603278</v>
      </c>
      <c r="AS484" s="308"/>
      <c r="AT484" s="30"/>
      <c r="AU484" s="30"/>
      <c r="AV484" s="30"/>
      <c r="AW484" s="321"/>
      <c r="AX484" s="308"/>
      <c r="AY484" s="308"/>
      <c r="AZ484" s="321"/>
      <c r="BA484" s="317"/>
      <c r="BB484" s="308"/>
      <c r="BC484" s="317"/>
      <c r="BD484" s="317"/>
      <c r="BE484" s="317"/>
      <c r="BF484" s="308"/>
      <c r="BG484" s="330"/>
      <c r="BH484" s="317"/>
      <c r="BI484" s="317"/>
      <c r="BJ484" s="308"/>
      <c r="BK484" s="314"/>
      <c r="BL484" s="317"/>
      <c r="BM484" s="317"/>
      <c r="BN484" s="308"/>
      <c r="BO484" s="314"/>
      <c r="BP484" s="317"/>
      <c r="BQ484" s="317"/>
      <c r="BR484" s="317"/>
      <c r="BS484" s="308"/>
      <c r="BT484" s="314"/>
      <c r="BU484" s="317"/>
      <c r="BV484" s="317"/>
      <c r="BW484" s="317"/>
      <c r="BX484" s="308"/>
      <c r="BY484" s="314"/>
      <c r="BZ484" s="317"/>
      <c r="CA484" s="317"/>
      <c r="CB484" s="317"/>
      <c r="CC484" s="308"/>
      <c r="CD484" s="307"/>
      <c r="CE484" s="317"/>
      <c r="CF484" s="317"/>
      <c r="CG484" s="317"/>
      <c r="CH484" s="308"/>
      <c r="CI484" s="314"/>
      <c r="CJ484" s="317"/>
      <c r="CK484" s="317"/>
      <c r="CL484" s="308"/>
      <c r="CM484" s="314"/>
      <c r="CN484" s="317"/>
      <c r="CO484" s="308"/>
      <c r="CP484" s="314"/>
      <c r="CQ484" s="317"/>
      <c r="CR484" s="308"/>
      <c r="CS484" s="314"/>
      <c r="CT484" s="317"/>
      <c r="CU484" s="308"/>
      <c r="CV484" s="314"/>
      <c r="CW484" s="317"/>
      <c r="CX484" s="308"/>
      <c r="CY484" s="314"/>
      <c r="CZ484" s="317"/>
      <c r="DA484" s="308"/>
      <c r="DB484" s="314"/>
      <c r="DC484" s="317"/>
      <c r="DD484" s="308"/>
      <c r="DE484" s="314"/>
      <c r="DF484" s="317"/>
      <c r="DG484" s="308"/>
      <c r="DH484" s="314"/>
      <c r="DI484" s="317"/>
      <c r="DJ484" s="317"/>
      <c r="DK484" s="317"/>
      <c r="DL484" s="317"/>
    </row>
    <row r="485" spans="1:116" hidden="1" outlineLevel="1">
      <c r="A485" s="30" t="str">
        <f>+A303</f>
        <v>3Q</v>
      </c>
      <c r="B485" s="30" t="str">
        <f>+B303</f>
        <v>Oct</v>
      </c>
      <c r="C485" s="30"/>
      <c r="D485" s="321"/>
      <c r="E485" s="308"/>
      <c r="F485" s="321"/>
      <c r="G485" s="317"/>
      <c r="H485" s="314">
        <f>+H303/$AR$373</f>
        <v>1.11375</v>
      </c>
      <c r="I485" s="308"/>
      <c r="J485" s="314">
        <f>+J303/$AR$373</f>
        <v>6.8862500000000004</v>
      </c>
      <c r="K485" s="308">
        <f>+(J485/J479-1)*100</f>
        <v>8.2956555926872575</v>
      </c>
      <c r="L485" s="314">
        <f>+L303/$AR$373</f>
        <v>4.6949999999999994</v>
      </c>
      <c r="M485" s="308">
        <f>+(L485/L479-1)*100</f>
        <v>4.0155081694821293</v>
      </c>
      <c r="N485" s="314">
        <f>+N303/$AR$373</f>
        <v>0.70750000000000013</v>
      </c>
      <c r="O485" s="308">
        <f>+(N485/N479-1)*100</f>
        <v>-57.121212121212103</v>
      </c>
      <c r="P485" s="314">
        <f>+P303/$AR$373</f>
        <v>0.22128749999999997</v>
      </c>
      <c r="Q485" s="308">
        <f>+(P485/P479-1)*100</f>
        <v>-48.835260115606935</v>
      </c>
      <c r="R485" s="314">
        <f>+R303/$AR$373</f>
        <v>4.3078124999999998</v>
      </c>
      <c r="S485" s="308"/>
      <c r="T485" s="314">
        <f>+T303/$AR$373</f>
        <v>1.6861249999999999</v>
      </c>
      <c r="U485" s="308">
        <f>+(T485/T479-1)*100</f>
        <v>-15.429467084639503</v>
      </c>
      <c r="V485" s="314">
        <f>+V303/$AR$373</f>
        <v>4.6249999999999993E-2</v>
      </c>
      <c r="W485" s="317">
        <f>+(V485/V479-1)*100</f>
        <v>0</v>
      </c>
      <c r="X485" s="317"/>
      <c r="Y485" s="317"/>
      <c r="Z485" s="314">
        <f>+Z303/$AR$373</f>
        <v>0</v>
      </c>
      <c r="AA485" s="317"/>
      <c r="AB485" s="314"/>
      <c r="AC485" s="308"/>
      <c r="AD485" s="307"/>
      <c r="AE485" s="308"/>
      <c r="AF485" s="307"/>
      <c r="AG485" s="308"/>
      <c r="AH485" s="307"/>
      <c r="AI485" s="308"/>
      <c r="AJ485" s="307"/>
      <c r="AK485" s="308"/>
      <c r="AL485" s="307"/>
      <c r="AM485" s="308"/>
      <c r="AN485" s="307"/>
      <c r="AO485" s="308"/>
      <c r="AP485" s="30"/>
      <c r="AQ485" s="453">
        <f>H485+J485+L485+V485</f>
        <v>12.741250000000001</v>
      </c>
      <c r="AR485" s="308">
        <f>+(AQ485/AQ479-1)*100</f>
        <v>-32.326384278316276</v>
      </c>
      <c r="AS485" s="308"/>
      <c r="AT485" s="30"/>
      <c r="AU485" s="30"/>
      <c r="AV485" s="30"/>
      <c r="AW485" s="321"/>
      <c r="AX485" s="308"/>
      <c r="AY485" s="308"/>
      <c r="AZ485" s="321"/>
      <c r="BA485" s="317"/>
      <c r="BB485" s="308"/>
      <c r="BC485" s="317"/>
      <c r="BD485" s="317"/>
      <c r="BE485" s="317"/>
      <c r="BF485" s="308"/>
      <c r="BG485" s="330"/>
      <c r="BH485" s="317"/>
      <c r="BI485" s="317"/>
      <c r="BJ485" s="308"/>
      <c r="BK485" s="314"/>
      <c r="BL485" s="317"/>
      <c r="BM485" s="317"/>
      <c r="BN485" s="308"/>
      <c r="BO485" s="314"/>
      <c r="BP485" s="317"/>
      <c r="BQ485" s="317"/>
      <c r="BR485" s="317"/>
      <c r="BS485" s="308"/>
      <c r="BT485" s="314"/>
      <c r="BU485" s="317"/>
      <c r="BV485" s="317"/>
      <c r="BW485" s="317"/>
      <c r="BX485" s="308"/>
      <c r="BY485" s="314"/>
      <c r="BZ485" s="317"/>
      <c r="CA485" s="317"/>
      <c r="CB485" s="317"/>
      <c r="CC485" s="308"/>
      <c r="CD485" s="307"/>
      <c r="CE485" s="317"/>
      <c r="CF485" s="317"/>
      <c r="CG485" s="317"/>
      <c r="CH485" s="308"/>
      <c r="CI485" s="314"/>
      <c r="CJ485" s="317"/>
      <c r="CK485" s="317"/>
      <c r="CL485" s="308"/>
      <c r="CM485" s="314"/>
      <c r="CN485" s="317"/>
      <c r="CO485" s="308"/>
      <c r="CP485" s="314"/>
      <c r="CQ485" s="317"/>
      <c r="CR485" s="308"/>
      <c r="CS485" s="314"/>
      <c r="CT485" s="317"/>
      <c r="CU485" s="308"/>
      <c r="CV485" s="314"/>
      <c r="CW485" s="317"/>
      <c r="CX485" s="308"/>
      <c r="CY485" s="314"/>
      <c r="CZ485" s="317"/>
      <c r="DA485" s="308"/>
      <c r="DB485" s="314"/>
      <c r="DC485" s="317"/>
      <c r="DD485" s="308"/>
      <c r="DE485" s="314"/>
      <c r="DF485" s="317"/>
      <c r="DG485" s="308"/>
      <c r="DH485" s="314"/>
      <c r="DI485" s="317"/>
      <c r="DJ485" s="317"/>
      <c r="DK485" s="317"/>
      <c r="DL485" s="317"/>
    </row>
    <row r="486" spans="1:116" hidden="1" outlineLevel="1">
      <c r="A486" s="30" t="str">
        <f>+A304</f>
        <v>4Q</v>
      </c>
      <c r="B486" s="30" t="str">
        <f>+B304</f>
        <v>Jan</v>
      </c>
      <c r="C486" s="339"/>
      <c r="D486" s="321"/>
      <c r="E486" s="308"/>
      <c r="F486" s="321"/>
      <c r="G486" s="317"/>
      <c r="H486" s="314">
        <f>+H304/$AR$373</f>
        <v>1.12625</v>
      </c>
      <c r="I486" s="308">
        <f>+(H486/H480-1)*100</f>
        <v>-4.5550847457627057</v>
      </c>
      <c r="J486" s="314">
        <f>+J304/$AR$373</f>
        <v>6.9987500000000002</v>
      </c>
      <c r="K486" s="308">
        <f>+(J486/J480-1)*100</f>
        <v>9.227467811158796</v>
      </c>
      <c r="L486" s="314">
        <f>+L304/$AR$373</f>
        <v>4.7162499999999996</v>
      </c>
      <c r="M486" s="308">
        <f>+(L486/L480-1)*100</f>
        <v>4.6892341842397212</v>
      </c>
      <c r="N486" s="314">
        <f>+N304/$AR$373</f>
        <v>0.49437500000000023</v>
      </c>
      <c r="O486" s="308">
        <f>+(N486/N480-1)*100</f>
        <v>-65.608695652173893</v>
      </c>
      <c r="P486" s="314">
        <f>+P304/$AR$373</f>
        <v>0.18862499999999996</v>
      </c>
      <c r="Q486" s="308">
        <f>+(P486/P480-1)*100</f>
        <v>-47.05263157894737</v>
      </c>
      <c r="R486" s="314">
        <f>+R304/$AR$373</f>
        <v>4.2631874999999999</v>
      </c>
      <c r="S486" s="308"/>
      <c r="T486" s="314">
        <f>+T304/$AR$373</f>
        <v>1.5715625</v>
      </c>
      <c r="U486" s="308">
        <f>+(T486/T480-1)*100</f>
        <v>-15.959224598930478</v>
      </c>
      <c r="V486" s="314">
        <f>+V304/$AR$373</f>
        <v>4.6249999999999993E-2</v>
      </c>
      <c r="W486" s="317">
        <f>+(V486/V480-1)*100</f>
        <v>0</v>
      </c>
      <c r="X486" s="317"/>
      <c r="Y486" s="317"/>
      <c r="Z486" s="314">
        <f>+Z304/$AR$373</f>
        <v>0</v>
      </c>
      <c r="AA486" s="317"/>
      <c r="AB486" s="314"/>
      <c r="AC486" s="308"/>
      <c r="AD486" s="307"/>
      <c r="AE486" s="308"/>
      <c r="AF486" s="307"/>
      <c r="AG486" s="308"/>
      <c r="AH486" s="307"/>
      <c r="AI486" s="308"/>
      <c r="AJ486" s="307"/>
      <c r="AK486" s="308"/>
      <c r="AL486" s="307"/>
      <c r="AM486" s="308"/>
      <c r="AN486" s="307"/>
      <c r="AO486" s="308"/>
      <c r="AP486" s="30"/>
      <c r="AQ486" s="453">
        <f>H486+J486+L486+V486</f>
        <v>12.887499999999999</v>
      </c>
      <c r="AR486" s="308">
        <f>+(AQ486/AQ480-1)*100</f>
        <v>-34.406413029647545</v>
      </c>
      <c r="AS486" s="308"/>
      <c r="AT486" s="30"/>
      <c r="AU486" s="30"/>
      <c r="AV486" s="30"/>
      <c r="AW486" s="321"/>
      <c r="AX486" s="308"/>
      <c r="AY486" s="308"/>
      <c r="AZ486" s="321"/>
      <c r="BA486" s="317"/>
      <c r="BB486" s="308"/>
      <c r="BC486" s="317"/>
      <c r="BD486" s="317"/>
      <c r="BE486" s="317"/>
      <c r="BF486" s="308"/>
      <c r="BG486" s="314"/>
      <c r="BH486" s="317"/>
      <c r="BI486" s="317"/>
      <c r="BJ486" s="308"/>
      <c r="BK486" s="314"/>
      <c r="BL486" s="317"/>
      <c r="BM486" s="317"/>
      <c r="BN486" s="308"/>
      <c r="BO486" s="314"/>
      <c r="BP486" s="317"/>
      <c r="BQ486" s="317"/>
      <c r="BR486" s="317"/>
      <c r="BS486" s="308"/>
      <c r="BT486" s="314"/>
      <c r="BU486" s="317"/>
      <c r="BV486" s="317"/>
      <c r="BW486" s="317"/>
      <c r="BX486" s="308"/>
      <c r="BY486" s="314"/>
      <c r="BZ486" s="317"/>
      <c r="CA486" s="317"/>
      <c r="CB486" s="317"/>
      <c r="CC486" s="308"/>
      <c r="CD486" s="307"/>
      <c r="CE486" s="317"/>
      <c r="CF486" s="317"/>
      <c r="CG486" s="317"/>
      <c r="CH486" s="308"/>
      <c r="CI486" s="314"/>
      <c r="CJ486" s="317"/>
      <c r="CK486" s="317"/>
      <c r="CL486" s="308"/>
      <c r="CM486" s="314"/>
      <c r="CN486" s="317"/>
      <c r="CO486" s="308"/>
      <c r="CP486" s="314"/>
      <c r="CQ486" s="317"/>
      <c r="CR486" s="308"/>
      <c r="CS486" s="314"/>
      <c r="CT486" s="317"/>
      <c r="CU486" s="308"/>
      <c r="CV486" s="314"/>
      <c r="CW486" s="317"/>
      <c r="CX486" s="308"/>
      <c r="CY486" s="314"/>
      <c r="CZ486" s="317"/>
      <c r="DA486" s="308"/>
      <c r="DB486" s="314"/>
      <c r="DC486" s="317"/>
      <c r="DD486" s="308"/>
      <c r="DE486" s="314"/>
      <c r="DF486" s="317"/>
      <c r="DG486" s="308"/>
      <c r="DH486" s="314"/>
      <c r="DI486" s="317"/>
      <c r="DJ486" s="317"/>
      <c r="DK486" s="317"/>
      <c r="DL486" s="317"/>
    </row>
    <row r="487" spans="1:116" hidden="1" outlineLevel="1">
      <c r="A487" s="24"/>
      <c r="B487" s="24"/>
      <c r="C487" s="24"/>
      <c r="D487" s="24"/>
      <c r="E487" s="24"/>
      <c r="F487" s="24"/>
      <c r="G487" s="24"/>
      <c r="H487" s="24"/>
      <c r="I487" s="24"/>
      <c r="J487" s="24"/>
      <c r="K487" s="24"/>
      <c r="L487" s="24"/>
      <c r="M487" s="24"/>
      <c r="N487" s="24"/>
      <c r="O487" s="24"/>
      <c r="P487" s="24"/>
      <c r="Q487" s="24"/>
      <c r="R487" s="24"/>
      <c r="S487" s="24"/>
      <c r="T487" s="24"/>
      <c r="U487" s="24"/>
      <c r="V487" s="24"/>
      <c r="W487" s="24"/>
      <c r="X487" s="24"/>
      <c r="Y487" s="24"/>
      <c r="Z487" s="24"/>
      <c r="AA487" s="24"/>
      <c r="AB487" s="24"/>
      <c r="AC487" s="24"/>
      <c r="AD487" s="24"/>
      <c r="AE487" s="24"/>
      <c r="AF487" s="24"/>
      <c r="AG487" s="24"/>
      <c r="AH487" s="24"/>
      <c r="AI487" s="24"/>
      <c r="AJ487" s="24"/>
      <c r="AK487" s="24"/>
      <c r="AL487" s="24"/>
      <c r="AM487" s="24"/>
      <c r="AN487" s="24"/>
      <c r="AO487" s="24"/>
      <c r="AP487" s="24"/>
      <c r="AQ487" s="453"/>
      <c r="AR487" s="30"/>
      <c r="AS487" s="30"/>
      <c r="AT487" s="24"/>
      <c r="AU487" s="24"/>
      <c r="AV487" s="24"/>
      <c r="AW487" s="24"/>
      <c r="AX487" s="24"/>
      <c r="AY487" s="24"/>
      <c r="AZ487" s="24"/>
      <c r="BA487" s="24"/>
      <c r="BB487" s="24"/>
      <c r="BC487" s="24"/>
      <c r="BD487" s="24"/>
      <c r="BE487" s="24"/>
      <c r="BF487" s="24"/>
      <c r="BG487" s="24"/>
      <c r="BH487" s="24"/>
      <c r="BI487" s="24"/>
      <c r="BJ487" s="24"/>
      <c r="BK487" s="24"/>
      <c r="BL487" s="24"/>
      <c r="BM487" s="24"/>
      <c r="BN487" s="24"/>
      <c r="BO487" s="24"/>
      <c r="BP487" s="24"/>
      <c r="BQ487" s="24"/>
      <c r="BR487" s="24"/>
      <c r="BS487" s="24"/>
      <c r="BT487" s="24"/>
      <c r="BU487" s="24"/>
      <c r="BV487" s="24"/>
      <c r="BW487" s="24"/>
      <c r="BX487" s="24"/>
      <c r="BY487" s="24"/>
      <c r="BZ487" s="24"/>
      <c r="CA487" s="24"/>
      <c r="CB487" s="24"/>
      <c r="CC487" s="24"/>
      <c r="CD487" s="24"/>
      <c r="CE487" s="24"/>
      <c r="CF487" s="24"/>
      <c r="CG487" s="24"/>
      <c r="CH487" s="24"/>
      <c r="CI487" s="24"/>
      <c r="CJ487" s="24"/>
      <c r="CK487" s="24"/>
      <c r="CL487" s="24"/>
      <c r="CM487" s="24"/>
      <c r="CN487" s="24"/>
      <c r="CO487" s="24"/>
      <c r="CP487" s="24"/>
      <c r="CQ487" s="24"/>
      <c r="CR487" s="24"/>
      <c r="CS487" s="24"/>
      <c r="CT487" s="24"/>
      <c r="CU487" s="24"/>
      <c r="CV487" s="24"/>
      <c r="CW487" s="24"/>
      <c r="CX487" s="24"/>
      <c r="CY487" s="24"/>
      <c r="CZ487" s="24"/>
      <c r="DA487" s="24"/>
      <c r="DB487" s="24"/>
      <c r="DC487" s="24"/>
      <c r="DD487" s="24"/>
      <c r="DE487" s="24"/>
      <c r="DF487" s="24"/>
      <c r="DG487" s="24"/>
      <c r="DH487" s="24"/>
      <c r="DI487" s="24"/>
      <c r="DJ487" s="24"/>
      <c r="DK487" s="24"/>
      <c r="DL487" s="24"/>
    </row>
    <row r="488" spans="1:116" hidden="1" outlineLevel="1">
      <c r="A488" s="301"/>
      <c r="B488" s="312" t="str">
        <f>+B306</f>
        <v>2008A</v>
      </c>
      <c r="C488" s="30"/>
      <c r="D488" s="30"/>
      <c r="E488" s="310"/>
      <c r="F488" s="30"/>
      <c r="G488" s="318"/>
      <c r="H488" s="318"/>
      <c r="I488" s="318"/>
      <c r="J488" s="30"/>
      <c r="K488" s="319"/>
      <c r="L488" s="30"/>
      <c r="M488" s="310"/>
      <c r="N488" s="30"/>
      <c r="O488" s="310"/>
      <c r="P488" s="30"/>
      <c r="Q488" s="30"/>
      <c r="R488" s="30"/>
      <c r="S488" s="310"/>
      <c r="T488" s="30"/>
      <c r="U488" s="310"/>
      <c r="V488" s="314"/>
      <c r="W488" s="318"/>
      <c r="X488" s="318"/>
      <c r="Y488" s="318"/>
      <c r="Z488" s="30"/>
      <c r="AA488" s="318"/>
      <c r="AB488" s="30"/>
      <c r="AC488" s="310"/>
      <c r="AD488" s="30"/>
      <c r="AE488" s="310"/>
      <c r="AF488" s="30"/>
      <c r="AG488" s="310"/>
      <c r="AH488" s="30"/>
      <c r="AI488" s="310"/>
      <c r="AJ488" s="30"/>
      <c r="AK488" s="310"/>
      <c r="AL488" s="30"/>
      <c r="AM488" s="310"/>
      <c r="AN488" s="30"/>
      <c r="AO488" s="310"/>
      <c r="AP488" s="30"/>
      <c r="AQ488" s="453"/>
      <c r="AR488" s="310"/>
      <c r="AS488" s="310"/>
      <c r="AT488" s="30"/>
      <c r="AU488" s="30"/>
      <c r="AV488" s="30"/>
      <c r="AW488" s="30"/>
      <c r="AX488" s="310"/>
      <c r="AY488" s="310"/>
      <c r="AZ488" s="30"/>
      <c r="BA488" s="318"/>
      <c r="BB488" s="310"/>
      <c r="BC488" s="318"/>
      <c r="BD488" s="318"/>
      <c r="BE488" s="318"/>
      <c r="BF488" s="310"/>
      <c r="BG488" s="30"/>
      <c r="BH488" s="318"/>
      <c r="BI488" s="318"/>
      <c r="BJ488" s="310"/>
      <c r="BK488" s="30"/>
      <c r="BL488" s="318"/>
      <c r="BM488" s="318"/>
      <c r="BN488" s="310"/>
      <c r="BO488" s="30"/>
      <c r="BP488" s="318"/>
      <c r="BQ488" s="318"/>
      <c r="BR488" s="318"/>
      <c r="BS488" s="310"/>
      <c r="BT488" s="30"/>
      <c r="BU488" s="318"/>
      <c r="BV488" s="318"/>
      <c r="BW488" s="318"/>
      <c r="BX488" s="310"/>
      <c r="BY488" s="30"/>
      <c r="BZ488" s="318"/>
      <c r="CA488" s="318"/>
      <c r="CB488" s="318"/>
      <c r="CC488" s="310"/>
      <c r="CD488" s="30"/>
      <c r="CE488" s="318"/>
      <c r="CF488" s="318"/>
      <c r="CG488" s="318"/>
      <c r="CH488" s="310"/>
      <c r="CI488" s="30"/>
      <c r="CJ488" s="318"/>
      <c r="CK488" s="318"/>
      <c r="CL488" s="310"/>
      <c r="CM488" s="30"/>
      <c r="CN488" s="318"/>
      <c r="CO488" s="310"/>
      <c r="CP488" s="30"/>
      <c r="CQ488" s="318"/>
      <c r="CR488" s="310"/>
      <c r="CS488" s="30"/>
      <c r="CT488" s="318"/>
      <c r="CU488" s="310"/>
      <c r="CV488" s="30"/>
      <c r="CW488" s="318"/>
      <c r="CX488" s="310"/>
      <c r="CY488" s="30"/>
      <c r="CZ488" s="318"/>
      <c r="DA488" s="310"/>
      <c r="DB488" s="30"/>
      <c r="DC488" s="318"/>
      <c r="DD488" s="310"/>
      <c r="DE488" s="30"/>
      <c r="DF488" s="318"/>
      <c r="DG488" s="310"/>
      <c r="DH488" s="30"/>
      <c r="DI488" s="318"/>
      <c r="DJ488" s="318"/>
      <c r="DK488" s="318"/>
      <c r="DL488" s="318"/>
    </row>
    <row r="489" spans="1:116" hidden="1" outlineLevel="1">
      <c r="A489" s="30" t="str">
        <f>+A307</f>
        <v>1Q</v>
      </c>
      <c r="B489" s="30" t="str">
        <f>+B307</f>
        <v>Apr</v>
      </c>
      <c r="C489" s="30"/>
      <c r="D489" s="321"/>
      <c r="E489" s="308"/>
      <c r="F489" s="321"/>
      <c r="G489" s="317"/>
      <c r="H489" s="314">
        <f>+H307/$AR$373</f>
        <v>1.165</v>
      </c>
      <c r="I489" s="308">
        <f>+(H489/H483-1)*100</f>
        <v>12.154031287605305</v>
      </c>
      <c r="J489" s="314">
        <f>+J307/$AR$373</f>
        <v>7.0724999999999998</v>
      </c>
      <c r="K489" s="308">
        <f>+(J489/J483-1)*100</f>
        <v>9.9922239502332921</v>
      </c>
      <c r="L489" s="314">
        <f>+L307/$AR$373</f>
        <v>4.8224999999999998</v>
      </c>
      <c r="M489" s="308">
        <f>+(L489/L483-1)*100</f>
        <v>7.2560467055879929</v>
      </c>
      <c r="N489" s="314">
        <f>+N307/$AR$373</f>
        <v>0.49437500000000023</v>
      </c>
      <c r="O489" s="308">
        <f>+(N489/N483-1)*100</f>
        <v>-55.005688282138763</v>
      </c>
      <c r="P489" s="314">
        <f>+P307/$AR$373</f>
        <v>0.18862499999999996</v>
      </c>
      <c r="Q489" s="308">
        <f>+(P489/P483-1)*100</f>
        <v>-36.596638655462201</v>
      </c>
      <c r="R489" s="314">
        <f>+R307/$AR$373</f>
        <v>4.2409999999999997</v>
      </c>
      <c r="S489" s="308"/>
      <c r="T489" s="314">
        <f>+T307/$AR$373</f>
        <v>1.5499999999999998</v>
      </c>
      <c r="U489" s="308">
        <f>+(T489/T483-1)*100</f>
        <v>-13.468248429867424</v>
      </c>
      <c r="V489" s="314">
        <f>+V307/$AR$373</f>
        <v>4.6249999999999993E-2</v>
      </c>
      <c r="W489" s="317">
        <f>+(V489/V483-1)*100</f>
        <v>0</v>
      </c>
      <c r="X489" s="317"/>
      <c r="Y489" s="317"/>
      <c r="Z489" s="314">
        <f>+Z373/$AR$373</f>
        <v>0</v>
      </c>
      <c r="AA489" s="317"/>
      <c r="AB489" s="314"/>
      <c r="AC489" s="308"/>
      <c r="AD489" s="307"/>
      <c r="AE489" s="308"/>
      <c r="AF489" s="307"/>
      <c r="AG489" s="308"/>
      <c r="AH489" s="307"/>
      <c r="AI489" s="308"/>
      <c r="AJ489" s="307"/>
      <c r="AK489" s="308"/>
      <c r="AL489" s="307"/>
      <c r="AM489" s="308"/>
      <c r="AN489" s="307"/>
      <c r="AO489" s="308"/>
      <c r="AP489" s="30"/>
      <c r="AQ489" s="453">
        <f>H489+J489+L489+V489</f>
        <v>13.106250000000001</v>
      </c>
      <c r="AR489" s="308">
        <f>+(AQ489/AQ483-1)*100</f>
        <v>-31.88462288053011</v>
      </c>
      <c r="AS489" s="308"/>
      <c r="AT489" s="30"/>
      <c r="AU489" s="30"/>
      <c r="AV489" s="30"/>
      <c r="AW489" s="321"/>
      <c r="AX489" s="308"/>
      <c r="AY489" s="308"/>
      <c r="AZ489" s="321"/>
      <c r="BA489" s="317"/>
      <c r="BB489" s="308"/>
      <c r="BC489" s="317"/>
      <c r="BD489" s="317"/>
      <c r="BE489" s="317"/>
      <c r="BF489" s="308"/>
      <c r="BG489" s="330"/>
      <c r="BH489" s="317"/>
      <c r="BI489" s="317"/>
      <c r="BJ489" s="308"/>
      <c r="BK489" s="314"/>
      <c r="BL489" s="317"/>
      <c r="BM489" s="317"/>
      <c r="BN489" s="308"/>
      <c r="BO489" s="314"/>
      <c r="BP489" s="317"/>
      <c r="BQ489" s="317"/>
      <c r="BR489" s="317"/>
      <c r="BS489" s="308"/>
      <c r="BT489" s="314"/>
      <c r="BU489" s="317"/>
      <c r="BV489" s="317"/>
      <c r="BW489" s="317"/>
      <c r="BX489" s="308"/>
      <c r="BY489" s="314"/>
      <c r="BZ489" s="317"/>
      <c r="CA489" s="317"/>
      <c r="CB489" s="317"/>
      <c r="CC489" s="308"/>
      <c r="CD489" s="307"/>
      <c r="CE489" s="317"/>
      <c r="CF489" s="317"/>
      <c r="CG489" s="317"/>
      <c r="CH489" s="308"/>
      <c r="CI489" s="314"/>
      <c r="CJ489" s="317"/>
      <c r="CK489" s="317"/>
      <c r="CL489" s="308"/>
      <c r="CM489" s="314"/>
      <c r="CN489" s="317"/>
      <c r="CO489" s="308"/>
      <c r="CP489" s="314"/>
      <c r="CQ489" s="317"/>
      <c r="CR489" s="308"/>
      <c r="CS489" s="314"/>
      <c r="CT489" s="317"/>
      <c r="CU489" s="308"/>
      <c r="CV489" s="314"/>
      <c r="CW489" s="317"/>
      <c r="CX489" s="308"/>
      <c r="CY489" s="314"/>
      <c r="CZ489" s="317"/>
      <c r="DA489" s="308"/>
      <c r="DB489" s="314"/>
      <c r="DC489" s="317"/>
      <c r="DD489" s="308"/>
      <c r="DE489" s="314"/>
      <c r="DF489" s="317"/>
      <c r="DG489" s="308"/>
      <c r="DH489" s="314"/>
      <c r="DI489" s="317"/>
      <c r="DJ489" s="317"/>
      <c r="DK489" s="317"/>
      <c r="DL489" s="317"/>
    </row>
    <row r="490" spans="1:116" hidden="1" outlineLevel="1">
      <c r="A490" s="30" t="str">
        <f>+A308</f>
        <v>2Q</v>
      </c>
      <c r="B490" s="30" t="str">
        <f>+B308</f>
        <v>Jul</v>
      </c>
      <c r="C490" s="30"/>
      <c r="D490" s="321"/>
      <c r="E490" s="308"/>
      <c r="F490" s="321"/>
      <c r="G490" s="317"/>
      <c r="H490" s="314">
        <f>+H308/$AR$373</f>
        <v>1.1862499999999998</v>
      </c>
      <c r="I490" s="308">
        <f>+(H490/H484-1)*100</f>
        <v>11.384976525821578</v>
      </c>
      <c r="J490" s="314">
        <f>+J308/$AR$373</f>
        <v>7.2649999999999997</v>
      </c>
      <c r="K490" s="308">
        <f>+(J490/J484-1)*100</f>
        <v>10.138336175857487</v>
      </c>
      <c r="L490" s="314">
        <f>+L308/$AR$373</f>
        <v>4.8499999999999996</v>
      </c>
      <c r="M490" s="308">
        <f>+(L490/L484-1)*100</f>
        <v>6.9754618141715019</v>
      </c>
      <c r="N490" s="314">
        <f>+N308/$AR$373</f>
        <v>0.49437500000000023</v>
      </c>
      <c r="O490" s="308">
        <f>+(N490/N484-1)*100</f>
        <v>-44.723969252271125</v>
      </c>
      <c r="P490" s="314">
        <f>+P308/$AR$373</f>
        <v>0.18862499999999996</v>
      </c>
      <c r="Q490" s="308">
        <f>+(P490/P484-1)*100</f>
        <v>-20.618638049396353</v>
      </c>
      <c r="R490" s="314">
        <f>+R308/$AR$373</f>
        <v>4.2188125000000003</v>
      </c>
      <c r="S490" s="308"/>
      <c r="T490" s="314">
        <f>+T308/$AR$373</f>
        <v>1.5284374999999999</v>
      </c>
      <c r="U490" s="308">
        <f>+(T490/T484-1)*100</f>
        <v>-10.901009217765157</v>
      </c>
      <c r="V490" s="314">
        <f>+V308/$AR$373</f>
        <v>4.6249999999999993E-2</v>
      </c>
      <c r="W490" s="317">
        <f>+(V490/V484-1)*100</f>
        <v>0</v>
      </c>
      <c r="X490" s="317"/>
      <c r="Y490" s="317"/>
      <c r="Z490" s="314">
        <f>+Z374/$AR$373</f>
        <v>0</v>
      </c>
      <c r="AA490" s="317"/>
      <c r="AB490" s="314"/>
      <c r="AC490" s="308"/>
      <c r="AD490" s="307"/>
      <c r="AE490" s="308"/>
      <c r="AF490" s="307"/>
      <c r="AG490" s="308"/>
      <c r="AH490" s="307"/>
      <c r="AI490" s="308"/>
      <c r="AJ490" s="307"/>
      <c r="AK490" s="308"/>
      <c r="AL490" s="307"/>
      <c r="AM490" s="308"/>
      <c r="AN490" s="307"/>
      <c r="AO490" s="308"/>
      <c r="AP490" s="30"/>
      <c r="AQ490" s="453">
        <f>H490+J490+L490+V490</f>
        <v>13.3475</v>
      </c>
      <c r="AR490" s="308">
        <f>+(AQ490/AQ484-1)*100</f>
        <v>9.0370672929643625</v>
      </c>
      <c r="AS490" s="308"/>
      <c r="AT490" s="30"/>
      <c r="AU490" s="30"/>
      <c r="AV490" s="30"/>
      <c r="AW490" s="321"/>
      <c r="AX490" s="308"/>
      <c r="AY490" s="308"/>
      <c r="AZ490" s="321"/>
      <c r="BA490" s="317"/>
      <c r="BB490" s="308"/>
      <c r="BC490" s="317"/>
      <c r="BD490" s="317"/>
      <c r="BE490" s="317"/>
      <c r="BF490" s="308"/>
      <c r="BG490" s="330"/>
      <c r="BH490" s="317"/>
      <c r="BI490" s="317"/>
      <c r="BJ490" s="308"/>
      <c r="BK490" s="314"/>
      <c r="BL490" s="317"/>
      <c r="BM490" s="317"/>
      <c r="BN490" s="308"/>
      <c r="BO490" s="314"/>
      <c r="BP490" s="317"/>
      <c r="BQ490" s="317"/>
      <c r="BR490" s="317"/>
      <c r="BS490" s="308"/>
      <c r="BT490" s="314"/>
      <c r="BU490" s="317"/>
      <c r="BV490" s="317"/>
      <c r="BW490" s="317"/>
      <c r="BX490" s="308"/>
      <c r="BY490" s="314"/>
      <c r="BZ490" s="317"/>
      <c r="CA490" s="317"/>
      <c r="CB490" s="317"/>
      <c r="CC490" s="308"/>
      <c r="CD490" s="307"/>
      <c r="CE490" s="317"/>
      <c r="CF490" s="317"/>
      <c r="CG490" s="317"/>
      <c r="CH490" s="308"/>
      <c r="CI490" s="314"/>
      <c r="CJ490" s="317"/>
      <c r="CK490" s="317"/>
      <c r="CL490" s="308"/>
      <c r="CM490" s="314"/>
      <c r="CN490" s="317"/>
      <c r="CO490" s="308"/>
      <c r="CP490" s="314"/>
      <c r="CQ490" s="317"/>
      <c r="CR490" s="308"/>
      <c r="CS490" s="314"/>
      <c r="CT490" s="317"/>
      <c r="CU490" s="308"/>
      <c r="CV490" s="314"/>
      <c r="CW490" s="317"/>
      <c r="CX490" s="308"/>
      <c r="CY490" s="314"/>
      <c r="CZ490" s="317"/>
      <c r="DA490" s="308"/>
      <c r="DB490" s="314"/>
      <c r="DC490" s="317"/>
      <c r="DD490" s="308"/>
      <c r="DE490" s="314"/>
      <c r="DF490" s="317"/>
      <c r="DG490" s="308"/>
      <c r="DH490" s="314"/>
      <c r="DI490" s="317"/>
      <c r="DJ490" s="317"/>
      <c r="DK490" s="317"/>
      <c r="DL490" s="317"/>
    </row>
    <row r="491" spans="1:116" hidden="1" outlineLevel="1">
      <c r="A491" s="30" t="str">
        <f>+A309</f>
        <v>3Q</v>
      </c>
      <c r="B491" s="30" t="str">
        <f>+B309</f>
        <v>Oct</v>
      </c>
      <c r="C491" s="30"/>
      <c r="D491" s="321"/>
      <c r="E491" s="308"/>
      <c r="F491" s="321"/>
      <c r="G491" s="317"/>
      <c r="H491" s="314">
        <f>+H309/$AR$373</f>
        <v>1.1912499999999999</v>
      </c>
      <c r="I491" s="308">
        <f>+(H491/H485-1)*100</f>
        <v>6.9584736251402823</v>
      </c>
      <c r="J491" s="314">
        <f>+J309/$AR$373</f>
        <v>7.4287499999999991</v>
      </c>
      <c r="K491" s="308">
        <f>+(J491/J485-1)*100</f>
        <v>7.8780177890724001</v>
      </c>
      <c r="L491" s="314">
        <f>+L309/$AR$373</f>
        <v>4.9124999999999996</v>
      </c>
      <c r="M491" s="308">
        <f>+(L491/L485-1)*100</f>
        <v>4.6325878594249303</v>
      </c>
      <c r="N491" s="314">
        <f>+N309/$AR$373</f>
        <v>0.32062500000000022</v>
      </c>
      <c r="O491" s="308">
        <f>+(N491/N485-1)*100</f>
        <v>-54.681978798586549</v>
      </c>
      <c r="P491" s="314">
        <f>+P309/$AR$373</f>
        <v>0.18862499999999996</v>
      </c>
      <c r="Q491" s="308">
        <f>+(P491/P485-1)*100</f>
        <v>-14.760210133875617</v>
      </c>
      <c r="R491" s="314">
        <f>+R309/$AR$373</f>
        <v>4.1522500000000004</v>
      </c>
      <c r="S491" s="308"/>
      <c r="T491" s="314">
        <f>+T309/$AR$373</f>
        <v>1.506875</v>
      </c>
      <c r="U491" s="308">
        <f>+(T491/T485-1)*100</f>
        <v>-10.630884424345755</v>
      </c>
      <c r="V491" s="314">
        <f>+V309/$AR$373</f>
        <v>4.9999999999999996E-2</v>
      </c>
      <c r="W491" s="317">
        <f>+(V491/V485-1)*100</f>
        <v>8.1081081081081141</v>
      </c>
      <c r="X491" s="317"/>
      <c r="Y491" s="317"/>
      <c r="Z491" s="314">
        <f>+Z375/$AR$373</f>
        <v>0</v>
      </c>
      <c r="AA491" s="317"/>
      <c r="AB491" s="314"/>
      <c r="AC491" s="308"/>
      <c r="AD491" s="307"/>
      <c r="AE491" s="308"/>
      <c r="AF491" s="307"/>
      <c r="AG491" s="308"/>
      <c r="AH491" s="307"/>
      <c r="AI491" s="308"/>
      <c r="AJ491" s="307"/>
      <c r="AK491" s="308"/>
      <c r="AL491" s="307"/>
      <c r="AM491" s="308"/>
      <c r="AN491" s="307"/>
      <c r="AO491" s="308"/>
      <c r="AP491" s="30"/>
      <c r="AQ491" s="453">
        <f>H491+J491+L491+V491</f>
        <v>13.5825</v>
      </c>
      <c r="AR491" s="308">
        <f>+(AQ491/AQ485-1)*100</f>
        <v>6.6025703914450951</v>
      </c>
      <c r="AS491" s="308"/>
      <c r="AT491" s="30"/>
      <c r="AU491" s="30"/>
      <c r="AV491" s="30"/>
      <c r="AW491" s="321"/>
      <c r="AX491" s="308"/>
      <c r="AY491" s="308"/>
      <c r="AZ491" s="321"/>
      <c r="BA491" s="317"/>
      <c r="BB491" s="308"/>
      <c r="BC491" s="317"/>
      <c r="BD491" s="317"/>
      <c r="BE491" s="317"/>
      <c r="BF491" s="308"/>
      <c r="BG491" s="330"/>
      <c r="BH491" s="317"/>
      <c r="BI491" s="317"/>
      <c r="BJ491" s="308"/>
      <c r="BK491" s="314"/>
      <c r="BL491" s="317"/>
      <c r="BM491" s="317"/>
      <c r="BN491" s="308"/>
      <c r="BO491" s="314"/>
      <c r="BP491" s="317"/>
      <c r="BQ491" s="317"/>
      <c r="BR491" s="317"/>
      <c r="BS491" s="308"/>
      <c r="BT491" s="314"/>
      <c r="BU491" s="317"/>
      <c r="BV491" s="317"/>
      <c r="BW491" s="317"/>
      <c r="BX491" s="308"/>
      <c r="BY491" s="314"/>
      <c r="BZ491" s="317"/>
      <c r="CA491" s="317"/>
      <c r="CB491" s="317"/>
      <c r="CC491" s="308"/>
      <c r="CD491" s="307"/>
      <c r="CE491" s="317"/>
      <c r="CF491" s="317"/>
      <c r="CG491" s="317"/>
      <c r="CH491" s="308"/>
      <c r="CI491" s="314"/>
      <c r="CJ491" s="317"/>
      <c r="CK491" s="317"/>
      <c r="CL491" s="308"/>
      <c r="CM491" s="314"/>
      <c r="CN491" s="317"/>
      <c r="CO491" s="308"/>
      <c r="CP491" s="314"/>
      <c r="CQ491" s="317"/>
      <c r="CR491" s="308"/>
      <c r="CS491" s="314"/>
      <c r="CT491" s="317"/>
      <c r="CU491" s="308"/>
      <c r="CV491" s="314"/>
      <c r="CW491" s="317"/>
      <c r="CX491" s="308"/>
      <c r="CY491" s="314"/>
      <c r="CZ491" s="317"/>
      <c r="DA491" s="308"/>
      <c r="DB491" s="314"/>
      <c r="DC491" s="317"/>
      <c r="DD491" s="308"/>
      <c r="DE491" s="314"/>
      <c r="DF491" s="317"/>
      <c r="DG491" s="308"/>
      <c r="DH491" s="314"/>
      <c r="DI491" s="317"/>
      <c r="DJ491" s="317"/>
      <c r="DK491" s="317"/>
      <c r="DL491" s="317"/>
    </row>
    <row r="492" spans="1:116" hidden="1" outlineLevel="1">
      <c r="A492" s="30" t="str">
        <f>+A310</f>
        <v>4Q</v>
      </c>
      <c r="B492" s="30" t="str">
        <f>+B310</f>
        <v>Jan</v>
      </c>
      <c r="C492" s="339"/>
      <c r="D492" s="321"/>
      <c r="E492" s="308"/>
      <c r="F492" s="321"/>
      <c r="G492" s="317"/>
      <c r="H492" s="314">
        <f>+H310/$AR$373</f>
        <v>1.2174999999999998</v>
      </c>
      <c r="I492" s="308">
        <f>+(H492/H486-1)*100</f>
        <v>8.1021087680354995</v>
      </c>
      <c r="J492" s="314">
        <f>+J310/$AR$373</f>
        <v>7.4662499999999996</v>
      </c>
      <c r="K492" s="308">
        <f>+(J492/J486-1)*100</f>
        <v>6.6797642436149163</v>
      </c>
      <c r="L492" s="314">
        <f>+L310/$AR$373</f>
        <v>4.8862499999999995</v>
      </c>
      <c r="M492" s="308">
        <f>+(L492/L486-1)*100</f>
        <v>3.6045587065995255</v>
      </c>
      <c r="N492" s="314">
        <f>+N310/$AR$373</f>
        <v>0.1468750000000002</v>
      </c>
      <c r="O492" s="308">
        <f>+(N492/N486-1)*100</f>
        <v>-70.290771175726903</v>
      </c>
      <c r="P492" s="314">
        <f>+P310/$AR$373</f>
        <v>0.18862499999999996</v>
      </c>
      <c r="Q492" s="308">
        <f>+(P492/P486-1)*100</f>
        <v>0</v>
      </c>
      <c r="R492" s="314">
        <f>+R310/$AR$373</f>
        <v>4.0856875000000006</v>
      </c>
      <c r="S492" s="308"/>
      <c r="T492" s="314">
        <f>+T310/$AR$373</f>
        <v>1.4853125</v>
      </c>
      <c r="U492" s="308">
        <f>+(T492/T486-1)*100</f>
        <v>-5.4881686219924397</v>
      </c>
      <c r="V492" s="314">
        <f>+V310/$AR$373</f>
        <v>5.2499999999999998E-2</v>
      </c>
      <c r="W492" s="317">
        <f>+(V492/V486-1)*100</f>
        <v>13.51351351351353</v>
      </c>
      <c r="X492" s="317"/>
      <c r="Y492" s="317"/>
      <c r="Z492" s="314">
        <f>+Z376/$AR$373</f>
        <v>0</v>
      </c>
      <c r="AA492" s="317"/>
      <c r="AB492" s="314"/>
      <c r="AC492" s="308"/>
      <c r="AD492" s="307"/>
      <c r="AE492" s="308"/>
      <c r="AF492" s="307"/>
      <c r="AG492" s="308"/>
      <c r="AH492" s="307"/>
      <c r="AI492" s="308"/>
      <c r="AJ492" s="307"/>
      <c r="AK492" s="308"/>
      <c r="AL492" s="307"/>
      <c r="AM492" s="308"/>
      <c r="AN492" s="307"/>
      <c r="AO492" s="308"/>
      <c r="AP492" s="30"/>
      <c r="AQ492" s="453">
        <f>H492+J492+L492+V492</f>
        <v>13.6225</v>
      </c>
      <c r="AR492" s="308">
        <f>+(AQ492/AQ486-1)*100</f>
        <v>5.7032007759456826</v>
      </c>
      <c r="AS492" s="308"/>
      <c r="AT492" s="30"/>
      <c r="AU492" s="30"/>
      <c r="AV492" s="30"/>
      <c r="AW492" s="321"/>
      <c r="AX492" s="308"/>
      <c r="AY492" s="308"/>
      <c r="AZ492" s="321"/>
      <c r="BA492" s="317"/>
      <c r="BB492" s="308"/>
      <c r="BC492" s="317"/>
      <c r="BD492" s="317"/>
      <c r="BE492" s="317"/>
      <c r="BF492" s="308"/>
      <c r="BG492" s="314"/>
      <c r="BH492" s="317"/>
      <c r="BI492" s="317"/>
      <c r="BJ492" s="308"/>
      <c r="BK492" s="314"/>
      <c r="BL492" s="317"/>
      <c r="BM492" s="317"/>
      <c r="BN492" s="308"/>
      <c r="BO492" s="314"/>
      <c r="BP492" s="317"/>
      <c r="BQ492" s="317"/>
      <c r="BR492" s="317"/>
      <c r="BS492" s="308"/>
      <c r="BT492" s="314"/>
      <c r="BU492" s="317"/>
      <c r="BV492" s="317"/>
      <c r="BW492" s="317"/>
      <c r="BX492" s="308"/>
      <c r="BY492" s="314"/>
      <c r="BZ492" s="317"/>
      <c r="CA492" s="317"/>
      <c r="CB492" s="317"/>
      <c r="CC492" s="308"/>
      <c r="CD492" s="307"/>
      <c r="CE492" s="317"/>
      <c r="CF492" s="317"/>
      <c r="CG492" s="317"/>
      <c r="CH492" s="308"/>
      <c r="CI492" s="314"/>
      <c r="CJ492" s="317"/>
      <c r="CK492" s="317"/>
      <c r="CL492" s="308"/>
      <c r="CM492" s="314"/>
      <c r="CN492" s="317"/>
      <c r="CO492" s="308"/>
      <c r="CP492" s="314"/>
      <c r="CQ492" s="317"/>
      <c r="CR492" s="308"/>
      <c r="CS492" s="314"/>
      <c r="CT492" s="317"/>
      <c r="CU492" s="308"/>
      <c r="CV492" s="314"/>
      <c r="CW492" s="317"/>
      <c r="CX492" s="308"/>
      <c r="CY492" s="314"/>
      <c r="CZ492" s="317"/>
      <c r="DA492" s="308"/>
      <c r="DB492" s="314"/>
      <c r="DC492" s="317"/>
      <c r="DD492" s="308"/>
      <c r="DE492" s="314"/>
      <c r="DF492" s="317"/>
      <c r="DG492" s="308"/>
      <c r="DH492" s="314"/>
      <c r="DI492" s="317"/>
      <c r="DJ492" s="317"/>
      <c r="DK492" s="317"/>
      <c r="DL492" s="317"/>
    </row>
    <row r="493" spans="1:116" hidden="1" outlineLevel="1">
      <c r="A493" s="30"/>
      <c r="B493" s="30"/>
      <c r="C493" s="339"/>
      <c r="D493" s="321"/>
      <c r="E493" s="308"/>
      <c r="F493" s="321"/>
      <c r="G493" s="317"/>
      <c r="H493" s="314"/>
      <c r="I493" s="317"/>
      <c r="J493" s="314"/>
      <c r="K493" s="308"/>
      <c r="L493" s="314"/>
      <c r="M493" s="308"/>
      <c r="N493" s="314"/>
      <c r="O493" s="308"/>
      <c r="P493" s="314"/>
      <c r="Q493" s="308"/>
      <c r="R493" s="314"/>
      <c r="S493" s="308"/>
      <c r="T493" s="314"/>
      <c r="U493" s="308"/>
      <c r="V493" s="314"/>
      <c r="W493" s="317"/>
      <c r="X493" s="317"/>
      <c r="Y493" s="317"/>
      <c r="Z493" s="314"/>
      <c r="AA493" s="317"/>
      <c r="AB493" s="314"/>
      <c r="AC493" s="308"/>
      <c r="AD493" s="307"/>
      <c r="AE493" s="308"/>
      <c r="AF493" s="307"/>
      <c r="AG493" s="308"/>
      <c r="AH493" s="307"/>
      <c r="AI493" s="308"/>
      <c r="AJ493" s="307"/>
      <c r="AK493" s="308"/>
      <c r="AL493" s="307"/>
      <c r="AM493" s="308"/>
      <c r="AN493" s="307"/>
      <c r="AO493" s="308"/>
      <c r="AP493" s="30"/>
      <c r="AQ493" s="453"/>
      <c r="AR493" s="308"/>
      <c r="AS493" s="308"/>
      <c r="AT493" s="30"/>
      <c r="AU493" s="30"/>
      <c r="AV493" s="30"/>
      <c r="AW493" s="321"/>
      <c r="AX493" s="308"/>
      <c r="AY493" s="308"/>
      <c r="AZ493" s="321"/>
      <c r="BA493" s="317"/>
      <c r="BB493" s="308"/>
      <c r="BC493" s="317"/>
      <c r="BD493" s="317"/>
      <c r="BE493" s="317"/>
      <c r="BF493" s="308"/>
      <c r="BG493" s="314"/>
      <c r="BH493" s="317"/>
      <c r="BI493" s="317"/>
      <c r="BJ493" s="308"/>
      <c r="BK493" s="314"/>
      <c r="BL493" s="317"/>
      <c r="BM493" s="317"/>
      <c r="BN493" s="308"/>
      <c r="BO493" s="314"/>
      <c r="BP493" s="317"/>
      <c r="BQ493" s="317"/>
      <c r="BR493" s="317"/>
      <c r="BS493" s="308"/>
      <c r="BT493" s="314"/>
      <c r="BU493" s="317"/>
      <c r="BV493" s="317"/>
      <c r="BW493" s="317"/>
      <c r="BX493" s="308"/>
      <c r="BY493" s="314"/>
      <c r="BZ493" s="317"/>
      <c r="CA493" s="317"/>
      <c r="CB493" s="317"/>
      <c r="CC493" s="308"/>
      <c r="CD493" s="307"/>
      <c r="CE493" s="317"/>
      <c r="CF493" s="317"/>
      <c r="CG493" s="317"/>
      <c r="CH493" s="308"/>
      <c r="CI493" s="314"/>
      <c r="CJ493" s="317"/>
      <c r="CK493" s="317"/>
      <c r="CL493" s="308"/>
      <c r="CM493" s="314"/>
      <c r="CN493" s="317"/>
      <c r="CO493" s="308"/>
      <c r="CP493" s="314"/>
      <c r="CQ493" s="317"/>
      <c r="CR493" s="308"/>
      <c r="CS493" s="314"/>
      <c r="CT493" s="317"/>
      <c r="CU493" s="308"/>
      <c r="CV493" s="314"/>
      <c r="CW493" s="317"/>
      <c r="CX493" s="308"/>
      <c r="CY493" s="314"/>
      <c r="CZ493" s="317"/>
      <c r="DA493" s="308"/>
      <c r="DB493" s="314"/>
      <c r="DC493" s="317"/>
      <c r="DD493" s="308"/>
      <c r="DE493" s="314"/>
      <c r="DF493" s="317"/>
      <c r="DG493" s="308"/>
      <c r="DH493" s="314"/>
      <c r="DI493" s="317"/>
      <c r="DJ493" s="317"/>
      <c r="DK493" s="317"/>
      <c r="DL493" s="317"/>
    </row>
    <row r="494" spans="1:116" hidden="1" outlineLevel="1">
      <c r="A494" s="301"/>
      <c r="B494" s="312" t="str">
        <f>+B312</f>
        <v>2009A</v>
      </c>
      <c r="C494" s="30"/>
      <c r="D494" s="30"/>
      <c r="E494" s="310"/>
      <c r="F494" s="30"/>
      <c r="G494" s="318"/>
      <c r="H494" s="318"/>
      <c r="I494" s="318"/>
      <c r="J494" s="30"/>
      <c r="K494" s="319"/>
      <c r="L494" s="30"/>
      <c r="M494" s="310"/>
      <c r="N494" s="30"/>
      <c r="O494" s="310"/>
      <c r="P494" s="30"/>
      <c r="Q494" s="30"/>
      <c r="R494" s="30"/>
      <c r="S494" s="310"/>
      <c r="T494" s="30"/>
      <c r="U494" s="310"/>
      <c r="V494" s="314"/>
      <c r="W494" s="318"/>
      <c r="X494" s="318"/>
      <c r="Y494" s="318"/>
      <c r="Z494" s="30"/>
      <c r="AA494" s="318"/>
      <c r="AB494" s="30"/>
      <c r="AC494" s="310"/>
      <c r="AD494" s="30"/>
      <c r="AE494" s="310"/>
      <c r="AF494" s="30"/>
      <c r="AG494" s="310"/>
      <c r="AH494" s="30"/>
      <c r="AI494" s="310"/>
      <c r="AJ494" s="30"/>
      <c r="AK494" s="310"/>
      <c r="AL494" s="30"/>
      <c r="AM494" s="310"/>
      <c r="AN494" s="30"/>
      <c r="AO494" s="310"/>
      <c r="AP494" s="30"/>
      <c r="AQ494" s="453"/>
      <c r="AR494" s="310"/>
      <c r="AS494" s="310"/>
      <c r="AT494" s="30"/>
      <c r="AU494" s="30"/>
      <c r="AV494" s="30"/>
      <c r="AW494" s="30"/>
      <c r="AX494" s="310"/>
      <c r="AY494" s="310"/>
      <c r="AZ494" s="30"/>
      <c r="BA494" s="318"/>
      <c r="BB494" s="310"/>
      <c r="BC494" s="318"/>
      <c r="BD494" s="318"/>
      <c r="BE494" s="318"/>
      <c r="BF494" s="310"/>
      <c r="BG494" s="30"/>
      <c r="BH494" s="318"/>
      <c r="BI494" s="318"/>
      <c r="BJ494" s="310"/>
      <c r="BK494" s="30"/>
      <c r="BL494" s="318"/>
      <c r="BM494" s="318"/>
      <c r="BN494" s="310"/>
      <c r="BO494" s="30"/>
      <c r="BP494" s="318"/>
      <c r="BQ494" s="318"/>
      <c r="BR494" s="318"/>
      <c r="BS494" s="310"/>
      <c r="BT494" s="30"/>
      <c r="BU494" s="318"/>
      <c r="BV494" s="318"/>
      <c r="BW494" s="318"/>
      <c r="BX494" s="310"/>
      <c r="BY494" s="30"/>
      <c r="BZ494" s="318"/>
      <c r="CA494" s="318"/>
      <c r="CB494" s="318"/>
      <c r="CC494" s="310"/>
      <c r="CD494" s="30"/>
      <c r="CE494" s="318"/>
      <c r="CF494" s="318"/>
      <c r="CG494" s="318"/>
      <c r="CH494" s="310"/>
      <c r="CI494" s="30"/>
      <c r="CJ494" s="318"/>
      <c r="CK494" s="318"/>
      <c r="CL494" s="310"/>
      <c r="CM494" s="30"/>
      <c r="CN494" s="318"/>
      <c r="CO494" s="310"/>
      <c r="CP494" s="30"/>
      <c r="CQ494" s="318"/>
      <c r="CR494" s="310"/>
      <c r="CS494" s="30"/>
      <c r="CT494" s="318"/>
      <c r="CU494" s="310"/>
      <c r="CV494" s="30"/>
      <c r="CW494" s="318"/>
      <c r="CX494" s="310"/>
      <c r="CY494" s="30"/>
      <c r="CZ494" s="318"/>
      <c r="DA494" s="310"/>
      <c r="DB494" s="30"/>
      <c r="DC494" s="318"/>
      <c r="DD494" s="310"/>
      <c r="DE494" s="30"/>
      <c r="DF494" s="318"/>
      <c r="DG494" s="310"/>
      <c r="DH494" s="30"/>
      <c r="DI494" s="318"/>
      <c r="DJ494" s="318"/>
      <c r="DK494" s="318"/>
      <c r="DL494" s="318"/>
    </row>
    <row r="495" spans="1:116" hidden="1" outlineLevel="1">
      <c r="A495" s="30" t="str">
        <f>+A313</f>
        <v>1Q</v>
      </c>
      <c r="B495" s="30" t="str">
        <f>+B313</f>
        <v>Apr</v>
      </c>
      <c r="C495" s="30"/>
      <c r="D495" s="321"/>
      <c r="E495" s="308"/>
      <c r="F495" s="321"/>
      <c r="G495" s="317"/>
      <c r="H495" s="314">
        <f>+H313/$AR$373</f>
        <v>1.2074999999999998</v>
      </c>
      <c r="I495" s="308">
        <f>+(H495/H489-1)*100</f>
        <v>3.6480686695278708</v>
      </c>
      <c r="J495" s="314">
        <f>+J313/$AR$373</f>
        <v>7.4687499999999991</v>
      </c>
      <c r="K495" s="308">
        <f>+(J495/J489-1)*100</f>
        <v>5.6026864616472105</v>
      </c>
      <c r="L495" s="314">
        <f>+L313/$AR$373</f>
        <v>4.88375</v>
      </c>
      <c r="M495" s="308">
        <f>+(L495/L489-1)*100</f>
        <v>1.2700881285640175</v>
      </c>
      <c r="N495" s="314">
        <f>+N313/$AR$373</f>
        <v>0.1468750000000002</v>
      </c>
      <c r="O495" s="308">
        <f>+(N495/N489-1)*100</f>
        <v>-70.290771175726903</v>
      </c>
      <c r="P495" s="314">
        <f>+P313/$AR$373</f>
        <v>0.18862499999999996</v>
      </c>
      <c r="Q495" s="308">
        <f>+(P495/P489-1)*100</f>
        <v>0</v>
      </c>
      <c r="R495" s="314">
        <f>+R313/$AR$373</f>
        <v>4.0635000000000003</v>
      </c>
      <c r="S495" s="308"/>
      <c r="T495" s="314">
        <f>+T313/$AR$373</f>
        <v>1.4637499999999999</v>
      </c>
      <c r="U495" s="308">
        <f>+(T495/T489-1)*100</f>
        <v>-5.5645161290322598</v>
      </c>
      <c r="V495" s="314">
        <f>+V313/$AR$373</f>
        <v>5.2499999999999998E-2</v>
      </c>
      <c r="W495" s="317">
        <f>+(V495/V489-1)*100</f>
        <v>13.51351351351353</v>
      </c>
      <c r="X495" s="317"/>
      <c r="Y495" s="317"/>
      <c r="Z495" s="314">
        <f>+Z379/$AR$373</f>
        <v>0</v>
      </c>
      <c r="AA495" s="317"/>
      <c r="AB495" s="314"/>
      <c r="AC495" s="308"/>
      <c r="AD495" s="307"/>
      <c r="AE495" s="308"/>
      <c r="AF495" s="307"/>
      <c r="AG495" s="308"/>
      <c r="AH495" s="307"/>
      <c r="AI495" s="308"/>
      <c r="AJ495" s="307"/>
      <c r="AK495" s="308"/>
      <c r="AL495" s="307"/>
      <c r="AM495" s="308"/>
      <c r="AN495" s="307"/>
      <c r="AO495" s="308"/>
      <c r="AP495" s="30"/>
      <c r="AQ495" s="453">
        <f>H495+J495+L495+V495</f>
        <v>13.612499999999999</v>
      </c>
      <c r="AR495" s="308">
        <f>+(AQ495/AQ489-1)*100</f>
        <v>3.8626609442059978</v>
      </c>
      <c r="AS495" s="308"/>
      <c r="AT495" s="30"/>
      <c r="AU495" s="30"/>
      <c r="AV495" s="30"/>
      <c r="AW495" s="321"/>
      <c r="AX495" s="308"/>
      <c r="AY495" s="308"/>
      <c r="AZ495" s="321"/>
      <c r="BA495" s="317"/>
      <c r="BB495" s="308"/>
      <c r="BC495" s="317"/>
      <c r="BD495" s="317"/>
      <c r="BE495" s="317"/>
      <c r="BF495" s="308"/>
      <c r="BG495" s="330"/>
      <c r="BH495" s="317"/>
      <c r="BI495" s="317"/>
      <c r="BJ495" s="308"/>
      <c r="BK495" s="314"/>
      <c r="BL495" s="317"/>
      <c r="BM495" s="317"/>
      <c r="BN495" s="308"/>
      <c r="BO495" s="314"/>
      <c r="BP495" s="317"/>
      <c r="BQ495" s="317"/>
      <c r="BR495" s="317"/>
      <c r="BS495" s="308"/>
      <c r="BT495" s="314"/>
      <c r="BU495" s="317"/>
      <c r="BV495" s="317"/>
      <c r="BW495" s="317"/>
      <c r="BX495" s="308"/>
      <c r="BY495" s="314"/>
      <c r="BZ495" s="317"/>
      <c r="CA495" s="317"/>
      <c r="CB495" s="317"/>
      <c r="CC495" s="308"/>
      <c r="CD495" s="307"/>
      <c r="CE495" s="317"/>
      <c r="CF495" s="317"/>
      <c r="CG495" s="317"/>
      <c r="CH495" s="308"/>
      <c r="CI495" s="314"/>
      <c r="CJ495" s="317"/>
      <c r="CK495" s="317"/>
      <c r="CL495" s="308"/>
      <c r="CM495" s="314"/>
      <c r="CN495" s="317"/>
      <c r="CO495" s="308"/>
      <c r="CP495" s="314"/>
      <c r="CQ495" s="317"/>
      <c r="CR495" s="308"/>
      <c r="CS495" s="314"/>
      <c r="CT495" s="317"/>
      <c r="CU495" s="308"/>
      <c r="CV495" s="314"/>
      <c r="CW495" s="317"/>
      <c r="CX495" s="308"/>
      <c r="CY495" s="314"/>
      <c r="CZ495" s="317"/>
      <c r="DA495" s="308"/>
      <c r="DB495" s="314"/>
      <c r="DC495" s="317"/>
      <c r="DD495" s="308"/>
      <c r="DE495" s="314"/>
      <c r="DF495" s="317"/>
      <c r="DG495" s="308"/>
      <c r="DH495" s="314"/>
      <c r="DI495" s="317"/>
      <c r="DJ495" s="317"/>
      <c r="DK495" s="317"/>
      <c r="DL495" s="317"/>
    </row>
    <row r="496" spans="1:116" hidden="1" outlineLevel="1">
      <c r="A496" s="30" t="str">
        <f>+A314</f>
        <v>2Q</v>
      </c>
      <c r="B496" s="30" t="str">
        <f>+B314</f>
        <v>Jul</v>
      </c>
      <c r="C496" s="30"/>
      <c r="D496" s="321"/>
      <c r="E496" s="308"/>
      <c r="F496" s="321"/>
      <c r="G496" s="317"/>
      <c r="H496" s="314">
        <f>+H314/$AR$373</f>
        <v>1.1812499999999999</v>
      </c>
      <c r="I496" s="308">
        <f>+(H496/H490-1)*100</f>
        <v>-0.42149631190726566</v>
      </c>
      <c r="J496" s="314">
        <f>+J314/$AR$373</f>
        <v>7.5249999999999995</v>
      </c>
      <c r="K496" s="308">
        <f>+(J496/J490-1)*100</f>
        <v>3.5788024776324923</v>
      </c>
      <c r="L496" s="314">
        <f>+L314/$AR$373</f>
        <v>4.8987499999999997</v>
      </c>
      <c r="M496" s="308">
        <f>+(L496/L490-1)*100</f>
        <v>1.0051546391752542</v>
      </c>
      <c r="N496" s="314">
        <f>+N314/$AR$373</f>
        <v>0.1468750000000002</v>
      </c>
      <c r="O496" s="308">
        <f>+(N496/N490-1)*100</f>
        <v>-70.290771175726903</v>
      </c>
      <c r="P496" s="314">
        <f>+P314/$AR$373</f>
        <v>0.18862499999999996</v>
      </c>
      <c r="Q496" s="308">
        <f>+(P496/P490-1)*100</f>
        <v>0</v>
      </c>
      <c r="R496" s="314">
        <f>+R314/$AR$373</f>
        <v>4.041312500000001</v>
      </c>
      <c r="S496" s="308"/>
      <c r="T496" s="314">
        <f>+T314/$AR$373</f>
        <v>1.4421875</v>
      </c>
      <c r="U496" s="308">
        <f>+(T496/T490-1)*100</f>
        <v>-5.6430177877734629</v>
      </c>
      <c r="V496" s="314">
        <f>+V314/$AR$373</f>
        <v>5.4999999999999993E-2</v>
      </c>
      <c r="W496" s="317">
        <f>+(V496/V490-1)*100</f>
        <v>18.918918918918926</v>
      </c>
      <c r="X496" s="317"/>
      <c r="Y496" s="317"/>
      <c r="Z496" s="314">
        <f>+Z380/$AR$373</f>
        <v>0</v>
      </c>
      <c r="AA496" s="317"/>
      <c r="AB496" s="314"/>
      <c r="AC496" s="308"/>
      <c r="AD496" s="307"/>
      <c r="AE496" s="308"/>
      <c r="AF496" s="307"/>
      <c r="AG496" s="308"/>
      <c r="AH496" s="307"/>
      <c r="AI496" s="308"/>
      <c r="AJ496" s="307"/>
      <c r="AK496" s="308"/>
      <c r="AL496" s="307"/>
      <c r="AM496" s="308"/>
      <c r="AN496" s="307"/>
      <c r="AO496" s="308"/>
      <c r="AP496" s="30"/>
      <c r="AQ496" s="453">
        <f>H496+J496+L496+V496</f>
        <v>13.659999999999998</v>
      </c>
      <c r="AR496" s="308">
        <f>+(AQ496/AQ490-1)*100</f>
        <v>2.3412624086907474</v>
      </c>
      <c r="AS496" s="308"/>
      <c r="AT496" s="30"/>
      <c r="AU496" s="30"/>
      <c r="AV496" s="30"/>
      <c r="AW496" s="321"/>
      <c r="AX496" s="308"/>
      <c r="AY496" s="308"/>
      <c r="AZ496" s="321"/>
      <c r="BA496" s="317"/>
      <c r="BB496" s="308"/>
      <c r="BC496" s="317"/>
      <c r="BD496" s="317"/>
      <c r="BE496" s="317"/>
      <c r="BF496" s="308"/>
      <c r="BG496" s="330"/>
      <c r="BH496" s="317"/>
      <c r="BI496" s="317"/>
      <c r="BJ496" s="308"/>
      <c r="BK496" s="314"/>
      <c r="BL496" s="317"/>
      <c r="BM496" s="317"/>
      <c r="BN496" s="308"/>
      <c r="BO496" s="314"/>
      <c r="BP496" s="317"/>
      <c r="BQ496" s="317"/>
      <c r="BR496" s="317"/>
      <c r="BS496" s="308"/>
      <c r="BT496" s="314"/>
      <c r="BU496" s="317"/>
      <c r="BV496" s="317"/>
      <c r="BW496" s="317"/>
      <c r="BX496" s="308"/>
      <c r="BY496" s="314"/>
      <c r="BZ496" s="317"/>
      <c r="CA496" s="317"/>
      <c r="CB496" s="317"/>
      <c r="CC496" s="308"/>
      <c r="CD496" s="307"/>
      <c r="CE496" s="317"/>
      <c r="CF496" s="317"/>
      <c r="CG496" s="317"/>
      <c r="CH496" s="308"/>
      <c r="CI496" s="314"/>
      <c r="CJ496" s="317"/>
      <c r="CK496" s="317"/>
      <c r="CL496" s="308"/>
      <c r="CM496" s="314"/>
      <c r="CN496" s="317"/>
      <c r="CO496" s="308"/>
      <c r="CP496" s="314"/>
      <c r="CQ496" s="317"/>
      <c r="CR496" s="308"/>
      <c r="CS496" s="314"/>
      <c r="CT496" s="317"/>
      <c r="CU496" s="308"/>
      <c r="CV496" s="314"/>
      <c r="CW496" s="317"/>
      <c r="CX496" s="308"/>
      <c r="CY496" s="314"/>
      <c r="CZ496" s="317"/>
      <c r="DA496" s="308"/>
      <c r="DB496" s="314"/>
      <c r="DC496" s="317"/>
      <c r="DD496" s="308"/>
      <c r="DE496" s="314"/>
      <c r="DF496" s="317"/>
      <c r="DG496" s="308"/>
      <c r="DH496" s="314"/>
      <c r="DI496" s="317"/>
      <c r="DJ496" s="317"/>
      <c r="DK496" s="317"/>
      <c r="DL496" s="317"/>
    </row>
    <row r="497" spans="1:116" hidden="1" outlineLevel="1">
      <c r="A497" s="30" t="str">
        <f>+A315</f>
        <v>3Q</v>
      </c>
      <c r="B497" s="30" t="str">
        <f>+B315</f>
        <v>Oct</v>
      </c>
      <c r="C497" s="30"/>
      <c r="D497" s="321"/>
      <c r="E497" s="308"/>
      <c r="F497" s="321"/>
      <c r="G497" s="317"/>
      <c r="H497" s="314">
        <f>+H315/$AR$373</f>
        <v>1.1912499999999999</v>
      </c>
      <c r="I497" s="308">
        <f>+(H497/H491-1)*100</f>
        <v>0</v>
      </c>
      <c r="J497" s="314">
        <f>+J315/$AR$373</f>
        <v>7.6</v>
      </c>
      <c r="K497" s="308">
        <f>+(J497/J491-1)*100</f>
        <v>2.3052330472825178</v>
      </c>
      <c r="L497" s="314">
        <f>+L315/$AR$373</f>
        <v>4.93</v>
      </c>
      <c r="M497" s="308">
        <f>+(L497/L491-1)*100</f>
        <v>0.35623409669212069</v>
      </c>
      <c r="N497" s="314">
        <f>+N315/$AR$373</f>
        <v>-2.6874999999999816E-2</v>
      </c>
      <c r="O497" s="308">
        <f>+(N497/N491-1)*100</f>
        <v>-108.38206627680304</v>
      </c>
      <c r="P497" s="314">
        <f>+P315/$AR$373</f>
        <v>0.18862499999999996</v>
      </c>
      <c r="Q497" s="308">
        <f>+(P497/P491-1)*100</f>
        <v>0</v>
      </c>
      <c r="R497" s="314">
        <f>+R315/$AR$373</f>
        <v>3.9747500000000011</v>
      </c>
      <c r="S497" s="308"/>
      <c r="T497" s="314">
        <f>+T315/$AR$373</f>
        <v>1.420625</v>
      </c>
      <c r="U497" s="308">
        <f>+(T497/T491-1)*100</f>
        <v>-5.723766072169223</v>
      </c>
      <c r="V497" s="314">
        <f>+V315/$AR$373</f>
        <v>6.1249999999999999E-2</v>
      </c>
      <c r="W497" s="317">
        <f>+(V497/V491-1)*100</f>
        <v>22.500000000000007</v>
      </c>
      <c r="X497" s="317"/>
      <c r="Y497" s="317"/>
      <c r="Z497" s="314">
        <f>+Z381/$AR$373</f>
        <v>0</v>
      </c>
      <c r="AA497" s="317"/>
      <c r="AB497" s="314"/>
      <c r="AC497" s="308"/>
      <c r="AD497" s="307"/>
      <c r="AE497" s="308"/>
      <c r="AF497" s="307"/>
      <c r="AG497" s="308"/>
      <c r="AH497" s="307"/>
      <c r="AI497" s="308"/>
      <c r="AJ497" s="307"/>
      <c r="AK497" s="308"/>
      <c r="AL497" s="307"/>
      <c r="AM497" s="308"/>
      <c r="AN497" s="307"/>
      <c r="AO497" s="308"/>
      <c r="AP497" s="30"/>
      <c r="AQ497" s="453">
        <f>H497+J497+L497+V497</f>
        <v>13.782499999999999</v>
      </c>
      <c r="AR497" s="308">
        <f>+(AQ497/AQ491-1)*100</f>
        <v>1.4724829744156009</v>
      </c>
      <c r="AS497" s="308"/>
      <c r="AT497" s="30"/>
      <c r="AU497" s="30"/>
      <c r="AV497" s="30"/>
      <c r="AW497" s="321"/>
      <c r="AX497" s="308"/>
      <c r="AY497" s="308"/>
      <c r="AZ497" s="321"/>
      <c r="BA497" s="317"/>
      <c r="BB497" s="308"/>
      <c r="BC497" s="317"/>
      <c r="BD497" s="317"/>
      <c r="BE497" s="317"/>
      <c r="BF497" s="308"/>
      <c r="BG497" s="330"/>
      <c r="BH497" s="317"/>
      <c r="BI497" s="317"/>
      <c r="BJ497" s="308"/>
      <c r="BK497" s="314"/>
      <c r="BL497" s="317"/>
      <c r="BM497" s="317"/>
      <c r="BN497" s="308"/>
      <c r="BO497" s="314"/>
      <c r="BP497" s="317"/>
      <c r="BQ497" s="317"/>
      <c r="BR497" s="317"/>
      <c r="BS497" s="308"/>
      <c r="BT497" s="314"/>
      <c r="BU497" s="317"/>
      <c r="BV497" s="317"/>
      <c r="BW497" s="317"/>
      <c r="BX497" s="308"/>
      <c r="BY497" s="314"/>
      <c r="BZ497" s="317"/>
      <c r="CA497" s="317"/>
      <c r="CB497" s="317"/>
      <c r="CC497" s="308"/>
      <c r="CD497" s="307"/>
      <c r="CE497" s="317"/>
      <c r="CF497" s="317"/>
      <c r="CG497" s="317"/>
      <c r="CH497" s="308"/>
      <c r="CI497" s="314"/>
      <c r="CJ497" s="317"/>
      <c r="CK497" s="317"/>
      <c r="CL497" s="308"/>
      <c r="CM497" s="314"/>
      <c r="CN497" s="317"/>
      <c r="CO497" s="308"/>
      <c r="CP497" s="314"/>
      <c r="CQ497" s="317"/>
      <c r="CR497" s="308"/>
      <c r="CS497" s="314"/>
      <c r="CT497" s="317"/>
      <c r="CU497" s="308"/>
      <c r="CV497" s="314"/>
      <c r="CW497" s="317"/>
      <c r="CX497" s="308"/>
      <c r="CY497" s="314"/>
      <c r="CZ497" s="317"/>
      <c r="DA497" s="308"/>
      <c r="DB497" s="314"/>
      <c r="DC497" s="317"/>
      <c r="DD497" s="308"/>
      <c r="DE497" s="314"/>
      <c r="DF497" s="317"/>
      <c r="DG497" s="308"/>
      <c r="DH497" s="314"/>
      <c r="DI497" s="317"/>
      <c r="DJ497" s="317"/>
      <c r="DK497" s="317"/>
      <c r="DL497" s="317"/>
    </row>
    <row r="498" spans="1:116" hidden="1" outlineLevel="1">
      <c r="A498" s="30" t="str">
        <f>+A316</f>
        <v>4Q</v>
      </c>
      <c r="B498" s="30" t="str">
        <f>+B316</f>
        <v>Jan</v>
      </c>
      <c r="C498" s="339"/>
      <c r="D498" s="321"/>
      <c r="E498" s="308"/>
      <c r="F498" s="321"/>
      <c r="G498" s="317"/>
      <c r="H498" s="314">
        <f>+H316/$AR$373</f>
        <v>1.0862499999999999</v>
      </c>
      <c r="I498" s="308">
        <f>+(H498/H492-1)*100</f>
        <v>-10.780287474332638</v>
      </c>
      <c r="J498" s="314">
        <f>+J316/$AR$373</f>
        <v>7.5974999999999993</v>
      </c>
      <c r="K498" s="308">
        <f>+(J498/J492-1)*100</f>
        <v>1.7579105976895937</v>
      </c>
      <c r="L498" s="314">
        <f>+L316/$AR$373</f>
        <v>4.9174999999999995</v>
      </c>
      <c r="M498" s="308">
        <f>+(L498/L492-1)*100</f>
        <v>0.63954975697109173</v>
      </c>
      <c r="N498" s="314">
        <f>+N316/$AR$373</f>
        <v>-0.20062499999999983</v>
      </c>
      <c r="O498" s="308">
        <f>+(N498/N492-1)*100</f>
        <v>-236.59574468085074</v>
      </c>
      <c r="P498" s="314">
        <f>+P316/$AR$373</f>
        <v>0.18862499999999996</v>
      </c>
      <c r="Q498" s="308">
        <f>+(P498/P492-1)*100</f>
        <v>0</v>
      </c>
      <c r="R498" s="314">
        <f>+R316/$AR$373</f>
        <v>3.9081875000000013</v>
      </c>
      <c r="S498" s="308"/>
      <c r="T498" s="314">
        <f>+T316/$AR$373</f>
        <v>1.3990625000000001</v>
      </c>
      <c r="U498" s="308">
        <f>+(T498/T492-1)*100</f>
        <v>-5.8068588260046239</v>
      </c>
      <c r="V498" s="314">
        <f>+V316/$AR$373</f>
        <v>6.4999999999999988E-2</v>
      </c>
      <c r="W498" s="317">
        <f>+(V498/V492-1)*100</f>
        <v>23.809523809523792</v>
      </c>
      <c r="X498" s="317"/>
      <c r="Y498" s="317"/>
      <c r="Z498" s="314">
        <f>+Z382/$AR$373</f>
        <v>0</v>
      </c>
      <c r="AA498" s="317"/>
      <c r="AB498" s="314"/>
      <c r="AC498" s="308"/>
      <c r="AD498" s="307"/>
      <c r="AE498" s="308"/>
      <c r="AF498" s="307"/>
      <c r="AG498" s="308"/>
      <c r="AH498" s="307"/>
      <c r="AI498" s="308"/>
      <c r="AJ498" s="307"/>
      <c r="AK498" s="308"/>
      <c r="AL498" s="307"/>
      <c r="AM498" s="308"/>
      <c r="AN498" s="307"/>
      <c r="AO498" s="308"/>
      <c r="AP498" s="30"/>
      <c r="AQ498" s="453">
        <f>H498+J498+L498+V498</f>
        <v>13.66625</v>
      </c>
      <c r="AR498" s="308">
        <f>+(AQ498/AQ492-1)*100</f>
        <v>0.32115984584326629</v>
      </c>
      <c r="AS498" s="308"/>
      <c r="AT498" s="30"/>
      <c r="AU498" s="30"/>
      <c r="AV498" s="30"/>
      <c r="AW498" s="321"/>
      <c r="AX498" s="308"/>
      <c r="AY498" s="308"/>
      <c r="AZ498" s="321"/>
      <c r="BA498" s="317"/>
      <c r="BB498" s="308"/>
      <c r="BC498" s="317"/>
      <c r="BD498" s="317"/>
      <c r="BE498" s="317"/>
      <c r="BF498" s="308"/>
      <c r="BG498" s="314"/>
      <c r="BH498" s="317"/>
      <c r="BI498" s="317"/>
      <c r="BJ498" s="308"/>
      <c r="BK498" s="314"/>
      <c r="BL498" s="317"/>
      <c r="BM498" s="317"/>
      <c r="BN498" s="308"/>
      <c r="BO498" s="314"/>
      <c r="BP498" s="317"/>
      <c r="BQ498" s="317"/>
      <c r="BR498" s="317"/>
      <c r="BS498" s="308"/>
      <c r="BT498" s="314"/>
      <c r="BU498" s="317"/>
      <c r="BV498" s="317"/>
      <c r="BW498" s="317"/>
      <c r="BX498" s="308"/>
      <c r="BY498" s="314"/>
      <c r="BZ498" s="317"/>
      <c r="CA498" s="317"/>
      <c r="CB498" s="317"/>
      <c r="CC498" s="308"/>
      <c r="CD498" s="307"/>
      <c r="CE498" s="317"/>
      <c r="CF498" s="317"/>
      <c r="CG498" s="317"/>
      <c r="CH498" s="308"/>
      <c r="CI498" s="314"/>
      <c r="CJ498" s="317"/>
      <c r="CK498" s="317"/>
      <c r="CL498" s="308"/>
      <c r="CM498" s="314"/>
      <c r="CN498" s="317"/>
      <c r="CO498" s="308"/>
      <c r="CP498" s="314"/>
      <c r="CQ498" s="317"/>
      <c r="CR498" s="308"/>
      <c r="CS498" s="314"/>
      <c r="CT498" s="317"/>
      <c r="CU498" s="308"/>
      <c r="CV498" s="314"/>
      <c r="CW498" s="317"/>
      <c r="CX498" s="308"/>
      <c r="CY498" s="314"/>
      <c r="CZ498" s="317"/>
      <c r="DA498" s="308"/>
      <c r="DB498" s="314"/>
      <c r="DC498" s="317"/>
      <c r="DD498" s="308"/>
      <c r="DE498" s="314"/>
      <c r="DF498" s="317"/>
      <c r="DG498" s="308"/>
      <c r="DH498" s="314"/>
      <c r="DI498" s="317"/>
      <c r="DJ498" s="317"/>
      <c r="DK498" s="317"/>
      <c r="DL498" s="317"/>
    </row>
    <row r="499" spans="1:116" hidden="1" outlineLevel="1">
      <c r="A499" s="30"/>
      <c r="B499" s="30"/>
      <c r="C499" s="339"/>
      <c r="D499" s="321"/>
      <c r="E499" s="308"/>
      <c r="F499" s="321"/>
      <c r="G499" s="317"/>
      <c r="H499" s="314"/>
      <c r="I499" s="317"/>
      <c r="J499" s="314"/>
      <c r="K499" s="308"/>
      <c r="L499" s="314"/>
      <c r="M499" s="308"/>
      <c r="N499" s="314"/>
      <c r="O499" s="308"/>
      <c r="P499" s="314"/>
      <c r="Q499" s="308"/>
      <c r="R499" s="314"/>
      <c r="S499" s="308"/>
      <c r="T499" s="314"/>
      <c r="U499" s="308"/>
      <c r="V499" s="314"/>
      <c r="W499" s="317"/>
      <c r="X499" s="317"/>
      <c r="Y499" s="317"/>
      <c r="Z499" s="314"/>
      <c r="AA499" s="317"/>
      <c r="AB499" s="314"/>
      <c r="AC499" s="308"/>
      <c r="AD499" s="307"/>
      <c r="AE499" s="308"/>
      <c r="AF499" s="307"/>
      <c r="AG499" s="308"/>
      <c r="AH499" s="307"/>
      <c r="AI499" s="308"/>
      <c r="AJ499" s="307"/>
      <c r="AK499" s="308"/>
      <c r="AL499" s="307"/>
      <c r="AM499" s="308"/>
      <c r="AN499" s="307"/>
      <c r="AO499" s="308"/>
      <c r="AP499" s="30"/>
      <c r="AQ499" s="453"/>
      <c r="AR499" s="308"/>
      <c r="AS499" s="308"/>
      <c r="AT499" s="30"/>
      <c r="AU499" s="30"/>
      <c r="AV499" s="30"/>
      <c r="AW499" s="321"/>
      <c r="AX499" s="308"/>
      <c r="AY499" s="308"/>
      <c r="AZ499" s="321"/>
      <c r="BA499" s="317"/>
      <c r="BB499" s="308"/>
      <c r="BC499" s="317"/>
      <c r="BD499" s="317"/>
      <c r="BE499" s="317"/>
      <c r="BF499" s="308"/>
      <c r="BG499" s="314"/>
      <c r="BH499" s="317"/>
      <c r="BI499" s="317"/>
      <c r="BJ499" s="308"/>
      <c r="BK499" s="314"/>
      <c r="BL499" s="317"/>
      <c r="BM499" s="317"/>
      <c r="BN499" s="308"/>
      <c r="BO499" s="314"/>
      <c r="BP499" s="317"/>
      <c r="BQ499" s="317"/>
      <c r="BR499" s="317"/>
      <c r="BS499" s="308"/>
      <c r="BT499" s="314"/>
      <c r="BU499" s="317"/>
      <c r="BV499" s="317"/>
      <c r="BW499" s="317"/>
      <c r="BX499" s="308"/>
      <c r="BY499" s="314"/>
      <c r="BZ499" s="317"/>
      <c r="CA499" s="317"/>
      <c r="CB499" s="317"/>
      <c r="CC499" s="308"/>
      <c r="CD499" s="307"/>
      <c r="CE499" s="317"/>
      <c r="CF499" s="317"/>
      <c r="CG499" s="317"/>
      <c r="CH499" s="308"/>
      <c r="CI499" s="314"/>
      <c r="CJ499" s="317"/>
      <c r="CK499" s="317"/>
      <c r="CL499" s="308"/>
      <c r="CM499" s="314"/>
      <c r="CN499" s="317"/>
      <c r="CO499" s="308"/>
      <c r="CP499" s="314"/>
      <c r="CQ499" s="317"/>
      <c r="CR499" s="308"/>
      <c r="CS499" s="314"/>
      <c r="CT499" s="317"/>
      <c r="CU499" s="308"/>
      <c r="CV499" s="314"/>
      <c r="CW499" s="317"/>
      <c r="CX499" s="308"/>
      <c r="CY499" s="314"/>
      <c r="CZ499" s="317"/>
      <c r="DA499" s="308"/>
      <c r="DB499" s="314"/>
      <c r="DC499" s="317"/>
      <c r="DD499" s="308"/>
      <c r="DE499" s="314"/>
      <c r="DF499" s="317"/>
      <c r="DG499" s="308"/>
      <c r="DH499" s="314"/>
      <c r="DI499" s="317"/>
      <c r="DJ499" s="317"/>
      <c r="DK499" s="317"/>
      <c r="DL499" s="317"/>
    </row>
    <row r="500" spans="1:116" collapsed="1">
      <c r="A500" s="301"/>
      <c r="B500" s="312" t="str">
        <f>+B318</f>
        <v>2010A</v>
      </c>
      <c r="C500" s="30"/>
      <c r="D500" s="30"/>
      <c r="E500" s="310"/>
      <c r="F500" s="30"/>
      <c r="G500" s="318"/>
      <c r="H500" s="318"/>
      <c r="I500" s="318"/>
      <c r="J500" s="30"/>
      <c r="K500" s="319"/>
      <c r="L500" s="30"/>
      <c r="M500" s="310"/>
      <c r="N500" s="30"/>
      <c r="O500" s="310"/>
      <c r="P500" s="30"/>
      <c r="Q500" s="30"/>
      <c r="R500" s="30"/>
      <c r="S500" s="310"/>
      <c r="T500" s="30"/>
      <c r="U500" s="310"/>
      <c r="V500" s="314"/>
      <c r="W500" s="318"/>
      <c r="X500" s="318"/>
      <c r="Y500" s="318"/>
      <c r="Z500" s="30"/>
      <c r="AA500" s="318"/>
      <c r="AB500" s="30"/>
      <c r="AC500" s="310"/>
      <c r="AD500" s="30"/>
      <c r="AE500" s="310"/>
      <c r="AF500" s="30"/>
      <c r="AG500" s="310"/>
      <c r="AH500" s="30"/>
      <c r="AI500" s="310"/>
      <c r="AJ500" s="30"/>
      <c r="AK500" s="310"/>
      <c r="AL500" s="30"/>
      <c r="AM500" s="310"/>
      <c r="AN500" s="30"/>
      <c r="AO500" s="310"/>
      <c r="AP500" s="30"/>
      <c r="AQ500" s="453"/>
      <c r="AR500" s="310"/>
      <c r="AS500" s="310"/>
      <c r="AT500" s="30"/>
      <c r="AU500" s="30"/>
      <c r="AV500" s="30"/>
      <c r="AW500" s="30"/>
      <c r="AX500" s="310"/>
      <c r="AY500" s="310"/>
      <c r="AZ500" s="30"/>
      <c r="BA500" s="318"/>
      <c r="BB500" s="310"/>
      <c r="BC500" s="318"/>
      <c r="BD500" s="318"/>
      <c r="BE500" s="318"/>
      <c r="BF500" s="310"/>
      <c r="BG500" s="30"/>
      <c r="BH500" s="318"/>
      <c r="BI500" s="318"/>
      <c r="BJ500" s="310"/>
      <c r="BK500" s="30"/>
      <c r="BL500" s="318"/>
      <c r="BM500" s="318"/>
      <c r="BN500" s="310"/>
      <c r="BO500" s="30"/>
      <c r="BP500" s="318"/>
      <c r="BQ500" s="318"/>
      <c r="BR500" s="318"/>
      <c r="BS500" s="310"/>
      <c r="BT500" s="30"/>
      <c r="BU500" s="318"/>
      <c r="BV500" s="318"/>
      <c r="BW500" s="318"/>
      <c r="BX500" s="310"/>
      <c r="BY500" s="30"/>
      <c r="BZ500" s="318"/>
      <c r="CA500" s="318"/>
      <c r="CB500" s="318"/>
      <c r="CC500" s="310"/>
      <c r="CD500" s="30"/>
      <c r="CE500" s="318"/>
      <c r="CF500" s="318"/>
      <c r="CG500" s="318"/>
      <c r="CH500" s="310"/>
      <c r="CI500" s="30"/>
      <c r="CJ500" s="318"/>
      <c r="CK500" s="318"/>
      <c r="CL500" s="310"/>
      <c r="CM500" s="30"/>
      <c r="CN500" s="318"/>
      <c r="CO500" s="310"/>
      <c r="CP500" s="30"/>
      <c r="CQ500" s="318"/>
      <c r="CR500" s="310"/>
      <c r="CS500" s="30"/>
      <c r="CT500" s="318"/>
      <c r="CU500" s="310"/>
      <c r="CV500" s="30"/>
      <c r="CW500" s="318"/>
      <c r="CX500" s="310"/>
      <c r="CY500" s="30"/>
      <c r="CZ500" s="318"/>
      <c r="DA500" s="310"/>
      <c r="DB500" s="30"/>
      <c r="DC500" s="318"/>
      <c r="DD500" s="310"/>
      <c r="DE500" s="30"/>
      <c r="DF500" s="318"/>
      <c r="DG500" s="310"/>
      <c r="DH500" s="30"/>
      <c r="DI500" s="318"/>
      <c r="DJ500" s="318"/>
      <c r="DK500" s="318"/>
      <c r="DL500" s="318"/>
    </row>
    <row r="501" spans="1:116">
      <c r="A501" s="30" t="str">
        <f>+A319</f>
        <v>1Q</v>
      </c>
      <c r="B501" s="30" t="str">
        <f>+B319</f>
        <v>Apr</v>
      </c>
      <c r="C501" s="30"/>
      <c r="D501" s="321"/>
      <c r="E501" s="308"/>
      <c r="F501" s="321"/>
      <c r="G501" s="317"/>
      <c r="H501" s="314">
        <f>+H319/$AR$373</f>
        <v>1.08375</v>
      </c>
      <c r="I501" s="308">
        <f>+(H501/H495-1)*100</f>
        <v>-10.248447204968924</v>
      </c>
      <c r="J501" s="314">
        <f>+J319/$AR$373</f>
        <v>7.5924999999999994</v>
      </c>
      <c r="K501" s="308">
        <f>+(J501/J495-1)*100</f>
        <v>1.6569037656903873</v>
      </c>
      <c r="L501" s="314">
        <f>+L319/$AR$373</f>
        <v>4.915</v>
      </c>
      <c r="M501" s="308">
        <f>+(L501/L495-1)*100</f>
        <v>0.63987714358844094</v>
      </c>
      <c r="N501" s="314">
        <f>+N319/$AR$373</f>
        <v>-0.20062499999999983</v>
      </c>
      <c r="O501" s="308">
        <f>+(N501/N495-1)*100</f>
        <v>-236.59574468085074</v>
      </c>
      <c r="P501" s="314">
        <f>+P319/$AR$373</f>
        <v>0.18862499999999996</v>
      </c>
      <c r="Q501" s="308">
        <f>+(P501/P495-1)*100</f>
        <v>0</v>
      </c>
      <c r="R501" s="314">
        <f>+R319/$AR$373</f>
        <v>3.8860000000000015</v>
      </c>
      <c r="S501" s="308"/>
      <c r="T501" s="314" t="e">
        <f>+T319/$AR$373</f>
        <v>#DIV/0!</v>
      </c>
      <c r="U501" s="308" t="e">
        <f>+(T501/T495-1)*100</f>
        <v>#DIV/0!</v>
      </c>
      <c r="V501" s="314">
        <f>+V319/$AR$373</f>
        <v>6.4999999999999988E-2</v>
      </c>
      <c r="W501" s="317">
        <f>+(V501/V495-1)*100</f>
        <v>23.809523809523792</v>
      </c>
      <c r="X501" s="317"/>
      <c r="Y501" s="317"/>
      <c r="Z501" s="314">
        <f>+Z385/$AR$373</f>
        <v>0</v>
      </c>
      <c r="AA501" s="317"/>
      <c r="AB501" s="314"/>
      <c r="AC501" s="308"/>
      <c r="AD501" s="307"/>
      <c r="AE501" s="308"/>
      <c r="AF501" s="307"/>
      <c r="AG501" s="308"/>
      <c r="AH501" s="307"/>
      <c r="AI501" s="308"/>
      <c r="AJ501" s="307"/>
      <c r="AK501" s="308"/>
      <c r="AL501" s="307"/>
      <c r="AM501" s="308"/>
      <c r="AN501" s="307"/>
      <c r="AO501" s="308"/>
      <c r="AP501" s="30"/>
      <c r="AQ501" s="453">
        <f>H501+J501+L501+V501</f>
        <v>13.656249999999998</v>
      </c>
      <c r="AR501" s="308">
        <f>+(AQ501/AQ495-1)*100</f>
        <v>0.32139577594123558</v>
      </c>
      <c r="AS501" s="308"/>
      <c r="AT501" s="30"/>
      <c r="AU501" s="30"/>
      <c r="AV501" s="30"/>
      <c r="AW501" s="321"/>
      <c r="AX501" s="308"/>
      <c r="AY501" s="308"/>
      <c r="AZ501" s="321"/>
      <c r="BA501" s="317"/>
      <c r="BB501" s="308"/>
      <c r="BC501" s="317"/>
      <c r="BD501" s="317"/>
      <c r="BE501" s="317"/>
      <c r="BF501" s="308"/>
      <c r="BG501" s="330"/>
      <c r="BH501" s="317"/>
      <c r="BI501" s="317"/>
      <c r="BJ501" s="308"/>
      <c r="BK501" s="314"/>
      <c r="BL501" s="317"/>
      <c r="BM501" s="317"/>
      <c r="BN501" s="308"/>
      <c r="BO501" s="314"/>
      <c r="BP501" s="317"/>
      <c r="BQ501" s="317"/>
      <c r="BR501" s="317"/>
      <c r="BS501" s="308"/>
      <c r="BT501" s="314"/>
      <c r="BU501" s="317"/>
      <c r="BV501" s="317"/>
      <c r="BW501" s="317"/>
      <c r="BX501" s="308"/>
      <c r="BY501" s="314"/>
      <c r="BZ501" s="317"/>
      <c r="CA501" s="317"/>
      <c r="CB501" s="317"/>
      <c r="CC501" s="308"/>
      <c r="CD501" s="307"/>
      <c r="CE501" s="317"/>
      <c r="CF501" s="317"/>
      <c r="CG501" s="317"/>
      <c r="CH501" s="308"/>
      <c r="CI501" s="314"/>
      <c r="CJ501" s="317"/>
      <c r="CK501" s="317"/>
      <c r="CL501" s="308"/>
      <c r="CM501" s="314"/>
      <c r="CN501" s="317"/>
      <c r="CO501" s="308"/>
      <c r="CP501" s="314"/>
      <c r="CQ501" s="317"/>
      <c r="CR501" s="308"/>
      <c r="CS501" s="314"/>
      <c r="CT501" s="317"/>
      <c r="CU501" s="308"/>
      <c r="CV501" s="314"/>
      <c r="CW501" s="317"/>
      <c r="CX501" s="308"/>
      <c r="CY501" s="314"/>
      <c r="CZ501" s="317"/>
      <c r="DA501" s="308"/>
      <c r="DB501" s="314"/>
      <c r="DC501" s="317"/>
      <c r="DD501" s="308"/>
      <c r="DE501" s="314"/>
      <c r="DF501" s="317"/>
      <c r="DG501" s="308"/>
      <c r="DH501" s="314"/>
      <c r="DI501" s="317"/>
      <c r="DJ501" s="317"/>
      <c r="DK501" s="317"/>
      <c r="DL501" s="317"/>
    </row>
    <row r="502" spans="1:116">
      <c r="A502" s="30" t="str">
        <f>+A320</f>
        <v>2Q</v>
      </c>
      <c r="B502" s="30" t="str">
        <f>+B320</f>
        <v>Jul</v>
      </c>
      <c r="C502" s="30"/>
      <c r="D502" s="321"/>
      <c r="E502" s="308"/>
      <c r="F502" s="321"/>
      <c r="G502" s="317"/>
      <c r="H502" s="314">
        <f>+H320/$AR$373</f>
        <v>1.0712499999999998</v>
      </c>
      <c r="I502" s="308">
        <f>+(H502/H496-1)*100</f>
        <v>-9.312169312169317</v>
      </c>
      <c r="J502" s="314">
        <f>+J320/$AR$373</f>
        <v>7.6337499999999991</v>
      </c>
      <c r="K502" s="308">
        <f>+(J502/J496-1)*100</f>
        <v>1.4451827242524917</v>
      </c>
      <c r="L502" s="314">
        <f>+L320/$AR$373</f>
        <v>4.9137499999999994</v>
      </c>
      <c r="M502" s="308">
        <f>+(L502/L496-1)*100</f>
        <v>0.30620056136769769</v>
      </c>
      <c r="N502" s="314">
        <f>+N320/$AR$373</f>
        <v>-0.20062499999999983</v>
      </c>
      <c r="O502" s="308">
        <f>+(N502/N496-1)*100</f>
        <v>-236.59574468085074</v>
      </c>
      <c r="P502" s="314">
        <f>+P320/$AR$373</f>
        <v>0.18862499999999996</v>
      </c>
      <c r="Q502" s="308">
        <f>+(P502/P496-1)*100</f>
        <v>0</v>
      </c>
      <c r="R502" s="314">
        <f>+R320/$AR$373</f>
        <v>3.8638125000000016</v>
      </c>
      <c r="S502" s="308"/>
      <c r="T502" s="314" t="e">
        <f>+T320/$AR$373</f>
        <v>#DIV/0!</v>
      </c>
      <c r="U502" s="308" t="e">
        <f>+(T502/T496-1)*100</f>
        <v>#DIV/0!</v>
      </c>
      <c r="V502" s="314">
        <f>+V320/$AR$373</f>
        <v>6.4999999999999988E-2</v>
      </c>
      <c r="W502" s="317">
        <f>+(V502/V496-1)*100</f>
        <v>18.181818181818166</v>
      </c>
      <c r="X502" s="317"/>
      <c r="Y502" s="317"/>
      <c r="Z502" s="314">
        <f>+Z386/$AR$373</f>
        <v>0</v>
      </c>
      <c r="AA502" s="317"/>
      <c r="AB502" s="314"/>
      <c r="AC502" s="308"/>
      <c r="AD502" s="307"/>
      <c r="AE502" s="308"/>
      <c r="AF502" s="307"/>
      <c r="AG502" s="308"/>
      <c r="AH502" s="307"/>
      <c r="AI502" s="308"/>
      <c r="AJ502" s="307"/>
      <c r="AK502" s="308"/>
      <c r="AL502" s="307"/>
      <c r="AM502" s="308"/>
      <c r="AN502" s="307"/>
      <c r="AO502" s="308"/>
      <c r="AP502" s="30"/>
      <c r="AQ502" s="453">
        <f>H502+J502+L502+V502</f>
        <v>13.683749999999998</v>
      </c>
      <c r="AR502" s="308">
        <f>+(AQ502/AQ496-1)*100</f>
        <v>0.173865300146403</v>
      </c>
      <c r="AS502" s="308"/>
      <c r="AT502" s="30"/>
      <c r="AU502" s="30"/>
      <c r="AV502" s="30"/>
      <c r="AW502" s="321"/>
      <c r="AX502" s="308"/>
      <c r="AY502" s="308"/>
      <c r="AZ502" s="321"/>
      <c r="BA502" s="317"/>
      <c r="BB502" s="308"/>
      <c r="BC502" s="317"/>
      <c r="BD502" s="317"/>
      <c r="BE502" s="317"/>
      <c r="BF502" s="308"/>
      <c r="BG502" s="330"/>
      <c r="BH502" s="317"/>
      <c r="BI502" s="317"/>
      <c r="BJ502" s="308"/>
      <c r="BK502" s="314"/>
      <c r="BL502" s="317"/>
      <c r="BM502" s="317"/>
      <c r="BN502" s="308"/>
      <c r="BO502" s="314"/>
      <c r="BP502" s="317"/>
      <c r="BQ502" s="317"/>
      <c r="BR502" s="317"/>
      <c r="BS502" s="308"/>
      <c r="BT502" s="314"/>
      <c r="BU502" s="317"/>
      <c r="BV502" s="317"/>
      <c r="BW502" s="317"/>
      <c r="BX502" s="308"/>
      <c r="BY502" s="314"/>
      <c r="BZ502" s="317"/>
      <c r="CA502" s="317"/>
      <c r="CB502" s="317"/>
      <c r="CC502" s="308"/>
      <c r="CD502" s="307"/>
      <c r="CE502" s="317"/>
      <c r="CF502" s="317"/>
      <c r="CG502" s="317"/>
      <c r="CH502" s="308"/>
      <c r="CI502" s="314"/>
      <c r="CJ502" s="317"/>
      <c r="CK502" s="317"/>
      <c r="CL502" s="308"/>
      <c r="CM502" s="314"/>
      <c r="CN502" s="317"/>
      <c r="CO502" s="308"/>
      <c r="CP502" s="314"/>
      <c r="CQ502" s="317"/>
      <c r="CR502" s="308"/>
      <c r="CS502" s="314"/>
      <c r="CT502" s="317"/>
      <c r="CU502" s="308"/>
      <c r="CV502" s="314"/>
      <c r="CW502" s="317"/>
      <c r="CX502" s="308"/>
      <c r="CY502" s="314"/>
      <c r="CZ502" s="317"/>
      <c r="DA502" s="308"/>
      <c r="DB502" s="314"/>
      <c r="DC502" s="317"/>
      <c r="DD502" s="308"/>
      <c r="DE502" s="314"/>
      <c r="DF502" s="317"/>
      <c r="DG502" s="308"/>
      <c r="DH502" s="314"/>
      <c r="DI502" s="317"/>
      <c r="DJ502" s="317"/>
      <c r="DK502" s="317"/>
      <c r="DL502" s="317"/>
    </row>
    <row r="503" spans="1:116">
      <c r="A503" s="30" t="str">
        <f>+A321</f>
        <v>3Q</v>
      </c>
      <c r="B503" s="30" t="str">
        <f>+B321</f>
        <v>Oct</v>
      </c>
      <c r="C503" s="30"/>
      <c r="D503" s="321"/>
      <c r="E503" s="308"/>
      <c r="F503" s="321"/>
      <c r="G503" s="317"/>
      <c r="H503" s="314">
        <f>+H321/$AR$373</f>
        <v>1.0699999999999998</v>
      </c>
      <c r="I503" s="308">
        <f>+(H503/H497-1)*100</f>
        <v>-10.178384050367272</v>
      </c>
      <c r="J503" s="314">
        <f>+J321/$AR$373</f>
        <v>7.7062499999999998</v>
      </c>
      <c r="K503" s="308">
        <f>+(J503/J497-1)*100</f>
        <v>1.398026315789469</v>
      </c>
      <c r="L503" s="314">
        <f>+L321/$AR$373</f>
        <v>4.9550000000000001</v>
      </c>
      <c r="M503" s="308">
        <f>+(L503/L497-1)*100</f>
        <v>0.50709939148074756</v>
      </c>
      <c r="N503" s="314">
        <f>+N321/$AR$373</f>
        <v>-0.37437499999999985</v>
      </c>
      <c r="O503" s="308">
        <f>+(N503/N497-1)*100</f>
        <v>1293.0232558139626</v>
      </c>
      <c r="P503" s="314">
        <f>+P321/$AR$373</f>
        <v>0.18862499999999996</v>
      </c>
      <c r="Q503" s="308">
        <f>+(P503/P497-1)*100</f>
        <v>0</v>
      </c>
      <c r="R503" s="314">
        <f>+R321/$AR$373</f>
        <v>3.7972500000000018</v>
      </c>
      <c r="S503" s="308"/>
      <c r="T503" s="314" t="e">
        <f>+T321/$AR$373</f>
        <v>#DIV/0!</v>
      </c>
      <c r="U503" s="308" t="e">
        <f>+(T503/T497-1)*100</f>
        <v>#DIV/0!</v>
      </c>
      <c r="V503" s="314">
        <f>+V321/$AR$373</f>
        <v>6.4999999999999988E-2</v>
      </c>
      <c r="W503" s="317">
        <f>+(V503/V497-1)*100</f>
        <v>6.1224489795918213</v>
      </c>
      <c r="X503" s="317"/>
      <c r="Y503" s="317"/>
      <c r="Z503" s="314">
        <f>+Z387/$AR$373</f>
        <v>0</v>
      </c>
      <c r="AA503" s="317"/>
      <c r="AB503" s="314"/>
      <c r="AC503" s="308"/>
      <c r="AD503" s="307"/>
      <c r="AE503" s="308"/>
      <c r="AF503" s="307"/>
      <c r="AG503" s="308"/>
      <c r="AH503" s="307"/>
      <c r="AI503" s="308"/>
      <c r="AJ503" s="307"/>
      <c r="AK503" s="308"/>
      <c r="AL503" s="307"/>
      <c r="AM503" s="308"/>
      <c r="AN503" s="307"/>
      <c r="AO503" s="308"/>
      <c r="AP503" s="30"/>
      <c r="AQ503" s="453">
        <f>H503+J503+L503+V503</f>
        <v>13.796249999999999</v>
      </c>
      <c r="AR503" s="308">
        <f>+(AQ503/AQ497-1)*100</f>
        <v>9.9764193723927974E-2</v>
      </c>
      <c r="AS503" s="308"/>
      <c r="AT503" s="30"/>
      <c r="AU503" s="30"/>
      <c r="AV503" s="30"/>
      <c r="AW503" s="321"/>
      <c r="AX503" s="308"/>
      <c r="AY503" s="308"/>
      <c r="AZ503" s="321"/>
      <c r="BA503" s="317"/>
      <c r="BB503" s="308"/>
      <c r="BC503" s="317"/>
      <c r="BD503" s="317"/>
      <c r="BE503" s="317"/>
      <c r="BF503" s="308"/>
      <c r="BG503" s="330"/>
      <c r="BH503" s="317"/>
      <c r="BI503" s="317"/>
      <c r="BJ503" s="308"/>
      <c r="BK503" s="314"/>
      <c r="BL503" s="317"/>
      <c r="BM503" s="317"/>
      <c r="BN503" s="308"/>
      <c r="BO503" s="314"/>
      <c r="BP503" s="317"/>
      <c r="BQ503" s="317"/>
      <c r="BR503" s="317"/>
      <c r="BS503" s="308"/>
      <c r="BT503" s="314"/>
      <c r="BU503" s="317"/>
      <c r="BV503" s="317"/>
      <c r="BW503" s="317"/>
      <c r="BX503" s="308"/>
      <c r="BY503" s="314"/>
      <c r="BZ503" s="317"/>
      <c r="CA503" s="317"/>
      <c r="CB503" s="317"/>
      <c r="CC503" s="308"/>
      <c r="CD503" s="307"/>
      <c r="CE503" s="317"/>
      <c r="CF503" s="317"/>
      <c r="CG503" s="317"/>
      <c r="CH503" s="308"/>
      <c r="CI503" s="314"/>
      <c r="CJ503" s="317"/>
      <c r="CK503" s="317"/>
      <c r="CL503" s="308"/>
      <c r="CM503" s="314"/>
      <c r="CN503" s="317"/>
      <c r="CO503" s="308"/>
      <c r="CP503" s="314"/>
      <c r="CQ503" s="317"/>
      <c r="CR503" s="308"/>
      <c r="CS503" s="314"/>
      <c r="CT503" s="317"/>
      <c r="CU503" s="308"/>
      <c r="CV503" s="314"/>
      <c r="CW503" s="317"/>
      <c r="CX503" s="308"/>
      <c r="CY503" s="314"/>
      <c r="CZ503" s="317"/>
      <c r="DA503" s="308"/>
      <c r="DB503" s="314"/>
      <c r="DC503" s="317"/>
      <c r="DD503" s="308"/>
      <c r="DE503" s="314"/>
      <c r="DF503" s="317"/>
      <c r="DG503" s="308"/>
      <c r="DH503" s="314"/>
      <c r="DI503" s="317"/>
      <c r="DJ503" s="317"/>
      <c r="DK503" s="317"/>
      <c r="DL503" s="317"/>
    </row>
    <row r="504" spans="1:116">
      <c r="A504" s="30" t="str">
        <f>+A322</f>
        <v>4Q</v>
      </c>
      <c r="B504" s="30" t="str">
        <f>+B322</f>
        <v>Jan</v>
      </c>
      <c r="C504" s="339"/>
      <c r="D504" s="321"/>
      <c r="E504" s="308"/>
      <c r="F504" s="321"/>
      <c r="G504" s="317"/>
      <c r="H504" s="314">
        <f>+H322/$AR$373</f>
        <v>1.05375</v>
      </c>
      <c r="I504" s="308">
        <f>+(H504/H498-1)*100</f>
        <v>-2.9919447640966657</v>
      </c>
      <c r="J504" s="314">
        <f>+J322/$AR$373</f>
        <v>7.66</v>
      </c>
      <c r="K504" s="308">
        <f>+(J504/J498-1)*100</f>
        <v>0.82263902599539751</v>
      </c>
      <c r="L504" s="314">
        <f>+L322/$AR$373</f>
        <v>4.9399999999999995</v>
      </c>
      <c r="M504" s="308">
        <f>+(L504/L498-1)*100</f>
        <v>0.45754956786985268</v>
      </c>
      <c r="N504" s="314">
        <f>+N322/$AR$373</f>
        <v>-0.54812499999999986</v>
      </c>
      <c r="O504" s="308">
        <f>+(N504/N498-1)*100</f>
        <v>173.20872274143318</v>
      </c>
      <c r="P504" s="314">
        <f>+P322/$AR$373</f>
        <v>0.18862499999999996</v>
      </c>
      <c r="Q504" s="308">
        <f>+(P504/P498-1)*100</f>
        <v>0</v>
      </c>
      <c r="R504" s="314">
        <f>+R322/$AR$373</f>
        <v>3.7306875000000019</v>
      </c>
      <c r="S504" s="308"/>
      <c r="T504" s="314" t="e">
        <f>+T322/$AR$373</f>
        <v>#DIV/0!</v>
      </c>
      <c r="U504" s="308" t="e">
        <f>+(T504/T498-1)*100</f>
        <v>#DIV/0!</v>
      </c>
      <c r="V504" s="314">
        <f>+V322/$AR$373</f>
        <v>6.4999999999999988E-2</v>
      </c>
      <c r="W504" s="317">
        <f>+(V504/V498-1)*100</f>
        <v>0</v>
      </c>
      <c r="X504" s="317"/>
      <c r="Y504" s="317"/>
      <c r="Z504" s="314">
        <f>+Z388/$AR$373</f>
        <v>0</v>
      </c>
      <c r="AA504" s="317"/>
      <c r="AB504" s="314"/>
      <c r="AC504" s="308"/>
      <c r="AD504" s="307"/>
      <c r="AE504" s="308"/>
      <c r="AF504" s="307"/>
      <c r="AG504" s="308"/>
      <c r="AH504" s="307"/>
      <c r="AI504" s="308"/>
      <c r="AJ504" s="307"/>
      <c r="AK504" s="308"/>
      <c r="AL504" s="307"/>
      <c r="AM504" s="308"/>
      <c r="AN504" s="307"/>
      <c r="AO504" s="308"/>
      <c r="AP504" s="30"/>
      <c r="AQ504" s="453">
        <f>H504+J504+L504+V504</f>
        <v>13.71875</v>
      </c>
      <c r="AR504" s="308">
        <f>+(AQ504/AQ498-1)*100</f>
        <v>0.38415805359919286</v>
      </c>
      <c r="AS504" s="308"/>
      <c r="AT504" s="30"/>
      <c r="AU504" s="30"/>
      <c r="AV504" s="30"/>
      <c r="AW504" s="321"/>
      <c r="AX504" s="308"/>
      <c r="AY504" s="308"/>
      <c r="AZ504" s="321"/>
      <c r="BA504" s="317"/>
      <c r="BB504" s="308"/>
      <c r="BC504" s="317"/>
      <c r="BD504" s="317"/>
      <c r="BE504" s="317"/>
      <c r="BF504" s="308"/>
      <c r="BG504" s="314"/>
      <c r="BH504" s="317"/>
      <c r="BI504" s="317"/>
      <c r="BJ504" s="308"/>
      <c r="BK504" s="314"/>
      <c r="BL504" s="317"/>
      <c r="BM504" s="317"/>
      <c r="BN504" s="308"/>
      <c r="BO504" s="314"/>
      <c r="BP504" s="317"/>
      <c r="BQ504" s="317"/>
      <c r="BR504" s="317"/>
      <c r="BS504" s="308"/>
      <c r="BT504" s="314"/>
      <c r="BU504" s="317"/>
      <c r="BV504" s="317"/>
      <c r="BW504" s="317"/>
      <c r="BX504" s="308"/>
      <c r="BY504" s="314"/>
      <c r="BZ504" s="317"/>
      <c r="CA504" s="317"/>
      <c r="CB504" s="317"/>
      <c r="CC504" s="308"/>
      <c r="CD504" s="307"/>
      <c r="CE504" s="317"/>
      <c r="CF504" s="317"/>
      <c r="CG504" s="317"/>
      <c r="CH504" s="308"/>
      <c r="CI504" s="314"/>
      <c r="CJ504" s="317"/>
      <c r="CK504" s="317"/>
      <c r="CL504" s="308"/>
      <c r="CM504" s="314"/>
      <c r="CN504" s="317"/>
      <c r="CO504" s="308"/>
      <c r="CP504" s="314"/>
      <c r="CQ504" s="317"/>
      <c r="CR504" s="308"/>
      <c r="CS504" s="314"/>
      <c r="CT504" s="317"/>
      <c r="CU504" s="308"/>
      <c r="CV504" s="314"/>
      <c r="CW504" s="317"/>
      <c r="CX504" s="308"/>
      <c r="CY504" s="314"/>
      <c r="CZ504" s="317"/>
      <c r="DA504" s="308"/>
      <c r="DB504" s="314"/>
      <c r="DC504" s="317"/>
      <c r="DD504" s="308"/>
      <c r="DE504" s="314"/>
      <c r="DF504" s="317"/>
      <c r="DG504" s="308"/>
      <c r="DH504" s="314"/>
      <c r="DI504" s="317"/>
      <c r="DJ504" s="317"/>
      <c r="DK504" s="317"/>
      <c r="DL504" s="317"/>
    </row>
    <row r="505" spans="1:116">
      <c r="A505" s="30"/>
      <c r="B505" s="30"/>
      <c r="C505" s="339"/>
      <c r="D505" s="321"/>
      <c r="E505" s="308"/>
      <c r="F505" s="321"/>
      <c r="G505" s="317"/>
      <c r="H505" s="314"/>
      <c r="I505" s="317"/>
      <c r="J505" s="314"/>
      <c r="K505" s="308"/>
      <c r="L505" s="314"/>
      <c r="M505" s="308"/>
      <c r="N505" s="314"/>
      <c r="O505" s="308"/>
      <c r="P505" s="314"/>
      <c r="Q505" s="308"/>
      <c r="R505" s="314"/>
      <c r="S505" s="308"/>
      <c r="T505" s="314"/>
      <c r="U505" s="308"/>
      <c r="V505" s="314"/>
      <c r="W505" s="317"/>
      <c r="X505" s="317"/>
      <c r="Y505" s="317"/>
      <c r="Z505" s="314"/>
      <c r="AA505" s="317"/>
      <c r="AB505" s="314"/>
      <c r="AC505" s="308"/>
      <c r="AD505" s="307"/>
      <c r="AE505" s="308"/>
      <c r="AF505" s="307"/>
      <c r="AG505" s="308"/>
      <c r="AH505" s="307"/>
      <c r="AI505" s="308"/>
      <c r="AJ505" s="307"/>
      <c r="AK505" s="308"/>
      <c r="AL505" s="307"/>
      <c r="AM505" s="308"/>
      <c r="AN505" s="307"/>
      <c r="AO505" s="308"/>
      <c r="AP505" s="30"/>
      <c r="AQ505" s="453"/>
      <c r="AR505" s="308"/>
      <c r="AS505" s="308"/>
      <c r="AT505" s="30"/>
      <c r="AU505" s="30"/>
      <c r="AV505" s="30"/>
      <c r="AW505" s="321"/>
      <c r="AX505" s="308"/>
      <c r="AY505" s="308"/>
      <c r="AZ505" s="321"/>
      <c r="BA505" s="317"/>
      <c r="BB505" s="308"/>
      <c r="BC505" s="317"/>
      <c r="BD505" s="317"/>
      <c r="BE505" s="317"/>
      <c r="BF505" s="308"/>
      <c r="BG505" s="314"/>
      <c r="BH505" s="317"/>
      <c r="BI505" s="317"/>
      <c r="BJ505" s="308"/>
      <c r="BK505" s="314"/>
      <c r="BL505" s="317"/>
      <c r="BM505" s="317"/>
      <c r="BN505" s="308"/>
      <c r="BO505" s="314"/>
      <c r="BP505" s="317"/>
      <c r="BQ505" s="317"/>
      <c r="BR505" s="317"/>
      <c r="BS505" s="308"/>
      <c r="BT505" s="314"/>
      <c r="BU505" s="317"/>
      <c r="BV505" s="317"/>
      <c r="BW505" s="317"/>
      <c r="BX505" s="308"/>
      <c r="BY505" s="314"/>
      <c r="BZ505" s="317"/>
      <c r="CA505" s="317"/>
      <c r="CB505" s="317"/>
      <c r="CC505" s="308"/>
      <c r="CD505" s="307"/>
      <c r="CE505" s="317"/>
      <c r="CF505" s="317"/>
      <c r="CG505" s="317"/>
      <c r="CH505" s="308"/>
      <c r="CI505" s="314"/>
      <c r="CJ505" s="317"/>
      <c r="CK505" s="317"/>
      <c r="CL505" s="308"/>
      <c r="CM505" s="314"/>
      <c r="CN505" s="317"/>
      <c r="CO505" s="308"/>
      <c r="CP505" s="314"/>
      <c r="CQ505" s="317"/>
      <c r="CR505" s="308"/>
      <c r="CS505" s="314"/>
      <c r="CT505" s="317"/>
      <c r="CU505" s="308"/>
      <c r="CV505" s="314"/>
      <c r="CW505" s="317"/>
      <c r="CX505" s="308"/>
      <c r="CY505" s="314"/>
      <c r="CZ505" s="317"/>
      <c r="DA505" s="308"/>
      <c r="DB505" s="314"/>
      <c r="DC505" s="317"/>
      <c r="DD505" s="308"/>
      <c r="DE505" s="314"/>
      <c r="DF505" s="317"/>
      <c r="DG505" s="308"/>
      <c r="DH505" s="314"/>
      <c r="DI505" s="317"/>
      <c r="DJ505" s="317"/>
      <c r="DK505" s="317"/>
      <c r="DL505" s="317"/>
    </row>
    <row r="506" spans="1:116">
      <c r="A506" s="301"/>
      <c r="B506" s="312" t="str">
        <f>+B324</f>
        <v>2011A</v>
      </c>
      <c r="C506" s="30"/>
      <c r="D506" s="30"/>
      <c r="E506" s="310"/>
      <c r="F506" s="30"/>
      <c r="G506" s="318"/>
      <c r="H506" s="318"/>
      <c r="I506" s="318"/>
      <c r="J506" s="30"/>
      <c r="K506" s="319"/>
      <c r="L506" s="30"/>
      <c r="M506" s="310"/>
      <c r="N506" s="30"/>
      <c r="O506" s="310"/>
      <c r="P506" s="30"/>
      <c r="Q506" s="30"/>
      <c r="R506" s="30"/>
      <c r="S506" s="310"/>
      <c r="T506" s="30"/>
      <c r="U506" s="310"/>
      <c r="V506" s="314"/>
      <c r="W506" s="318"/>
      <c r="X506" s="318"/>
      <c r="Y506" s="318"/>
      <c r="Z506" s="30"/>
      <c r="AA506" s="318"/>
      <c r="AB506" s="30"/>
      <c r="AC506" s="310"/>
      <c r="AD506" s="30"/>
      <c r="AE506" s="310"/>
      <c r="AF506" s="30"/>
      <c r="AG506" s="310"/>
      <c r="AH506" s="30"/>
      <c r="AI506" s="310"/>
      <c r="AJ506" s="30"/>
      <c r="AK506" s="310"/>
      <c r="AL506" s="30"/>
      <c r="AM506" s="310"/>
      <c r="AN506" s="30"/>
      <c r="AO506" s="310"/>
      <c r="AP506" s="30"/>
      <c r="AQ506" s="453"/>
      <c r="AR506" s="310"/>
      <c r="AS506" s="310"/>
      <c r="AT506" s="30"/>
      <c r="AU506" s="30"/>
      <c r="AV506" s="30"/>
      <c r="AW506" s="30"/>
      <c r="AX506" s="310"/>
      <c r="AY506" s="310"/>
      <c r="AZ506" s="30"/>
      <c r="BA506" s="318"/>
      <c r="BB506" s="310"/>
      <c r="BC506" s="318"/>
      <c r="BD506" s="318"/>
      <c r="BE506" s="318"/>
      <c r="BF506" s="310"/>
      <c r="BG506" s="30"/>
      <c r="BH506" s="318"/>
      <c r="BI506" s="318"/>
      <c r="BJ506" s="310"/>
      <c r="BK506" s="30"/>
      <c r="BL506" s="318"/>
      <c r="BM506" s="318"/>
      <c r="BN506" s="310"/>
      <c r="BO506" s="30"/>
      <c r="BP506" s="318"/>
      <c r="BQ506" s="318"/>
      <c r="BR506" s="318"/>
      <c r="BS506" s="310"/>
      <c r="BT506" s="30"/>
      <c r="BU506" s="318"/>
      <c r="BV506" s="318"/>
      <c r="BW506" s="318"/>
      <c r="BX506" s="310"/>
      <c r="BY506" s="30"/>
      <c r="BZ506" s="318"/>
      <c r="CA506" s="318"/>
      <c r="CB506" s="318"/>
      <c r="CC506" s="310"/>
      <c r="CD506" s="30"/>
      <c r="CE506" s="318"/>
      <c r="CF506" s="318"/>
      <c r="CG506" s="318"/>
      <c r="CH506" s="310"/>
      <c r="CI506" s="30"/>
      <c r="CJ506" s="318"/>
      <c r="CK506" s="318"/>
      <c r="CL506" s="310"/>
      <c r="CM506" s="30"/>
      <c r="CN506" s="318"/>
      <c r="CO506" s="310"/>
      <c r="CP506" s="30"/>
      <c r="CQ506" s="318"/>
      <c r="CR506" s="310"/>
      <c r="CS506" s="30"/>
      <c r="CT506" s="318"/>
      <c r="CU506" s="310"/>
      <c r="CV506" s="30"/>
      <c r="CW506" s="318"/>
      <c r="CX506" s="310"/>
      <c r="CY506" s="30"/>
      <c r="CZ506" s="318"/>
      <c r="DA506" s="310"/>
      <c r="DB506" s="30"/>
      <c r="DC506" s="318"/>
      <c r="DD506" s="310"/>
      <c r="DE506" s="30"/>
      <c r="DF506" s="318"/>
      <c r="DG506" s="310"/>
      <c r="DH506" s="30"/>
      <c r="DI506" s="318"/>
      <c r="DJ506" s="318"/>
      <c r="DK506" s="318"/>
      <c r="DL506" s="318"/>
    </row>
    <row r="507" spans="1:116">
      <c r="A507" s="30" t="str">
        <f>+A325</f>
        <v>1Q</v>
      </c>
      <c r="B507" s="30" t="str">
        <f>+B325</f>
        <v>Apr</v>
      </c>
      <c r="C507" s="30"/>
      <c r="D507" s="321"/>
      <c r="E507" s="308"/>
      <c r="F507" s="321"/>
      <c r="G507" s="317"/>
      <c r="H507" s="314">
        <f>+H325/$AR$373</f>
        <v>1.0374999999999999</v>
      </c>
      <c r="I507" s="308">
        <f>+(H507/H501-1)*100</f>
        <v>-4.2675893886966687</v>
      </c>
      <c r="J507" s="314">
        <f>+J325/$AR$373</f>
        <v>7.6274999999999986</v>
      </c>
      <c r="K507" s="308">
        <f>+(J507/J501-1)*100</f>
        <v>0.46098123147841896</v>
      </c>
      <c r="L507" s="314">
        <f>+L325/$AR$373</f>
        <v>4.9362499999999994</v>
      </c>
      <c r="M507" s="308">
        <f>+(L507/L501-1)*100</f>
        <v>0.43234994913528002</v>
      </c>
      <c r="N507" s="314">
        <f>+N325/$AR$373</f>
        <v>-0.54812499999999986</v>
      </c>
      <c r="O507" s="308">
        <f>+(N507/N501-1)*100</f>
        <v>173.20872274143318</v>
      </c>
      <c r="P507" s="314">
        <f>+P325/$AR$373</f>
        <v>0.18862499999999996</v>
      </c>
      <c r="Q507" s="308">
        <f>+(P507/P501-1)*100</f>
        <v>0</v>
      </c>
      <c r="R507" s="314">
        <f>+R325/$AR$373</f>
        <v>3.7085000000000021</v>
      </c>
      <c r="S507" s="308"/>
      <c r="T507" s="314" t="e">
        <f>+T325/$AR$373</f>
        <v>#DIV/0!</v>
      </c>
      <c r="U507" s="308" t="e">
        <f>+(T507/T501-1)*100</f>
        <v>#DIV/0!</v>
      </c>
      <c r="V507" s="314">
        <f>+V325/$AR$373</f>
        <v>6.4999999999999988E-2</v>
      </c>
      <c r="W507" s="317">
        <f>+(V507/V501-1)*100</f>
        <v>0</v>
      </c>
      <c r="X507" s="317"/>
      <c r="Y507" s="317"/>
      <c r="Z507" s="314">
        <f>+Z391/$AR$373</f>
        <v>0</v>
      </c>
      <c r="AA507" s="317"/>
      <c r="AB507" s="314"/>
      <c r="AC507" s="308"/>
      <c r="AD507" s="307"/>
      <c r="AE507" s="308"/>
      <c r="AF507" s="307"/>
      <c r="AG507" s="308"/>
      <c r="AH507" s="307"/>
      <c r="AI507" s="308"/>
      <c r="AJ507" s="307"/>
      <c r="AK507" s="308"/>
      <c r="AL507" s="307"/>
      <c r="AM507" s="308"/>
      <c r="AN507" s="307"/>
      <c r="AO507" s="308"/>
      <c r="AP507" s="30"/>
      <c r="AQ507" s="453">
        <f>H507+J507+L507+V507</f>
        <v>13.666249999999998</v>
      </c>
      <c r="AR507" s="308">
        <f>+(AQ507/AQ501-1)*100</f>
        <v>7.3226544622428946E-2</v>
      </c>
      <c r="AS507" s="308"/>
      <c r="AT507" s="30"/>
      <c r="AU507" s="30"/>
      <c r="AV507" s="30"/>
      <c r="AW507" s="321"/>
      <c r="AX507" s="308"/>
      <c r="AY507" s="308"/>
      <c r="AZ507" s="321"/>
      <c r="BA507" s="317"/>
      <c r="BB507" s="308"/>
      <c r="BC507" s="317"/>
      <c r="BD507" s="317"/>
      <c r="BE507" s="317"/>
      <c r="BF507" s="308"/>
      <c r="BG507" s="330"/>
      <c r="BH507" s="317"/>
      <c r="BI507" s="317"/>
      <c r="BJ507" s="308"/>
      <c r="BK507" s="314"/>
      <c r="BL507" s="317"/>
      <c r="BM507" s="317"/>
      <c r="BN507" s="308"/>
      <c r="BO507" s="314"/>
      <c r="BP507" s="317"/>
      <c r="BQ507" s="317"/>
      <c r="BR507" s="317"/>
      <c r="BS507" s="308"/>
      <c r="BT507" s="314"/>
      <c r="BU507" s="317"/>
      <c r="BV507" s="317"/>
      <c r="BW507" s="317"/>
      <c r="BX507" s="308"/>
      <c r="BY507" s="314"/>
      <c r="BZ507" s="317"/>
      <c r="CA507" s="317"/>
      <c r="CB507" s="317"/>
      <c r="CC507" s="308"/>
      <c r="CD507" s="307"/>
      <c r="CE507" s="317"/>
      <c r="CF507" s="317"/>
      <c r="CG507" s="317"/>
      <c r="CH507" s="308"/>
      <c r="CI507" s="314"/>
      <c r="CJ507" s="317"/>
      <c r="CK507" s="317"/>
      <c r="CL507" s="308"/>
      <c r="CM507" s="314"/>
      <c r="CN507" s="317"/>
      <c r="CO507" s="308"/>
      <c r="CP507" s="314"/>
      <c r="CQ507" s="317"/>
      <c r="CR507" s="308"/>
      <c r="CS507" s="314"/>
      <c r="CT507" s="317"/>
      <c r="CU507" s="308"/>
      <c r="CV507" s="314"/>
      <c r="CW507" s="317"/>
      <c r="CX507" s="308"/>
      <c r="CY507" s="314"/>
      <c r="CZ507" s="317"/>
      <c r="DA507" s="308"/>
      <c r="DB507" s="314"/>
      <c r="DC507" s="317"/>
      <c r="DD507" s="308"/>
      <c r="DE507" s="314"/>
      <c r="DF507" s="317"/>
      <c r="DG507" s="308"/>
      <c r="DH507" s="314"/>
      <c r="DI507" s="317"/>
      <c r="DJ507" s="317"/>
      <c r="DK507" s="317"/>
      <c r="DL507" s="317"/>
    </row>
    <row r="508" spans="1:116">
      <c r="A508" s="30" t="str">
        <f>+A326</f>
        <v>2Q</v>
      </c>
      <c r="B508" s="30" t="str">
        <f>+B326</f>
        <v>Jul</v>
      </c>
      <c r="C508" s="30"/>
      <c r="D508" s="321"/>
      <c r="E508" s="308"/>
      <c r="F508" s="321"/>
      <c r="G508" s="317"/>
      <c r="H508" s="314">
        <f>+H326/$AR$373</f>
        <v>1.0325</v>
      </c>
      <c r="I508" s="308">
        <f>+(H508/H502-1)*100</f>
        <v>-3.6172695449241399</v>
      </c>
      <c r="J508" s="314">
        <f>+J326/$AR$373</f>
        <v>7.638749999999999</v>
      </c>
      <c r="K508" s="308">
        <f>+(J508/J502-1)*100</f>
        <v>6.5498608154568316E-2</v>
      </c>
      <c r="L508" s="314">
        <f>+L326/$AR$373</f>
        <v>4.93</v>
      </c>
      <c r="M508" s="308">
        <f>+(L508/L502-1)*100</f>
        <v>0.33070465530400384</v>
      </c>
      <c r="N508" s="314">
        <f>+N326/$AR$373</f>
        <v>-0.54812499999999986</v>
      </c>
      <c r="O508" s="308">
        <f>+(N508/N502-1)*100</f>
        <v>173.20872274143318</v>
      </c>
      <c r="P508" s="314">
        <f>+P326/$AR$373</f>
        <v>0.18862499999999996</v>
      </c>
      <c r="Q508" s="308">
        <f>+(P508/P502-1)*100</f>
        <v>0</v>
      </c>
      <c r="R508" s="314">
        <f>+R326/$AR$373</f>
        <v>3.6863125000000023</v>
      </c>
      <c r="S508" s="308"/>
      <c r="T508" s="314" t="e">
        <f>+T326/$AR$373</f>
        <v>#DIV/0!</v>
      </c>
      <c r="U508" s="308" t="e">
        <f>+(T508/T502-1)*100</f>
        <v>#DIV/0!</v>
      </c>
      <c r="V508" s="314">
        <f>+V326/$AR$373</f>
        <v>6.7499999999999991E-2</v>
      </c>
      <c r="W508" s="317">
        <f>+(V508/V502-1)*100</f>
        <v>3.8461538461538547</v>
      </c>
      <c r="X508" s="317"/>
      <c r="Y508" s="317"/>
      <c r="Z508" s="314">
        <f>+Z392/$AR$373</f>
        <v>0</v>
      </c>
      <c r="AA508" s="317"/>
      <c r="AB508" s="314"/>
      <c r="AC508" s="308"/>
      <c r="AD508" s="307"/>
      <c r="AE508" s="308"/>
      <c r="AF508" s="307"/>
      <c r="AG508" s="308"/>
      <c r="AH508" s="307"/>
      <c r="AI508" s="308"/>
      <c r="AJ508" s="307"/>
      <c r="AK508" s="308"/>
      <c r="AL508" s="307"/>
      <c r="AM508" s="308"/>
      <c r="AN508" s="307"/>
      <c r="AO508" s="308"/>
      <c r="AP508" s="30"/>
      <c r="AQ508" s="453">
        <f>H508+J508+L508+V508</f>
        <v>13.668749999999999</v>
      </c>
      <c r="AR508" s="308">
        <f>+(AQ508/AQ502-1)*100</f>
        <v>-0.10961907371881408</v>
      </c>
      <c r="AS508" s="308"/>
      <c r="AT508" s="30"/>
      <c r="AU508" s="30"/>
      <c r="AV508" s="30"/>
      <c r="AW508" s="321"/>
      <c r="AX508" s="308"/>
      <c r="AY508" s="308"/>
      <c r="AZ508" s="321"/>
      <c r="BA508" s="317"/>
      <c r="BB508" s="308"/>
      <c r="BC508" s="317"/>
      <c r="BD508" s="317"/>
      <c r="BE508" s="317"/>
      <c r="BF508" s="308"/>
      <c r="BG508" s="330"/>
      <c r="BH508" s="317"/>
      <c r="BI508" s="317"/>
      <c r="BJ508" s="308"/>
      <c r="BK508" s="314"/>
      <c r="BL508" s="317"/>
      <c r="BM508" s="317"/>
      <c r="BN508" s="308"/>
      <c r="BO508" s="314"/>
      <c r="BP508" s="317"/>
      <c r="BQ508" s="317"/>
      <c r="BR508" s="317"/>
      <c r="BS508" s="308"/>
      <c r="BT508" s="314"/>
      <c r="BU508" s="317"/>
      <c r="BV508" s="317"/>
      <c r="BW508" s="317"/>
      <c r="BX508" s="308"/>
      <c r="BY508" s="314"/>
      <c r="BZ508" s="317"/>
      <c r="CA508" s="317"/>
      <c r="CB508" s="317"/>
      <c r="CC508" s="308"/>
      <c r="CD508" s="307"/>
      <c r="CE508" s="317"/>
      <c r="CF508" s="317"/>
      <c r="CG508" s="317"/>
      <c r="CH508" s="308"/>
      <c r="CI508" s="314"/>
      <c r="CJ508" s="317"/>
      <c r="CK508" s="317"/>
      <c r="CL508" s="308"/>
      <c r="CM508" s="314"/>
      <c r="CN508" s="317"/>
      <c r="CO508" s="308"/>
      <c r="CP508" s="314"/>
      <c r="CQ508" s="317"/>
      <c r="CR508" s="308"/>
      <c r="CS508" s="314"/>
      <c r="CT508" s="317"/>
      <c r="CU508" s="308"/>
      <c r="CV508" s="314"/>
      <c r="CW508" s="317"/>
      <c r="CX508" s="308"/>
      <c r="CY508" s="314"/>
      <c r="CZ508" s="317"/>
      <c r="DA508" s="308"/>
      <c r="DB508" s="314"/>
      <c r="DC508" s="317"/>
      <c r="DD508" s="308"/>
      <c r="DE508" s="314"/>
      <c r="DF508" s="317"/>
      <c r="DG508" s="308"/>
      <c r="DH508" s="314"/>
      <c r="DI508" s="317"/>
      <c r="DJ508" s="317"/>
      <c r="DK508" s="317"/>
      <c r="DL508" s="317"/>
    </row>
    <row r="509" spans="1:116">
      <c r="A509" s="30" t="str">
        <f>+A327</f>
        <v>3Q</v>
      </c>
      <c r="B509" s="30" t="str">
        <f>+B327</f>
        <v>Oct</v>
      </c>
      <c r="C509" s="30"/>
      <c r="D509" s="321"/>
      <c r="E509" s="308"/>
      <c r="F509" s="321"/>
      <c r="G509" s="317"/>
      <c r="H509" s="314">
        <f>+H327/$AR$373</f>
        <v>1.0325</v>
      </c>
      <c r="I509" s="308">
        <f>+(H509/H503-1)*100</f>
        <v>-3.5046728971962482</v>
      </c>
      <c r="J509" s="314">
        <f>+J327/$AR$373</f>
        <v>7.6837499999999999</v>
      </c>
      <c r="K509" s="308">
        <f>+(J509/J503-1)*100</f>
        <v>-0.29197080291970545</v>
      </c>
      <c r="L509" s="314">
        <f>+L327/$AR$373</f>
        <v>4.9312499999999995</v>
      </c>
      <c r="M509" s="308">
        <f>+(L509/L503-1)*100</f>
        <v>-0.47931382441979142</v>
      </c>
      <c r="N509" s="314">
        <f>+N327/$AR$373</f>
        <v>-0.72187499999999971</v>
      </c>
      <c r="O509" s="308">
        <f>+(N509/N503-1)*100</f>
        <v>92.821368948247084</v>
      </c>
      <c r="P509" s="314">
        <f>+P327/$AR$373</f>
        <v>0.18862499999999996</v>
      </c>
      <c r="Q509" s="308">
        <f>+(P509/P503-1)*100</f>
        <v>0</v>
      </c>
      <c r="R509" s="314">
        <f>+R327/$AR$373</f>
        <v>3.6197500000000025</v>
      </c>
      <c r="S509" s="308"/>
      <c r="T509" s="314" t="e">
        <f>+T327/$AR$373</f>
        <v>#DIV/0!</v>
      </c>
      <c r="U509" s="308" t="e">
        <f>+(T509/T503-1)*100</f>
        <v>#DIV/0!</v>
      </c>
      <c r="V509" s="314">
        <f>+V327/$AR$373</f>
        <v>7.3749999999999996E-2</v>
      </c>
      <c r="W509" s="317">
        <f>+(V509/V503-1)*100</f>
        <v>13.461538461538481</v>
      </c>
      <c r="X509" s="317"/>
      <c r="Y509" s="317"/>
      <c r="Z509" s="314">
        <f>+Z393/$AR$373</f>
        <v>0</v>
      </c>
      <c r="AA509" s="317"/>
      <c r="AB509" s="314"/>
      <c r="AC509" s="308"/>
      <c r="AD509" s="307"/>
      <c r="AE509" s="308"/>
      <c r="AF509" s="307"/>
      <c r="AG509" s="308"/>
      <c r="AH509" s="307"/>
      <c r="AI509" s="308"/>
      <c r="AJ509" s="307"/>
      <c r="AK509" s="308"/>
      <c r="AL509" s="307"/>
      <c r="AM509" s="308"/>
      <c r="AN509" s="307"/>
      <c r="AO509" s="308"/>
      <c r="AP509" s="30"/>
      <c r="AQ509" s="453">
        <f>H509+J509+L509+V509</f>
        <v>13.721250000000001</v>
      </c>
      <c r="AR509" s="308">
        <f>+(AQ509/AQ503-1)*100</f>
        <v>-0.54362598532208262</v>
      </c>
      <c r="AS509" s="308"/>
      <c r="AT509" s="30"/>
      <c r="AU509" s="30"/>
      <c r="AV509" s="30"/>
      <c r="AW509" s="321"/>
      <c r="AX509" s="308"/>
      <c r="AY509" s="308"/>
      <c r="AZ509" s="321"/>
      <c r="BA509" s="317"/>
      <c r="BB509" s="308"/>
      <c r="BC509" s="317"/>
      <c r="BD509" s="317"/>
      <c r="BE509" s="317"/>
      <c r="BF509" s="308"/>
      <c r="BG509" s="330"/>
      <c r="BH509" s="317"/>
      <c r="BI509" s="317"/>
      <c r="BJ509" s="308"/>
      <c r="BK509" s="314"/>
      <c r="BL509" s="317"/>
      <c r="BM509" s="317"/>
      <c r="BN509" s="308"/>
      <c r="BO509" s="314"/>
      <c r="BP509" s="317"/>
      <c r="BQ509" s="317"/>
      <c r="BR509" s="317"/>
      <c r="BS509" s="308"/>
      <c r="BT509" s="314"/>
      <c r="BU509" s="317"/>
      <c r="BV509" s="317"/>
      <c r="BW509" s="317"/>
      <c r="BX509" s="308"/>
      <c r="BY509" s="314"/>
      <c r="BZ509" s="317"/>
      <c r="CA509" s="317"/>
      <c r="CB509" s="317"/>
      <c r="CC509" s="308"/>
      <c r="CD509" s="307"/>
      <c r="CE509" s="317"/>
      <c r="CF509" s="317"/>
      <c r="CG509" s="317"/>
      <c r="CH509" s="308"/>
      <c r="CI509" s="314"/>
      <c r="CJ509" s="317"/>
      <c r="CK509" s="317"/>
      <c r="CL509" s="308"/>
      <c r="CM509" s="314"/>
      <c r="CN509" s="317"/>
      <c r="CO509" s="308"/>
      <c r="CP509" s="314"/>
      <c r="CQ509" s="317"/>
      <c r="CR509" s="308"/>
      <c r="CS509" s="314"/>
      <c r="CT509" s="317"/>
      <c r="CU509" s="308"/>
      <c r="CV509" s="314"/>
      <c r="CW509" s="317"/>
      <c r="CX509" s="308"/>
      <c r="CY509" s="314"/>
      <c r="CZ509" s="317"/>
      <c r="DA509" s="308"/>
      <c r="DB509" s="314"/>
      <c r="DC509" s="317"/>
      <c r="DD509" s="308"/>
      <c r="DE509" s="314"/>
      <c r="DF509" s="317"/>
      <c r="DG509" s="308"/>
      <c r="DH509" s="314"/>
      <c r="DI509" s="317"/>
      <c r="DJ509" s="317"/>
      <c r="DK509" s="317"/>
      <c r="DL509" s="317"/>
    </row>
    <row r="510" spans="1:116">
      <c r="A510" s="30" t="str">
        <f>+A328</f>
        <v>4Q</v>
      </c>
      <c r="B510" s="30" t="str">
        <f>+B328</f>
        <v>Jan</v>
      </c>
      <c r="C510" s="339"/>
      <c r="D510" s="321"/>
      <c r="E510" s="308"/>
      <c r="F510" s="321"/>
      <c r="G510" s="317"/>
      <c r="H510" s="314">
        <f>+H328/$AR$373</f>
        <v>0.95250000000000001</v>
      </c>
      <c r="I510" s="308">
        <f>+(H510/H504-1)*100</f>
        <v>-9.6085409252668956</v>
      </c>
      <c r="J510" s="314">
        <f>+J328/$AR$373</f>
        <v>7.7187499999999991</v>
      </c>
      <c r="K510" s="308">
        <f>+(J510/J504-1)*100</f>
        <v>0.76697127937335186</v>
      </c>
      <c r="L510" s="314">
        <f>+L328/$AR$373</f>
        <v>4.9274999999999993</v>
      </c>
      <c r="M510" s="308">
        <f>+(L510/L504-1)*100</f>
        <v>-0.25303643724696734</v>
      </c>
      <c r="N510" s="314">
        <f>+N328/$AR$373</f>
        <v>-0.89562499999999967</v>
      </c>
      <c r="O510" s="308">
        <f>+(N510/N504-1)*100</f>
        <v>63.397947548460643</v>
      </c>
      <c r="P510" s="314">
        <f>+P328/$AR$373</f>
        <v>0.18862499999999996</v>
      </c>
      <c r="Q510" s="308">
        <f>+(P510/P504-1)*100</f>
        <v>0</v>
      </c>
      <c r="R510" s="314">
        <f>+R328/$AR$373</f>
        <v>3.5531875000000026</v>
      </c>
      <c r="S510" s="308"/>
      <c r="T510" s="314" t="e">
        <f>+T328/$AR$373</f>
        <v>#DIV/0!</v>
      </c>
      <c r="U510" s="308" t="e">
        <f>+(T510/T504-1)*100</f>
        <v>#DIV/0!</v>
      </c>
      <c r="V510" s="314">
        <f>+V328/$AR$373</f>
        <v>0.08</v>
      </c>
      <c r="W510" s="317">
        <f>+(V510/V504-1)*100</f>
        <v>23.076923076923105</v>
      </c>
      <c r="X510" s="317"/>
      <c r="Y510" s="317"/>
      <c r="Z510" s="314">
        <f>+Z394/$AR$373</f>
        <v>0</v>
      </c>
      <c r="AA510" s="317"/>
      <c r="AB510" s="314"/>
      <c r="AC510" s="308"/>
      <c r="AD510" s="307"/>
      <c r="AE510" s="308"/>
      <c r="AF510" s="307"/>
      <c r="AG510" s="308"/>
      <c r="AH510" s="307"/>
      <c r="AI510" s="308"/>
      <c r="AJ510" s="307"/>
      <c r="AK510" s="308"/>
      <c r="AL510" s="307"/>
      <c r="AM510" s="308"/>
      <c r="AN510" s="307"/>
      <c r="AO510" s="308"/>
      <c r="AP510" s="30"/>
      <c r="AQ510" s="453">
        <f>H510+J510+L510+V510</f>
        <v>13.678749999999999</v>
      </c>
      <c r="AR510" s="308">
        <f>+(AQ510/AQ504-1)*100</f>
        <v>-0.29157175398634161</v>
      </c>
      <c r="AS510" s="308"/>
      <c r="AT510" s="30"/>
      <c r="AU510" s="30"/>
      <c r="AV510" s="30"/>
      <c r="AW510" s="321"/>
      <c r="AX510" s="308"/>
      <c r="AY510" s="308"/>
      <c r="AZ510" s="321"/>
      <c r="BA510" s="317"/>
      <c r="BB510" s="308"/>
      <c r="BC510" s="317"/>
      <c r="BD510" s="317"/>
      <c r="BE510" s="317"/>
      <c r="BF510" s="308"/>
      <c r="BG510" s="314"/>
      <c r="BH510" s="317"/>
      <c r="BI510" s="317"/>
      <c r="BJ510" s="308"/>
      <c r="BK510" s="314"/>
      <c r="BL510" s="317"/>
      <c r="BM510" s="317"/>
      <c r="BN510" s="308"/>
      <c r="BO510" s="314"/>
      <c r="BP510" s="317"/>
      <c r="BQ510" s="317"/>
      <c r="BR510" s="317"/>
      <c r="BS510" s="308"/>
      <c r="BT510" s="314"/>
      <c r="BU510" s="317"/>
      <c r="BV510" s="317"/>
      <c r="BW510" s="317"/>
      <c r="BX510" s="308"/>
      <c r="BY510" s="314"/>
      <c r="BZ510" s="317"/>
      <c r="CA510" s="317"/>
      <c r="CB510" s="317"/>
      <c r="CC510" s="308"/>
      <c r="CD510" s="307"/>
      <c r="CE510" s="317"/>
      <c r="CF510" s="317"/>
      <c r="CG510" s="317"/>
      <c r="CH510" s="308"/>
      <c r="CI510" s="314"/>
      <c r="CJ510" s="317"/>
      <c r="CK510" s="317"/>
      <c r="CL510" s="308"/>
      <c r="CM510" s="314"/>
      <c r="CN510" s="317"/>
      <c r="CO510" s="308"/>
      <c r="CP510" s="314"/>
      <c r="CQ510" s="317"/>
      <c r="CR510" s="308"/>
      <c r="CS510" s="314"/>
      <c r="CT510" s="317"/>
      <c r="CU510" s="308"/>
      <c r="CV510" s="314"/>
      <c r="CW510" s="317"/>
      <c r="CX510" s="308"/>
      <c r="CY510" s="314"/>
      <c r="CZ510" s="317"/>
      <c r="DA510" s="308"/>
      <c r="DB510" s="314"/>
      <c r="DC510" s="317"/>
      <c r="DD510" s="308"/>
      <c r="DE510" s="314"/>
      <c r="DF510" s="317"/>
      <c r="DG510" s="308"/>
      <c r="DH510" s="314"/>
      <c r="DI510" s="317"/>
      <c r="DJ510" s="317"/>
      <c r="DK510" s="317"/>
      <c r="DL510" s="317"/>
    </row>
    <row r="511" spans="1:116">
      <c r="A511" s="30"/>
      <c r="B511" s="30"/>
      <c r="C511" s="339"/>
      <c r="D511" s="321"/>
      <c r="E511" s="308"/>
      <c r="F511" s="321"/>
      <c r="G511" s="317"/>
      <c r="H511" s="314"/>
      <c r="I511" s="317"/>
      <c r="J511" s="314"/>
      <c r="K511" s="308"/>
      <c r="L511" s="314"/>
      <c r="M511" s="308"/>
      <c r="N511" s="314"/>
      <c r="O511" s="308"/>
      <c r="P511" s="314"/>
      <c r="Q511" s="308"/>
      <c r="R511" s="314"/>
      <c r="S511" s="308"/>
      <c r="T511" s="314"/>
      <c r="U511" s="308"/>
      <c r="V511" s="314"/>
      <c r="W511" s="317"/>
      <c r="X511" s="317"/>
      <c r="Y511" s="317"/>
      <c r="Z511" s="314"/>
      <c r="AA511" s="317"/>
      <c r="AB511" s="314"/>
      <c r="AC511" s="308"/>
      <c r="AD511" s="307"/>
      <c r="AE511" s="308"/>
      <c r="AF511" s="307"/>
      <c r="AG511" s="308"/>
      <c r="AH511" s="307"/>
      <c r="AI511" s="308"/>
      <c r="AJ511" s="307"/>
      <c r="AK511" s="308"/>
      <c r="AL511" s="307"/>
      <c r="AM511" s="308"/>
      <c r="AN511" s="307"/>
      <c r="AO511" s="308"/>
      <c r="AP511" s="30"/>
      <c r="AQ511" s="453"/>
      <c r="AR511" s="308"/>
      <c r="AS511" s="308"/>
      <c r="AT511" s="30"/>
      <c r="AU511" s="30"/>
      <c r="AV511" s="30"/>
      <c r="AW511" s="321"/>
      <c r="AX511" s="308"/>
      <c r="AY511" s="308"/>
      <c r="AZ511" s="321"/>
      <c r="BA511" s="317"/>
      <c r="BB511" s="308"/>
      <c r="BC511" s="317"/>
      <c r="BD511" s="317"/>
      <c r="BE511" s="317"/>
      <c r="BF511" s="308"/>
      <c r="BG511" s="314"/>
      <c r="BH511" s="317"/>
      <c r="BI511" s="317"/>
      <c r="BJ511" s="308"/>
      <c r="BK511" s="314"/>
      <c r="BL511" s="317"/>
      <c r="BM511" s="317"/>
      <c r="BN511" s="308"/>
      <c r="BO511" s="314"/>
      <c r="BP511" s="317"/>
      <c r="BQ511" s="317"/>
      <c r="BR511" s="317"/>
      <c r="BS511" s="308"/>
      <c r="BT511" s="314"/>
      <c r="BU511" s="317"/>
      <c r="BV511" s="317"/>
      <c r="BW511" s="317"/>
      <c r="BX511" s="308"/>
      <c r="BY511" s="314"/>
      <c r="BZ511" s="317"/>
      <c r="CA511" s="317"/>
      <c r="CB511" s="317"/>
      <c r="CC511" s="308"/>
      <c r="CD511" s="307"/>
      <c r="CE511" s="317"/>
      <c r="CF511" s="317"/>
      <c r="CG511" s="317"/>
      <c r="CH511" s="308"/>
      <c r="CI511" s="314"/>
      <c r="CJ511" s="317"/>
      <c r="CK511" s="317"/>
      <c r="CL511" s="308"/>
      <c r="CM511" s="314"/>
      <c r="CN511" s="317"/>
      <c r="CO511" s="308"/>
      <c r="CP511" s="314"/>
      <c r="CQ511" s="317"/>
      <c r="CR511" s="308"/>
      <c r="CS511" s="314"/>
      <c r="CT511" s="317"/>
      <c r="CU511" s="308"/>
      <c r="CV511" s="314"/>
      <c r="CW511" s="317"/>
      <c r="CX511" s="308"/>
      <c r="CY511" s="314"/>
      <c r="CZ511" s="317"/>
      <c r="DA511" s="308"/>
      <c r="DB511" s="314"/>
      <c r="DC511" s="317"/>
      <c r="DD511" s="308"/>
      <c r="DE511" s="314"/>
      <c r="DF511" s="317"/>
      <c r="DG511" s="308"/>
      <c r="DH511" s="314"/>
      <c r="DI511" s="317"/>
      <c r="DJ511" s="317"/>
      <c r="DK511" s="317"/>
      <c r="DL511" s="317"/>
    </row>
    <row r="512" spans="1:116">
      <c r="A512" s="301"/>
      <c r="B512" s="312" t="str">
        <f>+B330</f>
        <v>2012A</v>
      </c>
      <c r="C512" s="30"/>
      <c r="D512" s="30"/>
      <c r="E512" s="310"/>
      <c r="F512" s="30"/>
      <c r="G512" s="318"/>
      <c r="H512" s="318"/>
      <c r="I512" s="318"/>
      <c r="J512" s="30"/>
      <c r="K512" s="319"/>
      <c r="L512" s="30"/>
      <c r="M512" s="310"/>
      <c r="N512" s="30"/>
      <c r="O512" s="310"/>
      <c r="P512" s="30"/>
      <c r="Q512" s="30"/>
      <c r="R512" s="30"/>
      <c r="S512" s="310"/>
      <c r="T512" s="30"/>
      <c r="U512" s="310"/>
      <c r="V512" s="314"/>
      <c r="W512" s="318"/>
      <c r="X512" s="318"/>
      <c r="Y512" s="318"/>
      <c r="Z512" s="30"/>
      <c r="AA512" s="318"/>
      <c r="AB512" s="30"/>
      <c r="AC512" s="310"/>
      <c r="AD512" s="30"/>
      <c r="AE512" s="310"/>
      <c r="AF512" s="30"/>
      <c r="AG512" s="310"/>
      <c r="AH512" s="30"/>
      <c r="AI512" s="310"/>
      <c r="AJ512" s="30"/>
      <c r="AK512" s="310"/>
      <c r="AL512" s="30"/>
      <c r="AM512" s="310"/>
      <c r="AN512" s="30"/>
      <c r="AO512" s="310"/>
      <c r="AP512" s="30"/>
      <c r="AQ512" s="453"/>
      <c r="AR512" s="310"/>
      <c r="AS512" s="310"/>
      <c r="AT512" s="30"/>
      <c r="AU512" s="30"/>
      <c r="AV512" s="30"/>
      <c r="AW512" s="30"/>
      <c r="AX512" s="310"/>
      <c r="AY512" s="310"/>
      <c r="AZ512" s="30"/>
      <c r="BA512" s="318"/>
      <c r="BB512" s="310"/>
      <c r="BC512" s="318"/>
      <c r="BD512" s="318"/>
      <c r="BE512" s="318"/>
      <c r="BF512" s="310"/>
      <c r="BG512" s="30"/>
      <c r="BH512" s="318"/>
      <c r="BI512" s="318"/>
      <c r="BJ512" s="310"/>
      <c r="BK512" s="30"/>
      <c r="BL512" s="318"/>
      <c r="BM512" s="318"/>
      <c r="BN512" s="310"/>
      <c r="BO512" s="30"/>
      <c r="BP512" s="318"/>
      <c r="BQ512" s="318"/>
      <c r="BR512" s="318"/>
      <c r="BS512" s="310"/>
      <c r="BT512" s="30"/>
      <c r="BU512" s="318"/>
      <c r="BV512" s="318"/>
      <c r="BW512" s="318"/>
      <c r="BX512" s="310"/>
      <c r="BY512" s="30"/>
      <c r="BZ512" s="318"/>
      <c r="CA512" s="318"/>
      <c r="CB512" s="318"/>
      <c r="CC512" s="310"/>
      <c r="CD512" s="30"/>
      <c r="CE512" s="318"/>
      <c r="CF512" s="318"/>
      <c r="CG512" s="318"/>
      <c r="CH512" s="310"/>
      <c r="CI512" s="30"/>
      <c r="CJ512" s="318"/>
      <c r="CK512" s="318"/>
      <c r="CL512" s="310"/>
      <c r="CM512" s="30"/>
      <c r="CN512" s="318"/>
      <c r="CO512" s="310"/>
      <c r="CP512" s="30"/>
      <c r="CQ512" s="318"/>
      <c r="CR512" s="310"/>
      <c r="CS512" s="30"/>
      <c r="CT512" s="318"/>
      <c r="CU512" s="310"/>
      <c r="CV512" s="30"/>
      <c r="CW512" s="318"/>
      <c r="CX512" s="310"/>
      <c r="CY512" s="30"/>
      <c r="CZ512" s="318"/>
      <c r="DA512" s="310"/>
      <c r="DB512" s="30"/>
      <c r="DC512" s="318"/>
      <c r="DD512" s="310"/>
      <c r="DE512" s="30"/>
      <c r="DF512" s="318"/>
      <c r="DG512" s="310"/>
      <c r="DH512" s="30"/>
      <c r="DI512" s="318"/>
      <c r="DJ512" s="318"/>
      <c r="DK512" s="318"/>
      <c r="DL512" s="318"/>
    </row>
    <row r="513" spans="1:116">
      <c r="A513" s="30" t="str">
        <f>+A331</f>
        <v>1Q</v>
      </c>
      <c r="B513" s="30" t="str">
        <f>+B331</f>
        <v>Apr</v>
      </c>
      <c r="C513" s="30"/>
      <c r="D513" s="321"/>
      <c r="E513" s="308"/>
      <c r="F513" s="321"/>
      <c r="G513" s="317"/>
      <c r="H513" s="314">
        <f>+H331/$AR$373</f>
        <v>0.82499999999999996</v>
      </c>
      <c r="I513" s="308">
        <f>+(H513/H507-1)*100</f>
        <v>-20.481927710843372</v>
      </c>
      <c r="J513" s="314">
        <f>+J331/$AR$373</f>
        <v>7.6787500000000009</v>
      </c>
      <c r="K513" s="308">
        <f>+(J513/J507-1)*100</f>
        <v>0.67191084890203534</v>
      </c>
      <c r="L513" s="314">
        <f>+L331/$AR$373</f>
        <v>4.9074999999999998</v>
      </c>
      <c r="M513" s="308">
        <f>+(L513/L507-1)*100</f>
        <v>-0.58242593061533787</v>
      </c>
      <c r="N513" s="314">
        <f>+N331/$AR$373</f>
        <v>-0.89562499999999967</v>
      </c>
      <c r="O513" s="308">
        <f>+(N513/N507-1)*100</f>
        <v>63.397947548460643</v>
      </c>
      <c r="P513" s="314">
        <f>+P331/$AR$373</f>
        <v>0.18862499999999996</v>
      </c>
      <c r="Q513" s="308">
        <f>+(P513/P507-1)*100</f>
        <v>0</v>
      </c>
      <c r="R513" s="314">
        <f>+R331/$AR$373</f>
        <v>3.5310000000000028</v>
      </c>
      <c r="S513" s="308"/>
      <c r="T513" s="314" t="e">
        <f>+T331/$AR$373</f>
        <v>#DIV/0!</v>
      </c>
      <c r="U513" s="308" t="e">
        <f>+(T513/T507-1)*100</f>
        <v>#DIV/0!</v>
      </c>
      <c r="V513" s="314">
        <f>+V331/$AR$373</f>
        <v>0.08</v>
      </c>
      <c r="W513" s="317">
        <f>+(V513/V507-1)*100</f>
        <v>23.076923076923105</v>
      </c>
      <c r="X513" s="317"/>
      <c r="Y513" s="317"/>
      <c r="Z513" s="314">
        <f>+Z397/$AR$373</f>
        <v>0</v>
      </c>
      <c r="AA513" s="317"/>
      <c r="AB513" s="314"/>
      <c r="AC513" s="308"/>
      <c r="AD513" s="307"/>
      <c r="AE513" s="308"/>
      <c r="AF513" s="307"/>
      <c r="AG513" s="308"/>
      <c r="AH513" s="307"/>
      <c r="AI513" s="308"/>
      <c r="AJ513" s="307"/>
      <c r="AK513" s="308"/>
      <c r="AL513" s="307"/>
      <c r="AM513" s="308"/>
      <c r="AN513" s="307"/>
      <c r="AO513" s="308"/>
      <c r="AP513" s="30"/>
      <c r="AQ513" s="453">
        <f>H513+J513+L513+V513</f>
        <v>13.491249999999999</v>
      </c>
      <c r="AR513" s="308">
        <f>+(AQ513/AQ507-1)*100</f>
        <v>-1.2805268453306429</v>
      </c>
      <c r="AS513" s="308"/>
      <c r="AT513" s="30"/>
      <c r="AU513" s="30"/>
      <c r="AV513" s="30"/>
      <c r="AW513" s="321"/>
      <c r="AX513" s="308"/>
      <c r="AY513" s="308"/>
      <c r="AZ513" s="321"/>
      <c r="BA513" s="317"/>
      <c r="BB513" s="308"/>
      <c r="BC513" s="317"/>
      <c r="BD513" s="317"/>
      <c r="BE513" s="317"/>
      <c r="BF513" s="308"/>
      <c r="BG513" s="330"/>
      <c r="BH513" s="317"/>
      <c r="BI513" s="317"/>
      <c r="BJ513" s="308"/>
      <c r="BK513" s="314"/>
      <c r="BL513" s="317"/>
      <c r="BM513" s="317"/>
      <c r="BN513" s="308"/>
      <c r="BO513" s="314"/>
      <c r="BP513" s="317"/>
      <c r="BQ513" s="317"/>
      <c r="BR513" s="317"/>
      <c r="BS513" s="308"/>
      <c r="BT513" s="314"/>
      <c r="BU513" s="317"/>
      <c r="BV513" s="317"/>
      <c r="BW513" s="317"/>
      <c r="BX513" s="308"/>
      <c r="BY513" s="314"/>
      <c r="BZ513" s="317"/>
      <c r="CA513" s="317"/>
      <c r="CB513" s="317"/>
      <c r="CC513" s="308"/>
      <c r="CD513" s="307"/>
      <c r="CE513" s="317"/>
      <c r="CF513" s="317"/>
      <c r="CG513" s="317"/>
      <c r="CH513" s="308"/>
      <c r="CI513" s="314"/>
      <c r="CJ513" s="317"/>
      <c r="CK513" s="317"/>
      <c r="CL513" s="308"/>
      <c r="CM513" s="314"/>
      <c r="CN513" s="317"/>
      <c r="CO513" s="308"/>
      <c r="CP513" s="314"/>
      <c r="CQ513" s="317"/>
      <c r="CR513" s="308"/>
      <c r="CS513" s="314"/>
      <c r="CT513" s="317"/>
      <c r="CU513" s="308"/>
      <c r="CV513" s="314"/>
      <c r="CW513" s="317"/>
      <c r="CX513" s="308"/>
      <c r="CY513" s="314"/>
      <c r="CZ513" s="317"/>
      <c r="DA513" s="308"/>
      <c r="DB513" s="314"/>
      <c r="DC513" s="317"/>
      <c r="DD513" s="308"/>
      <c r="DE513" s="314"/>
      <c r="DF513" s="317"/>
      <c r="DG513" s="308"/>
      <c r="DH513" s="314"/>
      <c r="DI513" s="317"/>
      <c r="DJ513" s="317"/>
      <c r="DK513" s="317"/>
      <c r="DL513" s="317"/>
    </row>
    <row r="514" spans="1:116">
      <c r="A514" s="30" t="str">
        <f>+A332</f>
        <v>2Q</v>
      </c>
      <c r="B514" s="30" t="str">
        <f>+B332</f>
        <v>Jul</v>
      </c>
      <c r="C514" s="30"/>
      <c r="D514" s="321"/>
      <c r="E514" s="308"/>
      <c r="F514" s="321"/>
      <c r="G514" s="317"/>
      <c r="H514" s="314">
        <f>+H332/$AR$373</f>
        <v>0.80999999999999994</v>
      </c>
      <c r="I514" s="308">
        <f>+(H514/H508-1)*100</f>
        <v>-21.549636803874094</v>
      </c>
      <c r="J514" s="314">
        <f>+J332/$AR$373</f>
        <v>7.7512500000000006</v>
      </c>
      <c r="K514" s="308">
        <f>+(J514/J508-1)*100</f>
        <v>1.4727540500736547</v>
      </c>
      <c r="L514" s="314">
        <f>+L332/$AR$373</f>
        <v>4.8949999999999996</v>
      </c>
      <c r="M514" s="308">
        <f>+(L514/L508-1)*100</f>
        <v>-0.70993914807302438</v>
      </c>
      <c r="N514" s="314">
        <f>+N332/$AR$373</f>
        <v>-0.89562499999999967</v>
      </c>
      <c r="O514" s="308">
        <f>+(N514/N508-1)*100</f>
        <v>63.397947548460643</v>
      </c>
      <c r="P514" s="314">
        <f>+P332/$AR$373</f>
        <v>0.18862499999999996</v>
      </c>
      <c r="Q514" s="308">
        <f>+(P514/P508-1)*100</f>
        <v>0</v>
      </c>
      <c r="R514" s="314">
        <f>+R332/$AR$373</f>
        <v>3.508812500000003</v>
      </c>
      <c r="S514" s="308"/>
      <c r="T514" s="314" t="e">
        <f>+T332/$AR$373</f>
        <v>#DIV/0!</v>
      </c>
      <c r="U514" s="308" t="e">
        <f>+(T514/T508-1)*100</f>
        <v>#DIV/0!</v>
      </c>
      <c r="V514" s="314">
        <f>+V332/$AR$373</f>
        <v>8.7500000000000008E-2</v>
      </c>
      <c r="W514" s="317">
        <f>+(V514/V508-1)*100</f>
        <v>29.629629629629651</v>
      </c>
      <c r="X514" s="317"/>
      <c r="Y514" s="317"/>
      <c r="Z514" s="314">
        <f>+Z398/$AR$373</f>
        <v>0</v>
      </c>
      <c r="AA514" s="317"/>
      <c r="AB514" s="314"/>
      <c r="AC514" s="308"/>
      <c r="AD514" s="307"/>
      <c r="AE514" s="308"/>
      <c r="AF514" s="307"/>
      <c r="AG514" s="308"/>
      <c r="AH514" s="307"/>
      <c r="AI514" s="308"/>
      <c r="AJ514" s="307"/>
      <c r="AK514" s="308"/>
      <c r="AL514" s="307"/>
      <c r="AM514" s="308"/>
      <c r="AN514" s="307"/>
      <c r="AO514" s="308"/>
      <c r="AP514" s="30"/>
      <c r="AQ514" s="453">
        <f>H514+J514+L514+V514</f>
        <v>13.543750000000001</v>
      </c>
      <c r="AR514" s="308">
        <f>+(AQ514/AQ508-1)*100</f>
        <v>-0.91449474165522515</v>
      </c>
      <c r="AS514" s="308"/>
      <c r="AT514" s="30"/>
      <c r="AU514" s="30"/>
      <c r="AV514" s="30"/>
      <c r="AW514" s="321"/>
      <c r="AX514" s="308"/>
      <c r="AY514" s="308"/>
      <c r="AZ514" s="321"/>
      <c r="BA514" s="317"/>
      <c r="BB514" s="308"/>
      <c r="BC514" s="317"/>
      <c r="BD514" s="317"/>
      <c r="BE514" s="317"/>
      <c r="BF514" s="308"/>
      <c r="BG514" s="330"/>
      <c r="BH514" s="317"/>
      <c r="BI514" s="317"/>
      <c r="BJ514" s="308"/>
      <c r="BK514" s="314"/>
      <c r="BL514" s="317"/>
      <c r="BM514" s="317"/>
      <c r="BN514" s="308"/>
      <c r="BO514" s="314"/>
      <c r="BP514" s="317"/>
      <c r="BQ514" s="317"/>
      <c r="BR514" s="317"/>
      <c r="BS514" s="308"/>
      <c r="BT514" s="314"/>
      <c r="BU514" s="317"/>
      <c r="BV514" s="317"/>
      <c r="BW514" s="317"/>
      <c r="BX514" s="308"/>
      <c r="BY514" s="314"/>
      <c r="BZ514" s="317"/>
      <c r="CA514" s="317"/>
      <c r="CB514" s="317"/>
      <c r="CC514" s="308"/>
      <c r="CD514" s="307"/>
      <c r="CE514" s="317"/>
      <c r="CF514" s="317"/>
      <c r="CG514" s="317"/>
      <c r="CH514" s="308"/>
      <c r="CI514" s="314"/>
      <c r="CJ514" s="317"/>
      <c r="CK514" s="317"/>
      <c r="CL514" s="308"/>
      <c r="CM514" s="314"/>
      <c r="CN514" s="317"/>
      <c r="CO514" s="308"/>
      <c r="CP514" s="314"/>
      <c r="CQ514" s="317"/>
      <c r="CR514" s="308"/>
      <c r="CS514" s="314"/>
      <c r="CT514" s="317"/>
      <c r="CU514" s="308"/>
      <c r="CV514" s="314"/>
      <c r="CW514" s="317"/>
      <c r="CX514" s="308"/>
      <c r="CY514" s="314"/>
      <c r="CZ514" s="317"/>
      <c r="DA514" s="308"/>
      <c r="DB514" s="314"/>
      <c r="DC514" s="317"/>
      <c r="DD514" s="308"/>
      <c r="DE514" s="314"/>
      <c r="DF514" s="317"/>
      <c r="DG514" s="308"/>
      <c r="DH514" s="314"/>
      <c r="DI514" s="317"/>
      <c r="DJ514" s="317"/>
      <c r="DK514" s="317"/>
      <c r="DL514" s="317"/>
    </row>
    <row r="515" spans="1:116">
      <c r="A515" s="30" t="str">
        <f>+A333</f>
        <v>3Q</v>
      </c>
      <c r="B515" s="30" t="str">
        <f>+B333</f>
        <v>Oct</v>
      </c>
      <c r="C515" s="30"/>
      <c r="D515" s="321"/>
      <c r="E515" s="308"/>
      <c r="F515" s="321"/>
      <c r="G515" s="317"/>
      <c r="H515" s="314">
        <f>+H333/$AR$373</f>
        <v>0.68625000000000003</v>
      </c>
      <c r="I515" s="308">
        <f>+(H515/H509-1)*100</f>
        <v>-33.535108958837768</v>
      </c>
      <c r="J515" s="314">
        <f>+J333/$AR$373</f>
        <v>7.9124999999999996</v>
      </c>
      <c r="K515" s="308">
        <f>+(J515/J509-1)*100</f>
        <v>2.9770619814543542</v>
      </c>
      <c r="L515" s="314">
        <f>+L333/$AR$373</f>
        <v>4.88375</v>
      </c>
      <c r="M515" s="308">
        <f>+(L515/L509-1)*100</f>
        <v>-0.96324461343471057</v>
      </c>
      <c r="N515" s="314">
        <f>+N333/$AR$373</f>
        <v>-1.0693749999999997</v>
      </c>
      <c r="O515" s="308">
        <f>+(N515/N509-1)*100</f>
        <v>48.138528138528173</v>
      </c>
      <c r="P515" s="314">
        <f>+P333/$AR$373</f>
        <v>0.18862499999999996</v>
      </c>
      <c r="Q515" s="308">
        <f>+(P515/P509-1)*100</f>
        <v>0</v>
      </c>
      <c r="R515" s="314">
        <f>+R333/$AR$373</f>
        <v>3.4422500000000031</v>
      </c>
      <c r="S515" s="308"/>
      <c r="T515" s="314" t="e">
        <f>+T333/$AR$373</f>
        <v>#DIV/0!</v>
      </c>
      <c r="U515" s="308" t="e">
        <f>+(T515/T509-1)*100</f>
        <v>#DIV/0!</v>
      </c>
      <c r="V515" s="314">
        <f>+V333/$AR$373</f>
        <v>9.3749999999999986E-2</v>
      </c>
      <c r="W515" s="317">
        <f>+(V515/V509-1)*100</f>
        <v>27.118644067796605</v>
      </c>
      <c r="X515" s="317"/>
      <c r="Y515" s="317"/>
      <c r="Z515" s="314">
        <f>+Z399/$AR$373</f>
        <v>0</v>
      </c>
      <c r="AA515" s="317"/>
      <c r="AB515" s="314"/>
      <c r="AC515" s="308"/>
      <c r="AD515" s="307"/>
      <c r="AE515" s="308"/>
      <c r="AF515" s="307"/>
      <c r="AG515" s="308"/>
      <c r="AH515" s="307"/>
      <c r="AI515" s="308"/>
      <c r="AJ515" s="307"/>
      <c r="AK515" s="308"/>
      <c r="AL515" s="307"/>
      <c r="AM515" s="308"/>
      <c r="AN515" s="307"/>
      <c r="AO515" s="308"/>
      <c r="AP515" s="30"/>
      <c r="AQ515" s="453">
        <f>H515+J515+L515+V515</f>
        <v>13.576249999999998</v>
      </c>
      <c r="AR515" s="308">
        <f>+(AQ515/AQ509-1)*100</f>
        <v>-1.0567550332513664</v>
      </c>
      <c r="AS515" s="308"/>
      <c r="AT515" s="30"/>
      <c r="AU515" s="30"/>
      <c r="AV515" s="30"/>
      <c r="AW515" s="321"/>
      <c r="AX515" s="308"/>
      <c r="AY515" s="308"/>
      <c r="AZ515" s="321"/>
      <c r="BA515" s="317"/>
      <c r="BB515" s="308"/>
      <c r="BC515" s="317"/>
      <c r="BD515" s="317"/>
      <c r="BE515" s="317"/>
      <c r="BF515" s="308"/>
      <c r="BG515" s="330"/>
      <c r="BH515" s="317"/>
      <c r="BI515" s="317"/>
      <c r="BJ515" s="308"/>
      <c r="BK515" s="314"/>
      <c r="BL515" s="317"/>
      <c r="BM515" s="317"/>
      <c r="BN515" s="308"/>
      <c r="BO515" s="314"/>
      <c r="BP515" s="317"/>
      <c r="BQ515" s="317"/>
      <c r="BR515" s="317"/>
      <c r="BS515" s="308"/>
      <c r="BT515" s="314"/>
      <c r="BU515" s="317"/>
      <c r="BV515" s="317"/>
      <c r="BW515" s="317"/>
      <c r="BX515" s="308"/>
      <c r="BY515" s="314"/>
      <c r="BZ515" s="317"/>
      <c r="CA515" s="317"/>
      <c r="CB515" s="317"/>
      <c r="CC515" s="308"/>
      <c r="CD515" s="307"/>
      <c r="CE515" s="317"/>
      <c r="CF515" s="317"/>
      <c r="CG515" s="317"/>
      <c r="CH515" s="308"/>
      <c r="CI515" s="314"/>
      <c r="CJ515" s="317"/>
      <c r="CK515" s="317"/>
      <c r="CL515" s="308"/>
      <c r="CM515" s="314"/>
      <c r="CN515" s="317"/>
      <c r="CO515" s="308"/>
      <c r="CP515" s="314"/>
      <c r="CQ515" s="317"/>
      <c r="CR515" s="308"/>
      <c r="CS515" s="314"/>
      <c r="CT515" s="317"/>
      <c r="CU515" s="308"/>
      <c r="CV515" s="314"/>
      <c r="CW515" s="317"/>
      <c r="CX515" s="308"/>
      <c r="CY515" s="314"/>
      <c r="CZ515" s="317"/>
      <c r="DA515" s="308"/>
      <c r="DB515" s="314"/>
      <c r="DC515" s="317"/>
      <c r="DD515" s="308"/>
      <c r="DE515" s="314"/>
      <c r="DF515" s="317"/>
      <c r="DG515" s="308"/>
      <c r="DH515" s="314"/>
      <c r="DI515" s="317"/>
      <c r="DJ515" s="317"/>
      <c r="DK515" s="317"/>
      <c r="DL515" s="317"/>
    </row>
    <row r="516" spans="1:116">
      <c r="A516" s="30" t="str">
        <f>+A334</f>
        <v>4Q</v>
      </c>
      <c r="B516" s="30" t="str">
        <f>+B334</f>
        <v>Jan</v>
      </c>
      <c r="C516" s="339"/>
      <c r="D516" s="321"/>
      <c r="E516" s="308"/>
      <c r="F516" s="321"/>
      <c r="G516" s="317"/>
      <c r="H516" s="314">
        <f>+H334/$AR$373</f>
        <v>0.63624999999999998</v>
      </c>
      <c r="I516" s="308">
        <f>+(H516/H510-1)*100</f>
        <v>-33.202099737532805</v>
      </c>
      <c r="J516" s="314">
        <f>+J334/$AR$373</f>
        <v>7.9587499999999984</v>
      </c>
      <c r="K516" s="308">
        <f>+(J516/J510-1)*100</f>
        <v>3.1093117408906856</v>
      </c>
      <c r="L516" s="314">
        <f>+L334/$AR$373</f>
        <v>4.8650000000000002</v>
      </c>
      <c r="M516" s="308">
        <f>+(L516/L510-1)*100</f>
        <v>-1.2683916793505667</v>
      </c>
      <c r="N516" s="314">
        <f>+N334/$AR$373</f>
        <v>-1.2431249999999998</v>
      </c>
      <c r="O516" s="308">
        <f>+(N516/N510-1)*100</f>
        <v>38.799720865317553</v>
      </c>
      <c r="P516" s="314">
        <f>+P334/$AR$373</f>
        <v>0.18862499999999996</v>
      </c>
      <c r="Q516" s="308">
        <f>+(P516/P510-1)*100</f>
        <v>0</v>
      </c>
      <c r="R516" s="314">
        <f>+R334/$AR$373</f>
        <v>3.3756875000000033</v>
      </c>
      <c r="S516" s="308"/>
      <c r="T516" s="314" t="e">
        <f>+T334/$AR$373</f>
        <v>#DIV/0!</v>
      </c>
      <c r="U516" s="308" t="e">
        <f>+(T516/T510-1)*100</f>
        <v>#DIV/0!</v>
      </c>
      <c r="V516" s="314">
        <f>+V334/$AR$373</f>
        <v>0.10124999999999999</v>
      </c>
      <c r="W516" s="317">
        <f>+(V516/V510-1)*100</f>
        <v>26.562499999999979</v>
      </c>
      <c r="X516" s="317"/>
      <c r="Y516" s="317"/>
      <c r="Z516" s="314">
        <f>+Z400/$AR$373</f>
        <v>0</v>
      </c>
      <c r="AA516" s="317"/>
      <c r="AB516" s="314"/>
      <c r="AC516" s="308"/>
      <c r="AD516" s="307"/>
      <c r="AE516" s="308"/>
      <c r="AF516" s="307"/>
      <c r="AG516" s="308"/>
      <c r="AH516" s="307"/>
      <c r="AI516" s="308"/>
      <c r="AJ516" s="307"/>
      <c r="AK516" s="308"/>
      <c r="AL516" s="307"/>
      <c r="AM516" s="308"/>
      <c r="AN516" s="307"/>
      <c r="AO516" s="308"/>
      <c r="AP516" s="30"/>
      <c r="AQ516" s="453">
        <f>H516+J516+L516+V516</f>
        <v>13.561249999999999</v>
      </c>
      <c r="AR516" s="308">
        <f>+(AQ516/AQ510-1)*100</f>
        <v>-0.85899661884308864</v>
      </c>
      <c r="AS516" s="308"/>
      <c r="AT516" s="30"/>
      <c r="AU516" s="30"/>
      <c r="AV516" s="30"/>
      <c r="AW516" s="321"/>
      <c r="AX516" s="308"/>
      <c r="AY516" s="308"/>
      <c r="AZ516" s="321"/>
      <c r="BA516" s="317"/>
      <c r="BB516" s="308"/>
      <c r="BC516" s="317"/>
      <c r="BD516" s="317"/>
      <c r="BE516" s="317"/>
      <c r="BF516" s="308"/>
      <c r="BG516" s="314"/>
      <c r="BH516" s="317"/>
      <c r="BI516" s="317"/>
      <c r="BJ516" s="308"/>
      <c r="BK516" s="314"/>
      <c r="BL516" s="317"/>
      <c r="BM516" s="317"/>
      <c r="BN516" s="308"/>
      <c r="BO516" s="314"/>
      <c r="BP516" s="317"/>
      <c r="BQ516" s="317"/>
      <c r="BR516" s="317"/>
      <c r="BS516" s="308"/>
      <c r="BT516" s="314"/>
      <c r="BU516" s="317"/>
      <c r="BV516" s="317"/>
      <c r="BW516" s="317"/>
      <c r="BX516" s="308"/>
      <c r="BY516" s="314"/>
      <c r="BZ516" s="317"/>
      <c r="CA516" s="317"/>
      <c r="CB516" s="317"/>
      <c r="CC516" s="308"/>
      <c r="CD516" s="307"/>
      <c r="CE516" s="317"/>
      <c r="CF516" s="317"/>
      <c r="CG516" s="317"/>
      <c r="CH516" s="308"/>
      <c r="CI516" s="314"/>
      <c r="CJ516" s="317"/>
      <c r="CK516" s="317"/>
      <c r="CL516" s="308"/>
      <c r="CM516" s="314"/>
      <c r="CN516" s="317"/>
      <c r="CO516" s="308"/>
      <c r="CP516" s="314"/>
      <c r="CQ516" s="317"/>
      <c r="CR516" s="308"/>
      <c r="CS516" s="314"/>
      <c r="CT516" s="317"/>
      <c r="CU516" s="308"/>
      <c r="CV516" s="314"/>
      <c r="CW516" s="317"/>
      <c r="CX516" s="308"/>
      <c r="CY516" s="314"/>
      <c r="CZ516" s="317"/>
      <c r="DA516" s="308"/>
      <c r="DB516" s="314"/>
      <c r="DC516" s="317"/>
      <c r="DD516" s="308"/>
      <c r="DE516" s="314"/>
      <c r="DF516" s="317"/>
      <c r="DG516" s="308"/>
      <c r="DH516" s="314"/>
      <c r="DI516" s="317"/>
      <c r="DJ516" s="317"/>
      <c r="DK516" s="317"/>
      <c r="DL516" s="317"/>
    </row>
    <row r="518" spans="1:116">
      <c r="A518" s="301"/>
      <c r="B518" s="312" t="str">
        <f>+B336</f>
        <v>2013A</v>
      </c>
    </row>
    <row r="519" spans="1:116">
      <c r="A519" s="30" t="str">
        <f>+A337</f>
        <v>1Q</v>
      </c>
      <c r="B519" s="30" t="str">
        <f>+B337</f>
        <v>Apr</v>
      </c>
      <c r="H519" s="314">
        <f>+H337/$AR$373</f>
        <v>0.63</v>
      </c>
      <c r="I519" s="308">
        <f>+(H519/H513-1)*100</f>
        <v>-23.636363636363633</v>
      </c>
      <c r="J519" s="314">
        <f>+J337/$AR$373</f>
        <v>7.9137500000000003</v>
      </c>
      <c r="K519" s="308">
        <f>+(J519/J513-1)*100</f>
        <v>3.0603939443268668</v>
      </c>
      <c r="L519" s="314">
        <f>+L337/$AR$373</f>
        <v>4.8562499999999993</v>
      </c>
      <c r="M519" s="308">
        <f>+(L519/L513-1)*100</f>
        <v>-1.0443199184921093</v>
      </c>
      <c r="N519" s="314">
        <f>+N337/$AR$373</f>
        <v>-1.2431249999999998</v>
      </c>
      <c r="O519" s="308">
        <f>+(N519/N513-1)*100</f>
        <v>38.799720865317553</v>
      </c>
      <c r="P519" s="314">
        <f>+P337/$AR$373</f>
        <v>0.18862499999999996</v>
      </c>
      <c r="Q519" s="308">
        <f>+(P519/P513-1)*100</f>
        <v>0</v>
      </c>
      <c r="R519" s="314">
        <f>+R337/$AR$373</f>
        <v>3.3535000000000035</v>
      </c>
      <c r="S519" s="308"/>
      <c r="T519" s="314" t="e">
        <f>+T337/$AR$373</f>
        <v>#DIV/0!</v>
      </c>
      <c r="U519" s="308" t="e">
        <f>+(T519/T513-1)*100</f>
        <v>#DIV/0!</v>
      </c>
      <c r="V519" s="314">
        <f>+V337/$AR$373</f>
        <v>0.10124999999999999</v>
      </c>
      <c r="W519" s="317">
        <f>+(V519/V513-1)*100</f>
        <v>26.562499999999979</v>
      </c>
      <c r="X519" s="317"/>
      <c r="Y519" s="317"/>
      <c r="Z519" s="314">
        <f>+Z403/$AR$373</f>
        <v>0</v>
      </c>
      <c r="AA519" s="317"/>
      <c r="AB519" s="314"/>
      <c r="AC519" s="308"/>
      <c r="AD519" s="307"/>
      <c r="AE519" s="308"/>
      <c r="AF519" s="307"/>
      <c r="AG519" s="308"/>
      <c r="AH519" s="307"/>
      <c r="AI519" s="308"/>
      <c r="AJ519" s="307"/>
      <c r="AK519" s="308"/>
      <c r="AL519" s="307"/>
      <c r="AM519" s="308"/>
      <c r="AN519" s="307"/>
      <c r="AO519" s="308"/>
      <c r="AP519" s="30"/>
      <c r="AQ519" s="453">
        <f>H519+J519+L519+V519</f>
        <v>13.501250000000001</v>
      </c>
      <c r="AR519" s="308">
        <f>+(AQ519/AQ513-1)*100</f>
        <v>7.4122116186425835E-2</v>
      </c>
    </row>
    <row r="520" spans="1:116">
      <c r="A520" s="30" t="str">
        <f>+A338</f>
        <v>2Q</v>
      </c>
      <c r="B520" s="30" t="str">
        <f>+B338</f>
        <v>Jul</v>
      </c>
      <c r="H520" s="314">
        <f>+H338/$AR$373</f>
        <v>0.62624999999999997</v>
      </c>
      <c r="I520" s="308">
        <f>+(H520/H514-1)*100</f>
        <v>-22.685185185185187</v>
      </c>
      <c r="J520" s="314">
        <f>+J338/$AR$373</f>
        <v>8.0212500000000002</v>
      </c>
      <c r="K520" s="308">
        <f>+(J520/J514-1)*100</f>
        <v>3.483309143686486</v>
      </c>
      <c r="L520" s="314">
        <f>+L338/$AR$373</f>
        <v>4.8525</v>
      </c>
      <c r="M520" s="308">
        <f>+(L520/L514-1)*100</f>
        <v>-0.86823289070478982</v>
      </c>
      <c r="N520" s="314">
        <f>+N338/$AR$373</f>
        <v>-1.2431249999999998</v>
      </c>
      <c r="O520" s="308">
        <f>+(N520/N514-1)*100</f>
        <v>38.799720865317553</v>
      </c>
      <c r="P520" s="314">
        <f>+P338/$AR$373</f>
        <v>0.18862499999999996</v>
      </c>
      <c r="Q520" s="308">
        <f>+(P520/P514-1)*100</f>
        <v>0</v>
      </c>
      <c r="R520" s="314">
        <f>+R338/$AR$373</f>
        <v>3.3313125000000037</v>
      </c>
      <c r="S520" s="308"/>
      <c r="T520" s="314" t="e">
        <f>+T338/$AR$373</f>
        <v>#DIV/0!</v>
      </c>
      <c r="U520" s="308" t="e">
        <f>+(T520/T514-1)*100</f>
        <v>#DIV/0!</v>
      </c>
      <c r="V520" s="314">
        <f>+V338/$AR$373</f>
        <v>0.10124999999999999</v>
      </c>
      <c r="W520" s="317">
        <f>+(V520/V514-1)*100</f>
        <v>15.714285714285703</v>
      </c>
      <c r="X520" s="317"/>
      <c r="Y520" s="317"/>
      <c r="Z520" s="314">
        <f>+Z404/$AR$373</f>
        <v>0</v>
      </c>
      <c r="AA520" s="317"/>
      <c r="AB520" s="314"/>
      <c r="AC520" s="308"/>
      <c r="AD520" s="307"/>
      <c r="AE520" s="308"/>
      <c r="AF520" s="307"/>
      <c r="AG520" s="308"/>
      <c r="AH520" s="307"/>
      <c r="AI520" s="308"/>
      <c r="AJ520" s="307"/>
      <c r="AK520" s="308"/>
      <c r="AL520" s="307"/>
      <c r="AM520" s="308"/>
      <c r="AN520" s="307"/>
      <c r="AO520" s="308"/>
      <c r="AP520" s="30"/>
      <c r="AQ520" s="453">
        <f>H520+J520+L520+V520</f>
        <v>13.60125</v>
      </c>
      <c r="AR520" s="308">
        <f>+(AQ520/AQ514-1)*100</f>
        <v>0.42455006922010874</v>
      </c>
    </row>
    <row r="521" spans="1:116">
      <c r="A521" s="30" t="str">
        <f>+A339</f>
        <v>3Q</v>
      </c>
      <c r="B521" s="30" t="str">
        <f>+B339</f>
        <v>Oct</v>
      </c>
      <c r="H521" s="314">
        <f>+H339/$AR$373</f>
        <v>0.625</v>
      </c>
      <c r="I521" s="308">
        <f>+(H521/H515-1)*100</f>
        <v>-8.9253187613843377</v>
      </c>
      <c r="J521" s="314">
        <f>+J339/$AR$373</f>
        <v>8.3187499999999996</v>
      </c>
      <c r="K521" s="308">
        <f>+(J521/J515-1)*100</f>
        <v>5.1342812006319072</v>
      </c>
      <c r="L521" s="314">
        <f>+L339/$AR$373</f>
        <v>4.8649999999999993</v>
      </c>
      <c r="M521" s="308">
        <f>+(L521/L515-1)*100</f>
        <v>-0.38392628615306901</v>
      </c>
      <c r="N521" s="314">
        <f>+N339/$AR$373</f>
        <v>-1.4168749999999999</v>
      </c>
      <c r="O521" s="308">
        <f>+(N521/N515-1)*100</f>
        <v>32.495616598480439</v>
      </c>
      <c r="P521" s="314">
        <f>+P339/$AR$373</f>
        <v>0.18862499999999996</v>
      </c>
      <c r="Q521" s="308">
        <f>+(P521/P515-1)*100</f>
        <v>0</v>
      </c>
      <c r="R521" s="314">
        <f>+R339/$AR$373</f>
        <v>3.2647500000000038</v>
      </c>
      <c r="S521" s="308"/>
      <c r="T521" s="314" t="e">
        <f>+T339/$AR$373</f>
        <v>#DIV/0!</v>
      </c>
      <c r="U521" s="308" t="e">
        <f>+(T521/T515-1)*100</f>
        <v>#DIV/0!</v>
      </c>
      <c r="V521" s="314">
        <f>+V339/$AR$373</f>
        <v>0.10124999999999999</v>
      </c>
      <c r="W521" s="317">
        <f>+(V521/V515-1)*100</f>
        <v>8.0000000000000071</v>
      </c>
      <c r="X521" s="317"/>
      <c r="Y521" s="317"/>
      <c r="Z521" s="314">
        <f>+Z405/$AR$373</f>
        <v>0</v>
      </c>
      <c r="AA521" s="317"/>
      <c r="AB521" s="314"/>
      <c r="AC521" s="308"/>
      <c r="AD521" s="307"/>
      <c r="AE521" s="308"/>
      <c r="AF521" s="307"/>
      <c r="AG521" s="308"/>
      <c r="AH521" s="307"/>
      <c r="AI521" s="308"/>
      <c r="AJ521" s="307"/>
      <c r="AK521" s="308"/>
      <c r="AL521" s="307"/>
      <c r="AM521" s="308"/>
      <c r="AN521" s="307"/>
      <c r="AO521" s="308"/>
      <c r="AP521" s="30"/>
      <c r="AQ521" s="453">
        <f>H521+J521+L521+V521</f>
        <v>13.91</v>
      </c>
      <c r="AR521" s="308">
        <f>+(AQ521/AQ515-1)*100</f>
        <v>2.4583371696897283</v>
      </c>
    </row>
    <row r="522" spans="1:116">
      <c r="A522" s="30" t="str">
        <f>+A340</f>
        <v>4Q</v>
      </c>
      <c r="B522" s="30" t="str">
        <f>+B340</f>
        <v>Jan</v>
      </c>
      <c r="H522" s="314">
        <f>+H340/$AR$373</f>
        <v>0.625</v>
      </c>
      <c r="I522" s="308">
        <f>+(H522/H516-1)*100</f>
        <v>-1.7681728880157177</v>
      </c>
      <c r="J522" s="314">
        <f>+J340/$AR$373</f>
        <v>8.3875000000000011</v>
      </c>
      <c r="K522" s="308">
        <f>+(J522/J516-1)*100</f>
        <v>5.3871525051044866</v>
      </c>
      <c r="L522" s="314">
        <f>+L340/$AR$373</f>
        <v>4.8475000000000001</v>
      </c>
      <c r="M522" s="308">
        <f>+(L522/L516-1)*100</f>
        <v>-0.3597122302158251</v>
      </c>
      <c r="N522" s="314">
        <f>+N340/$AR$373</f>
        <v>-1.590625</v>
      </c>
      <c r="O522" s="308">
        <f>+(N522/N516-1)*100</f>
        <v>27.953745600804435</v>
      </c>
      <c r="P522" s="314">
        <f>+P340/$AR$373</f>
        <v>0.18862499999999996</v>
      </c>
      <c r="Q522" s="308">
        <f>+(P522/P516-1)*100</f>
        <v>0</v>
      </c>
      <c r="R522" s="314">
        <f>+R340/$AR$373</f>
        <v>3.198187500000004</v>
      </c>
      <c r="S522" s="308"/>
      <c r="T522" s="314" t="e">
        <f>+T340/$AR$373</f>
        <v>#DIV/0!</v>
      </c>
      <c r="U522" s="308" t="e">
        <f>+(T522/T516-1)*100</f>
        <v>#DIV/0!</v>
      </c>
      <c r="V522" s="314">
        <f>+V340/$AR$373</f>
        <v>0.10124999999999999</v>
      </c>
      <c r="W522" s="317">
        <f>+(V522/V516-1)*100</f>
        <v>0</v>
      </c>
      <c r="X522" s="317"/>
      <c r="Y522" s="317"/>
      <c r="Z522" s="314">
        <f>+Z406/$AR$373</f>
        <v>0</v>
      </c>
      <c r="AA522" s="317"/>
      <c r="AB522" s="314"/>
      <c r="AC522" s="308"/>
      <c r="AD522" s="307"/>
      <c r="AE522" s="308"/>
      <c r="AF522" s="307"/>
      <c r="AG522" s="308"/>
      <c r="AH522" s="307"/>
      <c r="AI522" s="308"/>
      <c r="AJ522" s="307"/>
      <c r="AK522" s="308"/>
      <c r="AL522" s="307"/>
      <c r="AM522" s="308"/>
      <c r="AN522" s="307"/>
      <c r="AO522" s="308"/>
      <c r="AP522" s="30"/>
      <c r="AQ522" s="453">
        <f>H522+J522+L522+V522</f>
        <v>13.961250000000001</v>
      </c>
      <c r="AR522" s="308">
        <f>+(AQ522/AQ516-1)*100</f>
        <v>2.9495806065075181</v>
      </c>
    </row>
    <row r="524" spans="1:116">
      <c r="A524" s="301"/>
      <c r="B524" s="312" t="str">
        <f>+B342</f>
        <v>2014A</v>
      </c>
    </row>
    <row r="525" spans="1:116">
      <c r="A525" s="30" t="str">
        <f>+A343</f>
        <v>1Q</v>
      </c>
      <c r="B525" s="30" t="str">
        <f>+B343</f>
        <v>Apr</v>
      </c>
      <c r="H525" s="314">
        <f>+H343/$AR$373</f>
        <v>0.60124999999999995</v>
      </c>
      <c r="I525" s="308">
        <f>+(H525/H519-1)*100</f>
        <v>-4.5634920634920695</v>
      </c>
      <c r="J525" s="314">
        <f>+J343/$AR$373</f>
        <v>8.3562499999999993</v>
      </c>
      <c r="K525" s="308">
        <f>+(J525/J519-1)*100</f>
        <v>5.5915337229505369</v>
      </c>
      <c r="L525" s="314">
        <f>+L343/$AR$373</f>
        <v>4.8337499999999993</v>
      </c>
      <c r="M525" s="308">
        <f>+(L525/L519-1)*100</f>
        <v>-0.46332046332046017</v>
      </c>
      <c r="N525" s="314">
        <f>+N343/$AR$373</f>
        <v>-1.590625</v>
      </c>
      <c r="O525" s="308">
        <f>+(N525/N519-1)*100</f>
        <v>27.953745600804435</v>
      </c>
      <c r="P525" s="314">
        <f>+P343/$AR$373</f>
        <v>0.18862499999999996</v>
      </c>
      <c r="Q525" s="308">
        <f>+(P525/P519-1)*100</f>
        <v>0</v>
      </c>
      <c r="R525" s="314">
        <f>+R343/$AR$373</f>
        <v>3.1760000000000042</v>
      </c>
      <c r="S525" s="308"/>
      <c r="T525" s="314" t="e">
        <f>+T343/$AR$373</f>
        <v>#DIV/0!</v>
      </c>
      <c r="U525" s="308" t="e">
        <f>+(T525/T519-1)*100</f>
        <v>#DIV/0!</v>
      </c>
      <c r="V525" s="314">
        <f>+V343/$AR$373</f>
        <v>0.10124999999999999</v>
      </c>
      <c r="W525" s="317">
        <f>+(V525/V519-1)*100</f>
        <v>0</v>
      </c>
      <c r="X525" s="317"/>
      <c r="Y525" s="317"/>
      <c r="Z525" s="314">
        <f>+Z409/$AR$373</f>
        <v>0</v>
      </c>
      <c r="AA525" s="317"/>
      <c r="AB525" s="314"/>
      <c r="AC525" s="308"/>
      <c r="AD525" s="307"/>
      <c r="AE525" s="308"/>
      <c r="AF525" s="307"/>
      <c r="AG525" s="308"/>
      <c r="AH525" s="307"/>
      <c r="AI525" s="308"/>
      <c r="AJ525" s="307"/>
      <c r="AK525" s="308"/>
      <c r="AL525" s="307"/>
      <c r="AM525" s="308"/>
      <c r="AN525" s="307"/>
      <c r="AO525" s="308"/>
      <c r="AP525" s="30"/>
      <c r="AQ525" s="453">
        <f>H525+J525+L525+V525</f>
        <v>13.892499999999998</v>
      </c>
      <c r="AR525" s="308">
        <f>+(AQ525/AQ519-1)*100</f>
        <v>2.8978798259420291</v>
      </c>
    </row>
    <row r="526" spans="1:116">
      <c r="A526" s="30" t="str">
        <f>+A344</f>
        <v>2Q</v>
      </c>
      <c r="B526" s="30" t="str">
        <f>+B344</f>
        <v>Jul</v>
      </c>
      <c r="H526" s="314">
        <f>+H344/$AR$373</f>
        <v>0.6</v>
      </c>
      <c r="I526" s="308">
        <f>+(H526/H520-1)*100</f>
        <v>-4.1916167664670656</v>
      </c>
      <c r="J526" s="314">
        <f>+J344/$AR$373</f>
        <v>8.4687499999999982</v>
      </c>
      <c r="K526" s="308">
        <f>+(J526/J520-1)*100</f>
        <v>5.5789309646251839</v>
      </c>
      <c r="L526" s="314">
        <f>+L344/$AR$373</f>
        <v>4.84375</v>
      </c>
      <c r="M526" s="308">
        <f>+(L526/L520-1)*100</f>
        <v>-0.1803194229778482</v>
      </c>
      <c r="N526" s="314">
        <f>+N344/$AR$373</f>
        <v>-1.590625</v>
      </c>
      <c r="O526" s="308">
        <f>+(N526/N520-1)*100</f>
        <v>27.953745600804435</v>
      </c>
      <c r="P526" s="314">
        <f>+P344/$AR$373</f>
        <v>0.18862499999999996</v>
      </c>
      <c r="Q526" s="308">
        <f>+(P526/P520-1)*100</f>
        <v>0</v>
      </c>
      <c r="R526" s="314">
        <f>+R344/$AR$373</f>
        <v>3.1538125000000043</v>
      </c>
      <c r="S526" s="308"/>
      <c r="T526" s="314" t="e">
        <f>+T344/$AR$373</f>
        <v>#DIV/0!</v>
      </c>
      <c r="U526" s="308" t="e">
        <f>+(T526/T520-1)*100</f>
        <v>#DIV/0!</v>
      </c>
      <c r="V526" s="314">
        <f>+V344/$AR$373</f>
        <v>0.10124999999999999</v>
      </c>
      <c r="W526" s="317">
        <f>+(V526/V520-1)*100</f>
        <v>0</v>
      </c>
      <c r="X526" s="317"/>
      <c r="Y526" s="317"/>
      <c r="Z526" s="314">
        <f>+Z410/$AR$373</f>
        <v>0</v>
      </c>
      <c r="AA526" s="317"/>
      <c r="AB526" s="314"/>
      <c r="AC526" s="308"/>
      <c r="AD526" s="307"/>
      <c r="AE526" s="308"/>
      <c r="AF526" s="307"/>
      <c r="AG526" s="308"/>
      <c r="AH526" s="307"/>
      <c r="AI526" s="308"/>
      <c r="AJ526" s="307"/>
      <c r="AK526" s="308"/>
      <c r="AL526" s="307"/>
      <c r="AM526" s="308"/>
      <c r="AN526" s="307"/>
      <c r="AO526" s="308"/>
      <c r="AP526" s="30"/>
      <c r="AQ526" s="453">
        <f>H526+J526+L526+V526</f>
        <v>14.013749999999998</v>
      </c>
      <c r="AR526" s="308">
        <f>+(AQ526/AQ520-1)*100</f>
        <v>3.0328094844223719</v>
      </c>
    </row>
    <row r="527" spans="1:116">
      <c r="A527" s="30" t="str">
        <f>+A345</f>
        <v>3Q</v>
      </c>
      <c r="B527" s="30" t="str">
        <f>+B345</f>
        <v>Oct</v>
      </c>
      <c r="H527" s="314">
        <f>+H345/$AR$373</f>
        <v>0.58374999999999999</v>
      </c>
      <c r="I527" s="308">
        <f>+(H527/H521-1)*100</f>
        <v>-6.6000000000000059</v>
      </c>
      <c r="J527" s="314">
        <f>+J345/$AR$373</f>
        <v>8.7062499999999989</v>
      </c>
      <c r="K527" s="308">
        <f>+(J527/J521-1)*100</f>
        <v>4.6581517655897686</v>
      </c>
      <c r="L527" s="314">
        <f>+L345/$AR$373</f>
        <v>4.8724999999999996</v>
      </c>
      <c r="M527" s="308">
        <f>+(L527/L521-1)*100</f>
        <v>0.15416238437822027</v>
      </c>
      <c r="N527" s="314">
        <f>+N345/$AR$373</f>
        <v>-1.7643749999999998</v>
      </c>
      <c r="O527" s="308">
        <f>+(N527/N521-1)*100</f>
        <v>24.525805028672252</v>
      </c>
      <c r="P527" s="314">
        <f>+P345/$AR$373</f>
        <v>0.18862499999999996</v>
      </c>
      <c r="Q527" s="308">
        <f>+(P527/P521-1)*100</f>
        <v>0</v>
      </c>
      <c r="R527" s="314">
        <f>+R345/$AR$373</f>
        <v>3.0872500000000045</v>
      </c>
      <c r="S527" s="308"/>
      <c r="T527" s="314" t="e">
        <f>+T345/$AR$373</f>
        <v>#DIV/0!</v>
      </c>
      <c r="U527" s="308" t="e">
        <f>+(T527/T521-1)*100</f>
        <v>#DIV/0!</v>
      </c>
      <c r="V527" s="314">
        <f>+V345/$AR$373</f>
        <v>0.10124999999999999</v>
      </c>
      <c r="W527" s="317">
        <f>+(V527/V521-1)*100</f>
        <v>0</v>
      </c>
      <c r="X527" s="317"/>
      <c r="Y527" s="317"/>
      <c r="Z527" s="314">
        <f>+Z411/$AR$373</f>
        <v>0</v>
      </c>
      <c r="AA527" s="317"/>
      <c r="AB527" s="314"/>
      <c r="AC527" s="308"/>
      <c r="AD527" s="307"/>
      <c r="AE527" s="308"/>
      <c r="AF527" s="307"/>
      <c r="AG527" s="308"/>
      <c r="AH527" s="307"/>
      <c r="AI527" s="308"/>
      <c r="AJ527" s="307"/>
      <c r="AK527" s="308"/>
      <c r="AL527" s="307"/>
      <c r="AM527" s="308"/>
      <c r="AN527" s="307"/>
      <c r="AO527" s="308"/>
      <c r="AP527" s="30"/>
      <c r="AQ527" s="453">
        <f>H527+J527+L527+V527</f>
        <v>14.263749999999998</v>
      </c>
      <c r="AR527" s="308">
        <f>+(AQ527/AQ521-1)*100</f>
        <v>2.5431344356577901</v>
      </c>
    </row>
    <row r="528" spans="1:116" ht="13.5" customHeight="1">
      <c r="A528" s="30" t="str">
        <f>+A346</f>
        <v>4Q</v>
      </c>
      <c r="B528" s="30" t="str">
        <f>+B346</f>
        <v>Jan</v>
      </c>
      <c r="H528" s="314">
        <f>+H346/$AR$373</f>
        <v>0.56499999999999995</v>
      </c>
      <c r="I528" s="308">
        <f>+(H528/H522-1)*100</f>
        <v>-9.6000000000000085</v>
      </c>
      <c r="J528" s="314">
        <f>+J346/$AR$373</f>
        <v>8.7575000000000003</v>
      </c>
      <c r="K528" s="308">
        <f>+(J528/J522-1)*100</f>
        <v>4.4113263785394929</v>
      </c>
      <c r="L528" s="314">
        <f>+L346/$AR$373</f>
        <v>4.8649999999999993</v>
      </c>
      <c r="M528" s="308">
        <f>+(L528/L522-1)*100</f>
        <v>0.36101083032489267</v>
      </c>
      <c r="N528" s="314">
        <f>+N346/$AR$373</f>
        <v>-1.9381249999999999</v>
      </c>
      <c r="O528" s="308">
        <f>+(N528/N522-1)*100</f>
        <v>21.846758349705308</v>
      </c>
      <c r="P528" s="314">
        <f>+P346/$AR$373</f>
        <v>0.18862499999999996</v>
      </c>
      <c r="Q528" s="308">
        <f>+(P528/P522-1)*100</f>
        <v>0</v>
      </c>
      <c r="R528" s="314">
        <f>+R346/$AR$373</f>
        <v>3.0206875000000046</v>
      </c>
      <c r="S528" s="308"/>
      <c r="T528" s="314" t="e">
        <f>+T346/$AR$373</f>
        <v>#DIV/0!</v>
      </c>
      <c r="U528" s="308" t="e">
        <f>+(T528/T522-1)*100</f>
        <v>#DIV/0!</v>
      </c>
      <c r="V528" s="314">
        <f>+V346/$AR$373</f>
        <v>0.10124999999999999</v>
      </c>
      <c r="W528" s="317">
        <f>+(V528/V522-1)*100</f>
        <v>0</v>
      </c>
      <c r="X528" s="317"/>
      <c r="Y528" s="317"/>
      <c r="Z528" s="314">
        <f>+Z412/$AR$373</f>
        <v>0</v>
      </c>
      <c r="AA528" s="317"/>
      <c r="AB528" s="314"/>
      <c r="AC528" s="308"/>
      <c r="AD528" s="307"/>
      <c r="AE528" s="308"/>
      <c r="AF528" s="307"/>
      <c r="AG528" s="308"/>
      <c r="AH528" s="307"/>
      <c r="AI528" s="308"/>
      <c r="AJ528" s="307"/>
      <c r="AK528" s="308"/>
      <c r="AL528" s="307"/>
      <c r="AM528" s="308"/>
      <c r="AN528" s="307"/>
      <c r="AO528" s="308"/>
      <c r="AP528" s="30"/>
      <c r="AQ528" s="453">
        <f>H528+J528+L528+V528</f>
        <v>14.28875</v>
      </c>
      <c r="AR528" s="308">
        <f>+(AQ528/AQ522-1)*100</f>
        <v>2.3457784940460025</v>
      </c>
    </row>
    <row r="530" spans="1:44">
      <c r="A530" s="301"/>
      <c r="B530" s="312" t="str">
        <f>+B348</f>
        <v>2015A</v>
      </c>
    </row>
    <row r="531" spans="1:44">
      <c r="A531" s="30" t="str">
        <f>+A349</f>
        <v>1Q</v>
      </c>
      <c r="B531" s="30" t="str">
        <f>+B349</f>
        <v>Apr</v>
      </c>
      <c r="H531" s="314">
        <f>+H349/$AR$373</f>
        <v>0.53125</v>
      </c>
      <c r="I531" s="308">
        <f>+(H531/H525-1)*100</f>
        <v>-11.642411642411632</v>
      </c>
      <c r="J531" s="314">
        <f>+J349/$AR$373</f>
        <v>8.7999999999999989</v>
      </c>
      <c r="K531" s="308">
        <f>+(J531/J525-1)*100</f>
        <v>5.3103964098728529</v>
      </c>
      <c r="L531" s="314">
        <f>+L349/$AR$373</f>
        <v>4.8762499999999998</v>
      </c>
      <c r="M531" s="308">
        <f>+(L531/L525-1)*100</f>
        <v>0.87923454874581086</v>
      </c>
      <c r="N531" s="314">
        <f>+N349/$AR$373</f>
        <v>-1.9381249999999999</v>
      </c>
      <c r="O531" s="308">
        <f>+(N531/N525-1)*100</f>
        <v>21.846758349705308</v>
      </c>
      <c r="P531" s="314">
        <f>+P349/$AR$373</f>
        <v>0.18862499999999996</v>
      </c>
      <c r="Q531" s="308">
        <f>+(P531/P525-1)*100</f>
        <v>0</v>
      </c>
      <c r="R531" s="314">
        <f>+R349/$AR$373</f>
        <v>2.9985000000000048</v>
      </c>
      <c r="S531" s="308"/>
      <c r="T531" s="314" t="e">
        <f>+T349/$AR$373</f>
        <v>#DIV/0!</v>
      </c>
      <c r="U531" s="308" t="e">
        <f>+(T531/T525-1)*100</f>
        <v>#DIV/0!</v>
      </c>
      <c r="V531" s="314">
        <f>+V349/$AR$373</f>
        <v>0.10124999999999999</v>
      </c>
      <c r="W531" s="317">
        <f>+(V531/V525-1)*100</f>
        <v>0</v>
      </c>
      <c r="X531" s="317"/>
      <c r="Y531" s="317"/>
      <c r="Z531" s="314">
        <f>+Z415/$AR$373</f>
        <v>0</v>
      </c>
      <c r="AA531" s="317"/>
      <c r="AB531" s="314"/>
      <c r="AC531" s="308"/>
      <c r="AD531" s="307"/>
      <c r="AE531" s="308"/>
      <c r="AF531" s="307"/>
      <c r="AG531" s="308"/>
      <c r="AH531" s="307"/>
      <c r="AI531" s="308"/>
      <c r="AJ531" s="307"/>
      <c r="AK531" s="308"/>
      <c r="AL531" s="307"/>
      <c r="AM531" s="308"/>
      <c r="AN531" s="307"/>
      <c r="AO531" s="308"/>
      <c r="AP531" s="30"/>
      <c r="AQ531" s="453">
        <f>H531+J531+L531+V531</f>
        <v>14.30875</v>
      </c>
      <c r="AR531" s="308">
        <f>+(AQ531/AQ525-1)*100</f>
        <v>2.9962209825445507</v>
      </c>
    </row>
    <row r="532" spans="1:44">
      <c r="A532" s="30" t="str">
        <f>+A350</f>
        <v>2Q</v>
      </c>
      <c r="B532" s="30" t="str">
        <f>+B350</f>
        <v>Jul</v>
      </c>
      <c r="H532" s="314">
        <f>+H350/$AR$373</f>
        <v>0.52874999999999994</v>
      </c>
      <c r="I532" s="308">
        <f>+(H532/H526-1)*100</f>
        <v>-11.875000000000002</v>
      </c>
      <c r="J532" s="314">
        <f>+J350/$AR$373</f>
        <v>8.8612499999999983</v>
      </c>
      <c r="K532" s="308">
        <f>+(J532/J526-1)*100</f>
        <v>4.6346863468634814</v>
      </c>
      <c r="L532" s="314">
        <f>+L350/$AR$373</f>
        <v>4.9012500000000001</v>
      </c>
      <c r="M532" s="308">
        <f>+(L532/L526-1)*100</f>
        <v>1.1870967741935523</v>
      </c>
      <c r="N532" s="314">
        <f>+N350/$AR$373</f>
        <v>-1.9381249999999999</v>
      </c>
      <c r="O532" s="308">
        <f>+(N532/N526-1)*100</f>
        <v>21.846758349705308</v>
      </c>
      <c r="P532" s="314">
        <f>+P350/$AR$373</f>
        <v>0.18862499999999996</v>
      </c>
      <c r="Q532" s="308">
        <f>+(P532/P526-1)*100</f>
        <v>0</v>
      </c>
      <c r="R532" s="314">
        <f>+R350/$AR$373</f>
        <v>2.976312500000005</v>
      </c>
      <c r="S532" s="308"/>
      <c r="T532" s="314" t="e">
        <f>+T350/$AR$373</f>
        <v>#DIV/0!</v>
      </c>
      <c r="U532" s="308" t="e">
        <f>+(T532/T526-1)*100</f>
        <v>#DIV/0!</v>
      </c>
      <c r="V532" s="314">
        <f>+V350/$AR$373</f>
        <v>0.10124999999999999</v>
      </c>
      <c r="W532" s="317">
        <f>+(V532/V526-1)*100</f>
        <v>0</v>
      </c>
      <c r="X532" s="317"/>
      <c r="Y532" s="317"/>
      <c r="Z532" s="314">
        <f>+Z416/$AR$373</f>
        <v>0</v>
      </c>
      <c r="AA532" s="317"/>
      <c r="AB532" s="314"/>
      <c r="AC532" s="308"/>
      <c r="AD532" s="307"/>
      <c r="AE532" s="308"/>
      <c r="AF532" s="307"/>
      <c r="AG532" s="308"/>
      <c r="AH532" s="307"/>
      <c r="AI532" s="308"/>
      <c r="AJ532" s="307"/>
      <c r="AK532" s="308"/>
      <c r="AL532" s="307"/>
      <c r="AM532" s="308"/>
      <c r="AN532" s="307"/>
      <c r="AO532" s="308"/>
      <c r="AP532" s="30"/>
      <c r="AQ532" s="453">
        <f>H532+J532+L532+V532</f>
        <v>14.392499999999998</v>
      </c>
      <c r="AR532" s="308">
        <f>+(AQ532/AQ526-1)*100</f>
        <v>2.7027027027026973</v>
      </c>
    </row>
    <row r="533" spans="1:44">
      <c r="A533" s="30" t="str">
        <f>+A351</f>
        <v>3Q</v>
      </c>
      <c r="B533" s="30" t="str">
        <f>+B351</f>
        <v>Oct</v>
      </c>
      <c r="H533" s="314">
        <f>+H351/$AR$373</f>
        <v>0.50375000000000003</v>
      </c>
      <c r="I533" s="308">
        <f>+(H533/H527-1)*100</f>
        <v>-13.704496788008559</v>
      </c>
      <c r="J533" s="314">
        <f>+J351/$AR$373</f>
        <v>9.0287499999999987</v>
      </c>
      <c r="K533" s="308">
        <f>+(J533/J527-1)*100</f>
        <v>3.7042354630294261</v>
      </c>
      <c r="L533" s="314">
        <f>+L351/$AR$373</f>
        <v>4.9712499999999995</v>
      </c>
      <c r="M533" s="308">
        <f>+(L533/L527-1)*100</f>
        <v>2.0266803488968588</v>
      </c>
      <c r="N533" s="314">
        <f>+N351/$AR$373</f>
        <v>-2.1118749999999999</v>
      </c>
      <c r="O533" s="308">
        <f>+(N533/N527-1)*100</f>
        <v>19.69535954658166</v>
      </c>
      <c r="P533" s="314">
        <f>+P351/$AR$373</f>
        <v>0.18862499999999996</v>
      </c>
      <c r="Q533" s="308">
        <f>+(P533/P527-1)*100</f>
        <v>0</v>
      </c>
      <c r="R533" s="314">
        <f>+R351/$AR$373</f>
        <v>2.9097500000000052</v>
      </c>
      <c r="S533" s="308"/>
      <c r="T533" s="314" t="e">
        <f>+T351/$AR$373</f>
        <v>#DIV/0!</v>
      </c>
      <c r="U533" s="308" t="e">
        <f>+(T533/T527-1)*100</f>
        <v>#DIV/0!</v>
      </c>
      <c r="V533" s="314">
        <f>+V351/$AR$373</f>
        <v>0.10124999999999999</v>
      </c>
      <c r="W533" s="317">
        <f>+(V533/V527-1)*100</f>
        <v>0</v>
      </c>
      <c r="X533" s="317"/>
      <c r="Y533" s="317"/>
      <c r="Z533" s="314">
        <f>+Z417/$AR$373</f>
        <v>0</v>
      </c>
      <c r="AA533" s="317"/>
      <c r="AB533" s="314"/>
      <c r="AC533" s="308"/>
      <c r="AD533" s="307"/>
      <c r="AE533" s="308"/>
      <c r="AF533" s="307"/>
      <c r="AG533" s="308"/>
      <c r="AH533" s="307"/>
      <c r="AI533" s="308"/>
      <c r="AJ533" s="307"/>
      <c r="AK533" s="308"/>
      <c r="AL533" s="307"/>
      <c r="AM533" s="308"/>
      <c r="AN533" s="307"/>
      <c r="AO533" s="308"/>
      <c r="AP533" s="30"/>
      <c r="AQ533" s="453">
        <f>H533+J533+L533+V533</f>
        <v>14.604999999999999</v>
      </c>
      <c r="AR533" s="308">
        <f>+(AQ533/AQ527-1)*100</f>
        <v>2.3924283586013617</v>
      </c>
    </row>
    <row r="534" spans="1:44">
      <c r="A534" s="30" t="str">
        <f>+A352</f>
        <v>4Q</v>
      </c>
      <c r="B534" s="30" t="str">
        <f>+B352</f>
        <v>Jan</v>
      </c>
      <c r="H534" s="314">
        <f>+H352/$AR$373</f>
        <v>0.48</v>
      </c>
      <c r="I534" s="308">
        <f>+(H534/H528-1)*100</f>
        <v>-15.04424778761061</v>
      </c>
      <c r="J534" s="314">
        <f>+J352/$AR$373</f>
        <v>9.1362500000000004</v>
      </c>
      <c r="K534" s="308">
        <f>+(J534/J528-1)*100</f>
        <v>4.3248644019411975</v>
      </c>
      <c r="L534" s="314">
        <f>+L352/$AR$373</f>
        <v>4.9887499999999996</v>
      </c>
      <c r="M534" s="308">
        <f>+(L534/L528-1)*100</f>
        <v>2.5436793422404902</v>
      </c>
      <c r="N534" s="314">
        <f>+N352/$AR$373</f>
        <v>-2.285625</v>
      </c>
      <c r="O534" s="308">
        <f>+(N534/N528-1)*100</f>
        <v>17.929700096742994</v>
      </c>
      <c r="P534" s="314">
        <f>+P352/$AR$373</f>
        <v>0.18862499999999996</v>
      </c>
      <c r="Q534" s="308">
        <f>+(P534/P528-1)*100</f>
        <v>0</v>
      </c>
      <c r="R534" s="314">
        <f>+R352/$AR$373</f>
        <v>2.8431875000000053</v>
      </c>
      <c r="S534" s="308"/>
      <c r="T534" s="314" t="e">
        <f>+T352/$AR$373</f>
        <v>#DIV/0!</v>
      </c>
      <c r="U534" s="308" t="e">
        <f>+(T534/T528-1)*100</f>
        <v>#DIV/0!</v>
      </c>
      <c r="V534" s="314">
        <f>+V352/$AR$373</f>
        <v>0.10124999999999999</v>
      </c>
      <c r="W534" s="317">
        <f>+(V534/V528-1)*100</f>
        <v>0</v>
      </c>
      <c r="X534" s="317"/>
      <c r="Y534" s="317"/>
      <c r="Z534" s="314">
        <f>+Z418/$AR$373</f>
        <v>0</v>
      </c>
      <c r="AA534" s="317"/>
      <c r="AB534" s="314"/>
      <c r="AC534" s="308"/>
      <c r="AD534" s="307"/>
      <c r="AE534" s="308"/>
      <c r="AF534" s="307"/>
      <c r="AG534" s="308"/>
      <c r="AH534" s="307"/>
      <c r="AI534" s="308"/>
      <c r="AJ534" s="307"/>
      <c r="AK534" s="308"/>
      <c r="AL534" s="307"/>
      <c r="AM534" s="308"/>
      <c r="AN534" s="307"/>
      <c r="AO534" s="308"/>
      <c r="AP534" s="30"/>
      <c r="AQ534" s="453">
        <f>H534+J534+L534+V534</f>
        <v>14.706250000000001</v>
      </c>
      <c r="AR534" s="308">
        <f>+(AQ534/AQ528-1)*100</f>
        <v>2.9218791006911049</v>
      </c>
    </row>
    <row r="536" spans="1:44">
      <c r="A536" s="301"/>
      <c r="B536" s="312" t="str">
        <f>+B354</f>
        <v>2016E</v>
      </c>
    </row>
    <row r="537" spans="1:44">
      <c r="A537" s="30" t="str">
        <f>A531</f>
        <v>1Q</v>
      </c>
      <c r="B537" s="30" t="str">
        <f>+B355</f>
        <v>Apr</v>
      </c>
      <c r="H537" s="314">
        <f>+H355/$AR$373</f>
        <v>0.47749999999999998</v>
      </c>
      <c r="I537" s="308">
        <f>+(H537/H531-1)*100</f>
        <v>-10.117647058823531</v>
      </c>
      <c r="J537" s="314">
        <f>+J355/$AR$373</f>
        <v>9.1612500000000008</v>
      </c>
      <c r="K537" s="308">
        <f>+(J537/J531-1)*100</f>
        <v>4.1051136363636553</v>
      </c>
      <c r="L537" s="314">
        <f>+L355/$AR$373</f>
        <v>5.004999999999999</v>
      </c>
      <c r="M537" s="308">
        <f>+(L537/L531-1)*100</f>
        <v>2.6403486285567546</v>
      </c>
      <c r="N537" s="314">
        <f>+N373/$AR$373</f>
        <v>0</v>
      </c>
      <c r="O537" s="308">
        <f>+(N537/N531-1)*100</f>
        <v>-100</v>
      </c>
      <c r="P537" s="314">
        <f>+P373/$AR$373</f>
        <v>0</v>
      </c>
      <c r="Q537" s="308">
        <f>+(P537/P531-1)*100</f>
        <v>-100</v>
      </c>
      <c r="R537" s="314">
        <f>+R373/$AR$373</f>
        <v>0</v>
      </c>
      <c r="S537" s="308"/>
      <c r="T537" s="314">
        <f>+T373/$AR$373</f>
        <v>0</v>
      </c>
      <c r="U537" s="308" t="e">
        <f>+(T537/T531-1)*100</f>
        <v>#DIV/0!</v>
      </c>
      <c r="V537" s="314">
        <f>+V355/$AR$373</f>
        <v>0.10124999999999999</v>
      </c>
      <c r="W537" s="317">
        <f>+(V537/V531-1)*100</f>
        <v>0</v>
      </c>
      <c r="X537" s="317"/>
      <c r="Y537" s="317"/>
      <c r="Z537" s="314">
        <f>+Z421/$AR$373</f>
        <v>0</v>
      </c>
      <c r="AA537" s="317"/>
      <c r="AB537" s="314"/>
      <c r="AC537" s="308"/>
      <c r="AD537" s="307"/>
      <c r="AE537" s="308"/>
      <c r="AF537" s="307"/>
      <c r="AG537" s="308"/>
      <c r="AH537" s="307"/>
      <c r="AI537" s="308"/>
      <c r="AJ537" s="307"/>
      <c r="AK537" s="308"/>
      <c r="AL537" s="307"/>
      <c r="AM537" s="308"/>
      <c r="AN537" s="307"/>
      <c r="AO537" s="308"/>
      <c r="AP537" s="30"/>
      <c r="AQ537" s="453">
        <f>H537+J537+L537+V537</f>
        <v>14.744999999999999</v>
      </c>
      <c r="AR537" s="308">
        <f>+(AQ537/AQ531-1)*100</f>
        <v>3.0488337555691469</v>
      </c>
    </row>
    <row r="538" spans="1:44">
      <c r="A538" s="30" t="str">
        <f>A532</f>
        <v>2Q</v>
      </c>
      <c r="B538" s="30" t="str">
        <f>+B356</f>
        <v>Jul</v>
      </c>
      <c r="H538" s="314">
        <f t="shared" ref="H538:J540" si="37">+H356/$AR$373</f>
        <v>0.47375</v>
      </c>
      <c r="I538" s="308">
        <f>+(H538/H532-1)*100</f>
        <v>-10.401891252955075</v>
      </c>
      <c r="J538" s="314">
        <f t="shared" si="37"/>
        <v>9.24</v>
      </c>
      <c r="K538" s="308">
        <f>+(J538/J532-1)*100</f>
        <v>4.2742276766821963</v>
      </c>
      <c r="L538" s="314">
        <f>+L356/$AR$373</f>
        <v>5.0812499999999998</v>
      </c>
      <c r="M538" s="308">
        <f>+(L538/L532-1)*100</f>
        <v>3.6725325172149992</v>
      </c>
      <c r="N538" s="314">
        <f>+N374/$AR$373</f>
        <v>0</v>
      </c>
      <c r="O538" s="308">
        <f>+(N538/N532-1)*100</f>
        <v>-100</v>
      </c>
      <c r="P538" s="314">
        <f>+P374/$AR$373</f>
        <v>0</v>
      </c>
      <c r="Q538" s="308">
        <f>+(P538/P532-1)*100</f>
        <v>-100</v>
      </c>
      <c r="R538" s="314">
        <f>+R374/$AR$373</f>
        <v>0</v>
      </c>
      <c r="S538" s="308"/>
      <c r="T538" s="314">
        <f>+T374/$AR$373</f>
        <v>0</v>
      </c>
      <c r="U538" s="308" t="e">
        <f>+(T538/T532-1)*100</f>
        <v>#DIV/0!</v>
      </c>
      <c r="V538" s="314">
        <f>+V356/$AR$373</f>
        <v>0.10124999999999999</v>
      </c>
      <c r="W538" s="317">
        <f>+(V538/V532-1)*100</f>
        <v>0</v>
      </c>
      <c r="X538" s="317"/>
      <c r="Y538" s="317"/>
      <c r="Z538" s="314">
        <f>+Z422/$AR$373</f>
        <v>0</v>
      </c>
      <c r="AA538" s="317"/>
      <c r="AB538" s="314"/>
      <c r="AC538" s="308"/>
      <c r="AD538" s="307"/>
      <c r="AE538" s="308"/>
      <c r="AF538" s="307"/>
      <c r="AG538" s="308"/>
      <c r="AH538" s="307"/>
      <c r="AI538" s="308"/>
      <c r="AJ538" s="307"/>
      <c r="AK538" s="308"/>
      <c r="AL538" s="307"/>
      <c r="AM538" s="308"/>
      <c r="AN538" s="307"/>
      <c r="AO538" s="308"/>
      <c r="AP538" s="30"/>
      <c r="AQ538" s="453">
        <f>H538+J538+L538+V538</f>
        <v>14.896250000000002</v>
      </c>
      <c r="AR538" s="308">
        <f>+(AQ538/AQ532-1)*100</f>
        <v>3.5000868507903737</v>
      </c>
    </row>
    <row r="539" spans="1:44">
      <c r="A539" s="30" t="str">
        <f>A533</f>
        <v>3Q</v>
      </c>
      <c r="B539" s="30" t="str">
        <f>+B357</f>
        <v>Oct</v>
      </c>
      <c r="H539" s="314">
        <f t="shared" si="37"/>
        <v>0.48375000000000001</v>
      </c>
      <c r="I539" s="308">
        <f>+(H539/H533-1)*100</f>
        <v>-3.9702233250620389</v>
      </c>
      <c r="J539" s="314">
        <f t="shared" si="37"/>
        <v>9.4375</v>
      </c>
      <c r="K539" s="308">
        <f>+(J539/J533-1)*100</f>
        <v>4.5272047625640521</v>
      </c>
      <c r="L539" s="314">
        <f>+L357/$AR$373</f>
        <v>5.18</v>
      </c>
      <c r="M539" s="308">
        <f>+(L539/L533-1)*100</f>
        <v>4.199145084234357</v>
      </c>
      <c r="N539" s="314">
        <f>+N375/$AR$373</f>
        <v>0</v>
      </c>
      <c r="O539" s="308">
        <f>+(N539/N533-1)*100</f>
        <v>-100</v>
      </c>
      <c r="P539" s="314">
        <f>+P375/$AR$373</f>
        <v>0</v>
      </c>
      <c r="Q539" s="308">
        <f>+(P539/P533-1)*100</f>
        <v>-100</v>
      </c>
      <c r="R539" s="314">
        <f>+R375/$AR$373</f>
        <v>0</v>
      </c>
      <c r="S539" s="308"/>
      <c r="T539" s="314">
        <f>+T375/$AR$373</f>
        <v>0</v>
      </c>
      <c r="U539" s="308" t="e">
        <f>+(T539/T533-1)*100</f>
        <v>#DIV/0!</v>
      </c>
      <c r="V539" s="314">
        <f>+V357/$AR$373</f>
        <v>0.10124999999999999</v>
      </c>
      <c r="W539" s="317">
        <f>+(V539/V533-1)*100</f>
        <v>0</v>
      </c>
      <c r="X539" s="317"/>
      <c r="Y539" s="317"/>
      <c r="Z539" s="314">
        <f>+Z423/$AR$373</f>
        <v>0</v>
      </c>
      <c r="AA539" s="317"/>
      <c r="AB539" s="314"/>
      <c r="AC539" s="308"/>
      <c r="AD539" s="307"/>
      <c r="AE539" s="308"/>
      <c r="AF539" s="307"/>
      <c r="AG539" s="308"/>
      <c r="AH539" s="307"/>
      <c r="AI539" s="308"/>
      <c r="AJ539" s="307"/>
      <c r="AK539" s="308"/>
      <c r="AL539" s="307"/>
      <c r="AM539" s="308"/>
      <c r="AN539" s="307"/>
      <c r="AO539" s="308"/>
      <c r="AP539" s="30"/>
      <c r="AQ539" s="453">
        <f>H539+J539+L539+V539</f>
        <v>15.202500000000001</v>
      </c>
      <c r="AR539" s="308">
        <f>+(AQ539/AQ533-1)*100</f>
        <v>4.0910647038685521</v>
      </c>
    </row>
    <row r="540" spans="1:44">
      <c r="A540" s="30" t="str">
        <f>A534</f>
        <v>4Q</v>
      </c>
      <c r="B540" s="30" t="str">
        <f>+B358</f>
        <v>Jan</v>
      </c>
      <c r="H540" s="314">
        <f t="shared" si="37"/>
        <v>0.46375</v>
      </c>
      <c r="I540" s="308">
        <f>+(H540/H534-1)*100</f>
        <v>-3.385416666666663</v>
      </c>
      <c r="J540" s="314">
        <f t="shared" si="37"/>
        <v>9.4712499999999995</v>
      </c>
      <c r="K540" s="308">
        <f>+(J540/J534-1)*100</f>
        <v>3.6667122725406953</v>
      </c>
      <c r="L540" s="314">
        <f>+L358/$AR$373</f>
        <v>5.2062499999999998</v>
      </c>
      <c r="M540" s="308">
        <f>+(L540/L534-1)*100</f>
        <v>4.3598095715359664</v>
      </c>
      <c r="N540" s="314">
        <f>+N376/$AR$373</f>
        <v>0</v>
      </c>
      <c r="O540" s="308">
        <f>+(N540/N534-1)*100</f>
        <v>-100</v>
      </c>
      <c r="P540" s="314">
        <f>+P376/$AR$373</f>
        <v>0</v>
      </c>
      <c r="Q540" s="308">
        <f>+(P540/P534-1)*100</f>
        <v>-100</v>
      </c>
      <c r="R540" s="314">
        <f>+R376/$AR$373</f>
        <v>0</v>
      </c>
      <c r="S540" s="308"/>
      <c r="T540" s="314">
        <f>+T376/$AR$373</f>
        <v>0</v>
      </c>
      <c r="U540" s="308" t="e">
        <f>+(T540/T534-1)*100</f>
        <v>#DIV/0!</v>
      </c>
      <c r="V540" s="314">
        <f>+V358/$AR$373</f>
        <v>0.10124999999999999</v>
      </c>
      <c r="W540" s="317">
        <f>+(V540/V534-1)*100</f>
        <v>0</v>
      </c>
      <c r="X540" s="317"/>
      <c r="Y540" s="317"/>
      <c r="Z540" s="314">
        <f>+Z424/$AR$373</f>
        <v>0</v>
      </c>
      <c r="AA540" s="317"/>
      <c r="AB540" s="314"/>
      <c r="AC540" s="308"/>
      <c r="AD540" s="307"/>
      <c r="AE540" s="308"/>
      <c r="AF540" s="307"/>
      <c r="AG540" s="308"/>
      <c r="AH540" s="307"/>
      <c r="AI540" s="308"/>
      <c r="AJ540" s="307"/>
      <c r="AK540" s="308"/>
      <c r="AL540" s="307"/>
      <c r="AM540" s="308"/>
      <c r="AN540" s="307"/>
      <c r="AO540" s="308"/>
      <c r="AP540" s="30"/>
      <c r="AQ540" s="453">
        <f>H540+J540+L540+V540</f>
        <v>15.2425</v>
      </c>
      <c r="AR540" s="308">
        <f>+(AQ540/AQ534-1)*100</f>
        <v>3.6464088397790029</v>
      </c>
    </row>
    <row r="542" spans="1:44">
      <c r="A542" s="301"/>
      <c r="B542" s="312" t="str">
        <f>+B360</f>
        <v>2017A</v>
      </c>
    </row>
    <row r="543" spans="1:44">
      <c r="A543" s="30" t="str">
        <f>A537</f>
        <v>1Q</v>
      </c>
      <c r="B543" s="253" t="str">
        <f>+B361</f>
        <v>Apr</v>
      </c>
      <c r="C543" s="966"/>
      <c r="D543" s="966"/>
      <c r="E543" s="966"/>
      <c r="F543" s="966"/>
      <c r="G543" s="966"/>
      <c r="H543" s="661">
        <f>+H361/$AR$373</f>
        <v>0.43875000000000003</v>
      </c>
      <c r="I543" s="589">
        <f>+(H543/H537-1)*100</f>
        <v>-8.115183246073288</v>
      </c>
      <c r="J543" s="661">
        <f>+J361/$AR$373</f>
        <v>9.4887499999999996</v>
      </c>
      <c r="K543" s="308">
        <f>+(J543/J537-1)*100</f>
        <v>3.5748396779915259</v>
      </c>
      <c r="L543" s="314">
        <f>+L361/$AR$373</f>
        <v>5.2374999999999998</v>
      </c>
      <c r="M543" s="308">
        <f>+(L543/L537-1)*100</f>
        <v>4.6453546453546712</v>
      </c>
      <c r="N543" s="314">
        <f>+N379/$AR$373</f>
        <v>0</v>
      </c>
      <c r="O543" s="308" t="e">
        <f>+(N543/N537-1)*100</f>
        <v>#DIV/0!</v>
      </c>
      <c r="P543" s="314">
        <f>+P379/$AR$373</f>
        <v>0</v>
      </c>
      <c r="Q543" s="308" t="e">
        <f>+(P543/P537-1)*100</f>
        <v>#DIV/0!</v>
      </c>
      <c r="R543" s="314">
        <f>+R379/$AR$373</f>
        <v>0</v>
      </c>
      <c r="S543" s="308"/>
      <c r="T543" s="314">
        <f>+T379/$AR$373</f>
        <v>0</v>
      </c>
      <c r="U543" s="308" t="e">
        <f>+(T543/T537-1)*100</f>
        <v>#DIV/0!</v>
      </c>
      <c r="V543" s="314">
        <f>+V361/$AR$373</f>
        <v>0.10124999999999999</v>
      </c>
      <c r="W543" s="317">
        <f>+(V543/V537-1)*100</f>
        <v>0</v>
      </c>
      <c r="X543" s="317"/>
      <c r="Y543" s="317"/>
      <c r="Z543" s="314">
        <f>+Z427/$AR$373</f>
        <v>0</v>
      </c>
      <c r="AA543" s="317"/>
      <c r="AB543" s="314"/>
      <c r="AC543" s="308"/>
      <c r="AD543" s="307"/>
      <c r="AE543" s="308"/>
      <c r="AF543" s="307"/>
      <c r="AG543" s="308"/>
      <c r="AH543" s="307"/>
      <c r="AI543" s="308"/>
      <c r="AJ543" s="307"/>
      <c r="AK543" s="308"/>
      <c r="AL543" s="307"/>
      <c r="AM543" s="308"/>
      <c r="AN543" s="307"/>
      <c r="AO543" s="308"/>
      <c r="AP543" s="30"/>
      <c r="AQ543" s="453">
        <f>H543+J543+L543+V543</f>
        <v>15.266249999999999</v>
      </c>
      <c r="AR543" s="308">
        <f>+(AQ543/AQ537-1)*100</f>
        <v>3.5350966429298136</v>
      </c>
    </row>
    <row r="544" spans="1:44">
      <c r="A544" s="30" t="str">
        <f>A538</f>
        <v>2Q</v>
      </c>
      <c r="B544" s="253" t="str">
        <f>+B362</f>
        <v>Jul</v>
      </c>
      <c r="C544" s="966"/>
      <c r="D544" s="966"/>
      <c r="E544" s="966"/>
      <c r="F544" s="966"/>
      <c r="G544" s="966"/>
      <c r="H544" s="661">
        <f>+H362/$AR$373</f>
        <v>0.43625000000000003</v>
      </c>
      <c r="I544" s="589">
        <f>+(H544/H538-1)*100</f>
        <v>-7.9155672823219003</v>
      </c>
      <c r="J544" s="661">
        <f>+J362/$AR$373</f>
        <v>9.5162499999999994</v>
      </c>
      <c r="K544" s="308">
        <f>+(J544/J538-1)*100</f>
        <v>2.9897186147186172</v>
      </c>
      <c r="L544" s="314">
        <f>+L362/$AR$373</f>
        <v>5.3137499999999998</v>
      </c>
      <c r="M544" s="308">
        <f>+(L544/L538-1)*100</f>
        <v>4.5756457564575692</v>
      </c>
      <c r="N544" s="314">
        <f>+N380/$AR$373</f>
        <v>0</v>
      </c>
      <c r="O544" s="308" t="e">
        <f>+(N544/N538-1)*100</f>
        <v>#DIV/0!</v>
      </c>
      <c r="P544" s="314">
        <f>+P380/$AR$373</f>
        <v>0</v>
      </c>
      <c r="Q544" s="308" t="e">
        <f>+(P544/P538-1)*100</f>
        <v>#DIV/0!</v>
      </c>
      <c r="R544" s="314">
        <f>+R380/$AR$373</f>
        <v>0</v>
      </c>
      <c r="S544" s="308"/>
      <c r="T544" s="314">
        <f>+T380/$AR$373</f>
        <v>0</v>
      </c>
      <c r="U544" s="308" t="e">
        <f>+(T544/T538-1)*100</f>
        <v>#DIV/0!</v>
      </c>
      <c r="V544" s="314">
        <f>+V362/$AR$373</f>
        <v>0.10124999999999999</v>
      </c>
      <c r="W544" s="317">
        <f>+(V544/V538-1)*100</f>
        <v>0</v>
      </c>
      <c r="X544" s="317"/>
      <c r="Y544" s="317"/>
      <c r="Z544" s="314">
        <f>+Z428/$AR$373</f>
        <v>0</v>
      </c>
      <c r="AA544" s="317"/>
      <c r="AB544" s="314"/>
      <c r="AC544" s="308"/>
      <c r="AD544" s="307"/>
      <c r="AE544" s="308"/>
      <c r="AF544" s="307"/>
      <c r="AG544" s="308"/>
      <c r="AH544" s="307"/>
      <c r="AI544" s="308"/>
      <c r="AJ544" s="307"/>
      <c r="AK544" s="308"/>
      <c r="AL544" s="307"/>
      <c r="AM544" s="308"/>
      <c r="AN544" s="307"/>
      <c r="AO544" s="308"/>
      <c r="AP544" s="30"/>
      <c r="AQ544" s="453">
        <f>H544+J544+L544+V544</f>
        <v>15.3675</v>
      </c>
      <c r="AR544" s="308">
        <f>+(AQ544/AQ538-1)*100</f>
        <v>3.163547872786765</v>
      </c>
    </row>
    <row r="545" spans="1:44">
      <c r="A545" s="30" t="str">
        <f>A539</f>
        <v>3Q</v>
      </c>
      <c r="B545" s="253" t="str">
        <f>+B363</f>
        <v>Oct</v>
      </c>
      <c r="C545" s="966"/>
      <c r="D545" s="966"/>
      <c r="E545" s="966"/>
      <c r="F545" s="966"/>
      <c r="G545" s="966"/>
      <c r="H545" s="661">
        <f>+H363/$AR$373</f>
        <v>0.44</v>
      </c>
      <c r="I545" s="589">
        <f>+(H545/H539-1)*100</f>
        <v>-9.0439276485788085</v>
      </c>
      <c r="J545" s="661">
        <f>+J363/$AR$373</f>
        <v>9.5512499999999978</v>
      </c>
      <c r="K545" s="308">
        <f>+(J545/J539-1)*100</f>
        <v>1.2052980132450042</v>
      </c>
      <c r="L545" s="314">
        <f>+L363/$AR$373</f>
        <v>5.5987499999999999</v>
      </c>
      <c r="M545" s="308">
        <f>+(L545/L539-1)*100</f>
        <v>8.0839768339768359</v>
      </c>
      <c r="N545" s="314">
        <f>+N381/$AR$373</f>
        <v>0</v>
      </c>
      <c r="O545" s="308" t="e">
        <f>+(N545/N539-1)*100</f>
        <v>#DIV/0!</v>
      </c>
      <c r="P545" s="314">
        <f>+P381/$AR$373</f>
        <v>0</v>
      </c>
      <c r="Q545" s="308" t="e">
        <f>+(P545/P539-1)*100</f>
        <v>#DIV/0!</v>
      </c>
      <c r="R545" s="314">
        <f>+R381/$AR$373</f>
        <v>0</v>
      </c>
      <c r="S545" s="308"/>
      <c r="T545" s="314">
        <f>+T381/$AR$373</f>
        <v>0</v>
      </c>
      <c r="U545" s="308" t="e">
        <f>+(T545/T539-1)*100</f>
        <v>#DIV/0!</v>
      </c>
      <c r="V545" s="314">
        <f>+V363/$AR$373</f>
        <v>9.8749999999999991E-2</v>
      </c>
      <c r="W545" s="317">
        <f>+(V545/V539-1)*100</f>
        <v>-2.4691358024691357</v>
      </c>
      <c r="X545" s="317"/>
      <c r="Y545" s="317"/>
      <c r="Z545" s="314">
        <f>+Z429/$AR$373</f>
        <v>0</v>
      </c>
      <c r="AA545" s="317"/>
      <c r="AB545" s="314"/>
      <c r="AC545" s="308"/>
      <c r="AD545" s="307"/>
      <c r="AE545" s="308"/>
      <c r="AF545" s="307"/>
      <c r="AG545" s="308"/>
      <c r="AH545" s="307"/>
      <c r="AI545" s="308"/>
      <c r="AJ545" s="307"/>
      <c r="AK545" s="308"/>
      <c r="AL545" s="307"/>
      <c r="AM545" s="308"/>
      <c r="AN545" s="307"/>
      <c r="AO545" s="308"/>
      <c r="AP545" s="30"/>
      <c r="AQ545" s="453">
        <f>H545+J545+L545+V545</f>
        <v>15.688749999999997</v>
      </c>
      <c r="AR545" s="308">
        <f>+(AQ545/AQ539-1)*100</f>
        <v>3.1984870909389729</v>
      </c>
    </row>
    <row r="546" spans="1:44">
      <c r="A546" s="30" t="str">
        <f>A540</f>
        <v>4Q</v>
      </c>
      <c r="B546" s="30" t="str">
        <f>+B364</f>
        <v>Jan</v>
      </c>
      <c r="H546" s="314">
        <f>+H364/$AR$373</f>
        <v>0.43374999999999997</v>
      </c>
      <c r="I546" s="308">
        <f>+(H546/H540-1)*100</f>
        <v>-6.4690026954177915</v>
      </c>
      <c r="J546" s="314">
        <f>+J364/$AR$373</f>
        <v>9.5212500000000002</v>
      </c>
      <c r="K546" s="308">
        <f>+(J546/J540-1)*100</f>
        <v>0.52791342219877802</v>
      </c>
      <c r="L546" s="314">
        <f>+L364/$AR$373</f>
        <v>5.357499999999999</v>
      </c>
      <c r="M546" s="308">
        <f>+(L546/L540-1)*100</f>
        <v>2.9051620648259169</v>
      </c>
      <c r="N546" s="314">
        <f>+N382/$AR$373</f>
        <v>0</v>
      </c>
      <c r="O546" s="308" t="e">
        <f>+(N546/N540-1)*100</f>
        <v>#DIV/0!</v>
      </c>
      <c r="P546" s="314">
        <f>+P382/$AR$373</f>
        <v>0</v>
      </c>
      <c r="Q546" s="308" t="e">
        <f>+(P546/P540-1)*100</f>
        <v>#DIV/0!</v>
      </c>
      <c r="R546" s="314">
        <f>+R382/$AR$373</f>
        <v>0</v>
      </c>
      <c r="S546" s="308"/>
      <c r="T546" s="314">
        <f>+T382/$AR$373</f>
        <v>0</v>
      </c>
      <c r="U546" s="308" t="e">
        <f>+(T546/T540-1)*100</f>
        <v>#DIV/0!</v>
      </c>
      <c r="V546" s="314">
        <f>+V364/$AR$373</f>
        <v>9.7499999999999989E-2</v>
      </c>
      <c r="W546" s="317">
        <f>+(V546/V540-1)*100</f>
        <v>-3.703703703703709</v>
      </c>
      <c r="X546" s="317"/>
      <c r="Y546" s="317"/>
      <c r="Z546" s="314">
        <f>+Z430/$AR$373</f>
        <v>0</v>
      </c>
      <c r="AA546" s="317"/>
      <c r="AB546" s="314"/>
      <c r="AC546" s="308"/>
      <c r="AD546" s="307"/>
      <c r="AE546" s="308"/>
      <c r="AF546" s="307"/>
      <c r="AG546" s="308"/>
      <c r="AH546" s="307"/>
      <c r="AI546" s="308"/>
      <c r="AJ546" s="307"/>
      <c r="AK546" s="308"/>
      <c r="AL546" s="307"/>
      <c r="AM546" s="308"/>
      <c r="AN546" s="307"/>
      <c r="AO546" s="308"/>
      <c r="AP546" s="30"/>
      <c r="AQ546" s="453">
        <f>H546+J546+L546+V546</f>
        <v>15.41</v>
      </c>
      <c r="AR546" s="308">
        <f>+(AQ546/AQ540-1)*100</f>
        <v>1.098901098901095</v>
      </c>
    </row>
    <row r="547" spans="1:44" s="2702" customFormat="1"/>
    <row r="548" spans="1:44" s="2702" customFormat="1">
      <c r="A548" s="301"/>
      <c r="B548" s="312" t="str">
        <f>+B366</f>
        <v>2018E</v>
      </c>
    </row>
    <row r="549" spans="1:44" s="2702" customFormat="1">
      <c r="A549" s="30" t="str">
        <f>A543</f>
        <v>1Q</v>
      </c>
      <c r="B549" s="253" t="str">
        <f>+B367</f>
        <v>Apr</v>
      </c>
      <c r="C549" s="966"/>
      <c r="D549" s="966"/>
      <c r="E549" s="966"/>
      <c r="F549" s="966"/>
      <c r="G549" s="966"/>
      <c r="H549" s="661">
        <f>+H367/$AR$373</f>
        <v>0.43374999999999997</v>
      </c>
      <c r="I549" s="589">
        <f>+(H549/H543-1)*100</f>
        <v>-1.1396011396011541</v>
      </c>
      <c r="J549" s="661">
        <f>+J367/$AR$373</f>
        <v>9.5558916258523006</v>
      </c>
      <c r="K549" s="308">
        <f>+(J549/J543-1)*100</f>
        <v>0.70759189410936063</v>
      </c>
      <c r="L549" s="314">
        <f>+L367/$AR$373</f>
        <v>5.4411159003831404</v>
      </c>
      <c r="M549" s="308">
        <f>+(L549/L543-1)*100</f>
        <v>3.8876544225898035</v>
      </c>
      <c r="N549" s="314">
        <f>+N385/$AR$373</f>
        <v>0</v>
      </c>
      <c r="O549" s="308" t="e">
        <f>+(N549/N543-1)*100</f>
        <v>#DIV/0!</v>
      </c>
      <c r="P549" s="314">
        <f>+P385/$AR$373</f>
        <v>0</v>
      </c>
      <c r="Q549" s="308" t="e">
        <f>+(P549/P543-1)*100</f>
        <v>#DIV/0!</v>
      </c>
      <c r="R549" s="314">
        <f>+R385/$AR$373</f>
        <v>0</v>
      </c>
      <c r="S549" s="308"/>
      <c r="T549" s="314">
        <f>+T385/$AR$373</f>
        <v>0</v>
      </c>
      <c r="U549" s="308" t="e">
        <f>+(T549/T543-1)*100</f>
        <v>#DIV/0!</v>
      </c>
      <c r="V549" s="314">
        <f>+V367/$AR$373</f>
        <v>9.7499999999999989E-2</v>
      </c>
      <c r="W549" s="317">
        <f>+(V549/V543-1)*100</f>
        <v>-3.703703703703709</v>
      </c>
      <c r="X549" s="314">
        <f>+X367/$AR$373</f>
        <v>0.44115384615384617</v>
      </c>
      <c r="Y549" s="317"/>
      <c r="Z549" s="314">
        <f>+Z433/$AR$373</f>
        <v>0</v>
      </c>
      <c r="AA549" s="317"/>
      <c r="AB549" s="314"/>
      <c r="AC549" s="308"/>
      <c r="AD549" s="307"/>
      <c r="AE549" s="308"/>
      <c r="AF549" s="307"/>
      <c r="AG549" s="308"/>
      <c r="AH549" s="307"/>
      <c r="AI549" s="308"/>
      <c r="AJ549" s="307"/>
      <c r="AK549" s="308"/>
      <c r="AL549" s="307"/>
      <c r="AM549" s="308"/>
      <c r="AN549" s="307"/>
      <c r="AO549" s="308"/>
      <c r="AP549" s="30"/>
      <c r="AQ549" s="453">
        <f>H549+J549+L549+V549</f>
        <v>15.528257526235441</v>
      </c>
      <c r="AR549" s="308">
        <f>+(AQ549/AQ543-1)*100</f>
        <v>1.7162533447011574</v>
      </c>
    </row>
    <row r="550" spans="1:44" s="2702" customFormat="1">
      <c r="A550" s="30" t="str">
        <f>A544</f>
        <v>2Q</v>
      </c>
      <c r="B550" s="253" t="str">
        <f>+B368</f>
        <v>Jul</v>
      </c>
      <c r="C550" s="966"/>
      <c r="D550" s="966"/>
      <c r="E550" s="966"/>
      <c r="F550" s="966"/>
      <c r="G550" s="966"/>
      <c r="H550" s="661">
        <f>+H368/$AR$373</f>
        <v>0.43199999999999994</v>
      </c>
      <c r="I550" s="589">
        <f>+(H550/H544-1)*100</f>
        <v>-0.97421203438396997</v>
      </c>
      <c r="J550" s="661">
        <f>+J368/$AR$373</f>
        <v>9.5674776961490462</v>
      </c>
      <c r="K550" s="308">
        <f>+(J550/J544-1)*100</f>
        <v>0.53831809955651178</v>
      </c>
      <c r="L550" s="314">
        <f>+L368/$AR$373</f>
        <v>5.5383716475095772</v>
      </c>
      <c r="M550" s="308">
        <f>+(L550/L544-1)*100</f>
        <v>4.227177558401829</v>
      </c>
      <c r="N550" s="314">
        <f>+N386/$AR$373</f>
        <v>0</v>
      </c>
      <c r="O550" s="308" t="e">
        <f>+(N550/N544-1)*100</f>
        <v>#DIV/0!</v>
      </c>
      <c r="P550" s="314">
        <f>+P386/$AR$373</f>
        <v>0</v>
      </c>
      <c r="Q550" s="308" t="e">
        <f>+(P550/P544-1)*100</f>
        <v>#DIV/0!</v>
      </c>
      <c r="R550" s="314">
        <f>+R386/$AR$373</f>
        <v>0</v>
      </c>
      <c r="S550" s="308"/>
      <c r="T550" s="314">
        <f>+T386/$AR$373</f>
        <v>0</v>
      </c>
      <c r="U550" s="308" t="e">
        <f>+(T550/T544-1)*100</f>
        <v>#DIV/0!</v>
      </c>
      <c r="V550" s="314">
        <f>+V368/$AR$373</f>
        <v>9.7499999999999989E-2</v>
      </c>
      <c r="W550" s="317">
        <f>+(V550/V544-1)*100</f>
        <v>-3.703703703703709</v>
      </c>
      <c r="X550" s="314">
        <f t="shared" ref="X550:X552" si="38">+X368/$AR$373</f>
        <v>0.47230769230769232</v>
      </c>
      <c r="Y550" s="317"/>
      <c r="Z550" s="314">
        <f>+Z434/$AR$373</f>
        <v>0</v>
      </c>
      <c r="AA550" s="317"/>
      <c r="AB550" s="314"/>
      <c r="AC550" s="308"/>
      <c r="AD550" s="307"/>
      <c r="AE550" s="308"/>
      <c r="AF550" s="307"/>
      <c r="AG550" s="308"/>
      <c r="AH550" s="307"/>
      <c r="AI550" s="308"/>
      <c r="AJ550" s="307"/>
      <c r="AK550" s="308"/>
      <c r="AL550" s="307"/>
      <c r="AM550" s="308"/>
      <c r="AN550" s="307"/>
      <c r="AO550" s="308"/>
      <c r="AP550" s="30"/>
      <c r="AQ550" s="453">
        <f>H550+J550+L550+V550</f>
        <v>15.635349343658625</v>
      </c>
      <c r="AR550" s="308">
        <f>+(AQ550/AQ544-1)*100</f>
        <v>1.7429597765324489</v>
      </c>
    </row>
    <row r="551" spans="1:44" s="2702" customFormat="1">
      <c r="A551" s="30" t="str">
        <f>A545</f>
        <v>3Q</v>
      </c>
      <c r="B551" s="253" t="str">
        <f>+B369</f>
        <v>Oct</v>
      </c>
      <c r="C551" s="966"/>
      <c r="D551" s="966"/>
      <c r="E551" s="966"/>
      <c r="F551" s="966"/>
      <c r="G551" s="966"/>
      <c r="H551" s="661">
        <f>+H369/$AR$373</f>
        <v>0.42941666666666661</v>
      </c>
      <c r="I551" s="589">
        <f>+(H551/H545-1)*100</f>
        <v>-2.4053030303030409</v>
      </c>
      <c r="J551" s="661">
        <f>+J369/$AR$373</f>
        <v>9.6004003769326811</v>
      </c>
      <c r="K551" s="308">
        <f>+(J551/J545-1)*100</f>
        <v>0.51459627726928581</v>
      </c>
      <c r="L551" s="314">
        <f>+L369/$AR$373</f>
        <v>5.6345067049808426</v>
      </c>
      <c r="M551" s="308">
        <f>+(L551/L545-1)*100</f>
        <v>0.63865514589582784</v>
      </c>
      <c r="N551" s="314">
        <f>+N387/$AR$373</f>
        <v>0</v>
      </c>
      <c r="O551" s="308" t="e">
        <f>+(N551/N545-1)*100</f>
        <v>#DIV/0!</v>
      </c>
      <c r="P551" s="314">
        <f>+P387/$AR$373</f>
        <v>0</v>
      </c>
      <c r="Q551" s="308" t="e">
        <f>+(P551/P545-1)*100</f>
        <v>#DIV/0!</v>
      </c>
      <c r="R551" s="314">
        <f>+R387/$AR$373</f>
        <v>0</v>
      </c>
      <c r="S551" s="308"/>
      <c r="T551" s="314">
        <f>+T387/$AR$373</f>
        <v>0</v>
      </c>
      <c r="U551" s="308" t="e">
        <f>+(T551/T545-1)*100</f>
        <v>#DIV/0!</v>
      </c>
      <c r="V551" s="314">
        <f>+V369/$AR$373</f>
        <v>9.7499999999999989E-2</v>
      </c>
      <c r="W551" s="317">
        <f>+(V551/V545-1)*100</f>
        <v>-1.2658227848101333</v>
      </c>
      <c r="X551" s="314">
        <f t="shared" si="38"/>
        <v>0.5346153846153846</v>
      </c>
      <c r="Y551" s="317"/>
      <c r="Z551" s="314">
        <f>+Z435/$AR$373</f>
        <v>0</v>
      </c>
      <c r="AA551" s="317"/>
      <c r="AB551" s="314"/>
      <c r="AC551" s="308"/>
      <c r="AD551" s="307"/>
      <c r="AE551" s="308"/>
      <c r="AF551" s="307"/>
      <c r="AG551" s="308"/>
      <c r="AH551" s="307"/>
      <c r="AI551" s="308"/>
      <c r="AJ551" s="307"/>
      <c r="AK551" s="308"/>
      <c r="AL551" s="307"/>
      <c r="AM551" s="308"/>
      <c r="AN551" s="307"/>
      <c r="AO551" s="308"/>
      <c r="AP551" s="30"/>
      <c r="AQ551" s="453">
        <f>H551+J551+L551+V551</f>
        <v>15.761823748580191</v>
      </c>
      <c r="AR551" s="308">
        <f>+(AQ551/AQ545-1)*100</f>
        <v>0.46577164261139004</v>
      </c>
    </row>
    <row r="552" spans="1:44" s="2702" customFormat="1">
      <c r="A552" s="30" t="str">
        <f>A546</f>
        <v>4Q</v>
      </c>
      <c r="B552" s="30" t="str">
        <f>+B370</f>
        <v>Jan</v>
      </c>
      <c r="H552" s="314">
        <f>+H370/$AR$373</f>
        <v>0.42858333333333332</v>
      </c>
      <c r="I552" s="308">
        <f>+(H552/H546-1)*100</f>
        <v>-1.1911623439000985</v>
      </c>
      <c r="J552" s="314">
        <f>+J370/$AR$373</f>
        <v>9.577811701719007</v>
      </c>
      <c r="K552" s="308">
        <f>+(J552/J546-1)*100</f>
        <v>0.59405752100833986</v>
      </c>
      <c r="L552" s="314">
        <f>+L370/$AR$373</f>
        <v>5.6390900383141762</v>
      </c>
      <c r="M552" s="308">
        <f>+(L552/L546-1)*100</f>
        <v>5.255996982065847</v>
      </c>
      <c r="N552" s="314">
        <f>+N388/$AR$373</f>
        <v>0</v>
      </c>
      <c r="O552" s="308" t="e">
        <f>+(N552/N546-1)*100</f>
        <v>#DIV/0!</v>
      </c>
      <c r="P552" s="314">
        <f>+P388/$AR$373</f>
        <v>0</v>
      </c>
      <c r="Q552" s="308" t="e">
        <f>+(P552/P546-1)*100</f>
        <v>#DIV/0!</v>
      </c>
      <c r="R552" s="314">
        <f>+R388/$AR$373</f>
        <v>0</v>
      </c>
      <c r="S552" s="308"/>
      <c r="T552" s="314">
        <f>+T388/$AR$373</f>
        <v>0</v>
      </c>
      <c r="U552" s="308" t="e">
        <f>+(T552/T546-1)*100</f>
        <v>#DIV/0!</v>
      </c>
      <c r="V552" s="314">
        <f>+V370/$AR$373</f>
        <v>9.7499999999999989E-2</v>
      </c>
      <c r="W552" s="317">
        <f>+(V552/V546-1)*100</f>
        <v>0</v>
      </c>
      <c r="X552" s="314">
        <f t="shared" si="38"/>
        <v>0.5657692307692308</v>
      </c>
      <c r="Y552" s="317"/>
      <c r="Z552" s="314">
        <f>+Z436/$AR$373</f>
        <v>0</v>
      </c>
      <c r="AA552" s="317"/>
      <c r="AB552" s="314"/>
      <c r="AC552" s="308"/>
      <c r="AD552" s="307"/>
      <c r="AE552" s="308"/>
      <c r="AF552" s="307"/>
      <c r="AG552" s="308"/>
      <c r="AH552" s="307"/>
      <c r="AI552" s="308"/>
      <c r="AJ552" s="307"/>
      <c r="AK552" s="308"/>
      <c r="AL552" s="307"/>
      <c r="AM552" s="308"/>
      <c r="AN552" s="307"/>
      <c r="AO552" s="308"/>
      <c r="AP552" s="30"/>
      <c r="AQ552" s="453">
        <f>H552+J552+L552+V552</f>
        <v>15.742985073366517</v>
      </c>
      <c r="AR552" s="308">
        <f>+(AQ552/AQ546-1)*100</f>
        <v>2.1608375948508618</v>
      </c>
    </row>
  </sheetData>
  <dataConsolidate/>
  <mergeCells count="2">
    <mergeCell ref="DO112:DQ112"/>
    <mergeCell ref="DO124:DQ124"/>
  </mergeCells>
  <phoneticPr fontId="0" type="noConversion"/>
  <printOptions horizontalCentered="1"/>
  <pageMargins left="0" right="0" top="0.5" bottom="0.25" header="0.5" footer="0.5"/>
  <pageSetup scale="76" orientation="landscape" r:id="rId1"/>
  <headerFooter alignWithMargins="0">
    <oddFooter>&amp;R&amp;8&amp;D/&amp;T
&amp;F/&amp;A</oddFooter>
  </headerFooter>
  <rowBreaks count="4" manualBreakCount="4">
    <brk id="56" max="16383" man="1"/>
    <brk id="263" max="108" man="1"/>
    <brk id="310" max="16383" man="1"/>
    <brk id="420" max="16383" man="1"/>
  </rowBreak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A1:BZ101"/>
  <sheetViews>
    <sheetView showGridLines="0" zoomScale="85" zoomScaleNormal="85" zoomScaleSheetLayoutView="95" workbookViewId="0">
      <pane xSplit="22" ySplit="6" topLeftCell="AP7" activePane="bottomRight" state="frozen"/>
      <selection activeCell="W7" sqref="W7"/>
      <selection pane="topRight" activeCell="W7" sqref="W7"/>
      <selection pane="bottomLeft" activeCell="W7" sqref="W7"/>
      <selection pane="bottomRight" activeCell="BM55" sqref="BM55"/>
    </sheetView>
  </sheetViews>
  <sheetFormatPr defaultRowHeight="12.75" outlineLevelRow="1" outlineLevelCol="1"/>
  <cols>
    <col min="1" max="1" width="1.85546875" style="23" customWidth="1"/>
    <col min="2" max="2" width="4" style="23" customWidth="1"/>
    <col min="3" max="3" width="29.42578125" style="23" customWidth="1"/>
    <col min="4" max="4" width="1.42578125" style="23" customWidth="1"/>
    <col min="5" max="5" width="9.140625" style="23" hidden="1" customWidth="1" outlineLevel="1"/>
    <col min="6" max="6" width="1.5703125" style="23" hidden="1" customWidth="1" outlineLevel="1"/>
    <col min="7" max="7" width="9.140625" style="23" hidden="1" customWidth="1" outlineLevel="1"/>
    <col min="8" max="8" width="1.5703125" style="23" hidden="1" customWidth="1" outlineLevel="1"/>
    <col min="9" max="9" width="9.140625" style="23" hidden="1" customWidth="1" outlineLevel="1"/>
    <col min="10" max="10" width="1.5703125" style="23" hidden="1" customWidth="1" outlineLevel="1"/>
    <col min="11" max="11" width="9.140625" style="23" hidden="1" customWidth="1" outlineLevel="1"/>
    <col min="12" max="12" width="1.5703125" style="23" hidden="1" customWidth="1" outlineLevel="1"/>
    <col min="13" max="13" width="9.140625" style="23" hidden="1" customWidth="1" outlineLevel="1"/>
    <col min="14" max="14" width="1.5703125" style="23" hidden="1" customWidth="1" outlineLevel="1"/>
    <col min="15" max="15" width="9.140625" style="23" hidden="1" customWidth="1" outlineLevel="1"/>
    <col min="16" max="16" width="1.5703125" style="23" hidden="1" customWidth="1" outlineLevel="1"/>
    <col min="17" max="17" width="9.140625" style="23" hidden="1" customWidth="1" outlineLevel="1"/>
    <col min="18" max="18" width="1.5703125" style="23" hidden="1" customWidth="1" outlineLevel="1"/>
    <col min="19" max="19" width="9.85546875" style="23" hidden="1" customWidth="1" outlineLevel="1" collapsed="1"/>
    <col min="20" max="20" width="2.28515625" style="23" hidden="1" customWidth="1" outlineLevel="1"/>
    <col min="21" max="21" width="9.85546875" style="23" hidden="1" customWidth="1" outlineLevel="1"/>
    <col min="22" max="22" width="2.28515625" style="23" hidden="1" customWidth="1" outlineLevel="1"/>
    <col min="23" max="23" width="9" style="23" hidden="1" customWidth="1" outlineLevel="1" collapsed="1"/>
    <col min="24" max="24" width="1.5703125" style="23" hidden="1" customWidth="1" outlineLevel="1"/>
    <col min="25" max="25" width="9.42578125" style="23" hidden="1" customWidth="1" outlineLevel="1"/>
    <col min="26" max="26" width="1.5703125" style="23" hidden="1" customWidth="1" outlineLevel="1"/>
    <col min="27" max="27" width="9" style="23" hidden="1" customWidth="1" outlineLevel="1"/>
    <col min="28" max="28" width="1.5703125" style="23" hidden="1" customWidth="1" outlineLevel="1"/>
    <col min="29" max="29" width="8.42578125" style="23" hidden="1" customWidth="1" outlineLevel="1"/>
    <col min="30" max="30" width="1.5703125" style="23" hidden="1" customWidth="1" outlineLevel="1"/>
    <col min="31" max="31" width="10" style="23" hidden="1" customWidth="1" outlineLevel="1"/>
    <col min="32" max="32" width="1.5703125" style="23" hidden="1" customWidth="1" outlineLevel="1"/>
    <col min="33" max="33" width="10.7109375" style="23" hidden="1" customWidth="1" outlineLevel="1"/>
    <col min="34" max="34" width="1.5703125" style="23" hidden="1" customWidth="1" outlineLevel="1"/>
    <col min="35" max="35" width="10.7109375" style="23" hidden="1" customWidth="1" outlineLevel="1"/>
    <col min="36" max="36" width="1.5703125" style="23" hidden="1" customWidth="1" outlineLevel="1"/>
    <col min="37" max="37" width="10.7109375" style="23" hidden="1" customWidth="1" outlineLevel="1"/>
    <col min="38" max="38" width="1.5703125" style="23" hidden="1" customWidth="1" outlineLevel="1"/>
    <col min="39" max="39" width="10.7109375" style="23" hidden="1" customWidth="1" outlineLevel="1"/>
    <col min="40" max="40" width="1.5703125" style="23" hidden="1" customWidth="1" outlineLevel="1"/>
    <col min="41" max="41" width="10.7109375" style="23" hidden="1" customWidth="1" outlineLevel="1"/>
    <col min="42" max="42" width="1.5703125" style="23" hidden="1" customWidth="1" outlineLevel="1"/>
    <col min="43" max="43" width="10.7109375" style="23" hidden="1" customWidth="1" outlineLevel="1"/>
    <col min="44" max="44" width="1.5703125" style="23" hidden="1" customWidth="1" outlineLevel="1"/>
    <col min="45" max="45" width="10.7109375" style="23" customWidth="1" collapsed="1"/>
    <col min="46" max="46" width="1.5703125" style="23" customWidth="1"/>
    <col min="47" max="47" width="10.7109375" style="23" customWidth="1"/>
    <col min="48" max="48" width="1.5703125" style="23" customWidth="1"/>
    <col min="49" max="49" width="10.7109375" style="23" customWidth="1"/>
    <col min="50" max="50" width="1.5703125" style="23" customWidth="1"/>
    <col min="51" max="51" width="10.7109375" style="23" customWidth="1"/>
    <col min="52" max="52" width="1.5703125" style="23" customWidth="1"/>
    <col min="53" max="53" width="10.7109375" style="23" customWidth="1"/>
    <col min="54" max="54" width="1.5703125" style="23" customWidth="1"/>
    <col min="55" max="55" width="10.7109375" style="23" customWidth="1"/>
    <col min="56" max="56" width="1.5703125" style="23" customWidth="1"/>
    <col min="57" max="57" width="10.7109375" style="23" customWidth="1"/>
    <col min="58" max="58" width="1.5703125" style="23" customWidth="1"/>
    <col min="59" max="59" width="10.7109375" style="23" customWidth="1"/>
    <col min="60" max="60" width="1.5703125" style="23" customWidth="1"/>
    <col min="61" max="61" width="10.7109375" style="23" customWidth="1"/>
    <col min="62" max="62" width="1.5703125" style="23" customWidth="1"/>
    <col min="63" max="63" width="10.7109375" style="23" customWidth="1"/>
    <col min="64" max="64" width="1.5703125" style="23" customWidth="1"/>
    <col min="65" max="65" width="10.7109375" style="23" customWidth="1"/>
    <col min="66" max="66" width="1.5703125" style="23" customWidth="1"/>
    <col min="67" max="67" width="10.7109375" style="23" hidden="1" customWidth="1" outlineLevel="1"/>
    <col min="68" max="68" width="1.5703125" style="23" hidden="1" customWidth="1" outlineLevel="1"/>
    <col min="69" max="70" width="10.7109375" style="23" hidden="1" customWidth="1" outlineLevel="1"/>
    <col min="71" max="71" width="22.140625" hidden="1" customWidth="1" outlineLevel="1"/>
    <col min="72" max="76" width="9.140625" hidden="1" customWidth="1" outlineLevel="1"/>
    <col min="77" max="77" width="9.140625" style="23" collapsed="1"/>
    <col min="78" max="16384" width="9.140625" style="23"/>
  </cols>
  <sheetData>
    <row r="1" spans="1:76">
      <c r="A1" s="25" t="str">
        <f>sumry!A1</f>
        <v>L Brands Inc.</v>
      </c>
      <c r="B1" s="25"/>
      <c r="C1" s="25"/>
      <c r="D1" s="25"/>
      <c r="E1" s="44"/>
      <c r="F1" s="25"/>
      <c r="G1" s="44"/>
      <c r="H1" s="25"/>
      <c r="I1" s="44"/>
      <c r="J1" s="25"/>
      <c r="K1" s="44"/>
      <c r="L1" s="25"/>
      <c r="M1" s="44"/>
      <c r="N1" s="25"/>
      <c r="O1" s="44"/>
      <c r="P1" s="25"/>
      <c r="Q1" s="25"/>
      <c r="R1" s="25"/>
      <c r="S1" s="44"/>
      <c r="T1" s="25"/>
      <c r="U1" s="217"/>
      <c r="V1" s="25"/>
      <c r="W1" s="217"/>
      <c r="X1" s="25"/>
      <c r="Y1" s="44"/>
      <c r="Z1" s="25"/>
      <c r="AA1" s="44"/>
      <c r="AB1" s="25"/>
      <c r="AC1" s="44"/>
      <c r="AD1" s="25"/>
      <c r="AE1" s="44"/>
      <c r="AF1" s="25"/>
      <c r="AG1" s="44"/>
      <c r="AH1" s="25"/>
      <c r="AI1" s="217"/>
      <c r="AJ1" s="25"/>
      <c r="AK1" s="44"/>
      <c r="AL1" s="25"/>
      <c r="AM1" s="44"/>
      <c r="AN1" s="25"/>
      <c r="AO1" s="44"/>
      <c r="AP1" s="25"/>
      <c r="AQ1" s="44"/>
      <c r="AR1" s="25"/>
      <c r="AS1" s="44"/>
      <c r="AT1" s="25"/>
      <c r="AU1" s="44"/>
      <c r="AV1" s="25"/>
      <c r="AW1" s="44"/>
      <c r="AX1" s="25"/>
      <c r="AY1" s="44"/>
      <c r="AZ1" s="25"/>
      <c r="BA1" s="44"/>
      <c r="BB1" s="44"/>
      <c r="BC1" s="44"/>
      <c r="BD1" s="44"/>
      <c r="BE1" s="44"/>
      <c r="BF1" s="44"/>
      <c r="BG1" s="44"/>
      <c r="BH1" s="44"/>
      <c r="BI1" s="44"/>
      <c r="BJ1" s="44"/>
      <c r="BK1" s="44"/>
      <c r="BL1" s="44"/>
      <c r="BM1" s="44"/>
      <c r="BN1" s="44"/>
      <c r="BO1" s="44"/>
      <c r="BP1" s="44"/>
      <c r="BQ1" s="44"/>
      <c r="BR1" s="44"/>
    </row>
    <row r="2" spans="1:76">
      <c r="A2" s="26" t="s">
        <v>1033</v>
      </c>
      <c r="B2" s="26"/>
      <c r="C2" s="26"/>
      <c r="D2" s="26"/>
      <c r="E2" s="45"/>
      <c r="F2" s="26"/>
      <c r="G2" s="45"/>
      <c r="H2" s="26"/>
      <c r="I2" s="45"/>
      <c r="J2" s="26"/>
      <c r="K2" s="45"/>
      <c r="L2" s="26"/>
      <c r="M2" s="45"/>
      <c r="N2" s="26"/>
      <c r="O2" s="45"/>
      <c r="P2" s="26"/>
      <c r="Q2" s="26"/>
      <c r="R2" s="26"/>
      <c r="S2" s="45"/>
      <c r="T2" s="26"/>
      <c r="U2" s="222"/>
      <c r="V2" s="26"/>
      <c r="W2" s="222"/>
      <c r="X2" s="26"/>
      <c r="Y2" s="45"/>
      <c r="Z2" s="26"/>
      <c r="AA2" s="45"/>
      <c r="AB2" s="26"/>
      <c r="AC2" s="45"/>
      <c r="AD2" s="26"/>
      <c r="AE2" s="45"/>
      <c r="AF2" s="26"/>
      <c r="AG2" s="45"/>
      <c r="AH2" s="26"/>
      <c r="AI2" s="222"/>
      <c r="AJ2" s="26"/>
      <c r="AK2" s="45"/>
      <c r="AL2" s="26"/>
      <c r="AM2" s="45"/>
      <c r="AN2" s="26"/>
      <c r="AO2" s="45"/>
      <c r="AP2" s="26"/>
      <c r="AQ2" s="509"/>
      <c r="AR2" s="26"/>
      <c r="AS2" s="45"/>
      <c r="AT2" s="26"/>
      <c r="AU2" s="45"/>
      <c r="AV2" s="26"/>
      <c r="AW2" s="45"/>
      <c r="AX2" s="26"/>
      <c r="AY2" s="45"/>
      <c r="AZ2" s="26"/>
      <c r="BA2" s="45"/>
      <c r="BB2" s="45"/>
      <c r="BC2" s="45"/>
      <c r="BD2" s="45"/>
      <c r="BE2" s="45"/>
      <c r="BF2" s="45"/>
      <c r="BG2" s="45"/>
      <c r="BH2" s="45"/>
      <c r="BI2" s="45"/>
      <c r="BJ2" s="45"/>
      <c r="BK2" s="45"/>
      <c r="BL2" s="45"/>
      <c r="BM2" s="45"/>
      <c r="BN2" s="45"/>
      <c r="BO2" s="45"/>
      <c r="BP2" s="45"/>
      <c r="BQ2" s="45"/>
      <c r="BR2" s="45"/>
    </row>
    <row r="3" spans="1:76">
      <c r="A3" s="1914" t="s">
        <v>998</v>
      </c>
      <c r="B3" s="1822"/>
      <c r="U3" s="161"/>
      <c r="W3" s="161"/>
      <c r="AI3" s="161"/>
    </row>
    <row r="4" spans="1:76">
      <c r="A4" s="1822" t="s">
        <v>1034</v>
      </c>
      <c r="B4" s="1822"/>
      <c r="U4" s="161"/>
      <c r="W4" s="161"/>
      <c r="AI4" s="161"/>
    </row>
    <row r="5" spans="1:76">
      <c r="S5" s="112"/>
      <c r="U5" s="534"/>
      <c r="W5" s="534"/>
      <c r="Y5" s="112"/>
      <c r="AA5" s="112"/>
      <c r="AC5" s="112"/>
      <c r="AE5" s="112"/>
      <c r="AG5" s="112"/>
      <c r="AI5" s="534"/>
      <c r="AK5" s="112"/>
      <c r="AM5" s="112"/>
      <c r="AO5" s="112"/>
      <c r="AQ5" s="112"/>
      <c r="AS5" s="112"/>
      <c r="AU5" s="112"/>
      <c r="AW5" s="112"/>
      <c r="AY5" s="112"/>
      <c r="BA5" s="112"/>
      <c r="BB5" s="112"/>
      <c r="BC5" s="112"/>
      <c r="BD5" s="112"/>
      <c r="BE5" s="112"/>
      <c r="BF5" s="112"/>
      <c r="BG5" s="112"/>
      <c r="BH5" s="112"/>
      <c r="BI5" s="112"/>
      <c r="BJ5" s="112"/>
      <c r="BK5" s="112"/>
      <c r="BL5" s="112"/>
      <c r="BM5" s="112"/>
      <c r="BN5" s="112"/>
      <c r="BO5" s="112"/>
      <c r="BP5" s="112"/>
      <c r="BQ5" s="112"/>
      <c r="BR5" s="112"/>
    </row>
    <row r="6" spans="1:76">
      <c r="E6" s="1915">
        <v>1990</v>
      </c>
      <c r="G6" s="47">
        <f>E6+1</f>
        <v>1991</v>
      </c>
      <c r="I6" s="47">
        <f>G6+1</f>
        <v>1992</v>
      </c>
      <c r="K6" s="47">
        <f>I6+1</f>
        <v>1993</v>
      </c>
      <c r="M6" s="47">
        <f>K6+1</f>
        <v>1994</v>
      </c>
      <c r="O6" s="47">
        <f>M6+1</f>
        <v>1995</v>
      </c>
      <c r="P6" s="46"/>
      <c r="Q6" s="47">
        <f>O6+1</f>
        <v>1996</v>
      </c>
      <c r="R6" s="46"/>
      <c r="S6" s="47">
        <f>Q6+1</f>
        <v>1997</v>
      </c>
      <c r="T6" s="46"/>
      <c r="U6" s="1830">
        <f>S6+1</f>
        <v>1998</v>
      </c>
      <c r="V6" s="46"/>
      <c r="W6" s="1830">
        <f>U6+1</f>
        <v>1999</v>
      </c>
      <c r="X6" s="46"/>
      <c r="Y6" s="47">
        <f>W6+1</f>
        <v>2000</v>
      </c>
      <c r="Z6" s="46"/>
      <c r="AA6" s="47">
        <f>Y6+1</f>
        <v>2001</v>
      </c>
      <c r="AB6" s="46"/>
      <c r="AC6" s="47" t="s">
        <v>229</v>
      </c>
      <c r="AD6" s="46"/>
      <c r="AE6" s="47" t="s">
        <v>744</v>
      </c>
      <c r="AF6" s="1916"/>
      <c r="AG6" s="47" t="s">
        <v>949</v>
      </c>
      <c r="AH6" s="1916"/>
      <c r="AI6" s="1831">
        <f>+flow!AH6</f>
        <v>2005</v>
      </c>
      <c r="AJ6" s="1916"/>
      <c r="AK6" s="1831">
        <f>+flow!AJ6</f>
        <v>2006</v>
      </c>
      <c r="AL6" s="1916"/>
      <c r="AM6" s="1831">
        <f>+flow!AL6</f>
        <v>2007</v>
      </c>
      <c r="AN6" s="1916"/>
      <c r="AO6" s="1831">
        <f>+flow!AN6</f>
        <v>2008</v>
      </c>
      <c r="AP6" s="1916"/>
      <c r="AQ6" s="1831">
        <f>+flow!AP6</f>
        <v>2009</v>
      </c>
      <c r="AR6" s="1916"/>
      <c r="AS6" s="1831">
        <f>+flow!AR6</f>
        <v>2010</v>
      </c>
      <c r="AT6" s="1916"/>
      <c r="AU6" s="1831">
        <f>+flow!AT6</f>
        <v>2011</v>
      </c>
      <c r="AV6" s="1916"/>
      <c r="AW6" s="47">
        <f>+flow!AV6</f>
        <v>2012</v>
      </c>
      <c r="AX6" s="1916"/>
      <c r="AY6" s="47">
        <f>+flow!AX6</f>
        <v>2013</v>
      </c>
      <c r="AZ6" s="1916"/>
      <c r="BA6" s="47">
        <f>+flow!AZ6</f>
        <v>2014</v>
      </c>
      <c r="BB6" s="1833"/>
      <c r="BC6" s="47">
        <f>+flow!BB6</f>
        <v>2015</v>
      </c>
      <c r="BD6" s="1833"/>
      <c r="BE6" s="47">
        <f>+flow!BD6</f>
        <v>2016</v>
      </c>
      <c r="BF6" s="1833"/>
      <c r="BG6" s="47">
        <f>+flow!BF6</f>
        <v>2017</v>
      </c>
      <c r="BH6" s="1833"/>
      <c r="BI6" s="1832">
        <f>+flow!BH6</f>
        <v>2018</v>
      </c>
      <c r="BJ6" s="1833"/>
      <c r="BK6" s="1832">
        <f>+flow!BJ6</f>
        <v>2019</v>
      </c>
      <c r="BL6" s="1833"/>
      <c r="BM6" s="1832">
        <f>+flow!BL6</f>
        <v>2020</v>
      </c>
      <c r="BN6" s="1833"/>
      <c r="BO6" s="1832">
        <f>+flow!BN6</f>
        <v>2021</v>
      </c>
      <c r="BP6" s="1833"/>
      <c r="BQ6" s="1832">
        <f>+flow!BP6</f>
        <v>2022</v>
      </c>
      <c r="BR6" s="1833"/>
    </row>
    <row r="7" spans="1:76">
      <c r="Q7" s="112"/>
      <c r="U7" s="161"/>
      <c r="W7" s="161"/>
      <c r="AI7" s="161"/>
    </row>
    <row r="8" spans="1:76">
      <c r="A8" s="1917" t="s">
        <v>762</v>
      </c>
      <c r="B8" s="1748"/>
      <c r="U8" s="161"/>
      <c r="W8" s="161"/>
      <c r="AI8" s="161"/>
      <c r="AS8" s="1801"/>
      <c r="AU8" s="492"/>
      <c r="AW8" s="492"/>
      <c r="AY8" s="492"/>
      <c r="BA8" s="492"/>
      <c r="BB8" s="492"/>
      <c r="BC8" s="492"/>
      <c r="BD8" s="492"/>
      <c r="BE8" s="492"/>
      <c r="BF8" s="492"/>
      <c r="BG8" s="492"/>
      <c r="BH8" s="492"/>
      <c r="BI8" s="492"/>
      <c r="BJ8" s="492"/>
      <c r="BK8" s="492"/>
      <c r="BL8" s="492"/>
      <c r="BM8" s="492"/>
      <c r="BN8" s="492"/>
      <c r="BO8" s="492"/>
      <c r="BP8" s="492"/>
      <c r="BQ8" s="1919"/>
      <c r="BR8" s="492"/>
    </row>
    <row r="9" spans="1:76" s="161" customFormat="1">
      <c r="A9" s="2861"/>
      <c r="B9" s="161" t="s">
        <v>1097</v>
      </c>
      <c r="C9" s="1919"/>
      <c r="D9" s="1919"/>
      <c r="E9" s="1919">
        <f>+flow!D57</f>
        <v>13.179999999999831</v>
      </c>
      <c r="F9" s="1919"/>
      <c r="G9" s="1919">
        <f>+flow!F57</f>
        <v>33.734999999999324</v>
      </c>
      <c r="H9" s="1919"/>
      <c r="I9" s="1919">
        <f>+flow!H57</f>
        <v>41.234999999999324</v>
      </c>
      <c r="J9" s="1919"/>
      <c r="K9" s="1919">
        <f>+flow!J57</f>
        <v>320.5579999999992</v>
      </c>
      <c r="L9" s="1919"/>
      <c r="M9" s="1919">
        <f>+flow!L57</f>
        <v>242.7799999999998</v>
      </c>
      <c r="N9" s="1919"/>
      <c r="O9" s="1919">
        <f>+flow!N57</f>
        <v>1645.7310000000002</v>
      </c>
      <c r="P9" s="1919"/>
      <c r="Q9" s="1919">
        <f>+flow!P57</f>
        <v>312.79600000000028</v>
      </c>
      <c r="R9" s="1919"/>
      <c r="S9" s="1919">
        <f>+flow!R57</f>
        <v>746.39500000000032</v>
      </c>
      <c r="T9" s="1920"/>
      <c r="U9" s="1919">
        <f>+flow!T57</f>
        <v>870.31700000000114</v>
      </c>
      <c r="V9" s="1919"/>
      <c r="W9" s="1919">
        <f>+flow!V57</f>
        <v>817.26800000000117</v>
      </c>
      <c r="X9" s="1919"/>
      <c r="Y9" s="1920">
        <v>563.54700000000003</v>
      </c>
      <c r="Z9" s="1919"/>
      <c r="AA9" s="1919">
        <f>+flow!Z57</f>
        <v>1495</v>
      </c>
      <c r="AB9" s="1919"/>
      <c r="AC9" s="1919">
        <f>+flow!AB57</f>
        <v>2262</v>
      </c>
      <c r="AD9" s="1919"/>
      <c r="AE9" s="1919">
        <f>flow!$AD$57</f>
        <v>3130</v>
      </c>
      <c r="AF9" s="1919"/>
      <c r="AG9" s="1921">
        <f>+flow!AF57</f>
        <v>1160.759</v>
      </c>
      <c r="AH9" s="1919"/>
      <c r="AI9" s="1919">
        <f>+flow!AH57</f>
        <v>1208.0000000000002</v>
      </c>
      <c r="AJ9" s="1919"/>
      <c r="AK9" s="1919">
        <f>+flow!AJ57</f>
        <v>499.99999999999881</v>
      </c>
      <c r="AL9" s="1919"/>
      <c r="AM9" s="1919">
        <f>ROUND(+AK9+flow!AL56,1)</f>
        <v>1018</v>
      </c>
      <c r="AN9" s="1919"/>
      <c r="AO9" s="1919">
        <f>ROUND(+AM9+flow!AN56,1)</f>
        <v>1173</v>
      </c>
      <c r="AP9" s="1919"/>
      <c r="AQ9" s="1919">
        <f>+AO9+flow!AP56</f>
        <v>1804</v>
      </c>
      <c r="AR9" s="1919"/>
      <c r="AS9" s="1919">
        <f>+AQ9+flow!AR56</f>
        <v>1130</v>
      </c>
      <c r="AT9" s="1919"/>
      <c r="AU9" s="1919">
        <f>ROUND(flow!AT57,0)</f>
        <v>935</v>
      </c>
      <c r="AV9" s="1919"/>
      <c r="AW9" s="1919">
        <f>ROUND(flow!AV57,0)</f>
        <v>773</v>
      </c>
      <c r="AX9" s="1919"/>
      <c r="AY9" s="1919">
        <f>+AW9+flow!AX56</f>
        <v>1519.6149999999975</v>
      </c>
      <c r="AZ9" s="1919"/>
      <c r="BA9" s="1919">
        <f>flow!AZ57</f>
        <v>1681.2157000000002</v>
      </c>
      <c r="BB9" s="1919"/>
      <c r="BC9" s="1919">
        <f>flow!BB57</f>
        <v>2548.2367000000004</v>
      </c>
      <c r="BD9" s="1919"/>
      <c r="BE9" s="1919">
        <f>+BC9+flow!BD56</f>
        <v>1933.8427000000015</v>
      </c>
      <c r="BF9" s="1919"/>
      <c r="BG9" s="1919">
        <f>+BE9+flow!BF56</f>
        <v>1515.1177000000025</v>
      </c>
      <c r="BH9" s="1919"/>
      <c r="BI9" s="1919">
        <f>+BG9+flow!BH56</f>
        <v>1702.0041397650339</v>
      </c>
      <c r="BJ9" s="1919"/>
      <c r="BK9" s="1919">
        <f>+BI9+flow!BJ56</f>
        <v>3477.4641917719237</v>
      </c>
      <c r="BL9" s="1919"/>
      <c r="BM9" s="1919">
        <f>+BK9+flow!BL56</f>
        <v>3892.5902415167425</v>
      </c>
      <c r="BN9" s="1919"/>
      <c r="BO9" s="1919">
        <f>+BM9+flow!BN56</f>
        <v>4478.9960881176657</v>
      </c>
      <c r="BP9" s="1919"/>
      <c r="BQ9" s="1919">
        <f>+BO9+flow!BP56</f>
        <v>5238.6792131802385</v>
      </c>
      <c r="BR9" s="1919"/>
      <c r="BS9"/>
      <c r="BT9"/>
      <c r="BU9"/>
      <c r="BV9"/>
      <c r="BW9"/>
      <c r="BX9"/>
    </row>
    <row r="10" spans="1:76">
      <c r="A10" s="1918"/>
      <c r="B10" s="23" t="s">
        <v>1035</v>
      </c>
      <c r="C10" s="468"/>
      <c r="D10" s="468"/>
      <c r="E10" s="1844">
        <v>670.29600000000005</v>
      </c>
      <c r="F10" s="468"/>
      <c r="G10" s="1844">
        <v>735.83199999999999</v>
      </c>
      <c r="H10" s="468"/>
      <c r="I10" s="1844">
        <v>837.37699999999995</v>
      </c>
      <c r="J10" s="468"/>
      <c r="K10" s="1844">
        <v>1056.9110000000001</v>
      </c>
      <c r="L10" s="468"/>
      <c r="M10" s="1844">
        <v>1292.3989999999999</v>
      </c>
      <c r="N10" s="468"/>
      <c r="O10" s="1844">
        <v>77.516000000000005</v>
      </c>
      <c r="P10" s="468"/>
      <c r="Q10" s="1844">
        <v>69.337000000000003</v>
      </c>
      <c r="R10" s="468"/>
      <c r="S10" s="1844">
        <v>83.37</v>
      </c>
      <c r="T10" s="1844"/>
      <c r="U10" s="1922">
        <v>77.715000000000003</v>
      </c>
      <c r="V10" s="468"/>
      <c r="W10" s="1922">
        <v>108.794</v>
      </c>
      <c r="X10" s="468"/>
      <c r="Y10" s="1844">
        <v>93.745000000000005</v>
      </c>
      <c r="Z10" s="468"/>
      <c r="AA10" s="1844">
        <v>80</v>
      </c>
      <c r="AB10" s="468"/>
      <c r="AC10" s="1844">
        <v>151</v>
      </c>
      <c r="AD10" s="468"/>
      <c r="AE10" s="1844">
        <v>112</v>
      </c>
      <c r="AF10" s="468"/>
      <c r="AG10" s="1844">
        <v>128.50899999999999</v>
      </c>
      <c r="AH10" s="468"/>
      <c r="AI10" s="1922">
        <v>182.352</v>
      </c>
      <c r="AJ10" s="468"/>
      <c r="AK10" s="1844">
        <v>176.12</v>
      </c>
      <c r="AL10" s="468"/>
      <c r="AM10" s="1844">
        <v>355</v>
      </c>
      <c r="AN10" s="1923"/>
      <c r="AO10" s="1922">
        <v>236</v>
      </c>
      <c r="AP10" s="468"/>
      <c r="AQ10" s="1844">
        <v>219</v>
      </c>
      <c r="AR10" s="468"/>
      <c r="AS10" s="1844">
        <v>232</v>
      </c>
      <c r="AT10" s="468"/>
      <c r="AU10" s="1844">
        <v>218</v>
      </c>
      <c r="AV10" s="468"/>
      <c r="AW10" s="1844">
        <v>203</v>
      </c>
      <c r="AX10" s="468"/>
      <c r="AY10" s="1844">
        <v>244.126</v>
      </c>
      <c r="AZ10" s="468"/>
      <c r="BA10" s="1844">
        <v>252.12299999999999</v>
      </c>
      <c r="BB10" s="468"/>
      <c r="BC10" s="1844">
        <v>260.91000000000003</v>
      </c>
      <c r="BD10" s="468"/>
      <c r="BE10" s="2582">
        <v>294</v>
      </c>
      <c r="BF10" s="468"/>
      <c r="BG10" s="2582">
        <v>310.05700000000002</v>
      </c>
      <c r="BH10" s="468"/>
      <c r="BI10" s="468">
        <f>+BI81*BI76</f>
        <v>322.66976863438424</v>
      </c>
      <c r="BJ10" s="468"/>
      <c r="BK10" s="468">
        <f>+BK81*BK76</f>
        <v>337.62357379065929</v>
      </c>
      <c r="BL10" s="468"/>
      <c r="BM10" s="468">
        <f>+BM81*BM76</f>
        <v>353.55162654573473</v>
      </c>
      <c r="BN10" s="468"/>
      <c r="BO10" s="468">
        <f>+BO81*BO76</f>
        <v>369.6206153006832</v>
      </c>
      <c r="BP10" s="468"/>
      <c r="BQ10" s="468">
        <f>+BQ81*BQ76</f>
        <v>385.77192486395813</v>
      </c>
      <c r="BR10" s="468"/>
    </row>
    <row r="11" spans="1:76">
      <c r="A11" s="1918"/>
      <c r="B11" s="23" t="s">
        <v>1098</v>
      </c>
      <c r="C11" s="468"/>
      <c r="D11" s="468"/>
      <c r="E11" s="1844">
        <v>585.16600000000005</v>
      </c>
      <c r="F11" s="468"/>
      <c r="G11" s="1844">
        <v>730.05</v>
      </c>
      <c r="H11" s="468"/>
      <c r="I11" s="1844">
        <v>803.70699999999999</v>
      </c>
      <c r="J11" s="468"/>
      <c r="K11" s="1844">
        <v>733.7</v>
      </c>
      <c r="L11" s="468"/>
      <c r="M11" s="1844">
        <v>870.44</v>
      </c>
      <c r="N11" s="468"/>
      <c r="O11" s="1844">
        <v>958.95299999999997</v>
      </c>
      <c r="P11" s="468"/>
      <c r="Q11" s="1844">
        <v>1007.303</v>
      </c>
      <c r="R11" s="468"/>
      <c r="S11" s="1844">
        <v>1002.71</v>
      </c>
      <c r="T11" s="1844"/>
      <c r="U11" s="1922">
        <v>1119.67</v>
      </c>
      <c r="V11" s="468"/>
      <c r="W11" s="1922">
        <v>1050.913</v>
      </c>
      <c r="X11" s="468"/>
      <c r="Y11" s="1844">
        <v>1157.1400000000001</v>
      </c>
      <c r="Z11" s="468"/>
      <c r="AA11" s="1844">
        <v>966</v>
      </c>
      <c r="AB11" s="468"/>
      <c r="AC11" s="1844">
        <v>966</v>
      </c>
      <c r="AD11" s="468"/>
      <c r="AE11" s="1844">
        <v>943</v>
      </c>
      <c r="AF11" s="468"/>
      <c r="AG11" s="1844">
        <v>1141.626</v>
      </c>
      <c r="AH11" s="468"/>
      <c r="AI11" s="1922">
        <v>1159.69</v>
      </c>
      <c r="AJ11" s="468"/>
      <c r="AK11" s="1844">
        <v>1769.9739999999999</v>
      </c>
      <c r="AL11" s="468"/>
      <c r="AM11" s="1844">
        <v>1251</v>
      </c>
      <c r="AN11" s="1923"/>
      <c r="AO11" s="1922">
        <v>1182</v>
      </c>
      <c r="AP11" s="468"/>
      <c r="AQ11" s="1844">
        <v>1037</v>
      </c>
      <c r="AR11" s="468"/>
      <c r="AS11" s="1844">
        <v>1032</v>
      </c>
      <c r="AT11" s="468"/>
      <c r="AU11" s="1844">
        <v>997</v>
      </c>
      <c r="AV11" s="468"/>
      <c r="AW11" s="1844">
        <v>1004</v>
      </c>
      <c r="AX11" s="468"/>
      <c r="AY11" s="1844">
        <v>1164.616</v>
      </c>
      <c r="AZ11" s="468"/>
      <c r="BA11" s="1844">
        <v>1035.7260000000001</v>
      </c>
      <c r="BB11" s="468"/>
      <c r="BC11" s="1844">
        <v>1121.942</v>
      </c>
      <c r="BD11" s="468"/>
      <c r="BE11" s="2582">
        <v>1096</v>
      </c>
      <c r="BF11" s="468"/>
      <c r="BG11" s="2582">
        <v>1239.7370000000001</v>
      </c>
      <c r="BH11" s="468"/>
      <c r="BI11" s="1923">
        <f>+BI82*BI76</f>
        <v>1314.6171861945406</v>
      </c>
      <c r="BJ11" s="468"/>
      <c r="BK11" s="468">
        <f>+BK82*BK76</f>
        <v>1375.5417944732874</v>
      </c>
      <c r="BL11" s="468"/>
      <c r="BM11" s="468">
        <f>+BM82*BM76</f>
        <v>1440.435670286493</v>
      </c>
      <c r="BN11" s="468"/>
      <c r="BO11" s="468">
        <f>+BO82*BO76</f>
        <v>1505.9037458097323</v>
      </c>
      <c r="BP11" s="468"/>
      <c r="BQ11" s="468">
        <f>+BQ82*BQ76</f>
        <v>1571.7072117535415</v>
      </c>
      <c r="BR11" s="468"/>
    </row>
    <row r="12" spans="1:76">
      <c r="A12" s="1918"/>
      <c r="B12" s="23" t="s">
        <v>590</v>
      </c>
      <c r="C12" s="468"/>
      <c r="D12" s="468"/>
      <c r="E12" s="1846">
        <v>96.319000000000003</v>
      </c>
      <c r="F12" s="468"/>
      <c r="G12" s="1846">
        <v>104.708</v>
      </c>
      <c r="H12" s="468"/>
      <c r="I12" s="1846">
        <v>101.81100000000001</v>
      </c>
      <c r="J12" s="468"/>
      <c r="K12" s="1846">
        <v>109.456</v>
      </c>
      <c r="L12" s="468"/>
      <c r="M12" s="1846">
        <v>142.047</v>
      </c>
      <c r="N12" s="468"/>
      <c r="O12" s="1846">
        <v>117.83199999999999</v>
      </c>
      <c r="P12" s="468"/>
      <c r="Q12" s="1846">
        <v>155.661</v>
      </c>
      <c r="R12" s="1844"/>
      <c r="S12" s="1846">
        <v>198.67599999999999</v>
      </c>
      <c r="T12" s="1844"/>
      <c r="U12" s="1924">
        <f>140.38+98.797</f>
        <v>239.17699999999999</v>
      </c>
      <c r="V12" s="468"/>
      <c r="W12" s="1924">
        <v>307.77999999999997</v>
      </c>
      <c r="X12" s="468"/>
      <c r="Y12" s="1846">
        <v>253.36600000000001</v>
      </c>
      <c r="Z12" s="468"/>
      <c r="AA12" s="1846">
        <v>243</v>
      </c>
      <c r="AB12" s="468"/>
      <c r="AC12" s="1846">
        <v>227</v>
      </c>
      <c r="AD12" s="468"/>
      <c r="AE12" s="1846">
        <v>248</v>
      </c>
      <c r="AF12" s="468"/>
      <c r="AG12" s="1846">
        <v>253.554</v>
      </c>
      <c r="AH12" s="468"/>
      <c r="AI12" s="1924">
        <v>234.48099999999999</v>
      </c>
      <c r="AJ12" s="468"/>
      <c r="AK12" s="1846">
        <v>325</v>
      </c>
      <c r="AL12" s="468"/>
      <c r="AM12" s="1846">
        <v>295</v>
      </c>
      <c r="AN12" s="1923"/>
      <c r="AO12" s="1924">
        <v>276</v>
      </c>
      <c r="AP12" s="468"/>
      <c r="AQ12" s="1846">
        <f>30+160</f>
        <v>190</v>
      </c>
      <c r="AR12" s="468"/>
      <c r="AS12" s="1846">
        <f>163+35</f>
        <v>198</v>
      </c>
      <c r="AT12" s="468"/>
      <c r="AU12" s="1846">
        <f>51+167</f>
        <v>218</v>
      </c>
      <c r="AV12" s="468"/>
      <c r="AW12" s="1846">
        <f>28.515+195.9966</f>
        <v>224.51159999999999</v>
      </c>
      <c r="AX12" s="468"/>
      <c r="AY12" s="1846">
        <f>28.475+193.303</f>
        <v>221.77799999999999</v>
      </c>
      <c r="AZ12" s="468"/>
      <c r="BA12" s="1846">
        <f>33.26+229.735</f>
        <v>262.995</v>
      </c>
      <c r="BB12" s="470"/>
      <c r="BC12" s="1846">
        <f>224.992</f>
        <v>224.99199999999999</v>
      </c>
      <c r="BD12" s="470"/>
      <c r="BE12" s="2583">
        <v>141</v>
      </c>
      <c r="BF12" s="470"/>
      <c r="BG12" s="2583">
        <v>228.04900000000001</v>
      </c>
      <c r="BH12" s="470"/>
      <c r="BI12" s="469">
        <f>BG12</f>
        <v>228.04900000000001</v>
      </c>
      <c r="BJ12" s="470"/>
      <c r="BK12" s="469">
        <f>BI12</f>
        <v>228.04900000000001</v>
      </c>
      <c r="BL12" s="470"/>
      <c r="BM12" s="469">
        <f>BK12</f>
        <v>228.04900000000001</v>
      </c>
      <c r="BN12" s="470"/>
      <c r="BO12" s="469">
        <f>BM12</f>
        <v>228.04900000000001</v>
      </c>
      <c r="BP12" s="470"/>
      <c r="BQ12" s="469">
        <f>BO12</f>
        <v>228.04900000000001</v>
      </c>
      <c r="BR12" s="470"/>
    </row>
    <row r="13" spans="1:76">
      <c r="A13" s="1918"/>
      <c r="C13" s="1834" t="s">
        <v>1036</v>
      </c>
      <c r="D13" s="1834"/>
      <c r="E13" s="1834">
        <f>SUM(E9:E12)</f>
        <v>1364.9609999999998</v>
      </c>
      <c r="F13" s="1834"/>
      <c r="G13" s="1834">
        <f>SUM(G9:G12)</f>
        <v>1604.3249999999994</v>
      </c>
      <c r="H13" s="1834"/>
      <c r="I13" s="1834">
        <f>SUM(I9:I12)</f>
        <v>1784.1299999999992</v>
      </c>
      <c r="J13" s="1834"/>
      <c r="K13" s="1834">
        <f>SUM(K9:K12)</f>
        <v>2220.6249999999991</v>
      </c>
      <c r="L13" s="1834"/>
      <c r="M13" s="1834">
        <f>SUM(M9:M12)</f>
        <v>2547.6659999999997</v>
      </c>
      <c r="N13" s="1834"/>
      <c r="O13" s="1834">
        <f>SUM(O9:O12)</f>
        <v>2800.0320000000002</v>
      </c>
      <c r="P13" s="1834"/>
      <c r="Q13" s="1834">
        <f>SUM(Q9:Q12)</f>
        <v>1545.0970000000002</v>
      </c>
      <c r="R13" s="1834"/>
      <c r="S13" s="1834">
        <f>SUM(S9:S12)</f>
        <v>2031.1510000000003</v>
      </c>
      <c r="T13" s="1834"/>
      <c r="U13" s="1838">
        <f>SUM(U9:U12)</f>
        <v>2306.8790000000013</v>
      </c>
      <c r="V13" s="1834"/>
      <c r="W13" s="1838">
        <f>SUM(W9:W12)</f>
        <v>2284.755000000001</v>
      </c>
      <c r="X13" s="1834"/>
      <c r="Y13" s="1834">
        <f>SUM(Y9:Y12)</f>
        <v>2067.7980000000002</v>
      </c>
      <c r="Z13" s="1834"/>
      <c r="AA13" s="1834">
        <f>SUM(AA9:AA12)</f>
        <v>2784</v>
      </c>
      <c r="AB13" s="1834"/>
      <c r="AC13" s="1834">
        <f>SUM(AC9:AC12)</f>
        <v>3606</v>
      </c>
      <c r="AD13" s="1834"/>
      <c r="AE13" s="1834">
        <f>SUM(AE9:AE12)</f>
        <v>4433</v>
      </c>
      <c r="AF13" s="1834"/>
      <c r="AG13" s="1834">
        <f>SUM(AG9:AG12)</f>
        <v>2684.4480000000003</v>
      </c>
      <c r="AH13" s="1834"/>
      <c r="AI13" s="1838">
        <f>SUM(AI9:AI12)</f>
        <v>2784.5230000000001</v>
      </c>
      <c r="AJ13" s="1834"/>
      <c r="AK13" s="1834">
        <f>SUM(AK9:AK12)</f>
        <v>2771.0939999999987</v>
      </c>
      <c r="AL13" s="1834"/>
      <c r="AM13" s="1834">
        <f>SUM(AM9:AM12)</f>
        <v>2919</v>
      </c>
      <c r="AN13" s="1838"/>
      <c r="AO13" s="1838">
        <f>SUM(AO9:AO12)</f>
        <v>2867</v>
      </c>
      <c r="AP13" s="1834"/>
      <c r="AQ13" s="1834">
        <f>SUM(AQ9:AQ12)</f>
        <v>3250</v>
      </c>
      <c r="AR13" s="1834"/>
      <c r="AS13" s="1834">
        <f>SUM(AS9:AS12)</f>
        <v>2592</v>
      </c>
      <c r="AT13" s="1834"/>
      <c r="AU13" s="1834">
        <f>SUM(AU9:AU12)</f>
        <v>2368</v>
      </c>
      <c r="AV13" s="1834"/>
      <c r="AW13" s="1834">
        <f>SUM(AW9:AW12)</f>
        <v>2204.5115999999998</v>
      </c>
      <c r="AX13" s="1834"/>
      <c r="AY13" s="1834">
        <f>SUM(AY9:AY12)</f>
        <v>3150.134999999997</v>
      </c>
      <c r="AZ13" s="1834"/>
      <c r="BA13" s="1834">
        <f>SUM(BA9:BA12)</f>
        <v>3232.0597000000002</v>
      </c>
      <c r="BB13" s="1834"/>
      <c r="BC13" s="1834">
        <f>SUM(BC9:BC12)</f>
        <v>4156.0807000000004</v>
      </c>
      <c r="BD13" s="1834"/>
      <c r="BE13" s="1834">
        <f>SUM(BE9:BE12)</f>
        <v>3464.8427000000015</v>
      </c>
      <c r="BF13" s="1834"/>
      <c r="BG13" s="1854">
        <f>SUM(BG9:BG12)</f>
        <v>3292.9607000000024</v>
      </c>
      <c r="BH13" s="1834"/>
      <c r="BI13" s="1834">
        <f>SUM(BI9:BI12)</f>
        <v>3567.3400945939584</v>
      </c>
      <c r="BJ13" s="1834"/>
      <c r="BK13" s="1834">
        <f>SUM(BK9:BK12)</f>
        <v>5418.6785600358699</v>
      </c>
      <c r="BL13" s="1834"/>
      <c r="BM13" s="1834">
        <f>SUM(BM9:BM12)</f>
        <v>5914.6265383489708</v>
      </c>
      <c r="BN13" s="1834"/>
      <c r="BO13" s="1834">
        <f>SUM(BO9:BO12)</f>
        <v>6582.5694492280809</v>
      </c>
      <c r="BP13" s="1834"/>
      <c r="BQ13" s="1834">
        <f>SUM(BQ9:BQ12)</f>
        <v>7424.2073497977381</v>
      </c>
      <c r="BR13" s="1834"/>
    </row>
    <row r="14" spans="1:76" ht="6" customHeight="1">
      <c r="A14" s="1925"/>
      <c r="E14" s="1854"/>
      <c r="G14" s="1854"/>
      <c r="I14" s="1854"/>
      <c r="K14" s="1854"/>
      <c r="M14" s="1854"/>
      <c r="O14" s="1854"/>
      <c r="Q14" s="1854"/>
      <c r="S14" s="1854"/>
      <c r="U14" s="1855"/>
      <c r="W14" s="1855"/>
      <c r="Y14" s="1854"/>
      <c r="AA14" s="1854"/>
      <c r="AC14" s="1854"/>
      <c r="AE14" s="1854"/>
      <c r="AG14" s="1854"/>
      <c r="AI14" s="1855"/>
      <c r="AK14" s="1854"/>
      <c r="AM14" s="1854"/>
      <c r="AN14" s="161"/>
      <c r="AO14" s="1855"/>
      <c r="AQ14" s="1854"/>
      <c r="AS14" s="1854"/>
      <c r="AU14" s="1854"/>
      <c r="AW14" s="1854"/>
      <c r="AY14" s="1854"/>
      <c r="BA14" s="1854"/>
      <c r="BB14" s="1854"/>
      <c r="BC14" s="1854"/>
      <c r="BD14" s="1854"/>
      <c r="BE14" s="1854"/>
      <c r="BF14" s="1854"/>
      <c r="BG14" s="1854"/>
      <c r="BH14" s="1854"/>
      <c r="BI14" s="1854"/>
      <c r="BJ14" s="1854"/>
      <c r="BK14" s="1854"/>
      <c r="BL14" s="1854"/>
      <c r="BM14" s="1854"/>
      <c r="BN14" s="1854"/>
      <c r="BO14" s="1854"/>
      <c r="BP14" s="1854"/>
      <c r="BQ14" s="1854"/>
      <c r="BR14" s="1854"/>
    </row>
    <row r="15" spans="1:76" hidden="1" outlineLevel="1">
      <c r="A15" s="1925"/>
      <c r="B15" s="23" t="s">
        <v>811</v>
      </c>
      <c r="E15" s="1854"/>
      <c r="G15" s="1854"/>
      <c r="I15" s="1854"/>
      <c r="K15" s="1854"/>
      <c r="M15" s="1854"/>
      <c r="O15" s="1854"/>
      <c r="Q15" s="1854"/>
      <c r="S15" s="1854"/>
      <c r="U15" s="1855"/>
      <c r="W15" s="1855"/>
      <c r="Y15" s="1854"/>
      <c r="AA15" s="1854"/>
      <c r="AC15" s="1854"/>
      <c r="AE15" s="1854"/>
      <c r="AG15" s="1920">
        <v>54</v>
      </c>
      <c r="AI15" s="1920">
        <v>54</v>
      </c>
      <c r="AK15" s="1920">
        <v>51</v>
      </c>
      <c r="AL15" s="1926"/>
      <c r="AM15" s="1920">
        <v>60</v>
      </c>
      <c r="AN15" s="161"/>
      <c r="AO15" s="1920">
        <v>60</v>
      </c>
      <c r="AQ15" s="1920">
        <v>60</v>
      </c>
      <c r="AS15" s="1920">
        <v>61</v>
      </c>
      <c r="AU15" s="1854"/>
      <c r="AW15" s="1854"/>
      <c r="AY15" s="1854"/>
      <c r="BA15" s="1854"/>
      <c r="BB15" s="1854"/>
      <c r="BC15" s="1854"/>
      <c r="BD15" s="1854"/>
      <c r="BE15" s="1854"/>
      <c r="BF15" s="1854"/>
      <c r="BG15" s="1854"/>
      <c r="BH15" s="1854"/>
      <c r="BI15" s="1854"/>
      <c r="BJ15" s="1854"/>
      <c r="BK15" s="1854"/>
      <c r="BL15" s="1854"/>
      <c r="BM15" s="1854"/>
      <c r="BN15" s="1854"/>
      <c r="BO15" s="1854"/>
      <c r="BP15" s="1854"/>
      <c r="BQ15" s="1854"/>
      <c r="BR15" s="1854"/>
    </row>
    <row r="16" spans="1:76" hidden="1" outlineLevel="1">
      <c r="A16" s="1925"/>
      <c r="B16" s="23" t="s">
        <v>708</v>
      </c>
      <c r="E16" s="1854"/>
      <c r="G16" s="1854"/>
      <c r="I16" s="1854"/>
      <c r="K16" s="1854"/>
      <c r="M16" s="1854"/>
      <c r="O16" s="1854"/>
      <c r="Q16" s="1854"/>
      <c r="S16" s="1854"/>
      <c r="U16" s="1855"/>
      <c r="W16" s="1855"/>
      <c r="Y16" s="1854"/>
      <c r="AA16" s="1854"/>
      <c r="AC16" s="1854"/>
      <c r="AE16" s="1854"/>
      <c r="AG16" s="1922">
        <v>394</v>
      </c>
      <c r="AI16" s="1922">
        <v>373</v>
      </c>
      <c r="AK16" s="1922">
        <v>383</v>
      </c>
      <c r="AL16" s="1927"/>
      <c r="AM16" s="1922">
        <v>394</v>
      </c>
      <c r="AN16" s="161"/>
      <c r="AO16" s="1922">
        <v>394</v>
      </c>
      <c r="AQ16" s="1922">
        <v>390</v>
      </c>
      <c r="AS16" s="1922">
        <v>395</v>
      </c>
      <c r="AU16" s="1854"/>
      <c r="AW16" s="1854"/>
      <c r="AY16" s="1854"/>
      <c r="BA16" s="1854"/>
      <c r="BB16" s="1854"/>
      <c r="BC16" s="1854"/>
      <c r="BD16" s="1854"/>
      <c r="BE16" s="1854"/>
      <c r="BF16" s="1854"/>
      <c r="BG16" s="1854"/>
      <c r="BH16" s="1854"/>
      <c r="BI16" s="1854"/>
      <c r="BJ16" s="1854"/>
      <c r="BK16" s="1854"/>
      <c r="BL16" s="1854"/>
      <c r="BM16" s="1854"/>
      <c r="BN16" s="1854"/>
      <c r="BO16" s="1854"/>
      <c r="BP16" s="1854"/>
      <c r="BQ16" s="1854"/>
      <c r="BR16" s="1854"/>
    </row>
    <row r="17" spans="1:70" hidden="1" outlineLevel="1">
      <c r="A17" s="1925"/>
      <c r="B17" s="23" t="s">
        <v>709</v>
      </c>
      <c r="E17" s="1854"/>
      <c r="G17" s="1854"/>
      <c r="I17" s="1854"/>
      <c r="K17" s="1854"/>
      <c r="M17" s="1854"/>
      <c r="O17" s="1854"/>
      <c r="Q17" s="1854"/>
      <c r="S17" s="1854"/>
      <c r="U17" s="1855"/>
      <c r="W17" s="1855"/>
      <c r="Y17" s="1854"/>
      <c r="AA17" s="1854"/>
      <c r="AC17" s="1854"/>
      <c r="AE17" s="1854"/>
      <c r="AG17" s="1922">
        <v>2180</v>
      </c>
      <c r="AI17" s="1922">
        <v>2218</v>
      </c>
      <c r="AK17" s="1922">
        <v>2366</v>
      </c>
      <c r="AL17" s="1927"/>
      <c r="AM17" s="1922">
        <v>2255</v>
      </c>
      <c r="AN17" s="161"/>
      <c r="AO17" s="1922">
        <v>2375</v>
      </c>
      <c r="AQ17" s="1922">
        <v>2429</v>
      </c>
      <c r="AS17" s="1922">
        <v>2466</v>
      </c>
      <c r="AU17" s="1854"/>
      <c r="AW17" s="1854"/>
      <c r="AY17" s="1854"/>
      <c r="BA17" s="1854"/>
      <c r="BB17" s="1854"/>
      <c r="BC17" s="1854"/>
      <c r="BD17" s="1854"/>
      <c r="BE17" s="1854"/>
      <c r="BF17" s="1854"/>
      <c r="BG17" s="1854"/>
      <c r="BH17" s="1854"/>
      <c r="BI17" s="1854"/>
      <c r="BJ17" s="1854"/>
      <c r="BK17" s="1854"/>
      <c r="BL17" s="1854"/>
      <c r="BM17" s="1854"/>
      <c r="BN17" s="1854"/>
      <c r="BO17" s="1854"/>
      <c r="BP17" s="1854"/>
      <c r="BQ17" s="1854"/>
      <c r="BR17" s="1854"/>
    </row>
    <row r="18" spans="1:70" hidden="1" outlineLevel="1">
      <c r="A18" s="1925"/>
      <c r="B18" s="23" t="s">
        <v>451</v>
      </c>
      <c r="E18" s="1854"/>
      <c r="G18" s="1854"/>
      <c r="I18" s="1854"/>
      <c r="K18" s="1854"/>
      <c r="M18" s="1854"/>
      <c r="O18" s="1854"/>
      <c r="Q18" s="1854"/>
      <c r="S18" s="1854"/>
      <c r="U18" s="1855"/>
      <c r="W18" s="1855"/>
      <c r="Y18" s="1854"/>
      <c r="AA18" s="1854"/>
      <c r="AC18" s="1854"/>
      <c r="AE18" s="1854"/>
      <c r="AG18" s="1922">
        <v>1116</v>
      </c>
      <c r="AI18" s="1922">
        <v>1203</v>
      </c>
      <c r="AK18" s="1922">
        <v>1288</v>
      </c>
      <c r="AL18" s="1927"/>
      <c r="AM18" s="1922">
        <v>970</v>
      </c>
      <c r="AN18" s="161"/>
      <c r="AO18" s="1922">
        <v>1085</v>
      </c>
      <c r="AQ18" s="1922">
        <v>1151</v>
      </c>
      <c r="AS18" s="1922">
        <v>1196</v>
      </c>
      <c r="AU18" s="1854"/>
      <c r="AW18" s="1854"/>
      <c r="AY18" s="1854"/>
      <c r="BA18" s="1854"/>
      <c r="BB18" s="1854"/>
      <c r="BC18" s="1854"/>
      <c r="BD18" s="1854"/>
      <c r="BE18" s="1854"/>
      <c r="BF18" s="1854"/>
      <c r="BG18" s="1854"/>
      <c r="BH18" s="1854"/>
      <c r="BI18" s="1854"/>
      <c r="BJ18" s="1854"/>
      <c r="BK18" s="1854"/>
      <c r="BL18" s="1854"/>
      <c r="BM18" s="1854"/>
      <c r="BN18" s="1854"/>
      <c r="BO18" s="1854"/>
      <c r="BP18" s="1854"/>
      <c r="BQ18" s="1854"/>
      <c r="BR18" s="1854"/>
    </row>
    <row r="19" spans="1:70" hidden="1" outlineLevel="1">
      <c r="A19" s="1925"/>
      <c r="B19" s="23" t="s">
        <v>452</v>
      </c>
      <c r="E19" s="1854"/>
      <c r="G19" s="1854"/>
      <c r="I19" s="1854"/>
      <c r="K19" s="1854"/>
      <c r="M19" s="1854"/>
      <c r="O19" s="1854"/>
      <c r="Q19" s="1854"/>
      <c r="S19" s="1854"/>
      <c r="U19" s="1855"/>
      <c r="W19" s="1855"/>
      <c r="Y19" s="1854"/>
      <c r="AA19" s="1854"/>
      <c r="AC19" s="1854"/>
      <c r="AE19" s="1854"/>
      <c r="AG19" s="1922">
        <v>38</v>
      </c>
      <c r="AI19" s="1922">
        <v>150</v>
      </c>
      <c r="AK19" s="1922">
        <v>219</v>
      </c>
      <c r="AL19" s="1927"/>
      <c r="AM19" s="1922">
        <v>132</v>
      </c>
      <c r="AN19" s="161"/>
      <c r="AO19" s="1922">
        <v>119</v>
      </c>
      <c r="AQ19" s="1922">
        <v>28</v>
      </c>
      <c r="AS19" s="1922">
        <v>65</v>
      </c>
      <c r="AU19" s="1854"/>
      <c r="AW19" s="1854"/>
      <c r="AY19" s="1854"/>
      <c r="BA19" s="1854"/>
      <c r="BB19" s="1854"/>
      <c r="BC19" s="1854"/>
      <c r="BD19" s="1854"/>
      <c r="BE19" s="1854"/>
      <c r="BF19" s="1854"/>
      <c r="BG19" s="1854"/>
      <c r="BH19" s="1854"/>
      <c r="BI19" s="1854"/>
      <c r="BJ19" s="1854"/>
      <c r="BK19" s="1854"/>
      <c r="BL19" s="1854"/>
      <c r="BM19" s="1854"/>
      <c r="BN19" s="1854"/>
      <c r="BO19" s="1854"/>
      <c r="BP19" s="1854"/>
      <c r="BQ19" s="1854"/>
      <c r="BR19" s="1854"/>
    </row>
    <row r="20" spans="1:70" hidden="1" outlineLevel="1">
      <c r="A20" s="1925"/>
      <c r="B20" s="23" t="s">
        <v>453</v>
      </c>
      <c r="E20" s="1854"/>
      <c r="G20" s="1854"/>
      <c r="I20" s="1854"/>
      <c r="K20" s="1854"/>
      <c r="M20" s="1854"/>
      <c r="O20" s="1854"/>
      <c r="Q20" s="1854"/>
      <c r="S20" s="1854"/>
      <c r="U20" s="1855"/>
      <c r="W20" s="1855"/>
      <c r="Y20" s="1854"/>
      <c r="AA20" s="1854"/>
      <c r="AC20" s="1854"/>
      <c r="AE20" s="1854"/>
      <c r="AG20" s="1924">
        <v>-2298</v>
      </c>
      <c r="AI20" s="1924">
        <v>-2383</v>
      </c>
      <c r="AK20" s="1924">
        <v>-2445</v>
      </c>
      <c r="AL20" s="1927"/>
      <c r="AM20" s="1924">
        <v>-1949</v>
      </c>
      <c r="AN20" s="161"/>
      <c r="AO20" s="1924">
        <v>-2102</v>
      </c>
      <c r="AQ20" s="1924">
        <v>-2335</v>
      </c>
      <c r="AS20" s="1924">
        <v>-2573</v>
      </c>
      <c r="AU20" s="1854"/>
      <c r="AW20" s="1854"/>
      <c r="AY20" s="1854"/>
      <c r="BA20" s="1854"/>
      <c r="BB20" s="1854"/>
      <c r="BC20" s="1854"/>
      <c r="BD20" s="1854"/>
      <c r="BE20" s="1854"/>
      <c r="BF20" s="1854"/>
      <c r="BG20" s="1854"/>
      <c r="BH20" s="1854"/>
      <c r="BI20" s="1854"/>
      <c r="BJ20" s="1854"/>
      <c r="BK20" s="1854"/>
      <c r="BL20" s="1854"/>
      <c r="BM20" s="1854"/>
      <c r="BN20" s="1854"/>
      <c r="BO20" s="1854"/>
      <c r="BP20" s="1854"/>
      <c r="BQ20" s="1854"/>
      <c r="BR20" s="1854"/>
    </row>
    <row r="21" spans="1:70" collapsed="1">
      <c r="A21" s="1928"/>
      <c r="C21" s="160" t="s">
        <v>866</v>
      </c>
      <c r="D21" s="160"/>
      <c r="E21" s="159">
        <v>1395.0730000000001</v>
      </c>
      <c r="F21" s="160"/>
      <c r="G21" s="159">
        <v>1657.0840000000001</v>
      </c>
      <c r="H21" s="160"/>
      <c r="I21" s="159">
        <v>1813.9480000000001</v>
      </c>
      <c r="J21" s="160"/>
      <c r="K21" s="159">
        <v>1666.588</v>
      </c>
      <c r="L21" s="160"/>
      <c r="M21" s="159">
        <v>1692.145</v>
      </c>
      <c r="N21" s="160"/>
      <c r="O21" s="159">
        <v>1741.4559999999999</v>
      </c>
      <c r="P21" s="160"/>
      <c r="Q21" s="159">
        <v>1828.8689999999999</v>
      </c>
      <c r="R21" s="160"/>
      <c r="S21" s="159">
        <v>1415.912</v>
      </c>
      <c r="T21" s="160"/>
      <c r="U21" s="1920">
        <v>1361.761</v>
      </c>
      <c r="V21" s="160"/>
      <c r="W21" s="1920">
        <v>1229.6120000000001</v>
      </c>
      <c r="X21" s="160"/>
      <c r="Y21" s="159">
        <v>1394.6189999999999</v>
      </c>
      <c r="Z21" s="160"/>
      <c r="AA21" s="159">
        <v>1599</v>
      </c>
      <c r="AB21" s="160"/>
      <c r="AC21" s="159">
        <v>1492</v>
      </c>
      <c r="AD21" s="160"/>
      <c r="AE21" s="1920">
        <v>1460</v>
      </c>
      <c r="AF21" s="160"/>
      <c r="AG21" s="159">
        <v>1484.12</v>
      </c>
      <c r="AH21" s="160"/>
      <c r="AI21" s="1920">
        <v>1614.5930000000001</v>
      </c>
      <c r="AJ21" s="160"/>
      <c r="AK21" s="159">
        <v>1861.4380000000001</v>
      </c>
      <c r="AL21" s="160"/>
      <c r="AM21" s="159">
        <v>1862</v>
      </c>
      <c r="AN21" s="1919"/>
      <c r="AO21" s="1920">
        <v>1929</v>
      </c>
      <c r="AP21" s="160"/>
      <c r="AQ21" s="159">
        <v>1723</v>
      </c>
      <c r="AR21" s="160"/>
      <c r="AS21" s="159">
        <v>1610</v>
      </c>
      <c r="AT21" s="160"/>
      <c r="AU21" s="159">
        <v>1644</v>
      </c>
      <c r="AV21" s="160"/>
      <c r="AW21" s="159">
        <v>1803</v>
      </c>
      <c r="AX21" s="160"/>
      <c r="AY21" s="159">
        <v>2044.9839999999999</v>
      </c>
      <c r="AZ21" s="160"/>
      <c r="BA21" s="159">
        <v>2276.9740000000002</v>
      </c>
      <c r="BB21" s="160"/>
      <c r="BC21" s="159">
        <v>2329.6770000000001</v>
      </c>
      <c r="BD21" s="160"/>
      <c r="BE21" s="2584">
        <v>2741</v>
      </c>
      <c r="BF21" s="160"/>
      <c r="BG21" s="2584">
        <v>2893.482</v>
      </c>
      <c r="BH21" s="160"/>
      <c r="BI21" s="160">
        <f>+BG21+flow!BH22-flow!BH9</f>
        <v>3083.482</v>
      </c>
      <c r="BJ21" s="160"/>
      <c r="BK21" s="160">
        <f>+BI21+flow!BJ22-flow!BJ9</f>
        <v>3217.482</v>
      </c>
      <c r="BL21" s="160"/>
      <c r="BM21" s="160">
        <f>+BK21+flow!BL22-flow!BL9</f>
        <v>3289.8820000000001</v>
      </c>
      <c r="BN21" s="160"/>
      <c r="BO21" s="160">
        <f>+BM21+flow!BN22-flow!BN9</f>
        <v>3294.5219999999999</v>
      </c>
      <c r="BP21" s="160"/>
      <c r="BQ21" s="160">
        <f>+BO21+flow!BP22-flow!BP9</f>
        <v>3224.6259999999997</v>
      </c>
      <c r="BR21" s="160"/>
    </row>
    <row r="22" spans="1:70" hidden="1" outlineLevel="1">
      <c r="A22" s="1918"/>
      <c r="B22" s="468" t="s">
        <v>588</v>
      </c>
      <c r="C22" s="468"/>
      <c r="D22" s="468"/>
      <c r="E22" s="1844">
        <v>0</v>
      </c>
      <c r="F22" s="468"/>
      <c r="G22" s="1844">
        <v>0</v>
      </c>
      <c r="H22" s="468"/>
      <c r="I22" s="1844">
        <v>0</v>
      </c>
      <c r="J22" s="468"/>
      <c r="K22" s="1844">
        <v>0</v>
      </c>
      <c r="L22" s="468"/>
      <c r="M22" s="1844">
        <v>0</v>
      </c>
      <c r="N22" s="468"/>
      <c r="O22" s="1844">
        <v>351.6</v>
      </c>
      <c r="P22" s="468"/>
      <c r="Q22" s="1844">
        <v>351.6</v>
      </c>
      <c r="R22" s="468"/>
      <c r="S22" s="1844">
        <v>351.6</v>
      </c>
      <c r="T22" s="468"/>
      <c r="U22" s="1922">
        <v>351.6</v>
      </c>
      <c r="V22" s="468"/>
      <c r="W22" s="1922">
        <v>0</v>
      </c>
      <c r="X22" s="468"/>
      <c r="Y22" s="1844">
        <v>0</v>
      </c>
      <c r="Z22" s="468"/>
      <c r="AA22" s="1844">
        <v>0</v>
      </c>
      <c r="AB22" s="468"/>
      <c r="AC22" s="1844">
        <v>0</v>
      </c>
      <c r="AD22" s="468"/>
      <c r="AE22" s="1922">
        <v>0</v>
      </c>
      <c r="AF22" s="468"/>
      <c r="AG22" s="1844">
        <v>0</v>
      </c>
      <c r="AH22" s="468"/>
      <c r="AI22" s="1922">
        <v>0</v>
      </c>
      <c r="AJ22" s="468"/>
      <c r="AK22" s="1844">
        <v>0</v>
      </c>
      <c r="AL22" s="468"/>
      <c r="AM22" s="1844">
        <v>0</v>
      </c>
      <c r="AN22" s="1923"/>
      <c r="AO22" s="1922">
        <v>0</v>
      </c>
      <c r="AP22" s="468"/>
      <c r="AQ22" s="1844">
        <v>0</v>
      </c>
      <c r="AR22" s="468"/>
      <c r="AS22" s="1844">
        <v>0</v>
      </c>
      <c r="AT22" s="468"/>
      <c r="AU22" s="468">
        <f>+AS22</f>
        <v>0</v>
      </c>
      <c r="AV22" s="468"/>
      <c r="AW22" s="468">
        <f>+AU22</f>
        <v>0</v>
      </c>
      <c r="AX22" s="468"/>
      <c r="AY22" s="468">
        <f>+AW22</f>
        <v>0</v>
      </c>
      <c r="AZ22" s="468"/>
      <c r="BA22" s="468">
        <f>+AY22</f>
        <v>0</v>
      </c>
      <c r="BB22" s="468"/>
      <c r="BC22" s="468">
        <f>+BA22</f>
        <v>0</v>
      </c>
      <c r="BD22" s="468"/>
      <c r="BE22" s="2582">
        <f>+BC22</f>
        <v>0</v>
      </c>
      <c r="BF22" s="468"/>
      <c r="BG22" s="468">
        <f>+BE22</f>
        <v>0</v>
      </c>
      <c r="BH22" s="468"/>
      <c r="BI22" s="468">
        <f>+BG22</f>
        <v>0</v>
      </c>
      <c r="BJ22" s="468"/>
      <c r="BK22" s="468">
        <f>+BI22</f>
        <v>0</v>
      </c>
      <c r="BL22" s="468"/>
      <c r="BM22" s="468">
        <f>+BK22</f>
        <v>0</v>
      </c>
      <c r="BN22" s="468"/>
      <c r="BO22" s="468">
        <f>+BM22</f>
        <v>0</v>
      </c>
      <c r="BP22" s="468"/>
      <c r="BQ22" s="468">
        <f>+BO22</f>
        <v>0</v>
      </c>
      <c r="BR22" s="468"/>
    </row>
    <row r="23" spans="1:70" hidden="1" outlineLevel="1">
      <c r="A23" s="1918"/>
      <c r="B23" s="468" t="s">
        <v>583</v>
      </c>
      <c r="C23" s="468"/>
      <c r="D23" s="468"/>
      <c r="E23" s="1844">
        <v>0</v>
      </c>
      <c r="F23" s="468"/>
      <c r="G23" s="1844">
        <v>0</v>
      </c>
      <c r="H23" s="468"/>
      <c r="I23" s="1844">
        <v>0</v>
      </c>
      <c r="J23" s="468"/>
      <c r="K23" s="1844">
        <v>0</v>
      </c>
      <c r="L23" s="468"/>
      <c r="M23" s="1844">
        <v>0</v>
      </c>
      <c r="N23" s="468"/>
      <c r="O23" s="1844">
        <v>0</v>
      </c>
      <c r="P23" s="468"/>
      <c r="Q23" s="1844">
        <v>0</v>
      </c>
      <c r="R23" s="468"/>
      <c r="S23" s="1844">
        <v>56.585999999999999</v>
      </c>
      <c r="T23" s="468"/>
      <c r="U23" s="1922">
        <v>48.781999999999996</v>
      </c>
      <c r="V23" s="468"/>
      <c r="W23" s="1922">
        <v>125.145</v>
      </c>
      <c r="X23" s="468"/>
      <c r="Y23" s="1844">
        <v>132.02799999999999</v>
      </c>
      <c r="Z23" s="468"/>
      <c r="AA23" s="1844">
        <v>67</v>
      </c>
      <c r="AB23" s="468"/>
      <c r="AC23" s="1844">
        <v>0</v>
      </c>
      <c r="AD23" s="468"/>
      <c r="AE23" s="1844">
        <v>0</v>
      </c>
      <c r="AF23" s="468"/>
      <c r="AG23" s="1844">
        <v>0</v>
      </c>
      <c r="AH23" s="468"/>
      <c r="AI23" s="1922">
        <v>0</v>
      </c>
      <c r="AJ23" s="468"/>
      <c r="AK23" s="1844">
        <v>0</v>
      </c>
      <c r="AL23" s="468"/>
      <c r="AM23" s="1844">
        <v>0</v>
      </c>
      <c r="AN23" s="1923"/>
      <c r="AO23" s="1922">
        <v>0</v>
      </c>
      <c r="AP23" s="468"/>
      <c r="AQ23" s="1844">
        <v>0</v>
      </c>
      <c r="AR23" s="468"/>
      <c r="AS23" s="1844">
        <v>0</v>
      </c>
      <c r="AT23" s="468"/>
      <c r="AU23" s="468">
        <f>+AS23</f>
        <v>0</v>
      </c>
      <c r="AV23" s="468"/>
      <c r="AW23" s="468">
        <f>+AU23</f>
        <v>0</v>
      </c>
      <c r="AX23" s="468"/>
      <c r="AY23" s="468">
        <f>+AW23</f>
        <v>0</v>
      </c>
      <c r="AZ23" s="468"/>
      <c r="BA23" s="468">
        <f>+AY23</f>
        <v>0</v>
      </c>
      <c r="BB23" s="468"/>
      <c r="BC23" s="468">
        <f>+BA23</f>
        <v>0</v>
      </c>
      <c r="BD23" s="468"/>
      <c r="BE23" s="2582">
        <f>+BC23</f>
        <v>0</v>
      </c>
      <c r="BF23" s="468"/>
      <c r="BG23" s="468">
        <f>+BE23</f>
        <v>0</v>
      </c>
      <c r="BH23" s="468"/>
      <c r="BI23" s="468">
        <f>+BG23</f>
        <v>0</v>
      </c>
      <c r="BJ23" s="468"/>
      <c r="BK23" s="468">
        <f>+BI23</f>
        <v>0</v>
      </c>
      <c r="BL23" s="468"/>
      <c r="BM23" s="468">
        <f>+BK23</f>
        <v>0</v>
      </c>
      <c r="BN23" s="468"/>
      <c r="BO23" s="468">
        <f>+BM23</f>
        <v>0</v>
      </c>
      <c r="BP23" s="468"/>
      <c r="BQ23" s="468">
        <f>+BO23</f>
        <v>0</v>
      </c>
      <c r="BR23" s="468"/>
    </row>
    <row r="24" spans="1:70" collapsed="1">
      <c r="A24" s="1918"/>
      <c r="B24" s="468" t="s">
        <v>455</v>
      </c>
      <c r="C24" s="468"/>
      <c r="D24" s="468"/>
      <c r="E24" s="1844"/>
      <c r="F24" s="468"/>
      <c r="G24" s="1844"/>
      <c r="H24" s="468"/>
      <c r="I24" s="1844"/>
      <c r="J24" s="468"/>
      <c r="K24" s="1844"/>
      <c r="L24" s="468"/>
      <c r="M24" s="1844"/>
      <c r="N24" s="468"/>
      <c r="O24" s="1844"/>
      <c r="P24" s="468"/>
      <c r="Q24" s="1844"/>
      <c r="R24" s="468"/>
      <c r="S24" s="1844"/>
      <c r="T24" s="468"/>
      <c r="U24" s="1922">
        <v>0</v>
      </c>
      <c r="V24" s="468"/>
      <c r="W24" s="1922">
        <v>0</v>
      </c>
      <c r="X24" s="468"/>
      <c r="Y24" s="1844">
        <v>0</v>
      </c>
      <c r="Z24" s="468"/>
      <c r="AA24" s="1844">
        <v>121</v>
      </c>
      <c r="AB24" s="468"/>
      <c r="AC24" s="1844">
        <f>1311</f>
        <v>1311</v>
      </c>
      <c r="AD24" s="468"/>
      <c r="AE24" s="1844">
        <f>1311</f>
        <v>1311</v>
      </c>
      <c r="AF24" s="468"/>
      <c r="AG24" s="1844">
        <v>1337.702</v>
      </c>
      <c r="AH24" s="468"/>
      <c r="AI24" s="1922">
        <v>1356.723</v>
      </c>
      <c r="AJ24" s="468"/>
      <c r="AK24" s="1922">
        <v>1676.36</v>
      </c>
      <c r="AL24" s="468"/>
      <c r="AM24" s="1922">
        <v>1733</v>
      </c>
      <c r="AN24" s="1923"/>
      <c r="AO24" s="1922">
        <v>1426</v>
      </c>
      <c r="AP24" s="468"/>
      <c r="AQ24" s="1922">
        <v>1442</v>
      </c>
      <c r="AR24" s="468"/>
      <c r="AS24" s="1922">
        <v>1451</v>
      </c>
      <c r="AT24" s="468"/>
      <c r="AU24" s="1922">
        <v>1330</v>
      </c>
      <c r="AV24" s="468"/>
      <c r="AW24" s="1922">
        <v>1318</v>
      </c>
      <c r="AX24" s="468"/>
      <c r="AY24" s="1922">
        <v>1317.8130000000001</v>
      </c>
      <c r="AZ24" s="468"/>
      <c r="BA24" s="1922">
        <v>1317.8130000000001</v>
      </c>
      <c r="BB24" s="1923"/>
      <c r="BC24" s="1922">
        <v>1317.8130000000001</v>
      </c>
      <c r="BD24" s="1923"/>
      <c r="BE24" s="2585">
        <v>1348</v>
      </c>
      <c r="BF24" s="1923"/>
      <c r="BG24" s="2585">
        <v>1348.287</v>
      </c>
      <c r="BH24" s="1923"/>
      <c r="BI24" s="1923">
        <f>BG24</f>
        <v>1348.287</v>
      </c>
      <c r="BJ24" s="1923"/>
      <c r="BK24" s="1923">
        <f>BI24</f>
        <v>1348.287</v>
      </c>
      <c r="BL24" s="1923"/>
      <c r="BM24" s="1923">
        <f>BK24</f>
        <v>1348.287</v>
      </c>
      <c r="BN24" s="1923"/>
      <c r="BO24" s="1923">
        <f>BM24</f>
        <v>1348.287</v>
      </c>
      <c r="BP24" s="1923"/>
      <c r="BQ24" s="1923">
        <f>BO24</f>
        <v>1348.287</v>
      </c>
      <c r="BR24" s="1923"/>
    </row>
    <row r="25" spans="1:70">
      <c r="A25" s="1918"/>
      <c r="B25" s="23" t="s">
        <v>507</v>
      </c>
      <c r="C25" s="468"/>
      <c r="D25" s="468"/>
      <c r="E25" s="1844">
        <v>0</v>
      </c>
      <c r="F25" s="468"/>
      <c r="G25" s="1844">
        <v>0</v>
      </c>
      <c r="H25" s="468"/>
      <c r="I25" s="1844">
        <v>0</v>
      </c>
      <c r="J25" s="468"/>
      <c r="K25" s="1844">
        <v>0</v>
      </c>
      <c r="L25" s="468"/>
      <c r="M25" s="1844">
        <v>0</v>
      </c>
      <c r="N25" s="468"/>
      <c r="O25" s="1844">
        <v>0</v>
      </c>
      <c r="P25" s="468"/>
      <c r="Q25" s="1844">
        <v>0</v>
      </c>
      <c r="R25" s="468"/>
      <c r="S25" s="1844">
        <v>0</v>
      </c>
      <c r="T25" s="468"/>
      <c r="U25" s="1922">
        <v>0</v>
      </c>
      <c r="V25" s="468"/>
      <c r="W25" s="1922">
        <v>0</v>
      </c>
      <c r="X25" s="468"/>
      <c r="Y25" s="1844">
        <v>0</v>
      </c>
      <c r="Z25" s="468"/>
      <c r="AA25" s="1844">
        <v>31</v>
      </c>
      <c r="AB25" s="468"/>
      <c r="AC25" s="1844">
        <v>447</v>
      </c>
      <c r="AD25" s="468"/>
      <c r="AE25" s="1844">
        <v>441</v>
      </c>
      <c r="AF25" s="468"/>
      <c r="AG25" s="1844">
        <v>461.637</v>
      </c>
      <c r="AH25" s="468"/>
      <c r="AI25" s="1922">
        <v>447.49900000000002</v>
      </c>
      <c r="AJ25" s="468"/>
      <c r="AK25" s="1844">
        <v>642</v>
      </c>
      <c r="AL25" s="468"/>
      <c r="AM25" s="1844">
        <v>677</v>
      </c>
      <c r="AN25" s="1923"/>
      <c r="AO25" s="1922">
        <v>580</v>
      </c>
      <c r="AP25" s="468"/>
      <c r="AQ25" s="1844">
        <v>594</v>
      </c>
      <c r="AR25" s="468"/>
      <c r="AS25" s="1844">
        <v>592</v>
      </c>
      <c r="AT25" s="468"/>
      <c r="AU25" s="1844">
        <v>495</v>
      </c>
      <c r="AV25" s="468"/>
      <c r="AW25" s="1844">
        <v>412.13600000000002</v>
      </c>
      <c r="AX25" s="468"/>
      <c r="AY25" s="1844">
        <v>411.27800000000002</v>
      </c>
      <c r="AZ25" s="468"/>
      <c r="BA25" s="1844">
        <v>411</v>
      </c>
      <c r="BB25" s="468"/>
      <c r="BC25" s="1844">
        <v>411</v>
      </c>
      <c r="BD25" s="468"/>
      <c r="BE25" s="2582">
        <v>411</v>
      </c>
      <c r="BF25" s="468"/>
      <c r="BG25" s="2582">
        <v>411</v>
      </c>
      <c r="BH25" s="468"/>
      <c r="BI25" s="468">
        <f>+BG25</f>
        <v>411</v>
      </c>
      <c r="BJ25" s="468"/>
      <c r="BK25" s="468">
        <f>+BI25</f>
        <v>411</v>
      </c>
      <c r="BL25" s="468"/>
      <c r="BM25" s="468">
        <f>+BK25</f>
        <v>411</v>
      </c>
      <c r="BN25" s="468"/>
      <c r="BO25" s="468">
        <f>+BM25</f>
        <v>411</v>
      </c>
      <c r="BP25" s="468"/>
      <c r="BQ25" s="468">
        <f>+BO25</f>
        <v>411</v>
      </c>
      <c r="BR25" s="468"/>
    </row>
    <row r="26" spans="1:70">
      <c r="A26" s="1918"/>
      <c r="B26" s="23" t="s">
        <v>889</v>
      </c>
      <c r="C26" s="468"/>
      <c r="D26" s="468"/>
      <c r="E26" s="1844">
        <v>111.84399999999999</v>
      </c>
      <c r="F26" s="468"/>
      <c r="G26" s="1844">
        <v>157.447</v>
      </c>
      <c r="H26" s="468"/>
      <c r="I26" s="1844">
        <v>248.37200000000001</v>
      </c>
      <c r="J26" s="468"/>
      <c r="K26" s="1844">
        <v>247.892</v>
      </c>
      <c r="L26" s="468"/>
      <c r="M26" s="1844">
        <v>330.26600000000002</v>
      </c>
      <c r="N26" s="468"/>
      <c r="O26" s="1844">
        <v>373.47500000000002</v>
      </c>
      <c r="P26" s="468"/>
      <c r="Q26" s="1844">
        <v>394.43599999999998</v>
      </c>
      <c r="R26" s="468"/>
      <c r="S26" s="1844">
        <v>445.512</v>
      </c>
      <c r="T26" s="468"/>
      <c r="U26" s="1922">
        <v>480.68599999999998</v>
      </c>
      <c r="V26" s="468"/>
      <c r="W26" s="1922">
        <v>486.65499999999997</v>
      </c>
      <c r="X26" s="468"/>
      <c r="Y26" s="1844">
        <v>493.67700000000002</v>
      </c>
      <c r="Z26" s="468"/>
      <c r="AA26" s="1844">
        <v>492</v>
      </c>
      <c r="AB26" s="468"/>
      <c r="AC26" s="1844">
        <v>390</v>
      </c>
      <c r="AD26" s="468"/>
      <c r="AE26" s="1844">
        <v>235</v>
      </c>
      <c r="AF26" s="468"/>
      <c r="AG26" s="1844">
        <v>120.789</v>
      </c>
      <c r="AH26" s="468"/>
      <c r="AI26" s="1922">
        <v>142.51</v>
      </c>
      <c r="AJ26" s="468"/>
      <c r="AK26" s="1844">
        <v>142</v>
      </c>
      <c r="AL26" s="468"/>
      <c r="AM26" s="1844">
        <v>246</v>
      </c>
      <c r="AN26" s="1923"/>
      <c r="AO26" s="1922">
        <v>170</v>
      </c>
      <c r="AP26" s="468"/>
      <c r="AQ26" s="1844">
        <v>164</v>
      </c>
      <c r="AR26" s="468"/>
      <c r="AS26" s="1844">
        <v>206</v>
      </c>
      <c r="AT26" s="468"/>
      <c r="AU26" s="1844">
        <v>271</v>
      </c>
      <c r="AV26" s="468"/>
      <c r="AW26" s="1844">
        <v>281.67700000000002</v>
      </c>
      <c r="AX26" s="468"/>
      <c r="AY26" s="1844">
        <v>273.83699999999999</v>
      </c>
      <c r="AZ26" s="468"/>
      <c r="BA26" s="1844">
        <v>305.62400000000002</v>
      </c>
      <c r="BB26" s="468"/>
      <c r="BC26" s="1844">
        <f>249.251+29.833</f>
        <v>279.084</v>
      </c>
      <c r="BD26" s="468"/>
      <c r="BE26" s="2582">
        <f>186.107+18.996</f>
        <v>205.10300000000001</v>
      </c>
      <c r="BF26" s="468"/>
      <c r="BG26" s="2582">
        <f>189.432+13.592</f>
        <v>203.024</v>
      </c>
      <c r="BH26" s="468"/>
      <c r="BI26" s="468">
        <f>BG26</f>
        <v>203.024</v>
      </c>
      <c r="BJ26" s="468"/>
      <c r="BK26" s="468">
        <f>BI26</f>
        <v>203.024</v>
      </c>
      <c r="BL26" s="468"/>
      <c r="BM26" s="468">
        <f>BK26</f>
        <v>203.024</v>
      </c>
      <c r="BN26" s="468"/>
      <c r="BO26" s="468">
        <f>BM26</f>
        <v>203.024</v>
      </c>
      <c r="BP26" s="468"/>
      <c r="BQ26" s="468">
        <f>BO26</f>
        <v>203.024</v>
      </c>
      <c r="BR26" s="468"/>
    </row>
    <row r="27" spans="1:70">
      <c r="A27" s="1918"/>
      <c r="E27" s="1929"/>
      <c r="G27" s="1929"/>
      <c r="I27" s="1929"/>
      <c r="K27" s="1929"/>
      <c r="M27" s="1929"/>
      <c r="O27" s="1929"/>
      <c r="Q27" s="1929"/>
      <c r="S27" s="1929"/>
      <c r="T27" s="1930"/>
      <c r="U27" s="1931"/>
      <c r="W27" s="1931"/>
      <c r="Y27" s="1929"/>
      <c r="AA27" s="1929"/>
      <c r="AC27" s="1932"/>
      <c r="AE27" s="1932"/>
      <c r="AG27" s="1932"/>
      <c r="AI27" s="1933"/>
      <c r="AK27" s="1932"/>
      <c r="AM27" s="1932"/>
      <c r="AN27" s="161"/>
      <c r="AO27" s="1933"/>
      <c r="AQ27" s="1932"/>
      <c r="AS27" s="1932"/>
      <c r="AU27" s="1932"/>
      <c r="AW27" s="1932"/>
      <c r="AY27" s="1932"/>
      <c r="BA27" s="1932"/>
      <c r="BB27" s="1932"/>
      <c r="BC27" s="1932"/>
      <c r="BD27" s="1932"/>
      <c r="BE27" s="1932"/>
      <c r="BF27" s="1932"/>
      <c r="BG27" s="1932"/>
      <c r="BH27" s="1932"/>
      <c r="BI27" s="1932"/>
      <c r="BJ27" s="1932"/>
      <c r="BK27" s="1932"/>
      <c r="BL27" s="1932"/>
      <c r="BM27" s="1932"/>
      <c r="BN27" s="1932"/>
      <c r="BO27" s="1932"/>
      <c r="BP27" s="1932"/>
      <c r="BQ27" s="1932"/>
      <c r="BR27" s="1932"/>
    </row>
    <row r="28" spans="1:70">
      <c r="A28" s="23" t="s">
        <v>827</v>
      </c>
      <c r="D28" s="1834"/>
      <c r="E28" s="1934">
        <f>E13+SUM(E21:E26)</f>
        <v>2871.8779999999997</v>
      </c>
      <c r="F28" s="1834"/>
      <c r="G28" s="1934">
        <f>G13+SUM(G21:G26)</f>
        <v>3418.8559999999993</v>
      </c>
      <c r="H28" s="1834"/>
      <c r="I28" s="1934">
        <f>I13+SUM(I21:I26)</f>
        <v>3846.4499999999994</v>
      </c>
      <c r="J28" s="1834"/>
      <c r="K28" s="1934">
        <f>K13+SUM(K21:K26)</f>
        <v>4135.1049999999996</v>
      </c>
      <c r="L28" s="1834"/>
      <c r="M28" s="1934">
        <f>M13+SUM(M21:M26)</f>
        <v>4570.0769999999993</v>
      </c>
      <c r="N28" s="1834"/>
      <c r="O28" s="1934">
        <f>O13+SUM(O21:O26)</f>
        <v>5266.5630000000001</v>
      </c>
      <c r="P28" s="1834"/>
      <c r="Q28" s="1934">
        <f>Q13+SUM(Q21:Q26)</f>
        <v>4120.0020000000004</v>
      </c>
      <c r="R28" s="1834"/>
      <c r="S28" s="1934">
        <f>S13+SUM(S21:S26)</f>
        <v>4300.7610000000004</v>
      </c>
      <c r="T28" s="1834"/>
      <c r="U28" s="1935">
        <f>U13+SUM(U21:U26)</f>
        <v>4549.7080000000005</v>
      </c>
      <c r="V28" s="1834"/>
      <c r="W28" s="1935">
        <f>W13+SUM(W21:W26)</f>
        <v>4126.1670000000013</v>
      </c>
      <c r="X28" s="1834"/>
      <c r="Y28" s="1934">
        <f>Y13+SUM(Y21:Y26)</f>
        <v>4088.1220000000003</v>
      </c>
      <c r="Z28" s="1834"/>
      <c r="AA28" s="1934">
        <f>AA13+SUM(AA21:AA26)</f>
        <v>5094</v>
      </c>
      <c r="AB28" s="1834"/>
      <c r="AC28" s="1934">
        <f>AC13+SUM(AC21:AC26)</f>
        <v>7246</v>
      </c>
      <c r="AD28" s="1834"/>
      <c r="AE28" s="1934">
        <f>AE13+SUM(AE21:AE26)</f>
        <v>7880</v>
      </c>
      <c r="AF28" s="1834"/>
      <c r="AG28" s="1934">
        <f>AG13+SUM(AG21:AG26)</f>
        <v>6088.6960000000008</v>
      </c>
      <c r="AH28" s="1834"/>
      <c r="AI28" s="1935">
        <f>AI13+SUM(AI21:AI26)</f>
        <v>6345.848</v>
      </c>
      <c r="AJ28" s="1834"/>
      <c r="AK28" s="1934">
        <f>AK13+SUM(AK21:AK26)</f>
        <v>7092.891999999998</v>
      </c>
      <c r="AL28" s="1834"/>
      <c r="AM28" s="1934">
        <f>AM13+SUM(AM21:AM26)</f>
        <v>7437</v>
      </c>
      <c r="AN28" s="1838"/>
      <c r="AO28" s="1935">
        <f>AO13+SUM(AO21:AO26)</f>
        <v>6972</v>
      </c>
      <c r="AP28" s="1834"/>
      <c r="AQ28" s="1934">
        <f>AQ13+SUM(AQ21:AQ26)</f>
        <v>7173</v>
      </c>
      <c r="AR28" s="1834"/>
      <c r="AS28" s="1934">
        <f>AS13+SUM(AS21:AS26)</f>
        <v>6451</v>
      </c>
      <c r="AT28" s="1834"/>
      <c r="AU28" s="1934">
        <f>AU13+SUM(AU21:AU26)</f>
        <v>6108</v>
      </c>
      <c r="AV28" s="1834"/>
      <c r="AW28" s="1934">
        <f>AW13+SUM(AW21:AW26)</f>
        <v>6019.3245999999999</v>
      </c>
      <c r="AX28" s="1834"/>
      <c r="AY28" s="1934">
        <f>AY13+SUM(AY21:AY26)</f>
        <v>7198.0469999999968</v>
      </c>
      <c r="AZ28" s="1834"/>
      <c r="BA28" s="1934">
        <f>BA13+SUM(BA21:BA26)</f>
        <v>7543.4706999999999</v>
      </c>
      <c r="BB28" s="1882"/>
      <c r="BC28" s="1934">
        <f>BC13+SUM(BC21:BC26)</f>
        <v>8493.654700000001</v>
      </c>
      <c r="BD28" s="1882"/>
      <c r="BE28" s="1934">
        <f>BE13+SUM(BE21:BE26)</f>
        <v>8169.945700000002</v>
      </c>
      <c r="BF28" s="1882"/>
      <c r="BG28" s="1934">
        <f>BG13+SUM(BG21:BG26)</f>
        <v>8148.7537000000029</v>
      </c>
      <c r="BH28" s="1882"/>
      <c r="BI28" s="1934">
        <f>BI13+SUM(BI21:BI26)</f>
        <v>8613.133094593959</v>
      </c>
      <c r="BJ28" s="1882"/>
      <c r="BK28" s="1934">
        <f>BK13+SUM(BK21:BK26)</f>
        <v>10598.47156003587</v>
      </c>
      <c r="BL28" s="1882"/>
      <c r="BM28" s="1934">
        <f>BM13+SUM(BM21:BM26)</f>
        <v>11166.819538348971</v>
      </c>
      <c r="BN28" s="1882"/>
      <c r="BO28" s="1934">
        <f>BO13+SUM(BO21:BO26)</f>
        <v>11839.402449228081</v>
      </c>
      <c r="BP28" s="1882"/>
      <c r="BQ28" s="1934">
        <f>BQ13+SUM(BQ21:BQ26)</f>
        <v>12611.144349797738</v>
      </c>
      <c r="BR28" s="1882"/>
    </row>
    <row r="29" spans="1:70" ht="6" customHeight="1">
      <c r="U29" s="161"/>
      <c r="W29" s="161"/>
      <c r="AI29" s="161"/>
      <c r="AN29" s="161"/>
      <c r="AO29" s="161"/>
    </row>
    <row r="30" spans="1:70">
      <c r="A30" s="1936" t="s">
        <v>1037</v>
      </c>
      <c r="M30" s="1937"/>
      <c r="U30" s="161"/>
      <c r="W30" s="161"/>
      <c r="AA30" s="468"/>
      <c r="AI30" s="161"/>
      <c r="AN30" s="161"/>
      <c r="AO30" s="161"/>
    </row>
    <row r="31" spans="1:70" ht="6" customHeight="1">
      <c r="M31" s="1937"/>
      <c r="U31" s="161"/>
      <c r="W31" s="161"/>
      <c r="AI31" s="161"/>
      <c r="AN31" s="161"/>
      <c r="AO31" s="161"/>
    </row>
    <row r="32" spans="1:70">
      <c r="B32" s="1748" t="s">
        <v>1038</v>
      </c>
      <c r="M32" s="1937"/>
      <c r="U32" s="161"/>
      <c r="W32" s="161"/>
      <c r="AI32" s="161"/>
      <c r="AN32" s="161"/>
      <c r="AO32" s="161"/>
    </row>
    <row r="33" spans="2:78">
      <c r="B33" s="23" t="s">
        <v>1039</v>
      </c>
      <c r="D33" s="160"/>
      <c r="E33" s="159">
        <v>200.078</v>
      </c>
      <c r="F33" s="160"/>
      <c r="G33" s="159">
        <v>199.756</v>
      </c>
      <c r="H33" s="160"/>
      <c r="I33" s="159">
        <v>309.09199999999998</v>
      </c>
      <c r="J33" s="160"/>
      <c r="K33" s="159">
        <v>250.363</v>
      </c>
      <c r="L33" s="160"/>
      <c r="M33" s="159">
        <v>275.303</v>
      </c>
      <c r="N33" s="160"/>
      <c r="O33" s="159">
        <v>280.65899999999999</v>
      </c>
      <c r="P33" s="160"/>
      <c r="Q33" s="159">
        <v>307.84100000000001</v>
      </c>
      <c r="R33" s="160"/>
      <c r="S33" s="159">
        <v>300.70299999999997</v>
      </c>
      <c r="T33" s="159"/>
      <c r="U33" s="1920">
        <v>289.947</v>
      </c>
      <c r="V33" s="160"/>
      <c r="W33" s="1920">
        <v>256.30599999999998</v>
      </c>
      <c r="X33" s="160"/>
      <c r="Y33" s="159">
        <v>273.02100000000002</v>
      </c>
      <c r="Z33" s="160"/>
      <c r="AA33" s="159">
        <v>365</v>
      </c>
      <c r="AB33" s="160"/>
      <c r="AC33" s="159">
        <v>456</v>
      </c>
      <c r="AD33" s="160"/>
      <c r="AE33" s="159">
        <v>428</v>
      </c>
      <c r="AF33" s="160"/>
      <c r="AG33" s="159">
        <v>495.536</v>
      </c>
      <c r="AH33" s="160"/>
      <c r="AI33" s="1920">
        <v>535</v>
      </c>
      <c r="AJ33" s="160"/>
      <c r="AK33" s="159">
        <v>592.73599999999999</v>
      </c>
      <c r="AL33" s="160"/>
      <c r="AM33" s="159">
        <v>517</v>
      </c>
      <c r="AN33" s="1919"/>
      <c r="AO33" s="1920">
        <v>494</v>
      </c>
      <c r="AP33" s="160"/>
      <c r="AQ33" s="159">
        <v>488</v>
      </c>
      <c r="AR33" s="160"/>
      <c r="AS33" s="159">
        <v>545</v>
      </c>
      <c r="AT33" s="160"/>
      <c r="AU33" s="159">
        <v>540</v>
      </c>
      <c r="AV33" s="160"/>
      <c r="AW33" s="159">
        <v>541.51599999999996</v>
      </c>
      <c r="AX33" s="160"/>
      <c r="AY33" s="159">
        <v>599.12800000000004</v>
      </c>
      <c r="AZ33" s="160"/>
      <c r="BA33" s="159">
        <v>612.95399999999995</v>
      </c>
      <c r="BB33" s="160"/>
      <c r="BC33" s="159">
        <v>668.06200000000001</v>
      </c>
      <c r="BD33" s="160"/>
      <c r="BE33" s="2584">
        <v>683</v>
      </c>
      <c r="BF33" s="160"/>
      <c r="BG33" s="2584">
        <v>716.904</v>
      </c>
      <c r="BH33" s="160"/>
      <c r="BI33" s="160">
        <f>+BI83*BI11</f>
        <v>760.20504288539496</v>
      </c>
      <c r="BJ33" s="160"/>
      <c r="BK33" s="160">
        <f>+BK83*BK11</f>
        <v>795.43597926421285</v>
      </c>
      <c r="BL33" s="160"/>
      <c r="BM33" s="160">
        <f>+BM83*BM11</f>
        <v>832.96222809440053</v>
      </c>
      <c r="BN33" s="160"/>
      <c r="BO33" s="160">
        <f>+BO83*BO11</f>
        <v>870.8205199860779</v>
      </c>
      <c r="BP33" s="160"/>
      <c r="BQ33" s="160">
        <f>+BQ83*BQ11</f>
        <v>908.87275844389637</v>
      </c>
      <c r="BR33" s="160"/>
    </row>
    <row r="34" spans="2:78" s="161" customFormat="1">
      <c r="B34" s="161" t="s">
        <v>869</v>
      </c>
      <c r="D34" s="1923"/>
      <c r="E34" s="1927">
        <v>0</v>
      </c>
      <c r="F34" s="1923"/>
      <c r="G34" s="1927">
        <v>0</v>
      </c>
      <c r="H34" s="1923"/>
      <c r="I34" s="1927">
        <v>0</v>
      </c>
      <c r="J34" s="1923"/>
      <c r="K34" s="1927">
        <v>0</v>
      </c>
      <c r="L34" s="1923"/>
      <c r="M34" s="1927">
        <v>0</v>
      </c>
      <c r="N34" s="1923"/>
      <c r="O34" s="1927">
        <v>0</v>
      </c>
      <c r="P34" s="1923"/>
      <c r="Q34" s="1927">
        <v>0</v>
      </c>
      <c r="R34" s="1923"/>
      <c r="S34" s="1927">
        <v>0</v>
      </c>
      <c r="T34" s="1922"/>
      <c r="U34" s="1927">
        <v>100</v>
      </c>
      <c r="V34" s="1923"/>
      <c r="W34" s="1927">
        <v>250</v>
      </c>
      <c r="X34" s="1923"/>
      <c r="Y34" s="1927">
        <v>0</v>
      </c>
      <c r="Z34" s="1923"/>
      <c r="AA34" s="1927">
        <v>150</v>
      </c>
      <c r="AB34" s="1923"/>
      <c r="AC34" s="1927">
        <v>0</v>
      </c>
      <c r="AD34" s="1923"/>
      <c r="AE34" s="1927">
        <v>0</v>
      </c>
      <c r="AF34" s="1923"/>
      <c r="AG34" s="1927">
        <v>0</v>
      </c>
      <c r="AH34" s="1923"/>
      <c r="AI34" s="1927">
        <v>0</v>
      </c>
      <c r="AJ34" s="1923"/>
      <c r="AK34" s="1927">
        <v>0</v>
      </c>
      <c r="AL34" s="1923"/>
      <c r="AM34" s="1927">
        <v>0</v>
      </c>
      <c r="AN34" s="1939"/>
      <c r="AO34" s="1927">
        <f>+AM34</f>
        <v>0</v>
      </c>
      <c r="AP34" s="1939"/>
      <c r="AQ34" s="1927">
        <f>+AO34</f>
        <v>0</v>
      </c>
      <c r="AR34" s="1939"/>
      <c r="AS34" s="1927">
        <v>0</v>
      </c>
      <c r="AT34" s="1939"/>
      <c r="AU34" s="1927">
        <v>57</v>
      </c>
      <c r="AV34" s="1939"/>
      <c r="AW34" s="1927">
        <v>0</v>
      </c>
      <c r="AX34" s="1939"/>
      <c r="AY34" s="1927">
        <v>215.09399999999999</v>
      </c>
      <c r="AZ34" s="1939"/>
      <c r="BA34" s="1927">
        <v>0</v>
      </c>
      <c r="BB34" s="1939"/>
      <c r="BC34" s="1927">
        <v>1.9537</v>
      </c>
      <c r="BD34" s="1939"/>
      <c r="BE34" s="2587">
        <v>36</v>
      </c>
      <c r="BF34" s="1939"/>
      <c r="BG34" s="2587">
        <v>86.671999999999997</v>
      </c>
      <c r="BH34" s="1939"/>
      <c r="BI34" s="1939">
        <f>+BG34</f>
        <v>86.671999999999997</v>
      </c>
      <c r="BJ34" s="1939"/>
      <c r="BK34" s="1939">
        <f>+BI34</f>
        <v>86.671999999999997</v>
      </c>
      <c r="BL34" s="1939"/>
      <c r="BM34" s="1939">
        <f>+BK34</f>
        <v>86.671999999999997</v>
      </c>
      <c r="BN34" s="1939"/>
      <c r="BO34" s="1939">
        <f>+BM34</f>
        <v>86.671999999999997</v>
      </c>
      <c r="BP34" s="1939"/>
      <c r="BQ34" s="1939">
        <f>+BO34</f>
        <v>86.671999999999997</v>
      </c>
      <c r="BR34" s="1939"/>
      <c r="BS34"/>
      <c r="BT34"/>
      <c r="BU34"/>
      <c r="BV34"/>
      <c r="BW34"/>
      <c r="BX34"/>
    </row>
    <row r="35" spans="2:78">
      <c r="B35" s="23" t="s">
        <v>584</v>
      </c>
      <c r="D35" s="468"/>
      <c r="E35" s="1938">
        <v>256.15300000000002</v>
      </c>
      <c r="F35" s="468"/>
      <c r="G35" s="1938">
        <v>265.267</v>
      </c>
      <c r="H35" s="468"/>
      <c r="I35" s="1938">
        <v>274.22000000000003</v>
      </c>
      <c r="J35" s="468"/>
      <c r="K35" s="1938">
        <v>347.892</v>
      </c>
      <c r="L35" s="468"/>
      <c r="M35" s="1938">
        <v>372.67599999999999</v>
      </c>
      <c r="N35" s="468"/>
      <c r="O35" s="1938">
        <v>388.81799999999998</v>
      </c>
      <c r="P35" s="468"/>
      <c r="Q35" s="1938">
        <v>481.74400000000003</v>
      </c>
      <c r="R35" s="468"/>
      <c r="S35" s="1938">
        <v>676.71500000000003</v>
      </c>
      <c r="T35" s="1844"/>
      <c r="U35" s="1927">
        <v>661.78399999999999</v>
      </c>
      <c r="V35" s="468"/>
      <c r="W35" s="1927">
        <v>538.30999999999995</v>
      </c>
      <c r="X35" s="468"/>
      <c r="Y35" s="1938">
        <v>581.58399999999995</v>
      </c>
      <c r="Z35" s="468"/>
      <c r="AA35" s="1938">
        <v>663</v>
      </c>
      <c r="AB35" s="468"/>
      <c r="AC35" s="1938">
        <v>607</v>
      </c>
      <c r="AD35" s="468"/>
      <c r="AE35" s="1938">
        <v>681</v>
      </c>
      <c r="AF35" s="468"/>
      <c r="AG35" s="1938">
        <v>725.83900000000006</v>
      </c>
      <c r="AH35" s="468"/>
      <c r="AI35" s="1927">
        <v>790</v>
      </c>
      <c r="AJ35" s="468"/>
      <c r="AK35" s="1938">
        <v>897</v>
      </c>
      <c r="AL35" s="468"/>
      <c r="AM35" s="1938">
        <v>721</v>
      </c>
      <c r="AN35" s="1923"/>
      <c r="AO35" s="1927">
        <v>669</v>
      </c>
      <c r="AP35" s="468"/>
      <c r="AQ35" s="1938">
        <v>693</v>
      </c>
      <c r="AR35" s="468"/>
      <c r="AS35" s="1938">
        <v>765</v>
      </c>
      <c r="AT35" s="468"/>
      <c r="AU35" s="1938">
        <v>770</v>
      </c>
      <c r="AV35" s="468"/>
      <c r="AW35" s="1938">
        <v>806.50599999999997</v>
      </c>
      <c r="AX35" s="468"/>
      <c r="AY35" s="1938">
        <v>786.79399999999998</v>
      </c>
      <c r="AZ35" s="468"/>
      <c r="BA35" s="1938">
        <v>900.351</v>
      </c>
      <c r="BB35" s="470"/>
      <c r="BC35" s="1938">
        <v>982.72500000000002</v>
      </c>
      <c r="BD35" s="470"/>
      <c r="BE35" s="2586">
        <v>997</v>
      </c>
      <c r="BF35" s="470"/>
      <c r="BG35" s="2586">
        <v>1029.4190000000001</v>
      </c>
      <c r="BH35" s="470"/>
      <c r="BI35" s="470">
        <f>+BI84*BI78</f>
        <v>1125.0493167943262</v>
      </c>
      <c r="BJ35" s="470"/>
      <c r="BK35" s="470">
        <f>+BK84*BK78</f>
        <v>1183.2814927777702</v>
      </c>
      <c r="BL35" s="470"/>
      <c r="BM35" s="470">
        <f>+BM84*BM78</f>
        <v>1239.1051126437067</v>
      </c>
      <c r="BN35" s="470"/>
      <c r="BO35" s="470">
        <f>+BO84*BO78</f>
        <v>1300.2205377446828</v>
      </c>
      <c r="BP35" s="470"/>
      <c r="BQ35" s="470">
        <f>+BQ84*BQ78</f>
        <v>1362.0437798129219</v>
      </c>
      <c r="BR35" s="470"/>
    </row>
    <row r="36" spans="2:78">
      <c r="B36" s="23" t="s">
        <v>1092</v>
      </c>
      <c r="D36" s="468"/>
      <c r="E36" s="1938">
        <v>24.725999999999999</v>
      </c>
      <c r="F36" s="468"/>
      <c r="G36" s="1938">
        <v>55.097000000000001</v>
      </c>
      <c r="H36" s="468"/>
      <c r="I36" s="1938">
        <v>137.46600000000001</v>
      </c>
      <c r="J36" s="468"/>
      <c r="K36" s="1938">
        <v>93.489000000000004</v>
      </c>
      <c r="L36" s="468"/>
      <c r="M36" s="1938">
        <v>124.376</v>
      </c>
      <c r="N36" s="468"/>
      <c r="O36" s="1938">
        <v>47.097999999999999</v>
      </c>
      <c r="P36" s="468"/>
      <c r="Q36" s="1938">
        <v>117.30800000000001</v>
      </c>
      <c r="R36" s="468"/>
      <c r="S36" s="1938">
        <v>115.994</v>
      </c>
      <c r="T36" s="1844"/>
      <c r="U36" s="1927">
        <v>128.273</v>
      </c>
      <c r="V36" s="468"/>
      <c r="W36" s="1927">
        <v>190.93600000000001</v>
      </c>
      <c r="X36" s="468"/>
      <c r="Y36" s="1938">
        <v>145.58000000000001</v>
      </c>
      <c r="Z36" s="468"/>
      <c r="AA36" s="1938">
        <v>276</v>
      </c>
      <c r="AB36" s="468"/>
      <c r="AC36" s="1938">
        <v>196</v>
      </c>
      <c r="AD36" s="468"/>
      <c r="AE36" s="1938">
        <v>279</v>
      </c>
      <c r="AF36" s="468"/>
      <c r="AG36" s="1938">
        <v>229.304</v>
      </c>
      <c r="AH36" s="468"/>
      <c r="AI36" s="1927">
        <v>250</v>
      </c>
      <c r="AJ36" s="468"/>
      <c r="AK36" s="1938">
        <v>219</v>
      </c>
      <c r="AL36" s="468"/>
      <c r="AM36" s="1938">
        <v>136</v>
      </c>
      <c r="AN36" s="1923"/>
      <c r="AO36" s="1927">
        <v>92</v>
      </c>
      <c r="AP36" s="468"/>
      <c r="AQ36" s="1938">
        <v>141</v>
      </c>
      <c r="AR36" s="468"/>
      <c r="AS36" s="1938">
        <v>194</v>
      </c>
      <c r="AT36" s="468"/>
      <c r="AU36" s="1938">
        <v>159</v>
      </c>
      <c r="AV36" s="468"/>
      <c r="AW36" s="1938">
        <v>189.87200000000001</v>
      </c>
      <c r="AX36" s="468"/>
      <c r="AY36" s="1938">
        <v>225.095</v>
      </c>
      <c r="AZ36" s="468"/>
      <c r="BA36" s="1938">
        <v>166.126</v>
      </c>
      <c r="BB36" s="470"/>
      <c r="BC36" s="1938">
        <v>224.16399999999999</v>
      </c>
      <c r="BD36" s="470"/>
      <c r="BE36" s="2586">
        <v>298</v>
      </c>
      <c r="BF36" s="470"/>
      <c r="BG36" s="2586">
        <v>197.512</v>
      </c>
      <c r="BH36" s="470"/>
      <c r="BI36" s="470">
        <f>+BI85*BI78</f>
        <v>215.8603451642926</v>
      </c>
      <c r="BJ36" s="470"/>
      <c r="BK36" s="470">
        <f>+BK85*BK78</f>
        <v>227.03320436238587</v>
      </c>
      <c r="BL36" s="470"/>
      <c r="BM36" s="470">
        <f>+BM85*BM78</f>
        <v>237.74394003654857</v>
      </c>
      <c r="BN36" s="470"/>
      <c r="BO36" s="470">
        <f>+BO85*BO78</f>
        <v>249.4700008947064</v>
      </c>
      <c r="BP36" s="470"/>
      <c r="BQ36" s="470">
        <f>+BQ85*BQ78</f>
        <v>261.33186879046315</v>
      </c>
      <c r="BR36" s="470"/>
    </row>
    <row r="37" spans="2:78" hidden="1" outlineLevel="1">
      <c r="B37" s="23" t="s">
        <v>585</v>
      </c>
      <c r="D37" s="468"/>
      <c r="E37" s="1938">
        <v>0</v>
      </c>
      <c r="F37" s="468"/>
      <c r="G37" s="1938">
        <v>0</v>
      </c>
      <c r="H37" s="468"/>
      <c r="I37" s="1938">
        <v>0</v>
      </c>
      <c r="J37" s="468"/>
      <c r="K37" s="1938">
        <v>15.7</v>
      </c>
      <c r="L37" s="468"/>
      <c r="M37" s="1938">
        <v>25.2</v>
      </c>
      <c r="N37" s="468"/>
      <c r="O37" s="1938">
        <v>0</v>
      </c>
      <c r="P37" s="468"/>
      <c r="Q37" s="1938">
        <v>0</v>
      </c>
      <c r="R37" s="468"/>
      <c r="S37" s="1938">
        <v>0</v>
      </c>
      <c r="T37" s="1844"/>
      <c r="U37" s="1927">
        <v>0</v>
      </c>
      <c r="V37" s="468"/>
      <c r="W37" s="1927">
        <v>0</v>
      </c>
      <c r="X37" s="468"/>
      <c r="Y37" s="1938">
        <v>0</v>
      </c>
      <c r="Z37" s="468"/>
      <c r="AA37" s="1938">
        <v>0</v>
      </c>
      <c r="AB37" s="468"/>
      <c r="AC37" s="1938">
        <v>0</v>
      </c>
      <c r="AD37" s="468"/>
      <c r="AE37" s="1938">
        <v>0</v>
      </c>
      <c r="AF37" s="468"/>
      <c r="AG37" s="1938">
        <v>0</v>
      </c>
      <c r="AH37" s="468"/>
      <c r="AI37" s="1927">
        <v>0</v>
      </c>
      <c r="AJ37" s="468"/>
      <c r="AK37" s="1938">
        <v>0</v>
      </c>
      <c r="AL37" s="468"/>
      <c r="AM37" s="1938">
        <v>0</v>
      </c>
      <c r="AN37" s="1939"/>
      <c r="AO37" s="1927">
        <v>0</v>
      </c>
      <c r="AP37" s="470"/>
      <c r="AQ37" s="1938">
        <v>0</v>
      </c>
      <c r="AR37" s="470"/>
      <c r="AS37" s="1938">
        <f>+AQ37</f>
        <v>0</v>
      </c>
      <c r="AT37" s="470"/>
      <c r="AU37" s="470">
        <f>+AS37</f>
        <v>0</v>
      </c>
      <c r="AV37" s="470"/>
      <c r="AW37" s="470">
        <f>+AU37</f>
        <v>0</v>
      </c>
      <c r="AX37" s="470"/>
      <c r="AY37" s="470">
        <f>+AW37</f>
        <v>0</v>
      </c>
      <c r="AZ37" s="470"/>
      <c r="BA37" s="470">
        <f>+AY37</f>
        <v>0</v>
      </c>
      <c r="BB37" s="470"/>
      <c r="BC37" s="470">
        <f>+BA37</f>
        <v>0</v>
      </c>
      <c r="BD37" s="470"/>
      <c r="BE37" s="470">
        <f>+BC37</f>
        <v>0</v>
      </c>
      <c r="BF37" s="470"/>
      <c r="BG37" s="470">
        <f>+BE37</f>
        <v>0</v>
      </c>
      <c r="BH37" s="470"/>
      <c r="BI37" s="470">
        <f>+BG37</f>
        <v>0</v>
      </c>
      <c r="BJ37" s="470"/>
      <c r="BK37" s="470">
        <f>+BI37</f>
        <v>0</v>
      </c>
      <c r="BL37" s="470"/>
      <c r="BM37" s="470">
        <f>+BK37</f>
        <v>0</v>
      </c>
      <c r="BN37" s="470"/>
      <c r="BO37" s="470">
        <f>+BM37</f>
        <v>0</v>
      </c>
      <c r="BP37" s="470"/>
      <c r="BQ37" s="470">
        <f>+BO37</f>
        <v>0</v>
      </c>
      <c r="BR37" s="470"/>
    </row>
    <row r="38" spans="2:78" hidden="1" outlineLevel="1">
      <c r="B38" s="23" t="s">
        <v>867</v>
      </c>
      <c r="D38" s="468"/>
      <c r="E38" s="1846">
        <v>0</v>
      </c>
      <c r="F38" s="468"/>
      <c r="G38" s="1846">
        <v>0</v>
      </c>
      <c r="H38" s="468"/>
      <c r="I38" s="1846">
        <v>0</v>
      </c>
      <c r="J38" s="468"/>
      <c r="K38" s="1846">
        <v>0</v>
      </c>
      <c r="L38" s="468"/>
      <c r="M38" s="1846">
        <v>0</v>
      </c>
      <c r="N38" s="468"/>
      <c r="O38" s="1846">
        <v>0</v>
      </c>
      <c r="P38" s="468"/>
      <c r="Q38" s="1846">
        <v>0</v>
      </c>
      <c r="R38" s="468"/>
      <c r="S38" s="1846">
        <v>0</v>
      </c>
      <c r="T38" s="1844"/>
      <c r="U38" s="1924">
        <v>0</v>
      </c>
      <c r="V38" s="468"/>
      <c r="W38" s="1924">
        <v>0</v>
      </c>
      <c r="X38" s="468"/>
      <c r="Y38" s="1846">
        <v>0</v>
      </c>
      <c r="Z38" s="468"/>
      <c r="AA38" s="1846">
        <v>0</v>
      </c>
      <c r="AB38" s="468"/>
      <c r="AC38" s="1846">
        <v>0</v>
      </c>
      <c r="AD38" s="468"/>
      <c r="AE38" s="1846">
        <v>0</v>
      </c>
      <c r="AF38" s="468"/>
      <c r="AG38" s="1846">
        <v>0</v>
      </c>
      <c r="AH38" s="468"/>
      <c r="AI38" s="1924">
        <v>0</v>
      </c>
      <c r="AJ38" s="468"/>
      <c r="AK38" s="1846">
        <v>0</v>
      </c>
      <c r="AL38" s="468"/>
      <c r="AM38" s="1846">
        <v>0</v>
      </c>
      <c r="AN38" s="1940"/>
      <c r="AO38" s="1924">
        <v>0</v>
      </c>
      <c r="AP38" s="469"/>
      <c r="AQ38" s="1846">
        <v>0</v>
      </c>
      <c r="AR38" s="469"/>
      <c r="AS38" s="1846">
        <f>+AQ38</f>
        <v>0</v>
      </c>
      <c r="AT38" s="469"/>
      <c r="AU38" s="469">
        <f>+AS38</f>
        <v>0</v>
      </c>
      <c r="AV38" s="469"/>
      <c r="AW38" s="469">
        <f>+AU38</f>
        <v>0</v>
      </c>
      <c r="AX38" s="469"/>
      <c r="AY38" s="469">
        <f>+AW38</f>
        <v>0</v>
      </c>
      <c r="AZ38" s="469"/>
      <c r="BA38" s="469">
        <f>+AY38</f>
        <v>0</v>
      </c>
      <c r="BB38" s="470"/>
      <c r="BC38" s="469">
        <f>+BA38</f>
        <v>0</v>
      </c>
      <c r="BD38" s="470"/>
      <c r="BE38" s="469">
        <f>+BC38</f>
        <v>0</v>
      </c>
      <c r="BF38" s="470"/>
      <c r="BG38" s="469">
        <f>+BE38</f>
        <v>0</v>
      </c>
      <c r="BH38" s="470"/>
      <c r="BI38" s="469">
        <f>+BG38</f>
        <v>0</v>
      </c>
      <c r="BJ38" s="470"/>
      <c r="BK38" s="469">
        <f>+BI38</f>
        <v>0</v>
      </c>
      <c r="BL38" s="470"/>
      <c r="BM38" s="469">
        <f>+BK38</f>
        <v>0</v>
      </c>
      <c r="BN38" s="470"/>
      <c r="BO38" s="469">
        <f>+BM38</f>
        <v>0</v>
      </c>
      <c r="BP38" s="470"/>
      <c r="BQ38" s="469">
        <f>+BO38</f>
        <v>0</v>
      </c>
      <c r="BR38" s="470"/>
    </row>
    <row r="39" spans="2:78" collapsed="1">
      <c r="C39" s="23" t="s">
        <v>612</v>
      </c>
      <c r="D39" s="1834"/>
      <c r="E39" s="1834">
        <f>SUM(E33:E38)</f>
        <v>480.95699999999999</v>
      </c>
      <c r="F39" s="1834"/>
      <c r="G39" s="1834">
        <f>SUM(G33:G38)</f>
        <v>520.12</v>
      </c>
      <c r="H39" s="1834"/>
      <c r="I39" s="1834">
        <f>SUM(I33:I38)</f>
        <v>720.77800000000002</v>
      </c>
      <c r="J39" s="1834"/>
      <c r="K39" s="1834">
        <f>SUM(K33:K38)</f>
        <v>707.44400000000007</v>
      </c>
      <c r="L39" s="1834"/>
      <c r="M39" s="1834">
        <f>SUM(M33:M38)</f>
        <v>797.55500000000006</v>
      </c>
      <c r="N39" s="1834"/>
      <c r="O39" s="1834">
        <f>SUM(O33:O38)</f>
        <v>716.57499999999993</v>
      </c>
      <c r="P39" s="1834"/>
      <c r="Q39" s="1834">
        <f>SUM(Q33:Q38)</f>
        <v>906.89300000000003</v>
      </c>
      <c r="R39" s="1834"/>
      <c r="S39" s="1834">
        <f>SUM(S33:S38)</f>
        <v>1093.412</v>
      </c>
      <c r="T39" s="1834"/>
      <c r="U39" s="1838">
        <f>SUM(U33:U38)</f>
        <v>1180.0039999999999</v>
      </c>
      <c r="V39" s="1834"/>
      <c r="W39" s="1838">
        <f>SUM(W33:W38)</f>
        <v>1235.5519999999999</v>
      </c>
      <c r="X39" s="1834"/>
      <c r="Y39" s="1834">
        <f>SUM(Y33:Y38)</f>
        <v>1000.1850000000001</v>
      </c>
      <c r="Z39" s="1834"/>
      <c r="AA39" s="1834">
        <f>SUM(AA33:AA38)</f>
        <v>1454</v>
      </c>
      <c r="AB39" s="1834"/>
      <c r="AC39" s="1834">
        <f>SUM(AC33:AC38)</f>
        <v>1259</v>
      </c>
      <c r="AD39" s="1834"/>
      <c r="AE39" s="1834">
        <f>SUM(AE33:AE38)</f>
        <v>1388</v>
      </c>
      <c r="AF39" s="1834"/>
      <c r="AG39" s="1834">
        <f>SUM(AG33:AG38)</f>
        <v>1450.6790000000001</v>
      </c>
      <c r="AH39" s="1834"/>
      <c r="AI39" s="1838">
        <f>SUM(AI33:AI38)</f>
        <v>1575</v>
      </c>
      <c r="AJ39" s="1834"/>
      <c r="AK39" s="1834">
        <f>SUM(AK33:AK38)</f>
        <v>1708.7359999999999</v>
      </c>
      <c r="AL39" s="1834"/>
      <c r="AM39" s="1834">
        <f>SUM(AM33:AM38)</f>
        <v>1374</v>
      </c>
      <c r="AN39" s="1838"/>
      <c r="AO39" s="1838">
        <f>SUM(AO33:AO38)</f>
        <v>1255</v>
      </c>
      <c r="AP39" s="1834"/>
      <c r="AQ39" s="1834">
        <f>SUM(AQ33:AQ38)</f>
        <v>1322</v>
      </c>
      <c r="AR39" s="1834"/>
      <c r="AS39" s="1834">
        <f>SUM(AS33:AS38)</f>
        <v>1504</v>
      </c>
      <c r="AT39" s="1834"/>
      <c r="AU39" s="1834">
        <f>SUM(AU33:AU38)</f>
        <v>1526</v>
      </c>
      <c r="AV39" s="1834"/>
      <c r="AW39" s="1834">
        <f>SUM(AW33:AW38)</f>
        <v>1537.894</v>
      </c>
      <c r="AX39" s="1834"/>
      <c r="AY39" s="1834">
        <f>SUM(AY33:AY38)</f>
        <v>1826.1110000000001</v>
      </c>
      <c r="AZ39" s="1834"/>
      <c r="BA39" s="1834">
        <f>SUM(BA33:BA38)</f>
        <v>1679.4309999999998</v>
      </c>
      <c r="BB39" s="1834"/>
      <c r="BC39" s="1834">
        <f>SUM(BC33:BC38)</f>
        <v>1876.9047</v>
      </c>
      <c r="BD39" s="1834"/>
      <c r="BE39" s="1834">
        <f>SUM(BE33:BE38)</f>
        <v>2014</v>
      </c>
      <c r="BF39" s="1834"/>
      <c r="BG39" s="1834">
        <f>SUM(BG33:BG38)</f>
        <v>2030.5070000000001</v>
      </c>
      <c r="BH39" s="1834"/>
      <c r="BI39" s="1834">
        <f>SUM(BI33:BI38)</f>
        <v>2187.7867048440139</v>
      </c>
      <c r="BJ39" s="1834"/>
      <c r="BK39" s="1834">
        <f>SUM(BK33:BK38)</f>
        <v>2292.4226764043688</v>
      </c>
      <c r="BL39" s="1834"/>
      <c r="BM39" s="1834">
        <f>SUM(BM33:BM38)</f>
        <v>2396.4832807746561</v>
      </c>
      <c r="BN39" s="1834"/>
      <c r="BO39" s="1834">
        <f>SUM(BO33:BO38)</f>
        <v>2507.1830586254673</v>
      </c>
      <c r="BP39" s="1834"/>
      <c r="BQ39" s="1834">
        <f>SUM(BQ33:BQ38)</f>
        <v>2618.9204070472815</v>
      </c>
      <c r="BR39" s="1834"/>
    </row>
    <row r="40" spans="2:78" ht="6" customHeight="1">
      <c r="U40" s="161"/>
      <c r="W40" s="161"/>
      <c r="AI40" s="1923"/>
      <c r="AN40" s="161"/>
      <c r="AO40" s="161"/>
    </row>
    <row r="41" spans="2:78" s="161" customFormat="1">
      <c r="B41" s="161" t="s">
        <v>1171</v>
      </c>
      <c r="D41" s="1919"/>
      <c r="E41" s="1920">
        <v>540.44600000000003</v>
      </c>
      <c r="F41" s="2862"/>
      <c r="G41" s="1920">
        <v>713.75800000000004</v>
      </c>
      <c r="H41" s="2862"/>
      <c r="I41" s="1920">
        <v>541.63900000000001</v>
      </c>
      <c r="J41" s="2862"/>
      <c r="K41" s="1920">
        <v>650</v>
      </c>
      <c r="L41" s="2862"/>
      <c r="M41" s="1920">
        <v>650</v>
      </c>
      <c r="N41" s="2862"/>
      <c r="O41" s="1920">
        <v>650</v>
      </c>
      <c r="P41" s="2862"/>
      <c r="Q41" s="1920">
        <v>650</v>
      </c>
      <c r="R41" s="2862"/>
      <c r="S41" s="1920">
        <v>650</v>
      </c>
      <c r="T41" s="1926"/>
      <c r="U41" s="1920">
        <v>550</v>
      </c>
      <c r="V41" s="2862"/>
      <c r="W41" s="1920">
        <v>400</v>
      </c>
      <c r="X41" s="2862"/>
      <c r="Y41" s="1920">
        <v>400</v>
      </c>
      <c r="Z41" s="2862"/>
      <c r="AA41" s="1920">
        <v>250</v>
      </c>
      <c r="AB41" s="2862"/>
      <c r="AC41" s="1920">
        <v>547</v>
      </c>
      <c r="AD41" s="2862"/>
      <c r="AE41" s="1920">
        <v>648</v>
      </c>
      <c r="AF41" s="2862"/>
      <c r="AG41" s="1920">
        <v>1646.567</v>
      </c>
      <c r="AH41" s="2862"/>
      <c r="AI41" s="1920">
        <v>1669.403</v>
      </c>
      <c r="AJ41" s="2862"/>
      <c r="AK41" s="1920">
        <v>1665.1089999999999</v>
      </c>
      <c r="AL41" s="2862"/>
      <c r="AM41" s="1920">
        <v>2905</v>
      </c>
      <c r="AN41" s="2862"/>
      <c r="AO41" s="1920">
        <v>2897</v>
      </c>
      <c r="AP41" s="2862"/>
      <c r="AQ41" s="1920">
        <v>2723</v>
      </c>
      <c r="AR41" s="2862"/>
      <c r="AS41" s="1920">
        <v>2507</v>
      </c>
      <c r="AT41" s="2862"/>
      <c r="AU41" s="1920">
        <v>3481</v>
      </c>
      <c r="AV41" s="2862"/>
      <c r="AW41" s="1920">
        <v>4476.7510000000002</v>
      </c>
      <c r="AX41" s="2862"/>
      <c r="AY41" s="1920">
        <v>4760.6310000000003</v>
      </c>
      <c r="AZ41" s="2862"/>
      <c r="BA41" s="1920">
        <v>4764.6049999999996</v>
      </c>
      <c r="BB41" s="1919"/>
      <c r="BC41" s="1920">
        <v>5714.8389999999999</v>
      </c>
      <c r="BD41" s="1919"/>
      <c r="BE41" s="2863">
        <v>5700</v>
      </c>
      <c r="BF41" s="1919"/>
      <c r="BG41" s="2863">
        <v>5706.9709999999995</v>
      </c>
      <c r="BH41" s="1919"/>
      <c r="BI41" s="1919">
        <f>+BG41</f>
        <v>5706.9709999999995</v>
      </c>
      <c r="BJ41" s="1919"/>
      <c r="BK41" s="1919">
        <f>+BI41+flow!BJ40</f>
        <v>7206.9709999999995</v>
      </c>
      <c r="BL41" s="1919"/>
      <c r="BM41" s="1919">
        <f>+BK41+flow!BL40</f>
        <v>7206.9709999999995</v>
      </c>
      <c r="BN41" s="1919"/>
      <c r="BO41" s="1919">
        <f>+BM41</f>
        <v>7206.9709999999995</v>
      </c>
      <c r="BP41" s="1919"/>
      <c r="BQ41" s="1919">
        <f>+BO41</f>
        <v>7206.9709999999995</v>
      </c>
      <c r="BR41" s="1919"/>
      <c r="BS41"/>
      <c r="BT41"/>
      <c r="BU41"/>
      <c r="BV41"/>
      <c r="BW41"/>
      <c r="BX41"/>
    </row>
    <row r="42" spans="2:78">
      <c r="B42" s="23" t="s">
        <v>1089</v>
      </c>
      <c r="D42" s="468"/>
      <c r="E42" s="1844">
        <v>254.304</v>
      </c>
      <c r="F42" s="470"/>
      <c r="G42" s="1844">
        <v>267.315</v>
      </c>
      <c r="H42" s="470"/>
      <c r="I42" s="1844">
        <v>274.84399999999999</v>
      </c>
      <c r="J42" s="470"/>
      <c r="K42" s="1844">
        <v>275.101</v>
      </c>
      <c r="L42" s="470"/>
      <c r="M42" s="1844">
        <v>306.13900000000001</v>
      </c>
      <c r="N42" s="470"/>
      <c r="O42" s="1844">
        <v>250.857</v>
      </c>
      <c r="P42" s="470"/>
      <c r="Q42" s="1844">
        <v>169.93199999999999</v>
      </c>
      <c r="R42" s="470"/>
      <c r="S42" s="1938">
        <v>0</v>
      </c>
      <c r="T42" s="1938"/>
      <c r="U42" s="1927">
        <v>0</v>
      </c>
      <c r="V42" s="470"/>
      <c r="W42" s="1927">
        <v>0</v>
      </c>
      <c r="X42" s="470"/>
      <c r="Y42" s="1938">
        <v>0</v>
      </c>
      <c r="Z42" s="470"/>
      <c r="AA42" s="1938">
        <v>0</v>
      </c>
      <c r="AB42" s="470"/>
      <c r="AC42" s="1938">
        <v>125</v>
      </c>
      <c r="AD42" s="470"/>
      <c r="AE42" s="1938">
        <v>134</v>
      </c>
      <c r="AF42" s="470"/>
      <c r="AG42" s="1938">
        <v>176.822</v>
      </c>
      <c r="AH42" s="470"/>
      <c r="AI42" s="1927">
        <v>145.80600000000001</v>
      </c>
      <c r="AJ42" s="470"/>
      <c r="AK42" s="1938">
        <v>173</v>
      </c>
      <c r="AL42" s="470"/>
      <c r="AM42" s="1938">
        <v>175</v>
      </c>
      <c r="AN42" s="1939"/>
      <c r="AO42" s="1927">
        <v>213</v>
      </c>
      <c r="AP42" s="470"/>
      <c r="AQ42" s="1938">
        <v>213</v>
      </c>
      <c r="AR42" s="470"/>
      <c r="AS42" s="1938">
        <v>202</v>
      </c>
      <c r="AT42" s="470"/>
      <c r="AU42" s="1938">
        <v>183</v>
      </c>
      <c r="AV42" s="470"/>
      <c r="AW42" s="1938">
        <v>200.49799999999999</v>
      </c>
      <c r="AX42" s="470"/>
      <c r="AY42" s="1938">
        <v>210.27699999999999</v>
      </c>
      <c r="AZ42" s="470"/>
      <c r="BA42" s="1938">
        <v>260.99299999999999</v>
      </c>
      <c r="BB42" s="1938"/>
      <c r="BC42" s="1938">
        <v>256.911</v>
      </c>
      <c r="BD42" s="1938"/>
      <c r="BE42" s="1938">
        <v>352</v>
      </c>
      <c r="BF42" s="1938"/>
      <c r="BG42" s="1938">
        <v>237.65600000000001</v>
      </c>
      <c r="BH42" s="1938"/>
      <c r="BI42" s="1938">
        <f>BG42</f>
        <v>237.65600000000001</v>
      </c>
      <c r="BJ42" s="1938"/>
      <c r="BK42" s="1938">
        <f>BI42</f>
        <v>237.65600000000001</v>
      </c>
      <c r="BL42" s="1938"/>
      <c r="BM42" s="1938">
        <f>BK42</f>
        <v>237.65600000000001</v>
      </c>
      <c r="BN42" s="1938"/>
      <c r="BO42" s="1938">
        <f>BM42</f>
        <v>237.65600000000001</v>
      </c>
      <c r="BP42" s="1938"/>
      <c r="BQ42" s="1938">
        <f>BO42</f>
        <v>237.65600000000001</v>
      </c>
      <c r="BR42" s="1938"/>
    </row>
    <row r="43" spans="2:78">
      <c r="B43" s="23" t="s">
        <v>586</v>
      </c>
      <c r="D43" s="468"/>
      <c r="E43" s="1846">
        <v>36.119</v>
      </c>
      <c r="F43" s="470"/>
      <c r="G43" s="1846">
        <v>40.871000000000002</v>
      </c>
      <c r="H43" s="470"/>
      <c r="I43" s="1846">
        <v>41.572000000000003</v>
      </c>
      <c r="J43" s="470"/>
      <c r="K43" s="1846">
        <v>61.267000000000003</v>
      </c>
      <c r="L43" s="470"/>
      <c r="M43" s="1846">
        <v>55.427</v>
      </c>
      <c r="N43" s="470"/>
      <c r="O43" s="1846">
        <v>50.790999999999997</v>
      </c>
      <c r="P43" s="470"/>
      <c r="Q43" s="1846">
        <v>51.658999999999999</v>
      </c>
      <c r="R43" s="470"/>
      <c r="S43" s="1846">
        <v>58.72</v>
      </c>
      <c r="T43" s="1938"/>
      <c r="U43" s="1924">
        <v>195.64099999999999</v>
      </c>
      <c r="V43" s="470"/>
      <c r="W43" s="1924">
        <v>224.53</v>
      </c>
      <c r="X43" s="470"/>
      <c r="Y43" s="1846">
        <v>228.39699999999999</v>
      </c>
      <c r="Z43" s="470"/>
      <c r="AA43" s="1846">
        <v>469</v>
      </c>
      <c r="AB43" s="470"/>
      <c r="AC43" s="1846">
        <v>455</v>
      </c>
      <c r="AD43" s="470"/>
      <c r="AE43" s="1846">
        <v>444</v>
      </c>
      <c r="AF43" s="470"/>
      <c r="AG43" s="1924">
        <v>446.75900000000001</v>
      </c>
      <c r="AH43" s="470"/>
      <c r="AI43" s="1924">
        <v>452</v>
      </c>
      <c r="AJ43" s="470"/>
      <c r="AK43" s="1846">
        <v>520</v>
      </c>
      <c r="AL43" s="470"/>
      <c r="AM43" s="1846">
        <v>709</v>
      </c>
      <c r="AN43" s="1939"/>
      <c r="AO43" s="1924">
        <v>732</v>
      </c>
      <c r="AP43" s="470"/>
      <c r="AQ43" s="1846">
        <v>731</v>
      </c>
      <c r="AR43" s="470"/>
      <c r="AS43" s="1846">
        <v>761</v>
      </c>
      <c r="AT43" s="470"/>
      <c r="AU43" s="1846">
        <v>780</v>
      </c>
      <c r="AV43" s="470"/>
      <c r="AW43" s="1846">
        <v>817.7</v>
      </c>
      <c r="AX43" s="470"/>
      <c r="AY43" s="1846">
        <v>770.01599999999996</v>
      </c>
      <c r="AZ43" s="470"/>
      <c r="BA43" s="1846">
        <v>819.88699999999994</v>
      </c>
      <c r="BB43" s="1938"/>
      <c r="BC43" s="1846">
        <v>904</v>
      </c>
      <c r="BD43" s="1938"/>
      <c r="BE43" s="1846">
        <v>831</v>
      </c>
      <c r="BF43" s="1938"/>
      <c r="BG43" s="1846">
        <v>924.42200000000003</v>
      </c>
      <c r="BH43" s="1938"/>
      <c r="BI43" s="1846">
        <f>+BG43</f>
        <v>924.42200000000003</v>
      </c>
      <c r="BJ43" s="1938"/>
      <c r="BK43" s="1846">
        <f>+BI43</f>
        <v>924.42200000000003</v>
      </c>
      <c r="BL43" s="1938"/>
      <c r="BM43" s="1846">
        <f>+BK43</f>
        <v>924.42200000000003</v>
      </c>
      <c r="BN43" s="1938"/>
      <c r="BO43" s="1846">
        <f>+BM43</f>
        <v>924.42200000000003</v>
      </c>
      <c r="BP43" s="1938"/>
      <c r="BQ43" s="1846">
        <f>+BO43</f>
        <v>924.42200000000003</v>
      </c>
      <c r="BR43" s="1938"/>
      <c r="BZ43" s="1801"/>
    </row>
    <row r="44" spans="2:78">
      <c r="C44" s="23" t="s">
        <v>619</v>
      </c>
      <c r="D44" s="160"/>
      <c r="E44" s="160">
        <f>SUM(E40:E43)</f>
        <v>830.86900000000003</v>
      </c>
      <c r="F44" s="160"/>
      <c r="G44" s="160">
        <f>SUM(G40:G43)</f>
        <v>1021.9440000000001</v>
      </c>
      <c r="H44" s="160"/>
      <c r="I44" s="160">
        <f>SUM(I40:I43)</f>
        <v>858.05499999999995</v>
      </c>
      <c r="J44" s="160"/>
      <c r="K44" s="160">
        <f>SUM(K40:K43)</f>
        <v>986.36800000000005</v>
      </c>
      <c r="L44" s="160"/>
      <c r="M44" s="160">
        <f>SUM(M40:M43)</f>
        <v>1011.566</v>
      </c>
      <c r="N44" s="160"/>
      <c r="O44" s="160">
        <f>SUM(O40:O43)</f>
        <v>951.64799999999991</v>
      </c>
      <c r="P44" s="160"/>
      <c r="Q44" s="160">
        <f>SUM(Q40:Q43)</f>
        <v>871.59100000000001</v>
      </c>
      <c r="R44" s="160"/>
      <c r="S44" s="160">
        <f>SUM(S41:S43)</f>
        <v>708.72</v>
      </c>
      <c r="T44" s="160"/>
      <c r="U44" s="1919">
        <f>SUM(U41:U43)</f>
        <v>745.64099999999996</v>
      </c>
      <c r="V44" s="160"/>
      <c r="W44" s="1919">
        <f>SUM(W41:W43)</f>
        <v>624.53</v>
      </c>
      <c r="X44" s="160"/>
      <c r="Y44" s="160">
        <f>SUM(Y41:Y43)</f>
        <v>628.39699999999993</v>
      </c>
      <c r="Z44" s="160"/>
      <c r="AA44" s="160">
        <f>SUM(AA41:AA43)</f>
        <v>719</v>
      </c>
      <c r="AB44" s="160"/>
      <c r="AC44" s="160">
        <f>SUM(AC41:AC43)</f>
        <v>1127</v>
      </c>
      <c r="AD44" s="160"/>
      <c r="AE44" s="160">
        <f>SUM(AE41:AE43)</f>
        <v>1226</v>
      </c>
      <c r="AF44" s="160"/>
      <c r="AG44" s="160">
        <f>SUM(AG41:AG43)</f>
        <v>2270.1480000000001</v>
      </c>
      <c r="AH44" s="160"/>
      <c r="AI44" s="1919">
        <f>SUM(AI41:AI43)</f>
        <v>2267.2089999999998</v>
      </c>
      <c r="AJ44" s="160"/>
      <c r="AK44" s="160">
        <f>SUM(AK41:AK43)</f>
        <v>2358.1089999999999</v>
      </c>
      <c r="AL44" s="160"/>
      <c r="AM44" s="160">
        <f>SUM(AM41:AM43)</f>
        <v>3789</v>
      </c>
      <c r="AN44" s="160"/>
      <c r="AO44" s="160">
        <f>SUM(AO41:AO43)</f>
        <v>3842</v>
      </c>
      <c r="AP44" s="160"/>
      <c r="AQ44" s="160">
        <f>SUM(AQ41:AQ43)</f>
        <v>3667</v>
      </c>
      <c r="AR44" s="160"/>
      <c r="AS44" s="160">
        <f>SUM(AS41:AS43)</f>
        <v>3470</v>
      </c>
      <c r="AT44" s="160"/>
      <c r="AU44" s="160">
        <f>SUM(AU41:AU43)</f>
        <v>4444</v>
      </c>
      <c r="AV44" s="160"/>
      <c r="AW44" s="160">
        <f>SUM(AW41:AW43)</f>
        <v>5494.9489999999996</v>
      </c>
      <c r="AX44" s="160"/>
      <c r="AY44" s="160">
        <f>SUM(AY41:AY43)</f>
        <v>5740.924</v>
      </c>
      <c r="AZ44" s="160"/>
      <c r="BA44" s="160">
        <f>SUM(BA41:BA43)</f>
        <v>5845.4849999999997</v>
      </c>
      <c r="BB44" s="160"/>
      <c r="BC44" s="160">
        <f>SUM(BC41:BC43)</f>
        <v>6875.75</v>
      </c>
      <c r="BD44" s="160"/>
      <c r="BE44" s="160">
        <f>SUM(BE41:BE43)</f>
        <v>6883</v>
      </c>
      <c r="BF44" s="160"/>
      <c r="BG44" s="160">
        <f>SUM(BG41:BG43)</f>
        <v>6869.0489999999991</v>
      </c>
      <c r="BH44" s="160"/>
      <c r="BI44" s="160">
        <f>SUM(BI41:BI43)</f>
        <v>6869.0489999999991</v>
      </c>
      <c r="BJ44" s="160"/>
      <c r="BK44" s="160">
        <f>SUM(BK41:BK43)</f>
        <v>8369.0489999999991</v>
      </c>
      <c r="BL44" s="160"/>
      <c r="BM44" s="160">
        <f>SUM(BM41:BM43)</f>
        <v>8369.0489999999991</v>
      </c>
      <c r="BN44" s="160"/>
      <c r="BO44" s="160">
        <f>SUM(BO41:BO43)</f>
        <v>8369.0489999999991</v>
      </c>
      <c r="BP44" s="160"/>
      <c r="BQ44" s="160">
        <f>SUM(BQ41:BQ43)</f>
        <v>8369.0489999999991</v>
      </c>
      <c r="BR44" s="160"/>
    </row>
    <row r="45" spans="2:78" ht="6" customHeight="1">
      <c r="D45" s="160"/>
      <c r="E45" s="160"/>
      <c r="F45" s="160"/>
      <c r="G45" s="160"/>
      <c r="H45" s="160"/>
      <c r="I45" s="160"/>
      <c r="J45" s="160"/>
      <c r="K45" s="160"/>
      <c r="L45" s="160"/>
      <c r="M45" s="160"/>
      <c r="N45" s="160"/>
      <c r="O45" s="160"/>
      <c r="P45" s="160"/>
      <c r="Q45" s="160"/>
      <c r="R45" s="160"/>
      <c r="S45" s="160"/>
      <c r="T45" s="160"/>
      <c r="U45" s="1919"/>
      <c r="V45" s="160"/>
      <c r="W45" s="1919"/>
      <c r="X45" s="160"/>
      <c r="Y45" s="160"/>
      <c r="Z45" s="160"/>
      <c r="AA45" s="160"/>
      <c r="AB45" s="160"/>
      <c r="AC45" s="160"/>
      <c r="AD45" s="160"/>
      <c r="AE45" s="160"/>
      <c r="AF45" s="160"/>
      <c r="AG45" s="160"/>
      <c r="AH45" s="160"/>
      <c r="AI45" s="1919"/>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c r="BH45" s="160"/>
      <c r="BI45" s="160"/>
      <c r="BJ45" s="160"/>
      <c r="BK45" s="160"/>
      <c r="BL45" s="160"/>
      <c r="BM45" s="160"/>
      <c r="BN45" s="160"/>
      <c r="BO45" s="160"/>
      <c r="BP45" s="160"/>
      <c r="BQ45" s="160"/>
      <c r="BR45" s="160"/>
    </row>
    <row r="46" spans="2:78">
      <c r="B46" s="23" t="s">
        <v>848</v>
      </c>
      <c r="D46" s="160"/>
      <c r="E46" s="157">
        <f>+E39+E44</f>
        <v>1311.826</v>
      </c>
      <c r="F46" s="160"/>
      <c r="G46" s="157">
        <f>+G39+G44</f>
        <v>1542.0640000000001</v>
      </c>
      <c r="H46" s="160"/>
      <c r="I46" s="157">
        <f>+I39+I44</f>
        <v>1578.8330000000001</v>
      </c>
      <c r="J46" s="160"/>
      <c r="K46" s="157">
        <f>+K39+K44</f>
        <v>1693.8120000000001</v>
      </c>
      <c r="L46" s="160"/>
      <c r="M46" s="157">
        <f>+M39+M44</f>
        <v>1809.1210000000001</v>
      </c>
      <c r="N46" s="160"/>
      <c r="O46" s="157">
        <f>+O39+O44</f>
        <v>1668.223</v>
      </c>
      <c r="P46" s="160"/>
      <c r="Q46" s="157">
        <f>+Q39+Q44</f>
        <v>1778.4839999999999</v>
      </c>
      <c r="R46" s="160"/>
      <c r="S46" s="157">
        <f>+S39+S44</f>
        <v>1802.1320000000001</v>
      </c>
      <c r="T46" s="160"/>
      <c r="U46" s="1941">
        <f>+U39+U44</f>
        <v>1925.645</v>
      </c>
      <c r="V46" s="160"/>
      <c r="W46" s="1941">
        <f>+W39+W44</f>
        <v>1860.0819999999999</v>
      </c>
      <c r="X46" s="160"/>
      <c r="Y46" s="157">
        <f>+Y39+Y44</f>
        <v>1628.5819999999999</v>
      </c>
      <c r="Z46" s="160"/>
      <c r="AA46" s="157">
        <f>+AA39+AA44</f>
        <v>2173</v>
      </c>
      <c r="AB46" s="160"/>
      <c r="AC46" s="157">
        <f>+AC39+AC44</f>
        <v>2386</v>
      </c>
      <c r="AD46" s="160"/>
      <c r="AE46" s="157">
        <f>+AE39+AE44</f>
        <v>2614</v>
      </c>
      <c r="AF46" s="160"/>
      <c r="AG46" s="157">
        <f>+AG39+AG44</f>
        <v>3720.8270000000002</v>
      </c>
      <c r="AH46" s="160"/>
      <c r="AI46" s="1941">
        <f>+AI39+AI44</f>
        <v>3842.2089999999998</v>
      </c>
      <c r="AJ46" s="160"/>
      <c r="AK46" s="157">
        <f>+AK39+AK44</f>
        <v>4066.8449999999998</v>
      </c>
      <c r="AL46" s="160"/>
      <c r="AM46" s="157">
        <f>+AM39+AM44</f>
        <v>5163</v>
      </c>
      <c r="AN46" s="160"/>
      <c r="AO46" s="157">
        <f>+AO39+AO44</f>
        <v>5097</v>
      </c>
      <c r="AP46" s="160"/>
      <c r="AQ46" s="157">
        <f>+AQ39+AQ44</f>
        <v>4989</v>
      </c>
      <c r="AR46" s="160"/>
      <c r="AS46" s="157">
        <f>+AS39+AS44</f>
        <v>4974</v>
      </c>
      <c r="AT46" s="160"/>
      <c r="AU46" s="157">
        <f>+AU39+AU44</f>
        <v>5970</v>
      </c>
      <c r="AV46" s="160"/>
      <c r="AW46" s="157">
        <f>+AW39+AW44</f>
        <v>7032.8429999999998</v>
      </c>
      <c r="AX46" s="160"/>
      <c r="AY46" s="157">
        <f>+AY39+AY44</f>
        <v>7567.0349999999999</v>
      </c>
      <c r="AZ46" s="160"/>
      <c r="BA46" s="157">
        <f>+BA39+BA44</f>
        <v>7524.9159999999993</v>
      </c>
      <c r="BB46" s="1802"/>
      <c r="BC46" s="157">
        <f>+BC39+BC44</f>
        <v>8752.6546999999991</v>
      </c>
      <c r="BD46" s="1802"/>
      <c r="BE46" s="157">
        <f>+BE39+BE44</f>
        <v>8897</v>
      </c>
      <c r="BF46" s="1802"/>
      <c r="BG46" s="157">
        <f>+BG39+BG44</f>
        <v>8899.5559999999987</v>
      </c>
      <c r="BH46" s="1802"/>
      <c r="BI46" s="157">
        <f>+BI39+BI44</f>
        <v>9056.8357048440121</v>
      </c>
      <c r="BJ46" s="1802"/>
      <c r="BK46" s="157">
        <f>+BK39+BK44</f>
        <v>10661.471676404368</v>
      </c>
      <c r="BL46" s="1802"/>
      <c r="BM46" s="157">
        <f>+BM39+BM44</f>
        <v>10765.532280774656</v>
      </c>
      <c r="BN46" s="1802"/>
      <c r="BO46" s="157">
        <f>+BO39+BO44</f>
        <v>10876.232058625466</v>
      </c>
      <c r="BP46" s="1802"/>
      <c r="BQ46" s="157">
        <f>+BQ39+BQ44</f>
        <v>10987.96940704728</v>
      </c>
      <c r="BR46" s="1802"/>
    </row>
    <row r="47" spans="2:78" ht="6" customHeight="1">
      <c r="E47" s="1872"/>
      <c r="G47" s="1872"/>
      <c r="I47" s="1872"/>
      <c r="K47" s="1872"/>
      <c r="M47" s="1872"/>
      <c r="O47" s="1872"/>
      <c r="Q47" s="1872"/>
      <c r="S47" s="1872"/>
      <c r="U47" s="1873"/>
      <c r="W47" s="1873"/>
      <c r="Y47" s="1872"/>
      <c r="AA47" s="1872"/>
      <c r="AC47" s="1872"/>
      <c r="AE47" s="1872"/>
      <c r="AG47" s="1872"/>
      <c r="AI47" s="1873"/>
      <c r="AK47" s="1872"/>
      <c r="AM47" s="1872"/>
      <c r="AO47" s="1872"/>
      <c r="AQ47" s="1872"/>
      <c r="AS47" s="1872"/>
      <c r="AU47" s="1872"/>
      <c r="AW47" s="1872"/>
      <c r="AY47" s="1872"/>
      <c r="BA47" s="1872"/>
      <c r="BB47" s="1872"/>
      <c r="BC47" s="1872"/>
      <c r="BD47" s="1872"/>
      <c r="BE47" s="1872"/>
      <c r="BF47" s="1872"/>
      <c r="BG47" s="1872"/>
      <c r="BH47" s="1872"/>
      <c r="BI47" s="1872"/>
      <c r="BJ47" s="1872"/>
      <c r="BK47" s="1872"/>
      <c r="BL47" s="1872"/>
      <c r="BM47" s="1872"/>
      <c r="BN47" s="1872"/>
      <c r="BO47" s="1872"/>
      <c r="BP47" s="1872"/>
      <c r="BQ47" s="1872"/>
      <c r="BR47" s="1872"/>
    </row>
    <row r="48" spans="2:78">
      <c r="B48" s="23" t="s">
        <v>587</v>
      </c>
      <c r="D48" s="160"/>
      <c r="E48" s="159">
        <v>0</v>
      </c>
      <c r="F48" s="160"/>
      <c r="G48" s="159">
        <v>0</v>
      </c>
      <c r="H48" s="160"/>
      <c r="I48" s="159">
        <v>0</v>
      </c>
      <c r="J48" s="160"/>
      <c r="K48" s="159">
        <v>0</v>
      </c>
      <c r="L48" s="160"/>
      <c r="M48" s="159">
        <v>0</v>
      </c>
      <c r="N48" s="160"/>
      <c r="O48" s="159">
        <v>45.698999999999998</v>
      </c>
      <c r="P48" s="160"/>
      <c r="Q48" s="159">
        <v>67.335999999999999</v>
      </c>
      <c r="R48" s="160"/>
      <c r="S48" s="159">
        <v>102.072</v>
      </c>
      <c r="T48" s="160"/>
      <c r="U48" s="1920">
        <v>105.504</v>
      </c>
      <c r="V48" s="160"/>
      <c r="W48" s="1920">
        <v>119.008</v>
      </c>
      <c r="X48" s="160"/>
      <c r="Y48" s="159">
        <v>143.08500000000001</v>
      </c>
      <c r="Z48" s="160"/>
      <c r="AA48" s="159">
        <v>177</v>
      </c>
      <c r="AB48" s="160"/>
      <c r="AC48" s="159">
        <v>0</v>
      </c>
      <c r="AD48" s="160"/>
      <c r="AE48" s="159">
        <v>0</v>
      </c>
      <c r="AF48" s="160"/>
      <c r="AG48" s="159">
        <v>32.5</v>
      </c>
      <c r="AH48" s="160"/>
      <c r="AI48" s="1920">
        <v>33.340000000000003</v>
      </c>
      <c r="AJ48" s="160"/>
      <c r="AK48" s="159">
        <v>71.19</v>
      </c>
      <c r="AL48" s="160"/>
      <c r="AM48" s="1920">
        <v>55</v>
      </c>
      <c r="AN48" s="160"/>
      <c r="AO48" s="159">
        <v>1</v>
      </c>
      <c r="AP48" s="160"/>
      <c r="AQ48" s="159">
        <v>1</v>
      </c>
      <c r="AR48" s="160"/>
      <c r="AS48" s="159">
        <v>1</v>
      </c>
      <c r="AT48" s="160"/>
      <c r="AU48" s="159">
        <v>1</v>
      </c>
      <c r="AV48" s="160"/>
      <c r="AW48" s="159">
        <f>AU48</f>
        <v>1</v>
      </c>
      <c r="AX48" s="160"/>
      <c r="AY48" s="160">
        <f>AW48</f>
        <v>1</v>
      </c>
      <c r="AZ48" s="160"/>
      <c r="BA48" s="160">
        <v>0</v>
      </c>
      <c r="BB48" s="160"/>
      <c r="BC48" s="160">
        <v>0</v>
      </c>
      <c r="BD48" s="160"/>
      <c r="BE48" s="160">
        <f>BC48</f>
        <v>0</v>
      </c>
      <c r="BF48" s="160"/>
      <c r="BG48" s="160">
        <f>BE48</f>
        <v>0</v>
      </c>
      <c r="BH48" s="160"/>
      <c r="BI48" s="160">
        <f>BG48</f>
        <v>0</v>
      </c>
      <c r="BJ48" s="160"/>
      <c r="BK48" s="160">
        <f>BI48</f>
        <v>0</v>
      </c>
      <c r="BL48" s="160"/>
      <c r="BM48" s="160">
        <f>BK48</f>
        <v>0</v>
      </c>
      <c r="BN48" s="160"/>
      <c r="BO48" s="160">
        <f>BM48</f>
        <v>0</v>
      </c>
      <c r="BP48" s="160"/>
      <c r="BQ48" s="160">
        <f>BO48</f>
        <v>0</v>
      </c>
      <c r="BR48" s="160"/>
    </row>
    <row r="49" spans="1:70" hidden="1" outlineLevel="1">
      <c r="B49" s="23" t="s">
        <v>589</v>
      </c>
      <c r="D49" s="468"/>
      <c r="E49" s="1844">
        <v>0</v>
      </c>
      <c r="F49" s="468"/>
      <c r="G49" s="1844">
        <v>0</v>
      </c>
      <c r="H49" s="468"/>
      <c r="I49" s="1844">
        <v>0</v>
      </c>
      <c r="J49" s="468"/>
      <c r="K49" s="1844">
        <v>0</v>
      </c>
      <c r="L49" s="468"/>
      <c r="M49" s="1844">
        <v>0</v>
      </c>
      <c r="N49" s="468"/>
      <c r="O49" s="1844">
        <v>351.6</v>
      </c>
      <c r="P49" s="468"/>
      <c r="Q49" s="1844">
        <v>351.6</v>
      </c>
      <c r="R49" s="468"/>
      <c r="S49" s="1844">
        <v>351.6</v>
      </c>
      <c r="T49" s="468"/>
      <c r="U49" s="1922">
        <v>351.6</v>
      </c>
      <c r="V49" s="468"/>
      <c r="W49" s="1922">
        <v>0</v>
      </c>
      <c r="X49" s="468"/>
      <c r="Y49" s="1844">
        <v>0</v>
      </c>
      <c r="Z49" s="468"/>
      <c r="AA49" s="1844">
        <v>0</v>
      </c>
      <c r="AB49" s="468"/>
      <c r="AC49" s="1844">
        <v>0</v>
      </c>
      <c r="AD49" s="468"/>
      <c r="AE49" s="1844">
        <v>0</v>
      </c>
      <c r="AF49" s="468"/>
      <c r="AG49" s="1844">
        <v>0</v>
      </c>
      <c r="AH49" s="468"/>
      <c r="AI49" s="1922">
        <v>0</v>
      </c>
      <c r="AJ49" s="468"/>
      <c r="AK49" s="1844">
        <v>0</v>
      </c>
      <c r="AL49" s="468"/>
      <c r="AM49" s="1844">
        <v>0</v>
      </c>
      <c r="AN49" s="468"/>
      <c r="AO49" s="1844">
        <v>0</v>
      </c>
      <c r="AP49" s="468"/>
      <c r="AQ49" s="1844">
        <v>0</v>
      </c>
      <c r="AR49" s="468"/>
      <c r="AS49" s="1844">
        <v>0</v>
      </c>
      <c r="AT49" s="468"/>
      <c r="AU49" s="468">
        <v>0</v>
      </c>
      <c r="AV49" s="468"/>
      <c r="AW49" s="468">
        <f>+AU49</f>
        <v>0</v>
      </c>
      <c r="AX49" s="468"/>
      <c r="AY49" s="468">
        <f>+AW49</f>
        <v>0</v>
      </c>
      <c r="AZ49" s="468"/>
      <c r="BA49" s="468">
        <f>+AY49</f>
        <v>0</v>
      </c>
      <c r="BB49" s="468"/>
      <c r="BC49" s="468">
        <f>+BA49</f>
        <v>0</v>
      </c>
      <c r="BD49" s="468"/>
      <c r="BE49" s="468">
        <f>+BC49</f>
        <v>0</v>
      </c>
      <c r="BF49" s="468"/>
      <c r="BG49" s="468">
        <f>+BE49</f>
        <v>0</v>
      </c>
      <c r="BH49" s="468"/>
      <c r="BI49" s="468">
        <f>+BG49</f>
        <v>0</v>
      </c>
      <c r="BJ49" s="468"/>
      <c r="BK49" s="468">
        <f>+BI49</f>
        <v>0</v>
      </c>
      <c r="BL49" s="468"/>
      <c r="BM49" s="468">
        <f>+BK49</f>
        <v>0</v>
      </c>
      <c r="BN49" s="468"/>
      <c r="BO49" s="468">
        <f>+BM49</f>
        <v>0</v>
      </c>
      <c r="BP49" s="468"/>
      <c r="BQ49" s="468">
        <f>+BO49</f>
        <v>0</v>
      </c>
      <c r="BR49" s="468"/>
    </row>
    <row r="50" spans="1:70" ht="6" customHeight="1" collapsed="1">
      <c r="D50" s="468"/>
      <c r="E50" s="468"/>
      <c r="F50" s="468"/>
      <c r="G50" s="468"/>
      <c r="H50" s="468"/>
      <c r="I50" s="468"/>
      <c r="J50" s="468"/>
      <c r="K50" s="468"/>
      <c r="L50" s="468"/>
      <c r="M50" s="468"/>
      <c r="N50" s="468"/>
      <c r="O50" s="468"/>
      <c r="P50" s="468"/>
      <c r="Q50" s="468"/>
      <c r="R50" s="468"/>
      <c r="S50" s="468"/>
      <c r="T50" s="468"/>
      <c r="U50" s="1923"/>
      <c r="V50" s="468"/>
      <c r="W50" s="1923"/>
      <c r="X50" s="468"/>
      <c r="Y50" s="468"/>
      <c r="Z50" s="468"/>
      <c r="AA50" s="468"/>
      <c r="AB50" s="468"/>
      <c r="AC50" s="468"/>
      <c r="AD50" s="468"/>
      <c r="AE50" s="468"/>
      <c r="AF50" s="468"/>
      <c r="AG50" s="468"/>
      <c r="AH50" s="468"/>
      <c r="AI50" s="1923"/>
      <c r="AJ50" s="468"/>
      <c r="AK50" s="468"/>
      <c r="AL50" s="468"/>
      <c r="AM50" s="468"/>
      <c r="AN50" s="468"/>
      <c r="AO50" s="468"/>
      <c r="AP50" s="468"/>
      <c r="AQ50" s="468"/>
      <c r="AR50" s="468"/>
      <c r="AS50" s="468"/>
      <c r="AT50" s="468"/>
      <c r="AU50" s="468"/>
      <c r="AV50" s="468"/>
      <c r="AW50" s="468"/>
      <c r="AX50" s="468"/>
      <c r="AY50" s="468"/>
      <c r="AZ50" s="468"/>
      <c r="BA50" s="468"/>
      <c r="BB50" s="468"/>
      <c r="BC50" s="468"/>
      <c r="BD50" s="468"/>
      <c r="BE50" s="468"/>
      <c r="BF50" s="468"/>
      <c r="BG50" s="468"/>
      <c r="BH50" s="468"/>
      <c r="BI50" s="468"/>
      <c r="BJ50" s="468"/>
      <c r="BK50" s="468"/>
      <c r="BL50" s="468"/>
      <c r="BM50" s="468"/>
      <c r="BN50" s="468"/>
      <c r="BO50" s="468"/>
      <c r="BP50" s="468"/>
      <c r="BQ50" s="468"/>
      <c r="BR50" s="468"/>
    </row>
    <row r="51" spans="1:70">
      <c r="A51" s="1748" t="s">
        <v>613</v>
      </c>
      <c r="D51" s="468"/>
      <c r="E51" s="468"/>
      <c r="F51" s="468"/>
      <c r="G51" s="468"/>
      <c r="H51" s="468"/>
      <c r="I51" s="468"/>
      <c r="J51" s="468"/>
      <c r="K51" s="468"/>
      <c r="L51" s="468"/>
      <c r="M51" s="468"/>
      <c r="N51" s="468"/>
      <c r="O51" s="468"/>
      <c r="P51" s="468"/>
      <c r="Q51" s="468"/>
      <c r="R51" s="468"/>
      <c r="S51" s="468"/>
      <c r="T51" s="468"/>
      <c r="U51" s="1923"/>
      <c r="V51" s="468"/>
      <c r="W51" s="1923"/>
      <c r="X51" s="468"/>
      <c r="Y51" s="468"/>
      <c r="Z51" s="468"/>
      <c r="AA51" s="468"/>
      <c r="AB51" s="468"/>
      <c r="AC51" s="468"/>
      <c r="AD51" s="468"/>
      <c r="AE51" s="468"/>
      <c r="AF51" s="468"/>
      <c r="AG51" s="468"/>
      <c r="AH51" s="468"/>
      <c r="AI51" s="1923"/>
      <c r="AJ51" s="468"/>
      <c r="AK51" s="468"/>
      <c r="AL51" s="468"/>
      <c r="AM51" s="468"/>
      <c r="AN51" s="468"/>
      <c r="AO51" s="468"/>
      <c r="AP51" s="468"/>
      <c r="AQ51" s="468"/>
      <c r="AR51" s="468"/>
      <c r="AS51" s="468"/>
      <c r="AT51" s="468"/>
      <c r="AU51" s="468"/>
      <c r="AV51" s="468"/>
      <c r="AW51" s="468"/>
      <c r="AX51" s="468"/>
      <c r="AY51" s="468"/>
      <c r="AZ51" s="468"/>
      <c r="BA51" s="468"/>
      <c r="BB51" s="468"/>
      <c r="BC51" s="468"/>
      <c r="BD51" s="468"/>
      <c r="BE51" s="468"/>
      <c r="BF51" s="468"/>
      <c r="BG51" s="468"/>
      <c r="BH51" s="468"/>
      <c r="BI51" s="468"/>
      <c r="BJ51" s="468"/>
      <c r="BK51" s="468"/>
      <c r="BL51" s="468"/>
      <c r="BM51" s="468"/>
      <c r="BN51" s="468"/>
      <c r="BO51" s="468"/>
      <c r="BP51" s="468"/>
      <c r="BQ51" s="468"/>
      <c r="BR51" s="468"/>
    </row>
    <row r="52" spans="1:70">
      <c r="B52" s="23" t="s">
        <v>614</v>
      </c>
      <c r="D52" s="468"/>
      <c r="E52" s="1938">
        <v>189.727</v>
      </c>
      <c r="F52" s="470"/>
      <c r="G52" s="1938">
        <v>189.727</v>
      </c>
      <c r="H52" s="470"/>
      <c r="I52" s="1938">
        <v>189.727</v>
      </c>
      <c r="J52" s="470"/>
      <c r="K52" s="1938">
        <v>189.727</v>
      </c>
      <c r="L52" s="470"/>
      <c r="M52" s="1938">
        <v>189.727</v>
      </c>
      <c r="N52" s="470"/>
      <c r="O52" s="1938">
        <v>180.352</v>
      </c>
      <c r="P52" s="470"/>
      <c r="Q52" s="1938">
        <v>180.352</v>
      </c>
      <c r="R52" s="470"/>
      <c r="S52" s="1938">
        <v>180.352</v>
      </c>
      <c r="T52" s="1938"/>
      <c r="U52" s="1927">
        <v>180.352</v>
      </c>
      <c r="V52" s="1938"/>
      <c r="W52" s="1942">
        <v>189.727</v>
      </c>
      <c r="X52" s="1421"/>
      <c r="Y52" s="1943">
        <v>216.096</v>
      </c>
      <c r="Z52" s="1421"/>
      <c r="AA52" s="1943">
        <v>216</v>
      </c>
      <c r="AB52" s="1421"/>
      <c r="AC52" s="1943">
        <v>261</v>
      </c>
      <c r="AD52" s="1421"/>
      <c r="AE52" s="1942">
        <v>262</v>
      </c>
      <c r="AF52" s="1944"/>
      <c r="AG52" s="1942">
        <f>262+0.369</f>
        <v>262.36900000000003</v>
      </c>
      <c r="AH52" s="1944"/>
      <c r="AI52" s="1942">
        <v>262</v>
      </c>
      <c r="AJ52" s="1944"/>
      <c r="AK52" s="1942">
        <v>262</v>
      </c>
      <c r="AL52" s="1939"/>
      <c r="AM52" s="1927">
        <v>262</v>
      </c>
      <c r="AN52" s="1939"/>
      <c r="AO52" s="1927">
        <v>262</v>
      </c>
      <c r="AP52" s="1939"/>
      <c r="AQ52" s="1927">
        <v>161</v>
      </c>
      <c r="AR52" s="1939"/>
      <c r="AS52" s="1927">
        <v>164</v>
      </c>
      <c r="AT52" s="1939"/>
      <c r="AU52" s="1927">
        <v>148</v>
      </c>
      <c r="AV52" s="1939"/>
      <c r="AW52" s="1927">
        <v>152</v>
      </c>
      <c r="AX52" s="1939"/>
      <c r="AY52" s="1927">
        <v>154</v>
      </c>
      <c r="AZ52" s="1939"/>
      <c r="BA52" s="1927">
        <v>155</v>
      </c>
      <c r="BB52" s="1939"/>
      <c r="BC52" s="1927">
        <v>156</v>
      </c>
      <c r="BD52" s="1939"/>
      <c r="BE52" s="2587">
        <v>157</v>
      </c>
      <c r="BF52" s="1939"/>
      <c r="BG52" s="2587">
        <v>141</v>
      </c>
      <c r="BH52" s="1939"/>
      <c r="BI52" s="1939">
        <f>+BG52</f>
        <v>141</v>
      </c>
      <c r="BJ52" s="1939"/>
      <c r="BK52" s="1939">
        <f>+BI52</f>
        <v>141</v>
      </c>
      <c r="BL52" s="1939"/>
      <c r="BM52" s="1939">
        <f>+BK52</f>
        <v>141</v>
      </c>
      <c r="BN52" s="1939"/>
      <c r="BO52" s="1939">
        <f>+BM52</f>
        <v>141</v>
      </c>
      <c r="BP52" s="1939"/>
      <c r="BQ52" s="1939">
        <f>+BO52</f>
        <v>141</v>
      </c>
      <c r="BR52" s="1939"/>
    </row>
    <row r="53" spans="1:70">
      <c r="B53" s="23" t="s">
        <v>615</v>
      </c>
      <c r="D53" s="468"/>
      <c r="E53" s="1938">
        <v>99.236999999999995</v>
      </c>
      <c r="F53" s="470"/>
      <c r="G53" s="1938">
        <v>100.929</v>
      </c>
      <c r="H53" s="470"/>
      <c r="I53" s="1938">
        <v>127.776</v>
      </c>
      <c r="J53" s="470"/>
      <c r="K53" s="1938">
        <v>128.90600000000001</v>
      </c>
      <c r="L53" s="470"/>
      <c r="M53" s="1938">
        <v>132.93799999999999</v>
      </c>
      <c r="N53" s="470"/>
      <c r="O53" s="1938">
        <v>137.13399999999999</v>
      </c>
      <c r="P53" s="470"/>
      <c r="Q53" s="1938">
        <v>142.86000000000001</v>
      </c>
      <c r="R53" s="470"/>
      <c r="S53" s="1938">
        <v>148.018</v>
      </c>
      <c r="T53" s="1938"/>
      <c r="U53" s="1927">
        <v>157.214</v>
      </c>
      <c r="V53" s="1938"/>
      <c r="W53" s="1942">
        <v>178.374</v>
      </c>
      <c r="X53" s="1421"/>
      <c r="Y53" s="1943">
        <v>83.503</v>
      </c>
      <c r="Z53" s="1421"/>
      <c r="AA53" s="1943">
        <v>46</v>
      </c>
      <c r="AB53" s="1421"/>
      <c r="AC53" s="1943">
        <v>1693</v>
      </c>
      <c r="AD53" s="1421"/>
      <c r="AE53" s="1942">
        <v>1674</v>
      </c>
      <c r="AF53" s="1944"/>
      <c r="AG53" s="1942">
        <v>1649</v>
      </c>
      <c r="AH53" s="1944"/>
      <c r="AI53" s="1942">
        <v>1597</v>
      </c>
      <c r="AJ53" s="1944"/>
      <c r="AK53" s="1942">
        <v>1565</v>
      </c>
      <c r="AL53" s="1939"/>
      <c r="AM53" s="1927">
        <v>1550</v>
      </c>
      <c r="AN53" s="1939"/>
      <c r="AO53" s="1927">
        <v>1544</v>
      </c>
      <c r="AP53" s="1939"/>
      <c r="AQ53" s="1927">
        <v>0</v>
      </c>
      <c r="AR53" s="1939"/>
      <c r="AS53" s="1927">
        <v>164</v>
      </c>
      <c r="AT53" s="1939"/>
      <c r="AU53" s="1927">
        <v>25</v>
      </c>
      <c r="AV53" s="1939"/>
      <c r="AW53" s="1927">
        <v>186</v>
      </c>
      <c r="AX53" s="1939"/>
      <c r="AY53" s="1927">
        <v>302.012</v>
      </c>
      <c r="AZ53" s="1939"/>
      <c r="BA53" s="1927">
        <v>427</v>
      </c>
      <c r="BB53" s="1939"/>
      <c r="BC53" s="1927">
        <v>545</v>
      </c>
      <c r="BD53" s="1939"/>
      <c r="BE53" s="2587">
        <v>650</v>
      </c>
      <c r="BF53" s="1939"/>
      <c r="BG53" s="2587">
        <v>678</v>
      </c>
      <c r="BH53" s="1939"/>
      <c r="BI53" s="1939">
        <f>+BG53+flow!BH50</f>
        <v>748</v>
      </c>
      <c r="BJ53" s="1939"/>
      <c r="BK53" s="1939">
        <f>+BI53+flow!BJ50</f>
        <v>818</v>
      </c>
      <c r="BL53" s="1939"/>
      <c r="BM53" s="1939">
        <f>+BK53+flow!BL50</f>
        <v>888</v>
      </c>
      <c r="BN53" s="1939"/>
      <c r="BO53" s="1939">
        <f>+BM53+flow!BN50</f>
        <v>958</v>
      </c>
      <c r="BP53" s="1939"/>
      <c r="BQ53" s="1939">
        <f>+BO53+flow!BP50</f>
        <v>1028</v>
      </c>
      <c r="BR53" s="1939"/>
    </row>
    <row r="54" spans="1:70">
      <c r="B54" s="23" t="s">
        <v>1122</v>
      </c>
      <c r="D54" s="468"/>
      <c r="E54" s="1938"/>
      <c r="F54" s="470"/>
      <c r="G54" s="1938"/>
      <c r="H54" s="470"/>
      <c r="I54" s="1938"/>
      <c r="J54" s="470"/>
      <c r="K54" s="1938"/>
      <c r="L54" s="470"/>
      <c r="M54" s="1938"/>
      <c r="N54" s="470"/>
      <c r="O54" s="1938"/>
      <c r="P54" s="470"/>
      <c r="Q54" s="1938"/>
      <c r="R54" s="470"/>
      <c r="S54" s="1938"/>
      <c r="T54" s="1938"/>
      <c r="U54" s="1927"/>
      <c r="V54" s="1938"/>
      <c r="W54" s="1942"/>
      <c r="X54" s="1421"/>
      <c r="Y54" s="1943"/>
      <c r="Z54" s="1421"/>
      <c r="AA54" s="1943"/>
      <c r="AB54" s="1421"/>
      <c r="AC54" s="1943"/>
      <c r="AD54" s="1421"/>
      <c r="AE54" s="1942"/>
      <c r="AF54" s="1944"/>
      <c r="AG54" s="1942"/>
      <c r="AH54" s="1944"/>
      <c r="AI54" s="1942">
        <v>-6.7009999999999996</v>
      </c>
      <c r="AJ54" s="1944"/>
      <c r="AK54" s="1942">
        <v>-17.143000000000001</v>
      </c>
      <c r="AL54" s="1939"/>
      <c r="AM54" s="1927">
        <v>31</v>
      </c>
      <c r="AN54" s="1939"/>
      <c r="AO54" s="1927">
        <v>-28</v>
      </c>
      <c r="AP54" s="1939"/>
      <c r="AQ54" s="1927">
        <v>-15</v>
      </c>
      <c r="AR54" s="1939"/>
      <c r="AS54" s="1927">
        <v>1</v>
      </c>
      <c r="AT54" s="1939"/>
      <c r="AU54" s="1927">
        <v>0</v>
      </c>
      <c r="AV54" s="1939"/>
      <c r="AW54" s="1927">
        <f>4+0.4816</f>
        <v>4.4816000000000003</v>
      </c>
      <c r="AX54" s="1939"/>
      <c r="AY54" s="1927">
        <v>40</v>
      </c>
      <c r="AZ54" s="1939"/>
      <c r="BA54" s="1927">
        <v>35</v>
      </c>
      <c r="BB54" s="1939"/>
      <c r="BC54" s="1927">
        <v>40</v>
      </c>
      <c r="BD54" s="1939"/>
      <c r="BE54" s="2587">
        <v>12</v>
      </c>
      <c r="BF54" s="1939"/>
      <c r="BG54" s="2587">
        <v>24</v>
      </c>
      <c r="BH54" s="1939"/>
      <c r="BI54" s="1939">
        <f>+BG54</f>
        <v>24</v>
      </c>
      <c r="BJ54" s="1939"/>
      <c r="BK54" s="1939">
        <f>+BI54</f>
        <v>24</v>
      </c>
      <c r="BL54" s="1939"/>
      <c r="BM54" s="1939">
        <f>+BK54</f>
        <v>24</v>
      </c>
      <c r="BN54" s="1939"/>
      <c r="BO54" s="1939">
        <f>+BM54</f>
        <v>24</v>
      </c>
      <c r="BP54" s="1939"/>
      <c r="BQ54" s="1939">
        <f>+BO54</f>
        <v>24</v>
      </c>
      <c r="BR54" s="1939"/>
    </row>
    <row r="55" spans="1:70">
      <c r="B55" s="23" t="s">
        <v>616</v>
      </c>
      <c r="D55" s="468"/>
      <c r="E55" s="1938">
        <v>1480.866</v>
      </c>
      <c r="F55" s="470"/>
      <c r="G55" s="1938">
        <v>1783.027</v>
      </c>
      <c r="H55" s="470"/>
      <c r="I55" s="1938">
        <v>2136.7939999999999</v>
      </c>
      <c r="J55" s="470"/>
      <c r="K55" s="1938">
        <v>2397.1120000000001</v>
      </c>
      <c r="L55" s="470"/>
      <c r="M55" s="1938">
        <v>2716.5160000000001</v>
      </c>
      <c r="N55" s="470"/>
      <c r="O55" s="1938">
        <v>3200.35</v>
      </c>
      <c r="P55" s="470"/>
      <c r="Q55" s="1938">
        <v>3526.2559999999999</v>
      </c>
      <c r="R55" s="470"/>
      <c r="S55" s="1938">
        <v>3613.174</v>
      </c>
      <c r="T55" s="1938"/>
      <c r="U55" s="1927">
        <v>5470.6890000000003</v>
      </c>
      <c r="V55" s="1938"/>
      <c r="W55" s="1942">
        <v>6109.3710000000001</v>
      </c>
      <c r="X55" s="1421"/>
      <c r="Y55" s="1943">
        <v>2167.8690000000001</v>
      </c>
      <c r="Z55" s="1421"/>
      <c r="AA55" s="1943">
        <v>2552</v>
      </c>
      <c r="AB55" s="1421"/>
      <c r="AC55" s="1943">
        <v>2906</v>
      </c>
      <c r="AD55" s="1421"/>
      <c r="AE55" s="1942">
        <v>3417</v>
      </c>
      <c r="AF55" s="1944"/>
      <c r="AG55" s="1942">
        <v>3392</v>
      </c>
      <c r="AH55" s="1944"/>
      <c r="AI55" s="1942">
        <v>3839</v>
      </c>
      <c r="AJ55" s="1944"/>
      <c r="AK55" s="1942">
        <v>4277</v>
      </c>
      <c r="AL55" s="1939"/>
      <c r="AM55" s="1927">
        <v>4758</v>
      </c>
      <c r="AN55" s="1939"/>
      <c r="AO55" s="1927">
        <v>4777</v>
      </c>
      <c r="AP55" s="1939"/>
      <c r="AQ55" s="1927">
        <v>2037</v>
      </c>
      <c r="AR55" s="1939"/>
      <c r="AS55" s="1927">
        <v>1354</v>
      </c>
      <c r="AT55" s="1939"/>
      <c r="AU55" s="1927">
        <v>24</v>
      </c>
      <c r="AV55" s="1939"/>
      <c r="AW55" s="1927">
        <v>-672</v>
      </c>
      <c r="AX55" s="1939"/>
      <c r="AY55" s="1927">
        <v>-118</v>
      </c>
      <c r="AZ55" s="1939"/>
      <c r="BA55" s="1927">
        <v>233</v>
      </c>
      <c r="BB55" s="1939"/>
      <c r="BC55" s="1927">
        <v>315</v>
      </c>
      <c r="BD55" s="1939"/>
      <c r="BE55" s="2587">
        <v>205</v>
      </c>
      <c r="BF55" s="1939"/>
      <c r="BG55" s="2587">
        <v>-1434</v>
      </c>
      <c r="BH55" s="1939"/>
      <c r="BI55" s="1939">
        <f>+BG55+flow!BH8+flow!BH49+flow!BH10</f>
        <v>-1096.9003102500574</v>
      </c>
      <c r="BJ55" s="1939"/>
      <c r="BK55" s="1939">
        <f>+BI55+flow!BJ8+flow!BJ49+flow!BJ10</f>
        <v>-686.19781636850087</v>
      </c>
      <c r="BL55" s="1939"/>
      <c r="BM55" s="1939">
        <f>+BK55+flow!BL8+flow!BL49+flow!BL10</f>
        <v>-191.91044242568751</v>
      </c>
      <c r="BN55" s="1939"/>
      <c r="BO55" s="1939">
        <f>+BM55+flow!BN8+flow!BN49+flow!BN10</f>
        <v>399.97269060261158</v>
      </c>
      <c r="BP55" s="1939"/>
      <c r="BQ55" s="1939">
        <f>+BO55+flow!BP8+flow!BP49+flow!BP10</f>
        <v>1089.9772427504538</v>
      </c>
      <c r="BR55" s="1939"/>
    </row>
    <row r="56" spans="1:70">
      <c r="B56" s="23" t="s">
        <v>849</v>
      </c>
      <c r="C56" s="139"/>
      <c r="D56" s="468"/>
      <c r="E56" s="1846">
        <v>-209.77799999999999</v>
      </c>
      <c r="F56" s="470"/>
      <c r="G56" s="1846">
        <v>-196.89099999999999</v>
      </c>
      <c r="H56" s="470"/>
      <c r="I56" s="1846">
        <v>-186.68</v>
      </c>
      <c r="J56" s="470"/>
      <c r="K56" s="1846">
        <v>-274.452</v>
      </c>
      <c r="L56" s="470"/>
      <c r="M56" s="1846">
        <v>-278.22500000000002</v>
      </c>
      <c r="N56" s="470"/>
      <c r="O56" s="1846">
        <v>-316.79500000000002</v>
      </c>
      <c r="P56" s="470"/>
      <c r="Q56" s="1846">
        <v>-1926.886</v>
      </c>
      <c r="R56" s="470"/>
      <c r="S56" s="1846">
        <v>-1896.587</v>
      </c>
      <c r="T56" s="1938"/>
      <c r="U56" s="1924">
        <v>-3641.2959999999998</v>
      </c>
      <c r="V56" s="1938"/>
      <c r="W56" s="1945">
        <v>-4330.3950000000004</v>
      </c>
      <c r="X56" s="1845"/>
      <c r="Y56" s="1845">
        <v>-151.01300000000001</v>
      </c>
      <c r="Z56" s="1421"/>
      <c r="AA56" s="1845">
        <v>-70</v>
      </c>
      <c r="AB56" s="1421"/>
      <c r="AC56" s="1845">
        <v>0</v>
      </c>
      <c r="AD56" s="1421"/>
      <c r="AE56" s="1945">
        <v>-87</v>
      </c>
      <c r="AF56" s="1944"/>
      <c r="AG56" s="1945">
        <v>-2968</v>
      </c>
      <c r="AH56" s="1944"/>
      <c r="AI56" s="1945">
        <v>-3221</v>
      </c>
      <c r="AJ56" s="1944"/>
      <c r="AK56" s="1945">
        <v>-3132</v>
      </c>
      <c r="AL56" s="1939"/>
      <c r="AM56" s="1945">
        <v>-4382</v>
      </c>
      <c r="AN56" s="1939"/>
      <c r="AO56" s="1924">
        <v>-4681</v>
      </c>
      <c r="AP56" s="1939"/>
      <c r="AQ56" s="1924">
        <v>0</v>
      </c>
      <c r="AR56" s="1939"/>
      <c r="AS56" s="1924">
        <v>-207</v>
      </c>
      <c r="AT56" s="1939"/>
      <c r="AU56" s="1924">
        <v>-60</v>
      </c>
      <c r="AV56" s="1939"/>
      <c r="AW56" s="1924">
        <v>-685</v>
      </c>
      <c r="AX56" s="1939"/>
      <c r="AY56" s="1924">
        <v>-748</v>
      </c>
      <c r="AZ56" s="1939"/>
      <c r="BA56" s="1924">
        <f>-832+0.5547</f>
        <v>-831.44529999999997</v>
      </c>
      <c r="BB56" s="1939"/>
      <c r="BC56" s="1924">
        <v>-1315</v>
      </c>
      <c r="BD56" s="1939"/>
      <c r="BE56" s="2588">
        <f>-1753+1.9</f>
        <v>-1751.1</v>
      </c>
      <c r="BF56" s="1939"/>
      <c r="BG56" s="2588">
        <f>-162+2.1977</f>
        <v>-159.8023</v>
      </c>
      <c r="BH56" s="1939"/>
      <c r="BI56" s="1940">
        <f>+BG56+flow!BH47</f>
        <v>-259.8023</v>
      </c>
      <c r="BJ56" s="1939"/>
      <c r="BK56" s="1940">
        <f>+BI56+flow!BJ47</f>
        <v>-359.8023</v>
      </c>
      <c r="BL56" s="1939"/>
      <c r="BM56" s="1940">
        <f>+BK56+flow!BL47</f>
        <v>-459.8023</v>
      </c>
      <c r="BN56" s="1939"/>
      <c r="BO56" s="1940">
        <f>+BM56+flow!BN47</f>
        <v>-559.80230000000006</v>
      </c>
      <c r="BP56" s="1939"/>
      <c r="BQ56" s="1940">
        <f>+BO56+flow!BP47</f>
        <v>-659.80230000000006</v>
      </c>
      <c r="BR56" s="1939"/>
    </row>
    <row r="57" spans="1:70">
      <c r="C57" s="23" t="s">
        <v>617</v>
      </c>
      <c r="D57" s="1834"/>
      <c r="E57" s="1834">
        <f>SUM(E52:E56)</f>
        <v>1560.0519999999999</v>
      </c>
      <c r="F57" s="1834"/>
      <c r="G57" s="1834">
        <f>SUM(G52:G56)</f>
        <v>1876.7919999999999</v>
      </c>
      <c r="H57" s="1834"/>
      <c r="I57" s="1834">
        <f>SUM(I52:I56)</f>
        <v>2267.6170000000002</v>
      </c>
      <c r="J57" s="1834"/>
      <c r="K57" s="1834">
        <f>SUM(K52:K56)</f>
        <v>2441.2929999999997</v>
      </c>
      <c r="L57" s="1834"/>
      <c r="M57" s="1834">
        <f>SUM(M52:M56)</f>
        <v>2760.9560000000001</v>
      </c>
      <c r="N57" s="1834"/>
      <c r="O57" s="1834">
        <f>SUM(O52:O56)</f>
        <v>3201.0409999999997</v>
      </c>
      <c r="P57" s="1834"/>
      <c r="Q57" s="1834">
        <f>SUM(Q52:Q56)</f>
        <v>1922.5819999999999</v>
      </c>
      <c r="R57" s="1834"/>
      <c r="S57" s="1834">
        <f>SUM(S52:S56)</f>
        <v>2044.9569999999999</v>
      </c>
      <c r="T57" s="1834"/>
      <c r="U57" s="1838">
        <f>SUM(U52:U56)</f>
        <v>2166.9590000000003</v>
      </c>
      <c r="V57" s="1834"/>
      <c r="W57" s="1838">
        <f>SUM(W52:W56)</f>
        <v>2147.0769999999993</v>
      </c>
      <c r="X57" s="1834"/>
      <c r="Y57" s="1834">
        <f>SUM(Y52:Y56)</f>
        <v>2316.4550000000004</v>
      </c>
      <c r="Z57" s="1834"/>
      <c r="AA57" s="1834">
        <f>SUM(AA52:AA56)</f>
        <v>2744</v>
      </c>
      <c r="AB57" s="1834"/>
      <c r="AC57" s="1834">
        <f>SUM(AC52:AC56)</f>
        <v>4860</v>
      </c>
      <c r="AD57" s="1834"/>
      <c r="AE57" s="1834">
        <f>SUM(AE52:AE56)</f>
        <v>5266</v>
      </c>
      <c r="AF57" s="1834"/>
      <c r="AG57" s="1834">
        <f>SUM(AG52:AG56)</f>
        <v>2335.3690000000006</v>
      </c>
      <c r="AH57" s="1834"/>
      <c r="AI57" s="1834">
        <f>SUM(AI52:AI56)</f>
        <v>2470.299</v>
      </c>
      <c r="AJ57" s="1834"/>
      <c r="AK57" s="1834">
        <f>SUM(AK52:AK56)</f>
        <v>2954.857</v>
      </c>
      <c r="AL57" s="1834"/>
      <c r="AM57" s="1834">
        <f>SUM(AM52:AM56)</f>
        <v>2219</v>
      </c>
      <c r="AN57" s="1834"/>
      <c r="AO57" s="1834">
        <f>SUM(AO52:AO56)</f>
        <v>1874</v>
      </c>
      <c r="AP57" s="1834"/>
      <c r="AQ57" s="1834">
        <f>SUM(AQ52:AQ56)</f>
        <v>2183</v>
      </c>
      <c r="AR57" s="1834"/>
      <c r="AS57" s="1834">
        <f>SUM(AS52:AS56)</f>
        <v>1476</v>
      </c>
      <c r="AT57" s="1834"/>
      <c r="AU57" s="1834">
        <f>SUM(AU52:AU56)</f>
        <v>137</v>
      </c>
      <c r="AV57" s="1834"/>
      <c r="AW57" s="1834">
        <f>SUM(AW52:AW56)</f>
        <v>-1014.5183999999999</v>
      </c>
      <c r="AX57" s="1834"/>
      <c r="AY57" s="1834">
        <f>SUM(AY52:AY56)</f>
        <v>-369.988</v>
      </c>
      <c r="AZ57" s="1834"/>
      <c r="BA57" s="1834">
        <f>SUM(BA52:BA56)</f>
        <v>18.554700000000025</v>
      </c>
      <c r="BB57" s="1834"/>
      <c r="BC57" s="1834">
        <f>SUM(BC52:BC56)</f>
        <v>-259</v>
      </c>
      <c r="BD57" s="1834"/>
      <c r="BE57" s="1834">
        <f>SUM(BE52:BE56)</f>
        <v>-727.09999999999991</v>
      </c>
      <c r="BF57" s="1834"/>
      <c r="BG57" s="1834">
        <f>SUM(BG52:BG56)</f>
        <v>-750.80230000000006</v>
      </c>
      <c r="BH57" s="1834"/>
      <c r="BI57" s="1834">
        <f>SUM(BI52:BI56)</f>
        <v>-443.70261025005738</v>
      </c>
      <c r="BJ57" s="1834"/>
      <c r="BK57" s="1834">
        <f>SUM(BK52:BK56)</f>
        <v>-63.000116368500869</v>
      </c>
      <c r="BL57" s="1834"/>
      <c r="BM57" s="1834">
        <f>SUM(BM52:BM56)</f>
        <v>401.28725757431249</v>
      </c>
      <c r="BN57" s="1834"/>
      <c r="BO57" s="1834">
        <f>SUM(BO52:BO56)</f>
        <v>963.17039060261163</v>
      </c>
      <c r="BP57" s="1834"/>
      <c r="BQ57" s="1834">
        <f>SUM(BQ52:BQ56)</f>
        <v>1623.174942750454</v>
      </c>
      <c r="BR57" s="1834"/>
    </row>
    <row r="58" spans="1:70" ht="6" customHeight="1">
      <c r="D58" s="1834"/>
      <c r="E58" s="1834"/>
      <c r="F58" s="1834"/>
      <c r="G58" s="1834"/>
      <c r="H58" s="1834"/>
      <c r="I58" s="1834"/>
      <c r="J58" s="1834"/>
      <c r="K58" s="1834"/>
      <c r="L58" s="1834"/>
      <c r="M58" s="1834"/>
      <c r="N58" s="1834"/>
      <c r="O58" s="1834"/>
      <c r="P58" s="1834"/>
      <c r="Q58" s="1834"/>
      <c r="R58" s="1834"/>
      <c r="S58" s="1834"/>
      <c r="T58" s="1834"/>
      <c r="U58" s="1838"/>
      <c r="V58" s="1834"/>
      <c r="W58" s="1838"/>
      <c r="X58" s="1834"/>
      <c r="Y58" s="1834"/>
      <c r="Z58" s="1834"/>
      <c r="AA58" s="1834"/>
      <c r="AB58" s="1834"/>
      <c r="AC58" s="1834"/>
      <c r="AD58" s="1834"/>
      <c r="AE58" s="1834"/>
      <c r="AF58" s="1834"/>
      <c r="AG58" s="1834"/>
      <c r="AH58" s="1834"/>
      <c r="AI58" s="1838"/>
      <c r="AJ58" s="1834"/>
      <c r="AK58" s="1834"/>
      <c r="AL58" s="1834"/>
      <c r="AM58" s="1834"/>
      <c r="AN58" s="1834"/>
      <c r="AO58" s="1834"/>
      <c r="AP58" s="1834"/>
      <c r="AQ58" s="1834"/>
      <c r="AR58" s="1834"/>
      <c r="AS58" s="1834"/>
      <c r="AT58" s="1834"/>
      <c r="AU58" s="1834"/>
      <c r="AV58" s="1834"/>
      <c r="AW58" s="1834"/>
      <c r="AX58" s="1834"/>
      <c r="AY58" s="1834"/>
      <c r="AZ58" s="1834"/>
      <c r="BA58" s="1834"/>
      <c r="BB58" s="1834"/>
      <c r="BC58" s="1834"/>
      <c r="BD58" s="1834"/>
      <c r="BE58" s="1834"/>
      <c r="BF58" s="1834"/>
      <c r="BG58" s="1834"/>
      <c r="BH58" s="1834"/>
      <c r="BI58" s="1834"/>
      <c r="BJ58" s="1834"/>
      <c r="BK58" s="1834"/>
      <c r="BL58" s="1834"/>
      <c r="BM58" s="1834"/>
      <c r="BN58" s="1834"/>
      <c r="BO58" s="1834"/>
      <c r="BP58" s="1834"/>
      <c r="BQ58" s="1834"/>
      <c r="BR58" s="1834"/>
    </row>
    <row r="59" spans="1:70">
      <c r="A59" s="23" t="s">
        <v>1172</v>
      </c>
      <c r="D59" s="1834"/>
      <c r="E59" s="1934">
        <f>E57+E46+E48+E49</f>
        <v>2871.8779999999997</v>
      </c>
      <c r="F59" s="1834"/>
      <c r="G59" s="1934">
        <f>G57+G46+G48+G49</f>
        <v>3418.8559999999998</v>
      </c>
      <c r="H59" s="1834"/>
      <c r="I59" s="1934">
        <f>I57+I46+I48+I49</f>
        <v>3846.4500000000003</v>
      </c>
      <c r="J59" s="1834"/>
      <c r="K59" s="1934">
        <f>K57+K46+K48+K49</f>
        <v>4135.1049999999996</v>
      </c>
      <c r="L59" s="1834"/>
      <c r="M59" s="1934">
        <f>M57+M46+M48+M49</f>
        <v>4570.0770000000002</v>
      </c>
      <c r="N59" s="1834"/>
      <c r="O59" s="1934">
        <f>O57+O46+O48+O49</f>
        <v>5266.5629999999992</v>
      </c>
      <c r="P59" s="1834"/>
      <c r="Q59" s="1934">
        <f>Q57+Q46+Q48+Q49</f>
        <v>4120.0019999999995</v>
      </c>
      <c r="R59" s="1834"/>
      <c r="S59" s="1934">
        <f>S57+S46+S48+S49</f>
        <v>4300.7610000000004</v>
      </c>
      <c r="T59" s="1834"/>
      <c r="U59" s="1935">
        <f>U57+U46+U48+U49</f>
        <v>4549.7080000000005</v>
      </c>
      <c r="V59" s="1834"/>
      <c r="W59" s="1935">
        <f>W57+W46+W48+W49</f>
        <v>4126.1669999999995</v>
      </c>
      <c r="X59" s="1834"/>
      <c r="Y59" s="1934">
        <f>Y57+Y46+Y48+Y49</f>
        <v>4088.1220000000003</v>
      </c>
      <c r="Z59" s="1834"/>
      <c r="AA59" s="1934">
        <f>AA57+AA46+AA48+AA49</f>
        <v>5094</v>
      </c>
      <c r="AB59" s="1834"/>
      <c r="AC59" s="1934">
        <f>AC57+AC46+AC48+AC49</f>
        <v>7246</v>
      </c>
      <c r="AD59" s="1834"/>
      <c r="AE59" s="1934">
        <f>AE57+AE46+AE48+AE49</f>
        <v>7880</v>
      </c>
      <c r="AF59" s="1834"/>
      <c r="AG59" s="1934">
        <f>AG57+AG46+AG48+AG49</f>
        <v>6088.6960000000008</v>
      </c>
      <c r="AH59" s="1834"/>
      <c r="AI59" s="1935">
        <f>AI57+AI46+AI48+AI49</f>
        <v>6345.848</v>
      </c>
      <c r="AJ59" s="1834"/>
      <c r="AK59" s="1934">
        <f>AK57+AK46+AK48+AK49</f>
        <v>7092.8919999999989</v>
      </c>
      <c r="AL59" s="1834"/>
      <c r="AM59" s="1934">
        <f>AM57+AM46+AM48+AM49</f>
        <v>7437</v>
      </c>
      <c r="AN59" s="1834"/>
      <c r="AO59" s="1934">
        <f>AO57+AO46+AO48+AO49</f>
        <v>6972</v>
      </c>
      <c r="AP59" s="1834"/>
      <c r="AQ59" s="1934">
        <f>AQ57+AQ46+AQ48+AQ49</f>
        <v>7173</v>
      </c>
      <c r="AR59" s="1834"/>
      <c r="AS59" s="1934">
        <f>AS57+AS46+AS48+AS49</f>
        <v>6451</v>
      </c>
      <c r="AT59" s="1834"/>
      <c r="AU59" s="1934">
        <f>AU57+AU46+AU48+AU49</f>
        <v>6108</v>
      </c>
      <c r="AV59" s="1834"/>
      <c r="AW59" s="1934">
        <f>AW57+AW46+AW48+AW49</f>
        <v>6019.3245999999999</v>
      </c>
      <c r="AX59" s="1834"/>
      <c r="AY59" s="1934">
        <f>AY57+AY46+AY48+AY49</f>
        <v>7198.0469999999996</v>
      </c>
      <c r="AZ59" s="1834"/>
      <c r="BA59" s="1934">
        <f>BA57+BA46+BA48+BA49</f>
        <v>7543.4706999999989</v>
      </c>
      <c r="BB59" s="1882"/>
      <c r="BC59" s="1934">
        <f>BC57+BC46+BC48+BC49</f>
        <v>8493.6546999999991</v>
      </c>
      <c r="BD59" s="1882"/>
      <c r="BE59" s="1934">
        <f>BE57+BE46+BE48+BE49</f>
        <v>8169.9</v>
      </c>
      <c r="BF59" s="1882"/>
      <c r="BG59" s="1934">
        <f>BG57+BG46+BG48+BG49</f>
        <v>8148.7536999999984</v>
      </c>
      <c r="BH59" s="1882"/>
      <c r="BI59" s="1934">
        <f>BI57+BI46+BI48+BI49</f>
        <v>8613.1330945939553</v>
      </c>
      <c r="BJ59" s="1882"/>
      <c r="BK59" s="1934">
        <f>BK57+BK46+BK48+BK49</f>
        <v>10598.471560035867</v>
      </c>
      <c r="BL59" s="1882"/>
      <c r="BM59" s="1934">
        <f>BM57+BM46+BM48+BM49</f>
        <v>11166.819538348969</v>
      </c>
      <c r="BN59" s="1882"/>
      <c r="BO59" s="1934">
        <f>BO57+BO46+BO48+BO49</f>
        <v>11839.402449228079</v>
      </c>
      <c r="BP59" s="1882"/>
      <c r="BQ59" s="1934">
        <f>BQ57+BQ46+BQ48+BQ49</f>
        <v>12611.144349797734</v>
      </c>
      <c r="BR59" s="1882"/>
    </row>
    <row r="60" spans="1:70">
      <c r="U60" s="161"/>
      <c r="W60" s="161"/>
      <c r="AI60" s="161"/>
    </row>
    <row r="61" spans="1:70">
      <c r="U61" s="161"/>
      <c r="W61" s="161"/>
      <c r="AI61" s="1946"/>
      <c r="AU61" s="1947"/>
    </row>
    <row r="62" spans="1:70">
      <c r="A62" s="23" t="s">
        <v>549</v>
      </c>
      <c r="U62" s="161"/>
      <c r="W62" s="161"/>
      <c r="AI62" s="161"/>
    </row>
    <row r="63" spans="1:70">
      <c r="U63" s="161"/>
      <c r="W63" s="161"/>
      <c r="AI63" s="161"/>
    </row>
    <row r="64" spans="1:70" hidden="1" outlineLevel="1">
      <c r="A64" s="25" t="s">
        <v>575</v>
      </c>
      <c r="U64" s="161"/>
      <c r="W64" s="161"/>
      <c r="AI64" s="161"/>
    </row>
    <row r="65" spans="1:70" hidden="1" outlineLevel="1">
      <c r="A65" s="23" t="s">
        <v>573</v>
      </c>
      <c r="U65" s="161"/>
      <c r="W65" s="161"/>
      <c r="AA65" s="468">
        <f>flow!Z43+flow!Z47+flow!Z48+flow!Z50</f>
        <v>27</v>
      </c>
      <c r="AC65" s="468">
        <f>flow!AB43+flow!AB47+flow!AB48+flow!AB50</f>
        <v>117</v>
      </c>
      <c r="AE65" s="468">
        <f>flow!AD43+flow!AD47+flow!AD48+flow!AD50</f>
        <v>202</v>
      </c>
      <c r="AG65" s="468">
        <f>flow!AF43+flow!AF47+flow!AF48+flow!AF50</f>
        <v>-2818.4670000000001</v>
      </c>
      <c r="AI65" s="468">
        <f>flow!AH43+flow!AH47+flow!AH48+flow!AH50</f>
        <v>-316.476</v>
      </c>
      <c r="AK65" s="468">
        <f>flow!AJ43+flow!AJ47+flow!AJ48+flow!AJ50</f>
        <v>-16</v>
      </c>
      <c r="AM65" s="468">
        <f>flow!AL43+flow!AL47+flow!AL48+flow!AL50</f>
        <v>-1320</v>
      </c>
      <c r="AO65" s="468">
        <f>flow!AN43+flow!AN47+flow!AN48+flow!AN50</f>
        <v>-348</v>
      </c>
      <c r="AQ65" s="468">
        <f>flow!AP43+flow!AP47+flow!AP48+flow!AP50</f>
        <v>8</v>
      </c>
      <c r="AS65" s="468">
        <f>flow!AR43+flow!AR47+flow!AR48+flow!AR50</f>
        <v>-114</v>
      </c>
      <c r="AU65" s="468">
        <f>flow!AT43+flow!AT47+flow!AT48+flow!AT50</f>
        <v>-1067</v>
      </c>
      <c r="AW65" s="468">
        <f>flow!AV43+flow!AV47+flow!AV48+flow!AV50</f>
        <v>-461</v>
      </c>
      <c r="AY65" s="468">
        <f>flow!AX43+flow!AX47+flow!AX48+flow!AX50</f>
        <v>8</v>
      </c>
      <c r="BA65" s="468">
        <f>flow!AZ43+flow!AZ47+flow!AZ48+flow!AZ50</f>
        <v>-10</v>
      </c>
      <c r="BB65" s="468">
        <f>flow!BA43+flow!BA47+flow!BA48+flow!BA50</f>
        <v>0</v>
      </c>
      <c r="BC65" s="468">
        <f>flow!BB43+flow!BB47+flow!BB48+flow!BB50</f>
        <v>-380</v>
      </c>
      <c r="BD65" s="468"/>
      <c r="BE65" s="468">
        <f>flow!BD43+flow!BD47+flow!BD48+flow!BD50</f>
        <v>-373</v>
      </c>
      <c r="BF65" s="468">
        <f>flow!BE43+flow!BE47+flow!BE48+flow!BE50</f>
        <v>0</v>
      </c>
      <c r="BG65" s="468">
        <f>flow!BF43+flow!BF47+flow!BF48+flow!BF50</f>
        <v>-448</v>
      </c>
      <c r="BH65" s="468"/>
      <c r="BI65" s="468">
        <f>flow!BH43+flow!BH47+flow!BH48+flow!BH50</f>
        <v>-30</v>
      </c>
      <c r="BJ65" s="468"/>
      <c r="BK65" s="468">
        <f>flow!BJ43+flow!BJ47+flow!BJ48+flow!BJ50</f>
        <v>-30</v>
      </c>
      <c r="BL65" s="468"/>
      <c r="BM65" s="468">
        <f>flow!BL43+flow!BL47+flow!BL48+flow!BL50</f>
        <v>-30</v>
      </c>
      <c r="BN65" s="468"/>
      <c r="BO65" s="468">
        <f>flow!BN43+flow!BN47+flow!BN48+flow!BN50</f>
        <v>-30</v>
      </c>
      <c r="BP65" s="468"/>
      <c r="BQ65" s="468">
        <f>flow!BP43+flow!BP47+flow!BP48+flow!BP50</f>
        <v>-30</v>
      </c>
      <c r="BR65" s="468"/>
    </row>
    <row r="66" spans="1:70" hidden="1" outlineLevel="1">
      <c r="A66" s="23" t="s">
        <v>164</v>
      </c>
      <c r="U66" s="161"/>
      <c r="W66" s="161"/>
      <c r="AA66" s="468">
        <f>flow!Z49</f>
        <v>-129</v>
      </c>
      <c r="AC66" s="468">
        <f>flow!AB49</f>
        <v>-150</v>
      </c>
      <c r="AE66" s="468">
        <f>flow!AD49</f>
        <v>-208</v>
      </c>
      <c r="AG66" s="468">
        <f>flow!AF49</f>
        <v>-724.30899999999997</v>
      </c>
      <c r="AI66" s="468">
        <f>flow!AH49</f>
        <v>-242.036</v>
      </c>
      <c r="AK66" s="468">
        <f>flow!AJ49</f>
        <v>-238</v>
      </c>
      <c r="AM66" s="468">
        <f>flow!AL49</f>
        <v>-227</v>
      </c>
      <c r="AO66" s="468">
        <f>flow!AN49</f>
        <v>-201</v>
      </c>
      <c r="AQ66" s="468">
        <f>flow!AP49</f>
        <v>-193</v>
      </c>
      <c r="AS66" s="468">
        <f>flow!AR49</f>
        <v>-1488</v>
      </c>
      <c r="AU66" s="468">
        <f>flow!AT49</f>
        <v>-1144</v>
      </c>
      <c r="AW66" s="468">
        <f>flow!AV49</f>
        <v>-1449</v>
      </c>
      <c r="AY66" s="468">
        <f>flow!AX49</f>
        <v>-349</v>
      </c>
      <c r="BA66" s="468">
        <f>flow!AZ49</f>
        <v>-691</v>
      </c>
      <c r="BB66" s="468">
        <f>flow!BA49</f>
        <v>0</v>
      </c>
      <c r="BC66" s="468">
        <f>flow!BB49</f>
        <v>-1171</v>
      </c>
      <c r="BD66" s="468"/>
      <c r="BE66" s="468">
        <f>flow!BD49</f>
        <v>-1268</v>
      </c>
      <c r="BF66" s="468">
        <f>flow!BE49</f>
        <v>0</v>
      </c>
      <c r="BG66" s="468">
        <f>flow!BF49</f>
        <v>-686</v>
      </c>
      <c r="BH66" s="468"/>
      <c r="BI66" s="468">
        <f>flow!BH49</f>
        <v>-677.4</v>
      </c>
      <c r="BJ66" s="468"/>
      <c r="BK66" s="468">
        <f>flow!BJ49</f>
        <v>-673.99999999999989</v>
      </c>
      <c r="BL66" s="468"/>
      <c r="BM66" s="468">
        <f>flow!BL49</f>
        <v>-672.97142857142842</v>
      </c>
      <c r="BN66" s="468"/>
      <c r="BO66" s="468">
        <f>flow!BN49</f>
        <v>-672.37142857142851</v>
      </c>
      <c r="BP66" s="468"/>
      <c r="BQ66" s="468">
        <f>flow!BP49</f>
        <v>-671.77142857142849</v>
      </c>
      <c r="BR66" s="468"/>
    </row>
    <row r="67" spans="1:70" hidden="1" outlineLevel="1">
      <c r="A67" s="23" t="s">
        <v>574</v>
      </c>
      <c r="U67" s="161"/>
      <c r="W67" s="161"/>
      <c r="AA67" s="23">
        <v>0</v>
      </c>
      <c r="AC67" s="23">
        <v>0</v>
      </c>
      <c r="AE67" s="23">
        <v>0</v>
      </c>
      <c r="AG67" s="23">
        <v>0</v>
      </c>
      <c r="AI67" s="23">
        <v>0</v>
      </c>
      <c r="AK67" s="23">
        <v>0</v>
      </c>
      <c r="AM67" s="23">
        <v>0</v>
      </c>
      <c r="AO67" s="23">
        <v>0</v>
      </c>
      <c r="AQ67" s="23">
        <v>0</v>
      </c>
      <c r="AS67" s="23">
        <v>0</v>
      </c>
      <c r="AU67" s="23">
        <v>0</v>
      </c>
      <c r="AW67" s="23">
        <v>0</v>
      </c>
      <c r="AY67" s="23">
        <v>0</v>
      </c>
      <c r="BA67" s="23">
        <v>0</v>
      </c>
      <c r="BB67" s="23">
        <v>0</v>
      </c>
      <c r="BC67" s="23">
        <v>0</v>
      </c>
      <c r="BE67" s="23">
        <v>0</v>
      </c>
      <c r="BF67" s="23">
        <v>1</v>
      </c>
      <c r="BG67" s="23">
        <v>2</v>
      </c>
      <c r="BI67" s="23">
        <v>4</v>
      </c>
      <c r="BK67" s="23">
        <v>6</v>
      </c>
      <c r="BM67" s="23">
        <v>8</v>
      </c>
      <c r="BO67" s="23">
        <v>8</v>
      </c>
      <c r="BQ67" s="23">
        <v>8</v>
      </c>
    </row>
    <row r="68" spans="1:70" customFormat="1" hidden="1" outlineLevel="1"/>
    <row r="69" spans="1:70" collapsed="1">
      <c r="U69" s="161"/>
      <c r="W69" s="161"/>
      <c r="AI69" s="161"/>
    </row>
    <row r="70" spans="1:70">
      <c r="B70" s="23" t="s">
        <v>685</v>
      </c>
      <c r="C70" s="1948"/>
      <c r="G70" s="1948"/>
      <c r="I70" s="1948"/>
      <c r="K70" s="1948"/>
      <c r="M70" s="1948"/>
      <c r="O70" s="1948"/>
      <c r="Q70" s="1948"/>
      <c r="S70" s="1948"/>
      <c r="U70" s="1949"/>
      <c r="W70" s="1949"/>
      <c r="Y70" s="1948"/>
      <c r="AA70" s="1948"/>
      <c r="AC70" s="1950">
        <f>(AC41+'yrP&amp;L'!O13*6)/('yrP&amp;L'!O37+'yrP&amp;L'!O31+'yrP&amp;L'!O13)</f>
        <v>2.1572739390044187</v>
      </c>
      <c r="AE70" s="1950">
        <f>(AE41+'yrP&amp;L'!P13*6)/('yrP&amp;L'!P37+'yrP&amp;L'!P31+'yrP&amp;L'!P13)</f>
        <v>2.1513296497788996</v>
      </c>
      <c r="AG70" s="1950">
        <f>(AG41+'yrP&amp;L'!Q13*8)/('yrP&amp;L'!Q37+'yrP&amp;L'!Q31+'yrP&amp;L'!Q13)</f>
        <v>3.4110076365997375</v>
      </c>
      <c r="AI70" s="1950">
        <f>(AI41+'yrP&amp;L'!R13*8)/('yrP&amp;L'!R37+'yrP&amp;L'!R31+'yrP&amp;L'!R13)</f>
        <v>3.1322298883277639</v>
      </c>
      <c r="AK70" s="1950">
        <f>(AK41+'yrP&amp;L'!R13*8)/('yrP&amp;L'!R37+'yrP&amp;L'!R31+'yrP&amp;L'!R13)</f>
        <v>3.130193707470899</v>
      </c>
      <c r="AM70" s="1950">
        <f>(AM41+'yrP&amp;L'!S13*8)/('yrP&amp;L'!S37+'yrP&amp;L'!S31+'yrP&amp;L'!S13)</f>
        <v>4.1628905143429824</v>
      </c>
      <c r="AN70" s="1950"/>
      <c r="AO70" s="627">
        <f>(AO41+('yrP&amp;L'!T13)*8)/('yrP&amp;L'!T37+'yrP&amp;L'!T31+'yrP&amp;L'!T13)</f>
        <v>4.4018411330247593</v>
      </c>
      <c r="AP70" s="1950"/>
      <c r="AQ70" s="627">
        <f>(AQ41+('yrP&amp;L'!U13)*8)/('yrP&amp;L'!U37+'yrP&amp;L'!U31+('yrP&amp;L'!U13))</f>
        <v>3.9384494683644471</v>
      </c>
      <c r="AR70" s="1950"/>
      <c r="AS70" s="627">
        <f>(AS41+'yrP&amp;L'!V13*8)/('yrP&amp;L'!V37+'yrP&amp;L'!V31+'yrP&amp;L'!V13)</f>
        <v>3.0733091274748761</v>
      </c>
      <c r="AT70" s="1950"/>
      <c r="AU70" s="627">
        <f>(AU41+'yrP&amp;L'!W13*8)/('yrP&amp;L'!W37+'yrP&amp;L'!W31+'yrP&amp;L'!W13)</f>
        <v>3.2116014155032286</v>
      </c>
      <c r="AV70" s="1950"/>
      <c r="AW70" s="627">
        <f>(AW41+'yrP&amp;L'!X13*6)/('yrP&amp;L'!X37+'yrP&amp;L'!X31+'yrP&amp;L'!X13)</f>
        <v>3.0129039782406744</v>
      </c>
      <c r="AX70" s="1950"/>
      <c r="AY70" s="627">
        <f>(AY41+'yrP&amp;L'!Y13*6)/('yrP&amp;L'!Y37+'yrP&amp;L'!Y31+'yrP&amp;L'!Y13)</f>
        <v>3.0973647940597329</v>
      </c>
      <c r="AZ70" s="1950"/>
      <c r="BA70" s="627">
        <f>(BA41+'yrP&amp;L'!Z13*6)/('yrP&amp;L'!Z37+'yrP&amp;L'!Z31+'yrP&amp;L'!Z13)</f>
        <v>2.8842110003302284</v>
      </c>
      <c r="BC70" s="627">
        <f>(BB41+'yrP&amp;L'!AA13*6)/('yrP&amp;L'!AA37+'yrP&amp;L'!AA31+'yrP&amp;L'!AA13)</f>
        <v>1.2486787854335395</v>
      </c>
      <c r="BE70" s="627">
        <f>(BC41+'yrP&amp;L'!AB13*6)/('yrP&amp;L'!AB37+'yrP&amp;L'!AB31+'yrP&amp;L'!AB13)</f>
        <v>3.1475421603136522</v>
      </c>
      <c r="BF70" s="627"/>
      <c r="BG70" s="627">
        <f>(BD41+'yrP&amp;L'!AC13*6)/('yrP&amp;L'!AC37+'yrP&amp;L'!AC31+'yrP&amp;L'!AC13)</f>
        <v>1.5766006030219155</v>
      </c>
      <c r="BH70" s="627"/>
      <c r="BI70" s="627">
        <f>(BF41+'yrP&amp;L'!AD13*6)/('yrP&amp;L'!AD37+'yrP&amp;L'!AD31+'yrP&amp;L'!AD13)</f>
        <v>1.6890152416764266</v>
      </c>
      <c r="BJ70" s="627"/>
      <c r="BK70" s="627">
        <f>(BI41+'yrP&amp;L'!AE13*6)/('yrP&amp;L'!AE37+'yrP&amp;L'!AE31+'yrP&amp;L'!AE13)</f>
        <v>3.4447279383833611</v>
      </c>
      <c r="BL70" s="627"/>
      <c r="BM70" s="627">
        <f>(BK41+'yrP&amp;L'!AF13*6)/('yrP&amp;L'!AF37+'yrP&amp;L'!AF31+'yrP&amp;L'!AF13)</f>
        <v>3.7659963361957374</v>
      </c>
      <c r="BN70" s="627"/>
      <c r="BO70" s="627">
        <f>(BM41+'yrP&amp;L'!AG13*6)/('yrP&amp;L'!AG37+'yrP&amp;L'!AG31+'yrP&amp;L'!AG13)</f>
        <v>3.6560046150466206</v>
      </c>
      <c r="BP70" s="627"/>
      <c r="BQ70" s="627">
        <f>(BO41+'yrP&amp;L'!AJ13*6)/('yrP&amp;L'!AJ37+'yrP&amp;L'!AJ31+'yrP&amp;L'!AJ13)</f>
        <v>638.6805681892198</v>
      </c>
      <c r="BR70" s="627"/>
    </row>
    <row r="71" spans="1:70">
      <c r="B71" s="23" t="s">
        <v>686</v>
      </c>
      <c r="U71" s="161"/>
      <c r="W71" s="161"/>
      <c r="AI71" s="161"/>
      <c r="AK71" s="1950"/>
      <c r="AM71" s="1950">
        <f>('yrP&amp;L'!S37+'yrP&amp;L'!S31+'yrP&amp;L'!S13)/(-'yrP&amp;L'!S40+'yrP&amp;L'!S13)</f>
        <v>2.5011940787245099</v>
      </c>
      <c r="AO71" s="1950">
        <f>('yrP&amp;L'!T37+'yrP&amp;L'!T31+'yrP&amp;L'!T13)/(-'yrP&amp;L'!T40+'yrP&amp;L'!T13)</f>
        <v>2.3072686979127188</v>
      </c>
      <c r="AQ71" s="1950">
        <f>('yrP&amp;L'!U37+'yrP&amp;L'!U31+'yrP&amp;L'!U13)/(-'yrP&amp;L'!U40+'yrP&amp;L'!U13)</f>
        <v>2.3126661593814895</v>
      </c>
      <c r="AS71" s="1950">
        <f>('yrP&amp;L'!V37+'yrP&amp;L'!V31+'yrP&amp;L'!V13)/(-'yrP&amp;L'!V40+'yrP&amp;L'!V13)</f>
        <v>2.9799723122052697</v>
      </c>
      <c r="AU71" s="1950">
        <f>('yrP&amp;L'!W37+'yrP&amp;L'!W31+'yrP&amp;L'!W13)/(-'yrP&amp;L'!W40+'yrP&amp;L'!W13)</f>
        <v>3.0838017148550314</v>
      </c>
      <c r="AW71" s="1950">
        <f>('yrP&amp;L'!X37+'yrP&amp;L'!X31+'yrP&amp;L'!X13)/(-'yrP&amp;L'!X40+'yrP&amp;L'!X13)</f>
        <v>2.9450334382705132</v>
      </c>
      <c r="AY71" s="1950">
        <f>('yrP&amp;L'!Y37+'yrP&amp;L'!Y31+'yrP&amp;L'!Y13)/(-'yrP&amp;L'!Y40+'yrP&amp;L'!Y13)</f>
        <v>2.9377281912266708</v>
      </c>
      <c r="BA71" s="1950">
        <f>('yrP&amp;L'!Z37+'yrP&amp;L'!Z31+'yrP&amp;L'!Z13)/(-'yrP&amp;L'!Z40+'yrP&amp;L'!Z13)</f>
        <v>3.0873123922549195</v>
      </c>
      <c r="BC71" s="1950">
        <f>('yrP&amp;L'!AA37+'yrP&amp;L'!AA31+'yrP&amp;L'!AA13)/(-'yrP&amp;L'!AA40+'yrP&amp;L'!AA13)</f>
        <v>3.2309376895727837</v>
      </c>
      <c r="BE71" s="1950">
        <f>('yrP&amp;L'!AB37+'yrP&amp;L'!AB31+'yrP&amp;L'!AB13)/(-'yrP&amp;L'!AB40+'yrP&amp;L'!AB13)</f>
        <v>2.8256119337546819</v>
      </c>
      <c r="BF71" s="1950"/>
      <c r="BG71" s="1950">
        <f>('yrP&amp;L'!AC37+'yrP&amp;L'!AC31+'yrP&amp;L'!AC13)/(-'yrP&amp;L'!AC40+'yrP&amp;L'!AC13)</f>
        <v>2.5276838747085382</v>
      </c>
      <c r="BH71" s="1950"/>
      <c r="BI71" s="1950">
        <f>('yrP&amp;L'!AD37+'yrP&amp;L'!AD31+'yrP&amp;L'!AD13)/(-'yrP&amp;L'!AD40+'yrP&amp;L'!AD13)</f>
        <v>2.4769464263211662</v>
      </c>
      <c r="BJ71" s="1950"/>
      <c r="BK71" s="1950">
        <f>('yrP&amp;L'!AE37+'yrP&amp;L'!AE31+'yrP&amp;L'!AE13)/(-'yrP&amp;L'!AE40+'yrP&amp;L'!AE13)</f>
        <v>2.5379207083161659</v>
      </c>
      <c r="BL71" s="1950"/>
      <c r="BM71" s="1950">
        <f>('yrP&amp;L'!AF37+'yrP&amp;L'!AF31+'yrP&amp;L'!AF13)/(-'yrP&amp;L'!AF40+'yrP&amp;L'!AF13)</f>
        <v>2.6256981233070018</v>
      </c>
      <c r="BN71" s="1950"/>
      <c r="BO71" s="1950">
        <f>('yrP&amp;L'!AG37+'yrP&amp;L'!AG31+'yrP&amp;L'!AG13)/(-'yrP&amp;L'!AG40+'yrP&amp;L'!AG13)</f>
        <v>2.7784687163712563</v>
      </c>
      <c r="BP71" s="1950"/>
      <c r="BQ71" s="1950">
        <f>('yrP&amp;L'!AJ37+'yrP&amp;L'!AJ31+'yrP&amp;L'!AJ13)/(-'yrP&amp;L'!AJ40+'yrP&amp;L'!AJ13)</f>
        <v>-1.1358299115330996</v>
      </c>
      <c r="BR71" s="1950"/>
    </row>
    <row r="72" spans="1:70">
      <c r="U72" s="161"/>
      <c r="W72" s="161"/>
      <c r="AI72" s="161"/>
    </row>
    <row r="73" spans="1:70">
      <c r="U73" s="161"/>
      <c r="W73" s="161"/>
      <c r="AI73" s="161"/>
    </row>
    <row r="74" spans="1:70">
      <c r="A74" s="23" t="s">
        <v>1176</v>
      </c>
      <c r="U74" s="161"/>
      <c r="W74" s="161"/>
      <c r="AI74" s="161"/>
    </row>
    <row r="75" spans="1:70">
      <c r="U75" s="161"/>
      <c r="W75" s="161"/>
      <c r="AI75" s="161"/>
    </row>
    <row r="76" spans="1:70">
      <c r="B76" s="23" t="s">
        <v>1173</v>
      </c>
      <c r="E76" s="1951">
        <f>+'qtrP&amp;L'!F14</f>
        <v>5253.509</v>
      </c>
      <c r="G76" s="1951">
        <f>'qtrP&amp;L'!J14</f>
        <v>6149.2179999999989</v>
      </c>
      <c r="I76" s="1951">
        <f>'qtrP&amp;L'!N14</f>
        <v>6944.2960000000003</v>
      </c>
      <c r="K76" s="1951">
        <f>'qtrP&amp;L'!R14</f>
        <v>7245.0879999999997</v>
      </c>
      <c r="M76" s="1951">
        <f>'qtrP&amp;L'!V14</f>
        <v>7320.7920000000004</v>
      </c>
      <c r="O76" s="1951">
        <f>'qtrP&amp;L'!Z14</f>
        <v>7881.4369999999999</v>
      </c>
      <c r="Q76" s="1951">
        <f>'qtrP&amp;L'!AD14</f>
        <v>8644.7909999999993</v>
      </c>
      <c r="S76" s="1951">
        <f>'qtrP&amp;L'!AH14</f>
        <v>8366.7350000000006</v>
      </c>
      <c r="U76" s="1952">
        <f>'qtrP&amp;L'!AL14</f>
        <v>8836.5810000000001</v>
      </c>
      <c r="W76" s="1952">
        <f>'qtrP&amp;L'!AP14</f>
        <v>7620.6360000000004</v>
      </c>
      <c r="Y76" s="1951">
        <f>'qtrP&amp;L'!AT14</f>
        <v>8149.7730000000001</v>
      </c>
      <c r="AA76" s="1951">
        <f>'qtrP&amp;L'!AX14</f>
        <v>7927.4330000000009</v>
      </c>
      <c r="AC76" s="1951">
        <f>+'qtrP&amp;L'!BB14</f>
        <v>8444.6540000000005</v>
      </c>
      <c r="AE76" s="1951">
        <f>+'yrP&amp;L'!O7</f>
        <v>8934.0910000000003</v>
      </c>
      <c r="AG76" s="1951">
        <f>+'yrP&amp;L'!P7</f>
        <v>9408.3119999999999</v>
      </c>
      <c r="AI76" s="1952">
        <f>+'yrP&amp;L'!Q7</f>
        <v>9698.9680000000008</v>
      </c>
      <c r="AK76" s="1951">
        <f>+'yrP&amp;L'!R7</f>
        <v>10670.598999999998</v>
      </c>
      <c r="AM76" s="1951">
        <f>+'yrP&amp;L'!S7</f>
        <v>10086.368</v>
      </c>
      <c r="AO76" s="1951">
        <f>+'yrP&amp;L'!T7</f>
        <v>9042.6810000000005</v>
      </c>
      <c r="AQ76" s="1951">
        <f>+'yrP&amp;L'!U7</f>
        <v>8632.4880000000012</v>
      </c>
      <c r="AS76" s="1951">
        <f>+'yrP&amp;L'!V7</f>
        <v>9613.2780000000002</v>
      </c>
      <c r="AU76" s="1951">
        <f>+'yrP&amp;L'!W7</f>
        <v>10363.998</v>
      </c>
      <c r="AW76" s="1951">
        <f>+'yrP&amp;L'!X7</f>
        <v>10458.652000000002</v>
      </c>
      <c r="AY76" s="1951">
        <f>+'yrP&amp;L'!Y7</f>
        <v>10773.210999999998</v>
      </c>
      <c r="BA76" s="1951">
        <f>+'yrP&amp;L'!Z7</f>
        <v>11454.060000000001</v>
      </c>
      <c r="BC76" s="1951">
        <f>+'yrP&amp;L'!AA7</f>
        <v>12153.786</v>
      </c>
      <c r="BE76" s="1951">
        <f>+'yrP&amp;L'!AB7</f>
        <v>12574.142000000002</v>
      </c>
      <c r="BF76" s="1951"/>
      <c r="BG76" s="1951">
        <f>+'yrP&amp;L'!AC7</f>
        <v>12632.304</v>
      </c>
      <c r="BH76" s="1951"/>
      <c r="BI76" s="1951">
        <f>+'yrP&amp;L'!AD7</f>
        <v>13146.171861945406</v>
      </c>
      <c r="BJ76" s="1951"/>
      <c r="BK76" s="1951">
        <f>+'yrP&amp;L'!AE7</f>
        <v>13755.417944732873</v>
      </c>
      <c r="BL76" s="1951"/>
      <c r="BM76" s="1951">
        <f>+'yrP&amp;L'!AF7</f>
        <v>14404.356702864929</v>
      </c>
      <c r="BN76" s="1951"/>
      <c r="BO76" s="1951">
        <f>+'yrP&amp;L'!AG7</f>
        <v>15059.037458097322</v>
      </c>
      <c r="BP76" s="1951"/>
      <c r="BQ76" s="1951">
        <f>+'yrP&amp;L'!AH7</f>
        <v>15717.072117535414</v>
      </c>
      <c r="BR76" s="1951"/>
    </row>
    <row r="77" spans="1:70">
      <c r="B77" s="23" t="s">
        <v>1174</v>
      </c>
      <c r="E77" s="1953">
        <f>+'qtrP&amp;L'!F24</f>
        <v>3623.07</v>
      </c>
      <c r="G77" s="1953">
        <f>'qtrP&amp;L'!J24</f>
        <v>4355.6749999999993</v>
      </c>
      <c r="H77" s="1953"/>
      <c r="I77" s="1953">
        <f>'qtrP&amp;L'!N24</f>
        <v>4953.5559999999996</v>
      </c>
      <c r="J77" s="1953"/>
      <c r="K77" s="1953">
        <f>'qtrP&amp;L'!R24</f>
        <v>5286.2529999999997</v>
      </c>
      <c r="L77" s="1953"/>
      <c r="M77" s="1953">
        <f>'qtrP&amp;L'!V24</f>
        <v>5206.4290000000001</v>
      </c>
      <c r="N77" s="1953"/>
      <c r="O77" s="1953">
        <f>'qtrP&amp;L'!Z24</f>
        <v>5793.9049999999997</v>
      </c>
      <c r="P77" s="1953"/>
      <c r="Q77" s="1953">
        <f>'qtrP&amp;L'!AD24</f>
        <v>6148.2119999999995</v>
      </c>
      <c r="R77" s="1953"/>
      <c r="S77" s="1953">
        <f>'qtrP&amp;L'!AH24</f>
        <v>5903.4359999999997</v>
      </c>
      <c r="T77" s="1953"/>
      <c r="U77" s="1864">
        <f>'qtrP&amp;L'!AL24</f>
        <v>6073.6029999999992</v>
      </c>
      <c r="V77" s="1953"/>
      <c r="W77" s="1864">
        <f>'qtrP&amp;L'!AP24</f>
        <v>4909.3770000000004</v>
      </c>
      <c r="X77" s="1953"/>
      <c r="Y77" s="1953">
        <f>'qtrP&amp;L'!AT24</f>
        <v>5213.2350000000006</v>
      </c>
      <c r="Z77" s="1953"/>
      <c r="AA77" s="1953">
        <f>'qtrP&amp;L'!AX24</f>
        <v>5065.9070000000002</v>
      </c>
      <c r="AC77" s="1953">
        <f>+'qtrP&amp;L'!BB24</f>
        <v>5351.1350000000002</v>
      </c>
      <c r="AE77" s="1953">
        <f>+'yrP&amp;L'!O11</f>
        <v>5384.1180000000004</v>
      </c>
      <c r="AG77" s="1953">
        <f>+'yrP&amp;L'!P11</f>
        <v>5680.7650000000003</v>
      </c>
      <c r="AI77" s="1864">
        <f>+'yrP&amp;L'!Q11</f>
        <v>5920.4680000000008</v>
      </c>
      <c r="AK77" s="1953">
        <f>+'yrP&amp;L'!R11</f>
        <v>6341.3220000000001</v>
      </c>
      <c r="AM77" s="1953">
        <f>+'yrP&amp;L'!S11</f>
        <v>6270.8240000000005</v>
      </c>
      <c r="AO77" s="1953">
        <f>+'yrP&amp;L'!T11</f>
        <v>5693.4470000000001</v>
      </c>
      <c r="AQ77" s="1953">
        <f>+'yrP&amp;L'!U11</f>
        <v>5247.415</v>
      </c>
      <c r="AS77" s="1953">
        <f>+'yrP&amp;L'!V11</f>
        <v>5615.5959999999995</v>
      </c>
      <c r="AU77" s="1953">
        <f>+'yrP&amp;L'!W11</f>
        <v>5934.2530000000006</v>
      </c>
      <c r="AW77" s="1953">
        <f>+'yrP&amp;L'!X11</f>
        <v>5679.12</v>
      </c>
      <c r="AY77" s="1953">
        <f>+'yrP&amp;L'!Y11</f>
        <v>5976.18</v>
      </c>
      <c r="BA77" s="1953">
        <f>+'yrP&amp;L'!Z11</f>
        <v>6248.6189999999997</v>
      </c>
      <c r="BC77" s="1953">
        <f>+'yrP&amp;L'!AA11</f>
        <v>6535.3260000000009</v>
      </c>
      <c r="BE77" s="1953">
        <f>+'yrP&amp;L'!AB11</f>
        <v>6966.2210000000005</v>
      </c>
      <c r="BF77" s="1953"/>
      <c r="BG77" s="1953">
        <f>+'yrP&amp;L'!AC11</f>
        <v>7148.3269999999993</v>
      </c>
      <c r="BH77" s="1953"/>
      <c r="BI77" s="1953">
        <f>+'yrP&amp;L'!AD11</f>
        <v>7433.9826359981489</v>
      </c>
      <c r="BJ77" s="1953"/>
      <c r="BK77" s="1953">
        <f>+'yrP&amp;L'!AE11</f>
        <v>7711.2872998172488</v>
      </c>
      <c r="BL77" s="1953"/>
      <c r="BM77" s="1953">
        <f>+'yrP&amp;L'!AF11</f>
        <v>8028.9884261769112</v>
      </c>
      <c r="BN77" s="1953"/>
      <c r="BO77" s="1953">
        <f>+'yrP&amp;L'!AG11</f>
        <v>8350.2362705149644</v>
      </c>
      <c r="BP77" s="1953"/>
      <c r="BQ77" s="1953">
        <f>+'yrP&amp;L'!AH11</f>
        <v>8669.5369800325334</v>
      </c>
      <c r="BR77" s="1953"/>
    </row>
    <row r="78" spans="1:70">
      <c r="B78" s="23" t="s">
        <v>1175</v>
      </c>
      <c r="E78" s="1953">
        <f>+'qtrP&amp;L'!F34</f>
        <v>932.90200000000004</v>
      </c>
      <c r="G78" s="1953">
        <f>'qtrP&amp;L'!J34</f>
        <v>1080.8430000000001</v>
      </c>
      <c r="H78" s="1953"/>
      <c r="I78" s="1953">
        <f>'qtrP&amp;L'!N34</f>
        <v>1202.0419999999999</v>
      </c>
      <c r="J78" s="1953"/>
      <c r="K78" s="1953">
        <f>'qtrP&amp;L'!R34</f>
        <v>1259.896</v>
      </c>
      <c r="L78" s="1953"/>
      <c r="M78" s="1953">
        <f>'qtrP&amp;L'!V34</f>
        <v>1315.374</v>
      </c>
      <c r="N78" s="1953"/>
      <c r="O78" s="1953">
        <f>'qtrP&amp;L'!Z34</f>
        <v>1475.4969999999998</v>
      </c>
      <c r="P78" s="1953"/>
      <c r="Q78" s="1953">
        <f>'qtrP&amp;L'!AD34</f>
        <v>1848.5120000000002</v>
      </c>
      <c r="R78" s="1953"/>
      <c r="S78" s="1953">
        <f>'qtrP&amp;L'!AH34</f>
        <v>1864.0070000000001</v>
      </c>
      <c r="T78" s="1953"/>
      <c r="U78" s="1864">
        <f>'qtrP&amp;L'!AL34</f>
        <v>2120.17</v>
      </c>
      <c r="V78" s="1953"/>
      <c r="W78" s="1864">
        <f>'qtrP&amp;L'!AP34</f>
        <v>1938.3040000000001</v>
      </c>
      <c r="X78" s="1953"/>
      <c r="Y78" s="1953">
        <f>'qtrP&amp;L'!AT34</f>
        <v>2124.3559999999998</v>
      </c>
      <c r="Z78" s="1953"/>
      <c r="AA78" s="1953">
        <f>'qtrP&amp;L'!AX34</f>
        <v>2173.518</v>
      </c>
      <c r="AC78" s="1953">
        <f>+'qtrP&amp;L'!BB34</f>
        <v>2221.7849999999999</v>
      </c>
      <c r="AE78" s="1953">
        <f>+'yrP&amp;L'!O19</f>
        <v>2298.8910000000001</v>
      </c>
      <c r="AG78" s="1953">
        <f>+'yrP&amp;L'!P19</f>
        <v>2367.2659999999996</v>
      </c>
      <c r="AI78" s="1864">
        <f>+'yrP&amp;L'!Q19</f>
        <v>2493.951</v>
      </c>
      <c r="AK78" s="1953">
        <f>+'yrP&amp;L'!R19</f>
        <v>2837.4269999999997</v>
      </c>
      <c r="AM78" s="1953">
        <f>+'yrP&amp;L'!S19</f>
        <v>2602.4579999999996</v>
      </c>
      <c r="AO78" s="1953">
        <f>+'yrP&amp;L'!T19</f>
        <v>2288.9290000000001</v>
      </c>
      <c r="AQ78" s="1953">
        <f>+'yrP&amp;L'!U19</f>
        <v>2169.806</v>
      </c>
      <c r="AS78" s="1953">
        <f>+'yrP&amp;L'!V19</f>
        <v>2346.7559999999999</v>
      </c>
      <c r="AU78" s="1953">
        <f>+'yrP&amp;L'!W19</f>
        <v>2527.3199999999997</v>
      </c>
      <c r="AW78" s="1953">
        <f>+'yrP&amp;L'!X19</f>
        <v>2718.6409999999996</v>
      </c>
      <c r="AY78" s="1953">
        <f>+'yrP&amp;L'!Y19</f>
        <v>2685.576</v>
      </c>
      <c r="BA78" s="1953">
        <f>+'yrP&amp;L'!Z19</f>
        <v>2854.5309999999999</v>
      </c>
      <c r="BC78" s="1953">
        <f>+'yrP&amp;L'!AA19</f>
        <v>3011.9810000000002</v>
      </c>
      <c r="BE78" s="1953">
        <f>+'yrP&amp;L'!AB19</f>
        <v>3098.989</v>
      </c>
      <c r="BF78" s="1953"/>
      <c r="BG78" s="1953">
        <f>+'yrP&amp;L'!AC19</f>
        <v>3231.0349999999999</v>
      </c>
      <c r="BH78" s="1953"/>
      <c r="BI78" s="1953">
        <f>+'yrP&amp;L'!AD19</f>
        <v>3531.1896509473354</v>
      </c>
      <c r="BJ78" s="1953"/>
      <c r="BK78" s="1953">
        <f>+'yrP&amp;L'!AE19</f>
        <v>3713.962845077876</v>
      </c>
      <c r="BL78" s="1953"/>
      <c r="BM78" s="1953">
        <f>+'yrP&amp;L'!AF19</f>
        <v>3889.1763097735311</v>
      </c>
      <c r="BN78" s="1953"/>
      <c r="BO78" s="1953">
        <f>+'yrP&amp;L'!AG19</f>
        <v>4080.9991511443745</v>
      </c>
      <c r="BP78" s="1953"/>
      <c r="BQ78" s="1953">
        <f>+'yrP&amp;L'!AH19</f>
        <v>4275.0436159696328</v>
      </c>
      <c r="BR78" s="1953"/>
    </row>
    <row r="79" spans="1:70">
      <c r="B79" s="23" t="s">
        <v>1177</v>
      </c>
      <c r="E79" s="1953">
        <f>+flow!D8</f>
        <v>398.43799999999976</v>
      </c>
      <c r="G79" s="1953">
        <f>+flow!F8</f>
        <v>403.30199999999945</v>
      </c>
      <c r="H79" s="1953"/>
      <c r="I79" s="1953">
        <f>+flow!H8</f>
        <v>455.49700000000001</v>
      </c>
      <c r="J79" s="1953"/>
      <c r="K79" s="1953">
        <f>+flow!J8</f>
        <v>390.99900000000002</v>
      </c>
      <c r="L79" s="1953"/>
      <c r="M79" s="1953">
        <f>+flow!L8</f>
        <v>448.34300000000042</v>
      </c>
      <c r="N79" s="1953"/>
      <c r="O79" s="1953">
        <f>+flow!N8</f>
        <v>961.51099999999997</v>
      </c>
      <c r="P79" s="1953"/>
      <c r="Q79" s="1953">
        <f>+flow!P8</f>
        <v>434.20800000000003</v>
      </c>
      <c r="R79" s="1953"/>
      <c r="S79" s="1953">
        <f>+flow!R8</f>
        <v>217.39</v>
      </c>
      <c r="T79" s="1953"/>
      <c r="U79" s="1864">
        <f>+flow!T8</f>
        <v>380.39500000000083</v>
      </c>
      <c r="V79" s="1953"/>
      <c r="W79" s="1864">
        <f>+flow!V8</f>
        <v>461</v>
      </c>
      <c r="X79" s="1953"/>
      <c r="Y79" s="1953">
        <f>+flow!X8</f>
        <v>428</v>
      </c>
      <c r="Z79" s="1953"/>
      <c r="AA79" s="1953">
        <f>+flow!Z8</f>
        <v>519</v>
      </c>
      <c r="AC79" s="1953">
        <f>+flow!AB8</f>
        <v>502</v>
      </c>
      <c r="AE79" s="1953">
        <f>+flow!AD8</f>
        <v>717</v>
      </c>
      <c r="AG79" s="1953">
        <f>+flow!AF8</f>
        <v>705.41399999999999</v>
      </c>
      <c r="AI79" s="1864">
        <f>+flow!AH8</f>
        <v>683.26400000000001</v>
      </c>
      <c r="AK79" s="1953">
        <f>+flow!AJ8</f>
        <v>675.74499999999864</v>
      </c>
      <c r="AM79" s="1953">
        <f>+flow!AL8</f>
        <v>717.46399999999983</v>
      </c>
      <c r="AO79" s="1953">
        <f>+flow!AN8</f>
        <v>220.1009999999996</v>
      </c>
      <c r="AQ79" s="1953">
        <f>+flow!AP8</f>
        <v>448</v>
      </c>
      <c r="AS79" s="1953">
        <f>+flow!AR8</f>
        <v>805</v>
      </c>
      <c r="AU79" s="1953">
        <f>+flow!AT8</f>
        <v>850.08299999999997</v>
      </c>
      <c r="AW79" s="1953">
        <f>+flow!AV8</f>
        <v>752.71470000000238</v>
      </c>
      <c r="AY79" s="1953">
        <f>+flow!AX8</f>
        <v>903.02799999999741</v>
      </c>
      <c r="BA79" s="1953">
        <f>+flow!AZ8</f>
        <v>1042.0430000000019</v>
      </c>
      <c r="BC79" s="1953">
        <f>+flow!BB8</f>
        <v>1253</v>
      </c>
      <c r="BE79" s="1953">
        <f>+flow!BD8</f>
        <v>1158.0950000000012</v>
      </c>
      <c r="BF79" s="1953"/>
      <c r="BG79" s="1953">
        <f>+flow!BF8</f>
        <v>983.35000000000093</v>
      </c>
      <c r="BH79" s="1953"/>
      <c r="BI79" s="1953">
        <f>+flow!BH8</f>
        <v>912.49968974994249</v>
      </c>
      <c r="BJ79" s="1953"/>
      <c r="BK79" s="1953">
        <f>+flow!BJ8</f>
        <v>982.70249388155639</v>
      </c>
      <c r="BL79" s="1953"/>
      <c r="BM79" s="1953">
        <f>+flow!BL8</f>
        <v>1065.2588025142418</v>
      </c>
      <c r="BN79" s="1953"/>
      <c r="BO79" s="1953">
        <f>+flow!BN8</f>
        <v>1162.2545615997276</v>
      </c>
      <c r="BP79" s="1953"/>
      <c r="BQ79" s="1953">
        <f>+flow!BP8</f>
        <v>1259.7759807192706</v>
      </c>
      <c r="BR79" s="1953"/>
    </row>
    <row r="80" spans="1:70">
      <c r="U80" s="161"/>
      <c r="W80" s="161"/>
      <c r="AI80" s="161"/>
    </row>
    <row r="81" spans="1:70">
      <c r="B81" s="23" t="s">
        <v>1178</v>
      </c>
      <c r="E81" s="18">
        <f>E10/E76</f>
        <v>0.12759014974562716</v>
      </c>
      <c r="G81" s="18">
        <f>G10/G76</f>
        <v>0.119662695321584</v>
      </c>
      <c r="I81" s="18">
        <f>I10/I76</f>
        <v>0.12058486562208752</v>
      </c>
      <c r="K81" s="18">
        <f>K10/K76</f>
        <v>0.14587966357344453</v>
      </c>
      <c r="M81" s="18">
        <f>M10/M76</f>
        <v>0.17653813958926845</v>
      </c>
      <c r="O81" s="18">
        <f>O10/O76</f>
        <v>9.8352622751409421E-3</v>
      </c>
      <c r="Q81" s="18">
        <f>Q10/Q76</f>
        <v>8.0206681688429499E-3</v>
      </c>
      <c r="S81" s="18">
        <f>S10/S76</f>
        <v>9.9644604496258102E-3</v>
      </c>
      <c r="U81" s="1175">
        <f>U10/U76</f>
        <v>8.7946910688647562E-3</v>
      </c>
      <c r="W81" s="1175">
        <f>W10/W76</f>
        <v>1.4276236261645352E-2</v>
      </c>
      <c r="Y81" s="18">
        <f>Y10/Y76</f>
        <v>1.150277437175244E-2</v>
      </c>
      <c r="AA81" s="18">
        <f>AA10/AA76</f>
        <v>1.0091539089639735E-2</v>
      </c>
      <c r="AC81" s="18">
        <f>AC10/AC76</f>
        <v>1.7881135212881427E-2</v>
      </c>
      <c r="AE81" s="18">
        <f>AE10/AE76</f>
        <v>1.2536250190422283E-2</v>
      </c>
      <c r="AF81" s="1881"/>
      <c r="AG81" s="18">
        <f>AG10/AG76</f>
        <v>1.3659092087932456E-2</v>
      </c>
      <c r="AH81" s="1881"/>
      <c r="AI81" s="18">
        <f>AI10/AI76</f>
        <v>1.8801175547748995E-2</v>
      </c>
      <c r="AJ81" s="1881"/>
      <c r="AK81" s="18">
        <f>AK10/AK76</f>
        <v>1.6505165267666794E-2</v>
      </c>
      <c r="AL81" s="1881"/>
      <c r="AM81" s="18">
        <f>AM10/AM76</f>
        <v>3.5196019022902987E-2</v>
      </c>
      <c r="AN81" s="1881"/>
      <c r="AO81" s="18">
        <f>AO10/AO76</f>
        <v>2.6098454650783323E-2</v>
      </c>
      <c r="AP81" s="1881"/>
      <c r="AQ81" s="18">
        <f>AQ10/AQ76</f>
        <v>2.5369279401257199E-2</v>
      </c>
      <c r="AR81" s="1881"/>
      <c r="AS81" s="18">
        <f>AS10/AS76</f>
        <v>2.4133287313650973E-2</v>
      </c>
      <c r="AT81" s="1881"/>
      <c r="AU81" s="18">
        <f>AU10/AU76</f>
        <v>2.1034353731060159E-2</v>
      </c>
      <c r="AV81" s="18"/>
      <c r="AW81" s="18">
        <f>AW10/AW76</f>
        <v>1.9409767147812163E-2</v>
      </c>
      <c r="AX81" s="18"/>
      <c r="AY81" s="18">
        <f>AY10/AY76</f>
        <v>2.2660467710137678E-2</v>
      </c>
      <c r="AZ81" s="18"/>
      <c r="BA81" s="18">
        <f>BA10/BA76</f>
        <v>2.201167097081733E-2</v>
      </c>
      <c r="BB81" s="1793">
        <f t="shared" ref="BB81:BD85" si="0">AZ81</f>
        <v>0</v>
      </c>
      <c r="BC81" s="18">
        <f>BC10/BC76</f>
        <v>2.1467384730980126E-2</v>
      </c>
      <c r="BD81" s="1793">
        <f t="shared" si="0"/>
        <v>0</v>
      </c>
      <c r="BE81" s="18">
        <f>BE10/BE76</f>
        <v>2.3381316991648412E-2</v>
      </c>
      <c r="BF81" s="1793"/>
      <c r="BG81" s="18">
        <f>BG10/BG76</f>
        <v>2.4544770296851627E-2</v>
      </c>
      <c r="BH81" s="1793"/>
      <c r="BI81" s="1793">
        <f>BG81</f>
        <v>2.4544770296851627E-2</v>
      </c>
      <c r="BJ81" s="1793"/>
      <c r="BK81" s="1793">
        <f>BI81</f>
        <v>2.4544770296851627E-2</v>
      </c>
      <c r="BL81" s="1793"/>
      <c r="BM81" s="1793">
        <f>BK81</f>
        <v>2.4544770296851627E-2</v>
      </c>
      <c r="BN81" s="1793"/>
      <c r="BO81" s="1793">
        <f>BM81</f>
        <v>2.4544770296851627E-2</v>
      </c>
      <c r="BP81" s="1793"/>
      <c r="BQ81" s="1793">
        <f>BO81</f>
        <v>2.4544770296851627E-2</v>
      </c>
      <c r="BR81" s="1793"/>
    </row>
    <row r="82" spans="1:70">
      <c r="B82" s="23" t="s">
        <v>1180</v>
      </c>
      <c r="E82" s="18">
        <f>E11/E76</f>
        <v>0.11138574236762515</v>
      </c>
      <c r="G82" s="18">
        <f>G11/G76</f>
        <v>0.11872241315887648</v>
      </c>
      <c r="I82" s="18">
        <f>I11/I76</f>
        <v>0.11573628197876357</v>
      </c>
      <c r="K82" s="18">
        <f>K11/K76</f>
        <v>0.10126861123011896</v>
      </c>
      <c r="M82" s="18">
        <f>M11/M76</f>
        <v>0.1188997037479005</v>
      </c>
      <c r="O82" s="18">
        <f>O11/O76</f>
        <v>0.12167235492715352</v>
      </c>
      <c r="Q82" s="18">
        <f>Q11/Q76</f>
        <v>0.116521382645341</v>
      </c>
      <c r="S82" s="18">
        <f>S11/S76</f>
        <v>0.11984483792064646</v>
      </c>
      <c r="U82" s="1175">
        <f>U11/U76</f>
        <v>0.12670850864152097</v>
      </c>
      <c r="W82" s="1175">
        <f>W11/W76</f>
        <v>0.13790358180078408</v>
      </c>
      <c r="Y82" s="18">
        <f>Y11/Y76</f>
        <v>0.14198432275352946</v>
      </c>
      <c r="AA82" s="18">
        <f>AA11/AA76</f>
        <v>0.1218553345073998</v>
      </c>
      <c r="AC82" s="18">
        <f>AC11/AC76</f>
        <v>0.1143918981168441</v>
      </c>
      <c r="AE82" s="18">
        <f>AE11/AE76</f>
        <v>0.10555074937114475</v>
      </c>
      <c r="AF82" s="1881"/>
      <c r="AG82" s="18">
        <f>AG11/AG76</f>
        <v>0.12134227691428601</v>
      </c>
      <c r="AH82" s="1881"/>
      <c r="AI82" s="18">
        <f>AI11/AI76</f>
        <v>0.11956839119378473</v>
      </c>
      <c r="AJ82" s="1881"/>
      <c r="AK82" s="18">
        <f>AK11/AK76</f>
        <v>0.16587391204561244</v>
      </c>
      <c r="AL82" s="1881"/>
      <c r="AM82" s="18">
        <f>AM11/AM76</f>
        <v>0.12402878816239898</v>
      </c>
      <c r="AN82" s="1881"/>
      <c r="AO82" s="18">
        <f>AO11/AO76</f>
        <v>0.13071344659841477</v>
      </c>
      <c r="AP82" s="1881"/>
      <c r="AQ82" s="18">
        <f>AQ11/AQ76</f>
        <v>0.12012759241599871</v>
      </c>
      <c r="AR82" s="1881"/>
      <c r="AS82" s="18">
        <f>AS11/AS76</f>
        <v>0.1073515194296888</v>
      </c>
      <c r="AT82" s="1881"/>
      <c r="AU82" s="18">
        <f>AU11/AU76</f>
        <v>9.6198397568197147E-2</v>
      </c>
      <c r="AV82" s="18"/>
      <c r="AW82" s="18">
        <f>AW11/AW76</f>
        <v>9.5997074957652265E-2</v>
      </c>
      <c r="AX82" s="18"/>
      <c r="AY82" s="18">
        <f>AY11/AY76</f>
        <v>0.10810296020378699</v>
      </c>
      <c r="AZ82" s="18"/>
      <c r="BA82" s="18">
        <f>BA11/BA76</f>
        <v>9.0424356079852913E-2</v>
      </c>
      <c r="BB82" s="1793">
        <f t="shared" si="0"/>
        <v>0</v>
      </c>
      <c r="BC82" s="18">
        <f>BC11/BC76</f>
        <v>9.2312140430973522E-2</v>
      </c>
      <c r="BD82" s="1793">
        <f t="shared" si="0"/>
        <v>0</v>
      </c>
      <c r="BE82" s="18">
        <f>BE11/BE76</f>
        <v>8.7163004839614491E-2</v>
      </c>
      <c r="BF82" s="1793"/>
      <c r="BG82" s="18">
        <f>BG11/BG76</f>
        <v>9.8140212585130948E-2</v>
      </c>
      <c r="BH82" s="1793"/>
      <c r="BI82" s="2878">
        <v>0.1</v>
      </c>
      <c r="BJ82" s="1793"/>
      <c r="BK82" s="1793">
        <f>BI82</f>
        <v>0.1</v>
      </c>
      <c r="BL82" s="1793"/>
      <c r="BM82" s="1793">
        <f>BK82</f>
        <v>0.1</v>
      </c>
      <c r="BN82" s="1793"/>
      <c r="BO82" s="1793">
        <f>BM82</f>
        <v>0.1</v>
      </c>
      <c r="BP82" s="1793"/>
      <c r="BQ82" s="1793">
        <f>BO82</f>
        <v>0.1</v>
      </c>
      <c r="BR82" s="1793"/>
    </row>
    <row r="83" spans="1:70">
      <c r="B83" s="23" t="s">
        <v>1179</v>
      </c>
      <c r="E83" s="18">
        <f>+E33/E11</f>
        <v>0.34191665271051291</v>
      </c>
      <c r="G83" s="18">
        <f>+G33/G11</f>
        <v>0.27361961509485655</v>
      </c>
      <c r="I83" s="18">
        <f>+I33/I11</f>
        <v>0.38458293880730166</v>
      </c>
      <c r="K83" s="18">
        <f>+K33/K11</f>
        <v>0.34123347417200489</v>
      </c>
      <c r="L83" s="18"/>
      <c r="M83" s="18">
        <f>+M33/M11</f>
        <v>0.31628027204632136</v>
      </c>
      <c r="O83" s="18">
        <f>+O33/O11</f>
        <v>0.29267232074981775</v>
      </c>
      <c r="Q83" s="18">
        <f>+Q33/Q11</f>
        <v>0.30560913647631349</v>
      </c>
      <c r="S83" s="18">
        <f>+S33/S11</f>
        <v>0.29989029729433231</v>
      </c>
      <c r="U83" s="1175">
        <f>+U33/U11</f>
        <v>0.25895754999240844</v>
      </c>
      <c r="W83" s="1175">
        <f>+W33/W11</f>
        <v>0.24388888518840282</v>
      </c>
      <c r="Y83" s="18">
        <f>+Y33/Y11</f>
        <v>0.23594465665347322</v>
      </c>
      <c r="AA83" s="18">
        <f>+AA33/AA11</f>
        <v>0.37784679089026912</v>
      </c>
      <c r="AC83" s="18">
        <f>+AC33/AC11</f>
        <v>0.47204968944099379</v>
      </c>
      <c r="AE83" s="18">
        <f>+AE33/AE11</f>
        <v>0.45387062566277836</v>
      </c>
      <c r="AF83" s="1881"/>
      <c r="AG83" s="18">
        <f>+AG33/AG11</f>
        <v>0.43406159285089863</v>
      </c>
      <c r="AH83" s="1881"/>
      <c r="AI83" s="18">
        <f>+AI33/AI11</f>
        <v>0.46133018306616419</v>
      </c>
      <c r="AJ83" s="1881"/>
      <c r="AK83" s="18">
        <f>+AK33/AK11</f>
        <v>0.33488401524542172</v>
      </c>
      <c r="AL83" s="1881"/>
      <c r="AM83" s="18">
        <f>+AM33/AM11</f>
        <v>0.41326938449240608</v>
      </c>
      <c r="AN83" s="1881"/>
      <c r="AO83" s="18">
        <f>+AO33/AO11</f>
        <v>0.41793570219966159</v>
      </c>
      <c r="AP83" s="1881"/>
      <c r="AQ83" s="18">
        <f>+AQ33/AQ11</f>
        <v>0.47058823529411764</v>
      </c>
      <c r="AR83" s="1881"/>
      <c r="AS83" s="18">
        <f>+AS33/AS11</f>
        <v>0.5281007751937985</v>
      </c>
      <c r="AT83" s="1881"/>
      <c r="AU83" s="18">
        <f>+AU33/AU11</f>
        <v>0.54162487462387165</v>
      </c>
      <c r="AV83" s="18"/>
      <c r="AW83" s="18">
        <f>+AW33/AW11</f>
        <v>0.53935856573705176</v>
      </c>
      <c r="AX83" s="18"/>
      <c r="AY83" s="18">
        <f>+AY33/AY11</f>
        <v>0.51444252869615392</v>
      </c>
      <c r="AZ83" s="18"/>
      <c r="BA83" s="18">
        <f>+BA33/BA11</f>
        <v>0.59181096158636537</v>
      </c>
      <c r="BB83" s="1793">
        <f t="shared" si="0"/>
        <v>0</v>
      </c>
      <c r="BC83" s="18">
        <f>+BC33/BC11</f>
        <v>0.59545145827502666</v>
      </c>
      <c r="BD83" s="1793">
        <f t="shared" si="0"/>
        <v>0</v>
      </c>
      <c r="BE83" s="18">
        <f>+BE33/BE11</f>
        <v>0.62317518248175185</v>
      </c>
      <c r="BF83" s="1793"/>
      <c r="BG83" s="18">
        <f>+BG33/BG11</f>
        <v>0.5782710365182292</v>
      </c>
      <c r="BH83" s="1793"/>
      <c r="BI83" s="1793">
        <f t="shared" ref="BI83:BO85" si="1">BG83</f>
        <v>0.5782710365182292</v>
      </c>
      <c r="BJ83" s="1793"/>
      <c r="BK83" s="1793">
        <f t="shared" si="1"/>
        <v>0.5782710365182292</v>
      </c>
      <c r="BL83" s="1793"/>
      <c r="BM83" s="1793">
        <f t="shared" si="1"/>
        <v>0.5782710365182292</v>
      </c>
      <c r="BN83" s="1793"/>
      <c r="BO83" s="1793">
        <f t="shared" si="1"/>
        <v>0.5782710365182292</v>
      </c>
      <c r="BP83" s="1793"/>
      <c r="BQ83" s="1793">
        <f t="shared" ref="BQ83:BQ85" si="2">BO83</f>
        <v>0.5782710365182292</v>
      </c>
      <c r="BR83" s="1793"/>
    </row>
    <row r="84" spans="1:70">
      <c r="B84" s="23" t="s">
        <v>469</v>
      </c>
      <c r="E84" s="18">
        <f>E35/E78</f>
        <v>0.27457653644219865</v>
      </c>
      <c r="G84" s="18">
        <f>G35/G78</f>
        <v>0.24542602394612351</v>
      </c>
      <c r="I84" s="18">
        <f>I35/I78</f>
        <v>0.22812846805685663</v>
      </c>
      <c r="K84" s="18">
        <f>K35/K78</f>
        <v>0.27612755338535877</v>
      </c>
      <c r="M84" s="18">
        <f>M35/M78</f>
        <v>0.28332322214062311</v>
      </c>
      <c r="O84" s="18">
        <f>O35/O78</f>
        <v>0.2635166320229726</v>
      </c>
      <c r="Q84" s="18">
        <f>Q35/Q78</f>
        <v>0.26061177855485923</v>
      </c>
      <c r="S84" s="18">
        <f>S35/S78</f>
        <v>0.36304316453747226</v>
      </c>
      <c r="U84" s="1175">
        <f>U35/U78</f>
        <v>0.3121372342783833</v>
      </c>
      <c r="W84" s="1175">
        <f>W35/W78</f>
        <v>0.27772217361156964</v>
      </c>
      <c r="Y84" s="18">
        <f>Y35/Y78</f>
        <v>0.27376955651500973</v>
      </c>
      <c r="AA84" s="18">
        <f>AA35/AA78</f>
        <v>0.30503543103852832</v>
      </c>
      <c r="AC84" s="18">
        <f>AC35/AC78</f>
        <v>0.27320375283837095</v>
      </c>
      <c r="AE84" s="18">
        <f>AE35/AE78</f>
        <v>0.29622979079912881</v>
      </c>
      <c r="AF84" s="1881"/>
      <c r="AG84" s="18">
        <f>AG35/AG78</f>
        <v>0.30661488822971317</v>
      </c>
      <c r="AH84" s="1881"/>
      <c r="AI84" s="18">
        <f>AI35/AI78</f>
        <v>0.31676644809781745</v>
      </c>
      <c r="AJ84" s="1881"/>
      <c r="AK84" s="18">
        <f>AK35/AK78</f>
        <v>0.31613148109184841</v>
      </c>
      <c r="AL84" s="1881"/>
      <c r="AM84" s="18">
        <f>AM35/AM78</f>
        <v>0.27704577749189424</v>
      </c>
      <c r="AN84" s="1881"/>
      <c r="AO84" s="18">
        <f>AO35/AO78</f>
        <v>0.29227643146641946</v>
      </c>
      <c r="AP84" s="1881"/>
      <c r="AQ84" s="18">
        <f>AQ35/AQ78</f>
        <v>0.319383391879274</v>
      </c>
      <c r="AR84" s="1881"/>
      <c r="AS84" s="18">
        <f>AS35/AS78</f>
        <v>0.32598190864325055</v>
      </c>
      <c r="AT84" s="1881"/>
      <c r="AU84" s="18">
        <f>AU35/AU78</f>
        <v>0.30467056011901938</v>
      </c>
      <c r="AV84" s="18"/>
      <c r="AW84" s="18">
        <f>AW35/AW78</f>
        <v>0.29665777864749338</v>
      </c>
      <c r="AX84" s="18"/>
      <c r="AY84" s="18">
        <f>AY35/AY78</f>
        <v>0.29297029761957954</v>
      </c>
      <c r="AZ84" s="18"/>
      <c r="BA84" s="18">
        <f>BA35/BA78</f>
        <v>0.3154111831330611</v>
      </c>
      <c r="BB84" s="1793">
        <f t="shared" si="0"/>
        <v>0</v>
      </c>
      <c r="BC84" s="18">
        <f>BC35/BC78</f>
        <v>0.32627197847529582</v>
      </c>
      <c r="BD84" s="1793">
        <f t="shared" si="0"/>
        <v>0</v>
      </c>
      <c r="BE84" s="18">
        <f>BE35/BE78</f>
        <v>0.3217178247486519</v>
      </c>
      <c r="BF84" s="1793"/>
      <c r="BG84" s="18">
        <f>BG35/BG78</f>
        <v>0.31860348154693469</v>
      </c>
      <c r="BH84" s="1793"/>
      <c r="BI84" s="1793">
        <f t="shared" si="1"/>
        <v>0.31860348154693469</v>
      </c>
      <c r="BJ84" s="1793"/>
      <c r="BK84" s="1793">
        <f t="shared" si="1"/>
        <v>0.31860348154693469</v>
      </c>
      <c r="BL84" s="1793"/>
      <c r="BM84" s="1793">
        <f t="shared" si="1"/>
        <v>0.31860348154693469</v>
      </c>
      <c r="BN84" s="1793"/>
      <c r="BO84" s="1793">
        <f t="shared" si="1"/>
        <v>0.31860348154693469</v>
      </c>
      <c r="BP84" s="1793"/>
      <c r="BQ84" s="1793">
        <f t="shared" si="2"/>
        <v>0.31860348154693469</v>
      </c>
      <c r="BR84" s="1793"/>
    </row>
    <row r="85" spans="1:70">
      <c r="B85" s="23" t="s">
        <v>470</v>
      </c>
      <c r="E85" s="18">
        <f>+E36/E78</f>
        <v>2.6504391672437188E-2</v>
      </c>
      <c r="G85" s="18">
        <f>+G36/G78</f>
        <v>5.0975951178848358E-2</v>
      </c>
      <c r="I85" s="18">
        <f>+I36/I78</f>
        <v>0.11436039672490647</v>
      </c>
      <c r="K85" s="18">
        <f>+K36/K78</f>
        <v>7.4203743801075653E-2</v>
      </c>
      <c r="M85" s="18">
        <f>+M36/M78</f>
        <v>9.4555616881586535E-2</v>
      </c>
      <c r="O85" s="18">
        <f>+O36/O78</f>
        <v>3.192009200967539E-2</v>
      </c>
      <c r="Q85" s="18">
        <f>+Q36/Q78</f>
        <v>6.34607727729114E-2</v>
      </c>
      <c r="S85" s="18">
        <f>+S36/S78</f>
        <v>6.2228307082537779E-2</v>
      </c>
      <c r="U85" s="1175">
        <f>+U36/U78</f>
        <v>6.0501280557691127E-2</v>
      </c>
      <c r="W85" s="1175">
        <f>+W36/W78</f>
        <v>9.8506735785511459E-2</v>
      </c>
      <c r="Y85" s="18">
        <f>+Y36/Y78</f>
        <v>6.8529003613330364E-2</v>
      </c>
      <c r="AA85" s="18">
        <f>+AA36/AA78</f>
        <v>0.12698307536445522</v>
      </c>
      <c r="AC85" s="18">
        <f>+AC36/AC78</f>
        <v>8.8217356764943508E-2</v>
      </c>
      <c r="AE85" s="18">
        <f>+AE36/AE78</f>
        <v>0.12136286583400431</v>
      </c>
      <c r="AG85" s="18">
        <f>+AG36/AG78</f>
        <v>9.6864484177105595E-2</v>
      </c>
      <c r="AI85" s="18">
        <f>+AI36/AI78</f>
        <v>0.10024254686639794</v>
      </c>
      <c r="AK85" s="18">
        <f>+AK36/AK78</f>
        <v>7.7182602407039905E-2</v>
      </c>
      <c r="AM85" s="18">
        <f>+AM36/AM78</f>
        <v>5.2258288126071591E-2</v>
      </c>
      <c r="AO85" s="18">
        <f>+AO36/AO78</f>
        <v>4.0193470395979952E-2</v>
      </c>
      <c r="AQ85" s="18">
        <f>+AQ36/AQ78</f>
        <v>6.4982768044700767E-2</v>
      </c>
      <c r="AS85" s="18">
        <f>+AS36/AS78</f>
        <v>8.2667307551360272E-2</v>
      </c>
      <c r="AU85" s="18">
        <f>+AU36/AU78</f>
        <v>6.2912492284316987E-2</v>
      </c>
      <c r="AV85" s="18"/>
      <c r="AW85" s="18">
        <f>+AW36/AW78</f>
        <v>6.984077706471728E-2</v>
      </c>
      <c r="AX85" s="18"/>
      <c r="AY85" s="18">
        <f>+AY36/AY78</f>
        <v>8.3816283732055991E-2</v>
      </c>
      <c r="AZ85" s="18"/>
      <c r="BA85" s="18">
        <f>+BA36/BA78</f>
        <v>5.8197301062766528E-2</v>
      </c>
      <c r="BB85" s="1793">
        <f t="shared" si="0"/>
        <v>0</v>
      </c>
      <c r="BC85" s="18">
        <f>+BC36/BC78</f>
        <v>7.4424108253006896E-2</v>
      </c>
      <c r="BD85" s="1793">
        <f t="shared" si="0"/>
        <v>0</v>
      </c>
      <c r="BE85" s="18">
        <f>+BE36/BE78</f>
        <v>9.6160392953960144E-2</v>
      </c>
      <c r="BF85" s="1793"/>
      <c r="BG85" s="18">
        <f>+BG36/BG78</f>
        <v>6.1129638026205226E-2</v>
      </c>
      <c r="BH85" s="1793"/>
      <c r="BI85" s="1793">
        <f t="shared" si="1"/>
        <v>6.1129638026205226E-2</v>
      </c>
      <c r="BJ85" s="1793"/>
      <c r="BK85" s="1793">
        <f t="shared" si="1"/>
        <v>6.1129638026205226E-2</v>
      </c>
      <c r="BL85" s="1793"/>
      <c r="BM85" s="1793">
        <f t="shared" si="1"/>
        <v>6.1129638026205226E-2</v>
      </c>
      <c r="BN85" s="1793"/>
      <c r="BO85" s="1793">
        <f t="shared" si="1"/>
        <v>6.1129638026205226E-2</v>
      </c>
      <c r="BP85" s="1793"/>
      <c r="BQ85" s="1793">
        <f t="shared" si="2"/>
        <v>6.1129638026205226E-2</v>
      </c>
      <c r="BR85" s="1793"/>
    </row>
    <row r="86" spans="1:70">
      <c r="U86" s="161"/>
      <c r="W86" s="161"/>
      <c r="AI86" s="161"/>
    </row>
    <row r="87" spans="1:70">
      <c r="A87" s="197"/>
      <c r="B87" s="197" t="s">
        <v>621</v>
      </c>
      <c r="C87" s="197"/>
      <c r="D87" s="197"/>
      <c r="E87" s="197" t="str">
        <f>IF(E59=E28," ",E59-E28)</f>
        <v xml:space="preserve"> </v>
      </c>
      <c r="F87" s="197"/>
      <c r="G87" s="197" t="str">
        <f>IF(G59=G28," ",G59-G28)</f>
        <v xml:space="preserve"> </v>
      </c>
      <c r="H87" s="197"/>
      <c r="I87" s="197" t="str">
        <f>IF(I59=I28," ",I59-I28)</f>
        <v xml:space="preserve"> </v>
      </c>
      <c r="J87" s="197"/>
      <c r="K87" s="197" t="str">
        <f>IF(K59=K28," ",K59-K28)</f>
        <v xml:space="preserve"> </v>
      </c>
      <c r="L87" s="197"/>
      <c r="M87" s="197" t="str">
        <f>IF(M59=M28," ",M59-M28)</f>
        <v xml:space="preserve"> </v>
      </c>
      <c r="N87" s="197"/>
      <c r="O87" s="197" t="str">
        <f>IF(O59=O28," ",O59-O28)</f>
        <v xml:space="preserve"> </v>
      </c>
      <c r="P87" s="197"/>
      <c r="Q87" s="197" t="str">
        <f>IF(Q59=Q28," ",Q59-Q28)</f>
        <v xml:space="preserve"> </v>
      </c>
      <c r="R87" s="197"/>
      <c r="S87" s="197" t="str">
        <f>IF(S59=S28," ",S59-S28)</f>
        <v xml:space="preserve"> </v>
      </c>
      <c r="T87" s="197"/>
      <c r="U87" s="1955" t="str">
        <f>IF(U59=U28," ",U59-U28)</f>
        <v xml:space="preserve"> </v>
      </c>
      <c r="V87" s="197"/>
      <c r="W87" s="1955" t="str">
        <f>IF(W59=W28," ",W59-W28)</f>
        <v xml:space="preserve"> </v>
      </c>
      <c r="X87" s="197"/>
      <c r="Y87" s="197" t="str">
        <f>IF(Y59=Y28," ",Y59-Y28)</f>
        <v xml:space="preserve"> </v>
      </c>
      <c r="Z87" s="197"/>
      <c r="AA87" s="197" t="str">
        <f>IF(AA59=AA28," ",AA59-AA28)</f>
        <v xml:space="preserve"> </v>
      </c>
      <c r="AB87" s="197"/>
      <c r="AC87" s="197" t="str">
        <f>IF(AC59=AC28," ",AC59-AC28)</f>
        <v xml:space="preserve"> </v>
      </c>
      <c r="AD87" s="197"/>
      <c r="AE87" s="197" t="str">
        <f>IF(AE59=AE28," ",AE59-AE28)</f>
        <v xml:space="preserve"> </v>
      </c>
      <c r="AF87" s="197"/>
      <c r="AG87" s="197" t="str">
        <f>IF(AG59=AG28," ",AG59-AG28)</f>
        <v xml:space="preserve"> </v>
      </c>
      <c r="AH87" s="197"/>
      <c r="AI87" s="1956" t="str">
        <f>IF(AI59=AI28," ",AI59-AI28)</f>
        <v xml:space="preserve"> </v>
      </c>
      <c r="AJ87" s="197"/>
      <c r="AK87" s="197" t="str">
        <f>IF(AK59=AK28," ",AK59-AK28)</f>
        <v xml:space="preserve"> </v>
      </c>
      <c r="AL87" s="197"/>
      <c r="AM87" s="197" t="str">
        <f>IF(AM59=AM28," ",AM59-AM28)</f>
        <v xml:space="preserve"> </v>
      </c>
      <c r="AN87" s="197"/>
      <c r="AO87" s="197" t="str">
        <f>IF(AO59=AO28," ",AO59-AO28)</f>
        <v xml:space="preserve"> </v>
      </c>
      <c r="AP87" s="197"/>
      <c r="AQ87" s="197" t="str">
        <f>IF(AQ59=AQ28," ",AQ59-AQ28)</f>
        <v xml:space="preserve"> </v>
      </c>
      <c r="AR87" s="197"/>
      <c r="AS87" s="197" t="str">
        <f>IF(AS59=AS28," ",AS59-AS28)</f>
        <v xml:space="preserve"> </v>
      </c>
      <c r="AT87" s="197"/>
      <c r="AU87" s="197" t="str">
        <f>IF(AU59=AU28," ",AU59-AU28)</f>
        <v xml:space="preserve"> </v>
      </c>
      <c r="AV87" s="197"/>
      <c r="AW87" s="197" t="str">
        <f>IF(AW59=AW28," ",AW59-AW28)</f>
        <v xml:space="preserve"> </v>
      </c>
      <c r="AX87" s="197"/>
      <c r="AY87" s="197" t="str">
        <f>IF(AY59=AY28," ",AY59-AY28)</f>
        <v xml:space="preserve"> </v>
      </c>
      <c r="AZ87" s="197"/>
      <c r="BA87" s="197" t="str">
        <f>IF(BA59=BA28," ",BA59-BA28)</f>
        <v xml:space="preserve"> </v>
      </c>
      <c r="BB87" s="197"/>
      <c r="BC87" t="str">
        <f>IF(BC59=BC28," ",BC59-BC28)</f>
        <v xml:space="preserve"> </v>
      </c>
      <c r="BD87" s="197"/>
      <c r="BE87" s="1375">
        <f>IF(BE59=BE28," ",BE59-BE28)</f>
        <v>-4.5700000002398156E-2</v>
      </c>
      <c r="BF87" s="197"/>
      <c r="BG87" s="2868" t="str">
        <f>IF(BG59=BG28," ",BG59-BG28)</f>
        <v xml:space="preserve"> </v>
      </c>
      <c r="BH87" s="197"/>
      <c r="BI87" s="2868" t="str">
        <f>IF(BI59=BI28," ",BI59-BI28)</f>
        <v xml:space="preserve"> </v>
      </c>
      <c r="BJ87" s="197"/>
      <c r="BK87" s="2868" t="str">
        <f>IF(BK59=BK28," ",BK59-BK28)</f>
        <v xml:space="preserve"> </v>
      </c>
      <c r="BL87" s="197"/>
      <c r="BM87" s="2868" t="str">
        <f>IF(BM59=BM28," ",BM59-BM28)</f>
        <v xml:space="preserve"> </v>
      </c>
      <c r="BN87" s="197"/>
      <c r="BO87" s="197"/>
      <c r="BP87" s="197"/>
      <c r="BQ87" s="197"/>
      <c r="BR87" s="197"/>
    </row>
    <row r="88" spans="1:70">
      <c r="U88" s="161"/>
      <c r="W88" s="161"/>
      <c r="AI88" s="161"/>
    </row>
    <row r="89" spans="1:70">
      <c r="U89" s="161"/>
      <c r="W89" s="161"/>
      <c r="AA89" s="18"/>
      <c r="AC89" s="18"/>
      <c r="AE89" s="18"/>
      <c r="AG89" s="18"/>
      <c r="AI89" s="161"/>
    </row>
    <row r="90" spans="1:70">
      <c r="U90" s="161"/>
      <c r="W90" s="161"/>
      <c r="AI90" s="161"/>
    </row>
    <row r="91" spans="1:70">
      <c r="B91" s="23" t="s">
        <v>459</v>
      </c>
      <c r="U91" s="161"/>
      <c r="W91" s="161"/>
      <c r="AE91" s="1801">
        <f>AE9/'yrP&amp;L'!O65</f>
        <v>5.9536150616950492</v>
      </c>
      <c r="AG91" s="1801">
        <f>AG9/'yrP&amp;L'!P65</f>
        <v>2.4252153582897535</v>
      </c>
      <c r="AI91" s="1957">
        <f>AI9/'yrP&amp;L'!Q65</f>
        <v>2.9396305020733164</v>
      </c>
      <c r="AK91" s="1801">
        <f>AK9/'yrP&amp;L'!R65</f>
        <v>1.2422391111530682</v>
      </c>
      <c r="AM91" s="1801">
        <f>AM9/'yrP&amp;L'!S65</f>
        <v>2.6773268810982827</v>
      </c>
      <c r="AO91" s="1801">
        <f>AO9/'yrP&amp;L'!T65</f>
        <v>3.4776060551258374</v>
      </c>
      <c r="AQ91" s="1801">
        <f>AQ9/'yrP&amp;L'!U65</f>
        <v>5.5207871100026011</v>
      </c>
      <c r="AS91" s="1801">
        <f>AS9/'yrP&amp;L'!V65</f>
        <v>3.3946778660994847</v>
      </c>
      <c r="AU91" s="1801">
        <f>AU9/'yrP&amp;L'!W65</f>
        <v>2.9748548406058459</v>
      </c>
      <c r="AW91" s="1801">
        <f>AW9/'yrP&amp;L'!X65</f>
        <v>2.6047194956346518</v>
      </c>
      <c r="AY91" s="1801">
        <f>AY9/'yrP&amp;L'!Y65</f>
        <v>5.1328807147320514</v>
      </c>
      <c r="BA91" s="1801">
        <f>BA9/'yrP&amp;L'!Z65</f>
        <v>5.64242079473755</v>
      </c>
      <c r="BB91" s="1801"/>
      <c r="BC91" s="1801">
        <f>BC9/'yrP&amp;L'!AA65</f>
        <v>8.5860430795356635</v>
      </c>
      <c r="BD91" s="1801"/>
      <c r="BE91" s="1801">
        <f>BE9/'yrP&amp;L'!AB65</f>
        <v>6.6440234999055248</v>
      </c>
      <c r="BF91" s="1801"/>
      <c r="BG91" s="1801">
        <f>BG9/'yrP&amp;L'!AC65</f>
        <v>5.2773169627307643</v>
      </c>
      <c r="BH91" s="1801"/>
      <c r="BI91" s="1801">
        <f>BI9/'yrP&amp;L'!AD65</f>
        <v>6.0301298131622101</v>
      </c>
      <c r="BJ91" s="1801"/>
      <c r="BK91" s="1801">
        <f>BK9/'yrP&amp;L'!AE65</f>
        <v>12.382661810463825</v>
      </c>
      <c r="BL91" s="1801"/>
      <c r="BM91" s="1801">
        <f>BM9/'yrP&amp;L'!AF65</f>
        <v>13.882040429965459</v>
      </c>
      <c r="BN91" s="1801"/>
      <c r="BO91" s="1801">
        <f>BO9/'yrP&amp;L'!AG65</f>
        <v>15.987577928945905</v>
      </c>
      <c r="BP91" s="1801"/>
      <c r="BQ91" s="2794">
        <f>BQ9/'yrP&amp;L'!AH65</f>
        <v>18.715934582644611</v>
      </c>
      <c r="BR91" s="1801"/>
    </row>
    <row r="92" spans="1:70">
      <c r="U92" s="161"/>
      <c r="W92" s="161"/>
      <c r="AI92" s="161"/>
    </row>
    <row r="93" spans="1:70">
      <c r="U93" s="161"/>
      <c r="W93" s="161"/>
      <c r="AI93" s="161"/>
    </row>
    <row r="94" spans="1:70">
      <c r="B94" s="1902"/>
      <c r="C94" s="1902"/>
      <c r="D94" s="1902"/>
      <c r="E94" s="1902"/>
      <c r="F94" s="1902"/>
      <c r="G94" s="1902"/>
      <c r="H94" s="1902"/>
      <c r="I94" s="1902"/>
      <c r="J94" s="1902"/>
      <c r="K94" s="1902"/>
      <c r="L94" s="1902"/>
      <c r="M94" s="1902"/>
      <c r="N94" s="1902"/>
      <c r="O94" s="1902"/>
      <c r="P94" s="1902"/>
      <c r="Q94" s="1902"/>
      <c r="R94" s="1902"/>
      <c r="S94" s="1902"/>
      <c r="T94" s="1902"/>
      <c r="U94" s="1901"/>
      <c r="V94" s="1902"/>
      <c r="W94" s="1901"/>
      <c r="X94" s="1902"/>
      <c r="Y94" s="1902"/>
      <c r="Z94" s="1902"/>
      <c r="AA94" s="1902"/>
      <c r="AB94" s="1902"/>
      <c r="AC94" s="1902"/>
      <c r="AD94" s="1902"/>
      <c r="AE94" s="1902"/>
      <c r="AF94" s="1902"/>
      <c r="AG94" s="1902"/>
      <c r="AH94" s="1902"/>
      <c r="AI94" s="1902"/>
      <c r="AJ94" s="1902"/>
      <c r="AK94" s="1902"/>
      <c r="AL94" s="1902"/>
      <c r="AM94" s="1902"/>
      <c r="AN94" s="1902"/>
      <c r="AO94" s="1902"/>
      <c r="AP94" s="1902"/>
      <c r="AQ94" s="1902"/>
      <c r="AR94" s="1902"/>
      <c r="AS94" s="1902"/>
      <c r="AT94" s="1902"/>
      <c r="AU94" s="1902"/>
      <c r="AV94" s="1902"/>
      <c r="AW94" s="1902"/>
      <c r="AX94" s="1902"/>
      <c r="AY94" s="1902"/>
      <c r="AZ94" s="1902"/>
      <c r="BA94" s="1902"/>
      <c r="BB94" s="1902"/>
      <c r="BC94" s="1902"/>
      <c r="BD94" s="1902"/>
      <c r="BE94" s="1902"/>
      <c r="BF94" s="1902"/>
      <c r="BG94" s="1902"/>
      <c r="BH94" s="1902"/>
      <c r="BI94" s="1902"/>
      <c r="BJ94" s="1902"/>
      <c r="BK94" s="1902"/>
      <c r="BL94" s="1902"/>
      <c r="BM94" s="1902"/>
      <c r="BN94" s="1902"/>
      <c r="BO94" s="1902"/>
      <c r="BP94" s="1902"/>
      <c r="BQ94" s="1902"/>
      <c r="BR94" s="1903"/>
    </row>
    <row r="95" spans="1:70">
      <c r="B95" s="1904" t="s">
        <v>993</v>
      </c>
      <c r="C95" s="1904"/>
      <c r="D95" s="1903"/>
      <c r="E95" s="139"/>
      <c r="F95" s="139"/>
      <c r="G95" s="139"/>
      <c r="H95" s="139"/>
      <c r="I95" s="139"/>
      <c r="J95" s="139"/>
      <c r="K95" s="139"/>
      <c r="L95" s="139"/>
      <c r="M95" s="139"/>
      <c r="N95" s="139"/>
      <c r="O95" s="139"/>
      <c r="P95" s="139"/>
      <c r="Q95" s="139"/>
      <c r="R95" s="139"/>
      <c r="S95" s="139"/>
      <c r="T95" s="139"/>
      <c r="U95" s="625"/>
      <c r="V95" s="139"/>
      <c r="W95" s="1958">
        <v>2944.8270000000002</v>
      </c>
      <c r="X95" s="1903"/>
      <c r="Y95" s="1959">
        <v>3145.0480000000002</v>
      </c>
      <c r="Z95" s="1903"/>
      <c r="AA95" s="1959">
        <v>3018</v>
      </c>
      <c r="AB95" s="1903"/>
      <c r="AC95" s="1959">
        <v>3631</v>
      </c>
      <c r="AD95" s="1903"/>
      <c r="AE95" s="1960">
        <v>3744</v>
      </c>
      <c r="AF95" s="1960"/>
      <c r="AG95" s="1960">
        <v>3782</v>
      </c>
      <c r="AH95" s="139"/>
      <c r="AI95" s="1908">
        <f>AG95+flow!AH22</f>
        <v>4261.723</v>
      </c>
      <c r="AJ95" s="139"/>
      <c r="AK95" s="1908">
        <f>AI95+flow!AJ22</f>
        <v>4809.8270000000002</v>
      </c>
      <c r="AL95" s="139"/>
      <c r="AM95" s="1908">
        <f>AK95+flow!AL22</f>
        <v>5558.5839999999998</v>
      </c>
      <c r="AN95" s="139"/>
      <c r="AO95" s="1908">
        <f>AM95+flow!AN22</f>
        <v>6037.5839999999998</v>
      </c>
      <c r="AP95" s="139"/>
      <c r="AQ95" s="1908">
        <f>AO95+flow!AP22</f>
        <v>6239.5839999999998</v>
      </c>
      <c r="AR95" s="139"/>
      <c r="AS95" s="1908">
        <f>AQ95+flow!AR22</f>
        <v>6513.5839999999998</v>
      </c>
      <c r="AT95" s="139"/>
      <c r="AU95" s="1908">
        <f>AS95+flow!AT22</f>
        <v>6939.5839999999998</v>
      </c>
      <c r="AV95" s="139"/>
      <c r="AW95" s="1908">
        <f>AU95+flow!AV22</f>
        <v>7527.6660000000002</v>
      </c>
      <c r="AX95" s="139"/>
      <c r="AY95" s="1908">
        <f>AW95+flow!AX22</f>
        <v>8218.1959999999999</v>
      </c>
      <c r="AZ95" s="139"/>
      <c r="BA95" s="1908">
        <f>AY95+flow!AZ22</f>
        <v>8933.1640000000007</v>
      </c>
      <c r="BB95" s="1908"/>
      <c r="BC95" s="1908">
        <f>BA95+flow!BB22</f>
        <v>9660.1150000000016</v>
      </c>
      <c r="BD95" s="1908"/>
      <c r="BE95" s="1908">
        <f>BC95+flow!BD22</f>
        <v>10650.604000000001</v>
      </c>
      <c r="BF95" s="1908"/>
      <c r="BG95" s="1908">
        <f>BE95+flow!BF22</f>
        <v>11357.279</v>
      </c>
      <c r="BH95" s="1908"/>
      <c r="BI95" s="1908">
        <f>BG95+flow!BH22</f>
        <v>12107.279</v>
      </c>
      <c r="BJ95" s="1908"/>
      <c r="BK95" s="1908">
        <f>BI95+flow!BJ22</f>
        <v>12857.279</v>
      </c>
      <c r="BL95" s="1908"/>
      <c r="BM95" s="1908">
        <f>BK95+flow!BL22</f>
        <v>13607.279</v>
      </c>
      <c r="BN95" s="1908"/>
      <c r="BO95" s="1908">
        <f>BM95+flow!BN22</f>
        <v>14357.279</v>
      </c>
      <c r="BP95" s="1908"/>
      <c r="BQ95" s="1908">
        <f>BO95+flow!BP22</f>
        <v>15107.279</v>
      </c>
      <c r="BR95" s="1908"/>
    </row>
    <row r="96" spans="1:70">
      <c r="B96" s="1904" t="s">
        <v>153</v>
      </c>
      <c r="C96" s="1904"/>
      <c r="D96" s="1903"/>
      <c r="E96" s="139"/>
      <c r="F96" s="139"/>
      <c r="G96" s="139"/>
      <c r="H96" s="139"/>
      <c r="I96" s="139"/>
      <c r="J96" s="139"/>
      <c r="K96" s="139"/>
      <c r="L96" s="139"/>
      <c r="M96" s="139"/>
      <c r="N96" s="139"/>
      <c r="O96" s="139"/>
      <c r="P96" s="139"/>
      <c r="Q96" s="139"/>
      <c r="R96" s="139"/>
      <c r="S96" s="139"/>
      <c r="T96" s="139"/>
      <c r="U96" s="625"/>
      <c r="V96" s="139"/>
      <c r="W96" s="1958">
        <v>1715.2149999999999</v>
      </c>
      <c r="X96" s="1903"/>
      <c r="Y96" s="1959">
        <v>1750.4290000000001</v>
      </c>
      <c r="Z96" s="1903"/>
      <c r="AA96" s="1959">
        <v>1659</v>
      </c>
      <c r="AB96" s="1903"/>
      <c r="AC96" s="1959">
        <v>2139</v>
      </c>
      <c r="AD96" s="1903"/>
      <c r="AE96" s="1960">
        <v>2284</v>
      </c>
      <c r="AF96" s="1960"/>
      <c r="AG96" s="1960">
        <v>2298</v>
      </c>
      <c r="AH96" s="139"/>
      <c r="AI96" s="1961">
        <f>AG96+flow!AH67</f>
        <v>2589.6005711526868</v>
      </c>
      <c r="AJ96" s="139"/>
      <c r="AK96" s="1961">
        <f>AI96+flow!AJ67</f>
        <v>2897.7903851556193</v>
      </c>
      <c r="AL96" s="139"/>
      <c r="AM96" s="1961">
        <f>AK96+flow!AL67</f>
        <v>3244.5507701556194</v>
      </c>
      <c r="AN96" s="139"/>
      <c r="AO96" s="1961">
        <f>AM96+flow!AN67</f>
        <v>3583.9584101556193</v>
      </c>
      <c r="AP96" s="139"/>
      <c r="AQ96" s="1961">
        <f>AO96+flow!AP67</f>
        <v>3937.3884101556191</v>
      </c>
      <c r="AR96" s="139"/>
      <c r="AS96" s="1961">
        <f>AQ96+flow!AR67</f>
        <v>4292.7984101556194</v>
      </c>
      <c r="AT96" s="139"/>
      <c r="AU96" s="1961">
        <f>AS96+flow!AT67</f>
        <v>4645.238410155619</v>
      </c>
      <c r="AV96" s="139"/>
      <c r="AW96" s="1961">
        <f>AU96+flow!AV67</f>
        <v>4995.6984101556191</v>
      </c>
      <c r="AX96" s="139"/>
      <c r="AY96" s="1961">
        <f>AW96+flow!AX67</f>
        <v>5360.0184101556188</v>
      </c>
      <c r="AZ96" s="139"/>
      <c r="BA96" s="1961">
        <f>AY96+flow!AZ67</f>
        <v>5753.8483301556189</v>
      </c>
      <c r="BB96" s="1961"/>
      <c r="BC96" s="1961">
        <f>BA96+flow!BB67</f>
        <v>6164.6706101556192</v>
      </c>
      <c r="BD96" s="1961"/>
      <c r="BE96" s="1961">
        <f>BC96+flow!BD67</f>
        <v>6631.950610155619</v>
      </c>
      <c r="BF96" s="1961"/>
      <c r="BG96" s="1961">
        <f>BE96+flow!BF67</f>
        <v>7150.3146101556194</v>
      </c>
      <c r="BH96" s="1961"/>
      <c r="BI96" s="1961">
        <f>BG96+flow!BH67</f>
        <v>7704.7146101556191</v>
      </c>
      <c r="BJ96" s="1961"/>
      <c r="BK96" s="1961">
        <f>BI96+flow!BJ67</f>
        <v>8314.5546101556192</v>
      </c>
      <c r="BL96" s="1961"/>
      <c r="BM96" s="1961">
        <f>BK96+flow!BL67</f>
        <v>8985.3786101556198</v>
      </c>
      <c r="BN96" s="1961"/>
      <c r="BO96" s="1961">
        <f>BM96+flow!BR67</f>
        <v>8985.3786101556198</v>
      </c>
      <c r="BP96" s="1961"/>
      <c r="BQ96" s="1961">
        <f>BO96+flow!BT67</f>
        <v>8985.3786101556198</v>
      </c>
      <c r="BR96" s="1961"/>
    </row>
    <row r="97" spans="2:70">
      <c r="B97" s="1904"/>
      <c r="C97" s="1904"/>
      <c r="D97" s="1903"/>
      <c r="E97" s="139"/>
      <c r="F97" s="139"/>
      <c r="G97" s="139"/>
      <c r="H97" s="139"/>
      <c r="I97" s="139"/>
      <c r="J97" s="139"/>
      <c r="K97" s="139"/>
      <c r="L97" s="139"/>
      <c r="M97" s="139"/>
      <c r="N97" s="139"/>
      <c r="O97" s="139"/>
      <c r="P97" s="139"/>
      <c r="Q97" s="139"/>
      <c r="R97" s="139"/>
      <c r="S97" s="139"/>
      <c r="T97" s="139"/>
      <c r="U97" s="625"/>
      <c r="V97" s="139"/>
      <c r="W97" s="625"/>
      <c r="X97" s="139"/>
      <c r="Y97" s="139"/>
      <c r="Z97" s="139"/>
      <c r="AA97" s="139"/>
      <c r="AB97" s="139"/>
      <c r="AC97" s="139"/>
      <c r="AD97" s="139"/>
      <c r="AE97" s="139"/>
      <c r="AF97" s="139"/>
      <c r="AG97" s="1962"/>
      <c r="AH97" s="139"/>
      <c r="AI97" s="625"/>
      <c r="AJ97" s="139"/>
      <c r="AK97" s="139"/>
      <c r="AL97" s="139"/>
      <c r="AM97" s="139"/>
      <c r="AN97" s="139"/>
      <c r="AO97" s="139"/>
      <c r="AP97" s="139"/>
      <c r="AQ97" s="139"/>
      <c r="AR97" s="139"/>
      <c r="AS97" s="139"/>
      <c r="AT97" s="139"/>
      <c r="AU97" s="139"/>
      <c r="AV97" s="139"/>
      <c r="AW97" s="139"/>
      <c r="AX97" s="139"/>
      <c r="AY97" s="139"/>
      <c r="AZ97" s="139"/>
      <c r="BA97" s="139"/>
      <c r="BB97" s="139"/>
      <c r="BC97" s="139"/>
      <c r="BD97" s="139"/>
      <c r="BE97" s="139"/>
      <c r="BF97" s="139"/>
      <c r="BG97" s="139"/>
      <c r="BH97" s="139"/>
      <c r="BI97" s="139"/>
      <c r="BJ97" s="139"/>
      <c r="BK97" s="139"/>
      <c r="BL97" s="139"/>
      <c r="BM97" s="139"/>
      <c r="BN97" s="139"/>
      <c r="BO97" s="139"/>
      <c r="BP97" s="139"/>
      <c r="BQ97" s="139"/>
      <c r="BR97" s="139"/>
    </row>
    <row r="98" spans="2:70">
      <c r="B98" s="1909"/>
      <c r="C98" s="1909"/>
      <c r="D98" s="1903"/>
      <c r="E98" s="139"/>
      <c r="F98" s="139"/>
      <c r="G98" s="139"/>
      <c r="H98" s="139"/>
      <c r="I98" s="139"/>
      <c r="J98" s="139"/>
      <c r="K98" s="139"/>
      <c r="L98" s="139"/>
      <c r="M98" s="139"/>
      <c r="N98" s="139"/>
      <c r="O98" s="139"/>
      <c r="P98" s="139"/>
      <c r="Q98" s="139"/>
      <c r="R98" s="139"/>
      <c r="S98" s="139"/>
      <c r="T98" s="139"/>
      <c r="U98" s="625"/>
      <c r="V98" s="139"/>
      <c r="W98" s="625"/>
      <c r="X98" s="139"/>
      <c r="Y98" s="139"/>
      <c r="Z98" s="139"/>
      <c r="AA98" s="139"/>
      <c r="AB98" s="139"/>
      <c r="AC98" s="139"/>
      <c r="AD98" s="139"/>
      <c r="AE98" s="139"/>
      <c r="AF98" s="139"/>
      <c r="AG98" s="139"/>
      <c r="AH98" s="139"/>
      <c r="AI98" s="625"/>
      <c r="AJ98" s="139"/>
      <c r="AK98" s="139"/>
      <c r="AL98" s="139"/>
      <c r="AM98" s="139"/>
      <c r="AN98" s="139"/>
      <c r="AO98" s="139"/>
      <c r="AP98" s="139"/>
      <c r="AQ98" s="139"/>
      <c r="AR98" s="139"/>
      <c r="AS98" s="139"/>
      <c r="AT98" s="139"/>
      <c r="AU98" s="139"/>
      <c r="AV98" s="139"/>
      <c r="AW98" s="139"/>
      <c r="AX98" s="139"/>
      <c r="AY98" s="139"/>
      <c r="AZ98" s="139"/>
      <c r="BA98" s="139"/>
      <c r="BB98" s="139"/>
      <c r="BC98" s="139"/>
      <c r="BD98" s="139"/>
      <c r="BE98" s="139"/>
      <c r="BF98" s="139"/>
      <c r="BG98" s="139"/>
      <c r="BH98" s="139"/>
      <c r="BI98" s="139"/>
      <c r="BJ98" s="139"/>
      <c r="BK98" s="139"/>
      <c r="BL98" s="139"/>
      <c r="BM98" s="139"/>
      <c r="BN98" s="139"/>
      <c r="BO98" s="139"/>
      <c r="BP98" s="139"/>
      <c r="BQ98" s="139"/>
      <c r="BR98" s="139"/>
    </row>
    <row r="99" spans="2:70">
      <c r="B99" s="1909" t="s">
        <v>154</v>
      </c>
      <c r="C99" s="1909"/>
      <c r="D99" s="1903"/>
      <c r="E99" s="139"/>
      <c r="F99" s="139"/>
      <c r="G99" s="139"/>
      <c r="H99" s="139"/>
      <c r="I99" s="139"/>
      <c r="J99" s="139"/>
      <c r="K99" s="139"/>
      <c r="L99" s="139"/>
      <c r="M99" s="139"/>
      <c r="N99" s="139"/>
      <c r="O99" s="139"/>
      <c r="P99" s="139"/>
      <c r="Q99" s="139"/>
      <c r="R99" s="139"/>
      <c r="S99" s="139"/>
      <c r="T99" s="139"/>
      <c r="U99" s="1963">
        <v>0</v>
      </c>
      <c r="V99" s="1964"/>
      <c r="W99" s="1963">
        <v>0</v>
      </c>
      <c r="X99" s="1964"/>
      <c r="Y99" s="1965">
        <v>0</v>
      </c>
      <c r="Z99" s="1964"/>
      <c r="AA99" s="1965">
        <v>0</v>
      </c>
      <c r="AB99" s="1964"/>
      <c r="AC99" s="1965">
        <v>0</v>
      </c>
      <c r="AD99" s="1964"/>
      <c r="AE99" s="1965">
        <v>0</v>
      </c>
      <c r="AF99" s="1964"/>
      <c r="AG99" s="1965">
        <v>0</v>
      </c>
      <c r="AH99" s="1964"/>
      <c r="AI99" s="1965">
        <v>0</v>
      </c>
      <c r="AJ99" s="1964"/>
      <c r="AK99" s="1965">
        <v>0</v>
      </c>
      <c r="AL99" s="1964"/>
      <c r="AM99" s="1965">
        <v>0</v>
      </c>
      <c r="AN99" s="1964"/>
      <c r="AO99" s="1965">
        <v>0</v>
      </c>
      <c r="AP99" s="1964"/>
      <c r="AQ99" s="1965">
        <v>0</v>
      </c>
      <c r="AR99" s="1964"/>
      <c r="AS99" s="1965">
        <v>0</v>
      </c>
      <c r="AT99" s="1964"/>
      <c r="AU99" s="1965">
        <v>0</v>
      </c>
      <c r="AV99" s="1964"/>
      <c r="AW99" s="1965">
        <v>0</v>
      </c>
      <c r="AX99" s="1964"/>
      <c r="AY99" s="1965">
        <v>0</v>
      </c>
      <c r="AZ99" s="1964"/>
      <c r="BA99" s="1965">
        <v>0</v>
      </c>
      <c r="BB99" s="1965"/>
      <c r="BC99" s="1965">
        <v>0</v>
      </c>
      <c r="BD99" s="1965"/>
      <c r="BE99" s="1965">
        <v>0</v>
      </c>
      <c r="BF99" s="1965"/>
      <c r="BG99" s="1965">
        <v>0</v>
      </c>
      <c r="BH99" s="1965"/>
      <c r="BI99" s="1965">
        <v>0</v>
      </c>
      <c r="BJ99" s="1965"/>
      <c r="BK99" s="1965">
        <v>0</v>
      </c>
      <c r="BL99" s="1965"/>
      <c r="BM99" s="1965">
        <v>0</v>
      </c>
      <c r="BN99" s="1965"/>
      <c r="BO99" s="1965">
        <v>0</v>
      </c>
      <c r="BP99" s="1965"/>
      <c r="BQ99" s="1965">
        <v>0</v>
      </c>
      <c r="BR99" s="1965"/>
    </row>
    <row r="100" spans="2:70">
      <c r="B100" s="1909" t="s">
        <v>155</v>
      </c>
      <c r="C100" s="1909"/>
      <c r="D100" s="1903"/>
      <c r="E100" s="139"/>
      <c r="F100" s="139"/>
      <c r="G100" s="139"/>
      <c r="H100" s="139"/>
      <c r="I100" s="139"/>
      <c r="J100" s="139"/>
      <c r="K100" s="139"/>
      <c r="L100" s="139"/>
      <c r="M100" s="139"/>
      <c r="N100" s="139"/>
      <c r="O100" s="139"/>
      <c r="P100" s="139"/>
      <c r="Q100" s="139"/>
      <c r="R100" s="139"/>
      <c r="S100" s="139"/>
      <c r="T100" s="139"/>
      <c r="U100" s="1966">
        <v>0</v>
      </c>
      <c r="V100" s="1964"/>
      <c r="W100" s="1966">
        <v>0</v>
      </c>
      <c r="X100" s="1964"/>
      <c r="Y100" s="1967">
        <v>0</v>
      </c>
      <c r="Z100" s="1964"/>
      <c r="AA100" s="1967">
        <v>0</v>
      </c>
      <c r="AB100" s="1964"/>
      <c r="AC100" s="1967">
        <v>0</v>
      </c>
      <c r="AD100" s="1964"/>
      <c r="AE100" s="1967">
        <v>0</v>
      </c>
      <c r="AF100" s="1964"/>
      <c r="AG100" s="1967">
        <v>0</v>
      </c>
      <c r="AH100" s="1964"/>
      <c r="AI100" s="1967">
        <v>0</v>
      </c>
      <c r="AJ100" s="1964"/>
      <c r="AK100" s="1967">
        <v>0</v>
      </c>
      <c r="AL100" s="1964"/>
      <c r="AM100" s="1967">
        <v>0</v>
      </c>
      <c r="AN100" s="1964"/>
      <c r="AO100" s="1967">
        <v>0</v>
      </c>
      <c r="AP100" s="1964"/>
      <c r="AQ100" s="1967">
        <v>0</v>
      </c>
      <c r="AR100" s="1964"/>
      <c r="AS100" s="1967">
        <v>0</v>
      </c>
      <c r="AT100" s="1964"/>
      <c r="AU100" s="1967">
        <v>0</v>
      </c>
      <c r="AV100" s="1964"/>
      <c r="AW100" s="1967">
        <v>0</v>
      </c>
      <c r="AX100" s="1964"/>
      <c r="AY100" s="1967">
        <v>0</v>
      </c>
      <c r="AZ100" s="1964"/>
      <c r="BA100" s="1967">
        <v>0</v>
      </c>
      <c r="BB100" s="1967"/>
      <c r="BC100" s="1967">
        <v>0</v>
      </c>
      <c r="BD100" s="1967"/>
      <c r="BE100" s="1967">
        <v>0</v>
      </c>
      <c r="BF100" s="1967"/>
      <c r="BG100" s="1967">
        <v>0</v>
      </c>
      <c r="BH100" s="1967"/>
      <c r="BI100" s="1967">
        <v>0</v>
      </c>
      <c r="BJ100" s="1967"/>
      <c r="BK100" s="1967">
        <v>0</v>
      </c>
      <c r="BL100" s="1967"/>
      <c r="BM100" s="1967">
        <v>0</v>
      </c>
      <c r="BN100" s="1967"/>
      <c r="BO100" s="1967">
        <v>0</v>
      </c>
      <c r="BP100" s="1967"/>
      <c r="BQ100" s="1967">
        <v>0</v>
      </c>
      <c r="BR100" s="1967"/>
    </row>
    <row r="101" spans="2:70">
      <c r="B101" s="1909" t="s">
        <v>156</v>
      </c>
      <c r="C101" s="1909"/>
      <c r="D101" s="1903"/>
      <c r="E101" s="139"/>
      <c r="F101" s="139"/>
      <c r="G101" s="139"/>
      <c r="H101" s="139"/>
      <c r="I101" s="139"/>
      <c r="J101" s="139"/>
      <c r="K101" s="139"/>
      <c r="L101" s="139"/>
      <c r="M101" s="139"/>
      <c r="N101" s="139"/>
      <c r="O101" s="139"/>
      <c r="P101" s="139"/>
      <c r="Q101" s="139"/>
      <c r="R101" s="139"/>
      <c r="S101" s="139"/>
      <c r="T101" s="139"/>
      <c r="U101" s="1963">
        <f>U99-U100</f>
        <v>0</v>
      </c>
      <c r="V101" s="1964"/>
      <c r="W101" s="1963">
        <f>W99-W100</f>
        <v>0</v>
      </c>
      <c r="X101" s="1964"/>
      <c r="Y101" s="1965">
        <f>Y99-Y100</f>
        <v>0</v>
      </c>
      <c r="Z101" s="1964"/>
      <c r="AA101" s="1965">
        <f>AA99-AA100</f>
        <v>0</v>
      </c>
      <c r="AB101" s="1964"/>
      <c r="AC101" s="1965">
        <f>AC99-AC100</f>
        <v>0</v>
      </c>
      <c r="AD101" s="1964"/>
      <c r="AE101" s="1965">
        <f>AE99-AE100</f>
        <v>0</v>
      </c>
      <c r="AF101" s="1964"/>
      <c r="AG101" s="1965">
        <f>AG99-AG100</f>
        <v>0</v>
      </c>
      <c r="AH101" s="1964"/>
      <c r="AI101" s="1965">
        <f>AI99-AI100</f>
        <v>0</v>
      </c>
      <c r="AJ101" s="1964"/>
      <c r="AK101" s="1965">
        <f>AK99-AK100</f>
        <v>0</v>
      </c>
      <c r="AL101" s="1964"/>
      <c r="AM101" s="1965">
        <f>AM99-AM100</f>
        <v>0</v>
      </c>
      <c r="AN101" s="1964"/>
      <c r="AO101" s="1965">
        <f>AO99-AO100</f>
        <v>0</v>
      </c>
      <c r="AP101" s="1964"/>
      <c r="AQ101" s="1965">
        <f>AQ99-AQ100</f>
        <v>0</v>
      </c>
      <c r="AR101" s="1964"/>
      <c r="AS101" s="1965">
        <f>AS99-AS100</f>
        <v>0</v>
      </c>
      <c r="AT101" s="1964"/>
      <c r="AU101" s="1965">
        <f>AU99-AU100</f>
        <v>0</v>
      </c>
      <c r="AV101" s="1964"/>
      <c r="AW101" s="1965">
        <f>AW99-AW100</f>
        <v>0</v>
      </c>
      <c r="AX101" s="1964"/>
      <c r="AY101" s="1965">
        <f>AY99-AY100</f>
        <v>0</v>
      </c>
      <c r="AZ101" s="1964"/>
      <c r="BA101" s="1965">
        <f>BA99-BA100</f>
        <v>0</v>
      </c>
      <c r="BB101" s="1965"/>
      <c r="BC101" s="1965">
        <f>BC99-BC100</f>
        <v>0</v>
      </c>
      <c r="BD101" s="1965"/>
      <c r="BE101" s="1965">
        <f>BE99-BE100</f>
        <v>0</v>
      </c>
      <c r="BF101" s="1965"/>
      <c r="BG101" s="1965">
        <f>BG99-BG100</f>
        <v>0</v>
      </c>
      <c r="BH101" s="1965"/>
      <c r="BI101" s="1965">
        <f>BI99-BI100</f>
        <v>0</v>
      </c>
      <c r="BJ101" s="1965"/>
      <c r="BK101" s="1965">
        <f>BK99-BK100</f>
        <v>0</v>
      </c>
      <c r="BL101" s="1965"/>
      <c r="BM101" s="1965">
        <f>BM99-BM100</f>
        <v>0</v>
      </c>
      <c r="BN101" s="1965"/>
      <c r="BO101" s="1965">
        <f>BO99-BO100</f>
        <v>0</v>
      </c>
      <c r="BP101" s="1965"/>
      <c r="BQ101" s="1965">
        <f>BQ99-BQ100</f>
        <v>0</v>
      </c>
      <c r="BR101" s="1965"/>
    </row>
  </sheetData>
  <phoneticPr fontId="0" type="noConversion"/>
  <printOptions horizontalCentered="1"/>
  <pageMargins left="0" right="0" top="0" bottom="0" header="0" footer="0"/>
  <pageSetup paperSize="5" scale="89" orientation="landscape" r:id="rId1"/>
  <headerFooter alignWithMargins="0">
    <oddFooter>&amp;R&amp;8&amp;D/&amp;T
&amp;F/&amp;A</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A1:CC79"/>
  <sheetViews>
    <sheetView showGridLines="0" topLeftCell="C1" zoomScale="85" zoomScaleNormal="75" zoomScaleSheetLayoutView="90" workbookViewId="0">
      <selection activeCell="BP23" sqref="BP23"/>
    </sheetView>
  </sheetViews>
  <sheetFormatPr defaultRowHeight="12.75" outlineLevelRow="1" outlineLevelCol="1"/>
  <cols>
    <col min="1" max="1" width="2.7109375" style="23" customWidth="1"/>
    <col min="2" max="2" width="4.28515625" style="23" customWidth="1"/>
    <col min="3" max="3" width="42.140625" style="23" customWidth="1"/>
    <col min="4" max="4" width="10.7109375" style="23" hidden="1" customWidth="1" outlineLevel="1"/>
    <col min="5" max="5" width="2.28515625" style="23" hidden="1" customWidth="1" outlineLevel="1"/>
    <col min="6" max="6" width="10.7109375" style="23" hidden="1" customWidth="1" outlineLevel="1"/>
    <col min="7" max="7" width="2.28515625" style="23" hidden="1" customWidth="1" outlineLevel="1"/>
    <col min="8" max="8" width="10.7109375" style="23" hidden="1" customWidth="1" outlineLevel="1"/>
    <col min="9" max="9" width="2.28515625" style="23" hidden="1" customWidth="1" outlineLevel="1"/>
    <col min="10" max="10" width="10.7109375" style="23" hidden="1" customWidth="1" outlineLevel="1"/>
    <col min="11" max="11" width="2.28515625" style="23" hidden="1" customWidth="1" outlineLevel="1"/>
    <col min="12" max="12" width="10.7109375" style="23" hidden="1" customWidth="1" outlineLevel="1"/>
    <col min="13" max="13" width="2.28515625" style="23" hidden="1" customWidth="1" outlineLevel="1"/>
    <col min="14" max="14" width="10.7109375" style="23" hidden="1" customWidth="1" outlineLevel="1"/>
    <col min="15" max="15" width="2.28515625" style="23" hidden="1" customWidth="1" outlineLevel="1"/>
    <col min="16" max="16" width="10.7109375" style="23" hidden="1" customWidth="1" outlineLevel="1"/>
    <col min="17" max="17" width="2.28515625" style="23" hidden="1" customWidth="1" outlineLevel="1"/>
    <col min="18" max="18" width="10.7109375" style="23" hidden="1" customWidth="1" outlineLevel="1" collapsed="1"/>
    <col min="19" max="19" width="2.28515625" style="23" hidden="1" customWidth="1" outlineLevel="1"/>
    <col min="20" max="20" width="9.140625" style="23" hidden="1" customWidth="1" outlineLevel="1"/>
    <col min="21" max="21" width="2.28515625" style="23" hidden="1" customWidth="1" outlineLevel="1"/>
    <col min="22" max="22" width="8.42578125" style="23" hidden="1" customWidth="1" outlineLevel="1" collapsed="1"/>
    <col min="23" max="23" width="2.140625" style="23" hidden="1" customWidth="1" outlineLevel="1"/>
    <col min="24" max="24" width="8.7109375" style="23" hidden="1" customWidth="1" outlineLevel="1"/>
    <col min="25" max="25" width="1" style="23" hidden="1" customWidth="1" outlineLevel="1"/>
    <col min="26" max="26" width="9.7109375" style="23" hidden="1" customWidth="1" outlineLevel="1"/>
    <col min="27" max="27" width="1" style="23" hidden="1" customWidth="1" outlineLevel="1"/>
    <col min="28" max="28" width="9.7109375" style="23" hidden="1" customWidth="1" outlineLevel="1"/>
    <col min="29" max="29" width="1" style="23" hidden="1" customWidth="1" outlineLevel="1"/>
    <col min="30" max="30" width="9.7109375" style="23" hidden="1" customWidth="1" outlineLevel="1"/>
    <col min="31" max="31" width="2.140625" style="23" hidden="1" customWidth="1" outlineLevel="1"/>
    <col min="32" max="32" width="9.7109375" style="23" hidden="1" customWidth="1" outlineLevel="1"/>
    <col min="33" max="33" width="1" style="23" hidden="1" customWidth="1" outlineLevel="1"/>
    <col min="34" max="34" width="9.7109375" style="23" hidden="1" customWidth="1" outlineLevel="1"/>
    <col min="35" max="35" width="2.140625" style="23" hidden="1" customWidth="1" outlineLevel="1"/>
    <col min="36" max="36" width="9.7109375" style="23" hidden="1" customWidth="1" outlineLevel="1"/>
    <col min="37" max="37" width="1" style="23" hidden="1" customWidth="1" outlineLevel="1"/>
    <col min="38" max="38" width="9.7109375" style="23" hidden="1" customWidth="1" outlineLevel="1"/>
    <col min="39" max="39" width="1" style="23" hidden="1" customWidth="1" outlineLevel="1"/>
    <col min="40" max="40" width="9.7109375" style="23" hidden="1" customWidth="1" outlineLevel="1"/>
    <col min="41" max="41" width="1" style="23" hidden="1" customWidth="1" outlineLevel="1"/>
    <col min="42" max="42" width="9.7109375" style="23" customWidth="1" collapsed="1"/>
    <col min="43" max="43" width="1" style="23" customWidth="1"/>
    <col min="44" max="44" width="9.7109375" style="23" customWidth="1"/>
    <col min="45" max="45" width="1" style="23" customWidth="1"/>
    <col min="46" max="46" width="9.7109375" style="23" customWidth="1"/>
    <col min="47" max="47" width="1" style="23" customWidth="1"/>
    <col min="48" max="48" width="9.7109375" style="23" customWidth="1"/>
    <col min="49" max="49" width="1" style="23" customWidth="1"/>
    <col min="50" max="50" width="9.7109375" style="23" customWidth="1"/>
    <col min="51" max="51" width="1" style="23" customWidth="1"/>
    <col min="52" max="52" width="9.7109375" style="23" customWidth="1"/>
    <col min="53" max="53" width="1" style="23" customWidth="1"/>
    <col min="54" max="54" width="9.7109375" style="23" customWidth="1"/>
    <col min="55" max="55" width="1" style="23" customWidth="1"/>
    <col min="56" max="56" width="9.7109375" style="23" customWidth="1"/>
    <col min="57" max="57" width="1" style="23" customWidth="1"/>
    <col min="58" max="58" width="9.7109375" style="23" customWidth="1"/>
    <col min="59" max="59" width="1" style="23" customWidth="1"/>
    <col min="60" max="60" width="9.5703125" style="23" customWidth="1"/>
    <col min="61" max="61" width="1" style="23" customWidth="1"/>
    <col min="62" max="62" width="9.7109375" style="23" customWidth="1"/>
    <col min="63" max="63" width="1" style="23" customWidth="1"/>
    <col min="64" max="64" width="9.7109375" style="23" customWidth="1"/>
    <col min="65" max="65" width="1" style="23" customWidth="1"/>
    <col min="66" max="66" width="9.7109375" style="23" hidden="1" customWidth="1" outlineLevel="1"/>
    <col min="67" max="67" width="1" style="23" hidden="1" customWidth="1" outlineLevel="1"/>
    <col min="68" max="69" width="9.7109375" style="23" hidden="1" customWidth="1" outlineLevel="1"/>
    <col min="70" max="70" width="51.85546875" hidden="1" customWidth="1" outlineLevel="1"/>
    <col min="71" max="75" width="9.140625" hidden="1" customWidth="1" outlineLevel="1"/>
    <col min="76" max="76" width="9.140625" style="23" collapsed="1"/>
    <col min="77" max="16384" width="9.140625" style="23"/>
  </cols>
  <sheetData>
    <row r="1" spans="1:80">
      <c r="A1" s="25" t="str">
        <f>'qtrP&amp;L'!A1</f>
        <v>L Brands Inc.</v>
      </c>
      <c r="B1" s="25"/>
      <c r="C1" s="25"/>
      <c r="D1" s="25"/>
      <c r="E1" s="44"/>
      <c r="F1" s="25"/>
      <c r="G1" s="25"/>
      <c r="H1" s="25"/>
      <c r="I1" s="44"/>
      <c r="J1" s="48"/>
      <c r="K1" s="48"/>
      <c r="L1" s="48"/>
      <c r="M1" s="49"/>
      <c r="N1" s="25"/>
      <c r="O1" s="44"/>
      <c r="P1" s="25"/>
      <c r="Q1" s="25"/>
      <c r="R1" s="25"/>
      <c r="S1" s="44"/>
      <c r="T1" s="48"/>
      <c r="U1" s="48"/>
      <c r="V1" s="48"/>
      <c r="W1" s="48"/>
      <c r="X1" s="48"/>
      <c r="Y1" s="48"/>
      <c r="Z1" s="48"/>
      <c r="AA1" s="48"/>
      <c r="AB1" s="48"/>
      <c r="AC1" s="48"/>
      <c r="AD1" s="48"/>
      <c r="AE1" s="48"/>
      <c r="AF1" s="1821"/>
      <c r="AG1" s="48"/>
      <c r="AH1" s="218"/>
      <c r="AI1" s="48"/>
      <c r="AJ1" s="48"/>
      <c r="AK1" s="48"/>
      <c r="AL1" s="48"/>
      <c r="AM1" s="48"/>
      <c r="AN1" s="48"/>
      <c r="AO1" s="48"/>
      <c r="AP1" s="48"/>
      <c r="AQ1" s="48"/>
      <c r="AR1" s="48"/>
      <c r="AS1" s="48"/>
      <c r="AT1" s="48"/>
      <c r="AU1" s="48"/>
      <c r="AV1" s="48"/>
      <c r="AW1" s="48"/>
      <c r="AX1" s="48"/>
      <c r="AY1" s="48"/>
      <c r="AZ1" s="48"/>
      <c r="BA1" s="48"/>
      <c r="BB1" s="48"/>
      <c r="BC1" s="48"/>
      <c r="BD1" s="48"/>
      <c r="BE1" s="48"/>
      <c r="BF1" s="48"/>
      <c r="BG1" s="48"/>
      <c r="BH1" s="48"/>
      <c r="BI1" s="48"/>
      <c r="BJ1" s="48"/>
      <c r="BK1" s="48"/>
      <c r="BL1" s="48"/>
      <c r="BM1" s="48"/>
      <c r="BN1" s="48"/>
      <c r="BO1" s="48"/>
      <c r="BP1" s="48"/>
      <c r="BQ1" s="48"/>
    </row>
    <row r="2" spans="1:80">
      <c r="A2" s="26" t="s">
        <v>1181</v>
      </c>
      <c r="B2" s="26"/>
      <c r="C2" s="26"/>
      <c r="D2" s="26"/>
      <c r="E2" s="45"/>
      <c r="F2" s="26"/>
      <c r="G2" s="26"/>
      <c r="H2" s="26"/>
      <c r="I2" s="45"/>
      <c r="J2" s="26"/>
      <c r="K2" s="26"/>
      <c r="L2" s="26"/>
      <c r="M2" s="45"/>
      <c r="N2" s="26"/>
      <c r="O2" s="45"/>
      <c r="P2" s="26"/>
      <c r="Q2" s="26"/>
      <c r="R2" s="26"/>
      <c r="S2" s="45"/>
      <c r="T2" s="26"/>
      <c r="U2" s="26"/>
      <c r="V2" s="26"/>
      <c r="W2" s="182"/>
      <c r="X2" s="182"/>
      <c r="Y2" s="26"/>
      <c r="Z2" s="26"/>
      <c r="AA2" s="26"/>
      <c r="AB2" s="26"/>
      <c r="AC2" s="26"/>
      <c r="AD2" s="26"/>
      <c r="AE2" s="26"/>
      <c r="AF2" s="26"/>
      <c r="AG2" s="26"/>
      <c r="AH2" s="220"/>
      <c r="AI2" s="26"/>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48"/>
    </row>
    <row r="3" spans="1:80">
      <c r="A3" s="1822" t="str">
        <f>bal!A3</f>
        <v>At January 31 of the following year</v>
      </c>
      <c r="B3" s="1822"/>
      <c r="AH3" s="161"/>
    </row>
    <row r="4" spans="1:80">
      <c r="A4" s="1822" t="s">
        <v>1034</v>
      </c>
      <c r="B4" s="1822"/>
      <c r="AH4" s="161"/>
    </row>
    <row r="5" spans="1:80">
      <c r="AH5" s="161"/>
    </row>
    <row r="6" spans="1:80">
      <c r="D6" s="47">
        <v>1990</v>
      </c>
      <c r="E6" s="46"/>
      <c r="F6" s="47">
        <f>D6+1</f>
        <v>1991</v>
      </c>
      <c r="G6" s="46"/>
      <c r="H6" s="47">
        <f>F6+1</f>
        <v>1992</v>
      </c>
      <c r="I6" s="46"/>
      <c r="J6" s="47">
        <f>H6+1</f>
        <v>1993</v>
      </c>
      <c r="K6" s="46"/>
      <c r="L6" s="47">
        <f>J6+1</f>
        <v>1994</v>
      </c>
      <c r="N6" s="47">
        <f>L6+1</f>
        <v>1995</v>
      </c>
      <c r="O6" s="46"/>
      <c r="P6" s="47">
        <f>N6+1</f>
        <v>1996</v>
      </c>
      <c r="Q6" s="46"/>
      <c r="R6" s="47">
        <f>P6+1</f>
        <v>1997</v>
      </c>
      <c r="S6" s="46"/>
      <c r="T6" s="1830">
        <f>R6+1</f>
        <v>1998</v>
      </c>
      <c r="U6" s="46"/>
      <c r="V6" s="47">
        <f>T6+1</f>
        <v>1999</v>
      </c>
      <c r="W6" s="46"/>
      <c r="X6" s="47">
        <f>V6+1</f>
        <v>2000</v>
      </c>
      <c r="Y6" s="516"/>
      <c r="Z6" s="47">
        <f>X6+1</f>
        <v>2001</v>
      </c>
      <c r="AA6" s="46"/>
      <c r="AB6" s="47">
        <f>Z6+1</f>
        <v>2002</v>
      </c>
      <c r="AC6" s="46"/>
      <c r="AD6" s="47">
        <f>AB6+1</f>
        <v>2003</v>
      </c>
      <c r="AE6" s="46"/>
      <c r="AF6" s="47">
        <f>AD6+1</f>
        <v>2004</v>
      </c>
      <c r="AG6" s="46"/>
      <c r="AH6" s="1831">
        <f>AF6+1</f>
        <v>2005</v>
      </c>
      <c r="AI6" s="46"/>
      <c r="AJ6" s="1831">
        <f>AH6+1</f>
        <v>2006</v>
      </c>
      <c r="AK6" s="46"/>
      <c r="AL6" s="1831">
        <f>AJ6+1</f>
        <v>2007</v>
      </c>
      <c r="AM6" s="46"/>
      <c r="AN6" s="1831">
        <f>AL6+1</f>
        <v>2008</v>
      </c>
      <c r="AO6" s="46"/>
      <c r="AP6" s="1831">
        <f>AN6+1</f>
        <v>2009</v>
      </c>
      <c r="AQ6" s="46"/>
      <c r="AR6" s="1831">
        <f>AP6+1</f>
        <v>2010</v>
      </c>
      <c r="AS6" s="46"/>
      <c r="AT6" s="1831">
        <f>AR6+1</f>
        <v>2011</v>
      </c>
      <c r="AU6" s="46"/>
      <c r="AV6" s="47">
        <f>AT6+1</f>
        <v>2012</v>
      </c>
      <c r="AW6" s="46"/>
      <c r="AX6" s="47">
        <f>AV6+1</f>
        <v>2013</v>
      </c>
      <c r="AY6" s="46"/>
      <c r="AZ6" s="47">
        <f>AX6+1</f>
        <v>2014</v>
      </c>
      <c r="BA6" s="1833"/>
      <c r="BB6" s="47">
        <f>AZ6+1</f>
        <v>2015</v>
      </c>
      <c r="BC6" s="1833"/>
      <c r="BD6" s="47">
        <f>BB6+1</f>
        <v>2016</v>
      </c>
      <c r="BE6" s="1833"/>
      <c r="BF6" s="47">
        <f>BD6+1</f>
        <v>2017</v>
      </c>
      <c r="BG6" s="1833"/>
      <c r="BH6" s="1832">
        <f>BF6+1</f>
        <v>2018</v>
      </c>
      <c r="BI6" s="1833"/>
      <c r="BJ6" s="1832">
        <f>BH6+1</f>
        <v>2019</v>
      </c>
      <c r="BK6" s="1833"/>
      <c r="BL6" s="1832">
        <f>BJ6+1</f>
        <v>2020</v>
      </c>
      <c r="BM6" s="1833"/>
      <c r="BN6" s="1832">
        <f>BL6+1</f>
        <v>2021</v>
      </c>
      <c r="BO6" s="1833"/>
      <c r="BP6" s="1832">
        <f>BN6+1</f>
        <v>2022</v>
      </c>
      <c r="BQ6" s="1833"/>
      <c r="BZ6"/>
    </row>
    <row r="7" spans="1:80" ht="6" customHeight="1">
      <c r="R7" s="1834"/>
      <c r="X7" s="1835">
        <f>470.816-X8</f>
        <v>42.815999999999974</v>
      </c>
      <c r="AH7" s="161"/>
      <c r="AL7" s="1823"/>
      <c r="AN7" s="1823"/>
      <c r="BZ7"/>
    </row>
    <row r="8" spans="1:80">
      <c r="A8" s="23" t="s">
        <v>801</v>
      </c>
      <c r="D8" s="1834">
        <f>'qtrP&amp;L'!F134</f>
        <v>398.43799999999976</v>
      </c>
      <c r="E8" s="1834" t="s">
        <v>997</v>
      </c>
      <c r="F8" s="1834">
        <f>+'qtrP&amp;L'!J134</f>
        <v>403.30199999999945</v>
      </c>
      <c r="G8" s="1834"/>
      <c r="H8" s="1836">
        <v>455.49700000000001</v>
      </c>
      <c r="I8" s="1834"/>
      <c r="J8" s="1836">
        <v>390.99900000000002</v>
      </c>
      <c r="K8" s="1834"/>
      <c r="L8" s="1834">
        <f>'qtrP&amp;L'!V134</f>
        <v>448.34300000000042</v>
      </c>
      <c r="M8" s="1834"/>
      <c r="N8" s="1836">
        <v>961.51099999999997</v>
      </c>
      <c r="O8" s="1834" t="s">
        <v>997</v>
      </c>
      <c r="P8" s="1836">
        <v>434.20800000000003</v>
      </c>
      <c r="Q8" s="1834"/>
      <c r="R8" s="1836">
        <v>217.39</v>
      </c>
      <c r="S8" s="1834"/>
      <c r="T8" s="1836">
        <f>'yrP&amp;L'!J56</f>
        <v>380.39500000000083</v>
      </c>
      <c r="U8" s="1834"/>
      <c r="V8" s="1836">
        <v>461</v>
      </c>
      <c r="W8" s="1834"/>
      <c r="X8" s="1837">
        <v>428</v>
      </c>
      <c r="Y8" s="1838"/>
      <c r="Z8" s="1837">
        <v>519</v>
      </c>
      <c r="AA8" s="1834"/>
      <c r="AB8" s="1836">
        <v>502</v>
      </c>
      <c r="AC8" s="1834"/>
      <c r="AD8" s="1836">
        <v>717</v>
      </c>
      <c r="AE8" s="1834"/>
      <c r="AF8" s="1837">
        <f>+'yrP&amp;L'!P80+68.142</f>
        <v>705.41399999999999</v>
      </c>
      <c r="AG8" s="1834"/>
      <c r="AH8" s="1837">
        <f>+'yrP&amp;L'!Q80+16.844</f>
        <v>683.26400000000001</v>
      </c>
      <c r="AI8" s="1834"/>
      <c r="AJ8" s="1834">
        <f>+'yrP&amp;L'!R80+0.696</f>
        <v>675.74499999999864</v>
      </c>
      <c r="AK8" s="1834"/>
      <c r="AL8" s="1834">
        <f>'qtrP&amp;L'!BZ223</f>
        <v>717.46399999999983</v>
      </c>
      <c r="AM8" s="1834"/>
      <c r="AN8" s="1834">
        <f>'qtrP&amp;L'!CD223</f>
        <v>220.1009999999996</v>
      </c>
      <c r="AO8" s="1834"/>
      <c r="AP8" s="1836">
        <v>448</v>
      </c>
      <c r="AQ8" s="1834"/>
      <c r="AR8" s="1836">
        <f>ROUND('qtrP&amp;L'!CL223,0)</f>
        <v>805</v>
      </c>
      <c r="AS8" s="1834"/>
      <c r="AT8" s="1834">
        <f>+'yrP&amp;L'!W80</f>
        <v>850.08299999999997</v>
      </c>
      <c r="AU8" s="1834"/>
      <c r="AV8" s="1834">
        <f>+'yrP&amp;L'!X80-113.9</f>
        <v>752.71470000000238</v>
      </c>
      <c r="AW8" s="1834"/>
      <c r="AX8" s="1834">
        <f>+'yrP&amp;L'!Y80</f>
        <v>903.02799999999741</v>
      </c>
      <c r="AY8" s="1834"/>
      <c r="AZ8" s="1834">
        <f>+'yrP&amp;L'!Z80</f>
        <v>1042.0430000000019</v>
      </c>
      <c r="BA8" s="1834"/>
      <c r="BB8" s="1834">
        <f>+'yrP&amp;L'!AA80</f>
        <v>1253</v>
      </c>
      <c r="BC8" s="1834"/>
      <c r="BD8" s="1834">
        <f>+'yrP&amp;L'!AB80+68</f>
        <v>1158.0950000000012</v>
      </c>
      <c r="BE8" s="1834"/>
      <c r="BF8" s="1834">
        <f>+'yrP&amp;L'!AC80+64</f>
        <v>983.35000000000093</v>
      </c>
      <c r="BG8" s="1834"/>
      <c r="BH8" s="1834">
        <f>+'yrP&amp;L'!AD80</f>
        <v>912.49968974994249</v>
      </c>
      <c r="BI8" s="1834"/>
      <c r="BJ8" s="1834">
        <f>+'yrP&amp;L'!AE80</f>
        <v>982.70249388155639</v>
      </c>
      <c r="BK8" s="1834"/>
      <c r="BL8" s="1834">
        <f>'yrP&amp;L'!AF56</f>
        <v>1065.2588025142418</v>
      </c>
      <c r="BM8" s="1834"/>
      <c r="BN8" s="1834">
        <f>'yrP&amp;L'!AG56</f>
        <v>1162.2545615997276</v>
      </c>
      <c r="BO8" s="1834"/>
      <c r="BP8" s="1834">
        <f>'yrP&amp;L'!AH56</f>
        <v>1259.7759807192706</v>
      </c>
      <c r="BQ8" s="1834"/>
      <c r="BZ8"/>
    </row>
    <row r="9" spans="1:80">
      <c r="B9" s="23" t="s">
        <v>802</v>
      </c>
      <c r="C9" s="1418"/>
      <c r="D9" s="1418">
        <f>'yrP&amp;L'!B31</f>
        <v>184.38499999999999</v>
      </c>
      <c r="E9" s="1418" t="s">
        <v>997</v>
      </c>
      <c r="F9" s="1418">
        <f>'yrP&amp;L'!C31</f>
        <v>222.69499999999999</v>
      </c>
      <c r="G9" s="1418"/>
      <c r="H9" s="1418">
        <f>'yrP&amp;L'!D31</f>
        <v>246.977</v>
      </c>
      <c r="I9" s="1418"/>
      <c r="J9" s="1418">
        <f>'yrP&amp;L'!E31</f>
        <v>271.35300000000001</v>
      </c>
      <c r="K9" s="1418"/>
      <c r="L9" s="1418">
        <f>'yrP&amp;L'!F31</f>
        <v>267.88799999999998</v>
      </c>
      <c r="M9" s="1418"/>
      <c r="N9" s="1418">
        <f>'yrP&amp;L'!G31</f>
        <v>285.88900000000001</v>
      </c>
      <c r="O9" s="1418" t="s">
        <v>997</v>
      </c>
      <c r="P9" s="1418">
        <f>'yrP&amp;L'!H31</f>
        <v>289.64299999999997</v>
      </c>
      <c r="Q9" s="1418"/>
      <c r="R9" s="1418">
        <f>'yrP&amp;L'!I31</f>
        <v>313.29199999999997</v>
      </c>
      <c r="S9" s="1418"/>
      <c r="T9" s="1418">
        <f>'yrP&amp;L'!J31</f>
        <v>286</v>
      </c>
      <c r="U9" s="1418"/>
      <c r="V9" s="1839">
        <f>'yrP&amp;L'!K31</f>
        <v>272.44299999999998</v>
      </c>
      <c r="W9" s="1839"/>
      <c r="X9" s="1839">
        <f>'yrP&amp;L'!L31</f>
        <v>271</v>
      </c>
      <c r="Y9" s="1839"/>
      <c r="Z9" s="1839">
        <f>'yrP&amp;L'!M31</f>
        <v>277</v>
      </c>
      <c r="AA9" s="1839"/>
      <c r="AB9" s="1839">
        <f>+'yrP&amp;L'!N31</f>
        <v>276</v>
      </c>
      <c r="AC9" s="1839"/>
      <c r="AD9" s="1839">
        <f>+'yrP&amp;L'!O31</f>
        <v>288</v>
      </c>
      <c r="AE9" s="1839"/>
      <c r="AF9" s="1840">
        <v>333.47300000000001</v>
      </c>
      <c r="AG9" s="1839"/>
      <c r="AH9" s="1841">
        <v>298.76799999999997</v>
      </c>
      <c r="AI9" s="1839"/>
      <c r="AJ9" s="1840">
        <v>315.76499999999999</v>
      </c>
      <c r="AK9" s="1839"/>
      <c r="AL9" s="1842">
        <f>+'yrP&amp;L'!S31</f>
        <v>352.04100000000005</v>
      </c>
      <c r="AM9" s="1839"/>
      <c r="AN9" s="1840">
        <v>342.83600000000001</v>
      </c>
      <c r="AO9" s="1839"/>
      <c r="AP9" s="1840">
        <f>393-36</f>
        <v>357</v>
      </c>
      <c r="AQ9" s="1839"/>
      <c r="AR9" s="1840">
        <f>394-35</f>
        <v>359</v>
      </c>
      <c r="AS9" s="1839"/>
      <c r="AT9" s="1840">
        <f>391-35</f>
        <v>356</v>
      </c>
      <c r="AU9" s="1839"/>
      <c r="AV9" s="1841">
        <f>389-35</f>
        <v>354</v>
      </c>
      <c r="AW9" s="1839"/>
      <c r="AX9" s="1840">
        <f>407-39</f>
        <v>368</v>
      </c>
      <c r="AY9" s="1839"/>
      <c r="AZ9" s="1840">
        <v>397.80799999999999</v>
      </c>
      <c r="BA9" s="1839"/>
      <c r="BB9" s="1840">
        <v>414.97199999999998</v>
      </c>
      <c r="BC9" s="1839"/>
      <c r="BD9" s="1840">
        <f>518-46</f>
        <v>472</v>
      </c>
      <c r="BE9" s="1839"/>
      <c r="BF9" s="2592">
        <f>571-47.4</f>
        <v>523.6</v>
      </c>
      <c r="BG9" s="1839"/>
      <c r="BH9" s="1839">
        <f>+'yrP&amp;L'!AD31</f>
        <v>560</v>
      </c>
      <c r="BI9" s="1839"/>
      <c r="BJ9" s="1839">
        <f>+'yrP&amp;L'!AE31</f>
        <v>616</v>
      </c>
      <c r="BK9" s="1839"/>
      <c r="BL9" s="1839">
        <f>+'yrP&amp;L'!AF31</f>
        <v>677.6</v>
      </c>
      <c r="BM9" s="1839"/>
      <c r="BN9" s="1839">
        <f>+'yrP&amp;L'!AG31</f>
        <v>745.36000000000013</v>
      </c>
      <c r="BO9" s="1839"/>
      <c r="BP9" s="1839">
        <f>+'yrP&amp;L'!AH31</f>
        <v>819.89600000000019</v>
      </c>
      <c r="BQ9" s="1839"/>
      <c r="BZ9"/>
    </row>
    <row r="10" spans="1:80">
      <c r="B10" s="23" t="s">
        <v>230</v>
      </c>
      <c r="C10" s="1418"/>
      <c r="D10" s="1843">
        <v>0</v>
      </c>
      <c r="E10" s="1418"/>
      <c r="F10" s="1843">
        <v>0</v>
      </c>
      <c r="G10" s="1418"/>
      <c r="H10" s="1843">
        <v>0</v>
      </c>
      <c r="I10" s="1418"/>
      <c r="J10" s="1843">
        <v>0</v>
      </c>
      <c r="K10" s="1418"/>
      <c r="L10" s="1843">
        <v>0</v>
      </c>
      <c r="M10" s="1418"/>
      <c r="N10" s="1843">
        <v>0</v>
      </c>
      <c r="O10" s="1418"/>
      <c r="P10" s="1843">
        <v>0</v>
      </c>
      <c r="Q10" s="1418"/>
      <c r="R10" s="1843">
        <v>0</v>
      </c>
      <c r="S10" s="1418"/>
      <c r="T10" s="1843">
        <v>0</v>
      </c>
      <c r="U10" s="1418"/>
      <c r="V10" s="1840">
        <v>0</v>
      </c>
      <c r="W10" s="1839"/>
      <c r="X10" s="1840">
        <v>14</v>
      </c>
      <c r="Y10" s="1839"/>
      <c r="Z10" s="1841">
        <v>12</v>
      </c>
      <c r="AA10" s="1839"/>
      <c r="AB10" s="1840">
        <v>47</v>
      </c>
      <c r="AC10" s="1839"/>
      <c r="AD10" s="1840">
        <v>18</v>
      </c>
      <c r="AE10" s="1839"/>
      <c r="AF10" s="1840">
        <v>8.7409999999999997</v>
      </c>
      <c r="AG10" s="1839"/>
      <c r="AH10" s="1841">
        <v>11.287000000000001</v>
      </c>
      <c r="AI10" s="1839"/>
      <c r="AJ10" s="1840">
        <v>37</v>
      </c>
      <c r="AK10" s="1839"/>
      <c r="AL10" s="1840">
        <v>44</v>
      </c>
      <c r="AM10" s="1839"/>
      <c r="AN10" s="1840">
        <v>35</v>
      </c>
      <c r="AO10" s="1839"/>
      <c r="AP10" s="1840">
        <v>40</v>
      </c>
      <c r="AQ10" s="1839"/>
      <c r="AR10" s="1840">
        <f>64-19</f>
        <v>45</v>
      </c>
      <c r="AS10" s="1839"/>
      <c r="AT10" s="1840">
        <f>51-48</f>
        <v>3</v>
      </c>
      <c r="AU10" s="1839"/>
      <c r="AV10" s="1840">
        <f>73-116</f>
        <v>-43</v>
      </c>
      <c r="AW10" s="1839"/>
      <c r="AX10" s="1840">
        <f>85-36</f>
        <v>49</v>
      </c>
      <c r="AY10" s="1839"/>
      <c r="AZ10" s="1840">
        <f>90-43</f>
        <v>47</v>
      </c>
      <c r="BA10" s="1840"/>
      <c r="BB10" s="1840">
        <f>97-70</f>
        <v>27</v>
      </c>
      <c r="BC10" s="1840"/>
      <c r="BD10" s="1840">
        <f>96-42</f>
        <v>54</v>
      </c>
      <c r="BE10" s="1840"/>
      <c r="BF10" s="1841">
        <v>102</v>
      </c>
      <c r="BG10" s="1840"/>
      <c r="BH10" s="1841">
        <f>+BF10</f>
        <v>102</v>
      </c>
      <c r="BI10" s="1841"/>
      <c r="BJ10" s="1841">
        <f>+BH10</f>
        <v>102</v>
      </c>
      <c r="BK10" s="1841"/>
      <c r="BL10" s="1841">
        <f>+BJ10</f>
        <v>102</v>
      </c>
      <c r="BM10" s="1840"/>
      <c r="BN10" s="1840">
        <f>+BL10</f>
        <v>102</v>
      </c>
      <c r="BO10" s="1840"/>
      <c r="BP10" s="1840">
        <f>+BN10</f>
        <v>102</v>
      </c>
      <c r="BQ10" s="1840"/>
      <c r="BZ10"/>
    </row>
    <row r="11" spans="1:80">
      <c r="B11" s="23" t="s">
        <v>1089</v>
      </c>
      <c r="C11" s="1418"/>
      <c r="D11" s="1843">
        <v>0</v>
      </c>
      <c r="E11" s="1418"/>
      <c r="F11" s="1843">
        <v>0</v>
      </c>
      <c r="G11" s="1418"/>
      <c r="H11" s="1843">
        <v>0</v>
      </c>
      <c r="I11" s="1418"/>
      <c r="J11" s="1843">
        <v>0</v>
      </c>
      <c r="K11" s="1418"/>
      <c r="L11" s="1843">
        <v>0</v>
      </c>
      <c r="M11" s="1418"/>
      <c r="N11" s="1843">
        <v>0</v>
      </c>
      <c r="O11" s="1418"/>
      <c r="P11" s="1843">
        <v>0</v>
      </c>
      <c r="Q11" s="1418"/>
      <c r="R11" s="1843">
        <v>0</v>
      </c>
      <c r="S11" s="1418"/>
      <c r="T11" s="1843">
        <v>0</v>
      </c>
      <c r="U11" s="1418"/>
      <c r="V11" s="1840">
        <v>-78</v>
      </c>
      <c r="W11" s="1839"/>
      <c r="X11" s="1840">
        <v>46</v>
      </c>
      <c r="Y11" s="1839"/>
      <c r="Z11" s="1840">
        <v>76</v>
      </c>
      <c r="AA11" s="1839"/>
      <c r="AB11" s="1840">
        <v>59</v>
      </c>
      <c r="AC11" s="1839"/>
      <c r="AD11" s="1840">
        <v>23</v>
      </c>
      <c r="AE11" s="1839"/>
      <c r="AF11" s="1840">
        <v>46.999000000000002</v>
      </c>
      <c r="AG11" s="1839"/>
      <c r="AH11" s="1841">
        <v>-76.376999999999995</v>
      </c>
      <c r="AI11" s="1839"/>
      <c r="AJ11" s="1840">
        <v>-43</v>
      </c>
      <c r="AK11" s="1839"/>
      <c r="AL11" s="1839">
        <v>-5</v>
      </c>
      <c r="AM11" s="1839"/>
      <c r="AN11" s="1840">
        <v>46</v>
      </c>
      <c r="AO11" s="1839"/>
      <c r="AP11" s="1840">
        <v>49</v>
      </c>
      <c r="AQ11" s="1839"/>
      <c r="AR11" s="1840">
        <v>-24</v>
      </c>
      <c r="AS11" s="1839"/>
      <c r="AT11" s="1839">
        <v>-37</v>
      </c>
      <c r="AU11" s="1839"/>
      <c r="AV11" s="1840">
        <v>11</v>
      </c>
      <c r="AW11" s="1839"/>
      <c r="AX11" s="1840">
        <v>18</v>
      </c>
      <c r="AY11" s="1839"/>
      <c r="AZ11" s="1840">
        <v>50</v>
      </c>
      <c r="BA11" s="1839"/>
      <c r="BB11" s="1840">
        <v>11</v>
      </c>
      <c r="BC11" s="1839"/>
      <c r="BD11" s="2592">
        <v>110</v>
      </c>
      <c r="BE11" s="1839"/>
      <c r="BF11" s="1839">
        <v>-108</v>
      </c>
      <c r="BG11" s="1839"/>
      <c r="BH11" s="1839">
        <f>+bal!BG23-bal!BI23+bal!BI42-bal!BG42</f>
        <v>0</v>
      </c>
      <c r="BI11" s="1839"/>
      <c r="BJ11" s="1839">
        <f>+bal!BI23-bal!BK23+bal!BK42-bal!BI42</f>
        <v>0</v>
      </c>
      <c r="BK11" s="1839">
        <f>+bal!BJ23-bal!BL23+bal!BL42-bal!BJ42</f>
        <v>0</v>
      </c>
      <c r="BL11" s="1839">
        <f>+bal!BK23-bal!BM23+bal!BM42-bal!BK42</f>
        <v>0</v>
      </c>
      <c r="BM11" s="1839">
        <f>+bal!BL23-bal!BN23+bal!BN42-bal!BL42</f>
        <v>0</v>
      </c>
      <c r="BN11" s="1839">
        <f>+bal!BM23-bal!BO23+bal!BO42-bal!BM42</f>
        <v>0</v>
      </c>
      <c r="BO11" s="1839">
        <f>+bal!BN23-bal!BR23+bal!BR42-bal!BN42</f>
        <v>0</v>
      </c>
      <c r="BP11" s="1839">
        <f>+bal!BO23-bal!BQ23+bal!BQ42-bal!BO42</f>
        <v>0</v>
      </c>
      <c r="BQ11" s="1839"/>
    </row>
    <row r="12" spans="1:80">
      <c r="B12" s="23" t="s">
        <v>231</v>
      </c>
      <c r="C12" s="1418"/>
      <c r="D12" s="1843">
        <v>0</v>
      </c>
      <c r="E12" s="1418"/>
      <c r="F12" s="1843">
        <v>0</v>
      </c>
      <c r="G12" s="1418"/>
      <c r="H12" s="1843">
        <v>0</v>
      </c>
      <c r="I12" s="1418"/>
      <c r="J12" s="1843">
        <v>0</v>
      </c>
      <c r="K12" s="1843"/>
      <c r="L12" s="1843">
        <v>0</v>
      </c>
      <c r="M12" s="1418"/>
      <c r="N12" s="1843">
        <v>17.25</v>
      </c>
      <c r="O12" s="1843"/>
      <c r="P12" s="1843">
        <v>21.637</v>
      </c>
      <c r="Q12" s="1418"/>
      <c r="R12" s="1843">
        <v>34.735999999999997</v>
      </c>
      <c r="S12" s="1843"/>
      <c r="T12" s="1843">
        <v>40.838000000000001</v>
      </c>
      <c r="U12" s="1418"/>
      <c r="V12" s="1840">
        <v>51</v>
      </c>
      <c r="W12" s="1839"/>
      <c r="X12" s="1840">
        <v>47</v>
      </c>
      <c r="Y12" s="1839"/>
      <c r="Z12" s="1840">
        <v>43</v>
      </c>
      <c r="AA12" s="1840"/>
      <c r="AB12" s="1840">
        <v>1</v>
      </c>
      <c r="AC12" s="1840"/>
      <c r="AD12" s="1840">
        <v>0</v>
      </c>
      <c r="AE12" s="1840"/>
      <c r="AF12" s="1840">
        <v>0</v>
      </c>
      <c r="AG12" s="1840"/>
      <c r="AH12" s="1841">
        <v>0</v>
      </c>
      <c r="AI12" s="1840"/>
      <c r="AJ12" s="1840">
        <v>0</v>
      </c>
      <c r="AK12" s="1840"/>
      <c r="AL12" s="1840">
        <v>-22</v>
      </c>
      <c r="AM12" s="1840"/>
      <c r="AN12" s="1840">
        <v>-4</v>
      </c>
      <c r="AO12" s="1840"/>
      <c r="AP12" s="1840">
        <v>0</v>
      </c>
      <c r="AQ12" s="1840"/>
      <c r="AR12" s="1840">
        <v>0</v>
      </c>
      <c r="AS12" s="1840"/>
      <c r="AT12" s="1840">
        <v>0</v>
      </c>
      <c r="AU12" s="1840"/>
      <c r="AV12" s="1840">
        <v>0</v>
      </c>
      <c r="AW12" s="1840"/>
      <c r="AX12" s="1840">
        <v>0</v>
      </c>
      <c r="AY12" s="1840"/>
      <c r="AZ12" s="1840">
        <v>0</v>
      </c>
      <c r="BA12" s="1840"/>
      <c r="BB12" s="1840">
        <v>0</v>
      </c>
      <c r="BC12" s="1840"/>
      <c r="BD12" s="1840">
        <v>0</v>
      </c>
      <c r="BE12" s="1840"/>
      <c r="BF12" s="1840">
        <v>0</v>
      </c>
      <c r="BG12" s="1840"/>
      <c r="BH12" s="1840">
        <v>0</v>
      </c>
      <c r="BI12" s="1840"/>
      <c r="BJ12" s="1840">
        <v>0</v>
      </c>
      <c r="BK12" s="1840"/>
      <c r="BL12" s="1840">
        <v>0</v>
      </c>
      <c r="BM12" s="1840"/>
      <c r="BN12" s="1840">
        <v>0</v>
      </c>
      <c r="BO12" s="1840"/>
      <c r="BP12" s="1840">
        <v>0</v>
      </c>
      <c r="BQ12" s="1840"/>
      <c r="BZ12" s="1801"/>
    </row>
    <row r="13" spans="1:80">
      <c r="B13" s="23" t="s">
        <v>232</v>
      </c>
      <c r="C13" s="1418"/>
      <c r="D13" s="1843">
        <v>0</v>
      </c>
      <c r="E13" s="1418"/>
      <c r="F13" s="1843">
        <v>0</v>
      </c>
      <c r="G13" s="1418"/>
      <c r="H13" s="1843">
        <v>0</v>
      </c>
      <c r="I13" s="1418"/>
      <c r="J13" s="1843">
        <v>0</v>
      </c>
      <c r="K13" s="1843"/>
      <c r="L13" s="1843">
        <v>0</v>
      </c>
      <c r="M13" s="1418"/>
      <c r="N13" s="1843">
        <v>0</v>
      </c>
      <c r="O13" s="1418"/>
      <c r="P13" s="1843">
        <v>0</v>
      </c>
      <c r="Q13" s="1418"/>
      <c r="R13" s="1843">
        <v>0</v>
      </c>
      <c r="S13" s="1843"/>
      <c r="T13" s="1843">
        <v>0</v>
      </c>
      <c r="U13" s="1418"/>
      <c r="V13" s="1840">
        <v>0</v>
      </c>
      <c r="W13" s="1839"/>
      <c r="X13" s="1840">
        <v>0</v>
      </c>
      <c r="Y13" s="1839"/>
      <c r="Z13" s="1840">
        <v>0</v>
      </c>
      <c r="AA13" s="1840"/>
      <c r="AB13" s="1840">
        <v>10</v>
      </c>
      <c r="AC13" s="1840"/>
      <c r="AD13" s="1840">
        <v>0</v>
      </c>
      <c r="AE13" s="1840"/>
      <c r="AF13" s="1840">
        <v>0</v>
      </c>
      <c r="AG13" s="1840"/>
      <c r="AH13" s="1841">
        <v>0</v>
      </c>
      <c r="AI13" s="1840"/>
      <c r="AJ13" s="1840">
        <v>0</v>
      </c>
      <c r="AK13" s="1840"/>
      <c r="AL13" s="1840">
        <f>-302+72-100+13</f>
        <v>-317</v>
      </c>
      <c r="AM13" s="1840"/>
      <c r="AN13" s="1840">
        <v>0</v>
      </c>
      <c r="AO13" s="1840"/>
      <c r="AP13" s="1840">
        <v>0</v>
      </c>
      <c r="AQ13" s="1840"/>
      <c r="AR13" s="1840">
        <v>0</v>
      </c>
      <c r="AS13" s="1840"/>
      <c r="AT13" s="1840">
        <f>163-147-111-86</f>
        <v>-181</v>
      </c>
      <c r="AU13" s="1840"/>
      <c r="AV13" s="1840">
        <v>0</v>
      </c>
      <c r="AW13" s="1840"/>
      <c r="AX13" s="1840">
        <v>0</v>
      </c>
      <c r="AY13" s="1840"/>
      <c r="AZ13" s="1840">
        <v>0</v>
      </c>
      <c r="BA13" s="1840"/>
      <c r="BB13" s="1840">
        <v>0</v>
      </c>
      <c r="BC13" s="1840"/>
      <c r="BD13" s="1840">
        <v>0</v>
      </c>
      <c r="BE13" s="1840"/>
      <c r="BF13" s="1840">
        <v>0</v>
      </c>
      <c r="BG13" s="1840"/>
      <c r="BH13" s="1840">
        <v>0</v>
      </c>
      <c r="BI13" s="1840"/>
      <c r="BJ13" s="1840">
        <v>0</v>
      </c>
      <c r="BK13" s="1840"/>
      <c r="BL13" s="1840">
        <v>0</v>
      </c>
      <c r="BM13" s="1840"/>
      <c r="BN13" s="1840">
        <v>0</v>
      </c>
      <c r="BO13" s="1840"/>
      <c r="BP13" s="1840">
        <v>0</v>
      </c>
      <c r="BQ13" s="1840"/>
    </row>
    <row r="14" spans="1:80">
      <c r="B14" s="23" t="s">
        <v>233</v>
      </c>
      <c r="C14" s="1418"/>
      <c r="D14" s="1843">
        <v>0</v>
      </c>
      <c r="E14" s="1418"/>
      <c r="F14" s="1843">
        <v>0</v>
      </c>
      <c r="G14" s="1418"/>
      <c r="H14" s="1843">
        <v>0</v>
      </c>
      <c r="I14" s="1418"/>
      <c r="J14" s="1843">
        <v>0</v>
      </c>
      <c r="K14" s="1843"/>
      <c r="L14" s="1843">
        <v>0</v>
      </c>
      <c r="M14" s="1418"/>
      <c r="N14" s="1844">
        <v>-649.46699999999998</v>
      </c>
      <c r="O14" s="1844"/>
      <c r="P14" s="1844">
        <v>-118.178</v>
      </c>
      <c r="Q14" s="468"/>
      <c r="R14" s="1844">
        <v>-5.6059999999999999</v>
      </c>
      <c r="S14" s="1843"/>
      <c r="T14" s="1843">
        <v>0</v>
      </c>
      <c r="U14" s="1418"/>
      <c r="V14" s="1840">
        <v>-11</v>
      </c>
      <c r="W14" s="1839"/>
      <c r="X14" s="1840">
        <v>0</v>
      </c>
      <c r="Y14" s="1839"/>
      <c r="Z14" s="1840">
        <v>-62</v>
      </c>
      <c r="AA14" s="1840"/>
      <c r="AB14" s="1840">
        <v>-6</v>
      </c>
      <c r="AC14" s="1840"/>
      <c r="AD14" s="1840">
        <v>-208</v>
      </c>
      <c r="AE14" s="1840"/>
      <c r="AF14" s="1840">
        <v>-17.617000000000001</v>
      </c>
      <c r="AG14" s="1840"/>
      <c r="AH14" s="1841">
        <v>0</v>
      </c>
      <c r="AI14" s="1840"/>
      <c r="AJ14" s="1840">
        <v>0</v>
      </c>
      <c r="AK14" s="1840"/>
      <c r="AL14" s="1840">
        <v>0</v>
      </c>
      <c r="AM14" s="1840"/>
      <c r="AN14" s="1840">
        <v>0</v>
      </c>
      <c r="AO14" s="1840"/>
      <c r="AP14" s="1840">
        <v>0</v>
      </c>
      <c r="AQ14" s="1840"/>
      <c r="AR14" s="1840">
        <v>0</v>
      </c>
      <c r="AS14" s="1840"/>
      <c r="AT14" s="1840">
        <v>0</v>
      </c>
      <c r="AU14" s="1840"/>
      <c r="AV14" s="1840">
        <v>0</v>
      </c>
      <c r="AW14" s="1840"/>
      <c r="AX14" s="1840">
        <v>0</v>
      </c>
      <c r="AY14" s="1840"/>
      <c r="AZ14" s="1840">
        <v>0</v>
      </c>
      <c r="BA14" s="1840"/>
      <c r="BB14" s="1840">
        <v>0</v>
      </c>
      <c r="BC14" s="1840"/>
      <c r="BD14" s="1840">
        <v>0</v>
      </c>
      <c r="BE14" s="1840"/>
      <c r="BF14" s="1840">
        <v>0</v>
      </c>
      <c r="BG14" s="1840"/>
      <c r="BH14" s="1840">
        <v>0</v>
      </c>
      <c r="BI14" s="1840"/>
      <c r="BJ14" s="1840">
        <v>0</v>
      </c>
      <c r="BK14" s="1840"/>
      <c r="BL14" s="1840">
        <v>0</v>
      </c>
      <c r="BM14" s="1840"/>
      <c r="BN14" s="1840">
        <v>0</v>
      </c>
      <c r="BO14" s="1840"/>
      <c r="BP14" s="1840">
        <v>0</v>
      </c>
      <c r="BQ14" s="1840"/>
      <c r="BY14" s="23" t="s">
        <v>701</v>
      </c>
      <c r="BZ14" s="160">
        <f>'yrP&amp;L'!Z7-'yrP&amp;L'!Z11-'yrP&amp;L'!Z19</f>
        <v>2350.9100000000017</v>
      </c>
      <c r="CA14" s="160">
        <f>'yrP&amp;L'!AA7-'yrP&amp;L'!AA11-'yrP&amp;L'!AA19</f>
        <v>2606.4789999999989</v>
      </c>
      <c r="CB14" s="160">
        <f>'yrP&amp;L'!AB7-'yrP&amp;L'!AB11-'yrP&amp;L'!AB19</f>
        <v>2508.9320000000012</v>
      </c>
    </row>
    <row r="15" spans="1:80">
      <c r="B15" s="23" t="s">
        <v>471</v>
      </c>
      <c r="C15" s="1418"/>
      <c r="D15" s="1845">
        <v>0</v>
      </c>
      <c r="E15" s="1418"/>
      <c r="F15" s="1845">
        <v>0</v>
      </c>
      <c r="G15" s="1819"/>
      <c r="H15" s="1845">
        <v>0</v>
      </c>
      <c r="I15" s="1418"/>
      <c r="J15" s="1846">
        <f>-2.617-0.001</f>
        <v>-2.6179999999999999</v>
      </c>
      <c r="K15" s="1418"/>
      <c r="L15" s="1845">
        <v>0</v>
      </c>
      <c r="M15" s="1418"/>
      <c r="N15" s="1846">
        <v>-1.3140000000000001</v>
      </c>
      <c r="O15" s="1418"/>
      <c r="P15" s="1845">
        <v>7.2</v>
      </c>
      <c r="Q15" s="1819"/>
      <c r="R15" s="1845">
        <v>128.215</v>
      </c>
      <c r="S15" s="1418"/>
      <c r="T15" s="1847">
        <v>-38.930999999999997</v>
      </c>
      <c r="U15" s="1418"/>
      <c r="V15" s="1848">
        <f>-24-0.492</f>
        <v>-24.492000000000001</v>
      </c>
      <c r="W15" s="1839"/>
      <c r="X15" s="1848">
        <v>10</v>
      </c>
      <c r="Y15" s="1839"/>
      <c r="Z15" s="1848">
        <f>-170+0.178</f>
        <v>-169.822</v>
      </c>
      <c r="AA15" s="1839"/>
      <c r="AB15" s="1848">
        <v>34</v>
      </c>
      <c r="AC15" s="1839"/>
      <c r="AD15" s="1848">
        <f>-1+3+8+6</f>
        <v>16</v>
      </c>
      <c r="AE15" s="1839"/>
      <c r="AF15" s="1848">
        <f>-9.827+30.857+31.517-65.668-24.857</f>
        <v>-37.978000000000009</v>
      </c>
      <c r="AG15" s="1839"/>
      <c r="AH15" s="1849">
        <f>14.628-1.078-16.844</f>
        <v>-3.2940000000000005</v>
      </c>
      <c r="AI15" s="1839"/>
      <c r="AJ15" s="1848">
        <f>-16-0.696-46+46</f>
        <v>-16.695999999999998</v>
      </c>
      <c r="AK15" s="1839"/>
      <c r="AL15" s="1848">
        <f>-28-37+28</f>
        <v>-37</v>
      </c>
      <c r="AM15" s="1839"/>
      <c r="AN15" s="1848">
        <f>-109-13+215-2+2</f>
        <v>93</v>
      </c>
      <c r="AO15" s="1839"/>
      <c r="AP15" s="1848">
        <f>-9+3</f>
        <v>-6</v>
      </c>
      <c r="AQ15" s="1839"/>
      <c r="AR15" s="1848">
        <f>6-49-52-45-20+25</f>
        <v>-135</v>
      </c>
      <c r="AS15" s="1839"/>
      <c r="AT15" s="1848">
        <v>232</v>
      </c>
      <c r="AU15" s="1839"/>
      <c r="AV15" s="1848">
        <f>93-13-3+27</f>
        <v>104</v>
      </c>
      <c r="AW15" s="1839"/>
      <c r="AX15" s="1848">
        <v>0</v>
      </c>
      <c r="AY15" s="1839"/>
      <c r="AZ15" s="1848">
        <v>0</v>
      </c>
      <c r="BA15" s="1816"/>
      <c r="BB15" s="1848">
        <f>+-78+2</f>
        <v>-76</v>
      </c>
      <c r="BC15" s="1816"/>
      <c r="BD15" s="1848">
        <f>-108+36-4-4</f>
        <v>-80</v>
      </c>
      <c r="BE15" s="1816"/>
      <c r="BF15" s="1848">
        <f>+-20+45</f>
        <v>25</v>
      </c>
      <c r="BG15" s="1816"/>
      <c r="BH15" s="1848">
        <v>0</v>
      </c>
      <c r="BI15" s="1816"/>
      <c r="BJ15" s="1848">
        <v>0</v>
      </c>
      <c r="BK15" s="1816"/>
      <c r="BL15" s="1848">
        <v>0</v>
      </c>
      <c r="BM15" s="1816"/>
      <c r="BN15" s="1848">
        <v>0</v>
      </c>
      <c r="BO15" s="1816"/>
      <c r="BP15" s="1848">
        <v>0</v>
      </c>
      <c r="BQ15" s="1816"/>
      <c r="BY15" s="23" t="s">
        <v>1280</v>
      </c>
      <c r="BZ15" s="23">
        <f>BZ14*(1-36.3%)</f>
        <v>1497.529670000001</v>
      </c>
      <c r="CA15" s="23">
        <f>CA14*(1-36.2%)</f>
        <v>1662.9336019999992</v>
      </c>
      <c r="CB15" s="23">
        <f>CB14*(1-36.7%)</f>
        <v>1588.1539560000008</v>
      </c>
    </row>
    <row r="16" spans="1:80" ht="6" customHeight="1">
      <c r="D16" s="1850"/>
      <c r="F16" s="1850"/>
      <c r="G16" s="161"/>
      <c r="H16" s="1850"/>
      <c r="J16" s="1850"/>
      <c r="L16" s="1850"/>
      <c r="N16" s="1850"/>
      <c r="P16" s="1850"/>
      <c r="Q16" s="161"/>
      <c r="R16" s="1850"/>
      <c r="T16" s="1850"/>
      <c r="V16" s="1850"/>
      <c r="X16" s="1850"/>
      <c r="Z16" s="1850"/>
      <c r="AB16" s="1850"/>
      <c r="AD16" s="1850"/>
      <c r="AF16" s="1850"/>
      <c r="AH16" s="1851"/>
      <c r="AJ16" s="1850"/>
      <c r="AL16" s="1850"/>
      <c r="AN16" s="1850"/>
      <c r="AP16" s="1850"/>
      <c r="AR16" s="1850"/>
      <c r="AT16" s="1850"/>
      <c r="AV16" s="1850"/>
      <c r="AX16" s="1850"/>
      <c r="AZ16" s="1850"/>
      <c r="BA16" s="1850"/>
      <c r="BB16" s="1850"/>
      <c r="BC16" s="1850"/>
      <c r="BD16" s="1850"/>
      <c r="BE16" s="1850"/>
      <c r="BF16" s="1850"/>
      <c r="BG16" s="1850"/>
      <c r="BH16" s="1850"/>
      <c r="BI16" s="1850"/>
      <c r="BJ16" s="1850"/>
      <c r="BK16" s="1850"/>
      <c r="BL16" s="1850"/>
      <c r="BM16" s="1850"/>
      <c r="BN16" s="1850"/>
      <c r="BO16" s="1850"/>
      <c r="BP16" s="1850"/>
      <c r="BQ16" s="1850"/>
    </row>
    <row r="17" spans="1:81">
      <c r="A17" s="25" t="s">
        <v>803</v>
      </c>
      <c r="B17" s="25"/>
      <c r="C17" s="1852"/>
      <c r="D17" s="1852">
        <f>SUM(D8:D15)</f>
        <v>582.82299999999975</v>
      </c>
      <c r="E17" s="1852"/>
      <c r="F17" s="1852">
        <f>SUM(F8:F15)</f>
        <v>625.99699999999939</v>
      </c>
      <c r="G17" s="1852"/>
      <c r="H17" s="1852">
        <f>SUM(H8:H15)</f>
        <v>702.47400000000005</v>
      </c>
      <c r="I17" s="1852"/>
      <c r="J17" s="1852">
        <f>SUM(J8:J15)</f>
        <v>659.73400000000004</v>
      </c>
      <c r="K17" s="1852"/>
      <c r="L17" s="1852">
        <f>SUM(L8:L15)</f>
        <v>716.23100000000045</v>
      </c>
      <c r="M17" s="1852"/>
      <c r="N17" s="1852">
        <f>SUM(N8:N15)</f>
        <v>613.86900000000014</v>
      </c>
      <c r="O17" s="1852"/>
      <c r="P17" s="1852">
        <f>SUM(P8:P15)</f>
        <v>634.5100000000001</v>
      </c>
      <c r="Q17" s="1852"/>
      <c r="R17" s="1852">
        <f>SUM(R8:R15)</f>
        <v>688.02700000000004</v>
      </c>
      <c r="S17" s="1852"/>
      <c r="T17" s="1852">
        <f>SUM(T8:T15)</f>
        <v>668.30200000000082</v>
      </c>
      <c r="U17" s="1852"/>
      <c r="V17" s="1852">
        <f>SUM(V8:V15)</f>
        <v>670.95100000000002</v>
      </c>
      <c r="W17" s="1852"/>
      <c r="X17" s="1852">
        <f>SUM(X8:X15)</f>
        <v>816</v>
      </c>
      <c r="Y17" s="1852"/>
      <c r="Z17" s="1852">
        <f>SUM(Z8:Z15)</f>
        <v>695.178</v>
      </c>
      <c r="AA17" s="1852"/>
      <c r="AB17" s="1852">
        <f t="shared" ref="AB17:AT17" si="0">SUM(AB8:AB15)</f>
        <v>923</v>
      </c>
      <c r="AC17" s="1852"/>
      <c r="AD17" s="1852">
        <f t="shared" si="0"/>
        <v>854</v>
      </c>
      <c r="AE17" s="1852"/>
      <c r="AF17" s="1852">
        <f t="shared" si="0"/>
        <v>1039.0319999999999</v>
      </c>
      <c r="AG17" s="1852"/>
      <c r="AH17" s="1853">
        <f t="shared" si="0"/>
        <v>913.64800000000002</v>
      </c>
      <c r="AI17" s="1852"/>
      <c r="AJ17" s="1852">
        <f t="shared" si="0"/>
        <v>968.8139999999986</v>
      </c>
      <c r="AK17" s="1852"/>
      <c r="AL17" s="1852">
        <f t="shared" si="0"/>
        <v>732.50499999999988</v>
      </c>
      <c r="AM17" s="1852"/>
      <c r="AN17" s="1852">
        <f t="shared" si="0"/>
        <v>732.93699999999967</v>
      </c>
      <c r="AO17" s="1852"/>
      <c r="AP17" s="1852">
        <f t="shared" si="0"/>
        <v>888</v>
      </c>
      <c r="AQ17" s="1852"/>
      <c r="AR17" s="1852">
        <f t="shared" si="0"/>
        <v>1050</v>
      </c>
      <c r="AS17" s="1852"/>
      <c r="AT17" s="1852">
        <f t="shared" si="0"/>
        <v>1223.0830000000001</v>
      </c>
      <c r="AU17" s="1852"/>
      <c r="AV17" s="1852">
        <f>SUM(AV8:AV15)</f>
        <v>1178.7147000000023</v>
      </c>
      <c r="AW17" s="1852"/>
      <c r="AX17" s="1852">
        <f>SUM(AX8:AX15)</f>
        <v>1338.0279999999975</v>
      </c>
      <c r="AY17" s="1852"/>
      <c r="AZ17" s="1852">
        <f>SUM(AZ8:AZ15)</f>
        <v>1536.8510000000019</v>
      </c>
      <c r="BA17" s="1852"/>
      <c r="BB17" s="1852">
        <f>SUM(BB8:BB15)</f>
        <v>1629.972</v>
      </c>
      <c r="BC17" s="1852"/>
      <c r="BD17" s="1852">
        <f>SUM(BD8:BD15)</f>
        <v>1714.0950000000012</v>
      </c>
      <c r="BE17" s="1852"/>
      <c r="BF17" s="1852">
        <f>SUM(BF8:BF15)</f>
        <v>1525.950000000001</v>
      </c>
      <c r="BG17" s="1852"/>
      <c r="BH17" s="1852">
        <f>SUM(BH8:BH15)</f>
        <v>1574.4996897499425</v>
      </c>
      <c r="BI17" s="1852"/>
      <c r="BJ17" s="1852">
        <f>SUM(BJ8:BJ15)</f>
        <v>1700.7024938815564</v>
      </c>
      <c r="BK17" s="1852"/>
      <c r="BL17" s="1852">
        <f>SUM(BL8:BL15)</f>
        <v>1844.8588025142417</v>
      </c>
      <c r="BM17" s="1852"/>
      <c r="BN17" s="1852">
        <f>SUM(BN8:BN15)</f>
        <v>2009.6145615997277</v>
      </c>
      <c r="BO17" s="1852"/>
      <c r="BP17" s="1852">
        <f>SUM(BP8:BP15)</f>
        <v>2181.6719807192708</v>
      </c>
      <c r="BQ17" s="1852"/>
      <c r="BY17" s="23" t="s">
        <v>1309</v>
      </c>
      <c r="BZ17" s="1834">
        <f>BZ15-AZ33</f>
        <v>1031.561670000001</v>
      </c>
      <c r="CA17" s="1834">
        <f>CA15-BB33</f>
        <v>1174.9826019999991</v>
      </c>
      <c r="CB17" s="1834">
        <f>CB15-BD33</f>
        <v>773.66495600000076</v>
      </c>
    </row>
    <row r="18" spans="1:81" hidden="1" outlineLevel="1">
      <c r="D18" s="1854"/>
      <c r="F18" s="1854"/>
      <c r="G18" s="1854"/>
      <c r="H18" s="1854"/>
      <c r="I18" s="1854"/>
      <c r="J18" s="1854"/>
      <c r="K18" s="1854"/>
      <c r="L18" s="1854"/>
      <c r="M18" s="1854"/>
      <c r="N18" s="1854"/>
      <c r="P18" s="1854"/>
      <c r="Q18" s="1854"/>
      <c r="R18" s="1854"/>
      <c r="S18" s="1854"/>
      <c r="T18" s="1854"/>
      <c r="U18" s="1854"/>
      <c r="V18" s="1854"/>
      <c r="W18" s="1854"/>
      <c r="X18" s="1823">
        <f>X17-X31</f>
        <v>821.82199999999989</v>
      </c>
      <c r="Y18" s="1854"/>
      <c r="Z18" s="1854"/>
      <c r="AA18" s="1854"/>
      <c r="AB18" s="1854"/>
      <c r="AC18" s="1854"/>
      <c r="AD18" s="1854"/>
      <c r="AE18" s="1854"/>
      <c r="AF18" s="1854"/>
      <c r="AG18" s="1854"/>
      <c r="AH18" s="1855"/>
      <c r="AI18" s="1854"/>
      <c r="AJ18" s="1854"/>
      <c r="AK18" s="1854"/>
      <c r="AL18" s="1823"/>
      <c r="AM18" s="1854"/>
      <c r="AN18" s="1854"/>
      <c r="AO18" s="1854"/>
      <c r="AP18" s="1854"/>
      <c r="AQ18" s="1854"/>
      <c r="AR18" s="1854"/>
      <c r="AS18" s="1854"/>
      <c r="AT18" s="1854"/>
      <c r="AU18" s="1854"/>
      <c r="AV18" s="1854"/>
      <c r="AW18" s="1854"/>
      <c r="AX18" s="1854"/>
      <c r="AY18" s="1854"/>
      <c r="AZ18" s="1854"/>
      <c r="BA18" s="1854"/>
      <c r="BB18" s="1854"/>
      <c r="BC18" s="1854"/>
      <c r="BD18" s="1854"/>
      <c r="BE18" s="1854"/>
      <c r="BF18" s="1854"/>
      <c r="BG18" s="1854"/>
      <c r="BH18" s="1854"/>
      <c r="BI18" s="1854"/>
      <c r="BJ18" s="1854"/>
      <c r="BK18" s="1854"/>
      <c r="BL18" s="1854"/>
      <c r="BM18" s="1854"/>
      <c r="BN18" s="1854"/>
      <c r="BO18" s="1854"/>
      <c r="BP18" s="1854"/>
      <c r="BQ18" s="1854"/>
    </row>
    <row r="19" spans="1:81" hidden="1" outlineLevel="1">
      <c r="D19" s="161"/>
      <c r="F19" s="161"/>
      <c r="G19" s="161"/>
      <c r="H19" s="161"/>
      <c r="P19" s="161"/>
      <c r="Q19" s="161"/>
      <c r="R19" s="1856"/>
      <c r="AH19" s="161"/>
      <c r="AL19" s="1857"/>
      <c r="AN19" s="1823"/>
    </row>
    <row r="20" spans="1:81" hidden="1" outlineLevel="1">
      <c r="D20" s="1824"/>
      <c r="E20" s="137"/>
      <c r="F20" s="1824"/>
      <c r="G20" s="1420"/>
      <c r="H20" s="1825"/>
      <c r="I20" s="96"/>
      <c r="J20" s="137"/>
      <c r="K20" s="137"/>
      <c r="L20" s="137"/>
      <c r="M20" s="137"/>
      <c r="N20" s="137"/>
      <c r="O20" s="137"/>
      <c r="P20" s="1824"/>
      <c r="Q20" s="1420"/>
      <c r="R20" s="1825"/>
      <c r="S20" s="96"/>
      <c r="T20" s="137"/>
      <c r="U20" s="137"/>
      <c r="V20" s="1826" t="s">
        <v>804</v>
      </c>
      <c r="W20" s="1827"/>
      <c r="X20" s="1827"/>
      <c r="Y20" s="1827"/>
      <c r="Z20" s="1827"/>
      <c r="AA20" s="1827"/>
      <c r="AB20" s="1827"/>
      <c r="AC20" s="1827"/>
      <c r="AD20" s="1827"/>
      <c r="AE20" s="1827"/>
      <c r="AF20" s="1827"/>
      <c r="AG20" s="1827"/>
      <c r="AH20" s="1828"/>
      <c r="AI20" s="1827"/>
      <c r="AJ20" s="1827"/>
      <c r="AK20" s="1827"/>
      <c r="AL20" s="1827"/>
      <c r="AM20" s="1827"/>
      <c r="AN20" s="1827"/>
      <c r="AO20" s="1827"/>
      <c r="AP20" s="1827"/>
      <c r="AQ20" s="1827"/>
      <c r="AR20" s="1827"/>
      <c r="AS20" s="1827"/>
      <c r="AT20" s="1827"/>
      <c r="AU20" s="1827"/>
      <c r="AV20" s="1827"/>
      <c r="AW20" s="1827"/>
      <c r="AX20" s="1827"/>
      <c r="AY20" s="1827"/>
      <c r="AZ20" s="1827"/>
      <c r="BA20" s="1829"/>
      <c r="BB20" s="1827"/>
      <c r="BC20" s="1829"/>
      <c r="BD20" s="1827"/>
      <c r="BE20" s="1829"/>
      <c r="BF20" s="1827"/>
      <c r="BG20" s="1829"/>
      <c r="BH20" s="1827"/>
      <c r="BI20" s="1829"/>
      <c r="BJ20" s="1827"/>
      <c r="BK20" s="1829"/>
      <c r="BL20" s="1827"/>
      <c r="BM20" s="1829"/>
      <c r="BN20" s="1827"/>
      <c r="BO20" s="1829"/>
      <c r="BP20" s="1827"/>
      <c r="BQ20" s="1829"/>
    </row>
    <row r="21" spans="1:81" ht="6" customHeight="1" collapsed="1">
      <c r="D21" s="161"/>
      <c r="F21" s="161"/>
      <c r="G21" s="161"/>
      <c r="H21" s="161"/>
      <c r="P21" s="161"/>
      <c r="Q21" s="161"/>
      <c r="R21" s="161"/>
      <c r="AH21" s="161"/>
    </row>
    <row r="22" spans="1:81">
      <c r="A22" s="23" t="s">
        <v>805</v>
      </c>
      <c r="C22" s="1418"/>
      <c r="D22" s="1843">
        <v>428.84399999999999</v>
      </c>
      <c r="E22" s="1843"/>
      <c r="F22" s="1843">
        <v>523.08199999999999</v>
      </c>
      <c r="G22" s="1843"/>
      <c r="H22" s="1843">
        <v>429.54500000000002</v>
      </c>
      <c r="I22" s="1843"/>
      <c r="J22" s="1843">
        <v>295.80399999999997</v>
      </c>
      <c r="K22" s="1843"/>
      <c r="L22" s="1843">
        <v>319.67599999999999</v>
      </c>
      <c r="M22" s="1843"/>
      <c r="N22" s="1843">
        <v>374.37400000000002</v>
      </c>
      <c r="O22" s="1843"/>
      <c r="P22" s="1843">
        <v>409.26</v>
      </c>
      <c r="Q22" s="1843"/>
      <c r="R22" s="1843">
        <v>404.60199999999998</v>
      </c>
      <c r="S22" s="1843"/>
      <c r="T22" s="1843">
        <v>347.35599999999999</v>
      </c>
      <c r="U22" s="1843"/>
      <c r="V22" s="1843">
        <v>376</v>
      </c>
      <c r="W22" s="1843"/>
      <c r="X22" s="1843">
        <v>487</v>
      </c>
      <c r="Y22" s="1843"/>
      <c r="Z22" s="1843">
        <v>377</v>
      </c>
      <c r="AA22" s="1843"/>
      <c r="AB22" s="1843">
        <v>306</v>
      </c>
      <c r="AC22" s="1843"/>
      <c r="AD22" s="1843">
        <v>293</v>
      </c>
      <c r="AE22" s="1843"/>
      <c r="AF22" s="1843">
        <v>430.62200000000001</v>
      </c>
      <c r="AG22" s="1843"/>
      <c r="AH22" s="1858">
        <f>134.146+115.422+141.702+88.453</f>
        <v>479.72299999999996</v>
      </c>
      <c r="AI22" s="1843"/>
      <c r="AJ22" s="1843">
        <f>123.365+125.573+169.042+130.124</f>
        <v>548.10400000000004</v>
      </c>
      <c r="AK22" s="1843"/>
      <c r="AL22" s="1843">
        <v>748.75699999999995</v>
      </c>
      <c r="AM22" s="1843"/>
      <c r="AN22" s="1843">
        <v>479</v>
      </c>
      <c r="AO22" s="1843"/>
      <c r="AP22" s="1843">
        <v>202</v>
      </c>
      <c r="AQ22" s="1843"/>
      <c r="AR22" s="1843">
        <v>274</v>
      </c>
      <c r="AS22" s="1843"/>
      <c r="AT22" s="1843">
        <v>426</v>
      </c>
      <c r="AU22" s="1843"/>
      <c r="AV22" s="1858">
        <v>588.08199999999999</v>
      </c>
      <c r="AW22" s="1843"/>
      <c r="AX22" s="1858">
        <v>690.53</v>
      </c>
      <c r="AY22" s="1858"/>
      <c r="AZ22" s="1858">
        <v>714.96799999999996</v>
      </c>
      <c r="BA22" s="1858"/>
      <c r="BB22" s="1858">
        <v>726.95100000000002</v>
      </c>
      <c r="BC22" s="1858"/>
      <c r="BD22" s="1858">
        <v>990.48900000000003</v>
      </c>
      <c r="BE22" s="1843"/>
      <c r="BF22" s="1858">
        <v>706.67499999999995</v>
      </c>
      <c r="BG22" s="1843"/>
      <c r="BH22" s="1858">
        <v>750</v>
      </c>
      <c r="BI22" s="1843"/>
      <c r="BJ22" s="1858">
        <v>750</v>
      </c>
      <c r="BK22" s="1843"/>
      <c r="BL22" s="1858">
        <v>750</v>
      </c>
      <c r="BM22" s="1843"/>
      <c r="BN22" s="1858">
        <v>750</v>
      </c>
      <c r="BO22" s="1843"/>
      <c r="BP22" s="1858">
        <v>750</v>
      </c>
      <c r="BQ22" s="1843"/>
      <c r="BZ22" s="1839"/>
      <c r="CA22" s="1839"/>
      <c r="CB22" s="1839"/>
    </row>
    <row r="23" spans="1:81" ht="6" customHeight="1">
      <c r="D23" s="161"/>
      <c r="F23" s="161"/>
      <c r="G23" s="161"/>
      <c r="H23" s="161"/>
      <c r="P23" s="161"/>
      <c r="Q23" s="161"/>
      <c r="R23" s="161"/>
      <c r="AH23" s="161"/>
      <c r="AJ23" s="1859"/>
      <c r="AL23" s="1857"/>
      <c r="AN23" s="1857"/>
    </row>
    <row r="24" spans="1:81">
      <c r="A24" s="23" t="s">
        <v>806</v>
      </c>
      <c r="D24" s="161"/>
      <c r="F24" s="161"/>
      <c r="G24" s="161"/>
      <c r="H24" s="161"/>
      <c r="P24" s="161"/>
      <c r="Q24" s="161"/>
      <c r="R24" s="161"/>
      <c r="AH24" s="161"/>
      <c r="AL24" s="1857"/>
      <c r="AX24" s="1418"/>
      <c r="AY24" s="1418"/>
      <c r="AZ24" s="1418"/>
      <c r="BA24" s="1418"/>
      <c r="BB24" s="1418"/>
      <c r="BC24" s="1418"/>
      <c r="BD24" s="1418"/>
      <c r="BE24" s="1418">
        <f>(BE22-AK22)/10</f>
        <v>0</v>
      </c>
      <c r="BF24" s="1418"/>
      <c r="BG24" s="1418"/>
      <c r="BH24" s="1418"/>
      <c r="BI24" s="1418"/>
      <c r="BJ24" s="1418"/>
      <c r="BK24" s="1418"/>
      <c r="BL24" s="1418"/>
      <c r="BM24" s="1418"/>
      <c r="BN24" s="1418"/>
      <c r="BO24" s="1418"/>
      <c r="BP24" s="1418"/>
      <c r="BZ24" s="1839"/>
      <c r="CA24" s="1839"/>
      <c r="CB24" s="1839"/>
    </row>
    <row r="25" spans="1:81">
      <c r="B25" s="23" t="s">
        <v>807</v>
      </c>
      <c r="D25" s="1834">
        <v>101.83199999999999</v>
      </c>
      <c r="E25" s="1823"/>
      <c r="F25" s="1834">
        <f>bal!G11-bal!E11</f>
        <v>144.8839999999999</v>
      </c>
      <c r="G25" s="1834"/>
      <c r="H25" s="1834">
        <f>bal!I11-bal!G11</f>
        <v>73.657000000000039</v>
      </c>
      <c r="I25" s="1834"/>
      <c r="J25" s="1834">
        <f>bal!K11-bal!I11</f>
        <v>-70.006999999999948</v>
      </c>
      <c r="K25" s="1834"/>
      <c r="L25" s="1834">
        <f>bal!M11-bal!K11</f>
        <v>136.74</v>
      </c>
      <c r="M25" s="1834"/>
      <c r="N25" s="1836">
        <v>70.813000000000002</v>
      </c>
      <c r="O25" s="1834"/>
      <c r="P25" s="1834">
        <f>bal!Q11-bal!O11</f>
        <v>48.350000000000023</v>
      </c>
      <c r="Q25" s="1834"/>
      <c r="R25" s="1836">
        <v>5.407</v>
      </c>
      <c r="S25" s="1834"/>
      <c r="T25" s="159">
        <v>153.667</v>
      </c>
      <c r="U25" s="1834"/>
      <c r="V25" s="1836">
        <v>54</v>
      </c>
      <c r="W25" s="1834"/>
      <c r="X25" s="1834">
        <f>bal!Y11-bal!W11</f>
        <v>106.22700000000009</v>
      </c>
      <c r="Y25" s="1834"/>
      <c r="Z25" s="1836">
        <v>-82</v>
      </c>
      <c r="AA25" s="1834"/>
      <c r="AB25" s="1836">
        <v>144</v>
      </c>
      <c r="AC25" s="1834"/>
      <c r="AD25" s="1836">
        <v>-23</v>
      </c>
      <c r="AE25" s="1834"/>
      <c r="AF25" s="1836">
        <v>194.14699999999999</v>
      </c>
      <c r="AG25" s="1834"/>
      <c r="AH25" s="1837">
        <v>-10.334</v>
      </c>
      <c r="AI25" s="1834"/>
      <c r="AJ25" s="1836">
        <v>545</v>
      </c>
      <c r="AK25" s="1834"/>
      <c r="AL25" s="1836">
        <v>-337</v>
      </c>
      <c r="AM25" s="1834"/>
      <c r="AN25" s="1834">
        <v>-45</v>
      </c>
      <c r="AO25" s="1834"/>
      <c r="AP25" s="1834">
        <v>-156</v>
      </c>
      <c r="AQ25" s="1834"/>
      <c r="AR25" s="1834">
        <v>-9</v>
      </c>
      <c r="AS25" s="1834"/>
      <c r="AT25" s="1836">
        <v>27</v>
      </c>
      <c r="AU25" s="1834"/>
      <c r="AV25" s="1836">
        <v>7</v>
      </c>
      <c r="AW25" s="1834"/>
      <c r="AX25" s="1836">
        <v>168</v>
      </c>
      <c r="AY25" s="1834"/>
      <c r="AZ25" s="1834">
        <v>-121</v>
      </c>
      <c r="BA25" s="1834"/>
      <c r="BB25" s="2589">
        <v>92</v>
      </c>
      <c r="BC25" s="1834"/>
      <c r="BD25" s="2590">
        <v>-30</v>
      </c>
      <c r="BE25" s="1834"/>
      <c r="BF25" s="2590">
        <v>137</v>
      </c>
      <c r="BG25" s="1834"/>
      <c r="BH25" s="1834">
        <f>bal!BI11-bal!BG11</f>
        <v>74.880186194540556</v>
      </c>
      <c r="BI25" s="1834"/>
      <c r="BJ25" s="1834">
        <f>bal!BK11-bal!BI11</f>
        <v>60.924608278746746</v>
      </c>
      <c r="BK25" s="1834"/>
      <c r="BL25" s="1834">
        <f>bal!BM11-bal!BK11</f>
        <v>64.893875813205568</v>
      </c>
      <c r="BM25" s="1834"/>
      <c r="BN25" s="1834">
        <f>bal!BO11-bal!BM11</f>
        <v>65.468075523239349</v>
      </c>
      <c r="BO25" s="1834"/>
      <c r="BP25" s="1834">
        <f>bal!BQ11-bal!BO11</f>
        <v>65.803465943809215</v>
      </c>
      <c r="BQ25" s="1834"/>
    </row>
    <row r="26" spans="1:81">
      <c r="A26" s="161"/>
      <c r="B26" s="161" t="s">
        <v>1035</v>
      </c>
      <c r="C26" s="161"/>
      <c r="D26" s="1860">
        <v>73.790999999999997</v>
      </c>
      <c r="E26" s="1861"/>
      <c r="F26" s="1860">
        <f>bal!G10-bal!E10</f>
        <v>65.535999999999945</v>
      </c>
      <c r="G26" s="1860"/>
      <c r="H26" s="1860">
        <f>bal!I10-bal!G10</f>
        <v>101.54499999999996</v>
      </c>
      <c r="I26" s="1860"/>
      <c r="J26" s="1860">
        <f>bal!K10-bal!I10</f>
        <v>219.53400000000011</v>
      </c>
      <c r="K26" s="1860"/>
      <c r="L26" s="1860">
        <f>bal!M10-bal!K10</f>
        <v>235.48799999999983</v>
      </c>
      <c r="M26" s="1819"/>
      <c r="N26" s="1858">
        <v>104.121</v>
      </c>
      <c r="O26" s="1819"/>
      <c r="P26" s="1819">
        <f>bal!Q10-bal!O10</f>
        <v>-8.179000000000002</v>
      </c>
      <c r="Q26" s="1819"/>
      <c r="R26" s="1819">
        <f>bal!S10-bal!Q10</f>
        <v>14.033000000000001</v>
      </c>
      <c r="S26" s="1819"/>
      <c r="T26" s="1844">
        <v>-4.7039999999999997</v>
      </c>
      <c r="U26" s="1819"/>
      <c r="V26" s="1841">
        <v>37</v>
      </c>
      <c r="W26" s="1860"/>
      <c r="X26" s="1840">
        <f>bal!Y10-bal!W10</f>
        <v>-15.048999999999992</v>
      </c>
      <c r="Y26" s="1860"/>
      <c r="Z26" s="1840">
        <v>-15</v>
      </c>
      <c r="AA26" s="1860"/>
      <c r="AB26" s="1841">
        <v>39</v>
      </c>
      <c r="AC26" s="1860"/>
      <c r="AD26" s="1840">
        <v>-41</v>
      </c>
      <c r="AE26" s="1860"/>
      <c r="AF26" s="1841">
        <v>14.192</v>
      </c>
      <c r="AG26" s="1860"/>
      <c r="AH26" s="1841">
        <v>53.805</v>
      </c>
      <c r="AI26" s="1860"/>
      <c r="AJ26" s="1841">
        <v>-18</v>
      </c>
      <c r="AK26" s="1860"/>
      <c r="AL26" s="1841">
        <v>192</v>
      </c>
      <c r="AM26" s="1860"/>
      <c r="AN26" s="1860">
        <v>-103</v>
      </c>
      <c r="AO26" s="1860"/>
      <c r="AP26" s="1860">
        <v>-22</v>
      </c>
      <c r="AQ26" s="1860"/>
      <c r="AR26" s="1841">
        <v>11</v>
      </c>
      <c r="AS26" s="1860"/>
      <c r="AT26" s="1841">
        <v>152</v>
      </c>
      <c r="AU26" s="1860"/>
      <c r="AV26" s="1841">
        <v>-5</v>
      </c>
      <c r="AW26" s="1860"/>
      <c r="AX26" s="1841">
        <v>43</v>
      </c>
      <c r="AY26" s="1860"/>
      <c r="AZ26" s="1841">
        <v>9</v>
      </c>
      <c r="BA26" s="1860"/>
      <c r="BB26" s="2589">
        <v>10</v>
      </c>
      <c r="BC26" s="1860"/>
      <c r="BD26" s="2591">
        <v>44</v>
      </c>
      <c r="BE26" s="1860"/>
      <c r="BF26" s="2591">
        <v>13</v>
      </c>
      <c r="BG26" s="1860"/>
      <c r="BH26" s="1860">
        <f>bal!BI10-bal!BG10</f>
        <v>12.612768634384224</v>
      </c>
      <c r="BI26" s="1860"/>
      <c r="BJ26" s="1860">
        <f>bal!BK10-bal!BI10</f>
        <v>14.953805156275052</v>
      </c>
      <c r="BK26" s="1860"/>
      <c r="BL26" s="1860">
        <f>bal!BM10-bal!BK10</f>
        <v>15.928052755075441</v>
      </c>
      <c r="BM26" s="1860"/>
      <c r="BN26" s="1860">
        <f>bal!BO10-bal!BM10</f>
        <v>16.068988754948464</v>
      </c>
      <c r="BO26" s="1860"/>
      <c r="BP26" s="1860">
        <f>bal!BQ10-bal!BO10</f>
        <v>16.151309563274935</v>
      </c>
      <c r="BQ26" s="1860"/>
      <c r="BZ26" s="1715"/>
      <c r="CA26" s="1715"/>
      <c r="CB26" s="1715"/>
    </row>
    <row r="27" spans="1:81">
      <c r="A27" s="23" t="s">
        <v>808</v>
      </c>
      <c r="D27" s="1860"/>
      <c r="E27" s="1861"/>
      <c r="F27" s="1860"/>
      <c r="G27" s="1860"/>
      <c r="H27" s="1860"/>
      <c r="I27" s="1860"/>
      <c r="J27" s="1860"/>
      <c r="K27" s="1860"/>
      <c r="L27" s="1860"/>
      <c r="M27" s="1862"/>
      <c r="N27" s="1863"/>
      <c r="O27" s="1863"/>
      <c r="P27" s="1864"/>
      <c r="Q27" s="161"/>
      <c r="R27" s="1863"/>
      <c r="S27" s="161"/>
      <c r="T27" s="1863"/>
      <c r="U27" s="1863"/>
      <c r="V27" s="1860"/>
      <c r="W27" s="1860"/>
      <c r="X27" s="1860"/>
      <c r="Y27" s="1860"/>
      <c r="Z27" s="1860"/>
      <c r="AA27" s="1860"/>
      <c r="AB27" s="1860"/>
      <c r="AC27" s="1860"/>
      <c r="AD27" s="1860"/>
      <c r="AE27" s="1860"/>
      <c r="AF27" s="1860"/>
      <c r="AG27" s="1860"/>
      <c r="AH27" s="1860"/>
      <c r="AI27" s="1860"/>
      <c r="AJ27" s="1860"/>
      <c r="AK27" s="1860"/>
      <c r="AL27" s="1860"/>
      <c r="AM27" s="1860"/>
      <c r="AN27" s="1860"/>
      <c r="AO27" s="1860"/>
      <c r="AP27" s="1860"/>
      <c r="AQ27" s="1860"/>
      <c r="AR27" s="1860"/>
      <c r="AS27" s="1860"/>
      <c r="AT27" s="1860"/>
      <c r="AU27" s="1860"/>
      <c r="AV27" s="1860"/>
      <c r="AW27" s="1860"/>
      <c r="AX27" s="1860"/>
      <c r="AY27" s="1860"/>
      <c r="AZ27" s="1860"/>
      <c r="BA27" s="1860"/>
      <c r="BB27" s="1860"/>
      <c r="BC27" s="1860"/>
      <c r="BD27" s="1860"/>
      <c r="BE27" s="1860"/>
      <c r="BF27" s="1860"/>
      <c r="BG27" s="1860"/>
      <c r="BH27" s="1860"/>
      <c r="BI27" s="1860"/>
      <c r="BJ27" s="1860"/>
      <c r="BK27" s="1860"/>
      <c r="BL27" s="1860"/>
      <c r="BM27" s="1860"/>
      <c r="BN27" s="1860"/>
      <c r="BO27" s="1860"/>
      <c r="BP27" s="1860"/>
      <c r="BQ27" s="1860"/>
      <c r="CA27" s="1756"/>
      <c r="CB27" s="1756"/>
      <c r="CC27" s="1756"/>
    </row>
    <row r="28" spans="1:81">
      <c r="B28" s="23" t="s">
        <v>234</v>
      </c>
      <c r="C28" s="468"/>
      <c r="D28" s="1839">
        <v>-38.963999999999999</v>
      </c>
      <c r="E28" s="1859"/>
      <c r="F28" s="1839">
        <f>bal!E33-bal!G33+bal!E35-bal!G35</f>
        <v>-8.7919999999999732</v>
      </c>
      <c r="G28" s="1839"/>
      <c r="H28" s="1839">
        <f>bal!G33-bal!I33+bal!G35-bal!I35</f>
        <v>-118.28900000000002</v>
      </c>
      <c r="I28" s="1839"/>
      <c r="J28" s="1839">
        <f>bal!I33-bal!K33+bal!I35-bal!K35</f>
        <v>-14.942999999999984</v>
      </c>
      <c r="K28" s="1839"/>
      <c r="L28" s="1839">
        <f>bal!K33-bal!M33+bal!K35-bal!M35</f>
        <v>-49.72399999999999</v>
      </c>
      <c r="M28" s="468"/>
      <c r="N28" s="1844">
        <v>-50.883000000000003</v>
      </c>
      <c r="O28" s="468"/>
      <c r="P28" s="1844">
        <v>-116.599</v>
      </c>
      <c r="Q28" s="468"/>
      <c r="R28" s="1844">
        <v>-81.832999999999998</v>
      </c>
      <c r="S28" s="468"/>
      <c r="T28" s="1844">
        <v>-45.58</v>
      </c>
      <c r="U28" s="1844"/>
      <c r="V28" s="1840">
        <v>20</v>
      </c>
      <c r="W28" s="1840"/>
      <c r="X28" s="1840">
        <v>-44</v>
      </c>
      <c r="Y28" s="1840"/>
      <c r="Z28" s="1840">
        <v>6</v>
      </c>
      <c r="AA28" s="1840"/>
      <c r="AB28" s="1840">
        <v>-77</v>
      </c>
      <c r="AC28" s="1840"/>
      <c r="AD28" s="1840">
        <v>-43</v>
      </c>
      <c r="AE28" s="1840"/>
      <c r="AF28" s="1840">
        <v>-105.261</v>
      </c>
      <c r="AG28" s="1840"/>
      <c r="AH28" s="1841">
        <v>-92</v>
      </c>
      <c r="AI28" s="1840"/>
      <c r="AJ28" s="1840">
        <v>-115</v>
      </c>
      <c r="AK28" s="1840"/>
      <c r="AL28" s="1840">
        <v>152</v>
      </c>
      <c r="AM28" s="1840"/>
      <c r="AN28" s="1860">
        <v>39</v>
      </c>
      <c r="AO28" s="1840"/>
      <c r="AP28" s="1839">
        <v>-17</v>
      </c>
      <c r="AQ28" s="1840"/>
      <c r="AR28" s="1839">
        <v>-112</v>
      </c>
      <c r="AS28" s="1840"/>
      <c r="AT28" s="1839">
        <v>-106</v>
      </c>
      <c r="AU28" s="1840"/>
      <c r="AV28" s="1840">
        <v>43</v>
      </c>
      <c r="AW28" s="1840"/>
      <c r="AX28" s="1839">
        <v>-1</v>
      </c>
      <c r="AY28" s="1840"/>
      <c r="AZ28" s="1839">
        <v>-90</v>
      </c>
      <c r="BA28" s="1839"/>
      <c r="BB28" s="1839">
        <v>-49</v>
      </c>
      <c r="BC28" s="1839"/>
      <c r="BD28" s="2592">
        <v>27</v>
      </c>
      <c r="BE28" s="1839"/>
      <c r="BF28" s="2592">
        <v>-50</v>
      </c>
      <c r="BG28" s="1839"/>
      <c r="BH28" s="1839">
        <f>bal!BG33-bal!BI33+bal!BG35-bal!BI35</f>
        <v>-138.93135967972103</v>
      </c>
      <c r="BI28" s="1839"/>
      <c r="BJ28" s="1839">
        <f>bal!BI33-bal!BK33+bal!BI35-bal!BK35</f>
        <v>-93.463112362261882</v>
      </c>
      <c r="BK28" s="1839"/>
      <c r="BL28" s="1839">
        <f>bal!BK33-bal!BM33+bal!BK35-bal!BM35</f>
        <v>-93.349868696124076</v>
      </c>
      <c r="BM28" s="1839"/>
      <c r="BN28" s="1839">
        <f>bal!BM33-bal!BO33+bal!BM35-bal!BO35</f>
        <v>-98.973716992653635</v>
      </c>
      <c r="BO28" s="1839"/>
      <c r="BP28" s="1839">
        <f>bal!BO33-bal!BQ33+bal!BO35-bal!BQ35</f>
        <v>-99.875480526057572</v>
      </c>
      <c r="BQ28" s="1839"/>
    </row>
    <row r="29" spans="1:81">
      <c r="B29" s="23" t="s">
        <v>1092</v>
      </c>
      <c r="C29" s="468"/>
      <c r="D29" s="1839">
        <v>38.253999999999998</v>
      </c>
      <c r="E29" s="1859"/>
      <c r="F29" s="1839">
        <f>+bal!E36-bal!G36</f>
        <v>-30.371000000000002</v>
      </c>
      <c r="G29" s="1839"/>
      <c r="H29" s="1839">
        <f>+bal!G36-bal!I36</f>
        <v>-82.369</v>
      </c>
      <c r="I29" s="468"/>
      <c r="J29" s="1844">
        <v>-20.773</v>
      </c>
      <c r="K29" s="468"/>
      <c r="L29" s="1839">
        <f>+bal!K36-bal!M36</f>
        <v>-30.887</v>
      </c>
      <c r="M29" s="468"/>
      <c r="N29" s="468">
        <f>+bal!M36-bal!O36+bal!M42-bal!O42</f>
        <v>132.56000000000003</v>
      </c>
      <c r="O29" s="468"/>
      <c r="P29" s="1844">
        <v>5.915</v>
      </c>
      <c r="Q29" s="1844"/>
      <c r="R29" s="1844">
        <v>145.83199999999999</v>
      </c>
      <c r="S29" s="468"/>
      <c r="T29" s="1844">
        <v>-25.895</v>
      </c>
      <c r="U29" s="1844"/>
      <c r="V29" s="1840">
        <v>-18</v>
      </c>
      <c r="W29" s="1840"/>
      <c r="X29" s="1840">
        <v>60</v>
      </c>
      <c r="Y29" s="1840"/>
      <c r="Z29" s="1840">
        <v>-119</v>
      </c>
      <c r="AA29" s="1840"/>
      <c r="AB29" s="1840">
        <v>110</v>
      </c>
      <c r="AC29" s="1840"/>
      <c r="AD29" s="1840">
        <v>-69</v>
      </c>
      <c r="AE29" s="1840"/>
      <c r="AF29" s="1840">
        <v>54.432000000000002</v>
      </c>
      <c r="AG29" s="1840"/>
      <c r="AH29" s="1841">
        <v>-55.406999999999996</v>
      </c>
      <c r="AI29" s="1840"/>
      <c r="AJ29" s="1840">
        <v>-16</v>
      </c>
      <c r="AK29" s="1840"/>
      <c r="AL29" s="1840">
        <v>31</v>
      </c>
      <c r="AM29" s="1840"/>
      <c r="AN29" s="1860">
        <v>39</v>
      </c>
      <c r="AO29" s="1840"/>
      <c r="AP29" s="1839">
        <v>-44</v>
      </c>
      <c r="AQ29" s="1840"/>
      <c r="AR29" s="1839">
        <v>-73</v>
      </c>
      <c r="AS29" s="1840"/>
      <c r="AT29" s="1839">
        <v>-13</v>
      </c>
      <c r="AU29" s="1840"/>
      <c r="AV29" s="1839">
        <v>-139</v>
      </c>
      <c r="AW29" s="1840"/>
      <c r="AX29" s="1839">
        <v>-74</v>
      </c>
      <c r="AY29" s="1840"/>
      <c r="AZ29" s="1840">
        <v>17</v>
      </c>
      <c r="BA29" s="1839"/>
      <c r="BB29" s="1839">
        <v>-131</v>
      </c>
      <c r="BC29" s="1839"/>
      <c r="BD29" s="1839">
        <v>-117</v>
      </c>
      <c r="BE29" s="1839"/>
      <c r="BF29" s="2592">
        <v>40</v>
      </c>
      <c r="BG29" s="1839"/>
      <c r="BH29" s="1839">
        <f>+bal!BG36-bal!BI36</f>
        <v>-18.348345164292596</v>
      </c>
      <c r="BI29" s="1839"/>
      <c r="BJ29" s="1839">
        <f>+bal!BI36-bal!BK36</f>
        <v>-11.172859198093278</v>
      </c>
      <c r="BK29" s="1839"/>
      <c r="BL29" s="1839">
        <f>+bal!BK36-bal!BM36</f>
        <v>-10.710735674162692</v>
      </c>
      <c r="BM29" s="1839"/>
      <c r="BN29" s="1839">
        <f>+bal!BM36-bal!BO36</f>
        <v>-11.726060858157837</v>
      </c>
      <c r="BO29" s="1839"/>
      <c r="BP29" s="1839">
        <f>+bal!BO36-bal!BQ36</f>
        <v>-11.861867895756745</v>
      </c>
      <c r="BQ29" s="1839"/>
      <c r="BZ29" s="1834"/>
    </row>
    <row r="30" spans="1:81">
      <c r="B30" s="23" t="s">
        <v>235</v>
      </c>
      <c r="C30" s="468"/>
      <c r="D30" s="1846">
        <v>-16.561</v>
      </c>
      <c r="E30" s="1859"/>
      <c r="F30" s="1846">
        <v>-20.896999999999998</v>
      </c>
      <c r="G30" s="468"/>
      <c r="H30" s="1846">
        <v>-26.198</v>
      </c>
      <c r="I30" s="1865"/>
      <c r="J30" s="1846">
        <v>97.784000000000006</v>
      </c>
      <c r="K30" s="1865"/>
      <c r="L30" s="1846">
        <v>63.536000000000001</v>
      </c>
      <c r="M30" s="468"/>
      <c r="N30" s="1846">
        <v>16.526</v>
      </c>
      <c r="O30" s="468"/>
      <c r="P30" s="1846">
        <v>-7.0460000000000003</v>
      </c>
      <c r="Q30" s="468"/>
      <c r="R30" s="1846">
        <v>14.606999999999999</v>
      </c>
      <c r="S30" s="468"/>
      <c r="T30" s="1846">
        <v>13.439</v>
      </c>
      <c r="U30" s="468"/>
      <c r="V30" s="1848">
        <v>-21</v>
      </c>
      <c r="W30" s="1839"/>
      <c r="X30" s="1848">
        <v>-113</v>
      </c>
      <c r="Y30" s="1839"/>
      <c r="Z30" s="1848">
        <v>-100</v>
      </c>
      <c r="AA30" s="1839"/>
      <c r="AB30" s="1848">
        <v>-88</v>
      </c>
      <c r="AC30" s="1839"/>
      <c r="AD30" s="1848">
        <v>-33</v>
      </c>
      <c r="AE30" s="1839"/>
      <c r="AF30" s="1848">
        <v>-51.35</v>
      </c>
      <c r="AG30" s="1839"/>
      <c r="AH30" s="1849">
        <v>-64</v>
      </c>
      <c r="AI30" s="1839"/>
      <c r="AJ30" s="1848">
        <v>-73</v>
      </c>
      <c r="AK30" s="1839"/>
      <c r="AL30" s="1848">
        <v>-98</v>
      </c>
      <c r="AM30" s="1839"/>
      <c r="AN30" s="1866">
        <v>-153</v>
      </c>
      <c r="AO30" s="1839"/>
      <c r="AP30" s="1867">
        <v>-47</v>
      </c>
      <c r="AQ30" s="1839"/>
      <c r="AR30" s="1867">
        <v>-51</v>
      </c>
      <c r="AS30" s="1839"/>
      <c r="AT30" s="1867">
        <v>-103</v>
      </c>
      <c r="AU30" s="1839"/>
      <c r="AV30" s="1867">
        <v>-78</v>
      </c>
      <c r="AW30" s="1839"/>
      <c r="AX30" s="1867">
        <v>-46</v>
      </c>
      <c r="AY30" s="1839"/>
      <c r="AZ30" s="1867">
        <v>-64</v>
      </c>
      <c r="BA30" s="1815"/>
      <c r="BB30" s="1867">
        <v>-161</v>
      </c>
      <c r="BC30" s="1815"/>
      <c r="BD30" s="1867">
        <v>-100</v>
      </c>
      <c r="BE30" s="1815"/>
      <c r="BF30" s="1867">
        <v>-20</v>
      </c>
      <c r="BG30" s="1815"/>
      <c r="BH30" s="1867">
        <f>+bal!BI12-bal!BG12+bal!BI25-bal!BG25+bal!BI26-bal!BG26+bal!BG38-bal!BI38+bal!BG43-bal!BI43</f>
        <v>0</v>
      </c>
      <c r="BI30" s="1815"/>
      <c r="BJ30" s="1867">
        <f>+bal!BK12-bal!BI12+bal!BK25-bal!BI25+bal!BK26-bal!BI26+bal!BI38-bal!BK38+bal!BI43-bal!BK43</f>
        <v>0</v>
      </c>
      <c r="BK30" s="1867"/>
      <c r="BL30" s="1867">
        <f>+bal!BM12-bal!BK12+bal!BM25-bal!BK25+bal!BM26-bal!BK26+bal!BK38-bal!BM38+bal!BK43-bal!BM43</f>
        <v>0</v>
      </c>
      <c r="BM30" s="1867"/>
      <c r="BN30" s="1867">
        <f>+bal!BO12-bal!BM12+bal!BO25-bal!BM25+bal!BO26-bal!BM26+bal!BM38-bal!BO38+bal!BM43-bal!BO43</f>
        <v>0</v>
      </c>
      <c r="BO30" s="1867"/>
      <c r="BP30" s="1867">
        <f>+bal!BQ12-bal!BO12+bal!BQ25-bal!BO25+bal!BQ26-bal!BO26+bal!BO38-bal!BQ38+bal!BO43-bal!BQ43</f>
        <v>0</v>
      </c>
      <c r="BQ30" s="1815"/>
    </row>
    <row r="31" spans="1:81">
      <c r="A31" s="23" t="s">
        <v>534</v>
      </c>
      <c r="D31" s="1834">
        <f>SUM(D25:D30)</f>
        <v>158.35199999999998</v>
      </c>
      <c r="E31" s="1834"/>
      <c r="F31" s="1834">
        <f>SUM(F25:F30)</f>
        <v>150.35999999999987</v>
      </c>
      <c r="G31" s="1834"/>
      <c r="H31" s="1834">
        <f>SUM(H25:H30)</f>
        <v>-51.654000000000018</v>
      </c>
      <c r="I31" s="1834"/>
      <c r="J31" s="1834">
        <f>SUM(J25:J30)</f>
        <v>211.5950000000002</v>
      </c>
      <c r="K31" s="1834"/>
      <c r="L31" s="1834">
        <f>SUM(L25:L30)</f>
        <v>355.15299999999985</v>
      </c>
      <c r="M31" s="1834"/>
      <c r="N31" s="1834">
        <f>SUM(N25:N30)</f>
        <v>273.137</v>
      </c>
      <c r="O31" s="1834"/>
      <c r="P31" s="1834">
        <f>SUM(P25:P30)</f>
        <v>-77.558999999999983</v>
      </c>
      <c r="Q31" s="1834"/>
      <c r="R31" s="1834">
        <f>SUM(R25:R30)</f>
        <v>98.045999999999992</v>
      </c>
      <c r="S31" s="1834"/>
      <c r="T31" s="1834">
        <f>SUM(T25:T30)</f>
        <v>90.926999999999992</v>
      </c>
      <c r="U31" s="1834"/>
      <c r="V31" s="1834">
        <f>SUM(V25:V30)</f>
        <v>72</v>
      </c>
      <c r="W31" s="1834"/>
      <c r="X31" s="1834">
        <f>SUM(X25:X30)</f>
        <v>-5.8219999999999033</v>
      </c>
      <c r="Y31" s="1834"/>
      <c r="Z31" s="1834">
        <f>SUM(Z25:Z30)</f>
        <v>-310</v>
      </c>
      <c r="AA31" s="1834"/>
      <c r="AB31" s="1834">
        <f t="shared" ref="AB31:AT31" si="1">SUM(AB25:AB30)</f>
        <v>128</v>
      </c>
      <c r="AC31" s="1834"/>
      <c r="AD31" s="1834">
        <f t="shared" si="1"/>
        <v>-209</v>
      </c>
      <c r="AE31" s="1834"/>
      <c r="AF31" s="1834">
        <f t="shared" si="1"/>
        <v>106.16</v>
      </c>
      <c r="AG31" s="1834"/>
      <c r="AH31" s="1838">
        <f t="shared" si="1"/>
        <v>-167.93599999999998</v>
      </c>
      <c r="AI31" s="1834"/>
      <c r="AJ31" s="1834">
        <f t="shared" si="1"/>
        <v>323</v>
      </c>
      <c r="AK31" s="1834"/>
      <c r="AL31" s="1834">
        <f t="shared" si="1"/>
        <v>-60</v>
      </c>
      <c r="AM31" s="1834"/>
      <c r="AN31" s="1834">
        <f t="shared" si="1"/>
        <v>-223</v>
      </c>
      <c r="AO31" s="1834"/>
      <c r="AP31" s="1834">
        <f t="shared" si="1"/>
        <v>-286</v>
      </c>
      <c r="AQ31" s="1834"/>
      <c r="AR31" s="1834">
        <f t="shared" si="1"/>
        <v>-234</v>
      </c>
      <c r="AS31" s="1834"/>
      <c r="AT31" s="1834">
        <f t="shared" si="1"/>
        <v>-43</v>
      </c>
      <c r="AU31" s="1834"/>
      <c r="AV31" s="1834">
        <f>SUM(AV25:AV30)</f>
        <v>-172</v>
      </c>
      <c r="AW31" s="1834"/>
      <c r="AX31" s="1834">
        <f>SUM(AX25:AX30)</f>
        <v>90</v>
      </c>
      <c r="AY31" s="1834"/>
      <c r="AZ31" s="1834">
        <f>SUM(AZ25:AZ30)</f>
        <v>-249</v>
      </c>
      <c r="BA31" s="1834"/>
      <c r="BB31" s="1834">
        <f>SUM(BB25:BB30)</f>
        <v>-239</v>
      </c>
      <c r="BC31" s="1834"/>
      <c r="BD31" s="1834">
        <f>SUM(BD25:BD30)</f>
        <v>-176</v>
      </c>
      <c r="BE31" s="1834"/>
      <c r="BF31" s="1834">
        <f>SUM(BF25:BF30)</f>
        <v>120</v>
      </c>
      <c r="BG31" s="1834"/>
      <c r="BH31" s="1834">
        <f>SUM(BH25:BH30)</f>
        <v>-69.786750015088842</v>
      </c>
      <c r="BI31" s="1834"/>
      <c r="BJ31" s="1834">
        <f>SUM(BJ25:BJ30)</f>
        <v>-28.757558125333361</v>
      </c>
      <c r="BK31" s="1834"/>
      <c r="BL31" s="1834">
        <f>SUM(BL25:BL30)</f>
        <v>-23.238675802005758</v>
      </c>
      <c r="BM31" s="1834"/>
      <c r="BN31" s="1834">
        <f>SUM(BN25:BN30)</f>
        <v>-29.162713572623659</v>
      </c>
      <c r="BO31" s="1834"/>
      <c r="BP31" s="1834">
        <f>SUM(BP25:BP30)</f>
        <v>-29.782572914730167</v>
      </c>
      <c r="BQ31" s="1834"/>
    </row>
    <row r="32" spans="1:81" ht="6" customHeight="1">
      <c r="D32" s="1834"/>
      <c r="E32" s="1834"/>
      <c r="F32" s="1834"/>
      <c r="G32" s="1834"/>
      <c r="H32" s="1834"/>
      <c r="I32" s="1834"/>
      <c r="J32" s="1834"/>
      <c r="K32" s="1834"/>
      <c r="L32" s="1834"/>
      <c r="M32" s="1834"/>
      <c r="N32" s="1834"/>
      <c r="O32" s="1834"/>
      <c r="P32" s="1834"/>
      <c r="Q32" s="1834"/>
      <c r="R32" s="1834"/>
      <c r="S32" s="1834"/>
      <c r="T32" s="1834"/>
      <c r="U32" s="1834"/>
      <c r="V32" s="1834"/>
      <c r="W32" s="1834"/>
      <c r="X32" s="1834"/>
      <c r="Y32" s="1834"/>
      <c r="Z32" s="1834"/>
      <c r="AA32" s="1834"/>
      <c r="AB32" s="1834"/>
      <c r="AC32" s="1834"/>
      <c r="AD32" s="1834"/>
      <c r="AE32" s="1834"/>
      <c r="AF32" s="1834"/>
      <c r="AG32" s="1834"/>
      <c r="AH32" s="1838"/>
      <c r="AI32" s="1834"/>
      <c r="AJ32" s="1834"/>
      <c r="AK32" s="1834"/>
      <c r="AL32" s="1834"/>
      <c r="AM32" s="1834"/>
      <c r="AN32" s="1834"/>
      <c r="AO32" s="1834"/>
      <c r="AP32" s="1834"/>
      <c r="AQ32" s="1834"/>
      <c r="AR32" s="1834"/>
      <c r="AS32" s="1834"/>
      <c r="AT32" s="1834"/>
      <c r="AU32" s="1834"/>
      <c r="AV32" s="1834"/>
      <c r="AW32" s="1834"/>
      <c r="AX32" s="1834"/>
      <c r="AY32" s="1834"/>
      <c r="AZ32" s="1834"/>
      <c r="BA32" s="1834"/>
      <c r="BB32" s="1834"/>
      <c r="BC32" s="1834"/>
      <c r="BD32" s="1834"/>
      <c r="BE32" s="1834"/>
      <c r="BF32" s="1834"/>
      <c r="BG32" s="1834"/>
      <c r="BH32" s="1834"/>
      <c r="BI32" s="1834"/>
      <c r="BJ32" s="1834"/>
      <c r="BK32" s="1834"/>
      <c r="BL32" s="1834"/>
      <c r="BM32" s="1834"/>
      <c r="BN32" s="1834"/>
      <c r="BO32" s="1834"/>
      <c r="BP32" s="1834"/>
      <c r="BQ32" s="1834"/>
    </row>
    <row r="33" spans="1:69">
      <c r="A33" s="25" t="s">
        <v>1014</v>
      </c>
      <c r="B33" s="25"/>
      <c r="C33" s="25"/>
      <c r="D33" s="1852">
        <f>D31+D22</f>
        <v>587.19599999999991</v>
      </c>
      <c r="E33" s="1852"/>
      <c r="F33" s="1852">
        <f>F31+F22</f>
        <v>673.44199999999989</v>
      </c>
      <c r="G33" s="1852"/>
      <c r="H33" s="1852">
        <f>H31+H22</f>
        <v>377.89100000000002</v>
      </c>
      <c r="I33" s="1852"/>
      <c r="J33" s="1852">
        <f>J31+J22</f>
        <v>507.39900000000017</v>
      </c>
      <c r="K33" s="1852"/>
      <c r="L33" s="1852">
        <f>L31+L22</f>
        <v>674.82899999999984</v>
      </c>
      <c r="M33" s="1852"/>
      <c r="N33" s="1852">
        <f>N31+N22</f>
        <v>647.51099999999997</v>
      </c>
      <c r="O33" s="1852"/>
      <c r="P33" s="1852">
        <f>P31+P22</f>
        <v>331.70100000000002</v>
      </c>
      <c r="Q33" s="1852"/>
      <c r="R33" s="1852">
        <f>R31+R22</f>
        <v>502.64799999999997</v>
      </c>
      <c r="S33" s="1852"/>
      <c r="T33" s="1852">
        <f>T31+T22</f>
        <v>438.28300000000002</v>
      </c>
      <c r="U33" s="1852"/>
      <c r="V33" s="1852">
        <f>V31+V22</f>
        <v>448</v>
      </c>
      <c r="W33" s="1852"/>
      <c r="X33" s="1852">
        <f>X31+X22</f>
        <v>481.17800000000011</v>
      </c>
      <c r="Y33" s="1852"/>
      <c r="Z33" s="1852">
        <f>Z31+Z22</f>
        <v>67</v>
      </c>
      <c r="AA33" s="1852"/>
      <c r="AB33" s="1852">
        <f t="shared" ref="AB33:AT33" si="2">AB31+AB22</f>
        <v>434</v>
      </c>
      <c r="AC33" s="1852"/>
      <c r="AD33" s="1852">
        <f t="shared" si="2"/>
        <v>84</v>
      </c>
      <c r="AE33" s="1852"/>
      <c r="AF33" s="1852">
        <f t="shared" si="2"/>
        <v>536.78200000000004</v>
      </c>
      <c r="AG33" s="1852"/>
      <c r="AH33" s="1853">
        <f t="shared" si="2"/>
        <v>311.78699999999998</v>
      </c>
      <c r="AI33" s="1852"/>
      <c r="AJ33" s="1852">
        <f t="shared" si="2"/>
        <v>871.10400000000004</v>
      </c>
      <c r="AK33" s="1852"/>
      <c r="AL33" s="1852">
        <f t="shared" si="2"/>
        <v>688.75699999999995</v>
      </c>
      <c r="AM33" s="1852"/>
      <c r="AN33" s="1852">
        <f t="shared" si="2"/>
        <v>256</v>
      </c>
      <c r="AO33" s="1852"/>
      <c r="AP33" s="1852">
        <f t="shared" si="2"/>
        <v>-84</v>
      </c>
      <c r="AQ33" s="1852"/>
      <c r="AR33" s="1852">
        <f t="shared" si="2"/>
        <v>40</v>
      </c>
      <c r="AS33" s="1852"/>
      <c r="AT33" s="1852">
        <f t="shared" si="2"/>
        <v>383</v>
      </c>
      <c r="AU33" s="1852"/>
      <c r="AV33" s="1852">
        <f>AV31+AV22</f>
        <v>416.08199999999999</v>
      </c>
      <c r="AW33" s="1852"/>
      <c r="AX33" s="1852">
        <f>AX31+AX22</f>
        <v>780.53</v>
      </c>
      <c r="AY33" s="1852"/>
      <c r="AZ33" s="1852">
        <f>AZ31+AZ22</f>
        <v>465.96799999999996</v>
      </c>
      <c r="BA33" s="1852"/>
      <c r="BB33" s="1852">
        <f>BB31+BB22</f>
        <v>487.95100000000002</v>
      </c>
      <c r="BC33" s="1852"/>
      <c r="BD33" s="1852">
        <f>BD31+BD22</f>
        <v>814.48900000000003</v>
      </c>
      <c r="BE33" s="1852"/>
      <c r="BF33" s="1852">
        <f>BF31+BF22</f>
        <v>826.67499999999995</v>
      </c>
      <c r="BG33" s="1852"/>
      <c r="BH33" s="1852">
        <f>BH31+BH22</f>
        <v>680.21324998491116</v>
      </c>
      <c r="BI33" s="1852"/>
      <c r="BJ33" s="1852">
        <f>BJ31+BJ22</f>
        <v>721.24244187466661</v>
      </c>
      <c r="BK33" s="1852"/>
      <c r="BL33" s="1852">
        <f>BL31+BL22</f>
        <v>726.76132419799421</v>
      </c>
      <c r="BM33" s="1852"/>
      <c r="BN33" s="1852">
        <f>BN31+BN22</f>
        <v>720.83728642737628</v>
      </c>
      <c r="BO33" s="1852"/>
      <c r="BP33" s="1852">
        <f>BP31+BP22</f>
        <v>720.21742708526983</v>
      </c>
      <c r="BQ33" s="1852"/>
    </row>
    <row r="34" spans="1:69" ht="6" customHeight="1">
      <c r="D34" s="1834"/>
      <c r="E34" s="1834"/>
      <c r="F34" s="1834"/>
      <c r="G34" s="1834"/>
      <c r="H34" s="1834"/>
      <c r="I34" s="1834"/>
      <c r="J34" s="1834"/>
      <c r="K34" s="1834"/>
      <c r="L34" s="1834"/>
      <c r="M34" s="1834"/>
      <c r="N34" s="1834"/>
      <c r="O34" s="1834"/>
      <c r="P34" s="1834"/>
      <c r="Q34" s="1834"/>
      <c r="R34" s="1834"/>
      <c r="S34" s="1834"/>
      <c r="T34" s="1834"/>
      <c r="U34" s="1834"/>
      <c r="V34" s="1834"/>
      <c r="W34" s="1834"/>
      <c r="X34" s="1834"/>
      <c r="Y34" s="1834"/>
      <c r="Z34" s="1834"/>
      <c r="AA34" s="1834"/>
      <c r="AB34" s="1834"/>
      <c r="AC34" s="1834"/>
      <c r="AD34" s="1834"/>
      <c r="AE34" s="1834"/>
      <c r="AF34" s="1834"/>
      <c r="AG34" s="1834"/>
      <c r="AH34" s="1838"/>
      <c r="AI34" s="1834"/>
      <c r="AJ34" s="1834"/>
      <c r="AK34" s="1834"/>
      <c r="AL34" s="1834"/>
      <c r="AM34" s="1834"/>
      <c r="AN34" s="1834"/>
      <c r="AO34" s="1834"/>
      <c r="AP34" s="1834"/>
      <c r="AQ34" s="1834"/>
      <c r="AR34" s="1834"/>
      <c r="AS34" s="1834"/>
      <c r="AT34" s="1834"/>
      <c r="AU34" s="1834"/>
      <c r="AV34" s="1834"/>
      <c r="AW34" s="1834"/>
      <c r="AX34" s="1834"/>
      <c r="AY34" s="1834"/>
      <c r="AZ34" s="1834"/>
      <c r="BA34" s="1834"/>
      <c r="BB34" s="1834"/>
      <c r="BC34" s="1834"/>
      <c r="BD34" s="1834"/>
      <c r="BE34" s="1834"/>
      <c r="BF34" s="1834"/>
      <c r="BG34" s="1834"/>
      <c r="BH34" s="1834"/>
      <c r="BI34" s="1834"/>
      <c r="BJ34" s="1834"/>
      <c r="BK34" s="1834"/>
      <c r="BL34" s="1834"/>
      <c r="BM34" s="1834"/>
      <c r="BN34" s="1834"/>
      <c r="BO34" s="1834"/>
      <c r="BP34" s="1834"/>
      <c r="BQ34" s="1834"/>
    </row>
    <row r="35" spans="1:69">
      <c r="A35" s="1868" t="s">
        <v>1013</v>
      </c>
      <c r="B35" s="238"/>
      <c r="C35" s="238"/>
      <c r="D35" s="1869">
        <f>D17-D33</f>
        <v>-4.373000000000161</v>
      </c>
      <c r="E35" s="1869"/>
      <c r="F35" s="1869">
        <f>F17-F33</f>
        <v>-47.445000000000505</v>
      </c>
      <c r="G35" s="1869"/>
      <c r="H35" s="1869">
        <f>H17-H33</f>
        <v>324.58300000000003</v>
      </c>
      <c r="I35" s="1869"/>
      <c r="J35" s="1869">
        <f>J17-J33</f>
        <v>152.33499999999987</v>
      </c>
      <c r="K35" s="1869"/>
      <c r="L35" s="1869">
        <f>L17-L33</f>
        <v>41.402000000000612</v>
      </c>
      <c r="M35" s="1869"/>
      <c r="N35" s="1869">
        <f>N17-N33</f>
        <v>-33.641999999999825</v>
      </c>
      <c r="O35" s="1869"/>
      <c r="P35" s="1869">
        <f>P17-P33</f>
        <v>302.80900000000008</v>
      </c>
      <c r="Q35" s="1869"/>
      <c r="R35" s="1869">
        <f>R17-R33</f>
        <v>185.37900000000008</v>
      </c>
      <c r="S35" s="1869"/>
      <c r="T35" s="1869">
        <f>T17-T33</f>
        <v>230.0190000000008</v>
      </c>
      <c r="U35" s="1869"/>
      <c r="V35" s="1869">
        <f>V17-V33</f>
        <v>222.95100000000002</v>
      </c>
      <c r="W35" s="1869"/>
      <c r="X35" s="1869">
        <f>X17-X33</f>
        <v>334.82199999999989</v>
      </c>
      <c r="Y35" s="1869"/>
      <c r="Z35" s="1869">
        <f>Z17-Z33</f>
        <v>628.178</v>
      </c>
      <c r="AA35" s="1869"/>
      <c r="AB35" s="1869">
        <f t="shared" ref="AB35:AT35" si="3">AB17-AB33</f>
        <v>489</v>
      </c>
      <c r="AC35" s="1869"/>
      <c r="AD35" s="1869">
        <f t="shared" si="3"/>
        <v>770</v>
      </c>
      <c r="AE35" s="1869"/>
      <c r="AF35" s="1869">
        <f t="shared" si="3"/>
        <v>502.24999999999989</v>
      </c>
      <c r="AG35" s="1869"/>
      <c r="AH35" s="1870">
        <f t="shared" si="3"/>
        <v>601.8610000000001</v>
      </c>
      <c r="AI35" s="1869"/>
      <c r="AJ35" s="1870">
        <f t="shared" si="3"/>
        <v>97.709999999998558</v>
      </c>
      <c r="AK35" s="1869"/>
      <c r="AL35" s="1870">
        <f t="shared" si="3"/>
        <v>43.747999999999934</v>
      </c>
      <c r="AM35" s="1869"/>
      <c r="AN35" s="1869">
        <f t="shared" si="3"/>
        <v>476.93699999999967</v>
      </c>
      <c r="AO35" s="1869"/>
      <c r="AP35" s="1869">
        <f t="shared" si="3"/>
        <v>972</v>
      </c>
      <c r="AQ35" s="1869"/>
      <c r="AR35" s="1869">
        <f t="shared" si="3"/>
        <v>1010</v>
      </c>
      <c r="AS35" s="1869"/>
      <c r="AT35" s="1869">
        <f t="shared" si="3"/>
        <v>840.08300000000008</v>
      </c>
      <c r="AU35" s="1869"/>
      <c r="AV35" s="1869">
        <f>AV17-AV33</f>
        <v>762.63270000000227</v>
      </c>
      <c r="AW35" s="1869"/>
      <c r="AX35" s="1869">
        <f>AX17-AX33</f>
        <v>557.49799999999755</v>
      </c>
      <c r="AY35" s="1869"/>
      <c r="AZ35" s="1869">
        <f>AZ17-AZ33</f>
        <v>1070.8830000000021</v>
      </c>
      <c r="BA35" s="1869"/>
      <c r="BB35" s="1869">
        <f>BB17-BB33</f>
        <v>1142.021</v>
      </c>
      <c r="BC35" s="1869"/>
      <c r="BD35" s="1869">
        <f>BD17-BD33</f>
        <v>899.60600000000113</v>
      </c>
      <c r="BE35" s="1869"/>
      <c r="BF35" s="1869">
        <f>BF17-BF33</f>
        <v>699.275000000001</v>
      </c>
      <c r="BG35" s="1869"/>
      <c r="BH35" s="1869">
        <f>BH17-BH33</f>
        <v>894.28643976503133</v>
      </c>
      <c r="BI35" s="1869"/>
      <c r="BJ35" s="1870">
        <f>BJ17-BJ33</f>
        <v>979.46005200688978</v>
      </c>
      <c r="BK35" s="1870"/>
      <c r="BL35" s="1870">
        <f>BL17-BL33</f>
        <v>1118.0974783162474</v>
      </c>
      <c r="BM35" s="1870"/>
      <c r="BN35" s="1870">
        <f>BN17-BN33</f>
        <v>1288.7772751723514</v>
      </c>
      <c r="BO35" s="1870"/>
      <c r="BP35" s="1870">
        <f>BP17-BP33</f>
        <v>1461.4545536340011</v>
      </c>
      <c r="BQ35" s="1871"/>
    </row>
    <row r="36" spans="1:69" hidden="1" outlineLevel="1">
      <c r="A36" s="139"/>
      <c r="B36" s="139"/>
      <c r="C36" s="139"/>
      <c r="D36" s="1872"/>
      <c r="E36" s="139"/>
      <c r="F36" s="1872"/>
      <c r="G36" s="1872"/>
      <c r="H36" s="1872"/>
      <c r="I36" s="1872"/>
      <c r="J36" s="1872"/>
      <c r="K36" s="1872"/>
      <c r="L36" s="1872"/>
      <c r="M36" s="1872"/>
      <c r="N36" s="1872"/>
      <c r="O36" s="139"/>
      <c r="P36" s="1872"/>
      <c r="Q36" s="1872"/>
      <c r="R36" s="1872"/>
      <c r="S36" s="1872"/>
      <c r="T36" s="1872"/>
      <c r="U36" s="1872"/>
      <c r="V36" s="1872"/>
      <c r="W36" s="1872"/>
      <c r="X36" s="1872"/>
      <c r="Y36" s="1872"/>
      <c r="Z36" s="1872"/>
      <c r="AA36" s="1872"/>
      <c r="AB36" s="1872"/>
      <c r="AC36" s="1872"/>
      <c r="AD36" s="1872"/>
      <c r="AE36" s="1872"/>
      <c r="AF36" s="1872"/>
      <c r="AG36" s="1872"/>
      <c r="AH36" s="1873"/>
      <c r="AI36" s="1872"/>
      <c r="AJ36" s="1872"/>
      <c r="AK36" s="1872"/>
      <c r="AL36" s="1872"/>
      <c r="AM36" s="1872"/>
      <c r="AN36" s="1872"/>
      <c r="AO36" s="1872"/>
      <c r="AP36" s="1872"/>
      <c r="AQ36" s="1872"/>
      <c r="AR36" s="1872"/>
      <c r="AS36" s="1872"/>
      <c r="AT36" s="1872"/>
      <c r="AU36" s="1872"/>
      <c r="AV36" s="1872"/>
      <c r="AW36" s="1872"/>
      <c r="AX36" s="1872"/>
      <c r="AY36" s="1872"/>
      <c r="AZ36" s="1872"/>
      <c r="BA36" s="1872"/>
      <c r="BB36" s="1872"/>
      <c r="BC36" s="1872"/>
      <c r="BD36" s="1872"/>
      <c r="BE36" s="1872"/>
      <c r="BF36" s="1872"/>
      <c r="BG36" s="1872"/>
      <c r="BH36" s="1872"/>
      <c r="BI36" s="1872"/>
      <c r="BJ36" s="1872"/>
      <c r="BK36" s="1872"/>
      <c r="BL36" s="1872"/>
      <c r="BM36" s="1872"/>
      <c r="BN36" s="1872"/>
      <c r="BO36" s="1872"/>
      <c r="BP36" s="1872"/>
      <c r="BQ36" s="1872"/>
    </row>
    <row r="37" spans="1:69" hidden="1" outlineLevel="1">
      <c r="AH37" s="1874"/>
      <c r="AR37" s="1857"/>
    </row>
    <row r="38" spans="1:69" hidden="1" outlineLevel="1">
      <c r="D38" s="1875"/>
      <c r="E38" s="1876"/>
      <c r="F38" s="1875"/>
      <c r="G38" s="1876"/>
      <c r="H38" s="96"/>
      <c r="I38" s="96"/>
      <c r="J38" s="1876"/>
      <c r="K38" s="1876"/>
      <c r="L38" s="1876"/>
      <c r="M38" s="137"/>
      <c r="N38" s="1876"/>
      <c r="O38" s="1876"/>
      <c r="P38" s="1875"/>
      <c r="Q38" s="1876"/>
      <c r="R38" s="96"/>
      <c r="S38" s="96"/>
      <c r="T38" s="1876"/>
      <c r="U38" s="1876"/>
      <c r="V38" s="1826" t="s">
        <v>385</v>
      </c>
      <c r="W38" s="1877"/>
      <c r="X38" s="1877"/>
      <c r="Y38" s="1877"/>
      <c r="Z38" s="1877"/>
      <c r="AA38" s="1827"/>
      <c r="AB38" s="1877"/>
      <c r="AC38" s="1827"/>
      <c r="AD38" s="1877"/>
      <c r="AE38" s="1827"/>
      <c r="AF38" s="1877"/>
      <c r="AG38" s="1827"/>
      <c r="AH38" s="1878"/>
      <c r="AI38" s="1827"/>
      <c r="AJ38" s="1877"/>
      <c r="AK38" s="1827"/>
      <c r="AL38" s="1877"/>
      <c r="AM38" s="1827"/>
      <c r="AN38" s="1877"/>
      <c r="AO38" s="1827"/>
      <c r="AP38" s="1877"/>
      <c r="AQ38" s="1827"/>
      <c r="AR38" s="1879"/>
      <c r="AS38" s="1827"/>
      <c r="AT38" s="1877"/>
      <c r="AU38" s="1827"/>
      <c r="AV38" s="1877"/>
      <c r="AW38" s="1827"/>
      <c r="AX38" s="1877"/>
      <c r="AY38" s="1827"/>
      <c r="AZ38" s="1877"/>
      <c r="BA38" s="1880"/>
      <c r="BB38" s="1877"/>
      <c r="BC38" s="1880"/>
      <c r="BD38" s="1877"/>
      <c r="BE38" s="1880"/>
      <c r="BF38" s="1877"/>
      <c r="BG38" s="1880"/>
      <c r="BH38" s="1877"/>
      <c r="BI38" s="1880"/>
      <c r="BJ38" s="1877"/>
      <c r="BK38" s="1877"/>
      <c r="BL38" s="1877"/>
      <c r="BM38" s="1877"/>
      <c r="BN38" s="1877"/>
      <c r="BO38" s="1877"/>
      <c r="BP38" s="1877"/>
      <c r="BQ38" s="1880"/>
    </row>
    <row r="39" spans="1:69" ht="6" customHeight="1" collapsed="1">
      <c r="AH39" s="161"/>
    </row>
    <row r="40" spans="1:69">
      <c r="A40" s="1418" t="s">
        <v>13</v>
      </c>
      <c r="B40" s="1418"/>
      <c r="C40" s="1418"/>
      <c r="D40" s="1843">
        <v>-55.228000000000002</v>
      </c>
      <c r="E40" s="1418"/>
      <c r="F40" s="1843">
        <v>223.31200000000001</v>
      </c>
      <c r="G40" s="1418"/>
      <c r="H40" s="1843">
        <v>150</v>
      </c>
      <c r="I40" s="1418"/>
      <c r="J40" s="1844">
        <f>250-100</f>
        <v>150</v>
      </c>
      <c r="K40" s="1418"/>
      <c r="L40" s="1418">
        <f>(bal!M41-bal!K41)+(bal!M34-bal!K34)</f>
        <v>0</v>
      </c>
      <c r="M40" s="1418"/>
      <c r="N40" s="1418">
        <f>(bal!O41-bal!M41)+(bal!O34-bal!M34)</f>
        <v>0</v>
      </c>
      <c r="O40" s="1418"/>
      <c r="P40" s="1418">
        <f>(bal!Q41-bal!O41)+(bal!Q34-bal!O34)</f>
        <v>0</v>
      </c>
      <c r="Q40" s="1418"/>
      <c r="R40" s="1418">
        <f>(bal!S41-bal!Q41)+(bal!S34-bal!Q34)</f>
        <v>0</v>
      </c>
      <c r="S40" s="1418"/>
      <c r="T40" s="1418">
        <f>(bal!U41-bal!S41)+(bal!U34-bal!S34)</f>
        <v>0</v>
      </c>
      <c r="U40" s="1418"/>
      <c r="V40" s="1860">
        <f>(bal!W34-bal!U34)+bal!W41-bal!U41</f>
        <v>0</v>
      </c>
      <c r="W40" s="1839"/>
      <c r="X40" s="1839">
        <f>(bal!Y34-bal!W34)+bal!Y41-bal!W41</f>
        <v>-250</v>
      </c>
      <c r="Y40" s="1839"/>
      <c r="Z40" s="1839">
        <f>(bal!AA34-bal!Y34)+bal!AA41-bal!Y41</f>
        <v>0</v>
      </c>
      <c r="AA40" s="1839"/>
      <c r="AB40" s="1840">
        <f>300-150</f>
        <v>150</v>
      </c>
      <c r="AC40" s="1839"/>
      <c r="AD40" s="1840">
        <f>350-250</f>
        <v>100</v>
      </c>
      <c r="AE40" s="1839"/>
      <c r="AF40" s="1841">
        <v>998.15</v>
      </c>
      <c r="AG40" s="1839"/>
      <c r="AH40" s="1841">
        <v>30</v>
      </c>
      <c r="AI40" s="1839"/>
      <c r="AJ40" s="1840">
        <v>0</v>
      </c>
      <c r="AK40" s="1839"/>
      <c r="AL40" s="1840">
        <f>-7+997+250</f>
        <v>1240</v>
      </c>
      <c r="AM40" s="1839"/>
      <c r="AN40" s="1839">
        <v>-15</v>
      </c>
      <c r="AO40" s="1839"/>
      <c r="AP40" s="1839">
        <f>473-656-19</f>
        <v>-202</v>
      </c>
      <c r="AQ40" s="1839"/>
      <c r="AR40" s="1839">
        <f>390-645</f>
        <v>-255</v>
      </c>
      <c r="AS40" s="1839"/>
      <c r="AT40" s="1840">
        <f>981-7</f>
        <v>974</v>
      </c>
      <c r="AU40" s="1839"/>
      <c r="AV40" s="1840">
        <v>985</v>
      </c>
      <c r="AW40" s="1839"/>
      <c r="AX40" s="1840">
        <v>495</v>
      </c>
      <c r="AY40" s="1839"/>
      <c r="AZ40" s="1840">
        <v>-5</v>
      </c>
      <c r="BA40" s="1839"/>
      <c r="BB40" s="2589">
        <f>988+7</f>
        <v>995</v>
      </c>
      <c r="BC40" s="1839"/>
      <c r="BD40" s="2592">
        <f>692+35</f>
        <v>727</v>
      </c>
      <c r="BE40" s="1839"/>
      <c r="BF40" s="2592">
        <f>495+96</f>
        <v>591</v>
      </c>
      <c r="BG40" s="1839"/>
      <c r="BH40" s="1839">
        <f>bal!BI41-bal!BG41</f>
        <v>0</v>
      </c>
      <c r="BI40" s="1839"/>
      <c r="BJ40" s="2592">
        <v>1500</v>
      </c>
      <c r="BK40" s="1839"/>
      <c r="BL40" s="2592">
        <v>0</v>
      </c>
      <c r="BM40" s="1839"/>
      <c r="BN40" s="1839">
        <f>bal!BO41-bal!BM41</f>
        <v>0</v>
      </c>
      <c r="BO40" s="1839"/>
      <c r="BP40" s="1839">
        <f>bal!BQ41-bal!BO41</f>
        <v>0</v>
      </c>
      <c r="BQ40" s="1839"/>
    </row>
    <row r="41" spans="1:69">
      <c r="A41" s="1819" t="s">
        <v>468</v>
      </c>
      <c r="B41" s="1418"/>
      <c r="C41" s="1418"/>
      <c r="D41" s="1844">
        <f>300-150</f>
        <v>150</v>
      </c>
      <c r="E41" s="1418"/>
      <c r="F41" s="1844">
        <v>-50</v>
      </c>
      <c r="G41" s="1418"/>
      <c r="H41" s="1844">
        <v>-322.11900000000003</v>
      </c>
      <c r="I41" s="1844"/>
      <c r="J41" s="1844">
        <v>-25.939</v>
      </c>
      <c r="K41" s="1418"/>
      <c r="L41" s="1418">
        <f>+bal!M37-bal!K37</f>
        <v>9.5</v>
      </c>
      <c r="M41" s="1418"/>
      <c r="N41" s="1418">
        <f>+bal!O37-bal!M37</f>
        <v>-25.2</v>
      </c>
      <c r="O41" s="1418"/>
      <c r="P41" s="1418">
        <f>+bal!Q37-bal!O37</f>
        <v>0</v>
      </c>
      <c r="Q41" s="1418"/>
      <c r="R41" s="1418">
        <f>+bal!S37-bal!Q37</f>
        <v>0</v>
      </c>
      <c r="S41" s="1418"/>
      <c r="T41" s="1418">
        <f>+bal!U37-bal!S37</f>
        <v>0</v>
      </c>
      <c r="U41" s="1418"/>
      <c r="V41" s="1860">
        <f>+bal!W37-bal!U37</f>
        <v>0</v>
      </c>
      <c r="W41" s="1839"/>
      <c r="X41" s="1839">
        <f>+bal!Y37-bal!W37</f>
        <v>0</v>
      </c>
      <c r="Y41" s="1839"/>
      <c r="Z41" s="1839">
        <f>+bal!AA37-bal!Y37</f>
        <v>0</v>
      </c>
      <c r="AA41" s="1839"/>
      <c r="AB41" s="1839">
        <f>+bal!AC37-bal!AA37</f>
        <v>0</v>
      </c>
      <c r="AC41" s="1839"/>
      <c r="AD41" s="1839">
        <f>+bal!AE37-bal!AC37</f>
        <v>0</v>
      </c>
      <c r="AE41" s="1839"/>
      <c r="AF41" s="1860">
        <v>0</v>
      </c>
      <c r="AG41" s="1839"/>
      <c r="AH41" s="1860">
        <f>+bal!AI37-bal!AG37</f>
        <v>0</v>
      </c>
      <c r="AI41" s="1839"/>
      <c r="AJ41" s="1840">
        <v>-7</v>
      </c>
      <c r="AK41" s="1839"/>
      <c r="AL41" s="1839">
        <f>+bal!AM37-bal!AK37</f>
        <v>0</v>
      </c>
      <c r="AM41" s="1839"/>
      <c r="AN41" s="1839">
        <f>+bal!AO37-bal!AM37</f>
        <v>0</v>
      </c>
      <c r="AO41" s="1839"/>
      <c r="AP41" s="1839">
        <f>+bal!AQ37-bal!AO37</f>
        <v>0</v>
      </c>
      <c r="AQ41" s="1839"/>
      <c r="AR41" s="1839">
        <f>+bal!AS37-bal!AQ37</f>
        <v>0</v>
      </c>
      <c r="AS41" s="1839"/>
      <c r="AT41" s="1860">
        <v>0</v>
      </c>
      <c r="AU41" s="1839"/>
      <c r="AV41" s="1839">
        <v>-57</v>
      </c>
      <c r="AW41" s="1839"/>
      <c r="AX41" s="1840">
        <v>0</v>
      </c>
      <c r="AY41" s="1839"/>
      <c r="AZ41" s="1839">
        <v>-213</v>
      </c>
      <c r="BA41" s="1839"/>
      <c r="BB41" s="2589">
        <v>0</v>
      </c>
      <c r="BC41" s="1839"/>
      <c r="BD41" s="1839">
        <f>-742-6</f>
        <v>-748</v>
      </c>
      <c r="BE41" s="1839"/>
      <c r="BF41" s="1839">
        <f>+-540-44</f>
        <v>-584</v>
      </c>
      <c r="BG41" s="1839"/>
      <c r="BH41" s="1839">
        <f>+bal!BI37-bal!BG37</f>
        <v>0</v>
      </c>
      <c r="BI41" s="1839"/>
      <c r="BJ41" s="1839">
        <f>+bal!BK37-bal!BI37</f>
        <v>0</v>
      </c>
      <c r="BK41" s="1839"/>
      <c r="BL41" s="1839">
        <f>+bal!BM37-bal!BK37</f>
        <v>0</v>
      </c>
      <c r="BM41" s="1839"/>
      <c r="BN41" s="1839">
        <f>+bal!BO37-bal!BM37</f>
        <v>0</v>
      </c>
      <c r="BO41" s="1839"/>
      <c r="BP41" s="1839">
        <f>+bal!BQ37-bal!BO37</f>
        <v>0</v>
      </c>
      <c r="BQ41" s="1839"/>
    </row>
    <row r="42" spans="1:69" hidden="1" outlineLevel="1">
      <c r="A42" s="1819" t="s">
        <v>962</v>
      </c>
      <c r="B42" s="1418"/>
      <c r="C42" s="1418"/>
      <c r="D42" s="1844">
        <v>-10.987</v>
      </c>
      <c r="E42" s="1844"/>
      <c r="F42" s="1844">
        <v>-18.75</v>
      </c>
      <c r="G42" s="1418"/>
      <c r="H42" s="1844">
        <v>-60.042999999999999</v>
      </c>
      <c r="I42" s="1418"/>
      <c r="J42" s="1843">
        <f>285-64.75</f>
        <v>220.25</v>
      </c>
      <c r="K42" s="1418"/>
      <c r="L42" s="1843">
        <v>0</v>
      </c>
      <c r="M42" s="1418"/>
      <c r="N42" s="1843">
        <f>0+1212.63</f>
        <v>1212.6300000000001</v>
      </c>
      <c r="O42" s="1843"/>
      <c r="P42" s="1843">
        <v>0</v>
      </c>
      <c r="Q42" s="1418"/>
      <c r="R42" s="1843">
        <v>234.976</v>
      </c>
      <c r="S42" s="1418"/>
      <c r="T42" s="1843">
        <v>131.262</v>
      </c>
      <c r="U42" s="1418"/>
      <c r="V42" s="1841">
        <v>182</v>
      </c>
      <c r="W42" s="1839"/>
      <c r="X42" s="1840">
        <v>0</v>
      </c>
      <c r="Y42" s="1840"/>
      <c r="Z42" s="1840">
        <v>280</v>
      </c>
      <c r="AA42" s="1839"/>
      <c r="AB42" s="1840">
        <v>79</v>
      </c>
      <c r="AC42" s="1839"/>
      <c r="AD42" s="1840">
        <v>0</v>
      </c>
      <c r="AE42" s="1839"/>
      <c r="AF42" s="1841">
        <v>0</v>
      </c>
      <c r="AG42" s="1839"/>
      <c r="AH42" s="1841">
        <v>0</v>
      </c>
      <c r="AI42" s="1839"/>
      <c r="AJ42" s="1840">
        <v>0</v>
      </c>
      <c r="AK42" s="1839"/>
      <c r="AL42" s="1840">
        <v>547</v>
      </c>
      <c r="AM42" s="1839"/>
      <c r="AN42" s="1840">
        <v>0</v>
      </c>
      <c r="AO42" s="1839"/>
      <c r="AP42" s="1840">
        <v>0</v>
      </c>
      <c r="AQ42" s="1839"/>
      <c r="AR42" s="1840">
        <v>0</v>
      </c>
      <c r="AS42" s="1839"/>
      <c r="AT42" s="1841">
        <v>0</v>
      </c>
      <c r="AU42" s="1839"/>
      <c r="AV42" s="1840">
        <v>0</v>
      </c>
      <c r="AW42" s="1839"/>
      <c r="AX42" s="1840">
        <v>0</v>
      </c>
      <c r="AY42" s="1839"/>
      <c r="AZ42" s="1840">
        <v>0</v>
      </c>
      <c r="BA42" s="1840"/>
      <c r="BB42" s="1840">
        <f>196+85+50-60</f>
        <v>271</v>
      </c>
      <c r="BC42" s="1840"/>
      <c r="BD42" s="1840">
        <f>108-33+53+10</f>
        <v>138</v>
      </c>
      <c r="BE42" s="1840"/>
      <c r="BF42" s="1840">
        <v>0</v>
      </c>
      <c r="BG42" s="1840"/>
      <c r="BH42" s="1840">
        <v>0</v>
      </c>
      <c r="BI42" s="1840"/>
      <c r="BJ42" s="1840">
        <v>0</v>
      </c>
      <c r="BK42" s="1840"/>
      <c r="BL42" s="1840">
        <v>0</v>
      </c>
      <c r="BM42" s="1840"/>
      <c r="BN42" s="1840">
        <v>0</v>
      </c>
      <c r="BO42" s="1840"/>
      <c r="BP42" s="1840">
        <v>0</v>
      </c>
      <c r="BQ42" s="1840"/>
    </row>
    <row r="43" spans="1:69" hidden="1" outlineLevel="1">
      <c r="A43" s="1819" t="s">
        <v>963</v>
      </c>
      <c r="B43" s="1418"/>
      <c r="C43" s="1418"/>
      <c r="D43" s="1843">
        <v>0</v>
      </c>
      <c r="E43" s="1418"/>
      <c r="F43" s="1843">
        <v>0</v>
      </c>
      <c r="G43" s="1418"/>
      <c r="H43" s="1843">
        <v>0</v>
      </c>
      <c r="I43" s="1418"/>
      <c r="J43" s="1843">
        <v>0</v>
      </c>
      <c r="K43" s="1418"/>
      <c r="L43" s="1843">
        <v>0</v>
      </c>
      <c r="M43" s="1418"/>
      <c r="N43" s="1843">
        <v>788.58900000000006</v>
      </c>
      <c r="O43" s="1843"/>
      <c r="P43" s="1843">
        <v>118.178</v>
      </c>
      <c r="Q43" s="1418"/>
      <c r="R43" s="1843">
        <v>108.259</v>
      </c>
      <c r="S43" s="1418"/>
      <c r="T43" s="1843">
        <v>0</v>
      </c>
      <c r="U43" s="1418"/>
      <c r="V43" s="1841">
        <v>0</v>
      </c>
      <c r="W43" s="1839"/>
      <c r="X43" s="1840">
        <v>0</v>
      </c>
      <c r="Y43" s="1839"/>
      <c r="Z43" s="1840">
        <v>0</v>
      </c>
      <c r="AA43" s="1839"/>
      <c r="AB43" s="1840">
        <v>65</v>
      </c>
      <c r="AC43" s="1839"/>
      <c r="AD43" s="1840">
        <v>324</v>
      </c>
      <c r="AE43" s="1839"/>
      <c r="AF43" s="1841">
        <f>65.333+65.668</f>
        <v>131.001</v>
      </c>
      <c r="AG43" s="1839"/>
      <c r="AH43" s="1841">
        <v>0</v>
      </c>
      <c r="AI43" s="1839"/>
      <c r="AJ43" s="1840">
        <v>0</v>
      </c>
      <c r="AK43" s="1839"/>
      <c r="AL43" s="1840">
        <v>0</v>
      </c>
      <c r="AM43" s="1839"/>
      <c r="AN43" s="1840">
        <v>0</v>
      </c>
      <c r="AO43" s="1839"/>
      <c r="AP43" s="1840">
        <v>0</v>
      </c>
      <c r="AQ43" s="1839"/>
      <c r="AR43" s="1840">
        <v>0</v>
      </c>
      <c r="AS43" s="1839"/>
      <c r="AT43" s="1841">
        <v>0</v>
      </c>
      <c r="AU43" s="1839"/>
      <c r="AV43" s="1840">
        <v>0</v>
      </c>
      <c r="AW43" s="1839"/>
      <c r="AX43" s="1840">
        <v>0</v>
      </c>
      <c r="AY43" s="1839"/>
      <c r="AZ43" s="1840">
        <v>0</v>
      </c>
      <c r="BA43" s="1840"/>
      <c r="BB43" s="1840">
        <v>0</v>
      </c>
      <c r="BC43" s="1840"/>
      <c r="BD43" s="1840">
        <v>0</v>
      </c>
      <c r="BE43" s="1840"/>
      <c r="BF43" s="1840">
        <v>0</v>
      </c>
      <c r="BG43" s="1840"/>
      <c r="BH43" s="1840">
        <v>0</v>
      </c>
      <c r="BI43" s="1840"/>
      <c r="BJ43" s="1840">
        <v>0</v>
      </c>
      <c r="BK43" s="1840"/>
      <c r="BL43" s="1840">
        <v>0</v>
      </c>
      <c r="BM43" s="1840"/>
      <c r="BN43" s="1840">
        <v>0</v>
      </c>
      <c r="BO43" s="1840"/>
      <c r="BP43" s="1840">
        <v>0</v>
      </c>
      <c r="BQ43" s="1840"/>
    </row>
    <row r="44" spans="1:69" hidden="1" outlineLevel="1">
      <c r="A44" s="1819" t="s">
        <v>964</v>
      </c>
      <c r="B44" s="1418"/>
      <c r="C44" s="1418"/>
      <c r="D44" s="1843">
        <v>0</v>
      </c>
      <c r="E44" s="1418"/>
      <c r="F44" s="1843">
        <v>0</v>
      </c>
      <c r="G44" s="1418"/>
      <c r="H44" s="1843">
        <v>0</v>
      </c>
      <c r="I44" s="1418"/>
      <c r="J44" s="1843">
        <v>0</v>
      </c>
      <c r="K44" s="1418"/>
      <c r="L44" s="1843">
        <v>0</v>
      </c>
      <c r="M44" s="1418"/>
      <c r="N44" s="1843">
        <v>0</v>
      </c>
      <c r="O44" s="1418"/>
      <c r="P44" s="1843">
        <v>0</v>
      </c>
      <c r="Q44" s="1418"/>
      <c r="R44" s="1843">
        <v>0</v>
      </c>
      <c r="S44" s="1418"/>
      <c r="T44" s="1843">
        <v>0</v>
      </c>
      <c r="U44" s="1418"/>
      <c r="V44" s="1841">
        <v>0</v>
      </c>
      <c r="W44" s="1839"/>
      <c r="X44" s="1840">
        <v>0</v>
      </c>
      <c r="Y44" s="1839"/>
      <c r="Z44" s="1840">
        <v>0</v>
      </c>
      <c r="AA44" s="1839"/>
      <c r="AB44" s="1840">
        <v>34</v>
      </c>
      <c r="AC44" s="1839"/>
      <c r="AD44" s="1840">
        <v>8</v>
      </c>
      <c r="AE44" s="1839"/>
      <c r="AF44" s="1841">
        <v>0</v>
      </c>
      <c r="AG44" s="1839"/>
      <c r="AH44" s="1841">
        <v>0</v>
      </c>
      <c r="AI44" s="1839"/>
      <c r="AJ44" s="1840">
        <v>0</v>
      </c>
      <c r="AK44" s="1839"/>
      <c r="AL44" s="1840">
        <v>0</v>
      </c>
      <c r="AM44" s="1839"/>
      <c r="AN44" s="1840">
        <v>159</v>
      </c>
      <c r="AO44" s="1839"/>
      <c r="AP44" s="1840">
        <v>9</v>
      </c>
      <c r="AQ44" s="1839"/>
      <c r="AR44" s="1840">
        <v>0</v>
      </c>
      <c r="AS44" s="1839"/>
      <c r="AT44" s="1841">
        <v>0</v>
      </c>
      <c r="AU44" s="1839"/>
      <c r="AV44" s="1840">
        <v>0</v>
      </c>
      <c r="AW44" s="1839"/>
      <c r="AX44" s="1840">
        <v>0</v>
      </c>
      <c r="AY44" s="1839"/>
      <c r="AZ44" s="1840">
        <v>0</v>
      </c>
      <c r="BA44" s="1840"/>
      <c r="BB44" s="1840">
        <v>0</v>
      </c>
      <c r="BC44" s="1840"/>
      <c r="BD44" s="1840">
        <v>0</v>
      </c>
      <c r="BE44" s="1840"/>
      <c r="BF44" s="1840">
        <v>0</v>
      </c>
      <c r="BG44" s="1840"/>
      <c r="BH44" s="1840">
        <v>0</v>
      </c>
      <c r="BI44" s="1840"/>
      <c r="BJ44" s="1840">
        <v>0</v>
      </c>
      <c r="BK44" s="1840"/>
      <c r="BL44" s="1840">
        <v>0</v>
      </c>
      <c r="BM44" s="1840"/>
      <c r="BN44" s="1840">
        <v>0</v>
      </c>
      <c r="BO44" s="1840"/>
      <c r="BP44" s="1840">
        <v>0</v>
      </c>
      <c r="BQ44" s="1840"/>
    </row>
    <row r="45" spans="1:69" hidden="1" outlineLevel="1">
      <c r="A45" s="1819" t="s">
        <v>965</v>
      </c>
      <c r="B45" s="1418"/>
      <c r="C45" s="1418"/>
      <c r="D45" s="1843">
        <v>0</v>
      </c>
      <c r="E45" s="1418"/>
      <c r="F45" s="1843">
        <v>0</v>
      </c>
      <c r="G45" s="1418"/>
      <c r="H45" s="1843">
        <v>0</v>
      </c>
      <c r="I45" s="1418"/>
      <c r="J45" s="1843">
        <v>0</v>
      </c>
      <c r="K45" s="1418"/>
      <c r="L45" s="1843">
        <v>0</v>
      </c>
      <c r="M45" s="1418"/>
      <c r="N45" s="1843">
        <v>0</v>
      </c>
      <c r="O45" s="1418"/>
      <c r="P45" s="1843">
        <v>0</v>
      </c>
      <c r="Q45" s="1418"/>
      <c r="R45" s="1843">
        <v>0</v>
      </c>
      <c r="S45" s="1418"/>
      <c r="T45" s="1844">
        <v>31.073</v>
      </c>
      <c r="U45" s="1418"/>
      <c r="V45" s="1841">
        <v>11</v>
      </c>
      <c r="W45" s="1839"/>
      <c r="X45" s="1840">
        <v>-22</v>
      </c>
      <c r="Y45" s="1839"/>
      <c r="Z45" s="1840">
        <v>-11</v>
      </c>
      <c r="AA45" s="1839"/>
      <c r="AB45" s="1840">
        <v>18</v>
      </c>
      <c r="AC45" s="1839"/>
      <c r="AD45" s="1840">
        <v>-4</v>
      </c>
      <c r="AE45" s="1839"/>
      <c r="AF45" s="1841">
        <f>27.182-1.894</f>
        <v>25.288</v>
      </c>
      <c r="AG45" s="1839"/>
      <c r="AH45" s="1841">
        <v>0</v>
      </c>
      <c r="AI45" s="1839"/>
      <c r="AJ45" s="1840">
        <v>0</v>
      </c>
      <c r="AK45" s="1839"/>
      <c r="AL45" s="1840">
        <f>102+97</f>
        <v>199</v>
      </c>
      <c r="AM45" s="1839"/>
      <c r="AN45" s="1840">
        <v>0</v>
      </c>
      <c r="AO45" s="1839"/>
      <c r="AP45" s="1840">
        <v>32</v>
      </c>
      <c r="AQ45" s="1839"/>
      <c r="AR45" s="1840">
        <v>0</v>
      </c>
      <c r="AS45" s="1839"/>
      <c r="AT45" s="1841">
        <v>0</v>
      </c>
      <c r="AU45" s="1839"/>
      <c r="AV45" s="1840">
        <v>0</v>
      </c>
      <c r="AW45" s="1839"/>
      <c r="AX45" s="1840">
        <v>0</v>
      </c>
      <c r="AY45" s="1839"/>
      <c r="AZ45" s="1840">
        <v>0</v>
      </c>
      <c r="BA45" s="1840"/>
      <c r="BB45" s="1840">
        <v>0</v>
      </c>
      <c r="BC45" s="1840"/>
      <c r="BD45" s="1840">
        <v>0</v>
      </c>
      <c r="BE45" s="1840"/>
      <c r="BF45" s="1840">
        <v>0</v>
      </c>
      <c r="BG45" s="1840"/>
      <c r="BH45" s="1840">
        <v>0</v>
      </c>
      <c r="BI45" s="1840"/>
      <c r="BJ45" s="1840">
        <v>0</v>
      </c>
      <c r="BK45" s="1840"/>
      <c r="BL45" s="1840">
        <v>0</v>
      </c>
      <c r="BM45" s="1840"/>
      <c r="BN45" s="1840">
        <v>0</v>
      </c>
      <c r="BO45" s="1840"/>
      <c r="BP45" s="1840">
        <v>0</v>
      </c>
      <c r="BQ45" s="1840"/>
    </row>
    <row r="46" spans="1:69" collapsed="1">
      <c r="A46" s="1819" t="s">
        <v>966</v>
      </c>
      <c r="B46" s="1418"/>
      <c r="C46" s="1418"/>
      <c r="D46" s="1843">
        <v>-9.1259999999999994</v>
      </c>
      <c r="E46" s="1418"/>
      <c r="F46" s="1843">
        <v>0</v>
      </c>
      <c r="G46" s="1418"/>
      <c r="H46" s="1843">
        <v>0</v>
      </c>
      <c r="I46" s="1418"/>
      <c r="J46" s="1843">
        <v>0</v>
      </c>
      <c r="K46" s="1418"/>
      <c r="L46" s="1843">
        <v>0</v>
      </c>
      <c r="M46" s="1418"/>
      <c r="N46" s="1844">
        <f>-2-351.6</f>
        <v>-353.6</v>
      </c>
      <c r="O46" s="1844"/>
      <c r="P46" s="1844">
        <v>-41.255000000000003</v>
      </c>
      <c r="Q46" s="1844"/>
      <c r="R46" s="1844">
        <v>0</v>
      </c>
      <c r="S46" s="1418"/>
      <c r="T46" s="1844">
        <v>-47.649000000000001</v>
      </c>
      <c r="U46" s="1418"/>
      <c r="V46" s="1841">
        <f>352+50+12</f>
        <v>414</v>
      </c>
      <c r="W46" s="1839"/>
      <c r="X46" s="1840">
        <v>-7</v>
      </c>
      <c r="Y46" s="1839"/>
      <c r="Z46" s="1840">
        <v>49</v>
      </c>
      <c r="AA46" s="1839"/>
      <c r="AB46" s="1840">
        <v>30</v>
      </c>
      <c r="AC46" s="1839"/>
      <c r="AD46" s="1840">
        <v>0</v>
      </c>
      <c r="AE46" s="1839"/>
      <c r="AF46" s="1840">
        <f>-27.5+75</f>
        <v>47.5</v>
      </c>
      <c r="AG46" s="1839"/>
      <c r="AH46" s="1841">
        <v>-26</v>
      </c>
      <c r="AI46" s="1839"/>
      <c r="AJ46" s="1840">
        <f>-572-8+35</f>
        <v>-545</v>
      </c>
      <c r="AK46" s="1839"/>
      <c r="AL46" s="1840">
        <v>33</v>
      </c>
      <c r="AM46" s="1839"/>
      <c r="AN46" s="1840">
        <f>-15+95</f>
        <v>80</v>
      </c>
      <c r="AO46" s="1839"/>
      <c r="AP46" s="1840">
        <v>-1</v>
      </c>
      <c r="AQ46" s="1839"/>
      <c r="AR46" s="1840">
        <f>49+7+32+73+0+7</f>
        <v>168</v>
      </c>
      <c r="AS46" s="1839"/>
      <c r="AT46" s="1841">
        <f>124+99-23</f>
        <v>200</v>
      </c>
      <c r="AU46" s="1839"/>
      <c r="AV46" s="1840">
        <f>11+23+13+10</f>
        <v>57</v>
      </c>
      <c r="AW46" s="1839"/>
      <c r="AX46" s="1840">
        <f>46-10-0.883</f>
        <v>35.116999999999997</v>
      </c>
      <c r="AY46" s="1839"/>
      <c r="AZ46" s="1840">
        <v>16</v>
      </c>
      <c r="BA46" s="1840"/>
      <c r="BB46" s="1840">
        <v>13</v>
      </c>
      <c r="BC46" s="1840"/>
      <c r="BD46" s="1840">
        <v>19</v>
      </c>
      <c r="BE46" s="1840"/>
      <c r="BF46" s="1840">
        <f>29-10-10</f>
        <v>9</v>
      </c>
      <c r="BG46" s="1840"/>
      <c r="BH46" s="1840">
        <v>0</v>
      </c>
      <c r="BI46" s="1840"/>
      <c r="BJ46" s="1840">
        <v>0</v>
      </c>
      <c r="BK46" s="1840"/>
      <c r="BL46" s="1840">
        <v>0</v>
      </c>
      <c r="BM46" s="1840"/>
      <c r="BN46" s="1840">
        <v>0</v>
      </c>
      <c r="BO46" s="1840"/>
      <c r="BP46" s="1840">
        <v>0</v>
      </c>
      <c r="BQ46" s="1840"/>
    </row>
    <row r="47" spans="1:69">
      <c r="A47" s="1819" t="s">
        <v>14</v>
      </c>
      <c r="B47" s="1418"/>
      <c r="C47" s="1418"/>
      <c r="D47" s="1843">
        <v>0</v>
      </c>
      <c r="E47" s="1418"/>
      <c r="F47" s="1843">
        <v>0</v>
      </c>
      <c r="G47" s="1418"/>
      <c r="H47" s="1843">
        <v>0</v>
      </c>
      <c r="I47" s="1418"/>
      <c r="J47" s="1844">
        <v>-93.328000000000003</v>
      </c>
      <c r="K47" s="1844"/>
      <c r="L47" s="1844">
        <v>-11.382</v>
      </c>
      <c r="M47" s="1858"/>
      <c r="N47" s="1844">
        <v>-55.238999999999997</v>
      </c>
      <c r="O47" s="1844"/>
      <c r="P47" s="1844">
        <v>-1615</v>
      </c>
      <c r="Q47" s="1819"/>
      <c r="R47" s="1844">
        <v>0</v>
      </c>
      <c r="S47" s="1858"/>
      <c r="T47" s="1844">
        <v>-43.094999999999999</v>
      </c>
      <c r="U47" s="1858"/>
      <c r="V47" s="1841">
        <f>-753</f>
        <v>-753</v>
      </c>
      <c r="W47" s="1841"/>
      <c r="X47" s="1840">
        <v>-200</v>
      </c>
      <c r="Y47" s="1841"/>
      <c r="Z47" s="1840">
        <v>0</v>
      </c>
      <c r="AA47" s="1841"/>
      <c r="AB47" s="1840">
        <v>0</v>
      </c>
      <c r="AC47" s="1841"/>
      <c r="AD47" s="1840">
        <v>-150</v>
      </c>
      <c r="AE47" s="1841"/>
      <c r="AF47" s="1841">
        <v>-3114.6350000000002</v>
      </c>
      <c r="AG47" s="1841"/>
      <c r="AH47" s="1841">
        <v>-380</v>
      </c>
      <c r="AI47" s="1841"/>
      <c r="AJ47" s="1840">
        <v>-193</v>
      </c>
      <c r="AK47" s="1841"/>
      <c r="AL47" s="1840">
        <v>-1402</v>
      </c>
      <c r="AM47" s="1841"/>
      <c r="AN47" s="1840">
        <v>-379</v>
      </c>
      <c r="AO47" s="1841"/>
      <c r="AP47" s="1840">
        <v>0</v>
      </c>
      <c r="AQ47" s="1841"/>
      <c r="AR47" s="1840">
        <v>-207</v>
      </c>
      <c r="AS47" s="1841"/>
      <c r="AT47" s="1840">
        <v>-1190</v>
      </c>
      <c r="AU47" s="1841"/>
      <c r="AV47" s="1840">
        <v>-629</v>
      </c>
      <c r="AW47" s="1841"/>
      <c r="AX47" s="1840">
        <v>-60</v>
      </c>
      <c r="AY47" s="1841"/>
      <c r="AZ47" s="1840">
        <v>-87</v>
      </c>
      <c r="BA47" s="1840"/>
      <c r="BB47" s="1840">
        <v>-483</v>
      </c>
      <c r="BC47" s="1840"/>
      <c r="BD47" s="1840">
        <v>-435</v>
      </c>
      <c r="BE47" s="1840"/>
      <c r="BF47" s="1840">
        <v>-446</v>
      </c>
      <c r="BG47" s="1840"/>
      <c r="BH47" s="1840">
        <v>-100</v>
      </c>
      <c r="BI47" s="1840"/>
      <c r="BJ47" s="1840">
        <v>-100</v>
      </c>
      <c r="BK47" s="1840"/>
      <c r="BL47" s="1840">
        <v>-100</v>
      </c>
      <c r="BM47" s="1840"/>
      <c r="BN47" s="1840">
        <v>-100</v>
      </c>
      <c r="BO47" s="1840"/>
      <c r="BP47" s="1840">
        <v>-100</v>
      </c>
      <c r="BQ47" s="1840"/>
    </row>
    <row r="48" spans="1:69" hidden="1" outlineLevel="1">
      <c r="A48" s="1819" t="s">
        <v>1101</v>
      </c>
      <c r="B48" s="1418"/>
      <c r="C48" s="1418"/>
      <c r="D48" s="1844">
        <v>0</v>
      </c>
      <c r="E48" s="1418"/>
      <c r="F48" s="1844">
        <v>0</v>
      </c>
      <c r="G48" s="1418"/>
      <c r="H48" s="1844">
        <v>0</v>
      </c>
      <c r="I48" s="1858"/>
      <c r="J48" s="1844">
        <v>0</v>
      </c>
      <c r="K48" s="1858"/>
      <c r="L48" s="1844">
        <v>0</v>
      </c>
      <c r="M48" s="1858"/>
      <c r="N48" s="1844">
        <v>0</v>
      </c>
      <c r="O48" s="1819"/>
      <c r="P48" s="1844">
        <v>0</v>
      </c>
      <c r="Q48" s="1819"/>
      <c r="R48" s="1844">
        <v>0</v>
      </c>
      <c r="S48" s="1858"/>
      <c r="T48" s="1844">
        <v>-120.84399999999999</v>
      </c>
      <c r="U48" s="1858"/>
      <c r="V48" s="1841">
        <v>-63</v>
      </c>
      <c r="W48" s="1841"/>
      <c r="X48" s="1840">
        <v>-31</v>
      </c>
      <c r="Y48" s="1841"/>
      <c r="Z48" s="1840">
        <v>-8</v>
      </c>
      <c r="AA48" s="1841"/>
      <c r="AB48" s="1840">
        <v>0</v>
      </c>
      <c r="AC48" s="1841"/>
      <c r="AD48" s="1841">
        <v>0</v>
      </c>
      <c r="AE48" s="1841"/>
      <c r="AF48" s="1841">
        <v>0</v>
      </c>
      <c r="AG48" s="1841"/>
      <c r="AH48" s="1841">
        <v>0</v>
      </c>
      <c r="AI48" s="1841"/>
      <c r="AJ48" s="1841">
        <v>0</v>
      </c>
      <c r="AK48" s="1841"/>
      <c r="AL48" s="1841">
        <v>0</v>
      </c>
      <c r="AM48" s="1841"/>
      <c r="AN48" s="1841">
        <v>0</v>
      </c>
      <c r="AO48" s="1841"/>
      <c r="AP48" s="1841">
        <v>0</v>
      </c>
      <c r="AQ48" s="1841"/>
      <c r="AR48" s="1841">
        <v>0</v>
      </c>
      <c r="AS48" s="1841"/>
      <c r="AT48" s="1841">
        <v>0</v>
      </c>
      <c r="AU48" s="1841"/>
      <c r="AV48" s="1841">
        <v>0</v>
      </c>
      <c r="AW48" s="1841"/>
      <c r="AX48" s="1841">
        <v>0</v>
      </c>
      <c r="AY48" s="1841"/>
      <c r="AZ48" s="1841">
        <v>0</v>
      </c>
      <c r="BA48" s="1841"/>
      <c r="BB48" s="1841">
        <v>0</v>
      </c>
      <c r="BC48" s="1841"/>
      <c r="BD48" s="1841">
        <v>0</v>
      </c>
      <c r="BE48" s="1841"/>
      <c r="BF48" s="1841">
        <v>0</v>
      </c>
      <c r="BG48" s="1841"/>
      <c r="BH48" s="1841">
        <v>0</v>
      </c>
      <c r="BI48" s="1841"/>
      <c r="BJ48" s="1841">
        <v>0</v>
      </c>
      <c r="BK48" s="1841"/>
      <c r="BL48" s="1841">
        <v>0</v>
      </c>
      <c r="BM48" s="1841"/>
      <c r="BN48" s="1841">
        <v>0</v>
      </c>
      <c r="BO48" s="1841"/>
      <c r="BP48" s="1841">
        <v>0</v>
      </c>
      <c r="BQ48" s="1841"/>
    </row>
    <row r="49" spans="1:69" collapsed="1">
      <c r="A49" s="1819" t="s">
        <v>845</v>
      </c>
      <c r="B49" s="1418"/>
      <c r="C49" s="1418"/>
      <c r="D49" s="1844">
        <v>-86.414000000000001</v>
      </c>
      <c r="E49" s="1418"/>
      <c r="F49" s="1844">
        <v>-101.14100000000001</v>
      </c>
      <c r="G49" s="1418"/>
      <c r="H49" s="1844">
        <v>-101.73</v>
      </c>
      <c r="I49" s="1858"/>
      <c r="J49" s="1844">
        <v>-130.68100000000001</v>
      </c>
      <c r="K49" s="1858"/>
      <c r="L49" s="1844">
        <v>-128.93899999999999</v>
      </c>
      <c r="M49" s="1858"/>
      <c r="N49" s="1844">
        <v>-143.09100000000001</v>
      </c>
      <c r="O49" s="1819"/>
      <c r="P49" s="1844">
        <v>-108.30200000000001</v>
      </c>
      <c r="Q49" s="1819"/>
      <c r="R49" s="1844">
        <v>-130.47200000000001</v>
      </c>
      <c r="S49" s="1858"/>
      <c r="T49" s="1844">
        <v>-124.203</v>
      </c>
      <c r="U49" s="1858"/>
      <c r="V49" s="1841">
        <v>-130</v>
      </c>
      <c r="W49" s="1841"/>
      <c r="X49" s="1840">
        <v>-128</v>
      </c>
      <c r="Y49" s="1841"/>
      <c r="Z49" s="1840">
        <v>-129</v>
      </c>
      <c r="AA49" s="1841"/>
      <c r="AB49" s="1840">
        <v>-150</v>
      </c>
      <c r="AC49" s="1841"/>
      <c r="AD49" s="1840">
        <v>-208</v>
      </c>
      <c r="AE49" s="1841"/>
      <c r="AF49" s="1841">
        <v>-724.30899999999997</v>
      </c>
      <c r="AG49" s="1841"/>
      <c r="AH49" s="1841">
        <v>-242.036</v>
      </c>
      <c r="AI49" s="1841"/>
      <c r="AJ49" s="1840">
        <v>-238</v>
      </c>
      <c r="AK49" s="1841"/>
      <c r="AL49" s="1840">
        <v>-227</v>
      </c>
      <c r="AM49" s="1841"/>
      <c r="AN49" s="1840">
        <v>-201</v>
      </c>
      <c r="AO49" s="1841"/>
      <c r="AP49" s="1840">
        <v>-193</v>
      </c>
      <c r="AQ49" s="1841"/>
      <c r="AR49" s="1840">
        <v>-1488</v>
      </c>
      <c r="AS49" s="1841"/>
      <c r="AT49" s="1840">
        <v>-1144</v>
      </c>
      <c r="AU49" s="1841"/>
      <c r="AV49" s="1840">
        <v>-1449</v>
      </c>
      <c r="AW49" s="1841"/>
      <c r="AX49" s="1840">
        <v>-349</v>
      </c>
      <c r="AY49" s="1841"/>
      <c r="AZ49" s="1840">
        <v>-691</v>
      </c>
      <c r="BA49" s="1840"/>
      <c r="BB49" s="1840">
        <v>-1171</v>
      </c>
      <c r="BC49" s="1840"/>
      <c r="BD49" s="1840">
        <v>-1268</v>
      </c>
      <c r="BE49" s="1840"/>
      <c r="BF49" s="1840">
        <v>-686</v>
      </c>
      <c r="BG49" s="1840"/>
      <c r="BH49" s="1840">
        <f>+-'yrP&amp;L'!AD68*'yrP&amp;L'!AD65</f>
        <v>-677.4</v>
      </c>
      <c r="BI49" s="1840"/>
      <c r="BJ49" s="1840">
        <f>+-'yrP&amp;L'!AE68*'yrP&amp;L'!AE65</f>
        <v>-673.99999999999989</v>
      </c>
      <c r="BK49" s="1840">
        <f>+-'yrP&amp;L'!AF68*'yrP&amp;L'!AF65</f>
        <v>-672.97142857142842</v>
      </c>
      <c r="BL49" s="1840">
        <f>+-'yrP&amp;L'!AF68*'yrP&amp;L'!AF65</f>
        <v>-672.97142857142842</v>
      </c>
      <c r="BM49" s="1840">
        <f>+-'yrP&amp;L'!AI68*'yrP&amp;L'!AI65</f>
        <v>0</v>
      </c>
      <c r="BN49" s="1840">
        <f>+-'yrP&amp;L'!AG68*'yrP&amp;L'!AG65</f>
        <v>-672.37142857142851</v>
      </c>
      <c r="BO49" s="1840" t="e">
        <f>+-'yrP&amp;L'!AK68*'yrP&amp;L'!AK65</f>
        <v>#VALUE!</v>
      </c>
      <c r="BP49" s="1840">
        <f>+-'yrP&amp;L'!AH68*'yrP&amp;L'!AH65</f>
        <v>-671.77142857142849</v>
      </c>
      <c r="BQ49" s="1840"/>
    </row>
    <row r="50" spans="1:69">
      <c r="A50" s="1819" t="s">
        <v>961</v>
      </c>
      <c r="B50" s="1418"/>
      <c r="C50" s="1418"/>
      <c r="D50" s="1843">
        <v>7.5739999999999998</v>
      </c>
      <c r="E50" s="1418"/>
      <c r="F50" s="1843">
        <v>14.579000000000001</v>
      </c>
      <c r="G50" s="1418"/>
      <c r="H50" s="1843">
        <v>16.809000000000001</v>
      </c>
      <c r="I50" s="1858"/>
      <c r="J50" s="1843">
        <v>6.6859999999999999</v>
      </c>
      <c r="K50" s="1858"/>
      <c r="L50" s="1843">
        <v>11.641</v>
      </c>
      <c r="M50" s="1858"/>
      <c r="N50" s="1843">
        <v>12.504</v>
      </c>
      <c r="O50" s="1819"/>
      <c r="P50" s="1843">
        <v>10.635</v>
      </c>
      <c r="Q50" s="1858"/>
      <c r="R50" s="1843">
        <v>35.457000000000001</v>
      </c>
      <c r="S50" s="1858"/>
      <c r="T50" s="1844">
        <v>67.358999999999995</v>
      </c>
      <c r="U50" s="1858"/>
      <c r="V50" s="1841">
        <v>63</v>
      </c>
      <c r="W50" s="1841"/>
      <c r="X50" s="1840">
        <v>41</v>
      </c>
      <c r="Y50" s="1841"/>
      <c r="Z50" s="1840">
        <v>35</v>
      </c>
      <c r="AA50" s="1841"/>
      <c r="AB50" s="1840">
        <v>52</v>
      </c>
      <c r="AC50" s="1841"/>
      <c r="AD50" s="1841">
        <v>28</v>
      </c>
      <c r="AE50" s="1841"/>
      <c r="AF50" s="1841">
        <v>165.167</v>
      </c>
      <c r="AG50" s="1841"/>
      <c r="AH50" s="1841">
        <f>63.524</f>
        <v>63.524000000000001</v>
      </c>
      <c r="AI50" s="1841"/>
      <c r="AJ50" s="1841">
        <v>177</v>
      </c>
      <c r="AK50" s="1841"/>
      <c r="AL50" s="1841">
        <v>82</v>
      </c>
      <c r="AM50" s="1841"/>
      <c r="AN50" s="1841">
        <v>31</v>
      </c>
      <c r="AO50" s="1841"/>
      <c r="AP50" s="1841">
        <v>8</v>
      </c>
      <c r="AQ50" s="1841"/>
      <c r="AR50" s="1841">
        <f>-14+19+88</f>
        <v>93</v>
      </c>
      <c r="AS50" s="1841"/>
      <c r="AT50" s="1841">
        <f>48+75</f>
        <v>123</v>
      </c>
      <c r="AU50" s="1841"/>
      <c r="AV50" s="1841">
        <f>116+52</f>
        <v>168</v>
      </c>
      <c r="AW50" s="1841"/>
      <c r="AX50" s="1841">
        <f>36+32</f>
        <v>68</v>
      </c>
      <c r="AY50" s="1841"/>
      <c r="AZ50" s="1841">
        <f>43+34</f>
        <v>77</v>
      </c>
      <c r="BA50" s="1841"/>
      <c r="BB50" s="1841">
        <f>70+33</f>
        <v>103</v>
      </c>
      <c r="BC50" s="1841"/>
      <c r="BD50" s="1841">
        <f>42+20</f>
        <v>62</v>
      </c>
      <c r="BE50" s="1841"/>
      <c r="BF50" s="1841">
        <f>38-5-32-3</f>
        <v>-2</v>
      </c>
      <c r="BG50" s="1841"/>
      <c r="BH50" s="1841">
        <v>70</v>
      </c>
      <c r="BI50" s="1841"/>
      <c r="BJ50" s="1841">
        <v>70</v>
      </c>
      <c r="BK50" s="1841"/>
      <c r="BL50" s="1841">
        <v>70</v>
      </c>
      <c r="BM50" s="1841"/>
      <c r="BN50" s="1841">
        <v>70</v>
      </c>
      <c r="BO50" s="1841"/>
      <c r="BP50" s="1841">
        <v>70</v>
      </c>
      <c r="BQ50" s="1841"/>
    </row>
    <row r="51" spans="1:69">
      <c r="A51" s="1819" t="s">
        <v>130</v>
      </c>
      <c r="B51" s="1418"/>
      <c r="C51" s="1418"/>
      <c r="D51" s="1843"/>
      <c r="E51" s="1418"/>
      <c r="F51" s="1843"/>
      <c r="G51" s="1418"/>
      <c r="H51" s="1843"/>
      <c r="I51" s="1858"/>
      <c r="J51" s="1843"/>
      <c r="K51" s="1858"/>
      <c r="L51" s="1843"/>
      <c r="M51" s="1858"/>
      <c r="N51" s="1843"/>
      <c r="O51" s="1819"/>
      <c r="P51" s="1843"/>
      <c r="Q51" s="1858"/>
      <c r="R51" s="1843"/>
      <c r="S51" s="1858"/>
      <c r="T51" s="1844"/>
      <c r="U51" s="1858"/>
      <c r="V51" s="1841">
        <v>0</v>
      </c>
      <c r="W51" s="1841"/>
      <c r="X51" s="1840">
        <v>0</v>
      </c>
      <c r="Y51" s="1841"/>
      <c r="Z51" s="1840">
        <v>0</v>
      </c>
      <c r="AA51" s="1841"/>
      <c r="AB51" s="1840">
        <v>0</v>
      </c>
      <c r="AC51" s="1841"/>
      <c r="AD51" s="1841">
        <v>0</v>
      </c>
      <c r="AE51" s="1841"/>
      <c r="AF51" s="1841">
        <v>0</v>
      </c>
      <c r="AG51" s="1841"/>
      <c r="AH51" s="1841">
        <v>0</v>
      </c>
      <c r="AI51" s="1841"/>
      <c r="AJ51" s="1841">
        <v>0</v>
      </c>
      <c r="AK51" s="1841"/>
      <c r="AL51" s="1841">
        <v>2</v>
      </c>
      <c r="AM51" s="1841"/>
      <c r="AN51" s="1841">
        <v>3</v>
      </c>
      <c r="AO51" s="1841"/>
      <c r="AP51" s="1841">
        <v>6</v>
      </c>
      <c r="AQ51" s="1841"/>
      <c r="AR51" s="1841">
        <v>5</v>
      </c>
      <c r="AS51" s="1841"/>
      <c r="AT51" s="1841">
        <v>2</v>
      </c>
      <c r="AU51" s="1841"/>
      <c r="AV51" s="1841">
        <v>0</v>
      </c>
      <c r="AW51" s="1841"/>
      <c r="AX51" s="1841">
        <v>0</v>
      </c>
      <c r="AY51" s="1841"/>
      <c r="AZ51" s="1841">
        <v>-6</v>
      </c>
      <c r="BA51" s="1841"/>
      <c r="BB51" s="1841">
        <v>-3</v>
      </c>
      <c r="BC51" s="1841"/>
      <c r="BD51" s="1841">
        <f>-3-6</f>
        <v>-9</v>
      </c>
      <c r="BE51" s="1841"/>
      <c r="BF51" s="1841">
        <v>0</v>
      </c>
      <c r="BG51" s="1841"/>
      <c r="BH51" s="1841">
        <v>0</v>
      </c>
      <c r="BI51" s="1841"/>
      <c r="BJ51" s="1841">
        <v>0</v>
      </c>
      <c r="BK51" s="1841"/>
      <c r="BL51" s="1841">
        <v>0</v>
      </c>
      <c r="BM51" s="1841"/>
      <c r="BN51" s="1841">
        <v>0</v>
      </c>
      <c r="BO51" s="1841"/>
      <c r="BP51" s="1841">
        <v>0</v>
      </c>
      <c r="BQ51" s="1841"/>
    </row>
    <row r="52" spans="1:69" ht="6" customHeight="1">
      <c r="AH52" s="161"/>
      <c r="AX52" s="1881"/>
    </row>
    <row r="53" spans="1:69">
      <c r="A53" s="23" t="s">
        <v>137</v>
      </c>
      <c r="D53" s="1882">
        <f>SUM(D40:D50)</f>
        <v>-4.1810000000000098</v>
      </c>
      <c r="E53" s="1834"/>
      <c r="F53" s="1882">
        <f>SUM(F40:F50)</f>
        <v>68</v>
      </c>
      <c r="G53" s="1882"/>
      <c r="H53" s="1882">
        <f>SUM(H40:H50)</f>
        <v>-317.08300000000003</v>
      </c>
      <c r="I53" s="1882"/>
      <c r="J53" s="1882">
        <f>SUM(J40:J50)</f>
        <v>126.98800000000003</v>
      </c>
      <c r="K53" s="1882"/>
      <c r="L53" s="1882">
        <f>SUM(L40:L50)</f>
        <v>-119.17999999999999</v>
      </c>
      <c r="M53" s="1882"/>
      <c r="N53" s="1882">
        <f>SUM(N40:N50)</f>
        <v>1436.5930000000003</v>
      </c>
      <c r="O53" s="1834"/>
      <c r="P53" s="1882">
        <f>SUM(P40:P50)</f>
        <v>-1635.7439999999999</v>
      </c>
      <c r="Q53" s="1882"/>
      <c r="R53" s="1882">
        <f>SUM(R40:R50)</f>
        <v>248.22</v>
      </c>
      <c r="S53" s="1882"/>
      <c r="T53" s="1882">
        <f>SUM(T40:T50)</f>
        <v>-106.09699999999999</v>
      </c>
      <c r="U53" s="1882"/>
      <c r="V53" s="1882">
        <f>SUM(V40:V51)</f>
        <v>-276</v>
      </c>
      <c r="W53" s="1882"/>
      <c r="X53" s="1882">
        <f>SUM(X40:X50)</f>
        <v>-597</v>
      </c>
      <c r="Y53" s="1882"/>
      <c r="Z53" s="1882">
        <f>SUM(Z40:Z51)</f>
        <v>216</v>
      </c>
      <c r="AA53" s="1882"/>
      <c r="AB53" s="1882">
        <f t="shared" ref="AB53:AN53" si="4">SUM(AB40:AB51)</f>
        <v>278</v>
      </c>
      <c r="AC53" s="1882"/>
      <c r="AD53" s="1882">
        <f t="shared" si="4"/>
        <v>98</v>
      </c>
      <c r="AE53" s="1882"/>
      <c r="AF53" s="1882">
        <f t="shared" si="4"/>
        <v>-2471.8380000000002</v>
      </c>
      <c r="AG53" s="1882"/>
      <c r="AH53" s="1883">
        <f t="shared" si="4"/>
        <v>-554.51200000000006</v>
      </c>
      <c r="AI53" s="1882"/>
      <c r="AJ53" s="1882">
        <f t="shared" si="4"/>
        <v>-806</v>
      </c>
      <c r="AK53" s="1882"/>
      <c r="AL53" s="1882">
        <f t="shared" si="4"/>
        <v>474</v>
      </c>
      <c r="AM53" s="1882"/>
      <c r="AN53" s="1882">
        <f t="shared" si="4"/>
        <v>-322</v>
      </c>
      <c r="AO53" s="1882"/>
      <c r="AP53" s="1882">
        <f>SUM(AP40:AP51)</f>
        <v>-341</v>
      </c>
      <c r="AQ53" s="1882"/>
      <c r="AR53" s="1882">
        <f>SUM(AR40:AR51)</f>
        <v>-1684</v>
      </c>
      <c r="AS53" s="1882"/>
      <c r="AT53" s="1882">
        <f>SUM(AT40:AT51)</f>
        <v>-1035</v>
      </c>
      <c r="AU53" s="1882"/>
      <c r="AV53" s="1882">
        <f>SUM(AV40:AV51)</f>
        <v>-925</v>
      </c>
      <c r="AW53" s="1882"/>
      <c r="AX53" s="1882">
        <f>SUM(AX40:AX51)</f>
        <v>189.11699999999996</v>
      </c>
      <c r="AY53" s="1882"/>
      <c r="AZ53" s="1882">
        <f>SUM(AZ40:AZ51)</f>
        <v>-909</v>
      </c>
      <c r="BA53" s="1882"/>
      <c r="BB53" s="1882">
        <f>SUM(BB40:BB51)</f>
        <v>-275</v>
      </c>
      <c r="BC53" s="1882"/>
      <c r="BD53" s="1882">
        <f>SUM(BD40:BD51)</f>
        <v>-1514</v>
      </c>
      <c r="BE53" s="1882"/>
      <c r="BF53" s="1882">
        <f>SUM(BF40:BF51)</f>
        <v>-1118</v>
      </c>
      <c r="BG53" s="1882"/>
      <c r="BH53" s="1882">
        <f>SUM(BH40:BH51)</f>
        <v>-707.4</v>
      </c>
      <c r="BI53" s="1882"/>
      <c r="BJ53" s="1882">
        <f>SUM(BJ40:BJ51)</f>
        <v>796.00000000000011</v>
      </c>
      <c r="BK53" s="1882"/>
      <c r="BL53" s="1882">
        <f>SUM(BL40:BL51)</f>
        <v>-702.97142857142842</v>
      </c>
      <c r="BM53" s="1882"/>
      <c r="BN53" s="1882">
        <f>SUM(BN40:BN51)</f>
        <v>-702.37142857142851</v>
      </c>
      <c r="BO53" s="1882"/>
      <c r="BP53" s="1882">
        <f>SUM(BP40:BP51)</f>
        <v>-701.77142857142849</v>
      </c>
      <c r="BQ53" s="1882"/>
    </row>
    <row r="54" spans="1:69" ht="6" customHeight="1">
      <c r="AH54" s="161"/>
    </row>
    <row r="55" spans="1:69">
      <c r="A55" s="23" t="s">
        <v>386</v>
      </c>
      <c r="C55" s="1418"/>
      <c r="D55" s="1418">
        <v>21.734000000000002</v>
      </c>
      <c r="E55" s="1418"/>
      <c r="F55" s="1418">
        <f>+D57</f>
        <v>13.179999999999831</v>
      </c>
      <c r="G55" s="1418"/>
      <c r="H55" s="1418">
        <f>+F57</f>
        <v>33.734999999999324</v>
      </c>
      <c r="I55" s="1418"/>
      <c r="J55" s="1418">
        <f>H57</f>
        <v>41.234999999999324</v>
      </c>
      <c r="K55" s="1418"/>
      <c r="L55" s="1418">
        <f>J57</f>
        <v>320.5579999999992</v>
      </c>
      <c r="M55" s="1418"/>
      <c r="N55" s="1418">
        <f>+L57</f>
        <v>242.7799999999998</v>
      </c>
      <c r="O55" s="1418"/>
      <c r="P55" s="1418">
        <f>N57</f>
        <v>1645.7310000000002</v>
      </c>
      <c r="Q55" s="1418"/>
      <c r="R55" s="1418">
        <f>P57</f>
        <v>312.79600000000028</v>
      </c>
      <c r="S55" s="1418"/>
      <c r="T55" s="1418">
        <f>R57</f>
        <v>746.39500000000032</v>
      </c>
      <c r="U55" s="1418"/>
      <c r="V55" s="1839">
        <f>+T57</f>
        <v>870.31700000000114</v>
      </c>
      <c r="W55" s="1839"/>
      <c r="X55" s="1840">
        <v>913</v>
      </c>
      <c r="Y55" s="1884" t="s">
        <v>1031</v>
      </c>
      <c r="Z55" s="1839">
        <f>X57</f>
        <v>650.82199999999989</v>
      </c>
      <c r="AA55" s="1839"/>
      <c r="AB55" s="1839">
        <f>Z57</f>
        <v>1495</v>
      </c>
      <c r="AC55" s="1839"/>
      <c r="AD55" s="1839">
        <f>AB57</f>
        <v>2262</v>
      </c>
      <c r="AE55" s="1839"/>
      <c r="AF55" s="1839">
        <f>AD57+0.347</f>
        <v>3130.3470000000002</v>
      </c>
      <c r="AG55" s="1839"/>
      <c r="AH55" s="1860">
        <f>AF57</f>
        <v>1160.759</v>
      </c>
      <c r="AI55" s="1839"/>
      <c r="AJ55" s="1839">
        <f>AH57</f>
        <v>1208.0000000000002</v>
      </c>
      <c r="AK55" s="1839"/>
      <c r="AL55" s="1839">
        <f>AJ57</f>
        <v>499.99999999999881</v>
      </c>
      <c r="AM55" s="1839"/>
      <c r="AN55" s="1839">
        <f>AL57</f>
        <v>1017.9999999999986</v>
      </c>
      <c r="AO55" s="1839"/>
      <c r="AP55" s="1839">
        <f>AN57</f>
        <v>1173.0019999999984</v>
      </c>
      <c r="AQ55" s="1839"/>
      <c r="AR55" s="1839">
        <f>AP57</f>
        <v>1804.0019999999984</v>
      </c>
      <c r="AS55" s="1839"/>
      <c r="AT55" s="1839">
        <f>AR57</f>
        <v>1130.0019999999984</v>
      </c>
      <c r="AU55" s="1839"/>
      <c r="AV55" s="1839">
        <f>AT57</f>
        <v>935.08499999999844</v>
      </c>
      <c r="AW55" s="1839"/>
      <c r="AX55" s="1839">
        <f>AV57</f>
        <v>772.71770000000072</v>
      </c>
      <c r="AY55" s="1839"/>
      <c r="AZ55" s="1839">
        <f>AX57</f>
        <v>1519.3326999999981</v>
      </c>
      <c r="BA55" s="1839"/>
      <c r="BB55" s="1839">
        <f>AZ57</f>
        <v>1681.2157000000002</v>
      </c>
      <c r="BC55" s="1839"/>
      <c r="BD55" s="1839">
        <f>BB57</f>
        <v>2548.2367000000004</v>
      </c>
      <c r="BE55" s="1839"/>
      <c r="BF55" s="1839">
        <f>BD57</f>
        <v>1933.8427000000015</v>
      </c>
      <c r="BG55" s="1839"/>
      <c r="BH55" s="1839">
        <f>BF57</f>
        <v>1515.1177000000025</v>
      </c>
      <c r="BI55" s="1839"/>
      <c r="BJ55" s="1839">
        <f>BH57</f>
        <v>1702.0041397650339</v>
      </c>
      <c r="BK55" s="1839"/>
      <c r="BL55" s="1839">
        <f>BJ57</f>
        <v>3477.4641917719237</v>
      </c>
      <c r="BM55" s="1839"/>
      <c r="BN55" s="1839">
        <f>BL57</f>
        <v>3892.5902415167425</v>
      </c>
      <c r="BO55" s="1839"/>
      <c r="BP55" s="1839">
        <f>BN57</f>
        <v>4478.9960881176657</v>
      </c>
      <c r="BQ55" s="1839"/>
    </row>
    <row r="56" spans="1:69">
      <c r="B56" s="23" t="s">
        <v>996</v>
      </c>
      <c r="C56" s="1418"/>
      <c r="D56" s="1418">
        <f>D53+D35</f>
        <v>-8.5540000000001708</v>
      </c>
      <c r="E56" s="1418"/>
      <c r="F56" s="1418">
        <f>F53+F35</f>
        <v>20.554999999999495</v>
      </c>
      <c r="G56" s="1418"/>
      <c r="H56" s="1418">
        <f>H53+H35</f>
        <v>7.5</v>
      </c>
      <c r="I56" s="1418"/>
      <c r="J56" s="1418">
        <f>J53+J35</f>
        <v>279.32299999999987</v>
      </c>
      <c r="K56" s="1418"/>
      <c r="L56" s="1418">
        <f>L53+L35</f>
        <v>-77.777999999999381</v>
      </c>
      <c r="M56" s="1418"/>
      <c r="N56" s="1418">
        <f>N53+N35</f>
        <v>1402.9510000000005</v>
      </c>
      <c r="O56" s="1418"/>
      <c r="P56" s="1418">
        <f>P53+P35</f>
        <v>-1332.9349999999999</v>
      </c>
      <c r="Q56" s="1418"/>
      <c r="R56" s="1418">
        <f>R53+R35</f>
        <v>433.59900000000005</v>
      </c>
      <c r="S56" s="1418"/>
      <c r="T56" s="547">
        <f>T53+T35</f>
        <v>123.92200000000081</v>
      </c>
      <c r="U56" s="547"/>
      <c r="V56" s="1885">
        <f>V53+V35</f>
        <v>-53.048999999999978</v>
      </c>
      <c r="W56" s="1885"/>
      <c r="X56" s="1885">
        <f>X53+X35</f>
        <v>-262.17800000000011</v>
      </c>
      <c r="Y56" s="1885"/>
      <c r="Z56" s="1885">
        <f>Z53+Z35</f>
        <v>844.178</v>
      </c>
      <c r="AA56" s="1885"/>
      <c r="AB56" s="1885">
        <f>AB53+AB35</f>
        <v>767</v>
      </c>
      <c r="AC56" s="1885"/>
      <c r="AD56" s="1885">
        <f>AD53+AD35</f>
        <v>868</v>
      </c>
      <c r="AE56" s="1885"/>
      <c r="AF56" s="1885">
        <f>AF53+AF35</f>
        <v>-1969.5880000000002</v>
      </c>
      <c r="AG56" s="1885"/>
      <c r="AH56" s="1886">
        <f>AH53+AH35</f>
        <v>47.349000000000046</v>
      </c>
      <c r="AI56" s="1885"/>
      <c r="AJ56" s="1885">
        <f>AJ53+AJ35</f>
        <v>-708.29000000000144</v>
      </c>
      <c r="AK56" s="1885"/>
      <c r="AL56" s="1885">
        <f>AL53+AL35+0.252</f>
        <v>517.99999999999989</v>
      </c>
      <c r="AM56" s="1885"/>
      <c r="AN56" s="1885">
        <f>AN53+AN35+0.065</f>
        <v>155.00199999999967</v>
      </c>
      <c r="AO56" s="1885"/>
      <c r="AP56" s="1885">
        <f>AP53+AP35</f>
        <v>631</v>
      </c>
      <c r="AQ56" s="1885"/>
      <c r="AR56" s="1885">
        <f>AR53+AR35</f>
        <v>-674</v>
      </c>
      <c r="AS56" s="1885"/>
      <c r="AT56" s="1885">
        <f>AT53+AT35</f>
        <v>-194.91699999999992</v>
      </c>
      <c r="AU56" s="1885"/>
      <c r="AV56" s="1885">
        <f>AV53+AV35</f>
        <v>-162.36729999999773</v>
      </c>
      <c r="AW56" s="1885"/>
      <c r="AX56" s="1885">
        <f>AX53+AX35</f>
        <v>746.61499999999751</v>
      </c>
      <c r="AY56" s="1885"/>
      <c r="AZ56" s="1885">
        <f>AZ53+AZ35</f>
        <v>161.88300000000208</v>
      </c>
      <c r="BA56" s="1885"/>
      <c r="BB56" s="1885">
        <f>BB53+BB35</f>
        <v>867.02099999999996</v>
      </c>
      <c r="BC56" s="1885"/>
      <c r="BD56" s="1885">
        <f>BD53+BD35</f>
        <v>-614.39399999999887</v>
      </c>
      <c r="BE56" s="1885"/>
      <c r="BF56" s="1885">
        <f>BF53+BF35</f>
        <v>-418.724999999999</v>
      </c>
      <c r="BG56" s="1885"/>
      <c r="BH56" s="1885">
        <f>BH53+BH35</f>
        <v>186.88643976503135</v>
      </c>
      <c r="BI56" s="1885"/>
      <c r="BJ56" s="1885">
        <f>BJ53+BJ35</f>
        <v>1775.4600520068898</v>
      </c>
      <c r="BK56" s="1885"/>
      <c r="BL56" s="1885">
        <f>BL53+BL35</f>
        <v>415.12604974481894</v>
      </c>
      <c r="BM56" s="1885"/>
      <c r="BN56" s="1885">
        <f>BN53+BN35</f>
        <v>586.40584660092293</v>
      </c>
      <c r="BO56" s="1885"/>
      <c r="BP56" s="1885">
        <f>BP53+BP35</f>
        <v>759.68312506257257</v>
      </c>
      <c r="BQ56" s="1885"/>
    </row>
    <row r="57" spans="1:69">
      <c r="A57" s="23" t="s">
        <v>387</v>
      </c>
      <c r="C57" s="1418"/>
      <c r="D57" s="1418">
        <f>D55+D56</f>
        <v>13.179999999999831</v>
      </c>
      <c r="E57" s="1418"/>
      <c r="F57" s="1418">
        <f>F55+F56</f>
        <v>33.734999999999324</v>
      </c>
      <c r="G57" s="1418"/>
      <c r="H57" s="1418">
        <f>H55+H56</f>
        <v>41.234999999999324</v>
      </c>
      <c r="I57" s="1418"/>
      <c r="J57" s="1418">
        <f>J55+J56</f>
        <v>320.5579999999992</v>
      </c>
      <c r="K57" s="1418"/>
      <c r="L57" s="1418">
        <f>L55+L56</f>
        <v>242.7799999999998</v>
      </c>
      <c r="M57" s="1418"/>
      <c r="N57" s="1418">
        <f>N55+N56</f>
        <v>1645.7310000000002</v>
      </c>
      <c r="O57" s="1418"/>
      <c r="P57" s="1418">
        <f>P55+P56</f>
        <v>312.79600000000028</v>
      </c>
      <c r="Q57" s="1418"/>
      <c r="R57" s="1418">
        <f>R55+R56</f>
        <v>746.39500000000032</v>
      </c>
      <c r="S57" s="1418"/>
      <c r="T57" s="1418">
        <f>T55+T56</f>
        <v>870.31700000000114</v>
      </c>
      <c r="U57" s="1418"/>
      <c r="V57" s="1839">
        <f>V55+V56</f>
        <v>817.26800000000117</v>
      </c>
      <c r="W57" s="1884" t="s">
        <v>1031</v>
      </c>
      <c r="X57" s="1839">
        <f>X55+X56</f>
        <v>650.82199999999989</v>
      </c>
      <c r="Y57" s="1839"/>
      <c r="Z57" s="1839">
        <f>Z55+Z56</f>
        <v>1495</v>
      </c>
      <c r="AA57" s="1839"/>
      <c r="AB57" s="1839">
        <f>AB55+AB56</f>
        <v>2262</v>
      </c>
      <c r="AC57" s="1839"/>
      <c r="AD57" s="1839">
        <f>AD55+AD56</f>
        <v>3130</v>
      </c>
      <c r="AE57" s="1839"/>
      <c r="AF57" s="1839">
        <f>AF55+AF56</f>
        <v>1160.759</v>
      </c>
      <c r="AG57" s="1839"/>
      <c r="AH57" s="1860">
        <f>AH55+AH56-0.108</f>
        <v>1208.0000000000002</v>
      </c>
      <c r="AI57" s="1839"/>
      <c r="AJ57" s="1839">
        <f>AJ55+AJ56+0.29</f>
        <v>499.99999999999881</v>
      </c>
      <c r="AK57" s="1839"/>
      <c r="AL57" s="1839">
        <f>AL55+AL56</f>
        <v>1017.9999999999986</v>
      </c>
      <c r="AM57" s="1839"/>
      <c r="AN57" s="1839">
        <f>AN55+AN56</f>
        <v>1173.0019999999984</v>
      </c>
      <c r="AO57" s="1839"/>
      <c r="AP57" s="1839">
        <f>AP55+AP56</f>
        <v>1804.0019999999984</v>
      </c>
      <c r="AQ57" s="1839"/>
      <c r="AR57" s="1839">
        <f>AR55+AR56</f>
        <v>1130.0019999999984</v>
      </c>
      <c r="AS57" s="1839"/>
      <c r="AT57" s="1839">
        <f>AT55+AT56</f>
        <v>935.08499999999844</v>
      </c>
      <c r="AU57" s="1839"/>
      <c r="AV57" s="1839">
        <f>AV55+AV56</f>
        <v>772.71770000000072</v>
      </c>
      <c r="AW57" s="1839"/>
      <c r="AX57" s="1839">
        <f>AX55+AX56</f>
        <v>1519.3326999999981</v>
      </c>
      <c r="AY57" s="1839"/>
      <c r="AZ57" s="1839">
        <f>AZ55+AZ56</f>
        <v>1681.2157000000002</v>
      </c>
      <c r="BA57" s="1839"/>
      <c r="BB57" s="1839">
        <f>BB55+BB56</f>
        <v>2548.2367000000004</v>
      </c>
      <c r="BC57" s="1839"/>
      <c r="BD57" s="1839">
        <f>BD55+BD56</f>
        <v>1933.8427000000015</v>
      </c>
      <c r="BE57" s="1839"/>
      <c r="BF57" s="1839">
        <f>BF55+BF56</f>
        <v>1515.1177000000025</v>
      </c>
      <c r="BG57" s="1839"/>
      <c r="BH57" s="1839">
        <f>BH55+BH56</f>
        <v>1702.0041397650339</v>
      </c>
      <c r="BI57" s="1839"/>
      <c r="BJ57" s="1839">
        <f>BJ55+BJ56</f>
        <v>3477.4641917719237</v>
      </c>
      <c r="BK57" s="1839"/>
      <c r="BL57" s="1839">
        <f>BL55+BL56</f>
        <v>3892.5902415167425</v>
      </c>
      <c r="BM57" s="1839"/>
      <c r="BN57" s="1839">
        <f>BN55+BN56</f>
        <v>4478.9960881176657</v>
      </c>
      <c r="BO57" s="1839"/>
      <c r="BP57" s="1839">
        <f>BP55+BP56</f>
        <v>5238.6792131802385</v>
      </c>
      <c r="BQ57" s="1839"/>
    </row>
    <row r="58" spans="1:69" ht="6" customHeight="1">
      <c r="B58" s="1887"/>
      <c r="M58" s="1888"/>
      <c r="V58" s="1887"/>
      <c r="W58" s="1887"/>
      <c r="X58" s="1887"/>
      <c r="Y58" s="1887"/>
      <c r="Z58" s="1889"/>
      <c r="AA58" s="1889"/>
      <c r="AB58" s="1889"/>
      <c r="AC58" s="1889"/>
      <c r="AD58" s="1889"/>
      <c r="AE58" s="1889"/>
      <c r="AF58" s="1889"/>
      <c r="AG58" s="1889"/>
      <c r="AH58" s="1889"/>
      <c r="AI58" s="1889"/>
      <c r="AJ58" s="1889"/>
      <c r="AK58" s="1890"/>
      <c r="AL58" s="1889"/>
      <c r="AM58" s="1889"/>
      <c r="AN58" s="1891"/>
      <c r="AO58" s="1891"/>
      <c r="AP58" s="1891"/>
      <c r="AQ58" s="1891"/>
      <c r="AR58" s="1892"/>
      <c r="AS58" s="1891"/>
      <c r="AT58" s="1892"/>
      <c r="AU58" s="1891"/>
      <c r="AV58" s="1892"/>
      <c r="AW58" s="1891"/>
      <c r="AX58" s="1892"/>
      <c r="AY58" s="1891"/>
      <c r="AZ58" s="1892"/>
      <c r="BA58" s="1892"/>
      <c r="BB58" s="1892"/>
      <c r="BC58" s="1892"/>
      <c r="BD58" s="1892"/>
      <c r="BE58" s="1892"/>
      <c r="BF58" s="1892"/>
      <c r="BG58" s="1892"/>
      <c r="BH58" s="1892"/>
      <c r="BI58" s="1892"/>
      <c r="BJ58" s="1892"/>
      <c r="BK58" s="1892"/>
      <c r="BL58" s="1892"/>
      <c r="BM58" s="1892"/>
      <c r="BN58" s="1892"/>
      <c r="BO58" s="1892"/>
      <c r="BP58" s="1892"/>
      <c r="BQ58" s="1892"/>
    </row>
    <row r="59" spans="1:69">
      <c r="A59" s="23" t="s">
        <v>171</v>
      </c>
      <c r="C59" s="1834"/>
      <c r="D59" s="1834">
        <f>-D53+D56</f>
        <v>-4.373000000000161</v>
      </c>
      <c r="E59" s="1834"/>
      <c r="F59" s="1834">
        <f>-F53+F56</f>
        <v>-47.445000000000505</v>
      </c>
      <c r="G59" s="1834"/>
      <c r="H59" s="1834">
        <f>-H53+H56</f>
        <v>324.58300000000003</v>
      </c>
      <c r="I59" s="1834"/>
      <c r="J59" s="1834">
        <f>-J53+J56</f>
        <v>152.33499999999984</v>
      </c>
      <c r="K59" s="1834"/>
      <c r="L59" s="1834">
        <f>-L53+L56</f>
        <v>41.402000000000612</v>
      </c>
      <c r="M59" s="1834"/>
      <c r="N59" s="1834">
        <f>-N53+N56</f>
        <v>-33.641999999999825</v>
      </c>
      <c r="O59" s="1834"/>
      <c r="P59" s="1834">
        <f>-P53+P56</f>
        <v>302.80899999999997</v>
      </c>
      <c r="Q59" s="1834"/>
      <c r="R59" s="1834">
        <f>-R53+R56</f>
        <v>185.37900000000005</v>
      </c>
      <c r="S59" s="1834"/>
      <c r="T59" s="1834">
        <f>-T53+T56</f>
        <v>230.0190000000008</v>
      </c>
      <c r="U59" s="1834"/>
      <c r="V59" s="1834">
        <f>-V53+V56</f>
        <v>222.95100000000002</v>
      </c>
      <c r="W59" s="1834"/>
      <c r="X59" s="1834">
        <f>-X53+X56</f>
        <v>334.82199999999989</v>
      </c>
      <c r="Y59" s="1834"/>
      <c r="Z59" s="1854">
        <f>-Z53+Z56</f>
        <v>628.178</v>
      </c>
      <c r="AA59" s="1834"/>
      <c r="AB59" s="1834">
        <f t="shared" ref="AB59:AT59" si="5">-AB53+AB56</f>
        <v>489</v>
      </c>
      <c r="AC59" s="1834"/>
      <c r="AD59" s="1834">
        <f t="shared" si="5"/>
        <v>770</v>
      </c>
      <c r="AE59" s="1834"/>
      <c r="AF59" s="1834">
        <f t="shared" si="5"/>
        <v>502.25</v>
      </c>
      <c r="AG59" s="1834"/>
      <c r="AH59" s="1838">
        <f t="shared" si="5"/>
        <v>601.8610000000001</v>
      </c>
      <c r="AI59" s="1834"/>
      <c r="AJ59" s="1834">
        <f t="shared" si="5"/>
        <v>97.709999999998558</v>
      </c>
      <c r="AK59" s="1834"/>
      <c r="AL59" s="1834">
        <f t="shared" si="5"/>
        <v>43.999999999999886</v>
      </c>
      <c r="AM59" s="1834"/>
      <c r="AN59" s="1834">
        <f t="shared" si="5"/>
        <v>477.00199999999967</v>
      </c>
      <c r="AO59" s="1834"/>
      <c r="AP59" s="1834">
        <f t="shared" si="5"/>
        <v>972</v>
      </c>
      <c r="AQ59" s="1834"/>
      <c r="AR59" s="1834">
        <f t="shared" si="5"/>
        <v>1010</v>
      </c>
      <c r="AS59" s="1834"/>
      <c r="AT59" s="1834">
        <f t="shared" si="5"/>
        <v>840.08300000000008</v>
      </c>
      <c r="AU59" s="1834"/>
      <c r="AV59" s="1834">
        <f>-AV53+AV56</f>
        <v>762.63270000000227</v>
      </c>
      <c r="AW59" s="1834"/>
      <c r="AX59" s="1834">
        <f>-AX53+AX56</f>
        <v>557.49799999999755</v>
      </c>
      <c r="AY59" s="1834"/>
      <c r="AZ59" s="1834">
        <f>-AZ53+AZ56</f>
        <v>1070.8830000000021</v>
      </c>
      <c r="BA59" s="1834"/>
      <c r="BB59" s="1834">
        <f>-BB53+BB56</f>
        <v>1142.021</v>
      </c>
      <c r="BC59" s="1834"/>
      <c r="BD59" s="1834">
        <f>-BD53+BD56</f>
        <v>899.60600000000113</v>
      </c>
      <c r="BE59" s="1834"/>
      <c r="BF59" s="1834">
        <f>-BF53+BF56</f>
        <v>699.275000000001</v>
      </c>
      <c r="BG59" s="1834"/>
      <c r="BH59" s="1834">
        <f>-BH53+BH56</f>
        <v>894.28643976503133</v>
      </c>
      <c r="BI59" s="1834"/>
      <c r="BJ59" s="1834">
        <f>-BJ53+BJ56</f>
        <v>979.46005200688967</v>
      </c>
      <c r="BK59" s="1834"/>
      <c r="BL59" s="1834">
        <f>-BL53+BL56</f>
        <v>1118.0974783162474</v>
      </c>
      <c r="BM59" s="1834"/>
      <c r="BN59" s="1834">
        <f>-BN53+BN56</f>
        <v>1288.7772751723514</v>
      </c>
      <c r="BO59" s="1834"/>
      <c r="BP59" s="1834">
        <f>-BP53+BP56</f>
        <v>1461.4545536340011</v>
      </c>
      <c r="BQ59" s="1834"/>
    </row>
    <row r="60" spans="1:69">
      <c r="D60" s="1893"/>
      <c r="F60" s="1893"/>
      <c r="P60" s="1893"/>
      <c r="AH60" s="161"/>
      <c r="AJ60" s="1859"/>
      <c r="AT60" s="1834"/>
    </row>
    <row r="61" spans="1:69">
      <c r="A61" s="112" t="s">
        <v>1031</v>
      </c>
      <c r="B61" s="161" t="s">
        <v>975</v>
      </c>
      <c r="C61" s="161"/>
      <c r="D61" s="1894"/>
      <c r="E61" s="1895"/>
      <c r="F61" s="1894"/>
      <c r="G61" s="1895"/>
      <c r="H61" s="1895"/>
      <c r="I61" s="1895"/>
      <c r="J61" s="1895"/>
      <c r="P61" s="1896"/>
      <c r="T61" s="161"/>
      <c r="U61" s="161"/>
      <c r="V61" s="161"/>
      <c r="W61" s="161"/>
      <c r="X61" s="161"/>
      <c r="Y61" s="161"/>
      <c r="Z61" s="161"/>
      <c r="AB61" s="1859"/>
      <c r="AH61" s="1897"/>
      <c r="AT61" s="1834"/>
      <c r="BB61" s="1919"/>
    </row>
    <row r="62" spans="1:69">
      <c r="A62" s="112"/>
      <c r="AH62" s="161"/>
      <c r="BB62" s="160"/>
    </row>
    <row r="63" spans="1:69">
      <c r="A63" s="23" t="s">
        <v>549</v>
      </c>
      <c r="V63" s="1898"/>
      <c r="X63" s="1899"/>
      <c r="Z63" s="1823"/>
      <c r="AH63" s="161"/>
      <c r="BB63" s="160"/>
    </row>
    <row r="64" spans="1:69">
      <c r="C64" s="48"/>
      <c r="D64" s="139"/>
      <c r="E64" s="139"/>
      <c r="F64" s="139"/>
      <c r="G64" s="139"/>
      <c r="H64" s="139"/>
      <c r="I64" s="139"/>
      <c r="J64" s="139"/>
      <c r="K64" s="139"/>
      <c r="L64" s="139"/>
      <c r="M64" s="139"/>
      <c r="N64" s="139"/>
      <c r="O64" s="139"/>
      <c r="P64" s="139"/>
      <c r="Q64" s="139"/>
      <c r="R64" s="139"/>
      <c r="S64" s="139"/>
      <c r="T64" s="139"/>
      <c r="U64" s="139"/>
      <c r="V64" s="139"/>
      <c r="W64" s="139"/>
      <c r="X64" s="1900"/>
      <c r="Y64" s="139"/>
      <c r="Z64" s="139"/>
      <c r="AA64" s="139"/>
      <c r="AB64" s="139"/>
      <c r="AC64" s="139"/>
      <c r="AD64" s="139"/>
      <c r="AE64" s="139"/>
      <c r="AF64" s="139"/>
      <c r="AG64" s="139"/>
      <c r="AH64" s="625"/>
      <c r="AI64" s="139"/>
      <c r="AJ64" s="139"/>
      <c r="AK64" s="139"/>
      <c r="AL64" s="139"/>
      <c r="AM64" s="139"/>
      <c r="AN64" s="139"/>
      <c r="AO64" s="139"/>
      <c r="AP64" s="139"/>
      <c r="AQ64" s="139"/>
      <c r="AR64" s="139"/>
      <c r="AS64" s="139"/>
      <c r="AT64" s="139"/>
      <c r="AU64" s="139"/>
      <c r="AV64" s="139"/>
      <c r="AW64" s="139"/>
      <c r="AX64" s="139"/>
      <c r="AY64" s="139"/>
      <c r="AZ64" s="139"/>
      <c r="BA64" s="139"/>
      <c r="BB64" s="1815"/>
      <c r="BC64" s="139"/>
      <c r="BD64" s="139"/>
      <c r="BE64" s="139"/>
      <c r="BF64" s="139"/>
      <c r="BG64" s="139"/>
      <c r="BH64" s="139"/>
      <c r="BI64" s="139"/>
      <c r="BJ64" s="139"/>
      <c r="BK64" s="139"/>
      <c r="BL64" s="139"/>
      <c r="BM64" s="139"/>
      <c r="BN64" s="139"/>
      <c r="BO64" s="139"/>
      <c r="BP64" s="139"/>
      <c r="BQ64" s="139"/>
    </row>
    <row r="65" spans="1:69">
      <c r="C65" s="139"/>
      <c r="D65" s="139"/>
      <c r="E65" s="139"/>
      <c r="F65" s="139"/>
      <c r="G65" s="139"/>
      <c r="H65" s="139"/>
      <c r="I65" s="139"/>
      <c r="J65" s="139"/>
      <c r="K65" s="139"/>
      <c r="L65" s="139"/>
      <c r="M65" s="139"/>
      <c r="N65" s="139"/>
      <c r="O65" s="139"/>
      <c r="P65" s="139"/>
      <c r="Q65" s="139"/>
      <c r="R65" s="139"/>
      <c r="S65" s="139"/>
      <c r="T65" s="139"/>
      <c r="U65" s="139"/>
      <c r="V65" s="139"/>
      <c r="W65" s="139"/>
      <c r="X65" s="139"/>
      <c r="Y65" s="139"/>
      <c r="Z65" s="139"/>
      <c r="AA65" s="139"/>
      <c r="AB65" s="139"/>
      <c r="AC65" s="139"/>
      <c r="AD65" s="139"/>
      <c r="AE65" s="139"/>
      <c r="AF65" s="139"/>
      <c r="AG65" s="139"/>
      <c r="AH65" s="625"/>
      <c r="AI65" s="139"/>
      <c r="AJ65" s="139"/>
      <c r="AK65" s="139"/>
      <c r="AL65" s="139"/>
      <c r="AM65" s="139"/>
      <c r="AN65" s="139"/>
      <c r="AO65" s="139"/>
      <c r="AP65" s="139"/>
      <c r="AQ65" s="139"/>
      <c r="AR65" s="139"/>
      <c r="AS65" s="139"/>
      <c r="AT65" s="139"/>
      <c r="AU65" s="139"/>
      <c r="AV65" s="139"/>
      <c r="AW65" s="139"/>
      <c r="AX65" s="139"/>
      <c r="AY65" s="139"/>
      <c r="AZ65" s="139"/>
      <c r="BA65" s="139"/>
      <c r="BB65" s="139"/>
      <c r="BC65" s="139"/>
      <c r="BD65" s="139"/>
      <c r="BE65" s="139"/>
      <c r="BF65" s="139"/>
      <c r="BG65" s="139"/>
      <c r="BH65" s="139"/>
      <c r="BI65" s="139"/>
      <c r="BJ65" s="139"/>
      <c r="BK65" s="139"/>
      <c r="BL65" s="139"/>
      <c r="BM65" s="139"/>
      <c r="BN65" s="139"/>
      <c r="BO65" s="139"/>
      <c r="BP65" s="139"/>
      <c r="BQ65" s="139"/>
    </row>
    <row r="66" spans="1:69">
      <c r="A66" s="1901"/>
      <c r="B66" s="1901"/>
      <c r="C66" s="1901"/>
      <c r="D66" s="1901"/>
      <c r="E66" s="1901"/>
      <c r="F66" s="1901"/>
      <c r="G66" s="1901"/>
      <c r="H66" s="1901"/>
      <c r="I66" s="1901"/>
      <c r="J66" s="1901"/>
      <c r="K66" s="1901"/>
      <c r="L66" s="1901"/>
      <c r="M66" s="1901"/>
      <c r="N66" s="1901"/>
      <c r="O66" s="1901"/>
      <c r="P66" s="1901"/>
      <c r="Q66" s="1901"/>
      <c r="R66" s="1901"/>
      <c r="S66" s="1901"/>
      <c r="T66" s="1901"/>
      <c r="U66" s="1901"/>
      <c r="V66" s="1901"/>
      <c r="W66" s="1901"/>
      <c r="X66" s="1902"/>
      <c r="Y66" s="1902"/>
      <c r="Z66" s="1902"/>
      <c r="AA66" s="1902"/>
      <c r="AB66" s="1902"/>
      <c r="AC66" s="1902"/>
      <c r="AD66" s="1902"/>
      <c r="AE66" s="1902"/>
      <c r="AF66" s="1902"/>
      <c r="AG66" s="1902"/>
      <c r="AH66" s="1902"/>
      <c r="AI66" s="1902"/>
      <c r="AJ66" s="1902"/>
      <c r="AK66" s="1902"/>
      <c r="AL66" s="1902"/>
      <c r="AM66" s="1902"/>
      <c r="AN66" s="1902"/>
      <c r="AO66" s="1902"/>
      <c r="AP66" s="1902"/>
      <c r="AQ66" s="1902"/>
      <c r="AR66" s="1902"/>
      <c r="AS66" s="1902"/>
      <c r="AT66" s="1902"/>
      <c r="AU66" s="1902"/>
      <c r="AV66" s="1902"/>
      <c r="AW66" s="1902"/>
      <c r="AX66" s="1902"/>
      <c r="AY66" s="1902"/>
      <c r="AZ66" s="1902"/>
      <c r="BA66" s="1903"/>
      <c r="BB66" s="1902"/>
      <c r="BC66" s="1903"/>
      <c r="BD66" s="1902"/>
      <c r="BE66" s="1903"/>
      <c r="BF66" s="1902"/>
      <c r="BG66" s="1903"/>
      <c r="BH66" s="1902"/>
      <c r="BI66" s="1903"/>
      <c r="BJ66" s="1902"/>
      <c r="BK66" s="1903"/>
      <c r="BL66" s="1902"/>
      <c r="BM66" s="1903"/>
      <c r="BN66" s="1902"/>
      <c r="BO66" s="1903"/>
      <c r="BP66" s="1902"/>
      <c r="BQ66" s="1903"/>
    </row>
    <row r="67" spans="1:69">
      <c r="A67" s="1904" t="s">
        <v>956</v>
      </c>
      <c r="B67" s="1904"/>
      <c r="C67" s="1905"/>
      <c r="D67" s="625"/>
      <c r="E67" s="625"/>
      <c r="F67" s="625"/>
      <c r="G67" s="625"/>
      <c r="H67" s="625"/>
      <c r="I67" s="625"/>
      <c r="J67" s="625"/>
      <c r="K67" s="625"/>
      <c r="L67" s="625"/>
      <c r="M67" s="625"/>
      <c r="N67" s="625"/>
      <c r="O67" s="625"/>
      <c r="P67" s="625"/>
      <c r="Q67" s="625"/>
      <c r="R67" s="625"/>
      <c r="S67" s="625"/>
      <c r="T67" s="625"/>
      <c r="U67" s="625"/>
      <c r="V67" s="1906">
        <f>V69-V68</f>
        <v>261.44299999999998</v>
      </c>
      <c r="W67" s="625"/>
      <c r="X67" s="1906">
        <f>X69-X68</f>
        <v>260</v>
      </c>
      <c r="Y67" s="625"/>
      <c r="Z67" s="1906">
        <f>Z69-Z68</f>
        <v>266</v>
      </c>
      <c r="AA67" s="625"/>
      <c r="AB67" s="1906">
        <f>AB69-AB68</f>
        <v>270</v>
      </c>
      <c r="AC67" s="625"/>
      <c r="AD67" s="1906">
        <f>AD69-AD68</f>
        <v>280</v>
      </c>
      <c r="AE67" s="625"/>
      <c r="AF67" s="1906">
        <f>AF69-AF68</f>
        <v>325.47300000000001</v>
      </c>
      <c r="AG67" s="625"/>
      <c r="AH67" s="1906">
        <f t="shared" ref="AH67:AT67" si="6">AH69*AH71</f>
        <v>291.600571152687</v>
      </c>
      <c r="AI67" s="625"/>
      <c r="AJ67" s="1906">
        <f t="shared" si="6"/>
        <v>308.18981400293274</v>
      </c>
      <c r="AK67" s="625"/>
      <c r="AL67" s="1906">
        <f t="shared" si="6"/>
        <v>346.76038500000004</v>
      </c>
      <c r="AM67" s="625"/>
      <c r="AN67" s="1906">
        <f t="shared" si="6"/>
        <v>339.40764000000001</v>
      </c>
      <c r="AO67" s="625"/>
      <c r="AP67" s="1906">
        <f t="shared" si="6"/>
        <v>353.43</v>
      </c>
      <c r="AQ67" s="625"/>
      <c r="AR67" s="1906">
        <f t="shared" si="6"/>
        <v>355.41</v>
      </c>
      <c r="AS67" s="625"/>
      <c r="AT67" s="1906">
        <f t="shared" si="6"/>
        <v>352.44</v>
      </c>
      <c r="AU67" s="625"/>
      <c r="AV67" s="1906">
        <f>AV69*AV71</f>
        <v>350.46</v>
      </c>
      <c r="AW67" s="625"/>
      <c r="AX67" s="1906">
        <f>AX69*AX71</f>
        <v>364.32</v>
      </c>
      <c r="AY67" s="625"/>
      <c r="AZ67" s="1906">
        <f>AZ69*AZ71</f>
        <v>393.82992000000002</v>
      </c>
      <c r="BA67" s="1906"/>
      <c r="BB67" s="1906">
        <f>BB69*BB71</f>
        <v>410.82227999999998</v>
      </c>
      <c r="BC67" s="1906"/>
      <c r="BD67" s="1906">
        <f>BD69*BD71</f>
        <v>467.28</v>
      </c>
      <c r="BE67" s="1906"/>
      <c r="BF67" s="1906">
        <f>BF69*BF71</f>
        <v>518.36400000000003</v>
      </c>
      <c r="BG67" s="1906"/>
      <c r="BH67" s="1906">
        <f>BH69*BH71</f>
        <v>554.4</v>
      </c>
      <c r="BI67" s="1906"/>
      <c r="BJ67" s="1906">
        <f>BJ69*BJ71</f>
        <v>609.84</v>
      </c>
      <c r="BK67" s="1906"/>
      <c r="BL67" s="1906">
        <f>BL69*BL71</f>
        <v>670.82400000000007</v>
      </c>
      <c r="BM67" s="1906"/>
      <c r="BN67" s="1906">
        <f>BN69*BN71</f>
        <v>737.90640000000008</v>
      </c>
      <c r="BO67" s="1906"/>
      <c r="BP67" s="1906">
        <f>BP69*BP71</f>
        <v>811.69704000000013</v>
      </c>
      <c r="BQ67" s="1906"/>
    </row>
    <row r="68" spans="1:69">
      <c r="A68" s="1904" t="s">
        <v>157</v>
      </c>
      <c r="B68" s="1904"/>
      <c r="C68" s="1905"/>
      <c r="D68" s="625"/>
      <c r="E68" s="625"/>
      <c r="F68" s="625"/>
      <c r="G68" s="625"/>
      <c r="H68" s="625"/>
      <c r="I68" s="625"/>
      <c r="J68" s="625"/>
      <c r="K68" s="625"/>
      <c r="L68" s="625"/>
      <c r="M68" s="625"/>
      <c r="N68" s="625"/>
      <c r="O68" s="625"/>
      <c r="P68" s="625"/>
      <c r="Q68" s="625"/>
      <c r="R68" s="625"/>
      <c r="S68" s="625"/>
      <c r="T68" s="625"/>
      <c r="U68" s="625"/>
      <c r="V68" s="1907">
        <v>11</v>
      </c>
      <c r="W68" s="1905" t="s">
        <v>506</v>
      </c>
      <c r="X68" s="1907">
        <v>11</v>
      </c>
      <c r="Y68" s="1905"/>
      <c r="Z68" s="1907">
        <v>11</v>
      </c>
      <c r="AA68" s="1905"/>
      <c r="AB68" s="1907">
        <v>6</v>
      </c>
      <c r="AC68" s="1905"/>
      <c r="AD68" s="1907">
        <v>8</v>
      </c>
      <c r="AE68" s="1905"/>
      <c r="AF68" s="1907">
        <v>8</v>
      </c>
      <c r="AG68" s="1905"/>
      <c r="AH68" s="1907">
        <f t="shared" ref="AH68:AT68" si="7">AH69-AH67</f>
        <v>7.1674288473129764</v>
      </c>
      <c r="AI68" s="1905"/>
      <c r="AJ68" s="1907">
        <f t="shared" si="7"/>
        <v>7.5751859970672513</v>
      </c>
      <c r="AK68" s="1905"/>
      <c r="AL68" s="1907">
        <f t="shared" si="7"/>
        <v>5.2806150000000116</v>
      </c>
      <c r="AM68" s="1905"/>
      <c r="AN68" s="1907">
        <f t="shared" si="7"/>
        <v>3.4283599999999979</v>
      </c>
      <c r="AO68" s="1905"/>
      <c r="AP68" s="1907">
        <f t="shared" si="7"/>
        <v>3.5699999999999932</v>
      </c>
      <c r="AQ68" s="1905"/>
      <c r="AR68" s="1907">
        <f t="shared" si="7"/>
        <v>3.589999999999975</v>
      </c>
      <c r="AS68" s="1905"/>
      <c r="AT68" s="1907">
        <f t="shared" si="7"/>
        <v>3.5600000000000023</v>
      </c>
      <c r="AU68" s="1905"/>
      <c r="AV68" s="1907">
        <f>AV69-AV67</f>
        <v>3.5400000000000205</v>
      </c>
      <c r="AW68" s="1905"/>
      <c r="AX68" s="1907">
        <f>AX69-AX67</f>
        <v>3.6800000000000068</v>
      </c>
      <c r="AY68" s="1905"/>
      <c r="AZ68" s="1907">
        <f>AZ69-AZ67</f>
        <v>3.9780799999999772</v>
      </c>
      <c r="BA68" s="1907"/>
      <c r="BB68" s="1907">
        <f>BB69-BB67</f>
        <v>4.1497200000000021</v>
      </c>
      <c r="BC68" s="1907"/>
      <c r="BD68" s="1907">
        <f>BD69-BD67</f>
        <v>4.7200000000000273</v>
      </c>
      <c r="BE68" s="1907"/>
      <c r="BF68" s="1907">
        <f>BF69-BF67</f>
        <v>5.23599999999999</v>
      </c>
      <c r="BG68" s="1907"/>
      <c r="BH68" s="1907">
        <f>BH69-BH67</f>
        <v>5.6000000000000227</v>
      </c>
      <c r="BI68" s="1907"/>
      <c r="BJ68" s="1907">
        <f>BJ69-BJ67</f>
        <v>6.1599999999999682</v>
      </c>
      <c r="BK68" s="1907"/>
      <c r="BL68" s="1907">
        <f>BL69-BL67</f>
        <v>6.7759999999999536</v>
      </c>
      <c r="BM68" s="1907"/>
      <c r="BN68" s="1907">
        <f>BN69-BN67</f>
        <v>7.4536000000000513</v>
      </c>
      <c r="BO68" s="1907"/>
      <c r="BP68" s="1907">
        <f>BP69-BP67</f>
        <v>8.1989600000000564</v>
      </c>
      <c r="BQ68" s="1907"/>
    </row>
    <row r="69" spans="1:69">
      <c r="A69" s="1904" t="s">
        <v>158</v>
      </c>
      <c r="B69" s="1904"/>
      <c r="C69" s="1905"/>
      <c r="D69" s="625"/>
      <c r="E69" s="625"/>
      <c r="F69" s="625"/>
      <c r="G69" s="625"/>
      <c r="H69" s="625"/>
      <c r="I69" s="625"/>
      <c r="J69" s="625"/>
      <c r="K69" s="625"/>
      <c r="L69" s="625"/>
      <c r="M69" s="625"/>
      <c r="N69" s="625"/>
      <c r="O69" s="625"/>
      <c r="P69" s="625"/>
      <c r="Q69" s="625"/>
      <c r="R69" s="625"/>
      <c r="S69" s="625"/>
      <c r="T69" s="625"/>
      <c r="U69" s="625"/>
      <c r="V69" s="1908">
        <f>V9</f>
        <v>272.44299999999998</v>
      </c>
      <c r="W69" s="1905"/>
      <c r="X69" s="1908">
        <f>X9</f>
        <v>271</v>
      </c>
      <c r="Y69" s="1905"/>
      <c r="Z69" s="1908">
        <f>Z9</f>
        <v>277</v>
      </c>
      <c r="AA69" s="1905"/>
      <c r="AB69" s="1906">
        <f t="shared" ref="AB69:AT69" si="8">AB9</f>
        <v>276</v>
      </c>
      <c r="AC69" s="1905"/>
      <c r="AD69" s="1906">
        <f t="shared" si="8"/>
        <v>288</v>
      </c>
      <c r="AE69" s="1905"/>
      <c r="AF69" s="1906">
        <f t="shared" si="8"/>
        <v>333.47300000000001</v>
      </c>
      <c r="AG69" s="1905"/>
      <c r="AH69" s="1906">
        <f t="shared" si="8"/>
        <v>298.76799999999997</v>
      </c>
      <c r="AI69" s="1905"/>
      <c r="AJ69" s="1906">
        <f t="shared" si="8"/>
        <v>315.76499999999999</v>
      </c>
      <c r="AK69" s="1905"/>
      <c r="AL69" s="1906">
        <f t="shared" si="8"/>
        <v>352.04100000000005</v>
      </c>
      <c r="AM69" s="1905"/>
      <c r="AN69" s="1906">
        <f t="shared" si="8"/>
        <v>342.83600000000001</v>
      </c>
      <c r="AO69" s="1905"/>
      <c r="AP69" s="1906">
        <f>AP9</f>
        <v>357</v>
      </c>
      <c r="AQ69" s="1905"/>
      <c r="AR69" s="1906">
        <f t="shared" si="8"/>
        <v>359</v>
      </c>
      <c r="AS69" s="1905"/>
      <c r="AT69" s="1906">
        <f t="shared" si="8"/>
        <v>356</v>
      </c>
      <c r="AU69" s="1905"/>
      <c r="AV69" s="1906">
        <f>AV9</f>
        <v>354</v>
      </c>
      <c r="AW69" s="1905"/>
      <c r="AX69" s="1906">
        <f>AX9</f>
        <v>368</v>
      </c>
      <c r="AY69" s="1905"/>
      <c r="AZ69" s="1906">
        <f>AZ9</f>
        <v>397.80799999999999</v>
      </c>
      <c r="BA69" s="1906"/>
      <c r="BB69" s="1906">
        <f>BB9</f>
        <v>414.97199999999998</v>
      </c>
      <c r="BC69" s="1906"/>
      <c r="BD69" s="1906">
        <f>BD9</f>
        <v>472</v>
      </c>
      <c r="BE69" s="1906"/>
      <c r="BF69" s="1906">
        <f>BF9</f>
        <v>523.6</v>
      </c>
      <c r="BG69" s="1906"/>
      <c r="BH69" s="1906">
        <f>BH9</f>
        <v>560</v>
      </c>
      <c r="BI69" s="1906"/>
      <c r="BJ69" s="1906">
        <f>BJ9</f>
        <v>616</v>
      </c>
      <c r="BK69" s="1906"/>
      <c r="BL69" s="1906">
        <f>BL9</f>
        <v>677.6</v>
      </c>
      <c r="BM69" s="1906"/>
      <c r="BN69" s="1906">
        <f>BN9</f>
        <v>745.36000000000013</v>
      </c>
      <c r="BO69" s="1906"/>
      <c r="BP69" s="1906">
        <f>BP9</f>
        <v>819.89600000000019</v>
      </c>
      <c r="BQ69" s="1906"/>
    </row>
    <row r="70" spans="1:69">
      <c r="B70" s="1909"/>
      <c r="C70" s="1903"/>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139"/>
      <c r="AB70" s="139"/>
      <c r="AC70" s="139"/>
      <c r="AD70" s="139"/>
      <c r="AE70" s="139"/>
      <c r="AF70" s="139"/>
      <c r="AG70" s="139"/>
      <c r="AH70" s="625"/>
      <c r="AI70" s="139"/>
      <c r="AJ70" s="139"/>
      <c r="AK70" s="139"/>
      <c r="AL70" s="139"/>
      <c r="AM70" s="139"/>
      <c r="AN70" s="139"/>
      <c r="AO70" s="139"/>
      <c r="AP70" s="139"/>
      <c r="AQ70" s="139"/>
      <c r="AR70" s="139"/>
      <c r="AS70" s="139"/>
      <c r="AT70" s="139"/>
      <c r="AU70" s="139"/>
      <c r="AV70" s="139"/>
      <c r="AW70" s="139"/>
      <c r="AX70" s="139"/>
      <c r="AY70" s="139"/>
      <c r="AZ70" s="139"/>
      <c r="BA70" s="139"/>
      <c r="BB70" s="139"/>
      <c r="BC70" s="139"/>
      <c r="BD70" s="139"/>
      <c r="BE70" s="139"/>
      <c r="BF70" s="139"/>
      <c r="BG70" s="139"/>
      <c r="BH70" s="139"/>
      <c r="BI70" s="139"/>
      <c r="BJ70" s="139"/>
      <c r="BK70" s="139"/>
      <c r="BL70" s="139"/>
      <c r="BM70" s="139"/>
      <c r="BN70" s="139"/>
      <c r="BO70" s="139"/>
      <c r="BP70" s="139"/>
      <c r="BQ70" s="139"/>
    </row>
    <row r="71" spans="1:69">
      <c r="A71" s="23" t="s">
        <v>159</v>
      </c>
      <c r="B71" s="1909"/>
      <c r="C71" s="1903"/>
      <c r="D71" s="139"/>
      <c r="E71" s="139"/>
      <c r="F71" s="139"/>
      <c r="G71" s="139"/>
      <c r="H71" s="139"/>
      <c r="I71" s="139"/>
      <c r="J71" s="139"/>
      <c r="K71" s="139"/>
      <c r="L71" s="139"/>
      <c r="M71" s="139"/>
      <c r="N71" s="139"/>
      <c r="O71" s="139"/>
      <c r="P71" s="139"/>
      <c r="Q71" s="139"/>
      <c r="R71" s="139"/>
      <c r="S71" s="139"/>
      <c r="T71" s="139"/>
      <c r="U71" s="139"/>
      <c r="V71" s="1910">
        <f>V67/V69</f>
        <v>0.95962458202266165</v>
      </c>
      <c r="W71" s="139"/>
      <c r="X71" s="1910">
        <f>X67/X69</f>
        <v>0.95940959409594095</v>
      </c>
      <c r="Y71" s="139"/>
      <c r="Z71" s="1910">
        <f>Z67/Z69</f>
        <v>0.96028880866425992</v>
      </c>
      <c r="AA71" s="139"/>
      <c r="AB71" s="1910">
        <f>AB67/AB69</f>
        <v>0.97826086956521741</v>
      </c>
      <c r="AC71" s="139"/>
      <c r="AD71" s="1910">
        <f>AD67/AD69</f>
        <v>0.97222222222222221</v>
      </c>
      <c r="AE71" s="139"/>
      <c r="AF71" s="1910">
        <f>AF67/AF69</f>
        <v>0.97601005178830069</v>
      </c>
      <c r="AG71" s="139"/>
      <c r="AH71" s="1910">
        <f>AF71</f>
        <v>0.97601005178830069</v>
      </c>
      <c r="AI71" s="139"/>
      <c r="AJ71" s="1910">
        <f>AH71</f>
        <v>0.97601005178830069</v>
      </c>
      <c r="AK71" s="139"/>
      <c r="AL71" s="1910">
        <v>0.98499999999999999</v>
      </c>
      <c r="AM71" s="139"/>
      <c r="AN71" s="1910">
        <v>0.99</v>
      </c>
      <c r="AO71" s="139"/>
      <c r="AP71" s="1910">
        <v>0.99</v>
      </c>
      <c r="AQ71" s="139"/>
      <c r="AR71" s="1910">
        <v>0.99</v>
      </c>
      <c r="AS71" s="139"/>
      <c r="AT71" s="1910">
        <v>0.99</v>
      </c>
      <c r="AU71" s="139"/>
      <c r="AV71" s="1910">
        <v>0.99</v>
      </c>
      <c r="AW71" s="139"/>
      <c r="AX71" s="1910">
        <v>0.99</v>
      </c>
      <c r="AY71" s="139"/>
      <c r="AZ71" s="1910">
        <v>0.99</v>
      </c>
      <c r="BA71" s="1910"/>
      <c r="BB71" s="1910">
        <v>0.99</v>
      </c>
      <c r="BC71" s="1910"/>
      <c r="BD71" s="1910">
        <v>0.99</v>
      </c>
      <c r="BE71" s="1910"/>
      <c r="BF71" s="1910">
        <v>0.99</v>
      </c>
      <c r="BG71" s="1910"/>
      <c r="BH71" s="1910">
        <v>0.99</v>
      </c>
      <c r="BI71" s="1910"/>
      <c r="BJ71" s="1910">
        <v>0.99</v>
      </c>
      <c r="BK71" s="1910"/>
      <c r="BL71" s="1910">
        <v>0.99</v>
      </c>
      <c r="BM71" s="1910"/>
      <c r="BN71" s="1910">
        <v>0.99</v>
      </c>
      <c r="BO71" s="1910"/>
      <c r="BP71" s="1910">
        <v>0.99</v>
      </c>
      <c r="BQ71" s="1910"/>
    </row>
    <row r="72" spans="1:69">
      <c r="B72" s="1909"/>
      <c r="C72" s="1903"/>
      <c r="D72" s="139"/>
      <c r="E72" s="139"/>
      <c r="F72" s="139"/>
      <c r="G72" s="139"/>
      <c r="H72" s="139"/>
      <c r="I72" s="139"/>
      <c r="J72" s="139"/>
      <c r="K72" s="139"/>
      <c r="L72" s="139"/>
      <c r="M72" s="139"/>
      <c r="N72" s="139"/>
      <c r="O72" s="139"/>
      <c r="P72" s="139"/>
      <c r="Q72" s="139"/>
      <c r="R72" s="139"/>
      <c r="S72" s="139"/>
      <c r="T72" s="139"/>
      <c r="U72" s="139"/>
      <c r="V72" s="139"/>
      <c r="W72" s="139"/>
      <c r="X72" s="139"/>
      <c r="Y72" s="139"/>
      <c r="Z72" s="139"/>
      <c r="AA72" s="139"/>
      <c r="AB72" s="139"/>
      <c r="AC72" s="139"/>
      <c r="AD72" s="139"/>
      <c r="AE72" s="139"/>
      <c r="AF72" s="139"/>
      <c r="AG72" s="139"/>
      <c r="AH72" s="625"/>
      <c r="AI72" s="139"/>
      <c r="AJ72" s="139"/>
      <c r="AK72" s="139"/>
      <c r="AL72" s="139"/>
      <c r="AM72" s="139"/>
      <c r="AN72" s="139"/>
      <c r="AO72" s="139"/>
      <c r="AP72" s="139"/>
      <c r="AQ72" s="139"/>
      <c r="AR72" s="139"/>
      <c r="AS72" s="139"/>
      <c r="AT72" s="139"/>
      <c r="AU72" s="139"/>
      <c r="AV72" s="139"/>
      <c r="AW72" s="139"/>
      <c r="AX72" s="139"/>
      <c r="AY72" s="139"/>
      <c r="AZ72" s="139"/>
      <c r="BA72" s="139"/>
      <c r="BB72" s="139"/>
      <c r="BC72" s="139"/>
      <c r="BD72" s="139"/>
      <c r="BE72" s="139"/>
      <c r="BF72" s="139"/>
      <c r="BG72" s="139"/>
      <c r="BH72" s="139"/>
      <c r="BI72" s="139"/>
      <c r="BJ72" s="139"/>
      <c r="BK72" s="139"/>
      <c r="BL72" s="139"/>
      <c r="BM72" s="139"/>
      <c r="BN72" s="139"/>
      <c r="BO72" s="139"/>
      <c r="BP72" s="139"/>
      <c r="BQ72" s="139"/>
    </row>
    <row r="73" spans="1:69">
      <c r="A73" s="1909" t="s">
        <v>503</v>
      </c>
      <c r="B73" s="1909"/>
      <c r="C73" s="1903"/>
      <c r="D73" s="139"/>
      <c r="E73" s="139"/>
      <c r="F73" s="139"/>
      <c r="G73" s="139"/>
      <c r="H73" s="139"/>
      <c r="I73" s="139"/>
      <c r="J73" s="139"/>
      <c r="K73" s="139"/>
      <c r="L73" s="139"/>
      <c r="M73" s="139"/>
      <c r="N73" s="139"/>
      <c r="O73" s="139"/>
      <c r="P73" s="139"/>
      <c r="Q73" s="139"/>
      <c r="R73" s="139"/>
      <c r="S73" s="139"/>
      <c r="T73" s="139"/>
      <c r="U73" s="139"/>
      <c r="V73" s="1911">
        <f>V75*0.9</f>
        <v>338.40000000000003</v>
      </c>
      <c r="W73" s="139"/>
      <c r="X73" s="1911">
        <f>X75*0.9</f>
        <v>438.3</v>
      </c>
      <c r="Y73" s="139"/>
      <c r="Z73" s="1911">
        <f>Z75*0.9</f>
        <v>339.3</v>
      </c>
      <c r="AA73" s="139"/>
      <c r="AB73" s="1911">
        <f t="shared" ref="AB73:AT73" si="9">AB75*0.9</f>
        <v>275.40000000000003</v>
      </c>
      <c r="AC73" s="139"/>
      <c r="AD73" s="1911">
        <f t="shared" si="9"/>
        <v>263.7</v>
      </c>
      <c r="AE73" s="139"/>
      <c r="AF73" s="1911">
        <f t="shared" si="9"/>
        <v>387.5598</v>
      </c>
      <c r="AG73" s="139"/>
      <c r="AH73" s="1911">
        <f t="shared" si="9"/>
        <v>431.75069999999999</v>
      </c>
      <c r="AI73" s="139"/>
      <c r="AJ73" s="1911">
        <f t="shared" si="9"/>
        <v>493.29360000000003</v>
      </c>
      <c r="AK73" s="139"/>
      <c r="AL73" s="1911">
        <f t="shared" si="9"/>
        <v>673.88130000000001</v>
      </c>
      <c r="AM73" s="139"/>
      <c r="AN73" s="1911">
        <f t="shared" si="9"/>
        <v>431.1</v>
      </c>
      <c r="AO73" s="139"/>
      <c r="AP73" s="1911">
        <f t="shared" si="9"/>
        <v>181.8</v>
      </c>
      <c r="AQ73" s="139"/>
      <c r="AR73" s="1911">
        <f t="shared" si="9"/>
        <v>246.6</v>
      </c>
      <c r="AS73" s="139"/>
      <c r="AT73" s="1911">
        <f t="shared" si="9"/>
        <v>383.40000000000003</v>
      </c>
      <c r="AU73" s="139"/>
      <c r="AV73" s="1911">
        <f>AV75*0.9</f>
        <v>529.27380000000005</v>
      </c>
      <c r="AW73" s="139"/>
      <c r="AX73" s="1911">
        <f>AX75*0.9</f>
        <v>621.47699999999998</v>
      </c>
      <c r="AY73" s="139"/>
      <c r="AZ73" s="1911">
        <f>AZ75*0.9</f>
        <v>643.47119999999995</v>
      </c>
      <c r="BA73" s="1911"/>
      <c r="BB73" s="1911">
        <f>BB75*0.9</f>
        <v>654.2559</v>
      </c>
      <c r="BC73" s="1911"/>
      <c r="BD73" s="1911">
        <f>BD75*0.9</f>
        <v>891.44010000000003</v>
      </c>
      <c r="BE73" s="1911"/>
      <c r="BF73" s="1911">
        <f>BF75*0.9</f>
        <v>636.00749999999994</v>
      </c>
      <c r="BG73" s="1911"/>
      <c r="BH73" s="1911">
        <f>BH75*0.9</f>
        <v>675</v>
      </c>
      <c r="BI73" s="1911"/>
      <c r="BJ73" s="1911">
        <f>BJ75*0.9</f>
        <v>675</v>
      </c>
      <c r="BK73" s="1911"/>
      <c r="BL73" s="1911">
        <f>BL75*0.9</f>
        <v>675</v>
      </c>
      <c r="BM73" s="1911"/>
      <c r="BN73" s="1911">
        <f>BN75*0.9</f>
        <v>675</v>
      </c>
      <c r="BO73" s="1911"/>
      <c r="BP73" s="1911">
        <f>BP75*0.9</f>
        <v>675</v>
      </c>
      <c r="BQ73" s="1911"/>
    </row>
    <row r="74" spans="1:69">
      <c r="A74" s="1909" t="s">
        <v>504</v>
      </c>
      <c r="C74" s="139"/>
      <c r="D74" s="139"/>
      <c r="E74" s="139"/>
      <c r="F74" s="139"/>
      <c r="G74" s="139"/>
      <c r="H74" s="139"/>
      <c r="I74" s="139"/>
      <c r="J74" s="139"/>
      <c r="K74" s="139"/>
      <c r="L74" s="139"/>
      <c r="M74" s="139"/>
      <c r="N74" s="139"/>
      <c r="O74" s="139"/>
      <c r="P74" s="139"/>
      <c r="Q74" s="139"/>
      <c r="R74" s="139"/>
      <c r="S74" s="139"/>
      <c r="T74" s="139"/>
      <c r="U74" s="139"/>
      <c r="V74" s="1912">
        <f>V75-V73</f>
        <v>37.599999999999966</v>
      </c>
      <c r="W74" s="139"/>
      <c r="X74" s="1912">
        <f>X75-X73</f>
        <v>48.699999999999989</v>
      </c>
      <c r="Y74" s="139"/>
      <c r="Z74" s="1912">
        <f>Z75-Z73</f>
        <v>37.699999999999989</v>
      </c>
      <c r="AA74" s="139"/>
      <c r="AB74" s="1912">
        <f t="shared" ref="AB74:AT74" si="10">AB75-AB73</f>
        <v>30.599999999999966</v>
      </c>
      <c r="AC74" s="139"/>
      <c r="AD74" s="1912">
        <f t="shared" si="10"/>
        <v>29.300000000000011</v>
      </c>
      <c r="AE74" s="139"/>
      <c r="AF74" s="1912">
        <f t="shared" si="10"/>
        <v>43.062200000000018</v>
      </c>
      <c r="AG74" s="139"/>
      <c r="AH74" s="1912">
        <f t="shared" si="10"/>
        <v>47.972299999999962</v>
      </c>
      <c r="AI74" s="139"/>
      <c r="AJ74" s="1912">
        <f t="shared" si="10"/>
        <v>54.810400000000016</v>
      </c>
      <c r="AK74" s="139"/>
      <c r="AL74" s="1912">
        <f t="shared" si="10"/>
        <v>74.875699999999938</v>
      </c>
      <c r="AM74" s="139"/>
      <c r="AN74" s="1912">
        <f t="shared" si="10"/>
        <v>47.899999999999977</v>
      </c>
      <c r="AO74" s="139"/>
      <c r="AP74" s="1912">
        <f t="shared" si="10"/>
        <v>20.199999999999989</v>
      </c>
      <c r="AQ74" s="139"/>
      <c r="AR74" s="1912">
        <f t="shared" si="10"/>
        <v>27.400000000000006</v>
      </c>
      <c r="AS74" s="139"/>
      <c r="AT74" s="1912">
        <f t="shared" si="10"/>
        <v>42.599999999999966</v>
      </c>
      <c r="AU74" s="139"/>
      <c r="AV74" s="1912">
        <f>AV75-AV73</f>
        <v>58.808199999999943</v>
      </c>
      <c r="AW74" s="139"/>
      <c r="AX74" s="1912">
        <f>AX75-AX73</f>
        <v>69.052999999999997</v>
      </c>
      <c r="AY74" s="139"/>
      <c r="AZ74" s="1912">
        <f>AZ75-AZ73</f>
        <v>71.496800000000007</v>
      </c>
      <c r="BA74" s="1912"/>
      <c r="BB74" s="1912">
        <f>BB75-BB73</f>
        <v>72.695100000000025</v>
      </c>
      <c r="BC74" s="1912"/>
      <c r="BD74" s="1912">
        <f>BD75-BD73</f>
        <v>99.048900000000003</v>
      </c>
      <c r="BE74" s="1912"/>
      <c r="BF74" s="1912">
        <f>BF75-BF73</f>
        <v>70.667500000000018</v>
      </c>
      <c r="BG74" s="1912"/>
      <c r="BH74" s="1912">
        <f>BH75-BH73</f>
        <v>75</v>
      </c>
      <c r="BI74" s="1912"/>
      <c r="BJ74" s="1912">
        <f>BJ75-BJ73</f>
        <v>75</v>
      </c>
      <c r="BK74" s="1912"/>
      <c r="BL74" s="1912">
        <f>BL75-BL73</f>
        <v>75</v>
      </c>
      <c r="BM74" s="1912"/>
      <c r="BN74" s="1912">
        <f>BN75-BN73</f>
        <v>75</v>
      </c>
      <c r="BO74" s="1912"/>
      <c r="BP74" s="1912">
        <f>BP75-BP73</f>
        <v>75</v>
      </c>
      <c r="BQ74" s="1912"/>
    </row>
    <row r="75" spans="1:69">
      <c r="A75" s="1909" t="s">
        <v>505</v>
      </c>
      <c r="C75" s="139"/>
      <c r="D75" s="139"/>
      <c r="E75" s="139"/>
      <c r="F75" s="139"/>
      <c r="G75" s="139"/>
      <c r="H75" s="139"/>
      <c r="I75" s="139"/>
      <c r="J75" s="139"/>
      <c r="K75" s="139"/>
      <c r="L75" s="139"/>
      <c r="M75" s="139"/>
      <c r="N75" s="139"/>
      <c r="O75" s="139"/>
      <c r="P75" s="139"/>
      <c r="Q75" s="139"/>
      <c r="R75" s="139"/>
      <c r="S75" s="139"/>
      <c r="T75" s="139"/>
      <c r="U75" s="139"/>
      <c r="V75" s="1913">
        <f>V22</f>
        <v>376</v>
      </c>
      <c r="W75" s="139"/>
      <c r="X75" s="1913">
        <f>X22</f>
        <v>487</v>
      </c>
      <c r="Y75" s="139"/>
      <c r="Z75" s="1913">
        <f>Z22</f>
        <v>377</v>
      </c>
      <c r="AA75" s="139"/>
      <c r="AB75" s="1913">
        <f t="shared" ref="AB75:AT75" si="11">AB22</f>
        <v>306</v>
      </c>
      <c r="AC75" s="139"/>
      <c r="AD75" s="1913">
        <f t="shared" si="11"/>
        <v>293</v>
      </c>
      <c r="AE75" s="139"/>
      <c r="AF75" s="1913">
        <f t="shared" si="11"/>
        <v>430.62200000000001</v>
      </c>
      <c r="AG75" s="139"/>
      <c r="AH75" s="1913">
        <f t="shared" si="11"/>
        <v>479.72299999999996</v>
      </c>
      <c r="AI75" s="139"/>
      <c r="AJ75" s="1913">
        <f t="shared" si="11"/>
        <v>548.10400000000004</v>
      </c>
      <c r="AK75" s="139"/>
      <c r="AL75" s="1913">
        <f t="shared" si="11"/>
        <v>748.75699999999995</v>
      </c>
      <c r="AM75" s="139"/>
      <c r="AN75" s="1913">
        <f t="shared" si="11"/>
        <v>479</v>
      </c>
      <c r="AO75" s="139"/>
      <c r="AP75" s="1913">
        <f t="shared" si="11"/>
        <v>202</v>
      </c>
      <c r="AQ75" s="139"/>
      <c r="AR75" s="1913">
        <f t="shared" si="11"/>
        <v>274</v>
      </c>
      <c r="AS75" s="139"/>
      <c r="AT75" s="1913">
        <f t="shared" si="11"/>
        <v>426</v>
      </c>
      <c r="AU75" s="139"/>
      <c r="AV75" s="1913">
        <f>AV22</f>
        <v>588.08199999999999</v>
      </c>
      <c r="AW75" s="139"/>
      <c r="AX75" s="1913">
        <f>AX22</f>
        <v>690.53</v>
      </c>
      <c r="AY75" s="139"/>
      <c r="AZ75" s="1913">
        <f>AZ22</f>
        <v>714.96799999999996</v>
      </c>
      <c r="BA75" s="1913"/>
      <c r="BB75" s="1913">
        <f>BB22</f>
        <v>726.95100000000002</v>
      </c>
      <c r="BC75" s="1913"/>
      <c r="BD75" s="1913">
        <f>BD22</f>
        <v>990.48900000000003</v>
      </c>
      <c r="BE75" s="1913"/>
      <c r="BF75" s="1913">
        <f>BF22</f>
        <v>706.67499999999995</v>
      </c>
      <c r="BG75" s="1913"/>
      <c r="BH75" s="1913">
        <f>BH22</f>
        <v>750</v>
      </c>
      <c r="BI75" s="1913"/>
      <c r="BJ75" s="1913">
        <f>BJ22</f>
        <v>750</v>
      </c>
      <c r="BK75" s="1913"/>
      <c r="BL75" s="1913">
        <f>BL22</f>
        <v>750</v>
      </c>
      <c r="BM75" s="1913"/>
      <c r="BN75" s="1913">
        <f>BN22</f>
        <v>750</v>
      </c>
      <c r="BO75" s="1913"/>
      <c r="BP75" s="1913">
        <f>BP22</f>
        <v>750</v>
      </c>
      <c r="BQ75" s="1913"/>
    </row>
    <row r="76" spans="1:69">
      <c r="C76" s="139"/>
      <c r="D76" s="139"/>
      <c r="E76" s="139"/>
      <c r="F76" s="139"/>
      <c r="G76" s="139"/>
      <c r="H76" s="139"/>
      <c r="I76" s="139"/>
      <c r="J76" s="139"/>
      <c r="K76" s="139"/>
      <c r="L76" s="139"/>
      <c r="M76" s="139"/>
      <c r="N76" s="139"/>
      <c r="O76" s="139"/>
      <c r="P76" s="139"/>
      <c r="Q76" s="139"/>
      <c r="R76" s="139"/>
      <c r="S76" s="139"/>
      <c r="T76" s="139"/>
      <c r="U76" s="139"/>
      <c r="V76" s="139"/>
      <c r="W76" s="139"/>
      <c r="X76" s="139"/>
      <c r="Y76" s="139"/>
      <c r="Z76" s="139"/>
      <c r="AA76" s="139"/>
      <c r="AB76" s="139"/>
      <c r="AC76" s="139"/>
      <c r="AD76" s="139"/>
      <c r="AE76" s="139"/>
      <c r="AF76" s="139"/>
      <c r="AG76" s="139"/>
      <c r="AH76" s="625"/>
      <c r="AI76" s="139"/>
      <c r="AJ76" s="139"/>
      <c r="AK76" s="139"/>
      <c r="AL76" s="139"/>
      <c r="AM76" s="139"/>
      <c r="AN76" s="139"/>
      <c r="AO76" s="139"/>
      <c r="AP76" s="139"/>
      <c r="AQ76" s="139"/>
      <c r="AR76" s="139"/>
      <c r="AS76" s="139"/>
      <c r="AT76" s="139"/>
      <c r="AU76" s="139"/>
      <c r="AV76" s="139"/>
      <c r="AW76" s="139"/>
      <c r="AX76" s="139"/>
      <c r="AY76" s="139"/>
      <c r="AZ76" s="139"/>
      <c r="BA76" s="139"/>
      <c r="BB76" s="139"/>
      <c r="BC76" s="139"/>
      <c r="BD76" s="139"/>
      <c r="BE76" s="139"/>
      <c r="BF76" s="139"/>
      <c r="BG76" s="139"/>
      <c r="BH76" s="139"/>
      <c r="BI76" s="139"/>
      <c r="BJ76" s="139"/>
      <c r="BK76" s="139"/>
      <c r="BL76" s="139"/>
      <c r="BM76" s="139"/>
      <c r="BN76" s="139"/>
      <c r="BO76" s="139"/>
      <c r="BP76" s="139"/>
      <c r="BQ76" s="139"/>
    </row>
    <row r="77" spans="1:69">
      <c r="AH77" s="161"/>
    </row>
    <row r="78" spans="1:69">
      <c r="AH78" s="161"/>
    </row>
    <row r="79" spans="1:69" customFormat="1"/>
  </sheetData>
  <phoneticPr fontId="0" type="noConversion"/>
  <printOptions horizontalCentered="1"/>
  <pageMargins left="0" right="0" top="0" bottom="0" header="0" footer="0"/>
  <pageSetup paperSize="5" orientation="landscape" r:id="rId1"/>
  <headerFooter alignWithMargins="0">
    <oddFooter>&amp;R&amp;8&amp;D/&amp;T
&amp;F/&amp;A</oddFooter>
  </headerFooter>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BH68"/>
  <sheetViews>
    <sheetView showGridLines="0" zoomScaleNormal="100" zoomScaleSheetLayoutView="100" workbookViewId="0">
      <pane xSplit="3" ySplit="6" topLeftCell="U7" activePane="bottomRight" state="frozen"/>
      <selection activeCell="AF104" sqref="AF104"/>
      <selection pane="topRight" activeCell="AF104" sqref="AF104"/>
      <selection pane="bottomLeft" activeCell="AF104" sqref="AF104"/>
      <selection pane="bottomRight" activeCell="BI32" sqref="BI32"/>
    </sheetView>
  </sheetViews>
  <sheetFormatPr defaultRowHeight="12.75" outlineLevelCol="1"/>
  <cols>
    <col min="1" max="1" width="4.28515625" customWidth="1"/>
    <col min="2" max="2" width="7" customWidth="1"/>
    <col min="3" max="3" width="1.7109375" customWidth="1"/>
    <col min="4" max="4" width="11.85546875" hidden="1" customWidth="1" outlineLevel="1"/>
    <col min="5" max="5" width="1.7109375" hidden="1" customWidth="1" outlineLevel="1"/>
    <col min="6" max="6" width="11.85546875" hidden="1" customWidth="1" outlineLevel="1"/>
    <col min="7" max="7" width="1.7109375" hidden="1" customWidth="1" outlineLevel="1"/>
    <col min="8" max="8" width="11.85546875" hidden="1" customWidth="1" outlineLevel="1"/>
    <col min="9" max="9" width="1.7109375" hidden="1" customWidth="1" outlineLevel="1"/>
    <col min="10" max="10" width="11.85546875" hidden="1" customWidth="1" outlineLevel="1" collapsed="1"/>
    <col min="11" max="11" width="1.7109375" hidden="1" customWidth="1" outlineLevel="1"/>
    <col min="12" max="12" width="11.85546875" hidden="1" customWidth="1" outlineLevel="1"/>
    <col min="13" max="13" width="1.7109375" hidden="1" customWidth="1" outlineLevel="1"/>
    <col min="14" max="14" width="11.85546875" hidden="1" customWidth="1" outlineLevel="1"/>
    <col min="15" max="15" width="1.7109375" hidden="1" customWidth="1" outlineLevel="1"/>
    <col min="16" max="16" width="11.85546875" hidden="1" customWidth="1" outlineLevel="1"/>
    <col min="17" max="17" width="1.7109375" hidden="1" customWidth="1" outlineLevel="1"/>
    <col min="18" max="18" width="11.85546875" hidden="1" customWidth="1" outlineLevel="1"/>
    <col min="19" max="19" width="1.7109375" hidden="1" customWidth="1" outlineLevel="1"/>
    <col min="20" max="20" width="11.85546875" hidden="1" customWidth="1" outlineLevel="1" collapsed="1"/>
    <col min="21" max="21" width="1.7109375" hidden="1" customWidth="1" outlineLevel="1"/>
    <col min="22" max="22" width="11.85546875" hidden="1" customWidth="1" outlineLevel="1" collapsed="1"/>
    <col min="23" max="23" width="1.7109375" hidden="1" customWidth="1" outlineLevel="1"/>
    <col min="24" max="24" width="11.85546875" hidden="1" customWidth="1" outlineLevel="1" collapsed="1"/>
    <col min="25" max="25" width="1.7109375" hidden="1" customWidth="1" outlineLevel="1"/>
    <col min="26" max="26" width="11.85546875" hidden="1" customWidth="1" outlineLevel="1"/>
    <col min="27" max="27" width="1.7109375" hidden="1" customWidth="1" outlineLevel="1"/>
    <col min="28" max="28" width="11.85546875" hidden="1" customWidth="1" outlineLevel="1"/>
    <col min="29" max="29" width="1.7109375" hidden="1" customWidth="1" outlineLevel="1"/>
    <col min="30" max="30" width="11.85546875" hidden="1" customWidth="1" outlineLevel="1"/>
    <col min="31" max="31" width="1.7109375" hidden="1" customWidth="1" outlineLevel="1"/>
    <col min="32" max="32" width="11.85546875" hidden="1" customWidth="1" outlineLevel="1"/>
    <col min="33" max="33" width="1.7109375" hidden="1" customWidth="1" outlineLevel="1"/>
    <col min="34" max="34" width="11.85546875" hidden="1" customWidth="1" outlineLevel="1"/>
    <col min="35" max="35" width="1.7109375" hidden="1" customWidth="1" outlineLevel="1"/>
    <col min="36" max="36" width="11.85546875" hidden="1" customWidth="1" outlineLevel="1"/>
    <col min="37" max="37" width="1.7109375" hidden="1" customWidth="1" outlineLevel="1"/>
    <col min="38" max="38" width="11.85546875" hidden="1" customWidth="1" outlineLevel="1"/>
    <col min="39" max="39" width="1.7109375" hidden="1" customWidth="1" outlineLevel="1"/>
    <col min="40" max="40" width="11.85546875" hidden="1" customWidth="1" outlineLevel="1"/>
    <col min="41" max="41" width="1.7109375" hidden="1" customWidth="1" outlineLevel="1"/>
    <col min="42" max="42" width="11.85546875" customWidth="1" collapsed="1"/>
    <col min="43" max="43" width="1.7109375" customWidth="1"/>
    <col min="44" max="44" width="11.85546875" customWidth="1"/>
    <col min="45" max="45" width="1.7109375" customWidth="1"/>
    <col min="46" max="46" width="11.85546875" customWidth="1"/>
    <col min="47" max="47" width="1.7109375" customWidth="1"/>
    <col min="48" max="48" width="11.85546875" customWidth="1"/>
    <col min="49" max="49" width="2.140625" customWidth="1"/>
    <col min="50" max="50" width="11.85546875" customWidth="1"/>
    <col min="51" max="51" width="2.140625" customWidth="1"/>
    <col min="53" max="53" width="2.140625" customWidth="1"/>
    <col min="55" max="55" width="1.7109375" customWidth="1"/>
    <col min="57" max="57" width="1.5703125" customWidth="1"/>
    <col min="59" max="59" width="1.5703125" style="2702" customWidth="1"/>
    <col min="60" max="60" width="9.140625" style="2702"/>
  </cols>
  <sheetData>
    <row r="1" spans="1:60">
      <c r="A1" s="25" t="s">
        <v>594</v>
      </c>
      <c r="B1" s="23"/>
      <c r="C1" s="23"/>
      <c r="D1" s="23"/>
      <c r="E1" s="23"/>
      <c r="F1" s="23"/>
      <c r="G1" s="23"/>
      <c r="H1" s="23"/>
      <c r="I1" s="23"/>
      <c r="J1" s="23"/>
      <c r="K1" s="23"/>
      <c r="L1" s="23"/>
      <c r="M1" s="23"/>
      <c r="N1" s="23"/>
      <c r="O1" s="23"/>
      <c r="P1" s="23"/>
      <c r="Q1" s="23"/>
      <c r="R1" s="23"/>
      <c r="S1" s="23"/>
      <c r="T1" s="23"/>
      <c r="U1" s="23"/>
      <c r="V1" s="23"/>
      <c r="W1" s="23"/>
      <c r="X1" s="23"/>
      <c r="Y1" s="23"/>
      <c r="Z1" s="23"/>
      <c r="AA1" s="23"/>
      <c r="AB1" s="23"/>
      <c r="AC1" s="23"/>
      <c r="AD1" s="23"/>
      <c r="AE1" s="23"/>
      <c r="AF1" s="23"/>
      <c r="AG1" s="23"/>
      <c r="AH1" s="23"/>
      <c r="AI1" s="23"/>
      <c r="AJ1" s="23"/>
      <c r="AK1" s="23"/>
      <c r="AL1" s="23"/>
      <c r="AM1" s="23"/>
      <c r="AN1" s="23"/>
      <c r="AO1" s="23"/>
      <c r="AP1" s="23"/>
      <c r="AQ1" s="23"/>
      <c r="AR1" s="23"/>
      <c r="AS1" s="23"/>
      <c r="AT1" s="23"/>
      <c r="AU1" s="23"/>
      <c r="AV1" s="23"/>
    </row>
    <row r="2" spans="1:60">
      <c r="A2" s="200" t="s">
        <v>622</v>
      </c>
      <c r="B2" s="137"/>
      <c r="C2" s="137"/>
      <c r="D2" s="137"/>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row>
    <row r="3" spans="1:60">
      <c r="A3" s="87" t="s">
        <v>998</v>
      </c>
      <c r="B3" s="24"/>
      <c r="C3" s="24"/>
      <c r="D3" s="24"/>
      <c r="E3" s="24"/>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row>
    <row r="4" spans="1:60">
      <c r="A4" s="88" t="s">
        <v>1182</v>
      </c>
      <c r="B4" s="24"/>
      <c r="C4" s="24"/>
      <c r="D4" s="24"/>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row>
    <row r="5" spans="1:60">
      <c r="A5" s="24"/>
      <c r="B5" s="24"/>
      <c r="C5" s="24"/>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row>
    <row r="6" spans="1:60">
      <c r="A6" s="24"/>
      <c r="B6" s="24"/>
      <c r="C6" s="24"/>
      <c r="D6" s="360">
        <v>1990</v>
      </c>
      <c r="E6" s="24"/>
      <c r="F6" s="68">
        <v>1991</v>
      </c>
      <c r="G6" s="24"/>
      <c r="H6" s="68">
        <v>1992</v>
      </c>
      <c r="I6" s="24"/>
      <c r="J6" s="68">
        <v>1993</v>
      </c>
      <c r="K6" s="24"/>
      <c r="L6" s="68">
        <v>1994</v>
      </c>
      <c r="M6" s="24"/>
      <c r="N6" s="68">
        <v>1995</v>
      </c>
      <c r="O6" s="24"/>
      <c r="P6" s="68">
        <v>1996</v>
      </c>
      <c r="Q6" s="24"/>
      <c r="R6" s="68">
        <v>1997</v>
      </c>
      <c r="S6" s="24"/>
      <c r="T6" s="68">
        <v>1998</v>
      </c>
      <c r="U6" s="24"/>
      <c r="V6" s="68">
        <v>1999</v>
      </c>
      <c r="W6" s="24"/>
      <c r="X6" s="68">
        <v>2000</v>
      </c>
      <c r="Y6" s="24"/>
      <c r="Z6" s="68">
        <v>2001</v>
      </c>
      <c r="AA6" s="24"/>
      <c r="AB6" s="68">
        <v>2002</v>
      </c>
      <c r="AC6" s="24"/>
      <c r="AD6" s="68">
        <v>2003</v>
      </c>
      <c r="AE6" s="24"/>
      <c r="AF6" s="68">
        <v>2004</v>
      </c>
      <c r="AG6" s="24"/>
      <c r="AH6" s="68">
        <v>2005</v>
      </c>
      <c r="AI6" s="24"/>
      <c r="AJ6" s="68">
        <v>2006</v>
      </c>
      <c r="AK6" s="24"/>
      <c r="AL6" s="68">
        <v>2007</v>
      </c>
      <c r="AM6" s="24"/>
      <c r="AN6" s="68">
        <v>2008</v>
      </c>
      <c r="AO6" s="24"/>
      <c r="AP6" s="68">
        <v>2009</v>
      </c>
      <c r="AQ6" s="24"/>
      <c r="AR6" s="68">
        <v>2010</v>
      </c>
      <c r="AS6" s="24"/>
      <c r="AT6" s="68">
        <v>2011</v>
      </c>
      <c r="AU6" s="24"/>
      <c r="AV6" s="68">
        <v>2012</v>
      </c>
      <c r="AX6" s="68">
        <v>2013</v>
      </c>
      <c r="AZ6" s="68">
        <v>2014</v>
      </c>
      <c r="BB6" s="68">
        <v>2015</v>
      </c>
      <c r="BD6" s="68">
        <v>2016</v>
      </c>
      <c r="BF6" s="68">
        <v>2017</v>
      </c>
      <c r="BH6" s="68">
        <v>2018</v>
      </c>
    </row>
    <row r="7" spans="1:60">
      <c r="A7" s="24"/>
      <c r="B7" s="24"/>
      <c r="C7" s="24"/>
      <c r="D7" s="364"/>
      <c r="E7" s="24"/>
      <c r="F7" s="70"/>
      <c r="G7" s="24"/>
      <c r="H7" s="70"/>
      <c r="I7" s="24"/>
      <c r="J7" s="70"/>
      <c r="K7" s="24"/>
      <c r="L7" s="70"/>
      <c r="M7" s="24"/>
      <c r="N7" s="70"/>
      <c r="O7" s="24"/>
      <c r="P7" s="70"/>
      <c r="Q7" s="24"/>
      <c r="R7" s="70"/>
      <c r="S7" s="24"/>
      <c r="T7" s="70"/>
      <c r="U7" s="24"/>
      <c r="V7" s="70"/>
      <c r="W7" s="24"/>
      <c r="X7" s="70"/>
      <c r="Y7" s="24"/>
      <c r="Z7" s="70"/>
      <c r="AA7" s="24"/>
      <c r="AB7" s="70"/>
      <c r="AC7" s="24"/>
      <c r="AD7" s="70"/>
      <c r="AE7" s="24"/>
      <c r="AF7" s="70"/>
      <c r="AG7" s="24"/>
      <c r="AH7" s="70"/>
      <c r="AI7" s="24"/>
      <c r="AJ7" s="70"/>
      <c r="AK7" s="24"/>
      <c r="AL7" s="70"/>
      <c r="AM7" s="24"/>
      <c r="AN7" s="70"/>
      <c r="AO7" s="24"/>
      <c r="AP7" s="70"/>
      <c r="AQ7" s="24"/>
      <c r="AR7" s="70"/>
      <c r="AS7" s="24"/>
      <c r="AT7" s="70"/>
      <c r="AU7" s="24"/>
      <c r="AV7" s="70"/>
    </row>
    <row r="8" spans="1:60">
      <c r="A8" s="135"/>
      <c r="B8" s="24"/>
      <c r="C8" s="24"/>
      <c r="D8" s="162"/>
      <c r="E8" s="24"/>
      <c r="F8" s="162"/>
      <c r="G8" s="24"/>
      <c r="H8" s="162"/>
      <c r="I8" s="24"/>
      <c r="J8" s="162"/>
      <c r="K8" s="24"/>
      <c r="L8" s="162"/>
      <c r="M8" s="24"/>
      <c r="N8" s="162"/>
      <c r="O8" s="24"/>
      <c r="P8" s="162"/>
      <c r="Q8" s="24"/>
      <c r="R8" s="162"/>
      <c r="S8" s="162"/>
      <c r="T8" s="162"/>
      <c r="U8" s="24"/>
      <c r="V8" s="162"/>
      <c r="W8" s="162"/>
      <c r="X8" s="24"/>
      <c r="Y8" s="162"/>
      <c r="Z8" s="24"/>
      <c r="AA8" s="162"/>
      <c r="AB8" s="24"/>
      <c r="AC8" s="162"/>
      <c r="AD8" s="24"/>
      <c r="AE8" s="162"/>
      <c r="AF8" s="162"/>
      <c r="AH8" s="970"/>
      <c r="AI8" s="969"/>
      <c r="AJ8" s="970"/>
      <c r="AK8" s="969"/>
      <c r="AL8" s="970"/>
      <c r="AN8" s="970"/>
      <c r="AO8" s="969"/>
      <c r="AP8" s="970"/>
      <c r="AQ8" s="969" t="s">
        <v>623</v>
      </c>
      <c r="AS8" s="969"/>
      <c r="AT8" s="970"/>
      <c r="AU8" s="969"/>
      <c r="AV8" s="970"/>
    </row>
    <row r="9" spans="1:60">
      <c r="A9" s="128" t="s">
        <v>119</v>
      </c>
      <c r="B9" s="24" t="s">
        <v>830</v>
      </c>
      <c r="C9" s="24"/>
      <c r="D9" s="166">
        <v>20.131</v>
      </c>
      <c r="E9" s="24"/>
      <c r="F9" s="166">
        <v>14.4</v>
      </c>
      <c r="G9" s="24"/>
      <c r="H9" s="166">
        <v>17.603999999999999</v>
      </c>
      <c r="I9" s="24"/>
      <c r="J9" s="166">
        <v>60.530999999999999</v>
      </c>
      <c r="K9" s="24"/>
      <c r="L9" s="166">
        <v>159.11500000000001</v>
      </c>
      <c r="M9" s="24"/>
      <c r="N9" s="166">
        <v>59.966999999999999</v>
      </c>
      <c r="O9" s="24"/>
      <c r="P9" s="166">
        <v>24.504000000000001</v>
      </c>
      <c r="Q9" s="24"/>
      <c r="R9" s="166">
        <v>57.454000000000001</v>
      </c>
      <c r="S9" s="24"/>
      <c r="T9" s="166">
        <v>687.86900000000003</v>
      </c>
      <c r="U9" s="24"/>
      <c r="V9" s="166">
        <v>491.36599999999999</v>
      </c>
      <c r="W9" s="24"/>
      <c r="X9" s="166">
        <v>484.09100000000001</v>
      </c>
      <c r="Y9" s="24"/>
      <c r="Z9" s="166">
        <v>288.94600000000003</v>
      </c>
      <c r="AA9" s="24"/>
      <c r="AB9" s="166">
        <v>1255</v>
      </c>
      <c r="AC9" s="24"/>
      <c r="AD9" s="166">
        <v>2243.2139999999999</v>
      </c>
      <c r="AE9" s="24"/>
      <c r="AF9" s="166">
        <v>1945.4069999999999</v>
      </c>
      <c r="AG9" s="24"/>
      <c r="AH9" s="166">
        <v>686.23599999999999</v>
      </c>
      <c r="AI9" s="24"/>
      <c r="AJ9" s="166">
        <v>722.41600000000005</v>
      </c>
      <c r="AK9" s="24"/>
      <c r="AL9" s="166">
        <v>193.71700000000001</v>
      </c>
      <c r="AM9" s="24"/>
      <c r="AN9" s="166">
        <v>758.61400000000003</v>
      </c>
      <c r="AO9" s="24"/>
      <c r="AP9" s="166">
        <v>936.43899999999996</v>
      </c>
      <c r="AQ9" s="24"/>
      <c r="AR9" s="166">
        <v>1187.7080000000001</v>
      </c>
      <c r="AS9" s="24"/>
      <c r="AT9" s="166">
        <v>1557.35</v>
      </c>
      <c r="AU9" s="24"/>
      <c r="AV9" s="166">
        <v>1285.55</v>
      </c>
      <c r="AX9" s="1178">
        <v>382.17899999999997</v>
      </c>
      <c r="AY9" s="966"/>
      <c r="AZ9" s="1178">
        <v>911.77599999999995</v>
      </c>
      <c r="BB9" s="1178">
        <v>648.51700000000005</v>
      </c>
      <c r="BD9" s="1178">
        <v>1267.4590000000001</v>
      </c>
      <c r="BF9" s="1178">
        <v>1554.9459999999999</v>
      </c>
      <c r="BH9" s="1178"/>
    </row>
    <row r="10" spans="1:60">
      <c r="A10" s="128" t="s">
        <v>120</v>
      </c>
      <c r="B10" s="24" t="s">
        <v>653</v>
      </c>
      <c r="C10" s="24"/>
      <c r="D10" s="163">
        <v>11.593999999999999</v>
      </c>
      <c r="E10" s="24"/>
      <c r="F10" s="163">
        <v>13.089</v>
      </c>
      <c r="G10" s="24"/>
      <c r="H10" s="163">
        <v>17.010999999999999</v>
      </c>
      <c r="I10" s="24"/>
      <c r="J10" s="163">
        <v>63.398000000000003</v>
      </c>
      <c r="K10" s="24"/>
      <c r="L10" s="163">
        <v>108.25</v>
      </c>
      <c r="M10" s="24"/>
      <c r="N10" s="163">
        <v>262.59100000000001</v>
      </c>
      <c r="O10" s="24"/>
      <c r="P10" s="163">
        <v>33.049999999999997</v>
      </c>
      <c r="Q10" s="24"/>
      <c r="R10" s="163">
        <v>22.466999999999999</v>
      </c>
      <c r="S10" s="24"/>
      <c r="T10" s="163">
        <v>498.86200000000002</v>
      </c>
      <c r="U10" s="24"/>
      <c r="V10" s="163">
        <v>490.322</v>
      </c>
      <c r="W10" s="24"/>
      <c r="X10" s="163">
        <v>321.50299999999999</v>
      </c>
      <c r="Y10" s="24"/>
      <c r="Z10" s="163">
        <v>327.46699999999998</v>
      </c>
      <c r="AA10" s="24"/>
      <c r="AB10" s="163">
        <v>1167.038</v>
      </c>
      <c r="AC10" s="24"/>
      <c r="AD10" s="163">
        <v>2239.7269999999999</v>
      </c>
      <c r="AE10" s="24"/>
      <c r="AF10" s="163">
        <v>2099.6840000000002</v>
      </c>
      <c r="AG10" s="24"/>
      <c r="AH10" s="163">
        <v>719.096</v>
      </c>
      <c r="AI10" s="24"/>
      <c r="AJ10" s="163">
        <v>650.76199999999994</v>
      </c>
      <c r="AK10" s="24"/>
      <c r="AL10" s="163">
        <v>1193.0029999999999</v>
      </c>
      <c r="AM10" s="24"/>
      <c r="AN10" s="163">
        <v>978.25400000000002</v>
      </c>
      <c r="AO10" s="24"/>
      <c r="AP10" s="163">
        <v>1550.0650000000001</v>
      </c>
      <c r="AQ10" s="24"/>
      <c r="AR10" s="163">
        <v>1299.6690000000001</v>
      </c>
      <c r="AS10" s="24"/>
      <c r="AT10" s="163">
        <v>1034.884</v>
      </c>
      <c r="AU10" s="24"/>
      <c r="AV10" s="163">
        <v>1192.5129999999999</v>
      </c>
      <c r="AX10" s="163">
        <v>551.17899999999997</v>
      </c>
      <c r="AZ10" s="163">
        <v>1147.2570000000001</v>
      </c>
      <c r="BB10" s="163">
        <v>780.12800000000004</v>
      </c>
      <c r="BD10" s="163">
        <v>1272.713</v>
      </c>
      <c r="BF10" s="163">
        <v>1360.2529999999999</v>
      </c>
      <c r="BH10" s="163"/>
    </row>
    <row r="11" spans="1:60">
      <c r="A11" s="128" t="s">
        <v>1018</v>
      </c>
      <c r="B11" s="24" t="s">
        <v>598</v>
      </c>
      <c r="C11" s="24"/>
      <c r="D11" s="163"/>
      <c r="E11" s="24"/>
      <c r="F11" s="163">
        <v>10.052</v>
      </c>
      <c r="G11" s="24"/>
      <c r="H11" s="163">
        <v>22.684000000000001</v>
      </c>
      <c r="I11" s="24"/>
      <c r="J11" s="163">
        <v>171.92699999999999</v>
      </c>
      <c r="K11" s="24"/>
      <c r="L11" s="163">
        <v>58.543999999999997</v>
      </c>
      <c r="M11" s="24"/>
      <c r="N11" s="163">
        <v>274.88600000000002</v>
      </c>
      <c r="O11" s="24"/>
      <c r="P11" s="163">
        <v>56.674999999999997</v>
      </c>
      <c r="Q11" s="24"/>
      <c r="R11" s="163">
        <v>37.045999999999999</v>
      </c>
      <c r="S11" s="24"/>
      <c r="T11" s="163">
        <v>64.799000000000007</v>
      </c>
      <c r="U11" s="24"/>
      <c r="V11" s="163">
        <v>173.303</v>
      </c>
      <c r="W11" s="24"/>
      <c r="X11" s="163">
        <v>6.1740000000000004</v>
      </c>
      <c r="Y11" s="24"/>
      <c r="Z11" s="163">
        <v>317.86700000000002</v>
      </c>
      <c r="AA11" s="24"/>
      <c r="AB11" s="163">
        <v>885.37699999999995</v>
      </c>
      <c r="AC11" s="24"/>
      <c r="AD11" s="163">
        <v>1818.3910000000001</v>
      </c>
      <c r="AE11" s="24"/>
      <c r="AF11" s="163">
        <v>2135.2040000000002</v>
      </c>
      <c r="AG11" s="24"/>
      <c r="AH11" s="163">
        <v>155.41300000000001</v>
      </c>
      <c r="AI11" s="24"/>
      <c r="AJ11" s="163">
        <v>177.56</v>
      </c>
      <c r="AK11" s="24"/>
      <c r="AL11" s="163">
        <v>218.38399999999999</v>
      </c>
      <c r="AM11" s="24"/>
      <c r="AN11" s="163">
        <v>377.35700000000003</v>
      </c>
      <c r="AO11" s="24"/>
      <c r="AP11" s="163">
        <v>968.08500000000004</v>
      </c>
      <c r="AQ11" s="24"/>
      <c r="AR11" s="163">
        <v>987.50900000000001</v>
      </c>
      <c r="AS11" s="24"/>
      <c r="AT11" s="163">
        <v>498.18400000000003</v>
      </c>
      <c r="AU11" s="24"/>
      <c r="AV11" s="163">
        <v>546.59400000000005</v>
      </c>
      <c r="AX11" s="163">
        <v>424.71600000000001</v>
      </c>
      <c r="AZ11" s="163">
        <v>745.41200000000003</v>
      </c>
      <c r="BB11" s="163">
        <v>1311.16</v>
      </c>
      <c r="BD11" s="163">
        <v>654.048</v>
      </c>
      <c r="BF11" s="163">
        <v>734.91300000000001</v>
      </c>
    </row>
    <row r="12" spans="1:60">
      <c r="A12" s="128" t="s">
        <v>1019</v>
      </c>
      <c r="B12" s="24" t="s">
        <v>601</v>
      </c>
      <c r="C12" s="24"/>
      <c r="D12" s="163">
        <v>13.18</v>
      </c>
      <c r="E12" s="24"/>
      <c r="F12" s="163">
        <v>33.734999999999999</v>
      </c>
      <c r="G12" s="24"/>
      <c r="H12" s="163">
        <v>41.234999999999999</v>
      </c>
      <c r="I12" s="24"/>
      <c r="J12" s="163">
        <v>320.55799999999999</v>
      </c>
      <c r="K12" s="24"/>
      <c r="L12" s="163">
        <v>242.78</v>
      </c>
      <c r="M12" s="24"/>
      <c r="N12" s="163">
        <v>1645.731</v>
      </c>
      <c r="O12" s="24"/>
      <c r="P12" s="163">
        <v>312.79599999999999</v>
      </c>
      <c r="Q12" s="24"/>
      <c r="R12" s="163">
        <v>746.39499999999998</v>
      </c>
      <c r="S12" s="24"/>
      <c r="T12" s="163">
        <v>870.31700000000001</v>
      </c>
      <c r="U12" s="24"/>
      <c r="V12" s="163">
        <v>817.26800000000003</v>
      </c>
      <c r="W12" s="24"/>
      <c r="X12" s="164">
        <v>563.54700000000003</v>
      </c>
      <c r="Y12" s="24"/>
      <c r="Z12" s="164">
        <v>1495</v>
      </c>
      <c r="AA12" s="24"/>
      <c r="AB12" s="164">
        <v>2262</v>
      </c>
      <c r="AC12" s="24"/>
      <c r="AD12" s="164">
        <v>3129</v>
      </c>
      <c r="AE12" s="24"/>
      <c r="AF12" s="163">
        <v>1160.759</v>
      </c>
      <c r="AG12" s="24"/>
      <c r="AH12" s="163">
        <v>1207.731</v>
      </c>
      <c r="AI12" s="24"/>
      <c r="AJ12" s="163">
        <v>499.93200000000002</v>
      </c>
      <c r="AK12" s="24"/>
      <c r="AL12" s="163">
        <v>1018.592</v>
      </c>
      <c r="AM12" s="24"/>
      <c r="AN12" s="163">
        <v>1172.972</v>
      </c>
      <c r="AO12" s="24"/>
      <c r="AP12" s="163">
        <v>1804.3140000000001</v>
      </c>
      <c r="AQ12" s="24"/>
      <c r="AR12" s="163">
        <v>1130.3040000000001</v>
      </c>
      <c r="AS12" s="24"/>
      <c r="AT12" s="163">
        <v>935.13699999999994</v>
      </c>
      <c r="AU12" s="24"/>
      <c r="AV12" s="163">
        <v>773.173</v>
      </c>
      <c r="AX12" s="163">
        <v>1519.4059999999999</v>
      </c>
      <c r="AZ12" s="163">
        <v>1681.46</v>
      </c>
      <c r="BB12" s="163">
        <v>2547.7849999999999</v>
      </c>
      <c r="BD12" s="163">
        <v>1933.8219999999999</v>
      </c>
      <c r="BF12" s="163">
        <v>1514.9110000000001</v>
      </c>
    </row>
    <row r="13" spans="1:60">
      <c r="A13" s="128"/>
      <c r="B13" s="24"/>
      <c r="C13" s="24"/>
      <c r="D13" s="24"/>
      <c r="E13" s="24"/>
      <c r="F13" s="24"/>
      <c r="G13" s="24"/>
      <c r="H13" s="24"/>
      <c r="I13" s="24"/>
      <c r="J13" s="24"/>
      <c r="K13" s="24"/>
      <c r="L13" s="24"/>
      <c r="M13" s="24"/>
      <c r="N13" s="24"/>
      <c r="O13" s="24"/>
      <c r="P13" s="24"/>
      <c r="Q13" s="24"/>
      <c r="R13" s="24"/>
      <c r="S13" s="24"/>
      <c r="T13" s="24"/>
      <c r="U13" s="24"/>
      <c r="V13" s="24"/>
      <c r="W13" s="24"/>
      <c r="X13" s="165"/>
      <c r="Y13" s="24"/>
      <c r="Z13" s="165"/>
      <c r="AA13" s="24"/>
      <c r="AB13" s="165"/>
      <c r="AC13" s="24"/>
      <c r="AD13" s="165"/>
      <c r="AE13" s="24"/>
      <c r="AF13" s="575"/>
      <c r="AG13" s="24"/>
      <c r="AH13" s="575"/>
      <c r="AI13" s="24"/>
      <c r="AJ13" s="575"/>
      <c r="AK13" s="24"/>
      <c r="AL13" s="575"/>
      <c r="AM13" s="24"/>
      <c r="AN13" s="575"/>
      <c r="AO13" s="24"/>
      <c r="AP13" s="575"/>
      <c r="AQ13" s="24"/>
      <c r="AR13" s="575"/>
      <c r="AS13" s="24"/>
      <c r="AT13" s="1063"/>
      <c r="AU13" s="24"/>
      <c r="AV13" s="1063"/>
      <c r="BF13" s="163"/>
    </row>
    <row r="14" spans="1:60">
      <c r="A14" s="128"/>
      <c r="B14" s="24"/>
      <c r="C14" s="24"/>
      <c r="D14" s="162"/>
      <c r="E14" s="24"/>
      <c r="F14" s="162"/>
      <c r="G14" s="24"/>
      <c r="H14" s="162"/>
      <c r="I14" s="24"/>
      <c r="J14" s="162"/>
      <c r="K14" s="24"/>
      <c r="L14" s="162"/>
      <c r="M14" s="24"/>
      <c r="N14" s="162"/>
      <c r="O14" s="24"/>
      <c r="P14" s="162"/>
      <c r="Q14" s="24"/>
      <c r="R14" s="162"/>
      <c r="S14" s="162"/>
      <c r="T14" s="162"/>
      <c r="U14" s="24"/>
      <c r="V14" s="162"/>
      <c r="W14" s="162"/>
      <c r="X14" s="165"/>
      <c r="Y14" s="162"/>
      <c r="Z14" s="165"/>
      <c r="AA14" s="162"/>
      <c r="AB14" s="165"/>
      <c r="AC14" s="162"/>
      <c r="AD14" s="165"/>
      <c r="AE14" s="162"/>
      <c r="AF14" s="165"/>
      <c r="AH14" s="971"/>
      <c r="AI14" s="969"/>
      <c r="AJ14" s="971"/>
      <c r="AK14" s="969"/>
      <c r="AL14" s="971"/>
      <c r="AM14" s="969"/>
      <c r="AO14" s="969"/>
      <c r="AR14" s="969" t="s">
        <v>624</v>
      </c>
      <c r="AT14" s="971"/>
      <c r="AU14" s="969"/>
      <c r="AV14" s="971"/>
      <c r="BF14" s="163"/>
    </row>
    <row r="15" spans="1:60">
      <c r="A15" s="128" t="s">
        <v>119</v>
      </c>
      <c r="B15" s="24" t="s">
        <v>830</v>
      </c>
      <c r="C15" s="24"/>
      <c r="D15" s="166">
        <v>0</v>
      </c>
      <c r="E15" s="24"/>
      <c r="F15" s="166">
        <v>0</v>
      </c>
      <c r="G15" s="24"/>
      <c r="H15" s="166">
        <v>0</v>
      </c>
      <c r="I15" s="24"/>
      <c r="J15" s="166">
        <v>100.21599999999999</v>
      </c>
      <c r="K15" s="24"/>
      <c r="L15" s="166">
        <v>17.100000000000001</v>
      </c>
      <c r="M15" s="24"/>
      <c r="N15" s="166">
        <v>70.088999999999999</v>
      </c>
      <c r="O15" s="24"/>
      <c r="P15" s="166">
        <v>177.22399999999999</v>
      </c>
      <c r="Q15" s="24"/>
      <c r="R15" s="166">
        <v>65.989999999999995</v>
      </c>
      <c r="S15" s="24"/>
      <c r="T15" s="166">
        <v>0</v>
      </c>
      <c r="U15" s="24"/>
      <c r="V15" s="166">
        <v>100</v>
      </c>
      <c r="W15" s="24"/>
      <c r="X15" s="166">
        <v>150</v>
      </c>
      <c r="Y15" s="24"/>
      <c r="Z15" s="166">
        <v>0</v>
      </c>
      <c r="AA15" s="24"/>
      <c r="AB15" s="166">
        <v>150</v>
      </c>
      <c r="AC15" s="24"/>
      <c r="AD15" s="166">
        <v>0</v>
      </c>
      <c r="AE15" s="24"/>
      <c r="AF15" s="166">
        <v>0</v>
      </c>
      <c r="AG15" s="24"/>
      <c r="AH15" s="166">
        <v>0</v>
      </c>
      <c r="AI15" s="24"/>
      <c r="AJ15" s="166">
        <v>7.5</v>
      </c>
      <c r="AK15" s="24"/>
      <c r="AL15" s="166">
        <v>0</v>
      </c>
      <c r="AM15" s="24"/>
      <c r="AN15" s="166">
        <v>0</v>
      </c>
      <c r="AO15" s="24"/>
      <c r="AP15" s="166">
        <v>0</v>
      </c>
      <c r="AQ15" s="24"/>
      <c r="AR15" s="166">
        <v>0</v>
      </c>
      <c r="AS15" s="24"/>
      <c r="AT15" s="166">
        <v>0</v>
      </c>
      <c r="AU15" s="24"/>
      <c r="AV15" s="166">
        <v>57.604999999999997</v>
      </c>
      <c r="AX15" s="1178">
        <v>0</v>
      </c>
      <c r="AZ15" s="1178">
        <v>214.44300000000001</v>
      </c>
      <c r="BB15" s="1178">
        <v>0</v>
      </c>
      <c r="BD15" s="1178">
        <v>7.7729999999999997</v>
      </c>
      <c r="BF15" s="163">
        <v>43.598999999999997</v>
      </c>
      <c r="BH15" s="1178"/>
    </row>
    <row r="16" spans="1:60">
      <c r="A16" s="128" t="s">
        <v>120</v>
      </c>
      <c r="B16" s="24" t="s">
        <v>653</v>
      </c>
      <c r="C16" s="24"/>
      <c r="D16" s="163">
        <v>0</v>
      </c>
      <c r="E16" s="24"/>
      <c r="F16" s="163">
        <v>0</v>
      </c>
      <c r="G16" s="24"/>
      <c r="H16" s="163">
        <v>0</v>
      </c>
      <c r="I16" s="24"/>
      <c r="J16" s="163">
        <v>100.217</v>
      </c>
      <c r="K16" s="24"/>
      <c r="L16" s="163">
        <v>23</v>
      </c>
      <c r="M16" s="24"/>
      <c r="N16" s="163">
        <v>311</v>
      </c>
      <c r="O16" s="24"/>
      <c r="P16" s="163">
        <v>266.98199999999997</v>
      </c>
      <c r="Q16" s="24"/>
      <c r="R16" s="163">
        <v>116.121</v>
      </c>
      <c r="S16" s="24"/>
      <c r="T16" s="163">
        <v>0</v>
      </c>
      <c r="U16" s="24"/>
      <c r="V16" s="163">
        <v>200</v>
      </c>
      <c r="W16" s="24"/>
      <c r="X16" s="163">
        <v>150</v>
      </c>
      <c r="Y16" s="24"/>
      <c r="Z16" s="163">
        <v>150</v>
      </c>
      <c r="AA16" s="24"/>
      <c r="AB16" s="163">
        <v>0</v>
      </c>
      <c r="AC16" s="24"/>
      <c r="AD16" s="163">
        <v>0</v>
      </c>
      <c r="AE16" s="24"/>
      <c r="AF16" s="163">
        <v>0</v>
      </c>
      <c r="AG16" s="24"/>
      <c r="AH16" s="163">
        <v>0</v>
      </c>
      <c r="AI16" s="24"/>
      <c r="AJ16" s="163">
        <v>7.5</v>
      </c>
      <c r="AK16" s="24"/>
      <c r="AL16" s="163">
        <v>0</v>
      </c>
      <c r="AM16" s="24"/>
      <c r="AN16" s="163">
        <v>0</v>
      </c>
      <c r="AO16" s="24"/>
      <c r="AP16" s="163">
        <v>0</v>
      </c>
      <c r="AQ16" s="24"/>
      <c r="AR16" s="163">
        <v>0</v>
      </c>
      <c r="AS16" s="24"/>
      <c r="AT16" s="163">
        <v>0</v>
      </c>
      <c r="AU16" s="24"/>
      <c r="AV16" s="163">
        <v>57.511000000000003</v>
      </c>
      <c r="AX16" s="1179">
        <v>0</v>
      </c>
      <c r="AZ16" s="1179">
        <v>213.791</v>
      </c>
      <c r="BB16" s="1179">
        <v>0</v>
      </c>
      <c r="BD16" s="1179">
        <v>12.983000000000001</v>
      </c>
      <c r="BF16" s="163">
        <v>64.251000000000005</v>
      </c>
      <c r="BH16" s="1179"/>
    </row>
    <row r="17" spans="1:60">
      <c r="A17" s="128" t="s">
        <v>1018</v>
      </c>
      <c r="B17" s="24" t="s">
        <v>598</v>
      </c>
      <c r="C17" s="24"/>
      <c r="D17" s="163"/>
      <c r="E17" s="24"/>
      <c r="F17" s="163">
        <v>0</v>
      </c>
      <c r="G17" s="24"/>
      <c r="H17" s="163">
        <v>0</v>
      </c>
      <c r="I17" s="24"/>
      <c r="J17" s="163">
        <v>100.22199999999999</v>
      </c>
      <c r="K17" s="24"/>
      <c r="L17" s="163">
        <v>244.322</v>
      </c>
      <c r="M17" s="24"/>
      <c r="N17" s="163">
        <v>54.2</v>
      </c>
      <c r="O17" s="24"/>
      <c r="P17" s="163">
        <v>376.63299999999998</v>
      </c>
      <c r="Q17" s="24"/>
      <c r="R17" s="163">
        <v>101.26900000000001</v>
      </c>
      <c r="S17" s="24"/>
      <c r="T17" s="163">
        <v>100</v>
      </c>
      <c r="U17" s="24"/>
      <c r="V17" s="163">
        <v>200</v>
      </c>
      <c r="W17" s="24"/>
      <c r="X17" s="163">
        <v>274.08</v>
      </c>
      <c r="Y17" s="24"/>
      <c r="Z17" s="163">
        <v>150</v>
      </c>
      <c r="AA17" s="24"/>
      <c r="AB17" s="163">
        <v>0</v>
      </c>
      <c r="AC17" s="24"/>
      <c r="AD17" s="163">
        <v>0</v>
      </c>
      <c r="AE17" s="24"/>
      <c r="AF17" s="163">
        <v>0</v>
      </c>
      <c r="AG17" s="24"/>
      <c r="AH17" s="163">
        <v>0</v>
      </c>
      <c r="AI17" s="24"/>
      <c r="AJ17" s="163">
        <v>7.5</v>
      </c>
      <c r="AK17" s="24"/>
      <c r="AL17" s="163">
        <v>0</v>
      </c>
      <c r="AM17" s="24"/>
      <c r="AN17" s="163">
        <v>0</v>
      </c>
      <c r="AO17" s="24"/>
      <c r="AP17" s="163">
        <v>0</v>
      </c>
      <c r="AQ17" s="24"/>
      <c r="AR17" s="163">
        <v>0</v>
      </c>
      <c r="AS17" s="24"/>
      <c r="AT17" s="163">
        <v>0</v>
      </c>
      <c r="AU17" s="24"/>
      <c r="AV17" s="163">
        <v>57.417000000000002</v>
      </c>
      <c r="AX17" s="163">
        <v>215.745</v>
      </c>
      <c r="AZ17" s="163">
        <v>213.13900000000001</v>
      </c>
      <c r="BB17" s="163">
        <v>4.0019999999999998</v>
      </c>
      <c r="BD17" s="163">
        <v>22.722000000000001</v>
      </c>
      <c r="BF17" s="163">
        <v>79.867000000000004</v>
      </c>
    </row>
    <row r="18" spans="1:60">
      <c r="A18" s="128" t="s">
        <v>1019</v>
      </c>
      <c r="B18" s="24" t="s">
        <v>601</v>
      </c>
      <c r="C18" s="24"/>
      <c r="D18" s="163">
        <v>0</v>
      </c>
      <c r="E18" s="24"/>
      <c r="F18" s="163">
        <v>0</v>
      </c>
      <c r="G18" s="24"/>
      <c r="H18" s="163">
        <v>0</v>
      </c>
      <c r="I18" s="24"/>
      <c r="J18" s="163">
        <v>15.7</v>
      </c>
      <c r="K18" s="24"/>
      <c r="L18" s="163">
        <v>25.2</v>
      </c>
      <c r="M18" s="24"/>
      <c r="N18" s="163">
        <v>0</v>
      </c>
      <c r="O18" s="24"/>
      <c r="P18" s="163">
        <v>0</v>
      </c>
      <c r="Q18" s="24"/>
      <c r="R18" s="163">
        <v>0</v>
      </c>
      <c r="S18" s="24"/>
      <c r="T18" s="163">
        <v>100</v>
      </c>
      <c r="U18" s="24"/>
      <c r="V18" s="163">
        <v>250</v>
      </c>
      <c r="W18" s="24"/>
      <c r="X18" s="163">
        <v>0</v>
      </c>
      <c r="Y18" s="24"/>
      <c r="Z18" s="163">
        <v>150</v>
      </c>
      <c r="AA18" s="24"/>
      <c r="AB18" s="164">
        <v>0</v>
      </c>
      <c r="AC18" s="24"/>
      <c r="AD18" s="163">
        <v>0</v>
      </c>
      <c r="AE18" s="24"/>
      <c r="AF18" s="163">
        <v>0</v>
      </c>
      <c r="AG18" s="24"/>
      <c r="AH18" s="163">
        <v>7.5</v>
      </c>
      <c r="AI18" s="24"/>
      <c r="AJ18" s="163">
        <v>18.108000000000001</v>
      </c>
      <c r="AK18" s="24"/>
      <c r="AL18" s="163">
        <v>0</v>
      </c>
      <c r="AM18" s="24"/>
      <c r="AN18" s="163">
        <v>0</v>
      </c>
      <c r="AO18" s="24"/>
      <c r="AP18" s="163">
        <v>0</v>
      </c>
      <c r="AQ18" s="24"/>
      <c r="AR18" s="163">
        <v>0</v>
      </c>
      <c r="AS18" s="24"/>
      <c r="AT18" s="163">
        <v>0</v>
      </c>
      <c r="AU18" s="24"/>
      <c r="AV18" s="163">
        <v>0</v>
      </c>
      <c r="AX18" s="163">
        <v>215.09399999999999</v>
      </c>
      <c r="AZ18" s="163">
        <v>0</v>
      </c>
      <c r="BB18" s="163">
        <v>6.1719999999999997</v>
      </c>
      <c r="BD18" s="163">
        <v>35.887</v>
      </c>
      <c r="BF18" s="163">
        <v>86.671999999999997</v>
      </c>
    </row>
    <row r="19" spans="1:60">
      <c r="A19" s="128"/>
      <c r="B19" s="24"/>
      <c r="C19" s="24"/>
      <c r="D19" s="163"/>
      <c r="E19" s="24"/>
      <c r="F19" s="163"/>
      <c r="G19" s="24"/>
      <c r="H19" s="163"/>
      <c r="I19" s="24"/>
      <c r="J19" s="163"/>
      <c r="K19" s="24"/>
      <c r="L19" s="163"/>
      <c r="M19" s="24"/>
      <c r="N19" s="163"/>
      <c r="O19" s="24"/>
      <c r="P19" s="163"/>
      <c r="Q19" s="24"/>
      <c r="R19" s="163"/>
      <c r="S19" s="24"/>
      <c r="T19" s="163"/>
      <c r="U19" s="24"/>
      <c r="V19" s="163"/>
      <c r="W19" s="24"/>
      <c r="X19" s="165"/>
      <c r="Y19" s="24"/>
      <c r="Z19" s="165"/>
      <c r="AA19" s="24"/>
      <c r="AB19" s="165"/>
      <c r="AC19" s="24"/>
      <c r="AD19" s="165"/>
      <c r="AE19" s="24"/>
      <c r="AF19" s="165"/>
      <c r="AG19" s="24"/>
      <c r="AH19" s="165"/>
      <c r="AI19" s="24"/>
      <c r="AJ19" s="165"/>
      <c r="AK19" s="24"/>
      <c r="AL19" s="165"/>
      <c r="AM19" s="24"/>
      <c r="AN19" s="165"/>
      <c r="AO19" s="24"/>
      <c r="AP19" s="165"/>
      <c r="AQ19" s="24"/>
      <c r="AR19" s="165"/>
      <c r="AS19" s="24"/>
      <c r="AT19" s="165"/>
      <c r="AU19" s="24"/>
      <c r="AV19" s="165"/>
      <c r="BF19" s="163"/>
    </row>
    <row r="20" spans="1:60">
      <c r="A20" s="128"/>
      <c r="B20" s="24"/>
      <c r="C20" s="24"/>
      <c r="D20" s="162"/>
      <c r="E20" s="24"/>
      <c r="F20" s="162"/>
      <c r="G20" s="24"/>
      <c r="H20" s="162"/>
      <c r="I20" s="24"/>
      <c r="J20" s="162"/>
      <c r="K20" s="24"/>
      <c r="L20" s="162"/>
      <c r="M20" s="24"/>
      <c r="N20" s="162"/>
      <c r="O20" s="24"/>
      <c r="P20" s="162"/>
      <c r="Q20" s="24"/>
      <c r="R20" s="162"/>
      <c r="S20" s="162"/>
      <c r="T20" s="162"/>
      <c r="U20" s="24"/>
      <c r="V20" s="162"/>
      <c r="W20" s="162"/>
      <c r="X20" s="165"/>
      <c r="Y20" s="162"/>
      <c r="Z20" s="165"/>
      <c r="AA20" s="162"/>
      <c r="AB20" s="165"/>
      <c r="AC20" s="162"/>
      <c r="AD20" s="165"/>
      <c r="AE20" s="162"/>
      <c r="AF20" s="165"/>
      <c r="AH20" s="971"/>
      <c r="AI20" s="969"/>
      <c r="AJ20" s="971"/>
      <c r="AK20" s="969"/>
      <c r="AL20" s="971"/>
      <c r="AM20" s="969"/>
      <c r="AN20" s="971"/>
      <c r="AO20" s="969"/>
      <c r="AP20" s="969" t="s">
        <v>625</v>
      </c>
      <c r="AQ20" s="969"/>
      <c r="AR20" s="971"/>
      <c r="AS20" s="969"/>
      <c r="AT20" s="971"/>
      <c r="AU20" s="969"/>
      <c r="AV20" s="971"/>
      <c r="BF20" s="163"/>
    </row>
    <row r="21" spans="1:60">
      <c r="A21" s="128" t="s">
        <v>119</v>
      </c>
      <c r="B21" s="24" t="s">
        <v>830</v>
      </c>
      <c r="C21" s="24"/>
      <c r="D21" s="166">
        <v>492.327</v>
      </c>
      <c r="E21" s="24"/>
      <c r="F21" s="166">
        <v>620.29700000000003</v>
      </c>
      <c r="G21" s="24"/>
      <c r="H21" s="166">
        <v>802.08900000000006</v>
      </c>
      <c r="I21" s="24"/>
      <c r="J21" s="166">
        <v>681.13</v>
      </c>
      <c r="K21" s="24"/>
      <c r="L21" s="166">
        <v>650</v>
      </c>
      <c r="M21" s="24"/>
      <c r="N21" s="166">
        <v>650</v>
      </c>
      <c r="O21" s="24"/>
      <c r="P21" s="166">
        <v>650</v>
      </c>
      <c r="Q21" s="24"/>
      <c r="R21" s="166">
        <v>650</v>
      </c>
      <c r="S21" s="24"/>
      <c r="T21" s="166">
        <v>650</v>
      </c>
      <c r="U21" s="24"/>
      <c r="V21" s="166">
        <v>550</v>
      </c>
      <c r="W21" s="24"/>
      <c r="X21" s="166">
        <v>400</v>
      </c>
      <c r="Y21" s="24"/>
      <c r="Z21" s="166">
        <v>400</v>
      </c>
      <c r="AA21" s="24"/>
      <c r="AB21" s="166">
        <v>248</v>
      </c>
      <c r="AC21" s="24"/>
      <c r="AD21" s="166">
        <v>648.10599999999999</v>
      </c>
      <c r="AE21" s="24"/>
      <c r="AF21" s="166">
        <v>648.25599999999997</v>
      </c>
      <c r="AG21" s="24"/>
      <c r="AH21" s="166">
        <v>1646.6510000000001</v>
      </c>
      <c r="AI21" s="24"/>
      <c r="AJ21" s="166">
        <v>1669.4870000000001</v>
      </c>
      <c r="AK21" s="24"/>
      <c r="AL21" s="166">
        <v>1664.4949999999999</v>
      </c>
      <c r="AM21" s="24"/>
      <c r="AN21" s="166">
        <v>2904.681</v>
      </c>
      <c r="AO21" s="24"/>
      <c r="AP21" s="166">
        <v>2897.279</v>
      </c>
      <c r="AQ21" s="24"/>
      <c r="AR21" s="166">
        <v>2522.8000000000002</v>
      </c>
      <c r="AS21" s="24"/>
      <c r="AT21" s="166">
        <v>3509.4560000000001</v>
      </c>
      <c r="AU21" s="24"/>
      <c r="AV21" s="166">
        <v>4479.8500000000004</v>
      </c>
      <c r="AX21" s="166">
        <v>4475.3509999999997</v>
      </c>
      <c r="AZ21" s="166">
        <v>4758.4309999999996</v>
      </c>
      <c r="BB21" s="166">
        <v>4718.7169999999996</v>
      </c>
      <c r="BD21" s="166">
        <v>5718.4880000000003</v>
      </c>
      <c r="BF21" s="163">
        <v>5701.5140000000001</v>
      </c>
      <c r="BH21" s="166"/>
    </row>
    <row r="22" spans="1:60">
      <c r="A22" s="128" t="s">
        <v>120</v>
      </c>
      <c r="B22" s="24" t="s">
        <v>653</v>
      </c>
      <c r="C22" s="24"/>
      <c r="D22" s="163">
        <v>584.23699999999997</v>
      </c>
      <c r="E22" s="24"/>
      <c r="F22" s="163">
        <v>757.23199999999997</v>
      </c>
      <c r="G22" s="24"/>
      <c r="H22" s="163">
        <v>952.851</v>
      </c>
      <c r="I22" s="24"/>
      <c r="J22" s="163">
        <v>663.2</v>
      </c>
      <c r="K22" s="24"/>
      <c r="L22" s="163">
        <v>650</v>
      </c>
      <c r="M22" s="24"/>
      <c r="N22" s="163">
        <v>650</v>
      </c>
      <c r="O22" s="24"/>
      <c r="P22" s="163">
        <v>650</v>
      </c>
      <c r="Q22" s="24"/>
      <c r="R22" s="163">
        <v>650</v>
      </c>
      <c r="S22" s="24"/>
      <c r="T22" s="163">
        <v>650</v>
      </c>
      <c r="U22" s="24"/>
      <c r="V22" s="163">
        <v>750</v>
      </c>
      <c r="W22" s="24"/>
      <c r="X22" s="163">
        <v>400</v>
      </c>
      <c r="Y22" s="24"/>
      <c r="Z22" s="163">
        <v>250</v>
      </c>
      <c r="AA22" s="24"/>
      <c r="AB22" s="163">
        <v>248.03200000000001</v>
      </c>
      <c r="AC22" s="24"/>
      <c r="AD22" s="163">
        <v>648.14400000000001</v>
      </c>
      <c r="AE22" s="24"/>
      <c r="AF22" s="163">
        <v>648.29300000000001</v>
      </c>
      <c r="AG22" s="24"/>
      <c r="AH22" s="163">
        <f>1646.735</f>
        <v>1646.7349999999999</v>
      </c>
      <c r="AI22" s="24"/>
      <c r="AJ22" s="163">
        <v>1665.82</v>
      </c>
      <c r="AK22" s="24"/>
      <c r="AL22" s="163">
        <v>2908.0549999999998</v>
      </c>
      <c r="AM22" s="24"/>
      <c r="AN22" s="163">
        <v>2901.0120000000002</v>
      </c>
      <c r="AO22" s="24"/>
      <c r="AP22" s="163">
        <v>3251.125</v>
      </c>
      <c r="AQ22" s="24"/>
      <c r="AR22" s="163">
        <v>2532.3629999999998</v>
      </c>
      <c r="AS22" s="24"/>
      <c r="AT22" s="163">
        <v>3524.4949999999999</v>
      </c>
      <c r="AU22" s="24"/>
      <c r="AV22" s="163">
        <v>4479.55</v>
      </c>
      <c r="AX22" s="163">
        <v>4474.5190000000002</v>
      </c>
      <c r="AZ22" s="163">
        <v>4757.893</v>
      </c>
      <c r="BB22" s="163">
        <v>4758.9610000000002</v>
      </c>
      <c r="BD22" s="163">
        <v>5705.7809999999999</v>
      </c>
      <c r="BF22" s="163">
        <v>5703.6480000000001</v>
      </c>
      <c r="BH22" s="163"/>
    </row>
    <row r="23" spans="1:60">
      <c r="A23" s="128" t="s">
        <v>1018</v>
      </c>
      <c r="B23" s="24" t="s">
        <v>598</v>
      </c>
      <c r="C23" s="24"/>
      <c r="D23" s="163"/>
      <c r="E23" s="24"/>
      <c r="F23" s="163">
        <v>929.66300000000001</v>
      </c>
      <c r="G23" s="24"/>
      <c r="H23" s="163">
        <v>1059.712</v>
      </c>
      <c r="I23" s="24"/>
      <c r="J23" s="163">
        <v>660.3</v>
      </c>
      <c r="K23" s="24"/>
      <c r="L23" s="163">
        <v>650</v>
      </c>
      <c r="M23" s="24"/>
      <c r="N23" s="163">
        <v>650</v>
      </c>
      <c r="O23" s="24"/>
      <c r="P23" s="163">
        <v>650</v>
      </c>
      <c r="Q23" s="24"/>
      <c r="R23" s="163">
        <v>650</v>
      </c>
      <c r="S23" s="24"/>
      <c r="T23" s="163">
        <v>550</v>
      </c>
      <c r="U23" s="24"/>
      <c r="V23" s="163">
        <v>650</v>
      </c>
      <c r="W23" s="24"/>
      <c r="X23" s="163">
        <v>400</v>
      </c>
      <c r="Y23" s="24"/>
      <c r="Z23" s="163">
        <v>250</v>
      </c>
      <c r="AA23" s="24"/>
      <c r="AB23" s="163">
        <v>248.05600000000001</v>
      </c>
      <c r="AC23" s="24"/>
      <c r="AD23" s="163">
        <v>648.17999999999995</v>
      </c>
      <c r="AE23" s="24"/>
      <c r="AF23" s="163">
        <v>1146.4829999999999</v>
      </c>
      <c r="AG23" s="24"/>
      <c r="AH23" s="163">
        <f>1646.819</f>
        <v>1646.819</v>
      </c>
      <c r="AI23" s="24"/>
      <c r="AJ23" s="163">
        <v>1665.96</v>
      </c>
      <c r="AK23" s="24"/>
      <c r="AL23" s="163">
        <v>2908.4459999999999</v>
      </c>
      <c r="AM23" s="24"/>
      <c r="AN23" s="163">
        <v>2897.0459999999998</v>
      </c>
      <c r="AO23" s="24"/>
      <c r="AP23" s="163">
        <v>2880.2820000000002</v>
      </c>
      <c r="AQ23" s="24"/>
      <c r="AR23" s="163">
        <v>2519.1709999999998</v>
      </c>
      <c r="AS23" s="24"/>
      <c r="AT23" s="163">
        <v>3535.652</v>
      </c>
      <c r="AU23" s="24"/>
      <c r="AV23" s="163">
        <v>4478.1499999999996</v>
      </c>
      <c r="AX23" s="163">
        <v>4761.9359999999997</v>
      </c>
      <c r="AZ23" s="163">
        <v>4759.3090000000002</v>
      </c>
      <c r="BB23" s="163">
        <v>5712.5290000000005</v>
      </c>
      <c r="BD23" s="163">
        <v>5700.9790000000003</v>
      </c>
      <c r="BF23" s="163">
        <v>5704.7160000000003</v>
      </c>
    </row>
    <row r="24" spans="1:60">
      <c r="A24" s="128" t="s">
        <v>1019</v>
      </c>
      <c r="B24" s="24" t="s">
        <v>601</v>
      </c>
      <c r="C24" s="24"/>
      <c r="D24" s="163">
        <v>540.44600000000003</v>
      </c>
      <c r="E24" s="24"/>
      <c r="F24" s="163">
        <v>713.75800000000004</v>
      </c>
      <c r="G24" s="24"/>
      <c r="H24" s="163">
        <v>541.63900000000001</v>
      </c>
      <c r="I24" s="24"/>
      <c r="J24" s="163">
        <v>650</v>
      </c>
      <c r="K24" s="24"/>
      <c r="L24" s="163">
        <v>650</v>
      </c>
      <c r="M24" s="24"/>
      <c r="N24" s="163">
        <v>650</v>
      </c>
      <c r="O24" s="24"/>
      <c r="P24" s="163">
        <v>650</v>
      </c>
      <c r="Q24" s="24"/>
      <c r="R24" s="163">
        <v>650</v>
      </c>
      <c r="S24" s="24"/>
      <c r="T24" s="163">
        <v>550</v>
      </c>
      <c r="U24" s="24"/>
      <c r="V24" s="163">
        <v>400</v>
      </c>
      <c r="W24" s="24"/>
      <c r="X24" s="163">
        <v>400</v>
      </c>
      <c r="Y24" s="24"/>
      <c r="Z24" s="163">
        <v>250</v>
      </c>
      <c r="AA24" s="24"/>
      <c r="AB24" s="164">
        <v>547</v>
      </c>
      <c r="AC24" s="24"/>
      <c r="AD24" s="163">
        <v>648.21799999999996</v>
      </c>
      <c r="AE24" s="24"/>
      <c r="AF24" s="163">
        <v>1646.567</v>
      </c>
      <c r="AG24" s="24"/>
      <c r="AH24" s="163">
        <v>1669.403</v>
      </c>
      <c r="AI24" s="24"/>
      <c r="AJ24" s="163">
        <v>1665.1089999999999</v>
      </c>
      <c r="AK24" s="24"/>
      <c r="AL24" s="163">
        <v>2904.6390000000001</v>
      </c>
      <c r="AM24" s="24"/>
      <c r="AN24" s="163">
        <v>2897.114</v>
      </c>
      <c r="AO24" s="24"/>
      <c r="AP24" s="163">
        <v>2722.8130000000001</v>
      </c>
      <c r="AQ24" s="24"/>
      <c r="AR24" s="163">
        <v>2506.7750000000001</v>
      </c>
      <c r="AS24" s="24"/>
      <c r="AT24" s="163">
        <v>3481.02</v>
      </c>
      <c r="AU24" s="24"/>
      <c r="AV24" s="163">
        <v>4476.7510000000002</v>
      </c>
      <c r="AX24" s="163">
        <v>4760.6310000000003</v>
      </c>
      <c r="AZ24" s="163">
        <v>4764.6049999999996</v>
      </c>
      <c r="BB24" s="163">
        <v>5714.8389999999999</v>
      </c>
      <c r="BD24" s="163">
        <v>5699.6019999999999</v>
      </c>
      <c r="BF24" s="163">
        <v>5706.9709999999995</v>
      </c>
    </row>
    <row r="25" spans="1:60">
      <c r="A25" s="128"/>
      <c r="B25" s="24"/>
      <c r="C25" s="24"/>
      <c r="D25" s="24"/>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row>
    <row r="26" spans="1:60">
      <c r="A26" s="128"/>
      <c r="B26" s="24"/>
      <c r="C26" s="24"/>
      <c r="D26" s="93"/>
      <c r="E26" s="24"/>
      <c r="F26" s="93"/>
      <c r="G26" s="24"/>
      <c r="H26" s="93"/>
      <c r="I26" s="24"/>
      <c r="J26" s="93"/>
      <c r="K26" s="24"/>
      <c r="L26" s="93"/>
      <c r="M26" s="24"/>
      <c r="N26" s="93"/>
      <c r="O26" s="24"/>
      <c r="P26" s="93"/>
      <c r="Q26" s="24"/>
      <c r="R26" s="93"/>
      <c r="S26" s="93"/>
      <c r="T26" s="93"/>
      <c r="U26" s="24"/>
      <c r="V26" s="93"/>
      <c r="W26" s="93"/>
      <c r="X26" s="24"/>
      <c r="Y26" s="93"/>
      <c r="Z26" s="24"/>
      <c r="AA26" s="93"/>
      <c r="AB26" s="24"/>
      <c r="AC26" s="93"/>
      <c r="AD26" s="24"/>
      <c r="AE26" s="93"/>
      <c r="AF26" s="24"/>
      <c r="AH26" s="970"/>
      <c r="AI26" s="972"/>
      <c r="AJ26" s="970"/>
      <c r="AK26" s="972"/>
      <c r="AL26" s="970"/>
      <c r="AM26" s="972"/>
      <c r="AN26" s="970"/>
      <c r="AO26" s="972" t="s">
        <v>626</v>
      </c>
      <c r="AP26" s="970"/>
      <c r="AQ26" s="972"/>
      <c r="AR26" s="970"/>
      <c r="AS26" s="972"/>
      <c r="AT26" s="970"/>
      <c r="AU26" s="972"/>
      <c r="AV26" s="970"/>
    </row>
    <row r="27" spans="1:60">
      <c r="A27" s="128" t="s">
        <v>119</v>
      </c>
      <c r="B27" s="24" t="s">
        <v>830</v>
      </c>
      <c r="C27" s="24"/>
      <c r="D27" s="42">
        <v>492.327</v>
      </c>
      <c r="E27" s="24"/>
      <c r="F27" s="42">
        <f>F21+F15</f>
        <v>620.29700000000003</v>
      </c>
      <c r="G27" s="24"/>
      <c r="H27" s="42">
        <f>H21+H15</f>
        <v>802.08900000000006</v>
      </c>
      <c r="I27" s="24"/>
      <c r="J27" s="42">
        <f>J21+J15</f>
        <v>781.346</v>
      </c>
      <c r="K27" s="24"/>
      <c r="L27" s="42">
        <f>L21+L15</f>
        <v>667.1</v>
      </c>
      <c r="M27" s="24"/>
      <c r="N27" s="42">
        <f>N21+N15</f>
        <v>720.08899999999994</v>
      </c>
      <c r="O27" s="24"/>
      <c r="P27" s="42">
        <f>P21+P15</f>
        <v>827.22399999999993</v>
      </c>
      <c r="Q27" s="24"/>
      <c r="R27" s="42">
        <f>R21+R15</f>
        <v>715.99</v>
      </c>
      <c r="S27" s="24"/>
      <c r="T27" s="42">
        <f>T21+T15</f>
        <v>650</v>
      </c>
      <c r="U27" s="24"/>
      <c r="V27" s="42">
        <f>V21+V15</f>
        <v>650</v>
      </c>
      <c r="W27" s="24"/>
      <c r="X27" s="42">
        <f>X21+X15</f>
        <v>550</v>
      </c>
      <c r="Y27" s="24"/>
      <c r="Z27" s="42">
        <f>Z21+Z15</f>
        <v>400</v>
      </c>
      <c r="AA27" s="24"/>
      <c r="AB27" s="42">
        <f>AB21+AB15</f>
        <v>398</v>
      </c>
      <c r="AC27" s="24"/>
      <c r="AD27" s="42">
        <f>AD21+AD15</f>
        <v>648.10599999999999</v>
      </c>
      <c r="AE27" s="24"/>
      <c r="AF27" s="42">
        <f>AF21+AF15</f>
        <v>648.25599999999997</v>
      </c>
      <c r="AG27" s="24"/>
      <c r="AH27" s="42">
        <f>AH21+AH15</f>
        <v>1646.6510000000001</v>
      </c>
      <c r="AI27" s="24"/>
      <c r="AJ27" s="42">
        <f>AJ21+AJ15</f>
        <v>1676.9870000000001</v>
      </c>
      <c r="AK27" s="24"/>
      <c r="AL27" s="42">
        <f>AL21+AL15</f>
        <v>1664.4949999999999</v>
      </c>
      <c r="AM27" s="24"/>
      <c r="AN27" s="42">
        <f>AN21+AN15</f>
        <v>2904.681</v>
      </c>
      <c r="AO27" s="24"/>
      <c r="AP27" s="42">
        <f>AP21+AP15</f>
        <v>2897.279</v>
      </c>
      <c r="AQ27" s="24"/>
      <c r="AR27" s="42">
        <f>AR21+AR15</f>
        <v>2522.8000000000002</v>
      </c>
      <c r="AS27" s="24"/>
      <c r="AT27" s="42">
        <f>AT21+AT15</f>
        <v>3509.4560000000001</v>
      </c>
      <c r="AU27" s="24"/>
      <c r="AV27" s="42">
        <f>AV21+AV15</f>
        <v>4537.4549999999999</v>
      </c>
      <c r="AX27" s="42">
        <f>AX21+AX15</f>
        <v>4475.3509999999997</v>
      </c>
      <c r="AZ27" s="42">
        <f>AZ21+AZ15</f>
        <v>4972.8739999999998</v>
      </c>
      <c r="BB27" s="42">
        <f>BB21+BB15</f>
        <v>4718.7169999999996</v>
      </c>
      <c r="BD27" s="42">
        <f>BD21+BD15</f>
        <v>5726.2610000000004</v>
      </c>
      <c r="BF27" s="42">
        <f>BF21+BF15</f>
        <v>5745.1130000000003</v>
      </c>
      <c r="BH27" s="42"/>
    </row>
    <row r="28" spans="1:60">
      <c r="A28" s="128" t="s">
        <v>120</v>
      </c>
      <c r="B28" s="24" t="s">
        <v>653</v>
      </c>
      <c r="C28" s="24"/>
      <c r="D28" s="164">
        <v>584.23699999999997</v>
      </c>
      <c r="E28" s="24"/>
      <c r="F28" s="251">
        <f>F22+F16</f>
        <v>757.23199999999997</v>
      </c>
      <c r="G28" s="24"/>
      <c r="H28" s="251">
        <f>H22+H16</f>
        <v>952.851</v>
      </c>
      <c r="I28" s="24"/>
      <c r="J28" s="251">
        <f>J22+J16</f>
        <v>763.41700000000003</v>
      </c>
      <c r="K28" s="24"/>
      <c r="L28" s="251">
        <f>L22+L16</f>
        <v>673</v>
      </c>
      <c r="M28" s="24"/>
      <c r="N28" s="251">
        <f>N22+N16</f>
        <v>961</v>
      </c>
      <c r="O28" s="24"/>
      <c r="P28" s="251">
        <f>P22+P16</f>
        <v>916.98199999999997</v>
      </c>
      <c r="Q28" s="24"/>
      <c r="R28" s="251">
        <f>R22+R16</f>
        <v>766.12099999999998</v>
      </c>
      <c r="S28" s="24"/>
      <c r="T28" s="251">
        <f>T22+T16</f>
        <v>650</v>
      </c>
      <c r="U28" s="24"/>
      <c r="V28" s="251">
        <f>V22+V16</f>
        <v>950</v>
      </c>
      <c r="W28" s="24"/>
      <c r="X28" s="251">
        <f>X22+X16</f>
        <v>550</v>
      </c>
      <c r="Y28" s="24"/>
      <c r="Z28" s="251">
        <f>Z22+Z16</f>
        <v>400</v>
      </c>
      <c r="AA28" s="24"/>
      <c r="AB28" s="251">
        <f t="shared" ref="AB28:AD30" si="0">AB22+AB16</f>
        <v>248.03200000000001</v>
      </c>
      <c r="AC28" s="24"/>
      <c r="AD28" s="251">
        <f t="shared" si="0"/>
        <v>648.14400000000001</v>
      </c>
      <c r="AE28" s="24"/>
      <c r="AF28" s="251">
        <f>AF22+AF16</f>
        <v>648.29300000000001</v>
      </c>
      <c r="AG28" s="24"/>
      <c r="AH28" s="251">
        <f>AH22+AH16</f>
        <v>1646.7349999999999</v>
      </c>
      <c r="AI28" s="24"/>
      <c r="AJ28" s="251">
        <f>AJ22+AJ16</f>
        <v>1673.32</v>
      </c>
      <c r="AK28" s="24"/>
      <c r="AL28" s="251">
        <f>AL22+AL16</f>
        <v>2908.0549999999998</v>
      </c>
      <c r="AM28" s="24"/>
      <c r="AN28" s="251">
        <f>AN22+AN16</f>
        <v>2901.0120000000002</v>
      </c>
      <c r="AO28" s="24"/>
      <c r="AP28" s="251">
        <f>AP22+AP16</f>
        <v>3251.125</v>
      </c>
      <c r="AQ28" s="24"/>
      <c r="AR28" s="251">
        <f>AR22+AR16</f>
        <v>2532.3629999999998</v>
      </c>
      <c r="AS28" s="24"/>
      <c r="AT28" s="251">
        <f>AT22+AT16</f>
        <v>3524.4949999999999</v>
      </c>
      <c r="AU28" s="24"/>
      <c r="AV28" s="251">
        <f>AV22+AV16</f>
        <v>4537.0610000000006</v>
      </c>
      <c r="AX28" s="251">
        <f>AX22+AX16</f>
        <v>4474.5190000000002</v>
      </c>
      <c r="AZ28" s="251">
        <f>AZ22+AZ16</f>
        <v>4971.6840000000002</v>
      </c>
      <c r="BB28" s="251">
        <f>BB22+BB16</f>
        <v>4758.9610000000002</v>
      </c>
      <c r="BD28" s="251">
        <f>BD22+BD16</f>
        <v>5718.7640000000001</v>
      </c>
      <c r="BF28" s="251">
        <f>BF22+BF16</f>
        <v>5767.8990000000003</v>
      </c>
      <c r="BH28" s="251"/>
    </row>
    <row r="29" spans="1:60">
      <c r="A29" s="128" t="s">
        <v>1018</v>
      </c>
      <c r="B29" s="24" t="s">
        <v>598</v>
      </c>
      <c r="C29" s="24"/>
      <c r="D29" s="164"/>
      <c r="E29" s="24"/>
      <c r="F29" s="251">
        <f>F23+F17</f>
        <v>929.66300000000001</v>
      </c>
      <c r="G29" s="24"/>
      <c r="H29" s="251">
        <f>H23+H17</f>
        <v>1059.712</v>
      </c>
      <c r="I29" s="24"/>
      <c r="J29" s="251">
        <f>J23+J17</f>
        <v>760.52199999999993</v>
      </c>
      <c r="K29" s="24"/>
      <c r="L29" s="251">
        <f>L23+L17</f>
        <v>894.322</v>
      </c>
      <c r="M29" s="24"/>
      <c r="N29" s="251">
        <f>N23+N17</f>
        <v>704.2</v>
      </c>
      <c r="O29" s="24"/>
      <c r="P29" s="251">
        <f>P23+P17</f>
        <v>1026.633</v>
      </c>
      <c r="Q29" s="24"/>
      <c r="R29" s="251">
        <f>R23+R17</f>
        <v>751.26900000000001</v>
      </c>
      <c r="S29" s="24"/>
      <c r="T29" s="251">
        <f>T23+T17</f>
        <v>650</v>
      </c>
      <c r="U29" s="24"/>
      <c r="V29" s="251">
        <f>V23+V17</f>
        <v>850</v>
      </c>
      <c r="W29" s="24"/>
      <c r="X29" s="251">
        <f>X23+X17</f>
        <v>674.07999999999993</v>
      </c>
      <c r="Y29" s="24"/>
      <c r="Z29" s="251">
        <f>Z23+Z17</f>
        <v>400</v>
      </c>
      <c r="AA29" s="24"/>
      <c r="AB29" s="251">
        <f t="shared" si="0"/>
        <v>248.05600000000001</v>
      </c>
      <c r="AC29" s="24"/>
      <c r="AD29" s="251">
        <f t="shared" si="0"/>
        <v>648.17999999999995</v>
      </c>
      <c r="AE29" s="24"/>
      <c r="AF29" s="251">
        <f>AF23+AF17</f>
        <v>1146.4829999999999</v>
      </c>
      <c r="AG29" s="24"/>
      <c r="AH29" s="251">
        <f>AH23+AH17</f>
        <v>1646.819</v>
      </c>
      <c r="AI29" s="24"/>
      <c r="AJ29" s="251">
        <f>AJ23+AJ17</f>
        <v>1673.46</v>
      </c>
      <c r="AK29" s="24"/>
      <c r="AL29" s="251">
        <f>AL23+AL17</f>
        <v>2908.4459999999999</v>
      </c>
      <c r="AM29" s="24"/>
      <c r="AN29" s="251">
        <f>AN23+AN17</f>
        <v>2897.0459999999998</v>
      </c>
      <c r="AO29" s="24"/>
      <c r="AP29" s="251">
        <f>AP23+AP17</f>
        <v>2880.2820000000002</v>
      </c>
      <c r="AQ29" s="24"/>
      <c r="AR29" s="251">
        <f>AR23+AR17</f>
        <v>2519.1709999999998</v>
      </c>
      <c r="AS29" s="24"/>
      <c r="AT29" s="251">
        <f>AT23+AT17</f>
        <v>3535.652</v>
      </c>
      <c r="AU29" s="24"/>
      <c r="AV29" s="251">
        <f>AV23+AV17</f>
        <v>4535.567</v>
      </c>
      <c r="AX29" s="251">
        <f>AX23+AX17</f>
        <v>4977.6809999999996</v>
      </c>
      <c r="AZ29" s="251">
        <f>AZ23+AZ17</f>
        <v>4972.4480000000003</v>
      </c>
      <c r="BB29" s="251">
        <f>BB23+BB17</f>
        <v>5716.5310000000009</v>
      </c>
      <c r="BD29" s="251">
        <f>BD23+BD17</f>
        <v>5723.701</v>
      </c>
      <c r="BF29" s="251">
        <f>BF23+BF17</f>
        <v>5784.5830000000005</v>
      </c>
    </row>
    <row r="30" spans="1:60">
      <c r="A30" s="128" t="s">
        <v>1019</v>
      </c>
      <c r="B30" s="24" t="s">
        <v>601</v>
      </c>
      <c r="C30" s="24"/>
      <c r="D30" s="164">
        <v>540.44600000000003</v>
      </c>
      <c r="E30" s="24"/>
      <c r="F30" s="251">
        <f>F24+F18</f>
        <v>713.75800000000004</v>
      </c>
      <c r="G30" s="24"/>
      <c r="H30" s="251">
        <f>H24+H18</f>
        <v>541.63900000000001</v>
      </c>
      <c r="I30" s="24"/>
      <c r="J30" s="251">
        <f>J24+J18</f>
        <v>665.7</v>
      </c>
      <c r="K30" s="24"/>
      <c r="L30" s="251">
        <f>L24+L18</f>
        <v>675.2</v>
      </c>
      <c r="M30" s="24"/>
      <c r="N30" s="251">
        <f>N24+N18</f>
        <v>650</v>
      </c>
      <c r="O30" s="24"/>
      <c r="P30" s="251">
        <f>P24+P18</f>
        <v>650</v>
      </c>
      <c r="Q30" s="24"/>
      <c r="R30" s="251">
        <f>R24+R18</f>
        <v>650</v>
      </c>
      <c r="S30" s="24"/>
      <c r="T30" s="251">
        <f>T24+T18</f>
        <v>650</v>
      </c>
      <c r="U30" s="24"/>
      <c r="V30" s="251">
        <f>V24+V18</f>
        <v>650</v>
      </c>
      <c r="W30" s="24"/>
      <c r="X30" s="251">
        <f>X24+X18</f>
        <v>400</v>
      </c>
      <c r="Y30" s="24"/>
      <c r="Z30" s="251">
        <f>Z24+Z18</f>
        <v>400</v>
      </c>
      <c r="AA30" s="24"/>
      <c r="AB30" s="251">
        <f t="shared" si="0"/>
        <v>547</v>
      </c>
      <c r="AC30" s="24"/>
      <c r="AD30" s="251">
        <f t="shared" si="0"/>
        <v>648.21799999999996</v>
      </c>
      <c r="AE30" s="24"/>
      <c r="AF30" s="251">
        <f>AF24+AF18</f>
        <v>1646.567</v>
      </c>
      <c r="AG30" s="24"/>
      <c r="AH30" s="251">
        <f>AH24+AH18</f>
        <v>1676.903</v>
      </c>
      <c r="AI30" s="24"/>
      <c r="AJ30" s="251">
        <f>AJ24+AJ18</f>
        <v>1683.2169999999999</v>
      </c>
      <c r="AK30" s="24"/>
      <c r="AL30" s="251">
        <f>AL24+AL18</f>
        <v>2904.6390000000001</v>
      </c>
      <c r="AM30" s="24"/>
      <c r="AN30" s="251">
        <f>AN24+AN18</f>
        <v>2897.114</v>
      </c>
      <c r="AO30" s="24"/>
      <c r="AP30" s="251">
        <f>AP24+AP18</f>
        <v>2722.8130000000001</v>
      </c>
      <c r="AQ30" s="24"/>
      <c r="AR30" s="251">
        <f>AR24+AR18</f>
        <v>2506.7750000000001</v>
      </c>
      <c r="AS30" s="24"/>
      <c r="AT30" s="251">
        <f>AT24+AT18</f>
        <v>3481.02</v>
      </c>
      <c r="AU30" s="24"/>
      <c r="AV30" s="251">
        <f>AV24+AV18</f>
        <v>4476.7510000000002</v>
      </c>
      <c r="AX30" s="251">
        <f>AX24+AX18</f>
        <v>4975.7250000000004</v>
      </c>
      <c r="AZ30" s="251">
        <f>AZ24+AZ18</f>
        <v>4764.6049999999996</v>
      </c>
      <c r="BB30" s="251">
        <f>BB24+BB18</f>
        <v>5721.0109999999995</v>
      </c>
      <c r="BD30" s="251">
        <f>BD24+BD18</f>
        <v>5735.4889999999996</v>
      </c>
      <c r="BF30" s="251">
        <f>BF24+BF18</f>
        <v>5793.6429999999991</v>
      </c>
    </row>
    <row r="31" spans="1:60">
      <c r="A31" s="128"/>
      <c r="B31" s="24"/>
      <c r="C31" s="24"/>
      <c r="D31" s="24"/>
      <c r="E31" s="24"/>
      <c r="F31" s="24"/>
      <c r="G31" s="24"/>
      <c r="H31" s="24"/>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c r="AU31" s="24"/>
      <c r="AV31" s="24"/>
    </row>
    <row r="32" spans="1:60">
      <c r="A32" s="128"/>
      <c r="B32" s="24"/>
      <c r="C32" s="24"/>
      <c r="D32" s="93"/>
      <c r="E32" s="24"/>
      <c r="F32" s="93"/>
      <c r="G32" s="24"/>
      <c r="H32" s="93"/>
      <c r="I32" s="24"/>
      <c r="J32" s="93"/>
      <c r="K32" s="24"/>
      <c r="L32" s="93"/>
      <c r="M32" s="24"/>
      <c r="N32" s="93"/>
      <c r="O32" s="24"/>
      <c r="P32" s="93"/>
      <c r="Q32" s="24"/>
      <c r="R32" s="93"/>
      <c r="S32" s="93"/>
      <c r="T32" s="93"/>
      <c r="U32" s="24"/>
      <c r="V32" s="93"/>
      <c r="W32" s="93"/>
      <c r="X32" s="24"/>
      <c r="Y32" s="93"/>
      <c r="Z32" s="24"/>
      <c r="AA32" s="93"/>
      <c r="AB32" s="24"/>
      <c r="AC32" s="93"/>
      <c r="AD32" s="24"/>
      <c r="AE32" s="93"/>
      <c r="AF32" s="24"/>
      <c r="AH32" s="970"/>
      <c r="AI32" s="972"/>
      <c r="AJ32" s="970"/>
      <c r="AK32" s="972"/>
      <c r="AL32" s="970"/>
      <c r="AM32" s="972"/>
      <c r="AN32" s="970"/>
      <c r="AO32" s="972"/>
      <c r="AP32" s="970"/>
      <c r="AQ32" s="972" t="s">
        <v>1221</v>
      </c>
      <c r="AR32" s="970"/>
      <c r="AS32" s="972"/>
      <c r="AT32" s="970"/>
      <c r="AU32" s="972"/>
      <c r="AV32" s="970"/>
    </row>
    <row r="33" spans="1:60">
      <c r="A33" s="128" t="s">
        <v>119</v>
      </c>
      <c r="B33" s="24" t="s">
        <v>830</v>
      </c>
      <c r="C33" s="24"/>
      <c r="D33" s="142">
        <v>472.19600000000003</v>
      </c>
      <c r="E33" s="24"/>
      <c r="F33" s="142">
        <v>605.89700000000005</v>
      </c>
      <c r="G33" s="24"/>
      <c r="H33" s="142">
        <v>784.48500000000001</v>
      </c>
      <c r="I33" s="24"/>
      <c r="J33" s="142">
        <v>720.81500000000005</v>
      </c>
      <c r="K33" s="24"/>
      <c r="L33" s="142">
        <f>L27-L9</f>
        <v>507.98500000000001</v>
      </c>
      <c r="M33" s="24"/>
      <c r="N33" s="142">
        <f>N27-N9</f>
        <v>660.12199999999996</v>
      </c>
      <c r="O33" s="24"/>
      <c r="P33" s="142">
        <f>P27-P9</f>
        <v>802.71999999999991</v>
      </c>
      <c r="Q33" s="24"/>
      <c r="R33" s="142">
        <f>R27-R9</f>
        <v>658.53600000000006</v>
      </c>
      <c r="S33" s="24"/>
      <c r="T33" s="142">
        <f>T27-T9</f>
        <v>-37.869000000000028</v>
      </c>
      <c r="U33" s="24"/>
      <c r="V33" s="142">
        <f>V27-V9</f>
        <v>158.63400000000001</v>
      </c>
      <c r="W33" s="24"/>
      <c r="X33" s="142">
        <f>X27-X9</f>
        <v>65.908999999999992</v>
      </c>
      <c r="Y33" s="24"/>
      <c r="Z33" s="142">
        <f>Z27-Z9</f>
        <v>111.05399999999997</v>
      </c>
      <c r="AA33" s="24"/>
      <c r="AB33" s="142">
        <f>AB27-AB9</f>
        <v>-857</v>
      </c>
      <c r="AC33" s="24"/>
      <c r="AD33" s="142">
        <f>AD27-AD9</f>
        <v>-1595.1079999999999</v>
      </c>
      <c r="AE33" s="24"/>
      <c r="AF33" s="142">
        <f>AF27-AF9</f>
        <v>-1297.1509999999998</v>
      </c>
      <c r="AG33" s="24"/>
      <c r="AH33" s="142">
        <f>AH27-AH9</f>
        <v>960.41500000000008</v>
      </c>
      <c r="AI33" s="24"/>
      <c r="AJ33" s="142">
        <f>AJ27-AJ9</f>
        <v>954.57100000000003</v>
      </c>
      <c r="AK33" s="24"/>
      <c r="AL33" s="142">
        <f>AL27-AL9</f>
        <v>1470.7779999999998</v>
      </c>
      <c r="AM33" s="24"/>
      <c r="AN33" s="142">
        <f>AN27-AN9</f>
        <v>2146.067</v>
      </c>
      <c r="AO33" s="24"/>
      <c r="AP33" s="142">
        <f>AP27-AP9</f>
        <v>1960.8400000000001</v>
      </c>
      <c r="AQ33" s="24"/>
      <c r="AR33" s="142">
        <f>AR27-AR9</f>
        <v>1335.0920000000001</v>
      </c>
      <c r="AS33" s="24"/>
      <c r="AT33" s="142">
        <f>AT27-AT9</f>
        <v>1952.1060000000002</v>
      </c>
      <c r="AU33" s="24"/>
      <c r="AV33" s="142">
        <f>AV27-AV9</f>
        <v>3251.9049999999997</v>
      </c>
      <c r="AX33" s="142">
        <f>AX27-AX9</f>
        <v>4093.1719999999996</v>
      </c>
      <c r="AZ33" s="142">
        <f>AZ27-AZ9</f>
        <v>4061.098</v>
      </c>
      <c r="BB33" s="142">
        <f>BB27-BB9</f>
        <v>4070.2</v>
      </c>
      <c r="BD33" s="142">
        <f>BD27-BD9</f>
        <v>4458.8020000000006</v>
      </c>
      <c r="BF33" s="142">
        <f>BF27-BF9</f>
        <v>4190.1670000000004</v>
      </c>
      <c r="BH33" s="142"/>
    </row>
    <row r="34" spans="1:60">
      <c r="A34" s="128" t="s">
        <v>120</v>
      </c>
      <c r="B34" s="24" t="s">
        <v>653</v>
      </c>
      <c r="C34" s="24"/>
      <c r="D34" s="164">
        <v>572.64299999999992</v>
      </c>
      <c r="E34" s="24"/>
      <c r="F34" s="164">
        <v>744.14299999999992</v>
      </c>
      <c r="G34" s="24"/>
      <c r="H34" s="164">
        <v>935.84</v>
      </c>
      <c r="I34" s="24"/>
      <c r="J34" s="164">
        <v>700.01900000000001</v>
      </c>
      <c r="K34" s="24"/>
      <c r="L34" s="251">
        <f>L28-L10</f>
        <v>564.75</v>
      </c>
      <c r="M34" s="24"/>
      <c r="N34" s="251">
        <f>N28-N10</f>
        <v>698.40899999999999</v>
      </c>
      <c r="O34" s="24"/>
      <c r="P34" s="251">
        <f>P28-P10</f>
        <v>883.93200000000002</v>
      </c>
      <c r="Q34" s="24"/>
      <c r="R34" s="251">
        <f>R28-R10</f>
        <v>743.654</v>
      </c>
      <c r="S34" s="24"/>
      <c r="T34" s="251">
        <f>T28-T10</f>
        <v>151.13799999999998</v>
      </c>
      <c r="U34" s="24"/>
      <c r="V34" s="251">
        <f>V28-V10</f>
        <v>459.678</v>
      </c>
      <c r="W34" s="24"/>
      <c r="X34" s="251">
        <f>X28-X10</f>
        <v>228.49700000000001</v>
      </c>
      <c r="Y34" s="24"/>
      <c r="Z34" s="251">
        <f>Z28-Z10</f>
        <v>72.533000000000015</v>
      </c>
      <c r="AA34" s="24"/>
      <c r="AB34" s="251">
        <f>AB28-AB10</f>
        <v>-919.00599999999997</v>
      </c>
      <c r="AC34" s="24"/>
      <c r="AD34" s="251">
        <f>AD28-AD10</f>
        <v>-1591.5829999999999</v>
      </c>
      <c r="AE34" s="24"/>
      <c r="AF34" s="251">
        <f>AF28-AF10</f>
        <v>-1451.3910000000001</v>
      </c>
      <c r="AG34" s="24"/>
      <c r="AH34" s="251">
        <f>AH28-AH10</f>
        <v>927.6389999999999</v>
      </c>
      <c r="AI34" s="24"/>
      <c r="AJ34" s="251">
        <f>AJ28-AJ10</f>
        <v>1022.558</v>
      </c>
      <c r="AK34" s="24"/>
      <c r="AL34" s="251">
        <f>AL28-AL10</f>
        <v>1715.0519999999999</v>
      </c>
      <c r="AM34" s="24"/>
      <c r="AN34" s="251">
        <f>AN28-AN10</f>
        <v>1922.7580000000003</v>
      </c>
      <c r="AO34" s="24"/>
      <c r="AP34" s="251">
        <f>AP28-AP10</f>
        <v>1701.06</v>
      </c>
      <c r="AQ34" s="24"/>
      <c r="AR34" s="251">
        <f>AR28-AR10</f>
        <v>1232.6939999999997</v>
      </c>
      <c r="AS34" s="24"/>
      <c r="AT34" s="251">
        <f>AT28-AT10</f>
        <v>2489.6109999999999</v>
      </c>
      <c r="AU34" s="24"/>
      <c r="AV34" s="251">
        <f>AV28-AV10</f>
        <v>3344.5480000000007</v>
      </c>
      <c r="AX34" s="251">
        <f>AX28-AX10</f>
        <v>3923.34</v>
      </c>
      <c r="AZ34" s="251">
        <f>AZ28-AZ10</f>
        <v>3824.4270000000001</v>
      </c>
      <c r="BB34" s="251">
        <f>BB28-BB10</f>
        <v>3978.8330000000001</v>
      </c>
      <c r="BD34" s="251">
        <f>BD28-BD10</f>
        <v>4446.0510000000004</v>
      </c>
      <c r="BF34" s="251">
        <f>BF28-BF10</f>
        <v>4407.6460000000006</v>
      </c>
      <c r="BH34" s="251"/>
    </row>
    <row r="35" spans="1:60">
      <c r="A35" s="128" t="s">
        <v>1018</v>
      </c>
      <c r="B35" s="24" t="s">
        <v>598</v>
      </c>
      <c r="C35" s="24"/>
      <c r="D35" s="164"/>
      <c r="E35" s="24"/>
      <c r="F35" s="164">
        <v>919.61099999999999</v>
      </c>
      <c r="G35" s="24"/>
      <c r="H35" s="164">
        <v>1037.028</v>
      </c>
      <c r="I35" s="24"/>
      <c r="J35" s="164">
        <v>588.59500000000003</v>
      </c>
      <c r="K35" s="24"/>
      <c r="L35" s="251">
        <f>L29-L11</f>
        <v>835.77800000000002</v>
      </c>
      <c r="M35" s="24"/>
      <c r="N35" s="251">
        <f>N29-N11</f>
        <v>429.31400000000002</v>
      </c>
      <c r="O35" s="24"/>
      <c r="P35" s="251">
        <f>P29-P11</f>
        <v>969.95800000000008</v>
      </c>
      <c r="Q35" s="24"/>
      <c r="R35" s="251">
        <f>R29-R11</f>
        <v>714.22299999999996</v>
      </c>
      <c r="S35" s="24"/>
      <c r="T35" s="251">
        <f>T29-T11</f>
        <v>585.20100000000002</v>
      </c>
      <c r="U35" s="24"/>
      <c r="V35" s="251">
        <f>V29-V11</f>
        <v>676.697</v>
      </c>
      <c r="W35" s="24"/>
      <c r="X35" s="251">
        <f>X29-X11</f>
        <v>667.90599999999995</v>
      </c>
      <c r="Y35" s="24"/>
      <c r="Z35" s="251">
        <f>Z29-Z11</f>
        <v>82.132999999999981</v>
      </c>
      <c r="AA35" s="24"/>
      <c r="AB35" s="251">
        <f>AB29-AB11</f>
        <v>-637.32099999999991</v>
      </c>
      <c r="AC35" s="24"/>
      <c r="AD35" s="251">
        <f>AD29-AD11</f>
        <v>-1170.2110000000002</v>
      </c>
      <c r="AE35" s="24"/>
      <c r="AF35" s="251">
        <f>AF29-AF11</f>
        <v>-988.72100000000023</v>
      </c>
      <c r="AG35" s="24"/>
      <c r="AH35" s="251">
        <f>AH29-AH11</f>
        <v>1491.4059999999999</v>
      </c>
      <c r="AI35" s="24"/>
      <c r="AJ35" s="251">
        <f>AJ29-AJ11</f>
        <v>1495.9</v>
      </c>
      <c r="AK35" s="24"/>
      <c r="AL35" s="251">
        <f>AL29-AL11</f>
        <v>2690.0619999999999</v>
      </c>
      <c r="AM35" s="24"/>
      <c r="AN35" s="251">
        <f>AN29-AN11</f>
        <v>2519.6889999999999</v>
      </c>
      <c r="AO35" s="24"/>
      <c r="AP35" s="251">
        <f>AP29-AP11</f>
        <v>1912.1970000000001</v>
      </c>
      <c r="AQ35" s="24"/>
      <c r="AR35" s="251">
        <f>AR29-AR11</f>
        <v>1531.6619999999998</v>
      </c>
      <c r="AS35" s="24"/>
      <c r="AT35" s="251">
        <f>AT29-AT11</f>
        <v>3037.4679999999998</v>
      </c>
      <c r="AU35" s="24"/>
      <c r="AV35" s="251">
        <f>AV29-AV11</f>
        <v>3988.973</v>
      </c>
      <c r="AX35" s="251">
        <f>AX29-AX11</f>
        <v>4552.9649999999992</v>
      </c>
      <c r="AZ35" s="251">
        <f>AZ29-AZ11</f>
        <v>4227.0360000000001</v>
      </c>
      <c r="BB35" s="251">
        <f>BB29-BB11</f>
        <v>4405.371000000001</v>
      </c>
      <c r="BD35" s="251">
        <f>BD29-BD11</f>
        <v>5069.6530000000002</v>
      </c>
      <c r="BF35" s="251">
        <f>BF29-BF11</f>
        <v>5049.67</v>
      </c>
    </row>
    <row r="36" spans="1:60">
      <c r="A36" s="128" t="s">
        <v>1019</v>
      </c>
      <c r="B36" s="24" t="s">
        <v>601</v>
      </c>
      <c r="C36" s="24"/>
      <c r="D36" s="164">
        <v>527.26600000000008</v>
      </c>
      <c r="E36" s="24"/>
      <c r="F36" s="164">
        <v>680.02300000000002</v>
      </c>
      <c r="G36" s="24"/>
      <c r="H36" s="164">
        <v>500.404</v>
      </c>
      <c r="I36" s="24"/>
      <c r="J36" s="164">
        <v>345.14200000000005</v>
      </c>
      <c r="K36" s="24"/>
      <c r="L36" s="251">
        <f>L30-L12</f>
        <v>432.42000000000007</v>
      </c>
      <c r="M36" s="24"/>
      <c r="N36" s="251">
        <f>N30-N12</f>
        <v>-995.73099999999999</v>
      </c>
      <c r="O36" s="24"/>
      <c r="P36" s="251">
        <f>P30-P12</f>
        <v>337.20400000000001</v>
      </c>
      <c r="Q36" s="24"/>
      <c r="R36" s="251">
        <f>R30-R12</f>
        <v>-96.394999999999982</v>
      </c>
      <c r="S36" s="24"/>
      <c r="T36" s="251">
        <f>T30-T12</f>
        <v>-220.31700000000001</v>
      </c>
      <c r="U36" s="24"/>
      <c r="V36" s="251">
        <f>V30-V12</f>
        <v>-167.26800000000003</v>
      </c>
      <c r="W36" s="24"/>
      <c r="X36" s="251">
        <f>X30-X12</f>
        <v>-163.54700000000003</v>
      </c>
      <c r="Y36" s="24"/>
      <c r="Z36" s="251">
        <f>Z30-Z12</f>
        <v>-1095</v>
      </c>
      <c r="AA36" s="24"/>
      <c r="AB36" s="251">
        <f>AB30-AB12</f>
        <v>-1715</v>
      </c>
      <c r="AC36" s="24"/>
      <c r="AD36" s="251">
        <f>AD30-AD12</f>
        <v>-2480.7820000000002</v>
      </c>
      <c r="AE36" s="24"/>
      <c r="AF36" s="251">
        <f>AF30-AF12</f>
        <v>485.80799999999999</v>
      </c>
      <c r="AG36" s="24"/>
      <c r="AH36" s="251">
        <f>AH30-AH12</f>
        <v>469.17200000000003</v>
      </c>
      <c r="AI36" s="24"/>
      <c r="AJ36" s="251">
        <f>AJ30-AJ12</f>
        <v>1183.2849999999999</v>
      </c>
      <c r="AK36" s="24"/>
      <c r="AL36" s="251">
        <f>AL30-AL12</f>
        <v>1886.047</v>
      </c>
      <c r="AM36" s="24"/>
      <c r="AN36" s="251">
        <f>AN30-AN12</f>
        <v>1724.1420000000001</v>
      </c>
      <c r="AO36" s="24"/>
      <c r="AP36" s="251">
        <f>AP30-AP12</f>
        <v>918.49900000000002</v>
      </c>
      <c r="AQ36" s="24"/>
      <c r="AR36" s="251">
        <f>AR30-AR12</f>
        <v>1376.471</v>
      </c>
      <c r="AS36" s="24"/>
      <c r="AT36" s="251">
        <f>AT30-AT12</f>
        <v>2545.8829999999998</v>
      </c>
      <c r="AU36" s="24"/>
      <c r="AV36" s="251">
        <f>AV30-AV12</f>
        <v>3703.5780000000004</v>
      </c>
      <c r="AX36" s="251">
        <f>AX30-AX12</f>
        <v>3456.3190000000004</v>
      </c>
      <c r="AZ36" s="251">
        <f>AZ30-AZ12</f>
        <v>3083.1449999999995</v>
      </c>
      <c r="BB36" s="251">
        <f>BB30-BB12</f>
        <v>3173.2259999999997</v>
      </c>
      <c r="BD36" s="251">
        <f>BD30-BD12</f>
        <v>3801.6669999999995</v>
      </c>
      <c r="BF36" s="251">
        <f>BF30-BF12</f>
        <v>4278.7319999999991</v>
      </c>
    </row>
    <row r="37" spans="1:60">
      <c r="A37" s="128"/>
      <c r="B37" s="24"/>
      <c r="C37" s="24"/>
      <c r="D37" s="2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row>
    <row r="38" spans="1:60">
      <c r="A38" s="128"/>
      <c r="B38" s="24"/>
      <c r="C38" s="24"/>
      <c r="D38" s="162"/>
      <c r="E38" s="24"/>
      <c r="F38" s="162"/>
      <c r="G38" s="24"/>
      <c r="H38" s="162"/>
      <c r="I38" s="24"/>
      <c r="J38" s="162"/>
      <c r="K38" s="24"/>
      <c r="L38" s="162"/>
      <c r="M38" s="24"/>
      <c r="N38" s="162"/>
      <c r="O38" s="24"/>
      <c r="P38" s="162"/>
      <c r="Q38" s="24"/>
      <c r="R38" s="162"/>
      <c r="S38" s="162"/>
      <c r="T38" s="162"/>
      <c r="U38" s="24"/>
      <c r="V38" s="162"/>
      <c r="W38" s="162"/>
      <c r="X38" s="24"/>
      <c r="Y38" s="162"/>
      <c r="Z38" s="24"/>
      <c r="AA38" s="162"/>
      <c r="AB38" s="24"/>
      <c r="AC38" s="162"/>
      <c r="AD38" s="24"/>
      <c r="AE38" s="162"/>
      <c r="AF38" s="24"/>
      <c r="AH38" s="970"/>
      <c r="AI38" s="969"/>
      <c r="AJ38" s="970"/>
      <c r="AK38" s="969"/>
      <c r="AL38" s="970"/>
      <c r="AM38" s="969"/>
      <c r="AO38" s="969"/>
      <c r="AP38" s="970"/>
      <c r="AQ38" s="969"/>
      <c r="AR38" s="970"/>
      <c r="AS38" s="969"/>
      <c r="AT38" s="970"/>
      <c r="AU38" s="162" t="s">
        <v>1222</v>
      </c>
      <c r="AV38" s="970"/>
    </row>
    <row r="39" spans="1:60">
      <c r="A39" s="128" t="s">
        <v>119</v>
      </c>
      <c r="B39" s="24" t="s">
        <v>830</v>
      </c>
      <c r="C39" s="24"/>
      <c r="D39" s="166">
        <v>1282.596</v>
      </c>
      <c r="E39" s="24"/>
      <c r="F39" s="166">
        <v>1589.31</v>
      </c>
      <c r="G39" s="24"/>
      <c r="H39" s="166">
        <v>1928.51</v>
      </c>
      <c r="I39" s="24"/>
      <c r="J39" s="166">
        <v>2281.145</v>
      </c>
      <c r="K39" s="24"/>
      <c r="L39" s="166">
        <v>2459.2220000000002</v>
      </c>
      <c r="M39" s="24"/>
      <c r="N39" s="166">
        <v>2760.596</v>
      </c>
      <c r="O39" s="24"/>
      <c r="P39" s="166">
        <v>1593.1489999999999</v>
      </c>
      <c r="Q39" s="24"/>
      <c r="R39" s="166">
        <v>1918.421</v>
      </c>
      <c r="S39" s="24"/>
      <c r="T39" s="166">
        <v>2110.6750000000002</v>
      </c>
      <c r="U39" s="24"/>
      <c r="V39" s="166">
        <v>2204.7359999999999</v>
      </c>
      <c r="W39" s="24"/>
      <c r="X39" s="166">
        <v>2191.4969999999998</v>
      </c>
      <c r="Y39" s="24"/>
      <c r="Z39" s="166">
        <v>2325.4659999999999</v>
      </c>
      <c r="AA39" s="24"/>
      <c r="AB39" s="166">
        <v>4471</v>
      </c>
      <c r="AC39" s="24"/>
      <c r="AD39" s="166">
        <v>4888.58</v>
      </c>
      <c r="AE39" s="24"/>
      <c r="AF39" s="166">
        <v>4368.4290000000001</v>
      </c>
      <c r="AG39" s="24"/>
      <c r="AH39" s="166">
        <v>2296.2420000000002</v>
      </c>
      <c r="AI39" s="24"/>
      <c r="AJ39" s="166">
        <v>2503.6610000000001</v>
      </c>
      <c r="AK39" s="24"/>
      <c r="AL39" s="166">
        <v>3010.43</v>
      </c>
      <c r="AM39" s="24"/>
      <c r="AN39" s="166">
        <v>2148.7109999999998</v>
      </c>
      <c r="AO39" s="24"/>
      <c r="AP39" s="166">
        <v>1839.674</v>
      </c>
      <c r="AQ39" s="24"/>
      <c r="AR39" s="166">
        <v>1977.259</v>
      </c>
      <c r="AS39" s="24"/>
      <c r="AT39" s="166">
        <v>1127.396</v>
      </c>
      <c r="AU39" s="24"/>
      <c r="AV39" s="166">
        <v>-130.66900000000001</v>
      </c>
      <c r="AX39" s="166">
        <v>-994.06399999999996</v>
      </c>
      <c r="AZ39" s="166">
        <v>-609.14800000000002</v>
      </c>
      <c r="BB39" s="166">
        <v>-605.30700000000002</v>
      </c>
      <c r="BD39" s="166">
        <v>-1085.922</v>
      </c>
      <c r="BF39" s="166">
        <v>-835.27300000000002</v>
      </c>
      <c r="BH39" s="166"/>
    </row>
    <row r="40" spans="1:60">
      <c r="A40" s="128" t="s">
        <v>120</v>
      </c>
      <c r="B40" s="24" t="s">
        <v>653</v>
      </c>
      <c r="C40" s="24"/>
      <c r="D40" s="163">
        <v>1341.81</v>
      </c>
      <c r="E40" s="24"/>
      <c r="F40" s="163">
        <v>1648.6279999999999</v>
      </c>
      <c r="G40" s="24"/>
      <c r="H40" s="163">
        <v>1985.787</v>
      </c>
      <c r="I40" s="24"/>
      <c r="J40" s="163">
        <v>2317.7759999999998</v>
      </c>
      <c r="K40" s="24"/>
      <c r="L40" s="163">
        <v>2484.0250000000001</v>
      </c>
      <c r="M40" s="24"/>
      <c r="N40" s="163">
        <v>2792.114</v>
      </c>
      <c r="O40" s="24"/>
      <c r="P40" s="163">
        <v>1605.376</v>
      </c>
      <c r="Q40" s="24"/>
      <c r="R40" s="163">
        <v>1919.961</v>
      </c>
      <c r="S40" s="24"/>
      <c r="T40" s="163">
        <v>2000.867</v>
      </c>
      <c r="U40" s="24"/>
      <c r="V40" s="163">
        <v>1838.365</v>
      </c>
      <c r="W40" s="24"/>
      <c r="X40" s="163">
        <v>2099.172</v>
      </c>
      <c r="Y40" s="24"/>
      <c r="Z40" s="163">
        <v>2388.7629999999999</v>
      </c>
      <c r="AA40" s="24"/>
      <c r="AB40" s="163">
        <v>4535.2</v>
      </c>
      <c r="AC40" s="24"/>
      <c r="AD40" s="163">
        <v>4875.3609999999999</v>
      </c>
      <c r="AE40" s="24"/>
      <c r="AF40" s="163">
        <v>4417.9170000000004</v>
      </c>
      <c r="AG40" s="24"/>
      <c r="AH40" s="163">
        <v>2235.8519999999999</v>
      </c>
      <c r="AI40" s="24"/>
      <c r="AJ40" s="163">
        <v>2561.9899999999998</v>
      </c>
      <c r="AK40" s="24"/>
      <c r="AL40" s="163">
        <v>2411.203</v>
      </c>
      <c r="AM40" s="24"/>
      <c r="AN40" s="163">
        <v>2198.692</v>
      </c>
      <c r="AO40" s="24"/>
      <c r="AP40" s="163">
        <v>1876.1130000000001</v>
      </c>
      <c r="AQ40" s="24"/>
      <c r="AR40" s="163">
        <v>2073.5239999999999</v>
      </c>
      <c r="AS40" s="24"/>
      <c r="AT40" s="163">
        <v>625.34100000000001</v>
      </c>
      <c r="AU40" s="24"/>
      <c r="AV40" s="163">
        <v>-244.83</v>
      </c>
      <c r="AX40" s="163">
        <v>-860.66099999999994</v>
      </c>
      <c r="AZ40" s="163">
        <v>-502.80799999999999</v>
      </c>
      <c r="BB40" s="163">
        <v>-646.23800000000006</v>
      </c>
      <c r="BD40" s="163">
        <v>-1129.2049999999999</v>
      </c>
      <c r="BF40" s="163">
        <v>-912.31899999999996</v>
      </c>
      <c r="BH40" s="163"/>
    </row>
    <row r="41" spans="1:60">
      <c r="A41" s="128" t="s">
        <v>1018</v>
      </c>
      <c r="B41" s="24" t="s">
        <v>598</v>
      </c>
      <c r="C41" s="24"/>
      <c r="D41" s="163"/>
      <c r="E41" s="24"/>
      <c r="F41" s="163">
        <v>1698.8320000000001</v>
      </c>
      <c r="G41" s="24"/>
      <c r="H41" s="163">
        <v>2045.748</v>
      </c>
      <c r="I41" s="24"/>
      <c r="J41" s="163">
        <v>2369.453</v>
      </c>
      <c r="K41" s="24"/>
      <c r="L41" s="163">
        <v>2536.384</v>
      </c>
      <c r="M41" s="24"/>
      <c r="N41" s="163">
        <v>3416.9589999999998</v>
      </c>
      <c r="O41" s="24"/>
      <c r="P41" s="163">
        <v>1735.6389999999999</v>
      </c>
      <c r="Q41" s="24"/>
      <c r="R41" s="163">
        <v>1984.913</v>
      </c>
      <c r="S41" s="24"/>
      <c r="T41" s="163">
        <v>1979.682</v>
      </c>
      <c r="U41" s="24"/>
      <c r="V41" s="163">
        <v>1831.5809999999999</v>
      </c>
      <c r="W41" s="24"/>
      <c r="X41" s="163">
        <v>2087.8020000000001</v>
      </c>
      <c r="Y41" s="24"/>
      <c r="Z41" s="163">
        <v>2428.0729999999999</v>
      </c>
      <c r="AA41" s="24"/>
      <c r="AB41" s="163">
        <v>4525.5929999999998</v>
      </c>
      <c r="AC41" s="24"/>
      <c r="AD41" s="163">
        <v>4910.375</v>
      </c>
      <c r="AE41" s="24"/>
      <c r="AF41" s="163">
        <v>4459.7579999999998</v>
      </c>
      <c r="AG41" s="24"/>
      <c r="AH41" s="163">
        <v>2147.192</v>
      </c>
      <c r="AI41" s="24"/>
      <c r="AJ41" s="163">
        <v>2536.556</v>
      </c>
      <c r="AK41" s="24"/>
      <c r="AL41" s="163">
        <v>2077.0230000000001</v>
      </c>
      <c r="AM41" s="24"/>
      <c r="AN41" s="163">
        <v>1953.596</v>
      </c>
      <c r="AO41" s="24"/>
      <c r="AP41" s="163">
        <v>1864.4960000000001</v>
      </c>
      <c r="AQ41" s="24"/>
      <c r="AR41" s="163">
        <v>2044.2619999999999</v>
      </c>
      <c r="AS41" s="24"/>
      <c r="AT41" s="163">
        <v>521.447</v>
      </c>
      <c r="AU41" s="24"/>
      <c r="AV41" s="163">
        <v>-515.08600000000001</v>
      </c>
      <c r="AX41" s="163">
        <v>-820.56200000000001</v>
      </c>
      <c r="AZ41" s="163">
        <v>-433.608</v>
      </c>
      <c r="BB41" s="163">
        <v>-656.88599999999997</v>
      </c>
      <c r="BD41" s="163">
        <v>-1188.32</v>
      </c>
      <c r="BF41" s="163">
        <v>-1119.0830000000001</v>
      </c>
    </row>
    <row r="42" spans="1:60">
      <c r="A42" s="128" t="s">
        <v>1019</v>
      </c>
      <c r="B42" s="24" t="s">
        <v>601</v>
      </c>
      <c r="C42" s="24"/>
      <c r="D42" s="163">
        <v>1560.0519999999999</v>
      </c>
      <c r="E42" s="24"/>
      <c r="F42" s="163">
        <v>1876.7919999999999</v>
      </c>
      <c r="G42" s="24"/>
      <c r="H42" s="163">
        <v>2267.6170000000002</v>
      </c>
      <c r="I42" s="24"/>
      <c r="J42" s="163">
        <v>2441.2930000000001</v>
      </c>
      <c r="K42" s="24"/>
      <c r="L42" s="163">
        <v>2760.9560000000001</v>
      </c>
      <c r="M42" s="24"/>
      <c r="N42" s="164">
        <v>3201.0409999999997</v>
      </c>
      <c r="O42" s="24"/>
      <c r="P42" s="164">
        <v>1922.5819999999999</v>
      </c>
      <c r="Q42" s="24"/>
      <c r="R42" s="164">
        <v>2044.9569999999999</v>
      </c>
      <c r="S42" s="24"/>
      <c r="T42" s="164">
        <v>2166.9590000000003</v>
      </c>
      <c r="U42" s="24"/>
      <c r="V42" s="164">
        <v>2147.0769999999993</v>
      </c>
      <c r="W42" s="24"/>
      <c r="X42" s="164">
        <v>2316.4549999999999</v>
      </c>
      <c r="Y42" s="24"/>
      <c r="Z42" s="164">
        <v>2744</v>
      </c>
      <c r="AA42" s="24"/>
      <c r="AB42" s="164">
        <v>4860</v>
      </c>
      <c r="AC42" s="24"/>
      <c r="AD42" s="164">
        <v>5266</v>
      </c>
      <c r="AE42" s="24"/>
      <c r="AF42" s="163">
        <v>2335.3690000000001</v>
      </c>
      <c r="AG42" s="24"/>
      <c r="AH42" s="163">
        <v>2470.9569999999999</v>
      </c>
      <c r="AI42" s="24"/>
      <c r="AJ42" s="163">
        <v>2955.2440000000001</v>
      </c>
      <c r="AK42" s="24"/>
      <c r="AL42" s="163">
        <v>2219.5070000000001</v>
      </c>
      <c r="AM42" s="24"/>
      <c r="AN42" s="163">
        <v>1874.722</v>
      </c>
      <c r="AO42" s="24"/>
      <c r="AP42" s="163">
        <v>2184.442</v>
      </c>
      <c r="AQ42" s="24"/>
      <c r="AR42" s="163">
        <v>1476.6310000000001</v>
      </c>
      <c r="AS42" s="24"/>
      <c r="AT42" s="163">
        <v>138.21899999999999</v>
      </c>
      <c r="AU42" s="24"/>
      <c r="AV42" s="163">
        <v>-1013.8049999999999</v>
      </c>
      <c r="AX42" s="163">
        <v>-369.197</v>
      </c>
      <c r="AZ42" s="163">
        <v>18.798999999999999</v>
      </c>
      <c r="BB42" s="163">
        <v>-256.495</v>
      </c>
      <c r="BD42" s="163">
        <v>-726.85799999999995</v>
      </c>
      <c r="BF42" s="163">
        <v>-751.00900000000001</v>
      </c>
    </row>
    <row r="43" spans="1:60">
      <c r="A43" s="128"/>
      <c r="B43" s="24"/>
      <c r="C43" s="24"/>
      <c r="D43" s="2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row>
    <row r="44" spans="1:60">
      <c r="A44" s="128"/>
      <c r="B44" s="24"/>
      <c r="C44" s="24"/>
      <c r="D44" s="93"/>
      <c r="E44" s="24"/>
      <c r="F44" s="93"/>
      <c r="G44" s="24"/>
      <c r="H44" s="93"/>
      <c r="I44" s="24"/>
      <c r="J44" s="93"/>
      <c r="K44" s="24"/>
      <c r="L44" s="93"/>
      <c r="M44" s="24"/>
      <c r="N44" s="93"/>
      <c r="O44" s="24"/>
      <c r="P44" s="93"/>
      <c r="Q44" s="24"/>
      <c r="R44" s="93"/>
      <c r="S44" s="93"/>
      <c r="T44" s="93"/>
      <c r="U44" s="24"/>
      <c r="V44" s="93"/>
      <c r="W44" s="93"/>
      <c r="X44" s="24"/>
      <c r="Y44" s="93"/>
      <c r="Z44" s="24"/>
      <c r="AA44" s="93"/>
      <c r="AB44" s="24"/>
      <c r="AC44" s="93"/>
      <c r="AD44" s="24"/>
      <c r="AE44" s="93"/>
      <c r="AF44" s="24"/>
      <c r="AH44" s="970"/>
      <c r="AI44" s="972"/>
      <c r="AJ44" s="970"/>
      <c r="AK44" s="972"/>
      <c r="AL44" s="970"/>
      <c r="AM44" s="972"/>
      <c r="AN44" s="970"/>
      <c r="AO44" s="972"/>
      <c r="AP44" s="972" t="s">
        <v>1223</v>
      </c>
      <c r="AQ44" s="972"/>
      <c r="AR44" s="970"/>
      <c r="AS44" s="972"/>
      <c r="AT44" s="970"/>
      <c r="AU44" s="972"/>
      <c r="AV44" s="970"/>
    </row>
    <row r="45" spans="1:60">
      <c r="A45" s="128" t="s">
        <v>119</v>
      </c>
      <c r="B45" s="24" t="s">
        <v>830</v>
      </c>
      <c r="C45" s="24"/>
      <c r="D45" s="142">
        <f>D39+D27</f>
        <v>1774.923</v>
      </c>
      <c r="E45" s="24"/>
      <c r="F45" s="142">
        <f>F39+F27</f>
        <v>2209.607</v>
      </c>
      <c r="G45" s="24"/>
      <c r="H45" s="142">
        <f>H39+H27</f>
        <v>2730.5990000000002</v>
      </c>
      <c r="I45" s="24"/>
      <c r="J45" s="142">
        <f>J39+J27</f>
        <v>3062.491</v>
      </c>
      <c r="K45" s="24"/>
      <c r="L45" s="142">
        <f>L39+L27</f>
        <v>3126.3220000000001</v>
      </c>
      <c r="M45" s="24"/>
      <c r="N45" s="142">
        <f>N39+N27</f>
        <v>3480.6849999999999</v>
      </c>
      <c r="O45" s="24"/>
      <c r="P45" s="142">
        <f>P39+P27</f>
        <v>2420.3729999999996</v>
      </c>
      <c r="Q45" s="24"/>
      <c r="R45" s="142">
        <f>R39+R27</f>
        <v>2634.4110000000001</v>
      </c>
      <c r="S45" s="24"/>
      <c r="T45" s="142">
        <f>T39+T27</f>
        <v>2760.6750000000002</v>
      </c>
      <c r="U45" s="24"/>
      <c r="V45" s="142">
        <f>V39+V27</f>
        <v>2854.7359999999999</v>
      </c>
      <c r="W45" s="24"/>
      <c r="X45" s="142">
        <f>X39+X27</f>
        <v>2741.4969999999998</v>
      </c>
      <c r="Y45" s="24"/>
      <c r="Z45" s="142">
        <f>Z39+Z27</f>
        <v>2725.4659999999999</v>
      </c>
      <c r="AA45" s="24"/>
      <c r="AB45" s="142">
        <f>AB39+AB27</f>
        <v>4869</v>
      </c>
      <c r="AC45" s="24"/>
      <c r="AD45" s="142">
        <f>AD39+AD27</f>
        <v>5536.6859999999997</v>
      </c>
      <c r="AE45" s="24"/>
      <c r="AF45" s="142">
        <f>AF39+AF27</f>
        <v>5016.6850000000004</v>
      </c>
      <c r="AG45" s="24"/>
      <c r="AH45" s="142">
        <f>AH39+AH27</f>
        <v>3942.893</v>
      </c>
      <c r="AI45" s="24"/>
      <c r="AJ45" s="142">
        <f>AJ39+AJ27</f>
        <v>4180.6480000000001</v>
      </c>
      <c r="AK45" s="24"/>
      <c r="AL45" s="142">
        <f>AL39+AL27</f>
        <v>4674.9249999999993</v>
      </c>
      <c r="AM45" s="24"/>
      <c r="AN45" s="142">
        <f>AN39+AN27</f>
        <v>5053.3919999999998</v>
      </c>
      <c r="AO45" s="24"/>
      <c r="AP45" s="142">
        <f>AP39+AP27</f>
        <v>4736.9529999999995</v>
      </c>
      <c r="AQ45" s="24"/>
      <c r="AR45" s="142">
        <f>AR39+AR27</f>
        <v>4500.0590000000002</v>
      </c>
      <c r="AS45" s="24"/>
      <c r="AT45" s="142">
        <f>AT39+AT27</f>
        <v>4636.8519999999999</v>
      </c>
      <c r="AU45" s="24"/>
      <c r="AV45" s="142">
        <f>AV39+AV27</f>
        <v>4406.7860000000001</v>
      </c>
      <c r="AX45" s="142">
        <f>AX39+AX27</f>
        <v>3481.2869999999998</v>
      </c>
      <c r="AZ45" s="142">
        <f>AZ39+AZ27</f>
        <v>4363.7259999999997</v>
      </c>
      <c r="BB45" s="142">
        <f>BB39+BB27</f>
        <v>4113.41</v>
      </c>
      <c r="BD45" s="142">
        <f>BD39+BD27</f>
        <v>4640.3389999999999</v>
      </c>
      <c r="BF45" s="142">
        <f>BF39+BF27</f>
        <v>4909.84</v>
      </c>
      <c r="BH45" s="142"/>
    </row>
    <row r="46" spans="1:60">
      <c r="A46" s="128" t="s">
        <v>120</v>
      </c>
      <c r="B46" s="24" t="s">
        <v>653</v>
      </c>
      <c r="C46" s="24"/>
      <c r="D46" s="251">
        <f>D40+D28</f>
        <v>1926.047</v>
      </c>
      <c r="E46" s="24"/>
      <c r="F46" s="251">
        <f>F40+F28</f>
        <v>2405.8599999999997</v>
      </c>
      <c r="G46" s="24"/>
      <c r="H46" s="251">
        <f>H40+H28</f>
        <v>2938.6379999999999</v>
      </c>
      <c r="I46" s="24"/>
      <c r="J46" s="251">
        <f>J40+J28</f>
        <v>3081.1929999999998</v>
      </c>
      <c r="K46" s="24"/>
      <c r="L46" s="251">
        <f>L40+L28</f>
        <v>3157.0250000000001</v>
      </c>
      <c r="M46" s="24"/>
      <c r="N46" s="251">
        <f>N40+N28</f>
        <v>3753.114</v>
      </c>
      <c r="O46" s="24"/>
      <c r="P46" s="251">
        <f>P40+P28</f>
        <v>2522.3580000000002</v>
      </c>
      <c r="Q46" s="24"/>
      <c r="R46" s="251">
        <f>R40+R28</f>
        <v>2686.0819999999999</v>
      </c>
      <c r="S46" s="24"/>
      <c r="T46" s="251">
        <f>T40+T28</f>
        <v>2650.8670000000002</v>
      </c>
      <c r="U46" s="24"/>
      <c r="V46" s="251">
        <f>V40+V28</f>
        <v>2788.3649999999998</v>
      </c>
      <c r="W46" s="24"/>
      <c r="X46" s="251">
        <f>X40+X28</f>
        <v>2649.172</v>
      </c>
      <c r="Y46" s="24"/>
      <c r="Z46" s="251">
        <f>Z40+Z28</f>
        <v>2788.7629999999999</v>
      </c>
      <c r="AA46" s="24"/>
      <c r="AB46" s="251">
        <f>AB40+AB28</f>
        <v>4783.232</v>
      </c>
      <c r="AC46" s="24"/>
      <c r="AD46" s="251">
        <f>AD40+AD28</f>
        <v>5523.5050000000001</v>
      </c>
      <c r="AE46" s="24"/>
      <c r="AF46" s="251">
        <f>AF40+AF28</f>
        <v>5066.21</v>
      </c>
      <c r="AG46" s="24"/>
      <c r="AH46" s="251">
        <f>AH40+AH28</f>
        <v>3882.5869999999995</v>
      </c>
      <c r="AI46" s="24"/>
      <c r="AJ46" s="251">
        <f>AJ40+AJ28</f>
        <v>4235.3099999999995</v>
      </c>
      <c r="AK46" s="24"/>
      <c r="AL46" s="251">
        <f>AL40+AL28</f>
        <v>5319.2579999999998</v>
      </c>
      <c r="AM46" s="24"/>
      <c r="AN46" s="251">
        <f>AN40+AN28</f>
        <v>5099.7039999999997</v>
      </c>
      <c r="AO46" s="24"/>
      <c r="AP46" s="251">
        <f>AP40+AP28</f>
        <v>5127.2380000000003</v>
      </c>
      <c r="AQ46" s="24"/>
      <c r="AR46" s="251">
        <f>AR40+AR28</f>
        <v>4605.8869999999997</v>
      </c>
      <c r="AS46" s="24"/>
      <c r="AT46" s="251">
        <f>AT40+AT28</f>
        <v>4149.8360000000002</v>
      </c>
      <c r="AU46" s="24"/>
      <c r="AV46" s="251">
        <f>AV40+AV28</f>
        <v>4292.2310000000007</v>
      </c>
      <c r="AX46" s="251">
        <f>AX40+AX28</f>
        <v>3613.8580000000002</v>
      </c>
      <c r="AZ46" s="251">
        <f>AZ40+AZ28</f>
        <v>4468.8760000000002</v>
      </c>
      <c r="BB46" s="251">
        <f>BB40+BB28</f>
        <v>4112.723</v>
      </c>
      <c r="BD46" s="251">
        <f>BD40+BD28</f>
        <v>4589.5590000000002</v>
      </c>
      <c r="BF46" s="251">
        <f>BF40+BF28</f>
        <v>4855.58</v>
      </c>
      <c r="BH46" s="251"/>
    </row>
    <row r="47" spans="1:60">
      <c r="A47" s="128" t="s">
        <v>1018</v>
      </c>
      <c r="B47" s="24" t="s">
        <v>598</v>
      </c>
      <c r="C47" s="24"/>
      <c r="D47" s="251">
        <f>D41+D29</f>
        <v>0</v>
      </c>
      <c r="E47" s="24"/>
      <c r="F47" s="251">
        <f>F41+F29</f>
        <v>2628.4949999999999</v>
      </c>
      <c r="G47" s="24"/>
      <c r="H47" s="251">
        <f>H41+H29</f>
        <v>3105.46</v>
      </c>
      <c r="I47" s="24"/>
      <c r="J47" s="251">
        <f>J41+J29</f>
        <v>3129.9749999999999</v>
      </c>
      <c r="K47" s="24"/>
      <c r="L47" s="251">
        <f>L41+L29</f>
        <v>3430.7060000000001</v>
      </c>
      <c r="M47" s="24"/>
      <c r="N47" s="251">
        <f>N41+N29</f>
        <v>4121.1589999999997</v>
      </c>
      <c r="O47" s="24"/>
      <c r="P47" s="251">
        <f>P41+P29</f>
        <v>2762.2719999999999</v>
      </c>
      <c r="Q47" s="24"/>
      <c r="R47" s="251">
        <f>R41+R29</f>
        <v>2736.1819999999998</v>
      </c>
      <c r="S47" s="24"/>
      <c r="T47" s="251">
        <f>T41+T29</f>
        <v>2629.6819999999998</v>
      </c>
      <c r="U47" s="24"/>
      <c r="V47" s="251">
        <f>V41+V29</f>
        <v>2681.5810000000001</v>
      </c>
      <c r="W47" s="24"/>
      <c r="X47" s="251">
        <f>X41+X29</f>
        <v>2761.8820000000001</v>
      </c>
      <c r="Y47" s="24"/>
      <c r="Z47" s="251">
        <f>Z41+Z29</f>
        <v>2828.0729999999999</v>
      </c>
      <c r="AA47" s="24"/>
      <c r="AB47" s="251">
        <f>AB41+AB29</f>
        <v>4773.6489999999994</v>
      </c>
      <c r="AC47" s="24"/>
      <c r="AD47" s="251">
        <f>AD41+AD29</f>
        <v>5558.5550000000003</v>
      </c>
      <c r="AE47" s="24"/>
      <c r="AF47" s="251">
        <f>AF41+AF29</f>
        <v>5606.241</v>
      </c>
      <c r="AG47" s="24"/>
      <c r="AH47" s="251">
        <f>AH41+AH29</f>
        <v>3794.011</v>
      </c>
      <c r="AI47" s="24"/>
      <c r="AJ47" s="251">
        <f>AJ41+AJ29</f>
        <v>4210.0159999999996</v>
      </c>
      <c r="AK47" s="24"/>
      <c r="AL47" s="251">
        <f>AL41+AL29</f>
        <v>4985.4690000000001</v>
      </c>
      <c r="AM47" s="24"/>
      <c r="AN47" s="251">
        <f>AN41+AN29</f>
        <v>4850.6419999999998</v>
      </c>
      <c r="AO47" s="24"/>
      <c r="AP47" s="251">
        <f>AP41+AP29</f>
        <v>4744.7780000000002</v>
      </c>
      <c r="AQ47" s="24"/>
      <c r="AR47" s="251">
        <f>AR41+AR29</f>
        <v>4563.433</v>
      </c>
      <c r="AS47" s="24"/>
      <c r="AT47" s="251">
        <f>AT41+AT29</f>
        <v>4057.0990000000002</v>
      </c>
      <c r="AU47" s="24"/>
      <c r="AV47" s="251">
        <f>AV41+AV29</f>
        <v>4020.4809999999998</v>
      </c>
      <c r="AX47" s="251">
        <f>AX41+AX29</f>
        <v>4157.1189999999997</v>
      </c>
      <c r="AZ47" s="251">
        <f>AZ41+AZ29</f>
        <v>4538.84</v>
      </c>
      <c r="BB47" s="251">
        <f>BB41+BB29</f>
        <v>5059.6450000000004</v>
      </c>
      <c r="BD47" s="251">
        <f>BD41+BD29</f>
        <v>4535.3810000000003</v>
      </c>
      <c r="BF47" s="251">
        <f>BF41+BF29</f>
        <v>4665.5</v>
      </c>
    </row>
    <row r="48" spans="1:60">
      <c r="A48" s="128" t="s">
        <v>1019</v>
      </c>
      <c r="B48" s="24" t="s">
        <v>601</v>
      </c>
      <c r="C48" s="24"/>
      <c r="D48" s="251">
        <f>D42+D30</f>
        <v>2100.498</v>
      </c>
      <c r="E48" s="24"/>
      <c r="F48" s="251">
        <f>F42+F30</f>
        <v>2590.5500000000002</v>
      </c>
      <c r="G48" s="24"/>
      <c r="H48" s="251">
        <f>H42+H30</f>
        <v>2809.2560000000003</v>
      </c>
      <c r="I48" s="24"/>
      <c r="J48" s="251">
        <f>J42+J30</f>
        <v>3106.9930000000004</v>
      </c>
      <c r="K48" s="24"/>
      <c r="L48" s="251">
        <f>L42+L30</f>
        <v>3436.1559999999999</v>
      </c>
      <c r="M48" s="24"/>
      <c r="N48" s="251">
        <f>N42+N30</f>
        <v>3851.0409999999997</v>
      </c>
      <c r="O48" s="24"/>
      <c r="P48" s="251">
        <f>P42+P30</f>
        <v>2572.5819999999999</v>
      </c>
      <c r="Q48" s="24"/>
      <c r="R48" s="251">
        <f>R42+R30</f>
        <v>2694.9569999999999</v>
      </c>
      <c r="S48" s="24"/>
      <c r="T48" s="251">
        <f>T42+T30</f>
        <v>2816.9590000000003</v>
      </c>
      <c r="U48" s="24"/>
      <c r="V48" s="251">
        <f>V42+V30</f>
        <v>2797.0769999999993</v>
      </c>
      <c r="W48" s="24"/>
      <c r="X48" s="251">
        <f>X42+X30</f>
        <v>2716.4549999999999</v>
      </c>
      <c r="Y48" s="24"/>
      <c r="Z48" s="251">
        <f>Z42+Z30</f>
        <v>3144</v>
      </c>
      <c r="AA48" s="24"/>
      <c r="AB48" s="251">
        <f>AB42+AB30</f>
        <v>5407</v>
      </c>
      <c r="AC48" s="24"/>
      <c r="AD48" s="251">
        <f>AD42+AD30</f>
        <v>5914.2179999999998</v>
      </c>
      <c r="AE48" s="24"/>
      <c r="AF48" s="251">
        <f>AF42+AF30</f>
        <v>3981.9360000000001</v>
      </c>
      <c r="AG48" s="24"/>
      <c r="AH48" s="251">
        <f>AH42+AH30</f>
        <v>4147.8599999999997</v>
      </c>
      <c r="AI48" s="24"/>
      <c r="AJ48" s="251">
        <f>AJ42+AJ30</f>
        <v>4638.4610000000002</v>
      </c>
      <c r="AK48" s="24"/>
      <c r="AL48" s="251">
        <f>AL42+AL30</f>
        <v>5124.1460000000006</v>
      </c>
      <c r="AM48" s="24"/>
      <c r="AN48" s="251">
        <f>AN42+AN30</f>
        <v>4771.8360000000002</v>
      </c>
      <c r="AO48" s="24"/>
      <c r="AP48" s="251">
        <f>AP42+AP30</f>
        <v>4907.2550000000001</v>
      </c>
      <c r="AQ48" s="24"/>
      <c r="AR48" s="251">
        <f>AR42+AR30</f>
        <v>3983.4059999999999</v>
      </c>
      <c r="AS48" s="24"/>
      <c r="AT48" s="251">
        <f>AT42+AT30</f>
        <v>3619.239</v>
      </c>
      <c r="AU48" s="24"/>
      <c r="AV48" s="251">
        <f>AV42+AV30</f>
        <v>3462.9460000000004</v>
      </c>
      <c r="AX48" s="251">
        <f>AX42+AX30</f>
        <v>4606.5280000000002</v>
      </c>
      <c r="AZ48" s="251">
        <f>AZ42+AZ30</f>
        <v>4783.4039999999995</v>
      </c>
      <c r="BB48" s="251">
        <f>BB42+BB30</f>
        <v>5464.5159999999996</v>
      </c>
      <c r="BD48" s="251">
        <f>BD42+BD30</f>
        <v>5008.6309999999994</v>
      </c>
      <c r="BF48" s="251">
        <f>BF42+BF30</f>
        <v>5042.6339999999991</v>
      </c>
    </row>
    <row r="49" spans="1:60">
      <c r="A49" s="128"/>
      <c r="B49" s="24"/>
      <c r="C49" s="24"/>
      <c r="D49" s="2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row>
    <row r="50" spans="1:60">
      <c r="A50" s="128"/>
      <c r="B50" s="24"/>
      <c r="C50" s="24"/>
      <c r="D50" s="93"/>
      <c r="E50" s="24"/>
      <c r="F50" s="93"/>
      <c r="G50" s="24"/>
      <c r="H50" s="93"/>
      <c r="I50" s="24"/>
      <c r="J50" s="93"/>
      <c r="K50" s="24"/>
      <c r="L50" s="93"/>
      <c r="M50" s="24"/>
      <c r="N50" s="93"/>
      <c r="O50" s="24"/>
      <c r="P50" s="93"/>
      <c r="Q50" s="24"/>
      <c r="R50" s="93"/>
      <c r="S50" s="93"/>
      <c r="T50" s="93"/>
      <c r="U50" s="24"/>
      <c r="V50" s="93"/>
      <c r="W50" s="93"/>
      <c r="X50" s="24"/>
      <c r="Y50" s="93"/>
      <c r="Z50" s="24"/>
      <c r="AA50" s="93"/>
      <c r="AB50" s="24"/>
      <c r="AC50" s="93"/>
      <c r="AD50" s="24"/>
      <c r="AE50" s="93"/>
      <c r="AF50" s="24"/>
      <c r="AH50" s="970"/>
      <c r="AI50" s="972"/>
      <c r="AJ50" s="970"/>
      <c r="AK50" s="972"/>
      <c r="AL50" s="970"/>
      <c r="AM50" s="972"/>
      <c r="AN50" s="970"/>
      <c r="AO50" s="972"/>
      <c r="AP50" s="972" t="s">
        <v>983</v>
      </c>
      <c r="AQ50" s="972"/>
      <c r="AR50" s="970"/>
      <c r="AS50" s="972"/>
      <c r="AT50" s="970"/>
      <c r="AU50" s="972"/>
      <c r="AV50" s="970"/>
    </row>
    <row r="51" spans="1:60">
      <c r="A51" s="128" t="s">
        <v>119</v>
      </c>
      <c r="B51" s="24" t="s">
        <v>830</v>
      </c>
      <c r="C51" s="24"/>
      <c r="D51" s="127">
        <v>0.27737935673829228</v>
      </c>
      <c r="E51" s="24"/>
      <c r="F51" s="127">
        <v>0.28072729675458125</v>
      </c>
      <c r="G51" s="24"/>
      <c r="H51" s="127">
        <f>H27/H45</f>
        <v>0.29374104363181852</v>
      </c>
      <c r="I51" s="24"/>
      <c r="J51" s="127">
        <f>J27/J45</f>
        <v>0.25513413753705727</v>
      </c>
      <c r="K51" s="24"/>
      <c r="L51" s="127">
        <f>L27/L45</f>
        <v>0.21338173099252092</v>
      </c>
      <c r="M51" s="24"/>
      <c r="N51" s="127">
        <f>N27/N45</f>
        <v>0.20688140409143602</v>
      </c>
      <c r="O51" s="24"/>
      <c r="P51" s="127">
        <f>P27/P45</f>
        <v>0.34177542056534266</v>
      </c>
      <c r="Q51" s="24"/>
      <c r="R51" s="127">
        <f>R27/R45</f>
        <v>0.27178371180502964</v>
      </c>
      <c r="S51" s="24"/>
      <c r="T51" s="127">
        <f>T27/T45</f>
        <v>0.23544966357865377</v>
      </c>
      <c r="U51" s="24"/>
      <c r="V51" s="127">
        <f>V27/V45</f>
        <v>0.2276918075787043</v>
      </c>
      <c r="W51" s="24"/>
      <c r="X51" s="127">
        <f>X27/X45</f>
        <v>0.20062031802332814</v>
      </c>
      <c r="Y51" s="24"/>
      <c r="Z51" s="127">
        <f>Z27/Z45</f>
        <v>0.1467638928535524</v>
      </c>
      <c r="AA51" s="24"/>
      <c r="AB51" s="127">
        <f>AB27/AB45</f>
        <v>8.1741630724994865E-2</v>
      </c>
      <c r="AC51" s="24"/>
      <c r="AD51" s="127">
        <f>AD27/AD45</f>
        <v>0.1170566653048412</v>
      </c>
      <c r="AE51" s="24"/>
      <c r="AF51" s="127">
        <f>AF27/AF45</f>
        <v>0.12921999288374691</v>
      </c>
      <c r="AG51" s="24"/>
      <c r="AH51" s="127">
        <f>AH27/AH45</f>
        <v>0.41762507884439171</v>
      </c>
      <c r="AI51" s="24"/>
      <c r="AJ51" s="127">
        <f>AJ27/AJ45</f>
        <v>0.40113087731854008</v>
      </c>
      <c r="AK51" s="24"/>
      <c r="AL51" s="127">
        <f>AL27/AL45</f>
        <v>0.35604742322069344</v>
      </c>
      <c r="AM51" s="24"/>
      <c r="AN51" s="127">
        <f>AN27/AN45</f>
        <v>0.57479827410974649</v>
      </c>
      <c r="AO51" s="24"/>
      <c r="AP51" s="127">
        <f>AP27/AP45</f>
        <v>0.61163346986976652</v>
      </c>
      <c r="AQ51" s="24"/>
      <c r="AR51" s="127">
        <f>AR27/AR45</f>
        <v>0.56061487193834569</v>
      </c>
      <c r="AS51" s="24"/>
      <c r="AT51" s="127">
        <f>AT27/AT45</f>
        <v>0.75686176742324318</v>
      </c>
      <c r="AU51" s="24"/>
      <c r="AV51" s="127">
        <f>AV27/AV45</f>
        <v>1.0296517688855324</v>
      </c>
      <c r="AX51" s="127">
        <f>AX27/AX45</f>
        <v>1.2855449723047827</v>
      </c>
      <c r="AZ51" s="127">
        <f>AZ27/AZ45</f>
        <v>1.1395935491825107</v>
      </c>
      <c r="BB51" s="127">
        <f>BB27/BB45</f>
        <v>1.147154550604</v>
      </c>
      <c r="BD51" s="127">
        <f>BD27/BD45</f>
        <v>1.2340178163707438</v>
      </c>
      <c r="BF51" s="127">
        <f>BF27/BF45</f>
        <v>1.1701222443093868</v>
      </c>
      <c r="BH51" s="127"/>
    </row>
    <row r="52" spans="1:60">
      <c r="A52" s="128" t="s">
        <v>120</v>
      </c>
      <c r="B52" s="24" t="s">
        <v>653</v>
      </c>
      <c r="C52" s="24"/>
      <c r="D52" s="127">
        <v>0.30333475766686896</v>
      </c>
      <c r="E52" s="24"/>
      <c r="F52" s="127">
        <v>0.31474483137007142</v>
      </c>
      <c r="G52" s="24"/>
      <c r="H52" s="127">
        <f>H28/H46</f>
        <v>0.32424919299348881</v>
      </c>
      <c r="I52" s="24"/>
      <c r="J52" s="127">
        <f>J28/J46</f>
        <v>0.24776669296600379</v>
      </c>
      <c r="K52" s="24"/>
      <c r="L52" s="127">
        <f>L28/L46</f>
        <v>0.21317537871888881</v>
      </c>
      <c r="M52" s="24"/>
      <c r="N52" s="127">
        <f>N28/N46</f>
        <v>0.25605403939235527</v>
      </c>
      <c r="O52" s="24"/>
      <c r="P52" s="127">
        <f>P28/P46</f>
        <v>0.36354157498657996</v>
      </c>
      <c r="Q52" s="24"/>
      <c r="R52" s="127">
        <f>R28/R46</f>
        <v>0.28521876845159605</v>
      </c>
      <c r="S52" s="24"/>
      <c r="T52" s="127">
        <f>T28/T46</f>
        <v>0.24520279591544952</v>
      </c>
      <c r="U52" s="24"/>
      <c r="V52" s="127">
        <f>V28/V46</f>
        <v>0.34070145049159634</v>
      </c>
      <c r="W52" s="24"/>
      <c r="X52" s="127">
        <f>X28/X46</f>
        <v>0.20761203878041892</v>
      </c>
      <c r="Y52" s="24"/>
      <c r="Z52" s="127">
        <f>Z28/Z46</f>
        <v>0.1434327692959208</v>
      </c>
      <c r="AA52" s="24"/>
      <c r="AB52" s="127">
        <f>AB28/AB46</f>
        <v>5.1854478310899413E-2</v>
      </c>
      <c r="AC52" s="24"/>
      <c r="AD52" s="127">
        <f t="shared" ref="AD52:AJ54" si="1">AD28/AD46</f>
        <v>0.11734288282530748</v>
      </c>
      <c r="AE52" s="24"/>
      <c r="AF52" s="127">
        <f t="shared" si="1"/>
        <v>0.12796409939580081</v>
      </c>
      <c r="AG52" s="24"/>
      <c r="AH52" s="127">
        <f t="shared" si="1"/>
        <v>0.42413344504579037</v>
      </c>
      <c r="AI52" s="24"/>
      <c r="AJ52" s="127">
        <f t="shared" si="1"/>
        <v>0.39508796286458375</v>
      </c>
      <c r="AK52" s="24"/>
      <c r="AL52" s="127">
        <f>AL28/AL46</f>
        <v>0.5467031303990143</v>
      </c>
      <c r="AM52" s="24"/>
      <c r="AN52" s="127">
        <f>AN28/AN46</f>
        <v>0.56885889847724502</v>
      </c>
      <c r="AO52" s="24"/>
      <c r="AP52" s="127">
        <f>AP28/AP46</f>
        <v>0.63408895783655839</v>
      </c>
      <c r="AQ52" s="24"/>
      <c r="AR52" s="127">
        <f>AR28/AR46</f>
        <v>0.54981005830147378</v>
      </c>
      <c r="AS52" s="24"/>
      <c r="AT52" s="127">
        <f>AT28/AT46</f>
        <v>0.84930946668735818</v>
      </c>
      <c r="AU52" s="24"/>
      <c r="AV52" s="127">
        <f>AV28/AV46</f>
        <v>1.0570402664721446</v>
      </c>
      <c r="AX52" s="127">
        <f>AX28/AX46</f>
        <v>1.2381557327377002</v>
      </c>
      <c r="AZ52" s="127">
        <f>AZ28/AZ46</f>
        <v>1.1125133031214114</v>
      </c>
      <c r="BB52" s="127">
        <f>BB28/BB46</f>
        <v>1.1571314187704838</v>
      </c>
      <c r="BD52" s="127">
        <f>BD28/BD46</f>
        <v>1.24603780014594</v>
      </c>
      <c r="BF52" s="127">
        <f>BF28/BF46</f>
        <v>1.1878908389934879</v>
      </c>
      <c r="BH52" s="127"/>
    </row>
    <row r="53" spans="1:60">
      <c r="A53" s="128" t="s">
        <v>1018</v>
      </c>
      <c r="B53" s="24" t="s">
        <v>598</v>
      </c>
      <c r="C53" s="24"/>
      <c r="D53" s="127" t="e">
        <v>#DIV/0!</v>
      </c>
      <c r="E53" s="24"/>
      <c r="F53" s="127">
        <v>0.35368642512160003</v>
      </c>
      <c r="G53" s="24"/>
      <c r="H53" s="127">
        <f>H29/H47</f>
        <v>0.34124155519633159</v>
      </c>
      <c r="I53" s="24"/>
      <c r="J53" s="127">
        <f>J29/J47</f>
        <v>0.24298021549692889</v>
      </c>
      <c r="K53" s="24"/>
      <c r="L53" s="127">
        <f>L29/L47</f>
        <v>0.26068162063435341</v>
      </c>
      <c r="M53" s="24"/>
      <c r="N53" s="127">
        <f>N29/N47</f>
        <v>0.170874261342501</v>
      </c>
      <c r="O53" s="24"/>
      <c r="P53" s="127">
        <f>P29/P47</f>
        <v>0.37166252997532467</v>
      </c>
      <c r="Q53" s="24"/>
      <c r="R53" s="127">
        <f>R29/R47</f>
        <v>0.27456835839136434</v>
      </c>
      <c r="S53" s="24"/>
      <c r="T53" s="127">
        <f>T29/T47</f>
        <v>0.24717817591632754</v>
      </c>
      <c r="U53" s="24"/>
      <c r="V53" s="127">
        <f>V29/V47</f>
        <v>0.3169771862196219</v>
      </c>
      <c r="W53" s="24"/>
      <c r="X53" s="127">
        <f>X29/X47</f>
        <v>0.24406545971189209</v>
      </c>
      <c r="Y53" s="24"/>
      <c r="Z53" s="127">
        <f>Z29/Z47</f>
        <v>0.14143906469175302</v>
      </c>
      <c r="AA53" s="24"/>
      <c r="AB53" s="127">
        <f>AB29/AB47</f>
        <v>5.196360268633074E-2</v>
      </c>
      <c r="AC53" s="24"/>
      <c r="AD53" s="127">
        <f t="shared" si="1"/>
        <v>0.11660944256196078</v>
      </c>
      <c r="AE53" s="24"/>
      <c r="AF53" s="127">
        <f t="shared" si="1"/>
        <v>0.20450119786145476</v>
      </c>
      <c r="AG53" s="24"/>
      <c r="AH53" s="127">
        <f t="shared" si="1"/>
        <v>0.4340575185469942</v>
      </c>
      <c r="AI53" s="24"/>
      <c r="AJ53" s="127">
        <f t="shared" si="1"/>
        <v>0.39749492638507794</v>
      </c>
      <c r="AK53" s="24"/>
      <c r="AL53" s="127">
        <f>AL29/AL47</f>
        <v>0.58338463241873528</v>
      </c>
      <c r="AM53" s="24"/>
      <c r="AN53" s="127">
        <f>AN29/AN47</f>
        <v>0.59725001350336715</v>
      </c>
      <c r="AO53" s="24"/>
      <c r="AP53" s="127">
        <f>AP29/AP47</f>
        <v>0.6070425212728604</v>
      </c>
      <c r="AQ53" s="24"/>
      <c r="AR53" s="127">
        <f>AR29/AR47</f>
        <v>0.55203418128413406</v>
      </c>
      <c r="AS53" s="24"/>
      <c r="AT53" s="127">
        <f>AT29/AT47</f>
        <v>0.87147294162651689</v>
      </c>
      <c r="AU53" s="24"/>
      <c r="AV53" s="127">
        <f>AV29/AV47</f>
        <v>1.1281155165265053</v>
      </c>
      <c r="AX53" s="127">
        <f>AX29/AX47</f>
        <v>1.1973871808817598</v>
      </c>
      <c r="AZ53" s="127">
        <f>AZ29/AZ47</f>
        <v>1.0955327793004381</v>
      </c>
      <c r="BB53" s="127">
        <f>BB29/BB47</f>
        <v>1.1298284761085018</v>
      </c>
      <c r="BD53" s="127">
        <f>BD29/BD47</f>
        <v>1.2620110636791042</v>
      </c>
      <c r="BF53" s="127">
        <f>BF29/BF47</f>
        <v>1.2398634658664667</v>
      </c>
    </row>
    <row r="54" spans="1:60">
      <c r="A54" s="128" t="s">
        <v>1019</v>
      </c>
      <c r="B54" s="24" t="s">
        <v>601</v>
      </c>
      <c r="C54" s="24"/>
      <c r="D54" s="127">
        <v>0.25729422260816243</v>
      </c>
      <c r="E54" s="24"/>
      <c r="F54" s="127">
        <v>0.27552373048194401</v>
      </c>
      <c r="G54" s="24"/>
      <c r="H54" s="127">
        <f>H30/H48</f>
        <v>0.1928051412900782</v>
      </c>
      <c r="I54" s="24"/>
      <c r="J54" s="127">
        <f>J30/J48</f>
        <v>0.21425860953017917</v>
      </c>
      <c r="K54" s="24"/>
      <c r="L54" s="127">
        <f>L30/L48</f>
        <v>0.19649864557953714</v>
      </c>
      <c r="M54" s="24"/>
      <c r="N54" s="127">
        <f>N30/N48</f>
        <v>0.16878553097720853</v>
      </c>
      <c r="O54" s="24"/>
      <c r="P54" s="127">
        <f>P30/P48</f>
        <v>0.2526644437378478</v>
      </c>
      <c r="Q54" s="24"/>
      <c r="R54" s="127">
        <f>R30/R48</f>
        <v>0.24119123236474646</v>
      </c>
      <c r="S54" s="24"/>
      <c r="T54" s="127">
        <f>T30/T48</f>
        <v>0.23074528241270104</v>
      </c>
      <c r="U54" s="24"/>
      <c r="V54" s="127">
        <f>V30/V48</f>
        <v>0.23238545095469312</v>
      </c>
      <c r="W54" s="24"/>
      <c r="X54" s="127">
        <f>X30/X48</f>
        <v>0.14725073671384212</v>
      </c>
      <c r="Y54" s="24"/>
      <c r="Z54" s="127">
        <f>Z30/Z48</f>
        <v>0.1272264631043257</v>
      </c>
      <c r="AA54" s="24"/>
      <c r="AB54" s="127">
        <f>AB30/AB48</f>
        <v>0.10116515627889773</v>
      </c>
      <c r="AC54" s="24"/>
      <c r="AD54" s="127">
        <f t="shared" si="1"/>
        <v>0.10960333217341667</v>
      </c>
      <c r="AE54" s="24"/>
      <c r="AF54" s="127">
        <f t="shared" si="1"/>
        <v>0.41350915735461341</v>
      </c>
      <c r="AG54" s="24"/>
      <c r="AH54" s="127">
        <f t="shared" si="1"/>
        <v>0.40428148491029114</v>
      </c>
      <c r="AI54" s="24"/>
      <c r="AJ54" s="127">
        <f t="shared" si="1"/>
        <v>0.36288264577410478</v>
      </c>
      <c r="AK54" s="24"/>
      <c r="AL54" s="127">
        <f>AL30/AL48</f>
        <v>0.56685328638176968</v>
      </c>
      <c r="AM54" s="24"/>
      <c r="AN54" s="127">
        <f>AN30/AN48</f>
        <v>0.60712773867333247</v>
      </c>
      <c r="AO54" s="24"/>
      <c r="AP54" s="127">
        <f>AP30/AP48</f>
        <v>0.55485459793713598</v>
      </c>
      <c r="AQ54" s="24"/>
      <c r="AR54" s="127">
        <f>AR30/AR48</f>
        <v>0.62930441938381376</v>
      </c>
      <c r="AS54" s="24"/>
      <c r="AT54" s="127">
        <f>AT30/AT48</f>
        <v>0.96180992744607363</v>
      </c>
      <c r="AU54" s="24"/>
      <c r="AV54" s="127">
        <f>AV30/AV48</f>
        <v>1.2927579581085007</v>
      </c>
      <c r="AX54" s="127">
        <f>AX30/AX48</f>
        <v>1.0801464790835962</v>
      </c>
      <c r="AZ54" s="127">
        <f>AZ30/AZ48</f>
        <v>0.99606995353100014</v>
      </c>
      <c r="BB54" s="127">
        <f>BB30/BB48</f>
        <v>1.046938283280715</v>
      </c>
      <c r="BD54" s="127">
        <f>BD30/BD48</f>
        <v>1.1451210919710397</v>
      </c>
      <c r="BF54" s="127">
        <f>BF30/BF48</f>
        <v>1.1489318875809746</v>
      </c>
    </row>
    <row r="55" spans="1:60">
      <c r="A55" s="128"/>
      <c r="B55" s="24"/>
      <c r="C55" s="24"/>
      <c r="D55" s="2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row>
    <row r="56" spans="1:60">
      <c r="A56" s="128"/>
      <c r="B56" s="24"/>
      <c r="C56" s="24"/>
      <c r="D56" s="93"/>
      <c r="E56" s="24"/>
      <c r="F56" s="93"/>
      <c r="G56" s="24"/>
      <c r="H56" s="93"/>
      <c r="I56" s="24"/>
      <c r="J56" s="93"/>
      <c r="K56" s="24"/>
      <c r="L56" s="93"/>
      <c r="M56" s="24"/>
      <c r="N56" s="93"/>
      <c r="O56" s="24"/>
      <c r="P56" s="93"/>
      <c r="Q56" s="24"/>
      <c r="R56" s="93"/>
      <c r="S56" s="93"/>
      <c r="T56" s="93"/>
      <c r="U56" s="24"/>
      <c r="V56" s="93"/>
      <c r="W56" s="93"/>
      <c r="X56" s="24"/>
      <c r="Y56" s="93"/>
      <c r="Z56" s="24"/>
      <c r="AA56" s="93"/>
      <c r="AB56" s="24"/>
      <c r="AC56" s="93"/>
      <c r="AD56" s="24"/>
      <c r="AE56" s="93"/>
      <c r="AF56" s="24"/>
      <c r="AH56" s="970"/>
      <c r="AI56" s="972"/>
      <c r="AJ56" s="970"/>
      <c r="AK56" s="972"/>
      <c r="AL56" s="970"/>
      <c r="AM56" s="972"/>
      <c r="AN56" s="970"/>
      <c r="AO56" s="972"/>
      <c r="AP56" s="972" t="s">
        <v>984</v>
      </c>
      <c r="AQ56" s="972"/>
      <c r="AR56" s="970"/>
      <c r="AS56" s="972"/>
      <c r="AT56" s="970"/>
      <c r="AU56" s="972"/>
      <c r="AV56" s="970"/>
    </row>
    <row r="57" spans="1:60">
      <c r="A57" s="128" t="s">
        <v>119</v>
      </c>
      <c r="B57" s="24" t="s">
        <v>830</v>
      </c>
      <c r="C57" s="24"/>
      <c r="D57" s="167">
        <f>D33/D45</f>
        <v>0.26603745627275099</v>
      </c>
      <c r="E57" s="24"/>
      <c r="F57" s="167">
        <f>F33/F45</f>
        <v>0.27421030074578878</v>
      </c>
      <c r="G57" s="24"/>
      <c r="H57" s="167">
        <f>H33/H45</f>
        <v>0.2872941065312043</v>
      </c>
      <c r="I57" s="24"/>
      <c r="J57" s="167">
        <f>J33/J45</f>
        <v>0.23536885496153298</v>
      </c>
      <c r="K57" s="24"/>
      <c r="L57" s="167">
        <f>L33/L45</f>
        <v>0.16248646172723091</v>
      </c>
      <c r="M57" s="24"/>
      <c r="N57" s="167">
        <f>N33/N45</f>
        <v>0.18965289878285452</v>
      </c>
      <c r="O57" s="24"/>
      <c r="P57" s="167">
        <f>P33/P45</f>
        <v>0.33165136117449667</v>
      </c>
      <c r="Q57" s="24"/>
      <c r="R57" s="167">
        <f>R33/R45</f>
        <v>0.24997466226796047</v>
      </c>
      <c r="S57" s="24"/>
      <c r="T57" s="167">
        <f>T33/T45</f>
        <v>-1.3717297400092377E-2</v>
      </c>
      <c r="U57" s="24"/>
      <c r="V57" s="167">
        <f>V33/V45</f>
        <v>5.5568711082215665E-2</v>
      </c>
      <c r="W57" s="167"/>
      <c r="X57" s="167">
        <f>X33/X45</f>
        <v>2.4041244619271877E-2</v>
      </c>
      <c r="Y57" s="167"/>
      <c r="Z57" s="167">
        <f>Z33/Z45</f>
        <v>4.0746793392396008E-2</v>
      </c>
      <c r="AA57" s="167"/>
      <c r="AB57" s="167">
        <f>AB33/AB45</f>
        <v>-0.17601150133497639</v>
      </c>
      <c r="AC57" s="167"/>
      <c r="AD57" s="167">
        <f>AD33/AD45</f>
        <v>-0.28809797051882663</v>
      </c>
      <c r="AE57" s="167"/>
      <c r="AF57" s="167">
        <f>AF33/AF45</f>
        <v>-0.25856736071728637</v>
      </c>
      <c r="AG57" s="167"/>
      <c r="AH57" s="167">
        <f>AH33/AH45</f>
        <v>0.24358129931499536</v>
      </c>
      <c r="AI57" s="167"/>
      <c r="AJ57" s="167">
        <f>AJ33/AJ45</f>
        <v>0.22833087119508746</v>
      </c>
      <c r="AK57" s="167"/>
      <c r="AL57" s="167">
        <f>AL33/AL45</f>
        <v>0.31460996700481825</v>
      </c>
      <c r="AM57" s="167"/>
      <c r="AN57" s="167">
        <f>AN33/AN45</f>
        <v>0.42467851296713177</v>
      </c>
      <c r="AO57" s="167"/>
      <c r="AP57" s="167">
        <f>AP33/AP45</f>
        <v>0.41394542018888519</v>
      </c>
      <c r="AQ57" s="167"/>
      <c r="AR57" s="167">
        <f>AR33/AR45</f>
        <v>0.29668322126443231</v>
      </c>
      <c r="AS57" s="167"/>
      <c r="AT57" s="167">
        <f>AT33/AT45</f>
        <v>0.42099812545235438</v>
      </c>
      <c r="AU57" s="167"/>
      <c r="AV57" s="167">
        <f>AV33/AV45</f>
        <v>0.73793122697585034</v>
      </c>
      <c r="AX57" s="167">
        <f>AX33/AX45</f>
        <v>1.1757640206050233</v>
      </c>
      <c r="AY57" s="167"/>
      <c r="AZ57" s="167">
        <f>AZ33/AZ45</f>
        <v>0.93064917458153884</v>
      </c>
      <c r="BB57" s="167">
        <f>BB33/BB45</f>
        <v>0.98949533355537134</v>
      </c>
      <c r="BD57" s="167">
        <f>BD33/BD45</f>
        <v>0.96087850478165515</v>
      </c>
      <c r="BF57" s="167">
        <f>BF33/BF45</f>
        <v>0.85342231111400779</v>
      </c>
      <c r="BH57" s="167"/>
    </row>
    <row r="58" spans="1:60">
      <c r="A58" s="128" t="s">
        <v>120</v>
      </c>
      <c r="B58" s="24" t="s">
        <v>653</v>
      </c>
      <c r="C58" s="24"/>
      <c r="D58" s="167">
        <f>D34/D46</f>
        <v>0.29731517455181516</v>
      </c>
      <c r="E58" s="24"/>
      <c r="F58" s="167">
        <f>F34/F46</f>
        <v>0.30930436517503096</v>
      </c>
      <c r="G58" s="24"/>
      <c r="H58" s="167">
        <f>H34/H46</f>
        <v>0.31846045685109908</v>
      </c>
      <c r="I58" s="24"/>
      <c r="J58" s="167">
        <f>J34/J46</f>
        <v>0.22719089651313631</v>
      </c>
      <c r="K58" s="24"/>
      <c r="L58" s="167">
        <f>L34/L46</f>
        <v>0.17888676839746279</v>
      </c>
      <c r="M58" s="24"/>
      <c r="N58" s="167">
        <f>N34/N46</f>
        <v>0.18608787263056759</v>
      </c>
      <c r="O58" s="24"/>
      <c r="P58" s="167">
        <f>P34/P46</f>
        <v>0.35043875611630071</v>
      </c>
      <c r="Q58" s="24"/>
      <c r="R58" s="167">
        <f>R34/R46</f>
        <v>0.27685454129844139</v>
      </c>
      <c r="S58" s="24"/>
      <c r="T58" s="167">
        <f>T34/T46</f>
        <v>5.7014554106260315E-2</v>
      </c>
      <c r="U58" s="24"/>
      <c r="V58" s="167">
        <f>V34/V46</f>
        <v>0.1648557487990274</v>
      </c>
      <c r="W58" s="167"/>
      <c r="X58" s="167">
        <f>X34/X46</f>
        <v>8.6252232773107979E-2</v>
      </c>
      <c r="Y58" s="167"/>
      <c r="Z58" s="167">
        <f>Z34/Z46</f>
        <v>2.6009022638352565E-2</v>
      </c>
      <c r="AA58" s="167"/>
      <c r="AB58" s="167">
        <f>AB34/AB46</f>
        <v>-0.19213076012202626</v>
      </c>
      <c r="AC58" s="167"/>
      <c r="AD58" s="167">
        <f>AD34/AD46</f>
        <v>-0.2881472905338186</v>
      </c>
      <c r="AE58" s="167"/>
      <c r="AF58" s="167">
        <f>AF34/AF46</f>
        <v>-0.28648457130675598</v>
      </c>
      <c r="AG58" s="167"/>
      <c r="AH58" s="167">
        <f>AH34/AH46</f>
        <v>0.23892291402613772</v>
      </c>
      <c r="AI58" s="167"/>
      <c r="AJ58" s="167">
        <f>AJ34/AJ46</f>
        <v>0.24143640016905496</v>
      </c>
      <c r="AK58" s="167"/>
      <c r="AL58" s="167">
        <f>AL34/AL46</f>
        <v>0.32242316503542412</v>
      </c>
      <c r="AM58" s="167"/>
      <c r="AN58" s="167">
        <f>AN34/AN46</f>
        <v>0.37703325526344283</v>
      </c>
      <c r="AO58" s="167"/>
      <c r="AP58" s="167">
        <f>AP34/AP46</f>
        <v>0.3317692683663212</v>
      </c>
      <c r="AQ58" s="167"/>
      <c r="AR58" s="167">
        <f>AR34/AR46</f>
        <v>0.26763444261659042</v>
      </c>
      <c r="AS58" s="167"/>
      <c r="AT58" s="167">
        <f>AT34/AT46</f>
        <v>0.59992997313628771</v>
      </c>
      <c r="AU58" s="167"/>
      <c r="AV58" s="167">
        <f>AV34/AV46</f>
        <v>0.77920969304774146</v>
      </c>
      <c r="AX58" s="167">
        <f>AX34/AX46</f>
        <v>1.0856375651727324</v>
      </c>
      <c r="AZ58" s="167">
        <f>AZ34/AZ46</f>
        <v>0.85579170243255798</v>
      </c>
      <c r="BB58" s="167">
        <f>BB34/BB46</f>
        <v>0.96744492639061763</v>
      </c>
      <c r="BD58" s="167">
        <f>BD34/BD46</f>
        <v>0.96873163630754067</v>
      </c>
      <c r="BF58" s="167">
        <f>BF34/BF46</f>
        <v>0.90774861087655867</v>
      </c>
      <c r="BH58" s="167"/>
    </row>
    <row r="59" spans="1:60">
      <c r="A59" s="128" t="s">
        <v>1018</v>
      </c>
      <c r="B59" s="24" t="s">
        <v>598</v>
      </c>
      <c r="C59" s="24"/>
      <c r="D59" s="167" t="e">
        <f>D35/D47</f>
        <v>#DIV/0!</v>
      </c>
      <c r="E59" s="24"/>
      <c r="F59" s="167">
        <f>F35/F47</f>
        <v>0.34986218349283527</v>
      </c>
      <c r="G59" s="24"/>
      <c r="H59" s="167">
        <f>H35/H47</f>
        <v>0.33393700128161369</v>
      </c>
      <c r="I59" s="24"/>
      <c r="J59" s="167">
        <f>J35/J47</f>
        <v>0.1880510227717474</v>
      </c>
      <c r="K59" s="24"/>
      <c r="L59" s="167">
        <f>L35/L47</f>
        <v>0.24361691150451248</v>
      </c>
      <c r="M59" s="24"/>
      <c r="N59" s="167">
        <f>N35/N47</f>
        <v>0.10417312217267037</v>
      </c>
      <c r="O59" s="24"/>
      <c r="P59" s="167">
        <f>P35/P47</f>
        <v>0.35114499947869005</v>
      </c>
      <c r="Q59" s="24"/>
      <c r="R59" s="167">
        <f>R35/R47</f>
        <v>0.2610290543538405</v>
      </c>
      <c r="S59" s="24"/>
      <c r="T59" s="167">
        <f>T35/T47</f>
        <v>0.22253679342217048</v>
      </c>
      <c r="U59" s="24"/>
      <c r="V59" s="167">
        <f>V35/V47</f>
        <v>0.25235001292148174</v>
      </c>
      <c r="W59" s="167"/>
      <c r="X59" s="167">
        <f>X35/X47</f>
        <v>0.24183002749574381</v>
      </c>
      <c r="Y59" s="167"/>
      <c r="Z59" s="167">
        <f>Z35/Z47</f>
        <v>2.9042036750819369E-2</v>
      </c>
      <c r="AA59" s="167"/>
      <c r="AB59" s="167">
        <f>AB35/AB47</f>
        <v>-0.13350814020888424</v>
      </c>
      <c r="AC59" s="167"/>
      <c r="AD59" s="167">
        <f>AD35/AD47</f>
        <v>-0.21052431792075463</v>
      </c>
      <c r="AE59" s="167"/>
      <c r="AF59" s="167">
        <f>AF35/AF47</f>
        <v>-0.17636077364494324</v>
      </c>
      <c r="AG59" s="167"/>
      <c r="AH59" s="167">
        <f>AH35/AH47</f>
        <v>0.39309480125387092</v>
      </c>
      <c r="AI59" s="167"/>
      <c r="AJ59" s="167">
        <f>AJ35/AJ47</f>
        <v>0.3553193147009418</v>
      </c>
      <c r="AK59" s="167"/>
      <c r="AL59" s="167">
        <f>AL35/AL47</f>
        <v>0.53958052893318564</v>
      </c>
      <c r="AM59" s="167"/>
      <c r="AN59" s="167">
        <f>AN35/AN47</f>
        <v>0.51945474434105832</v>
      </c>
      <c r="AO59" s="167"/>
      <c r="AP59" s="167">
        <f>AP35/AP47</f>
        <v>0.40301084687207706</v>
      </c>
      <c r="AQ59" s="167"/>
      <c r="AR59" s="167">
        <f>AR35/AR47</f>
        <v>0.33563810403264382</v>
      </c>
      <c r="AS59" s="167"/>
      <c r="AT59" s="167">
        <f>AT35/AT47</f>
        <v>0.7486797832638542</v>
      </c>
      <c r="AU59" s="167"/>
      <c r="AV59" s="167">
        <f>AV35/AV47</f>
        <v>0.99216312675025709</v>
      </c>
      <c r="AX59" s="167">
        <f>AX35/AX47</f>
        <v>1.0952212337438498</v>
      </c>
      <c r="AZ59" s="167">
        <f>AZ35/AZ47</f>
        <v>0.93130315234729577</v>
      </c>
      <c r="BB59" s="167">
        <f>BB35/BB47</f>
        <v>0.87068776564363715</v>
      </c>
      <c r="BD59" s="167">
        <f>BD35/BD47</f>
        <v>1.1178009080163276</v>
      </c>
      <c r="BF59" s="167">
        <f>BF35/BF47</f>
        <v>1.0823427285392777</v>
      </c>
    </row>
    <row r="60" spans="1:60">
      <c r="A60" s="128" t="s">
        <v>1019</v>
      </c>
      <c r="B60" s="24" t="s">
        <v>601</v>
      </c>
      <c r="C60" s="24"/>
      <c r="D60" s="167">
        <f>D36/D48</f>
        <v>0.25101952013284473</v>
      </c>
      <c r="E60" s="24"/>
      <c r="F60" s="167">
        <f>F36/F48</f>
        <v>0.26250139931674737</v>
      </c>
      <c r="G60" s="24"/>
      <c r="H60" s="167">
        <f>H36/H48</f>
        <v>0.17812687772136107</v>
      </c>
      <c r="I60" s="24"/>
      <c r="J60" s="167">
        <f>J36/J48</f>
        <v>0.11108554155094653</v>
      </c>
      <c r="K60" s="24"/>
      <c r="L60" s="167">
        <f>L36/L48</f>
        <v>0.12584411185056793</v>
      </c>
      <c r="M60" s="24"/>
      <c r="N60" s="167">
        <f>N36/N48</f>
        <v>-0.25856151622379508</v>
      </c>
      <c r="O60" s="24"/>
      <c r="P60" s="167">
        <f>P36/P48</f>
        <v>0.13107609397873421</v>
      </c>
      <c r="Q60" s="24"/>
      <c r="R60" s="167">
        <f>R36/R48</f>
        <v>-3.5768659759691894E-2</v>
      </c>
      <c r="S60" s="24"/>
      <c r="T60" s="167">
        <f>T36/T48</f>
        <v>-7.8210935977413937E-2</v>
      </c>
      <c r="U60" s="24"/>
      <c r="V60" s="167">
        <f>V36/V48</f>
        <v>-5.9800999400445559E-2</v>
      </c>
      <c r="W60" s="167"/>
      <c r="X60" s="167">
        <f>X36/X48</f>
        <v>-6.0206040593346853E-2</v>
      </c>
      <c r="Y60" s="167"/>
      <c r="Z60" s="167">
        <f>Z36/Z48</f>
        <v>-0.34828244274809161</v>
      </c>
      <c r="AA60" s="167"/>
      <c r="AB60" s="167">
        <f>AB36/AB48</f>
        <v>-0.31718143147771405</v>
      </c>
      <c r="AC60" s="167"/>
      <c r="AD60" s="167">
        <f>AD36/AD48</f>
        <v>-0.41946069624082172</v>
      </c>
      <c r="AE60" s="167"/>
      <c r="AF60" s="167">
        <f>AF36/AF48</f>
        <v>0.12200296539170895</v>
      </c>
      <c r="AG60" s="167"/>
      <c r="AH60" s="167">
        <f>AH36/AH48</f>
        <v>0.11311182151760187</v>
      </c>
      <c r="AI60" s="167"/>
      <c r="AJ60" s="167">
        <f>AJ36/AJ48</f>
        <v>0.25510293176982618</v>
      </c>
      <c r="AK60" s="167"/>
      <c r="AL60" s="167">
        <f>AL36/AL48</f>
        <v>0.36807050384590911</v>
      </c>
      <c r="AM60" s="167"/>
      <c r="AN60" s="167">
        <f>AN36/AN48</f>
        <v>0.36131627323319576</v>
      </c>
      <c r="AO60" s="167"/>
      <c r="AP60" s="167">
        <f>AP36/AP48</f>
        <v>0.18717164687793889</v>
      </c>
      <c r="AQ60" s="167"/>
      <c r="AR60" s="167">
        <f>AR36/AR48</f>
        <v>0.34555126944127712</v>
      </c>
      <c r="AS60" s="167"/>
      <c r="AT60" s="167">
        <f>AT36/AT48</f>
        <v>0.70343047253856394</v>
      </c>
      <c r="AU60" s="167"/>
      <c r="AV60" s="167">
        <f>AV36/AV48</f>
        <v>1.0694876558860578</v>
      </c>
      <c r="AX60" s="167">
        <f>AX36/AX48</f>
        <v>0.75030890944329443</v>
      </c>
      <c r="AZ60" s="167">
        <f>AZ36/AZ48</f>
        <v>0.64455040803578367</v>
      </c>
      <c r="BB60" s="167">
        <f>BB36/BB48</f>
        <v>0.58069662528209265</v>
      </c>
      <c r="BD60" s="167">
        <f>BD36/BD48</f>
        <v>0.75902317419670162</v>
      </c>
      <c r="BF60" s="167">
        <f>BF36/BF48</f>
        <v>0.84851131373008626</v>
      </c>
    </row>
    <row r="61" spans="1:60">
      <c r="A61" s="24"/>
      <c r="B61" s="24"/>
      <c r="C61" s="24"/>
      <c r="D61" s="24"/>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row>
    <row r="62" spans="1:60">
      <c r="A62" s="128"/>
      <c r="B62" s="24"/>
      <c r="C62" s="24"/>
      <c r="D62" s="93"/>
      <c r="E62" s="24"/>
      <c r="F62" s="93"/>
      <c r="G62" s="24"/>
      <c r="H62" s="93"/>
      <c r="I62" s="24"/>
      <c r="J62" s="93"/>
      <c r="K62" s="24"/>
      <c r="L62" s="93"/>
      <c r="M62" s="24"/>
      <c r="N62" s="93"/>
      <c r="O62" s="24"/>
      <c r="P62" s="93"/>
      <c r="Q62" s="24"/>
      <c r="R62" s="93"/>
      <c r="S62" s="93"/>
      <c r="T62" s="93"/>
      <c r="U62" s="24"/>
      <c r="V62" s="93"/>
      <c r="W62" s="93"/>
      <c r="X62" s="24"/>
      <c r="Y62" s="93"/>
      <c r="Z62" s="24"/>
      <c r="AA62" s="93"/>
      <c r="AB62" s="24"/>
      <c r="AC62" s="93"/>
      <c r="AD62" s="24"/>
      <c r="AE62" s="93"/>
      <c r="AF62" s="24"/>
      <c r="AH62" s="970"/>
      <c r="AI62" s="972"/>
      <c r="AJ62" s="970"/>
      <c r="AK62" s="972"/>
      <c r="AL62" s="970"/>
      <c r="AM62" s="972"/>
      <c r="AN62" s="970"/>
      <c r="AO62" s="972"/>
      <c r="AP62" s="970"/>
      <c r="AQ62" s="972" t="s">
        <v>610</v>
      </c>
      <c r="AR62" s="970"/>
      <c r="AS62" s="972"/>
      <c r="AT62" s="970"/>
      <c r="AU62" s="972"/>
      <c r="AV62" s="970"/>
    </row>
    <row r="63" spans="1:60">
      <c r="A63" s="128" t="s">
        <v>119</v>
      </c>
      <c r="B63" s="24" t="s">
        <v>830</v>
      </c>
      <c r="C63" s="24"/>
      <c r="D63" s="127">
        <f>D27/D39</f>
        <v>0.38385196897542173</v>
      </c>
      <c r="E63" s="24"/>
      <c r="F63" s="127">
        <f>F27/F39</f>
        <v>0.39029327192303581</v>
      </c>
      <c r="G63" s="24"/>
      <c r="H63" s="127">
        <f>H27/H39</f>
        <v>0.41591124754344028</v>
      </c>
      <c r="I63" s="24"/>
      <c r="J63" s="127">
        <f>J27/J39</f>
        <v>0.34252360108629659</v>
      </c>
      <c r="K63" s="24"/>
      <c r="L63" s="127">
        <f>L27/L39</f>
        <v>0.2712646519915648</v>
      </c>
      <c r="M63" s="24"/>
      <c r="N63" s="127">
        <f>N27/N39</f>
        <v>0.26084548409111652</v>
      </c>
      <c r="O63" s="24"/>
      <c r="P63" s="127">
        <f>P27/P39</f>
        <v>0.51923831355384842</v>
      </c>
      <c r="Q63" s="24"/>
      <c r="R63" s="127">
        <f>R27/R39</f>
        <v>0.37321839158349496</v>
      </c>
      <c r="S63" s="24"/>
      <c r="T63" s="127">
        <f>T27/T39</f>
        <v>0.30795835455482246</v>
      </c>
      <c r="U63" s="24"/>
      <c r="V63" s="127">
        <f>V27/V39</f>
        <v>0.29481987866120934</v>
      </c>
      <c r="W63" s="24"/>
      <c r="X63" s="127">
        <f>X27/X39</f>
        <v>0.25096999904631401</v>
      </c>
      <c r="Y63" s="24"/>
      <c r="Z63" s="127">
        <f>Z27/Z39</f>
        <v>0.17200853506350985</v>
      </c>
      <c r="AA63" s="24"/>
      <c r="AB63" s="127">
        <f>AB27/AB39</f>
        <v>8.9018116752404383E-2</v>
      </c>
      <c r="AC63" s="24"/>
      <c r="AD63" s="127">
        <f>AD27/AD39</f>
        <v>0.13257551272557674</v>
      </c>
      <c r="AE63" s="24"/>
      <c r="AF63" s="127">
        <f>AF27/AF39</f>
        <v>0.14839568183436194</v>
      </c>
      <c r="AG63" s="24"/>
      <c r="AH63" s="127">
        <f>AH27/AH39</f>
        <v>0.71710690772139862</v>
      </c>
      <c r="AI63" s="24"/>
      <c r="AJ63" s="127">
        <f>AJ27/AJ39</f>
        <v>0.66981392448897836</v>
      </c>
      <c r="AK63" s="24"/>
      <c r="AL63" s="127">
        <f>AL27/AL39</f>
        <v>0.55290938503801779</v>
      </c>
      <c r="AM63" s="24"/>
      <c r="AN63" s="127">
        <f>AN27/AN39</f>
        <v>1.3518248847797587</v>
      </c>
      <c r="AO63" s="24"/>
      <c r="AP63" s="127">
        <f>AP27/AP39</f>
        <v>1.5748871810983902</v>
      </c>
      <c r="AQ63" s="24"/>
      <c r="AR63" s="127">
        <f>AR27/AR39</f>
        <v>1.2759077086006436</v>
      </c>
      <c r="AS63" s="24"/>
      <c r="AT63" s="127">
        <f>AT27/AT39</f>
        <v>3.1128866875525549</v>
      </c>
      <c r="AU63" s="24"/>
      <c r="AV63" s="127">
        <f>AV27/AV39</f>
        <v>-34.724800832638188</v>
      </c>
      <c r="AX63" s="127">
        <f>AX27/AX39</f>
        <v>-4.5020753190941427</v>
      </c>
      <c r="AZ63" s="127">
        <f>AZ27/AZ39</f>
        <v>-8.1636548096685857</v>
      </c>
      <c r="BB63" s="127">
        <f>BB27/BB39</f>
        <v>-7.7955764595486245</v>
      </c>
      <c r="BD63" s="127">
        <f>BD27/BD39</f>
        <v>-5.2731789207696318</v>
      </c>
      <c r="BF63" s="127">
        <f>BF27/BF39</f>
        <v>-6.8781260737507379</v>
      </c>
      <c r="BH63" s="127"/>
    </row>
    <row r="64" spans="1:60">
      <c r="A64" s="128" t="s">
        <v>120</v>
      </c>
      <c r="B64" s="24" t="s">
        <v>653</v>
      </c>
      <c r="C64" s="24"/>
      <c r="D64" s="127">
        <f>D28/D40</f>
        <v>0.43540963325657134</v>
      </c>
      <c r="E64" s="24"/>
      <c r="F64" s="127">
        <f>F28/F40</f>
        <v>0.45931040841232834</v>
      </c>
      <c r="G64" s="24"/>
      <c r="H64" s="127">
        <f>H28/H40</f>
        <v>0.47983545062990141</v>
      </c>
      <c r="I64" s="24"/>
      <c r="J64" s="127">
        <f>J28/J40</f>
        <v>0.32937479721940344</v>
      </c>
      <c r="K64" s="24"/>
      <c r="L64" s="127">
        <f>L28/L40</f>
        <v>0.27093125069192137</v>
      </c>
      <c r="M64" s="24"/>
      <c r="N64" s="127">
        <f>N28/N40</f>
        <v>0.344183654392335</v>
      </c>
      <c r="O64" s="24"/>
      <c r="P64" s="127">
        <f>P28/P40</f>
        <v>0.57119453635783768</v>
      </c>
      <c r="Q64" s="24"/>
      <c r="R64" s="127">
        <f>R28/R40</f>
        <v>0.3990294594525618</v>
      </c>
      <c r="S64" s="24"/>
      <c r="T64" s="127">
        <f>T28/T40</f>
        <v>0.32485917354826682</v>
      </c>
      <c r="U64" s="24"/>
      <c r="V64" s="127">
        <f>V28/V40</f>
        <v>0.5167635371648176</v>
      </c>
      <c r="W64" s="24"/>
      <c r="X64" s="127">
        <f>X28/X40</f>
        <v>0.26200806794297943</v>
      </c>
      <c r="Y64" s="24"/>
      <c r="Z64" s="127">
        <f>Z28/Z40</f>
        <v>0.16745068472678118</v>
      </c>
      <c r="AA64" s="24"/>
      <c r="AB64" s="127">
        <f>AB28/AB40</f>
        <v>5.4690421591109546E-2</v>
      </c>
      <c r="AC64" s="24"/>
      <c r="AD64" s="127">
        <f>AD28/AD40</f>
        <v>0.13294277080199804</v>
      </c>
      <c r="AE64" s="24"/>
      <c r="AF64" s="127">
        <f>AF28/AF40</f>
        <v>0.14674177898769938</v>
      </c>
      <c r="AG64" s="24"/>
      <c r="AH64" s="127">
        <f>AH28/AH40</f>
        <v>0.73651341859836872</v>
      </c>
      <c r="AI64" s="24"/>
      <c r="AJ64" s="127">
        <f>AJ28/AJ40</f>
        <v>0.65313291620966518</v>
      </c>
      <c r="AK64" s="24"/>
      <c r="AL64" s="127">
        <f>AL28/AL40</f>
        <v>1.2060597967072868</v>
      </c>
      <c r="AM64" s="24"/>
      <c r="AN64" s="127">
        <f>AN28/AN40</f>
        <v>1.3194262770774625</v>
      </c>
      <c r="AO64" s="24"/>
      <c r="AP64" s="127">
        <f>AP28/AP40</f>
        <v>1.7329046811146236</v>
      </c>
      <c r="AQ64" s="24"/>
      <c r="AR64" s="127">
        <f>AR28/AR40</f>
        <v>1.2212846342747901</v>
      </c>
      <c r="AS64" s="24"/>
      <c r="AT64" s="127">
        <f>AT28/AT40</f>
        <v>5.6361169346004818</v>
      </c>
      <c r="AU64" s="24"/>
      <c r="AV64" s="127">
        <f>AV28/AV40</f>
        <v>-18.531474900951682</v>
      </c>
      <c r="AX64" s="127">
        <f>AX28/AX40</f>
        <v>-5.1989331455706722</v>
      </c>
      <c r="AZ64" s="127">
        <f>AZ28/AZ40</f>
        <v>-9.8878379023404559</v>
      </c>
      <c r="BB64" s="127">
        <f>BB28/BB40</f>
        <v>-7.3640996041705993</v>
      </c>
      <c r="BD64" s="127">
        <f>BD28/BD40</f>
        <v>-5.0644161157628602</v>
      </c>
      <c r="BF64" s="127">
        <f>BF28/BF40</f>
        <v>-6.3222392606095026</v>
      </c>
      <c r="BH64" s="127"/>
    </row>
    <row r="65" spans="1:58">
      <c r="A65" s="128" t="s">
        <v>1018</v>
      </c>
      <c r="B65" s="24" t="s">
        <v>598</v>
      </c>
      <c r="C65" s="24"/>
      <c r="D65" s="127" t="e">
        <f>D29/D41</f>
        <v>#DIV/0!</v>
      </c>
      <c r="E65" s="24"/>
      <c r="F65" s="127">
        <f>F29/F41</f>
        <v>0.54723657195061071</v>
      </c>
      <c r="G65" s="24"/>
      <c r="H65" s="127">
        <f>H29/H41</f>
        <v>0.5180071054694908</v>
      </c>
      <c r="I65" s="24"/>
      <c r="J65" s="127">
        <f>J29/J41</f>
        <v>0.32096943893801649</v>
      </c>
      <c r="K65" s="24"/>
      <c r="L65" s="127">
        <f>L29/L41</f>
        <v>0.3525972407963463</v>
      </c>
      <c r="M65" s="24"/>
      <c r="N65" s="127">
        <f>N29/N41</f>
        <v>0.20608968383875839</v>
      </c>
      <c r="O65" s="24"/>
      <c r="P65" s="127">
        <f>P29/P41</f>
        <v>0.59150145854062974</v>
      </c>
      <c r="Q65" s="24"/>
      <c r="R65" s="127">
        <f>R29/R41</f>
        <v>0.37848963657349216</v>
      </c>
      <c r="S65" s="24"/>
      <c r="T65" s="127">
        <f>T29/T41</f>
        <v>0.32833556096383154</v>
      </c>
      <c r="U65" s="24"/>
      <c r="V65" s="127">
        <f>V29/V41</f>
        <v>0.46407993968052741</v>
      </c>
      <c r="W65" s="24"/>
      <c r="X65" s="127">
        <f>X29/X41</f>
        <v>0.32286586563285208</v>
      </c>
      <c r="Y65" s="24"/>
      <c r="Z65" s="127">
        <f>Z29/Z41</f>
        <v>0.16473969275223604</v>
      </c>
      <c r="AA65" s="24"/>
      <c r="AB65" s="127">
        <f>AB29/AB41</f>
        <v>5.4811822450671108E-2</v>
      </c>
      <c r="AC65" s="24"/>
      <c r="AD65" s="127">
        <f>AD29/AD41</f>
        <v>0.13200213832955732</v>
      </c>
      <c r="AE65" s="24"/>
      <c r="AF65" s="127">
        <f>AF29/AF41</f>
        <v>0.25707291740941995</v>
      </c>
      <c r="AG65" s="24"/>
      <c r="AH65" s="127">
        <f>AH29/AH41</f>
        <v>0.76696401625937505</v>
      </c>
      <c r="AI65" s="24"/>
      <c r="AJ65" s="127">
        <f>AJ29/AJ41</f>
        <v>0.65973706080212702</v>
      </c>
      <c r="AK65" s="24"/>
      <c r="AL65" s="127">
        <f>AL29/AL41</f>
        <v>1.4002955191155801</v>
      </c>
      <c r="AM65" s="24"/>
      <c r="AN65" s="127">
        <f>AN29/AN41</f>
        <v>1.4829299404789935</v>
      </c>
      <c r="AO65" s="24"/>
      <c r="AP65" s="127">
        <f>AP29/AP41</f>
        <v>1.5448046013507135</v>
      </c>
      <c r="AQ65" s="24"/>
      <c r="AR65" s="127">
        <f>AR29/AR41</f>
        <v>1.2323131770780849</v>
      </c>
      <c r="AS65" s="24"/>
      <c r="AT65" s="127">
        <f>AT29/AT41</f>
        <v>6.7804628274781518</v>
      </c>
      <c r="AU65" s="24"/>
      <c r="AV65" s="127">
        <f>AV29/AV41</f>
        <v>-8.8054557879655047</v>
      </c>
      <c r="AX65" s="127">
        <f>AX29/AX41</f>
        <v>-6.0661851267789633</v>
      </c>
      <c r="AZ65" s="127">
        <f>AZ29/AZ41</f>
        <v>-11.467611298684528</v>
      </c>
      <c r="BB65" s="127">
        <f>BB29/BB41</f>
        <v>-8.7024704438821967</v>
      </c>
      <c r="BD65" s="127">
        <f>BD29/BD41</f>
        <v>-4.8166327251918677</v>
      </c>
      <c r="BF65" s="127">
        <f>BF29/BF41</f>
        <v>-5.1690384001901561</v>
      </c>
    </row>
    <row r="66" spans="1:58">
      <c r="A66" s="128" t="s">
        <v>1019</v>
      </c>
      <c r="B66" s="24" t="s">
        <v>601</v>
      </c>
      <c r="C66" s="24"/>
      <c r="D66" s="127">
        <f>D30/D42</f>
        <v>0.34642819598321084</v>
      </c>
      <c r="E66" s="24"/>
      <c r="F66" s="127">
        <f>F30/F42</f>
        <v>0.38030746081611605</v>
      </c>
      <c r="G66" s="24"/>
      <c r="H66" s="127">
        <f>H30/H42</f>
        <v>0.23885823752423799</v>
      </c>
      <c r="I66" s="24"/>
      <c r="J66" s="127">
        <f>J30/J42</f>
        <v>0.2726833690179753</v>
      </c>
      <c r="K66" s="24"/>
      <c r="L66" s="127">
        <f>L30/L42</f>
        <v>0.2445529736801311</v>
      </c>
      <c r="M66" s="24"/>
      <c r="N66" s="127">
        <f>N30/N42</f>
        <v>0.20305894238780448</v>
      </c>
      <c r="O66" s="24"/>
      <c r="P66" s="127">
        <f>P30/P42</f>
        <v>0.33808701007291236</v>
      </c>
      <c r="Q66" s="24"/>
      <c r="R66" s="127">
        <f>R30/R42</f>
        <v>0.31785509426359576</v>
      </c>
      <c r="S66" s="24"/>
      <c r="T66" s="127">
        <f>T30/T42</f>
        <v>0.29995952853745728</v>
      </c>
      <c r="U66" s="24"/>
      <c r="V66" s="127">
        <f>V30/V42</f>
        <v>0.30273716312922183</v>
      </c>
      <c r="W66" s="24"/>
      <c r="X66" s="127">
        <f>X30/X42</f>
        <v>0.17267764752606893</v>
      </c>
      <c r="Y66" s="24"/>
      <c r="Z66" s="127">
        <f>Z30/Z42</f>
        <v>0.1457725947521866</v>
      </c>
      <c r="AA66" s="24"/>
      <c r="AB66" s="127">
        <f>AB30/AB42</f>
        <v>0.11255144032921811</v>
      </c>
      <c r="AC66" s="24"/>
      <c r="AD66" s="127">
        <f>AD30/AD42</f>
        <v>0.12309494872768705</v>
      </c>
      <c r="AE66" s="24"/>
      <c r="AF66" s="127">
        <f>AF30/AF42</f>
        <v>0.7050564600283723</v>
      </c>
      <c r="AG66" s="24"/>
      <c r="AH66" s="127">
        <f>AH30/AH42</f>
        <v>0.678645156512234</v>
      </c>
      <c r="AI66" s="24"/>
      <c r="AJ66" s="127">
        <f>AJ30/AJ42</f>
        <v>0.56956955161739597</v>
      </c>
      <c r="AK66" s="24"/>
      <c r="AL66" s="127">
        <f>AL30/AL42</f>
        <v>1.3086865686839464</v>
      </c>
      <c r="AM66" s="24"/>
      <c r="AN66" s="127">
        <f>AN30/AN42</f>
        <v>1.5453565915373053</v>
      </c>
      <c r="AO66" s="24"/>
      <c r="AP66" s="127">
        <f>AP30/AP42</f>
        <v>1.246456989931525</v>
      </c>
      <c r="AQ66" s="24"/>
      <c r="AR66" s="127">
        <f>AR30/AR42</f>
        <v>1.6976312971893452</v>
      </c>
      <c r="AS66" s="24"/>
      <c r="AT66" s="127">
        <f>AT30/AT42</f>
        <v>25.184815401645217</v>
      </c>
      <c r="AU66" s="24"/>
      <c r="AV66" s="127">
        <f>AV30/AV42</f>
        <v>-4.4157910051735794</v>
      </c>
      <c r="AX66" s="127">
        <f>AX30/AX42</f>
        <v>-13.477154473086186</v>
      </c>
      <c r="AZ66" s="127">
        <f>AZ30/AZ42</f>
        <v>253.44991754880576</v>
      </c>
      <c r="BB66" s="127">
        <f>BB30/BB42</f>
        <v>-22.30457123920544</v>
      </c>
      <c r="BD66" s="127">
        <f>BD30/BD42</f>
        <v>-7.8907971020474426</v>
      </c>
      <c r="BF66" s="127">
        <f>BF30/BF42</f>
        <v>-7.7144787878707168</v>
      </c>
    </row>
    <row r="67" spans="1:58">
      <c r="A67" s="128"/>
      <c r="B67" s="24"/>
      <c r="C67" s="24"/>
      <c r="D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row>
    <row r="68" spans="1:58">
      <c r="A68" s="23" t="s">
        <v>549</v>
      </c>
      <c r="B68" s="24"/>
      <c r="C68" s="24"/>
      <c r="D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row>
  </sheetData>
  <phoneticPr fontId="0" type="noConversion"/>
  <printOptions horizontalCentered="1"/>
  <pageMargins left="0.25" right="0.25" top="0.5" bottom="0" header="0.5" footer="0.25"/>
  <pageSetup scale="70" orientation="portrait" r:id="rId1"/>
  <headerFooter alignWithMargins="0">
    <oddFooter>&amp;R&amp;8&amp;D/&amp;T
&amp;F/&amp;A</oddFoot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L54"/>
  <sheetViews>
    <sheetView showGridLines="0" zoomScaleNormal="90" zoomScaleSheetLayoutView="85" workbookViewId="0">
      <selection activeCell="DC13" sqref="DC13"/>
    </sheetView>
  </sheetViews>
  <sheetFormatPr defaultRowHeight="12.75" outlineLevelCol="1"/>
  <cols>
    <col min="1" max="1" width="3.140625" customWidth="1"/>
    <col min="2" max="2" width="4.42578125" customWidth="1"/>
    <col min="3" max="3" width="1.7109375" customWidth="1"/>
    <col min="4" max="4" width="9.7109375" hidden="1" customWidth="1" outlineLevel="1"/>
    <col min="5" max="5" width="3" hidden="1" customWidth="1" outlineLevel="1"/>
    <col min="6" max="6" width="7.85546875" hidden="1" customWidth="1" outlineLevel="1"/>
    <col min="7" max="7" width="5.7109375" hidden="1" customWidth="1" outlineLevel="1"/>
    <col min="8" max="8" width="4.28515625" hidden="1" customWidth="1" outlineLevel="1"/>
    <col min="9" max="9" width="1.28515625" hidden="1" customWidth="1" outlineLevel="1"/>
    <col min="10" max="10" width="7.85546875" hidden="1" customWidth="1" outlineLevel="1"/>
    <col min="11" max="11" width="5.85546875" hidden="1" customWidth="1" outlineLevel="1"/>
    <col min="12" max="12" width="4.28515625" hidden="1" customWidth="1" outlineLevel="1"/>
    <col min="13" max="13" width="1.28515625" hidden="1" customWidth="1" outlineLevel="1"/>
    <col min="14" max="14" width="7.85546875" hidden="1" customWidth="1" outlineLevel="1"/>
    <col min="15" max="15" width="6" hidden="1" customWidth="1" outlineLevel="1"/>
    <col min="16" max="16" width="4.85546875" hidden="1" customWidth="1" outlineLevel="1"/>
    <col min="17" max="17" width="1.28515625" hidden="1" customWidth="1" outlineLevel="1"/>
    <col min="18" max="18" width="7.85546875" hidden="1" customWidth="1" outlineLevel="1"/>
    <col min="19" max="19" width="5.5703125" hidden="1" customWidth="1" outlineLevel="1"/>
    <col min="20" max="20" width="4.5703125" hidden="1" customWidth="1" outlineLevel="1"/>
    <col min="21" max="21" width="1.28515625" hidden="1" customWidth="1" outlineLevel="1"/>
    <col min="22" max="22" width="7.85546875" hidden="1" customWidth="1" outlineLevel="1" collapsed="1"/>
    <col min="23" max="23" width="5.7109375" hidden="1" customWidth="1" outlineLevel="1"/>
    <col min="24" max="24" width="4.28515625" hidden="1" customWidth="1" outlineLevel="1"/>
    <col min="25" max="25" width="1.28515625" hidden="1" customWidth="1" outlineLevel="1"/>
    <col min="26" max="26" width="8.140625" hidden="1" customWidth="1" outlineLevel="1"/>
    <col min="27" max="27" width="5.5703125" hidden="1" customWidth="1" outlineLevel="1"/>
    <col min="28" max="28" width="4.28515625" hidden="1" customWidth="1" outlineLevel="1"/>
    <col min="29" max="29" width="1.28515625" hidden="1" customWidth="1" outlineLevel="1"/>
    <col min="30" max="30" width="7.85546875" hidden="1" customWidth="1" outlineLevel="1"/>
    <col min="31" max="31" width="5.85546875" hidden="1" customWidth="1" outlineLevel="1"/>
    <col min="32" max="32" width="4.7109375" hidden="1" customWidth="1" outlineLevel="1"/>
    <col min="33" max="33" width="1.28515625" hidden="1" customWidth="1" outlineLevel="1"/>
    <col min="34" max="34" width="7.85546875" hidden="1" customWidth="1" outlineLevel="1" collapsed="1"/>
    <col min="35" max="35" width="6.140625" hidden="1" customWidth="1" outlineLevel="1"/>
    <col min="36" max="36" width="4.28515625" hidden="1" customWidth="1" outlineLevel="1"/>
    <col min="37" max="37" width="1.28515625" hidden="1" customWidth="1" outlineLevel="1"/>
    <col min="38" max="38" width="7.85546875" hidden="1" customWidth="1" outlineLevel="1"/>
    <col min="39" max="39" width="6" hidden="1" customWidth="1" outlineLevel="1"/>
    <col min="40" max="40" width="4.28515625" hidden="1" customWidth="1" outlineLevel="1"/>
    <col min="41" max="41" width="1.28515625" hidden="1" customWidth="1" outlineLevel="1"/>
    <col min="42" max="42" width="7.85546875" hidden="1" customWidth="1" outlineLevel="1"/>
    <col min="43" max="43" width="6.5703125" hidden="1" customWidth="1" outlineLevel="1"/>
    <col min="44" max="44" width="4.28515625" hidden="1" customWidth="1" outlineLevel="1"/>
    <col min="45" max="45" width="1.28515625" hidden="1" customWidth="1" outlineLevel="1"/>
    <col min="46" max="46" width="7.85546875" hidden="1" customWidth="1" outlineLevel="1" collapsed="1"/>
    <col min="47" max="47" width="5.5703125" hidden="1" customWidth="1" outlineLevel="1"/>
    <col min="48" max="48" width="4.7109375" hidden="1" customWidth="1" outlineLevel="1"/>
    <col min="49" max="49" width="1.28515625" hidden="1" customWidth="1" outlineLevel="1"/>
    <col min="50" max="50" width="7.85546875" hidden="1" customWidth="1" outlineLevel="1" collapsed="1"/>
    <col min="51" max="51" width="7" hidden="1" customWidth="1" outlineLevel="1"/>
    <col min="52" max="52" width="4.28515625" hidden="1" customWidth="1" outlineLevel="1"/>
    <col min="53" max="53" width="1.28515625" hidden="1" customWidth="1" outlineLevel="1"/>
    <col min="54" max="54" width="7.85546875" hidden="1" customWidth="1" outlineLevel="1"/>
    <col min="55" max="55" width="7" hidden="1" customWidth="1" outlineLevel="1"/>
    <col min="56" max="56" width="4.28515625" hidden="1" customWidth="1" outlineLevel="1"/>
    <col min="57" max="57" width="1.28515625" hidden="1" customWidth="1" outlineLevel="1"/>
    <col min="58" max="58" width="7.85546875" hidden="1" customWidth="1" outlineLevel="1"/>
    <col min="59" max="59" width="7" hidden="1" customWidth="1" outlineLevel="1"/>
    <col min="60" max="60" width="4.28515625" hidden="1" customWidth="1" outlineLevel="1"/>
    <col min="61" max="61" width="1.140625" hidden="1" customWidth="1" outlineLevel="1"/>
    <col min="62" max="62" width="7.85546875" hidden="1" customWidth="1" outlineLevel="1"/>
    <col min="63" max="63" width="7" hidden="1" customWidth="1" outlineLevel="1"/>
    <col min="64" max="64" width="4.28515625" hidden="1" customWidth="1" outlineLevel="1"/>
    <col min="65" max="65" width="1.140625" hidden="1" customWidth="1" outlineLevel="1"/>
    <col min="66" max="66" width="7.85546875" hidden="1" customWidth="1" outlineLevel="1" collapsed="1"/>
    <col min="67" max="67" width="7" hidden="1" customWidth="1" outlineLevel="1"/>
    <col min="68" max="68" width="4.28515625" hidden="1" customWidth="1" outlineLevel="1"/>
    <col min="69" max="69" width="1.140625" hidden="1" customWidth="1" outlineLevel="1"/>
    <col min="70" max="70" width="7.85546875" hidden="1" customWidth="1" outlineLevel="1"/>
    <col min="71" max="71" width="7" hidden="1" customWidth="1" outlineLevel="1"/>
    <col min="72" max="72" width="5.140625" hidden="1" customWidth="1" outlineLevel="1"/>
    <col min="73" max="73" width="1.140625" hidden="1" customWidth="1" outlineLevel="1"/>
    <col min="74" max="74" width="7.85546875" hidden="1" customWidth="1" outlineLevel="1"/>
    <col min="75" max="75" width="7" hidden="1" customWidth="1" outlineLevel="1"/>
    <col min="76" max="76" width="5.140625" hidden="1" customWidth="1" outlineLevel="1"/>
    <col min="77" max="77" width="8.85546875" hidden="1" customWidth="1" outlineLevel="1"/>
    <col min="78" max="78" width="7.85546875" customWidth="1" collapsed="1"/>
    <col min="79" max="79" width="7" customWidth="1"/>
    <col min="80" max="80" width="5.140625" customWidth="1"/>
    <col min="81" max="81" width="1.140625" customWidth="1"/>
    <col min="82" max="82" width="7.85546875" customWidth="1"/>
    <col min="83" max="83" width="7" customWidth="1"/>
    <col min="84" max="84" width="5.140625" customWidth="1"/>
    <col min="85" max="85" width="1.140625" customWidth="1"/>
    <col min="86" max="86" width="7.85546875" customWidth="1"/>
    <col min="87" max="87" width="7" customWidth="1"/>
    <col min="88" max="88" width="5.140625" customWidth="1"/>
    <col min="89" max="89" width="1.140625" customWidth="1"/>
    <col min="90" max="90" width="7.85546875" customWidth="1"/>
    <col min="91" max="91" width="7" customWidth="1"/>
    <col min="92" max="92" width="5.140625" customWidth="1"/>
    <col min="93" max="93" width="1.140625" customWidth="1"/>
    <col min="94" max="94" width="7.85546875" customWidth="1"/>
    <col min="95" max="95" width="7" customWidth="1"/>
    <col min="96" max="96" width="5.140625" customWidth="1"/>
    <col min="97" max="97" width="1.42578125" customWidth="1"/>
    <col min="98" max="99" width="7.85546875" customWidth="1"/>
    <col min="100" max="100" width="5.42578125" customWidth="1"/>
    <col min="101" max="101" width="1.42578125" customWidth="1"/>
    <col min="102" max="102" width="7.7109375" customWidth="1"/>
    <col min="103" max="103" width="5.85546875" customWidth="1"/>
    <col min="104" max="104" width="6.7109375" customWidth="1"/>
    <col min="105" max="105" width="1.28515625" customWidth="1"/>
    <col min="106" max="106" width="7.7109375" customWidth="1"/>
    <col min="107" max="107" width="6.28515625" customWidth="1"/>
    <col min="108" max="108" width="6.7109375" customWidth="1"/>
    <col min="109" max="109" width="1.7109375" customWidth="1"/>
    <col min="110" max="110" width="7.7109375" style="2595" customWidth="1"/>
    <col min="111" max="111" width="6.28515625" style="2595" customWidth="1"/>
    <col min="112" max="112" width="6.7109375" style="2595" customWidth="1"/>
    <col min="113" max="113" width="3.140625" style="2702" customWidth="1"/>
    <col min="114" max="114" width="7.7109375" style="2702" customWidth="1"/>
    <col min="115" max="115" width="6.28515625" style="2702" customWidth="1"/>
    <col min="116" max="116" width="6.7109375" style="2702" customWidth="1"/>
  </cols>
  <sheetData>
    <row r="1" spans="1:116">
      <c r="A1" s="25" t="str">
        <f>'qtrP&amp;L'!A1</f>
        <v>L Brands Inc.</v>
      </c>
      <c r="B1" s="76"/>
      <c r="C1" s="25"/>
      <c r="D1" s="25"/>
      <c r="E1" s="44"/>
      <c r="F1" s="25"/>
      <c r="G1" s="48"/>
      <c r="H1" s="48"/>
      <c r="I1" s="25"/>
      <c r="J1" s="25"/>
      <c r="K1" s="48"/>
      <c r="L1" s="48"/>
      <c r="M1" s="44"/>
      <c r="N1" s="48"/>
      <c r="O1" s="48"/>
      <c r="P1" s="48"/>
      <c r="Q1" s="48"/>
      <c r="R1" s="48"/>
      <c r="S1" s="48"/>
      <c r="T1" s="48"/>
      <c r="U1" s="49"/>
      <c r="V1" s="25"/>
      <c r="W1" s="48"/>
      <c r="X1" s="48"/>
      <c r="Y1" s="25"/>
      <c r="Z1" s="25"/>
      <c r="AA1" s="48"/>
      <c r="AB1" s="48"/>
      <c r="AC1" s="44"/>
      <c r="AD1" s="48"/>
      <c r="AE1" s="48"/>
      <c r="AF1" s="48"/>
      <c r="AG1" s="48"/>
      <c r="AH1" s="48"/>
      <c r="AI1" s="48"/>
      <c r="AJ1" s="48"/>
      <c r="AK1" s="49"/>
      <c r="AL1" s="48"/>
      <c r="AM1" s="48"/>
      <c r="AN1" s="48"/>
      <c r="AO1" s="49"/>
      <c r="AP1" s="48"/>
      <c r="AQ1" s="48"/>
      <c r="AR1" s="48"/>
      <c r="AS1" s="49"/>
      <c r="AT1" s="48"/>
      <c r="AU1" s="48"/>
      <c r="AV1" s="48"/>
      <c r="AW1" s="49"/>
      <c r="AX1" s="48"/>
      <c r="AY1" s="48"/>
      <c r="AZ1" s="48"/>
      <c r="BA1" s="49"/>
      <c r="BB1" s="48"/>
      <c r="BC1" s="48"/>
      <c r="BD1" s="48"/>
      <c r="BE1" s="49"/>
      <c r="BF1" s="48"/>
      <c r="BG1" s="48"/>
      <c r="BH1" s="48"/>
      <c r="BI1" s="48"/>
      <c r="BJ1" s="48"/>
      <c r="BK1" s="48"/>
      <c r="BL1" s="48"/>
      <c r="BM1" s="48"/>
      <c r="BN1" s="48"/>
      <c r="BO1" s="48"/>
      <c r="BP1" s="48"/>
      <c r="BQ1" s="48"/>
      <c r="BR1" s="932"/>
      <c r="BS1" s="48"/>
      <c r="BT1" s="48"/>
      <c r="BU1" s="48"/>
      <c r="BV1" s="48"/>
      <c r="BW1" s="48"/>
      <c r="BX1" s="48"/>
      <c r="BY1" s="48"/>
      <c r="BZ1" s="48"/>
      <c r="CA1" s="48"/>
      <c r="CB1" s="48"/>
      <c r="CC1" s="48"/>
      <c r="CD1" s="48"/>
      <c r="CE1" s="48"/>
      <c r="CF1" s="48"/>
      <c r="CG1" s="48"/>
      <c r="CH1" s="48"/>
      <c r="CI1" s="48"/>
      <c r="CJ1" s="48"/>
      <c r="CK1" s="48"/>
      <c r="CL1" s="48"/>
      <c r="CM1" s="48"/>
      <c r="CN1" s="48"/>
    </row>
    <row r="2" spans="1:116">
      <c r="A2" s="26" t="s">
        <v>339</v>
      </c>
      <c r="B2" s="77"/>
      <c r="C2" s="26"/>
      <c r="D2" s="26"/>
      <c r="E2" s="45"/>
      <c r="F2" s="26"/>
      <c r="G2" s="26"/>
      <c r="H2" s="26"/>
      <c r="I2" s="26"/>
      <c r="J2" s="26"/>
      <c r="K2" s="26"/>
      <c r="L2" s="26"/>
      <c r="M2" s="45"/>
      <c r="N2" s="26"/>
      <c r="O2" s="26"/>
      <c r="P2" s="26"/>
      <c r="Q2" s="26"/>
      <c r="R2" s="26"/>
      <c r="S2" s="26"/>
      <c r="T2" s="26"/>
      <c r="U2" s="45"/>
      <c r="V2" s="26"/>
      <c r="W2" s="26"/>
      <c r="X2" s="26"/>
      <c r="Y2" s="26"/>
      <c r="Z2" s="26"/>
      <c r="AA2" s="26"/>
      <c r="AB2" s="26"/>
      <c r="AC2" s="45"/>
      <c r="AD2" s="26"/>
      <c r="AE2" s="26"/>
      <c r="AF2" s="26"/>
      <c r="AG2" s="26"/>
      <c r="AH2" s="26"/>
      <c r="AI2" s="26"/>
      <c r="AJ2" s="26"/>
      <c r="AK2" s="45"/>
      <c r="AL2" s="26"/>
      <c r="AM2" s="26"/>
      <c r="AN2" s="26"/>
      <c r="AO2" s="45"/>
      <c r="AP2" s="26"/>
      <c r="AQ2" s="26"/>
      <c r="AR2" s="26"/>
      <c r="AS2" s="45"/>
      <c r="AT2" s="26"/>
      <c r="AU2" s="26"/>
      <c r="AV2" s="26"/>
      <c r="AW2" s="45"/>
      <c r="AX2" s="26"/>
      <c r="AY2" s="26"/>
      <c r="AZ2" s="26"/>
      <c r="BA2" s="45"/>
      <c r="BB2" s="26"/>
      <c r="BC2" s="26"/>
      <c r="BD2" s="26"/>
      <c r="BE2" s="45"/>
      <c r="BF2" s="26"/>
      <c r="BG2" s="26"/>
      <c r="BH2" s="26"/>
      <c r="BI2" s="48"/>
      <c r="BJ2" s="26"/>
      <c r="BK2" s="26"/>
      <c r="BL2" s="26"/>
      <c r="BM2" s="48"/>
      <c r="BN2" s="26"/>
      <c r="BO2" s="26"/>
      <c r="BP2" s="26"/>
      <c r="BQ2" s="26"/>
      <c r="BR2" s="26"/>
      <c r="BS2" s="26"/>
      <c r="BT2" s="26"/>
      <c r="BU2" s="26"/>
      <c r="BV2" s="26"/>
      <c r="BW2" s="26"/>
      <c r="BX2" s="26"/>
      <c r="BY2" s="26"/>
      <c r="BZ2" s="26"/>
      <c r="CA2" s="26"/>
      <c r="CB2" s="26"/>
      <c r="CC2" s="26"/>
      <c r="CD2" s="26"/>
      <c r="CE2" s="26"/>
      <c r="CF2" s="26"/>
      <c r="CG2" s="26"/>
      <c r="CH2" s="26"/>
      <c r="CI2" s="26"/>
      <c r="CJ2" s="26"/>
      <c r="CK2" s="26"/>
      <c r="CL2" s="26"/>
      <c r="CM2" s="26"/>
      <c r="CN2" s="26"/>
      <c r="CO2" s="26"/>
      <c r="CP2" s="26"/>
      <c r="CQ2" s="26"/>
      <c r="CR2" s="26"/>
      <c r="CS2" s="26"/>
      <c r="CT2" s="26"/>
      <c r="CU2" s="26"/>
      <c r="CV2" s="26"/>
      <c r="CW2" s="26"/>
      <c r="CX2" s="26"/>
      <c r="CY2" s="26"/>
      <c r="CZ2" s="26"/>
      <c r="DA2" s="26"/>
      <c r="DB2" s="26"/>
      <c r="DC2" s="26"/>
      <c r="DD2" s="26"/>
      <c r="DF2" s="26"/>
      <c r="DG2" s="26"/>
      <c r="DH2" s="26"/>
      <c r="DJ2" s="26"/>
      <c r="DK2" s="26"/>
      <c r="DL2" s="26"/>
    </row>
    <row r="3" spans="1:116">
      <c r="A3" s="87" t="str">
        <f>bal!A3</f>
        <v>At January 31 of the following year</v>
      </c>
      <c r="B3" s="24"/>
      <c r="C3" s="24"/>
      <c r="D3" s="24"/>
      <c r="E3" s="24"/>
      <c r="F3" s="24"/>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c r="CD3" s="24"/>
      <c r="CE3" s="24"/>
      <c r="CF3" s="24"/>
      <c r="CG3" s="24"/>
      <c r="CH3" s="24"/>
      <c r="CI3" s="24"/>
      <c r="CJ3" s="24"/>
      <c r="CK3" s="24"/>
      <c r="CL3" s="24"/>
      <c r="CM3" s="24"/>
      <c r="CN3" s="24"/>
    </row>
    <row r="4" spans="1:116">
      <c r="A4" s="88" t="s">
        <v>1182</v>
      </c>
      <c r="B4" s="87"/>
      <c r="C4" s="87"/>
      <c r="D4" s="87"/>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c r="BT4" s="87"/>
      <c r="BU4" s="87"/>
      <c r="BV4" s="87"/>
      <c r="BW4" s="87"/>
      <c r="BX4" s="87"/>
      <c r="BY4" s="87"/>
      <c r="BZ4" s="87"/>
      <c r="CA4" s="87"/>
      <c r="CB4" s="87"/>
      <c r="CC4" s="87"/>
      <c r="CD4" s="87"/>
      <c r="CE4" s="87"/>
      <c r="CF4" s="87"/>
      <c r="CG4" s="87"/>
      <c r="CH4" s="87"/>
      <c r="CI4" s="87"/>
      <c r="CJ4" s="87"/>
      <c r="CK4" s="87"/>
      <c r="CL4" s="87"/>
      <c r="CM4" s="87"/>
      <c r="CN4" s="87"/>
    </row>
    <row r="5" spans="1:116">
      <c r="A5" s="24"/>
      <c r="B5" s="24"/>
      <c r="C5" s="24"/>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c r="CD5" s="24"/>
      <c r="CE5" s="24"/>
      <c r="CF5" s="24"/>
      <c r="CG5" s="24"/>
      <c r="CH5" s="24"/>
      <c r="CI5" s="24"/>
      <c r="CJ5" s="24"/>
      <c r="CK5" s="24"/>
      <c r="CL5" s="24"/>
      <c r="CM5" s="24"/>
      <c r="CN5" s="24"/>
    </row>
    <row r="6" spans="1:116">
      <c r="A6" s="24"/>
      <c r="B6" s="24"/>
      <c r="C6" s="24"/>
      <c r="D6" s="24"/>
      <c r="E6" s="24"/>
      <c r="F6" s="24"/>
      <c r="G6" s="90"/>
      <c r="H6" s="90"/>
      <c r="I6" s="24"/>
      <c r="J6" s="24"/>
      <c r="K6" s="90"/>
      <c r="L6" s="90"/>
      <c r="M6" s="24"/>
      <c r="N6" s="24"/>
      <c r="O6" s="90"/>
      <c r="P6" s="90"/>
      <c r="Q6" s="24"/>
      <c r="R6" s="24"/>
      <c r="S6" s="90"/>
      <c r="T6" s="90"/>
      <c r="U6" s="24"/>
      <c r="V6" s="24"/>
      <c r="W6" s="90"/>
      <c r="X6" s="90"/>
      <c r="Y6" s="24"/>
      <c r="Z6" s="24"/>
      <c r="AA6" s="90"/>
      <c r="AB6" s="90"/>
      <c r="AC6" s="24"/>
      <c r="AD6" s="24"/>
      <c r="AE6" s="90"/>
      <c r="AF6" s="90"/>
      <c r="AG6" s="24"/>
      <c r="AH6" s="24"/>
      <c r="AI6" s="90"/>
      <c r="AJ6" s="90"/>
      <c r="AK6" s="24"/>
      <c r="AL6" s="90"/>
      <c r="AM6" s="90"/>
      <c r="AN6" s="90"/>
      <c r="AO6" s="24"/>
      <c r="AP6" s="90"/>
      <c r="AQ6" s="90"/>
      <c r="AR6" s="90"/>
      <c r="AS6" s="24"/>
      <c r="AT6" s="90"/>
      <c r="AU6" s="90"/>
      <c r="AV6" s="90"/>
      <c r="AW6" s="24"/>
      <c r="AX6" s="90"/>
      <c r="AY6" s="90"/>
      <c r="AZ6" s="90"/>
      <c r="BA6" s="24"/>
      <c r="BB6" s="90"/>
      <c r="BC6" s="90"/>
      <c r="BD6" s="90"/>
      <c r="BE6" s="24"/>
      <c r="BF6" s="90"/>
      <c r="BG6" s="90"/>
      <c r="BH6" s="90"/>
      <c r="BI6" s="24"/>
      <c r="BJ6" s="90"/>
      <c r="BK6" s="90"/>
      <c r="BL6" s="90"/>
      <c r="BM6" s="24"/>
      <c r="BN6" s="90"/>
      <c r="BO6" s="90"/>
      <c r="BP6" s="90"/>
      <c r="BQ6" s="24"/>
      <c r="BR6" s="90"/>
      <c r="BS6" s="90"/>
      <c r="BT6" s="90"/>
      <c r="BU6" s="24"/>
      <c r="BV6" s="90"/>
      <c r="BW6" s="90"/>
      <c r="BX6" s="90"/>
      <c r="BY6" s="24"/>
      <c r="BZ6" s="90"/>
      <c r="CA6" s="90"/>
      <c r="CB6" s="90"/>
      <c r="CC6" s="24"/>
      <c r="CD6" s="90"/>
      <c r="CE6" s="90"/>
      <c r="CF6" s="90"/>
      <c r="CG6" s="24"/>
      <c r="CH6" s="90"/>
      <c r="CI6" s="90"/>
      <c r="CJ6" s="90"/>
      <c r="CK6" s="24"/>
      <c r="CL6" s="90"/>
      <c r="CM6" s="90"/>
      <c r="CN6" s="90"/>
    </row>
    <row r="7" spans="1:116">
      <c r="A7" s="24"/>
      <c r="B7" s="24"/>
      <c r="C7" s="24"/>
      <c r="D7" s="89">
        <v>1990</v>
      </c>
      <c r="E7" s="69"/>
      <c r="F7" s="29">
        <f>D7+1</f>
        <v>1991</v>
      </c>
      <c r="G7" s="29"/>
      <c r="H7" s="29"/>
      <c r="I7" s="69"/>
      <c r="J7" s="29">
        <f>F7+1</f>
        <v>1992</v>
      </c>
      <c r="K7" s="29"/>
      <c r="L7" s="29"/>
      <c r="M7" s="69"/>
      <c r="N7" s="29">
        <f>J7+1</f>
        <v>1993</v>
      </c>
      <c r="O7" s="29"/>
      <c r="P7" s="29"/>
      <c r="Q7" s="69"/>
      <c r="R7" s="29">
        <f>N7+1</f>
        <v>1994</v>
      </c>
      <c r="S7" s="29"/>
      <c r="T7" s="29"/>
      <c r="U7" s="69"/>
      <c r="V7" s="29">
        <f>R7+1</f>
        <v>1995</v>
      </c>
      <c r="W7" s="29"/>
      <c r="X7" s="29"/>
      <c r="Y7" s="69"/>
      <c r="Z7" s="29">
        <f>V7+1</f>
        <v>1996</v>
      </c>
      <c r="AA7" s="29"/>
      <c r="AB7" s="29"/>
      <c r="AC7" s="69"/>
      <c r="AD7" s="29">
        <f>Z7+1</f>
        <v>1997</v>
      </c>
      <c r="AE7" s="29"/>
      <c r="AF7" s="29"/>
      <c r="AG7" s="69"/>
      <c r="AH7" s="29">
        <f>AD7+1</f>
        <v>1998</v>
      </c>
      <c r="AI7" s="29"/>
      <c r="AJ7" s="29"/>
      <c r="AK7" s="69"/>
      <c r="AL7" s="29">
        <f>AH7+1</f>
        <v>1999</v>
      </c>
      <c r="AM7" s="29"/>
      <c r="AN7" s="29"/>
      <c r="AO7" s="24"/>
      <c r="AP7" s="29">
        <f>AL7+1</f>
        <v>2000</v>
      </c>
      <c r="AQ7" s="29"/>
      <c r="AR7" s="29"/>
      <c r="AS7" s="24"/>
      <c r="AT7" s="29">
        <f>AP7+1</f>
        <v>2001</v>
      </c>
      <c r="AU7" s="29"/>
      <c r="AV7" s="29"/>
      <c r="AW7" s="24"/>
      <c r="AX7" s="29">
        <f>AT7+1</f>
        <v>2002</v>
      </c>
      <c r="AY7" s="29"/>
      <c r="AZ7" s="29"/>
      <c r="BA7" s="24"/>
      <c r="BB7" s="29">
        <f>AX7+1</f>
        <v>2003</v>
      </c>
      <c r="BC7" s="29"/>
      <c r="BD7" s="29"/>
      <c r="BE7" s="24"/>
      <c r="BF7" s="29">
        <f>BB7+1</f>
        <v>2004</v>
      </c>
      <c r="BG7" s="29"/>
      <c r="BH7" s="29"/>
      <c r="BI7" s="24"/>
      <c r="BJ7" s="29">
        <f>BF7+1</f>
        <v>2005</v>
      </c>
      <c r="BK7" s="29"/>
      <c r="BL7" s="29"/>
      <c r="BM7" s="24"/>
      <c r="BN7" s="29">
        <f>BJ7+1</f>
        <v>2006</v>
      </c>
      <c r="BO7" s="29"/>
      <c r="BP7" s="29"/>
      <c r="BQ7" s="24"/>
      <c r="BR7" s="29">
        <f>BN7+1</f>
        <v>2007</v>
      </c>
      <c r="BS7" s="29"/>
      <c r="BT7" s="29"/>
      <c r="BU7" s="24"/>
      <c r="BV7" s="29">
        <f>BR7+1</f>
        <v>2008</v>
      </c>
      <c r="BW7" s="29"/>
      <c r="BX7" s="29"/>
      <c r="BY7" s="24"/>
      <c r="BZ7" s="29">
        <f>BV7+1</f>
        <v>2009</v>
      </c>
      <c r="CA7" s="29"/>
      <c r="CB7" s="29"/>
      <c r="CC7" s="24"/>
      <c r="CD7" s="29" t="s">
        <v>112</v>
      </c>
      <c r="CE7" s="29"/>
      <c r="CF7" s="29"/>
      <c r="CG7" s="24"/>
      <c r="CH7" s="29" t="s">
        <v>432</v>
      </c>
      <c r="CI7" s="29"/>
      <c r="CJ7" s="29"/>
      <c r="CK7" s="24"/>
      <c r="CL7" s="29" t="s">
        <v>201</v>
      </c>
      <c r="CM7" s="29"/>
      <c r="CN7" s="29"/>
      <c r="CP7" s="29" t="s">
        <v>853</v>
      </c>
      <c r="CQ7" s="29"/>
      <c r="CR7" s="29"/>
      <c r="CT7" s="29" t="s">
        <v>335</v>
      </c>
      <c r="CU7" s="29"/>
      <c r="CV7" s="29"/>
      <c r="CX7" s="29" t="s">
        <v>1266</v>
      </c>
      <c r="CY7" s="29"/>
      <c r="CZ7" s="29"/>
      <c r="DB7" s="29" t="s">
        <v>1308</v>
      </c>
      <c r="DC7" s="29"/>
      <c r="DD7" s="29"/>
      <c r="DF7" s="29" t="s">
        <v>1332</v>
      </c>
      <c r="DG7" s="29"/>
      <c r="DH7" s="29"/>
      <c r="DJ7" s="29" t="s">
        <v>1374</v>
      </c>
      <c r="DK7" s="29"/>
      <c r="DL7" s="29"/>
    </row>
    <row r="8" spans="1:116">
      <c r="A8" s="24"/>
      <c r="B8" s="24"/>
      <c r="C8" s="24"/>
      <c r="D8" s="24"/>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c r="CD8" s="24"/>
      <c r="CE8" s="24"/>
      <c r="CF8" s="24"/>
      <c r="CG8" s="24"/>
      <c r="CH8" s="24"/>
      <c r="CI8" s="24"/>
      <c r="CJ8" s="24"/>
      <c r="CK8" s="24"/>
      <c r="CL8" s="24"/>
      <c r="CM8" s="24"/>
      <c r="CN8" s="24"/>
    </row>
    <row r="9" spans="1:116">
      <c r="A9" s="136" t="s">
        <v>175</v>
      </c>
      <c r="B9" s="27"/>
      <c r="C9" s="24"/>
      <c r="D9" s="27"/>
      <c r="E9" s="24"/>
      <c r="F9" s="30"/>
      <c r="G9" s="30"/>
      <c r="H9" s="30"/>
      <c r="I9" s="30"/>
      <c r="J9" s="30"/>
      <c r="K9" s="30"/>
      <c r="L9" s="30"/>
      <c r="M9" s="133"/>
      <c r="N9" s="133"/>
      <c r="O9" s="30"/>
      <c r="P9" s="30"/>
      <c r="Q9" s="30"/>
      <c r="R9" s="30"/>
      <c r="S9" s="30"/>
      <c r="T9" s="30"/>
      <c r="U9" s="30"/>
      <c r="V9" s="30"/>
      <c r="W9" s="30"/>
      <c r="X9" s="30"/>
      <c r="Y9" s="30"/>
      <c r="Z9" s="30"/>
      <c r="AA9" s="30"/>
      <c r="AB9" s="30"/>
      <c r="AC9" s="133"/>
      <c r="AD9" s="133"/>
      <c r="AE9" s="30"/>
      <c r="AF9" s="30"/>
      <c r="AG9" s="30"/>
      <c r="AH9" s="30"/>
      <c r="AI9" s="30"/>
      <c r="AJ9" s="30"/>
      <c r="AK9" s="30"/>
      <c r="AL9" s="30"/>
      <c r="AM9" s="30"/>
      <c r="AN9" s="30"/>
      <c r="AO9" s="24"/>
      <c r="AP9" s="30"/>
      <c r="AQ9" s="30"/>
      <c r="AR9" s="30"/>
      <c r="AS9" s="24"/>
      <c r="AT9" s="30"/>
      <c r="AU9" s="30"/>
      <c r="AV9" s="30"/>
      <c r="AW9" s="24"/>
      <c r="AX9" s="30"/>
      <c r="AY9" s="30"/>
      <c r="AZ9" s="30"/>
      <c r="BA9" s="24"/>
      <c r="BB9" s="30"/>
      <c r="BC9" s="30"/>
      <c r="BD9" s="30"/>
      <c r="BE9" s="24"/>
      <c r="BF9" s="30"/>
      <c r="BG9" s="30"/>
      <c r="BH9" s="30"/>
      <c r="BI9" s="24"/>
      <c r="BJ9" s="30"/>
      <c r="BK9" s="30"/>
      <c r="BL9" s="30"/>
      <c r="BM9" s="24"/>
      <c r="BN9" s="30"/>
      <c r="BO9" s="30"/>
      <c r="BP9" s="30"/>
      <c r="BQ9" s="24"/>
      <c r="BR9" s="30"/>
      <c r="BS9" s="30"/>
      <c r="BT9" s="30"/>
      <c r="BU9" s="24"/>
      <c r="BV9" s="30"/>
      <c r="BW9" s="30"/>
      <c r="BX9" s="30"/>
      <c r="BY9" s="24"/>
      <c r="BZ9" s="30"/>
      <c r="CA9" s="30"/>
      <c r="CB9" s="30"/>
      <c r="CC9" s="24"/>
      <c r="CD9" s="30"/>
      <c r="CE9" s="30"/>
      <c r="CF9" s="30"/>
      <c r="CG9" s="24"/>
      <c r="CH9" s="30"/>
      <c r="CI9" s="30"/>
      <c r="CJ9" s="30"/>
      <c r="CK9" s="24"/>
      <c r="CL9" s="30"/>
      <c r="CM9" s="30"/>
      <c r="CN9" s="30"/>
    </row>
    <row r="10" spans="1:116">
      <c r="A10" s="24" t="str">
        <f>'qtrP&amp;L'!A10</f>
        <v>1Q</v>
      </c>
      <c r="B10" s="24" t="str">
        <f>'qtrP&amp;L'!B10</f>
        <v>Apr</v>
      </c>
      <c r="C10" s="24"/>
      <c r="D10" s="138">
        <v>513.20100000000002</v>
      </c>
      <c r="E10" s="24"/>
      <c r="F10" s="138">
        <v>615.20600000000002</v>
      </c>
      <c r="G10" s="32">
        <f>(F10/D10-1)*100</f>
        <v>19.876227832759486</v>
      </c>
      <c r="H10" s="41">
        <f>'qtrP&amp;L'!K10</f>
        <v>15.996550307266478</v>
      </c>
      <c r="I10" s="92"/>
      <c r="J10" s="138">
        <v>760.58500000000004</v>
      </c>
      <c r="K10" s="32">
        <f>(J10/F10-1)*100</f>
        <v>23.630946382187435</v>
      </c>
      <c r="L10" s="41">
        <f>'qtrP&amp;L'!O10</f>
        <v>10.209796633973856</v>
      </c>
      <c r="M10" s="92"/>
      <c r="N10" s="138">
        <v>874.01099999999997</v>
      </c>
      <c r="O10" s="32">
        <f>(N10/J10-1)*100</f>
        <v>14.912994602838591</v>
      </c>
      <c r="P10" s="41">
        <f>'qtrP&amp;L'!S10</f>
        <v>7.2714172185430304</v>
      </c>
      <c r="Q10" s="92"/>
      <c r="R10" s="138">
        <v>803.43700000000001</v>
      </c>
      <c r="S10" s="32">
        <f>(R10/N10-1)*100</f>
        <v>-8.0747267482903506</v>
      </c>
      <c r="T10" s="41">
        <f>'qtrP&amp;L'!W10</f>
        <v>-2.4321051311076758</v>
      </c>
      <c r="U10" s="92"/>
      <c r="V10" s="138">
        <v>985.53300000000002</v>
      </c>
      <c r="W10" s="32">
        <f>(V10/R10-1)*100</f>
        <v>22.664627095839496</v>
      </c>
      <c r="X10" s="41">
        <f>'qtrP&amp;L'!AA10</f>
        <v>7.1884440628821933</v>
      </c>
      <c r="Y10" s="92"/>
      <c r="Z10" s="138">
        <v>1010.971</v>
      </c>
      <c r="AA10" s="32">
        <f>(Z10/V10-1)*100</f>
        <v>2.5811413722320875</v>
      </c>
      <c r="AB10" s="41">
        <f>'qtrP&amp;L'!AE10</f>
        <v>12.581369078427883</v>
      </c>
      <c r="AC10" s="92"/>
      <c r="AD10" s="138">
        <v>1091.056</v>
      </c>
      <c r="AE10" s="32">
        <f>(AD10/Z10-1)*100</f>
        <v>7.9215922118438753</v>
      </c>
      <c r="AF10" s="41" t="str">
        <f>'qtrP&amp;L'!AI10</f>
        <v>NM</v>
      </c>
      <c r="AG10" s="92"/>
      <c r="AH10" s="138">
        <v>1056.0909999999999</v>
      </c>
      <c r="AI10" s="32">
        <f>(AH10/AD10-1)*100</f>
        <v>-3.2046934346174893</v>
      </c>
      <c r="AJ10" s="41">
        <f>'qtrP&amp;L'!AM10</f>
        <v>6.3979816809976775</v>
      </c>
      <c r="AK10" s="92"/>
      <c r="AL10" s="138">
        <v>1170.3030000000001</v>
      </c>
      <c r="AM10" s="32">
        <f>(AL10/AH10-1)*100</f>
        <v>10.81459836320926</v>
      </c>
      <c r="AN10" s="41" t="str">
        <f>'qtrP&amp;L'!AQ10</f>
        <v>NM</v>
      </c>
      <c r="AO10" s="24"/>
      <c r="AP10" s="138">
        <v>1147.194</v>
      </c>
      <c r="AQ10" s="32">
        <f>(AP10/AL10-1)*100</f>
        <v>-1.974616830000453</v>
      </c>
      <c r="AR10" s="41">
        <f>'qtrP&amp;L'!AU10</f>
        <v>7.7445005192068317</v>
      </c>
      <c r="AS10" s="24"/>
      <c r="AT10" s="138">
        <v>1157.1400000000001</v>
      </c>
      <c r="AU10" s="32">
        <f>(AT10/AP10-1)*100</f>
        <v>0.86698500863848782</v>
      </c>
      <c r="AV10" s="41">
        <f>'qtrP&amp;L'!AY10</f>
        <v>-1.6785881211432763</v>
      </c>
      <c r="AW10" s="24"/>
      <c r="AX10" s="138">
        <v>919</v>
      </c>
      <c r="AY10" s="32">
        <f>(AX10/AT10-1)*100</f>
        <v>-20.580050814940286</v>
      </c>
      <c r="AZ10" s="41">
        <f>'qtrP&amp;L'!BC10</f>
        <v>8.234698752841707</v>
      </c>
      <c r="BA10" s="24"/>
      <c r="BB10" s="138">
        <v>955.18700000000001</v>
      </c>
      <c r="BC10" s="32">
        <f>(BB10/AX10-1)*100</f>
        <v>3.9376496191512622</v>
      </c>
      <c r="BD10" s="41">
        <f>'qtrP&amp;L'!BG10</f>
        <v>2.4234074810405515</v>
      </c>
      <c r="BE10" s="24"/>
      <c r="BF10" s="365">
        <v>1003.173</v>
      </c>
      <c r="BG10" s="32">
        <f>(BF10/BB10-1)*100</f>
        <v>5.0237283380113018</v>
      </c>
      <c r="BH10" s="41">
        <f>'qtrP&amp;L'!BK10</f>
        <v>7.3769864468106849</v>
      </c>
      <c r="BI10" s="168"/>
      <c r="BJ10" s="365">
        <v>1285.837</v>
      </c>
      <c r="BK10" s="32">
        <f>(BJ10/BF10-1)*100</f>
        <v>28.176994396779008</v>
      </c>
      <c r="BL10" s="41">
        <f>'qtrP&amp;L'!BO10</f>
        <v>-0.16535208975013704</v>
      </c>
      <c r="BM10" s="168"/>
      <c r="BN10" s="365">
        <v>1352.836</v>
      </c>
      <c r="BO10" s="32">
        <f>(BN10/BJ10-1)*100</f>
        <v>5.2105360166179615</v>
      </c>
      <c r="BP10" s="41">
        <f>'qtrP&amp;L'!BW10</f>
        <v>5.1727856959125518</v>
      </c>
      <c r="BQ10" s="168"/>
      <c r="BR10" s="365">
        <v>1815.998</v>
      </c>
      <c r="BS10" s="32">
        <f>(BR10/BN10-1)*100</f>
        <v>34.236374549464976</v>
      </c>
      <c r="BT10" s="41">
        <f>'qtrP&amp;L'!CA10</f>
        <v>11.253816034059172</v>
      </c>
      <c r="BU10" s="168"/>
      <c r="BV10" s="365">
        <v>1224.4839999999999</v>
      </c>
      <c r="BW10" s="32">
        <f>(BV10/BR10-1)*100</f>
        <v>-32.572392700873024</v>
      </c>
      <c r="BX10" s="41">
        <f>'qtrP&amp;L'!CE10</f>
        <v>-16.693561613662201</v>
      </c>
      <c r="BY10" s="168"/>
      <c r="BZ10" s="365">
        <v>1213.425</v>
      </c>
      <c r="CA10" s="32">
        <f>(BZ10/BV10-1)*100</f>
        <v>-0.90315594160478296</v>
      </c>
      <c r="CB10" s="41">
        <f>'qtrP&amp;L'!CI10</f>
        <v>-10.381069679665423</v>
      </c>
      <c r="CC10" s="168"/>
      <c r="CD10" s="365">
        <v>1097.8309999999999</v>
      </c>
      <c r="CE10" s="32">
        <f>(CD10/BZ10-1)*100</f>
        <v>-9.526258318396275</v>
      </c>
      <c r="CF10" s="41">
        <f>'qtrP&amp;L'!CM10</f>
        <v>11.957719432170766</v>
      </c>
      <c r="CG10" s="168"/>
      <c r="CH10" s="365">
        <v>1075.9860000000001</v>
      </c>
      <c r="CI10" s="32">
        <f>(CH10/CD10-1)*100</f>
        <v>-1.989832679164627</v>
      </c>
      <c r="CJ10" s="41">
        <f>+'qtrP&amp;L'!CQ10</f>
        <v>14.779998923136816</v>
      </c>
      <c r="CK10" s="168"/>
      <c r="CL10" s="365">
        <v>1100.4359999999999</v>
      </c>
      <c r="CM10" s="32">
        <f>(CL10/CH10-1)*100</f>
        <v>2.2723343984029309</v>
      </c>
      <c r="CN10" s="41">
        <f>+'qtrP&amp;L'!CU10</f>
        <v>-2.8521657704924985</v>
      </c>
      <c r="CP10" s="365">
        <v>1114.8630000000001</v>
      </c>
      <c r="CQ10" s="32">
        <f>(CP10/CL10-1)*100</f>
        <v>1.3110258115874185</v>
      </c>
      <c r="CR10" s="41">
        <f>+'qtrP&amp;L'!CY10</f>
        <v>5.3009958287367764</v>
      </c>
      <c r="CT10" s="365">
        <v>1219.4670000000001</v>
      </c>
      <c r="CU10" s="32">
        <f>(CT10/CP10-1)*100</f>
        <v>9.3826775128423847</v>
      </c>
      <c r="CV10" s="41">
        <f>+'qtrP&amp;L'!DC10</f>
        <v>5.4354670020053231</v>
      </c>
      <c r="CX10" s="365">
        <v>1138.558</v>
      </c>
      <c r="CY10" s="32">
        <f>(CX10/CT10-1)*100</f>
        <v>-6.6347838850907888</v>
      </c>
      <c r="CZ10" s="41">
        <f>+'qtrP&amp;L'!DG10</f>
        <v>5.0479878556224156</v>
      </c>
      <c r="DB10" s="365">
        <v>1265.7950000000001</v>
      </c>
      <c r="DC10" s="32">
        <f>(DB10/CX10-1)*100</f>
        <v>11.175276094849806</v>
      </c>
      <c r="DD10" s="41">
        <f>+'qtrP&amp;L'!DK10</f>
        <v>4.0556717340668014</v>
      </c>
      <c r="DF10" s="365">
        <v>1147.0360000000001</v>
      </c>
      <c r="DG10" s="32">
        <f>(DF10/DB10-1)*100</f>
        <v>-9.3821669385643069</v>
      </c>
      <c r="DH10" s="41">
        <f>+'qtrP&amp;L'!DO10</f>
        <v>-6.7828824916836066</v>
      </c>
      <c r="DJ10" s="365"/>
      <c r="DK10" s="32"/>
      <c r="DL10" s="41"/>
    </row>
    <row r="11" spans="1:116">
      <c r="A11" s="24" t="str">
        <f>'qtrP&amp;L'!A11</f>
        <v>2Q</v>
      </c>
      <c r="B11" s="24" t="str">
        <f>'qtrP&amp;L'!B11</f>
        <v>Jul</v>
      </c>
      <c r="C11" s="24"/>
      <c r="D11" s="152">
        <v>561.952</v>
      </c>
      <c r="E11" s="24"/>
      <c r="F11" s="152">
        <v>718.50199999999995</v>
      </c>
      <c r="G11" s="32">
        <f>(F11/D11-1)*100</f>
        <v>27.858251238539932</v>
      </c>
      <c r="H11" s="41">
        <f>'qtrP&amp;L'!K11</f>
        <v>19.108804897441622</v>
      </c>
      <c r="I11" s="92"/>
      <c r="J11" s="152">
        <v>826.45600000000002</v>
      </c>
      <c r="K11" s="32">
        <f>(J11/F11-1)*100</f>
        <v>15.024871190337684</v>
      </c>
      <c r="L11" s="41">
        <f>'qtrP&amp;L'!O11</f>
        <v>8.3049189745379781</v>
      </c>
      <c r="M11" s="92"/>
      <c r="N11" s="152">
        <v>904.39800000000002</v>
      </c>
      <c r="O11" s="32">
        <f>(N11/J11-1)*100</f>
        <v>9.4308710929559503</v>
      </c>
      <c r="P11" s="41">
        <f>'qtrP&amp;L'!S11</f>
        <v>13.405595433844519</v>
      </c>
      <c r="Q11" s="92"/>
      <c r="R11" s="152">
        <v>867.31600000000003</v>
      </c>
      <c r="S11" s="32">
        <f>(R11/N11-1)*100</f>
        <v>-4.1001859800662954</v>
      </c>
      <c r="T11" s="41">
        <f>'qtrP&amp;L'!W11</f>
        <v>-6.137337150063205</v>
      </c>
      <c r="U11" s="92"/>
      <c r="V11" s="152">
        <v>1081.6279999999999</v>
      </c>
      <c r="W11" s="32">
        <f>(V11/R11-1)*100</f>
        <v>24.70979435407623</v>
      </c>
      <c r="X11" s="41">
        <f>'qtrP&amp;L'!AA11</f>
        <v>8.40492446032275</v>
      </c>
      <c r="Y11" s="92"/>
      <c r="Z11" s="152">
        <v>1116.06</v>
      </c>
      <c r="AA11" s="32">
        <f>(Z11/V11-1)*100</f>
        <v>3.183349543465952</v>
      </c>
      <c r="AB11" s="41">
        <f>'qtrP&amp;L'!AE11</f>
        <v>10.296379178223747</v>
      </c>
      <c r="AC11" s="92"/>
      <c r="AD11" s="152">
        <v>1155.665</v>
      </c>
      <c r="AE11" s="32">
        <f>(AD11/Z11-1)*100</f>
        <v>3.5486443381180344</v>
      </c>
      <c r="AF11" s="41" t="str">
        <f>'qtrP&amp;L'!AI11</f>
        <v>NM</v>
      </c>
      <c r="AG11" s="92"/>
      <c r="AH11" s="152">
        <v>1144.5450000000001</v>
      </c>
      <c r="AI11" s="32">
        <f>(AH11/AD11-1)*100</f>
        <v>-0.96221655929701333</v>
      </c>
      <c r="AJ11" s="41">
        <f>'qtrP&amp;L'!AM11</f>
        <v>5.7957809155998019</v>
      </c>
      <c r="AK11" s="92"/>
      <c r="AL11" s="152">
        <v>1238.404</v>
      </c>
      <c r="AM11" s="32">
        <f>(AL11/AH11-1)*100</f>
        <v>8.2005513107828776</v>
      </c>
      <c r="AN11" s="41" t="str">
        <f>'qtrP&amp;L'!AQ11</f>
        <v>NM</v>
      </c>
      <c r="AO11" s="24"/>
      <c r="AP11" s="152">
        <v>1214.807</v>
      </c>
      <c r="AQ11" s="32">
        <f>(AP11/AL11-1)*100</f>
        <v>-1.905436351949763</v>
      </c>
      <c r="AR11" s="41">
        <f>'qtrP&amp;L'!AU11</f>
        <v>5.2456120908987991</v>
      </c>
      <c r="AS11" s="24"/>
      <c r="AT11" s="152">
        <v>1153.5809999999999</v>
      </c>
      <c r="AU11" s="32">
        <f>(AT11/AP11-1)*100</f>
        <v>-5.0399775437579901</v>
      </c>
      <c r="AV11" s="41">
        <f>'qtrP&amp;L'!AY11</f>
        <v>-4.0783506184203899</v>
      </c>
      <c r="AW11" s="24"/>
      <c r="AX11" s="152">
        <v>1167.038</v>
      </c>
      <c r="AY11" s="32">
        <f>(AX11/AT11-1)*100</f>
        <v>1.1665414045481048</v>
      </c>
      <c r="AZ11" s="41">
        <f>'qtrP&amp;L'!BC11</f>
        <v>8.2114757298583427</v>
      </c>
      <c r="BA11" s="24"/>
      <c r="BB11" s="152">
        <v>1074.8610000000001</v>
      </c>
      <c r="BC11" s="32">
        <f>(BB11/AX11-1)*100</f>
        <v>-7.8983717753834837</v>
      </c>
      <c r="BD11" s="41">
        <f>'qtrP&amp;L'!BG11</f>
        <v>5.3173577296989905</v>
      </c>
      <c r="BE11" s="24"/>
      <c r="BF11" s="359">
        <v>1122.241</v>
      </c>
      <c r="BG11" s="32">
        <f>(BF11/BB11-1)*100</f>
        <v>4.4080118266454749</v>
      </c>
      <c r="BH11" s="41">
        <f>'qtrP&amp;L'!BK11</f>
        <v>9.7674104540674591</v>
      </c>
      <c r="BI11" s="168"/>
      <c r="BJ11" s="359">
        <v>1223.4880000000001</v>
      </c>
      <c r="BK11" s="32">
        <f>(BJ11/BF11-1)*100</f>
        <v>9.0218589411721783</v>
      </c>
      <c r="BL11" s="41">
        <f>'qtrP&amp;L'!BO11</f>
        <v>3.6216682226419827</v>
      </c>
      <c r="BM11" s="168"/>
      <c r="BN11" s="359">
        <v>1492.9259999999999</v>
      </c>
      <c r="BO11" s="32">
        <f>(BN11/BJ11-1)*100</f>
        <v>22.022120364073849</v>
      </c>
      <c r="BP11" s="41">
        <f>'qtrP&amp;L'!BW11</f>
        <v>7.1129655973785066</v>
      </c>
      <c r="BQ11" s="168"/>
      <c r="BR11" s="359">
        <v>1468.1969999999999</v>
      </c>
      <c r="BS11" s="32">
        <f>(BR11/BN11-1)*100</f>
        <v>-1.6564116372814186</v>
      </c>
      <c r="BT11" s="41">
        <f>'qtrP&amp;L'!CA11</f>
        <v>6.9370524383703724</v>
      </c>
      <c r="BU11" s="168"/>
      <c r="BV11" s="359">
        <v>1220.075</v>
      </c>
      <c r="BW11" s="32">
        <f>(BV11/BR11-1)*100</f>
        <v>-16.899775711297593</v>
      </c>
      <c r="BX11" s="41">
        <f>'qtrP&amp;L'!CE11</f>
        <v>-12.947905111016189</v>
      </c>
      <c r="BY11" s="168"/>
      <c r="BZ11" s="359">
        <v>1091.412</v>
      </c>
      <c r="CA11" s="32">
        <f>(BZ11/BV11-1)*100</f>
        <v>-10.545499252095158</v>
      </c>
      <c r="CB11" s="41">
        <f>'qtrP&amp;L'!CI11</f>
        <v>-9.5303885542880611</v>
      </c>
      <c r="CC11" s="168"/>
      <c r="CD11" s="359">
        <v>1083.598</v>
      </c>
      <c r="CE11" s="32">
        <f>(CD11/BZ11-1)*100</f>
        <v>-0.71595327887178373</v>
      </c>
      <c r="CF11" s="41">
        <f>'qtrP&amp;L'!CM11</f>
        <v>8.5115237030692903</v>
      </c>
      <c r="CG11" s="168"/>
      <c r="CH11" s="359">
        <v>1104.4079999999999</v>
      </c>
      <c r="CI11" s="32">
        <f>(CH11/CD11-1)*100</f>
        <v>1.9204538952637407</v>
      </c>
      <c r="CJ11" s="41">
        <f>+'qtrP&amp;L'!CQ11</f>
        <v>9.6153417376065207</v>
      </c>
      <c r="CK11" s="168"/>
      <c r="CL11" s="359">
        <v>1056.5129999999999</v>
      </c>
      <c r="CM11" s="32">
        <f>(CL11/CH11-1)*100</f>
        <v>-4.3367125192863458</v>
      </c>
      <c r="CN11" s="41">
        <f>+'qtrP&amp;L'!CU11</f>
        <v>-2.4016174864277318</v>
      </c>
      <c r="CP11" s="359">
        <v>1126.575</v>
      </c>
      <c r="CQ11" s="32">
        <f>(CP11/CL11-1)*100</f>
        <v>6.6314375686811422</v>
      </c>
      <c r="CR11" s="41">
        <f>+'qtrP&amp;L'!CY11</f>
        <v>4.8707015130674103</v>
      </c>
      <c r="CT11" s="359">
        <v>1075.0239999999999</v>
      </c>
      <c r="CU11" s="32">
        <f>(CT11/CP11-1)*100</f>
        <v>-4.5759048443290595</v>
      </c>
      <c r="CV11" s="41">
        <f>+'qtrP&amp;L'!DC11</f>
        <v>6.3339021038946397</v>
      </c>
      <c r="CX11" s="359">
        <v>1105.838</v>
      </c>
      <c r="CY11" s="32">
        <f>(CX11/CT11-1)*100</f>
        <v>2.8663546116179717</v>
      </c>
      <c r="CZ11" s="41">
        <f>+'qtrP&amp;L'!DG11</f>
        <v>3.3613288324235935</v>
      </c>
      <c r="DB11" s="359">
        <v>1204.2909999999999</v>
      </c>
      <c r="DC11" s="32">
        <f>(DB11/CX11-1)*100</f>
        <v>8.9030219616254911</v>
      </c>
      <c r="DD11" s="41">
        <f>+'qtrP&amp;L'!DK11</f>
        <v>4.5025797065495698</v>
      </c>
      <c r="DF11" s="359">
        <v>1118.2149999999999</v>
      </c>
      <c r="DG11" s="32">
        <f>(DF11/DB11-1)*100</f>
        <v>-7.1474419388669386</v>
      </c>
      <c r="DH11" s="41">
        <f>+'qtrP&amp;L'!DO11</f>
        <v>-4.6621430825706467</v>
      </c>
      <c r="DJ11" s="359"/>
      <c r="DK11" s="32"/>
      <c r="DL11" s="41"/>
    </row>
    <row r="12" spans="1:116">
      <c r="A12" s="24" t="str">
        <f>'qtrP&amp;L'!A12</f>
        <v>3Q</v>
      </c>
      <c r="B12" s="24" t="str">
        <f>'qtrP&amp;L'!B12</f>
        <v>Oct</v>
      </c>
      <c r="C12" s="24"/>
      <c r="D12" s="152">
        <v>745.59299999999996</v>
      </c>
      <c r="E12" s="24"/>
      <c r="F12" s="152">
        <v>919.49400000000003</v>
      </c>
      <c r="G12" s="32">
        <f>(F12/D12-1)*100</f>
        <v>23.323850948171465</v>
      </c>
      <c r="H12" s="41">
        <f>'qtrP&amp;L'!K12</f>
        <v>14.86657910574063</v>
      </c>
      <c r="I12" s="92"/>
      <c r="J12" s="152">
        <v>1081.7349999999999</v>
      </c>
      <c r="K12" s="32">
        <f>(J12/F12-1)*100</f>
        <v>17.644595832055444</v>
      </c>
      <c r="L12" s="41">
        <f>'qtrP&amp;L'!O12</f>
        <v>12.411504856942734</v>
      </c>
      <c r="M12" s="92"/>
      <c r="N12" s="152">
        <v>1002.222</v>
      </c>
      <c r="O12" s="32">
        <f>(N12/J12-1)*100</f>
        <v>-7.3505063624639932</v>
      </c>
      <c r="P12" s="41">
        <f>'qtrP&amp;L'!S12</f>
        <v>0.33183973388277721</v>
      </c>
      <c r="Q12" s="92"/>
      <c r="R12" s="152">
        <v>1092.194</v>
      </c>
      <c r="S12" s="32">
        <f>(R12/N12-1)*100</f>
        <v>8.9772525448453599</v>
      </c>
      <c r="T12" s="41">
        <f>'qtrP&amp;L'!W12</f>
        <v>6.0933389498270207</v>
      </c>
      <c r="U12" s="92"/>
      <c r="V12" s="152">
        <v>1287.9690000000001</v>
      </c>
      <c r="W12" s="32">
        <f>(V12/R12-1)*100</f>
        <v>17.924929087689566</v>
      </c>
      <c r="X12" s="41">
        <f>'qtrP&amp;L'!AA12</f>
        <v>5.1376068694991117</v>
      </c>
      <c r="Y12" s="92"/>
      <c r="Z12" s="152">
        <v>1361.095</v>
      </c>
      <c r="AA12" s="32">
        <f>(Z12/V12-1)*100</f>
        <v>5.677621122868648</v>
      </c>
      <c r="AB12" s="41">
        <f>'qtrP&amp;L'!AE12</f>
        <v>10.630041119173516</v>
      </c>
      <c r="AC12" s="92"/>
      <c r="AD12" s="152">
        <v>1442.866</v>
      </c>
      <c r="AE12" s="32">
        <f>(AD12/Z12-1)*100</f>
        <v>6.0077364181045478</v>
      </c>
      <c r="AF12" s="41" t="str">
        <f>'qtrP&amp;L'!AI12</f>
        <v>NM</v>
      </c>
      <c r="AG12" s="92"/>
      <c r="AH12" s="152">
        <v>1568.9960000000001</v>
      </c>
      <c r="AI12" s="32">
        <f>(AH12/AD12-1)*100</f>
        <v>8.7416295068287742</v>
      </c>
      <c r="AJ12" s="41">
        <f>'qtrP&amp;L'!AM12</f>
        <v>3.6802711635345986</v>
      </c>
      <c r="AK12" s="92"/>
      <c r="AL12" s="152">
        <v>1420.8989999999999</v>
      </c>
      <c r="AM12" s="32">
        <f>(AL12/AH12-1)*100</f>
        <v>-9.4389660649230596</v>
      </c>
      <c r="AN12" s="41" t="str">
        <f>'qtrP&amp;L'!AQ12</f>
        <v>NM</v>
      </c>
      <c r="AO12" s="24"/>
      <c r="AP12" s="152">
        <v>1581.682</v>
      </c>
      <c r="AQ12" s="32">
        <f>(AP12/AL12-1)*100</f>
        <v>11.315582599466968</v>
      </c>
      <c r="AR12" s="41">
        <f>'qtrP&amp;L'!AU12</f>
        <v>8.440981883698484</v>
      </c>
      <c r="AS12" s="24"/>
      <c r="AT12" s="152">
        <v>1343.329</v>
      </c>
      <c r="AU12" s="32">
        <f>(AT12/AP12-1)*100</f>
        <v>-15.06959047393851</v>
      </c>
      <c r="AV12" s="41">
        <f>'qtrP&amp;L'!AY12</f>
        <v>-3.2996766816864698</v>
      </c>
      <c r="AW12" s="24"/>
      <c r="AX12" s="152">
        <v>1410.174</v>
      </c>
      <c r="AY12" s="32">
        <f>(AX12/AT12-1)*100</f>
        <v>4.9760706424115009</v>
      </c>
      <c r="AZ12" s="41">
        <f>'qtrP&amp;L'!BC12</f>
        <v>6.5224924442623067</v>
      </c>
      <c r="BA12" s="24"/>
      <c r="BB12" s="152">
        <v>1387.5989999999999</v>
      </c>
      <c r="BC12" s="32">
        <f>(BB12/AX12-1)*100</f>
        <v>-1.6008662760765735</v>
      </c>
      <c r="BD12" s="41">
        <f>'qtrP&amp;L'!BG12</f>
        <v>4.481023328703615</v>
      </c>
      <c r="BE12" s="24"/>
      <c r="BF12" s="359">
        <v>1561.6510000000001</v>
      </c>
      <c r="BG12" s="32">
        <f>(BF12/BB12-1)*100</f>
        <v>12.543393300225802</v>
      </c>
      <c r="BH12" s="41">
        <f>'qtrP&amp;L'!BK12</f>
        <v>2.3871407917607446</v>
      </c>
      <c r="BI12" s="168"/>
      <c r="BJ12" s="359">
        <v>1677.9749999999999</v>
      </c>
      <c r="BK12" s="32">
        <f>(BJ12/BF12-1)*100</f>
        <v>7.4487833709324214</v>
      </c>
      <c r="BL12" s="41">
        <f>'qtrP&amp;L'!BO12</f>
        <v>3.6808745250160868E-2</v>
      </c>
      <c r="BM12" s="168"/>
      <c r="BN12" s="359">
        <v>2174.9009999999998</v>
      </c>
      <c r="BO12" s="32">
        <f>(BN12/BJ12-1)*100</f>
        <v>29.614624770929243</v>
      </c>
      <c r="BP12" s="41">
        <f>'qtrP&amp;L'!BW12</f>
        <v>11.810572382135099</v>
      </c>
      <c r="BQ12" s="168"/>
      <c r="BR12" s="359">
        <v>1792.306</v>
      </c>
      <c r="BS12" s="32">
        <f>(BR12/BN12-1)*100</f>
        <v>-17.591375423525012</v>
      </c>
      <c r="BT12" s="41">
        <f>'qtrP&amp;L'!CA12</f>
        <v>-9.0711192772987115</v>
      </c>
      <c r="BU12" s="168"/>
      <c r="BV12" s="359">
        <v>1647.9739999999999</v>
      </c>
      <c r="BW12" s="32">
        <f>(BV12/BR12-1)*100</f>
        <v>-8.0528659726631595</v>
      </c>
      <c r="BX12" s="41">
        <f>'qtrP&amp;L'!CE12</f>
        <v>-4.2077807544469774</v>
      </c>
      <c r="BY12" s="168"/>
      <c r="BZ12" s="359">
        <v>1426.4559999999999</v>
      </c>
      <c r="CA12" s="32">
        <f>(BZ12/BV12-1)*100</f>
        <v>-13.441838281429197</v>
      </c>
      <c r="CB12" s="41">
        <f>'qtrP&amp;L'!CI12</f>
        <v>-3.522720857417061</v>
      </c>
      <c r="CC12" s="168"/>
      <c r="CD12" s="359">
        <v>1455.548</v>
      </c>
      <c r="CE12" s="32">
        <f>(CD12/BZ12-1)*100</f>
        <v>2.0394600324160184</v>
      </c>
      <c r="CF12" s="41">
        <f>'qtrP&amp;L'!CM12</f>
        <v>11.595356748396025</v>
      </c>
      <c r="CG12" s="168"/>
      <c r="CH12" s="359">
        <v>1536.85</v>
      </c>
      <c r="CI12" s="32">
        <f>(CH12/CD12-1)*100</f>
        <v>5.5856625820652983</v>
      </c>
      <c r="CJ12" s="41">
        <f>'qtrP&amp;L'!CQ12</f>
        <v>9.5820652908279449</v>
      </c>
      <c r="CK12" s="168"/>
      <c r="CL12" s="359">
        <v>1446.752</v>
      </c>
      <c r="CM12" s="32">
        <f>(CL12/CH12-1)*100</f>
        <v>-5.8625109802518116</v>
      </c>
      <c r="CN12" s="41">
        <f>'qtrP&amp;L'!CU12</f>
        <v>-5.6699119360271055</v>
      </c>
      <c r="CP12" s="359">
        <v>1643.048</v>
      </c>
      <c r="CQ12" s="32">
        <f>(CP12/CL12-1)*100</f>
        <v>13.568047599035626</v>
      </c>
      <c r="CR12" s="41">
        <f>'qtrP&amp;L'!CY12</f>
        <v>5.8969197473988988</v>
      </c>
      <c r="CT12" s="359">
        <v>1484.4670000000001</v>
      </c>
      <c r="CU12" s="32">
        <f>(CT12/CP12-1)*100</f>
        <v>-9.6516352535044536</v>
      </c>
      <c r="CV12" s="41">
        <f>+'qtrP&amp;L'!DC12</f>
        <v>6.8059916530291087</v>
      </c>
      <c r="CX12" s="359">
        <v>1620.279</v>
      </c>
      <c r="CY12" s="32">
        <f>(CX12/CT12-1)*100</f>
        <v>9.148872962484166</v>
      </c>
      <c r="CZ12" s="41">
        <f>+'qtrP&amp;L'!DG12</f>
        <v>7.0174409653746439</v>
      </c>
      <c r="DB12" s="359">
        <v>1650.93</v>
      </c>
      <c r="DC12" s="32">
        <f>(DB12/CX12-1)*100</f>
        <v>1.8917112423230797</v>
      </c>
      <c r="DD12" s="41">
        <f>+'qtrP&amp;L'!DK12</f>
        <v>4.0056818754218515</v>
      </c>
      <c r="DF12" s="359">
        <v>1715.375</v>
      </c>
      <c r="DG12" s="32">
        <f>(DF12/DB12-1)*100</f>
        <v>3.9035573888656749</v>
      </c>
      <c r="DH12" s="41">
        <f>+'qtrP&amp;L'!DO12</f>
        <v>1.4260092778747957</v>
      </c>
      <c r="DJ12" s="359"/>
      <c r="DK12" s="32"/>
      <c r="DL12" s="41"/>
    </row>
    <row r="13" spans="1:116">
      <c r="A13" s="24" t="str">
        <f>'qtrP&amp;L'!A13</f>
        <v>4Q</v>
      </c>
      <c r="B13" s="24" t="str">
        <f>'qtrP&amp;L'!B13</f>
        <v>Jan</v>
      </c>
      <c r="C13" s="24"/>
      <c r="D13" s="152">
        <v>585.16600000000005</v>
      </c>
      <c r="E13" s="24"/>
      <c r="F13" s="152">
        <v>730.05</v>
      </c>
      <c r="G13" s="32">
        <f>(F13/D13-1)*100</f>
        <v>24.759469962369639</v>
      </c>
      <c r="H13" s="41">
        <f>'qtrP&amp;L'!K13</f>
        <v>17.917553903776362</v>
      </c>
      <c r="I13" s="92"/>
      <c r="J13" s="152">
        <v>803.70699999999999</v>
      </c>
      <c r="K13" s="32">
        <f>(J13/F13-1)*100</f>
        <v>10.089308951441689</v>
      </c>
      <c r="L13" s="41">
        <f>'qtrP&amp;L'!O13</f>
        <v>18.083359150329859</v>
      </c>
      <c r="M13" s="92"/>
      <c r="N13" s="152">
        <v>733.7</v>
      </c>
      <c r="O13" s="32">
        <f>(N13/J13-1)*100</f>
        <v>-8.7105126619526736</v>
      </c>
      <c r="P13" s="41">
        <f>'qtrP&amp;L'!S13</f>
        <v>-0.29460970906417527</v>
      </c>
      <c r="Q13" s="92"/>
      <c r="R13" s="152">
        <v>870.44</v>
      </c>
      <c r="S13" s="32">
        <f>(R13/N13-1)*100</f>
        <v>18.637045113806728</v>
      </c>
      <c r="T13" s="41">
        <f>'qtrP&amp;L'!W13</f>
        <v>4.8657781192619876</v>
      </c>
      <c r="U13" s="92"/>
      <c r="V13" s="152">
        <v>958.95299999999997</v>
      </c>
      <c r="W13" s="32">
        <f>(V13/R13-1)*100</f>
        <v>10.16876522218646</v>
      </c>
      <c r="X13" s="41">
        <f>'qtrP&amp;L'!AA13</f>
        <v>9.1692021889264517</v>
      </c>
      <c r="Y13" s="92"/>
      <c r="Z13" s="152">
        <v>1007.303</v>
      </c>
      <c r="AA13" s="32">
        <f>(Z13/V13-1)*100</f>
        <v>5.0419572179241312</v>
      </c>
      <c r="AB13" s="41">
        <f>'qtrP&amp;L'!AE13</f>
        <v>7.0324912092055714</v>
      </c>
      <c r="AC13" s="92"/>
      <c r="AD13" s="152">
        <v>1002.71</v>
      </c>
      <c r="AE13" s="32">
        <f>(AD13/Z13-1)*100</f>
        <v>-0.45597005071958963</v>
      </c>
      <c r="AF13" s="41" t="str">
        <f>'qtrP&amp;L'!AI13</f>
        <v>NM</v>
      </c>
      <c r="AG13" s="92"/>
      <c r="AH13" s="152">
        <v>1119.67</v>
      </c>
      <c r="AI13" s="32">
        <f>(AH13/AD13-1)*100</f>
        <v>11.664389504442973</v>
      </c>
      <c r="AJ13" s="41">
        <f>'qtrP&amp;L'!AM13</f>
        <v>6.2553869663696915</v>
      </c>
      <c r="AK13" s="92"/>
      <c r="AL13" s="152">
        <v>1050.913</v>
      </c>
      <c r="AM13" s="32">
        <f>(AL13/AH13-1)*100</f>
        <v>-6.1408272080166526</v>
      </c>
      <c r="AN13" s="41" t="str">
        <f>'qtrP&amp;L'!AQ13</f>
        <v>NM</v>
      </c>
      <c r="AO13" s="24"/>
      <c r="AP13" s="152">
        <v>1157.1400000000001</v>
      </c>
      <c r="AQ13" s="32">
        <f>(AP13/AL13-1)*100</f>
        <v>10.108067937117537</v>
      </c>
      <c r="AR13" s="41">
        <f>'qtrP&amp;L'!AU13</f>
        <v>6.7029582508245866</v>
      </c>
      <c r="AS13" s="24"/>
      <c r="AT13" s="152">
        <v>966</v>
      </c>
      <c r="AU13" s="32">
        <f>(AT13/AP13-1)*100</f>
        <v>-16.518312390894796</v>
      </c>
      <c r="AV13" s="41">
        <f>'qtrP&amp;L'!AY13</f>
        <v>-2.1441834637355939</v>
      </c>
      <c r="AW13" s="24"/>
      <c r="AX13" s="43">
        <f>+bal!AC11</f>
        <v>966</v>
      </c>
      <c r="AY13" s="32">
        <f>(AX13/AT13-1)*100</f>
        <v>0</v>
      </c>
      <c r="AZ13" s="41">
        <f>'qtrP&amp;L'!BC13</f>
        <v>4.474232505384923</v>
      </c>
      <c r="BA13" s="24"/>
      <c r="BB13" s="152">
        <v>943.42600000000004</v>
      </c>
      <c r="BC13" s="32">
        <f>(BB13/AX13-1)*100</f>
        <v>-2.3368530020703937</v>
      </c>
      <c r="BD13" s="41">
        <f>'qtrP&amp;L'!BG13</f>
        <v>8.9330761040416604</v>
      </c>
      <c r="BE13" s="24"/>
      <c r="BF13" s="359">
        <v>1141.626</v>
      </c>
      <c r="BG13" s="32">
        <f>(BF13/BB13-1)*100</f>
        <v>21.008536970573211</v>
      </c>
      <c r="BH13" s="41">
        <f>'qtrP&amp;L'!BK13</f>
        <v>3.0178419879427487</v>
      </c>
      <c r="BI13" s="168"/>
      <c r="BJ13" s="359">
        <v>1159.69</v>
      </c>
      <c r="BK13" s="32">
        <f>(BJ13/BF13-1)*100</f>
        <v>1.5823045375630951</v>
      </c>
      <c r="BL13" s="41">
        <f>'qtrP&amp;L'!BO13</f>
        <v>5.4906799678646534</v>
      </c>
      <c r="BM13" s="168"/>
      <c r="BN13" s="359">
        <v>1769.9739999999999</v>
      </c>
      <c r="BO13" s="32">
        <f>(BN13/BJ13-1)*100</f>
        <v>52.624753166794555</v>
      </c>
      <c r="BP13" s="41">
        <f>'qtrP&amp;L'!BW13</f>
        <v>14.625502858729632</v>
      </c>
      <c r="BQ13" s="168"/>
      <c r="BR13" s="359">
        <v>1250.625</v>
      </c>
      <c r="BS13" s="32">
        <f>(BR13/BN13-1)*100</f>
        <v>-29.342182427538475</v>
      </c>
      <c r="BT13" s="41">
        <f>'qtrP&amp;L'!CA13</f>
        <v>-19.786756882869838</v>
      </c>
      <c r="BU13" s="168"/>
      <c r="BV13" s="359">
        <v>1181.865</v>
      </c>
      <c r="BW13" s="32">
        <f>(BV13/BR13-1)*100</f>
        <v>-5.498050974512747</v>
      </c>
      <c r="BX13" s="41">
        <f>'qtrP&amp;L'!CE13</f>
        <v>-7.3487212019537012</v>
      </c>
      <c r="BY13" s="168"/>
      <c r="BZ13" s="359">
        <v>1036.5530000000001</v>
      </c>
      <c r="CA13" s="32">
        <f>(BZ13/BV13-1)*100</f>
        <v>-12.29514369238448</v>
      </c>
      <c r="CB13" s="41">
        <f>'qtrP&amp;L'!CI13</f>
        <v>2.415497699510083</v>
      </c>
      <c r="CC13" s="168"/>
      <c r="CD13" s="359">
        <v>1032.279</v>
      </c>
      <c r="CE13" s="32">
        <f>(CD13/BZ13-1)*100</f>
        <v>-0.41232816845835352</v>
      </c>
      <c r="CF13" s="41">
        <f>'qtrP&amp;L'!CM13</f>
        <v>12.813023119772083</v>
      </c>
      <c r="CG13" s="168"/>
      <c r="CH13" s="359">
        <v>996.71299999999997</v>
      </c>
      <c r="CI13" s="32">
        <f>(CH13/CD13-1)*100</f>
        <v>-3.4453863732576195</v>
      </c>
      <c r="CJ13" s="41">
        <f>'qtrP&amp;L'!CQ13</f>
        <v>1.7236230634342764</v>
      </c>
      <c r="CK13" s="168"/>
      <c r="CL13" s="359">
        <v>1004.153</v>
      </c>
      <c r="CM13" s="32">
        <f>(CL13/CH13-1)*100</f>
        <v>0.74645359296006131</v>
      </c>
      <c r="CN13" s="41">
        <f>'qtrP&amp;L'!CU13</f>
        <v>9.6761246005462773</v>
      </c>
      <c r="CP13" s="359">
        <v>1164.616</v>
      </c>
      <c r="CQ13" s="32">
        <f>(CP13/CL13-1)*100</f>
        <v>15.979935328580396</v>
      </c>
      <c r="CR13" s="41">
        <f>'qtrP&amp;L'!CY13</f>
        <v>-0.96952912179558703</v>
      </c>
      <c r="CT13" s="359">
        <v>1035.7260000000001</v>
      </c>
      <c r="CU13" s="32">
        <f>(CT13/CP13-1)*100</f>
        <v>-11.067167203610451</v>
      </c>
      <c r="CV13" s="41">
        <f>+'qtrP&amp;L'!DC13</f>
        <v>6.5602343720944978</v>
      </c>
      <c r="CX13" s="359">
        <v>1121.942</v>
      </c>
      <c r="CY13" s="32">
        <f>(CX13/CT13-1)*100</f>
        <v>8.324209298598273</v>
      </c>
      <c r="CZ13" s="41">
        <f>+'qtrP&amp;L'!DG13</f>
        <v>8.0211173880504241</v>
      </c>
      <c r="DB13" s="359">
        <v>1096.1859999999999</v>
      </c>
      <c r="DC13" s="32">
        <f>(DB13/CX13-1)*100</f>
        <v>-2.2956623426166445</v>
      </c>
      <c r="DD13" s="41">
        <f>+'qtrP&amp;L'!DK13</f>
        <v>2.1488774047283776</v>
      </c>
      <c r="DF13" s="359">
        <v>1239.7370000000001</v>
      </c>
      <c r="DG13" s="248">
        <f>(DF13/DB13-1)*100</f>
        <v>13.095496567188425</v>
      </c>
      <c r="DH13" s="41">
        <f>+'qtrP&amp;L'!DO13</f>
        <v>7.4310783669299996</v>
      </c>
      <c r="DJ13" s="959"/>
      <c r="DK13" s="32"/>
      <c r="DL13" s="41"/>
    </row>
    <row r="14" spans="1:116">
      <c r="A14" s="24"/>
      <c r="B14" s="24"/>
      <c r="C14" s="24"/>
      <c r="D14" s="24"/>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168"/>
      <c r="BG14" s="168"/>
      <c r="BH14" s="168"/>
      <c r="BI14" s="168"/>
      <c r="BJ14" s="168"/>
      <c r="BK14" s="168"/>
      <c r="BL14" s="168"/>
      <c r="BM14" s="168"/>
      <c r="BN14" s="168"/>
      <c r="BO14" s="168"/>
      <c r="BP14" s="168"/>
      <c r="BQ14" s="168"/>
      <c r="BR14" s="168"/>
      <c r="BS14" s="168"/>
      <c r="BT14" s="168"/>
      <c r="BU14" s="168"/>
      <c r="BV14" s="168"/>
      <c r="BW14" s="168"/>
      <c r="BX14" s="168"/>
      <c r="BY14" s="168"/>
      <c r="BZ14" s="168"/>
      <c r="CA14" s="168"/>
      <c r="CB14" s="168"/>
      <c r="CC14" s="168"/>
      <c r="CD14" s="168"/>
      <c r="CE14" s="168"/>
      <c r="CF14" s="168"/>
      <c r="CG14" s="168"/>
      <c r="CH14" s="168"/>
      <c r="CI14" s="168"/>
      <c r="CJ14" s="168"/>
      <c r="CK14" s="168"/>
      <c r="CL14" s="168"/>
      <c r="CM14" s="168"/>
      <c r="CN14" s="168"/>
      <c r="CR14" s="168"/>
      <c r="CV14" s="41"/>
    </row>
    <row r="15" spans="1:116">
      <c r="A15" s="204" t="s">
        <v>525</v>
      </c>
      <c r="B15" s="201"/>
      <c r="C15" s="168"/>
      <c r="D15" s="168"/>
      <c r="E15" s="168"/>
      <c r="F15" s="202"/>
      <c r="G15" s="202"/>
      <c r="H15" s="202"/>
      <c r="I15" s="202"/>
      <c r="J15" s="202"/>
      <c r="K15" s="202"/>
      <c r="L15" s="202"/>
      <c r="M15" s="203"/>
      <c r="N15" s="203"/>
      <c r="O15" s="202"/>
      <c r="P15" s="202"/>
      <c r="Q15" s="202"/>
      <c r="R15" s="202"/>
      <c r="S15" s="202"/>
      <c r="T15" s="202"/>
      <c r="U15" s="202"/>
      <c r="V15" s="202"/>
      <c r="W15" s="202"/>
      <c r="X15" s="202"/>
      <c r="Y15" s="202"/>
      <c r="Z15" s="202"/>
      <c r="AA15" s="202"/>
      <c r="AB15" s="202"/>
      <c r="AC15" s="203"/>
      <c r="AD15" s="203"/>
      <c r="AE15" s="202"/>
      <c r="AF15" s="202"/>
      <c r="AG15" s="202"/>
      <c r="AH15" s="202"/>
      <c r="AI15" s="202"/>
      <c r="AJ15" s="202"/>
      <c r="AK15" s="202"/>
      <c r="AL15" s="202"/>
      <c r="AM15" s="202"/>
      <c r="AN15" s="202"/>
      <c r="AO15" s="168"/>
      <c r="AP15" s="202"/>
      <c r="AQ15" s="202"/>
      <c r="AR15" s="202"/>
      <c r="AS15" s="168"/>
      <c r="AT15" s="202"/>
      <c r="AU15" s="202"/>
      <c r="AV15" s="202"/>
      <c r="AW15" s="168"/>
      <c r="AX15" s="202"/>
      <c r="AY15" s="202"/>
      <c r="AZ15" s="202"/>
      <c r="BA15" s="168"/>
      <c r="BB15" s="202"/>
      <c r="BC15" s="202"/>
      <c r="BD15" s="202"/>
      <c r="BE15" s="168"/>
      <c r="BF15" s="202"/>
      <c r="BG15" s="202"/>
      <c r="BH15" s="202"/>
      <c r="BI15" s="168"/>
      <c r="BJ15" s="202"/>
      <c r="BK15" s="202"/>
      <c r="BL15" s="202"/>
      <c r="BM15" s="168"/>
      <c r="BN15" s="202"/>
      <c r="BO15" s="202"/>
      <c r="BP15" s="202"/>
      <c r="BQ15" s="168"/>
      <c r="BR15" s="202"/>
      <c r="BS15" s="202"/>
      <c r="BT15" s="202"/>
      <c r="BU15" s="168"/>
      <c r="BV15" s="202"/>
      <c r="BW15" s="202"/>
      <c r="BX15" s="202"/>
      <c r="BY15" s="168"/>
      <c r="BZ15" s="202"/>
      <c r="CA15" s="202"/>
      <c r="CB15" s="202"/>
      <c r="CC15" s="168"/>
      <c r="CD15" s="202"/>
      <c r="CE15" s="202"/>
      <c r="CF15" s="202"/>
      <c r="CG15" s="168"/>
      <c r="CH15" s="202"/>
      <c r="CI15" s="202"/>
      <c r="CJ15" s="202"/>
      <c r="CK15" s="168"/>
      <c r="CL15" s="202"/>
      <c r="CM15" s="202"/>
      <c r="CN15" s="202"/>
      <c r="CR15" s="202"/>
    </row>
    <row r="16" spans="1:116">
      <c r="A16" s="24" t="str">
        <f>$A$10</f>
        <v>1Q</v>
      </c>
      <c r="B16" s="24" t="str">
        <f>$B$10</f>
        <v>Apr</v>
      </c>
      <c r="C16" s="24"/>
      <c r="D16" s="138">
        <v>600.89300000000003</v>
      </c>
      <c r="E16" s="37"/>
      <c r="F16" s="138">
        <v>644.74400000000003</v>
      </c>
      <c r="G16" s="32">
        <f>(F16/D16-1)*100</f>
        <v>7.2976386810962968</v>
      </c>
      <c r="H16" s="41">
        <f>H$10</f>
        <v>15.996550307266478</v>
      </c>
      <c r="I16" s="92"/>
      <c r="J16" s="138">
        <v>726.69200000000001</v>
      </c>
      <c r="K16" s="32">
        <f>(J16/F16-1)*100</f>
        <v>12.710160932090876</v>
      </c>
      <c r="L16" s="41">
        <f>L$10</f>
        <v>10.209796633973856</v>
      </c>
      <c r="M16" s="92"/>
      <c r="N16" s="138">
        <v>842.51599999999996</v>
      </c>
      <c r="O16" s="32">
        <f>(N16/J16-1)*100</f>
        <v>15.938526913740624</v>
      </c>
      <c r="P16" s="41">
        <f>P$10</f>
        <v>7.2714172185430304</v>
      </c>
      <c r="Q16" s="92"/>
      <c r="R16" s="138">
        <v>1066.876</v>
      </c>
      <c r="S16" s="32">
        <f>(R16/N16-1)*100</f>
        <v>26.629761333909396</v>
      </c>
      <c r="T16" s="41">
        <f>T$10</f>
        <v>-2.4321051311076758</v>
      </c>
      <c r="U16" s="92"/>
      <c r="V16" s="138">
        <v>1252.4949999999999</v>
      </c>
      <c r="W16" s="32">
        <f>(V16/R16-1)*100</f>
        <v>17.398366820511455</v>
      </c>
      <c r="X16" s="41">
        <f>X$10</f>
        <v>7.1884440628821933</v>
      </c>
      <c r="Y16" s="92"/>
      <c r="Z16" s="138">
        <v>69.355000000000004</v>
      </c>
      <c r="AA16" s="32">
        <f>(Z16/V16-1)*100</f>
        <v>-94.462652545519148</v>
      </c>
      <c r="AB16" s="41">
        <f>AB$10</f>
        <v>12.581369078427883</v>
      </c>
      <c r="AC16" s="92"/>
      <c r="AD16" s="138">
        <v>80.126000000000005</v>
      </c>
      <c r="AE16" s="32">
        <f>(AD16/Z16-1)*100</f>
        <v>15.530242952923356</v>
      </c>
      <c r="AF16" s="41" t="str">
        <f>AF$10</f>
        <v>NM</v>
      </c>
      <c r="AG16" s="92"/>
      <c r="AH16" s="138">
        <v>81.602000000000004</v>
      </c>
      <c r="AI16" s="32">
        <f>(AH16/AD16-1)*100</f>
        <v>1.8420986945560713</v>
      </c>
      <c r="AJ16" s="41">
        <f>AJ$10</f>
        <v>6.3979816809976775</v>
      </c>
      <c r="AK16" s="92"/>
      <c r="AL16" s="138">
        <v>72.14</v>
      </c>
      <c r="AM16" s="32">
        <f>(AL16/AH16-1)*100</f>
        <v>-11.595304036665777</v>
      </c>
      <c r="AN16" s="41" t="str">
        <f>AN$10</f>
        <v>NM</v>
      </c>
      <c r="AO16" s="24"/>
      <c r="AP16" s="138">
        <v>77.165999999999997</v>
      </c>
      <c r="AQ16" s="32">
        <f>(AP16/AL16-1)*100</f>
        <v>6.9670085943997817</v>
      </c>
      <c r="AR16" s="41">
        <f>AR$10</f>
        <v>7.7445005192068317</v>
      </c>
      <c r="AS16" s="24"/>
      <c r="AT16" s="138">
        <v>82.191000000000003</v>
      </c>
      <c r="AU16" s="32">
        <f>(AT16/AP16-1)*100</f>
        <v>6.5119353082964127</v>
      </c>
      <c r="AV16" s="41">
        <f>AV$10</f>
        <v>-1.6785881211432763</v>
      </c>
      <c r="AW16" s="24"/>
      <c r="AX16" s="138">
        <v>78</v>
      </c>
      <c r="AY16" s="32">
        <f>(AX16/AT16-1)*100</f>
        <v>-5.099098441435201</v>
      </c>
      <c r="AZ16" s="41">
        <f>AZ$10</f>
        <v>8.234698752841707</v>
      </c>
      <c r="BA16" s="24"/>
      <c r="BB16" s="138">
        <v>119.598</v>
      </c>
      <c r="BC16" s="32">
        <f>(BB16/AX16-1)*100</f>
        <v>53.330769230769228</v>
      </c>
      <c r="BD16" s="41">
        <f>BD$10</f>
        <v>2.4234074810405515</v>
      </c>
      <c r="BE16" s="24"/>
      <c r="BF16" s="365">
        <v>123.113</v>
      </c>
      <c r="BG16" s="32">
        <f>(BF16/BB16-1)*100</f>
        <v>2.9390123580661953</v>
      </c>
      <c r="BH16" s="41">
        <f>BH$10</f>
        <v>7.3769864468106849</v>
      </c>
      <c r="BI16" s="168"/>
      <c r="BJ16" s="365">
        <v>123.27</v>
      </c>
      <c r="BK16" s="32">
        <f>(BJ16/BF16-1)*100</f>
        <v>0.12752511919942311</v>
      </c>
      <c r="BL16" s="41">
        <f>BL$10</f>
        <v>-0.16535208975013704</v>
      </c>
      <c r="BM16" s="168"/>
      <c r="BN16" s="365">
        <v>126.80200000000001</v>
      </c>
      <c r="BO16" s="32">
        <f>(BN16/BJ16-1)*100</f>
        <v>2.8652551310132335</v>
      </c>
      <c r="BP16" s="41">
        <f>BP$10</f>
        <v>5.1727856959125518</v>
      </c>
      <c r="BQ16" s="168"/>
      <c r="BR16" s="365">
        <v>154.697</v>
      </c>
      <c r="BS16" s="32">
        <f>(BR16/BN16-1)*100</f>
        <v>21.998864371224425</v>
      </c>
      <c r="BT16" s="41">
        <f>BT$10</f>
        <v>11.253816034059172</v>
      </c>
      <c r="BU16" s="168"/>
      <c r="BV16" s="365">
        <v>319.596</v>
      </c>
      <c r="BW16" s="32">
        <f>(BV16/BR16-1)*100</f>
        <v>106.59482730757546</v>
      </c>
      <c r="BX16" s="41">
        <f>BX$10</f>
        <v>-16.693561613662201</v>
      </c>
      <c r="BY16" s="168"/>
      <c r="BZ16" s="365">
        <v>197.72300000000001</v>
      </c>
      <c r="CA16" s="32">
        <f>(BZ16/BV16-1)*100</f>
        <v>-38.133455988185084</v>
      </c>
      <c r="CB16" s="41">
        <f>CB$10</f>
        <v>-10.381069679665423</v>
      </c>
      <c r="CC16" s="168"/>
      <c r="CD16" s="365">
        <v>198.69399999999999</v>
      </c>
      <c r="CE16" s="32">
        <f>(CD16/BZ16-1)*100</f>
        <v>0.49109107185303369</v>
      </c>
      <c r="CF16" s="41">
        <f>CF$10</f>
        <v>11.957719432170766</v>
      </c>
      <c r="CG16" s="168"/>
      <c r="CH16" s="365">
        <v>204.40899999999999</v>
      </c>
      <c r="CI16" s="32">
        <f>(CH16/CD16-1)*100</f>
        <v>2.8762821222583446</v>
      </c>
      <c r="CJ16" s="41">
        <f>CJ10</f>
        <v>14.779998923136816</v>
      </c>
      <c r="CK16" s="168"/>
      <c r="CL16" s="365">
        <v>158.15299999999999</v>
      </c>
      <c r="CM16" s="32">
        <f>(CL16/CH16-1)*100</f>
        <v>-22.62914059557065</v>
      </c>
      <c r="CN16" s="41">
        <f>CN10</f>
        <v>-2.8521657704924985</v>
      </c>
      <c r="CP16" s="365">
        <v>175.19800000000001</v>
      </c>
      <c r="CQ16" s="32">
        <f>(CP16/CL16-1)*100</f>
        <v>10.777538206673288</v>
      </c>
      <c r="CR16" s="41">
        <f>CR10</f>
        <v>5.3009958287367764</v>
      </c>
      <c r="CT16" s="365">
        <v>215.66</v>
      </c>
      <c r="CU16" s="32">
        <f>(CT16/CP16-1)*100</f>
        <v>23.095012500142698</v>
      </c>
      <c r="CV16" s="41">
        <f>CV10</f>
        <v>5.4354670020053231</v>
      </c>
      <c r="CX16" s="365">
        <v>238.86699999999999</v>
      </c>
      <c r="CY16" s="32">
        <f>(CX16/CT16-1)*100</f>
        <v>10.760919966614102</v>
      </c>
      <c r="CZ16" s="41">
        <f>CZ10</f>
        <v>5.0479878556224156</v>
      </c>
      <c r="DB16" s="365">
        <v>248.42400000000001</v>
      </c>
      <c r="DC16" s="32">
        <f>(DB16/CX16-1)*100</f>
        <v>4.0009712517844687</v>
      </c>
      <c r="DD16" s="41">
        <f>DD10</f>
        <v>4.0556717340668014</v>
      </c>
      <c r="DF16" s="365">
        <v>213.446</v>
      </c>
      <c r="DG16" s="32">
        <f>(DF16/DB16-1)*100</f>
        <v>-14.079960068270381</v>
      </c>
      <c r="DH16" s="41">
        <f>DH10</f>
        <v>-6.7828824916836066</v>
      </c>
      <c r="DJ16" s="365"/>
      <c r="DK16" s="32"/>
      <c r="DL16" s="41"/>
    </row>
    <row r="17" spans="1:116">
      <c r="A17" s="24" t="str">
        <f>$A$11</f>
        <v>2Q</v>
      </c>
      <c r="B17" s="24" t="str">
        <f>$B$11</f>
        <v>Jul</v>
      </c>
      <c r="C17" s="24"/>
      <c r="D17" s="152">
        <v>637.60799999999995</v>
      </c>
      <c r="E17" s="36"/>
      <c r="F17" s="152">
        <v>672.11300000000006</v>
      </c>
      <c r="G17" s="32">
        <f>(F17/D17-1)*100</f>
        <v>5.4116322254426086</v>
      </c>
      <c r="H17" s="41">
        <f>H$11</f>
        <v>19.108804897441622</v>
      </c>
      <c r="I17" s="92"/>
      <c r="J17" s="152">
        <v>752.04399999999998</v>
      </c>
      <c r="K17" s="32">
        <f>(J17/F17-1)*100</f>
        <v>11.892494268076925</v>
      </c>
      <c r="L17" s="41">
        <f>L$11</f>
        <v>8.3049189745379781</v>
      </c>
      <c r="M17" s="92"/>
      <c r="N17" s="152">
        <v>864.74400000000003</v>
      </c>
      <c r="O17" s="32">
        <f>(N17/J17-1)*100</f>
        <v>14.985825297456001</v>
      </c>
      <c r="P17" s="41">
        <f>P$11</f>
        <v>13.405595433844519</v>
      </c>
      <c r="Q17" s="92"/>
      <c r="R17" s="152">
        <v>1120.038</v>
      </c>
      <c r="S17" s="32">
        <f>(R17/N17-1)*100</f>
        <v>29.522494518608976</v>
      </c>
      <c r="T17" s="41">
        <f>T$11</f>
        <v>-6.137337150063205</v>
      </c>
      <c r="U17" s="92"/>
      <c r="V17" s="152">
        <v>1262.299</v>
      </c>
      <c r="W17" s="32">
        <f>(V17/R17-1)*100</f>
        <v>12.701444058148015</v>
      </c>
      <c r="X17" s="41">
        <f>X$11</f>
        <v>8.40492446032275</v>
      </c>
      <c r="Y17" s="92"/>
      <c r="Z17" s="152">
        <v>96.281999999999996</v>
      </c>
      <c r="AA17" s="32">
        <f>(Z17/V17-1)*100</f>
        <v>-92.372488610067819</v>
      </c>
      <c r="AB17" s="41">
        <f>AB$11</f>
        <v>10.296379178223747</v>
      </c>
      <c r="AC17" s="92"/>
      <c r="AD17" s="152">
        <v>91.545000000000002</v>
      </c>
      <c r="AE17" s="32">
        <f>(AD17/Z17-1)*100</f>
        <v>-4.9199227269894674</v>
      </c>
      <c r="AF17" s="41" t="str">
        <f>AF$11</f>
        <v>NM</v>
      </c>
      <c r="AG17" s="92"/>
      <c r="AH17" s="152">
        <v>81.131</v>
      </c>
      <c r="AI17" s="32">
        <f>(AH17/AD17-1)*100</f>
        <v>-11.375826096455299</v>
      </c>
      <c r="AJ17" s="41">
        <f>AJ$11</f>
        <v>5.7957809155998019</v>
      </c>
      <c r="AK17" s="92"/>
      <c r="AL17" s="152">
        <v>72.823999999999998</v>
      </c>
      <c r="AM17" s="32">
        <f>(AL17/AH17-1)*100</f>
        <v>-10.238996191344862</v>
      </c>
      <c r="AN17" s="41" t="str">
        <f>AN$11</f>
        <v>NM</v>
      </c>
      <c r="AO17" s="24"/>
      <c r="AP17" s="152">
        <v>102.812</v>
      </c>
      <c r="AQ17" s="32">
        <f>(AP17/AL17-1)*100</f>
        <v>41.178732286059549</v>
      </c>
      <c r="AR17" s="41">
        <f>AR$11</f>
        <v>5.2456120908987991</v>
      </c>
      <c r="AS17" s="24"/>
      <c r="AT17" s="152">
        <v>79.167000000000002</v>
      </c>
      <c r="AU17" s="32">
        <f>(AT17/AP17-1)*100</f>
        <v>-22.998288137571489</v>
      </c>
      <c r="AV17" s="41">
        <f>AV$11</f>
        <v>-4.0783506184203899</v>
      </c>
      <c r="AW17" s="24"/>
      <c r="AX17" s="152">
        <v>81.466999999999999</v>
      </c>
      <c r="AY17" s="32">
        <f>(AX17/AT17-1)*100</f>
        <v>2.9052509252592618</v>
      </c>
      <c r="AZ17" s="41">
        <f>AZ$11</f>
        <v>8.2114757298583427</v>
      </c>
      <c r="BA17" s="24"/>
      <c r="BB17" s="152">
        <v>105.68899999999999</v>
      </c>
      <c r="BC17" s="32">
        <f>(BB17/AX17-1)*100</f>
        <v>29.732284237789528</v>
      </c>
      <c r="BD17" s="41">
        <f>'qtrP&amp;L'!BG11</f>
        <v>5.3173577296989905</v>
      </c>
      <c r="BE17" s="24"/>
      <c r="BF17" s="359">
        <v>101.44199999999999</v>
      </c>
      <c r="BG17" s="32">
        <f>(BF17/BB17-1)*100</f>
        <v>-4.0183935887367683</v>
      </c>
      <c r="BH17" s="41">
        <f>'qtrP&amp;L'!BK11</f>
        <v>9.7674104540674591</v>
      </c>
      <c r="BI17" s="168"/>
      <c r="BJ17" s="359">
        <v>120.378</v>
      </c>
      <c r="BK17" s="32">
        <f>(BJ17/BF17-1)*100</f>
        <v>18.666824392263571</v>
      </c>
      <c r="BL17" s="41">
        <f>$BL11</f>
        <v>3.6216682226419827</v>
      </c>
      <c r="BM17" s="168"/>
      <c r="BN17" s="359">
        <v>138.28899999999999</v>
      </c>
      <c r="BO17" s="32">
        <f>(BN17/BJ17-1)*100</f>
        <v>14.878964594859511</v>
      </c>
      <c r="BP17" s="41">
        <f>BP$11</f>
        <v>7.1129655973785066</v>
      </c>
      <c r="BQ17" s="168"/>
      <c r="BR17" s="359">
        <v>274.315</v>
      </c>
      <c r="BS17" s="32">
        <f>(BR17/BN17-1)*100</f>
        <v>98.363571939922934</v>
      </c>
      <c r="BT17" s="41">
        <f>BT$11</f>
        <v>6.9370524383703724</v>
      </c>
      <c r="BU17" s="168"/>
      <c r="BV17" s="359">
        <v>330.94099999999997</v>
      </c>
      <c r="BW17" s="32">
        <f>(BV17/BR17-1)*100</f>
        <v>20.642691795928037</v>
      </c>
      <c r="BX17" s="41">
        <f>BX$11</f>
        <v>-12.947905111016189</v>
      </c>
      <c r="BY17" s="168"/>
      <c r="BZ17" s="359">
        <v>229.673</v>
      </c>
      <c r="CA17" s="32">
        <f>(BZ17/BV17-1)*100</f>
        <v>-30.60001631710788</v>
      </c>
      <c r="CB17" s="41">
        <f>CB$11</f>
        <v>-9.5303885542880611</v>
      </c>
      <c r="CC17" s="168"/>
      <c r="CD17" s="359">
        <v>209.536</v>
      </c>
      <c r="CE17" s="32">
        <f>(CD17/BZ17-1)*100</f>
        <v>-8.767682748951767</v>
      </c>
      <c r="CF17" s="41">
        <f>CF$11</f>
        <v>8.5115237030692903</v>
      </c>
      <c r="CG17" s="168"/>
      <c r="CH17" s="359">
        <v>240.643</v>
      </c>
      <c r="CI17" s="32">
        <f>(CH17/CD17-1)*100</f>
        <v>14.845658979841181</v>
      </c>
      <c r="CJ17" s="41">
        <f>CJ11</f>
        <v>9.6153417376065207</v>
      </c>
      <c r="CK17" s="168"/>
      <c r="CL17" s="359">
        <v>174.75800000000001</v>
      </c>
      <c r="CM17" s="32">
        <f>(CL17/CH17-1)*100</f>
        <v>-27.378731149462066</v>
      </c>
      <c r="CN17" s="41">
        <f>CN11</f>
        <v>-2.4016174864277318</v>
      </c>
      <c r="CP17" s="359">
        <v>197.035</v>
      </c>
      <c r="CQ17" s="32">
        <f>(CP17/CL17-1)*100</f>
        <v>12.747342038704934</v>
      </c>
      <c r="CR17" s="41">
        <f>CR11</f>
        <v>4.8707015130674103</v>
      </c>
      <c r="CT17" s="359">
        <v>233.178</v>
      </c>
      <c r="CU17" s="32">
        <f>(CT17/CP17-1)*100</f>
        <v>18.343441520542036</v>
      </c>
      <c r="CV17" s="41">
        <f>CV11</f>
        <v>6.3339021038946397</v>
      </c>
      <c r="CX17" s="359">
        <v>257.35599999999999</v>
      </c>
      <c r="CY17" s="32">
        <f>(CX17/CT17-1)*100</f>
        <v>10.368902726672324</v>
      </c>
      <c r="CZ17" s="41">
        <f>CZ11</f>
        <v>3.3613288324235935</v>
      </c>
      <c r="DB17" s="359">
        <v>266.23</v>
      </c>
      <c r="DC17" s="32">
        <f>(DB17/CX17-1)*100</f>
        <v>3.4481418735137437</v>
      </c>
      <c r="DD17" s="41">
        <f>DD11</f>
        <v>4.5025797065495698</v>
      </c>
      <c r="DF17" s="359">
        <v>244.904</v>
      </c>
      <c r="DG17" s="32">
        <f>(DF17/DB17-1)*100</f>
        <v>-8.0103669759230769</v>
      </c>
      <c r="DH17" s="41">
        <f>DH11</f>
        <v>-4.6621430825706467</v>
      </c>
      <c r="DJ17" s="359"/>
      <c r="DK17" s="32"/>
      <c r="DL17" s="41"/>
    </row>
    <row r="18" spans="1:116">
      <c r="A18" s="24" t="str">
        <f>$A$12</f>
        <v>3Q</v>
      </c>
      <c r="B18" s="24" t="str">
        <f>$B$12</f>
        <v>Oct</v>
      </c>
      <c r="C18" s="24"/>
      <c r="D18" s="152">
        <v>684.45699999999999</v>
      </c>
      <c r="E18" s="36"/>
      <c r="F18" s="152">
        <v>743.31100000000004</v>
      </c>
      <c r="G18" s="32">
        <f>(F18/D18-1)*100</f>
        <v>8.5986409664887695</v>
      </c>
      <c r="H18" s="41">
        <f>H$12</f>
        <v>14.86657910574063</v>
      </c>
      <c r="I18" s="92"/>
      <c r="J18" s="152">
        <v>789.69600000000003</v>
      </c>
      <c r="K18" s="32">
        <f>(J18/F18-1)*100</f>
        <v>6.2403220186436181</v>
      </c>
      <c r="L18" s="41">
        <f>L$12</f>
        <v>12.411504856942734</v>
      </c>
      <c r="M18" s="92"/>
      <c r="N18" s="152">
        <v>1002.697</v>
      </c>
      <c r="O18" s="32">
        <f>(N18/J18-1)*100</f>
        <v>26.972531201880212</v>
      </c>
      <c r="P18" s="41">
        <f>P$12</f>
        <v>0.33183973388277721</v>
      </c>
      <c r="Q18" s="92"/>
      <c r="R18" s="152">
        <v>1219.3720000000001</v>
      </c>
      <c r="S18" s="32">
        <f>(R18/N18-1)*100</f>
        <v>21.609219933838443</v>
      </c>
      <c r="T18" s="41">
        <f>T$12</f>
        <v>6.0933389498270207</v>
      </c>
      <c r="U18" s="92"/>
      <c r="V18" s="152">
        <v>1312.856</v>
      </c>
      <c r="W18" s="32">
        <f>(V18/R18-1)*100</f>
        <v>7.6665693488123354</v>
      </c>
      <c r="X18" s="41">
        <f>X$12</f>
        <v>5.1376068694991117</v>
      </c>
      <c r="Y18" s="92"/>
      <c r="Z18" s="152">
        <v>104.42100000000001</v>
      </c>
      <c r="AA18" s="32">
        <f>(Z18/V18-1)*100</f>
        <v>-92.046271639844733</v>
      </c>
      <c r="AB18" s="41">
        <f>AB$12</f>
        <v>10.630041119173516</v>
      </c>
      <c r="AC18" s="92"/>
      <c r="AD18" s="152">
        <v>113.35599999999999</v>
      </c>
      <c r="AE18" s="32">
        <f>(AD18/Z18-1)*100</f>
        <v>8.5567079418890746</v>
      </c>
      <c r="AF18" s="41" t="str">
        <f>AF$12</f>
        <v>NM</v>
      </c>
      <c r="AG18" s="92"/>
      <c r="AH18" s="152">
        <v>101.474</v>
      </c>
      <c r="AI18" s="32">
        <f>(AH18/AD18-1)*100</f>
        <v>-10.482021242810259</v>
      </c>
      <c r="AJ18" s="41">
        <f>AJ$12</f>
        <v>3.6802711635345986</v>
      </c>
      <c r="AK18" s="92"/>
      <c r="AL18" s="152">
        <v>129.66999999999999</v>
      </c>
      <c r="AM18" s="32">
        <f>(AL18/AH18-1)*100</f>
        <v>27.786428050535108</v>
      </c>
      <c r="AN18" s="41" t="str">
        <f>AN$12</f>
        <v>NM</v>
      </c>
      <c r="AO18" s="24"/>
      <c r="AP18" s="152">
        <v>122.35899999999999</v>
      </c>
      <c r="AQ18" s="32">
        <f>(AP18/AL18-1)*100</f>
        <v>-5.6381584020976261</v>
      </c>
      <c r="AR18" s="41">
        <f>AR$12</f>
        <v>8.440981883698484</v>
      </c>
      <c r="AS18" s="24"/>
      <c r="AT18" s="152">
        <v>127.152</v>
      </c>
      <c r="AU18" s="32">
        <f>(AT18/AP18-1)*100</f>
        <v>3.9171617943919212</v>
      </c>
      <c r="AV18" s="41">
        <f>AV$12</f>
        <v>-3.2996766816864698</v>
      </c>
      <c r="AW18" s="24"/>
      <c r="AX18" s="152">
        <v>112.11</v>
      </c>
      <c r="AY18" s="32">
        <f>(AX18/AT18-1)*100</f>
        <v>-11.829935824839566</v>
      </c>
      <c r="AZ18" s="41">
        <f>AZ$12</f>
        <v>6.5224924442623067</v>
      </c>
      <c r="BA18" s="24"/>
      <c r="BB18" s="359">
        <v>345.05900000000003</v>
      </c>
      <c r="BC18" s="32">
        <f>(BB18/AX18-1)*100</f>
        <v>207.78610293461779</v>
      </c>
      <c r="BD18" s="41">
        <f>BD$12</f>
        <v>4.481023328703615</v>
      </c>
      <c r="BE18" s="24"/>
      <c r="BF18" s="359">
        <v>134.57499999999999</v>
      </c>
      <c r="BG18" s="32">
        <f>(BF18/BB18-1)*100</f>
        <v>-60.999423287032073</v>
      </c>
      <c r="BH18" s="41">
        <f>'qtrP&amp;L'!BK12</f>
        <v>2.3871407917607446</v>
      </c>
      <c r="BI18" s="168"/>
      <c r="BJ18" s="359">
        <f>170.792</f>
        <v>170.792</v>
      </c>
      <c r="BK18" s="32">
        <f>(BJ18/BF18-1)*100</f>
        <v>26.912130782091779</v>
      </c>
      <c r="BL18" s="41">
        <f>$BL12</f>
        <v>3.6808745250160868E-2</v>
      </c>
      <c r="BM18" s="168"/>
      <c r="BN18" s="359">
        <v>178.39400000000001</v>
      </c>
      <c r="BO18" s="32">
        <f>(BN18/BJ18-1)*100</f>
        <v>4.4510281512014638</v>
      </c>
      <c r="BP18" s="41">
        <f>BP$12</f>
        <v>11.810572382135099</v>
      </c>
      <c r="BQ18" s="168"/>
      <c r="BR18" s="359">
        <v>461.70100000000002</v>
      </c>
      <c r="BS18" s="32">
        <f>(BR18/BN18-1)*100</f>
        <v>158.80971333116585</v>
      </c>
      <c r="BT18" s="41">
        <f>BT$12</f>
        <v>-9.0711192772987115</v>
      </c>
      <c r="BU18" s="168"/>
      <c r="BV18" s="359">
        <v>351.56099999999998</v>
      </c>
      <c r="BW18" s="32">
        <f>(BV18/BR18-1)*100</f>
        <v>-23.855265637284738</v>
      </c>
      <c r="BX18" s="41">
        <f>BX$12</f>
        <v>-4.2077807544469774</v>
      </c>
      <c r="BY18" s="168"/>
      <c r="BZ18" s="359">
        <v>252.27699999999999</v>
      </c>
      <c r="CA18" s="32">
        <f>(BZ18/BV18-1)*100</f>
        <v>-28.240902716740479</v>
      </c>
      <c r="CB18" s="41">
        <f>CB$12</f>
        <v>-3.522720857417061</v>
      </c>
      <c r="CC18" s="168"/>
      <c r="CD18" s="359">
        <v>247.441</v>
      </c>
      <c r="CE18" s="32">
        <f>(CD18/BZ18-1)*100</f>
        <v>-1.9169405058725109</v>
      </c>
      <c r="CF18" s="41">
        <f>+$CF$12</f>
        <v>11.595356748396025</v>
      </c>
      <c r="CG18" s="168"/>
      <c r="CH18" s="359">
        <v>297.99599999999998</v>
      </c>
      <c r="CI18" s="32">
        <f>(CH18/CD18-1)*100</f>
        <v>20.431133078188335</v>
      </c>
      <c r="CJ18" s="41">
        <f>CJ12</f>
        <v>9.5820652908279449</v>
      </c>
      <c r="CK18" s="168"/>
      <c r="CL18" s="359">
        <v>224.93299999999999</v>
      </c>
      <c r="CM18" s="32">
        <f>(CL18/CH18-1)*100</f>
        <v>-24.518114337105189</v>
      </c>
      <c r="CN18" s="41">
        <f>CN12</f>
        <v>-5.6699119360271055</v>
      </c>
      <c r="CP18" s="359">
        <v>244.78100000000001</v>
      </c>
      <c r="CQ18" s="32">
        <f>(CP18/CL18-1)*100</f>
        <v>8.8239609128051519</v>
      </c>
      <c r="CR18" s="41">
        <f>CR12</f>
        <v>5.8969197473988988</v>
      </c>
      <c r="CT18" s="359">
        <v>273.71199999999999</v>
      </c>
      <c r="CU18" s="32">
        <f>(CT18/CP18-1)*100</f>
        <v>11.819136289172771</v>
      </c>
      <c r="CV18" s="41">
        <f>CV12</f>
        <v>6.8059916530291087</v>
      </c>
      <c r="CX18" s="359">
        <v>282.464</v>
      </c>
      <c r="CY18" s="32">
        <f>(CX18/CT18-1)*100</f>
        <v>3.1975214824340847</v>
      </c>
      <c r="CZ18" s="41">
        <f>CZ12</f>
        <v>7.0174409653746439</v>
      </c>
      <c r="DB18" s="359">
        <v>325.19400000000002</v>
      </c>
      <c r="DC18" s="32">
        <f>(DB18/CX18-1)*100</f>
        <v>15.127591480684277</v>
      </c>
      <c r="DD18" s="41">
        <f>DD12</f>
        <v>4.0056818754218515</v>
      </c>
      <c r="DF18" s="359">
        <v>285.45999999999998</v>
      </c>
      <c r="DG18" s="32">
        <f>(DF18/DB18-1)*100</f>
        <v>-12.218552617821988</v>
      </c>
      <c r="DH18" s="41">
        <f>DH12</f>
        <v>1.4260092778747957</v>
      </c>
      <c r="DJ18" s="359"/>
      <c r="DK18" s="32"/>
      <c r="DL18" s="41"/>
    </row>
    <row r="19" spans="1:116">
      <c r="A19" s="24" t="str">
        <f>$A$13</f>
        <v>4Q</v>
      </c>
      <c r="B19" s="24" t="str">
        <f>$B$13</f>
        <v>Jan</v>
      </c>
      <c r="C19" s="24"/>
      <c r="D19" s="152">
        <v>670.29600000000005</v>
      </c>
      <c r="E19" s="36"/>
      <c r="F19" s="152">
        <v>735.83199999999999</v>
      </c>
      <c r="G19" s="32">
        <f>(F19/D19-1)*100</f>
        <v>9.7771730698079651</v>
      </c>
      <c r="H19" s="41">
        <f>H$13</f>
        <v>17.917553903776362</v>
      </c>
      <c r="I19" s="92"/>
      <c r="J19" s="152">
        <v>837.37699999999995</v>
      </c>
      <c r="K19" s="32">
        <f>(J19/F19-1)*100</f>
        <v>13.800025005707827</v>
      </c>
      <c r="L19" s="41">
        <f>L$13</f>
        <v>18.083359150329859</v>
      </c>
      <c r="M19" s="92"/>
      <c r="N19" s="152">
        <v>1056.9110000000001</v>
      </c>
      <c r="O19" s="32">
        <f>(N19/J19-1)*100</f>
        <v>26.21686528290126</v>
      </c>
      <c r="P19" s="41">
        <f>P$13</f>
        <v>-0.29460970906417527</v>
      </c>
      <c r="Q19" s="92"/>
      <c r="R19" s="152">
        <v>1292.3989999999999</v>
      </c>
      <c r="S19" s="32">
        <f>(R19/N19-1)*100</f>
        <v>22.280778608605623</v>
      </c>
      <c r="T19" s="41">
        <f>T$13</f>
        <v>4.8657781192619876</v>
      </c>
      <c r="U19" s="92"/>
      <c r="V19" s="152">
        <v>77.516000000000005</v>
      </c>
      <c r="W19" s="32">
        <f>(V19/R19-1)*100</f>
        <v>-94.002161871063038</v>
      </c>
      <c r="X19" s="41">
        <f>X$13</f>
        <v>9.1692021889264517</v>
      </c>
      <c r="Y19" s="92"/>
      <c r="Z19" s="152">
        <v>69.337000000000003</v>
      </c>
      <c r="AA19" s="32">
        <f>(Z19/V19-1)*100</f>
        <v>-10.551370039733731</v>
      </c>
      <c r="AB19" s="41">
        <f>AB$13</f>
        <v>7.0324912092055714</v>
      </c>
      <c r="AC19" s="92"/>
      <c r="AD19" s="152">
        <v>83.37</v>
      </c>
      <c r="AE19" s="32">
        <f>(AD19/Z19-1)*100</f>
        <v>20.238833523227129</v>
      </c>
      <c r="AF19" s="41" t="str">
        <f>AF$13</f>
        <v>NM</v>
      </c>
      <c r="AG19" s="92"/>
      <c r="AH19" s="152">
        <v>77.715000000000003</v>
      </c>
      <c r="AI19" s="32">
        <f>(AH19/AD19-1)*100</f>
        <v>-6.7830154731918002</v>
      </c>
      <c r="AJ19" s="41">
        <f>AJ$13</f>
        <v>6.2553869663696915</v>
      </c>
      <c r="AK19" s="92"/>
      <c r="AL19" s="152">
        <v>108.794</v>
      </c>
      <c r="AM19" s="32">
        <f>(AL19/AH19-1)*100</f>
        <v>39.990992729846234</v>
      </c>
      <c r="AN19" s="41" t="str">
        <f>AN$13</f>
        <v>NM</v>
      </c>
      <c r="AO19" s="24"/>
      <c r="AP19" s="152">
        <v>93.745000000000005</v>
      </c>
      <c r="AQ19" s="32">
        <f>(AP19/AL19-1)*100</f>
        <v>-13.832564295825133</v>
      </c>
      <c r="AR19" s="41">
        <f>AR$13</f>
        <v>6.7029582508245866</v>
      </c>
      <c r="AS19" s="24"/>
      <c r="AT19" s="152">
        <v>79</v>
      </c>
      <c r="AU19" s="32">
        <f>(AT19/AP19-1)*100</f>
        <v>-15.728838871406481</v>
      </c>
      <c r="AV19" s="41">
        <f>AV$13</f>
        <v>-2.1441834637355939</v>
      </c>
      <c r="AW19" s="24"/>
      <c r="AX19" s="43">
        <f>+bal!AC10</f>
        <v>151</v>
      </c>
      <c r="AY19" s="32">
        <f>(AX19/AT19-1)*100</f>
        <v>91.139240506329116</v>
      </c>
      <c r="AZ19" s="41">
        <f>AZ$13</f>
        <v>4.474232505384923</v>
      </c>
      <c r="BA19" s="24"/>
      <c r="BB19" s="152">
        <f>110.062</f>
        <v>110.062</v>
      </c>
      <c r="BC19" s="32">
        <f>(BB19/AX19-1)*100</f>
        <v>-27.111258278145701</v>
      </c>
      <c r="BD19" s="41">
        <f>BD$13</f>
        <v>8.9330761040416604</v>
      </c>
      <c r="BE19" s="24"/>
      <c r="BF19" s="359">
        <v>128.50899999999999</v>
      </c>
      <c r="BG19" s="32">
        <f>(BF19/BB19-1)*100</f>
        <v>16.760553142774071</v>
      </c>
      <c r="BH19" s="41">
        <f>'qtrP&amp;L'!BK13</f>
        <v>3.0178419879427487</v>
      </c>
      <c r="BI19" s="168"/>
      <c r="BJ19" s="359">
        <v>182.352</v>
      </c>
      <c r="BK19" s="32">
        <f>(BJ19/BF19-1)*100</f>
        <v>41.898232808597079</v>
      </c>
      <c r="BL19" s="41">
        <f>$BL13</f>
        <v>5.4906799678646534</v>
      </c>
      <c r="BM19" s="168"/>
      <c r="BN19" s="359">
        <v>176.12</v>
      </c>
      <c r="BO19" s="32">
        <f>(BN19/BJ19-1)*100</f>
        <v>-3.417566026147234</v>
      </c>
      <c r="BP19" s="41">
        <f>BP$13</f>
        <v>14.625502858729632</v>
      </c>
      <c r="BQ19" s="168"/>
      <c r="BR19" s="359">
        <v>354.74099999999999</v>
      </c>
      <c r="BS19" s="32">
        <f>(BR19/BN19-1)*100</f>
        <v>101.42005450828977</v>
      </c>
      <c r="BT19" s="41">
        <f>BT$13</f>
        <v>-19.786756882869838</v>
      </c>
      <c r="BU19" s="168"/>
      <c r="BV19" s="359">
        <v>235.65199999999999</v>
      </c>
      <c r="BW19" s="32">
        <f>(BV19/BR19-1)*100</f>
        <v>-33.570689601709411</v>
      </c>
      <c r="BX19" s="41">
        <f>BX$13</f>
        <v>-7.3487212019537012</v>
      </c>
      <c r="BY19" s="168"/>
      <c r="BZ19" s="359">
        <v>219.31200000000001</v>
      </c>
      <c r="CA19" s="32">
        <f>(BZ19/BV19-1)*100</f>
        <v>-6.9339534567922083</v>
      </c>
      <c r="CB19" s="41">
        <f>CB$13</f>
        <v>2.415497699510083</v>
      </c>
      <c r="CC19" s="168"/>
      <c r="CD19" s="359">
        <v>232.322</v>
      </c>
      <c r="CE19" s="32">
        <f>(CD19/BZ19-1)*100</f>
        <v>5.9321879331728278</v>
      </c>
      <c r="CF19" s="41">
        <f>+$CF$13</f>
        <v>12.813023119772083</v>
      </c>
      <c r="CG19" s="168"/>
      <c r="CH19" s="359">
        <v>217.80500000000001</v>
      </c>
      <c r="CI19" s="32">
        <f>(CH19/CD19-1)*100</f>
        <v>-6.2486548841693796</v>
      </c>
      <c r="CJ19" s="41">
        <f>CJ13</f>
        <v>1.7236230634342764</v>
      </c>
      <c r="CK19" s="168"/>
      <c r="CL19" s="359">
        <v>202.53700000000001</v>
      </c>
      <c r="CM19" s="32">
        <f>(CL19/CH19-1)*100</f>
        <v>-7.0099400840201049</v>
      </c>
      <c r="CN19" s="41">
        <f>CN13</f>
        <v>9.6761246005462773</v>
      </c>
      <c r="CP19" s="359">
        <v>244.126</v>
      </c>
      <c r="CQ19" s="32">
        <f>(CP19/CL19-1)*100</f>
        <v>20.534025881690752</v>
      </c>
      <c r="CR19" s="41">
        <f>CR13</f>
        <v>-0.96952912179558703</v>
      </c>
      <c r="CT19" s="359">
        <v>252.12299999999999</v>
      </c>
      <c r="CU19" s="32">
        <f>(CT19/CP19-1)*100</f>
        <v>3.2757674315722074</v>
      </c>
      <c r="CV19" s="41">
        <f>CV13</f>
        <v>6.5602343720944978</v>
      </c>
      <c r="CX19" s="359">
        <v>260.91000000000003</v>
      </c>
      <c r="CY19" s="32">
        <f>(CX19/CT19-1)*100</f>
        <v>3.4852036505991224</v>
      </c>
      <c r="CZ19" s="41">
        <f>CZ13</f>
        <v>8.0211173880504241</v>
      </c>
      <c r="DB19" s="359">
        <v>293.44499999999999</v>
      </c>
      <c r="DC19" s="32">
        <f>(DB19/CX19-1)*100</f>
        <v>12.469817178337351</v>
      </c>
      <c r="DD19" s="41">
        <f>DD13</f>
        <v>2.1488774047283776</v>
      </c>
      <c r="DF19" s="359">
        <v>310.05700000000002</v>
      </c>
      <c r="DG19" s="32">
        <f>(DF19/DB19-1)*100</f>
        <v>5.6610267682189352</v>
      </c>
      <c r="DH19" s="41">
        <f>DH13</f>
        <v>7.4310783669299996</v>
      </c>
      <c r="DJ19" s="359"/>
      <c r="DK19" s="32"/>
      <c r="DL19" s="41"/>
    </row>
    <row r="20" spans="1:116">
      <c r="A20" s="24"/>
      <c r="B20" s="24"/>
      <c r="C20" s="24"/>
      <c r="D20" s="24"/>
      <c r="E20" s="24"/>
      <c r="F20" s="24"/>
      <c r="G20" s="24"/>
      <c r="H20" s="24"/>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43"/>
      <c r="BC20" s="24"/>
      <c r="BD20" s="24"/>
      <c r="BE20" s="24"/>
      <c r="BF20" s="168"/>
      <c r="BG20" s="168"/>
      <c r="BH20" s="168"/>
      <c r="BI20" s="168"/>
      <c r="BJ20" s="168"/>
      <c r="BK20" s="168"/>
      <c r="BL20" s="168"/>
      <c r="BM20" s="168"/>
      <c r="BN20" s="168"/>
      <c r="BO20" s="168"/>
      <c r="BP20" s="168"/>
      <c r="BQ20" s="168"/>
      <c r="BR20" s="168"/>
      <c r="BS20" s="168"/>
      <c r="BT20" s="168"/>
      <c r="BU20" s="168"/>
      <c r="BV20" s="168"/>
      <c r="BW20" s="168"/>
      <c r="BX20" s="168"/>
      <c r="BY20" s="168"/>
      <c r="BZ20" s="168"/>
      <c r="CA20" s="168"/>
      <c r="CB20" s="168"/>
      <c r="CC20" s="168"/>
      <c r="CD20" s="168"/>
      <c r="CE20" s="168"/>
      <c r="CF20" s="168"/>
      <c r="CG20" s="168"/>
      <c r="CH20" s="168"/>
      <c r="CI20" s="168"/>
      <c r="CJ20" s="168"/>
      <c r="CK20" s="168"/>
      <c r="CL20" s="168"/>
      <c r="CM20" s="168"/>
      <c r="CN20" s="168"/>
      <c r="CR20" s="168"/>
    </row>
    <row r="21" spans="1:116">
      <c r="A21" s="204" t="s">
        <v>524</v>
      </c>
      <c r="B21" s="201"/>
      <c r="C21" s="168"/>
      <c r="D21" s="168"/>
      <c r="E21" s="168"/>
      <c r="F21" s="202"/>
      <c r="G21" s="202"/>
      <c r="H21" s="202"/>
      <c r="I21" s="202"/>
      <c r="J21" s="202"/>
      <c r="K21" s="202"/>
      <c r="L21" s="202"/>
      <c r="M21" s="203"/>
      <c r="N21" s="203"/>
      <c r="O21" s="202"/>
      <c r="P21" s="202"/>
      <c r="Q21" s="202"/>
      <c r="R21" s="202"/>
      <c r="S21" s="202"/>
      <c r="T21" s="202"/>
      <c r="U21" s="202"/>
      <c r="V21" s="202"/>
      <c r="W21" s="202"/>
      <c r="X21" s="202"/>
      <c r="Y21" s="202"/>
      <c r="Z21" s="202"/>
      <c r="AA21" s="202"/>
      <c r="AB21" s="202"/>
      <c r="AC21" s="203"/>
      <c r="AD21" s="203"/>
      <c r="AE21" s="202"/>
      <c r="AF21" s="202"/>
      <c r="AG21" s="202"/>
      <c r="AH21" s="202"/>
      <c r="AI21" s="202"/>
      <c r="AJ21" s="202"/>
      <c r="AK21" s="202"/>
      <c r="AL21" s="202"/>
      <c r="AM21" s="202"/>
      <c r="AN21" s="202"/>
      <c r="AO21" s="168"/>
      <c r="AP21" s="202"/>
      <c r="AQ21" s="202"/>
      <c r="AR21" s="202"/>
      <c r="AS21" s="168"/>
      <c r="AT21" s="202"/>
      <c r="AU21" s="202"/>
      <c r="AV21" s="202"/>
      <c r="AW21" s="168"/>
      <c r="AX21" s="202"/>
      <c r="AY21" s="202"/>
      <c r="AZ21" s="202"/>
      <c r="BA21" s="168"/>
      <c r="BB21" s="202"/>
      <c r="BC21" s="202"/>
      <c r="BD21" s="202"/>
      <c r="BE21" s="168"/>
      <c r="BF21" s="202"/>
      <c r="BG21" s="202"/>
      <c r="BH21" s="202"/>
      <c r="BI21" s="168"/>
      <c r="BJ21" s="202"/>
      <c r="BK21" s="202"/>
      <c r="BL21" s="202"/>
      <c r="BM21" s="168"/>
      <c r="BN21" s="202"/>
      <c r="BO21" s="202"/>
      <c r="BP21" s="202"/>
      <c r="BQ21" s="168"/>
      <c r="BR21" s="202"/>
      <c r="BS21" s="202"/>
      <c r="BT21" s="202"/>
      <c r="BU21" s="168"/>
      <c r="BV21" s="202"/>
      <c r="BW21" s="202"/>
      <c r="BX21" s="202"/>
      <c r="BY21" s="168"/>
      <c r="BZ21" s="202"/>
      <c r="CA21" s="202"/>
      <c r="CB21" s="202"/>
      <c r="CC21" s="168"/>
      <c r="CD21" s="202"/>
      <c r="CE21" s="202"/>
      <c r="CF21" s="202"/>
      <c r="CG21" s="168"/>
      <c r="CH21" s="202"/>
      <c r="CI21" s="202"/>
      <c r="CJ21" s="202"/>
      <c r="CK21" s="168"/>
      <c r="CL21" s="202"/>
      <c r="CM21" s="202"/>
      <c r="CN21" s="202"/>
      <c r="CR21" s="202"/>
    </row>
    <row r="22" spans="1:116">
      <c r="A22" s="24" t="str">
        <f>$A$10</f>
        <v>1Q</v>
      </c>
      <c r="B22" s="24" t="str">
        <f>$B$10</f>
        <v>Apr</v>
      </c>
      <c r="C22" s="24"/>
      <c r="D22" s="138">
        <v>53.484999999999999</v>
      </c>
      <c r="E22" s="37"/>
      <c r="F22" s="138">
        <v>93.432000000000002</v>
      </c>
      <c r="G22" s="32">
        <f>(F22/D22-1)*100</f>
        <v>74.688230344956537</v>
      </c>
      <c r="H22" s="41">
        <f>H$10</f>
        <v>15.996550307266478</v>
      </c>
      <c r="I22" s="92"/>
      <c r="J22" s="138">
        <v>85.768000000000001</v>
      </c>
      <c r="K22" s="32">
        <f>(J22/F22-1)*100</f>
        <v>-8.2027570853668959</v>
      </c>
      <c r="L22" s="41">
        <f>L$10</f>
        <v>10.209796633973856</v>
      </c>
      <c r="M22" s="92"/>
      <c r="N22" s="138">
        <v>109.27200000000001</v>
      </c>
      <c r="O22" s="32">
        <f>(N22/J22-1)*100</f>
        <v>27.404160059695926</v>
      </c>
      <c r="P22" s="41">
        <f>P$10</f>
        <v>7.2714172185430304</v>
      </c>
      <c r="Q22" s="92"/>
      <c r="R22" s="138">
        <v>106.43300000000001</v>
      </c>
      <c r="S22" s="32">
        <f>(R22/N22-1)*100</f>
        <v>-2.5981038143348734</v>
      </c>
      <c r="T22" s="41">
        <f>T$10</f>
        <v>-2.4321051311076758</v>
      </c>
      <c r="U22" s="92"/>
      <c r="V22" s="138">
        <v>140.905</v>
      </c>
      <c r="W22" s="32">
        <f>(V22/R22-1)*100</f>
        <v>32.388450950363136</v>
      </c>
      <c r="X22" s="41">
        <f>X$10</f>
        <v>7.1884440628821933</v>
      </c>
      <c r="Y22" s="92"/>
      <c r="Z22" s="138">
        <v>130.41</v>
      </c>
      <c r="AA22" s="32">
        <f>(Z22/V22-1)*100</f>
        <v>-7.4482807565380948</v>
      </c>
      <c r="AB22" s="41">
        <f>AB$10</f>
        <v>12.581369078427883</v>
      </c>
      <c r="AC22" s="92"/>
      <c r="AD22" s="365">
        <f>66.949+91.161</f>
        <v>158.11000000000001</v>
      </c>
      <c r="AE22" s="32">
        <f>(AD22/Z22-1)*100</f>
        <v>21.2407024001227</v>
      </c>
      <c r="AF22" s="41" t="str">
        <f>AF$10</f>
        <v>NM</v>
      </c>
      <c r="AG22" s="92"/>
      <c r="AH22" s="138">
        <f>92.422+96.789</f>
        <v>189.21100000000001</v>
      </c>
      <c r="AI22" s="32">
        <f>(AH22/AD22-1)*100</f>
        <v>19.670482575422167</v>
      </c>
      <c r="AJ22" s="41">
        <f>AJ$10</f>
        <v>6.3979816809976775</v>
      </c>
      <c r="AK22" s="92"/>
      <c r="AL22" s="138">
        <f>99.947+165.069</f>
        <v>265.01599999999996</v>
      </c>
      <c r="AM22" s="32">
        <f>(AL22/AH22-1)*100</f>
        <v>40.063738366162617</v>
      </c>
      <c r="AN22" s="41" t="str">
        <f>AN$10</f>
        <v>NM</v>
      </c>
      <c r="AO22" s="24"/>
      <c r="AP22" s="138">
        <f>97.574+196.628</f>
        <v>294.202</v>
      </c>
      <c r="AQ22" s="32">
        <f>(AP22/AL22-1)*100</f>
        <v>11.012919974643065</v>
      </c>
      <c r="AR22" s="41">
        <f>AR$10</f>
        <v>7.7445005192068317</v>
      </c>
      <c r="AS22" s="24"/>
      <c r="AT22" s="138">
        <v>318.79599999999999</v>
      </c>
      <c r="AU22" s="32">
        <f>(AT22/AP22-1)*100</f>
        <v>8.3595624774814645</v>
      </c>
      <c r="AV22" s="41">
        <f>AV$10</f>
        <v>-1.6785881211432763</v>
      </c>
      <c r="AW22" s="24"/>
      <c r="AX22" s="138">
        <v>252</v>
      </c>
      <c r="AY22" s="32">
        <f>(AX22/AT22-1)*100</f>
        <v>-20.952584097667469</v>
      </c>
      <c r="AZ22" s="41">
        <f>AZ$10</f>
        <v>8.234698752841707</v>
      </c>
      <c r="BA22" s="24"/>
      <c r="BB22" s="138">
        <v>227.58699999999999</v>
      </c>
      <c r="BC22" s="32">
        <f>(BB22/AX22-1)*100</f>
        <v>-9.6876984126984205</v>
      </c>
      <c r="BD22" s="41">
        <f>BD$10</f>
        <v>2.4234074810405515</v>
      </c>
      <c r="BE22" s="24"/>
      <c r="BF22" s="365">
        <v>231.09100000000001</v>
      </c>
      <c r="BG22" s="32">
        <f>(BF22/BB22-1)*100</f>
        <v>1.5396309982556255</v>
      </c>
      <c r="BH22" s="41">
        <f>BH$10</f>
        <v>7.3769864468106849</v>
      </c>
      <c r="BI22" s="168"/>
      <c r="BJ22" s="365">
        <v>248.30500000000001</v>
      </c>
      <c r="BK22" s="32">
        <f>(BJ22/BF22-1)*100</f>
        <v>7.4490135920481482</v>
      </c>
      <c r="BL22" s="41">
        <f>BL$10</f>
        <v>-0.16535208975013704</v>
      </c>
      <c r="BM22" s="168"/>
      <c r="BN22" s="365">
        <v>247.215</v>
      </c>
      <c r="BO22" s="32">
        <f>(BN22/BJ22-1)*100</f>
        <v>-0.43897625903627224</v>
      </c>
      <c r="BP22" s="41">
        <f>BP$10</f>
        <v>5.1727856959125518</v>
      </c>
      <c r="BQ22" s="168"/>
      <c r="BR22" s="365">
        <v>405.488</v>
      </c>
      <c r="BS22" s="32">
        <f>(BR22/BN22-1)*100</f>
        <v>64.022409643427778</v>
      </c>
      <c r="BT22" s="41">
        <f>BT$10</f>
        <v>11.253816034059172</v>
      </c>
      <c r="BU22" s="168"/>
      <c r="BV22" s="365">
        <v>296.97699999999998</v>
      </c>
      <c r="BW22" s="32">
        <f>(BV22/BR22-1)*100</f>
        <v>-26.760594641518377</v>
      </c>
      <c r="BX22" s="41">
        <f>BX$10</f>
        <v>-16.693561613662201</v>
      </c>
      <c r="BY22" s="168"/>
      <c r="BZ22" s="365">
        <v>268.62099999999998</v>
      </c>
      <c r="CA22" s="32">
        <f>(BZ22/BV22-1)*100</f>
        <v>-9.5482141714678281</v>
      </c>
      <c r="CB22" s="41">
        <f>CB$10</f>
        <v>-10.381069679665423</v>
      </c>
      <c r="CC22" s="168"/>
      <c r="CD22" s="365">
        <f>31.633+171.314</f>
        <v>202.947</v>
      </c>
      <c r="CE22" s="32">
        <f>(CD22/BZ22-1)*100</f>
        <v>-24.448572524113899</v>
      </c>
      <c r="CF22" s="41">
        <f>CF$10</f>
        <v>11.957719432170766</v>
      </c>
      <c r="CG22" s="168"/>
      <c r="CH22" s="365">
        <v>326.65899999999999</v>
      </c>
      <c r="CI22" s="32">
        <f>(CH22/CD22-1)*100</f>
        <v>60.957787008430778</v>
      </c>
      <c r="CJ22" s="41">
        <f>CJ10</f>
        <v>14.779998923136816</v>
      </c>
      <c r="CK22" s="168"/>
      <c r="CL22" s="365">
        <v>221.364</v>
      </c>
      <c r="CM22" s="32">
        <f>(CL22/CH22-1)*100</f>
        <v>-32.233919775668198</v>
      </c>
      <c r="CN22" s="41">
        <f>CN10</f>
        <v>-2.8521657704924985</v>
      </c>
      <c r="CP22" s="365">
        <v>204.11099999999999</v>
      </c>
      <c r="CQ22" s="32">
        <f>(CP22/CL22-1)*100</f>
        <v>-7.7939502358107093</v>
      </c>
      <c r="CR22" s="41">
        <f>CR10</f>
        <v>5.3009958287367764</v>
      </c>
      <c r="CT22" s="365">
        <v>209.64</v>
      </c>
      <c r="CU22" s="32">
        <f>(CT22/CP22-1)*100</f>
        <v>2.7088202007730988</v>
      </c>
      <c r="CV22" s="41">
        <f>CV10</f>
        <v>5.4354670020053231</v>
      </c>
      <c r="CX22" s="365">
        <v>208.351</v>
      </c>
      <c r="CY22" s="32">
        <f>(CX22/CT22-1)*100</f>
        <v>-0.61486357565349037</v>
      </c>
      <c r="CZ22" s="41">
        <f>CZ10</f>
        <v>5.0479878556224156</v>
      </c>
      <c r="DB22" s="365">
        <v>208.988</v>
      </c>
      <c r="DC22" s="32">
        <f>(DB22/CX22-1)*100</f>
        <v>0.30573407375054096</v>
      </c>
      <c r="DD22" s="41">
        <f>DD16</f>
        <v>4.0556717340668014</v>
      </c>
      <c r="DF22" s="365">
        <v>236.399</v>
      </c>
      <c r="DG22" s="32">
        <f>(DF22/DB22-1)*100</f>
        <v>13.116064080234269</v>
      </c>
      <c r="DH22" s="41">
        <f>DH16</f>
        <v>-6.7828824916836066</v>
      </c>
      <c r="DJ22" s="365"/>
      <c r="DK22" s="32"/>
      <c r="DL22" s="41"/>
    </row>
    <row r="23" spans="1:116">
      <c r="A23" s="24" t="str">
        <f>$A$11</f>
        <v>2Q</v>
      </c>
      <c r="B23" s="24" t="str">
        <f>$B$11</f>
        <v>Jul</v>
      </c>
      <c r="C23" s="24"/>
      <c r="D23" s="152">
        <v>69.869</v>
      </c>
      <c r="E23" s="36"/>
      <c r="F23" s="152">
        <v>95.411000000000001</v>
      </c>
      <c r="G23" s="32">
        <f>(F23/D23-1)*100</f>
        <v>36.556985215188419</v>
      </c>
      <c r="H23" s="41">
        <f>H$11</f>
        <v>19.108804897441622</v>
      </c>
      <c r="I23" s="92"/>
      <c r="J23" s="152">
        <v>102.376</v>
      </c>
      <c r="K23" s="32">
        <f>(J23/F23-1)*100</f>
        <v>7.2999968557084571</v>
      </c>
      <c r="L23" s="41">
        <f>L$11</f>
        <v>8.3049189745379781</v>
      </c>
      <c r="M23" s="92"/>
      <c r="N23" s="152">
        <v>119.94</v>
      </c>
      <c r="O23" s="32">
        <f>(N23/J23-1)*100</f>
        <v>17.156364772993669</v>
      </c>
      <c r="P23" s="41">
        <f>P$11</f>
        <v>13.405595433844519</v>
      </c>
      <c r="Q23" s="92"/>
      <c r="R23" s="152">
        <v>133.18700000000001</v>
      </c>
      <c r="S23" s="32">
        <f>(R23/N23-1)*100</f>
        <v>11.04468901117226</v>
      </c>
      <c r="T23" s="41">
        <f>T$11</f>
        <v>-6.137337150063205</v>
      </c>
      <c r="U23" s="92"/>
      <c r="V23" s="152">
        <v>153.084</v>
      </c>
      <c r="W23" s="32">
        <f>(V23/R23-1)*100</f>
        <v>14.939145712419366</v>
      </c>
      <c r="X23" s="41">
        <f>X$11</f>
        <v>8.40492446032275</v>
      </c>
      <c r="Y23" s="92"/>
      <c r="Z23" s="152">
        <v>137.69200000000001</v>
      </c>
      <c r="AA23" s="32">
        <f>(Z23/V23-1)*100</f>
        <v>-10.054610540618224</v>
      </c>
      <c r="AB23" s="41">
        <f>AB$11</f>
        <v>10.296379178223747</v>
      </c>
      <c r="AC23" s="92"/>
      <c r="AD23" s="152">
        <f>89.995+92.578</f>
        <v>182.57300000000001</v>
      </c>
      <c r="AE23" s="32">
        <f>(AD23/Z23-1)*100</f>
        <v>32.595212503268158</v>
      </c>
      <c r="AF23" s="41" t="str">
        <f>AF$11</f>
        <v>NM</v>
      </c>
      <c r="AG23" s="92"/>
      <c r="AH23" s="359">
        <f>91.187+92.818</f>
        <v>184.005</v>
      </c>
      <c r="AI23" s="32">
        <f>(AH23/AD23-1)*100</f>
        <v>0.78434379672787102</v>
      </c>
      <c r="AJ23" s="41">
        <f>AJ$11</f>
        <v>5.7957809155998019</v>
      </c>
      <c r="AK23" s="92"/>
      <c r="AL23" s="152">
        <f>102.901+157.138</f>
        <v>260.03899999999999</v>
      </c>
      <c r="AM23" s="32">
        <f>(AL23/AH23-1)*100</f>
        <v>41.321703214586549</v>
      </c>
      <c r="AN23" s="41" t="str">
        <f>AN$11</f>
        <v>NM</v>
      </c>
      <c r="AO23" s="24"/>
      <c r="AP23" s="152">
        <v>295.02300000000002</v>
      </c>
      <c r="AQ23" s="32">
        <f>(AP23/AL23-1)*100</f>
        <v>13.453366610393068</v>
      </c>
      <c r="AR23" s="41">
        <f>AR$11</f>
        <v>5.2456120908987991</v>
      </c>
      <c r="AS23" s="24"/>
      <c r="AT23" s="152">
        <v>340.57299999999998</v>
      </c>
      <c r="AU23" s="32">
        <f>(AT23/AP23-1)*100</f>
        <v>15.43947421048526</v>
      </c>
      <c r="AV23" s="41">
        <f>AV$11</f>
        <v>-4.0783506184203899</v>
      </c>
      <c r="AW23" s="24"/>
      <c r="AX23" s="152">
        <v>246.45</v>
      </c>
      <c r="AY23" s="32">
        <f>(AX23/AT23-1)*100</f>
        <v>-27.636659394608497</v>
      </c>
      <c r="AZ23" s="41">
        <f>AZ$11</f>
        <v>8.2114757298583427</v>
      </c>
      <c r="BA23" s="24"/>
      <c r="BB23" s="152">
        <v>219.505</v>
      </c>
      <c r="BC23" s="32">
        <f>(BB23/AX23-1)*100</f>
        <v>-10.933252180969767</v>
      </c>
      <c r="BD23" s="41">
        <f>'qtrP&amp;L'!BG11</f>
        <v>5.3173577296989905</v>
      </c>
      <c r="BE23" s="24"/>
      <c r="BF23" s="359">
        <v>230.08699999999999</v>
      </c>
      <c r="BG23" s="32">
        <f>(BF23/BB23-1)*100</f>
        <v>4.820846905537457</v>
      </c>
      <c r="BH23" s="41">
        <f>'qtrP&amp;L'!BK11</f>
        <v>9.7674104540674591</v>
      </c>
      <c r="BI23" s="168"/>
      <c r="BJ23" s="359">
        <v>238.54300000000001</v>
      </c>
      <c r="BK23" s="32">
        <f>(BJ23/BF23-1)*100</f>
        <v>3.6751315806629714</v>
      </c>
      <c r="BL23" s="41">
        <f>$BL17</f>
        <v>3.6216682226419827</v>
      </c>
      <c r="BM23" s="168"/>
      <c r="BN23" s="359">
        <v>270.47399999999999</v>
      </c>
      <c r="BO23" s="32">
        <f>(BN23/BJ23-1)*100</f>
        <v>13.385846576927429</v>
      </c>
      <c r="BP23" s="41">
        <f>BP$11</f>
        <v>7.1129655973785066</v>
      </c>
      <c r="BQ23" s="168"/>
      <c r="BR23" s="359">
        <v>286.16000000000003</v>
      </c>
      <c r="BS23" s="32">
        <f>(BR23/BN23-1)*100</f>
        <v>5.79944837581432</v>
      </c>
      <c r="BT23" s="41">
        <f>BT$11</f>
        <v>6.9370524383703724</v>
      </c>
      <c r="BU23" s="168"/>
      <c r="BV23" s="359">
        <v>291.66000000000003</v>
      </c>
      <c r="BW23" s="32">
        <f>(BV23/BR23-1)*100</f>
        <v>1.9220016773832782</v>
      </c>
      <c r="BX23" s="41">
        <f>BX$11</f>
        <v>-12.947905111016189</v>
      </c>
      <c r="BY23" s="168"/>
      <c r="BZ23" s="359">
        <v>261.45699999999999</v>
      </c>
      <c r="CA23" s="32">
        <f>(BZ23/BV23-1)*100</f>
        <v>-10.3555509840225</v>
      </c>
      <c r="CB23" s="41">
        <f>CB$11</f>
        <v>-9.5303885542880611</v>
      </c>
      <c r="CC23" s="168"/>
      <c r="CD23" s="359">
        <f>31.682+180.794</f>
        <v>212.476</v>
      </c>
      <c r="CE23" s="32">
        <f>(CD23/BZ23-1)*100</f>
        <v>-18.733864459547846</v>
      </c>
      <c r="CF23" s="41">
        <f>CF$11</f>
        <v>8.5115237030692903</v>
      </c>
      <c r="CG23" s="168"/>
      <c r="CH23" s="359">
        <f>29.691+242.364</f>
        <v>272.05500000000001</v>
      </c>
      <c r="CI23" s="32">
        <f>(CH23/CD23-1)*100</f>
        <v>28.040343379958223</v>
      </c>
      <c r="CJ23" s="41">
        <f>CJ11</f>
        <v>9.6153417376065207</v>
      </c>
      <c r="CK23" s="168"/>
      <c r="CL23" s="359">
        <v>292.23</v>
      </c>
      <c r="CM23" s="32">
        <f>(CL23/CH23-1)*100</f>
        <v>7.4157798974472167</v>
      </c>
      <c r="CN23" s="41">
        <f>CN11</f>
        <v>-2.4016174864277318</v>
      </c>
      <c r="CP23" s="359">
        <f>30.166+193.153</f>
        <v>223.31899999999999</v>
      </c>
      <c r="CQ23" s="32">
        <f>(CP23/CL23-1)*100</f>
        <v>-23.581083393217682</v>
      </c>
      <c r="CR23" s="41">
        <f>CR11</f>
        <v>4.8707015130674103</v>
      </c>
      <c r="CT23" s="359">
        <f>27.102+216.346</f>
        <v>243.44800000000001</v>
      </c>
      <c r="CU23" s="32">
        <f>(CT23/CP23-1)*100</f>
        <v>9.0135635570641082</v>
      </c>
      <c r="CV23" s="41">
        <f>CV11</f>
        <v>6.3339021038946397</v>
      </c>
      <c r="CX23" s="359">
        <f>34.885+270.167</f>
        <v>305.05199999999996</v>
      </c>
      <c r="CY23" s="32">
        <f>(CX23/CT23-1)*100</f>
        <v>25.304787880779458</v>
      </c>
      <c r="CZ23" s="41">
        <f>CZ11</f>
        <v>3.3613288324235935</v>
      </c>
      <c r="DB23" s="359">
        <v>216.999</v>
      </c>
      <c r="DC23" s="32">
        <f>(DB23/CX23-1)*100</f>
        <v>-28.864914834192202</v>
      </c>
      <c r="DD23" s="41">
        <f>DD17</f>
        <v>4.5025797065495698</v>
      </c>
      <c r="DF23" s="359">
        <v>233.36199999999999</v>
      </c>
      <c r="DG23" s="32">
        <f>(DF23/DB23-1)*100</f>
        <v>7.5405877446439895</v>
      </c>
      <c r="DH23" s="41">
        <f>DH17</f>
        <v>-4.6621430825706467</v>
      </c>
      <c r="DJ23" s="359"/>
      <c r="DK23" s="32"/>
      <c r="DL23" s="41"/>
    </row>
    <row r="24" spans="1:116">
      <c r="A24" s="24" t="str">
        <f>$A$12</f>
        <v>3Q</v>
      </c>
      <c r="B24" s="24" t="str">
        <f>$B$12</f>
        <v>Oct</v>
      </c>
      <c r="C24" s="24"/>
      <c r="D24" s="152">
        <v>84.036000000000001</v>
      </c>
      <c r="E24" s="36"/>
      <c r="F24" s="152">
        <v>101.59699999999999</v>
      </c>
      <c r="G24" s="32">
        <f>(F24/D24-1)*100</f>
        <v>20.896996525298682</v>
      </c>
      <c r="H24" s="41">
        <f>H$12</f>
        <v>14.86657910574063</v>
      </c>
      <c r="I24" s="92"/>
      <c r="J24" s="152">
        <v>104.92400000000001</v>
      </c>
      <c r="K24" s="32">
        <f>(J24/F24-1)*100</f>
        <v>3.2747029931986305</v>
      </c>
      <c r="L24" s="41">
        <f>L$12</f>
        <v>12.411504856942734</v>
      </c>
      <c r="M24" s="92"/>
      <c r="N24" s="152">
        <v>116.301</v>
      </c>
      <c r="O24" s="32">
        <f>(N24/J24-1)*100</f>
        <v>10.843086424459614</v>
      </c>
      <c r="P24" s="41">
        <f>P$12</f>
        <v>0.33183973388277721</v>
      </c>
      <c r="Q24" s="92"/>
      <c r="R24" s="152">
        <v>149.74199999999999</v>
      </c>
      <c r="S24" s="32">
        <f>(R24/N24-1)*100</f>
        <v>28.753837026336825</v>
      </c>
      <c r="T24" s="41">
        <f>T$12</f>
        <v>6.0933389498270207</v>
      </c>
      <c r="U24" s="92"/>
      <c r="V24" s="152">
        <v>141.18199999999999</v>
      </c>
      <c r="W24" s="32">
        <f>(V24/R24-1)*100</f>
        <v>-5.7164990450241149</v>
      </c>
      <c r="X24" s="41">
        <f>X$12</f>
        <v>5.1376068694991117</v>
      </c>
      <c r="Y24" s="92"/>
      <c r="Z24" s="152">
        <v>150.44</v>
      </c>
      <c r="AA24" s="32">
        <f>(Z24/V24-1)*100</f>
        <v>6.5574931648510582</v>
      </c>
      <c r="AB24" s="41">
        <f>AB$12</f>
        <v>10.630041119173516</v>
      </c>
      <c r="AC24" s="92"/>
      <c r="AD24" s="152">
        <f>99.412+97.398</f>
        <v>196.81</v>
      </c>
      <c r="AE24" s="32">
        <f>(AD24/Z24-1)*100</f>
        <v>30.822919436320142</v>
      </c>
      <c r="AF24" s="41" t="str">
        <f>AF$12</f>
        <v>NM</v>
      </c>
      <c r="AG24" s="92"/>
      <c r="AH24" s="359">
        <f>95.169+79.757</f>
        <v>174.92599999999999</v>
      </c>
      <c r="AI24" s="32">
        <f>(AH24/AD24-1)*100</f>
        <v>-11.119353691377476</v>
      </c>
      <c r="AJ24" s="41">
        <f>AJ$12</f>
        <v>3.6802711635345986</v>
      </c>
      <c r="AK24" s="92"/>
      <c r="AL24" s="152">
        <f>97.679+180.783</f>
        <v>278.46199999999999</v>
      </c>
      <c r="AM24" s="32">
        <f>(AL24/AH24-1)*100</f>
        <v>59.188456833175174</v>
      </c>
      <c r="AN24" s="41" t="str">
        <f>AN$12</f>
        <v>NM</v>
      </c>
      <c r="AO24" s="24"/>
      <c r="AP24" s="152">
        <v>341.589</v>
      </c>
      <c r="AQ24" s="32">
        <f>(AP24/AL24-1)*100</f>
        <v>22.669879552685824</v>
      </c>
      <c r="AR24" s="41">
        <f>AR$12</f>
        <v>8.440981883698484</v>
      </c>
      <c r="AS24" s="24"/>
      <c r="AT24" s="152">
        <v>304.60500000000002</v>
      </c>
      <c r="AU24" s="32">
        <f>(AT24/AP24-1)*100</f>
        <v>-10.827046538383843</v>
      </c>
      <c r="AV24" s="41">
        <f>AV$12</f>
        <v>-3.2996766816864698</v>
      </c>
      <c r="AW24" s="24"/>
      <c r="AX24" s="152">
        <v>263.07400000000001</v>
      </c>
      <c r="AY24" s="32">
        <f>(AX24/AT24-1)*100</f>
        <v>-13.634378949787429</v>
      </c>
      <c r="AZ24" s="41">
        <f>AZ$12</f>
        <v>6.5224924442623067</v>
      </c>
      <c r="BA24" s="24"/>
      <c r="BB24" s="152">
        <v>244.07</v>
      </c>
      <c r="BC24" s="32">
        <f>(BB24/AX24-1)*100</f>
        <v>-7.2238229547579857</v>
      </c>
      <c r="BD24" s="41">
        <f>BD$12</f>
        <v>4.481023328703615</v>
      </c>
      <c r="BE24" s="24"/>
      <c r="BF24" s="359">
        <v>252.49</v>
      </c>
      <c r="BG24" s="32">
        <f>(BF24/BB24-1)*100</f>
        <v>3.4498299668128007</v>
      </c>
      <c r="BH24" s="41">
        <f>'qtrP&amp;L'!BK12</f>
        <v>2.3871407917607446</v>
      </c>
      <c r="BI24" s="168"/>
      <c r="BJ24" s="359">
        <v>309.00599999999997</v>
      </c>
      <c r="BK24" s="32">
        <f>(BJ24/BF24-1)*100</f>
        <v>22.383460731118056</v>
      </c>
      <c r="BL24" s="41">
        <f>$BL18</f>
        <v>3.6808745250160868E-2</v>
      </c>
      <c r="BM24" s="168"/>
      <c r="BN24" s="359">
        <v>360.214</v>
      </c>
      <c r="BO24" s="32">
        <f>(BN24/BJ24-1)*100</f>
        <v>16.571846501362451</v>
      </c>
      <c r="BP24" s="41">
        <f>BP$12</f>
        <v>11.810572382135099</v>
      </c>
      <c r="BQ24" s="168"/>
      <c r="BR24" s="359">
        <v>319.63799999999998</v>
      </c>
      <c r="BS24" s="32">
        <f>(BR24/BN24-1)*100</f>
        <v>-11.264415042169384</v>
      </c>
      <c r="BT24" s="41">
        <f>BT$12</f>
        <v>-9.0711192772987115</v>
      </c>
      <c r="BU24" s="168"/>
      <c r="BV24" s="359">
        <v>361.79500000000002</v>
      </c>
      <c r="BW24" s="32">
        <f>(BV24/BR24-1)*100</f>
        <v>13.188982536494432</v>
      </c>
      <c r="BX24" s="41">
        <f>BX$12</f>
        <v>-4.2077807544469774</v>
      </c>
      <c r="BY24" s="168"/>
      <c r="BZ24" s="359">
        <v>267.17599999999999</v>
      </c>
      <c r="CA24" s="32">
        <f>(BZ24/BV24-1)*100</f>
        <v>-26.1526555093354</v>
      </c>
      <c r="CB24" s="41">
        <f>CB$12</f>
        <v>-3.522720857417061</v>
      </c>
      <c r="CC24" s="168"/>
      <c r="CD24" s="359">
        <f>34.562+256.234</f>
        <v>290.79599999999999</v>
      </c>
      <c r="CE24" s="32">
        <f>(CD24/BZ24-1)*100</f>
        <v>8.8406144264454802</v>
      </c>
      <c r="CF24" s="41">
        <f>+$CF$12</f>
        <v>11.595356748396025</v>
      </c>
      <c r="CG24" s="168"/>
      <c r="CH24" s="359">
        <f>30.107+253.251</f>
        <v>283.358</v>
      </c>
      <c r="CI24" s="32">
        <f>(CH24/CD24-1)*100</f>
        <v>-2.5578068474119253</v>
      </c>
      <c r="CJ24" s="41">
        <f>CJ12</f>
        <v>9.5820652908279449</v>
      </c>
      <c r="CK24" s="168"/>
      <c r="CL24" s="359">
        <f>50.183+216.883</f>
        <v>267.06600000000003</v>
      </c>
      <c r="CM24" s="32">
        <f>(CL24/CH24-1)*100</f>
        <v>-5.7496170921590206</v>
      </c>
      <c r="CN24" s="41">
        <f>CN12</f>
        <v>-5.6699119360271055</v>
      </c>
      <c r="CP24" s="359">
        <f>30.166+237.298</f>
        <v>267.464</v>
      </c>
      <c r="CQ24" s="32">
        <f>(CP24/CL24-1)*100</f>
        <v>0.14902683231858838</v>
      </c>
      <c r="CR24" s="41">
        <f>CR12</f>
        <v>5.8969197473988988</v>
      </c>
      <c r="CT24" s="359">
        <f>31.188+314.288</f>
        <v>345.476</v>
      </c>
      <c r="CU24" s="32">
        <f>(CT24/CP24-1)*100</f>
        <v>29.167289803487574</v>
      </c>
      <c r="CV24" s="41">
        <f>CV12</f>
        <v>6.8059916530291087</v>
      </c>
      <c r="CX24" s="359">
        <f>315.278</f>
        <v>315.27800000000002</v>
      </c>
      <c r="CY24" s="32">
        <f>(CX24/CT24-1)*100</f>
        <v>-8.7409834547117597</v>
      </c>
      <c r="CZ24" s="41">
        <f>CZ12</f>
        <v>7.0174409653746439</v>
      </c>
      <c r="DB24" s="359">
        <v>256.25900000000001</v>
      </c>
      <c r="DC24" s="32">
        <f>(DB24/CX24-1)*100</f>
        <v>-18.719669624902469</v>
      </c>
      <c r="DD24" s="41">
        <f>DD18</f>
        <v>4.0056818754218515</v>
      </c>
      <c r="DF24" s="359">
        <v>193.7</v>
      </c>
      <c r="DG24" s="32">
        <f>(DF24/DB24-1)*100</f>
        <v>-24.412410881178815</v>
      </c>
      <c r="DH24" s="41">
        <f>DH18</f>
        <v>1.4260092778747957</v>
      </c>
      <c r="DJ24" s="359"/>
      <c r="DK24" s="32"/>
      <c r="DL24" s="41"/>
    </row>
    <row r="25" spans="1:116">
      <c r="A25" s="24" t="str">
        <f>$A$13</f>
        <v>4Q</v>
      </c>
      <c r="B25" s="24" t="str">
        <f>$B$13</f>
        <v>Jan</v>
      </c>
      <c r="C25" s="24"/>
      <c r="D25" s="152">
        <v>96.319000000000003</v>
      </c>
      <c r="E25" s="36"/>
      <c r="F25" s="152">
        <v>104.708</v>
      </c>
      <c r="G25" s="32">
        <f>(F25/D25-1)*100</f>
        <v>8.7096003903694985</v>
      </c>
      <c r="H25" s="41">
        <f>H$13</f>
        <v>17.917553903776362</v>
      </c>
      <c r="I25" s="92"/>
      <c r="J25" s="152">
        <v>101.81100000000001</v>
      </c>
      <c r="K25" s="32">
        <f>(J25/F25-1)*100</f>
        <v>-2.7667417962333296</v>
      </c>
      <c r="L25" s="41">
        <f>L$13</f>
        <v>18.083359150329859</v>
      </c>
      <c r="M25" s="92"/>
      <c r="N25" s="152">
        <v>109.456</v>
      </c>
      <c r="O25" s="32">
        <f>(N25/J25-1)*100</f>
        <v>7.5090117963677816</v>
      </c>
      <c r="P25" s="41">
        <f>P$13</f>
        <v>-0.29460970906417527</v>
      </c>
      <c r="Q25" s="92"/>
      <c r="R25" s="152">
        <v>142.047</v>
      </c>
      <c r="S25" s="32">
        <f>(R25/N25-1)*100</f>
        <v>29.775434877941809</v>
      </c>
      <c r="T25" s="41">
        <f>T$13</f>
        <v>4.8657781192619876</v>
      </c>
      <c r="U25" s="92"/>
      <c r="V25" s="152">
        <v>117.83199999999999</v>
      </c>
      <c r="W25" s="32">
        <f>(V25/R25-1)*100</f>
        <v>-17.047174526741149</v>
      </c>
      <c r="X25" s="41">
        <f>X$13</f>
        <v>9.1692021889264517</v>
      </c>
      <c r="Y25" s="92"/>
      <c r="Z25" s="152">
        <f>65.261+90.4</f>
        <v>155.661</v>
      </c>
      <c r="AA25" s="32">
        <f>(Z25/V25-1)*100</f>
        <v>32.104182225541457</v>
      </c>
      <c r="AB25" s="41">
        <f>AB$13</f>
        <v>7.0324912092055714</v>
      </c>
      <c r="AC25" s="92"/>
      <c r="AD25" s="152">
        <f>99.509+99.167</f>
        <v>198.67599999999999</v>
      </c>
      <c r="AE25" s="32">
        <f>(AD25/Z25-1)*100</f>
        <v>27.633768252805769</v>
      </c>
      <c r="AF25" s="41" t="str">
        <f>AF$13</f>
        <v>NM</v>
      </c>
      <c r="AG25" s="92"/>
      <c r="AH25" s="152">
        <f>151.685+98.797</f>
        <v>250.482</v>
      </c>
      <c r="AI25" s="32">
        <f>(AH25/AD25-1)*100</f>
        <v>26.075620608427808</v>
      </c>
      <c r="AJ25" s="41">
        <f>AJ$13</f>
        <v>6.2553869663696915</v>
      </c>
      <c r="AK25" s="92"/>
      <c r="AL25" s="152">
        <f>99.916+169.386</f>
        <v>269.30200000000002</v>
      </c>
      <c r="AM25" s="32">
        <f>(AL25/AH25-1)*100</f>
        <v>7.5135139451138366</v>
      </c>
      <c r="AN25" s="41" t="str">
        <f>AN$13</f>
        <v>NM</v>
      </c>
      <c r="AO25" s="24"/>
      <c r="AP25" s="152">
        <v>253.36600000000001</v>
      </c>
      <c r="AQ25" s="32">
        <f>(AP25/AL25-1)*100</f>
        <v>-5.9175201075372659</v>
      </c>
      <c r="AR25" s="41">
        <f>AR$13</f>
        <v>6.7029582508245866</v>
      </c>
      <c r="AS25" s="24"/>
      <c r="AT25" s="152">
        <v>262</v>
      </c>
      <c r="AU25" s="32">
        <f>(AT25/AP25-1)*100</f>
        <v>3.4077184784067294</v>
      </c>
      <c r="AV25" s="41">
        <f>AV$13</f>
        <v>-2.1441834637355939</v>
      </c>
      <c r="AW25" s="24"/>
      <c r="AX25" s="43">
        <f>+bal!AC12</f>
        <v>227</v>
      </c>
      <c r="AY25" s="32">
        <f>(AX25/AT25-1)*100</f>
        <v>-13.358778625954193</v>
      </c>
      <c r="AZ25" s="41">
        <f>AZ$13</f>
        <v>4.474232505384923</v>
      </c>
      <c r="BA25" s="24"/>
      <c r="BB25" s="152">
        <v>250.929</v>
      </c>
      <c r="BC25" s="32">
        <f>(BB25/AX25-1)*100</f>
        <v>10.541409691629955</v>
      </c>
      <c r="BD25" s="41">
        <f>BD$13</f>
        <v>8.9330761040416604</v>
      </c>
      <c r="BE25" s="24"/>
      <c r="BF25" s="359">
        <f>253.554</f>
        <v>253.554</v>
      </c>
      <c r="BG25" s="32">
        <f>(BF25/BB25-1)*100</f>
        <v>1.0461126454096581</v>
      </c>
      <c r="BH25" s="41">
        <f>'qtrP&amp;L'!BK13</f>
        <v>3.0178419879427487</v>
      </c>
      <c r="BI25" s="168"/>
      <c r="BJ25" s="359">
        <v>234.48099999999999</v>
      </c>
      <c r="BK25" s="32">
        <f>(BJ25/BF25-1)*100</f>
        <v>-7.522263502054793</v>
      </c>
      <c r="BL25" s="41">
        <f>$BL19</f>
        <v>5.4906799678646534</v>
      </c>
      <c r="BM25" s="168"/>
      <c r="BN25" s="359">
        <v>325.39800000000002</v>
      </c>
      <c r="BO25" s="32">
        <f>(BN25/BJ25-1)*100</f>
        <v>38.773717273467788</v>
      </c>
      <c r="BP25" s="41">
        <f>BP$13</f>
        <v>14.625502858729632</v>
      </c>
      <c r="BQ25" s="168"/>
      <c r="BR25" s="359">
        <v>295.07900000000001</v>
      </c>
      <c r="BS25" s="32">
        <f>(BR25/BN25-1)*100</f>
        <v>-9.3175127075151067</v>
      </c>
      <c r="BT25" s="41">
        <f>BT$13</f>
        <v>-19.786756882869838</v>
      </c>
      <c r="BU25" s="168"/>
      <c r="BV25" s="359">
        <v>276.62299999999999</v>
      </c>
      <c r="BW25" s="32">
        <f>(BV25/BR25-1)*100</f>
        <v>-6.2545962267731792</v>
      </c>
      <c r="BX25" s="41">
        <f>BX$13</f>
        <v>-7.3487212019537012</v>
      </c>
      <c r="BY25" s="168"/>
      <c r="BZ25" s="359">
        <v>190.255</v>
      </c>
      <c r="CA25" s="32">
        <f>(BZ25/BV25-1)*100</f>
        <v>-31.222277250987808</v>
      </c>
      <c r="CB25" s="41">
        <f>CB$13</f>
        <v>2.415497699510083</v>
      </c>
      <c r="CC25" s="168"/>
      <c r="CD25" s="359">
        <f>35.095+161.818</f>
        <v>196.91300000000001</v>
      </c>
      <c r="CE25" s="32">
        <f>(CD25/BZ25-1)*100</f>
        <v>3.499513810412358</v>
      </c>
      <c r="CF25" s="41">
        <f>+$CF$13</f>
        <v>12.813023119772083</v>
      </c>
      <c r="CG25" s="168"/>
      <c r="CH25" s="359">
        <v>167.095</v>
      </c>
      <c r="CI25" s="32">
        <f>(CH25/CD25-1)*100</f>
        <v>-15.142728006784722</v>
      </c>
      <c r="CJ25" s="41">
        <f>CJ13</f>
        <v>1.7236230634342764</v>
      </c>
      <c r="CK25" s="168"/>
      <c r="CL25" s="359">
        <v>195.99600000000001</v>
      </c>
      <c r="CM25" s="32">
        <f>(CL25/CH25-1)*100</f>
        <v>17.296148897333865</v>
      </c>
      <c r="CN25" s="41">
        <f>CN13</f>
        <v>9.6761246005462773</v>
      </c>
      <c r="CP25" s="359">
        <v>193.303</v>
      </c>
      <c r="CQ25" s="32">
        <f>(CP25/CL25-1)*100</f>
        <v>-1.374007632808838</v>
      </c>
      <c r="CR25" s="41">
        <f>CR13</f>
        <v>-0.96952912179558703</v>
      </c>
      <c r="CT25" s="359">
        <v>229.73500000000001</v>
      </c>
      <c r="CU25" s="32">
        <f>(CT25/CP25-1)*100</f>
        <v>18.847094975246126</v>
      </c>
      <c r="CV25" s="41">
        <f>CV13</f>
        <v>6.5602343720944978</v>
      </c>
      <c r="CX25" s="359">
        <v>224.99199999999999</v>
      </c>
      <c r="CY25" s="32">
        <f>(CX25/CT25-1)*100</f>
        <v>-2.0645526367336409</v>
      </c>
      <c r="CZ25" s="41">
        <f>CZ13</f>
        <v>8.0211173880504241</v>
      </c>
      <c r="DB25" s="359">
        <v>141.40899999999999</v>
      </c>
      <c r="DC25" s="32">
        <f>(DB25/CX25-1)*100</f>
        <v>-37.149320864741867</v>
      </c>
      <c r="DD25" s="41">
        <f>DD19</f>
        <v>2.1488774047283776</v>
      </c>
      <c r="DF25" s="359">
        <v>228.04900000000001</v>
      </c>
      <c r="DG25" s="248">
        <f>(DF25/DB25-1)*100</f>
        <v>61.269084711722741</v>
      </c>
      <c r="DH25" s="41">
        <f>DH19</f>
        <v>7.4310783669299996</v>
      </c>
      <c r="DJ25" s="359"/>
      <c r="DK25" s="32"/>
      <c r="DL25" s="41"/>
    </row>
    <row r="26" spans="1:116">
      <c r="A26" s="24"/>
      <c r="B26" s="24"/>
      <c r="C26" s="24"/>
      <c r="D26" s="24"/>
      <c r="E26" s="24"/>
      <c r="F26" s="24"/>
      <c r="G26" s="24"/>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168"/>
      <c r="BG26" s="168"/>
      <c r="BH26" s="168"/>
      <c r="BI26" s="168"/>
      <c r="BJ26" s="168"/>
      <c r="BK26" s="168"/>
      <c r="BL26" s="168"/>
      <c r="BM26" s="168"/>
      <c r="BN26" s="168"/>
      <c r="BO26" s="168"/>
      <c r="BP26" s="168"/>
      <c r="BQ26" s="168"/>
      <c r="BR26" s="168"/>
      <c r="BS26" s="168"/>
      <c r="BT26" s="168"/>
      <c r="BU26" s="168"/>
      <c r="BV26" s="168"/>
      <c r="BW26" s="168"/>
      <c r="BX26" s="168"/>
      <c r="BY26" s="168"/>
      <c r="BZ26" s="168"/>
      <c r="CA26" s="168"/>
      <c r="CB26" s="168"/>
      <c r="CC26" s="168"/>
      <c r="CD26" s="168"/>
      <c r="CE26" s="168"/>
      <c r="CF26" s="168"/>
      <c r="CG26" s="168"/>
      <c r="CH26" s="168"/>
      <c r="CI26" s="168"/>
      <c r="CJ26" s="168"/>
      <c r="CK26" s="168"/>
      <c r="CL26" s="168"/>
      <c r="CM26" s="168"/>
      <c r="CN26" s="168"/>
      <c r="CR26" s="168"/>
    </row>
    <row r="27" spans="1:116">
      <c r="A27" s="136" t="s">
        <v>870</v>
      </c>
      <c r="B27" s="27"/>
      <c r="C27" s="24"/>
      <c r="D27" s="24"/>
      <c r="E27" s="24"/>
      <c r="F27" s="30"/>
      <c r="G27" s="30"/>
      <c r="H27" s="30"/>
      <c r="I27" s="30"/>
      <c r="J27" s="30"/>
      <c r="K27" s="30"/>
      <c r="L27" s="30"/>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24"/>
      <c r="AP27" s="30"/>
      <c r="AQ27" s="30"/>
      <c r="AR27" s="30"/>
      <c r="AS27" s="24"/>
      <c r="AT27" s="30"/>
      <c r="AU27" s="30"/>
      <c r="AV27" s="30"/>
      <c r="AW27" s="24"/>
      <c r="AX27" s="30"/>
      <c r="AY27" s="30"/>
      <c r="AZ27" s="30"/>
      <c r="BA27" s="24"/>
      <c r="BB27" s="30"/>
      <c r="BC27" s="30"/>
      <c r="BD27" s="30"/>
      <c r="BE27" s="24"/>
      <c r="BF27" s="253"/>
      <c r="BG27" s="253"/>
      <c r="BH27" s="253"/>
      <c r="BI27" s="168"/>
      <c r="BJ27" s="253"/>
      <c r="BK27" s="253"/>
      <c r="BL27" s="253"/>
      <c r="BM27" s="168"/>
      <c r="BN27" s="253"/>
      <c r="BO27" s="253"/>
      <c r="BP27" s="253"/>
      <c r="BQ27" s="168"/>
      <c r="BR27" s="253"/>
      <c r="BS27" s="253"/>
      <c r="BT27" s="253"/>
      <c r="BU27" s="168"/>
      <c r="BV27" s="253"/>
      <c r="BW27" s="253"/>
      <c r="BX27" s="253"/>
      <c r="BY27" s="168"/>
      <c r="BZ27" s="253"/>
      <c r="CA27" s="253"/>
      <c r="CB27" s="253"/>
      <c r="CC27" s="168"/>
      <c r="CD27" s="253"/>
      <c r="CE27" s="253"/>
      <c r="CF27" s="253"/>
      <c r="CG27" s="168"/>
      <c r="CH27" s="253"/>
      <c r="CI27" s="253"/>
      <c r="CJ27" s="253"/>
      <c r="CK27" s="168"/>
      <c r="CL27" s="253"/>
      <c r="CM27" s="253"/>
      <c r="CN27" s="253"/>
      <c r="CR27" s="253"/>
    </row>
    <row r="28" spans="1:116">
      <c r="A28" s="24" t="str">
        <f>$A$10</f>
        <v>1Q</v>
      </c>
      <c r="B28" s="24" t="str">
        <f>$B$10</f>
        <v>Apr</v>
      </c>
      <c r="C28" s="24"/>
      <c r="D28" s="138">
        <v>173.45699999999999</v>
      </c>
      <c r="E28" s="24"/>
      <c r="F28" s="138">
        <f>183.739+231.979</f>
        <v>415.71800000000002</v>
      </c>
      <c r="G28" s="32">
        <f>(F28/D28-1)*100</f>
        <v>139.66631499449434</v>
      </c>
      <c r="H28" s="41">
        <f>H$10</f>
        <v>15.996550307266478</v>
      </c>
      <c r="I28" s="92"/>
      <c r="J28" s="138">
        <f>211.92+254.587</f>
        <v>466.50699999999995</v>
      </c>
      <c r="K28" s="32">
        <f>(J28/F28-1)*100</f>
        <v>12.217176066468127</v>
      </c>
      <c r="L28" s="41">
        <f>L$10</f>
        <v>10.209796633973856</v>
      </c>
      <c r="M28" s="92"/>
      <c r="N28" s="138">
        <f>270.594+235.815</f>
        <v>506.40899999999999</v>
      </c>
      <c r="O28" s="32">
        <f>(N28/J28-1)*100</f>
        <v>8.5533550407603798</v>
      </c>
      <c r="P28" s="41">
        <f>P$10</f>
        <v>7.2714172185430304</v>
      </c>
      <c r="Q28" s="92"/>
      <c r="R28" s="138">
        <f>235.376+333.755</f>
        <v>569.13099999999997</v>
      </c>
      <c r="S28" s="32">
        <f>(R28/N28-1)*100</f>
        <v>12.385640855514012</v>
      </c>
      <c r="T28" s="41">
        <f>T$10</f>
        <v>-2.4321051311076758</v>
      </c>
      <c r="U28" s="92"/>
      <c r="V28" s="138">
        <f>260.407+347.591</f>
        <v>607.99800000000005</v>
      </c>
      <c r="W28" s="32">
        <f>(V28/R28-1)*100</f>
        <v>6.8291834393136241</v>
      </c>
      <c r="X28" s="41">
        <f>X$10</f>
        <v>7.1884440628821933</v>
      </c>
      <c r="Y28" s="92"/>
      <c r="Z28" s="138">
        <f>270.111+390.952</f>
        <v>661.06299999999999</v>
      </c>
      <c r="AA28" s="32">
        <f>(Z28/V28-1)*100</f>
        <v>8.7278247625814487</v>
      </c>
      <c r="AB28" s="41">
        <f>AB$10</f>
        <v>12.581369078427883</v>
      </c>
      <c r="AC28" s="92"/>
      <c r="AD28" s="138">
        <f>309.207+420.074</f>
        <v>729.28099999999995</v>
      </c>
      <c r="AE28" s="32">
        <f>(AD28/Z28-1)*100</f>
        <v>10.319440053368577</v>
      </c>
      <c r="AF28" s="41" t="str">
        <f>AF$10</f>
        <v>NM</v>
      </c>
      <c r="AG28" s="92"/>
      <c r="AH28" s="138">
        <f>277.243+679.365</f>
        <v>956.60799999999995</v>
      </c>
      <c r="AI28" s="32">
        <f>(AH28/AD28-1)*100</f>
        <v>31.171386612293482</v>
      </c>
      <c r="AJ28" s="41">
        <f>AJ$10</f>
        <v>6.3979816809976775</v>
      </c>
      <c r="AK28" s="92"/>
      <c r="AL28" s="138">
        <f>204.7+649.392</f>
        <v>854.0920000000001</v>
      </c>
      <c r="AM28" s="32">
        <f>(AL28/AH28-1)*100</f>
        <v>-10.716615374322592</v>
      </c>
      <c r="AN28" s="41" t="str">
        <f>AN$10</f>
        <v>NM</v>
      </c>
      <c r="AO28" s="24"/>
      <c r="AP28" s="138">
        <f>271.872+540.821</f>
        <v>812.69299999999998</v>
      </c>
      <c r="AQ28" s="32">
        <f>(AP28/AL28-1)*100</f>
        <v>-4.8471359057338237</v>
      </c>
      <c r="AR28" s="41">
        <f>AR$10</f>
        <v>7.7445005192068317</v>
      </c>
      <c r="AS28" s="24"/>
      <c r="AT28" s="138">
        <f>246.471+516.231</f>
        <v>762.702</v>
      </c>
      <c r="AU28" s="32">
        <f>(AT28/AP28-1)*100</f>
        <v>-6.1512772965929274</v>
      </c>
      <c r="AV28" s="41">
        <f>AV$10</f>
        <v>-1.6785881211432763</v>
      </c>
      <c r="AW28" s="24"/>
      <c r="AX28" s="138">
        <f>234+595</f>
        <v>829</v>
      </c>
      <c r="AY28" s="32">
        <f>(AX28/AT28-1)*100</f>
        <v>8.6925168676625919</v>
      </c>
      <c r="AZ28" s="41">
        <f>AZ$10</f>
        <v>8.234698752841707</v>
      </c>
      <c r="BA28" s="24"/>
      <c r="BB28" s="138">
        <f>367.735+533.23</f>
        <v>900.96500000000003</v>
      </c>
      <c r="BC28" s="32">
        <f>(BB28/AX28-1)*100</f>
        <v>8.6809408926417309</v>
      </c>
      <c r="BD28" s="41">
        <f>BD$10</f>
        <v>2.4234074810405515</v>
      </c>
      <c r="BE28" s="24"/>
      <c r="BF28" s="365">
        <f>397.66+621.18</f>
        <v>1018.8399999999999</v>
      </c>
      <c r="BG28" s="32">
        <f>(BF28/BB28-1)*100</f>
        <v>13.083194130737574</v>
      </c>
      <c r="BH28" s="41">
        <f>BH$10</f>
        <v>7.3769864468106849</v>
      </c>
      <c r="BI28" s="168"/>
      <c r="BJ28" s="365">
        <f>505.161+615.966</f>
        <v>1121.127</v>
      </c>
      <c r="BK28" s="32">
        <f>(BJ28/BF28-1)*100</f>
        <v>10.039554787797901</v>
      </c>
      <c r="BL28" s="41">
        <f>BL$10</f>
        <v>-0.16535208975013704</v>
      </c>
      <c r="BM28" s="168"/>
      <c r="BN28" s="365">
        <f>511.27+664.73</f>
        <v>1176</v>
      </c>
      <c r="BO28" s="32">
        <f>(BN28/BJ28-1)*100</f>
        <v>4.8944499597280311</v>
      </c>
      <c r="BP28" s="41">
        <f>BP$10</f>
        <v>5.1727856959125518</v>
      </c>
      <c r="BQ28" s="168"/>
      <c r="BR28" s="365">
        <f>476.48+715.971</f>
        <v>1192.451</v>
      </c>
      <c r="BS28" s="32">
        <f>(BR28/BN28-1)*100</f>
        <v>1.3988945578231382</v>
      </c>
      <c r="BT28" s="41">
        <f>BT$10</f>
        <v>11.253816034059172</v>
      </c>
      <c r="BU28" s="168"/>
      <c r="BV28" s="365">
        <f>427.808+634.102</f>
        <v>1061.9099999999999</v>
      </c>
      <c r="BW28" s="32">
        <f>(BV28/BR28-1)*100</f>
        <v>-10.947284207065966</v>
      </c>
      <c r="BX28" s="41">
        <f>BX$10</f>
        <v>-16.693561613662201</v>
      </c>
      <c r="BY28" s="168"/>
      <c r="BZ28" s="365">
        <f>410.275+590.835</f>
        <v>1001.11</v>
      </c>
      <c r="CA28" s="32">
        <f>(BZ28/BV28-1)*100</f>
        <v>-5.7255322955805932</v>
      </c>
      <c r="CB28" s="41">
        <f>CB$10</f>
        <v>-10.381069679665423</v>
      </c>
      <c r="CC28" s="168"/>
      <c r="CD28" s="365">
        <f>484.858+632.044</f>
        <v>1116.902</v>
      </c>
      <c r="CE28" s="32">
        <f>(CD28/BZ28-1)*100</f>
        <v>11.566361338913801</v>
      </c>
      <c r="CF28" s="41">
        <f>CF$10</f>
        <v>11.957719432170766</v>
      </c>
      <c r="CG28" s="168"/>
      <c r="CH28" s="365">
        <f>639.843+688.594</f>
        <v>1328.4369999999999</v>
      </c>
      <c r="CI28" s="32">
        <f>(CH28/CD28-1)*100</f>
        <v>18.939441419211335</v>
      </c>
      <c r="CJ28" s="41">
        <f>CJ10</f>
        <v>14.779998923136816</v>
      </c>
      <c r="CK28" s="168"/>
      <c r="CL28" s="365">
        <v>536.16</v>
      </c>
      <c r="CM28" s="32">
        <f>(CL28/CH28-1)*100</f>
        <v>-59.639787208576699</v>
      </c>
      <c r="CN28" s="41">
        <f>CN10</f>
        <v>-2.8521657704924985</v>
      </c>
      <c r="CP28" s="365">
        <v>560.80100000000004</v>
      </c>
      <c r="CQ28" s="32">
        <f>(CP28/CL28-1)*100</f>
        <v>4.5958296031035628</v>
      </c>
      <c r="CR28" s="41">
        <f>CR10</f>
        <v>5.3009958287367764</v>
      </c>
      <c r="CT28" s="365">
        <v>554.93499999999995</v>
      </c>
      <c r="CU28" s="32">
        <f>(CT28/CP28-1)*100</f>
        <v>-1.0460038409346839</v>
      </c>
      <c r="CV28" s="41">
        <f>CV10</f>
        <v>5.4354670020053231</v>
      </c>
      <c r="CX28" s="365">
        <v>639.21400000000006</v>
      </c>
      <c r="CY28" s="32">
        <f>(CX28/CT28-1)*100</f>
        <v>15.18718408462254</v>
      </c>
      <c r="CZ28" s="41">
        <f>CZ10</f>
        <v>5.0479878556224156</v>
      </c>
      <c r="DB28" s="365">
        <v>719.99300000000005</v>
      </c>
      <c r="DC28" s="32">
        <f>(DB28/CX28-1)*100</f>
        <v>12.637238858973676</v>
      </c>
      <c r="DD28" s="41">
        <f>DD10</f>
        <v>4.0556717340668014</v>
      </c>
      <c r="DF28" s="365">
        <v>663.90300000000002</v>
      </c>
      <c r="DG28" s="32">
        <f>(DF28/DB28-1)*100</f>
        <v>-7.7903535173258653</v>
      </c>
      <c r="DH28" s="41">
        <f>DH10</f>
        <v>-6.7828824916836066</v>
      </c>
      <c r="DJ28" s="365"/>
      <c r="DK28" s="32"/>
      <c r="DL28" s="41"/>
    </row>
    <row r="29" spans="1:116">
      <c r="A29" s="24" t="str">
        <f>$A$11</f>
        <v>2Q</v>
      </c>
      <c r="B29" s="24" t="str">
        <f>$B$11</f>
        <v>Jul</v>
      </c>
      <c r="C29" s="24"/>
      <c r="D29" s="152">
        <v>198.19900000000001</v>
      </c>
      <c r="E29" s="92"/>
      <c r="F29" s="152">
        <f>236.341+231.581</f>
        <v>467.92200000000003</v>
      </c>
      <c r="G29" s="32">
        <f>(F29/D29-1)*100</f>
        <v>136.08696310274016</v>
      </c>
      <c r="H29" s="41">
        <f>H$11</f>
        <v>19.108804897441622</v>
      </c>
      <c r="I29" s="92"/>
      <c r="J29" s="152">
        <f>260.005+243.954</f>
        <v>503.959</v>
      </c>
      <c r="K29" s="32">
        <f>(J29/F29-1)*100</f>
        <v>7.7014972580900176</v>
      </c>
      <c r="L29" s="41">
        <f>L$11</f>
        <v>8.3049189745379781</v>
      </c>
      <c r="M29" s="92"/>
      <c r="N29" s="359">
        <f>292.148+291.265</f>
        <v>583.41300000000001</v>
      </c>
      <c r="O29" s="32">
        <f>(N29/J29-1)*100</f>
        <v>15.765965088429823</v>
      </c>
      <c r="P29" s="41">
        <f>P$11</f>
        <v>13.405595433844519</v>
      </c>
      <c r="Q29" s="92"/>
      <c r="R29" s="152">
        <f>320.008+364.658</f>
        <v>684.66599999999994</v>
      </c>
      <c r="S29" s="32">
        <f>(R29/N29-1)*100</f>
        <v>17.355286906531031</v>
      </c>
      <c r="T29" s="41">
        <f>T$11</f>
        <v>-6.137337150063205</v>
      </c>
      <c r="U29" s="92"/>
      <c r="V29" s="152">
        <f>352.76+383.735</f>
        <v>736.495</v>
      </c>
      <c r="W29" s="32">
        <f>(V29/R29-1)*100</f>
        <v>7.5699684225593256</v>
      </c>
      <c r="X29" s="41">
        <f>X$11</f>
        <v>8.40492446032275</v>
      </c>
      <c r="Y29" s="92"/>
      <c r="Z29" s="152">
        <f>343.897+400.146</f>
        <v>744.04300000000001</v>
      </c>
      <c r="AA29" s="32">
        <f>(Z29/V29-1)*100</f>
        <v>1.0248542081073175</v>
      </c>
      <c r="AB29" s="41">
        <f>AB$11</f>
        <v>10.296379178223747</v>
      </c>
      <c r="AC29" s="92"/>
      <c r="AD29" s="152">
        <f>353.933+446.006</f>
        <v>799.93899999999996</v>
      </c>
      <c r="AE29" s="32">
        <f>(AD29/Z29-1)*100</f>
        <v>7.5124690374077874</v>
      </c>
      <c r="AF29" s="41" t="str">
        <f>AF$11</f>
        <v>NM</v>
      </c>
      <c r="AG29" s="92"/>
      <c r="AH29" s="152">
        <f>264.864+701.746</f>
        <v>966.6099999999999</v>
      </c>
      <c r="AI29" s="32">
        <f>(AH29/AD29-1)*100</f>
        <v>20.835463704107426</v>
      </c>
      <c r="AJ29" s="41">
        <f>AJ$11</f>
        <v>5.7957809155998019</v>
      </c>
      <c r="AK29" s="92"/>
      <c r="AL29" s="152">
        <f>305.78+683.343</f>
        <v>989.12299999999993</v>
      </c>
      <c r="AM29" s="32">
        <f>(AL29/AH29-1)*100</f>
        <v>2.32906756602973</v>
      </c>
      <c r="AN29" s="41" t="str">
        <f>AN$11</f>
        <v>NM</v>
      </c>
      <c r="AO29" s="24"/>
      <c r="AP29" s="152">
        <f>311.536+569.049</f>
        <v>880.58500000000004</v>
      </c>
      <c r="AQ29" s="32">
        <f>(AP29/AL29-1)*100</f>
        <v>-10.973155007011249</v>
      </c>
      <c r="AR29" s="41">
        <f>AR$11</f>
        <v>5.2456120908987991</v>
      </c>
      <c r="AS29" s="24"/>
      <c r="AT29" s="152">
        <f>315.936+531.08</f>
        <v>847.01600000000008</v>
      </c>
      <c r="AU29" s="32">
        <f>(AT29/AP29-1)*100</f>
        <v>-3.8121248942464381</v>
      </c>
      <c r="AV29" s="41">
        <f>AV$11</f>
        <v>-4.0783506184203899</v>
      </c>
      <c r="AW29" s="24"/>
      <c r="AX29" s="152">
        <f>384.355+624.326</f>
        <v>1008.681</v>
      </c>
      <c r="AY29" s="32">
        <f>(AX29/AT29-1)*100</f>
        <v>19.086416313269172</v>
      </c>
      <c r="AZ29" s="41">
        <f>AZ$11</f>
        <v>8.2114757298583427</v>
      </c>
      <c r="BA29" s="24"/>
      <c r="BB29" s="152">
        <v>489.91</v>
      </c>
      <c r="BC29" s="32">
        <f>(BB29/AX29-1)*100</f>
        <v>-51.43063069493725</v>
      </c>
      <c r="BD29" s="41">
        <f>'qtrP&amp;L'!BG11</f>
        <v>5.3173577296989905</v>
      </c>
      <c r="BE29" s="24"/>
      <c r="BF29" s="359">
        <f>542.966+670.139</f>
        <v>1213.105</v>
      </c>
      <c r="BG29" s="32">
        <f>(BF29/BB29-1)*100</f>
        <v>147.61792982384517</v>
      </c>
      <c r="BH29" s="41">
        <f>'qtrP&amp;L'!BK11</f>
        <v>9.7674104540674591</v>
      </c>
      <c r="BI29" s="168"/>
      <c r="BJ29" s="359">
        <f>518.963+651.493</f>
        <v>1170.4560000000001</v>
      </c>
      <c r="BK29" s="32">
        <f>(BJ29/BF29-1)*100</f>
        <v>-3.5156890788513695</v>
      </c>
      <c r="BL29" s="41">
        <f>$BL23</f>
        <v>3.6216682226419827</v>
      </c>
      <c r="BM29" s="168"/>
      <c r="BN29" s="359">
        <f>593.57+701.932</f>
        <v>1295.502</v>
      </c>
      <c r="BO29" s="32">
        <f>(BN29/BJ29-1)*100</f>
        <v>10.683528470954883</v>
      </c>
      <c r="BP29" s="41">
        <f>BP$11</f>
        <v>7.1129655973785066</v>
      </c>
      <c r="BQ29" s="168"/>
      <c r="BR29" s="359">
        <f>610.945+697.441</f>
        <v>1308.386</v>
      </c>
      <c r="BS29" s="32">
        <f>(BR29/BN29-1)*100</f>
        <v>0.99451795520191233</v>
      </c>
      <c r="BT29" s="41">
        <f>BT$11</f>
        <v>6.9370524383703724</v>
      </c>
      <c r="BU29" s="168"/>
      <c r="BV29" s="359">
        <f>535.7+627.835</f>
        <v>1163.5350000000001</v>
      </c>
      <c r="BW29" s="32">
        <f>(BV29/BR29-1)*100</f>
        <v>-11.070968353375832</v>
      </c>
      <c r="BX29" s="41">
        <f>BX$11</f>
        <v>-12.947905111016189</v>
      </c>
      <c r="BY29" s="168"/>
      <c r="BZ29" s="359">
        <f>507.566+557.364</f>
        <v>1064.93</v>
      </c>
      <c r="CA29" s="32">
        <f>(BZ29/BV29-1)*100</f>
        <v>-8.4746054050802044</v>
      </c>
      <c r="CB29" s="41">
        <f>CB$11</f>
        <v>-9.5303885542880611</v>
      </c>
      <c r="CC29" s="168"/>
      <c r="CD29" s="359">
        <f>559.062+614.723</f>
        <v>1173.7849999999999</v>
      </c>
      <c r="CE29" s="32">
        <f>(CD29/BZ29-1)*100</f>
        <v>10.221798615871446</v>
      </c>
      <c r="CF29" s="41">
        <f>CF$11</f>
        <v>8.5115237030692903</v>
      </c>
      <c r="CG29" s="168"/>
      <c r="CH29" s="359">
        <f>646.541+696.004</f>
        <v>1342.5450000000001</v>
      </c>
      <c r="CI29" s="32">
        <f>(CH29/CD29-1)*100</f>
        <v>14.377420055632006</v>
      </c>
      <c r="CJ29" s="41">
        <f>CJ11</f>
        <v>9.6153417376065207</v>
      </c>
      <c r="CK29" s="168"/>
      <c r="CL29" s="359">
        <v>1336.107</v>
      </c>
      <c r="CM29" s="32">
        <f>(CL29/CH29-1)*100</f>
        <v>-0.47953699875982192</v>
      </c>
      <c r="CN29" s="41">
        <f>CN11</f>
        <v>-2.4016174864277318</v>
      </c>
      <c r="CP29" s="359">
        <f>681.466+718.997</f>
        <v>1400.463</v>
      </c>
      <c r="CQ29" s="32">
        <f>(CP29/CL29-1)*100</f>
        <v>4.8166801012194282</v>
      </c>
      <c r="CR29" s="41">
        <f>CR11</f>
        <v>4.8707015130674103</v>
      </c>
      <c r="CT29" s="359">
        <f>621.885+743.44</f>
        <v>1365.325</v>
      </c>
      <c r="CU29" s="32">
        <f>(CT29/CP29-1)*100</f>
        <v>-2.5090273716620759</v>
      </c>
      <c r="CV29" s="41">
        <f>CV11</f>
        <v>6.3339021038946397</v>
      </c>
      <c r="CX29" s="359">
        <f>724.585+840.014</f>
        <v>1564.5990000000002</v>
      </c>
      <c r="CY29" s="32">
        <f>(CX29/CT29-1)*100</f>
        <v>14.595352754838608</v>
      </c>
      <c r="CZ29" s="41">
        <f>CZ11</f>
        <v>3.3613288324235935</v>
      </c>
      <c r="DB29" s="359">
        <f>792.852+879.142</f>
        <v>1671.9940000000001</v>
      </c>
      <c r="DC29" s="32">
        <f>(DB29/CX29-1)*100</f>
        <v>6.864059097570685</v>
      </c>
      <c r="DD29" s="41">
        <f>DD11</f>
        <v>4.5025797065495698</v>
      </c>
      <c r="DF29" s="359">
        <f>758.551+859.802</f>
        <v>1618.3530000000001</v>
      </c>
      <c r="DG29" s="32">
        <f>(DF29/DB29-1)*100</f>
        <v>-3.2082052926027282</v>
      </c>
      <c r="DH29" s="41">
        <f>DH11</f>
        <v>-4.6621430825706467</v>
      </c>
      <c r="DJ29" s="359"/>
      <c r="DK29" s="32"/>
      <c r="DL29" s="41"/>
    </row>
    <row r="30" spans="1:116">
      <c r="A30" s="24" t="str">
        <f>$A$12</f>
        <v>3Q</v>
      </c>
      <c r="B30" s="24" t="str">
        <f>$B$12</f>
        <v>Oct</v>
      </c>
      <c r="C30" s="24"/>
      <c r="D30" s="152">
        <v>277.37099999999998</v>
      </c>
      <c r="E30" s="92"/>
      <c r="F30" s="152">
        <f>330.059+276.338</f>
        <v>606.39700000000005</v>
      </c>
      <c r="G30" s="32">
        <f>(F30/D30-1)*100</f>
        <v>118.6230716260893</v>
      </c>
      <c r="H30" s="41">
        <f>H$12</f>
        <v>14.86657910574063</v>
      </c>
      <c r="I30" s="92"/>
      <c r="J30" s="152">
        <f>355.925+275.533</f>
        <v>631.45800000000008</v>
      </c>
      <c r="K30" s="32">
        <f>(J30/F30-1)*100</f>
        <v>4.1327711053979588</v>
      </c>
      <c r="L30" s="41">
        <f>L$12</f>
        <v>12.411504856942734</v>
      </c>
      <c r="M30" s="92"/>
      <c r="N30" s="152">
        <f>348.788+320.392</f>
        <v>669.18000000000006</v>
      </c>
      <c r="O30" s="32">
        <f>(N30/J30-1)*100</f>
        <v>5.9737939815474705</v>
      </c>
      <c r="P30" s="41">
        <f>P$12</f>
        <v>0.33183973388277721</v>
      </c>
      <c r="Q30" s="92"/>
      <c r="R30" s="152">
        <f>380.822+376.022</f>
        <v>756.84400000000005</v>
      </c>
      <c r="S30" s="32">
        <f>(R30/N30-1)*100</f>
        <v>13.100212200005966</v>
      </c>
      <c r="T30" s="41">
        <f>T$12</f>
        <v>6.0933389498270207</v>
      </c>
      <c r="U30" s="92"/>
      <c r="V30" s="152">
        <f>353.972+377.433</f>
        <v>731.40499999999997</v>
      </c>
      <c r="W30" s="32">
        <f>(V30/R30-1)*100</f>
        <v>-3.3611946451316377</v>
      </c>
      <c r="X30" s="41">
        <f>X$12</f>
        <v>5.1376068694991117</v>
      </c>
      <c r="Y30" s="92"/>
      <c r="Z30" s="152">
        <f>440.541+426.233</f>
        <v>866.774</v>
      </c>
      <c r="AA30" s="32">
        <f>(Z30/V30-1)*100</f>
        <v>18.508076920447646</v>
      </c>
      <c r="AB30" s="41">
        <f>AB$12</f>
        <v>10.630041119173516</v>
      </c>
      <c r="AC30" s="92"/>
      <c r="AD30" s="152">
        <f>432.765+481.697</f>
        <v>914.46199999999999</v>
      </c>
      <c r="AE30" s="32">
        <f>(AD30/Z30-1)*100</f>
        <v>5.5017801641489061</v>
      </c>
      <c r="AF30" s="41" t="str">
        <f>AF$12</f>
        <v>NM</v>
      </c>
      <c r="AG30" s="92"/>
      <c r="AH30" s="152">
        <f>419.939+689.752</f>
        <v>1109.691</v>
      </c>
      <c r="AI30" s="32">
        <f>(AH30/AD30-1)*100</f>
        <v>21.349055510234429</v>
      </c>
      <c r="AJ30" s="41">
        <f>AJ$12</f>
        <v>3.6802711635345986</v>
      </c>
      <c r="AK30" s="92"/>
      <c r="AL30" s="152">
        <f>391.248+601.009</f>
        <v>992.25700000000006</v>
      </c>
      <c r="AM30" s="32">
        <f>(AL30/AH30-1)*100</f>
        <v>-10.582585602658757</v>
      </c>
      <c r="AN30" s="41" t="str">
        <f>AN$12</f>
        <v>NM</v>
      </c>
      <c r="AO30" s="24"/>
      <c r="AP30" s="152">
        <f>411.359+561.412</f>
        <v>972.77099999999996</v>
      </c>
      <c r="AQ30" s="32">
        <f>(AP30/AL30-1)*100</f>
        <v>-1.9638057479060445</v>
      </c>
      <c r="AR30" s="41">
        <f>AR$12</f>
        <v>8.440981883698484</v>
      </c>
      <c r="AS30" s="24"/>
      <c r="AT30" s="152">
        <f>386.772+550.113</f>
        <v>936.88499999999999</v>
      </c>
      <c r="AU30" s="32">
        <f>(AT30/AP30-1)*100</f>
        <v>-3.6890491184461638</v>
      </c>
      <c r="AV30" s="41">
        <f>AV$12</f>
        <v>-3.2996766816864698</v>
      </c>
      <c r="AW30" s="24"/>
      <c r="AX30" s="152">
        <f>411.74+600.397</f>
        <v>1012.1370000000001</v>
      </c>
      <c r="AY30" s="32">
        <f>(AX30/AT30-1)*100</f>
        <v>8.0321490898029211</v>
      </c>
      <c r="AZ30" s="41">
        <f>AZ$12</f>
        <v>6.5224924442623067</v>
      </c>
      <c r="BA30" s="24"/>
      <c r="BB30" s="152">
        <f>548.462+532.802</f>
        <v>1081.2640000000001</v>
      </c>
      <c r="BC30" s="32">
        <f>(BB30/AX30-1)*100</f>
        <v>6.8298066368485788</v>
      </c>
      <c r="BD30" s="41">
        <f>BD$12</f>
        <v>4.481023328703615</v>
      </c>
      <c r="BE30" s="24"/>
      <c r="BF30" s="359">
        <f>622.427+625.718</f>
        <v>1248.145</v>
      </c>
      <c r="BG30" s="32">
        <f>(BF30/BB30-1)*100</f>
        <v>15.43388108732</v>
      </c>
      <c r="BH30" s="41">
        <f>'qtrP&amp;L'!BK12</f>
        <v>2.3871407917607446</v>
      </c>
      <c r="BI30" s="168"/>
      <c r="BJ30" s="359">
        <f>664.896+677.935</f>
        <v>1342.8309999999999</v>
      </c>
      <c r="BK30" s="32">
        <f>(BJ30/BF30-1)*100</f>
        <v>7.5861378285375425</v>
      </c>
      <c r="BL30" s="41">
        <f>$BL24</f>
        <v>3.6808745250160868E-2</v>
      </c>
      <c r="BM30" s="168"/>
      <c r="BN30" s="359">
        <f>783.541+704.422</f>
        <v>1487.9630000000002</v>
      </c>
      <c r="BO30" s="32">
        <f>(BN30/BJ30-1)*100</f>
        <v>10.807912537020691</v>
      </c>
      <c r="BP30" s="41">
        <f>BP$12</f>
        <v>11.810572382135099</v>
      </c>
      <c r="BQ30" s="168"/>
      <c r="BR30" s="359">
        <f>673.109+763.576</f>
        <v>1436.6849999999999</v>
      </c>
      <c r="BS30" s="32">
        <f>(BR30/BN30-1)*100</f>
        <v>-3.4461878420364078</v>
      </c>
      <c r="BT30" s="41">
        <f>BT$12</f>
        <v>-9.0711192772987115</v>
      </c>
      <c r="BU30" s="168"/>
      <c r="BV30" s="359">
        <f>695.439+616.008</f>
        <v>1311.4470000000001</v>
      </c>
      <c r="BW30" s="32">
        <f>(BV30/BR30-1)*100</f>
        <v>-8.7171509412292796</v>
      </c>
      <c r="BX30" s="41">
        <f>BX$12</f>
        <v>-4.2077807544469774</v>
      </c>
      <c r="BY30" s="168"/>
      <c r="BZ30" s="359">
        <f>619.543+601.774</f>
        <v>1221.317</v>
      </c>
      <c r="CA30" s="32">
        <f>(BZ30/BV30-1)*100</f>
        <v>-6.8725613768608307</v>
      </c>
      <c r="CB30" s="41">
        <f>CB$12</f>
        <v>-3.522720857417061</v>
      </c>
      <c r="CC30" s="168"/>
      <c r="CD30" s="359">
        <f>687.157+676.55</f>
        <v>1363.7069999999999</v>
      </c>
      <c r="CE30" s="32">
        <f>(CD30/BZ30-1)*100</f>
        <v>11.658725785361202</v>
      </c>
      <c r="CF30" s="41">
        <f>+$CF$12</f>
        <v>11.595356748396025</v>
      </c>
      <c r="CG30" s="168"/>
      <c r="CH30" s="359">
        <f>799.67+699.624</f>
        <v>1499.2939999999999</v>
      </c>
      <c r="CI30" s="32">
        <f>(CH30/CD30-1)*100</f>
        <v>9.9425316435275413</v>
      </c>
      <c r="CJ30" s="41">
        <f>CJ12</f>
        <v>9.5820652908279449</v>
      </c>
      <c r="CK30" s="168"/>
      <c r="CL30" s="359">
        <f>731.834+717.518</f>
        <v>1449.3519999999999</v>
      </c>
      <c r="CM30" s="32">
        <f>(CL30/CH30-1)*100</f>
        <v>-3.3310344735588915</v>
      </c>
      <c r="CN30" s="41">
        <f>CN12</f>
        <v>-5.6699119360271055</v>
      </c>
      <c r="CP30" s="359">
        <f>799.506+702.049</f>
        <v>1501.5549999999998</v>
      </c>
      <c r="CQ30" s="32">
        <f>(CP30/CL30-1)*100</f>
        <v>3.6018165359415821</v>
      </c>
      <c r="CR30" s="41">
        <f>CR12</f>
        <v>5.8969197473988988</v>
      </c>
      <c r="CT30" s="359">
        <f>836.624+734.521</f>
        <v>1571.145</v>
      </c>
      <c r="CU30" s="32">
        <f>(CT30/CP30-1)*100</f>
        <v>4.6345288717363209</v>
      </c>
      <c r="CV30" s="41">
        <f>CV12</f>
        <v>6.8059916530291087</v>
      </c>
      <c r="CX30" s="359">
        <f>912.672+804.625</f>
        <v>1717.297</v>
      </c>
      <c r="CY30" s="32">
        <f>(CX30/CT30-1)*100</f>
        <v>9.3022604533636422</v>
      </c>
      <c r="CZ30" s="41">
        <f>CZ12</f>
        <v>7.0174409653746439</v>
      </c>
      <c r="DB30" s="359">
        <f>961.631+909.388</f>
        <v>1871.019</v>
      </c>
      <c r="DC30" s="32">
        <f>(DB30/CX30-1)*100</f>
        <v>8.9513927992653564</v>
      </c>
      <c r="DD30" s="41">
        <f>DD12</f>
        <v>4.0056818754218515</v>
      </c>
      <c r="DF30" s="359">
        <f>1036.589+896.471</f>
        <v>1933.06</v>
      </c>
      <c r="DG30" s="32">
        <f>(DF30/DB30-1)*100</f>
        <v>3.3158936387070348</v>
      </c>
      <c r="DH30" s="41">
        <f>DH12</f>
        <v>1.4260092778747957</v>
      </c>
      <c r="DJ30" s="359"/>
      <c r="DK30" s="32"/>
      <c r="DL30" s="41"/>
    </row>
    <row r="31" spans="1:116">
      <c r="A31" s="24" t="str">
        <f>$A$13</f>
        <v>4Q</v>
      </c>
      <c r="B31" s="24" t="str">
        <f>$B$13</f>
        <v>Jan</v>
      </c>
      <c r="C31" s="24"/>
      <c r="D31" s="152">
        <f>200.078+256.153</f>
        <v>456.23099999999999</v>
      </c>
      <c r="E31" s="92"/>
      <c r="F31" s="152">
        <f>199.756+265.267</f>
        <v>465.02300000000002</v>
      </c>
      <c r="G31" s="32">
        <f>(F31/D31-1)*100</f>
        <v>1.9270939502138207</v>
      </c>
      <c r="H31" s="41">
        <f>H$13</f>
        <v>17.917553903776362</v>
      </c>
      <c r="I31" s="91"/>
      <c r="J31" s="152">
        <f>309.092+274.22</f>
        <v>583.31200000000001</v>
      </c>
      <c r="K31" s="32">
        <f>(J31/F31-1)*100</f>
        <v>25.437236437767584</v>
      </c>
      <c r="L31" s="41">
        <f>L$13</f>
        <v>18.083359150329859</v>
      </c>
      <c r="M31" s="91"/>
      <c r="N31" s="152">
        <f>250.363+347.892</f>
        <v>598.255</v>
      </c>
      <c r="O31" s="32">
        <f>(N31/J31-1)*100</f>
        <v>2.5617508297446356</v>
      </c>
      <c r="P31" s="41">
        <f>P$13</f>
        <v>-0.29460970906417527</v>
      </c>
      <c r="Q31" s="91"/>
      <c r="R31" s="152">
        <f>275.303+372.676</f>
        <v>647.97900000000004</v>
      </c>
      <c r="S31" s="32">
        <f>(R31/N31-1)*100</f>
        <v>8.3115059631762467</v>
      </c>
      <c r="T31" s="41">
        <f>T$13</f>
        <v>4.8657781192619876</v>
      </c>
      <c r="U31" s="91"/>
      <c r="V31" s="152">
        <f>280.659+388.818</f>
        <v>669.47699999999998</v>
      </c>
      <c r="W31" s="32">
        <f>(V31/R31-1)*100</f>
        <v>3.3177001106517334</v>
      </c>
      <c r="X31" s="41">
        <f>X$13</f>
        <v>9.1692021889264517</v>
      </c>
      <c r="Y31" s="91"/>
      <c r="Z31" s="152">
        <f>307.841+481.744</f>
        <v>789.58500000000004</v>
      </c>
      <c r="AA31" s="32">
        <f>(Z31/V31-1)*100</f>
        <v>17.940571520754279</v>
      </c>
      <c r="AB31" s="41">
        <f>AB$13</f>
        <v>7.0324912092055714</v>
      </c>
      <c r="AC31" s="91"/>
      <c r="AD31" s="152">
        <f>300.703+676.715</f>
        <v>977.41800000000001</v>
      </c>
      <c r="AE31" s="32">
        <f>(AD31/Z31-1)*100</f>
        <v>23.788825775565648</v>
      </c>
      <c r="AF31" s="41" t="str">
        <f>AF$13</f>
        <v>NM</v>
      </c>
      <c r="AG31" s="91"/>
      <c r="AH31" s="152">
        <f>289.947+661.784</f>
        <v>951.73099999999999</v>
      </c>
      <c r="AI31" s="32">
        <f>(AH31/AD31-1)*100</f>
        <v>-2.6280465471272274</v>
      </c>
      <c r="AJ31" s="41">
        <f>AJ$13</f>
        <v>6.2553869663696915</v>
      </c>
      <c r="AK31" s="91"/>
      <c r="AL31" s="152">
        <f>256.306+579.442</f>
        <v>835.74800000000005</v>
      </c>
      <c r="AM31" s="32">
        <f>(AL31/AH31-1)*100</f>
        <v>-12.18653169855768</v>
      </c>
      <c r="AN31" s="41" t="str">
        <f>AN$13</f>
        <v>NM</v>
      </c>
      <c r="AO31" s="24"/>
      <c r="AP31" s="152">
        <f>273.021+581.584</f>
        <v>854.60500000000002</v>
      </c>
      <c r="AQ31" s="32">
        <f>(AP31/AL31-1)*100</f>
        <v>2.2563021389222504</v>
      </c>
      <c r="AR31" s="41">
        <f>AR$13</f>
        <v>6.7029582508245866</v>
      </c>
      <c r="AS31" s="24"/>
      <c r="AT31" s="152">
        <f>245+648</f>
        <v>893</v>
      </c>
      <c r="AU31" s="32">
        <f>(AT31/AP31-1)*100</f>
        <v>4.4927188584199751</v>
      </c>
      <c r="AV31" s="41">
        <f>AV$13</f>
        <v>-2.1441834637355939</v>
      </c>
      <c r="AW31" s="24"/>
      <c r="AX31" s="152">
        <f>+bal!AC33+bal!AC35</f>
        <v>1063</v>
      </c>
      <c r="AY31" s="32">
        <f>(AX31/AT31-1)*100</f>
        <v>19.036954087346025</v>
      </c>
      <c r="AZ31" s="41">
        <f>AZ$13</f>
        <v>4.474232505384923</v>
      </c>
      <c r="BA31" s="24"/>
      <c r="BB31" s="152">
        <f>453.174+659.482</f>
        <v>1112.6559999999999</v>
      </c>
      <c r="BC31" s="32">
        <f>(BB31/AX31-1)*100</f>
        <v>4.6713076199435433</v>
      </c>
      <c r="BD31" s="41">
        <f>BD$13</f>
        <v>8.9330761040416604</v>
      </c>
      <c r="BE31" s="24"/>
      <c r="BF31" s="359">
        <f>495.536+725.839</f>
        <v>1221.375</v>
      </c>
      <c r="BG31" s="32">
        <f>(BF31/BB31-1)*100</f>
        <v>9.7711242288721856</v>
      </c>
      <c r="BH31" s="41">
        <f>'qtrP&amp;L'!BK13</f>
        <v>3.0178419879427487</v>
      </c>
      <c r="BI31" s="168"/>
      <c r="BJ31" s="359">
        <f>534.96+782.623</f>
        <v>1317.5830000000001</v>
      </c>
      <c r="BK31" s="32">
        <f>(BJ31/BF31-1)*100</f>
        <v>7.8770238460751374</v>
      </c>
      <c r="BL31" s="41">
        <f>$BL25</f>
        <v>5.4906799678646534</v>
      </c>
      <c r="BM31" s="168"/>
      <c r="BN31" s="359">
        <f>592.736+896.709</f>
        <v>1489.4449999999999</v>
      </c>
      <c r="BO31" s="32">
        <f>(BN31/BJ31-1)*100</f>
        <v>13.043732349309289</v>
      </c>
      <c r="BP31" s="41">
        <f>BP$13</f>
        <v>14.625502858729632</v>
      </c>
      <c r="BQ31" s="168"/>
      <c r="BR31" s="359">
        <f>516.761+720.848</f>
        <v>1237.6089999999999</v>
      </c>
      <c r="BS31" s="32">
        <f>(BR31/BN31-1)*100</f>
        <v>-16.908042928741917</v>
      </c>
      <c r="BT31" s="41">
        <f>BT$13</f>
        <v>-19.786756882869838</v>
      </c>
      <c r="BU31" s="168"/>
      <c r="BV31" s="359">
        <f>493.903+669.17</f>
        <v>1163.0729999999999</v>
      </c>
      <c r="BW31" s="32">
        <f>(BV31/BR31-1)*100</f>
        <v>-6.0225806373418456</v>
      </c>
      <c r="BX31" s="41">
        <f>BX$13</f>
        <v>-7.3487212019537012</v>
      </c>
      <c r="BY31" s="168"/>
      <c r="BZ31" s="359">
        <f>488.455+692.658</f>
        <v>1181.1130000000001</v>
      </c>
      <c r="CA31" s="32">
        <f>(BZ31/BV31-1)*100</f>
        <v>1.5510634328197881</v>
      </c>
      <c r="CB31" s="41">
        <f>CB$13</f>
        <v>2.415497699510083</v>
      </c>
      <c r="CC31" s="168"/>
      <c r="CD31" s="359">
        <f>544.729+765.733</f>
        <v>1310.462</v>
      </c>
      <c r="CE31" s="32">
        <f>(CD31/BZ31-1)*100</f>
        <v>10.951450030606713</v>
      </c>
      <c r="CF31" s="41">
        <f>+$CF$13</f>
        <v>12.813023119772083</v>
      </c>
      <c r="CG31" s="168"/>
      <c r="CH31" s="359">
        <f>539.931+826.822</f>
        <v>1366.7530000000002</v>
      </c>
      <c r="CI31" s="32">
        <f>(CH31/CD31-1)*100</f>
        <v>4.2955079964165366</v>
      </c>
      <c r="CJ31" s="41">
        <f>CJ13</f>
        <v>1.7236230634342764</v>
      </c>
      <c r="CK31" s="168"/>
      <c r="CL31" s="359">
        <f>541.516+806.506</f>
        <v>1348.0219999999999</v>
      </c>
      <c r="CM31" s="32">
        <f>(CL31/CH31-1)*100</f>
        <v>-1.3704744017390302</v>
      </c>
      <c r="CN31" s="41">
        <f>CN13</f>
        <v>9.6761246005462773</v>
      </c>
      <c r="CP31" s="359">
        <f>599.128+786.794</f>
        <v>1385.922</v>
      </c>
      <c r="CQ31" s="32">
        <f>(CP31/CL31-1)*100</f>
        <v>2.8115268148442674</v>
      </c>
      <c r="CR31" s="41">
        <f>CR13</f>
        <v>-0.96952912179558703</v>
      </c>
      <c r="CT31" s="359">
        <f>612.954+900.351</f>
        <v>1513.3049999999998</v>
      </c>
      <c r="CU31" s="32">
        <f>(CT31/CP31-1)*100</f>
        <v>9.1912098949291412</v>
      </c>
      <c r="CV31" s="41">
        <f>CV13</f>
        <v>6.5602343720944978</v>
      </c>
      <c r="CX31" s="359">
        <f>668.062+982.725</f>
        <v>1650.787</v>
      </c>
      <c r="CY31" s="32">
        <f>(CX31/CT31-1)*100</f>
        <v>9.0848837478234792</v>
      </c>
      <c r="CZ31" s="41">
        <f>CZ13</f>
        <v>8.0211173880504241</v>
      </c>
      <c r="DB31" s="359">
        <f>683.414+997.155</f>
        <v>1680.569</v>
      </c>
      <c r="DC31" s="32">
        <f>(DB31/CX31-1)*100</f>
        <v>1.804109191555292</v>
      </c>
      <c r="DD31" s="41">
        <f>DD13</f>
        <v>2.1488774047283776</v>
      </c>
      <c r="DF31" s="359">
        <f>716.904+1029.419</f>
        <v>1746.3230000000001</v>
      </c>
      <c r="DG31" s="32">
        <f>(DF31/DB31-1)*100</f>
        <v>3.9126034099165263</v>
      </c>
      <c r="DH31" s="41">
        <f>DH13</f>
        <v>7.4310783669299996</v>
      </c>
      <c r="DJ31" s="359"/>
      <c r="DK31" s="32"/>
      <c r="DL31" s="41"/>
    </row>
    <row r="32" spans="1:116">
      <c r="A32" s="24"/>
      <c r="B32" s="24"/>
      <c r="C32" s="24"/>
      <c r="D32" s="24"/>
      <c r="E32" s="24"/>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168"/>
      <c r="BG32" s="168"/>
      <c r="BH32" s="168"/>
      <c r="BI32" s="168"/>
      <c r="BJ32" s="168"/>
      <c r="BK32" s="168"/>
      <c r="BL32" s="168"/>
      <c r="BM32" s="168"/>
      <c r="BN32" s="168"/>
      <c r="BO32" s="168"/>
      <c r="BP32" s="168"/>
      <c r="BQ32" s="168"/>
      <c r="BR32" s="168"/>
      <c r="BS32" s="168"/>
      <c r="BT32" s="168"/>
      <c r="BU32" s="168"/>
      <c r="BV32" s="168"/>
      <c r="BW32" s="168"/>
      <c r="BX32" s="168"/>
      <c r="BY32" s="168"/>
      <c r="BZ32" s="168"/>
      <c r="CA32" s="168"/>
      <c r="CB32" s="168"/>
      <c r="CC32" s="168"/>
      <c r="CD32" s="168"/>
      <c r="CE32" s="168"/>
      <c r="CF32" s="168"/>
      <c r="CG32" s="168"/>
      <c r="CH32" s="168"/>
      <c r="CI32" s="168"/>
      <c r="CJ32" s="168"/>
      <c r="CK32" s="168"/>
      <c r="CL32" s="168"/>
      <c r="CM32" s="168"/>
      <c r="CN32" s="168"/>
      <c r="CR32" s="168"/>
    </row>
    <row r="33" spans="1:116">
      <c r="A33" s="136" t="s">
        <v>793</v>
      </c>
      <c r="B33" s="27"/>
      <c r="C33" s="24"/>
      <c r="D33" s="24"/>
      <c r="E33" s="2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24"/>
      <c r="AP33" s="134"/>
      <c r="AQ33" s="134"/>
      <c r="AR33" s="134"/>
      <c r="AS33" s="24"/>
      <c r="AT33" s="134"/>
      <c r="AU33" s="134"/>
      <c r="AV33" s="134"/>
      <c r="AW33" s="24"/>
      <c r="AX33" s="134"/>
      <c r="AY33" s="134"/>
      <c r="AZ33" s="134"/>
      <c r="BA33" s="24"/>
      <c r="BB33" s="134"/>
      <c r="BC33" s="134"/>
      <c r="BD33" s="134"/>
      <c r="BE33" s="24"/>
      <c r="BF33" s="202"/>
      <c r="BG33" s="202"/>
      <c r="BH33" s="202"/>
      <c r="BI33" s="168"/>
      <c r="BJ33" s="202"/>
      <c r="BK33" s="202"/>
      <c r="BL33" s="202"/>
      <c r="BM33" s="168"/>
      <c r="BN33" s="202"/>
      <c r="BO33" s="202"/>
      <c r="BP33" s="202"/>
      <c r="BQ33" s="168"/>
      <c r="BR33" s="202"/>
      <c r="BS33" s="202"/>
      <c r="BT33" s="202"/>
      <c r="BU33" s="168"/>
      <c r="BV33" s="202"/>
      <c r="BW33" s="202"/>
      <c r="BX33" s="202"/>
      <c r="BY33" s="168"/>
      <c r="BZ33" s="202"/>
      <c r="CA33" s="202"/>
      <c r="CB33" s="202"/>
      <c r="CC33" s="168"/>
      <c r="CD33" s="202"/>
      <c r="CE33" s="202"/>
      <c r="CF33" s="202"/>
      <c r="CG33" s="168"/>
      <c r="CH33" s="202"/>
      <c r="CI33" s="202"/>
      <c r="CJ33" s="202"/>
      <c r="CK33" s="168"/>
      <c r="CL33" s="202"/>
      <c r="CM33" s="202"/>
      <c r="CN33" s="202"/>
      <c r="CR33" s="202"/>
    </row>
    <row r="34" spans="1:116">
      <c r="A34" s="24" t="str">
        <f>$A$10</f>
        <v>1Q</v>
      </c>
      <c r="B34" s="24" t="str">
        <f>$B$10</f>
        <v>Apr</v>
      </c>
      <c r="C34" s="24"/>
      <c r="D34" s="138">
        <v>38.625999999999998</v>
      </c>
      <c r="E34" s="37"/>
      <c r="F34" s="138">
        <v>7.35</v>
      </c>
      <c r="G34" s="32">
        <f>(F34/D34-1)*100</f>
        <v>-80.971366437114895</v>
      </c>
      <c r="H34" s="41">
        <f>H$10</f>
        <v>15.996550307266478</v>
      </c>
      <c r="I34" s="92"/>
      <c r="J34" s="138">
        <v>16.792999999999999</v>
      </c>
      <c r="K34" s="32">
        <f>(J34/F34-1)*100</f>
        <v>128.47619047619051</v>
      </c>
      <c r="L34" s="41">
        <f>L$10</f>
        <v>10.209796633973856</v>
      </c>
      <c r="M34" s="92"/>
      <c r="N34" s="138">
        <v>59.671999999999997</v>
      </c>
      <c r="O34" s="32">
        <f>(N34/J34-1)*100</f>
        <v>255.33853391293994</v>
      </c>
      <c r="P34" s="41">
        <f>P$10</f>
        <v>7.2714172185430304</v>
      </c>
      <c r="Q34" s="92"/>
      <c r="R34" s="138">
        <v>27.657</v>
      </c>
      <c r="S34" s="32">
        <f>(R34/N34-1)*100</f>
        <v>-53.651628904678915</v>
      </c>
      <c r="T34" s="41">
        <f>T$10</f>
        <v>-2.4321051311076758</v>
      </c>
      <c r="U34" s="92"/>
      <c r="V34" s="138">
        <v>22.402000000000001</v>
      </c>
      <c r="W34" s="32">
        <f>(V34/R34-1)*100</f>
        <v>-19.000614672596448</v>
      </c>
      <c r="X34" s="41">
        <f>X$10</f>
        <v>7.1884440628821933</v>
      </c>
      <c r="Y34" s="92"/>
      <c r="Z34" s="138">
        <v>5.681</v>
      </c>
      <c r="AA34" s="32">
        <f>(Z34/V34-1)*100</f>
        <v>-74.640657084188916</v>
      </c>
      <c r="AB34" s="41">
        <f>AB$10</f>
        <v>12.581369078427883</v>
      </c>
      <c r="AC34" s="92"/>
      <c r="AD34" s="138">
        <v>14.118</v>
      </c>
      <c r="AE34" s="32">
        <f>(AD34/Z34-1)*100</f>
        <v>148.512585812357</v>
      </c>
      <c r="AF34" s="41" t="str">
        <f>AF$10</f>
        <v>NM</v>
      </c>
      <c r="AG34" s="92"/>
      <c r="AH34" s="138">
        <v>18.324999999999999</v>
      </c>
      <c r="AI34" s="32">
        <f>(AH34/AD34-1)*100</f>
        <v>29.798838362374269</v>
      </c>
      <c r="AJ34" s="41">
        <f>AJ$10</f>
        <v>6.3979816809976775</v>
      </c>
      <c r="AK34" s="92"/>
      <c r="AL34" s="138">
        <v>52.814</v>
      </c>
      <c r="AM34" s="32">
        <f>(AL34/AH34-1)*100</f>
        <v>188.2073669849932</v>
      </c>
      <c r="AN34" s="41" t="str">
        <f>AN$10</f>
        <v>NM</v>
      </c>
      <c r="AO34" s="24"/>
      <c r="AP34" s="138">
        <v>0</v>
      </c>
      <c r="AQ34" s="32">
        <f>(AP34/AL34-1)*100</f>
        <v>-100</v>
      </c>
      <c r="AR34" s="41">
        <f>AR$10</f>
        <v>7.7445005192068317</v>
      </c>
      <c r="AS34" s="24"/>
      <c r="AT34" s="138">
        <v>12.005000000000001</v>
      </c>
      <c r="AU34" s="358" t="s">
        <v>886</v>
      </c>
      <c r="AV34" s="41">
        <f>AV$10</f>
        <v>-1.6785881211432763</v>
      </c>
      <c r="AW34" s="24"/>
      <c r="AX34" s="138">
        <v>53</v>
      </c>
      <c r="AY34" s="32">
        <f>(AX34/AT34-1)*100</f>
        <v>341.48271553519362</v>
      </c>
      <c r="AZ34" s="41">
        <f>AZ$10</f>
        <v>8.234698752841707</v>
      </c>
      <c r="BA34" s="24"/>
      <c r="BB34" s="138">
        <v>110.70099999999999</v>
      </c>
      <c r="BC34" s="32">
        <f>(BB34/AX34-1)*100</f>
        <v>108.86981132075468</v>
      </c>
      <c r="BD34" s="41">
        <f>BD$10</f>
        <v>2.4234074810405515</v>
      </c>
      <c r="BE34" s="24"/>
      <c r="BF34" s="365">
        <v>101.114</v>
      </c>
      <c r="BG34" s="32">
        <f>(BF34/BB34-1)*100</f>
        <v>-8.660265038256199</v>
      </c>
      <c r="BH34" s="41">
        <f>BH$10</f>
        <v>7.3769864468106849</v>
      </c>
      <c r="BI34" s="168"/>
      <c r="BJ34" s="365">
        <v>89.637</v>
      </c>
      <c r="BK34" s="32">
        <f>(BJ34/BF34-1)*100</f>
        <v>-11.350554819312864</v>
      </c>
      <c r="BL34" s="41">
        <f>BL$10</f>
        <v>-0.16535208975013704</v>
      </c>
      <c r="BM34" s="168"/>
      <c r="BN34" s="365">
        <v>61.865000000000002</v>
      </c>
      <c r="BO34" s="32">
        <f>(BN34/BJ34-1)*100</f>
        <v>-30.982741501835175</v>
      </c>
      <c r="BP34" s="41">
        <f>BP$10</f>
        <v>5.1727856959125518</v>
      </c>
      <c r="BQ34" s="168"/>
      <c r="BR34" s="365">
        <v>19.135999999999999</v>
      </c>
      <c r="BS34" s="32">
        <f>(BR34/BN34-1)*100</f>
        <v>-69.06813222338964</v>
      </c>
      <c r="BT34" s="41">
        <f>BT$10</f>
        <v>11.253816034059172</v>
      </c>
      <c r="BU34" s="168"/>
      <c r="BV34" s="365">
        <v>33.883000000000003</v>
      </c>
      <c r="BW34" s="32">
        <f>(BV34/BR34-1)*100</f>
        <v>77.064172240802691</v>
      </c>
      <c r="BX34" s="41">
        <f>BX$10</f>
        <v>-16.693561613662201</v>
      </c>
      <c r="BY34" s="168"/>
      <c r="BZ34" s="365">
        <v>14.647</v>
      </c>
      <c r="CA34" s="32">
        <f>(BZ34/BV34-1)*100</f>
        <v>-56.771832482365795</v>
      </c>
      <c r="CB34" s="41">
        <f>CB$10</f>
        <v>-10.381069679665423</v>
      </c>
      <c r="CC34" s="168"/>
      <c r="CD34" s="365">
        <v>18.12</v>
      </c>
      <c r="CE34" s="32">
        <f>(CD34/BZ34-1)*100</f>
        <v>23.711340206185572</v>
      </c>
      <c r="CF34" s="41">
        <f>CF$10</f>
        <v>11.957719432170766</v>
      </c>
      <c r="CG34" s="168"/>
      <c r="CH34" s="365">
        <v>60.575000000000003</v>
      </c>
      <c r="CI34" s="32">
        <f>(CH34/CD34-1)*100</f>
        <v>234.29911699779251</v>
      </c>
      <c r="CJ34" s="41">
        <f>CJ10</f>
        <v>14.779998923136816</v>
      </c>
      <c r="CK34" s="168"/>
      <c r="CL34" s="365">
        <v>5.5750000000000002</v>
      </c>
      <c r="CM34" s="32">
        <f>(CL34/CH34-1)*100</f>
        <v>-90.796533223276938</v>
      </c>
      <c r="CN34" s="41">
        <f>CN10</f>
        <v>-2.8521657704924985</v>
      </c>
      <c r="CP34" s="365">
        <v>55.6</v>
      </c>
      <c r="CQ34" s="32">
        <f>(CP34/CL34-1)*100</f>
        <v>897.30941704035877</v>
      </c>
      <c r="CR34" s="41">
        <f>CR10</f>
        <v>5.3009958287367764</v>
      </c>
      <c r="CT34" s="365">
        <v>84.567999999999998</v>
      </c>
      <c r="CU34" s="32">
        <f>(CT34/CP34-1)*100</f>
        <v>52.100719424460415</v>
      </c>
      <c r="CV34" s="41">
        <f>CV10</f>
        <v>5.4354670020053231</v>
      </c>
      <c r="CX34" s="365">
        <v>28.393999999999998</v>
      </c>
      <c r="CY34" s="32">
        <f>(CX34/CT34-1)*100</f>
        <v>-66.42465235077097</v>
      </c>
      <c r="CZ34" s="41">
        <f>CZ10</f>
        <v>5.0479878556224156</v>
      </c>
      <c r="DB34" s="365">
        <v>44.131999999999998</v>
      </c>
      <c r="DC34" s="32">
        <f>(DB34/CX34-1)*100</f>
        <v>55.427202930196515</v>
      </c>
      <c r="DD34" s="41">
        <f>DD10</f>
        <v>4.0556717340668014</v>
      </c>
      <c r="DF34" s="365">
        <v>309.52499999999998</v>
      </c>
      <c r="DG34" s="32">
        <f>(DF34/DB34-1)*100</f>
        <v>601.36182362004899</v>
      </c>
      <c r="DH34" s="41">
        <f>DH10</f>
        <v>-6.7828824916836066</v>
      </c>
      <c r="DJ34" s="365"/>
      <c r="DK34" s="32"/>
      <c r="DL34" s="41"/>
    </row>
    <row r="35" spans="1:116">
      <c r="A35" s="24" t="str">
        <f>$A$11</f>
        <v>2Q</v>
      </c>
      <c r="B35" s="24" t="str">
        <f>$B$11</f>
        <v>Jul</v>
      </c>
      <c r="C35" s="24"/>
      <c r="D35" s="152">
        <v>10.574</v>
      </c>
      <c r="E35" s="36"/>
      <c r="F35" s="152">
        <v>15.973000000000001</v>
      </c>
      <c r="G35" s="32">
        <f>(F35/D35-1)*100</f>
        <v>51.059201815774543</v>
      </c>
      <c r="H35" s="41">
        <f>H$11</f>
        <v>19.108804897441622</v>
      </c>
      <c r="I35" s="92"/>
      <c r="J35" s="152">
        <v>44.381999999999998</v>
      </c>
      <c r="K35" s="32">
        <f>(J35/F35-1)*100</f>
        <v>177.85638264571463</v>
      </c>
      <c r="L35" s="41">
        <f>L$11</f>
        <v>8.3049189745379781</v>
      </c>
      <c r="M35" s="92"/>
      <c r="N35" s="152">
        <v>70.861000000000004</v>
      </c>
      <c r="O35" s="32">
        <f>(N35/J35-1)*100</f>
        <v>59.661574512189652</v>
      </c>
      <c r="P35" s="41">
        <f>P$11</f>
        <v>13.405595433844519</v>
      </c>
      <c r="Q35" s="92"/>
      <c r="R35" s="152">
        <v>29.797999999999998</v>
      </c>
      <c r="S35" s="32">
        <f>(R35/N35-1)*100</f>
        <v>-57.948660052779388</v>
      </c>
      <c r="T35" s="41">
        <f>T$11</f>
        <v>-6.137337150063205</v>
      </c>
      <c r="U35" s="92"/>
      <c r="V35" s="152">
        <v>11.231999999999999</v>
      </c>
      <c r="W35" s="32">
        <f>(V35/R35-1)*100</f>
        <v>-62.306195046647431</v>
      </c>
      <c r="X35" s="41">
        <f>X$11</f>
        <v>8.40492446032275</v>
      </c>
      <c r="Y35" s="92"/>
      <c r="Z35" s="152">
        <v>6.101</v>
      </c>
      <c r="AA35" s="32">
        <f>(Z35/V35-1)*100</f>
        <v>-45.681980056980052</v>
      </c>
      <c r="AB35" s="41">
        <f>AB$11</f>
        <v>10.296379178223747</v>
      </c>
      <c r="AC35" s="92"/>
      <c r="AD35" s="152">
        <v>2.9430000000000001</v>
      </c>
      <c r="AE35" s="32">
        <f>(AD35/Z35-1)*100</f>
        <v>-51.762006228487131</v>
      </c>
      <c r="AF35" s="41" t="str">
        <f>AF$11</f>
        <v>NM</v>
      </c>
      <c r="AG35" s="92"/>
      <c r="AH35" s="152">
        <v>14.004</v>
      </c>
      <c r="AI35" s="32">
        <f>(AH35/AD35-1)*100</f>
        <v>375.84097859327221</v>
      </c>
      <c r="AJ35" s="41">
        <f>AJ$11</f>
        <v>5.7957809155998019</v>
      </c>
      <c r="AK35" s="92"/>
      <c r="AL35" s="152">
        <v>6.875</v>
      </c>
      <c r="AM35" s="32">
        <f>(AL35/AH35-1)*100</f>
        <v>-50.906883747500721</v>
      </c>
      <c r="AN35" s="41" t="str">
        <f>AN$11</f>
        <v>NM</v>
      </c>
      <c r="AO35" s="24"/>
      <c r="AP35" s="152">
        <v>4.5449999999999999</v>
      </c>
      <c r="AQ35" s="32">
        <f>(AP35/AL35-1)*100</f>
        <v>-33.890909090909091</v>
      </c>
      <c r="AR35" s="41">
        <f>AR$11</f>
        <v>5.2456120908987991</v>
      </c>
      <c r="AS35" s="24"/>
      <c r="AT35" s="152">
        <v>2.6150000000000002</v>
      </c>
      <c r="AU35" s="32">
        <f>(AT35/AP35-1)*100</f>
        <v>-42.464246424642461</v>
      </c>
      <c r="AV35" s="41">
        <f>AV$11</f>
        <v>-4.0783506184203899</v>
      </c>
      <c r="AW35" s="24"/>
      <c r="AX35" s="152">
        <v>29.718</v>
      </c>
      <c r="AY35" s="32">
        <f>(AX35/AT35-1)*100</f>
        <v>1036.4435946462715</v>
      </c>
      <c r="AZ35" s="41">
        <f>AZ$11</f>
        <v>8.2114757298583427</v>
      </c>
      <c r="BA35" s="24"/>
      <c r="BB35" s="152">
        <v>70.921999999999997</v>
      </c>
      <c r="BC35" s="32">
        <f>(BB35/AX35-1)*100</f>
        <v>138.64997644525201</v>
      </c>
      <c r="BD35" s="41">
        <f>BD$11</f>
        <v>5.3173577296989905</v>
      </c>
      <c r="BE35" s="24"/>
      <c r="BF35" s="359">
        <v>122.129</v>
      </c>
      <c r="BG35" s="32">
        <f>(BF35/BB35-1)*100</f>
        <v>72.201855559628896</v>
      </c>
      <c r="BH35" s="41">
        <f>BH$11</f>
        <v>9.7674104540674591</v>
      </c>
      <c r="BI35" s="168"/>
      <c r="BJ35" s="359">
        <v>104.04</v>
      </c>
      <c r="BK35" s="32">
        <f>(BJ35/BF35-1)*100</f>
        <v>-14.811387958633905</v>
      </c>
      <c r="BL35" s="41">
        <f>$BL29</f>
        <v>3.6216682226419827</v>
      </c>
      <c r="BM35" s="168"/>
      <c r="BN35" s="359">
        <v>25.053000000000001</v>
      </c>
      <c r="BO35" s="32">
        <f>(BN35/BJ35-1)*100</f>
        <v>-75.919838523644756</v>
      </c>
      <c r="BP35" s="41">
        <f>BP$11</f>
        <v>7.1129655973785066</v>
      </c>
      <c r="BQ35" s="168"/>
      <c r="BR35" s="359">
        <v>150.64699999999999</v>
      </c>
      <c r="BS35" s="32">
        <f>(BR35/BN35-1)*100</f>
        <v>501.31321598211781</v>
      </c>
      <c r="BT35" s="41">
        <f>BT$11</f>
        <v>6.9370524383703724</v>
      </c>
      <c r="BU35" s="168"/>
      <c r="BV35" s="359">
        <v>81.441000000000003</v>
      </c>
      <c r="BW35" s="32">
        <f>(BV35/BR35-1)*100</f>
        <v>-45.939182326896642</v>
      </c>
      <c r="BX35" s="41">
        <f>BX$11</f>
        <v>-12.947905111016189</v>
      </c>
      <c r="BY35" s="168"/>
      <c r="BZ35" s="359">
        <v>33.281999999999996</v>
      </c>
      <c r="CA35" s="32">
        <f>(BZ35/BV35-1)*100</f>
        <v>-59.133605923306455</v>
      </c>
      <c r="CB35" s="41">
        <f>CB$11</f>
        <v>-9.5303885542880611</v>
      </c>
      <c r="CC35" s="168"/>
      <c r="CD35" s="359">
        <v>6.3890000000000002</v>
      </c>
      <c r="CE35" s="32">
        <f>(CD35/BZ35-1)*100</f>
        <v>-80.803437293431884</v>
      </c>
      <c r="CF35" s="41">
        <f>CF$11</f>
        <v>8.5115237030692903</v>
      </c>
      <c r="CG35" s="168"/>
      <c r="CH35" s="359">
        <v>4.59</v>
      </c>
      <c r="CI35" s="32">
        <f>(CH35/CD35-1)*100</f>
        <v>-28.157771169197066</v>
      </c>
      <c r="CJ35" s="41">
        <f>CJ11</f>
        <v>9.6153417376065207</v>
      </c>
      <c r="CK35" s="168"/>
      <c r="CL35" s="359">
        <v>6.7130000000000001</v>
      </c>
      <c r="CM35" s="32">
        <f>(CL35/CH35-1)*100</f>
        <v>46.252723311546838</v>
      </c>
      <c r="CN35" s="41">
        <f>CN11</f>
        <v>-2.4016174864277318</v>
      </c>
      <c r="CP35" s="359">
        <v>84.897000000000006</v>
      </c>
      <c r="CQ35" s="32">
        <f>(CP35/CL35-1)*100</f>
        <v>1164.6655742589007</v>
      </c>
      <c r="CR35" s="41">
        <f>CR11</f>
        <v>4.8707015130674103</v>
      </c>
      <c r="CT35" s="359">
        <v>0.86599999999999999</v>
      </c>
      <c r="CU35" s="32">
        <f>(CT35/CP35-1)*100</f>
        <v>-98.979940398365073</v>
      </c>
      <c r="CV35" s="41">
        <f>CV11</f>
        <v>6.3339021038946397</v>
      </c>
      <c r="CX35" s="359">
        <v>5.407</v>
      </c>
      <c r="CY35" s="32">
        <f>(CX35/CT35-1)*100</f>
        <v>524.36489607390297</v>
      </c>
      <c r="CZ35" s="41">
        <f>CZ11</f>
        <v>3.3613288324235935</v>
      </c>
      <c r="DB35" s="359">
        <v>134.06899999999999</v>
      </c>
      <c r="DC35" s="32">
        <f>(DB35/CX35-1)*100</f>
        <v>2379.5450342149065</v>
      </c>
      <c r="DD35" s="41">
        <f>DD11</f>
        <v>4.5025797065495698</v>
      </c>
      <c r="DF35" s="359">
        <v>134.06899999999999</v>
      </c>
      <c r="DG35" s="32">
        <f>(DF35/DB35-1)*100</f>
        <v>0</v>
      </c>
      <c r="DH35" s="41">
        <f>DH11</f>
        <v>-4.6621430825706467</v>
      </c>
      <c r="DJ35" s="359"/>
      <c r="DK35" s="32"/>
      <c r="DL35" s="41"/>
    </row>
    <row r="36" spans="1:116">
      <c r="A36" s="24" t="str">
        <f>$A$12</f>
        <v>3Q</v>
      </c>
      <c r="B36" s="24" t="str">
        <f>$B$12</f>
        <v>Oct</v>
      </c>
      <c r="C36" s="24"/>
      <c r="D36" s="152">
        <v>17.236000000000001</v>
      </c>
      <c r="E36" s="36"/>
      <c r="F36" s="152">
        <v>51.655999999999999</v>
      </c>
      <c r="G36" s="32">
        <f>(F36/D36-1)*100</f>
        <v>199.69830587143184</v>
      </c>
      <c r="H36" s="41">
        <f>H$12</f>
        <v>14.86657910574063</v>
      </c>
      <c r="I36" s="92"/>
      <c r="J36" s="152">
        <v>72.873000000000005</v>
      </c>
      <c r="K36" s="32">
        <f>(J36/F36-1)*100</f>
        <v>41.073641009756855</v>
      </c>
      <c r="L36" s="41">
        <f>L$12</f>
        <v>12.411504856942734</v>
      </c>
      <c r="M36" s="92"/>
      <c r="N36" s="152">
        <v>82.834999999999994</v>
      </c>
      <c r="O36" s="32">
        <f>(N36/J36-1)*100</f>
        <v>13.670358020117179</v>
      </c>
      <c r="P36" s="41">
        <f>P$12</f>
        <v>0.33183973388277721</v>
      </c>
      <c r="Q36" s="92"/>
      <c r="R36" s="152">
        <v>28.670999999999999</v>
      </c>
      <c r="S36" s="32">
        <f>(R36/N36-1)*100</f>
        <v>-65.387819158568234</v>
      </c>
      <c r="T36" s="41">
        <f>T$12</f>
        <v>6.0933389498270207</v>
      </c>
      <c r="U36" s="92"/>
      <c r="V36" s="152">
        <v>14.57</v>
      </c>
      <c r="W36" s="32">
        <f>(V36/R36-1)*100</f>
        <v>-49.182100380175086</v>
      </c>
      <c r="X36" s="41">
        <f>X$12</f>
        <v>5.1376068694991117</v>
      </c>
      <c r="Y36" s="92"/>
      <c r="Z36" s="152">
        <v>31.128</v>
      </c>
      <c r="AA36" s="32">
        <f>(Z36/V36-1)*100</f>
        <v>113.64447494852436</v>
      </c>
      <c r="AB36" s="41">
        <f>AB$12</f>
        <v>10.630041119173516</v>
      </c>
      <c r="AC36" s="92"/>
      <c r="AD36" s="152">
        <v>14.161</v>
      </c>
      <c r="AE36" s="32">
        <f>(AD36/Z36-1)*100</f>
        <v>-54.507196093549211</v>
      </c>
      <c r="AF36" s="41" t="str">
        <f>AF$12</f>
        <v>NM</v>
      </c>
      <c r="AG36" s="92"/>
      <c r="AH36" s="152">
        <v>45.423000000000002</v>
      </c>
      <c r="AI36" s="32">
        <f>(AH36/AD36-1)*100</f>
        <v>220.76124567474048</v>
      </c>
      <c r="AJ36" s="41">
        <f>AJ$12</f>
        <v>3.6802711635345986</v>
      </c>
      <c r="AK36" s="92"/>
      <c r="AL36" s="152">
        <v>0</v>
      </c>
      <c r="AM36" s="32">
        <f>(AL36/AH36-1)*100</f>
        <v>-100</v>
      </c>
      <c r="AN36" s="41" t="str">
        <f>AN$12</f>
        <v>NM</v>
      </c>
      <c r="AO36" s="24"/>
      <c r="AP36" s="152">
        <v>0</v>
      </c>
      <c r="AQ36" s="358" t="s">
        <v>886</v>
      </c>
      <c r="AR36" s="41">
        <f>AR$12</f>
        <v>8.440981883698484</v>
      </c>
      <c r="AS36" s="24"/>
      <c r="AT36" s="152">
        <v>13.847</v>
      </c>
      <c r="AU36" s="358" t="s">
        <v>886</v>
      </c>
      <c r="AV36" s="41">
        <f>AV$12</f>
        <v>-3.2996766816864698</v>
      </c>
      <c r="AW36" s="24"/>
      <c r="AX36" s="152">
        <v>40.902999999999999</v>
      </c>
      <c r="AY36" s="32">
        <f>(AX36/AT36-1)*100</f>
        <v>195.39250379143499</v>
      </c>
      <c r="AZ36" s="41">
        <f>AZ$12</f>
        <v>6.5224924442623067</v>
      </c>
      <c r="BA36" s="24"/>
      <c r="BB36" s="152">
        <v>86.207999999999998</v>
      </c>
      <c r="BC36" s="32">
        <f>(BB36/AX36-1)*100</f>
        <v>110.7620467936337</v>
      </c>
      <c r="BD36" s="41">
        <f>BD$12</f>
        <v>4.481023328703615</v>
      </c>
      <c r="BE36" s="24"/>
      <c r="BF36" s="359">
        <v>73.637</v>
      </c>
      <c r="BG36" s="32">
        <f>(BF36/BB36-1)*100</f>
        <v>-14.582173348181138</v>
      </c>
      <c r="BH36" s="41">
        <f>BH$12</f>
        <v>2.3871407917607446</v>
      </c>
      <c r="BI36" s="168"/>
      <c r="BJ36" s="359">
        <v>46.561999999999998</v>
      </c>
      <c r="BK36" s="32">
        <f>(BJ36/BF36-1)*100</f>
        <v>-36.768200768635339</v>
      </c>
      <c r="BL36" s="41">
        <f>$BL30</f>
        <v>3.6808745250160868E-2</v>
      </c>
      <c r="BM36" s="168"/>
      <c r="BN36" s="359">
        <v>39.472999999999999</v>
      </c>
      <c r="BO36" s="32">
        <f>(BN36/BJ36-1)*100</f>
        <v>-15.224861475022545</v>
      </c>
      <c r="BP36" s="41">
        <f>BP$12</f>
        <v>11.810572382135099</v>
      </c>
      <c r="BQ36" s="168"/>
      <c r="BR36" s="359">
        <v>13.768000000000001</v>
      </c>
      <c r="BS36" s="32">
        <f>(BR36/BN36-1)*100</f>
        <v>-65.120462088009518</v>
      </c>
      <c r="BT36" s="41">
        <f>BT$12</f>
        <v>-9.0711192772987115</v>
      </c>
      <c r="BU36" s="168"/>
      <c r="BV36" s="359">
        <v>38.71</v>
      </c>
      <c r="BW36" s="32">
        <f>(BV36/BR36-1)*100</f>
        <v>181.15920976176642</v>
      </c>
      <c r="BX36" s="41">
        <f>BX$12</f>
        <v>-4.2077807544469774</v>
      </c>
      <c r="BY36" s="168"/>
      <c r="BZ36" s="359">
        <v>15.57</v>
      </c>
      <c r="CA36" s="32">
        <f>(BZ36/BV36-1)*100</f>
        <v>-59.777835184706795</v>
      </c>
      <c r="CB36" s="41">
        <f>CB$12</f>
        <v>-3.522720857417061</v>
      </c>
      <c r="CC36" s="168"/>
      <c r="CD36" s="359">
        <v>8.4480000000000004</v>
      </c>
      <c r="CE36" s="32">
        <f>(CD36/BZ36-1)*100</f>
        <v>-45.74181117533719</v>
      </c>
      <c r="CF36" s="41">
        <f>+$CF$12</f>
        <v>11.595356748396025</v>
      </c>
      <c r="CG36" s="168"/>
      <c r="CH36" s="359">
        <v>3.7930000000000001</v>
      </c>
      <c r="CI36" s="32">
        <f>(CH36/CD36-1)*100</f>
        <v>-55.101799242424242</v>
      </c>
      <c r="CJ36" s="41">
        <f>CJ12</f>
        <v>9.5820652908279449</v>
      </c>
      <c r="CK36" s="168"/>
      <c r="CL36" s="359">
        <v>5.5940000000000003</v>
      </c>
      <c r="CM36" s="32">
        <f>(CL36/CH36-1)*100</f>
        <v>47.482204060110725</v>
      </c>
      <c r="CN36" s="41">
        <f>CN12</f>
        <v>-5.6699119360271055</v>
      </c>
      <c r="CP36" s="359">
        <v>16.986000000000001</v>
      </c>
      <c r="CQ36" s="32">
        <f>(CP36/CL36-1)*100</f>
        <v>203.6467643904183</v>
      </c>
      <c r="CR36" s="41">
        <f>CR12</f>
        <v>5.8969197473988988</v>
      </c>
      <c r="CT36" s="359">
        <v>14.423999999999999</v>
      </c>
      <c r="CU36" s="32">
        <f>(CT36/CP36-1)*100</f>
        <v>-15.08300953726599</v>
      </c>
      <c r="CV36" s="41">
        <f>CV12</f>
        <v>6.8059916530291087</v>
      </c>
      <c r="CX36" s="359">
        <v>6.9269999999999996</v>
      </c>
      <c r="CY36" s="32">
        <f>(CX36/CT36-1)*100</f>
        <v>-51.97587354409319</v>
      </c>
      <c r="CZ36" s="41">
        <f>CZ12</f>
        <v>7.0174409653746439</v>
      </c>
      <c r="DB36" s="359">
        <v>113.44799999999999</v>
      </c>
      <c r="DC36" s="32">
        <f>(DB36/CX36-1)*100</f>
        <v>1537.765266349069</v>
      </c>
      <c r="DD36" s="41">
        <f>DD12</f>
        <v>4.0056818754218515</v>
      </c>
      <c r="DF36" s="359">
        <v>6.0069999999999997</v>
      </c>
      <c r="DG36" s="32">
        <f>(DF36/DB36-1)*100</f>
        <v>-94.705063112615477</v>
      </c>
      <c r="DH36" s="41">
        <f>DH12</f>
        <v>1.4260092778747957</v>
      </c>
      <c r="DJ36" s="359"/>
      <c r="DK36" s="32"/>
      <c r="DL36" s="41"/>
    </row>
    <row r="37" spans="1:116">
      <c r="A37" s="24" t="str">
        <f>$A$13</f>
        <v>4Q</v>
      </c>
      <c r="B37" s="24" t="str">
        <f>$B$13</f>
        <v>Jan</v>
      </c>
      <c r="C37" s="24"/>
      <c r="D37" s="152">
        <v>24.725999999999999</v>
      </c>
      <c r="E37" s="36"/>
      <c r="F37" s="152">
        <v>55.097000000000001</v>
      </c>
      <c r="G37" s="32">
        <f>(F37/D37-1)*100</f>
        <v>122.83021920245898</v>
      </c>
      <c r="H37" s="41">
        <f>H$13</f>
        <v>17.917553903776362</v>
      </c>
      <c r="I37" s="92"/>
      <c r="J37" s="152">
        <v>137.46600000000001</v>
      </c>
      <c r="K37" s="32">
        <f>(J37/F37-1)*100</f>
        <v>149.49815779443529</v>
      </c>
      <c r="L37" s="41">
        <f>L$13</f>
        <v>18.083359150329859</v>
      </c>
      <c r="M37" s="92"/>
      <c r="N37" s="152">
        <v>93.489000000000004</v>
      </c>
      <c r="O37" s="32">
        <f>(N37/J37-1)*100</f>
        <v>-31.991183274409675</v>
      </c>
      <c r="P37" s="41">
        <f>P$13</f>
        <v>-0.29460970906417527</v>
      </c>
      <c r="Q37" s="92"/>
      <c r="R37" s="152">
        <v>124.376</v>
      </c>
      <c r="S37" s="32">
        <f>(R37/N37-1)*100</f>
        <v>33.038111435569959</v>
      </c>
      <c r="T37" s="41">
        <f>T$13</f>
        <v>4.8657781192619876</v>
      </c>
      <c r="U37" s="92"/>
      <c r="V37" s="152">
        <v>47.097999999999999</v>
      </c>
      <c r="W37" s="32">
        <f>(V37/R37-1)*100</f>
        <v>-62.13256576831543</v>
      </c>
      <c r="X37" s="41">
        <f>X$13</f>
        <v>9.1692021889264517</v>
      </c>
      <c r="Y37" s="92"/>
      <c r="Z37" s="152">
        <v>117.30800000000001</v>
      </c>
      <c r="AA37" s="32">
        <f>(Z37/V37-1)*100</f>
        <v>149.07214743725851</v>
      </c>
      <c r="AB37" s="41">
        <f>AB$13</f>
        <v>7.0324912092055714</v>
      </c>
      <c r="AC37" s="92"/>
      <c r="AD37" s="152">
        <v>115.994</v>
      </c>
      <c r="AE37" s="32">
        <f>(AD37/Z37-1)*100</f>
        <v>-1.1201282094997822</v>
      </c>
      <c r="AF37" s="41" t="str">
        <f>AF$13</f>
        <v>NM</v>
      </c>
      <c r="AG37" s="92"/>
      <c r="AH37" s="152">
        <v>128.273</v>
      </c>
      <c r="AI37" s="32">
        <f>(AH37/AD37-1)*100</f>
        <v>10.585892373743476</v>
      </c>
      <c r="AJ37" s="41">
        <f>AJ$13</f>
        <v>6.2553869663696915</v>
      </c>
      <c r="AK37" s="92"/>
      <c r="AL37" s="152">
        <v>152.458</v>
      </c>
      <c r="AM37" s="32">
        <f>(AL37/AH37-1)*100</f>
        <v>18.854318523773507</v>
      </c>
      <c r="AN37" s="41" t="str">
        <f>AN$13</f>
        <v>NM</v>
      </c>
      <c r="AO37" s="24"/>
      <c r="AP37" s="152">
        <v>145.58000000000001</v>
      </c>
      <c r="AQ37" s="32">
        <f>(AP37/AL37-1)*100</f>
        <v>-4.5114064201288162</v>
      </c>
      <c r="AR37" s="41">
        <f>AR$13</f>
        <v>6.7029582508245866</v>
      </c>
      <c r="AS37" s="24"/>
      <c r="AT37" s="152">
        <v>276</v>
      </c>
      <c r="AU37" s="32">
        <f>(AT37/AP37-1)*100</f>
        <v>89.586481659568591</v>
      </c>
      <c r="AV37" s="41">
        <f>AV$13</f>
        <v>-2.1441834637355939</v>
      </c>
      <c r="AW37" s="24"/>
      <c r="AX37" s="152">
        <f>+bal!AC36+bal!AC38</f>
        <v>196</v>
      </c>
      <c r="AY37" s="32">
        <f>(AX37/AT37-1)*100</f>
        <v>-28.985507246376805</v>
      </c>
      <c r="AZ37" s="41">
        <f>AZ$13</f>
        <v>4.474232505384923</v>
      </c>
      <c r="BA37" s="24"/>
      <c r="BB37" s="152">
        <v>279.20800000000003</v>
      </c>
      <c r="BC37" s="32">
        <f>(BB37/AX37-1)*100</f>
        <v>42.453061224489815</v>
      </c>
      <c r="BD37" s="41">
        <f>BD$13</f>
        <v>8.9330761040416604</v>
      </c>
      <c r="BE37" s="24"/>
      <c r="BF37" s="359">
        <v>229.304</v>
      </c>
      <c r="BG37" s="32">
        <f>(BF37/BB37-1)*100</f>
        <v>-17.873413369244439</v>
      </c>
      <c r="BH37" s="41">
        <f>BH$13</f>
        <v>3.0178419879427487</v>
      </c>
      <c r="BI37" s="168"/>
      <c r="BJ37" s="359">
        <v>250.35</v>
      </c>
      <c r="BK37" s="32">
        <f>(BJ37/BF37-1)*100</f>
        <v>9.1782088406656683</v>
      </c>
      <c r="BL37" s="41">
        <f>$BL31</f>
        <v>5.4906799678646534</v>
      </c>
      <c r="BM37" s="168"/>
      <c r="BN37" s="359">
        <v>218.983</v>
      </c>
      <c r="BO37" s="32">
        <f>(BN37/BJ37-1)*100</f>
        <v>-12.529259037347707</v>
      </c>
      <c r="BP37" s="41">
        <f>BP$13</f>
        <v>14.625502858729632</v>
      </c>
      <c r="BQ37" s="168"/>
      <c r="BR37" s="359">
        <v>136.172</v>
      </c>
      <c r="BS37" s="32">
        <f>(BR37/BN37-1)*100</f>
        <v>-37.816177511496328</v>
      </c>
      <c r="BT37" s="41">
        <f>BT$13</f>
        <v>-19.786756882869838</v>
      </c>
      <c r="BU37" s="168"/>
      <c r="BV37" s="359">
        <v>91.561000000000007</v>
      </c>
      <c r="BW37" s="32">
        <f>(BV37/BR37-1)*100</f>
        <v>-32.760773139852532</v>
      </c>
      <c r="BX37" s="41">
        <f>BX$13</f>
        <v>-7.3487212019537012</v>
      </c>
      <c r="BY37" s="168"/>
      <c r="BZ37" s="359">
        <v>140.488</v>
      </c>
      <c r="CA37" s="32">
        <f>(BZ37/BV37-1)*100</f>
        <v>53.436506809667847</v>
      </c>
      <c r="CB37" s="41">
        <f>CB$13</f>
        <v>2.415497699510083</v>
      </c>
      <c r="CC37" s="168"/>
      <c r="CD37" s="359">
        <v>193.53</v>
      </c>
      <c r="CE37" s="32">
        <f>(CD37/BZ37-1)*100</f>
        <v>37.755537839530781</v>
      </c>
      <c r="CF37" s="41">
        <f>+$CF$13</f>
        <v>12.813023119772083</v>
      </c>
      <c r="CG37" s="168"/>
      <c r="CH37" s="359">
        <v>158.584</v>
      </c>
      <c r="CI37" s="32">
        <f>(CH37/CD37-1)*100</f>
        <v>-18.057148762465768</v>
      </c>
      <c r="CJ37" s="41">
        <f>CJ13</f>
        <v>1.7236230634342764</v>
      </c>
      <c r="CK37" s="168"/>
      <c r="CL37" s="359">
        <v>189.87200000000001</v>
      </c>
      <c r="CM37" s="32">
        <f>(CL37/CH37-1)*100</f>
        <v>19.729607022145991</v>
      </c>
      <c r="CN37" s="41">
        <f>CN13</f>
        <v>9.6761246005462773</v>
      </c>
      <c r="CP37" s="359">
        <v>225.095</v>
      </c>
      <c r="CQ37" s="32">
        <f>(CP37/CL37-1)*100</f>
        <v>18.550918513524884</v>
      </c>
      <c r="CR37" s="41">
        <f>CR13</f>
        <v>-0.96952912179558703</v>
      </c>
      <c r="CT37" s="359">
        <v>166.126</v>
      </c>
      <c r="CU37" s="32">
        <f>(CT37/CP37-1)*100</f>
        <v>-26.197383327039692</v>
      </c>
      <c r="CV37" s="41">
        <f>CV13</f>
        <v>6.5602343720944978</v>
      </c>
      <c r="CX37" s="359">
        <v>224.16399999999999</v>
      </c>
      <c r="CY37" s="32">
        <f>(CX37/CT37-1)*100</f>
        <v>34.936132814851376</v>
      </c>
      <c r="CZ37" s="41">
        <f>CZ13</f>
        <v>8.0211173880504241</v>
      </c>
      <c r="DB37" s="359">
        <v>298.37799999999999</v>
      </c>
      <c r="DC37" s="32">
        <f>(DB37/CX37-1)*100</f>
        <v>33.107010938420075</v>
      </c>
      <c r="DD37" s="41">
        <f>DD13</f>
        <v>2.1488774047283776</v>
      </c>
      <c r="DF37" s="359">
        <v>197.512</v>
      </c>
      <c r="DG37" s="32">
        <f>(DF37/DB37-1)*100</f>
        <v>-33.804771129238745</v>
      </c>
      <c r="DH37" s="41">
        <f>DH13</f>
        <v>7.4310783669299996</v>
      </c>
      <c r="DJ37" s="359"/>
      <c r="DK37" s="32"/>
      <c r="DL37" s="41"/>
    </row>
    <row r="38" spans="1:116">
      <c r="A38" s="24"/>
      <c r="B38" s="24"/>
      <c r="C38" s="24"/>
      <c r="D38" s="2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168"/>
      <c r="BG38" s="168"/>
      <c r="BH38" s="168"/>
      <c r="BI38" s="168"/>
      <c r="BJ38" s="168"/>
      <c r="BK38" s="168"/>
      <c r="BL38" s="168"/>
      <c r="BM38" s="168"/>
      <c r="BN38" s="168"/>
      <c r="BO38" s="168"/>
      <c r="BP38" s="168"/>
      <c r="BQ38" s="168"/>
      <c r="BR38" s="168"/>
      <c r="BS38" s="168"/>
      <c r="BT38" s="168"/>
      <c r="BU38" s="168"/>
      <c r="BV38" s="168"/>
      <c r="BW38" s="168"/>
      <c r="BX38" s="168"/>
      <c r="BY38" s="168"/>
      <c r="BZ38" s="168"/>
      <c r="CA38" s="168"/>
      <c r="CB38" s="168"/>
      <c r="CC38" s="168"/>
      <c r="CD38" s="168"/>
      <c r="CE38" s="168"/>
      <c r="CF38" s="168"/>
      <c r="CG38" s="168"/>
      <c r="CH38" s="168"/>
      <c r="CI38" s="168"/>
      <c r="CJ38" s="168"/>
      <c r="CK38" s="168"/>
      <c r="CL38" s="168"/>
      <c r="CM38" s="168"/>
      <c r="CN38" s="168"/>
      <c r="CR38" s="168"/>
    </row>
    <row r="39" spans="1:116">
      <c r="A39" s="136" t="s">
        <v>176</v>
      </c>
      <c r="B39" s="27"/>
      <c r="C39" s="24"/>
      <c r="D39" s="24"/>
      <c r="E39" s="24"/>
      <c r="F39" s="24"/>
      <c r="G39" s="24"/>
      <c r="H39" s="24"/>
      <c r="I39" s="24"/>
      <c r="J39" s="24"/>
      <c r="K39" s="24"/>
      <c r="L39" s="24"/>
      <c r="M39" s="24"/>
      <c r="N39" s="93"/>
      <c r="O39" s="24"/>
      <c r="P39" s="24"/>
      <c r="Q39" s="24"/>
      <c r="R39" s="24"/>
      <c r="S39" s="24"/>
      <c r="T39" s="24"/>
      <c r="U39" s="24"/>
      <c r="V39" s="24"/>
      <c r="W39" s="24"/>
      <c r="X39" s="24"/>
      <c r="Y39" s="24"/>
      <c r="Z39" s="24"/>
      <c r="AA39" s="24"/>
      <c r="AB39" s="24"/>
      <c r="AC39" s="24"/>
      <c r="AD39" s="93"/>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168"/>
      <c r="BG39" s="168"/>
      <c r="BH39" s="168"/>
      <c r="BI39" s="168"/>
      <c r="BJ39" s="168"/>
      <c r="BK39" s="168"/>
      <c r="BL39" s="168"/>
      <c r="BM39" s="168"/>
      <c r="BN39" s="168"/>
      <c r="BO39" s="168"/>
      <c r="BP39" s="168"/>
      <c r="BQ39" s="168"/>
      <c r="BR39" s="168"/>
      <c r="BS39" s="168"/>
      <c r="BT39" s="168"/>
      <c r="BU39" s="168"/>
      <c r="BV39" s="168"/>
      <c r="BW39" s="168"/>
      <c r="BX39" s="168"/>
      <c r="BY39" s="168"/>
      <c r="BZ39" s="168"/>
      <c r="CA39" s="168"/>
      <c r="CB39" s="168"/>
      <c r="CC39" s="168"/>
      <c r="CD39" s="168"/>
      <c r="CE39" s="168"/>
      <c r="CF39" s="168"/>
      <c r="CG39" s="168"/>
      <c r="CH39" s="168"/>
      <c r="CI39" s="168"/>
      <c r="CJ39" s="168"/>
      <c r="CK39" s="168"/>
      <c r="CL39" s="168"/>
      <c r="CM39" s="168"/>
      <c r="CN39" s="168"/>
      <c r="CR39" s="168"/>
    </row>
    <row r="40" spans="1:116">
      <c r="A40" s="24" t="str">
        <f>$A$10</f>
        <v>1Q</v>
      </c>
      <c r="B40" s="24" t="str">
        <f>$B$10</f>
        <v>Apr</v>
      </c>
      <c r="C40" s="24"/>
      <c r="D40" s="42">
        <f>D10+D16+D22-D28-D34</f>
        <v>955.49599999999998</v>
      </c>
      <c r="E40" s="24"/>
      <c r="F40" s="42">
        <f>F10+F16+F22-F28-F34</f>
        <v>930.31399999999996</v>
      </c>
      <c r="G40" s="32">
        <f>(F40/D40-1)*100</f>
        <v>-2.6354898398318838</v>
      </c>
      <c r="H40" s="41">
        <f>H$10</f>
        <v>15.996550307266478</v>
      </c>
      <c r="I40" s="91"/>
      <c r="J40" s="42">
        <f>J10+J16+J22-J28-J34</f>
        <v>1089.7450000000001</v>
      </c>
      <c r="K40" s="32">
        <f>(J40/F40-1)*100</f>
        <v>17.137332126572336</v>
      </c>
      <c r="L40" s="41">
        <f>L$10</f>
        <v>10.209796633973856</v>
      </c>
      <c r="M40" s="91"/>
      <c r="N40" s="42">
        <f>N10+N16+N22-N28-N34</f>
        <v>1259.7179999999998</v>
      </c>
      <c r="O40" s="32">
        <f>(N40/J40-1)*100</f>
        <v>15.597502167938337</v>
      </c>
      <c r="P40" s="41">
        <f>P$10</f>
        <v>7.2714172185430304</v>
      </c>
      <c r="Q40" s="91"/>
      <c r="R40" s="42">
        <f>R10+R16+R22-R28-R34</f>
        <v>1379.9580000000003</v>
      </c>
      <c r="S40" s="32">
        <f>(R40/N40-1)*100</f>
        <v>9.5449934032855399</v>
      </c>
      <c r="T40" s="41">
        <f>T$10</f>
        <v>-2.4321051311076758</v>
      </c>
      <c r="U40" s="91"/>
      <c r="V40" s="42">
        <f>V10+V16+V22-V28-V34</f>
        <v>1748.5329999999999</v>
      </c>
      <c r="W40" s="32">
        <f>(V40/R40-1)*100</f>
        <v>26.709146220392178</v>
      </c>
      <c r="X40" s="41">
        <f>X$10</f>
        <v>7.1884440628821933</v>
      </c>
      <c r="Y40" s="91"/>
      <c r="Z40" s="42">
        <f>Z10+Z16+Z22-Z28-Z34</f>
        <v>543.99200000000008</v>
      </c>
      <c r="AA40" s="32">
        <f>(Z40/V40-1)*100</f>
        <v>-68.88866266750469</v>
      </c>
      <c r="AB40" s="41">
        <f>AB$10</f>
        <v>12.581369078427883</v>
      </c>
      <c r="AC40" s="91"/>
      <c r="AD40" s="42">
        <f>AD10+AD16+AD22-AD28-AD34</f>
        <v>585.89299999999992</v>
      </c>
      <c r="AE40" s="32">
        <f>(AD40/Z40-1)*100</f>
        <v>7.7025029779849374</v>
      </c>
      <c r="AF40" s="41" t="str">
        <f>AF$10</f>
        <v>NM</v>
      </c>
      <c r="AG40" s="91"/>
      <c r="AH40" s="42">
        <f>AH10+AH16+AH22-AH28-AH34</f>
        <v>351.97100000000006</v>
      </c>
      <c r="AI40" s="32">
        <f>(AH40/AD40-1)*100</f>
        <v>-39.925720225365367</v>
      </c>
      <c r="AJ40" s="41">
        <f>AJ$10</f>
        <v>6.3979816809976775</v>
      </c>
      <c r="AK40" s="91"/>
      <c r="AL40" s="42">
        <f>AL10+AL16+AL22-AL28-AL34</f>
        <v>600.55300000000022</v>
      </c>
      <c r="AM40" s="32">
        <f>(AL40/AH40-1)*100</f>
        <v>70.625704958647191</v>
      </c>
      <c r="AN40" s="41" t="str">
        <f>AN$10</f>
        <v>NM</v>
      </c>
      <c r="AO40" s="24"/>
      <c r="AP40" s="42">
        <f>AP10+AP16+AP22-AP28-AP34</f>
        <v>705.86899999999991</v>
      </c>
      <c r="AQ40" s="32">
        <f>(AP40/AL40-1)*100</f>
        <v>17.536503855613027</v>
      </c>
      <c r="AR40" s="41">
        <f>AR$10</f>
        <v>7.7445005192068317</v>
      </c>
      <c r="AS40" s="24"/>
      <c r="AT40" s="42">
        <f>AT10+AT16+AT22-AT28-AT34</f>
        <v>783.42000000000019</v>
      </c>
      <c r="AU40" s="32">
        <f>(AT40/AP40-1)*100</f>
        <v>10.986599496507177</v>
      </c>
      <c r="AV40" s="41">
        <f>AV$10</f>
        <v>-1.6785881211432763</v>
      </c>
      <c r="AW40" s="24"/>
      <c r="AX40" s="42">
        <f>AX10+AX16+AX22-AX28-AX34</f>
        <v>367</v>
      </c>
      <c r="AY40" s="32">
        <f>(AX40/AT40-1)*100</f>
        <v>-53.154119118735807</v>
      </c>
      <c r="AZ40" s="41">
        <f>AZ$10</f>
        <v>8.234698752841707</v>
      </c>
      <c r="BA40" s="24"/>
      <c r="BB40" s="42">
        <f>BB10+BB16+BB22-BB28-BB34</f>
        <v>290.70600000000002</v>
      </c>
      <c r="BC40" s="32">
        <f>(BB40/AX40-1)*100</f>
        <v>-20.78855585831062</v>
      </c>
      <c r="BD40" s="41">
        <f>BD$10</f>
        <v>2.4234074810405515</v>
      </c>
      <c r="BE40" s="24"/>
      <c r="BF40" s="42">
        <f>BF10+BF16+BF22-BF28-BF34</f>
        <v>237.42300000000003</v>
      </c>
      <c r="BG40" s="32">
        <f>(BF40/BB40-1)*100</f>
        <v>-18.328827062392929</v>
      </c>
      <c r="BH40" s="41">
        <f>BH$10</f>
        <v>7.3769864468106849</v>
      </c>
      <c r="BI40" s="168"/>
      <c r="BJ40" s="42">
        <f>BJ10+BJ16+BJ22-BJ28-BJ34</f>
        <v>446.64800000000008</v>
      </c>
      <c r="BK40" s="32">
        <f>(BJ40/BF40-1)*100</f>
        <v>88.123307345960583</v>
      </c>
      <c r="BL40" s="41">
        <f>BL$10</f>
        <v>-0.16535208975013704</v>
      </c>
      <c r="BM40" s="168"/>
      <c r="BN40" s="42">
        <f>BN10+BN16+BN22-BN28-BN34</f>
        <v>488.98799999999983</v>
      </c>
      <c r="BO40" s="32">
        <f>(BN40/BJ40-1)*100</f>
        <v>9.4795006358474154</v>
      </c>
      <c r="BP40" s="41">
        <f>BP$10</f>
        <v>5.1727856959125518</v>
      </c>
      <c r="BQ40" s="168"/>
      <c r="BR40" s="42">
        <f>BR10+BR16+BR22-BR28-BR34</f>
        <v>1164.596</v>
      </c>
      <c r="BS40" s="32">
        <f>(BR40/BN40-1)*100</f>
        <v>138.16453573502832</v>
      </c>
      <c r="BT40" s="41">
        <f>BT$10</f>
        <v>11.253816034059172</v>
      </c>
      <c r="BU40" s="168"/>
      <c r="BV40" s="42">
        <f>BV10+BV16+BV22-BV28-BV34</f>
        <v>745.2639999999999</v>
      </c>
      <c r="BW40" s="32">
        <f>(BV40/BR40-1)*100</f>
        <v>-36.0066495162271</v>
      </c>
      <c r="BX40" s="41">
        <f>BX$10</f>
        <v>-16.693561613662201</v>
      </c>
      <c r="BY40" s="168"/>
      <c r="BZ40" s="42">
        <f>BZ10+BZ16+BZ22-BZ28-BZ34</f>
        <v>664.01199999999972</v>
      </c>
      <c r="CA40" s="32">
        <f>(BZ40/BV40-1)*100</f>
        <v>-10.902445307971432</v>
      </c>
      <c r="CB40" s="41">
        <f>CB$10</f>
        <v>-10.381069679665423</v>
      </c>
      <c r="CC40" s="168"/>
      <c r="CD40" s="42">
        <f>CD10+CD16+CD22-CD28-CD34</f>
        <v>364.4499999999997</v>
      </c>
      <c r="CE40" s="32">
        <f>(CD40/BZ40-1)*100</f>
        <v>-45.113943723908619</v>
      </c>
      <c r="CF40" s="41">
        <f>CF$10</f>
        <v>11.957719432170766</v>
      </c>
      <c r="CG40" s="168"/>
      <c r="CH40" s="42">
        <f>CH10+CH16+CH22-CH28-CH34</f>
        <v>218.0420000000002</v>
      </c>
      <c r="CI40" s="32">
        <f>(CH40/CD40-1)*100</f>
        <v>-40.172314446426014</v>
      </c>
      <c r="CJ40" s="41">
        <f>CJ10</f>
        <v>14.779998923136816</v>
      </c>
      <c r="CK40" s="168"/>
      <c r="CL40" s="42">
        <f>CL10+CL16+CL22-CL28-CL34</f>
        <v>938.21799999999996</v>
      </c>
      <c r="CM40" s="32">
        <f>(CL40/CH40-1)*100</f>
        <v>330.29232900083423</v>
      </c>
      <c r="CN40" s="41">
        <f>CN10</f>
        <v>-2.8521657704924985</v>
      </c>
      <c r="CP40" s="42">
        <f>CP10+CP16+CP22-CP28-CP34</f>
        <v>877.77099999999996</v>
      </c>
      <c r="CQ40" s="32">
        <f>(CP40/CL40-1)*100</f>
        <v>-6.4427457158144463</v>
      </c>
      <c r="CR40" s="41">
        <f>CR10</f>
        <v>5.3009958287367764</v>
      </c>
      <c r="CT40" s="42">
        <f>CT10+CT16+CT22-CT28-CT34</f>
        <v>1005.2640000000004</v>
      </c>
      <c r="CU40" s="32">
        <f>(CT40/CP40-1)*100</f>
        <v>14.524631139556954</v>
      </c>
      <c r="CV40" s="41">
        <f>CV10</f>
        <v>5.4354670020053231</v>
      </c>
      <c r="CX40" s="42">
        <f>CX10+CX16+CX22-CX28-CX34</f>
        <v>918.16799999999978</v>
      </c>
      <c r="CY40" s="32">
        <f>(CX40/CT40-1)*100</f>
        <v>-8.6639927422050853</v>
      </c>
      <c r="CZ40" s="41">
        <f>CZ10</f>
        <v>5.0479878556224156</v>
      </c>
      <c r="DB40" s="42">
        <f>DB10+DB16+DB22-DB28-DB34</f>
        <v>959.08200000000011</v>
      </c>
      <c r="DC40" s="32">
        <f>(DB40/CX40-1)*100</f>
        <v>4.4560472593251355</v>
      </c>
      <c r="DD40" s="41">
        <f>DD10</f>
        <v>4.0556717340668014</v>
      </c>
      <c r="DF40" s="42">
        <f>DF10+DF16+DF22-DF28-DF34</f>
        <v>623.45299999999986</v>
      </c>
      <c r="DG40" s="32">
        <f>(DF40/DB40-1)*100</f>
        <v>-34.994817961342214</v>
      </c>
      <c r="DH40" s="41">
        <f>DH10</f>
        <v>-6.7828824916836066</v>
      </c>
      <c r="DJ40" s="42"/>
      <c r="DK40" s="32"/>
      <c r="DL40" s="41"/>
    </row>
    <row r="41" spans="1:116">
      <c r="A41" s="24" t="str">
        <f>$A$11</f>
        <v>2Q</v>
      </c>
      <c r="B41" s="24" t="str">
        <f>$B$11</f>
        <v>Jul</v>
      </c>
      <c r="C41" s="24"/>
      <c r="D41" s="43">
        <f>D11+D17+D23-D29-D35</f>
        <v>1060.6559999999997</v>
      </c>
      <c r="E41" s="43"/>
      <c r="F41" s="43">
        <f>F11+F17+F23-F29-F35</f>
        <v>1002.1310000000001</v>
      </c>
      <c r="G41" s="32">
        <f>(F41/D41-1)*100</f>
        <v>-5.5178116184700476</v>
      </c>
      <c r="H41" s="41">
        <f>H$11</f>
        <v>19.108804897441622</v>
      </c>
      <c r="I41" s="91"/>
      <c r="J41" s="43">
        <f>J11+J17+J23-J29-J35</f>
        <v>1132.5349999999999</v>
      </c>
      <c r="K41" s="32">
        <f>(J41/F41-1)*100</f>
        <v>13.012670000229477</v>
      </c>
      <c r="L41" s="41">
        <f>L$11</f>
        <v>8.3049189745379781</v>
      </c>
      <c r="M41" s="91"/>
      <c r="N41" s="43">
        <f>N11+N17+N23-N29-N35</f>
        <v>1234.808</v>
      </c>
      <c r="O41" s="32">
        <f>(N41/J41-1)*100</f>
        <v>9.0304493900850815</v>
      </c>
      <c r="P41" s="41">
        <f>P$11</f>
        <v>13.405595433844519</v>
      </c>
      <c r="Q41" s="91"/>
      <c r="R41" s="43">
        <f>R11+R17+R23-R29-R35</f>
        <v>1406.0770000000002</v>
      </c>
      <c r="S41" s="32">
        <f>(R41/N41-1)*100</f>
        <v>13.87009154459642</v>
      </c>
      <c r="T41" s="41">
        <f>T$11</f>
        <v>-6.137337150063205</v>
      </c>
      <c r="U41" s="91"/>
      <c r="V41" s="43">
        <f>V11+V17+V23-V29-V35</f>
        <v>1749.2839999999997</v>
      </c>
      <c r="W41" s="32">
        <f>(V41/R41-1)*100</f>
        <v>24.408833940104223</v>
      </c>
      <c r="X41" s="41">
        <f>X$11</f>
        <v>8.40492446032275</v>
      </c>
      <c r="Y41" s="91"/>
      <c r="Z41" s="43">
        <f>Z11+Z17+Z23-Z29-Z35</f>
        <v>599.88999999999987</v>
      </c>
      <c r="AA41" s="32">
        <f>(Z41/V41-1)*100</f>
        <v>-65.70654050457216</v>
      </c>
      <c r="AB41" s="41">
        <f>AB$11</f>
        <v>10.296379178223747</v>
      </c>
      <c r="AC41" s="91"/>
      <c r="AD41" s="43">
        <f>AD11+AD17+AD23-AD29-AD35</f>
        <v>626.90100000000018</v>
      </c>
      <c r="AE41" s="32">
        <f>(AD41/Z41-1)*100</f>
        <v>4.5026588207838669</v>
      </c>
      <c r="AF41" s="41" t="str">
        <f>AF$11</f>
        <v>NM</v>
      </c>
      <c r="AG41" s="91"/>
      <c r="AH41" s="43">
        <f>AH11+AH17+AH23-AH29-AH35</f>
        <v>429.06700000000012</v>
      </c>
      <c r="AI41" s="32">
        <f>(AH41/AD41-1)*100</f>
        <v>-31.557454845342402</v>
      </c>
      <c r="AJ41" s="41">
        <f>AJ$11</f>
        <v>5.7957809155998019</v>
      </c>
      <c r="AK41" s="91"/>
      <c r="AL41" s="43">
        <f>AL11+AL17+AL23-AL29-AL35</f>
        <v>575.26900000000012</v>
      </c>
      <c r="AM41" s="32">
        <f>(AL41/AH41-1)*100</f>
        <v>34.074398637042691</v>
      </c>
      <c r="AN41" s="41" t="str">
        <f>AN$11</f>
        <v>NM</v>
      </c>
      <c r="AO41" s="24"/>
      <c r="AP41" s="43">
        <f>AP11+AP17+AP23-AP29-AP35</f>
        <v>727.51199999999983</v>
      </c>
      <c r="AQ41" s="32">
        <f>(AP41/AL41-1)*100</f>
        <v>26.464662618705283</v>
      </c>
      <c r="AR41" s="41">
        <f>AR$11</f>
        <v>5.2456120908987991</v>
      </c>
      <c r="AS41" s="24"/>
      <c r="AT41" s="43">
        <f>AT11+AT17+AT23-AT29-AT35</f>
        <v>723.68999999999983</v>
      </c>
      <c r="AU41" s="32">
        <f>(AT41/AP41-1)*100</f>
        <v>-0.52535215913964706</v>
      </c>
      <c r="AV41" s="41">
        <f>AV$11</f>
        <v>-4.0783506184203899</v>
      </c>
      <c r="AW41" s="24"/>
      <c r="AX41" s="43">
        <f>AX11+AX17+AX23-AX29-AX35</f>
        <v>456.5560000000001</v>
      </c>
      <c r="AY41" s="32">
        <f>(AX41/AT41-1)*100</f>
        <v>-36.912766516049665</v>
      </c>
      <c r="AZ41" s="41">
        <f>AZ$11</f>
        <v>8.2114757298583427</v>
      </c>
      <c r="BA41" s="24"/>
      <c r="BB41" s="43">
        <f>BB11+BB17+BB23-BB29-BB35</f>
        <v>839.22300000000018</v>
      </c>
      <c r="BC41" s="32">
        <f>(BB41/AX41-1)*100</f>
        <v>83.816005046478409</v>
      </c>
      <c r="BD41" s="41">
        <f>BD$11</f>
        <v>5.3173577296989905</v>
      </c>
      <c r="BE41" s="24"/>
      <c r="BF41" s="43">
        <f>BF11+BF17+BF23-BF29-BF35</f>
        <v>118.53599999999996</v>
      </c>
      <c r="BG41" s="32">
        <f>(BF41/BB41-1)*100</f>
        <v>-85.875506271872922</v>
      </c>
      <c r="BH41" s="41">
        <f>BH$11</f>
        <v>9.7674104540674591</v>
      </c>
      <c r="BI41" s="168"/>
      <c r="BJ41" s="43">
        <f>BJ11+BJ17+BJ23-BJ29-BJ35</f>
        <v>307.91299999999995</v>
      </c>
      <c r="BK41" s="32">
        <f>(BJ41/BF41-1)*100</f>
        <v>159.76327866639676</v>
      </c>
      <c r="BL41" s="41">
        <f>$BL35</f>
        <v>3.6216682226419827</v>
      </c>
      <c r="BM41" s="168"/>
      <c r="BN41" s="43">
        <f>BN11+BN17+BN23-BN29-BN35</f>
        <v>581.1339999999999</v>
      </c>
      <c r="BO41" s="32">
        <f>(BN41/BJ41-1)*100</f>
        <v>88.733181125837476</v>
      </c>
      <c r="BP41" s="41">
        <f>BP$11</f>
        <v>7.1129655973785066</v>
      </c>
      <c r="BQ41" s="168"/>
      <c r="BR41" s="43">
        <f>BR11+BR17+BR23-BR29-BR35</f>
        <v>569.63900000000012</v>
      </c>
      <c r="BS41" s="32">
        <f>(BR41/BN41-1)*100</f>
        <v>-1.9780291636696146</v>
      </c>
      <c r="BT41" s="41">
        <f>BT$11</f>
        <v>6.9370524383703724</v>
      </c>
      <c r="BU41" s="168"/>
      <c r="BV41" s="43">
        <f>BV11+BV17+BV23-BV29-BV35</f>
        <v>597.70000000000005</v>
      </c>
      <c r="BW41" s="32">
        <f>(BV41/BR41-1)*100</f>
        <v>4.9261023209435928</v>
      </c>
      <c r="BX41" s="41">
        <f>BX$11</f>
        <v>-12.947905111016189</v>
      </c>
      <c r="BY41" s="168"/>
      <c r="BZ41" s="43">
        <f>BZ11+BZ17+BZ23-BZ29-BZ35</f>
        <v>484.32999999999987</v>
      </c>
      <c r="CA41" s="32">
        <f>(BZ41/BV41-1)*100</f>
        <v>-18.967709553287627</v>
      </c>
      <c r="CB41" s="41">
        <f>CB$11</f>
        <v>-9.5303885542880611</v>
      </c>
      <c r="CC41" s="43"/>
      <c r="CD41" s="43">
        <f>CD11+CD17+CD23-CD29-CD35</f>
        <v>325.43600000000026</v>
      </c>
      <c r="CE41" s="32">
        <f>(CD41/BZ41-1)*100</f>
        <v>-32.806970454029205</v>
      </c>
      <c r="CF41" s="41">
        <f>CF$11</f>
        <v>8.5115237030692903</v>
      </c>
      <c r="CG41" s="43"/>
      <c r="CH41" s="43">
        <f>CH11+CH17+CH23-CH29-CH35</f>
        <v>269.97099999999995</v>
      </c>
      <c r="CI41" s="32">
        <f>(CH41/CD41-1)*100</f>
        <v>-17.043289617620751</v>
      </c>
      <c r="CJ41" s="41">
        <f>CJ11</f>
        <v>9.6153417376065207</v>
      </c>
      <c r="CK41" s="43"/>
      <c r="CL41" s="43">
        <f>CL11+CL17+CL23-CL29-CL35</f>
        <v>180.68100000000001</v>
      </c>
      <c r="CM41" s="32">
        <f>(CL41/CH41-1)*100</f>
        <v>-33.073922754666228</v>
      </c>
      <c r="CN41" s="41">
        <f>CN11</f>
        <v>-2.4016174864277318</v>
      </c>
      <c r="CP41" s="43">
        <f>CP11+CP17+CP23-CP29-CP35</f>
        <v>61.569000000000116</v>
      </c>
      <c r="CQ41" s="32">
        <f>(CP41/CL41-1)*100</f>
        <v>-65.923921164925972</v>
      </c>
      <c r="CR41" s="41">
        <f>CR11</f>
        <v>4.8707015130674103</v>
      </c>
      <c r="CT41" s="43">
        <f>CT11+CT17+CT23-CT29-CT35</f>
        <v>185.4589999999998</v>
      </c>
      <c r="CU41" s="32">
        <f>(CT41/CP41-1)*100</f>
        <v>201.22139388328452</v>
      </c>
      <c r="CV41" s="41">
        <f>CV11</f>
        <v>6.3339021038946397</v>
      </c>
      <c r="CX41" s="43">
        <f>CX11+CX17+CX23-CX29-CX35</f>
        <v>98.239999999999711</v>
      </c>
      <c r="CY41" s="32">
        <f>(CX41/CT41-1)*100</f>
        <v>-47.02872332968483</v>
      </c>
      <c r="CZ41" s="41">
        <f>CZ11</f>
        <v>3.3613288324235935</v>
      </c>
      <c r="DB41" s="43">
        <f>DB11+DB17+DB23-DB29-DB35</f>
        <v>-118.54300000000015</v>
      </c>
      <c r="DC41" s="32">
        <f>(DB41/CX41-1)*100</f>
        <v>-220.66673452768782</v>
      </c>
      <c r="DD41" s="41">
        <f>DD11</f>
        <v>4.5025797065495698</v>
      </c>
      <c r="DF41" s="43">
        <f>DF11+DF17+DF23-DF29-DF35</f>
        <v>-155.94100000000006</v>
      </c>
      <c r="DG41" s="32">
        <f>(DF41/DB41-1)*100</f>
        <v>31.548045856777595</v>
      </c>
      <c r="DH41" s="41">
        <f>DH11</f>
        <v>-4.6621430825706467</v>
      </c>
      <c r="DJ41" s="43"/>
      <c r="DK41" s="32"/>
      <c r="DL41" s="41"/>
    </row>
    <row r="42" spans="1:116">
      <c r="A42" s="24" t="str">
        <f>$A$12</f>
        <v>3Q</v>
      </c>
      <c r="B42" s="24" t="str">
        <f>$B$12</f>
        <v>Oct</v>
      </c>
      <c r="C42" s="24"/>
      <c r="D42" s="43">
        <f>D12+D18+D24-D30-D36</f>
        <v>1219.479</v>
      </c>
      <c r="E42" s="43"/>
      <c r="F42" s="43">
        <f>F12+F18+F24-F30-F36</f>
        <v>1106.3490000000002</v>
      </c>
      <c r="G42" s="32">
        <f>(F42/D42-1)*100</f>
        <v>-9.2769125175587224</v>
      </c>
      <c r="H42" s="41">
        <f>H$12</f>
        <v>14.86657910574063</v>
      </c>
      <c r="I42" s="91"/>
      <c r="J42" s="43">
        <f>J12+J18+J24-J30-J36</f>
        <v>1272.0239999999999</v>
      </c>
      <c r="K42" s="32">
        <f>(J42/F42-1)*100</f>
        <v>14.974931057017237</v>
      </c>
      <c r="L42" s="41">
        <f>L$12</f>
        <v>12.411504856942734</v>
      </c>
      <c r="M42" s="91"/>
      <c r="N42" s="43">
        <f>N12+N18+N24-N30-N36</f>
        <v>1369.2049999999997</v>
      </c>
      <c r="O42" s="32">
        <f>(N42/J42-1)*100</f>
        <v>7.6398715747501456</v>
      </c>
      <c r="P42" s="41">
        <f>P$12</f>
        <v>0.33183973388277721</v>
      </c>
      <c r="Q42" s="91"/>
      <c r="R42" s="43">
        <f>R12+R18+R24-R30-R36</f>
        <v>1675.7929999999999</v>
      </c>
      <c r="S42" s="32">
        <f>(R42/N42-1)*100</f>
        <v>22.391679843412792</v>
      </c>
      <c r="T42" s="41">
        <f>T$12</f>
        <v>6.0933389498270207</v>
      </c>
      <c r="U42" s="91"/>
      <c r="V42" s="43">
        <f>V12+V18+V24-V30-V36</f>
        <v>1996.0319999999997</v>
      </c>
      <c r="W42" s="32">
        <f>(V42/R42-1)*100</f>
        <v>19.109699109615551</v>
      </c>
      <c r="X42" s="41">
        <f>X$12</f>
        <v>5.1376068694991117</v>
      </c>
      <c r="Y42" s="91"/>
      <c r="Z42" s="43">
        <f>Z12+Z18+Z24-Z30-Z36</f>
        <v>718.05400000000009</v>
      </c>
      <c r="AA42" s="32">
        <f>(Z42/V42-1)*100</f>
        <v>-64.025927440041031</v>
      </c>
      <c r="AB42" s="41">
        <f>AB$12</f>
        <v>10.630041119173516</v>
      </c>
      <c r="AC42" s="91"/>
      <c r="AD42" s="43">
        <f>AD12+AD18+AD24-AD30-AD36</f>
        <v>824.40899999999999</v>
      </c>
      <c r="AE42" s="32">
        <f>(AD42/Z42-1)*100</f>
        <v>14.811560133360423</v>
      </c>
      <c r="AF42" s="41" t="str">
        <f>AF$12</f>
        <v>NM</v>
      </c>
      <c r="AG42" s="91"/>
      <c r="AH42" s="43">
        <f>AH12+AH18+AH24-AH30-AH36</f>
        <v>690.28199999999993</v>
      </c>
      <c r="AI42" s="32">
        <f>(AH42/AD42-1)*100</f>
        <v>-16.26947304068733</v>
      </c>
      <c r="AJ42" s="41">
        <f>AJ$12</f>
        <v>3.6802711635345986</v>
      </c>
      <c r="AK42" s="91"/>
      <c r="AL42" s="43">
        <f>AL12+AL18+AL24-AL30-AL36</f>
        <v>836.77399999999989</v>
      </c>
      <c r="AM42" s="32">
        <f>(AL42/AH42-1)*100</f>
        <v>21.222051277593799</v>
      </c>
      <c r="AN42" s="41" t="str">
        <f>AN$12</f>
        <v>NM</v>
      </c>
      <c r="AO42" s="24"/>
      <c r="AP42" s="43">
        <f>AP12+AP18+AP24-AP30-AP36</f>
        <v>1072.8589999999999</v>
      </c>
      <c r="AQ42" s="32">
        <f>(AP42/AL42-1)*100</f>
        <v>28.213711229077386</v>
      </c>
      <c r="AR42" s="41">
        <f>AR$12</f>
        <v>8.440981883698484</v>
      </c>
      <c r="AS42" s="24"/>
      <c r="AT42" s="43">
        <f>AT12+AT18+AT24-AT30-AT36</f>
        <v>824.35400000000004</v>
      </c>
      <c r="AU42" s="32">
        <f>(AT42/AP42-1)*100</f>
        <v>-23.162876016326461</v>
      </c>
      <c r="AV42" s="41">
        <f>AV$12</f>
        <v>-3.2996766816864698</v>
      </c>
      <c r="AW42" s="24"/>
      <c r="AX42" s="43">
        <f>AX12+AX18+AX24-AX30-AX36</f>
        <v>732.31799999999987</v>
      </c>
      <c r="AY42" s="32">
        <f>(AX42/AT42-1)*100</f>
        <v>-11.164621024462807</v>
      </c>
      <c r="AZ42" s="41">
        <f>AZ$12</f>
        <v>6.5224924442623067</v>
      </c>
      <c r="BA42" s="24"/>
      <c r="BB42" s="43">
        <f>BB12+BB18+BB24-BB30-BB36</f>
        <v>809.25599999999974</v>
      </c>
      <c r="BC42" s="32">
        <f>(BB42/AX42-1)*100</f>
        <v>10.506091615937319</v>
      </c>
      <c r="BD42" s="41">
        <f>BD$12</f>
        <v>4.481023328703615</v>
      </c>
      <c r="BE42" s="24"/>
      <c r="BF42" s="43">
        <f>BF12+BF18+BF24-BF30-BF36</f>
        <v>626.9340000000002</v>
      </c>
      <c r="BG42" s="32">
        <f>(BF42/BB42-1)*100</f>
        <v>-22.529582727838861</v>
      </c>
      <c r="BH42" s="41">
        <f>BH$12</f>
        <v>2.3871407917607446</v>
      </c>
      <c r="BI42" s="168"/>
      <c r="BJ42" s="43">
        <f>BJ12+BJ18+BJ24-BJ30-BJ36</f>
        <v>768.37999999999977</v>
      </c>
      <c r="BK42" s="32">
        <f>(BJ42/BF42-1)*100</f>
        <v>22.561545553439366</v>
      </c>
      <c r="BL42" s="41">
        <f>$BL36</f>
        <v>3.6808745250160868E-2</v>
      </c>
      <c r="BM42" s="168"/>
      <c r="BN42" s="43">
        <f>BN12+BN18+BN24-BN30-BN36</f>
        <v>1186.0729999999999</v>
      </c>
      <c r="BO42" s="32">
        <f>(BN42/BJ42-1)*100</f>
        <v>54.3602123949088</v>
      </c>
      <c r="BP42" s="41">
        <f>BP$12</f>
        <v>11.810572382135099</v>
      </c>
      <c r="BQ42" s="168"/>
      <c r="BR42" s="43">
        <f>BR12+BR18+BR24-BR30-BR36</f>
        <v>1123.192</v>
      </c>
      <c r="BS42" s="32">
        <f>(BR42/BN42-1)*100</f>
        <v>-5.3016129698593488</v>
      </c>
      <c r="BT42" s="41">
        <f>BT$12</f>
        <v>-9.0711192772987115</v>
      </c>
      <c r="BU42" s="168"/>
      <c r="BV42" s="43">
        <f>BV12+BV18+BV24-BV30-BV36</f>
        <v>1011.1729999999998</v>
      </c>
      <c r="BW42" s="32">
        <f>(BV42/BR42-1)*100</f>
        <v>-9.9732726016567241</v>
      </c>
      <c r="BX42" s="41">
        <f>BX$12</f>
        <v>-4.2077807544469774</v>
      </c>
      <c r="BY42" s="168"/>
      <c r="BZ42" s="43">
        <f>BZ12+BZ18+BZ24-BZ30-BZ36</f>
        <v>709.02199999999982</v>
      </c>
      <c r="CA42" s="32">
        <f>(BZ42/BV42-1)*100</f>
        <v>-29.881236939673038</v>
      </c>
      <c r="CB42" s="41">
        <f>CB$12</f>
        <v>-3.522720857417061</v>
      </c>
      <c r="CC42" s="168"/>
      <c r="CD42" s="43">
        <f>CD12+CD18+CD24-CD30-CD36</f>
        <v>621.63000000000022</v>
      </c>
      <c r="CE42" s="32">
        <f>(CD42/BZ42-1)*100</f>
        <v>-12.325710626750597</v>
      </c>
      <c r="CF42" s="41">
        <f>+$CF$12</f>
        <v>11.595356748396025</v>
      </c>
      <c r="CG42" s="168"/>
      <c r="CH42" s="43">
        <f>CH12+CH18+CH24-CH30-CH36</f>
        <v>615.1170000000003</v>
      </c>
      <c r="CI42" s="32">
        <f>(CH42/CD42-1)*100</f>
        <v>-1.0477293566912627</v>
      </c>
      <c r="CJ42" s="41">
        <f>CJ12</f>
        <v>9.5820652908279449</v>
      </c>
      <c r="CK42" s="168"/>
      <c r="CL42" s="43">
        <f>CL12+CL18+CL24-CL30-CL36</f>
        <v>483.80500000000012</v>
      </c>
      <c r="CM42" s="32">
        <f>(CL42/CH42-1)*100</f>
        <v>-21.34748348688138</v>
      </c>
      <c r="CN42" s="41">
        <f>CN12</f>
        <v>-5.6699119360271055</v>
      </c>
      <c r="CP42" s="43">
        <f>CP12+CP18+CP24-CP30-CP36</f>
        <v>636.75200000000029</v>
      </c>
      <c r="CQ42" s="32">
        <f>(CP42/CL42-1)*100</f>
        <v>31.613356620952683</v>
      </c>
      <c r="CR42" s="41">
        <f>CR12</f>
        <v>5.8969197473988988</v>
      </c>
      <c r="CT42" s="43">
        <f>CT12+CT18+CT24-CT30-CT36</f>
        <v>518.08600000000024</v>
      </c>
      <c r="CU42" s="32">
        <f>(CT42/CP42-1)*100</f>
        <v>-18.63614091514436</v>
      </c>
      <c r="CV42" s="41">
        <f>CV12</f>
        <v>6.8059916530291087</v>
      </c>
      <c r="CX42" s="43">
        <f>CX12+CX18+CX24-CX30-CX36</f>
        <v>493.79699999999968</v>
      </c>
      <c r="CY42" s="32">
        <f>(CX42/CT42-1)*100</f>
        <v>-4.6882177862363701</v>
      </c>
      <c r="CZ42" s="41">
        <f>CZ12</f>
        <v>7.0174409653746439</v>
      </c>
      <c r="DB42" s="43">
        <f>DB12+DB18+DB24-DB30-DB36</f>
        <v>247.91599999999983</v>
      </c>
      <c r="DC42" s="32">
        <f>(DB42/CX42-1)*100</f>
        <v>-49.793943665109353</v>
      </c>
      <c r="DD42" s="41">
        <f>DD12</f>
        <v>4.0056818754218515</v>
      </c>
      <c r="DF42" s="43">
        <f>DF12+DF18+DF24-DF30-DF36</f>
        <v>255.4679999999999</v>
      </c>
      <c r="DG42" s="32">
        <f>(DF42/DB42-1)*100</f>
        <v>3.0461930653931546</v>
      </c>
      <c r="DH42" s="41">
        <f>DH12</f>
        <v>1.4260092778747957</v>
      </c>
      <c r="DJ42" s="43"/>
      <c r="DK42" s="32"/>
      <c r="DL42" s="41"/>
    </row>
    <row r="43" spans="1:116">
      <c r="A43" s="24" t="str">
        <f>$A$13</f>
        <v>4Q</v>
      </c>
      <c r="B43" s="24" t="str">
        <f>$B$13</f>
        <v>Jan</v>
      </c>
      <c r="C43" s="24"/>
      <c r="D43" s="43">
        <f>D13+D19+D25-D31-D37</f>
        <v>870.82399999999996</v>
      </c>
      <c r="E43" s="43"/>
      <c r="F43" s="43">
        <f>F13+F19+F25-F31-F37</f>
        <v>1050.47</v>
      </c>
      <c r="G43" s="32">
        <f>(F43/D43-1)*100</f>
        <v>20.629426841703967</v>
      </c>
      <c r="H43" s="41">
        <f>H$13</f>
        <v>17.917553903776362</v>
      </c>
      <c r="I43" s="91"/>
      <c r="J43" s="43">
        <f>J13+J19+J25-J31-J37</f>
        <v>1022.1169999999996</v>
      </c>
      <c r="K43" s="32">
        <f>(J43/F43-1)*100</f>
        <v>-2.6990775557607982</v>
      </c>
      <c r="L43" s="41">
        <f>L$13</f>
        <v>18.083359150329859</v>
      </c>
      <c r="M43" s="91"/>
      <c r="N43" s="43">
        <f>N13+N19+N25-N31-N37</f>
        <v>1208.3229999999999</v>
      </c>
      <c r="O43" s="32">
        <f>(N43/J43-1)*100</f>
        <v>18.217679580713387</v>
      </c>
      <c r="P43" s="41">
        <f>P$13</f>
        <v>-0.29460970906417527</v>
      </c>
      <c r="Q43" s="91"/>
      <c r="R43" s="43">
        <f>R13+R19+R25-R31-R37</f>
        <v>1532.5309999999999</v>
      </c>
      <c r="S43" s="32">
        <f>(R43/N43-1)*100</f>
        <v>26.83123634988327</v>
      </c>
      <c r="T43" s="41">
        <f>T$13</f>
        <v>4.8657781192619876</v>
      </c>
      <c r="U43" s="91"/>
      <c r="V43" s="43">
        <f>V13+V19+V25-V31-V37</f>
        <v>437.72599999999994</v>
      </c>
      <c r="W43" s="32">
        <f>(V43/R43-1)*100</f>
        <v>-71.437706643454518</v>
      </c>
      <c r="X43" s="41">
        <f>X$13</f>
        <v>9.1692021889264517</v>
      </c>
      <c r="Y43" s="91"/>
      <c r="Z43" s="43">
        <f>Z13+Z19+Z25-Z31-Z37</f>
        <v>325.40800000000013</v>
      </c>
      <c r="AA43" s="32">
        <f>(Z43/V43-1)*100</f>
        <v>-25.659430785468494</v>
      </c>
      <c r="AB43" s="41">
        <f>AB$13</f>
        <v>7.0324912092055714</v>
      </c>
      <c r="AC43" s="91"/>
      <c r="AD43" s="43">
        <f>AD13+AD19+AD25-AD31-AD37</f>
        <v>191.34399999999985</v>
      </c>
      <c r="AE43" s="32">
        <f>(AD43/Z43-1)*100</f>
        <v>-41.198741272494907</v>
      </c>
      <c r="AF43" s="41" t="str">
        <f>AF$13</f>
        <v>NM</v>
      </c>
      <c r="AG43" s="91"/>
      <c r="AH43" s="43">
        <f>AH13+AH19+AH25-AH31-AH37</f>
        <v>367.86299999999994</v>
      </c>
      <c r="AI43" s="32">
        <f>(AH43/AD43-1)*100</f>
        <v>92.252174094824085</v>
      </c>
      <c r="AJ43" s="41">
        <f>AJ$13</f>
        <v>6.2553869663696915</v>
      </c>
      <c r="AK43" s="91"/>
      <c r="AL43" s="43">
        <f>AL13+AL19+AL25-AL31-AL37</f>
        <v>440.803</v>
      </c>
      <c r="AM43" s="32">
        <f>(AL43/AH43-1)*100</f>
        <v>19.828033806063683</v>
      </c>
      <c r="AN43" s="41" t="str">
        <f>AN$13</f>
        <v>NM</v>
      </c>
      <c r="AO43" s="24"/>
      <c r="AP43" s="43">
        <f>AP13+AP19+AP25-AP31-AP37</f>
        <v>504.06600000000014</v>
      </c>
      <c r="AQ43" s="32">
        <f>(AP43/AL43-1)*100</f>
        <v>14.351762578748373</v>
      </c>
      <c r="AR43" s="41">
        <f>AR$13</f>
        <v>6.7029582508245866</v>
      </c>
      <c r="AS43" s="24"/>
      <c r="AT43" s="43">
        <f>AT13+AT19+AT25-AT31-AT37</f>
        <v>138</v>
      </c>
      <c r="AU43" s="32">
        <f>(AT43/AP43-1)*100</f>
        <v>-72.622632750473159</v>
      </c>
      <c r="AV43" s="41">
        <f>AV$13</f>
        <v>-2.1441834637355939</v>
      </c>
      <c r="AW43" s="24"/>
      <c r="AX43" s="43">
        <f>AX13+AX19+AX25-AX31-AX37</f>
        <v>85</v>
      </c>
      <c r="AY43" s="32">
        <f>(AX43/AT43-1)*100</f>
        <v>-38.405797101449281</v>
      </c>
      <c r="AZ43" s="41">
        <f>AZ$13</f>
        <v>4.474232505384923</v>
      </c>
      <c r="BA43" s="24"/>
      <c r="BB43" s="43">
        <f>BB13+BB19+BB25-BB31-BB37</f>
        <v>-87.446999999999832</v>
      </c>
      <c r="BC43" s="32">
        <f>(BB43/AX43-1)*100</f>
        <v>-202.87882352941159</v>
      </c>
      <c r="BD43" s="41">
        <f>BD$13</f>
        <v>8.9330761040416604</v>
      </c>
      <c r="BE43" s="24"/>
      <c r="BF43" s="43">
        <f>BF13+BF19+BF25-BF31-BF37</f>
        <v>73.010000000000076</v>
      </c>
      <c r="BG43" s="32">
        <f>(BF43/BB43-1)*100</f>
        <v>-183.49057143183896</v>
      </c>
      <c r="BH43" s="41">
        <f>BH$13</f>
        <v>3.0178419879427487</v>
      </c>
      <c r="BI43" s="168"/>
      <c r="BJ43" s="43">
        <f>BJ13+BJ19+BJ25-BJ31-BJ37</f>
        <v>8.5900000000000603</v>
      </c>
      <c r="BK43" s="32">
        <f>(BJ43/BF43-1)*100</f>
        <v>-88.234488426242905</v>
      </c>
      <c r="BL43" s="41">
        <f>$BL37</f>
        <v>5.4906799678646534</v>
      </c>
      <c r="BM43" s="168"/>
      <c r="BN43" s="43">
        <f>BN13+BN19+BN25-BN31-BN37</f>
        <v>563.06400000000031</v>
      </c>
      <c r="BO43" s="32">
        <f>(BN43/BJ43-1)*100</f>
        <v>6454.8777648427986</v>
      </c>
      <c r="BP43" s="41">
        <f>BP$13</f>
        <v>14.625502858729632</v>
      </c>
      <c r="BQ43" s="168"/>
      <c r="BR43" s="43">
        <f>BR13+BR19+BR25-BR31-BR37</f>
        <v>526.66399999999999</v>
      </c>
      <c r="BS43" s="32">
        <f>(BR43/BN43-1)*100</f>
        <v>-6.46462924285699</v>
      </c>
      <c r="BT43" s="41">
        <f>BT$13</f>
        <v>-19.786756882869838</v>
      </c>
      <c r="BU43" s="168"/>
      <c r="BV43" s="43">
        <f>BV13+BV19+BV25-BV31-BV37</f>
        <v>439.5060000000002</v>
      </c>
      <c r="BW43" s="32">
        <f>(BV43/BR43-1)*100</f>
        <v>-16.549071134537353</v>
      </c>
      <c r="BX43" s="41">
        <f>BX$13</f>
        <v>-7.3487212019537012</v>
      </c>
      <c r="BY43" s="168"/>
      <c r="BZ43" s="43">
        <f>BZ13+BZ19+BZ25-BZ31-BZ37</f>
        <v>124.51900000000029</v>
      </c>
      <c r="CA43" s="32">
        <f>(BZ43/BV43-1)*100</f>
        <v>-71.668418633647718</v>
      </c>
      <c r="CB43" s="41">
        <f>CB$13</f>
        <v>2.415497699510083</v>
      </c>
      <c r="CC43" s="168"/>
      <c r="CD43" s="43">
        <f>CD13+CD19+CD25-CD31-CD37</f>
        <v>-42.477999999999867</v>
      </c>
      <c r="CE43" s="32">
        <f>(CD43/BZ43-1)*100</f>
        <v>-134.11366939985044</v>
      </c>
      <c r="CF43" s="41">
        <f>+$CF$13</f>
        <v>12.813023119772083</v>
      </c>
      <c r="CG43" s="168"/>
      <c r="CH43" s="43">
        <f>CH13+CH19+CH25-CH31-CH37</f>
        <v>-143.7240000000001</v>
      </c>
      <c r="CI43" s="32">
        <f>(CH43/CD43-1)*100</f>
        <v>238.34926314798378</v>
      </c>
      <c r="CJ43" s="41">
        <f>CJ13</f>
        <v>1.7236230634342764</v>
      </c>
      <c r="CK43" s="168"/>
      <c r="CL43" s="43">
        <f>CL13+CL19+CL25-CL31-CL37</f>
        <v>-135.2079999999998</v>
      </c>
      <c r="CM43" s="32">
        <f>(CL43/CH43-1)*100</f>
        <v>-5.9252456096409052</v>
      </c>
      <c r="CN43" s="41">
        <f>CN13</f>
        <v>9.6761246005462773</v>
      </c>
      <c r="CP43" s="43">
        <f>CP13+CP19+CP25-CP31-CP37</f>
        <v>-8.9719999999999516</v>
      </c>
      <c r="CQ43" s="32">
        <f>(CP43/CL43-1)*100</f>
        <v>-93.364297970534309</v>
      </c>
      <c r="CR43" s="41">
        <f>CR13</f>
        <v>-0.96952912179558703</v>
      </c>
      <c r="CT43" s="43">
        <f>CT13+CT19+CT25-CT31-CT37</f>
        <v>-161.84699999999955</v>
      </c>
      <c r="CU43" s="32">
        <f>(CT43/CP43-1)*100</f>
        <v>1703.9121711992916</v>
      </c>
      <c r="CV43" s="41">
        <f>CV13</f>
        <v>6.5602343720944978</v>
      </c>
      <c r="CX43" s="43">
        <f>CX13+CX19+CX25-CX31-CX37</f>
        <v>-267.10699999999997</v>
      </c>
      <c r="CY43" s="32">
        <f>(CX43/CT43-1)*100</f>
        <v>65.03673222240802</v>
      </c>
      <c r="CZ43" s="41">
        <f>CZ13</f>
        <v>8.0211173880504241</v>
      </c>
      <c r="DB43" s="43">
        <f>DB13+DB19+DB25-DB31-DB37</f>
        <v>-447.90699999999998</v>
      </c>
      <c r="DC43" s="32">
        <f>(DB43/CX43-1)*100</f>
        <v>67.688229810525385</v>
      </c>
      <c r="DD43" s="41">
        <f>DD13</f>
        <v>2.1488774047283776</v>
      </c>
      <c r="DF43" s="43">
        <f>DF13+DF19+DF25-DF31-DF37</f>
        <v>-165.99200000000002</v>
      </c>
      <c r="DG43" s="32">
        <f>(DF43/DB43-1)*100</f>
        <v>-62.940521134967739</v>
      </c>
      <c r="DH43" s="41">
        <f>DH13</f>
        <v>7.4310783669299996</v>
      </c>
      <c r="DJ43" s="43"/>
      <c r="DK43" s="32"/>
      <c r="DL43" s="41"/>
    </row>
    <row r="44" spans="1:116">
      <c r="A44" s="24"/>
      <c r="B44" s="24"/>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168"/>
      <c r="BG44" s="168"/>
      <c r="BH44" s="168"/>
      <c r="BI44" s="168"/>
      <c r="BJ44" s="168"/>
      <c r="BK44" s="168"/>
      <c r="BL44" s="168"/>
      <c r="BM44" s="168"/>
      <c r="BN44" s="168"/>
      <c r="BO44" s="168"/>
      <c r="BP44" s="168"/>
      <c r="BQ44" s="168"/>
      <c r="BR44" s="168"/>
      <c r="BS44" s="168"/>
      <c r="BT44" s="168"/>
      <c r="BU44" s="168"/>
      <c r="BV44" s="168"/>
      <c r="BW44" s="168"/>
      <c r="BX44" s="168"/>
      <c r="BY44" s="168"/>
      <c r="BZ44" s="168"/>
      <c r="CA44" s="168"/>
      <c r="CB44" s="168"/>
      <c r="CC44" s="168"/>
      <c r="CD44" s="168"/>
      <c r="CE44" s="168"/>
      <c r="CF44" s="168"/>
      <c r="CG44" s="168"/>
      <c r="CH44" s="168"/>
      <c r="CI44" s="168"/>
      <c r="CJ44" s="168"/>
      <c r="CK44" s="168"/>
      <c r="CL44" s="168"/>
      <c r="CM44" s="168"/>
      <c r="CN44" s="168"/>
      <c r="CU44" s="32"/>
      <c r="CY44" s="32"/>
    </row>
    <row r="45" spans="1:116">
      <c r="A45" s="136" t="s">
        <v>800</v>
      </c>
      <c r="B45" s="27"/>
      <c r="C45" s="24"/>
      <c r="D45" s="24"/>
      <c r="E45" s="24"/>
      <c r="F45" s="24"/>
      <c r="G45" s="24"/>
      <c r="H45" s="24"/>
      <c r="I45" s="24"/>
      <c r="J45" s="24"/>
      <c r="K45" s="24"/>
      <c r="L45" s="24"/>
      <c r="M45" s="24"/>
      <c r="N45" s="93"/>
      <c r="O45" s="24"/>
      <c r="P45" s="24"/>
      <c r="Q45" s="24"/>
      <c r="R45" s="24"/>
      <c r="S45" s="24"/>
      <c r="T45" s="24"/>
      <c r="U45" s="24"/>
      <c r="V45" s="24"/>
      <c r="W45" s="24"/>
      <c r="X45" s="24"/>
      <c r="Y45" s="24"/>
      <c r="Z45" s="24"/>
      <c r="AA45" s="24"/>
      <c r="AB45" s="24"/>
      <c r="AC45" s="24"/>
      <c r="AD45" s="93"/>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168"/>
      <c r="BG45" s="168"/>
      <c r="BH45" s="168"/>
      <c r="BI45" s="168"/>
      <c r="BJ45" s="168"/>
      <c r="BK45" s="168"/>
      <c r="BL45" s="168"/>
      <c r="BM45" s="168"/>
      <c r="BN45" s="168"/>
      <c r="BO45" s="168"/>
      <c r="BP45" s="168"/>
      <c r="BQ45" s="168"/>
      <c r="BR45" s="168"/>
      <c r="BS45" s="168"/>
      <c r="BT45" s="168"/>
      <c r="BU45" s="168"/>
      <c r="BV45" s="168"/>
      <c r="BW45" s="168"/>
      <c r="BX45" s="168"/>
      <c r="BY45" s="168"/>
      <c r="BZ45" s="168"/>
      <c r="CA45" s="168"/>
      <c r="CB45" s="168"/>
      <c r="CC45" s="168"/>
      <c r="CD45" s="168"/>
      <c r="CE45" s="168"/>
      <c r="CF45" s="168"/>
      <c r="CG45" s="168"/>
      <c r="CH45" s="168"/>
      <c r="CI45" s="168"/>
      <c r="CJ45" s="168"/>
      <c r="CK45" s="168"/>
      <c r="CL45" s="168"/>
      <c r="CM45" s="168"/>
      <c r="CN45" s="168"/>
    </row>
    <row r="46" spans="1:116">
      <c r="A46" s="24" t="str">
        <f>$A$10</f>
        <v>1Q</v>
      </c>
      <c r="B46" s="24" t="str">
        <f>$B$10</f>
        <v>Apr</v>
      </c>
      <c r="C46" s="24"/>
      <c r="D46" s="42"/>
      <c r="E46" s="24"/>
      <c r="F46" s="42">
        <f>+F40-D40</f>
        <v>-25.182000000000016</v>
      </c>
      <c r="G46" s="32"/>
      <c r="H46" s="41"/>
      <c r="I46" s="91"/>
      <c r="J46" s="42">
        <f>J40-F40</f>
        <v>159.43100000000015</v>
      </c>
      <c r="K46" s="32"/>
      <c r="L46" s="41"/>
      <c r="M46" s="91"/>
      <c r="N46" s="42">
        <f>N40-J40</f>
        <v>169.97299999999973</v>
      </c>
      <c r="O46" s="32"/>
      <c r="P46" s="41"/>
      <c r="Q46" s="91"/>
      <c r="R46" s="42">
        <f>R40-N40</f>
        <v>120.24000000000046</v>
      </c>
      <c r="S46" s="32"/>
      <c r="T46" s="41"/>
      <c r="U46" s="91"/>
      <c r="V46" s="42">
        <f>V40-D40</f>
        <v>793.03699999999992</v>
      </c>
      <c r="W46" s="32"/>
      <c r="X46" s="41"/>
      <c r="Y46" s="91"/>
      <c r="Z46" s="42">
        <f>Z40-V40</f>
        <v>-1204.5409999999997</v>
      </c>
      <c r="AA46" s="32"/>
      <c r="AB46" s="41"/>
      <c r="AC46" s="91"/>
      <c r="AD46" s="42">
        <f>AD40-Z40</f>
        <v>41.90099999999984</v>
      </c>
      <c r="AE46" s="32"/>
      <c r="AF46" s="41"/>
      <c r="AG46" s="91"/>
      <c r="AH46" s="42">
        <f>AH40-AD40</f>
        <v>-233.92199999999985</v>
      </c>
      <c r="AI46" s="32"/>
      <c r="AJ46" s="41"/>
      <c r="AK46" s="91"/>
      <c r="AL46" s="42">
        <f>AL40-AH40</f>
        <v>248.58200000000016</v>
      </c>
      <c r="AM46" s="32"/>
      <c r="AN46" s="41"/>
      <c r="AO46" s="24"/>
      <c r="AP46" s="42">
        <f>AP40-AL40</f>
        <v>105.31599999999969</v>
      </c>
      <c r="AQ46" s="32"/>
      <c r="AR46" s="41"/>
      <c r="AS46" s="24"/>
      <c r="AT46" s="42">
        <f>AT40-AP40</f>
        <v>77.551000000000272</v>
      </c>
      <c r="AU46" s="32"/>
      <c r="AV46" s="41"/>
      <c r="AW46" s="24"/>
      <c r="AX46" s="42">
        <f>AX40-AT40</f>
        <v>-416.42000000000019</v>
      </c>
      <c r="AY46" s="32"/>
      <c r="AZ46" s="41"/>
      <c r="BA46" s="24"/>
      <c r="BB46" s="42">
        <f>BB40-AX40</f>
        <v>-76.293999999999983</v>
      </c>
      <c r="BC46" s="32"/>
      <c r="BD46" s="41"/>
      <c r="BE46" s="24"/>
      <c r="BF46" s="42">
        <f>BF40-BB40</f>
        <v>-53.282999999999987</v>
      </c>
      <c r="BG46" s="248"/>
      <c r="BH46" s="527"/>
      <c r="BI46" s="168"/>
      <c r="BJ46" s="42">
        <f>BJ40-BF40</f>
        <v>209.22500000000005</v>
      </c>
      <c r="BK46" s="248"/>
      <c r="BL46" s="527"/>
      <c r="BM46" s="168"/>
      <c r="BN46" s="42">
        <f>BN40-BJ40</f>
        <v>42.339999999999748</v>
      </c>
      <c r="BO46" s="248"/>
      <c r="BP46" s="527"/>
      <c r="BQ46" s="168"/>
      <c r="BR46" s="42">
        <f>BR40-BN40</f>
        <v>675.60800000000017</v>
      </c>
      <c r="BS46" s="248"/>
      <c r="BT46" s="527"/>
      <c r="BU46" s="168"/>
      <c r="BV46" s="42">
        <f>BV40-BR40</f>
        <v>-419.33200000000011</v>
      </c>
      <c r="BW46" s="248"/>
      <c r="BX46" s="527"/>
      <c r="BY46" s="168"/>
      <c r="BZ46" s="42">
        <f>BZ40-BV40</f>
        <v>-81.25200000000018</v>
      </c>
      <c r="CA46" s="248"/>
      <c r="CB46" s="527"/>
      <c r="CC46" s="42"/>
      <c r="CD46" s="42">
        <f>CD40-BZ40</f>
        <v>-299.56200000000001</v>
      </c>
      <c r="CE46" s="248"/>
      <c r="CF46" s="527"/>
      <c r="CG46" s="42"/>
      <c r="CH46" s="42">
        <f>CH40-CD40</f>
        <v>-146.4079999999995</v>
      </c>
      <c r="CI46" s="248"/>
      <c r="CJ46" s="527"/>
      <c r="CK46" s="42"/>
      <c r="CL46" s="42">
        <f>CL40-CH40</f>
        <v>720.1759999999997</v>
      </c>
      <c r="CM46" s="248"/>
      <c r="CN46" s="527"/>
      <c r="CP46" s="359">
        <f>CP40-CL40</f>
        <v>-60.447000000000003</v>
      </c>
      <c r="CT46" s="956">
        <f>CT40-CP40</f>
        <v>127.49300000000039</v>
      </c>
      <c r="CX46" s="956">
        <f>CX40-CT40</f>
        <v>-87.096000000000572</v>
      </c>
      <c r="DB46" s="956">
        <f>DB40-CX40</f>
        <v>40.914000000000328</v>
      </c>
      <c r="DF46" s="956">
        <f>DF40-DB40</f>
        <v>-335.62900000000025</v>
      </c>
      <c r="DJ46" s="956"/>
    </row>
    <row r="47" spans="1:116">
      <c r="A47" s="24" t="str">
        <f>$A$11</f>
        <v>2Q</v>
      </c>
      <c r="B47" s="24" t="str">
        <f>$B$11</f>
        <v>Jul</v>
      </c>
      <c r="C47" s="24"/>
      <c r="D47" s="43"/>
      <c r="E47" s="43"/>
      <c r="F47" s="43">
        <f>+F41-D41</f>
        <v>-58.524999999999636</v>
      </c>
      <c r="G47" s="43"/>
      <c r="H47" s="43"/>
      <c r="I47" s="43"/>
      <c r="J47" s="43">
        <f>J41-F41</f>
        <v>130.40399999999977</v>
      </c>
      <c r="K47" s="43"/>
      <c r="L47" s="43"/>
      <c r="M47" s="43"/>
      <c r="N47" s="43">
        <f>N41-J41</f>
        <v>102.27300000000014</v>
      </c>
      <c r="O47" s="43"/>
      <c r="P47" s="43"/>
      <c r="Q47" s="43"/>
      <c r="R47" s="43">
        <f>R41-N41</f>
        <v>171.26900000000023</v>
      </c>
      <c r="S47" s="43"/>
      <c r="T47" s="43"/>
      <c r="U47" s="43"/>
      <c r="V47" s="43">
        <f>V41-D41</f>
        <v>688.62799999999993</v>
      </c>
      <c r="W47" s="43"/>
      <c r="X47" s="43"/>
      <c r="Y47" s="43"/>
      <c r="Z47" s="43">
        <f>Z41-V41</f>
        <v>-1149.3939999999998</v>
      </c>
      <c r="AA47" s="43"/>
      <c r="AB47" s="43"/>
      <c r="AC47" s="43"/>
      <c r="AD47" s="43">
        <f>AD41-Z41</f>
        <v>27.011000000000308</v>
      </c>
      <c r="AE47" s="43"/>
      <c r="AF47" s="43"/>
      <c r="AG47" s="43"/>
      <c r="AH47" s="43">
        <f>AH41-AD41</f>
        <v>-197.83400000000006</v>
      </c>
      <c r="AI47" s="43"/>
      <c r="AJ47" s="43"/>
      <c r="AK47" s="43"/>
      <c r="AL47" s="43">
        <f>AL41-AH41</f>
        <v>146.202</v>
      </c>
      <c r="AM47" s="91"/>
      <c r="AN47" s="91"/>
      <c r="AO47" s="24"/>
      <c r="AP47" s="43">
        <f>AP41-AL41</f>
        <v>152.24299999999971</v>
      </c>
      <c r="AQ47" s="43"/>
      <c r="AR47" s="43"/>
      <c r="AS47" s="43"/>
      <c r="AT47" s="43">
        <f>AT41-AP41</f>
        <v>-3.8220000000000027</v>
      </c>
      <c r="AU47" s="43"/>
      <c r="AV47" s="43"/>
      <c r="AW47" s="43"/>
      <c r="AX47" s="43">
        <f>AX41-AT41</f>
        <v>-267.13399999999973</v>
      </c>
      <c r="AY47" s="91"/>
      <c r="AZ47" s="91"/>
      <c r="BA47" s="43"/>
      <c r="BB47" s="43">
        <f>BB41-AX41</f>
        <v>382.66700000000009</v>
      </c>
      <c r="BC47" s="91"/>
      <c r="BD47" s="91"/>
      <c r="BE47" s="43"/>
      <c r="BF47" s="43">
        <f>BF41-BB41</f>
        <v>-720.68700000000024</v>
      </c>
      <c r="BG47" s="361"/>
      <c r="BH47" s="361"/>
      <c r="BI47" s="168"/>
      <c r="BJ47" s="43">
        <f>BJ41-BF41</f>
        <v>189.37700000000001</v>
      </c>
      <c r="BK47" s="361"/>
      <c r="BL47" s="361"/>
      <c r="BM47" s="168"/>
      <c r="BN47" s="43">
        <f>BN41-BJ41</f>
        <v>273.22099999999995</v>
      </c>
      <c r="BO47" s="361"/>
      <c r="BP47" s="361"/>
      <c r="BQ47" s="168"/>
      <c r="BR47" s="43">
        <f>BR41-BN41</f>
        <v>-11.494999999999777</v>
      </c>
      <c r="BS47" s="361"/>
      <c r="BT47" s="361"/>
      <c r="BU47" s="168"/>
      <c r="BV47" s="43">
        <f>BV41-BR41</f>
        <v>28.060999999999922</v>
      </c>
      <c r="BW47" s="361"/>
      <c r="BX47" s="361"/>
      <c r="BY47" s="168"/>
      <c r="BZ47" s="43">
        <f>BZ41-BV41</f>
        <v>-113.37000000000018</v>
      </c>
      <c r="CA47" s="361"/>
      <c r="CB47" s="361"/>
      <c r="CC47" s="168"/>
      <c r="CD47" s="43">
        <f>CD41-BZ41</f>
        <v>-158.89399999999961</v>
      </c>
      <c r="CE47" s="361"/>
      <c r="CF47" s="361"/>
      <c r="CG47" s="168"/>
      <c r="CH47" s="43">
        <f>CH41-CD41</f>
        <v>-55.465000000000316</v>
      </c>
      <c r="CI47" s="361"/>
      <c r="CJ47" s="361"/>
      <c r="CK47" s="168"/>
      <c r="CL47" s="43">
        <f>CL41-CH41</f>
        <v>-89.289999999999935</v>
      </c>
      <c r="CM47" s="361"/>
      <c r="CN47" s="361"/>
      <c r="CP47" s="359">
        <f>CP41-CL41</f>
        <v>-119.1119999999999</v>
      </c>
      <c r="CT47" s="956">
        <f>CT41-CP41</f>
        <v>123.88999999999969</v>
      </c>
      <c r="CX47" s="956">
        <f>CX41-CT41</f>
        <v>-87.219000000000094</v>
      </c>
      <c r="DB47" s="956">
        <f>DB41-CX41</f>
        <v>-216.78299999999984</v>
      </c>
      <c r="DF47" s="956">
        <f>DF41-DB41</f>
        <v>-37.397999999999911</v>
      </c>
      <c r="DJ47" s="956"/>
    </row>
    <row r="48" spans="1:116">
      <c r="A48" s="24" t="str">
        <f>$A$12</f>
        <v>3Q</v>
      </c>
      <c r="B48" s="24" t="str">
        <f>$B$12</f>
        <v>Oct</v>
      </c>
      <c r="C48" s="24"/>
      <c r="D48" s="43"/>
      <c r="E48" s="43"/>
      <c r="F48" s="43">
        <f>+F42-D42</f>
        <v>-113.12999999999988</v>
      </c>
      <c r="G48" s="43"/>
      <c r="H48" s="43"/>
      <c r="I48" s="43"/>
      <c r="J48" s="43">
        <f>J42-F42</f>
        <v>165.67499999999973</v>
      </c>
      <c r="K48" s="43"/>
      <c r="L48" s="43"/>
      <c r="M48" s="43"/>
      <c r="N48" s="43">
        <f>N42-J42</f>
        <v>97.180999999999813</v>
      </c>
      <c r="O48" s="43"/>
      <c r="P48" s="43"/>
      <c r="Q48" s="43"/>
      <c r="R48" s="43">
        <f>R42-N42</f>
        <v>306.58800000000019</v>
      </c>
      <c r="S48" s="43"/>
      <c r="T48" s="43"/>
      <c r="U48" s="43"/>
      <c r="V48" s="43">
        <f>V42-D42</f>
        <v>776.55299999999966</v>
      </c>
      <c r="W48" s="43"/>
      <c r="X48" s="43"/>
      <c r="Y48" s="43"/>
      <c r="Z48" s="43">
        <f>Z42-V42</f>
        <v>-1277.9779999999996</v>
      </c>
      <c r="AA48" s="43"/>
      <c r="AB48" s="43"/>
      <c r="AC48" s="43"/>
      <c r="AD48" s="43">
        <f>AD42-Z42</f>
        <v>106.3549999999999</v>
      </c>
      <c r="AE48" s="43"/>
      <c r="AF48" s="43"/>
      <c r="AG48" s="43"/>
      <c r="AH48" s="43">
        <f>AH42-AD42</f>
        <v>-134.12700000000007</v>
      </c>
      <c r="AI48" s="43"/>
      <c r="AJ48" s="43"/>
      <c r="AK48" s="43"/>
      <c r="AL48" s="43">
        <f>AL42-AH42</f>
        <v>146.49199999999996</v>
      </c>
      <c r="AM48" s="91"/>
      <c r="AN48" s="91"/>
      <c r="AO48" s="24"/>
      <c r="AP48" s="43">
        <f>AP42-AL42</f>
        <v>236.08500000000004</v>
      </c>
      <c r="AQ48" s="43"/>
      <c r="AR48" s="43"/>
      <c r="AS48" s="43"/>
      <c r="AT48" s="43">
        <f>AT42-AP42</f>
        <v>-248.50499999999988</v>
      </c>
      <c r="AU48" s="43"/>
      <c r="AV48" s="43"/>
      <c r="AW48" s="43"/>
      <c r="AX48" s="43">
        <f>AX42-AT42</f>
        <v>-92.036000000000172</v>
      </c>
      <c r="AY48" s="91"/>
      <c r="AZ48" s="91"/>
      <c r="BA48" s="43"/>
      <c r="BB48" s="43">
        <f>BB42-AX42</f>
        <v>76.937999999999874</v>
      </c>
      <c r="BC48" s="91"/>
      <c r="BD48" s="91"/>
      <c r="BE48" s="43"/>
      <c r="BF48" s="43">
        <f>BF42-BB42</f>
        <v>-182.32199999999955</v>
      </c>
      <c r="BG48" s="361"/>
      <c r="BH48" s="361"/>
      <c r="BI48" s="168"/>
      <c r="BJ48" s="43">
        <f>BJ42-BF42</f>
        <v>141.44599999999957</v>
      </c>
      <c r="BK48" s="361"/>
      <c r="BL48" s="361"/>
      <c r="BM48" s="168"/>
      <c r="BN48" s="43">
        <f>BN42-BJ42</f>
        <v>417.6930000000001</v>
      </c>
      <c r="BO48" s="361"/>
      <c r="BP48" s="361"/>
      <c r="BQ48" s="168"/>
      <c r="BR48" s="43">
        <f>BR42-BN42</f>
        <v>-62.880999999999858</v>
      </c>
      <c r="BS48" s="361"/>
      <c r="BT48" s="361"/>
      <c r="BU48" s="168"/>
      <c r="BV48" s="43">
        <f>BV42-BR42</f>
        <v>-112.01900000000023</v>
      </c>
      <c r="BW48" s="361"/>
      <c r="BX48" s="361"/>
      <c r="BY48" s="168"/>
      <c r="BZ48" s="43">
        <f>BZ42-BV42</f>
        <v>-302.15099999999995</v>
      </c>
      <c r="CA48" s="361"/>
      <c r="CB48" s="361"/>
      <c r="CC48" s="168"/>
      <c r="CD48" s="43">
        <f>CD42-BZ42</f>
        <v>-87.391999999999598</v>
      </c>
      <c r="CE48" s="361"/>
      <c r="CF48" s="361"/>
      <c r="CG48" s="168"/>
      <c r="CH48" s="43">
        <f>CH42-CD42</f>
        <v>-6.51299999999992</v>
      </c>
      <c r="CI48" s="361"/>
      <c r="CJ48" s="361"/>
      <c r="CK48" s="168"/>
      <c r="CL48" s="43">
        <f>CL42-CH42</f>
        <v>-131.31200000000018</v>
      </c>
      <c r="CM48" s="361"/>
      <c r="CN48" s="361"/>
      <c r="CP48" s="956">
        <f>CP42-CL42</f>
        <v>152.94700000000017</v>
      </c>
      <c r="CT48" s="956">
        <f>CT42-CP42</f>
        <v>-118.66600000000005</v>
      </c>
      <c r="CX48" s="956">
        <f>CX42-CT42</f>
        <v>-24.289000000000556</v>
      </c>
      <c r="DB48" s="956">
        <f>DB42-CX42</f>
        <v>-245.88099999999986</v>
      </c>
      <c r="DF48" s="956">
        <f>DF42-DB42</f>
        <v>7.5520000000000778</v>
      </c>
      <c r="DJ48" s="956"/>
    </row>
    <row r="49" spans="1:114">
      <c r="A49" s="24" t="str">
        <f>$A$13</f>
        <v>4Q</v>
      </c>
      <c r="B49" s="24" t="str">
        <f>$B$13</f>
        <v>Jan</v>
      </c>
      <c r="C49" s="24"/>
      <c r="D49" s="43"/>
      <c r="E49" s="43"/>
      <c r="F49" s="43">
        <f>+F43-D43</f>
        <v>179.64600000000007</v>
      </c>
      <c r="G49" s="43"/>
      <c r="H49" s="43"/>
      <c r="I49" s="43"/>
      <c r="J49" s="43">
        <f>J43-F43</f>
        <v>-28.353000000000407</v>
      </c>
      <c r="K49" s="43"/>
      <c r="L49" s="43"/>
      <c r="M49" s="43"/>
      <c r="N49" s="43">
        <f>N43-J43</f>
        <v>186.20600000000024</v>
      </c>
      <c r="O49" s="43"/>
      <c r="P49" s="43"/>
      <c r="Q49" s="43"/>
      <c r="R49" s="43">
        <f>R43-N43</f>
        <v>324.20800000000008</v>
      </c>
      <c r="S49" s="43"/>
      <c r="T49" s="43"/>
      <c r="U49" s="43"/>
      <c r="V49" s="43">
        <f>V43-D43</f>
        <v>-433.09800000000001</v>
      </c>
      <c r="W49" s="43"/>
      <c r="X49" s="43"/>
      <c r="Y49" s="43"/>
      <c r="Z49" s="43">
        <f>Z43-V43</f>
        <v>-112.31799999999981</v>
      </c>
      <c r="AA49" s="43"/>
      <c r="AB49" s="43"/>
      <c r="AC49" s="43"/>
      <c r="AD49" s="43">
        <f>AD43-Z43</f>
        <v>-134.06400000000028</v>
      </c>
      <c r="AE49" s="43"/>
      <c r="AF49" s="43"/>
      <c r="AG49" s="43"/>
      <c r="AH49" s="43">
        <f>AH43-AD43</f>
        <v>176.51900000000009</v>
      </c>
      <c r="AI49" s="43"/>
      <c r="AJ49" s="43"/>
      <c r="AK49" s="43"/>
      <c r="AL49" s="43">
        <f>AL43-AH43</f>
        <v>72.940000000000055</v>
      </c>
      <c r="AM49" s="91"/>
      <c r="AN49" s="91"/>
      <c r="AO49" s="24"/>
      <c r="AP49" s="43">
        <f>AP43-AL43</f>
        <v>63.263000000000147</v>
      </c>
      <c r="AQ49" s="43"/>
      <c r="AR49" s="43"/>
      <c r="AS49" s="43"/>
      <c r="AT49" s="43">
        <f>AT43-AP43</f>
        <v>-366.06600000000014</v>
      </c>
      <c r="AU49" s="43"/>
      <c r="AV49" s="43"/>
      <c r="AW49" s="43"/>
      <c r="AX49" s="43">
        <f>AX43-AT43</f>
        <v>-53</v>
      </c>
      <c r="AY49" s="91"/>
      <c r="AZ49" s="91"/>
      <c r="BA49" s="43"/>
      <c r="BB49" s="43">
        <f>BB43-AX43</f>
        <v>-172.44699999999983</v>
      </c>
      <c r="BC49" s="91"/>
      <c r="BD49" s="91"/>
      <c r="BE49" s="43"/>
      <c r="BF49" s="43">
        <f>BF43-BB43</f>
        <v>160.45699999999991</v>
      </c>
      <c r="BG49" s="361"/>
      <c r="BH49" s="361"/>
      <c r="BI49" s="168"/>
      <c r="BJ49" s="43">
        <f>BJ43-BF43</f>
        <v>-64.420000000000016</v>
      </c>
      <c r="BK49" s="361"/>
      <c r="BL49" s="361"/>
      <c r="BM49" s="168"/>
      <c r="BN49" s="43">
        <f>BN43-BJ43</f>
        <v>554.47400000000027</v>
      </c>
      <c r="BO49" s="361"/>
      <c r="BP49" s="361"/>
      <c r="BQ49" s="168"/>
      <c r="BR49" s="43">
        <f>BR43-BN43</f>
        <v>-36.400000000000318</v>
      </c>
      <c r="BS49" s="361"/>
      <c r="BT49" s="361"/>
      <c r="BU49" s="168"/>
      <c r="BV49" s="43">
        <f>BV43-BR43</f>
        <v>-87.157999999999788</v>
      </c>
      <c r="BW49" s="361"/>
      <c r="BX49" s="361"/>
      <c r="BY49" s="168"/>
      <c r="BZ49" s="43">
        <f>BZ43-BV43</f>
        <v>-314.98699999999991</v>
      </c>
      <c r="CA49" s="361"/>
      <c r="CB49" s="361"/>
      <c r="CC49" s="43"/>
      <c r="CD49" s="43">
        <f>CD43-BZ43</f>
        <v>-166.99700000000016</v>
      </c>
      <c r="CE49" s="361"/>
      <c r="CF49" s="361"/>
      <c r="CG49" s="43"/>
      <c r="CH49" s="43">
        <f>CH43-CD43</f>
        <v>-101.24600000000024</v>
      </c>
      <c r="CI49" s="361"/>
      <c r="CJ49" s="361"/>
      <c r="CK49" s="43"/>
      <c r="CL49" s="43">
        <f>CL43-CH43</f>
        <v>8.5160000000003038</v>
      </c>
      <c r="CM49" s="361"/>
      <c r="CN49" s="361"/>
      <c r="CP49" s="956">
        <f>CP43-CL43</f>
        <v>126.23599999999985</v>
      </c>
      <c r="CT49" s="956">
        <f>CT43-CP43</f>
        <v>-152.8749999999996</v>
      </c>
      <c r="CX49" s="956">
        <f>CX43-CT43</f>
        <v>-105.26000000000042</v>
      </c>
      <c r="DB49" s="956">
        <f>DB43-CX43</f>
        <v>-180.8</v>
      </c>
      <c r="DF49" s="956">
        <f>DF43-DB43</f>
        <v>281.91499999999996</v>
      </c>
      <c r="DJ49" s="956"/>
    </row>
    <row r="50" spans="1:114">
      <c r="A50" s="24"/>
      <c r="B50" s="24"/>
      <c r="C50" s="24"/>
      <c r="D50" s="24"/>
      <c r="E50" s="24"/>
      <c r="F50" s="43"/>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168"/>
      <c r="BG50" s="168"/>
      <c r="BH50" s="168"/>
      <c r="BI50" s="168"/>
      <c r="BJ50" s="168"/>
      <c r="BK50" s="168"/>
      <c r="BL50" s="168"/>
      <c r="BM50" s="168"/>
      <c r="BN50" s="168"/>
      <c r="BO50" s="168"/>
      <c r="BP50" s="168"/>
      <c r="BQ50" s="168"/>
      <c r="BR50" s="168"/>
      <c r="BS50" s="168"/>
      <c r="BT50" s="168"/>
      <c r="BU50" s="168"/>
      <c r="BV50" s="168"/>
      <c r="BW50" s="168"/>
      <c r="BX50" s="168"/>
      <c r="BY50" s="168"/>
      <c r="BZ50" s="168"/>
      <c r="CA50" s="168"/>
      <c r="CB50" s="168"/>
      <c r="CC50" s="168"/>
      <c r="CD50" s="168"/>
      <c r="CE50" s="168"/>
      <c r="CF50" s="168"/>
      <c r="CG50" s="168"/>
      <c r="CH50" s="168"/>
      <c r="CI50" s="168"/>
      <c r="CJ50" s="168"/>
      <c r="CK50" s="168"/>
      <c r="CL50" s="43"/>
      <c r="CM50" s="168"/>
      <c r="CN50" s="168"/>
    </row>
    <row r="51" spans="1:114">
      <c r="A51" s="24"/>
      <c r="B51" s="24"/>
      <c r="C51" s="24"/>
      <c r="D51" s="2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c r="BE51" s="24"/>
      <c r="BF51" s="168"/>
      <c r="BG51" s="168"/>
      <c r="BH51" s="168"/>
      <c r="BI51" s="168"/>
      <c r="BJ51" s="168"/>
      <c r="BK51" s="168"/>
      <c r="BL51" s="168"/>
      <c r="BM51" s="168"/>
      <c r="BN51" s="168"/>
      <c r="BO51" s="168"/>
      <c r="BP51" s="168"/>
      <c r="BQ51" s="168"/>
      <c r="BR51" s="168"/>
      <c r="BS51" s="168"/>
      <c r="BT51" s="168"/>
      <c r="BU51" s="168"/>
      <c r="BV51" s="168"/>
      <c r="BW51" s="168"/>
      <c r="BX51" s="168"/>
      <c r="BY51" s="168"/>
      <c r="BZ51" s="168"/>
      <c r="CA51" s="168"/>
      <c r="CB51" s="168"/>
      <c r="CC51" s="168"/>
      <c r="CD51" s="168"/>
      <c r="CE51" s="168"/>
      <c r="CF51" s="168"/>
      <c r="CG51" s="168"/>
      <c r="CH51" s="168"/>
      <c r="CI51" s="168"/>
      <c r="CJ51" s="168"/>
      <c r="CK51" s="168"/>
      <c r="CL51" s="168"/>
      <c r="CM51" s="168"/>
      <c r="CN51" s="168"/>
    </row>
    <row r="52" spans="1:114">
      <c r="A52" s="24"/>
      <c r="B52" s="24"/>
      <c r="C52" s="24"/>
      <c r="D52" s="2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c r="BE52" s="24"/>
      <c r="BF52" s="168"/>
      <c r="BG52" s="168"/>
      <c r="BH52" s="168"/>
      <c r="BI52" s="168"/>
      <c r="BJ52" s="168"/>
      <c r="BK52" s="168"/>
      <c r="BL52" s="168"/>
      <c r="BM52" s="168"/>
      <c r="BN52" s="168"/>
      <c r="BO52" s="168"/>
      <c r="BP52" s="168"/>
      <c r="BQ52" s="168"/>
      <c r="BR52" s="168"/>
      <c r="BS52" s="168"/>
      <c r="BT52" s="168"/>
      <c r="BU52" s="168"/>
      <c r="BV52" s="168"/>
      <c r="BW52" s="168"/>
      <c r="BX52" s="168"/>
      <c r="BY52" s="168"/>
      <c r="BZ52" s="168"/>
      <c r="CA52" s="168"/>
      <c r="CB52" s="168"/>
      <c r="CC52" s="168"/>
      <c r="CD52" s="168"/>
      <c r="CE52" s="168"/>
      <c r="CF52" s="168"/>
      <c r="CG52" s="168"/>
      <c r="CH52" s="168"/>
      <c r="CI52" s="168"/>
      <c r="CJ52" s="168"/>
      <c r="CK52" s="168"/>
      <c r="CL52" s="168"/>
      <c r="CM52" s="168"/>
      <c r="CN52" s="168"/>
    </row>
    <row r="53" spans="1:114">
      <c r="A53" s="24"/>
      <c r="B53" s="24"/>
      <c r="C53" s="24"/>
      <c r="D53" s="2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c r="BE53" s="24"/>
      <c r="BF53" s="168"/>
      <c r="BG53" s="168"/>
      <c r="BH53" s="168"/>
      <c r="BI53" s="168"/>
      <c r="BJ53" s="168"/>
      <c r="BK53" s="168"/>
      <c r="BL53" s="168"/>
      <c r="BM53" s="168"/>
      <c r="BN53" s="168"/>
      <c r="BO53" s="168"/>
      <c r="BP53" s="168"/>
      <c r="BQ53" s="168"/>
      <c r="BR53" s="168"/>
      <c r="BS53" s="168"/>
      <c r="BT53" s="168"/>
      <c r="BU53" s="168"/>
      <c r="BV53" s="168"/>
      <c r="BW53" s="168"/>
      <c r="BX53" s="168"/>
      <c r="BY53" s="168"/>
      <c r="BZ53" s="168"/>
      <c r="CA53" s="168"/>
      <c r="CB53" s="168"/>
      <c r="CC53" s="168"/>
      <c r="CD53" s="168"/>
      <c r="CE53" s="168"/>
      <c r="CF53" s="168"/>
      <c r="CG53" s="168"/>
      <c r="CH53" s="168"/>
      <c r="CI53" s="168"/>
      <c r="CJ53" s="168"/>
      <c r="CK53" s="168"/>
      <c r="CL53" s="168"/>
      <c r="CM53" s="168"/>
      <c r="CN53" s="168"/>
    </row>
    <row r="54" spans="1:114">
      <c r="A54" s="23" t="s">
        <v>549</v>
      </c>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c r="BE54" s="24"/>
      <c r="BF54" s="168"/>
      <c r="BG54" s="168"/>
      <c r="BH54" s="168"/>
      <c r="BI54" s="168"/>
      <c r="BJ54" s="168"/>
      <c r="BK54" s="168"/>
      <c r="BL54" s="168"/>
      <c r="BM54" s="168"/>
      <c r="BN54" s="168"/>
      <c r="BO54" s="168"/>
      <c r="BP54" s="168"/>
      <c r="BQ54" s="168"/>
      <c r="BR54" s="168"/>
      <c r="BS54" s="168"/>
      <c r="BT54" s="168"/>
      <c r="BU54" s="168"/>
      <c r="BV54" s="168"/>
      <c r="BW54" s="168"/>
      <c r="BX54" s="168"/>
      <c r="BY54" s="168"/>
      <c r="BZ54" s="168"/>
      <c r="CA54" s="168"/>
      <c r="CB54" s="168"/>
      <c r="CC54" s="168"/>
      <c r="CD54" s="168"/>
      <c r="CE54" s="168"/>
      <c r="CF54" s="168"/>
      <c r="CG54" s="168"/>
      <c r="CH54" s="168"/>
      <c r="CI54" s="168"/>
      <c r="CJ54" s="168"/>
      <c r="CK54" s="168"/>
      <c r="CL54" s="168"/>
      <c r="CM54" s="168"/>
      <c r="CN54" s="168"/>
    </row>
  </sheetData>
  <phoneticPr fontId="0" type="noConversion"/>
  <printOptions horizontalCentered="1"/>
  <pageMargins left="0.25" right="0.25" top="0.5" bottom="0.25" header="0.5" footer="0.5"/>
  <pageSetup scale="83" orientation="landscape" r:id="rId1"/>
  <headerFooter alignWithMargins="0">
    <oddFooter>&amp;R&amp;8&amp;D/&amp;T
&amp;F/&amp;A</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Y216"/>
  <sheetViews>
    <sheetView showGridLines="0" zoomScaleNormal="100" workbookViewId="0">
      <pane xSplit="3" ySplit="8" topLeftCell="D174" activePane="bottomRight" state="frozen"/>
      <selection activeCell="DY27" sqref="DY27"/>
      <selection pane="topRight" activeCell="DY27" sqref="DY27"/>
      <selection pane="bottomLeft" activeCell="DY27" sqref="DY27"/>
      <selection pane="bottomRight" activeCell="H210" sqref="H210"/>
    </sheetView>
  </sheetViews>
  <sheetFormatPr defaultRowHeight="12.75" outlineLevelRow="1"/>
  <cols>
    <col min="1" max="1" width="2.85546875" customWidth="1"/>
    <col min="2" max="2" width="6.7109375" customWidth="1"/>
    <col min="3" max="3" width="1.7109375" customWidth="1"/>
    <col min="4" max="4" width="8.5703125" customWidth="1"/>
    <col min="5" max="5" width="1.7109375" customWidth="1"/>
    <col min="6" max="6" width="8.5703125" customWidth="1"/>
    <col min="7" max="7" width="1.7109375" customWidth="1"/>
    <col min="8" max="8" width="6.85546875" customWidth="1"/>
    <col min="9" max="9" width="1.7109375" customWidth="1"/>
    <col min="10" max="10" width="6.85546875" customWidth="1"/>
    <col min="11" max="11" width="1.7109375" customWidth="1"/>
    <col min="12" max="12" width="7.85546875" customWidth="1"/>
    <col min="13" max="13" width="1.7109375" customWidth="1"/>
    <col min="14" max="14" width="6.85546875" customWidth="1"/>
    <col min="15" max="15" width="1.7109375" customWidth="1"/>
    <col min="16" max="16" width="6.85546875" customWidth="1"/>
    <col min="17" max="17" width="1.7109375" customWidth="1"/>
    <col min="18" max="18" width="7.5703125" customWidth="1"/>
    <col min="19" max="19" width="1.7109375" customWidth="1"/>
    <col min="20" max="20" width="7.5703125" customWidth="1"/>
    <col min="21" max="21" width="1.7109375" customWidth="1"/>
    <col min="22" max="22" width="6.85546875" customWidth="1"/>
    <col min="23" max="23" width="1.7109375" customWidth="1"/>
    <col min="24" max="24" width="8.140625" customWidth="1"/>
    <col min="25" max="25" width="1.7109375" customWidth="1"/>
    <col min="26" max="26" width="6.140625" customWidth="1"/>
    <col min="27" max="27" width="1.7109375" customWidth="1"/>
    <col min="28" max="28" width="6.5703125" customWidth="1"/>
    <col min="29" max="29" width="1.7109375" customWidth="1"/>
    <col min="30" max="30" width="8.140625" customWidth="1"/>
    <col min="31" max="31" width="1.7109375" customWidth="1"/>
    <col min="32" max="32" width="6.140625" customWidth="1"/>
    <col min="33" max="33" width="1.7109375" customWidth="1"/>
    <col min="34" max="34" width="8" customWidth="1"/>
    <col min="35" max="35" width="1.7109375" customWidth="1"/>
    <col min="36" max="36" width="8.42578125" customWidth="1"/>
    <col min="37" max="38" width="2.42578125" customWidth="1"/>
    <col min="39" max="39" width="7" customWidth="1"/>
    <col min="40" max="40" width="2.140625" customWidth="1"/>
    <col min="41" max="41" width="4.85546875" customWidth="1"/>
    <col min="42" max="42" width="9" customWidth="1"/>
    <col min="43" max="43" width="2.140625" customWidth="1"/>
    <col min="45" max="45" width="2.140625" customWidth="1"/>
    <col min="47" max="47" width="2.140625" customWidth="1"/>
    <col min="49" max="49" width="2.140625" customWidth="1"/>
  </cols>
  <sheetData>
    <row r="1" spans="1:51">
      <c r="A1" s="25" t="str">
        <f>'qtrP&amp;L'!A1</f>
        <v>L Brands Inc.</v>
      </c>
      <c r="B1" s="76"/>
      <c r="C1" s="25"/>
      <c r="D1" s="25"/>
      <c r="E1" s="44"/>
      <c r="F1" s="25"/>
      <c r="G1" s="25"/>
      <c r="H1" s="25"/>
      <c r="I1" s="44"/>
      <c r="J1" s="48"/>
      <c r="K1" s="48"/>
      <c r="L1" s="48"/>
      <c r="M1" s="49"/>
      <c r="N1" s="48"/>
      <c r="O1" s="49"/>
      <c r="P1" s="48"/>
      <c r="Q1" s="48"/>
      <c r="R1" s="49"/>
      <c r="S1" s="48"/>
      <c r="T1" s="48"/>
      <c r="U1" s="49"/>
      <c r="V1" s="49"/>
      <c r="W1" s="48"/>
      <c r="X1" s="48"/>
      <c r="Y1" s="48"/>
      <c r="Z1" s="48"/>
      <c r="AA1" s="48"/>
      <c r="AB1" s="49"/>
      <c r="AC1" s="48"/>
      <c r="AD1" s="48"/>
      <c r="AE1" s="48"/>
      <c r="AF1" s="48"/>
      <c r="AG1" s="48"/>
      <c r="AH1" s="49"/>
      <c r="AI1" s="48"/>
      <c r="AJ1" s="48"/>
      <c r="AK1" s="48"/>
      <c r="AL1" s="48"/>
      <c r="AM1" s="48"/>
      <c r="AN1" s="48"/>
      <c r="AO1" s="48"/>
      <c r="AP1" s="48"/>
      <c r="AQ1" s="48"/>
      <c r="AR1" s="48"/>
      <c r="AS1" s="48"/>
      <c r="AT1" s="48"/>
      <c r="AU1" s="48"/>
      <c r="AV1" s="48"/>
      <c r="AW1" s="48"/>
      <c r="AX1" s="48"/>
      <c r="AY1" s="48"/>
    </row>
    <row r="2" spans="1:51">
      <c r="A2" s="26" t="s">
        <v>338</v>
      </c>
      <c r="B2" s="77"/>
      <c r="C2" s="26"/>
      <c r="D2" s="26"/>
      <c r="E2" s="45"/>
      <c r="F2" s="26"/>
      <c r="G2" s="26"/>
      <c r="H2" s="26"/>
      <c r="I2" s="45"/>
      <c r="J2" s="26"/>
      <c r="K2" s="26"/>
      <c r="L2" s="26"/>
      <c r="M2" s="45"/>
      <c r="N2" s="26"/>
      <c r="O2" s="45"/>
      <c r="P2" s="26"/>
      <c r="Q2" s="26"/>
      <c r="R2" s="45"/>
      <c r="S2" s="26"/>
      <c r="T2" s="26"/>
      <c r="U2" s="45"/>
      <c r="V2" s="45"/>
      <c r="W2" s="26"/>
      <c r="X2" s="26"/>
      <c r="Y2" s="26"/>
      <c r="Z2" s="26"/>
      <c r="AA2" s="26"/>
      <c r="AB2" s="45"/>
      <c r="AC2" s="26"/>
      <c r="AD2" s="26"/>
      <c r="AE2" s="26"/>
      <c r="AF2" s="26"/>
      <c r="AG2" s="26"/>
      <c r="AH2" s="45"/>
      <c r="AI2" s="26"/>
      <c r="AJ2" s="26"/>
      <c r="AK2" s="48"/>
      <c r="AL2" s="48"/>
      <c r="AM2" s="48"/>
      <c r="AN2" s="48"/>
      <c r="AO2" s="48"/>
      <c r="AP2" s="48"/>
      <c r="AQ2" s="48"/>
      <c r="AR2" s="48"/>
      <c r="AS2" s="48"/>
      <c r="AT2" s="48"/>
      <c r="AU2" s="48"/>
      <c r="AV2" s="48"/>
      <c r="AW2" s="48"/>
      <c r="AX2" s="48"/>
      <c r="AY2" s="48"/>
    </row>
    <row r="3" spans="1:51" ht="12.75" customHeight="1">
      <c r="A3" s="58" t="s">
        <v>12</v>
      </c>
      <c r="B3" s="59"/>
      <c r="C3" s="58"/>
      <c r="D3" s="59"/>
      <c r="E3" s="58"/>
      <c r="F3" s="58"/>
      <c r="G3" s="58"/>
      <c r="H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row>
    <row r="4" spans="1:51">
      <c r="A4" s="69"/>
      <c r="B4" s="69"/>
      <c r="C4" s="69"/>
      <c r="D4" s="69"/>
      <c r="E4" s="69"/>
      <c r="F4" s="69"/>
      <c r="G4" s="69"/>
      <c r="H4" s="69"/>
      <c r="I4" s="69"/>
      <c r="J4" s="69"/>
      <c r="K4" s="69"/>
      <c r="L4" s="69"/>
      <c r="M4" s="69"/>
      <c r="N4" s="69"/>
      <c r="O4" s="69"/>
      <c r="P4" s="69"/>
      <c r="Q4" s="69"/>
      <c r="R4" s="69"/>
      <c r="S4" s="69"/>
      <c r="T4" s="69"/>
      <c r="U4" s="69"/>
      <c r="V4" s="69"/>
      <c r="W4" s="69"/>
      <c r="X4" s="69"/>
      <c r="Y4" s="69"/>
      <c r="Z4" s="69"/>
      <c r="AA4" s="69"/>
      <c r="AB4" s="69"/>
      <c r="AC4" s="69"/>
      <c r="AD4" s="69"/>
      <c r="AE4" s="69"/>
      <c r="AF4" s="69"/>
      <c r="AG4" s="69"/>
      <c r="AH4" s="69"/>
      <c r="AI4" s="69"/>
      <c r="AJ4" s="69"/>
      <c r="AK4" s="69"/>
      <c r="AL4" s="69"/>
      <c r="AM4" s="69"/>
      <c r="AN4" s="69"/>
      <c r="AO4" s="69"/>
      <c r="AP4" s="69"/>
      <c r="AQ4" s="69"/>
      <c r="AR4" s="69"/>
      <c r="AS4" s="69"/>
      <c r="AT4" s="69"/>
      <c r="AU4" s="69"/>
      <c r="AV4" s="69"/>
      <c r="AW4" s="69"/>
      <c r="AX4" s="69"/>
      <c r="AY4" s="69"/>
    </row>
    <row r="5" spans="1:51">
      <c r="A5" s="69"/>
      <c r="B5" s="69"/>
      <c r="C5" s="69"/>
      <c r="D5" s="68"/>
      <c r="E5" s="68"/>
      <c r="F5" s="68"/>
      <c r="G5" s="68" t="s">
        <v>1183</v>
      </c>
      <c r="H5" s="68"/>
      <c r="I5" s="68"/>
      <c r="J5" s="68"/>
      <c r="K5" s="69"/>
      <c r="L5" s="68"/>
      <c r="M5" s="68"/>
      <c r="N5" s="68"/>
      <c r="O5" s="68" t="s">
        <v>1184</v>
      </c>
      <c r="P5" s="68"/>
      <c r="Q5" s="69"/>
      <c r="R5" s="69"/>
      <c r="S5" s="69" t="s">
        <v>1185</v>
      </c>
      <c r="T5" s="69"/>
      <c r="U5" s="69"/>
      <c r="V5" s="68"/>
      <c r="W5" s="68"/>
      <c r="X5" s="68" t="s">
        <v>1186</v>
      </c>
      <c r="Y5" s="68"/>
      <c r="Z5" s="68"/>
      <c r="AA5" s="69"/>
      <c r="AB5" s="68"/>
      <c r="AC5" s="68"/>
      <c r="AD5" s="68" t="s">
        <v>1041</v>
      </c>
      <c r="AE5" s="68"/>
      <c r="AF5" s="68"/>
      <c r="AG5" s="69"/>
      <c r="AH5" s="68"/>
      <c r="AI5" s="68" t="s">
        <v>535</v>
      </c>
      <c r="AJ5" s="68"/>
      <c r="AK5" s="70"/>
      <c r="AL5" s="70"/>
      <c r="AM5" s="70"/>
      <c r="AN5" s="566" t="s">
        <v>576</v>
      </c>
      <c r="AO5" s="566"/>
      <c r="AP5" s="70"/>
      <c r="AQ5" s="69"/>
      <c r="AR5" s="69"/>
      <c r="AS5" s="69"/>
      <c r="AT5" s="69"/>
      <c r="AU5" s="69"/>
      <c r="AV5" s="69"/>
      <c r="AW5" s="69"/>
      <c r="AX5" s="69"/>
      <c r="AY5" s="69"/>
    </row>
    <row r="6" spans="1:51">
      <c r="A6" s="69"/>
      <c r="B6" s="69"/>
      <c r="C6" s="69"/>
      <c r="D6" s="70"/>
      <c r="E6" s="70"/>
      <c r="F6" s="70"/>
      <c r="G6" s="69"/>
      <c r="H6" s="68"/>
      <c r="I6" s="68" t="s">
        <v>1187</v>
      </c>
      <c r="J6" s="68"/>
      <c r="K6" s="69"/>
      <c r="L6" s="69" t="s">
        <v>1173</v>
      </c>
      <c r="M6" s="69"/>
      <c r="N6" s="82"/>
      <c r="O6" s="82" t="s">
        <v>1188</v>
      </c>
      <c r="P6" s="82"/>
      <c r="Q6" s="69"/>
      <c r="R6" s="68"/>
      <c r="S6" s="68" t="s">
        <v>799</v>
      </c>
      <c r="T6" s="68"/>
      <c r="U6" s="69"/>
      <c r="V6" s="69" t="s">
        <v>1189</v>
      </c>
      <c r="W6" s="69"/>
      <c r="X6" s="69" t="s">
        <v>1187</v>
      </c>
      <c r="Y6" s="69"/>
      <c r="Z6" s="69" t="s">
        <v>1190</v>
      </c>
      <c r="AA6" s="69"/>
      <c r="AB6" s="69" t="s">
        <v>596</v>
      </c>
      <c r="AC6" s="69"/>
      <c r="AD6" s="69" t="s">
        <v>1187</v>
      </c>
      <c r="AE6" s="69"/>
      <c r="AF6" s="69" t="s">
        <v>1190</v>
      </c>
      <c r="AG6" s="69"/>
      <c r="AH6" s="69" t="s">
        <v>596</v>
      </c>
      <c r="AI6" s="69"/>
      <c r="AJ6" s="69" t="s">
        <v>1187</v>
      </c>
      <c r="AK6" s="69"/>
      <c r="AL6" s="69"/>
      <c r="AM6" s="68"/>
      <c r="AN6" s="567" t="s">
        <v>577</v>
      </c>
      <c r="AO6" s="566"/>
      <c r="AP6" s="69"/>
      <c r="AQ6" s="69"/>
      <c r="AR6" s="69"/>
      <c r="AS6" s="69"/>
      <c r="AT6" s="69"/>
      <c r="AU6" s="69"/>
      <c r="AV6" s="69"/>
      <c r="AW6" s="69"/>
      <c r="AX6" s="69"/>
      <c r="AY6" s="69"/>
    </row>
    <row r="7" spans="1:51">
      <c r="A7" s="69"/>
      <c r="B7" s="69"/>
      <c r="C7" s="69"/>
      <c r="D7" s="69"/>
      <c r="E7" s="69"/>
      <c r="F7" s="69" t="s">
        <v>1191</v>
      </c>
      <c r="G7" s="69"/>
      <c r="H7" s="69" t="s">
        <v>1192</v>
      </c>
      <c r="I7" s="69"/>
      <c r="J7" s="69"/>
      <c r="K7" s="69"/>
      <c r="L7" s="69" t="s">
        <v>798</v>
      </c>
      <c r="M7" s="69"/>
      <c r="N7" s="69" t="s">
        <v>1193</v>
      </c>
      <c r="O7" s="69"/>
      <c r="P7" s="69" t="s">
        <v>1193</v>
      </c>
      <c r="Q7" s="69"/>
      <c r="R7" s="69"/>
      <c r="S7" s="69"/>
      <c r="T7" s="69" t="s">
        <v>1194</v>
      </c>
      <c r="U7" s="69"/>
      <c r="V7" s="69" t="s">
        <v>1195</v>
      </c>
      <c r="W7" s="69"/>
      <c r="X7" s="69" t="s">
        <v>1196</v>
      </c>
      <c r="Y7" s="69"/>
      <c r="Z7" s="69" t="s">
        <v>1084</v>
      </c>
      <c r="AA7" s="69"/>
      <c r="AB7" s="69" t="s">
        <v>1192</v>
      </c>
      <c r="AC7" s="69"/>
      <c r="AD7" s="69" t="s">
        <v>1196</v>
      </c>
      <c r="AE7" s="69"/>
      <c r="AF7" s="69" t="s">
        <v>1084</v>
      </c>
      <c r="AG7" s="69"/>
      <c r="AH7" s="69" t="s">
        <v>1192</v>
      </c>
      <c r="AI7" s="69"/>
      <c r="AJ7" s="69" t="s">
        <v>1196</v>
      </c>
      <c r="AK7" s="69"/>
      <c r="AL7" s="69"/>
      <c r="AM7" s="69"/>
      <c r="AN7" s="568" t="s">
        <v>578</v>
      </c>
      <c r="AO7" s="568"/>
      <c r="AP7" s="69"/>
      <c r="AQ7" s="69"/>
      <c r="AR7" s="69"/>
      <c r="AS7" s="69"/>
      <c r="AT7" s="69"/>
      <c r="AU7" s="69"/>
      <c r="AV7" s="69"/>
      <c r="AW7" s="69"/>
      <c r="AX7" s="69"/>
      <c r="AY7" s="69"/>
    </row>
    <row r="8" spans="1:51">
      <c r="A8" s="69"/>
      <c r="B8" s="69"/>
      <c r="C8" s="69"/>
      <c r="D8" s="68" t="s">
        <v>1173</v>
      </c>
      <c r="E8" s="69"/>
      <c r="F8" s="68" t="s">
        <v>748</v>
      </c>
      <c r="G8" s="69"/>
      <c r="H8" s="68" t="s">
        <v>182</v>
      </c>
      <c r="I8" s="69"/>
      <c r="J8" s="68" t="s">
        <v>747</v>
      </c>
      <c r="K8" s="69"/>
      <c r="L8" s="68" t="s">
        <v>746</v>
      </c>
      <c r="M8" s="69"/>
      <c r="N8" s="68" t="s">
        <v>1020</v>
      </c>
      <c r="O8" s="69"/>
      <c r="P8" s="68" t="s">
        <v>182</v>
      </c>
      <c r="Q8" s="69"/>
      <c r="R8" s="68" t="s">
        <v>749</v>
      </c>
      <c r="S8" s="69"/>
      <c r="T8" s="68" t="s">
        <v>728</v>
      </c>
      <c r="U8" s="69"/>
      <c r="V8" s="68" t="s">
        <v>729</v>
      </c>
      <c r="W8" s="69"/>
      <c r="X8" s="68" t="s">
        <v>1198</v>
      </c>
      <c r="Y8" s="69"/>
      <c r="Z8" s="68" t="s">
        <v>181</v>
      </c>
      <c r="AA8" s="69"/>
      <c r="AB8" s="68" t="s">
        <v>182</v>
      </c>
      <c r="AC8" s="69"/>
      <c r="AD8" s="68" t="s">
        <v>597</v>
      </c>
      <c r="AE8" s="69"/>
      <c r="AF8" s="68" t="s">
        <v>181</v>
      </c>
      <c r="AG8" s="69"/>
      <c r="AH8" s="68" t="s">
        <v>182</v>
      </c>
      <c r="AI8" s="69"/>
      <c r="AJ8" s="68" t="s">
        <v>597</v>
      </c>
      <c r="AK8" s="70"/>
      <c r="AL8" s="70"/>
      <c r="AM8" s="68"/>
      <c r="AN8" s="567" t="s">
        <v>579</v>
      </c>
      <c r="AO8" s="566"/>
      <c r="AP8" s="70"/>
      <c r="AQ8" s="69"/>
      <c r="AR8" s="69"/>
      <c r="AS8" s="69"/>
      <c r="AT8" s="69"/>
      <c r="AU8" s="69"/>
      <c r="AV8" s="69"/>
      <c r="AW8" s="69"/>
      <c r="AX8" s="69"/>
      <c r="AY8" s="69"/>
    </row>
    <row r="9" spans="1:51">
      <c r="A9" s="24"/>
      <c r="B9" s="24"/>
      <c r="C9" s="24"/>
      <c r="D9" s="24"/>
      <c r="E9" s="24"/>
      <c r="F9" s="24"/>
      <c r="G9" s="24"/>
      <c r="H9" s="24"/>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row>
    <row r="10" spans="1:51" hidden="1" outlineLevel="1">
      <c r="A10" s="24"/>
      <c r="B10" s="79">
        <v>1990</v>
      </c>
      <c r="C10" s="24"/>
      <c r="D10" s="24"/>
      <c r="E10" s="24"/>
      <c r="F10" s="24"/>
      <c r="G10" s="24"/>
      <c r="H10" s="24"/>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4"/>
      <c r="AV10" s="24"/>
      <c r="AW10" s="24"/>
      <c r="AX10" s="24"/>
      <c r="AY10" s="24"/>
    </row>
    <row r="11" spans="1:51" hidden="1" outlineLevel="1">
      <c r="A11" s="24" t="str">
        <f>'qtrP&amp;L'!A10</f>
        <v>1Q</v>
      </c>
      <c r="B11" s="24" t="str">
        <f>'qtrP&amp;L'!B10</f>
        <v>Apr</v>
      </c>
      <c r="C11" s="24"/>
      <c r="D11" s="33">
        <f>'qtrP&amp;L'!F$10</f>
        <v>1107.345</v>
      </c>
      <c r="E11" s="24"/>
      <c r="F11" s="33">
        <f>'qtrP&amp;L'!F$20</f>
        <v>781.62099999999998</v>
      </c>
      <c r="G11" s="24"/>
      <c r="H11" s="33">
        <f>work!D$10</f>
        <v>513.20100000000002</v>
      </c>
      <c r="I11" s="24"/>
      <c r="J11" s="33">
        <f>AVERAGE(H10:H11)</f>
        <v>513.20100000000002</v>
      </c>
      <c r="K11" s="24"/>
      <c r="L11" s="24"/>
      <c r="M11" s="24"/>
      <c r="N11" s="24"/>
      <c r="O11" s="24"/>
      <c r="P11" s="24"/>
      <c r="Q11" s="24"/>
      <c r="R11" s="24"/>
      <c r="S11" s="24"/>
      <c r="T11" s="24"/>
      <c r="U11" s="24"/>
      <c r="V11" s="154">
        <f>qtrSales!J19</f>
        <v>3418</v>
      </c>
      <c r="W11" s="24"/>
      <c r="X11" s="35">
        <f>H11/V11</f>
        <v>0.15014657694558223</v>
      </c>
      <c r="Y11" s="24"/>
      <c r="Z11" s="24"/>
      <c r="AA11" s="24"/>
      <c r="AB11" s="148">
        <f>+qtrSales!Z19</f>
        <v>18.517499999999998</v>
      </c>
      <c r="AC11" s="24"/>
      <c r="AD11" s="165">
        <f>H11/AB11</f>
        <v>27.714378290806</v>
      </c>
      <c r="AE11" s="24"/>
      <c r="AF11" s="24"/>
      <c r="AG11" s="24"/>
      <c r="AH11" s="148">
        <f>+'store&amp;sf'!AQ199</f>
        <v>14.814</v>
      </c>
      <c r="AI11" s="24"/>
      <c r="AJ11" s="165">
        <f>+H11/AH11</f>
        <v>34.642972863507495</v>
      </c>
      <c r="AK11" s="153"/>
      <c r="AL11" s="153"/>
      <c r="AM11" s="153"/>
      <c r="AN11" s="153"/>
      <c r="AO11" s="153"/>
      <c r="AP11" s="153"/>
      <c r="AQ11" s="24"/>
      <c r="AR11" s="24"/>
      <c r="AS11" s="24"/>
      <c r="AT11" s="24"/>
      <c r="AU11" s="24"/>
      <c r="AV11" s="24"/>
      <c r="AW11" s="24"/>
      <c r="AX11" s="24"/>
      <c r="AY11" s="24"/>
    </row>
    <row r="12" spans="1:51" hidden="1" outlineLevel="1">
      <c r="A12" s="24" t="str">
        <f>'qtrP&amp;L'!A11</f>
        <v>2Q</v>
      </c>
      <c r="B12" s="24" t="str">
        <f>'qtrP&amp;L'!B11</f>
        <v>Jul</v>
      </c>
      <c r="C12" s="24"/>
      <c r="D12" s="34">
        <f>'qtrP&amp;L'!F$11</f>
        <v>1154.5619999999999</v>
      </c>
      <c r="E12" s="24"/>
      <c r="F12" s="34">
        <f>'qtrP&amp;L'!F$21</f>
        <v>802.54399999999998</v>
      </c>
      <c r="G12" s="24"/>
      <c r="H12" s="34">
        <f>work!D$11</f>
        <v>561.952</v>
      </c>
      <c r="I12" s="24"/>
      <c r="J12" s="34">
        <f>AVERAGE(H11:H12)</f>
        <v>537.57650000000001</v>
      </c>
      <c r="K12" s="24"/>
      <c r="L12" s="24"/>
      <c r="M12" s="24"/>
      <c r="N12" s="24"/>
      <c r="O12" s="24"/>
      <c r="P12" s="24"/>
      <c r="Q12" s="24"/>
      <c r="R12" s="24"/>
      <c r="S12" s="24"/>
      <c r="T12" s="24"/>
      <c r="U12" s="24"/>
      <c r="V12" s="154">
        <f>qtrSales!J20</f>
        <v>3516</v>
      </c>
      <c r="W12" s="24"/>
      <c r="X12" s="40">
        <f>H12/V12</f>
        <v>0.15982707622298065</v>
      </c>
      <c r="Y12" s="24"/>
      <c r="Z12" s="24"/>
      <c r="AA12" s="24"/>
      <c r="AB12" s="148">
        <f>+qtrSales!Z20</f>
        <v>19.305</v>
      </c>
      <c r="AC12" s="24"/>
      <c r="AD12" s="387">
        <f>H12/AB12</f>
        <v>29.109142709142709</v>
      </c>
      <c r="AE12" s="24"/>
      <c r="AF12" s="24"/>
      <c r="AG12" s="24"/>
      <c r="AH12" s="148">
        <f>+'store&amp;sf'!AQ200</f>
        <v>15.444000000000001</v>
      </c>
      <c r="AI12" s="24"/>
      <c r="AJ12" s="387">
        <f>+H12/AH12</f>
        <v>36.386428386428385</v>
      </c>
      <c r="AK12" s="154"/>
      <c r="AL12" s="154"/>
      <c r="AM12" s="154"/>
      <c r="AN12" s="154"/>
      <c r="AO12" s="154"/>
      <c r="AP12" s="154"/>
      <c r="AQ12" s="24"/>
      <c r="AR12" s="24"/>
      <c r="AS12" s="24"/>
      <c r="AT12" s="24"/>
      <c r="AU12" s="24"/>
      <c r="AV12" s="24"/>
      <c r="AW12" s="24"/>
      <c r="AX12" s="24"/>
      <c r="AY12" s="24"/>
    </row>
    <row r="13" spans="1:51" hidden="1" outlineLevel="1">
      <c r="A13" s="24" t="str">
        <f>'qtrP&amp;L'!A12</f>
        <v>3Q</v>
      </c>
      <c r="B13" s="24" t="str">
        <f>'qtrP&amp;L'!B12</f>
        <v>Oct</v>
      </c>
      <c r="C13" s="24"/>
      <c r="D13" s="34">
        <f>'qtrP&amp;L'!F$12</f>
        <v>1247.893</v>
      </c>
      <c r="E13" s="24"/>
      <c r="F13" s="34">
        <f>'qtrP&amp;L'!F$22</f>
        <v>868.84299999999996</v>
      </c>
      <c r="G13" s="24"/>
      <c r="H13" s="34">
        <f>work!D$12</f>
        <v>745.59299999999996</v>
      </c>
      <c r="I13" s="24"/>
      <c r="J13" s="34">
        <f>AVERAGE(H12:H13)</f>
        <v>653.77250000000004</v>
      </c>
      <c r="K13" s="24"/>
      <c r="L13" s="24"/>
      <c r="M13" s="24"/>
      <c r="N13" s="24"/>
      <c r="O13" s="24"/>
      <c r="P13" s="24"/>
      <c r="Q13" s="24"/>
      <c r="R13" s="24"/>
      <c r="S13" s="24"/>
      <c r="T13" s="24"/>
      <c r="U13" s="24"/>
      <c r="V13" s="154">
        <f>qtrSales!J21</f>
        <v>3689</v>
      </c>
      <c r="W13" s="24"/>
      <c r="X13" s="40">
        <f>H13/V13</f>
        <v>0.20211249661154784</v>
      </c>
      <c r="Y13" s="24"/>
      <c r="Z13" s="24"/>
      <c r="AA13" s="24"/>
      <c r="AB13" s="148">
        <f>+qtrSales!Z21</f>
        <v>20.6875</v>
      </c>
      <c r="AC13" s="24"/>
      <c r="AD13" s="387">
        <f>H13/AB13</f>
        <v>36.040749244712991</v>
      </c>
      <c r="AE13" s="24"/>
      <c r="AF13" s="24"/>
      <c r="AG13" s="24"/>
      <c r="AH13" s="148">
        <f>+'store&amp;sf'!AQ201</f>
        <v>16.55</v>
      </c>
      <c r="AI13" s="24"/>
      <c r="AJ13" s="387">
        <f>+H13/AH13</f>
        <v>45.050936555891234</v>
      </c>
      <c r="AK13" s="154"/>
      <c r="AL13" s="154"/>
      <c r="AM13" s="154"/>
      <c r="AN13" s="154"/>
      <c r="AO13" s="154"/>
      <c r="AP13" s="154"/>
      <c r="AQ13" s="24"/>
      <c r="AR13" s="24"/>
      <c r="AS13" s="24"/>
      <c r="AT13" s="24"/>
      <c r="AU13" s="24"/>
      <c r="AV13" s="24"/>
      <c r="AW13" s="24"/>
      <c r="AX13" s="24"/>
      <c r="AY13" s="24"/>
    </row>
    <row r="14" spans="1:51" hidden="1" outlineLevel="1">
      <c r="A14" s="24" t="str">
        <f>'qtrP&amp;L'!A13</f>
        <v>4Q</v>
      </c>
      <c r="B14" s="24" t="str">
        <f>'qtrP&amp;L'!B13</f>
        <v>Jan</v>
      </c>
      <c r="C14" s="24"/>
      <c r="D14" s="38">
        <f>'qtrP&amp;L'!F$13</f>
        <v>1743.7090000000001</v>
      </c>
      <c r="E14" s="24"/>
      <c r="F14" s="38">
        <f>'qtrP&amp;L'!F$23</f>
        <v>1170.0620000000004</v>
      </c>
      <c r="G14" s="24"/>
      <c r="H14" s="94">
        <f>work!D$13</f>
        <v>585.16600000000005</v>
      </c>
      <c r="I14" s="24"/>
      <c r="J14" s="38">
        <f>AVERAGE(H13:H14)</f>
        <v>665.37950000000001</v>
      </c>
      <c r="K14" s="24"/>
      <c r="L14" s="30"/>
      <c r="M14" s="24"/>
      <c r="N14" s="24"/>
      <c r="O14" s="24"/>
      <c r="P14" s="24"/>
      <c r="Q14" s="24"/>
      <c r="R14" s="24"/>
      <c r="S14" s="24"/>
      <c r="T14" s="24"/>
      <c r="U14" s="24"/>
      <c r="V14" s="154">
        <f>qtrSales!J22</f>
        <v>3755</v>
      </c>
      <c r="W14" s="24"/>
      <c r="X14" s="40">
        <f>H14/V14</f>
        <v>0.15583648468708391</v>
      </c>
      <c r="Y14" s="24"/>
      <c r="Z14" s="24"/>
      <c r="AA14" s="24"/>
      <c r="AB14" s="148">
        <f>+qtrSales!Z22</f>
        <v>21.259999999999998</v>
      </c>
      <c r="AC14" s="24"/>
      <c r="AD14" s="387">
        <f>H14/AB14</f>
        <v>27.524270931326441</v>
      </c>
      <c r="AE14" s="24"/>
      <c r="AF14" s="24"/>
      <c r="AG14" s="24"/>
      <c r="AH14" s="148">
        <f>+'store&amp;sf'!AQ202</f>
        <v>17.007999999999999</v>
      </c>
      <c r="AI14" s="24"/>
      <c r="AJ14" s="387">
        <f>+H14/AH14</f>
        <v>34.405338664158052</v>
      </c>
      <c r="AK14" s="154"/>
      <c r="AL14" s="154"/>
      <c r="AM14" s="154"/>
      <c r="AN14" s="154"/>
      <c r="AO14" s="154"/>
      <c r="AP14" s="154"/>
      <c r="AQ14" s="24"/>
      <c r="AR14" s="24"/>
      <c r="AS14" s="24"/>
      <c r="AT14" s="24"/>
      <c r="AU14" s="24"/>
      <c r="AV14" s="24"/>
      <c r="AW14" s="24"/>
      <c r="AX14" s="24"/>
      <c r="AY14" s="24"/>
    </row>
    <row r="15" spans="1:51" hidden="1" outlineLevel="1">
      <c r="A15" s="24"/>
      <c r="B15" s="24" t="str">
        <f>'qtrP&amp;L'!B14</f>
        <v>Year</v>
      </c>
      <c r="C15" s="24"/>
      <c r="D15" s="33">
        <f>SUM(D11:D14)</f>
        <v>5253.509</v>
      </c>
      <c r="E15" s="24"/>
      <c r="F15" s="33">
        <f>'qtrP&amp;L'!V24</f>
        <v>5206.4290000000001</v>
      </c>
      <c r="G15" s="24"/>
      <c r="H15" s="24"/>
      <c r="I15" s="24"/>
      <c r="J15" s="33">
        <f>AVERAGE(J11:J14)</f>
        <v>592.48237500000005</v>
      </c>
      <c r="K15" s="24"/>
      <c r="L15" s="30"/>
      <c r="M15" s="24"/>
      <c r="N15" s="24"/>
      <c r="O15" s="24"/>
      <c r="P15" s="24"/>
      <c r="Q15" s="24"/>
      <c r="R15" s="30"/>
      <c r="S15" s="30"/>
      <c r="T15" s="24"/>
      <c r="U15" s="24"/>
      <c r="V15" s="154"/>
      <c r="W15" s="24"/>
      <c r="X15" s="24"/>
      <c r="Y15" s="24"/>
      <c r="Z15" s="24"/>
      <c r="AA15" s="24"/>
      <c r="AB15" s="148"/>
      <c r="AC15" s="24"/>
      <c r="AD15" s="387"/>
      <c r="AE15" s="24"/>
      <c r="AF15" s="24"/>
      <c r="AG15" s="24"/>
      <c r="AH15" s="148"/>
      <c r="AI15" s="24"/>
      <c r="AJ15" s="387"/>
      <c r="AK15" s="24"/>
      <c r="AL15" s="24"/>
      <c r="AM15" s="24"/>
      <c r="AN15" s="24"/>
      <c r="AO15" s="24"/>
      <c r="AP15" s="24"/>
      <c r="AQ15" s="24"/>
      <c r="AR15" s="24"/>
      <c r="AS15" s="24"/>
      <c r="AT15" s="24"/>
      <c r="AU15" s="24"/>
      <c r="AV15" s="24"/>
      <c r="AW15" s="24"/>
      <c r="AX15" s="24"/>
      <c r="AY15" s="24"/>
    </row>
    <row r="16" spans="1:51" hidden="1" outlineLevel="1">
      <c r="A16" s="24"/>
      <c r="B16" s="24"/>
      <c r="C16" s="24"/>
      <c r="D16" s="24"/>
      <c r="E16" s="24"/>
      <c r="F16" s="24"/>
      <c r="G16" s="24"/>
      <c r="H16" s="24"/>
      <c r="I16" s="24"/>
      <c r="J16" s="24"/>
      <c r="K16" s="24"/>
      <c r="L16" s="24"/>
      <c r="M16" s="24"/>
      <c r="N16" s="24"/>
      <c r="O16" s="24"/>
      <c r="P16" s="24"/>
      <c r="Q16" s="24"/>
      <c r="R16" s="24"/>
      <c r="S16" s="24"/>
      <c r="T16" s="24"/>
      <c r="U16" s="24"/>
      <c r="V16" s="154"/>
      <c r="W16" s="24"/>
      <c r="X16" s="24"/>
      <c r="Y16" s="24"/>
      <c r="Z16" s="24"/>
      <c r="AA16" s="24"/>
      <c r="AB16" s="148"/>
      <c r="AC16" s="24"/>
      <c r="AD16" s="24"/>
      <c r="AE16" s="24"/>
      <c r="AF16" s="24"/>
      <c r="AG16" s="24"/>
      <c r="AH16" s="148"/>
      <c r="AI16" s="24"/>
      <c r="AJ16" s="24"/>
      <c r="AK16" s="24"/>
      <c r="AL16" s="24"/>
      <c r="AM16" s="24"/>
      <c r="AN16" s="24"/>
      <c r="AO16" s="24"/>
      <c r="AP16" s="24"/>
      <c r="AQ16" s="24"/>
      <c r="AR16" s="24"/>
      <c r="AS16" s="24"/>
      <c r="AT16" s="24"/>
      <c r="AU16" s="24"/>
      <c r="AV16" s="24"/>
      <c r="AW16" s="24"/>
      <c r="AX16" s="24"/>
      <c r="AY16" s="24"/>
    </row>
    <row r="17" spans="1:51" hidden="1" outlineLevel="1" collapsed="1">
      <c r="A17" s="24"/>
      <c r="B17" s="75">
        <f>B10+1</f>
        <v>1991</v>
      </c>
      <c r="C17" s="24"/>
      <c r="D17" s="24"/>
      <c r="E17" s="24"/>
      <c r="F17" s="24"/>
      <c r="G17" s="24"/>
      <c r="H17" s="24"/>
      <c r="I17" s="24"/>
      <c r="J17" s="24"/>
      <c r="K17" s="24"/>
      <c r="L17" s="24"/>
      <c r="M17" s="24"/>
      <c r="N17" s="24"/>
      <c r="O17" s="24"/>
      <c r="P17" s="24"/>
      <c r="Q17" s="24"/>
      <c r="R17" s="24"/>
      <c r="S17" s="24"/>
      <c r="T17" s="24"/>
      <c r="U17" s="24"/>
      <c r="V17" s="154"/>
      <c r="W17" s="24"/>
      <c r="X17" s="24"/>
      <c r="Y17" s="24"/>
      <c r="Z17" s="24"/>
      <c r="AA17" s="24"/>
      <c r="AB17" s="148"/>
      <c r="AC17" s="24"/>
      <c r="AD17" s="24"/>
      <c r="AE17" s="24"/>
      <c r="AF17" s="24"/>
      <c r="AG17" s="24"/>
      <c r="AH17" s="24"/>
      <c r="AI17" s="24"/>
      <c r="AJ17" s="24"/>
      <c r="AK17" s="24"/>
      <c r="AL17" s="24"/>
      <c r="AM17" s="24"/>
      <c r="AN17" s="24"/>
      <c r="AO17" s="24"/>
      <c r="AP17" s="24"/>
      <c r="AQ17" s="24"/>
      <c r="AR17" s="24"/>
      <c r="AS17" s="24"/>
      <c r="AT17" s="24"/>
      <c r="AU17" s="24"/>
      <c r="AV17" s="24"/>
      <c r="AW17" s="24"/>
      <c r="AX17" s="24"/>
      <c r="AY17" s="24"/>
    </row>
    <row r="18" spans="1:51" hidden="1" outlineLevel="1">
      <c r="A18" s="24" t="str">
        <f>$A$11</f>
        <v>1Q</v>
      </c>
      <c r="B18" s="24" t="str">
        <f>$B$11</f>
        <v>Apr</v>
      </c>
      <c r="C18" s="24"/>
      <c r="D18" s="33">
        <f>'qtrP&amp;L'!J$10</f>
        <v>1284.482</v>
      </c>
      <c r="E18" s="24"/>
      <c r="F18" s="33">
        <f>'qtrP&amp;L'!J$20</f>
        <v>941.83299999999997</v>
      </c>
      <c r="G18" s="24"/>
      <c r="H18" s="33">
        <f>work!F$10</f>
        <v>615.20600000000002</v>
      </c>
      <c r="I18" s="24"/>
      <c r="J18" s="33">
        <f>AVERAGE(H17:H18)</f>
        <v>615.20600000000002</v>
      </c>
      <c r="K18" s="24"/>
      <c r="L18" s="43">
        <f>(D18/D11-1)*100</f>
        <v>15.996550307266478</v>
      </c>
      <c r="M18" s="24" t="s">
        <v>1084</v>
      </c>
      <c r="N18" s="43">
        <f>(H18/H11-1)*100</f>
        <v>19.876227832759486</v>
      </c>
      <c r="O18" s="24" t="s">
        <v>1084</v>
      </c>
      <c r="P18" s="43">
        <f>(H18/H14-1)*100</f>
        <v>5.1335860251620735</v>
      </c>
      <c r="Q18" s="24" t="s">
        <v>1084</v>
      </c>
      <c r="R18" s="40">
        <f>F18/J18</f>
        <v>1.530922975393608</v>
      </c>
      <c r="S18" s="24" t="s">
        <v>1200</v>
      </c>
      <c r="T18" s="40">
        <f>F19/H18</f>
        <v>1.6021657786172436</v>
      </c>
      <c r="U18" s="24" t="s">
        <v>1200</v>
      </c>
      <c r="V18" s="154">
        <f>qtrSales!J26</f>
        <v>3802</v>
      </c>
      <c r="W18" s="24"/>
      <c r="X18" s="35">
        <f>H18/V18</f>
        <v>0.16181115202524987</v>
      </c>
      <c r="Y18" s="24"/>
      <c r="Z18" s="85">
        <f>(X18/X11-1)*100</f>
        <v>7.7687918812130219</v>
      </c>
      <c r="AA18" s="143" t="s">
        <v>1084</v>
      </c>
      <c r="AB18" s="148">
        <f>+qtrSales!Z26</f>
        <v>21.656249999999996</v>
      </c>
      <c r="AC18" s="24"/>
      <c r="AD18" s="165">
        <f>H18/AB18</f>
        <v>28.40778066378067</v>
      </c>
      <c r="AE18" s="24"/>
      <c r="AF18" s="85">
        <f>(AD18/AD11-1)*100</f>
        <v>2.5019589676478438</v>
      </c>
      <c r="AG18" s="143" t="s">
        <v>1084</v>
      </c>
      <c r="AH18" s="148">
        <f>+'store&amp;sf'!AQ205</f>
        <v>17.324999999999999</v>
      </c>
      <c r="AI18" s="24"/>
      <c r="AJ18" s="165">
        <f>+H18/AH18</f>
        <v>35.509725829725831</v>
      </c>
      <c r="AK18" s="153"/>
      <c r="AL18" s="153"/>
      <c r="AM18" s="153"/>
      <c r="AN18" s="153"/>
      <c r="AO18" s="153"/>
      <c r="AP18" s="153"/>
      <c r="AQ18" s="24"/>
      <c r="AR18" s="24"/>
      <c r="AS18" s="24"/>
      <c r="AT18" s="24"/>
      <c r="AU18" s="24"/>
      <c r="AV18" s="24"/>
      <c r="AW18" s="24"/>
      <c r="AX18" s="24"/>
      <c r="AY18" s="24"/>
    </row>
    <row r="19" spans="1:51" hidden="1" outlineLevel="1">
      <c r="A19" s="24" t="str">
        <f>$A$12</f>
        <v>2Q</v>
      </c>
      <c r="B19" s="24" t="str">
        <f>$B$12</f>
        <v>Jul</v>
      </c>
      <c r="C19" s="24"/>
      <c r="D19" s="34">
        <f>'qtrP&amp;L'!J$11</f>
        <v>1375.1849999999999</v>
      </c>
      <c r="E19" s="24"/>
      <c r="F19" s="34">
        <f>'qtrP&amp;L'!J$21</f>
        <v>985.66200000000003</v>
      </c>
      <c r="G19" s="24"/>
      <c r="H19" s="34">
        <f>work!F$11</f>
        <v>718.50199999999995</v>
      </c>
      <c r="I19" s="24"/>
      <c r="J19" s="34">
        <f>AVERAGE(H18:H19)</f>
        <v>666.85400000000004</v>
      </c>
      <c r="K19" s="24"/>
      <c r="L19" s="43">
        <f>(D19/D12-1)*100</f>
        <v>19.108804897441622</v>
      </c>
      <c r="M19" s="24"/>
      <c r="N19" s="43">
        <f>(H19/H12-1)*100</f>
        <v>27.858251238539932</v>
      </c>
      <c r="O19" s="24"/>
      <c r="P19" s="43">
        <f>(H19/H18-1)*100</f>
        <v>16.790473434914468</v>
      </c>
      <c r="Q19" s="24"/>
      <c r="R19" s="40">
        <f>F19/J19</f>
        <v>1.4780776601774901</v>
      </c>
      <c r="S19" s="24"/>
      <c r="T19" s="40">
        <f>F20/H19</f>
        <v>1.4384511107832685</v>
      </c>
      <c r="U19" s="24"/>
      <c r="V19" s="154">
        <f>qtrSales!J27</f>
        <v>3894</v>
      </c>
      <c r="W19" s="24"/>
      <c r="X19" s="40">
        <f>H19/V19</f>
        <v>0.18451515151515149</v>
      </c>
      <c r="Y19" s="24"/>
      <c r="Z19" s="85">
        <f>(X19/X12-1)*100</f>
        <v>15.446741488111559</v>
      </c>
      <c r="AA19" s="24"/>
      <c r="AB19" s="148">
        <f>qtrSales!Z27</f>
        <v>22.545000000000002</v>
      </c>
      <c r="AC19" s="24"/>
      <c r="AD19" s="387">
        <f>H19/AB19</f>
        <v>31.869682856509201</v>
      </c>
      <c r="AE19" s="24"/>
      <c r="AF19" s="85">
        <f>(AD19/AD12-1)*100</f>
        <v>9.4834127371928858</v>
      </c>
      <c r="AG19" s="24"/>
      <c r="AH19" s="148">
        <f>+'store&amp;sf'!AQ206</f>
        <v>18.036000000000001</v>
      </c>
      <c r="AI19" s="24"/>
      <c r="AJ19" s="387">
        <f>+H19/AH19</f>
        <v>39.837103570636501</v>
      </c>
      <c r="AK19" s="154"/>
      <c r="AL19" s="154"/>
      <c r="AM19" s="154"/>
      <c r="AN19" s="154"/>
      <c r="AO19" s="154"/>
      <c r="AP19" s="154"/>
      <c r="AQ19" s="24"/>
      <c r="AR19" s="24"/>
      <c r="AS19" s="24"/>
      <c r="AT19" s="24"/>
      <c r="AU19" s="24"/>
      <c r="AV19" s="24"/>
      <c r="AW19" s="24"/>
      <c r="AX19" s="24"/>
      <c r="AY19" s="24"/>
    </row>
    <row r="20" spans="1:51" hidden="1" outlineLevel="1">
      <c r="A20" s="24" t="str">
        <f>$A$13</f>
        <v>3Q</v>
      </c>
      <c r="B20" s="24" t="str">
        <f>$B$13</f>
        <v>Oct</v>
      </c>
      <c r="C20" s="24"/>
      <c r="D20" s="34">
        <f>'qtrP&amp;L'!J$12</f>
        <v>1433.412</v>
      </c>
      <c r="E20" s="24"/>
      <c r="F20" s="34">
        <f>'qtrP&amp;L'!J$22</f>
        <v>1033.53</v>
      </c>
      <c r="G20" s="24"/>
      <c r="H20" s="34">
        <f>work!F$12</f>
        <v>919.49400000000003</v>
      </c>
      <c r="I20" s="24"/>
      <c r="J20" s="34">
        <f>AVERAGE(H19:H20)</f>
        <v>818.99800000000005</v>
      </c>
      <c r="K20" s="24"/>
      <c r="L20" s="43">
        <f>(D20/D13-1)*100</f>
        <v>14.86657910574063</v>
      </c>
      <c r="M20" s="24"/>
      <c r="N20" s="43">
        <f>(H20/H13-1)*100</f>
        <v>23.323850948171465</v>
      </c>
      <c r="O20" s="24"/>
      <c r="P20" s="43">
        <f>(H20/H19-1)*100</f>
        <v>27.973756510072366</v>
      </c>
      <c r="Q20" s="24"/>
      <c r="R20" s="40">
        <f>F20/J20</f>
        <v>1.261944473612878</v>
      </c>
      <c r="S20" s="24"/>
      <c r="T20" s="40">
        <f>F21/H20</f>
        <v>1.5167581300149866</v>
      </c>
      <c r="U20" s="24"/>
      <c r="V20" s="154">
        <f>qtrSales!J28</f>
        <v>4087</v>
      </c>
      <c r="W20" s="24"/>
      <c r="X20" s="40">
        <f>H20/V20</f>
        <v>0.22498018106190359</v>
      </c>
      <c r="Y20" s="24"/>
      <c r="Z20" s="85">
        <f>(X20/X13-1)*100</f>
        <v>11.314334756007959</v>
      </c>
      <c r="AA20" s="24"/>
      <c r="AB20" s="148">
        <f>qtrSales!Z28</f>
        <v>24.346250000000001</v>
      </c>
      <c r="AC20" s="24"/>
      <c r="AD20" s="387">
        <f>H20/AB20</f>
        <v>37.76737690609437</v>
      </c>
      <c r="AE20" s="24"/>
      <c r="AF20" s="85">
        <f>(AD20/AD13-1)*100</f>
        <v>4.7907651687753683</v>
      </c>
      <c r="AG20" s="24"/>
      <c r="AH20" s="148">
        <f>+'store&amp;sf'!AQ207</f>
        <v>19.477</v>
      </c>
      <c r="AI20" s="24"/>
      <c r="AJ20" s="387">
        <f>+H20/AH20</f>
        <v>47.209221132617962</v>
      </c>
      <c r="AK20" s="154"/>
      <c r="AL20" s="154"/>
      <c r="AM20" s="154"/>
      <c r="AN20" s="154"/>
      <c r="AO20" s="154"/>
      <c r="AP20" s="154"/>
      <c r="AQ20" s="24"/>
      <c r="AR20" s="24"/>
      <c r="AS20" s="24"/>
      <c r="AT20" s="24"/>
      <c r="AU20" s="24"/>
      <c r="AV20" s="24"/>
      <c r="AW20" s="24"/>
      <c r="AX20" s="24"/>
      <c r="AY20" s="24"/>
    </row>
    <row r="21" spans="1:51" hidden="1" outlineLevel="1">
      <c r="A21" s="24" t="str">
        <f>$A$14</f>
        <v>4Q</v>
      </c>
      <c r="B21" s="24" t="str">
        <f>$B$14</f>
        <v>Jan</v>
      </c>
      <c r="C21" s="24"/>
      <c r="D21" s="38">
        <f>'qtrP&amp;L'!J$13</f>
        <v>2056.1389999999997</v>
      </c>
      <c r="E21" s="24"/>
      <c r="F21" s="38">
        <f>'qtrP&amp;L'!J$23</f>
        <v>1394.65</v>
      </c>
      <c r="G21" s="24"/>
      <c r="H21" s="94">
        <f>work!F$13</f>
        <v>730.05</v>
      </c>
      <c r="I21" s="24"/>
      <c r="J21" s="38">
        <f>AVERAGE(H20:H21)</f>
        <v>824.77199999999993</v>
      </c>
      <c r="K21" s="24"/>
      <c r="L21" s="84">
        <f>(D21/D14-1)*100</f>
        <v>17.917553903776362</v>
      </c>
      <c r="M21" s="24"/>
      <c r="N21" s="85">
        <f>(H21/H14-1)*100</f>
        <v>24.759469962369639</v>
      </c>
      <c r="O21" s="24"/>
      <c r="P21" s="85">
        <f>(H21/H20-1)*100</f>
        <v>-20.603070819385451</v>
      </c>
      <c r="Q21" s="24"/>
      <c r="R21" s="40">
        <f>F21/J21</f>
        <v>1.6909521661744096</v>
      </c>
      <c r="S21" s="24"/>
      <c r="T21" s="40">
        <f>F25/H21</f>
        <v>1.4486144784603794</v>
      </c>
      <c r="U21" s="24"/>
      <c r="V21" s="154">
        <f>qtrSales!J29</f>
        <v>4194</v>
      </c>
      <c r="W21" s="24"/>
      <c r="X21" s="40">
        <f>H21/V21</f>
        <v>0.17407010014306151</v>
      </c>
      <c r="Y21" s="24"/>
      <c r="Z21" s="85">
        <f>(X21/X14-1)*100</f>
        <v>11.700479186623269</v>
      </c>
      <c r="AA21" s="24"/>
      <c r="AB21" s="148">
        <f>qtrSales!Z29</f>
        <v>25.443749999999998</v>
      </c>
      <c r="AC21" s="24"/>
      <c r="AD21" s="387">
        <f>H21/AB21</f>
        <v>28.692704495210023</v>
      </c>
      <c r="AE21" s="24"/>
      <c r="AF21" s="85">
        <f>(AD21/AD14-1)*100</f>
        <v>4.2451026833693284</v>
      </c>
      <c r="AG21" s="24"/>
      <c r="AH21" s="148">
        <f>+'store&amp;sf'!AQ208</f>
        <v>20.354999999999997</v>
      </c>
      <c r="AI21" s="24"/>
      <c r="AJ21" s="387">
        <f>+H21/AH21</f>
        <v>35.865880619012529</v>
      </c>
      <c r="AK21" s="154"/>
      <c r="AL21" s="154"/>
      <c r="AM21" s="154"/>
      <c r="AN21" s="154"/>
      <c r="AO21" s="154"/>
      <c r="AP21" s="154"/>
      <c r="AQ21" s="24"/>
      <c r="AR21" s="24"/>
      <c r="AS21" s="24"/>
      <c r="AT21" s="24"/>
      <c r="AU21" s="24"/>
      <c r="AV21" s="24"/>
      <c r="AW21" s="24"/>
      <c r="AX21" s="24"/>
      <c r="AY21" s="24"/>
    </row>
    <row r="22" spans="1:51" hidden="1" outlineLevel="1">
      <c r="A22" s="24"/>
      <c r="B22" s="24" t="str">
        <f>$B$15</f>
        <v>Year</v>
      </c>
      <c r="C22" s="24"/>
      <c r="D22" s="33">
        <f>SUM(D18:D21)</f>
        <v>6149.2179999999989</v>
      </c>
      <c r="E22" s="24"/>
      <c r="F22" s="33">
        <f>SUM(F18:F21)</f>
        <v>4355.6749999999993</v>
      </c>
      <c r="G22" s="24"/>
      <c r="H22" s="24"/>
      <c r="I22" s="24"/>
      <c r="J22" s="33">
        <f>AVERAGE(J18:J21)</f>
        <v>731.45749999999998</v>
      </c>
      <c r="K22" s="24"/>
      <c r="L22" s="43">
        <f>(D22/D15-1)*100</f>
        <v>17.049728096021145</v>
      </c>
      <c r="M22" s="24"/>
      <c r="N22" s="85"/>
      <c r="O22" s="24"/>
      <c r="P22" s="24"/>
      <c r="Q22" s="24"/>
      <c r="R22" s="86">
        <f>F22/J22</f>
        <v>5.9547888975094239</v>
      </c>
      <c r="S22" s="83" t="s">
        <v>1200</v>
      </c>
      <c r="T22" s="24"/>
      <c r="U22" s="24"/>
      <c r="V22" s="154"/>
      <c r="W22" s="24"/>
      <c r="X22" s="24"/>
      <c r="Y22" s="24"/>
      <c r="Z22" s="24"/>
      <c r="AA22" s="24"/>
      <c r="AB22" s="148"/>
      <c r="AC22" s="24"/>
      <c r="AD22" s="387"/>
      <c r="AE22" s="24"/>
      <c r="AF22" s="24"/>
      <c r="AG22" s="24"/>
      <c r="AH22" s="148"/>
      <c r="AI22" s="24"/>
      <c r="AJ22" s="387"/>
      <c r="AK22" s="24"/>
      <c r="AL22" s="24"/>
      <c r="AM22" s="24"/>
      <c r="AN22" s="24"/>
      <c r="AO22" s="24"/>
      <c r="AP22" s="24"/>
      <c r="AQ22" s="24"/>
      <c r="AR22" s="24"/>
      <c r="AS22" s="24"/>
      <c r="AT22" s="24"/>
      <c r="AU22" s="24"/>
      <c r="AV22" s="24"/>
      <c r="AW22" s="24"/>
      <c r="AX22" s="24"/>
      <c r="AY22" s="24"/>
    </row>
    <row r="23" spans="1:51" hidden="1" outlineLevel="1">
      <c r="A23" s="24"/>
      <c r="B23" s="24"/>
      <c r="C23" s="24"/>
      <c r="D23" s="24"/>
      <c r="E23" s="24"/>
      <c r="F23" s="24"/>
      <c r="G23" s="24"/>
      <c r="H23" s="24"/>
      <c r="I23" s="24"/>
      <c r="J23" s="24"/>
      <c r="K23" s="24"/>
      <c r="L23" s="24"/>
      <c r="M23" s="24"/>
      <c r="N23" s="24"/>
      <c r="O23" s="24"/>
      <c r="P23" s="24"/>
      <c r="Q23" s="24"/>
      <c r="R23" s="24"/>
      <c r="S23" s="24"/>
      <c r="T23" s="24"/>
      <c r="U23" s="24"/>
      <c r="V23" s="154"/>
      <c r="W23" s="24"/>
      <c r="X23" s="24"/>
      <c r="Y23" s="24"/>
      <c r="Z23" s="24"/>
      <c r="AA23" s="24"/>
      <c r="AB23" s="148"/>
      <c r="AC23" s="24"/>
      <c r="AD23" s="24"/>
      <c r="AE23" s="24"/>
      <c r="AF23" s="24"/>
      <c r="AG23" s="24"/>
      <c r="AH23" s="148"/>
      <c r="AI23" s="24"/>
      <c r="AJ23" s="24"/>
      <c r="AK23" s="24"/>
      <c r="AL23" s="24"/>
      <c r="AM23" s="24"/>
      <c r="AN23" s="24"/>
      <c r="AO23" s="24"/>
      <c r="AP23" s="24"/>
      <c r="AQ23" s="24"/>
      <c r="AR23" s="24"/>
      <c r="AS23" s="24"/>
      <c r="AT23" s="24"/>
      <c r="AU23" s="24"/>
      <c r="AV23" s="24"/>
      <c r="AW23" s="24"/>
      <c r="AX23" s="24"/>
      <c r="AY23" s="24"/>
    </row>
    <row r="24" spans="1:51" hidden="1" outlineLevel="1">
      <c r="A24" s="24"/>
      <c r="B24" s="75">
        <f>B17+1</f>
        <v>1992</v>
      </c>
      <c r="C24" s="24"/>
      <c r="D24" s="24"/>
      <c r="E24" s="24"/>
      <c r="F24" s="24"/>
      <c r="G24" s="24"/>
      <c r="H24" s="24"/>
      <c r="I24" s="24"/>
      <c r="J24" s="24"/>
      <c r="K24" s="24"/>
      <c r="L24" s="24"/>
      <c r="M24" s="24"/>
      <c r="N24" s="24"/>
      <c r="O24" s="24"/>
      <c r="P24" s="24"/>
      <c r="Q24" s="24"/>
      <c r="R24" s="24"/>
      <c r="S24" s="24"/>
      <c r="T24" s="24"/>
      <c r="U24" s="24"/>
      <c r="V24" s="154"/>
      <c r="W24" s="24"/>
      <c r="X24" s="24"/>
      <c r="Y24" s="24"/>
      <c r="Z24" s="24"/>
      <c r="AA24" s="24"/>
      <c r="AB24" s="148"/>
      <c r="AC24" s="24"/>
      <c r="AD24" s="24"/>
      <c r="AE24" s="24"/>
      <c r="AF24" s="24"/>
      <c r="AG24" s="24"/>
      <c r="AH24" s="24"/>
      <c r="AI24" s="24"/>
      <c r="AJ24" s="24"/>
      <c r="AK24" s="24"/>
      <c r="AL24" s="24"/>
      <c r="AM24" s="24"/>
      <c r="AN24" s="24"/>
      <c r="AO24" s="24"/>
      <c r="AP24" s="24"/>
      <c r="AQ24" s="24"/>
      <c r="AR24" s="24"/>
      <c r="AS24" s="24"/>
      <c r="AT24" s="24"/>
      <c r="AU24" s="24"/>
      <c r="AV24" s="24"/>
      <c r="AW24" s="24"/>
      <c r="AX24" s="24"/>
      <c r="AY24" s="24"/>
    </row>
    <row r="25" spans="1:51" hidden="1" outlineLevel="1">
      <c r="A25" s="24" t="str">
        <f>$A$11</f>
        <v>1Q</v>
      </c>
      <c r="B25" s="24" t="str">
        <f>$B$11</f>
        <v>Apr</v>
      </c>
      <c r="C25" s="24"/>
      <c r="D25" s="33">
        <f>'qtrP&amp;L'!N$10</f>
        <v>1415.625</v>
      </c>
      <c r="E25" s="24"/>
      <c r="F25" s="33">
        <f>'qtrP&amp;L'!N$20</f>
        <v>1057.5609999999999</v>
      </c>
      <c r="G25" s="24"/>
      <c r="H25" s="33">
        <f>work!J$10</f>
        <v>760.58500000000004</v>
      </c>
      <c r="I25" s="24"/>
      <c r="J25" s="33">
        <f>AVERAGE(H24:H25)</f>
        <v>760.58500000000004</v>
      </c>
      <c r="K25" s="24"/>
      <c r="L25" s="43">
        <f>(D25/D18-1)*100</f>
        <v>10.209796633973856</v>
      </c>
      <c r="M25" s="24" t="s">
        <v>1084</v>
      </c>
      <c r="N25" s="43">
        <f>(H25/H18-1)*100</f>
        <v>23.630946382187435</v>
      </c>
      <c r="O25" s="24" t="s">
        <v>1084</v>
      </c>
      <c r="P25" s="43">
        <f>(H25/H21-1)*100</f>
        <v>4.1825902335456577</v>
      </c>
      <c r="Q25" s="24" t="s">
        <v>1084</v>
      </c>
      <c r="R25" s="40">
        <f>F25/J25</f>
        <v>1.3904573453328686</v>
      </c>
      <c r="S25" s="24" t="s">
        <v>1200</v>
      </c>
      <c r="T25" s="40">
        <f>F26/H25</f>
        <v>1.417936193850786</v>
      </c>
      <c r="U25" s="24" t="s">
        <v>1200</v>
      </c>
      <c r="V25" s="154">
        <f>qtrSales!J33</f>
        <v>4257</v>
      </c>
      <c r="W25" s="24"/>
      <c r="X25" s="35">
        <f>H25/V25</f>
        <v>0.17866690157387832</v>
      </c>
      <c r="Y25" s="24"/>
      <c r="Z25" s="85">
        <f>(X25/X18-1)*100</f>
        <v>10.416926977936726</v>
      </c>
      <c r="AA25" s="143" t="s">
        <v>1084</v>
      </c>
      <c r="AB25" s="148">
        <f>qtrSales!Z33</f>
        <v>26.052499999999998</v>
      </c>
      <c r="AC25" s="24"/>
      <c r="AD25" s="165">
        <f>H25/AB25</f>
        <v>29.194319163228101</v>
      </c>
      <c r="AE25" s="24"/>
      <c r="AF25" s="85">
        <f>(AD25/AD18-1)*100</f>
        <v>2.7687432142499357</v>
      </c>
      <c r="AG25" s="143" t="s">
        <v>1084</v>
      </c>
      <c r="AH25" s="148">
        <f>+'store&amp;sf'!AQ211</f>
        <v>20.841999999999999</v>
      </c>
      <c r="AI25" s="24"/>
      <c r="AJ25" s="165">
        <f>+H25/AH25</f>
        <v>36.492898954035127</v>
      </c>
      <c r="AK25" s="153"/>
      <c r="AL25" s="153"/>
      <c r="AM25" s="153"/>
      <c r="AN25" s="153"/>
      <c r="AO25" s="153"/>
      <c r="AP25" s="153"/>
      <c r="AQ25" s="24"/>
      <c r="AR25" s="24"/>
      <c r="AS25" s="24"/>
      <c r="AT25" s="24"/>
      <c r="AU25" s="24"/>
      <c r="AV25" s="24"/>
      <c r="AW25" s="24"/>
      <c r="AX25" s="24"/>
      <c r="AY25" s="24"/>
    </row>
    <row r="26" spans="1:51" hidden="1" outlineLevel="1">
      <c r="A26" s="24" t="str">
        <f>$A$12</f>
        <v>2Q</v>
      </c>
      <c r="B26" s="24" t="str">
        <f>$B$12</f>
        <v>Jul</v>
      </c>
      <c r="C26" s="24"/>
      <c r="D26" s="34">
        <f>'qtrP&amp;L'!N$11</f>
        <v>1489.393</v>
      </c>
      <c r="E26" s="24"/>
      <c r="F26" s="34">
        <f>'qtrP&amp;L'!N$21</f>
        <v>1078.461</v>
      </c>
      <c r="G26" s="24"/>
      <c r="H26" s="34">
        <f>work!J$11</f>
        <v>826.45600000000002</v>
      </c>
      <c r="I26" s="24"/>
      <c r="J26" s="34">
        <f>AVERAGE(H25:H26)</f>
        <v>793.52050000000008</v>
      </c>
      <c r="K26" s="24"/>
      <c r="L26" s="43">
        <f>(D26/D19-1)*100</f>
        <v>8.3049189745379781</v>
      </c>
      <c r="M26" s="24"/>
      <c r="N26" s="43">
        <f>(H26/H19-1)*100</f>
        <v>15.024871190337684</v>
      </c>
      <c r="O26" s="24"/>
      <c r="P26" s="43">
        <f>(H26/H25-1)*100</f>
        <v>8.6605704819316731</v>
      </c>
      <c r="Q26" s="24"/>
      <c r="R26" s="40">
        <f>F26/J26</f>
        <v>1.3590839808171307</v>
      </c>
      <c r="S26" s="24"/>
      <c r="T26" s="40">
        <f>F27/H26</f>
        <v>1.4167711287715254</v>
      </c>
      <c r="U26" s="24"/>
      <c r="V26" s="154">
        <f>qtrSales!J34</f>
        <v>4315</v>
      </c>
      <c r="W26" s="24"/>
      <c r="X26" s="40">
        <f>H26/V26</f>
        <v>0.19153093858632678</v>
      </c>
      <c r="Y26" s="24"/>
      <c r="Z26" s="85">
        <f>(X26/X19-1)*100</f>
        <v>3.8022823673638406</v>
      </c>
      <c r="AA26" s="24"/>
      <c r="AB26" s="148">
        <f>qtrSales!Z34</f>
        <v>26.88</v>
      </c>
      <c r="AC26" s="24"/>
      <c r="AD26" s="387">
        <f>H26/AB26</f>
        <v>30.746130952380955</v>
      </c>
      <c r="AE26" s="24"/>
      <c r="AF26" s="85">
        <f>(AD26/AD19-1)*100</f>
        <v>-3.5254568085504645</v>
      </c>
      <c r="AG26" s="24"/>
      <c r="AH26" s="148">
        <f>+'store&amp;sf'!AQ212</f>
        <v>21.504000000000001</v>
      </c>
      <c r="AI26" s="24"/>
      <c r="AJ26" s="387">
        <f>+H26/AH26</f>
        <v>38.43266369047619</v>
      </c>
      <c r="AK26" s="154"/>
      <c r="AL26" s="154"/>
      <c r="AM26" s="154"/>
      <c r="AN26" s="154"/>
      <c r="AO26" s="154"/>
      <c r="AP26" s="154"/>
      <c r="AQ26" s="24"/>
      <c r="AR26" s="24"/>
      <c r="AS26" s="24"/>
      <c r="AT26" s="24"/>
      <c r="AU26" s="24"/>
      <c r="AV26" s="24"/>
      <c r="AW26" s="24"/>
      <c r="AX26" s="24"/>
      <c r="AY26" s="24"/>
    </row>
    <row r="27" spans="1:51" hidden="1" outlineLevel="1">
      <c r="A27" s="24" t="str">
        <f>$A$13</f>
        <v>3Q</v>
      </c>
      <c r="B27" s="24" t="str">
        <f>$B$13</f>
        <v>Oct</v>
      </c>
      <c r="C27" s="24"/>
      <c r="D27" s="34">
        <f>'qtrP&amp;L'!N$12</f>
        <v>1611.32</v>
      </c>
      <c r="E27" s="24"/>
      <c r="F27" s="34">
        <f>'qtrP&amp;L'!N$22</f>
        <v>1170.8989999999999</v>
      </c>
      <c r="G27" s="24"/>
      <c r="H27" s="34">
        <f>work!J$12</f>
        <v>1081.7349999999999</v>
      </c>
      <c r="I27" s="24"/>
      <c r="J27" s="34">
        <f>AVERAGE(H26:H27)</f>
        <v>954.0954999999999</v>
      </c>
      <c r="K27" s="24"/>
      <c r="L27" s="43">
        <f>(D27/D20-1)*100</f>
        <v>12.411504856942734</v>
      </c>
      <c r="M27" s="24"/>
      <c r="N27" s="43">
        <f>(H27/H20-1)*100</f>
        <v>17.644595832055444</v>
      </c>
      <c r="O27" s="24"/>
      <c r="P27" s="43">
        <f>(H27/H26-1)*100</f>
        <v>30.888395752465936</v>
      </c>
      <c r="Q27" s="24"/>
      <c r="R27" s="40">
        <f>F27/J27</f>
        <v>1.2272345902480413</v>
      </c>
      <c r="S27" s="24"/>
      <c r="T27" s="40">
        <f>F28/H27</f>
        <v>1.5222166242194255</v>
      </c>
      <c r="U27" s="24"/>
      <c r="V27" s="154">
        <f>qtrSales!J35</f>
        <v>4401</v>
      </c>
      <c r="W27" s="24"/>
      <c r="X27" s="40">
        <f>H27/V27</f>
        <v>0.24579300159054757</v>
      </c>
      <c r="Y27" s="24"/>
      <c r="Z27" s="85">
        <f>(X27/X20-1)*100</f>
        <v>9.2509573200660213</v>
      </c>
      <c r="AA27" s="24"/>
      <c r="AB27" s="148">
        <f>qtrSales!Z35</f>
        <v>27.981249999999999</v>
      </c>
      <c r="AC27" s="24"/>
      <c r="AD27" s="387">
        <f>H27/AB27</f>
        <v>38.659280768371673</v>
      </c>
      <c r="AE27" s="24"/>
      <c r="AF27" s="85">
        <f>(AD27/AD20-1)*100</f>
        <v>2.3615721697986869</v>
      </c>
      <c r="AG27" s="24"/>
      <c r="AH27" s="148">
        <f>+'store&amp;sf'!AQ213</f>
        <v>22.385000000000002</v>
      </c>
      <c r="AI27" s="24"/>
      <c r="AJ27" s="387">
        <f>+H27/AH27</f>
        <v>48.324100960464591</v>
      </c>
      <c r="AK27" s="154"/>
      <c r="AL27" s="154"/>
      <c r="AM27" s="154"/>
      <c r="AN27" s="154"/>
      <c r="AO27" s="154"/>
      <c r="AP27" s="154"/>
      <c r="AQ27" s="24"/>
      <c r="AR27" s="24"/>
      <c r="AS27" s="24"/>
      <c r="AT27" s="24"/>
      <c r="AU27" s="24"/>
      <c r="AV27" s="24"/>
      <c r="AW27" s="24"/>
      <c r="AX27" s="24"/>
      <c r="AY27" s="24"/>
    </row>
    <row r="28" spans="1:51" hidden="1" outlineLevel="1">
      <c r="A28" s="24" t="str">
        <f>$A$14</f>
        <v>4Q</v>
      </c>
      <c r="B28" s="24" t="str">
        <f>$B$14</f>
        <v>Jan</v>
      </c>
      <c r="C28" s="24"/>
      <c r="D28" s="38">
        <f>'qtrP&amp;L'!N$13</f>
        <v>2427.9580000000005</v>
      </c>
      <c r="E28" s="24"/>
      <c r="F28" s="38">
        <f>'qtrP&amp;L'!N$23</f>
        <v>1646.635</v>
      </c>
      <c r="G28" s="24"/>
      <c r="H28" s="94">
        <f>work!J$13</f>
        <v>803.70699999999999</v>
      </c>
      <c r="I28" s="24"/>
      <c r="J28" s="38">
        <f>AVERAGE(H27:H28)</f>
        <v>942.721</v>
      </c>
      <c r="K28" s="24"/>
      <c r="L28" s="84">
        <f>(D28/D21-1)*100</f>
        <v>18.083359150329859</v>
      </c>
      <c r="M28" s="24"/>
      <c r="N28" s="85">
        <f>(H28/H21-1)*100</f>
        <v>10.089308951441689</v>
      </c>
      <c r="O28" s="24"/>
      <c r="P28" s="85">
        <f>(H28/H27-1)*100</f>
        <v>-25.702043476452175</v>
      </c>
      <c r="Q28" s="24"/>
      <c r="R28" s="40">
        <f>F28/J28</f>
        <v>1.746683271084446</v>
      </c>
      <c r="S28" s="24"/>
      <c r="T28" s="40">
        <f>F32/H28</f>
        <v>1.4157323502221582</v>
      </c>
      <c r="U28" s="24"/>
      <c r="V28" s="154">
        <f>qtrSales!J36</f>
        <v>4425</v>
      </c>
      <c r="W28" s="24"/>
      <c r="X28" s="40">
        <f>H28/V28</f>
        <v>0.18162870056497174</v>
      </c>
      <c r="Y28" s="24"/>
      <c r="Z28" s="85">
        <f>(X28/X21-1)*100</f>
        <v>4.3422738400782812</v>
      </c>
      <c r="AA28" s="24"/>
      <c r="AB28" s="148">
        <f>qtrSales!Z36</f>
        <v>28.578749999999999</v>
      </c>
      <c r="AC28" s="24"/>
      <c r="AD28" s="387">
        <f>H28/AB28</f>
        <v>28.122538599483882</v>
      </c>
      <c r="AE28" s="24"/>
      <c r="AF28" s="85">
        <f>(AD28/AD21-1)*100</f>
        <v>-1.9871458817042664</v>
      </c>
      <c r="AG28" s="24"/>
      <c r="AH28" s="148">
        <f>+'store&amp;sf'!AQ214</f>
        <v>22.863</v>
      </c>
      <c r="AI28" s="24"/>
      <c r="AJ28" s="387">
        <f>+H28/AH28</f>
        <v>35.15317324935485</v>
      </c>
      <c r="AK28" s="154"/>
      <c r="AL28" s="154"/>
      <c r="AM28" s="154"/>
      <c r="AN28" s="154"/>
      <c r="AO28" s="154"/>
      <c r="AP28" s="154"/>
      <c r="AQ28" s="24"/>
      <c r="AR28" s="24"/>
      <c r="AS28" s="24"/>
      <c r="AT28" s="24"/>
      <c r="AU28" s="24"/>
      <c r="AV28" s="24"/>
      <c r="AW28" s="24"/>
      <c r="AX28" s="24"/>
      <c r="AY28" s="24"/>
    </row>
    <row r="29" spans="1:51" hidden="1" outlineLevel="1">
      <c r="A29" s="24"/>
      <c r="B29" s="24" t="str">
        <f>$B$15</f>
        <v>Year</v>
      </c>
      <c r="C29" s="24"/>
      <c r="D29" s="33">
        <f>SUM(D25:D28)</f>
        <v>6944.2960000000003</v>
      </c>
      <c r="E29" s="24"/>
      <c r="F29" s="33">
        <f>SUM(F25:F28)</f>
        <v>4953.5559999999996</v>
      </c>
      <c r="G29" s="24"/>
      <c r="H29" s="24"/>
      <c r="I29" s="24"/>
      <c r="J29" s="33">
        <f>AVERAGE(J25:J28)</f>
        <v>862.73050000000001</v>
      </c>
      <c r="K29" s="24"/>
      <c r="L29" s="43">
        <f>(D29/D22-1)*100</f>
        <v>12.929741635440495</v>
      </c>
      <c r="M29" s="24"/>
      <c r="N29" s="85"/>
      <c r="O29" s="24"/>
      <c r="P29" s="24"/>
      <c r="Q29" s="24"/>
      <c r="R29" s="86">
        <f>F29/J29</f>
        <v>5.7417188797660446</v>
      </c>
      <c r="S29" s="83" t="s">
        <v>1200</v>
      </c>
      <c r="T29" s="24"/>
      <c r="U29" s="24"/>
      <c r="V29" s="154"/>
      <c r="W29" s="24"/>
      <c r="X29" s="24"/>
      <c r="Y29" s="24"/>
      <c r="Z29" s="24"/>
      <c r="AA29" s="24"/>
      <c r="AB29" s="148"/>
      <c r="AC29" s="24"/>
      <c r="AD29" s="387"/>
      <c r="AE29" s="24"/>
      <c r="AF29" s="24"/>
      <c r="AG29" s="24"/>
      <c r="AH29" s="148"/>
      <c r="AI29" s="24"/>
      <c r="AJ29" s="387"/>
      <c r="AK29" s="24"/>
      <c r="AL29" s="24"/>
      <c r="AM29" s="24"/>
      <c r="AN29" s="24"/>
      <c r="AO29" s="24"/>
      <c r="AP29" s="24"/>
      <c r="AQ29" s="24"/>
      <c r="AR29" s="24"/>
      <c r="AS29" s="24"/>
      <c r="AT29" s="24"/>
      <c r="AU29" s="24"/>
      <c r="AV29" s="24"/>
      <c r="AW29" s="24"/>
      <c r="AX29" s="24"/>
      <c r="AY29" s="24"/>
    </row>
    <row r="30" spans="1:51" hidden="1" outlineLevel="1">
      <c r="A30" s="24"/>
      <c r="B30" s="24"/>
      <c r="C30" s="24"/>
      <c r="D30" s="24"/>
      <c r="E30" s="24"/>
      <c r="F30" s="24"/>
      <c r="G30" s="24"/>
      <c r="H30" s="24"/>
      <c r="I30" s="24"/>
      <c r="J30" s="24"/>
      <c r="K30" s="24"/>
      <c r="L30" s="24"/>
      <c r="M30" s="24"/>
      <c r="N30" s="24"/>
      <c r="O30" s="24"/>
      <c r="P30" s="24"/>
      <c r="Q30" s="24"/>
      <c r="R30" s="24"/>
      <c r="S30" s="24"/>
      <c r="T30" s="24"/>
      <c r="U30" s="24"/>
      <c r="V30" s="154"/>
      <c r="W30" s="24"/>
      <c r="X30" s="24"/>
      <c r="Y30" s="24"/>
      <c r="Z30" s="24"/>
      <c r="AA30" s="24"/>
      <c r="AB30" s="148"/>
      <c r="AC30" s="24"/>
      <c r="AD30" s="24"/>
      <c r="AE30" s="24"/>
      <c r="AF30" s="24"/>
      <c r="AG30" s="24"/>
      <c r="AH30" s="148"/>
      <c r="AI30" s="24"/>
      <c r="AJ30" s="24"/>
      <c r="AK30" s="24"/>
      <c r="AL30" s="24"/>
      <c r="AM30" s="24"/>
      <c r="AN30" s="24"/>
      <c r="AO30" s="24"/>
      <c r="AP30" s="24"/>
      <c r="AQ30" s="24"/>
      <c r="AR30" s="24"/>
      <c r="AS30" s="24"/>
      <c r="AT30" s="24"/>
      <c r="AU30" s="24"/>
      <c r="AV30" s="24"/>
      <c r="AW30" s="24"/>
      <c r="AX30" s="24"/>
      <c r="AY30" s="24"/>
    </row>
    <row r="31" spans="1:51" hidden="1" outlineLevel="1">
      <c r="A31" s="24"/>
      <c r="B31" s="75">
        <f>B24+1</f>
        <v>1993</v>
      </c>
      <c r="C31" s="24"/>
      <c r="D31" s="24"/>
      <c r="E31" s="24"/>
      <c r="F31" s="24"/>
      <c r="G31" s="24"/>
      <c r="H31" s="24"/>
      <c r="I31" s="24"/>
      <c r="J31" s="24"/>
      <c r="K31" s="24"/>
      <c r="L31" s="24"/>
      <c r="M31" s="24"/>
      <c r="N31" s="24"/>
      <c r="O31" s="24"/>
      <c r="P31" s="24"/>
      <c r="Q31" s="24"/>
      <c r="R31" s="24"/>
      <c r="S31" s="24"/>
      <c r="T31" s="24"/>
      <c r="U31" s="24"/>
      <c r="V31" s="154"/>
      <c r="W31" s="24"/>
      <c r="X31" s="24"/>
      <c r="Y31" s="24"/>
      <c r="Z31" s="24"/>
      <c r="AA31" s="24"/>
      <c r="AB31" s="148"/>
      <c r="AC31" s="24"/>
      <c r="AD31" s="24"/>
      <c r="AE31" s="24"/>
      <c r="AF31" s="24"/>
      <c r="AG31" s="24"/>
      <c r="AH31" s="24"/>
      <c r="AI31" s="24"/>
      <c r="AJ31" s="24"/>
      <c r="AK31" s="24"/>
      <c r="AL31" s="24"/>
      <c r="AM31" s="24"/>
      <c r="AN31" s="24"/>
      <c r="AO31" s="24"/>
      <c r="AP31" s="24"/>
      <c r="AQ31" s="24"/>
      <c r="AR31" s="24"/>
      <c r="AS31" s="24"/>
      <c r="AT31" s="24"/>
      <c r="AU31" s="24"/>
      <c r="AV31" s="24"/>
      <c r="AW31" s="24"/>
      <c r="AX31" s="24"/>
      <c r="AY31" s="24"/>
    </row>
    <row r="32" spans="1:51" hidden="1" outlineLevel="1">
      <c r="A32" s="24" t="str">
        <f>$A$11</f>
        <v>1Q</v>
      </c>
      <c r="B32" s="24" t="str">
        <f>$B$11</f>
        <v>Apr</v>
      </c>
      <c r="C32" s="24"/>
      <c r="D32" s="33">
        <f>'qtrP&amp;L'!R$10</f>
        <v>1518.5609999999999</v>
      </c>
      <c r="E32" s="24"/>
      <c r="F32" s="33">
        <f>'qtrP&amp;L'!R$20</f>
        <v>1137.8340000000001</v>
      </c>
      <c r="G32" s="24"/>
      <c r="H32" s="33">
        <f>work!N$10</f>
        <v>874.01099999999997</v>
      </c>
      <c r="I32" s="24"/>
      <c r="J32" s="33">
        <f>AVERAGE(H31:H32)</f>
        <v>874.01099999999997</v>
      </c>
      <c r="K32" s="24"/>
      <c r="L32" s="43">
        <f>(D32/D25-1)*100</f>
        <v>7.2714172185430304</v>
      </c>
      <c r="M32" s="24" t="s">
        <v>1084</v>
      </c>
      <c r="N32" s="43">
        <f>(H32/H25-1)*100</f>
        <v>14.912994602838591</v>
      </c>
      <c r="O32" s="24" t="s">
        <v>1084</v>
      </c>
      <c r="P32" s="43">
        <f>(H32/H28-1)*100</f>
        <v>8.7474664274418412</v>
      </c>
      <c r="Q32" s="24" t="s">
        <v>1084</v>
      </c>
      <c r="R32" s="40">
        <f>F32/J32</f>
        <v>1.3018531803375473</v>
      </c>
      <c r="S32" s="24" t="s">
        <v>1200</v>
      </c>
      <c r="T32" s="40">
        <f>F33/H32</f>
        <v>1.4431683354099663</v>
      </c>
      <c r="U32" s="24" t="s">
        <v>1200</v>
      </c>
      <c r="V32" s="154">
        <f>qtrSales!J40</f>
        <v>4457</v>
      </c>
      <c r="W32" s="24"/>
      <c r="X32" s="35">
        <f>H32/V32</f>
        <v>0.19609849674669058</v>
      </c>
      <c r="Y32" s="24"/>
      <c r="Z32" s="85">
        <f>(X32/X25-1)*100</f>
        <v>9.7564770079165086</v>
      </c>
      <c r="AA32" s="143" t="s">
        <v>1084</v>
      </c>
      <c r="AB32" s="148">
        <f>qtrSales!Z40</f>
        <v>28.958750000000006</v>
      </c>
      <c r="AC32" s="24"/>
      <c r="AD32" s="165">
        <f>H32/AB32</f>
        <v>30.181240557689812</v>
      </c>
      <c r="AE32" s="24"/>
      <c r="AF32" s="85">
        <f>(AD32/AD25-1)*100</f>
        <v>3.3805254677930385</v>
      </c>
      <c r="AG32" s="143" t="s">
        <v>1084</v>
      </c>
      <c r="AH32" s="148">
        <f>+'store&amp;sf'!AQ217</f>
        <v>23.166999999999998</v>
      </c>
      <c r="AI32" s="24"/>
      <c r="AJ32" s="165">
        <f>+H32/AH32</f>
        <v>37.726550697112273</v>
      </c>
      <c r="AK32" s="153"/>
      <c r="AL32" s="153"/>
      <c r="AM32" s="153"/>
      <c r="AN32" s="153"/>
      <c r="AO32" s="153"/>
      <c r="AP32" s="153"/>
      <c r="AQ32" s="24"/>
      <c r="AR32" s="24"/>
      <c r="AS32" s="24"/>
      <c r="AT32" s="24"/>
      <c r="AU32" s="24"/>
      <c r="AV32" s="24"/>
      <c r="AW32" s="24"/>
      <c r="AX32" s="24"/>
      <c r="AY32" s="24"/>
    </row>
    <row r="33" spans="1:51" hidden="1" outlineLevel="1">
      <c r="A33" s="24" t="str">
        <f>$A$12</f>
        <v>2Q</v>
      </c>
      <c r="B33" s="24" t="str">
        <f>$B$12</f>
        <v>Jul</v>
      </c>
      <c r="C33" s="24"/>
      <c r="D33" s="34">
        <f>'qtrP&amp;L'!R$11</f>
        <v>1689.0550000000001</v>
      </c>
      <c r="E33" s="24"/>
      <c r="F33" s="34">
        <f>'qtrP&amp;L'!R$21</f>
        <v>1261.345</v>
      </c>
      <c r="G33" s="24"/>
      <c r="H33" s="34">
        <f>work!N$11</f>
        <v>904.39800000000002</v>
      </c>
      <c r="I33" s="24"/>
      <c r="J33" s="34">
        <f>AVERAGE(H32:H33)</f>
        <v>889.20450000000005</v>
      </c>
      <c r="K33" s="24"/>
      <c r="L33" s="43">
        <f>(D33/D26-1)*100</f>
        <v>13.405595433844519</v>
      </c>
      <c r="M33" s="24"/>
      <c r="N33" s="43">
        <f>(H33/H26-1)*100</f>
        <v>9.4308710929559503</v>
      </c>
      <c r="O33" s="24"/>
      <c r="P33" s="43">
        <f>(H33/H32-1)*100</f>
        <v>3.4767296979099971</v>
      </c>
      <c r="Q33" s="24"/>
      <c r="R33" s="40">
        <f>F33/J33</f>
        <v>1.418509465482912</v>
      </c>
      <c r="S33" s="24"/>
      <c r="T33" s="40">
        <f>F34/H33</f>
        <v>1.2932569510326204</v>
      </c>
      <c r="U33" s="24"/>
      <c r="V33" s="154">
        <f>qtrSales!J41</f>
        <v>4481</v>
      </c>
      <c r="W33" s="24"/>
      <c r="X33" s="40">
        <f>H33/V33</f>
        <v>0.20182950234322697</v>
      </c>
      <c r="Y33" s="24"/>
      <c r="Z33" s="85">
        <f>(X33/X26-1)*100</f>
        <v>5.3769713827504839</v>
      </c>
      <c r="AA33" s="24"/>
      <c r="AB33" s="148">
        <f>qtrSales!Z41</f>
        <v>29.332500000000003</v>
      </c>
      <c r="AC33" s="24"/>
      <c r="AD33" s="387">
        <f>H33/AB33</f>
        <v>30.832625926872922</v>
      </c>
      <c r="AE33" s="24"/>
      <c r="AF33" s="85">
        <f>(AD33/AD26-1)*100</f>
        <v>0.28131986631401151</v>
      </c>
      <c r="AG33" s="24"/>
      <c r="AH33" s="148">
        <f>+'store&amp;sf'!AQ218</f>
        <v>23.466000000000005</v>
      </c>
      <c r="AI33" s="24"/>
      <c r="AJ33" s="387">
        <f>+H33/AH33</f>
        <v>38.540782408591149</v>
      </c>
      <c r="AK33" s="154"/>
      <c r="AL33" s="154"/>
      <c r="AM33" s="154"/>
      <c r="AN33" s="154"/>
      <c r="AO33" s="154"/>
      <c r="AP33" s="154"/>
      <c r="AQ33" s="24"/>
      <c r="AR33" s="24"/>
      <c r="AS33" s="24"/>
      <c r="AT33" s="24"/>
      <c r="AU33" s="24"/>
      <c r="AV33" s="24"/>
      <c r="AW33" s="24"/>
      <c r="AX33" s="24"/>
      <c r="AY33" s="24"/>
    </row>
    <row r="34" spans="1:51" hidden="1" outlineLevel="1">
      <c r="A34" s="24" t="str">
        <f>$A$13</f>
        <v>3Q</v>
      </c>
      <c r="B34" s="24" t="str">
        <f>$B$13</f>
        <v>Oct</v>
      </c>
      <c r="C34" s="24"/>
      <c r="D34" s="34">
        <f>'qtrP&amp;L'!R$12</f>
        <v>1616.6669999999999</v>
      </c>
      <c r="E34" s="24"/>
      <c r="F34" s="34">
        <f>'qtrP&amp;L'!R$22</f>
        <v>1169.6189999999999</v>
      </c>
      <c r="G34" s="24"/>
      <c r="H34" s="34">
        <f>work!N$12</f>
        <v>1002.222</v>
      </c>
      <c r="I34" s="24"/>
      <c r="J34" s="34">
        <f>AVERAGE(H33:H34)</f>
        <v>953.31</v>
      </c>
      <c r="K34" s="24"/>
      <c r="L34" s="43">
        <f>(D34/D27-1)*100</f>
        <v>0.33183973388277721</v>
      </c>
      <c r="M34" s="24"/>
      <c r="N34" s="43">
        <f>(H34/H27-1)*100</f>
        <v>-7.3505063624639932</v>
      </c>
      <c r="O34" s="24"/>
      <c r="P34" s="43">
        <f>(H34/H33-1)*100</f>
        <v>10.816476816622767</v>
      </c>
      <c r="Q34" s="24"/>
      <c r="R34" s="40">
        <f>F34/J34</f>
        <v>1.2269031060200775</v>
      </c>
      <c r="S34" s="24"/>
      <c r="T34" s="40">
        <f>F35/H34</f>
        <v>1.7136472757532759</v>
      </c>
      <c r="U34" s="24"/>
      <c r="V34" s="154">
        <f>qtrSales!J42</f>
        <v>4605</v>
      </c>
      <c r="W34" s="24"/>
      <c r="X34" s="40">
        <f>H34/V34</f>
        <v>0.21763778501628664</v>
      </c>
      <c r="Y34" s="24"/>
      <c r="Z34" s="85">
        <f>(X34/X27-1)*100</f>
        <v>-11.454848751618684</v>
      </c>
      <c r="AA34" s="24"/>
      <c r="AB34" s="148">
        <f>qtrSales!Z42</f>
        <v>30.247499999999999</v>
      </c>
      <c r="AC34" s="24"/>
      <c r="AD34" s="387">
        <f>H34/AB34</f>
        <v>33.134044135879002</v>
      </c>
      <c r="AE34" s="24"/>
      <c r="AF34" s="85">
        <f>(AD34/AD27-1)*100</f>
        <v>-14.292135090658576</v>
      </c>
      <c r="AG34" s="24"/>
      <c r="AH34" s="148">
        <f>+'store&amp;sf'!AQ219</f>
        <v>24.198</v>
      </c>
      <c r="AI34" s="24"/>
      <c r="AJ34" s="387">
        <f>+H34/AH34</f>
        <v>41.417555169848747</v>
      </c>
      <c r="AK34" s="154"/>
      <c r="AL34" s="154"/>
      <c r="AM34" s="154"/>
      <c r="AN34" s="154"/>
      <c r="AO34" s="154"/>
      <c r="AP34" s="154"/>
      <c r="AQ34" s="24"/>
      <c r="AR34" s="24"/>
      <c r="AS34" s="24"/>
      <c r="AT34" s="24"/>
      <c r="AU34" s="24"/>
      <c r="AV34" s="24"/>
      <c r="AW34" s="24"/>
      <c r="AX34" s="24"/>
      <c r="AY34" s="24"/>
    </row>
    <row r="35" spans="1:51" hidden="1" outlineLevel="1">
      <c r="A35" s="24" t="str">
        <f>$A$14</f>
        <v>4Q</v>
      </c>
      <c r="B35" s="24" t="str">
        <f>$B$14</f>
        <v>Jan</v>
      </c>
      <c r="C35" s="24"/>
      <c r="D35" s="38">
        <f>'qtrP&amp;L'!R$13</f>
        <v>2420.8050000000003</v>
      </c>
      <c r="E35" s="24"/>
      <c r="F35" s="38">
        <f>'qtrP&amp;L'!R$23</f>
        <v>1717.4549999999997</v>
      </c>
      <c r="G35" s="24"/>
      <c r="H35" s="94">
        <f>work!N$13</f>
        <v>733.7</v>
      </c>
      <c r="I35" s="24"/>
      <c r="J35" s="38">
        <f>AVERAGE(H34:H35)</f>
        <v>867.96100000000001</v>
      </c>
      <c r="K35" s="24"/>
      <c r="L35" s="84">
        <f>(D35/D28-1)*100</f>
        <v>-0.29460970906417527</v>
      </c>
      <c r="M35" s="24"/>
      <c r="N35" s="85">
        <f>(H35/H28-1)*100</f>
        <v>-8.7105126619526736</v>
      </c>
      <c r="O35" s="24"/>
      <c r="P35" s="85">
        <f>(H35/H34-1)*100</f>
        <v>-26.792666694604584</v>
      </c>
      <c r="Q35" s="24"/>
      <c r="R35" s="40">
        <f>F35/J35</f>
        <v>1.9787236984150205</v>
      </c>
      <c r="S35" s="24"/>
      <c r="T35" s="40">
        <f>F39/H35</f>
        <v>1.494748534823497</v>
      </c>
      <c r="U35" s="24"/>
      <c r="V35" s="154">
        <f>qtrSales!J43</f>
        <v>4623</v>
      </c>
      <c r="W35" s="24"/>
      <c r="X35" s="40">
        <f>H35/V35</f>
        <v>0.15870646766169155</v>
      </c>
      <c r="Y35" s="24"/>
      <c r="Z35" s="85">
        <f>(X35/X28-1)*100</f>
        <v>-12.620380387008556</v>
      </c>
      <c r="AA35" s="24"/>
      <c r="AB35" s="148">
        <f>qtrSales!Z43</f>
        <v>30.532499999999999</v>
      </c>
      <c r="AC35" s="24"/>
      <c r="AD35" s="387">
        <f>H35/AB35</f>
        <v>24.030131826742</v>
      </c>
      <c r="AE35" s="24"/>
      <c r="AF35" s="85">
        <f>(AD35/AD28-1)*100</f>
        <v>-14.55205318063636</v>
      </c>
      <c r="AG35" s="24"/>
      <c r="AH35" s="148">
        <f>+'store&amp;sf'!AQ220</f>
        <v>24.426000000000002</v>
      </c>
      <c r="AI35" s="24"/>
      <c r="AJ35" s="387">
        <f>+H35/AH35</f>
        <v>30.037664783427495</v>
      </c>
      <c r="AK35" s="154"/>
      <c r="AL35" s="154"/>
      <c r="AM35" s="154"/>
      <c r="AN35" s="154"/>
      <c r="AO35" s="154"/>
      <c r="AP35" s="154"/>
      <c r="AQ35" s="24"/>
      <c r="AR35" s="24"/>
      <c r="AS35" s="24"/>
      <c r="AT35" s="24"/>
      <c r="AU35" s="24"/>
      <c r="AV35" s="24"/>
      <c r="AW35" s="24"/>
      <c r="AX35" s="24"/>
      <c r="AY35" s="24"/>
    </row>
    <row r="36" spans="1:51" hidden="1" outlineLevel="1">
      <c r="A36" s="24"/>
      <c r="B36" s="24" t="str">
        <f>$B$15</f>
        <v>Year</v>
      </c>
      <c r="C36" s="24"/>
      <c r="D36" s="33">
        <f>SUM(D32:D35)</f>
        <v>7245.0879999999997</v>
      </c>
      <c r="E36" s="24"/>
      <c r="F36" s="33">
        <f>SUM(F32:F35)</f>
        <v>5286.2529999999997</v>
      </c>
      <c r="G36" s="24"/>
      <c r="H36" s="24"/>
      <c r="I36" s="24"/>
      <c r="J36" s="33">
        <f>AVERAGE(J32:J35)</f>
        <v>896.12162499999999</v>
      </c>
      <c r="K36" s="24"/>
      <c r="L36" s="43">
        <f>(D36/D29-1)*100</f>
        <v>4.3314973900882014</v>
      </c>
      <c r="M36" s="24"/>
      <c r="N36" s="85"/>
      <c r="O36" s="24"/>
      <c r="P36" s="24"/>
      <c r="Q36" s="24"/>
      <c r="R36" s="86">
        <f>F36/J36</f>
        <v>5.8990351895592292</v>
      </c>
      <c r="S36" s="83" t="s">
        <v>1200</v>
      </c>
      <c r="T36" s="24"/>
      <c r="U36" s="24"/>
      <c r="V36" s="154"/>
      <c r="W36" s="24"/>
      <c r="X36" s="24"/>
      <c r="Y36" s="24"/>
      <c r="Z36" s="24"/>
      <c r="AA36" s="24"/>
      <c r="AB36" s="148"/>
      <c r="AC36" s="24"/>
      <c r="AD36" s="387"/>
      <c r="AE36" s="24"/>
      <c r="AF36" s="24"/>
      <c r="AG36" s="24"/>
      <c r="AH36" s="148"/>
      <c r="AI36" s="24"/>
      <c r="AJ36" s="387"/>
      <c r="AK36" s="24"/>
      <c r="AL36" s="24"/>
      <c r="AM36" s="24"/>
      <c r="AN36" s="24"/>
      <c r="AO36" s="24"/>
      <c r="AP36" s="24"/>
      <c r="AQ36" s="24"/>
      <c r="AR36" s="24"/>
      <c r="AS36" s="24"/>
      <c r="AT36" s="24"/>
      <c r="AU36" s="24"/>
      <c r="AV36" s="24"/>
      <c r="AW36" s="24"/>
      <c r="AX36" s="24"/>
      <c r="AY36" s="24"/>
    </row>
    <row r="37" spans="1:51" hidden="1" outlineLevel="1">
      <c r="A37" s="24"/>
      <c r="B37" s="24"/>
      <c r="C37" s="24"/>
      <c r="D37" s="24"/>
      <c r="E37" s="24"/>
      <c r="F37" s="24"/>
      <c r="G37" s="24"/>
      <c r="H37" s="24"/>
      <c r="I37" s="24"/>
      <c r="J37" s="24"/>
      <c r="K37" s="24"/>
      <c r="L37" s="24"/>
      <c r="M37" s="24"/>
      <c r="N37" s="24"/>
      <c r="O37" s="24"/>
      <c r="P37" s="24"/>
      <c r="Q37" s="24"/>
      <c r="R37" s="24"/>
      <c r="S37" s="24"/>
      <c r="T37" s="24"/>
      <c r="U37" s="24"/>
      <c r="V37" s="154"/>
      <c r="W37" s="24"/>
      <c r="X37" s="24"/>
      <c r="Y37" s="24"/>
      <c r="Z37" s="24"/>
      <c r="AA37" s="24"/>
      <c r="AB37" s="148"/>
      <c r="AC37" s="24"/>
      <c r="AD37" s="24"/>
      <c r="AE37" s="24"/>
      <c r="AF37" s="24"/>
      <c r="AG37" s="24"/>
      <c r="AH37" s="148"/>
      <c r="AI37" s="24"/>
      <c r="AJ37" s="24"/>
      <c r="AK37" s="24"/>
      <c r="AL37" s="24"/>
      <c r="AM37" s="24"/>
      <c r="AN37" s="24"/>
      <c r="AO37" s="24"/>
      <c r="AP37" s="24"/>
      <c r="AQ37" s="24"/>
      <c r="AR37" s="24"/>
      <c r="AS37" s="24"/>
      <c r="AT37" s="24"/>
      <c r="AU37" s="24"/>
      <c r="AV37" s="24"/>
      <c r="AW37" s="24"/>
      <c r="AX37" s="24"/>
      <c r="AY37" s="24"/>
    </row>
    <row r="38" spans="1:51" hidden="1" outlineLevel="1">
      <c r="A38" s="24"/>
      <c r="B38" s="75">
        <f>B31+1</f>
        <v>1994</v>
      </c>
      <c r="C38" s="24"/>
      <c r="D38" s="24"/>
      <c r="E38" s="24"/>
      <c r="F38" s="24"/>
      <c r="G38" s="24"/>
      <c r="H38" s="24"/>
      <c r="I38" s="24"/>
      <c r="J38" s="24"/>
      <c r="K38" s="24"/>
      <c r="L38" s="24"/>
      <c r="M38" s="24"/>
      <c r="N38" s="24"/>
      <c r="O38" s="24"/>
      <c r="P38" s="24"/>
      <c r="Q38" s="24"/>
      <c r="R38" s="24"/>
      <c r="S38" s="24"/>
      <c r="T38" s="24"/>
      <c r="U38" s="24"/>
      <c r="V38" s="154"/>
      <c r="W38" s="24"/>
      <c r="X38" s="24"/>
      <c r="Y38" s="24"/>
      <c r="Z38" s="24"/>
      <c r="AA38" s="24"/>
      <c r="AB38" s="148"/>
      <c r="AC38" s="24"/>
      <c r="AD38" s="24"/>
      <c r="AE38" s="24"/>
      <c r="AF38" s="24"/>
      <c r="AG38" s="24"/>
      <c r="AH38" s="24"/>
      <c r="AI38" s="24"/>
      <c r="AJ38" s="24"/>
      <c r="AK38" s="24"/>
      <c r="AL38" s="24"/>
      <c r="AM38" s="24"/>
      <c r="AN38" s="24"/>
      <c r="AO38" s="24"/>
      <c r="AP38" s="24"/>
      <c r="AQ38" s="24"/>
      <c r="AR38" s="24"/>
      <c r="AS38" s="24"/>
      <c r="AT38" s="24"/>
      <c r="AU38" s="24"/>
      <c r="AV38" s="24"/>
      <c r="AW38" s="24"/>
      <c r="AX38" s="24"/>
      <c r="AY38" s="24"/>
    </row>
    <row r="39" spans="1:51" hidden="1" outlineLevel="1">
      <c r="A39" s="24" t="str">
        <f>$A$11</f>
        <v>1Q</v>
      </c>
      <c r="B39" s="24" t="str">
        <f>$B$11</f>
        <v>Apr</v>
      </c>
      <c r="C39" s="24"/>
      <c r="D39" s="33">
        <f>'qtrP&amp;L'!V$10</f>
        <v>1481.6279999999999</v>
      </c>
      <c r="E39" s="24"/>
      <c r="F39" s="33">
        <f>'qtrP&amp;L'!V$20</f>
        <v>1096.6969999999999</v>
      </c>
      <c r="G39" s="24"/>
      <c r="H39" s="33">
        <f>work!R$10</f>
        <v>803.43700000000001</v>
      </c>
      <c r="I39" s="24"/>
      <c r="J39" s="33">
        <f>AVERAGE(H38:H39)</f>
        <v>803.43700000000001</v>
      </c>
      <c r="K39" s="24"/>
      <c r="L39" s="43">
        <f>(D39/D32-1)*100</f>
        <v>-2.4321051311076758</v>
      </c>
      <c r="M39" s="24" t="s">
        <v>1084</v>
      </c>
      <c r="N39" s="43">
        <f>(H39/H32-1)*100</f>
        <v>-8.0747267482903506</v>
      </c>
      <c r="O39" s="24" t="s">
        <v>1084</v>
      </c>
      <c r="P39" s="43">
        <f>(H39/H35-1)*100</f>
        <v>9.5048384898459801</v>
      </c>
      <c r="Q39" s="24" t="s">
        <v>1084</v>
      </c>
      <c r="R39" s="40">
        <f>F39/J39</f>
        <v>1.3650068393663721</v>
      </c>
      <c r="S39" s="24" t="s">
        <v>1200</v>
      </c>
      <c r="T39" s="40">
        <f>F40/H39</f>
        <v>1.472083063139985</v>
      </c>
      <c r="U39" s="24" t="s">
        <v>1200</v>
      </c>
      <c r="V39" s="154">
        <f>qtrSales!J47</f>
        <v>4641</v>
      </c>
      <c r="W39" s="24"/>
      <c r="X39" s="35">
        <f>H39/V39</f>
        <v>0.17311721611721612</v>
      </c>
      <c r="Y39" s="24"/>
      <c r="Z39" s="85">
        <f>(X39/X32-1)*100</f>
        <v>-11.719253849844879</v>
      </c>
      <c r="AA39" s="143" t="s">
        <v>1084</v>
      </c>
      <c r="AB39" s="148">
        <f>qtrSales!Z47</f>
        <v>30.693749999999994</v>
      </c>
      <c r="AC39" s="24"/>
      <c r="AD39" s="165">
        <f>H39/AB39</f>
        <v>26.175915292201186</v>
      </c>
      <c r="AE39" s="24"/>
      <c r="AF39" s="85">
        <f>(AD39/AD32-1)*100</f>
        <v>-13.270909980763257</v>
      </c>
      <c r="AG39" s="143" t="s">
        <v>1084</v>
      </c>
      <c r="AH39" s="148">
        <f>+'store&amp;sf'!AQ223</f>
        <v>24.554999999999996</v>
      </c>
      <c r="AI39" s="24"/>
      <c r="AJ39" s="165">
        <f>+H39/AH39</f>
        <v>32.719894115251485</v>
      </c>
      <c r="AK39" s="153"/>
      <c r="AL39" s="153"/>
      <c r="AM39" s="153"/>
      <c r="AN39" s="153"/>
      <c r="AO39" s="153"/>
      <c r="AP39" s="153"/>
      <c r="AQ39" s="24"/>
      <c r="AR39" s="24"/>
      <c r="AS39" s="24"/>
      <c r="AT39" s="24"/>
      <c r="AU39" s="24"/>
      <c r="AV39" s="24"/>
      <c r="AW39" s="24"/>
      <c r="AX39" s="24"/>
      <c r="AY39" s="24"/>
    </row>
    <row r="40" spans="1:51" hidden="1" outlineLevel="1">
      <c r="A40" s="24" t="str">
        <f>$A$12</f>
        <v>2Q</v>
      </c>
      <c r="B40" s="24" t="str">
        <f>$B$12</f>
        <v>Jul</v>
      </c>
      <c r="C40" s="24"/>
      <c r="D40" s="34">
        <f>'qtrP&amp;L'!V$11</f>
        <v>1585.3920000000001</v>
      </c>
      <c r="E40" s="24"/>
      <c r="F40" s="34">
        <f>'qtrP&amp;L'!V$21</f>
        <v>1182.7260000000001</v>
      </c>
      <c r="G40" s="24"/>
      <c r="H40" s="34">
        <f>work!R$11</f>
        <v>867.31600000000003</v>
      </c>
      <c r="I40" s="24"/>
      <c r="J40" s="34">
        <f>AVERAGE(H39:H40)</f>
        <v>835.37650000000008</v>
      </c>
      <c r="K40" s="24"/>
      <c r="L40" s="43">
        <f>(D40/D33-1)*100</f>
        <v>-6.137337150063205</v>
      </c>
      <c r="M40" s="24"/>
      <c r="N40" s="43">
        <f>(H40/H33-1)*100</f>
        <v>-4.1001859800662954</v>
      </c>
      <c r="O40" s="24"/>
      <c r="P40" s="43">
        <f>(H40/H39-1)*100</f>
        <v>7.9507167332348416</v>
      </c>
      <c r="Q40" s="24"/>
      <c r="R40" s="40">
        <f>F40/J40</f>
        <v>1.4157999417029328</v>
      </c>
      <c r="S40" s="24"/>
      <c r="T40" s="40">
        <f>F41/H40</f>
        <v>1.4065012060194901</v>
      </c>
      <c r="U40" s="24"/>
      <c r="V40" s="154">
        <f>qtrSales!J48</f>
        <v>4696</v>
      </c>
      <c r="W40" s="24"/>
      <c r="X40" s="40">
        <f>H40/V40</f>
        <v>0.18469250425894379</v>
      </c>
      <c r="Y40" s="24"/>
      <c r="Z40" s="85">
        <f>(X40/X33-1)*100</f>
        <v>-8.4908290836194773</v>
      </c>
      <c r="AA40" s="24"/>
      <c r="AB40" s="148">
        <f>qtrSales!Z48</f>
        <v>31.036249999999999</v>
      </c>
      <c r="AC40" s="24"/>
      <c r="AD40" s="387">
        <f>H40/AB40</f>
        <v>27.945257561722183</v>
      </c>
      <c r="AE40" s="24"/>
      <c r="AF40" s="85">
        <f>(AD40/AD33-1)*100</f>
        <v>-9.3646527934365231</v>
      </c>
      <c r="AG40" s="24"/>
      <c r="AH40" s="148">
        <f>+'store&amp;sf'!AQ224</f>
        <v>24.829000000000001</v>
      </c>
      <c r="AI40" s="24"/>
      <c r="AJ40" s="387">
        <f>+H40/AH40</f>
        <v>34.931571952152723</v>
      </c>
      <c r="AK40" s="154"/>
      <c r="AL40" s="154"/>
      <c r="AM40" s="154"/>
      <c r="AN40" s="154"/>
      <c r="AO40" s="154"/>
      <c r="AP40" s="154"/>
      <c r="AQ40" s="24"/>
      <c r="AR40" s="24"/>
      <c r="AS40" s="24"/>
      <c r="AT40" s="24"/>
      <c r="AU40" s="24"/>
      <c r="AV40" s="24"/>
      <c r="AW40" s="24"/>
      <c r="AX40" s="24"/>
      <c r="AY40" s="24"/>
    </row>
    <row r="41" spans="1:51" hidden="1" outlineLevel="1">
      <c r="A41" s="24" t="str">
        <f>$A$13</f>
        <v>3Q</v>
      </c>
      <c r="B41" s="24" t="str">
        <f>$B$13</f>
        <v>Oct</v>
      </c>
      <c r="C41" s="24"/>
      <c r="D41" s="34">
        <f>'qtrP&amp;L'!V$12</f>
        <v>1715.1759999999999</v>
      </c>
      <c r="E41" s="24"/>
      <c r="F41" s="34">
        <f>'qtrP&amp;L'!V$22</f>
        <v>1219.8810000000001</v>
      </c>
      <c r="G41" s="24"/>
      <c r="H41" s="34">
        <f>work!R$12</f>
        <v>1092.194</v>
      </c>
      <c r="I41" s="24"/>
      <c r="J41" s="34">
        <f>AVERAGE(H40:H41)</f>
        <v>979.755</v>
      </c>
      <c r="K41" s="24"/>
      <c r="L41" s="43">
        <f>(D41/D34-1)*100</f>
        <v>6.0933389498270207</v>
      </c>
      <c r="M41" s="24"/>
      <c r="N41" s="43">
        <f>(H41/H34-1)*100</f>
        <v>8.9772525448453599</v>
      </c>
      <c r="O41" s="24"/>
      <c r="P41" s="43">
        <f>(H41/H40-1)*100</f>
        <v>25.928035456511811</v>
      </c>
      <c r="Q41" s="24"/>
      <c r="R41" s="40">
        <f>F41/J41</f>
        <v>1.2450878025628858</v>
      </c>
      <c r="S41" s="24"/>
      <c r="T41" s="40">
        <f>F42/H41</f>
        <v>1.5630236020340706</v>
      </c>
      <c r="U41" s="24"/>
      <c r="V41" s="154">
        <f>qtrSales!J49</f>
        <v>4825</v>
      </c>
      <c r="W41" s="24"/>
      <c r="X41" s="40">
        <f>H41/V41</f>
        <v>0.22636145077720207</v>
      </c>
      <c r="Y41" s="24"/>
      <c r="Z41" s="85">
        <f>(X41/X34-1)*100</f>
        <v>4.0083415479819307</v>
      </c>
      <c r="AA41" s="24"/>
      <c r="AB41" s="148">
        <f>qtrSales!Z49</f>
        <v>31.7575</v>
      </c>
      <c r="AC41" s="24"/>
      <c r="AD41" s="387">
        <f>H41/AB41</f>
        <v>34.391687003070139</v>
      </c>
      <c r="AE41" s="24"/>
      <c r="AF41" s="85">
        <f>(AD41/AD34-1)*100</f>
        <v>3.7956213918038051</v>
      </c>
      <c r="AG41" s="24"/>
      <c r="AH41" s="148">
        <f>+'store&amp;sf'!AQ225</f>
        <v>25.406000000000002</v>
      </c>
      <c r="AI41" s="24"/>
      <c r="AJ41" s="387">
        <f>+H41/AH41</f>
        <v>42.989608753837672</v>
      </c>
      <c r="AK41" s="154"/>
      <c r="AL41" s="154"/>
      <c r="AM41" s="154"/>
      <c r="AN41" s="154"/>
      <c r="AO41" s="154"/>
      <c r="AP41" s="154"/>
      <c r="AQ41" s="24"/>
      <c r="AR41" s="24"/>
      <c r="AS41" s="24"/>
      <c r="AT41" s="24"/>
      <c r="AU41" s="24"/>
      <c r="AV41" s="24"/>
      <c r="AW41" s="24"/>
      <c r="AX41" s="24"/>
      <c r="AY41" s="24"/>
    </row>
    <row r="42" spans="1:51" hidden="1" outlineLevel="1">
      <c r="A42" s="24" t="str">
        <f>$A$14</f>
        <v>4Q</v>
      </c>
      <c r="B42" s="24" t="str">
        <f>$B$14</f>
        <v>Jan</v>
      </c>
      <c r="C42" s="24"/>
      <c r="D42" s="38">
        <f>'qtrP&amp;L'!V$13</f>
        <v>2538.5960000000005</v>
      </c>
      <c r="E42" s="24"/>
      <c r="F42" s="38">
        <f>'qtrP&amp;L'!V$23</f>
        <v>1707.1249999999998</v>
      </c>
      <c r="G42" s="24"/>
      <c r="H42" s="94">
        <f>work!R$13</f>
        <v>870.44</v>
      </c>
      <c r="I42" s="24"/>
      <c r="J42" s="38">
        <f>AVERAGE(H41:H42)</f>
        <v>981.31700000000001</v>
      </c>
      <c r="K42" s="24"/>
      <c r="L42" s="84">
        <f>(D42/D35-1)*100</f>
        <v>4.8657781192619876</v>
      </c>
      <c r="M42" s="24"/>
      <c r="N42" s="85">
        <f>(H42/H35-1)*100</f>
        <v>18.637045113806728</v>
      </c>
      <c r="O42" s="24"/>
      <c r="P42" s="85">
        <f>(H42/H41-1)*100</f>
        <v>-20.303535818728168</v>
      </c>
      <c r="Q42" s="24"/>
      <c r="R42" s="40">
        <f>F42/J42</f>
        <v>1.7396264407933417</v>
      </c>
      <c r="S42" s="24"/>
      <c r="T42" s="40">
        <f>F46/H42</f>
        <v>1.3619181103809568</v>
      </c>
      <c r="U42" s="24"/>
      <c r="V42" s="154">
        <f>qtrSales!J50</f>
        <v>4867</v>
      </c>
      <c r="W42" s="24"/>
      <c r="X42" s="40">
        <f>H42/V42</f>
        <v>0.17884528456955004</v>
      </c>
      <c r="Y42" s="24"/>
      <c r="Z42" s="85">
        <f>(X42/X35-1)*100</f>
        <v>12.689348584575399</v>
      </c>
      <c r="AA42" s="24"/>
      <c r="AB42" s="148">
        <f>qtrSales!Z50</f>
        <v>32.033749999999998</v>
      </c>
      <c r="AC42" s="24"/>
      <c r="AD42" s="387">
        <f>H42/AB42</f>
        <v>27.172591407499905</v>
      </c>
      <c r="AE42" s="24"/>
      <c r="AF42" s="85">
        <f>(AD42/AD35-1)*100</f>
        <v>13.077163302370277</v>
      </c>
      <c r="AG42" s="24"/>
      <c r="AH42" s="148">
        <f>+'store&amp;sf'!AQ226</f>
        <v>25.627000000000002</v>
      </c>
      <c r="AI42" s="24"/>
      <c r="AJ42" s="387">
        <f>+H42/AH42</f>
        <v>33.965739259374878</v>
      </c>
      <c r="AK42" s="154"/>
      <c r="AL42" s="154"/>
      <c r="AM42" s="154"/>
      <c r="AN42" s="154"/>
      <c r="AO42" s="154"/>
      <c r="AP42" s="154"/>
      <c r="AQ42" s="24"/>
      <c r="AR42" s="24"/>
      <c r="AS42" s="24"/>
      <c r="AT42" s="24"/>
      <c r="AU42" s="24"/>
      <c r="AV42" s="24"/>
      <c r="AW42" s="24"/>
      <c r="AX42" s="24"/>
      <c r="AY42" s="24"/>
    </row>
    <row r="43" spans="1:51" hidden="1" outlineLevel="1">
      <c r="A43" s="24"/>
      <c r="B43" s="24" t="str">
        <f>$B$15</f>
        <v>Year</v>
      </c>
      <c r="C43" s="24"/>
      <c r="D43" s="33">
        <f>SUM(D39:D42)</f>
        <v>7320.7920000000004</v>
      </c>
      <c r="E43" s="24"/>
      <c r="F43" s="33">
        <f>SUM(F39:F42)</f>
        <v>5206.4290000000001</v>
      </c>
      <c r="G43" s="24"/>
      <c r="H43" s="24"/>
      <c r="I43" s="24"/>
      <c r="J43" s="33">
        <f>AVERAGE(J39:J42)</f>
        <v>899.97137500000008</v>
      </c>
      <c r="K43" s="24"/>
      <c r="L43" s="43">
        <f>(D43/D36-1)*100</f>
        <v>1.0449010419197213</v>
      </c>
      <c r="M43" s="24"/>
      <c r="N43" s="85"/>
      <c r="O43" s="24"/>
      <c r="P43" s="24"/>
      <c r="Q43" s="24"/>
      <c r="R43" s="86">
        <f>F43/J43</f>
        <v>5.7851051095930686</v>
      </c>
      <c r="S43" s="83" t="s">
        <v>1200</v>
      </c>
      <c r="T43" s="24"/>
      <c r="U43" s="24"/>
      <c r="V43" s="154"/>
      <c r="W43" s="24"/>
      <c r="X43" s="24"/>
      <c r="Y43" s="24"/>
      <c r="Z43" s="24"/>
      <c r="AA43" s="24"/>
      <c r="AB43" s="148"/>
      <c r="AC43" s="24"/>
      <c r="AD43" s="387"/>
      <c r="AE43" s="24"/>
      <c r="AF43" s="24"/>
      <c r="AG43" s="24"/>
      <c r="AH43" s="148"/>
      <c r="AI43" s="24"/>
      <c r="AJ43" s="387"/>
      <c r="AK43" s="24"/>
      <c r="AL43" s="24"/>
      <c r="AM43" s="24"/>
      <c r="AN43" s="24"/>
      <c r="AO43" s="24"/>
      <c r="AP43" s="24"/>
      <c r="AQ43" s="24"/>
      <c r="AR43" s="24"/>
      <c r="AS43" s="24"/>
      <c r="AT43" s="24"/>
      <c r="AU43" s="24"/>
      <c r="AV43" s="24"/>
      <c r="AW43" s="24"/>
      <c r="AX43" s="24"/>
      <c r="AY43" s="24"/>
    </row>
    <row r="44" spans="1:51" hidden="1" outlineLevel="1">
      <c r="A44" s="24"/>
      <c r="B44" s="24"/>
      <c r="C44" s="24"/>
      <c r="D44" s="24"/>
      <c r="E44" s="24"/>
      <c r="F44" s="24"/>
      <c r="G44" s="24"/>
      <c r="H44" s="24"/>
      <c r="I44" s="24"/>
      <c r="J44" s="24"/>
      <c r="K44" s="24"/>
      <c r="L44" s="24"/>
      <c r="M44" s="24"/>
      <c r="N44" s="24"/>
      <c r="O44" s="24"/>
      <c r="P44" s="24"/>
      <c r="Q44" s="24"/>
      <c r="R44" s="24"/>
      <c r="S44" s="24"/>
      <c r="T44" s="24"/>
      <c r="U44" s="24"/>
      <c r="V44" s="154"/>
      <c r="W44" s="24"/>
      <c r="X44" s="24"/>
      <c r="Y44" s="24"/>
      <c r="Z44" s="24"/>
      <c r="AA44" s="24"/>
      <c r="AB44" s="148"/>
      <c r="AC44" s="24"/>
      <c r="AD44" s="24"/>
      <c r="AE44" s="24"/>
      <c r="AF44" s="24"/>
      <c r="AG44" s="24"/>
      <c r="AH44" s="148"/>
      <c r="AI44" s="24"/>
      <c r="AJ44" s="24"/>
      <c r="AK44" s="24"/>
      <c r="AL44" s="24"/>
      <c r="AM44" s="24"/>
      <c r="AN44" s="24"/>
      <c r="AO44" s="24"/>
      <c r="AP44" s="24"/>
      <c r="AQ44" s="24"/>
      <c r="AR44" s="24"/>
      <c r="AS44" s="24"/>
      <c r="AT44" s="24"/>
      <c r="AU44" s="24"/>
      <c r="AV44" s="24"/>
      <c r="AW44" s="24"/>
      <c r="AX44" s="24"/>
      <c r="AY44" s="24"/>
    </row>
    <row r="45" spans="1:51" hidden="1" outlineLevel="1">
      <c r="A45" s="24"/>
      <c r="B45" s="75">
        <f>B38+1</f>
        <v>1995</v>
      </c>
      <c r="C45" s="24"/>
      <c r="D45" s="24"/>
      <c r="E45" s="24"/>
      <c r="F45" s="24"/>
      <c r="G45" s="24"/>
      <c r="H45" s="24"/>
      <c r="I45" s="24"/>
      <c r="J45" s="24"/>
      <c r="K45" s="24"/>
      <c r="L45" s="24"/>
      <c r="M45" s="24"/>
      <c r="N45" s="24"/>
      <c r="O45" s="24"/>
      <c r="P45" s="24"/>
      <c r="Q45" s="24"/>
      <c r="R45" s="24"/>
      <c r="S45" s="24"/>
      <c r="T45" s="24"/>
      <c r="U45" s="24"/>
      <c r="V45" s="154"/>
      <c r="W45" s="24"/>
      <c r="X45" s="24"/>
      <c r="Y45" s="24"/>
      <c r="Z45" s="24"/>
      <c r="AA45" s="24"/>
      <c r="AB45" s="148"/>
      <c r="AC45" s="24"/>
      <c r="AD45" s="24"/>
      <c r="AE45" s="24"/>
      <c r="AF45" s="24"/>
      <c r="AG45" s="24"/>
      <c r="AH45" s="24"/>
      <c r="AI45" s="24"/>
      <c r="AJ45" s="24"/>
      <c r="AK45" s="24"/>
      <c r="AL45" s="24"/>
      <c r="AM45" s="24"/>
      <c r="AN45" s="24"/>
      <c r="AO45" s="24"/>
      <c r="AP45" s="24"/>
      <c r="AQ45" s="24"/>
      <c r="AR45" s="24"/>
      <c r="AS45" s="24"/>
      <c r="AT45" s="24"/>
      <c r="AU45" s="24"/>
      <c r="AV45" s="24"/>
      <c r="AW45" s="24"/>
      <c r="AX45" s="24"/>
      <c r="AY45" s="24"/>
    </row>
    <row r="46" spans="1:51" hidden="1" outlineLevel="1">
      <c r="A46" s="24" t="str">
        <f>$A$11</f>
        <v>1Q</v>
      </c>
      <c r="B46" s="24" t="str">
        <f>$B$11</f>
        <v>Apr</v>
      </c>
      <c r="C46" s="24"/>
      <c r="D46" s="33">
        <f>'qtrP&amp;L'!Z$10</f>
        <v>1588.134</v>
      </c>
      <c r="E46" s="24"/>
      <c r="F46" s="33">
        <f>'qtrP&amp;L'!Z$20</f>
        <v>1185.4680000000001</v>
      </c>
      <c r="G46" s="24"/>
      <c r="H46" s="33">
        <f>work!V$10</f>
        <v>985.53300000000002</v>
      </c>
      <c r="I46" s="24"/>
      <c r="J46" s="33">
        <f>AVERAGE(H45:H46)</f>
        <v>985.53300000000002</v>
      </c>
      <c r="K46" s="24"/>
      <c r="L46" s="43">
        <f>(D46/D39-1)*100</f>
        <v>7.1884440628821933</v>
      </c>
      <c r="M46" s="24" t="s">
        <v>1084</v>
      </c>
      <c r="N46" s="43">
        <f>(H46/H39-1)*100</f>
        <v>22.664627095839496</v>
      </c>
      <c r="O46" s="24" t="s">
        <v>1084</v>
      </c>
      <c r="P46" s="43">
        <f>(H46/H42-1)*100</f>
        <v>13.222393272367983</v>
      </c>
      <c r="Q46" s="24" t="s">
        <v>1084</v>
      </c>
      <c r="R46" s="40">
        <f>F46/J46</f>
        <v>1.2028699191199077</v>
      </c>
      <c r="S46" s="24" t="s">
        <v>1200</v>
      </c>
      <c r="T46" s="40">
        <f>F47/H46</f>
        <v>1.3139560014733143</v>
      </c>
      <c r="U46" s="24" t="s">
        <v>1200</v>
      </c>
      <c r="V46" s="154">
        <f>qtrSales!J54</f>
        <v>4954</v>
      </c>
      <c r="W46" s="24"/>
      <c r="X46" s="35">
        <f>H46/V46</f>
        <v>0.19893681873233751</v>
      </c>
      <c r="Y46" s="24"/>
      <c r="Z46" s="85">
        <f>(X46/X39-1)*100</f>
        <v>14.91452045857713</v>
      </c>
      <c r="AA46" s="143" t="s">
        <v>1084</v>
      </c>
      <c r="AB46" s="148">
        <f>qtrSales!Z54</f>
        <v>32.364999999999995</v>
      </c>
      <c r="AC46" s="24"/>
      <c r="AD46" s="165">
        <f>H46/AB46</f>
        <v>30.450579329522636</v>
      </c>
      <c r="AE46" s="24"/>
      <c r="AF46" s="85">
        <f>(AD46/AD39-1)*100</f>
        <v>16.330523649711836</v>
      </c>
      <c r="AG46" s="143" t="s">
        <v>1084</v>
      </c>
      <c r="AH46" s="148">
        <f>+'store&amp;sf'!AQ229</f>
        <v>25.891999999999999</v>
      </c>
      <c r="AI46" s="24"/>
      <c r="AJ46" s="165">
        <f>+H46/AH46</f>
        <v>38.063224161903292</v>
      </c>
      <c r="AK46" s="153"/>
      <c r="AL46" s="153"/>
      <c r="AM46" s="153"/>
      <c r="AN46" s="153"/>
      <c r="AO46" s="153"/>
      <c r="AP46" s="153"/>
      <c r="AQ46" s="24"/>
      <c r="AR46" s="24"/>
      <c r="AS46" s="24"/>
      <c r="AT46" s="24"/>
      <c r="AU46" s="24"/>
      <c r="AV46" s="24"/>
      <c r="AW46" s="24"/>
      <c r="AX46" s="24"/>
      <c r="AY46" s="24"/>
    </row>
    <row r="47" spans="1:51" hidden="1" outlineLevel="1">
      <c r="A47" s="24" t="str">
        <f>$A$12</f>
        <v>2Q</v>
      </c>
      <c r="B47" s="24" t="str">
        <f>$B$12</f>
        <v>Jul</v>
      </c>
      <c r="C47" s="24"/>
      <c r="D47" s="34">
        <f>'qtrP&amp;L'!Z$11</f>
        <v>1718.643</v>
      </c>
      <c r="E47" s="24"/>
      <c r="F47" s="34">
        <f>'qtrP&amp;L'!Z$21</f>
        <v>1294.9469999999999</v>
      </c>
      <c r="G47" s="24"/>
      <c r="H47" s="34">
        <f>work!V$11</f>
        <v>1081.6279999999999</v>
      </c>
      <c r="I47" s="24"/>
      <c r="J47" s="34">
        <f>AVERAGE(H46:H47)</f>
        <v>1033.5805</v>
      </c>
      <c r="K47" s="24"/>
      <c r="L47" s="43">
        <f>(D47/D40-1)*100</f>
        <v>8.40492446032275</v>
      </c>
      <c r="M47" s="24"/>
      <c r="N47" s="43">
        <f>(H47/H40-1)*100</f>
        <v>24.70979435407623</v>
      </c>
      <c r="O47" s="24"/>
      <c r="P47" s="43">
        <f>(H47/H46-1)*100</f>
        <v>9.7505613713594563</v>
      </c>
      <c r="Q47" s="24"/>
      <c r="R47" s="40">
        <f>F47/J47</f>
        <v>1.2528748365511926</v>
      </c>
      <c r="S47" s="24"/>
      <c r="T47" s="40">
        <f>F48/H47</f>
        <v>1.2484301441900543</v>
      </c>
      <c r="U47" s="24"/>
      <c r="V47" s="154">
        <f>qtrSales!J55</f>
        <v>5048</v>
      </c>
      <c r="W47" s="24"/>
      <c r="X47" s="40">
        <f>H47/V47</f>
        <v>0.21426862123613311</v>
      </c>
      <c r="Y47" s="24"/>
      <c r="Z47" s="85">
        <f>(X47/X40-1)*100</f>
        <v>16.013707267579647</v>
      </c>
      <c r="AA47" s="24"/>
      <c r="AB47" s="148">
        <f>qtrSales!Z55</f>
        <v>33.1</v>
      </c>
      <c r="AC47" s="24"/>
      <c r="AD47" s="387">
        <f>H47/AB47</f>
        <v>32.677583081570994</v>
      </c>
      <c r="AE47" s="24"/>
      <c r="AF47" s="85">
        <f>(AD47/AD40-1)*100</f>
        <v>16.934270544462194</v>
      </c>
      <c r="AG47" s="24"/>
      <c r="AH47" s="148">
        <f>+'store&amp;sf'!AQ230</f>
        <v>26.48</v>
      </c>
      <c r="AI47" s="24"/>
      <c r="AJ47" s="387">
        <f>+H47/AH47</f>
        <v>40.84697885196374</v>
      </c>
      <c r="AK47" s="154"/>
      <c r="AL47" s="154"/>
      <c r="AM47" s="154"/>
      <c r="AN47" s="154"/>
      <c r="AO47" s="154"/>
      <c r="AP47" s="154"/>
      <c r="AQ47" s="24"/>
      <c r="AR47" s="24"/>
      <c r="AS47" s="24"/>
      <c r="AT47" s="24"/>
      <c r="AU47" s="24"/>
      <c r="AV47" s="24"/>
      <c r="AW47" s="24"/>
      <c r="AX47" s="24"/>
      <c r="AY47" s="24"/>
    </row>
    <row r="48" spans="1:51" hidden="1" outlineLevel="1">
      <c r="A48" s="24" t="str">
        <f>$A$13</f>
        <v>3Q</v>
      </c>
      <c r="B48" s="24" t="str">
        <f>$B$13</f>
        <v>Oct</v>
      </c>
      <c r="C48" s="24"/>
      <c r="D48" s="34">
        <f>'qtrP&amp;L'!Z$12</f>
        <v>1803.2950000000001</v>
      </c>
      <c r="E48" s="24"/>
      <c r="F48" s="34">
        <f>'qtrP&amp;L'!Z$22</f>
        <v>1350.337</v>
      </c>
      <c r="G48" s="24"/>
      <c r="H48" s="34">
        <f>work!V$12</f>
        <v>1287.9690000000001</v>
      </c>
      <c r="I48" s="24"/>
      <c r="J48" s="34">
        <f>AVERAGE(H47:H48)</f>
        <v>1184.7984999999999</v>
      </c>
      <c r="K48" s="24"/>
      <c r="L48" s="43">
        <f>(D48/D41-1)*100</f>
        <v>5.1376068694991117</v>
      </c>
      <c r="M48" s="24"/>
      <c r="N48" s="43">
        <f>(H48/H41-1)*100</f>
        <v>17.924929087689566</v>
      </c>
      <c r="O48" s="24"/>
      <c r="P48" s="43">
        <f>(H48/H47-1)*100</f>
        <v>19.076891500589866</v>
      </c>
      <c r="Q48" s="24"/>
      <c r="R48" s="40">
        <f>F48/J48</f>
        <v>1.1397186947822775</v>
      </c>
      <c r="S48" s="24"/>
      <c r="T48" s="40">
        <f>F49/H48</f>
        <v>1.5242237973118915</v>
      </c>
      <c r="U48" s="24"/>
      <c r="V48" s="154">
        <f>qtrSales!J56</f>
        <v>5214</v>
      </c>
      <c r="W48" s="24"/>
      <c r="X48" s="40">
        <f>H48/V48</f>
        <v>0.24702128883774455</v>
      </c>
      <c r="Y48" s="24"/>
      <c r="Z48" s="85">
        <f>(X48/X41-1)*100</f>
        <v>9.126924213291554</v>
      </c>
      <c r="AA48" s="24"/>
      <c r="AB48" s="148">
        <f>qtrSales!Z56</f>
        <v>33.894999999999989</v>
      </c>
      <c r="AC48" s="24"/>
      <c r="AD48" s="387">
        <f>H48/AB48</f>
        <v>37.998790382062268</v>
      </c>
      <c r="AE48" s="24"/>
      <c r="AF48" s="85">
        <f>(AD48/AD41-1)*100</f>
        <v>10.488300206588065</v>
      </c>
      <c r="AG48" s="24"/>
      <c r="AH48" s="148">
        <f>+'store&amp;sf'!AQ231</f>
        <v>27.116</v>
      </c>
      <c r="AI48" s="24"/>
      <c r="AJ48" s="387">
        <f>+H48/AH48</f>
        <v>47.498487977577817</v>
      </c>
      <c r="AK48" s="154"/>
      <c r="AL48" s="154"/>
      <c r="AM48" s="154"/>
      <c r="AN48" s="154"/>
      <c r="AO48" s="154"/>
      <c r="AP48" s="154"/>
      <c r="AQ48" s="24"/>
      <c r="AR48" s="24"/>
      <c r="AS48" s="24"/>
      <c r="AT48" s="24"/>
      <c r="AU48" s="24"/>
      <c r="AV48" s="24"/>
      <c r="AW48" s="24"/>
      <c r="AX48" s="24"/>
      <c r="AY48" s="24"/>
    </row>
    <row r="49" spans="1:51" hidden="1" outlineLevel="1">
      <c r="A49" s="24" t="str">
        <f>$A$14</f>
        <v>4Q</v>
      </c>
      <c r="B49" s="24" t="str">
        <f>$B$14</f>
        <v>Jan</v>
      </c>
      <c r="C49" s="24"/>
      <c r="D49" s="38">
        <f>'qtrP&amp;L'!Z$13</f>
        <v>2771.3649999999998</v>
      </c>
      <c r="E49" s="24"/>
      <c r="F49" s="38">
        <f>'qtrP&amp;L'!Z$23</f>
        <v>1963.1529999999998</v>
      </c>
      <c r="G49" s="24"/>
      <c r="H49" s="94">
        <f>work!V$13</f>
        <v>958.95299999999997</v>
      </c>
      <c r="I49" s="24"/>
      <c r="J49" s="38">
        <f>AVERAGE(H48:H49)</f>
        <v>1123.461</v>
      </c>
      <c r="K49" s="24"/>
      <c r="L49" s="84">
        <f>(D49/D42-1)*100</f>
        <v>9.1692021889264517</v>
      </c>
      <c r="M49" s="24"/>
      <c r="N49" s="85">
        <f>(H49/H42-1)*100</f>
        <v>10.16876522218646</v>
      </c>
      <c r="O49" s="24"/>
      <c r="P49" s="85">
        <f>(H49/H48-1)*100</f>
        <v>-25.545335330275808</v>
      </c>
      <c r="Q49" s="24"/>
      <c r="R49" s="40">
        <f>F49/J49</f>
        <v>1.7474153530919185</v>
      </c>
      <c r="S49" s="24"/>
      <c r="T49" s="40">
        <f>F53/H49</f>
        <v>1.3748348459204989</v>
      </c>
      <c r="U49" s="24"/>
      <c r="V49" s="154">
        <f>qtrSales!J57</f>
        <v>5298</v>
      </c>
      <c r="W49" s="24"/>
      <c r="X49" s="40">
        <f>H49/V49</f>
        <v>0.18100283125707814</v>
      </c>
      <c r="Y49" s="24"/>
      <c r="Z49" s="85">
        <f>(X49/X42-1)*100</f>
        <v>1.2063760544321456</v>
      </c>
      <c r="AA49" s="24"/>
      <c r="AB49" s="148">
        <f>qtrSales!Z57</f>
        <v>34.253750000000004</v>
      </c>
      <c r="AC49" s="24"/>
      <c r="AD49" s="387">
        <f>H49/AB49</f>
        <v>27.995562529650034</v>
      </c>
      <c r="AE49" s="24"/>
      <c r="AF49" s="85">
        <f>(AD49/AD42-1)*100</f>
        <v>3.0286810330610647</v>
      </c>
      <c r="AG49" s="24"/>
      <c r="AH49" s="148">
        <f>+'store&amp;sf'!AQ232</f>
        <v>27.402999999999995</v>
      </c>
      <c r="AI49" s="24"/>
      <c r="AJ49" s="387">
        <f>+H49/AH49</f>
        <v>34.994453162062555</v>
      </c>
      <c r="AK49" s="154"/>
      <c r="AL49" s="154"/>
      <c r="AM49" s="154"/>
      <c r="AN49" s="154"/>
      <c r="AO49" s="154"/>
      <c r="AP49" s="154"/>
      <c r="AQ49" s="24"/>
      <c r="AR49" s="24"/>
      <c r="AS49" s="24"/>
      <c r="AT49" s="24"/>
      <c r="AU49" s="24"/>
      <c r="AV49" s="24"/>
      <c r="AW49" s="24"/>
      <c r="AX49" s="24"/>
      <c r="AY49" s="24"/>
    </row>
    <row r="50" spans="1:51" hidden="1" outlineLevel="1">
      <c r="A50" s="24"/>
      <c r="B50" s="24" t="str">
        <f>$B$15</f>
        <v>Year</v>
      </c>
      <c r="C50" s="24"/>
      <c r="D50" s="33">
        <f>SUM(D46:D49)</f>
        <v>7881.4369999999999</v>
      </c>
      <c r="E50" s="24"/>
      <c r="F50" s="33">
        <f>SUM(F46:F49)</f>
        <v>5793.9049999999997</v>
      </c>
      <c r="G50" s="24"/>
      <c r="H50" s="24"/>
      <c r="I50" s="24"/>
      <c r="J50" s="33">
        <f>AVERAGE(J46:J49)</f>
        <v>1081.8432499999999</v>
      </c>
      <c r="K50" s="24"/>
      <c r="L50" s="43">
        <f>(D50/D43-1)*100</f>
        <v>7.6582561012524364</v>
      </c>
      <c r="M50" s="24"/>
      <c r="N50" s="85"/>
      <c r="O50" s="24"/>
      <c r="P50" s="24"/>
      <c r="Q50" s="24"/>
      <c r="R50" s="86">
        <f>F50/J50</f>
        <v>5.3555864031133904</v>
      </c>
      <c r="S50" s="83" t="s">
        <v>1200</v>
      </c>
      <c r="T50" s="24"/>
      <c r="U50" s="24"/>
      <c r="V50" s="154"/>
      <c r="W50" s="24"/>
      <c r="X50" s="24"/>
      <c r="Y50" s="24"/>
      <c r="Z50" s="24"/>
      <c r="AA50" s="24"/>
      <c r="AB50" s="148"/>
      <c r="AC50" s="24"/>
      <c r="AD50" s="387"/>
      <c r="AE50" s="24"/>
      <c r="AF50" s="24"/>
      <c r="AG50" s="24"/>
      <c r="AH50" s="148"/>
      <c r="AI50" s="24"/>
      <c r="AJ50" s="387"/>
      <c r="AK50" s="24"/>
      <c r="AL50" s="24"/>
      <c r="AM50" s="24"/>
      <c r="AN50" s="24"/>
      <c r="AO50" s="24"/>
      <c r="AP50" s="24"/>
      <c r="AQ50" s="24"/>
      <c r="AR50" s="24"/>
      <c r="AS50" s="24"/>
      <c r="AT50" s="24"/>
      <c r="AU50" s="24"/>
      <c r="AV50" s="24"/>
      <c r="AW50" s="24"/>
      <c r="AX50" s="24"/>
      <c r="AY50" s="24"/>
    </row>
    <row r="51" spans="1:51" hidden="1" outlineLevel="1">
      <c r="A51" s="24"/>
      <c r="B51" s="24"/>
      <c r="C51" s="24"/>
      <c r="D51" s="24"/>
      <c r="E51" s="24"/>
      <c r="F51" s="24"/>
      <c r="G51" s="24"/>
      <c r="H51" s="24"/>
      <c r="I51" s="24"/>
      <c r="J51" s="24"/>
      <c r="K51" s="24"/>
      <c r="L51" s="24"/>
      <c r="M51" s="24"/>
      <c r="N51" s="24"/>
      <c r="O51" s="24"/>
      <c r="P51" s="24"/>
      <c r="Q51" s="24"/>
      <c r="R51" s="24"/>
      <c r="S51" s="24"/>
      <c r="T51" s="24"/>
      <c r="U51" s="24"/>
      <c r="V51" s="154"/>
      <c r="W51" s="24"/>
      <c r="X51" s="24"/>
      <c r="Y51" s="24"/>
      <c r="Z51" s="24"/>
      <c r="AA51" s="24"/>
      <c r="AB51" s="148"/>
      <c r="AC51" s="24"/>
      <c r="AD51" s="24"/>
      <c r="AE51" s="24"/>
      <c r="AF51" s="24"/>
      <c r="AG51" s="24"/>
      <c r="AH51" s="148"/>
      <c r="AI51" s="24"/>
      <c r="AJ51" s="24"/>
      <c r="AK51" s="24"/>
      <c r="AL51" s="24"/>
      <c r="AM51" s="24"/>
      <c r="AN51" s="24"/>
      <c r="AO51" s="24"/>
      <c r="AP51" s="24"/>
      <c r="AQ51" s="24"/>
      <c r="AR51" s="24"/>
      <c r="AS51" s="24"/>
      <c r="AT51" s="24"/>
      <c r="AU51" s="24"/>
      <c r="AV51" s="24"/>
      <c r="AW51" s="24"/>
      <c r="AX51" s="24"/>
      <c r="AY51" s="24"/>
    </row>
    <row r="52" spans="1:51" hidden="1" outlineLevel="1">
      <c r="A52" s="24"/>
      <c r="B52" s="75">
        <f>B45+1</f>
        <v>1996</v>
      </c>
      <c r="C52" s="24"/>
      <c r="D52" s="24"/>
      <c r="E52" s="24"/>
      <c r="F52" s="24"/>
      <c r="G52" s="24"/>
      <c r="H52" s="24"/>
      <c r="I52" s="24"/>
      <c r="J52" s="24"/>
      <c r="K52" s="24"/>
      <c r="L52" s="24"/>
      <c r="M52" s="24"/>
      <c r="N52" s="24"/>
      <c r="O52" s="24"/>
      <c r="P52" s="24"/>
      <c r="Q52" s="24"/>
      <c r="R52" s="24"/>
      <c r="S52" s="24"/>
      <c r="T52" s="24"/>
      <c r="U52" s="24"/>
      <c r="V52" s="154"/>
      <c r="W52" s="24"/>
      <c r="X52" s="24"/>
      <c r="Y52" s="24"/>
      <c r="Z52" s="24"/>
      <c r="AA52" s="24"/>
      <c r="AB52" s="148"/>
      <c r="AC52" s="24"/>
      <c r="AD52" s="24"/>
      <c r="AE52" s="24"/>
      <c r="AF52" s="24"/>
      <c r="AG52" s="24"/>
      <c r="AH52" s="24"/>
      <c r="AI52" s="24"/>
      <c r="AJ52" s="24"/>
      <c r="AK52" s="24"/>
      <c r="AL52" s="24"/>
      <c r="AM52" s="24"/>
      <c r="AN52" s="24"/>
      <c r="AO52" s="24"/>
      <c r="AP52" s="24"/>
      <c r="AQ52" s="24"/>
      <c r="AR52" s="24"/>
      <c r="AS52" s="24"/>
      <c r="AT52" s="24"/>
      <c r="AU52" s="24"/>
      <c r="AV52" s="24"/>
      <c r="AW52" s="24"/>
      <c r="AX52" s="24"/>
      <c r="AY52" s="24"/>
    </row>
    <row r="53" spans="1:51" hidden="1" outlineLevel="1">
      <c r="A53" s="24" t="str">
        <f>$A$11</f>
        <v>1Q</v>
      </c>
      <c r="B53" s="24" t="str">
        <f>$B$11</f>
        <v>Apr</v>
      </c>
      <c r="C53" s="24"/>
      <c r="D53" s="33">
        <f>'qtrP&amp;L'!AD10</f>
        <v>1787.943</v>
      </c>
      <c r="E53" s="24"/>
      <c r="F53" s="33">
        <f>'qtrP&amp;L'!AD20</f>
        <v>1318.402</v>
      </c>
      <c r="G53" s="24"/>
      <c r="H53" s="33">
        <f>work!Z10</f>
        <v>1010.971</v>
      </c>
      <c r="I53" s="24"/>
      <c r="J53" s="33">
        <f>AVERAGE(H52:H53)</f>
        <v>1010.971</v>
      </c>
      <c r="K53" s="24"/>
      <c r="L53" s="43">
        <f>(D53/D46-1)*100</f>
        <v>12.581369078427883</v>
      </c>
      <c r="M53" s="24" t="s">
        <v>1084</v>
      </c>
      <c r="N53" s="43">
        <f>(H53/H46-1)*100</f>
        <v>2.5811413722320875</v>
      </c>
      <c r="O53" s="24" t="s">
        <v>1084</v>
      </c>
      <c r="P53" s="43">
        <f>(H53/H49-1)*100</f>
        <v>5.4244577158630403</v>
      </c>
      <c r="Q53" s="24" t="s">
        <v>1084</v>
      </c>
      <c r="R53" s="40">
        <f>F53/J53</f>
        <v>1.304094776210198</v>
      </c>
      <c r="S53" s="24" t="s">
        <v>1200</v>
      </c>
      <c r="T53" s="40">
        <f>F54/H53</f>
        <v>1.3884592139636054</v>
      </c>
      <c r="U53" s="24" t="s">
        <v>1200</v>
      </c>
      <c r="V53" s="154">
        <f>qtrSales!J61</f>
        <v>5352</v>
      </c>
      <c r="W53" s="24"/>
      <c r="X53" s="35">
        <f>H53/V53</f>
        <v>0.18889592675635278</v>
      </c>
      <c r="Y53" s="24"/>
      <c r="Z53" s="85">
        <f>(X53/X46-1)*100</f>
        <v>-5.0472768389316585</v>
      </c>
      <c r="AA53" s="143" t="s">
        <v>1084</v>
      </c>
      <c r="AB53" s="148">
        <f>qtrSales!Z61</f>
        <v>34.409999999999997</v>
      </c>
      <c r="AC53" s="24"/>
      <c r="AD53" s="165">
        <f>H53/AB53</f>
        <v>29.380151118860798</v>
      </c>
      <c r="AE53" s="24"/>
      <c r="AF53" s="85">
        <f>(AD53/AD46-1)*100</f>
        <v>-3.5152967011830571</v>
      </c>
      <c r="AG53" s="143" t="s">
        <v>1084</v>
      </c>
      <c r="AH53" s="148">
        <f>+'store&amp;sf'!AQ235</f>
        <v>27.527999999999995</v>
      </c>
      <c r="AI53" s="24"/>
      <c r="AJ53" s="165">
        <f>+H53/AH53</f>
        <v>36.725188898576</v>
      </c>
      <c r="AK53" s="153"/>
      <c r="AL53" s="153"/>
      <c r="AM53" s="153"/>
      <c r="AN53" s="153"/>
      <c r="AO53" s="153"/>
      <c r="AP53" s="153"/>
      <c r="AQ53" s="24"/>
      <c r="AR53" s="24"/>
      <c r="AS53" s="24"/>
      <c r="AT53" s="24"/>
      <c r="AU53" s="24"/>
      <c r="AV53" s="24"/>
      <c r="AW53" s="24"/>
      <c r="AX53" s="24"/>
      <c r="AY53" s="24"/>
    </row>
    <row r="54" spans="1:51" hidden="1" outlineLevel="1">
      <c r="A54" s="24" t="str">
        <f>$A$12</f>
        <v>2Q</v>
      </c>
      <c r="B54" s="24" t="str">
        <f>$B$12</f>
        <v>Jul</v>
      </c>
      <c r="C54" s="24"/>
      <c r="D54" s="34">
        <f>'qtrP&amp;L'!AD11</f>
        <v>1895.6010000000001</v>
      </c>
      <c r="E54" s="24"/>
      <c r="F54" s="34">
        <f>'qtrP&amp;L'!AD21</f>
        <v>1403.692</v>
      </c>
      <c r="G54" s="24"/>
      <c r="H54" s="34">
        <f>work!Z11</f>
        <v>1116.06</v>
      </c>
      <c r="I54" s="24"/>
      <c r="J54" s="34">
        <f>AVERAGE(H53:H54)</f>
        <v>1063.5155</v>
      </c>
      <c r="K54" s="24"/>
      <c r="L54" s="43">
        <f>(D54/D47-1)*100</f>
        <v>10.296379178223747</v>
      </c>
      <c r="M54" s="24"/>
      <c r="N54" s="43">
        <f>(H54/H47-1)*100</f>
        <v>3.183349543465952</v>
      </c>
      <c r="O54" s="24"/>
      <c r="P54" s="43">
        <f>(H54/H53-1)*100</f>
        <v>10.394858012742203</v>
      </c>
      <c r="Q54" s="24"/>
      <c r="R54" s="40">
        <f>F54/J54</f>
        <v>1.3198604063598509</v>
      </c>
      <c r="S54" s="24"/>
      <c r="T54" s="40">
        <f>F55/H54</f>
        <v>1.289905560632941</v>
      </c>
      <c r="U54" s="24"/>
      <c r="V54" s="154">
        <f>qtrSales!J62</f>
        <v>5454</v>
      </c>
      <c r="W54" s="24"/>
      <c r="X54" s="40">
        <f>H54/V54</f>
        <v>0.20463146314631461</v>
      </c>
      <c r="Y54" s="24"/>
      <c r="Z54" s="85">
        <f>(X54/X47-1)*100</f>
        <v>-4.4976992124282749</v>
      </c>
      <c r="AA54" s="24"/>
      <c r="AB54" s="148">
        <f>qtrSales!Z62</f>
        <v>34.754999999999995</v>
      </c>
      <c r="AC54" s="24"/>
      <c r="AD54" s="387">
        <f>H54/AB54</f>
        <v>32.112214069917997</v>
      </c>
      <c r="AE54" s="24"/>
      <c r="AF54" s="85">
        <f>(AD54/AD47-1)*100</f>
        <v>-1.7301432919371695</v>
      </c>
      <c r="AG54" s="24"/>
      <c r="AH54" s="148">
        <f>+'store&amp;sf'!AQ236</f>
        <v>27.803999999999995</v>
      </c>
      <c r="AI54" s="24"/>
      <c r="AJ54" s="387">
        <f>+H54/AH54</f>
        <v>40.140267587397503</v>
      </c>
      <c r="AK54" s="154"/>
      <c r="AL54" s="154"/>
      <c r="AM54" s="154"/>
      <c r="AN54" s="154"/>
      <c r="AO54" s="154"/>
      <c r="AP54" s="154"/>
      <c r="AQ54" s="24"/>
      <c r="AR54" s="24"/>
      <c r="AS54" s="24"/>
      <c r="AT54" s="24"/>
      <c r="AU54" s="24"/>
      <c r="AV54" s="24"/>
      <c r="AW54" s="24"/>
      <c r="AX54" s="24"/>
      <c r="AY54" s="24"/>
    </row>
    <row r="55" spans="1:51" hidden="1" outlineLevel="1">
      <c r="A55" s="24" t="str">
        <f>$A$13</f>
        <v>3Q</v>
      </c>
      <c r="B55" s="24" t="str">
        <f>$B$13</f>
        <v>Oct</v>
      </c>
      <c r="C55" s="24"/>
      <c r="D55" s="34">
        <f>'qtrP&amp;L'!AD12</f>
        <v>1994.9860000000001</v>
      </c>
      <c r="E55" s="24"/>
      <c r="F55" s="34">
        <f>'qtrP&amp;L'!AD22</f>
        <v>1439.6120000000001</v>
      </c>
      <c r="G55" s="24"/>
      <c r="H55" s="34">
        <f>work!Z12</f>
        <v>1361.095</v>
      </c>
      <c r="I55" s="24"/>
      <c r="J55" s="34">
        <f>AVERAGE(H54:H55)</f>
        <v>1238.5774999999999</v>
      </c>
      <c r="K55" s="24"/>
      <c r="L55" s="43">
        <f>(D55/D48-1)*100</f>
        <v>10.630041119173516</v>
      </c>
      <c r="M55" s="24"/>
      <c r="N55" s="43">
        <f>(H55/H48-1)*100</f>
        <v>5.677621122868648</v>
      </c>
      <c r="O55" s="24"/>
      <c r="P55" s="43">
        <f>(H55/H54-1)*100</f>
        <v>21.955360822894843</v>
      </c>
      <c r="Q55" s="24"/>
      <c r="R55" s="40">
        <f>F55/J55</f>
        <v>1.1623107960543448</v>
      </c>
      <c r="S55" s="24"/>
      <c r="T55" s="40">
        <f>F56/H55</f>
        <v>1.4594910715269689</v>
      </c>
      <c r="U55" s="24"/>
      <c r="V55" s="154">
        <f>qtrSales!J63</f>
        <v>5656</v>
      </c>
      <c r="W55" s="24"/>
      <c r="X55" s="40">
        <f>H55/V55</f>
        <v>0.24064621640735503</v>
      </c>
      <c r="Y55" s="24"/>
      <c r="Z55" s="85">
        <f>(X55/X48-1)*100</f>
        <v>-2.5807785476242739</v>
      </c>
      <c r="AA55" s="24"/>
      <c r="AB55" s="148">
        <f>qtrSales!Z63</f>
        <v>35.736249999999991</v>
      </c>
      <c r="AC55" s="24"/>
      <c r="AD55" s="387">
        <f>H55/AB55</f>
        <v>38.087236349644975</v>
      </c>
      <c r="AE55" s="24"/>
      <c r="AF55" s="85">
        <f>(AD55/AD48-1)*100</f>
        <v>0.23275995549705275</v>
      </c>
      <c r="AG55" s="24"/>
      <c r="AH55" s="148">
        <f>+'store&amp;sf'!AQ237</f>
        <v>28.588999999999999</v>
      </c>
      <c r="AI55" s="24"/>
      <c r="AJ55" s="387">
        <f>+H55/AH55</f>
        <v>47.609045437056217</v>
      </c>
      <c r="AK55" s="154"/>
      <c r="AL55" s="154"/>
      <c r="AM55" s="154"/>
      <c r="AN55" s="154"/>
      <c r="AO55" s="154"/>
      <c r="AP55" s="154"/>
      <c r="AQ55" s="24"/>
      <c r="AR55" s="24"/>
      <c r="AS55" s="24"/>
      <c r="AT55" s="24"/>
      <c r="AU55" s="24"/>
      <c r="AV55" s="24"/>
      <c r="AW55" s="24"/>
      <c r="AX55" s="24"/>
      <c r="AY55" s="24"/>
    </row>
    <row r="56" spans="1:51" hidden="1" outlineLevel="1">
      <c r="A56" s="24" t="str">
        <f>$A$14</f>
        <v>4Q</v>
      </c>
      <c r="B56" s="24" t="str">
        <f>$B$14</f>
        <v>Jan</v>
      </c>
      <c r="C56" s="24"/>
      <c r="D56" s="38">
        <f>'qtrP&amp;L'!AD13</f>
        <v>2966.261</v>
      </c>
      <c r="E56" s="24"/>
      <c r="F56" s="38">
        <f>'qtrP&amp;L'!AD23</f>
        <v>1986.5059999999999</v>
      </c>
      <c r="G56" s="24"/>
      <c r="H56" s="94">
        <f>work!Z13</f>
        <v>1007.303</v>
      </c>
      <c r="I56" s="24"/>
      <c r="J56" s="38">
        <f>AVERAGE(H55:H56)</f>
        <v>1184.1990000000001</v>
      </c>
      <c r="K56" s="24"/>
      <c r="L56" s="84">
        <f>(D56/D49-1)*100</f>
        <v>7.0324912092055714</v>
      </c>
      <c r="M56" s="24"/>
      <c r="N56" s="85">
        <f>(H56/H49-1)*100</f>
        <v>5.0419572179241312</v>
      </c>
      <c r="O56" s="24"/>
      <c r="P56" s="85">
        <f>(H56/H55-1)*100</f>
        <v>-25.993189307138742</v>
      </c>
      <c r="Q56" s="24"/>
      <c r="R56" s="40">
        <f>F56/J56</f>
        <v>1.677510283322313</v>
      </c>
      <c r="S56" s="24"/>
      <c r="T56" s="40">
        <f>F60/H56</f>
        <v>1.2399377347233156</v>
      </c>
      <c r="U56" s="24"/>
      <c r="V56" s="154">
        <f>qtrSales!J64</f>
        <v>5633</v>
      </c>
      <c r="W56" s="24"/>
      <c r="X56" s="40">
        <f>H56/V56</f>
        <v>0.17882176460145571</v>
      </c>
      <c r="Y56" s="24"/>
      <c r="Z56" s="85">
        <f>(X56/X49-1)*100</f>
        <v>-1.2049903531755612</v>
      </c>
      <c r="AA56" s="24"/>
      <c r="AB56" s="148">
        <f>qtrSales!Z64</f>
        <v>35.506249999999994</v>
      </c>
      <c r="AC56" s="24"/>
      <c r="AD56" s="387">
        <f>H56/AB56</f>
        <v>28.369737722232006</v>
      </c>
      <c r="AE56" s="24"/>
      <c r="AF56" s="85">
        <f>(AD56/AD49-1)*100</f>
        <v>1.3365517916837266</v>
      </c>
      <c r="AG56" s="24"/>
      <c r="AH56" s="148">
        <f>+'store&amp;sf'!AQ238</f>
        <v>28.404999999999998</v>
      </c>
      <c r="AI56" s="24"/>
      <c r="AJ56" s="387">
        <f>+H56/AH56</f>
        <v>35.462172152790004</v>
      </c>
      <c r="AK56" s="154"/>
      <c r="AL56" s="154"/>
      <c r="AM56" s="154"/>
      <c r="AN56" s="154"/>
      <c r="AO56" s="154"/>
      <c r="AP56" s="154"/>
      <c r="AQ56" s="24"/>
      <c r="AR56" s="24"/>
      <c r="AS56" s="24"/>
      <c r="AT56" s="24"/>
      <c r="AU56" s="24"/>
      <c r="AV56" s="24"/>
      <c r="AW56" s="24"/>
      <c r="AX56" s="24"/>
      <c r="AY56" s="24"/>
    </row>
    <row r="57" spans="1:51" hidden="1" outlineLevel="1">
      <c r="A57" s="24"/>
      <c r="B57" s="24" t="str">
        <f>$B$15</f>
        <v>Year</v>
      </c>
      <c r="C57" s="24"/>
      <c r="D57" s="33">
        <f>SUM(D53:D56)</f>
        <v>8644.7909999999993</v>
      </c>
      <c r="E57" s="24"/>
      <c r="F57" s="33">
        <f>SUM(F53:F56)</f>
        <v>6148.2119999999995</v>
      </c>
      <c r="G57" s="24"/>
      <c r="H57" s="24"/>
      <c r="I57" s="24"/>
      <c r="J57" s="33">
        <f>AVERAGE(J53:J56)</f>
        <v>1124.31575</v>
      </c>
      <c r="K57" s="24"/>
      <c r="L57" s="43">
        <f>(D57/D50-1)*100</f>
        <v>9.6854672567959312</v>
      </c>
      <c r="M57" s="24"/>
      <c r="N57" s="85"/>
      <c r="O57" s="24"/>
      <c r="P57" s="24"/>
      <c r="Q57" s="24"/>
      <c r="R57" s="86">
        <f>F57/J57</f>
        <v>5.4684033377634353</v>
      </c>
      <c r="S57" s="83" t="s">
        <v>1200</v>
      </c>
      <c r="T57" s="24"/>
      <c r="U57" s="24"/>
      <c r="V57" s="154"/>
      <c r="W57" s="24"/>
      <c r="X57" s="24"/>
      <c r="Y57" s="24"/>
      <c r="Z57" s="24"/>
      <c r="AA57" s="24"/>
      <c r="AB57" s="148"/>
      <c r="AC57" s="24"/>
      <c r="AD57" s="387"/>
      <c r="AE57" s="24"/>
      <c r="AF57" s="24"/>
      <c r="AG57" s="24"/>
      <c r="AH57" s="148"/>
      <c r="AI57" s="24"/>
      <c r="AJ57" s="387"/>
      <c r="AK57" s="24"/>
      <c r="AL57" s="24"/>
      <c r="AM57" s="24"/>
      <c r="AN57" s="24"/>
      <c r="AO57" s="24"/>
      <c r="AP57" s="24"/>
      <c r="AQ57" s="24"/>
      <c r="AR57" s="24"/>
      <c r="AS57" s="24"/>
      <c r="AT57" s="24"/>
      <c r="AU57" s="24"/>
      <c r="AV57" s="24"/>
      <c r="AW57" s="24"/>
      <c r="AX57" s="24"/>
      <c r="AY57" s="24"/>
    </row>
    <row r="58" spans="1:51" hidden="1" outlineLevel="1">
      <c r="A58" s="24"/>
      <c r="B58" s="24"/>
      <c r="C58" s="24"/>
      <c r="D58" s="24"/>
      <c r="E58" s="24"/>
      <c r="F58" s="24"/>
      <c r="G58" s="24"/>
      <c r="H58" s="24"/>
      <c r="I58" s="24"/>
      <c r="J58" s="24"/>
      <c r="K58" s="24"/>
      <c r="L58" s="24"/>
      <c r="M58" s="24"/>
      <c r="N58" s="24"/>
      <c r="O58" s="24"/>
      <c r="P58" s="24"/>
      <c r="Q58" s="24"/>
      <c r="R58" s="24"/>
      <c r="S58" s="24"/>
      <c r="T58" s="24"/>
      <c r="U58" s="24"/>
      <c r="V58" s="154"/>
      <c r="W58" s="24"/>
      <c r="X58" s="24"/>
      <c r="Y58" s="24"/>
      <c r="Z58" s="24"/>
      <c r="AA58" s="24"/>
      <c r="AB58" s="148"/>
      <c r="AC58" s="24"/>
      <c r="AD58" s="24"/>
      <c r="AE58" s="24"/>
      <c r="AF58" s="24"/>
      <c r="AG58" s="24"/>
      <c r="AH58" s="148"/>
      <c r="AI58" s="24"/>
      <c r="AJ58" s="24"/>
      <c r="AK58" s="24"/>
      <c r="AL58" s="24"/>
      <c r="AM58" s="24"/>
      <c r="AN58" s="24"/>
      <c r="AO58" s="24"/>
      <c r="AP58" s="24"/>
      <c r="AQ58" s="24"/>
      <c r="AR58" s="24"/>
      <c r="AS58" s="24"/>
      <c r="AT58" s="24"/>
      <c r="AU58" s="24"/>
      <c r="AV58" s="24"/>
      <c r="AW58" s="24"/>
      <c r="AX58" s="24"/>
      <c r="AY58" s="24"/>
    </row>
    <row r="59" spans="1:51" hidden="1" outlineLevel="1">
      <c r="A59" s="24"/>
      <c r="B59" s="75">
        <f>B52+1</f>
        <v>1997</v>
      </c>
      <c r="C59" s="24"/>
      <c r="D59" s="24"/>
      <c r="E59" s="24"/>
      <c r="F59" s="24"/>
      <c r="G59" s="24"/>
      <c r="H59" s="24"/>
      <c r="I59" s="24"/>
      <c r="J59" s="24"/>
      <c r="K59" s="24"/>
      <c r="L59" s="24"/>
      <c r="M59" s="24"/>
      <c r="N59" s="24"/>
      <c r="O59" s="24"/>
      <c r="P59" s="24"/>
      <c r="Q59" s="24"/>
      <c r="R59" s="24"/>
      <c r="S59" s="24"/>
      <c r="T59" s="24"/>
      <c r="U59" s="24"/>
      <c r="V59" s="154"/>
      <c r="W59" s="24"/>
      <c r="X59" s="24"/>
      <c r="Y59" s="24"/>
      <c r="Z59" s="24"/>
      <c r="AA59" s="24"/>
      <c r="AB59" s="148"/>
      <c r="AC59" s="24"/>
      <c r="AD59" s="24"/>
      <c r="AE59" s="24"/>
      <c r="AF59" s="24"/>
      <c r="AG59" s="24"/>
      <c r="AH59" s="24"/>
      <c r="AI59" s="24"/>
      <c r="AJ59" s="24"/>
      <c r="AK59" s="24"/>
      <c r="AL59" s="24"/>
      <c r="AM59" s="24"/>
      <c r="AN59" s="24"/>
      <c r="AO59" s="24"/>
      <c r="AP59" s="24"/>
      <c r="AQ59" s="24"/>
      <c r="AR59" s="24"/>
      <c r="AS59" s="24"/>
      <c r="AT59" s="24"/>
      <c r="AU59" s="24"/>
      <c r="AV59" s="24"/>
      <c r="AW59" s="24"/>
      <c r="AX59" s="24"/>
      <c r="AY59" s="24"/>
    </row>
    <row r="60" spans="1:51" hidden="1" outlineLevel="1">
      <c r="A60" s="24" t="str">
        <f>$A$11</f>
        <v>1Q</v>
      </c>
      <c r="B60" s="24" t="str">
        <f>$B$11</f>
        <v>Apr</v>
      </c>
      <c r="C60" s="24"/>
      <c r="D60" s="33">
        <f>'qtrP&amp;L'!AH10</f>
        <v>1697.2539999999999</v>
      </c>
      <c r="E60" s="24"/>
      <c r="F60" s="33">
        <f>'qtrP&amp;L'!AH20</f>
        <v>1248.9929999999999</v>
      </c>
      <c r="G60" s="24"/>
      <c r="H60" s="33">
        <f>work!AD10</f>
        <v>1091.056</v>
      </c>
      <c r="I60" s="24"/>
      <c r="J60" s="33">
        <f>AVERAGE(H60,H56)</f>
        <v>1049.1795</v>
      </c>
      <c r="K60" s="24"/>
      <c r="L60" s="43">
        <f>(D60/D53-1)*100</f>
        <v>-5.0722534219491351</v>
      </c>
      <c r="M60" s="24" t="s">
        <v>1084</v>
      </c>
      <c r="N60" s="43">
        <f>(H60/H53-1)*100</f>
        <v>7.9215922118438753</v>
      </c>
      <c r="O60" s="24" t="s">
        <v>1084</v>
      </c>
      <c r="P60" s="43">
        <f>(H60/H56-1)*100</f>
        <v>8.3145786322486934</v>
      </c>
      <c r="Q60" s="24" t="s">
        <v>1084</v>
      </c>
      <c r="R60" s="40">
        <f>F60/J60</f>
        <v>1.1904473924623955</v>
      </c>
      <c r="S60" s="24" t="s">
        <v>1200</v>
      </c>
      <c r="T60" s="40">
        <f>F61/H60</f>
        <v>1.2824767931251924</v>
      </c>
      <c r="U60" s="24" t="s">
        <v>1200</v>
      </c>
      <c r="V60" s="154">
        <f>qtrSales!J68</f>
        <v>5629</v>
      </c>
      <c r="W60" s="24"/>
      <c r="X60" s="35">
        <f>H60/V60</f>
        <v>0.19382767809557649</v>
      </c>
      <c r="Y60" s="24"/>
      <c r="Z60" s="85">
        <f>(X60/X53-1)*100</f>
        <v>2.6108299018988035</v>
      </c>
      <c r="AA60" s="143" t="s">
        <v>1084</v>
      </c>
      <c r="AB60" s="148">
        <f>qtrSales!Z68</f>
        <v>35.347500000000004</v>
      </c>
      <c r="AC60" s="24"/>
      <c r="AD60" s="165">
        <f>H60/AB60</f>
        <v>30.866567649763066</v>
      </c>
      <c r="AE60" s="24"/>
      <c r="AF60" s="85">
        <f>(AD60/AD53-1)*100</f>
        <v>5.0592542049521683</v>
      </c>
      <c r="AG60" s="143" t="s">
        <v>1084</v>
      </c>
      <c r="AH60" s="148">
        <f>+'store&amp;sf'!AQ241</f>
        <v>28.277999999999992</v>
      </c>
      <c r="AI60" s="24"/>
      <c r="AJ60" s="165">
        <f>+H60/AH60</f>
        <v>38.583209562203848</v>
      </c>
      <c r="AK60" s="153"/>
      <c r="AL60" s="153"/>
      <c r="AM60" s="153"/>
      <c r="AN60" s="153"/>
      <c r="AO60" s="153"/>
      <c r="AP60" s="153"/>
      <c r="AQ60" s="24"/>
      <c r="AR60" s="24"/>
      <c r="AS60" s="24"/>
      <c r="AT60" s="24"/>
      <c r="AU60" s="24"/>
      <c r="AV60" s="24"/>
      <c r="AW60" s="24"/>
      <c r="AX60" s="24"/>
      <c r="AY60" s="24"/>
    </row>
    <row r="61" spans="1:51" hidden="1" outlineLevel="1">
      <c r="A61" s="24" t="str">
        <f>$A$12</f>
        <v>2Q</v>
      </c>
      <c r="B61" s="24" t="str">
        <f>$B$12</f>
        <v>Jul</v>
      </c>
      <c r="C61" s="24"/>
      <c r="D61" s="34">
        <f>'qtrP&amp;L'!AH11</f>
        <v>1890.979</v>
      </c>
      <c r="E61" s="24"/>
      <c r="F61" s="34">
        <f>'qtrP&amp;L'!AH21</f>
        <v>1399.2539999999999</v>
      </c>
      <c r="G61" s="24"/>
      <c r="H61" s="34">
        <f>work!AD11</f>
        <v>1155.665</v>
      </c>
      <c r="I61" s="24"/>
      <c r="J61" s="34">
        <f>AVERAGE(H60:H61)</f>
        <v>1123.3605</v>
      </c>
      <c r="K61" s="24"/>
      <c r="L61" s="43">
        <f>(D61/D54-1)*100</f>
        <v>-0.24382768314640257</v>
      </c>
      <c r="M61" s="24"/>
      <c r="N61" s="43">
        <f>(H61/H54-1)*100</f>
        <v>3.5486443381180344</v>
      </c>
      <c r="O61" s="24"/>
      <c r="P61" s="43">
        <f>(H61/H60-1)*100</f>
        <v>5.9216942118461402</v>
      </c>
      <c r="Q61" s="24"/>
      <c r="R61" s="40">
        <f>F61/J61</f>
        <v>1.2455965827532656</v>
      </c>
      <c r="S61" s="24"/>
      <c r="T61" s="40">
        <f>F62/H61</f>
        <v>1.1355877352000796</v>
      </c>
      <c r="U61" s="24"/>
      <c r="V61" s="154">
        <f>qtrSales!J69</f>
        <v>5690</v>
      </c>
      <c r="W61" s="24"/>
      <c r="X61" s="40">
        <f>H61/V61</f>
        <v>0.20310456942003513</v>
      </c>
      <c r="Y61" s="24"/>
      <c r="Z61" s="85">
        <f>(X61/X54-1)*100</f>
        <v>-0.74616762388476365</v>
      </c>
      <c r="AA61" s="24"/>
      <c r="AB61" s="148">
        <f>qtrSales!Z69</f>
        <v>35.59375</v>
      </c>
      <c r="AC61" s="24"/>
      <c r="AD61" s="387">
        <f>H61/AB61</f>
        <v>32.468200175592621</v>
      </c>
      <c r="AE61" s="24"/>
      <c r="AF61" s="85">
        <f>(AD61/AD54-1)*100</f>
        <v>1.1085691721521851</v>
      </c>
      <c r="AG61" s="24"/>
      <c r="AH61" s="148">
        <f>+'store&amp;sf'!AQ242</f>
        <v>28.474999999999994</v>
      </c>
      <c r="AI61" s="24"/>
      <c r="AJ61" s="387">
        <f>+H61/AH61</f>
        <v>40.585250219490788</v>
      </c>
      <c r="AK61" s="154"/>
      <c r="AL61" s="154"/>
      <c r="AM61" s="154"/>
      <c r="AN61" s="154"/>
      <c r="AO61" s="154"/>
      <c r="AP61" s="154"/>
      <c r="AQ61" s="24"/>
      <c r="AR61" s="24"/>
      <c r="AS61" s="24"/>
      <c r="AT61" s="24"/>
      <c r="AU61" s="24"/>
      <c r="AV61" s="24"/>
      <c r="AW61" s="24"/>
      <c r="AX61" s="24"/>
      <c r="AY61" s="24"/>
    </row>
    <row r="62" spans="1:51" hidden="1" outlineLevel="1">
      <c r="A62" s="24" t="str">
        <f>$A$13</f>
        <v>3Q</v>
      </c>
      <c r="B62" s="24" t="str">
        <f>$B$13</f>
        <v>Oct</v>
      </c>
      <c r="C62" s="24"/>
      <c r="D62" s="34">
        <f>'qtrP&amp;L'!AH12</f>
        <v>1835.0550000000001</v>
      </c>
      <c r="E62" s="24"/>
      <c r="F62" s="34">
        <f>'qtrP&amp;L'!AH22</f>
        <v>1312.3589999999999</v>
      </c>
      <c r="G62" s="24"/>
      <c r="H62" s="34">
        <f>work!AD12</f>
        <v>1442.866</v>
      </c>
      <c r="I62" s="24"/>
      <c r="J62" s="34">
        <f>AVERAGE(H61:H62)</f>
        <v>1299.2655</v>
      </c>
      <c r="K62" s="24"/>
      <c r="L62" s="43">
        <f>(D62/D55-1)*100</f>
        <v>-8.0166477358738391</v>
      </c>
      <c r="M62" s="24"/>
      <c r="N62" s="43">
        <f>(H62/H55-1)*100</f>
        <v>6.0077364181045478</v>
      </c>
      <c r="O62" s="24"/>
      <c r="P62" s="43">
        <f>(H62/H61-1)*100</f>
        <v>24.851578961031095</v>
      </c>
      <c r="Q62" s="24"/>
      <c r="R62" s="40">
        <f>F62/J62</f>
        <v>1.0100776169304888</v>
      </c>
      <c r="S62" s="24"/>
      <c r="T62" s="40">
        <f>F63/H62</f>
        <v>1.3465075758940885</v>
      </c>
      <c r="U62" s="24"/>
      <c r="V62" s="154">
        <f>qtrSales!J70</f>
        <v>5794</v>
      </c>
      <c r="W62" s="24"/>
      <c r="X62" s="40">
        <f>H62/V62</f>
        <v>0.24902761477390403</v>
      </c>
      <c r="Y62" s="24"/>
      <c r="Z62" s="85">
        <f>(X62/X55-1)*100</f>
        <v>3.4828714499135716</v>
      </c>
      <c r="AA62" s="24"/>
      <c r="AB62" s="148">
        <f>qtrSales!Z70</f>
        <v>36.16375</v>
      </c>
      <c r="AC62" s="24"/>
      <c r="AD62" s="387">
        <f>H62/AB62</f>
        <v>39.898130033528048</v>
      </c>
      <c r="AE62" s="24"/>
      <c r="AF62" s="85">
        <f>(AD62/AD55-1)*100</f>
        <v>4.7545946029238451</v>
      </c>
      <c r="AG62" s="24"/>
      <c r="AH62" s="148">
        <f>+'store&amp;sf'!AQ243</f>
        <v>28.930999999999994</v>
      </c>
      <c r="AI62" s="24"/>
      <c r="AJ62" s="387">
        <f>+H62/AH62</f>
        <v>49.872662541910074</v>
      </c>
      <c r="AK62" s="154"/>
      <c r="AL62" s="154"/>
      <c r="AM62" s="154"/>
      <c r="AN62" s="154"/>
      <c r="AO62" s="154"/>
      <c r="AP62" s="154"/>
      <c r="AQ62" s="24"/>
      <c r="AR62" s="24"/>
      <c r="AS62" s="24"/>
      <c r="AT62" s="24"/>
      <c r="AU62" s="24"/>
      <c r="AV62" s="24"/>
      <c r="AW62" s="24"/>
      <c r="AX62" s="24"/>
      <c r="AY62" s="24"/>
    </row>
    <row r="63" spans="1:51" hidden="1" outlineLevel="1">
      <c r="A63" s="24" t="str">
        <f>$A$14</f>
        <v>4Q</v>
      </c>
      <c r="B63" s="24" t="str">
        <f>$B$14</f>
        <v>Jan</v>
      </c>
      <c r="C63" s="24"/>
      <c r="D63" s="38">
        <f>'qtrP&amp;L'!AH13</f>
        <v>2943.4470000000001</v>
      </c>
      <c r="E63" s="24"/>
      <c r="F63" s="38">
        <f>'qtrP&amp;L'!AH23</f>
        <v>1942.83</v>
      </c>
      <c r="G63" s="24"/>
      <c r="H63" s="94">
        <f>work!AD13</f>
        <v>1002.71</v>
      </c>
      <c r="I63" s="24"/>
      <c r="J63" s="38">
        <f>AVERAGE(H62:H63)</f>
        <v>1222.788</v>
      </c>
      <c r="K63" s="24"/>
      <c r="L63" s="84">
        <f>(D63/D56-1)*100</f>
        <v>-0.76911640614227839</v>
      </c>
      <c r="M63" s="24"/>
      <c r="N63" s="85">
        <f>(H63/H56-1)*100</f>
        <v>-0.45597005071958963</v>
      </c>
      <c r="O63" s="24"/>
      <c r="P63" s="85">
        <f>(H63/H62-1)*100</f>
        <v>-30.50567412358458</v>
      </c>
      <c r="Q63" s="24"/>
      <c r="R63" s="40">
        <f>F63/J63</f>
        <v>1.5888526874650388</v>
      </c>
      <c r="S63" s="24"/>
      <c r="T63" s="40">
        <f>F67/H63</f>
        <v>1.2853397293335063</v>
      </c>
      <c r="U63" s="24"/>
      <c r="V63" s="154">
        <f>qtrSales!J71</f>
        <v>5640</v>
      </c>
      <c r="W63" s="24"/>
      <c r="X63" s="40">
        <f>H63/V63</f>
        <v>0.17778546099290782</v>
      </c>
      <c r="Y63" s="24"/>
      <c r="Z63" s="85">
        <f>(X63/X56-1)*100</f>
        <v>-0.5795176056211826</v>
      </c>
      <c r="AA63" s="24"/>
      <c r="AB63" s="148">
        <f>qtrSales!Z71</f>
        <v>35.499999999999993</v>
      </c>
      <c r="AC63" s="24"/>
      <c r="AD63" s="387">
        <f>H63/AB63</f>
        <v>28.245352112676063</v>
      </c>
      <c r="AE63" s="24"/>
      <c r="AF63" s="85">
        <f>(AD63/AD56-1)*100</f>
        <v>-0.43844469333415015</v>
      </c>
      <c r="AG63" s="24"/>
      <c r="AH63" s="148">
        <f>+'store&amp;sf'!AQ244</f>
        <v>28.4</v>
      </c>
      <c r="AI63" s="24"/>
      <c r="AJ63" s="387">
        <f>+H63/AH63</f>
        <v>35.30669014084507</v>
      </c>
      <c r="AK63" s="154"/>
      <c r="AL63" s="154"/>
      <c r="AM63" s="154"/>
      <c r="AN63" s="154"/>
      <c r="AO63" s="154"/>
      <c r="AP63" s="154"/>
      <c r="AQ63" s="24"/>
      <c r="AR63" s="24"/>
      <c r="AS63" s="24"/>
      <c r="AT63" s="24"/>
      <c r="AU63" s="24"/>
      <c r="AV63" s="24"/>
      <c r="AW63" s="24"/>
      <c r="AX63" s="24"/>
      <c r="AY63" s="24"/>
    </row>
    <row r="64" spans="1:51" hidden="1" outlineLevel="1">
      <c r="A64" s="24"/>
      <c r="B64" s="24" t="str">
        <f>$B$15</f>
        <v>Year</v>
      </c>
      <c r="C64" s="24"/>
      <c r="D64" s="33">
        <f>SUM(D60:D63)</f>
        <v>8366.7350000000006</v>
      </c>
      <c r="E64" s="24"/>
      <c r="F64" s="33">
        <f>SUM(F60:F63)</f>
        <v>5903.4359999999997</v>
      </c>
      <c r="G64" s="24"/>
      <c r="H64" s="24"/>
      <c r="I64" s="24"/>
      <c r="J64" s="33">
        <f>AVERAGE(J60:J63)</f>
        <v>1173.648375</v>
      </c>
      <c r="K64" s="24"/>
      <c r="L64" s="43">
        <f>(D64/D57-1)*100</f>
        <v>-3.2164571705666334</v>
      </c>
      <c r="M64" s="24"/>
      <c r="N64" s="85"/>
      <c r="O64" s="24"/>
      <c r="P64" s="24"/>
      <c r="Q64" s="24"/>
      <c r="R64" s="86">
        <f>F64/J64</f>
        <v>5.0299869413613765</v>
      </c>
      <c r="S64" s="83" t="s">
        <v>1200</v>
      </c>
      <c r="T64" s="40"/>
      <c r="U64" s="24"/>
      <c r="V64" s="154"/>
      <c r="W64" s="24"/>
      <c r="X64" s="24"/>
      <c r="Y64" s="24"/>
      <c r="Z64" s="24"/>
      <c r="AA64" s="24"/>
      <c r="AB64" s="148"/>
      <c r="AC64" s="24"/>
      <c r="AD64" s="387"/>
      <c r="AE64" s="24"/>
      <c r="AF64" s="24"/>
      <c r="AG64" s="24"/>
      <c r="AH64" s="148"/>
      <c r="AI64" s="24"/>
      <c r="AJ64" s="387"/>
      <c r="AK64" s="24"/>
      <c r="AL64" s="24"/>
      <c r="AM64" s="24"/>
      <c r="AN64" s="24"/>
      <c r="AO64" s="24"/>
      <c r="AP64" s="24"/>
      <c r="AQ64" s="24"/>
      <c r="AR64" s="24"/>
      <c r="AS64" s="24"/>
      <c r="AT64" s="24"/>
      <c r="AU64" s="24"/>
      <c r="AV64" s="24"/>
      <c r="AW64" s="24"/>
      <c r="AX64" s="24"/>
      <c r="AY64" s="24"/>
    </row>
    <row r="65" spans="1:51" hidden="1" outlineLevel="1">
      <c r="A65" s="24"/>
      <c r="B65" s="24"/>
      <c r="C65" s="24"/>
      <c r="D65" s="24"/>
      <c r="E65" s="24"/>
      <c r="F65" s="24"/>
      <c r="G65" s="24"/>
      <c r="H65" s="24"/>
      <c r="I65" s="24"/>
      <c r="J65" s="24"/>
      <c r="K65" s="24"/>
      <c r="L65" s="24"/>
      <c r="M65" s="24"/>
      <c r="N65" s="24"/>
      <c r="O65" s="24"/>
      <c r="P65" s="24"/>
      <c r="Q65" s="24"/>
      <c r="R65" s="24"/>
      <c r="S65" s="24"/>
      <c r="T65" s="40"/>
      <c r="U65" s="24"/>
      <c r="V65" s="154"/>
      <c r="W65" s="24"/>
      <c r="X65" s="24"/>
      <c r="Y65" s="24"/>
      <c r="Z65" s="24"/>
      <c r="AA65" s="24"/>
      <c r="AB65" s="148"/>
      <c r="AC65" s="24"/>
      <c r="AD65" s="24"/>
      <c r="AE65" s="24"/>
      <c r="AF65" s="24"/>
      <c r="AG65" s="24"/>
      <c r="AH65" s="148"/>
      <c r="AI65" s="24"/>
      <c r="AJ65" s="24"/>
      <c r="AK65" s="24"/>
      <c r="AL65" s="24"/>
      <c r="AM65" s="24"/>
      <c r="AN65" s="24"/>
      <c r="AO65" s="24"/>
      <c r="AP65" s="24"/>
      <c r="AQ65" s="24"/>
      <c r="AR65" s="24"/>
      <c r="AS65" s="24"/>
      <c r="AT65" s="24"/>
      <c r="AU65" s="24"/>
      <c r="AV65" s="24"/>
      <c r="AW65" s="24"/>
      <c r="AX65" s="24"/>
      <c r="AY65" s="24"/>
    </row>
    <row r="66" spans="1:51" hidden="1" outlineLevel="1">
      <c r="A66" s="24"/>
      <c r="B66" s="75">
        <f>B59+1</f>
        <v>1998</v>
      </c>
      <c r="C66" s="24"/>
      <c r="D66" s="24"/>
      <c r="E66" s="24"/>
      <c r="F66" s="24"/>
      <c r="G66" s="24"/>
      <c r="H66" s="24"/>
      <c r="I66" s="24"/>
      <c r="J66" s="24"/>
      <c r="K66" s="24"/>
      <c r="L66" s="24"/>
      <c r="M66" s="24"/>
      <c r="N66" s="24"/>
      <c r="O66" s="24"/>
      <c r="P66" s="24"/>
      <c r="Q66" s="24"/>
      <c r="R66" s="24"/>
      <c r="S66" s="24"/>
      <c r="T66" s="40"/>
      <c r="U66" s="24"/>
      <c r="V66" s="154"/>
      <c r="W66" s="24"/>
      <c r="X66" s="24"/>
      <c r="Y66" s="24"/>
      <c r="Z66" s="24"/>
      <c r="AA66" s="24"/>
      <c r="AB66" s="148"/>
      <c r="AC66" s="24"/>
      <c r="AD66" s="24"/>
      <c r="AE66" s="24"/>
      <c r="AF66" s="24"/>
      <c r="AG66" s="24"/>
      <c r="AH66" s="24"/>
      <c r="AI66" s="24"/>
      <c r="AJ66" s="24"/>
      <c r="AK66" s="24"/>
      <c r="AL66" s="24"/>
      <c r="AM66" s="24"/>
      <c r="AN66" s="24"/>
      <c r="AO66" s="24"/>
      <c r="AP66" s="24"/>
      <c r="AQ66" s="24"/>
      <c r="AR66" s="24"/>
      <c r="AS66" s="24"/>
      <c r="AT66" s="24"/>
      <c r="AU66" s="24"/>
      <c r="AV66" s="24"/>
      <c r="AW66" s="24"/>
      <c r="AX66" s="24"/>
      <c r="AY66" s="24"/>
    </row>
    <row r="67" spans="1:51" hidden="1" outlineLevel="1">
      <c r="A67" s="24" t="str">
        <f>$A$11</f>
        <v>1Q</v>
      </c>
      <c r="B67" s="24" t="str">
        <f>$B$11</f>
        <v>Apr</v>
      </c>
      <c r="C67" s="24"/>
      <c r="D67" s="33">
        <f>'qtrP&amp;L'!AL10</f>
        <v>1805.8440000000001</v>
      </c>
      <c r="E67" s="24"/>
      <c r="F67" s="33">
        <f>'qtrP&amp;L'!AL20</f>
        <v>1288.8230000000001</v>
      </c>
      <c r="G67" s="24"/>
      <c r="H67" s="33">
        <f>work!AH10</f>
        <v>1056.0909999999999</v>
      </c>
      <c r="I67" s="24"/>
      <c r="J67" s="33">
        <f>AVERAGE(H67,H63)</f>
        <v>1029.4005</v>
      </c>
      <c r="K67" s="24"/>
      <c r="L67" s="43">
        <f>(D67/D60-1)*100</f>
        <v>6.3979816809976775</v>
      </c>
      <c r="M67" s="24" t="s">
        <v>1084</v>
      </c>
      <c r="N67" s="43">
        <f>(H67/H60-1)*100</f>
        <v>-3.2046934346174893</v>
      </c>
      <c r="O67" s="24" t="s">
        <v>1084</v>
      </c>
      <c r="P67" s="43">
        <f>(H67/H63-1)*100</f>
        <v>5.3236728465857475</v>
      </c>
      <c r="Q67" s="24" t="s">
        <v>1084</v>
      </c>
      <c r="R67" s="40">
        <f>F67/J67</f>
        <v>1.2520131863157247</v>
      </c>
      <c r="S67" s="24" t="s">
        <v>1200</v>
      </c>
      <c r="T67" s="40">
        <f>F68/H67</f>
        <v>1.3481679135604794</v>
      </c>
      <c r="U67" s="24" t="s">
        <v>1200</v>
      </c>
      <c r="V67" s="154">
        <f>qtrSales!J75</f>
        <v>5599</v>
      </c>
      <c r="W67" s="24"/>
      <c r="X67" s="35">
        <f>H67/V67</f>
        <v>0.1886213609573138</v>
      </c>
      <c r="Y67" s="24"/>
      <c r="Z67" s="85">
        <f>(X67/X60-1)*100</f>
        <v>-2.6860545353566412</v>
      </c>
      <c r="AA67" s="143" t="s">
        <v>1084</v>
      </c>
      <c r="AB67" s="148">
        <f>qtrSales!Z75</f>
        <v>35</v>
      </c>
      <c r="AC67" s="24"/>
      <c r="AD67" s="165">
        <f>H67/AB67</f>
        <v>30.174028571428568</v>
      </c>
      <c r="AE67" s="24"/>
      <c r="AF67" s="85">
        <f>(AD67/AD60-1)*100</f>
        <v>-2.2436543194326086</v>
      </c>
      <c r="AG67" s="143" t="s">
        <v>1084</v>
      </c>
      <c r="AH67" s="148">
        <f>+'store&amp;sf'!AQ247</f>
        <v>27.999999999999993</v>
      </c>
      <c r="AI67" s="24"/>
      <c r="AJ67" s="165">
        <f>+H67/AH67</f>
        <v>37.717535714285717</v>
      </c>
      <c r="AK67" s="153"/>
      <c r="AL67" s="153"/>
      <c r="AM67" s="153"/>
      <c r="AN67" s="153"/>
      <c r="AO67" s="153"/>
      <c r="AP67" s="153"/>
      <c r="AQ67" s="24"/>
      <c r="AR67" s="24"/>
      <c r="AS67" s="24"/>
      <c r="AT67" s="24"/>
      <c r="AU67" s="24"/>
      <c r="AV67" s="24"/>
      <c r="AW67" s="24"/>
      <c r="AX67" s="24"/>
      <c r="AY67" s="24"/>
    </row>
    <row r="68" spans="1:51" hidden="1" outlineLevel="1">
      <c r="A68" s="24" t="str">
        <f>$A$12</f>
        <v>2Q</v>
      </c>
      <c r="B68" s="24" t="str">
        <f>$B$12</f>
        <v>Jul</v>
      </c>
      <c r="C68" s="24"/>
      <c r="D68" s="34">
        <f>'qtrP&amp;L'!AL11</f>
        <v>2000.576</v>
      </c>
      <c r="E68" s="24"/>
      <c r="F68" s="34">
        <f>'qtrP&amp;L'!AL21</f>
        <v>1423.788</v>
      </c>
      <c r="G68" s="24"/>
      <c r="H68" s="34">
        <f>work!AH11</f>
        <v>1144.5450000000001</v>
      </c>
      <c r="I68" s="24"/>
      <c r="J68" s="34">
        <f>AVERAGE(H67:H68)</f>
        <v>1100.318</v>
      </c>
      <c r="K68" s="24"/>
      <c r="L68" s="43">
        <f>(D68/D61-1)*100</f>
        <v>5.7957809155998019</v>
      </c>
      <c r="M68" s="24"/>
      <c r="N68" s="43">
        <f>(H68/H61-1)*100</f>
        <v>-0.96221655929701333</v>
      </c>
      <c r="O68" s="24"/>
      <c r="P68" s="43">
        <f>(H68/H67-1)*100</f>
        <v>8.3756039962465501</v>
      </c>
      <c r="Q68" s="24"/>
      <c r="R68" s="40">
        <f>F68/J68</f>
        <v>1.29397864980851</v>
      </c>
      <c r="S68" s="24"/>
      <c r="T68" s="40">
        <f>F69/H68</f>
        <v>1.166335093858258</v>
      </c>
      <c r="U68" s="24"/>
      <c r="V68" s="154">
        <f>qtrSales!J76</f>
        <v>5441</v>
      </c>
      <c r="W68" s="24"/>
      <c r="X68" s="40">
        <f>H68/V68</f>
        <v>0.21035563315566994</v>
      </c>
      <c r="Y68" s="24"/>
      <c r="Z68" s="85">
        <f>(X68/X61-1)*100</f>
        <v>3.5701135411872809</v>
      </c>
      <c r="AA68" s="24"/>
      <c r="AB68" s="148">
        <f>qtrSales!Z76</f>
        <v>33.417499999999997</v>
      </c>
      <c r="AC68" s="24"/>
      <c r="AD68" s="387">
        <f>H68/AB68</f>
        <v>34.249869080571564</v>
      </c>
      <c r="AE68" s="24"/>
      <c r="AF68" s="85">
        <f>(AD68/AD61-1)*100</f>
        <v>5.4874273761508885</v>
      </c>
      <c r="AG68" s="24"/>
      <c r="AH68" s="148">
        <f>+'store&amp;sf'!AQ248</f>
        <v>26.734000000000002</v>
      </c>
      <c r="AI68" s="24"/>
      <c r="AJ68" s="387">
        <f>+H68/AH68</f>
        <v>42.812336350714446</v>
      </c>
      <c r="AK68" s="154"/>
      <c r="AL68" s="154"/>
      <c r="AM68" s="154"/>
      <c r="AN68" s="154"/>
      <c r="AO68" s="154"/>
      <c r="AP68" s="154"/>
      <c r="AQ68" s="24"/>
      <c r="AR68" s="24"/>
      <c r="AS68" s="24"/>
      <c r="AT68" s="24"/>
      <c r="AU68" s="24"/>
      <c r="AV68" s="24"/>
      <c r="AW68" s="24"/>
      <c r="AX68" s="24"/>
      <c r="AY68" s="24"/>
    </row>
    <row r="69" spans="1:51" hidden="1" outlineLevel="1">
      <c r="A69" s="24" t="str">
        <f>$A$13</f>
        <v>3Q</v>
      </c>
      <c r="B69" s="24" t="str">
        <f>$B$13</f>
        <v>Oct</v>
      </c>
      <c r="C69" s="24"/>
      <c r="D69" s="34">
        <f>'qtrP&amp;L'!AL12</f>
        <v>1902.59</v>
      </c>
      <c r="E69" s="24"/>
      <c r="F69" s="34">
        <f>'qtrP&amp;L'!AL22</f>
        <v>1334.923</v>
      </c>
      <c r="G69" s="24"/>
      <c r="H69" s="34">
        <f>work!AH12</f>
        <v>1568.9960000000001</v>
      </c>
      <c r="I69" s="24"/>
      <c r="J69" s="34">
        <f>AVERAGE(H68:H69)</f>
        <v>1356.7705000000001</v>
      </c>
      <c r="K69" s="24"/>
      <c r="L69" s="43">
        <f>(D69/D62-1)*100</f>
        <v>3.6802711635345986</v>
      </c>
      <c r="M69" s="24"/>
      <c r="N69" s="43">
        <f>(H69/H62-1)*100</f>
        <v>8.7416295068287742</v>
      </c>
      <c r="O69" s="24"/>
      <c r="P69" s="43">
        <f>(H69/H68-1)*100</f>
        <v>37.084693043960691</v>
      </c>
      <c r="Q69" s="24"/>
      <c r="R69" s="40">
        <f>F69/J69</f>
        <v>0.98389742406692948</v>
      </c>
      <c r="S69" s="24"/>
      <c r="T69" s="40">
        <f>F70/H69</f>
        <v>1.2913155929014477</v>
      </c>
      <c r="U69" s="24"/>
      <c r="V69" s="154">
        <f>qtrSales!J77</f>
        <v>5462</v>
      </c>
      <c r="W69" s="24"/>
      <c r="X69" s="40">
        <f>H69/V69</f>
        <v>0.28725668253387038</v>
      </c>
      <c r="Y69" s="24"/>
      <c r="Z69" s="85">
        <f>(X69/X62-1)*100</f>
        <v>15.351336756236901</v>
      </c>
      <c r="AA69" s="24"/>
      <c r="AB69" s="148">
        <f>qtrSales!Z77</f>
        <v>33.567499999999995</v>
      </c>
      <c r="AC69" s="24"/>
      <c r="AD69" s="387">
        <f>H69/AB69</f>
        <v>46.741520816265741</v>
      </c>
      <c r="AE69" s="24"/>
      <c r="AF69" s="85">
        <f>(AD69/AD62-1)*100</f>
        <v>17.152159203919858</v>
      </c>
      <c r="AG69" s="24"/>
      <c r="AH69" s="148">
        <f>+'store&amp;sf'!AQ249</f>
        <v>26.853999999999999</v>
      </c>
      <c r="AI69" s="24"/>
      <c r="AJ69" s="387">
        <f>+H69/AH69</f>
        <v>58.426901020332174</v>
      </c>
      <c r="AK69" s="154"/>
      <c r="AL69" s="154"/>
      <c r="AM69" s="154"/>
      <c r="AN69" s="154"/>
      <c r="AO69" s="154"/>
      <c r="AP69" s="154"/>
      <c r="AQ69" s="24"/>
      <c r="AR69" s="24"/>
      <c r="AS69" s="24"/>
      <c r="AT69" s="24"/>
      <c r="AU69" s="24"/>
      <c r="AV69" s="24"/>
      <c r="AW69" s="24"/>
      <c r="AX69" s="24"/>
      <c r="AY69" s="24"/>
    </row>
    <row r="70" spans="1:51" hidden="1" outlineLevel="1">
      <c r="A70" s="24" t="str">
        <f>$A$14</f>
        <v>4Q</v>
      </c>
      <c r="B70" s="24" t="str">
        <f>$B$14</f>
        <v>Jan</v>
      </c>
      <c r="C70" s="24"/>
      <c r="D70" s="38">
        <f>'qtrP&amp;L'!AL13</f>
        <v>3127.5709999999999</v>
      </c>
      <c r="E70" s="24"/>
      <c r="F70" s="38">
        <f>'qtrP&amp;L'!AL23</f>
        <v>2026.069</v>
      </c>
      <c r="G70" s="24"/>
      <c r="H70" s="94">
        <f>work!AH13</f>
        <v>1119.67</v>
      </c>
      <c r="I70" s="24"/>
      <c r="J70" s="38">
        <f>AVERAGE(H69:H70)</f>
        <v>1344.3330000000001</v>
      </c>
      <c r="K70" s="24"/>
      <c r="L70" s="84">
        <f>(D70/D63-1)*100</f>
        <v>6.2553869663696915</v>
      </c>
      <c r="M70" s="24"/>
      <c r="N70" s="85">
        <f>(H70/H63-1)*100</f>
        <v>11.664389504442973</v>
      </c>
      <c r="O70" s="24"/>
      <c r="P70" s="85">
        <f>(H70/H69-1)*100</f>
        <v>-28.637804047938943</v>
      </c>
      <c r="Q70" s="24"/>
      <c r="R70" s="40">
        <f>F70/J70</f>
        <v>1.5071183999797668</v>
      </c>
      <c r="S70" s="24"/>
      <c r="T70" s="40">
        <f>F74/H70</f>
        <v>0.95706770744951619</v>
      </c>
      <c r="U70" s="24"/>
      <c r="V70" s="154">
        <f>qtrSales!J78</f>
        <v>5382</v>
      </c>
      <c r="W70" s="24"/>
      <c r="X70" s="40">
        <f>H70/V70</f>
        <v>0.20803976217019696</v>
      </c>
      <c r="Y70" s="24"/>
      <c r="Z70" s="85">
        <f>(X70/X63-1)*100</f>
        <v>17.01730895671836</v>
      </c>
      <c r="AA70" s="24"/>
      <c r="AB70" s="148">
        <f>qtrSales!Z78</f>
        <v>32.894999999999996</v>
      </c>
      <c r="AC70" s="24"/>
      <c r="AD70" s="387">
        <f>H70/AB70</f>
        <v>34.037695698434419</v>
      </c>
      <c r="AE70" s="24"/>
      <c r="AF70" s="85">
        <f>(AD70/AD63-1)*100</f>
        <v>20.507245095234072</v>
      </c>
      <c r="AG70" s="24"/>
      <c r="AH70" s="148">
        <f>+'store&amp;sf'!AQ250</f>
        <v>26.315999999999999</v>
      </c>
      <c r="AI70" s="24"/>
      <c r="AJ70" s="387">
        <f>+H70/AH70</f>
        <v>42.547119623043017</v>
      </c>
      <c r="AK70" s="154"/>
      <c r="AL70" s="154"/>
      <c r="AM70" s="154"/>
      <c r="AN70" s="154"/>
      <c r="AO70" s="154"/>
      <c r="AP70" s="154"/>
      <c r="AQ70" s="24"/>
      <c r="AR70" s="24"/>
      <c r="AS70" s="24"/>
      <c r="AT70" s="24"/>
      <c r="AU70" s="24"/>
      <c r="AV70" s="24"/>
      <c r="AW70" s="24"/>
      <c r="AX70" s="24"/>
      <c r="AY70" s="24"/>
    </row>
    <row r="71" spans="1:51" hidden="1" outlineLevel="1">
      <c r="A71" s="24"/>
      <c r="B71" s="24" t="str">
        <f>$B$15</f>
        <v>Year</v>
      </c>
      <c r="C71" s="24"/>
      <c r="D71" s="33">
        <f>SUM(D67:D70)</f>
        <v>8836.5810000000001</v>
      </c>
      <c r="E71" s="24"/>
      <c r="F71" s="33">
        <f>SUM(F67:F70)</f>
        <v>6073.6029999999992</v>
      </c>
      <c r="G71" s="24"/>
      <c r="H71" s="24"/>
      <c r="I71" s="24"/>
      <c r="J71" s="33">
        <f>AVERAGE(J67:J70)</f>
        <v>1207.7055</v>
      </c>
      <c r="K71" s="24"/>
      <c r="L71" s="43">
        <f>(D71/D64-1)*100</f>
        <v>5.6156433782114545</v>
      </c>
      <c r="M71" s="24"/>
      <c r="N71" s="85"/>
      <c r="O71" s="24"/>
      <c r="P71" s="24"/>
      <c r="Q71" s="24"/>
      <c r="R71" s="86">
        <f>F71/J71</f>
        <v>5.0290430903891714</v>
      </c>
      <c r="S71" s="83" t="s">
        <v>1200</v>
      </c>
      <c r="T71" s="40"/>
      <c r="U71" s="24"/>
      <c r="V71" s="154"/>
      <c r="W71" s="24"/>
      <c r="X71" s="24"/>
      <c r="Y71" s="24"/>
      <c r="Z71" s="24"/>
      <c r="AA71" s="24"/>
      <c r="AB71" s="148"/>
      <c r="AC71" s="24"/>
      <c r="AD71" s="387"/>
      <c r="AE71" s="24"/>
      <c r="AF71" s="24"/>
      <c r="AG71" s="24"/>
      <c r="AH71" s="148"/>
      <c r="AI71" s="24"/>
      <c r="AJ71" s="387"/>
      <c r="AK71" s="24"/>
      <c r="AL71" s="24"/>
      <c r="AM71" s="24"/>
      <c r="AN71" s="24"/>
      <c r="AO71" s="24"/>
      <c r="AP71" s="24"/>
      <c r="AQ71" s="24"/>
      <c r="AR71" s="24"/>
      <c r="AS71" s="24"/>
      <c r="AT71" s="24"/>
      <c r="AU71" s="24"/>
      <c r="AV71" s="24"/>
      <c r="AW71" s="24"/>
      <c r="AX71" s="24"/>
      <c r="AY71" s="24"/>
    </row>
    <row r="72" spans="1:51" hidden="1" outlineLevel="1">
      <c r="A72" s="24"/>
      <c r="B72" s="24"/>
      <c r="C72" s="24"/>
      <c r="D72" s="24"/>
      <c r="E72" s="24"/>
      <c r="F72" s="24"/>
      <c r="G72" s="24"/>
      <c r="H72" s="24"/>
      <c r="I72" s="24"/>
      <c r="J72" s="24"/>
      <c r="K72" s="24"/>
      <c r="L72" s="24"/>
      <c r="M72" s="24"/>
      <c r="N72" s="24"/>
      <c r="O72" s="24"/>
      <c r="P72" s="24"/>
      <c r="Q72" s="24"/>
      <c r="R72" s="24"/>
      <c r="S72" s="24"/>
      <c r="T72" s="40"/>
      <c r="U72" s="24"/>
      <c r="V72" s="154"/>
      <c r="W72" s="24"/>
      <c r="X72" s="24"/>
      <c r="Y72" s="24"/>
      <c r="Z72" s="24"/>
      <c r="AA72" s="24"/>
      <c r="AB72" s="148"/>
      <c r="AC72" s="24"/>
      <c r="AD72" s="24"/>
      <c r="AE72" s="24"/>
      <c r="AF72" s="24"/>
      <c r="AG72" s="24"/>
      <c r="AH72" s="148"/>
      <c r="AI72" s="24"/>
      <c r="AJ72" s="24"/>
      <c r="AK72" s="24"/>
      <c r="AL72" s="24"/>
      <c r="AM72" s="24"/>
      <c r="AN72" s="24"/>
      <c r="AO72" s="24"/>
      <c r="AP72" s="24"/>
      <c r="AQ72" s="24"/>
      <c r="AR72" s="24"/>
      <c r="AS72" s="24"/>
      <c r="AT72" s="24"/>
      <c r="AU72" s="24"/>
      <c r="AV72" s="24"/>
      <c r="AW72" s="24"/>
      <c r="AX72" s="24"/>
      <c r="AY72" s="24"/>
    </row>
    <row r="73" spans="1:51" hidden="1" outlineLevel="1">
      <c r="A73" s="24"/>
      <c r="B73" s="75">
        <f>B66+1</f>
        <v>1999</v>
      </c>
      <c r="C73" s="24"/>
      <c r="D73" s="24"/>
      <c r="E73" s="24"/>
      <c r="F73" s="24"/>
      <c r="G73" s="24"/>
      <c r="H73" s="24"/>
      <c r="I73" s="24"/>
      <c r="J73" s="24"/>
      <c r="K73" s="24"/>
      <c r="L73" s="24"/>
      <c r="M73" s="24"/>
      <c r="N73" s="24"/>
      <c r="O73" s="24"/>
      <c r="P73" s="24"/>
      <c r="Q73" s="24"/>
      <c r="R73" s="24"/>
      <c r="S73" s="24"/>
      <c r="T73" s="40"/>
      <c r="U73" s="24"/>
      <c r="V73" s="154"/>
      <c r="W73" s="24"/>
      <c r="X73" s="24"/>
      <c r="Y73" s="24"/>
      <c r="Z73" s="24"/>
      <c r="AA73" s="24"/>
      <c r="AB73" s="148"/>
      <c r="AC73" s="24"/>
      <c r="AD73" s="24"/>
      <c r="AE73" s="24"/>
      <c r="AF73" s="24"/>
      <c r="AG73" s="24"/>
      <c r="AH73" s="24"/>
      <c r="AI73" s="24"/>
      <c r="AJ73" s="24"/>
      <c r="AK73" s="24"/>
      <c r="AL73" s="24"/>
      <c r="AM73" s="24"/>
      <c r="AN73" s="24"/>
      <c r="AO73" s="24"/>
      <c r="AP73" s="24"/>
      <c r="AQ73" s="24"/>
      <c r="AR73" s="24"/>
      <c r="AS73" s="24"/>
      <c r="AT73" s="24"/>
      <c r="AU73" s="24"/>
      <c r="AV73" s="24"/>
      <c r="AW73" s="24"/>
      <c r="AX73" s="24"/>
      <c r="AY73" s="24"/>
    </row>
    <row r="74" spans="1:51" hidden="1" outlineLevel="1">
      <c r="A74" s="24" t="str">
        <f>$A$11</f>
        <v>1Q</v>
      </c>
      <c r="B74" s="24" t="str">
        <f>$B$11</f>
        <v>Apr</v>
      </c>
      <c r="C74" s="24"/>
      <c r="D74" s="33">
        <f>'qtrP&amp;L'!AP10</f>
        <v>1568.739</v>
      </c>
      <c r="E74" s="24"/>
      <c r="F74" s="33">
        <f>'qtrP&amp;L'!AP20</f>
        <v>1071.5999999999999</v>
      </c>
      <c r="G74" s="24"/>
      <c r="H74" s="33">
        <f>work!AL10</f>
        <v>1170.3030000000001</v>
      </c>
      <c r="I74" s="24"/>
      <c r="J74" s="33">
        <f>AVERAGE(H74,H70)</f>
        <v>1144.9865</v>
      </c>
      <c r="K74" s="24"/>
      <c r="L74" s="43">
        <f>(D74/D67-1)*100</f>
        <v>-13.129871683268323</v>
      </c>
      <c r="M74" s="24" t="s">
        <v>1084</v>
      </c>
      <c r="N74" s="43">
        <f>(H74/H67-1)*100</f>
        <v>10.81459836320926</v>
      </c>
      <c r="O74" s="24" t="s">
        <v>1084</v>
      </c>
      <c r="P74" s="43">
        <f>(H74/H70-1)*100</f>
        <v>4.5221359864960231</v>
      </c>
      <c r="Q74" s="24" t="s">
        <v>1084</v>
      </c>
      <c r="R74" s="40">
        <f>F74/J74</f>
        <v>0.93590623120883953</v>
      </c>
      <c r="S74" s="24" t="s">
        <v>1200</v>
      </c>
      <c r="T74" s="40">
        <f>F75/H74</f>
        <v>1.0082089851944325</v>
      </c>
      <c r="U74" s="24" t="s">
        <v>1200</v>
      </c>
      <c r="V74" s="154">
        <f>qtrSales!J82</f>
        <v>5358</v>
      </c>
      <c r="W74" s="24"/>
      <c r="X74" s="35">
        <f>H74/V74</f>
        <v>0.2184216125419933</v>
      </c>
      <c r="Y74" s="24"/>
      <c r="Z74" s="85">
        <f>(X74/X67-1)*100</f>
        <v>15.798980260471929</v>
      </c>
      <c r="AA74" s="143" t="s">
        <v>1084</v>
      </c>
      <c r="AB74" s="148">
        <f>qtrSales!Z82</f>
        <v>32.646250000000002</v>
      </c>
      <c r="AC74" s="24"/>
      <c r="AD74" s="165">
        <f>H74/AB74</f>
        <v>35.848007045219589</v>
      </c>
      <c r="AE74" s="24"/>
      <c r="AF74" s="85">
        <f>(AD74/AD67-1)*100</f>
        <v>18.804179429867851</v>
      </c>
      <c r="AG74" s="143" t="s">
        <v>1084</v>
      </c>
      <c r="AH74" s="148">
        <f>+'store&amp;sf'!AQ253</f>
        <v>26.117000000000004</v>
      </c>
      <c r="AI74" s="24"/>
      <c r="AJ74" s="165">
        <f>+H74/AH74</f>
        <v>44.810008806524486</v>
      </c>
      <c r="AK74" s="153"/>
      <c r="AL74" s="153"/>
      <c r="AM74" s="569">
        <f>((F74-('yrP&amp;L'!$K$16/4))/J74)</f>
        <v>0.70760293898661675</v>
      </c>
      <c r="AN74" s="570" t="s">
        <v>1200</v>
      </c>
      <c r="AO74" s="570"/>
      <c r="AP74" s="153"/>
      <c r="AQ74" s="24"/>
      <c r="AR74" s="24"/>
      <c r="AS74" s="24"/>
      <c r="AT74" s="24"/>
      <c r="AU74" s="24"/>
      <c r="AV74" s="24"/>
      <c r="AW74" s="24"/>
      <c r="AX74" s="24"/>
      <c r="AY74" s="24"/>
    </row>
    <row r="75" spans="1:51" hidden="1" outlineLevel="1">
      <c r="A75" s="24" t="str">
        <f>$A$12</f>
        <v>2Q</v>
      </c>
      <c r="B75" s="24" t="str">
        <f>$B$12</f>
        <v>Jul</v>
      </c>
      <c r="C75" s="24"/>
      <c r="D75" s="34">
        <f>'qtrP&amp;L'!AP11</f>
        <v>1750.606</v>
      </c>
      <c r="E75" s="24"/>
      <c r="F75" s="34">
        <f>'qtrP&amp;L'!AP21</f>
        <v>1179.9100000000001</v>
      </c>
      <c r="G75" s="24"/>
      <c r="H75" s="34">
        <f>work!AL11</f>
        <v>1238.404</v>
      </c>
      <c r="I75" s="24"/>
      <c r="J75" s="34">
        <f>AVERAGE(H74:H75)</f>
        <v>1204.3535000000002</v>
      </c>
      <c r="K75" s="24"/>
      <c r="L75" s="43">
        <f>(D75/D68-1)*100</f>
        <v>-12.494901468377106</v>
      </c>
      <c r="M75" s="24"/>
      <c r="N75" s="43">
        <f>(H75/H68-1)*100</f>
        <v>8.2005513107828776</v>
      </c>
      <c r="O75" s="24"/>
      <c r="P75" s="43">
        <f>(H75/H74-1)*100</f>
        <v>5.8190912951602947</v>
      </c>
      <c r="Q75" s="24"/>
      <c r="R75" s="40">
        <f>F75/J75</f>
        <v>0.97970404868670202</v>
      </c>
      <c r="S75" s="24"/>
      <c r="T75" s="40">
        <f>F76/H75</f>
        <v>0.84877309827810632</v>
      </c>
      <c r="U75" s="24"/>
      <c r="V75" s="154">
        <f>qtrSales!J83</f>
        <v>5356</v>
      </c>
      <c r="W75" s="24"/>
      <c r="X75" s="40">
        <f>H75/V75</f>
        <v>0.23121807318894697</v>
      </c>
      <c r="Y75" s="24"/>
      <c r="Z75" s="85">
        <f>(X75/X68-1)*100</f>
        <v>9.917699716573857</v>
      </c>
      <c r="AA75" s="24"/>
      <c r="AB75" s="148">
        <f>qtrSales!Z83</f>
        <v>32.585000000000001</v>
      </c>
      <c r="AC75" s="24"/>
      <c r="AD75" s="387">
        <f>H75/AB75</f>
        <v>38.005339880313024</v>
      </c>
      <c r="AE75" s="24"/>
      <c r="AF75" s="85">
        <f>(AD75/AD68-1)*100</f>
        <v>10.964920160444569</v>
      </c>
      <c r="AG75" s="24"/>
      <c r="AH75" s="148">
        <f>+'store&amp;sf'!AQ254</f>
        <v>26.068000000000001</v>
      </c>
      <c r="AI75" s="24"/>
      <c r="AJ75" s="387">
        <f>+H75/AH75</f>
        <v>47.506674850391285</v>
      </c>
      <c r="AK75" s="154"/>
      <c r="AL75" s="154"/>
      <c r="AM75" s="569">
        <f>((F75-('yrP&amp;L'!$K$16/4))/J75)</f>
        <v>0.7626546628543861</v>
      </c>
      <c r="AN75" s="570"/>
      <c r="AO75" s="570"/>
      <c r="AP75" s="154"/>
      <c r="AQ75" s="24"/>
      <c r="AR75" s="24"/>
      <c r="AS75" s="24"/>
      <c r="AT75" s="24"/>
      <c r="AU75" s="24"/>
      <c r="AV75" s="24"/>
      <c r="AW75" s="24"/>
      <c r="AX75" s="24"/>
      <c r="AY75" s="24"/>
    </row>
    <row r="76" spans="1:51" hidden="1" outlineLevel="1">
      <c r="A76" s="24" t="str">
        <f>$A$13</f>
        <v>3Q</v>
      </c>
      <c r="B76" s="24" t="str">
        <f>$B$13</f>
        <v>Oct</v>
      </c>
      <c r="C76" s="24"/>
      <c r="D76" s="34">
        <f>'qtrP&amp;L'!AP12</f>
        <v>1582.3869999999999</v>
      </c>
      <c r="E76" s="24"/>
      <c r="F76" s="34">
        <f>'qtrP&amp;L'!AP22</f>
        <v>1051.124</v>
      </c>
      <c r="G76" s="24"/>
      <c r="H76" s="34">
        <f>work!AL12</f>
        <v>1420.8989999999999</v>
      </c>
      <c r="I76" s="24"/>
      <c r="J76" s="34">
        <f>AVERAGE(H75:H76)</f>
        <v>1329.6514999999999</v>
      </c>
      <c r="K76" s="24"/>
      <c r="L76" s="43">
        <f>(D76/D69-1)*100</f>
        <v>-16.829847733878555</v>
      </c>
      <c r="M76" s="24"/>
      <c r="N76" s="43">
        <f>(H76/H69-1)*100</f>
        <v>-9.4389660649230596</v>
      </c>
      <c r="O76" s="24"/>
      <c r="P76" s="43">
        <f>(H76/H75-1)*100</f>
        <v>14.736305761286284</v>
      </c>
      <c r="Q76" s="24"/>
      <c r="R76" s="40">
        <f>F76/J76</f>
        <v>0.79052593856360109</v>
      </c>
      <c r="S76" s="24"/>
      <c r="T76" s="40">
        <f>F77/H76</f>
        <v>1.1307932513148367</v>
      </c>
      <c r="U76" s="24"/>
      <c r="V76" s="154">
        <f>qtrSales!J84</f>
        <v>5061</v>
      </c>
      <c r="W76" s="24"/>
      <c r="X76" s="40">
        <f>H76/V76</f>
        <v>0.28075459395376406</v>
      </c>
      <c r="Y76" s="24"/>
      <c r="Z76" s="85">
        <f>(X76/X69-1)*100</f>
        <v>-2.2635116867436689</v>
      </c>
      <c r="AA76" s="24"/>
      <c r="AB76" s="148">
        <f>qtrSales!Z84</f>
        <v>29.907499999999999</v>
      </c>
      <c r="AC76" s="24"/>
      <c r="AD76" s="387">
        <f>H76/AB76</f>
        <v>47.509788514586639</v>
      </c>
      <c r="AE76" s="24"/>
      <c r="AF76" s="85">
        <f>(AD76/AD69-1)*100</f>
        <v>1.6436514792508516</v>
      </c>
      <c r="AG76" s="24"/>
      <c r="AH76" s="148">
        <f>+'store&amp;sf'!AQ255</f>
        <v>23.925999999999998</v>
      </c>
      <c r="AI76" s="24"/>
      <c r="AJ76" s="387">
        <f>+H76/AH76</f>
        <v>59.387235643233304</v>
      </c>
      <c r="AK76" s="154"/>
      <c r="AL76" s="154"/>
      <c r="AM76" s="569">
        <f>((F76-('yrP&amp;L'!$K$16/4))/J76)</f>
        <v>0.59392992261506117</v>
      </c>
      <c r="AN76" s="570"/>
      <c r="AO76" s="570"/>
      <c r="AP76" s="154"/>
      <c r="AQ76" s="24"/>
      <c r="AR76" s="24"/>
      <c r="AS76" s="24"/>
      <c r="AT76" s="24"/>
      <c r="AU76" s="24"/>
      <c r="AV76" s="24"/>
      <c r="AW76" s="24"/>
      <c r="AX76" s="24"/>
      <c r="AY76" s="24"/>
    </row>
    <row r="77" spans="1:51" hidden="1" outlineLevel="1">
      <c r="A77" s="24" t="str">
        <f>$A$14</f>
        <v>4Q</v>
      </c>
      <c r="B77" s="24" t="str">
        <f>$B$14</f>
        <v>Jan</v>
      </c>
      <c r="C77" s="24"/>
      <c r="D77" s="38">
        <f>'qtrP&amp;L'!AP13</f>
        <v>2718.904</v>
      </c>
      <c r="E77" s="24"/>
      <c r="F77" s="38">
        <f>'qtrP&amp;L'!AP23</f>
        <v>1606.7429999999999</v>
      </c>
      <c r="G77" s="24"/>
      <c r="H77" s="94">
        <f>work!AL13</f>
        <v>1050.913</v>
      </c>
      <c r="I77" s="24"/>
      <c r="J77" s="38">
        <f>AVERAGE(H76:H77)</f>
        <v>1235.9059999999999</v>
      </c>
      <c r="K77" s="24"/>
      <c r="L77" s="84">
        <f>(D77/D70-1)*100</f>
        <v>-13.066593851906161</v>
      </c>
      <c r="M77" s="24"/>
      <c r="N77" s="85">
        <f>(H77/H70-1)*100</f>
        <v>-6.1408272080166526</v>
      </c>
      <c r="O77" s="24"/>
      <c r="P77" s="43">
        <f>(H77/H76-1)*100</f>
        <v>-26.038866942689097</v>
      </c>
      <c r="Q77" s="24"/>
      <c r="R77" s="40">
        <f>F77/J77</f>
        <v>1.3000527548211596</v>
      </c>
      <c r="S77" s="24"/>
      <c r="T77" s="40">
        <f>F81/H77</f>
        <v>1.0497291402808795</v>
      </c>
      <c r="U77" s="24"/>
      <c r="V77" s="154">
        <f>qtrSales!J85</f>
        <v>5023</v>
      </c>
      <c r="W77" s="24"/>
      <c r="X77" s="40">
        <f>H77/V77</f>
        <v>0.20922018713915988</v>
      </c>
      <c r="Y77" s="24"/>
      <c r="Z77" s="85">
        <f>(X77/X70-1)*100</f>
        <v>0.56740353702058322</v>
      </c>
      <c r="AA77" s="24"/>
      <c r="AB77" s="148">
        <f>qtrSales!Z85</f>
        <v>29.49</v>
      </c>
      <c r="AC77" s="24"/>
      <c r="AD77" s="387">
        <f>H77/AB77</f>
        <v>35.636249576127504</v>
      </c>
      <c r="AE77" s="24"/>
      <c r="AF77" s="85">
        <f>(AD77/AD70-1)*100</f>
        <v>4.696422142837986</v>
      </c>
      <c r="AG77" s="24"/>
      <c r="AH77" s="148">
        <f>+'store&amp;sf'!AQ256</f>
        <v>23.591999999999999</v>
      </c>
      <c r="AI77" s="24"/>
      <c r="AJ77" s="387">
        <f>+H77/AH77</f>
        <v>44.545311970159382</v>
      </c>
      <c r="AK77" s="154"/>
      <c r="AL77" s="154"/>
      <c r="AM77" s="569">
        <f>((F77-('yrP&amp;L'!$K$16/4))/J77)</f>
        <v>1.0885446081659931</v>
      </c>
      <c r="AN77" s="573"/>
      <c r="AO77" s="573"/>
      <c r="AP77" s="154"/>
      <c r="AQ77" s="24"/>
      <c r="AR77" s="24"/>
      <c r="AS77" s="24"/>
      <c r="AT77" s="24"/>
      <c r="AU77" s="24"/>
      <c r="AV77" s="24"/>
      <c r="AW77" s="24"/>
      <c r="AX77" s="24"/>
      <c r="AY77" s="24"/>
    </row>
    <row r="78" spans="1:51" hidden="1" outlineLevel="1">
      <c r="A78" s="24"/>
      <c r="B78" s="24" t="str">
        <f>$B$15</f>
        <v>Year</v>
      </c>
      <c r="C78" s="24"/>
      <c r="D78" s="33">
        <f>SUM(D74:D77)</f>
        <v>7620.6360000000004</v>
      </c>
      <c r="E78" s="24"/>
      <c r="F78" s="33">
        <f>SUM(F74:F77)</f>
        <v>4909.3770000000004</v>
      </c>
      <c r="G78" s="24"/>
      <c r="H78" s="24"/>
      <c r="I78" s="24"/>
      <c r="J78" s="33">
        <f>AVERAGE(J74:J77)</f>
        <v>1228.724375</v>
      </c>
      <c r="K78" s="24"/>
      <c r="L78" s="43">
        <f>(D78/D71-1)*100</f>
        <v>-13.760355956675996</v>
      </c>
      <c r="M78" s="24"/>
      <c r="N78" s="85"/>
      <c r="O78" s="24"/>
      <c r="P78" s="85"/>
      <c r="Q78" s="24"/>
      <c r="R78" s="86">
        <f>F78/J78</f>
        <v>3.9955071290906883</v>
      </c>
      <c r="S78" s="83" t="s">
        <v>1200</v>
      </c>
      <c r="T78" s="40"/>
      <c r="U78" s="24"/>
      <c r="V78" s="154"/>
      <c r="W78" s="24"/>
      <c r="X78" s="24"/>
      <c r="Y78" s="24"/>
      <c r="Z78" s="24"/>
      <c r="AA78" s="24"/>
      <c r="AB78" s="148"/>
      <c r="AC78" s="24"/>
      <c r="AD78" s="387"/>
      <c r="AE78" s="24"/>
      <c r="AF78" s="24"/>
      <c r="AG78" s="24"/>
      <c r="AH78" s="148"/>
      <c r="AI78" s="24"/>
      <c r="AJ78" s="387"/>
      <c r="AK78" s="24"/>
      <c r="AL78" s="24"/>
      <c r="AM78" s="571">
        <f>((F78-('yrP&amp;L'!$K$16))/J78)</f>
        <v>3.144529667200588</v>
      </c>
      <c r="AN78" s="572" t="s">
        <v>1200</v>
      </c>
      <c r="AO78" s="573"/>
      <c r="AP78" s="24"/>
      <c r="AQ78" s="145"/>
      <c r="AR78" s="24"/>
      <c r="AS78" s="24"/>
      <c r="AT78" s="24"/>
      <c r="AU78" s="24"/>
      <c r="AV78" s="24"/>
      <c r="AW78" s="24"/>
      <c r="AX78" s="24"/>
      <c r="AY78" s="24"/>
    </row>
    <row r="79" spans="1:51" hidden="1" outlineLevel="1" collapsed="1">
      <c r="A79" s="24"/>
      <c r="B79" s="24"/>
      <c r="C79" s="24"/>
      <c r="D79" s="24"/>
      <c r="E79" s="24"/>
      <c r="F79" s="24"/>
      <c r="G79" s="24"/>
      <c r="H79" s="24"/>
      <c r="I79" s="24"/>
      <c r="J79" s="24"/>
      <c r="K79" s="24"/>
      <c r="L79" s="24"/>
      <c r="M79" s="24"/>
      <c r="N79" s="24"/>
      <c r="O79" s="24"/>
      <c r="P79" s="24"/>
      <c r="Q79" s="24"/>
      <c r="R79" s="24"/>
      <c r="S79" s="24"/>
      <c r="T79" s="40"/>
      <c r="U79" s="24"/>
      <c r="V79" s="154"/>
      <c r="W79" s="24"/>
      <c r="X79" s="24"/>
      <c r="Y79" s="24"/>
      <c r="Z79" s="24"/>
      <c r="AA79" s="24"/>
      <c r="AB79" s="148"/>
      <c r="AC79" s="24"/>
      <c r="AD79" s="24"/>
      <c r="AE79" s="24"/>
      <c r="AF79" s="24"/>
      <c r="AG79" s="24"/>
      <c r="AH79" s="148"/>
      <c r="AI79" s="24"/>
      <c r="AJ79" s="24"/>
      <c r="AK79" s="24"/>
      <c r="AL79" s="24"/>
      <c r="AM79" s="24"/>
      <c r="AN79" s="24"/>
      <c r="AO79" s="24"/>
      <c r="AP79" s="24"/>
      <c r="AQ79" s="145"/>
      <c r="AR79" s="24"/>
      <c r="AS79" s="24"/>
      <c r="AT79" s="24"/>
      <c r="AU79" s="24"/>
      <c r="AV79" s="24"/>
      <c r="AW79" s="24"/>
      <c r="AX79" s="24"/>
      <c r="AY79" s="24"/>
    </row>
    <row r="80" spans="1:51" hidden="1" outlineLevel="1">
      <c r="A80" s="24"/>
      <c r="B80" s="75">
        <f>B73+1</f>
        <v>2000</v>
      </c>
      <c r="C80" s="24"/>
      <c r="D80" s="24"/>
      <c r="E80" s="24"/>
      <c r="F80" s="24"/>
      <c r="G80" s="24"/>
      <c r="H80" s="24"/>
      <c r="I80" s="24"/>
      <c r="J80" s="24"/>
      <c r="K80" s="24"/>
      <c r="L80" s="24"/>
      <c r="M80" s="24"/>
      <c r="N80" s="24"/>
      <c r="O80" s="24"/>
      <c r="P80" s="24"/>
      <c r="Q80" s="24"/>
      <c r="R80" s="24"/>
      <c r="S80" s="24"/>
      <c r="T80" s="40"/>
      <c r="U80" s="24"/>
      <c r="V80" s="154"/>
      <c r="W80" s="24"/>
      <c r="X80" s="24"/>
      <c r="Y80" s="24"/>
      <c r="Z80" s="24"/>
      <c r="AA80" s="24"/>
      <c r="AB80" s="148"/>
      <c r="AC80" s="24"/>
      <c r="AD80" s="24"/>
      <c r="AE80" s="24"/>
      <c r="AF80" s="24"/>
      <c r="AG80" s="24"/>
      <c r="AH80" s="24"/>
      <c r="AI80" s="24"/>
      <c r="AJ80" s="24"/>
      <c r="AK80" s="24"/>
      <c r="AL80" s="24"/>
      <c r="AM80" s="24"/>
      <c r="AN80" s="24"/>
      <c r="AO80" s="24"/>
      <c r="AP80" s="24"/>
      <c r="AQ80" s="143"/>
      <c r="AR80" s="24"/>
      <c r="AS80" s="24"/>
      <c r="AT80" s="24"/>
      <c r="AU80" s="24"/>
      <c r="AV80" s="24"/>
      <c r="AW80" s="24"/>
      <c r="AX80" s="24"/>
      <c r="AY80" s="24"/>
    </row>
    <row r="81" spans="1:51" hidden="1" outlineLevel="1">
      <c r="A81" s="24" t="str">
        <f>$A$11</f>
        <v>1Q</v>
      </c>
      <c r="B81" s="24" t="str">
        <f>$B$11</f>
        <v>Apr</v>
      </c>
      <c r="C81" s="24"/>
      <c r="D81" s="33">
        <f>'qtrP&amp;L'!AT10</f>
        <v>1690.23</v>
      </c>
      <c r="E81" s="24"/>
      <c r="F81" s="33">
        <f>'qtrP&amp;L'!AT20</f>
        <v>1103.174</v>
      </c>
      <c r="G81" s="24"/>
      <c r="H81" s="33">
        <f>work!AP10</f>
        <v>1147.194</v>
      </c>
      <c r="I81" s="24"/>
      <c r="J81" s="33">
        <f>AVERAGE(H81,H77)</f>
        <v>1099.0535</v>
      </c>
      <c r="K81" s="24"/>
      <c r="L81" s="43">
        <f>(D81/D74-1)*100</f>
        <v>7.7445005192068317</v>
      </c>
      <c r="M81" s="24" t="s">
        <v>1084</v>
      </c>
      <c r="N81" s="43">
        <f>(H81/H74-1)*100</f>
        <v>-1.974616830000453</v>
      </c>
      <c r="O81" s="24" t="s">
        <v>1084</v>
      </c>
      <c r="P81" s="43">
        <f>(H81/H77-1)*100</f>
        <v>9.1616527723988419</v>
      </c>
      <c r="Q81" s="24" t="s">
        <v>1084</v>
      </c>
      <c r="R81" s="40">
        <f>F81/J81</f>
        <v>1.0037491350512053</v>
      </c>
      <c r="S81" s="24" t="s">
        <v>1200</v>
      </c>
      <c r="T81" s="40">
        <f>F85/H81</f>
        <v>4.5443360059414539</v>
      </c>
      <c r="U81" s="24"/>
      <c r="V81" s="154">
        <f>qtrSales!J89</f>
        <v>4993</v>
      </c>
      <c r="W81" s="24"/>
      <c r="X81" s="35">
        <f>H81/V81</f>
        <v>0.2297604646505107</v>
      </c>
      <c r="Y81" s="24"/>
      <c r="Z81" s="85">
        <f>(X81/X74-1)*100</f>
        <v>5.1912683807044946</v>
      </c>
      <c r="AA81" s="143" t="s">
        <v>1084</v>
      </c>
      <c r="AB81" s="148">
        <f>qtrSales!Z89</f>
        <v>29.153749999999999</v>
      </c>
      <c r="AC81" s="24"/>
      <c r="AD81" s="165">
        <f>H81/AB81</f>
        <v>39.349792050765338</v>
      </c>
      <c r="AE81" s="24"/>
      <c r="AF81" s="85">
        <f>(AD81/AD74-1)*100</f>
        <v>9.7684231124160128</v>
      </c>
      <c r="AG81" s="143" t="s">
        <v>1084</v>
      </c>
      <c r="AH81" s="148">
        <f>+'store&amp;sf'!AQ259</f>
        <v>23.322999999999997</v>
      </c>
      <c r="AI81" s="24"/>
      <c r="AJ81" s="165">
        <f>+H81/AH81</f>
        <v>49.187240063456677</v>
      </c>
      <c r="AK81" s="153"/>
      <c r="AL81" s="153"/>
      <c r="AM81" s="569">
        <f>((F81-('yrP&amp;L'!$L$16/4))/J81)</f>
        <v>0.76924053287669802</v>
      </c>
      <c r="AN81" s="570" t="s">
        <v>1200</v>
      </c>
      <c r="AO81" s="570"/>
      <c r="AP81" s="153"/>
      <c r="AQ81" s="194"/>
      <c r="AR81" s="24"/>
      <c r="AS81" s="24"/>
      <c r="AT81" s="24"/>
      <c r="AU81" s="24"/>
      <c r="AV81" s="24"/>
      <c r="AW81" s="24"/>
      <c r="AX81" s="24"/>
      <c r="AY81" s="24"/>
    </row>
    <row r="82" spans="1:51" hidden="1" outlineLevel="1">
      <c r="A82" s="24" t="str">
        <f>$A$47</f>
        <v>2Q</v>
      </c>
      <c r="B82" s="24" t="str">
        <f>$B$12</f>
        <v>Jul</v>
      </c>
      <c r="C82" s="24"/>
      <c r="D82" s="34">
        <f>'qtrP&amp;L'!AT11</f>
        <v>1842.4359999999999</v>
      </c>
      <c r="E82" s="24"/>
      <c r="F82" s="34">
        <f>'qtrP&amp;L'!AT21</f>
        <v>1201.5219999999999</v>
      </c>
      <c r="G82" s="24"/>
      <c r="H82" s="34">
        <f>work!AP11</f>
        <v>1214.807</v>
      </c>
      <c r="I82" s="24"/>
      <c r="J82" s="34">
        <f>AVERAGE(H81:H82)</f>
        <v>1181.0005000000001</v>
      </c>
      <c r="K82" s="24"/>
      <c r="L82" s="43">
        <f>(D82/D75-1)*100</f>
        <v>5.2456120908987991</v>
      </c>
      <c r="M82" s="143"/>
      <c r="N82" s="43">
        <f>(H82/H75-1)*100</f>
        <v>-1.905436351949763</v>
      </c>
      <c r="O82" s="143"/>
      <c r="P82" s="43">
        <f>(H82/H81-1)*100</f>
        <v>5.8937721082920724</v>
      </c>
      <c r="Q82" s="143"/>
      <c r="R82" s="40">
        <f>F82/J82</f>
        <v>1.0173763685959487</v>
      </c>
      <c r="S82" s="24"/>
      <c r="T82" s="40">
        <f>F83/H82</f>
        <v>0.91470743912407482</v>
      </c>
      <c r="U82" s="24"/>
      <c r="V82" s="154">
        <f>qtrSales!J90</f>
        <v>5038</v>
      </c>
      <c r="W82" s="24"/>
      <c r="X82" s="40">
        <f>H82/V82</f>
        <v>0.24112882096069868</v>
      </c>
      <c r="Y82" s="24"/>
      <c r="Z82" s="85">
        <f>(X82/X75-1)*100</f>
        <v>4.2863205436596052</v>
      </c>
      <c r="AA82" s="143"/>
      <c r="AB82" s="148">
        <f>qtrSales!Z90</f>
        <v>29.078749999999999</v>
      </c>
      <c r="AC82" s="24"/>
      <c r="AD82" s="387">
        <f>H82/AB82</f>
        <v>41.776451876370203</v>
      </c>
      <c r="AE82" s="24"/>
      <c r="AF82" s="85">
        <f>(AD82/AD75-1)*100</f>
        <v>9.9225845839906235</v>
      </c>
      <c r="AG82" s="143"/>
      <c r="AH82" s="148">
        <f>+'store&amp;sf'!AQ260</f>
        <v>23.262999999999998</v>
      </c>
      <c r="AI82" s="24"/>
      <c r="AJ82" s="387">
        <f>+H82/AH82</f>
        <v>52.220564845462754</v>
      </c>
      <c r="AK82" s="154"/>
      <c r="AL82" s="154"/>
      <c r="AM82" s="569">
        <f>((F82-('yrP&amp;L'!$L$16/4))/J82)</f>
        <v>0.7991397971465718</v>
      </c>
      <c r="AN82" s="570"/>
      <c r="AO82" s="570"/>
      <c r="AP82" s="154"/>
      <c r="AQ82" s="194"/>
      <c r="AR82" s="24"/>
      <c r="AS82" s="194"/>
      <c r="AT82" s="127"/>
      <c r="AU82" s="194"/>
      <c r="AV82" s="127"/>
      <c r="AW82" s="194"/>
      <c r="AX82" s="24"/>
      <c r="AY82" s="24"/>
    </row>
    <row r="83" spans="1:51" hidden="1" outlineLevel="1">
      <c r="A83" s="24" t="str">
        <f>$A$48</f>
        <v>3Q</v>
      </c>
      <c r="B83" s="24" t="str">
        <f>$B$13</f>
        <v>Oct</v>
      </c>
      <c r="C83" s="24"/>
      <c r="D83" s="34">
        <f>'qtrP&amp;L'!AT12</f>
        <v>1715.9559999999999</v>
      </c>
      <c r="E83" s="24"/>
      <c r="F83" s="34">
        <f>'qtrP&amp;L'!AT22</f>
        <v>1111.193</v>
      </c>
      <c r="G83" s="24"/>
      <c r="H83" s="34">
        <f>work!AP12</f>
        <v>1581.682</v>
      </c>
      <c r="I83" s="24"/>
      <c r="J83" s="34">
        <f>AVERAGE(H82:H83)</f>
        <v>1398.2445</v>
      </c>
      <c r="K83" s="24"/>
      <c r="L83" s="43">
        <f>(D83/D76-1)*100</f>
        <v>8.440981883698484</v>
      </c>
      <c r="M83" s="143"/>
      <c r="N83" s="43">
        <f>(H83/H76-1)*100</f>
        <v>11.315582599466968</v>
      </c>
      <c r="O83" s="143"/>
      <c r="P83" s="43">
        <f>(H83/H82-1)*100</f>
        <v>30.200270495642513</v>
      </c>
      <c r="Q83" s="143"/>
      <c r="R83" s="40">
        <f>F83/J83</f>
        <v>0.79470579001025932</v>
      </c>
      <c r="S83" s="24"/>
      <c r="T83" s="40">
        <f>F84/H83</f>
        <v>1.1363510490730753</v>
      </c>
      <c r="U83" s="24"/>
      <c r="V83" s="154">
        <f>qtrSales!J91</f>
        <v>5156</v>
      </c>
      <c r="W83" s="24"/>
      <c r="X83" s="40">
        <f>H83/V83</f>
        <v>0.30676532195500389</v>
      </c>
      <c r="Y83" s="24"/>
      <c r="Z83" s="85">
        <f>(X83/X76-1)*100</f>
        <v>9.2645778774054222</v>
      </c>
      <c r="AA83" s="143"/>
      <c r="AB83" s="148">
        <f>qtrSales!Z91</f>
        <v>29.348749999999995</v>
      </c>
      <c r="AC83" s="24"/>
      <c r="AD83" s="387">
        <f>H83/AB83</f>
        <v>53.892653009071942</v>
      </c>
      <c r="AE83" s="24"/>
      <c r="AF83" s="85">
        <f>(AD83/AD76-1)*100</f>
        <v>13.434840890789502</v>
      </c>
      <c r="AG83" s="143"/>
      <c r="AH83" s="148">
        <f>+'store&amp;sf'!AQ261</f>
        <v>23.478999999999999</v>
      </c>
      <c r="AI83" s="24"/>
      <c r="AJ83" s="387">
        <f>+H83/AH83</f>
        <v>67.36581626133993</v>
      </c>
      <c r="AK83" s="154"/>
      <c r="AL83" s="154"/>
      <c r="AM83" s="569">
        <f>((F83-('yrP&amp;L'!$L$16/4))/J83)</f>
        <v>0.6103764398858712</v>
      </c>
      <c r="AN83" s="570"/>
      <c r="AO83" s="570"/>
      <c r="AP83" s="154"/>
      <c r="AQ83" s="194"/>
      <c r="AR83" s="24"/>
      <c r="AS83" s="194"/>
      <c r="AT83" s="127"/>
      <c r="AU83" s="194"/>
      <c r="AV83" s="127"/>
      <c r="AW83" s="194"/>
      <c r="AX83" s="24"/>
      <c r="AY83" s="24"/>
    </row>
    <row r="84" spans="1:51" hidden="1" outlineLevel="1">
      <c r="A84" s="24" t="str">
        <f>$A$49</f>
        <v>4Q</v>
      </c>
      <c r="B84" s="24" t="str">
        <f>$B$14</f>
        <v>Jan</v>
      </c>
      <c r="C84" s="24"/>
      <c r="D84" s="38">
        <f>'qtrP&amp;L'!AT13</f>
        <v>2901.1509999999998</v>
      </c>
      <c r="E84" s="24"/>
      <c r="F84" s="38">
        <f>'qtrP&amp;L'!AT23</f>
        <v>1797.346</v>
      </c>
      <c r="G84" s="24"/>
      <c r="H84" s="34">
        <f>work!AP13</f>
        <v>1157.1400000000001</v>
      </c>
      <c r="I84" s="24"/>
      <c r="J84" s="38">
        <f>AVERAGE(H83:H84)</f>
        <v>1369.4110000000001</v>
      </c>
      <c r="K84" s="24"/>
      <c r="L84" s="84">
        <f>(D84/D77-1)*100</f>
        <v>6.7029582508245866</v>
      </c>
      <c r="M84" s="143"/>
      <c r="N84" s="85">
        <f>(H84/H77-1)*100</f>
        <v>10.108067937117537</v>
      </c>
      <c r="O84" s="143"/>
      <c r="P84" s="43">
        <f>(H84/H83-1)*100</f>
        <v>-26.841172877986853</v>
      </c>
      <c r="Q84" s="143"/>
      <c r="R84" s="40">
        <f>F84/J84</f>
        <v>1.3124956641943142</v>
      </c>
      <c r="S84" s="24"/>
      <c r="T84" s="40">
        <f>F88/H84</f>
        <v>0.97001572843389727</v>
      </c>
      <c r="U84" s="24"/>
      <c r="V84" s="154">
        <f>qtrSales!J92</f>
        <v>5129</v>
      </c>
      <c r="W84" s="24"/>
      <c r="X84" s="40">
        <f>H84/V84</f>
        <v>0.22560733086371615</v>
      </c>
      <c r="Y84" s="24"/>
      <c r="Z84" s="85">
        <f>(X84/X77-1)*100</f>
        <v>7.8324868879199538</v>
      </c>
      <c r="AA84" s="143"/>
      <c r="AB84" s="148">
        <f>qtrSales!Z92</f>
        <v>29.029999999999998</v>
      </c>
      <c r="AC84" s="24"/>
      <c r="AD84" s="387">
        <f>H84/AB84</f>
        <v>39.860144677919401</v>
      </c>
      <c r="AE84" s="24"/>
      <c r="AF84" s="85">
        <f>(AD84/AD77-1)*100</f>
        <v>11.852804804188644</v>
      </c>
      <c r="AG84" s="143"/>
      <c r="AH84" s="148">
        <f>+'store&amp;sf'!AQ262</f>
        <v>23.224</v>
      </c>
      <c r="AI84" s="24"/>
      <c r="AJ84" s="387">
        <f>+H84/AH84</f>
        <v>49.825180847399245</v>
      </c>
      <c r="AK84" s="154"/>
      <c r="AL84" s="154"/>
      <c r="AM84" s="569">
        <f>((F84-('yrP&amp;L'!$L$16/4))/J84)</f>
        <v>1.1242851853826208</v>
      </c>
      <c r="AN84" s="573"/>
      <c r="AO84" s="573"/>
      <c r="AP84" s="154"/>
      <c r="AQ84" s="194"/>
      <c r="AR84" s="24"/>
      <c r="AS84" s="194"/>
      <c r="AT84" s="127"/>
      <c r="AU84" s="194"/>
      <c r="AV84" s="127"/>
      <c r="AW84" s="194"/>
      <c r="AX84" s="24"/>
      <c r="AY84" s="24"/>
    </row>
    <row r="85" spans="1:51" hidden="1" outlineLevel="1">
      <c r="A85" s="24"/>
      <c r="B85" s="24" t="str">
        <f>$B$15</f>
        <v>Year</v>
      </c>
      <c r="C85" s="24"/>
      <c r="D85" s="33">
        <f>SUM(D81:D84)</f>
        <v>8149.7730000000001</v>
      </c>
      <c r="E85" s="24"/>
      <c r="F85" s="33">
        <f>SUM(F81:F84)</f>
        <v>5213.2350000000006</v>
      </c>
      <c r="G85" s="24"/>
      <c r="H85" s="24"/>
      <c r="I85" s="24"/>
      <c r="J85" s="33">
        <f>AVERAGE(J81:J84)</f>
        <v>1261.927375</v>
      </c>
      <c r="K85" s="24"/>
      <c r="L85" s="43">
        <f>(D85/D78-1)*100</f>
        <v>6.9434755839276274</v>
      </c>
      <c r="M85" s="143"/>
      <c r="N85" s="24"/>
      <c r="O85" s="143"/>
      <c r="P85" s="24"/>
      <c r="Q85" s="143"/>
      <c r="R85" s="86">
        <f>F85/J85</f>
        <v>4.1311688004232421</v>
      </c>
      <c r="S85" s="83" t="s">
        <v>1200</v>
      </c>
      <c r="T85" s="40"/>
      <c r="U85" s="24"/>
      <c r="V85" s="154"/>
      <c r="W85" s="24"/>
      <c r="X85" s="24"/>
      <c r="Y85" s="24"/>
      <c r="Z85" s="24"/>
      <c r="AA85" s="143"/>
      <c r="AB85" s="148"/>
      <c r="AC85" s="24"/>
      <c r="AD85" s="387"/>
      <c r="AE85" s="24"/>
      <c r="AF85" s="24"/>
      <c r="AG85" s="143"/>
      <c r="AH85" s="148"/>
      <c r="AI85" s="24"/>
      <c r="AJ85" s="387"/>
      <c r="AK85" s="24"/>
      <c r="AL85" s="24"/>
      <c r="AM85" s="571">
        <f>((F85-('yrP&amp;L'!$L$16))/J85)</f>
        <v>3.3142041949918082</v>
      </c>
      <c r="AN85" s="572" t="s">
        <v>1200</v>
      </c>
      <c r="AO85" s="573"/>
      <c r="AP85" s="310"/>
      <c r="AQ85" s="24"/>
      <c r="AR85" s="24"/>
      <c r="AS85" s="145"/>
      <c r="AT85" s="24"/>
      <c r="AU85" s="145"/>
      <c r="AV85" s="24"/>
      <c r="AW85" s="145"/>
      <c r="AX85" s="24"/>
      <c r="AY85" s="24"/>
    </row>
    <row r="86" spans="1:51" hidden="1" outlineLevel="1" collapsed="1">
      <c r="A86" s="24"/>
      <c r="B86" s="24"/>
      <c r="C86" s="24"/>
      <c r="D86" s="24"/>
      <c r="E86" s="24"/>
      <c r="F86" s="24"/>
      <c r="G86" s="24"/>
      <c r="H86" s="24"/>
      <c r="I86" s="24"/>
      <c r="J86" s="24"/>
      <c r="K86" s="24"/>
      <c r="L86" s="24"/>
      <c r="M86" s="143"/>
      <c r="N86" s="24"/>
      <c r="O86" s="143"/>
      <c r="P86" s="24"/>
      <c r="Q86" s="143"/>
      <c r="R86" s="24"/>
      <c r="S86" s="24"/>
      <c r="T86" s="40"/>
      <c r="U86" s="24"/>
      <c r="V86" s="154"/>
      <c r="W86" s="24"/>
      <c r="X86" s="24"/>
      <c r="Y86" s="24"/>
      <c r="Z86" s="24"/>
      <c r="AA86" s="143"/>
      <c r="AB86" s="148"/>
      <c r="AC86" s="24"/>
      <c r="AD86" s="24"/>
      <c r="AE86" s="24"/>
      <c r="AF86" s="24"/>
      <c r="AG86" s="143"/>
      <c r="AH86" s="148"/>
      <c r="AI86" s="24"/>
      <c r="AJ86" s="24"/>
      <c r="AK86" s="24"/>
      <c r="AL86" s="24"/>
      <c r="AM86" s="24"/>
      <c r="AN86" s="24"/>
      <c r="AO86" s="24"/>
      <c r="AP86" s="24"/>
      <c r="AQ86" s="24"/>
      <c r="AR86" s="24"/>
      <c r="AS86" s="24"/>
      <c r="AT86" s="24"/>
      <c r="AU86" s="24"/>
      <c r="AV86" s="24"/>
      <c r="AW86" s="24"/>
      <c r="AX86" s="24"/>
      <c r="AY86" s="24"/>
    </row>
    <row r="87" spans="1:51" hidden="1" outlineLevel="1">
      <c r="A87" s="24"/>
      <c r="B87" s="75">
        <f>B80+1</f>
        <v>2001</v>
      </c>
      <c r="C87" s="24"/>
      <c r="D87" s="24"/>
      <c r="E87" s="24"/>
      <c r="F87" s="24"/>
      <c r="G87" s="24"/>
      <c r="H87" s="24"/>
      <c r="I87" s="24"/>
      <c r="J87" s="24"/>
      <c r="K87" s="24"/>
      <c r="L87" s="24"/>
      <c r="M87" s="143"/>
      <c r="N87" s="24"/>
      <c r="O87" s="143"/>
      <c r="P87" s="24"/>
      <c r="Q87" s="143"/>
      <c r="R87" s="24"/>
      <c r="S87" s="24"/>
      <c r="T87" s="40"/>
      <c r="U87" s="24"/>
      <c r="V87" s="154"/>
      <c r="W87" s="24"/>
      <c r="X87" s="24"/>
      <c r="Y87" s="24"/>
      <c r="Z87" s="24"/>
      <c r="AA87" s="143"/>
      <c r="AB87" s="148"/>
      <c r="AC87" s="24"/>
      <c r="AD87" s="24"/>
      <c r="AE87" s="24"/>
      <c r="AF87" s="24"/>
      <c r="AG87" s="143"/>
      <c r="AH87" s="24"/>
      <c r="AI87" s="24"/>
      <c r="AJ87" s="24"/>
      <c r="AK87" s="24"/>
      <c r="AL87" s="24"/>
      <c r="AM87" s="24"/>
      <c r="AN87" s="24"/>
      <c r="AO87" s="24"/>
      <c r="AP87" s="24"/>
      <c r="AQ87" s="24"/>
      <c r="AR87" s="24"/>
      <c r="AS87" s="24"/>
      <c r="AT87" s="24"/>
      <c r="AU87" s="24"/>
      <c r="AV87" s="24"/>
      <c r="AW87" s="24"/>
      <c r="AX87" s="24"/>
      <c r="AY87" s="24"/>
    </row>
    <row r="88" spans="1:51" hidden="1" outlineLevel="1">
      <c r="A88" s="24" t="str">
        <f>$A$46</f>
        <v>1Q</v>
      </c>
      <c r="B88" s="24" t="str">
        <f>$B$11</f>
        <v>Apr</v>
      </c>
      <c r="C88" s="143"/>
      <c r="D88" s="33">
        <f>'qtrP&amp;L'!$AX10</f>
        <v>1661.8579999999999</v>
      </c>
      <c r="E88" s="24"/>
      <c r="F88" s="33">
        <f>'qtrP&amp;L'!$AX20</f>
        <v>1122.444</v>
      </c>
      <c r="G88" s="24"/>
      <c r="H88" s="33">
        <f>work!AT10</f>
        <v>1157.1400000000001</v>
      </c>
      <c r="I88" s="24"/>
      <c r="J88" s="33">
        <f>AVERAGE(H88,H84)</f>
        <v>1157.1400000000001</v>
      </c>
      <c r="K88" s="24"/>
      <c r="L88" s="43">
        <f>(D88/D81-1)*100</f>
        <v>-1.6785881211432763</v>
      </c>
      <c r="M88" s="143" t="s">
        <v>1084</v>
      </c>
      <c r="N88" s="43">
        <f>(H88/H81-1)*100</f>
        <v>0.86698500863848782</v>
      </c>
      <c r="O88" s="143" t="s">
        <v>1084</v>
      </c>
      <c r="P88" s="43">
        <f>(H88/H84-1)*100</f>
        <v>0</v>
      </c>
      <c r="Q88" s="143" t="s">
        <v>1084</v>
      </c>
      <c r="R88" s="40">
        <f>F88/J88</f>
        <v>0.97001572843389727</v>
      </c>
      <c r="S88" s="24" t="s">
        <v>1200</v>
      </c>
      <c r="T88" s="40">
        <f>F89/H88</f>
        <v>1.0167291771090792</v>
      </c>
      <c r="U88" s="24"/>
      <c r="V88" s="154">
        <f>qtrSales!J96</f>
        <v>5155</v>
      </c>
      <c r="W88" s="24"/>
      <c r="X88" s="35">
        <f>H88/V88</f>
        <v>0.22446944713870032</v>
      </c>
      <c r="Y88" s="24"/>
      <c r="Z88" s="85">
        <f>(X88/X81-1)*100</f>
        <v>-2.3028407084128122</v>
      </c>
      <c r="AA88" s="143" t="s">
        <v>1084</v>
      </c>
      <c r="AB88" s="148">
        <f>qtrSales!Z96</f>
        <v>28.976249999999997</v>
      </c>
      <c r="AC88" s="24"/>
      <c r="AD88" s="165">
        <f>H88/AB88</f>
        <v>39.934083948060923</v>
      </c>
      <c r="AE88" s="24"/>
      <c r="AF88" s="85">
        <f>(AD88/AD81-1)*100</f>
        <v>1.4848665440005071</v>
      </c>
      <c r="AG88" s="143" t="s">
        <v>1084</v>
      </c>
      <c r="AH88" s="148">
        <f>+'store&amp;sf'!AQ265</f>
        <v>23.181000000000001</v>
      </c>
      <c r="AI88" s="24"/>
      <c r="AJ88" s="165">
        <f>+H88/AH88</f>
        <v>49.917604935076142</v>
      </c>
      <c r="AK88" s="153"/>
      <c r="AL88" s="153"/>
      <c r="AM88" s="569">
        <f>((F88-('yrP&amp;L'!$M$16/4))/J88)</f>
        <v>0.80241500596297755</v>
      </c>
      <c r="AN88" s="570" t="s">
        <v>1200</v>
      </c>
      <c r="AO88" s="570"/>
      <c r="AP88" s="390"/>
      <c r="AQ88" s="194"/>
      <c r="AR88" s="196"/>
      <c r="AS88" s="194"/>
      <c r="AT88" s="521"/>
      <c r="AU88" s="194"/>
      <c r="AV88" s="127"/>
      <c r="AW88" s="194"/>
      <c r="AX88" s="24"/>
      <c r="AY88" s="24"/>
    </row>
    <row r="89" spans="1:51" hidden="1" outlineLevel="1">
      <c r="A89" s="24" t="str">
        <f>$A$47</f>
        <v>2Q</v>
      </c>
      <c r="B89" s="24" t="str">
        <f>$B$12</f>
        <v>Jul</v>
      </c>
      <c r="C89" s="143"/>
      <c r="D89" s="34">
        <f>'qtrP&amp;L'!AX11</f>
        <v>1767.2950000000001</v>
      </c>
      <c r="E89" s="24"/>
      <c r="F89" s="34">
        <f>'qtrP&amp;L'!$AX21</f>
        <v>1176.498</v>
      </c>
      <c r="G89" s="24"/>
      <c r="H89" s="33">
        <f>work!AT11</f>
        <v>1153.5809999999999</v>
      </c>
      <c r="I89" s="24"/>
      <c r="J89" s="34">
        <f>AVERAGE(H88:H89)</f>
        <v>1155.3605</v>
      </c>
      <c r="K89" s="24"/>
      <c r="L89" s="43">
        <f>(D89/D82-1)*100</f>
        <v>-4.0783506184203899</v>
      </c>
      <c r="M89" s="143"/>
      <c r="N89" s="43">
        <f>(H89/H82-1)*100</f>
        <v>-5.0399775437579901</v>
      </c>
      <c r="O89" s="143"/>
      <c r="P89" s="43">
        <f>(H89/H88-1)*100</f>
        <v>-0.30756866066338207</v>
      </c>
      <c r="Q89" s="143"/>
      <c r="R89" s="40">
        <f>F89/J89</f>
        <v>1.0182951554947568</v>
      </c>
      <c r="S89" s="24"/>
      <c r="T89" s="40">
        <f>F90/H89</f>
        <v>1.0009752241064998</v>
      </c>
      <c r="U89" s="24"/>
      <c r="V89" s="154">
        <f>qtrSales!J97</f>
        <v>5218</v>
      </c>
      <c r="W89" s="24"/>
      <c r="X89" s="40">
        <f>H89/V89</f>
        <v>0.22107723265619009</v>
      </c>
      <c r="Y89" s="24"/>
      <c r="Z89" s="85">
        <f>(X89/X82-1)*100</f>
        <v>-8.3157161489943903</v>
      </c>
      <c r="AA89" s="143"/>
      <c r="AB89" s="148">
        <f>qtrSales!Z97</f>
        <v>29.057499999999994</v>
      </c>
      <c r="AC89" s="24"/>
      <c r="AD89" s="387">
        <f>H89/AB89</f>
        <v>39.699939774584877</v>
      </c>
      <c r="AE89" s="24"/>
      <c r="AF89" s="85">
        <f>(AD89/AD82-1)*100</f>
        <v>-4.9705324615177631</v>
      </c>
      <c r="AG89" s="143"/>
      <c r="AH89" s="148">
        <f>+'store&amp;sf'!AQ266</f>
        <v>23.246000000000002</v>
      </c>
      <c r="AI89" s="24"/>
      <c r="AJ89" s="387">
        <f>+H89/AH89</f>
        <v>49.624924718231085</v>
      </c>
      <c r="AK89" s="154"/>
      <c r="AL89" s="154"/>
      <c r="AM89" s="569">
        <f>((F89-('yrP&amp;L'!$M$16/4))/J89)</f>
        <v>0.85043629239531737</v>
      </c>
      <c r="AN89" s="570"/>
      <c r="AO89" s="570"/>
      <c r="AP89" s="154"/>
      <c r="AQ89" s="194"/>
      <c r="AR89" s="24"/>
      <c r="AS89" s="194"/>
      <c r="AT89" s="127"/>
      <c r="AU89" s="194"/>
      <c r="AV89" s="127"/>
      <c r="AW89" s="194"/>
      <c r="AX89" s="24"/>
      <c r="AY89" s="24"/>
    </row>
    <row r="90" spans="1:51" hidden="1" outlineLevel="1">
      <c r="A90" s="24" t="str">
        <f>$A$48</f>
        <v>3Q</v>
      </c>
      <c r="B90" s="24" t="str">
        <f>$B$13</f>
        <v>Oct</v>
      </c>
      <c r="C90" s="143"/>
      <c r="D90" s="34">
        <f>'qtrP&amp;L'!AX12</f>
        <v>1659.335</v>
      </c>
      <c r="E90" s="24"/>
      <c r="F90" s="34">
        <f>'qtrP&amp;L'!$AX22</f>
        <v>1154.7059999999999</v>
      </c>
      <c r="G90" s="24"/>
      <c r="H90" s="33">
        <f>work!AT12</f>
        <v>1343.329</v>
      </c>
      <c r="I90" s="24"/>
      <c r="J90" s="34">
        <f>AVERAGE(H89:H90)</f>
        <v>1248.4549999999999</v>
      </c>
      <c r="K90" s="24"/>
      <c r="L90" s="43">
        <f>(D90/D83-1)*100</f>
        <v>-3.2996766816864698</v>
      </c>
      <c r="M90" s="143"/>
      <c r="N90" s="43">
        <f>(H90/H83-1)*100</f>
        <v>-15.06959047393851</v>
      </c>
      <c r="O90" s="143"/>
      <c r="P90" s="43">
        <f>(H90/H89-1)*100</f>
        <v>16.448606556453349</v>
      </c>
      <c r="Q90" s="143"/>
      <c r="R90" s="40">
        <f>F90/J90</f>
        <v>0.92490798627103099</v>
      </c>
      <c r="S90" s="24"/>
      <c r="T90" s="40">
        <f>F91/H90</f>
        <v>1.2001966755724027</v>
      </c>
      <c r="U90" s="24"/>
      <c r="V90" s="154">
        <f>qtrSales!J98</f>
        <v>4653</v>
      </c>
      <c r="W90" s="24"/>
      <c r="X90" s="40">
        <f>H90/V90</f>
        <v>0.2887016978293574</v>
      </c>
      <c r="Y90" s="24"/>
      <c r="Z90" s="85">
        <f>(X90/X83-1)*100</f>
        <v>-5.8884178989097258</v>
      </c>
      <c r="AA90" s="143"/>
      <c r="AB90" s="148">
        <f>qtrSales!Z98</f>
        <v>25.451249999999998</v>
      </c>
      <c r="AC90" s="24"/>
      <c r="AD90" s="387">
        <f>H90/AB90</f>
        <v>52.780472471882526</v>
      </c>
      <c r="AE90" s="24"/>
      <c r="AF90" s="85">
        <f>(AD90/AD83-1)*100</f>
        <v>-2.0636960236531721</v>
      </c>
      <c r="AG90" s="143"/>
      <c r="AH90" s="148">
        <f>+'store&amp;sf'!AQ267</f>
        <v>20.361000000000001</v>
      </c>
      <c r="AI90" s="24"/>
      <c r="AJ90" s="387">
        <f>+H90/AH90</f>
        <v>65.975590589853141</v>
      </c>
      <c r="AK90" s="154"/>
      <c r="AL90" s="154"/>
      <c r="AM90" s="569">
        <f>((F90-('yrP&amp;L'!$M$16/4))/J90)</f>
        <v>0.76956598355567474</v>
      </c>
      <c r="AN90" s="570"/>
      <c r="AO90" s="570"/>
      <c r="AP90" s="154"/>
      <c r="AQ90" s="194"/>
      <c r="AR90" s="24"/>
      <c r="AS90" s="194"/>
      <c r="AT90" s="127"/>
      <c r="AU90" s="194"/>
      <c r="AV90" s="127"/>
      <c r="AW90" s="194"/>
      <c r="AX90" s="24"/>
      <c r="AY90" s="24"/>
    </row>
    <row r="91" spans="1:51" hidden="1" outlineLevel="1">
      <c r="A91" s="24" t="str">
        <f>$A$49</f>
        <v>4Q</v>
      </c>
      <c r="B91" s="24" t="str">
        <f>$B$14</f>
        <v>Jan</v>
      </c>
      <c r="C91" s="24"/>
      <c r="D91" s="38">
        <f>'qtrP&amp;L'!AX13</f>
        <v>2838.9450000000002</v>
      </c>
      <c r="E91" s="24"/>
      <c r="F91" s="38">
        <f>'qtrP&amp;L'!$AX23</f>
        <v>1612.259</v>
      </c>
      <c r="G91" s="24"/>
      <c r="H91" s="33">
        <f>work!AT13</f>
        <v>966</v>
      </c>
      <c r="I91" s="24"/>
      <c r="J91" s="38">
        <f>AVERAGE(H90:H91)</f>
        <v>1154.6644999999999</v>
      </c>
      <c r="K91" s="24"/>
      <c r="L91" s="84">
        <f>(D91/D84-1)*100</f>
        <v>-2.1441834637355939</v>
      </c>
      <c r="M91" s="143"/>
      <c r="N91" s="85">
        <f>(H91/H84-1)*100</f>
        <v>-16.518312390894796</v>
      </c>
      <c r="O91" s="143"/>
      <c r="P91" s="43">
        <f>(H91/H90-1)*100</f>
        <v>-28.089098054162452</v>
      </c>
      <c r="Q91" s="143"/>
      <c r="R91" s="40">
        <f>F91/J91</f>
        <v>1.3963008302411655</v>
      </c>
      <c r="S91" s="24"/>
      <c r="T91" s="40">
        <f>F95/H91</f>
        <v>1.2184741200828157</v>
      </c>
      <c r="U91" s="24"/>
      <c r="V91" s="154">
        <f>qtrSales!J99</f>
        <v>4614</v>
      </c>
      <c r="W91" s="24"/>
      <c r="X91" s="40">
        <f>H91/V91</f>
        <v>0.20936280884265279</v>
      </c>
      <c r="Y91" s="24"/>
      <c r="Z91" s="85">
        <f>(X91/X84-1)*100</f>
        <v>-7.2003520270696679</v>
      </c>
      <c r="AA91" s="143"/>
      <c r="AB91" s="148">
        <f>qtrSales!Z99</f>
        <v>25.182499999999997</v>
      </c>
      <c r="AC91" s="24"/>
      <c r="AD91" s="387">
        <f>H91/AB91</f>
        <v>38.359972202918698</v>
      </c>
      <c r="AE91" s="24"/>
      <c r="AF91" s="85">
        <f>(AD91/AD84-1)*100</f>
        <v>-3.7635901402829686</v>
      </c>
      <c r="AG91" s="143"/>
      <c r="AH91" s="148">
        <f>+'store&amp;sf'!AQ268</f>
        <v>20.146000000000001</v>
      </c>
      <c r="AI91" s="24"/>
      <c r="AJ91" s="387">
        <f>+H91/AH91</f>
        <v>47.949965253648365</v>
      </c>
      <c r="AK91" s="154"/>
      <c r="AL91" s="154"/>
      <c r="AM91" s="569">
        <f>((F91-('yrP&amp;L'!$M$16/4))/J91)</f>
        <v>1.2283407864362335</v>
      </c>
      <c r="AN91" s="573"/>
      <c r="AO91" s="573"/>
      <c r="AP91" s="154"/>
      <c r="AQ91" s="194"/>
      <c r="AR91" s="24"/>
      <c r="AS91" s="194"/>
      <c r="AT91" s="127"/>
      <c r="AU91" s="194"/>
      <c r="AV91" s="127"/>
      <c r="AW91" s="194"/>
      <c r="AX91" s="24"/>
      <c r="AY91" s="24">
        <f>1.73*1.25</f>
        <v>2.1625000000000001</v>
      </c>
    </row>
    <row r="92" spans="1:51" hidden="1" outlineLevel="1">
      <c r="A92" s="24"/>
      <c r="B92" s="24" t="str">
        <f>$B$15</f>
        <v>Year</v>
      </c>
      <c r="C92" s="24"/>
      <c r="D92" s="33">
        <f>SUM(D88:D91)</f>
        <v>7927.4330000000009</v>
      </c>
      <c r="E92" s="24"/>
      <c r="F92" s="33">
        <f>SUM(F88:F91)</f>
        <v>5065.9070000000002</v>
      </c>
      <c r="G92" s="24"/>
      <c r="H92" s="24"/>
      <c r="I92" s="24"/>
      <c r="J92" s="33">
        <f>AVERAGE(J88:J91)</f>
        <v>1178.905</v>
      </c>
      <c r="K92" s="24"/>
      <c r="L92" s="43">
        <f>(D92/D85-1)*100</f>
        <v>-2.7281741466909426</v>
      </c>
      <c r="M92" s="143"/>
      <c r="N92" s="24"/>
      <c r="O92" s="143"/>
      <c r="P92" s="24"/>
      <c r="Q92" s="143"/>
      <c r="R92" s="86">
        <f>F92/J92</f>
        <v>4.297129115577591</v>
      </c>
      <c r="S92" s="83" t="s">
        <v>1200</v>
      </c>
      <c r="T92" s="40"/>
      <c r="U92" s="24"/>
      <c r="V92" s="154"/>
      <c r="W92" s="24"/>
      <c r="X92" s="24"/>
      <c r="Y92" s="24"/>
      <c r="Z92" s="24"/>
      <c r="AA92" s="143"/>
      <c r="AB92" s="148"/>
      <c r="AC92" s="24"/>
      <c r="AD92" s="387"/>
      <c r="AE92" s="24"/>
      <c r="AF92" s="24"/>
      <c r="AG92" s="143"/>
      <c r="AH92" s="148"/>
      <c r="AI92" s="24"/>
      <c r="AJ92" s="387"/>
      <c r="AK92" s="24"/>
      <c r="AL92" s="24"/>
      <c r="AM92" s="571">
        <f>((F92-('yrP&amp;L'!$M$16))/J92)</f>
        <v>3.6391032356296735</v>
      </c>
      <c r="AN92" s="572" t="s">
        <v>1200</v>
      </c>
      <c r="AO92" s="573"/>
      <c r="AP92" s="24"/>
      <c r="AQ92" s="24"/>
      <c r="AR92" s="24"/>
      <c r="AS92" s="24"/>
      <c r="AT92" s="24"/>
      <c r="AU92" s="24"/>
      <c r="AV92" s="24"/>
      <c r="AW92" s="24"/>
      <c r="AX92" s="24"/>
      <c r="AY92" s="24">
        <f>46.6*1.25</f>
        <v>58.25</v>
      </c>
    </row>
    <row r="93" spans="1:51" hidden="1" outlineLevel="1">
      <c r="A93" s="24"/>
      <c r="B93" s="24"/>
      <c r="C93" s="24"/>
      <c r="D93" s="24"/>
      <c r="E93" s="24"/>
      <c r="F93" s="24"/>
      <c r="G93" s="24"/>
      <c r="H93" s="24"/>
      <c r="I93" s="24"/>
      <c r="J93" s="24"/>
      <c r="K93" s="24"/>
      <c r="L93" s="24"/>
      <c r="M93" s="143"/>
      <c r="N93" s="24"/>
      <c r="O93" s="143"/>
      <c r="P93" s="24"/>
      <c r="Q93" s="143"/>
      <c r="R93" s="24"/>
      <c r="S93" s="24"/>
      <c r="T93" s="40"/>
      <c r="U93" s="24"/>
      <c r="V93" s="154"/>
      <c r="W93" s="24"/>
      <c r="X93" s="24"/>
      <c r="Y93" s="24"/>
      <c r="Z93" s="24"/>
      <c r="AA93" s="143"/>
      <c r="AB93" s="148"/>
      <c r="AC93" s="24"/>
      <c r="AD93" s="24"/>
      <c r="AE93" s="24"/>
      <c r="AF93" s="24"/>
      <c r="AG93" s="143"/>
      <c r="AH93" s="148"/>
      <c r="AI93" s="24"/>
      <c r="AJ93" s="24"/>
      <c r="AK93" s="24"/>
      <c r="AL93" s="24"/>
      <c r="AM93" s="24"/>
      <c r="AN93" s="24"/>
      <c r="AO93" s="24"/>
      <c r="AP93" s="310" t="s">
        <v>180</v>
      </c>
      <c r="AQ93" s="67"/>
      <c r="AR93" s="67"/>
      <c r="AS93" s="144"/>
      <c r="AT93" s="67"/>
      <c r="AU93" s="145"/>
      <c r="AV93" s="145" t="s">
        <v>360</v>
      </c>
      <c r="AW93" s="145"/>
      <c r="AX93" s="145" t="s">
        <v>1045</v>
      </c>
      <c r="AY93" s="24"/>
    </row>
    <row r="94" spans="1:51" hidden="1" outlineLevel="1" collapsed="1">
      <c r="A94" s="24"/>
      <c r="B94" s="75">
        <f>B87+1</f>
        <v>2002</v>
      </c>
      <c r="C94" s="24"/>
      <c r="D94" s="24"/>
      <c r="E94" s="24"/>
      <c r="F94" s="24"/>
      <c r="G94" s="24"/>
      <c r="H94" s="24"/>
      <c r="I94" s="24"/>
      <c r="J94" s="24"/>
      <c r="K94" s="24"/>
      <c r="L94" s="24"/>
      <c r="M94" s="143"/>
      <c r="N94" s="24"/>
      <c r="O94" s="143"/>
      <c r="P94" s="24"/>
      <c r="Q94" s="143"/>
      <c r="R94" s="24"/>
      <c r="S94" s="24"/>
      <c r="T94" s="40"/>
      <c r="U94" s="24"/>
      <c r="V94" s="154"/>
      <c r="W94" s="24"/>
      <c r="X94" s="24"/>
      <c r="Y94" s="24"/>
      <c r="Z94" s="24"/>
      <c r="AA94" s="143"/>
      <c r="AB94" s="148"/>
      <c r="AC94" s="24"/>
      <c r="AD94" s="24"/>
      <c r="AE94" s="24"/>
      <c r="AF94" s="24"/>
      <c r="AG94" s="143"/>
      <c r="AH94" s="24"/>
      <c r="AI94" s="24"/>
      <c r="AJ94" s="24"/>
      <c r="AK94" s="24"/>
      <c r="AL94" s="24"/>
      <c r="AM94" s="24"/>
      <c r="AN94" s="24"/>
      <c r="AO94" s="24"/>
      <c r="AP94" s="519" t="s">
        <v>1187</v>
      </c>
      <c r="AQ94" s="24"/>
      <c r="AR94" s="519" t="s">
        <v>1042</v>
      </c>
      <c r="AS94" s="24"/>
      <c r="AT94" s="519" t="s">
        <v>1043</v>
      </c>
      <c r="AU94" s="24"/>
      <c r="AV94" s="144" t="s">
        <v>1044</v>
      </c>
      <c r="AW94" s="143"/>
      <c r="AX94" s="144" t="s">
        <v>1044</v>
      </c>
      <c r="AY94" s="24"/>
    </row>
    <row r="95" spans="1:51" hidden="1" outlineLevel="1">
      <c r="A95" s="24" t="str">
        <f>$A$46</f>
        <v>1Q</v>
      </c>
      <c r="B95" s="24" t="str">
        <f>$B$11</f>
        <v>Apr</v>
      </c>
      <c r="C95" s="143"/>
      <c r="D95" s="33">
        <f>'qtrP&amp;L'!$BB10</f>
        <v>1798.7070000000001</v>
      </c>
      <c r="E95" s="24"/>
      <c r="F95" s="33">
        <f>'qtrP&amp;L'!$BB20</f>
        <v>1177.046</v>
      </c>
      <c r="G95" s="24"/>
      <c r="H95" s="33">
        <f>+work!AX10</f>
        <v>919</v>
      </c>
      <c r="I95" s="24"/>
      <c r="J95" s="33">
        <f>AVERAGE(H95,H91)</f>
        <v>942.5</v>
      </c>
      <c r="K95" s="24"/>
      <c r="L95" s="43">
        <f>(D95/D88-1)*100</f>
        <v>8.234698752841707</v>
      </c>
      <c r="M95" s="143" t="s">
        <v>1084</v>
      </c>
      <c r="N95" s="43">
        <f>(H95/H88-1)*100</f>
        <v>-20.580050814940286</v>
      </c>
      <c r="O95" s="143" t="s">
        <v>1084</v>
      </c>
      <c r="P95" s="43">
        <f>(H95/H91-1)*100</f>
        <v>-4.8654244306418182</v>
      </c>
      <c r="Q95" s="143" t="s">
        <v>1084</v>
      </c>
      <c r="R95" s="40">
        <f>F95/J95</f>
        <v>1.2488551724137931</v>
      </c>
      <c r="S95" s="24" t="s">
        <v>1200</v>
      </c>
      <c r="T95" s="40">
        <f>F96/H95</f>
        <v>1.3486920565832428</v>
      </c>
      <c r="U95" s="24"/>
      <c r="V95" s="154">
        <f>qtrSales!J103</f>
        <v>4602</v>
      </c>
      <c r="W95" s="24"/>
      <c r="X95" s="35">
        <f>H95/V95</f>
        <v>0.19969578444154715</v>
      </c>
      <c r="Y95" s="24"/>
      <c r="Z95" s="85">
        <f>(X95/X88-1)*100</f>
        <v>-11.036541058456596</v>
      </c>
      <c r="AA95" s="143" t="s">
        <v>1084</v>
      </c>
      <c r="AB95" s="148">
        <f>qtrSales!Z103</f>
        <v>24.931249999999999</v>
      </c>
      <c r="AC95" s="24"/>
      <c r="AD95" s="165">
        <f>H95/AB95</f>
        <v>36.861368764101279</v>
      </c>
      <c r="AE95" s="24"/>
      <c r="AF95" s="85">
        <f>(AD95/AD88-1)*100</f>
        <v>-7.6944676831853247</v>
      </c>
      <c r="AG95" s="143" t="s">
        <v>1084</v>
      </c>
      <c r="AH95" s="148">
        <f>+'store&amp;sf'!AQ271</f>
        <v>19.945</v>
      </c>
      <c r="AI95" s="24"/>
      <c r="AJ95" s="165">
        <f>+H95/AH95</f>
        <v>46.0767109551266</v>
      </c>
      <c r="AK95" s="153"/>
      <c r="AL95" s="153"/>
      <c r="AM95" s="569">
        <f>((F95-('yrP&amp;L'!$N$16/4))/J95)</f>
        <v>1.0427013262599472</v>
      </c>
      <c r="AN95" s="570" t="s">
        <v>1200</v>
      </c>
      <c r="AO95" s="570"/>
      <c r="AP95" s="390">
        <f>+H95-10</f>
        <v>909</v>
      </c>
      <c r="AQ95" s="24"/>
      <c r="AR95" s="196">
        <f>+AH95-'store&amp;sf'!AB271</f>
        <v>16.167999999999999</v>
      </c>
      <c r="AS95" s="24"/>
      <c r="AT95" s="521">
        <f>+AP95/AR95</f>
        <v>56.22216724393865</v>
      </c>
      <c r="AU95" s="24"/>
      <c r="AV95" s="520"/>
      <c r="AW95" s="194"/>
      <c r="AX95" s="520"/>
      <c r="AY95" s="24"/>
    </row>
    <row r="96" spans="1:51" hidden="1" outlineLevel="1">
      <c r="A96" s="24" t="str">
        <f>$A$47</f>
        <v>2Q</v>
      </c>
      <c r="B96" s="24" t="str">
        <f>$B$12</f>
        <v>Jul</v>
      </c>
      <c r="C96" s="24"/>
      <c r="D96" s="34">
        <f>'qtrP&amp;L'!BB11</f>
        <v>1912.4159999999999</v>
      </c>
      <c r="E96" s="24"/>
      <c r="F96" s="34">
        <f>'qtrP&amp;L'!$BB21</f>
        <v>1239.4480000000001</v>
      </c>
      <c r="G96" s="24"/>
      <c r="H96" s="94">
        <f>+work!AX11</f>
        <v>1167.038</v>
      </c>
      <c r="I96" s="24"/>
      <c r="J96" s="34">
        <f>AVERAGE(H95:H96)</f>
        <v>1043.019</v>
      </c>
      <c r="K96" s="24"/>
      <c r="L96" s="43">
        <f>(D96/D89-1)*100</f>
        <v>8.2114757298583427</v>
      </c>
      <c r="M96" s="143"/>
      <c r="N96" s="43">
        <f>(H96/H89-1)*100</f>
        <v>1.1665414045481048</v>
      </c>
      <c r="O96" s="143"/>
      <c r="P96" s="43">
        <f>(H96/H95-1)*100</f>
        <v>26.989989118607195</v>
      </c>
      <c r="Q96" s="143"/>
      <c r="R96" s="40">
        <f>F96/J96</f>
        <v>1.1883273459064505</v>
      </c>
      <c r="S96" s="24"/>
      <c r="T96" s="40">
        <f>F97/H96</f>
        <v>1.0311652234117485</v>
      </c>
      <c r="U96" s="24"/>
      <c r="V96" s="154">
        <f>qtrSales!J104</f>
        <v>4564</v>
      </c>
      <c r="W96" s="24"/>
      <c r="X96" s="40">
        <f>H96/V96</f>
        <v>0.25570508326029801</v>
      </c>
      <c r="Y96" s="24"/>
      <c r="Z96" s="85">
        <f>(X96/X89-1)*100</f>
        <v>15.663236864358465</v>
      </c>
      <c r="AA96" s="143"/>
      <c r="AB96" s="148">
        <f>qtrSales!Z104</f>
        <v>24.864999999999995</v>
      </c>
      <c r="AC96" s="24"/>
      <c r="AD96" s="387">
        <f>H96/AB96</f>
        <v>46.934968831691144</v>
      </c>
      <c r="AE96" s="24"/>
      <c r="AF96" s="85">
        <f>(AD96/AD89-1)*100</f>
        <v>18.22428219837753</v>
      </c>
      <c r="AG96" s="143"/>
      <c r="AH96" s="148">
        <f>+'store&amp;sf'!AQ272</f>
        <v>19.891999999999996</v>
      </c>
      <c r="AI96" s="24"/>
      <c r="AJ96" s="387">
        <f>+H96/AH96</f>
        <v>58.668711039613925</v>
      </c>
      <c r="AK96" s="154"/>
      <c r="AL96" s="154"/>
      <c r="AM96" s="569">
        <f>((F96-('yrP&amp;L'!$N$16/4))/J96)</f>
        <v>1.0020411900454356</v>
      </c>
      <c r="AN96" s="570"/>
      <c r="AO96" s="570"/>
      <c r="AP96" s="389">
        <f>+H96-10</f>
        <v>1157.038</v>
      </c>
      <c r="AQ96" s="194"/>
      <c r="AR96" s="24">
        <f>+AH96-'store&amp;sf'!AB272</f>
        <v>16.154999999999994</v>
      </c>
      <c r="AS96" s="194"/>
      <c r="AT96" s="266">
        <f>+AP96/AR96</f>
        <v>71.621046115753657</v>
      </c>
      <c r="AU96" s="194"/>
      <c r="AV96" s="127"/>
      <c r="AW96" s="194"/>
      <c r="AX96" s="24"/>
      <c r="AY96" s="24"/>
    </row>
    <row r="97" spans="1:51" hidden="1" outlineLevel="1">
      <c r="A97" s="24" t="str">
        <f>$A$48</f>
        <v>3Q</v>
      </c>
      <c r="B97" s="24" t="str">
        <f>$B$13</f>
        <v>Oct</v>
      </c>
      <c r="C97" s="24"/>
      <c r="D97" s="34">
        <f>'qtrP&amp;L'!BB12</f>
        <v>1767.5650000000001</v>
      </c>
      <c r="E97" s="24"/>
      <c r="F97" s="34">
        <f>'qtrP&amp;L'!$BB22</f>
        <v>1203.4090000000001</v>
      </c>
      <c r="G97" s="24"/>
      <c r="H97" s="94">
        <f>+work!AX12</f>
        <v>1410.174</v>
      </c>
      <c r="I97" s="24"/>
      <c r="J97" s="34">
        <f>AVERAGE(H96:H97)</f>
        <v>1288.606</v>
      </c>
      <c r="K97" s="24"/>
      <c r="L97" s="43">
        <f>(D97/D90-1)*100</f>
        <v>6.5224924442623067</v>
      </c>
      <c r="M97" s="143"/>
      <c r="N97" s="43">
        <f>(H97/H90-1)*100</f>
        <v>4.9760706424115009</v>
      </c>
      <c r="O97" s="143"/>
      <c r="P97" s="43">
        <f>(H97/H96-1)*100</f>
        <v>20.833597534956017</v>
      </c>
      <c r="Q97" s="143"/>
      <c r="R97" s="40">
        <f>F97/J97</f>
        <v>0.93388436806906072</v>
      </c>
      <c r="S97" s="24"/>
      <c r="T97" s="40">
        <f>F98/H97</f>
        <v>1.2276726134505387</v>
      </c>
      <c r="U97" s="24"/>
      <c r="V97" s="154">
        <f>qtrSales!J105</f>
        <v>4594</v>
      </c>
      <c r="W97" s="24"/>
      <c r="X97" s="40">
        <f>H97/V97</f>
        <v>0.30695994775794516</v>
      </c>
      <c r="Y97" s="24"/>
      <c r="Z97" s="85">
        <f>(X97/X90-1)*100</f>
        <v>6.3242613624598931</v>
      </c>
      <c r="AA97" s="143"/>
      <c r="AB97" s="148">
        <f>qtrSales!Z105</f>
        <v>25.181249999999999</v>
      </c>
      <c r="AC97" s="24"/>
      <c r="AD97" s="387">
        <f>H97/AB97</f>
        <v>56.0009530900968</v>
      </c>
      <c r="AE97" s="24"/>
      <c r="AF97" s="85">
        <f>(AD97/AD90-1)*100</f>
        <v>6.1016517423748029</v>
      </c>
      <c r="AG97" s="143"/>
      <c r="AH97" s="148">
        <f>+'store&amp;sf'!AQ273</f>
        <v>20.145</v>
      </c>
      <c r="AI97" s="24"/>
      <c r="AJ97" s="387">
        <f>+H97/AH97</f>
        <v>70.001191362621</v>
      </c>
      <c r="AK97" s="154"/>
      <c r="AL97" s="154"/>
      <c r="AM97" s="569">
        <f>((F97-('yrP&amp;L'!$N$16/4))/J97)</f>
        <v>0.78310127377957273</v>
      </c>
      <c r="AN97" s="570"/>
      <c r="AO97" s="570"/>
      <c r="AP97" s="389">
        <f>+H97-10</f>
        <v>1400.174</v>
      </c>
      <c r="AQ97" s="194"/>
      <c r="AR97" s="24">
        <f>+AH97-'store&amp;sf'!AB273</f>
        <v>16.417999999999999</v>
      </c>
      <c r="AS97" s="194"/>
      <c r="AT97" s="266">
        <f>+AP97/AR97</f>
        <v>85.282860275307598</v>
      </c>
      <c r="AU97" s="194"/>
      <c r="AV97" s="127"/>
      <c r="AW97" s="194"/>
      <c r="AX97" s="24"/>
      <c r="AY97" s="24"/>
    </row>
    <row r="98" spans="1:51" hidden="1" outlineLevel="1">
      <c r="A98" s="24" t="str">
        <f>$A$49</f>
        <v>4Q</v>
      </c>
      <c r="B98" s="24" t="str">
        <f>$B$14</f>
        <v>Jan</v>
      </c>
      <c r="C98" s="24"/>
      <c r="D98" s="38">
        <f>'qtrP&amp;L'!BB13</f>
        <v>2965.9659999999999</v>
      </c>
      <c r="E98" s="24"/>
      <c r="F98" s="38">
        <f>'qtrP&amp;L'!$BB23</f>
        <v>1731.232</v>
      </c>
      <c r="G98" s="24"/>
      <c r="H98" s="94">
        <f>+work!AX13</f>
        <v>966</v>
      </c>
      <c r="I98" s="24"/>
      <c r="J98" s="38">
        <f>AVERAGE(H97:H98)</f>
        <v>1188.087</v>
      </c>
      <c r="K98" s="24"/>
      <c r="L98" s="84">
        <f>(D98/D91-1)*100</f>
        <v>4.474232505384923</v>
      </c>
      <c r="M98" s="143"/>
      <c r="N98" s="85">
        <f>(H98/H91-1)*100</f>
        <v>0</v>
      </c>
      <c r="O98" s="143"/>
      <c r="P98" s="43">
        <f>(H98/H97-1)*100</f>
        <v>-31.497815163235177</v>
      </c>
      <c r="Q98" s="143"/>
      <c r="R98" s="40">
        <f>F98/J98</f>
        <v>1.457159282106445</v>
      </c>
      <c r="S98" s="24"/>
      <c r="T98" s="40">
        <f>F102/H98</f>
        <v>1.2747412008281573</v>
      </c>
      <c r="U98" s="24"/>
      <c r="V98" s="154">
        <f>qtrSales!J106</f>
        <v>4036</v>
      </c>
      <c r="W98" s="24"/>
      <c r="X98" s="40">
        <f>H98/V98</f>
        <v>0.23934588701684836</v>
      </c>
      <c r="Y98" s="24"/>
      <c r="Z98" s="85">
        <f>(X98/X91-1)*100</f>
        <v>14.321110009910809</v>
      </c>
      <c r="AA98" s="143"/>
      <c r="AB98" s="148">
        <f>qtrSales!Z106</f>
        <v>20.371249999999996</v>
      </c>
      <c r="AC98" s="24"/>
      <c r="AD98" s="387">
        <f>H98/AB98</f>
        <v>47.41977050990981</v>
      </c>
      <c r="AE98" s="24"/>
      <c r="AF98" s="85">
        <f>(AD98/AD91-1)*100</f>
        <v>23.617843774927906</v>
      </c>
      <c r="AG98" s="143"/>
      <c r="AH98" s="148">
        <f>+'store&amp;sf'!AQ274</f>
        <v>16.297000000000001</v>
      </c>
      <c r="AI98" s="24"/>
      <c r="AJ98" s="387">
        <f>+H98/AH98</f>
        <v>59.274713137387245</v>
      </c>
      <c r="AK98" s="154"/>
      <c r="AL98" s="154"/>
      <c r="AM98" s="569">
        <f>((F98-('yrP&amp;L'!$N$16/4))/J98)</f>
        <v>1.2936190699839323</v>
      </c>
      <c r="AN98" s="573"/>
      <c r="AO98" s="573"/>
      <c r="AP98" s="389">
        <f>+H98-10</f>
        <v>956</v>
      </c>
      <c r="AQ98" s="194"/>
      <c r="AR98" s="24">
        <f>+AH98-'store&amp;sf'!AB274</f>
        <v>16.297000000000001</v>
      </c>
      <c r="AS98" s="194"/>
      <c r="AT98" s="266">
        <f>+AP98/AR98</f>
        <v>58.661103270540586</v>
      </c>
      <c r="AU98" s="195"/>
      <c r="AV98" s="127"/>
      <c r="AW98" s="195"/>
      <c r="AX98" s="24"/>
      <c r="AY98" s="24"/>
    </row>
    <row r="99" spans="1:51" hidden="1" outlineLevel="1">
      <c r="A99" s="24"/>
      <c r="B99" s="24" t="str">
        <f>$B$15</f>
        <v>Year</v>
      </c>
      <c r="C99" s="24"/>
      <c r="D99" s="33">
        <f>SUM(D95:D98)</f>
        <v>8444.6540000000005</v>
      </c>
      <c r="E99" s="24"/>
      <c r="F99" s="33">
        <f>SUM(F95:F98)</f>
        <v>5351.1350000000002</v>
      </c>
      <c r="G99" s="24"/>
      <c r="H99" s="24"/>
      <c r="I99" s="24"/>
      <c r="J99" s="33">
        <f>AVERAGE(J95:J98)</f>
        <v>1115.5529999999999</v>
      </c>
      <c r="K99" s="24"/>
      <c r="L99" s="43">
        <f>(D99/D92-1)*100</f>
        <v>6.5244449243531788</v>
      </c>
      <c r="M99" s="143"/>
      <c r="N99" s="24"/>
      <c r="O99" s="143"/>
      <c r="P99" s="24"/>
      <c r="Q99" s="143"/>
      <c r="R99" s="86">
        <f>F99/J99</f>
        <v>4.796845152135309</v>
      </c>
      <c r="S99" s="83" t="s">
        <v>1200</v>
      </c>
      <c r="T99" s="40"/>
      <c r="U99" s="24"/>
      <c r="V99" s="24"/>
      <c r="W99" s="24"/>
      <c r="X99" s="24"/>
      <c r="Y99" s="24"/>
      <c r="Z99" s="24"/>
      <c r="AA99" s="143"/>
      <c r="AB99" s="24"/>
      <c r="AC99" s="24"/>
      <c r="AD99" s="387"/>
      <c r="AE99" s="24"/>
      <c r="AF99" s="24"/>
      <c r="AG99" s="143"/>
      <c r="AH99" s="24"/>
      <c r="AI99" s="24"/>
      <c r="AJ99" s="387"/>
      <c r="AK99" s="24"/>
      <c r="AL99" s="24"/>
      <c r="AM99" s="571">
        <f>((F99-('yrP&amp;L'!$N$16))/J99)</f>
        <v>4.1001503290296393</v>
      </c>
      <c r="AN99" s="572" t="s">
        <v>1200</v>
      </c>
      <c r="AO99" s="573"/>
      <c r="AP99" s="24"/>
      <c r="AQ99" s="24"/>
      <c r="AR99" s="24"/>
      <c r="AS99" s="24"/>
      <c r="AT99" s="24"/>
      <c r="AU99" s="24"/>
      <c r="AV99" s="24"/>
      <c r="AW99" s="24"/>
      <c r="AX99" s="24"/>
      <c r="AY99" s="24"/>
    </row>
    <row r="100" spans="1:51" hidden="1" outlineLevel="1">
      <c r="A100" s="24"/>
      <c r="B100" s="24"/>
      <c r="C100" s="24"/>
      <c r="D100" s="24"/>
      <c r="E100" s="24"/>
      <c r="F100" s="24"/>
      <c r="G100" s="24"/>
      <c r="H100" s="24"/>
      <c r="I100" s="24"/>
      <c r="J100" s="24"/>
      <c r="K100" s="24"/>
      <c r="L100" s="24"/>
      <c r="M100" s="143"/>
      <c r="N100" s="24"/>
      <c r="O100" s="143"/>
      <c r="P100" s="24"/>
      <c r="Q100" s="143"/>
      <c r="R100" s="24"/>
      <c r="S100" s="24"/>
      <c r="T100" s="40"/>
      <c r="U100" s="24"/>
      <c r="V100" s="154"/>
      <c r="W100" s="24"/>
      <c r="X100" s="24"/>
      <c r="Y100" s="24"/>
      <c r="Z100" s="24"/>
      <c r="AA100" s="143"/>
      <c r="AB100" s="148"/>
      <c r="AC100" s="24"/>
      <c r="AD100" s="24"/>
      <c r="AE100" s="24"/>
      <c r="AF100" s="24"/>
      <c r="AG100" s="143"/>
      <c r="AH100" s="148"/>
      <c r="AI100" s="24"/>
      <c r="AJ100" s="24"/>
      <c r="AK100" s="24"/>
      <c r="AL100" s="24"/>
      <c r="AM100" s="24"/>
      <c r="AN100" s="24"/>
      <c r="AO100" s="24"/>
      <c r="AP100" s="24"/>
      <c r="AQ100" s="24"/>
      <c r="AR100" s="24"/>
      <c r="AS100" s="24"/>
      <c r="AT100" s="24"/>
      <c r="AU100" s="24"/>
      <c r="AV100" s="24"/>
      <c r="AW100" s="24"/>
      <c r="AX100" s="24"/>
      <c r="AY100" s="24"/>
    </row>
    <row r="101" spans="1:51" hidden="1" outlineLevel="1" collapsed="1">
      <c r="A101" s="24"/>
      <c r="B101" s="75">
        <f>B94+1</f>
        <v>2003</v>
      </c>
      <c r="C101" s="24"/>
      <c r="D101" s="24"/>
      <c r="E101" s="24"/>
      <c r="F101" s="24"/>
      <c r="G101" s="24"/>
      <c r="H101" s="24"/>
      <c r="I101" s="24"/>
      <c r="J101" s="24"/>
      <c r="K101" s="24"/>
      <c r="L101" s="24"/>
      <c r="M101" s="143"/>
      <c r="N101" s="24"/>
      <c r="O101" s="143"/>
      <c r="P101" s="24"/>
      <c r="Q101" s="143"/>
      <c r="R101" s="24"/>
      <c r="S101" s="24"/>
      <c r="T101" s="40"/>
      <c r="U101" s="24"/>
      <c r="V101" s="154"/>
      <c r="W101" s="24"/>
      <c r="X101" s="24"/>
      <c r="Y101" s="24"/>
      <c r="Z101" s="24"/>
      <c r="AA101" s="143"/>
      <c r="AB101" s="148"/>
      <c r="AC101" s="24"/>
      <c r="AD101" s="24"/>
      <c r="AE101" s="24"/>
      <c r="AF101" s="24"/>
      <c r="AG101" s="143"/>
      <c r="AH101" s="24"/>
      <c r="AI101" s="24"/>
      <c r="AJ101" s="24"/>
      <c r="AK101" s="24"/>
      <c r="AL101" s="24"/>
      <c r="AM101" s="24"/>
      <c r="AN101" s="24"/>
      <c r="AO101" s="24"/>
      <c r="AP101" s="24"/>
      <c r="AQ101" s="24"/>
      <c r="AR101" s="24"/>
      <c r="AS101" s="24"/>
      <c r="AT101" s="24"/>
      <c r="AU101" s="24"/>
      <c r="AV101" s="24"/>
      <c r="AW101" s="24"/>
      <c r="AX101" s="24"/>
      <c r="AY101" s="24"/>
    </row>
    <row r="102" spans="1:51" hidden="1" outlineLevel="1">
      <c r="A102" s="24" t="str">
        <f>$A$46</f>
        <v>1Q</v>
      </c>
      <c r="B102" s="24" t="str">
        <f>$B$11</f>
        <v>Apr</v>
      </c>
      <c r="C102" s="143"/>
      <c r="D102" s="33">
        <f>+'qtrP&amp;L'!BF10</f>
        <v>1842.297</v>
      </c>
      <c r="E102" s="24"/>
      <c r="F102" s="33">
        <f>+'qtrP&amp;L'!BF20</f>
        <v>1231.4000000000001</v>
      </c>
      <c r="G102" s="143"/>
      <c r="H102" s="33">
        <f>+work!BB10</f>
        <v>955.18700000000001</v>
      </c>
      <c r="I102" s="24"/>
      <c r="J102" s="33">
        <f>AVERAGE(H102,H98)</f>
        <v>960.59349999999995</v>
      </c>
      <c r="K102" s="24"/>
      <c r="L102" s="43">
        <f>(D102/D95-1)*100</f>
        <v>2.4234074810405515</v>
      </c>
      <c r="M102" s="143" t="s">
        <v>1084</v>
      </c>
      <c r="N102" s="43">
        <f>(H102/H95-1)*100</f>
        <v>3.9376496191512622</v>
      </c>
      <c r="O102" s="143" t="s">
        <v>1084</v>
      </c>
      <c r="P102" s="43">
        <f>(H102/H98-1)*100</f>
        <v>-1.1193581780538309</v>
      </c>
      <c r="Q102" s="143" t="s">
        <v>1084</v>
      </c>
      <c r="R102" s="40">
        <f>F102/J102</f>
        <v>1.2819158155869264</v>
      </c>
      <c r="S102" s="24" t="s">
        <v>1200</v>
      </c>
      <c r="T102" s="40">
        <f>F103/H102</f>
        <v>1.3727259688417033</v>
      </c>
      <c r="U102" s="24"/>
      <c r="V102" s="154">
        <f>qtrSales!J110</f>
        <v>3981</v>
      </c>
      <c r="W102" s="24"/>
      <c r="X102" s="35">
        <f>H102/V102</f>
        <v>0.2399364481286109</v>
      </c>
      <c r="Y102" s="24"/>
      <c r="Z102" s="85">
        <f>(X102/X95-1)*100</f>
        <v>20.15098305635119</v>
      </c>
      <c r="AA102" s="143" t="s">
        <v>1084</v>
      </c>
      <c r="AB102" s="148">
        <f>qtrSales!Z110</f>
        <v>20.183749999999996</v>
      </c>
      <c r="AC102" s="24"/>
      <c r="AD102" s="165">
        <f>H102/AB102</f>
        <v>47.324555645011465</v>
      </c>
      <c r="AE102" s="24"/>
      <c r="AF102" s="85">
        <f>(AD102/AD95-1)*100</f>
        <v>28.385236988541031</v>
      </c>
      <c r="AG102" s="143" t="s">
        <v>1084</v>
      </c>
      <c r="AH102" s="148">
        <f>+'store&amp;sf'!AQ277</f>
        <v>16.147000000000002</v>
      </c>
      <c r="AI102" s="24"/>
      <c r="AJ102" s="165">
        <f>+H102/AH102</f>
        <v>59.155694556264315</v>
      </c>
      <c r="AK102" s="153"/>
      <c r="AL102" s="153"/>
      <c r="AM102" s="569">
        <f>((F102-('yrP&amp;L'!$O$16/4))/J102)</f>
        <v>1.0705881311918102</v>
      </c>
      <c r="AN102" s="570" t="s">
        <v>1200</v>
      </c>
      <c r="AO102" s="153"/>
      <c r="AP102" s="165">
        <f>+H102</f>
        <v>955.18700000000001</v>
      </c>
      <c r="AQ102" s="24"/>
      <c r="AR102" s="148">
        <f>+AH102</f>
        <v>16.147000000000002</v>
      </c>
      <c r="AS102" s="24"/>
      <c r="AT102" s="521">
        <f>+AP102/AR102</f>
        <v>59.155694556264315</v>
      </c>
      <c r="AU102" s="24"/>
      <c r="AV102" s="423">
        <f>+AT102/AT95-1</f>
        <v>5.2177414285678125E-2</v>
      </c>
      <c r="AW102" s="24"/>
      <c r="AX102" s="522">
        <v>-0.06</v>
      </c>
      <c r="AY102" s="24"/>
    </row>
    <row r="103" spans="1:51" hidden="1" outlineLevel="1">
      <c r="A103" s="24" t="str">
        <f>$A$47</f>
        <v>2Q</v>
      </c>
      <c r="B103" s="24" t="str">
        <f>$B$12</f>
        <v>Jul</v>
      </c>
      <c r="C103" s="24"/>
      <c r="D103" s="34">
        <f>+'qtrP&amp;L'!BF11</f>
        <v>2014.106</v>
      </c>
      <c r="E103" s="24"/>
      <c r="F103" s="34">
        <f>+'qtrP&amp;L'!BF21</f>
        <v>1311.21</v>
      </c>
      <c r="G103" s="143"/>
      <c r="H103" s="94">
        <f>+work!BB11</f>
        <v>1074.8610000000001</v>
      </c>
      <c r="I103" s="24"/>
      <c r="J103" s="34">
        <f>AVERAGE(H102:H103)</f>
        <v>1015.0240000000001</v>
      </c>
      <c r="K103" s="24"/>
      <c r="L103" s="43">
        <f>(D103/D96-1)*100</f>
        <v>5.3173577296989905</v>
      </c>
      <c r="M103" s="143"/>
      <c r="N103" s="43">
        <f>(H103/H96-1)*100</f>
        <v>-7.8983717753834837</v>
      </c>
      <c r="O103" s="143"/>
      <c r="P103" s="43">
        <f>(H103/H102-1)*100</f>
        <v>12.528855606284427</v>
      </c>
      <c r="Q103" s="143"/>
      <c r="R103" s="40">
        <f>F103/J103</f>
        <v>1.2918019672441241</v>
      </c>
      <c r="S103" s="24"/>
      <c r="T103" s="40">
        <f>F104/H103</f>
        <v>1.1615315840838953</v>
      </c>
      <c r="U103" s="24"/>
      <c r="V103" s="154">
        <f>qtrSales!J111</f>
        <v>3970</v>
      </c>
      <c r="W103" s="24"/>
      <c r="X103" s="40">
        <f>H103/V103</f>
        <v>0.27074584382871542</v>
      </c>
      <c r="Y103" s="24"/>
      <c r="Z103" s="85">
        <f>(X103/X96-1)*100</f>
        <v>5.8820733544457937</v>
      </c>
      <c r="AA103" s="143"/>
      <c r="AB103" s="148">
        <f>qtrSales!Z111</f>
        <v>20.031249999999996</v>
      </c>
      <c r="AC103" s="24"/>
      <c r="AD103" s="387">
        <f>H103/AB103</f>
        <v>53.659207488299543</v>
      </c>
      <c r="AE103" s="24"/>
      <c r="AF103" s="85">
        <f>(AD103/AD96-1)*100</f>
        <v>14.326713799942059</v>
      </c>
      <c r="AG103" s="143"/>
      <c r="AH103" s="148">
        <f>+'store&amp;sf'!AQ278</f>
        <v>16.024999999999999</v>
      </c>
      <c r="AI103" s="24"/>
      <c r="AJ103" s="387">
        <f>+H103/AH103</f>
        <v>67.074009360374433</v>
      </c>
      <c r="AK103" s="154"/>
      <c r="AL103" s="154"/>
      <c r="AM103" s="569">
        <f>((F103-('yrP&amp;L'!$O$16/4))/J103)</f>
        <v>1.091806696196346</v>
      </c>
      <c r="AN103" s="570"/>
      <c r="AO103" s="154"/>
      <c r="AP103" s="266">
        <f>+H103</f>
        <v>1074.8610000000001</v>
      </c>
      <c r="AQ103" s="194"/>
      <c r="AR103" s="148">
        <f>+AH103</f>
        <v>16.024999999999999</v>
      </c>
      <c r="AS103" s="194"/>
      <c r="AT103" s="266">
        <f>+AP103/AR103</f>
        <v>67.074009360374433</v>
      </c>
      <c r="AU103" s="194"/>
      <c r="AV103" s="423">
        <f>+AT103/AT96-1</f>
        <v>-6.3487438427390797E-2</v>
      </c>
      <c r="AW103" s="194"/>
      <c r="AX103" s="522"/>
      <c r="AY103" s="24"/>
    </row>
    <row r="104" spans="1:51" hidden="1" outlineLevel="1">
      <c r="A104" s="24" t="str">
        <f>$A$48</f>
        <v>3Q</v>
      </c>
      <c r="B104" s="24" t="str">
        <f>$B$13</f>
        <v>Oct</v>
      </c>
      <c r="C104" s="24"/>
      <c r="D104" s="34">
        <f>+'qtrP&amp;L'!BF12</f>
        <v>1846.77</v>
      </c>
      <c r="E104" s="24"/>
      <c r="F104" s="34">
        <f>+'qtrP&amp;L'!BF22</f>
        <v>1248.4849999999999</v>
      </c>
      <c r="G104" s="24"/>
      <c r="H104" s="94">
        <f>+work!BB12</f>
        <v>1387.5989999999999</v>
      </c>
      <c r="I104" s="24"/>
      <c r="J104" s="34">
        <f>AVERAGE(H103:H104)</f>
        <v>1231.23</v>
      </c>
      <c r="K104" s="24"/>
      <c r="L104" s="43">
        <f>(D104/D97-1)*100</f>
        <v>4.481023328703615</v>
      </c>
      <c r="M104" s="143"/>
      <c r="N104" s="43">
        <f>(H104/H97-1)*100</f>
        <v>-1.6008662760765735</v>
      </c>
      <c r="O104" s="143"/>
      <c r="P104" s="43">
        <f>(H104/H103-1)*100</f>
        <v>29.095669114425004</v>
      </c>
      <c r="Q104" s="143"/>
      <c r="R104" s="40">
        <f>F104/J104</f>
        <v>1.0140144408437091</v>
      </c>
      <c r="S104" s="24"/>
      <c r="T104" s="40">
        <f>F105/H104</f>
        <v>1.355595528679395</v>
      </c>
      <c r="U104" s="24"/>
      <c r="V104" s="154">
        <f>qtrSales!J112</f>
        <v>3971</v>
      </c>
      <c r="W104" s="24"/>
      <c r="X104" s="40">
        <f>H104/V104</f>
        <v>0.34943314026693528</v>
      </c>
      <c r="Y104" s="24"/>
      <c r="Z104" s="85">
        <f>(X104/X97-1)*100</f>
        <v>13.836721311433941</v>
      </c>
      <c r="AA104" s="143"/>
      <c r="AB104" s="148">
        <f>qtrSales!Z112</f>
        <v>20.251249999999999</v>
      </c>
      <c r="AC104" s="24"/>
      <c r="AD104" s="387">
        <f>H104/AB104</f>
        <v>68.519177828529109</v>
      </c>
      <c r="AE104" s="24"/>
      <c r="AF104" s="85">
        <f>(AD104/AD97-1)*100</f>
        <v>22.353592300996095</v>
      </c>
      <c r="AG104" s="143"/>
      <c r="AH104" s="148">
        <f>+'store&amp;sf'!AQ279</f>
        <v>16.201000000000001</v>
      </c>
      <c r="AI104" s="24"/>
      <c r="AJ104" s="387">
        <f>+H104/AH104</f>
        <v>85.648972285661372</v>
      </c>
      <c r="AK104" s="154"/>
      <c r="AL104" s="154"/>
      <c r="AM104" s="569">
        <f>((F104-('yrP&amp;L'!$O$16/4))/J104)</f>
        <v>0.84913866621183687</v>
      </c>
      <c r="AN104" s="570"/>
      <c r="AO104" s="154"/>
      <c r="AP104" s="266">
        <f>+H104</f>
        <v>1387.5989999999999</v>
      </c>
      <c r="AQ104" s="194"/>
      <c r="AR104" s="148">
        <f>+AH104</f>
        <v>16.201000000000001</v>
      </c>
      <c r="AS104" s="194"/>
      <c r="AT104" s="266">
        <f>+AP104/AR104</f>
        <v>85.648972285661372</v>
      </c>
      <c r="AU104" s="194"/>
      <c r="AV104" s="423">
        <f>+AT104/AT97-1</f>
        <v>4.2929142992145231E-3</v>
      </c>
      <c r="AW104" s="194"/>
      <c r="AX104" s="24"/>
      <c r="AY104" s="24"/>
    </row>
    <row r="105" spans="1:51" hidden="1" outlineLevel="1">
      <c r="A105" s="24" t="str">
        <f>$A$49</f>
        <v>4Q</v>
      </c>
      <c r="B105" s="24" t="str">
        <f>$B$14</f>
        <v>Jan</v>
      </c>
      <c r="C105" s="24"/>
      <c r="D105" s="38">
        <f>+'qtrP&amp;L'!BF13</f>
        <v>3230.9180000000001</v>
      </c>
      <c r="E105" s="24"/>
      <c r="F105" s="38">
        <f>+'qtrP&amp;L'!BF23</f>
        <v>1881.0229999999999</v>
      </c>
      <c r="G105" s="24"/>
      <c r="H105" s="94">
        <f>+bal!AE11</f>
        <v>943</v>
      </c>
      <c r="I105" s="24"/>
      <c r="J105" s="38">
        <f>AVERAGE(H104:H105)</f>
        <v>1165.2995000000001</v>
      </c>
      <c r="K105" s="24"/>
      <c r="L105" s="84">
        <f>(D105/D98-1)*100</f>
        <v>8.9330761040416604</v>
      </c>
      <c r="M105" s="143"/>
      <c r="N105" s="85">
        <f>(H105/H98-1)*100</f>
        <v>-2.3809523809523836</v>
      </c>
      <c r="O105" s="143"/>
      <c r="P105" s="43">
        <f>(H105/H104-1)*100</f>
        <v>-32.040885010727159</v>
      </c>
      <c r="Q105" s="143"/>
      <c r="R105" s="40">
        <f>F105/J105</f>
        <v>1.6141970368990974</v>
      </c>
      <c r="S105" s="24"/>
      <c r="T105" s="40">
        <f>F109/H105</f>
        <v>1.3797942735949098</v>
      </c>
      <c r="U105" s="24"/>
      <c r="V105" s="154">
        <f>qtrSales!J113</f>
        <v>3911</v>
      </c>
      <c r="W105" s="24"/>
      <c r="X105" s="40">
        <f>H105/V105</f>
        <v>0.24111480439785221</v>
      </c>
      <c r="Y105" s="24"/>
      <c r="Z105" s="85">
        <f>(X105/X98-1)*100</f>
        <v>0.73906320390595415</v>
      </c>
      <c r="AA105" s="143"/>
      <c r="AB105" s="148">
        <f>qtrSales!Z113</f>
        <v>20.047499999999999</v>
      </c>
      <c r="AC105" s="24"/>
      <c r="AD105" s="387">
        <f>H105/AB105</f>
        <v>47.038284075321116</v>
      </c>
      <c r="AE105" s="24"/>
      <c r="AF105" s="85">
        <f>(AD105/AD98-1)*100</f>
        <v>-0.80448815016718189</v>
      </c>
      <c r="AG105" s="143"/>
      <c r="AH105" s="148">
        <f>+'store&amp;sf'!AQ280</f>
        <v>16.038000000000004</v>
      </c>
      <c r="AI105" s="24"/>
      <c r="AJ105" s="387">
        <f>+H105/AH105</f>
        <v>58.797855094151373</v>
      </c>
      <c r="AK105" s="154"/>
      <c r="AL105" s="154"/>
      <c r="AM105" s="569">
        <f>((F105-('yrP&amp;L'!$O$16/4))/J105)</f>
        <v>1.4399928945305476</v>
      </c>
      <c r="AN105" s="573"/>
      <c r="AO105" s="154"/>
      <c r="AP105" s="266"/>
      <c r="AQ105" s="195"/>
      <c r="AR105" s="148"/>
      <c r="AS105" s="195"/>
      <c r="AT105" s="266"/>
      <c r="AU105" s="195"/>
      <c r="AV105" s="423"/>
      <c r="AW105" s="195"/>
      <c r="AX105" s="24"/>
      <c r="AY105" s="24"/>
    </row>
    <row r="106" spans="1:51" hidden="1" outlineLevel="1">
      <c r="A106" s="24"/>
      <c r="B106" s="24" t="str">
        <f>$B$15</f>
        <v>Year</v>
      </c>
      <c r="C106" s="24"/>
      <c r="D106" s="33">
        <f>SUM(D102:D105)</f>
        <v>8934.0910000000003</v>
      </c>
      <c r="E106" s="24"/>
      <c r="F106" s="33">
        <f>SUM(F102:F105)</f>
        <v>5672.1180000000004</v>
      </c>
      <c r="G106" s="24"/>
      <c r="H106" s="24"/>
      <c r="I106" s="24"/>
      <c r="J106" s="33">
        <f>AVERAGE(J102:J105)</f>
        <v>1093.03675</v>
      </c>
      <c r="K106" s="24"/>
      <c r="L106" s="43">
        <f>(D106/D99-1)*100</f>
        <v>5.7958206458192274</v>
      </c>
      <c r="M106" s="143"/>
      <c r="N106" s="24"/>
      <c r="O106" s="143"/>
      <c r="P106" s="24"/>
      <c r="Q106" s="143"/>
      <c r="R106" s="86">
        <f>F106/J106</f>
        <v>5.1893204871656877</v>
      </c>
      <c r="S106" s="83" t="s">
        <v>1200</v>
      </c>
      <c r="T106" s="40"/>
      <c r="U106" s="24"/>
      <c r="V106" s="24"/>
      <c r="W106" s="24"/>
      <c r="X106" s="24"/>
      <c r="Y106" s="24"/>
      <c r="Z106" s="24"/>
      <c r="AA106" s="143"/>
      <c r="AB106" s="24"/>
      <c r="AC106" s="24"/>
      <c r="AD106" s="387"/>
      <c r="AE106" s="24"/>
      <c r="AF106" s="24"/>
      <c r="AG106" s="143"/>
      <c r="AH106" s="24"/>
      <c r="AI106" s="24"/>
      <c r="AJ106" s="387"/>
      <c r="AK106" s="24"/>
      <c r="AL106" s="24"/>
      <c r="AM106" s="571">
        <f>((F106-('yrP&amp;L'!$O$16))/J106)</f>
        <v>4.4464360416061037</v>
      </c>
      <c r="AN106" s="572" t="s">
        <v>1200</v>
      </c>
      <c r="AO106" s="24"/>
      <c r="AP106" s="24"/>
      <c r="AQ106" s="24"/>
      <c r="AR106" s="24"/>
      <c r="AS106" s="24"/>
      <c r="AT106" s="24"/>
      <c r="AU106" s="24"/>
      <c r="AV106" s="24"/>
      <c r="AW106" s="24"/>
      <c r="AX106" s="24"/>
      <c r="AY106" s="24"/>
    </row>
    <row r="107" spans="1:51" hidden="1" outlineLevel="1" collapsed="1">
      <c r="A107" s="24"/>
      <c r="B107" s="24"/>
      <c r="C107" s="24"/>
      <c r="D107" s="24"/>
      <c r="E107" s="24"/>
      <c r="F107" s="24"/>
      <c r="G107" s="24"/>
      <c r="H107" s="24"/>
      <c r="I107" s="24"/>
      <c r="J107" s="24"/>
      <c r="K107" s="24"/>
      <c r="L107" s="24"/>
      <c r="M107" s="143"/>
      <c r="N107" s="24"/>
      <c r="O107" s="143"/>
      <c r="P107" s="24"/>
      <c r="Q107" s="143"/>
      <c r="R107" s="24"/>
      <c r="S107" s="24"/>
      <c r="T107" s="40"/>
      <c r="U107" s="24"/>
      <c r="V107" s="154"/>
      <c r="W107" s="24"/>
      <c r="X107" s="24"/>
      <c r="Y107" s="24"/>
      <c r="Z107" s="24"/>
      <c r="AA107" s="143"/>
      <c r="AB107" s="148"/>
      <c r="AC107" s="24"/>
      <c r="AD107" s="24"/>
      <c r="AE107" s="24"/>
      <c r="AF107" s="24"/>
      <c r="AG107" s="143"/>
      <c r="AH107" s="148"/>
      <c r="AI107" s="24"/>
      <c r="AJ107" s="24"/>
      <c r="AK107" s="24"/>
      <c r="AL107" s="24"/>
      <c r="AM107" s="24"/>
      <c r="AN107" s="24"/>
      <c r="AO107" s="24"/>
      <c r="AP107" s="24"/>
      <c r="AQ107" s="24"/>
      <c r="AR107" s="24"/>
      <c r="AS107" s="24"/>
      <c r="AT107" s="24"/>
      <c r="AU107" s="24"/>
      <c r="AV107" s="24"/>
      <c r="AW107" s="24"/>
      <c r="AX107" s="24"/>
      <c r="AY107" s="24"/>
    </row>
    <row r="108" spans="1:51" hidden="1" outlineLevel="1">
      <c r="A108" s="24"/>
      <c r="B108" s="75">
        <f>B101+1</f>
        <v>2004</v>
      </c>
      <c r="C108" s="24"/>
      <c r="D108" s="24"/>
      <c r="E108" s="24"/>
      <c r="F108" s="24"/>
      <c r="G108" s="24"/>
      <c r="H108" s="24"/>
      <c r="I108" s="24"/>
      <c r="J108" s="24"/>
      <c r="K108" s="24"/>
      <c r="L108" s="24"/>
      <c r="M108" s="143"/>
      <c r="N108" s="24"/>
      <c r="O108" s="143"/>
      <c r="P108" s="24"/>
      <c r="Q108" s="143"/>
      <c r="R108" s="24"/>
      <c r="S108" s="24"/>
      <c r="T108" s="40"/>
      <c r="U108" s="24"/>
      <c r="V108" s="154"/>
      <c r="W108" s="24"/>
      <c r="X108" s="24"/>
      <c r="Y108" s="24"/>
      <c r="Z108" s="24"/>
      <c r="AA108" s="143"/>
      <c r="AB108" s="148"/>
      <c r="AC108" s="24"/>
      <c r="AD108" s="24"/>
      <c r="AE108" s="24"/>
      <c r="AF108" s="24"/>
      <c r="AG108" s="143"/>
      <c r="AH108" s="24"/>
      <c r="AI108" s="24"/>
      <c r="AJ108" s="24"/>
      <c r="AK108" s="24"/>
      <c r="AL108" s="24"/>
      <c r="AM108" s="24"/>
      <c r="AN108" s="24"/>
      <c r="AO108" s="24"/>
      <c r="AP108" s="24"/>
      <c r="AQ108" s="24"/>
      <c r="AR108" s="24"/>
      <c r="AS108" s="24"/>
      <c r="AT108" s="24"/>
      <c r="AU108" s="24"/>
      <c r="AV108" s="24"/>
      <c r="AW108" s="24"/>
      <c r="AX108" s="24"/>
      <c r="AY108" s="24"/>
    </row>
    <row r="109" spans="1:51" hidden="1" outlineLevel="1">
      <c r="A109" s="24" t="str">
        <f>$A$46</f>
        <v>1Q</v>
      </c>
      <c r="B109" s="24" t="str">
        <f>$B$11</f>
        <v>Apr</v>
      </c>
      <c r="C109" s="143"/>
      <c r="D109" s="33">
        <f>+'qtrP&amp;L'!BJ$10</f>
        <v>1978.203</v>
      </c>
      <c r="E109" s="24"/>
      <c r="F109" s="33">
        <f>+'qtrP&amp;L'!BJ$20</f>
        <v>1301.146</v>
      </c>
      <c r="G109" s="143"/>
      <c r="H109" s="33">
        <f>work!BF10</f>
        <v>1003.173</v>
      </c>
      <c r="I109" s="24"/>
      <c r="J109" s="33">
        <f>AVERAGE(H109,H105)</f>
        <v>973.0865</v>
      </c>
      <c r="K109" s="24"/>
      <c r="L109" s="43">
        <f>(D109/D102-1)*100</f>
        <v>7.3769864468106849</v>
      </c>
      <c r="M109" s="143" t="s">
        <v>1084</v>
      </c>
      <c r="N109" s="43">
        <f>(H109/H102-1)*100</f>
        <v>5.0237283380113018</v>
      </c>
      <c r="O109" s="143" t="s">
        <v>1084</v>
      </c>
      <c r="P109" s="43">
        <f>(H109/H105-1)*100</f>
        <v>6.3810180275715833</v>
      </c>
      <c r="Q109" s="143" t="s">
        <v>1084</v>
      </c>
      <c r="R109" s="40">
        <f>F109/J109</f>
        <v>1.3371329270316668</v>
      </c>
      <c r="S109" s="24" t="s">
        <v>1200</v>
      </c>
      <c r="T109" s="40">
        <f>F110/H109</f>
        <v>1.4052232267016755</v>
      </c>
      <c r="U109" s="24"/>
      <c r="V109" s="154">
        <f>qtrSales!J117</f>
        <v>3871</v>
      </c>
      <c r="W109" s="24"/>
      <c r="X109" s="35">
        <f>H109/V109</f>
        <v>0.25915086540945492</v>
      </c>
      <c r="Y109" s="24"/>
      <c r="Z109" s="85">
        <f>(X109/X102-1)*100</f>
        <v>8.0081277482880289</v>
      </c>
      <c r="AA109" s="143" t="s">
        <v>1084</v>
      </c>
      <c r="AB109" s="148">
        <f>+'store&amp;sf'!AQ465</f>
        <v>19.916250000000002</v>
      </c>
      <c r="AC109" s="24"/>
      <c r="AD109" s="165">
        <f>H109/AB109</f>
        <v>50.369572585200522</v>
      </c>
      <c r="AE109" s="24"/>
      <c r="AF109" s="85">
        <f>(AD109/AD102-1)*100</f>
        <v>6.4343275888952611</v>
      </c>
      <c r="AG109" s="143" t="s">
        <v>1084</v>
      </c>
      <c r="AH109" s="148">
        <f>+'store&amp;sf'!AQ283</f>
        <v>15.933</v>
      </c>
      <c r="AI109" s="24"/>
      <c r="AJ109" s="165">
        <f>+H109/AH109</f>
        <v>62.961965731500662</v>
      </c>
      <c r="AK109" s="153"/>
      <c r="AL109" s="153"/>
      <c r="AM109" s="569">
        <f>((F109-('yrP&amp;L'!$P$16/4))/J109)</f>
        <v>1.1247931196250283</v>
      </c>
      <c r="AN109" s="570" t="s">
        <v>1200</v>
      </c>
      <c r="AO109" s="153"/>
      <c r="AP109" s="165">
        <f>+H109</f>
        <v>1003.173</v>
      </c>
      <c r="AQ109" s="24"/>
      <c r="AR109" s="148">
        <f>+AH109</f>
        <v>15.933</v>
      </c>
      <c r="AS109" s="24"/>
      <c r="AT109" s="521">
        <f>+AP109/AR109</f>
        <v>62.961965731500662</v>
      </c>
      <c r="AU109" s="24"/>
      <c r="AV109" s="423">
        <f>+AT109/AT102-1</f>
        <v>6.4343275888953055E-2</v>
      </c>
      <c r="AW109" s="24"/>
      <c r="AX109" s="522">
        <v>-0.06</v>
      </c>
      <c r="AY109" s="24"/>
    </row>
    <row r="110" spans="1:51" hidden="1" outlineLevel="1">
      <c r="A110" s="24" t="str">
        <f>$A$47</f>
        <v>2Q</v>
      </c>
      <c r="B110" s="24" t="str">
        <f>$B$12</f>
        <v>Jul</v>
      </c>
      <c r="C110" s="24"/>
      <c r="D110" s="34">
        <f>+'qtrP&amp;L'!BJ$11</f>
        <v>2210.8319999999999</v>
      </c>
      <c r="E110" s="24"/>
      <c r="F110" s="34">
        <f>+'qtrP&amp;L'!BJ$21</f>
        <v>1409.682</v>
      </c>
      <c r="G110" s="143"/>
      <c r="H110" s="94">
        <f>work!BF11</f>
        <v>1122.241</v>
      </c>
      <c r="I110" s="24"/>
      <c r="J110" s="34">
        <f>AVERAGE(H109:H110)</f>
        <v>1062.7069999999999</v>
      </c>
      <c r="K110" s="24"/>
      <c r="L110" s="43">
        <f>(D110/D103-1)*100</f>
        <v>9.7674104540674591</v>
      </c>
      <c r="M110" s="143"/>
      <c r="N110" s="43">
        <f>(H110/H103-1)*100</f>
        <v>4.4080118266454749</v>
      </c>
      <c r="O110" s="143"/>
      <c r="P110" s="43">
        <f>(H110/H109-1)*100</f>
        <v>11.869139221250968</v>
      </c>
      <c r="Q110" s="143"/>
      <c r="R110" s="40">
        <f>F110/J110</f>
        <v>1.3265010957865151</v>
      </c>
      <c r="S110" s="24"/>
      <c r="T110" s="40">
        <f>F111/H110</f>
        <v>1.1371719621721181</v>
      </c>
      <c r="U110" s="24"/>
      <c r="V110" s="154">
        <f>qtrSales!J118</f>
        <v>3836</v>
      </c>
      <c r="W110" s="24"/>
      <c r="X110" s="40">
        <f>H110/V110</f>
        <v>0.29255500521376432</v>
      </c>
      <c r="Y110" s="24"/>
      <c r="Z110" s="85">
        <f>(X110/X103-1)*100</f>
        <v>8.0552155765856384</v>
      </c>
      <c r="AA110" s="143"/>
      <c r="AB110" s="148">
        <f>+'store&amp;sf'!AQ466</f>
        <v>19.883749999999996</v>
      </c>
      <c r="AC110" s="24"/>
      <c r="AD110" s="387">
        <f>H110/AB110</f>
        <v>56.440108128496902</v>
      </c>
      <c r="AE110" s="24"/>
      <c r="AF110" s="85">
        <f>(AD110/AD103-1)*100</f>
        <v>5.1825227586593359</v>
      </c>
      <c r="AG110" s="143"/>
      <c r="AH110" s="148">
        <f>+'store&amp;sf'!AQ284</f>
        <v>15.907000000000002</v>
      </c>
      <c r="AI110" s="24"/>
      <c r="AJ110" s="387">
        <f>+H110/AH110</f>
        <v>70.550135160621096</v>
      </c>
      <c r="AK110" s="154"/>
      <c r="AL110" s="154"/>
      <c r="AM110" s="569">
        <f>((F110-('yrP&amp;L'!$P$16/4))/J110)</f>
        <v>1.1320683876176596</v>
      </c>
      <c r="AN110" s="570"/>
      <c r="AO110" s="154"/>
      <c r="AP110" s="266">
        <f>+H110</f>
        <v>1122.241</v>
      </c>
      <c r="AQ110" s="194"/>
      <c r="AR110" s="148">
        <f>+AH110</f>
        <v>15.907000000000002</v>
      </c>
      <c r="AS110" s="194"/>
      <c r="AT110" s="266">
        <f>+AP110/AR110</f>
        <v>70.550135160621096</v>
      </c>
      <c r="AU110" s="194"/>
      <c r="AV110" s="423">
        <f>+AT110/AT103-1</f>
        <v>5.1825227586592915E-2</v>
      </c>
      <c r="AW110" s="194"/>
      <c r="AX110" s="522"/>
      <c r="AY110" s="24"/>
    </row>
    <row r="111" spans="1:51" hidden="1" outlineLevel="1">
      <c r="A111" s="24" t="str">
        <f>$A$48</f>
        <v>3Q</v>
      </c>
      <c r="B111" s="24" t="str">
        <f>$B$13</f>
        <v>Oct</v>
      </c>
      <c r="C111" s="24"/>
      <c r="D111" s="34">
        <f>+'qtrP&amp;L'!BJ$12</f>
        <v>1890.855</v>
      </c>
      <c r="E111" s="24"/>
      <c r="F111" s="34">
        <f>+'qtrP&amp;L'!BJ$22</f>
        <v>1276.181</v>
      </c>
      <c r="G111" s="24"/>
      <c r="H111" s="94">
        <f>work!BF12</f>
        <v>1561.6510000000001</v>
      </c>
      <c r="I111" s="24"/>
      <c r="J111" s="34">
        <f>AVERAGE(H110:H111)</f>
        <v>1341.9459999999999</v>
      </c>
      <c r="K111" s="24"/>
      <c r="L111" s="43">
        <f>(D111/D104-1)*100</f>
        <v>2.3871407917607446</v>
      </c>
      <c r="M111" s="143"/>
      <c r="N111" s="43">
        <f>(H111/H104-1)*100</f>
        <v>12.543393300225802</v>
      </c>
      <c r="O111" s="143"/>
      <c r="P111" s="43">
        <f>(H111/H110-1)*100</f>
        <v>39.154691371995852</v>
      </c>
      <c r="Q111" s="143"/>
      <c r="R111" s="40">
        <f>F111/J111</f>
        <v>0.95099281193132967</v>
      </c>
      <c r="S111" s="24"/>
      <c r="T111" s="40">
        <f>F112/H111</f>
        <v>1.2981319129562239</v>
      </c>
      <c r="U111" s="24"/>
      <c r="V111" s="154">
        <f>qtrSales!J119</f>
        <v>3835</v>
      </c>
      <c r="W111" s="24"/>
      <c r="X111" s="40">
        <f>H111/V111</f>
        <v>0.40721016949152544</v>
      </c>
      <c r="Y111" s="24"/>
      <c r="Z111" s="85">
        <f>(X111/X104-1)*100</f>
        <v>16.534501902267706</v>
      </c>
      <c r="AA111" s="143"/>
      <c r="AB111" s="148">
        <f>+'store&amp;sf'!AQ467</f>
        <v>19.979999999999997</v>
      </c>
      <c r="AC111" s="24"/>
      <c r="AD111" s="387">
        <f>H111/AB111</f>
        <v>78.160710710710731</v>
      </c>
      <c r="AE111" s="24"/>
      <c r="AF111" s="85">
        <f>(AD111/AD104-1)*100</f>
        <v>14.071290969529414</v>
      </c>
      <c r="AG111" s="143"/>
      <c r="AH111" s="148">
        <f>+'store&amp;sf'!AQ285</f>
        <v>15.983999999999996</v>
      </c>
      <c r="AI111" s="24"/>
      <c r="AJ111" s="387">
        <f>+H111/AH111</f>
        <v>97.700888388388421</v>
      </c>
      <c r="AK111" s="154"/>
      <c r="AL111" s="154"/>
      <c r="AM111" s="569">
        <f>((F111-('yrP&amp;L'!$P$16/4))/J111)</f>
        <v>0.79701865797878613</v>
      </c>
      <c r="AN111" s="570"/>
      <c r="AO111" s="154"/>
      <c r="AP111" s="266">
        <f>+H111</f>
        <v>1561.6510000000001</v>
      </c>
      <c r="AQ111" s="194"/>
      <c r="AR111" s="148">
        <f>+AH111</f>
        <v>15.983999999999996</v>
      </c>
      <c r="AS111" s="194"/>
      <c r="AT111" s="266">
        <f>+AP111/AR111</f>
        <v>97.700888388388421</v>
      </c>
      <c r="AU111" s="194"/>
      <c r="AV111" s="423">
        <f>+AT111/AT104-1</f>
        <v>0.14071290969529437</v>
      </c>
      <c r="AW111" s="194"/>
      <c r="AX111" s="24"/>
      <c r="AY111" s="24"/>
    </row>
    <row r="112" spans="1:51" hidden="1" outlineLevel="1">
      <c r="A112" s="24" t="str">
        <f>$A$49</f>
        <v>4Q</v>
      </c>
      <c r="B112" s="24" t="str">
        <f>$B$14</f>
        <v>Jan</v>
      </c>
      <c r="C112" s="24"/>
      <c r="D112" s="38">
        <f>+'qtrP&amp;L'!BJ$13</f>
        <v>3328.422</v>
      </c>
      <c r="E112" s="24"/>
      <c r="F112" s="38">
        <f>+'qtrP&amp;L'!BJ$23</f>
        <v>2027.229</v>
      </c>
      <c r="G112" s="24"/>
      <c r="H112" s="94">
        <f>+bal!AG$11</f>
        <v>1141.626</v>
      </c>
      <c r="I112" s="24"/>
      <c r="J112" s="38">
        <f>AVERAGE(H111:H112)</f>
        <v>1351.6385</v>
      </c>
      <c r="K112" s="24"/>
      <c r="L112" s="84">
        <f>(D112/D105-1)*100</f>
        <v>3.0178419879427487</v>
      </c>
      <c r="M112" s="143"/>
      <c r="N112" s="85">
        <f>(H112/H105-1)*100</f>
        <v>21.063202545068926</v>
      </c>
      <c r="O112" s="143"/>
      <c r="P112" s="43">
        <f>(H112/H111-1)*100</f>
        <v>-26.896214327016732</v>
      </c>
      <c r="Q112" s="143"/>
      <c r="R112" s="40">
        <f>F112/J112</f>
        <v>1.4998307609616033</v>
      </c>
      <c r="S112" s="24"/>
      <c r="T112" s="40">
        <f>F116/H112</f>
        <v>1.1917694586493301</v>
      </c>
      <c r="U112" s="24"/>
      <c r="V112" s="154">
        <f>qtrSales!J120</f>
        <v>3779</v>
      </c>
      <c r="W112" s="24"/>
      <c r="X112" s="40">
        <f>H112/V112</f>
        <v>0.30209738025932786</v>
      </c>
      <c r="Y112" s="24"/>
      <c r="Z112" s="85">
        <f>(X112/X105-1)*100</f>
        <v>25.291925153152839</v>
      </c>
      <c r="AA112" s="143"/>
      <c r="AB112" s="148">
        <f>+'store&amp;sf'!AQ468</f>
        <v>19.751249999999999</v>
      </c>
      <c r="AC112" s="24"/>
      <c r="AD112" s="387">
        <f>H112/AB112</f>
        <v>57.800189861401179</v>
      </c>
      <c r="AE112" s="24"/>
      <c r="AF112" s="85">
        <f>(AD112/AD105-1)*100</f>
        <v>22.879035657098633</v>
      </c>
      <c r="AG112" s="143"/>
      <c r="AH112" s="148">
        <f>+'store&amp;sf'!AQ286</f>
        <v>15.801</v>
      </c>
      <c r="AI112" s="24"/>
      <c r="AJ112" s="387">
        <f>+H112/AH112</f>
        <v>72.250237326751474</v>
      </c>
      <c r="AK112" s="154"/>
      <c r="AL112" s="154"/>
      <c r="AM112" s="569">
        <f>((F112-('yrP&amp;L'!$P$16/4))/J112)</f>
        <v>1.3469607443114413</v>
      </c>
      <c r="AN112" s="573"/>
      <c r="AO112" s="154"/>
      <c r="AP112" s="266"/>
      <c r="AQ112" s="195"/>
      <c r="AR112" s="148"/>
      <c r="AS112" s="195"/>
      <c r="AT112" s="266"/>
      <c r="AU112" s="195"/>
      <c r="AV112" s="423"/>
      <c r="AW112" s="195"/>
      <c r="AX112" s="24"/>
      <c r="AY112" s="24"/>
    </row>
    <row r="113" spans="1:51" hidden="1" outlineLevel="1">
      <c r="A113" s="24"/>
      <c r="B113" s="24" t="str">
        <f>$B$15</f>
        <v>Year</v>
      </c>
      <c r="C113" s="24"/>
      <c r="D113" s="33">
        <f>SUM(D109:D112)</f>
        <v>9408.3119999999999</v>
      </c>
      <c r="E113" s="24"/>
      <c r="F113" s="33">
        <f>SUM(F109:F112)</f>
        <v>6014.2380000000003</v>
      </c>
      <c r="G113" s="24"/>
      <c r="H113" s="24"/>
      <c r="I113" s="24"/>
      <c r="J113" s="33">
        <f>AVERAGE(J109:J112)</f>
        <v>1182.3444999999999</v>
      </c>
      <c r="K113" s="24"/>
      <c r="L113" s="43">
        <f>(D113/D106-1)*100</f>
        <v>5.3079938406716431</v>
      </c>
      <c r="M113" s="143"/>
      <c r="N113" s="24"/>
      <c r="O113" s="143"/>
      <c r="P113" s="24"/>
      <c r="Q113" s="143"/>
      <c r="R113" s="86">
        <f>F113/J113</f>
        <v>5.0867052707565357</v>
      </c>
      <c r="S113" s="83" t="s">
        <v>1200</v>
      </c>
      <c r="T113" s="40"/>
      <c r="U113" s="24"/>
      <c r="V113" s="24"/>
      <c r="W113" s="24"/>
      <c r="X113" s="24"/>
      <c r="Y113" s="24"/>
      <c r="Z113" s="24"/>
      <c r="AA113" s="143"/>
      <c r="AB113" s="24"/>
      <c r="AC113" s="24"/>
      <c r="AD113" s="387"/>
      <c r="AE113" s="24"/>
      <c r="AF113" s="24"/>
      <c r="AG113" s="143"/>
      <c r="AH113" s="24"/>
      <c r="AI113" s="24"/>
      <c r="AJ113" s="387"/>
      <c r="AK113" s="24"/>
      <c r="AL113" s="24"/>
      <c r="AM113" s="571">
        <f>((F113-('yrP&amp;L'!$P$16))/J113)</f>
        <v>4.3876704293883897</v>
      </c>
      <c r="AN113" s="572" t="s">
        <v>1200</v>
      </c>
      <c r="AO113" s="24"/>
      <c r="AP113" s="24"/>
      <c r="AQ113" s="24"/>
      <c r="AR113" s="24"/>
      <c r="AS113" s="24"/>
      <c r="AT113" s="24"/>
      <c r="AU113" s="24"/>
      <c r="AV113" s="24"/>
      <c r="AW113" s="24"/>
      <c r="AX113" s="24"/>
      <c r="AY113" s="24"/>
    </row>
    <row r="114" spans="1:51" hidden="1" outlineLevel="1">
      <c r="A114" s="24"/>
      <c r="B114" s="24"/>
      <c r="C114" s="24"/>
      <c r="D114" s="24"/>
      <c r="E114" s="24"/>
      <c r="F114" s="24"/>
      <c r="G114" s="24"/>
      <c r="H114" s="24"/>
      <c r="I114" s="24"/>
      <c r="J114" s="24"/>
      <c r="K114" s="24"/>
      <c r="L114" s="24"/>
      <c r="M114" s="143"/>
      <c r="N114" s="24"/>
      <c r="O114" s="143"/>
      <c r="P114" s="24"/>
      <c r="Q114" s="143"/>
      <c r="R114" s="24"/>
      <c r="S114" s="24"/>
      <c r="T114" s="40"/>
      <c r="U114" s="24"/>
      <c r="V114" s="154"/>
      <c r="W114" s="24"/>
      <c r="X114" s="24"/>
      <c r="Y114" s="24"/>
      <c r="Z114" s="24"/>
      <c r="AA114" s="143"/>
      <c r="AB114" s="148"/>
      <c r="AC114" s="24"/>
      <c r="AD114" s="24"/>
      <c r="AE114" s="24"/>
      <c r="AF114" s="24"/>
      <c r="AG114" s="143"/>
      <c r="AH114" s="148"/>
      <c r="AI114" s="24"/>
      <c r="AJ114" s="24"/>
      <c r="AK114" s="24"/>
      <c r="AL114" s="24"/>
      <c r="AM114" s="24"/>
      <c r="AN114" s="24"/>
      <c r="AO114" s="24"/>
      <c r="AP114" s="24"/>
      <c r="AQ114" s="24"/>
      <c r="AR114" s="24"/>
      <c r="AS114" s="24"/>
      <c r="AT114" s="24"/>
      <c r="AU114" s="24"/>
      <c r="AV114" s="24"/>
      <c r="AW114" s="24"/>
      <c r="AX114" s="24"/>
      <c r="AY114" s="24"/>
    </row>
    <row r="115" spans="1:51" ht="14.25" hidden="1" customHeight="1" outlineLevel="1">
      <c r="A115" s="24"/>
      <c r="B115" s="584">
        <f>B108+1</f>
        <v>2005</v>
      </c>
      <c r="C115" s="24"/>
      <c r="D115" s="24"/>
      <c r="E115" s="24"/>
      <c r="F115" s="24"/>
      <c r="G115" s="24"/>
      <c r="H115" s="24"/>
      <c r="I115" s="24"/>
      <c r="J115" s="24"/>
      <c r="K115" s="24"/>
      <c r="L115" s="24"/>
      <c r="M115" s="143"/>
      <c r="N115" s="24"/>
      <c r="O115" s="143"/>
      <c r="P115" s="24"/>
      <c r="Q115" s="143"/>
      <c r="R115" s="24"/>
      <c r="S115" s="24"/>
      <c r="T115" s="40"/>
      <c r="U115" s="24"/>
      <c r="V115" s="154"/>
      <c r="W115" s="24"/>
      <c r="X115" s="24"/>
      <c r="Y115" s="24"/>
      <c r="Z115" s="24"/>
      <c r="AA115" s="143"/>
      <c r="AB115" s="148"/>
      <c r="AC115" s="24"/>
      <c r="AD115" s="24"/>
      <c r="AE115" s="24"/>
      <c r="AF115" s="24"/>
      <c r="AG115" s="143"/>
      <c r="AH115" s="24"/>
      <c r="AI115" s="24"/>
      <c r="AJ115" s="24"/>
      <c r="AK115" s="24"/>
      <c r="AL115" s="24"/>
      <c r="AM115" s="24"/>
      <c r="AN115" s="24"/>
      <c r="AO115" s="24"/>
      <c r="AP115" s="24"/>
      <c r="AQ115" s="24"/>
      <c r="AR115" s="24"/>
      <c r="AS115" s="24"/>
      <c r="AT115" s="24"/>
      <c r="AU115" s="24"/>
      <c r="AV115" s="24"/>
      <c r="AW115" s="24"/>
      <c r="AX115" s="24"/>
      <c r="AY115" s="24"/>
    </row>
    <row r="116" spans="1:51" hidden="1" outlineLevel="1">
      <c r="A116" s="24" t="str">
        <f>$A$46</f>
        <v>1Q</v>
      </c>
      <c r="B116" s="24" t="str">
        <f>$B$11</f>
        <v>Apr</v>
      </c>
      <c r="C116" s="143"/>
      <c r="D116" s="33">
        <f>+'qtrP&amp;L'!BN$10</f>
        <v>1974.932</v>
      </c>
      <c r="E116" s="24"/>
      <c r="F116" s="33">
        <f>+'qtrP&amp;L'!BN$20</f>
        <v>1360.5550000000001</v>
      </c>
      <c r="G116" s="143"/>
      <c r="H116" s="33">
        <f>work!BJ10</f>
        <v>1285.837</v>
      </c>
      <c r="I116" s="24"/>
      <c r="J116" s="33">
        <f>AVERAGE(H116,H112)</f>
        <v>1213.7314999999999</v>
      </c>
      <c r="K116" s="24"/>
      <c r="L116" s="43">
        <f>(D116/D109-1)*100</f>
        <v>-0.16535208975013704</v>
      </c>
      <c r="M116" s="143" t="s">
        <v>1084</v>
      </c>
      <c r="N116" s="43">
        <f>(H116/H109-1)*100</f>
        <v>28.176994396779008</v>
      </c>
      <c r="O116" s="143" t="s">
        <v>1084</v>
      </c>
      <c r="P116" s="43">
        <f>(H116/H112-1)*100</f>
        <v>12.63207039783607</v>
      </c>
      <c r="Q116" s="143" t="s">
        <v>1084</v>
      </c>
      <c r="R116" s="40">
        <f>F116/J116</f>
        <v>1.120968682117915</v>
      </c>
      <c r="S116" s="24" t="s">
        <v>1200</v>
      </c>
      <c r="T116" s="40">
        <f>F117/H116</f>
        <v>1.1631816474405388</v>
      </c>
      <c r="U116" s="24"/>
      <c r="V116" s="154">
        <f>qtrSales!J124</f>
        <v>3699</v>
      </c>
      <c r="W116" s="24"/>
      <c r="X116" s="35">
        <f>H116/V116</f>
        <v>0.34761746417950795</v>
      </c>
      <c r="Y116" s="24"/>
      <c r="Z116" s="85">
        <f>(X116/X109-1)*100</f>
        <v>34.13710335494229</v>
      </c>
      <c r="AA116" s="143" t="s">
        <v>1084</v>
      </c>
      <c r="AB116" s="148">
        <f>+'store&amp;sf'!AQ471</f>
        <v>19.625</v>
      </c>
      <c r="AC116" s="24"/>
      <c r="AD116" s="165">
        <f>H116/AB116</f>
        <v>65.520356687898087</v>
      </c>
      <c r="AE116" s="24"/>
      <c r="AF116" s="85">
        <f>(AD116/AD109-1)*100</f>
        <v>30.079238963304466</v>
      </c>
      <c r="AG116" s="143" t="s">
        <v>1084</v>
      </c>
      <c r="AH116" s="148">
        <f>+'store&amp;sf'!AQ289</f>
        <v>15.700000000000001</v>
      </c>
      <c r="AI116" s="24"/>
      <c r="AJ116" s="165">
        <f>+H116/AH116</f>
        <v>81.900445859872605</v>
      </c>
      <c r="AK116" s="153"/>
      <c r="AL116" s="153"/>
      <c r="AM116" s="569">
        <f>((F116-('yrP&amp;L'!$Q$16/4))/J116)</f>
        <v>0.94463231777374168</v>
      </c>
      <c r="AN116" s="570" t="s">
        <v>1200</v>
      </c>
      <c r="AO116" s="153"/>
      <c r="AP116" s="165">
        <f>+H116</f>
        <v>1285.837</v>
      </c>
      <c r="AQ116" s="24"/>
      <c r="AR116" s="148">
        <f>+AH116</f>
        <v>15.700000000000001</v>
      </c>
      <c r="AS116" s="24"/>
      <c r="AT116" s="521">
        <f>+AP116/AR116</f>
        <v>81.900445859872605</v>
      </c>
      <c r="AU116" s="24"/>
      <c r="AV116" s="423">
        <f>+AT116/AT109-1</f>
        <v>0.30079238963304444</v>
      </c>
      <c r="AW116" s="24"/>
      <c r="AX116" s="522">
        <v>-0.06</v>
      </c>
      <c r="AY116" s="24"/>
    </row>
    <row r="117" spans="1:51" hidden="1" outlineLevel="1">
      <c r="A117" s="24" t="str">
        <f>$A$47</f>
        <v>2Q</v>
      </c>
      <c r="B117" s="24" t="str">
        <f>$B$12</f>
        <v>Jul</v>
      </c>
      <c r="C117" s="24"/>
      <c r="D117" s="34">
        <f>+'qtrP&amp;L'!BN$11</f>
        <v>2290.9009999999998</v>
      </c>
      <c r="E117" s="24"/>
      <c r="F117" s="34">
        <f>+'qtrP&amp;L'!BN$21</f>
        <v>1495.662</v>
      </c>
      <c r="G117" s="143"/>
      <c r="H117" s="94">
        <f>work!BJ11</f>
        <v>1223.4880000000001</v>
      </c>
      <c r="I117" s="24"/>
      <c r="J117" s="34">
        <f>AVERAGE(H116:H117)</f>
        <v>1254.6624999999999</v>
      </c>
      <c r="K117" s="24"/>
      <c r="L117" s="43">
        <f>(D117/D110-1)*100</f>
        <v>3.6216682226419827</v>
      </c>
      <c r="M117" s="143"/>
      <c r="N117" s="43">
        <f>(H117/H110-1)*100</f>
        <v>9.0218589411721783</v>
      </c>
      <c r="O117" s="143"/>
      <c r="P117" s="43">
        <f>(H117/H116-1)*100</f>
        <v>-4.8489038657310353</v>
      </c>
      <c r="Q117" s="143"/>
      <c r="R117" s="40">
        <f>F117/J117</f>
        <v>1.1920831299253785</v>
      </c>
      <c r="S117" s="24"/>
      <c r="T117" s="40">
        <f>F118/H117</f>
        <v>1.0645760318041535</v>
      </c>
      <c r="U117" s="24"/>
      <c r="V117" s="154">
        <f>qtrSales!J125</f>
        <v>3666</v>
      </c>
      <c r="W117" s="24"/>
      <c r="X117" s="40">
        <f>H117/V117</f>
        <v>0.33373922531369343</v>
      </c>
      <c r="Y117" s="24"/>
      <c r="Z117" s="85">
        <f>(X117/X110-1)*100</f>
        <v>14.07742795917526</v>
      </c>
      <c r="AA117" s="143"/>
      <c r="AB117" s="148">
        <f>+'store&amp;sf'!AQ472</f>
        <v>19.53125</v>
      </c>
      <c r="AC117" s="24"/>
      <c r="AD117" s="387">
        <f>H117/AB117</f>
        <v>62.642585600000004</v>
      </c>
      <c r="AE117" s="24"/>
      <c r="AF117" s="85">
        <f>(AD117/AD110-1)*100</f>
        <v>10.989485451342418</v>
      </c>
      <c r="AG117" s="143"/>
      <c r="AH117" s="148">
        <f>+'store&amp;sf'!AQ290</f>
        <v>15.625</v>
      </c>
      <c r="AI117" s="24"/>
      <c r="AJ117" s="387">
        <f>+H117/AH117</f>
        <v>78.303232000000008</v>
      </c>
      <c r="AK117" s="154"/>
      <c r="AL117" s="154"/>
      <c r="AM117" s="569">
        <f>((F117-('yrP&amp;L'!$Q$16/4))/J117)</f>
        <v>1.0214994072111026</v>
      </c>
      <c r="AN117" s="570"/>
      <c r="AO117" s="154"/>
      <c r="AP117" s="266">
        <f>+H117</f>
        <v>1223.4880000000001</v>
      </c>
      <c r="AQ117" s="194"/>
      <c r="AR117" s="148">
        <f>+AH117</f>
        <v>15.625</v>
      </c>
      <c r="AS117" s="194"/>
      <c r="AT117" s="266">
        <f>+AP117/AR117</f>
        <v>78.303232000000008</v>
      </c>
      <c r="AU117" s="194"/>
      <c r="AV117" s="423">
        <f>+AT117/AT110-1</f>
        <v>0.10989485451342484</v>
      </c>
      <c r="AW117" s="194"/>
      <c r="AX117" s="522"/>
      <c r="AY117" s="24"/>
    </row>
    <row r="118" spans="1:51" hidden="1" outlineLevel="1">
      <c r="A118" s="24" t="str">
        <f>$A$48</f>
        <v>3Q</v>
      </c>
      <c r="B118" s="24" t="str">
        <f>$B$13</f>
        <v>Oct</v>
      </c>
      <c r="C118" s="24"/>
      <c r="D118" s="34">
        <f>+'qtrP&amp;L'!BN$12</f>
        <v>1891.5509999999999</v>
      </c>
      <c r="E118" s="24"/>
      <c r="F118" s="34">
        <f>+'qtrP&amp;L'!BN$22</f>
        <v>1302.4960000000001</v>
      </c>
      <c r="G118" s="24"/>
      <c r="H118" s="94">
        <f>work!BJ12</f>
        <v>1677.9749999999999</v>
      </c>
      <c r="I118" s="24"/>
      <c r="J118" s="34">
        <f>AVERAGE(H117:H118)</f>
        <v>1450.7314999999999</v>
      </c>
      <c r="K118" s="24"/>
      <c r="L118" s="43">
        <f>(D118/D111-1)*100</f>
        <v>3.6808745250160868E-2</v>
      </c>
      <c r="M118" s="143"/>
      <c r="N118" s="43">
        <f>(H118/H111-1)*100</f>
        <v>7.4487833709324214</v>
      </c>
      <c r="O118" s="143"/>
      <c r="P118" s="43">
        <f>(H118/H117-1)*100</f>
        <v>37.146829392687117</v>
      </c>
      <c r="Q118" s="143"/>
      <c r="R118" s="40">
        <f>F118/J118</f>
        <v>0.89782016865284875</v>
      </c>
      <c r="S118" s="24"/>
      <c r="T118" s="40">
        <f>F119/H118</f>
        <v>1.2245099003262863</v>
      </c>
      <c r="U118" s="24"/>
      <c r="V118" s="154">
        <f>qtrSales!J126</f>
        <v>3677</v>
      </c>
      <c r="W118" s="24"/>
      <c r="X118" s="40">
        <f>H118/V118</f>
        <v>0.45634348653793849</v>
      </c>
      <c r="Y118" s="24"/>
      <c r="Z118" s="85">
        <f>(X118/X111-1)*100</f>
        <v>12.065837429297211</v>
      </c>
      <c r="AA118" s="143"/>
      <c r="AB118" s="148">
        <f>+'store&amp;sf'!AQ473</f>
        <v>19.671250000000001</v>
      </c>
      <c r="AC118" s="24"/>
      <c r="AD118" s="387">
        <f>H118/AB118</f>
        <v>85.300883268729734</v>
      </c>
      <c r="AE118" s="24"/>
      <c r="AF118" s="85">
        <f>(AD118/AD111-1)*100</f>
        <v>9.1352451802111823</v>
      </c>
      <c r="AG118" s="143"/>
      <c r="AH118" s="148">
        <f>+'store&amp;sf'!AQ291</f>
        <v>15.737</v>
      </c>
      <c r="AI118" s="24"/>
      <c r="AJ118" s="387">
        <f>+H118/AH118</f>
        <v>106.62610408591217</v>
      </c>
      <c r="AK118" s="154"/>
      <c r="AL118" s="154"/>
      <c r="AM118" s="569">
        <f>((F118-('yrP&amp;L'!$Q$16/4))/J118)</f>
        <v>0.75029114622519755</v>
      </c>
      <c r="AN118" s="570"/>
      <c r="AO118" s="154"/>
      <c r="AP118" s="266">
        <f>+H118</f>
        <v>1677.9749999999999</v>
      </c>
      <c r="AQ118" s="194"/>
      <c r="AR118" s="148">
        <f>+AH118</f>
        <v>15.737</v>
      </c>
      <c r="AS118" s="194"/>
      <c r="AT118" s="266">
        <f>+AP118/AR118</f>
        <v>106.62610408591217</v>
      </c>
      <c r="AU118" s="194"/>
      <c r="AV118" s="423">
        <f>+AT118/AT111-1</f>
        <v>9.1352451802111823E-2</v>
      </c>
      <c r="AW118" s="194"/>
      <c r="AX118" s="24"/>
      <c r="AY118" s="24"/>
    </row>
    <row r="119" spans="1:51" hidden="1" outlineLevel="1">
      <c r="A119" s="24" t="str">
        <f>$A$49</f>
        <v>4Q</v>
      </c>
      <c r="B119" s="24" t="str">
        <f>$B$14</f>
        <v>Jan</v>
      </c>
      <c r="C119" s="24"/>
      <c r="D119" s="38">
        <f>+'qtrP&amp;L'!BN$13</f>
        <v>3511.1750000000002</v>
      </c>
      <c r="E119" s="24"/>
      <c r="F119" s="38">
        <f>+'qtrP&amp;L'!BN$23</f>
        <v>2054.6970000000001</v>
      </c>
      <c r="G119" s="24"/>
      <c r="H119" s="94">
        <f>+bal!AI$11</f>
        <v>1159.69</v>
      </c>
      <c r="I119" s="24"/>
      <c r="J119" s="38">
        <f>AVERAGE(H118:H119)</f>
        <v>1418.8325</v>
      </c>
      <c r="K119" s="24"/>
      <c r="L119" s="84">
        <f>(D119/D112-1)*100</f>
        <v>5.4906799678646534</v>
      </c>
      <c r="M119" s="143"/>
      <c r="N119" s="85">
        <f>(H119/H112-1)*100</f>
        <v>1.5823045375630951</v>
      </c>
      <c r="O119" s="143"/>
      <c r="P119" s="43">
        <f>(H119/H118-1)*100</f>
        <v>-30.887528121694295</v>
      </c>
      <c r="Q119" s="143"/>
      <c r="R119" s="40">
        <f>F119/J119</f>
        <v>1.448160371291185</v>
      </c>
      <c r="S119" s="24"/>
      <c r="T119" s="40">
        <f>F123/H119</f>
        <v>1.110914123601997</v>
      </c>
      <c r="U119" s="24"/>
      <c r="V119" s="154">
        <f>qtrSales!J127</f>
        <v>3590</v>
      </c>
      <c r="W119" s="24"/>
      <c r="X119" s="40">
        <f>H119/V119</f>
        <v>0.32303342618384401</v>
      </c>
      <c r="Y119" s="24"/>
      <c r="Z119" s="85">
        <f>(X119/X112-1)*100</f>
        <v>6.9302308767272836</v>
      </c>
      <c r="AA119" s="143"/>
      <c r="AB119" s="148">
        <f>+'store&amp;sf'!AQ474</f>
        <v>19.164999999999996</v>
      </c>
      <c r="AC119" s="24"/>
      <c r="AD119" s="387">
        <f>H119/AB119</f>
        <v>60.510827028437269</v>
      </c>
      <c r="AE119" s="24"/>
      <c r="AF119" s="85">
        <f>(AD119/AD112-1)*100</f>
        <v>4.689668275374026</v>
      </c>
      <c r="AG119" s="143"/>
      <c r="AH119" s="148">
        <f>+'store&amp;sf'!AQ292</f>
        <v>15.332000000000003</v>
      </c>
      <c r="AI119" s="24"/>
      <c r="AJ119" s="387">
        <f>+H119/AH119</f>
        <v>75.638533785546556</v>
      </c>
      <c r="AK119" s="154"/>
      <c r="AL119" s="154"/>
      <c r="AM119" s="569">
        <f>((F119-('yrP&amp;L'!$Q$16/4))/J119)</f>
        <v>1.2973145173937022</v>
      </c>
      <c r="AN119" s="573"/>
      <c r="AO119" s="154"/>
      <c r="AP119" s="266"/>
      <c r="AQ119" s="195"/>
      <c r="AR119" s="148"/>
      <c r="AS119" s="195"/>
      <c r="AT119" s="266"/>
      <c r="AU119" s="195"/>
      <c r="AV119" s="423"/>
      <c r="AW119" s="195"/>
      <c r="AX119" s="24"/>
      <c r="AY119" s="24"/>
    </row>
    <row r="120" spans="1:51" hidden="1" outlineLevel="1">
      <c r="A120" s="24"/>
      <c r="B120" s="24" t="str">
        <f>$B$15</f>
        <v>Year</v>
      </c>
      <c r="C120" s="24"/>
      <c r="D120" s="33">
        <f>SUM(D116:D119)</f>
        <v>9668.5590000000011</v>
      </c>
      <c r="E120" s="24"/>
      <c r="F120" s="33">
        <f>SUM(F116:F119)</f>
        <v>6213.41</v>
      </c>
      <c r="G120" s="24"/>
      <c r="H120" s="24"/>
      <c r="I120" s="24"/>
      <c r="J120" s="33">
        <f>AVERAGE(J116:J119)</f>
        <v>1334.4894999999999</v>
      </c>
      <c r="K120" s="24"/>
      <c r="L120" s="43">
        <f>(D120/D113-1)*100</f>
        <v>2.7661391331410101</v>
      </c>
      <c r="M120" s="143"/>
      <c r="N120" s="24"/>
      <c r="O120" s="143"/>
      <c r="P120" s="24"/>
      <c r="Q120" s="143"/>
      <c r="R120" s="86">
        <f>F120/J120</f>
        <v>4.6560201485287074</v>
      </c>
      <c r="S120" s="83" t="s">
        <v>1200</v>
      </c>
      <c r="T120" s="40"/>
      <c r="U120" s="24"/>
      <c r="V120" s="24"/>
      <c r="W120" s="24"/>
      <c r="X120" s="24"/>
      <c r="Y120" s="24"/>
      <c r="Z120" s="24"/>
      <c r="AA120" s="143"/>
      <c r="AB120" s="148"/>
      <c r="AC120" s="24"/>
      <c r="AD120" s="387"/>
      <c r="AE120" s="24"/>
      <c r="AF120" s="24"/>
      <c r="AG120" s="143"/>
      <c r="AH120" s="24"/>
      <c r="AI120" s="24"/>
      <c r="AJ120" s="387"/>
      <c r="AK120" s="24"/>
      <c r="AL120" s="24"/>
      <c r="AM120" s="571">
        <f>((F120-('yrP&amp;L'!$Q$16))/J120)</f>
        <v>4.0145014254514555</v>
      </c>
      <c r="AN120" s="572" t="s">
        <v>1200</v>
      </c>
      <c r="AO120" s="24"/>
      <c r="AP120" s="24"/>
      <c r="AQ120" s="24"/>
      <c r="AR120" s="24"/>
      <c r="AS120" s="24"/>
      <c r="AT120" s="24"/>
      <c r="AU120" s="24"/>
      <c r="AV120" s="24"/>
      <c r="AW120" s="24"/>
      <c r="AX120" s="24"/>
      <c r="AY120" s="24"/>
    </row>
    <row r="121" spans="1:51" hidden="1" outlineLevel="1">
      <c r="A121" s="24"/>
      <c r="B121" s="24"/>
      <c r="C121" s="24"/>
      <c r="D121" s="24"/>
      <c r="E121" s="24"/>
      <c r="F121" s="24"/>
      <c r="G121" s="24"/>
      <c r="H121" s="24"/>
      <c r="I121" s="24"/>
      <c r="J121" s="24"/>
      <c r="K121" s="24"/>
      <c r="L121" s="24"/>
      <c r="M121" s="143"/>
      <c r="N121" s="24"/>
      <c r="O121" s="143"/>
      <c r="P121" s="24"/>
      <c r="Q121" s="143"/>
      <c r="R121" s="24"/>
      <c r="S121" s="24"/>
      <c r="T121" s="40"/>
      <c r="U121" s="24"/>
      <c r="V121" s="154"/>
      <c r="W121" s="24"/>
      <c r="X121" s="24"/>
      <c r="Y121" s="24"/>
      <c r="Z121" s="24"/>
      <c r="AA121" s="143"/>
      <c r="AB121" s="148"/>
      <c r="AC121" s="24"/>
      <c r="AD121" s="81"/>
      <c r="AE121" s="24"/>
      <c r="AF121" s="24"/>
      <c r="AG121" s="143"/>
      <c r="AH121" s="148"/>
      <c r="AI121" s="24"/>
      <c r="AJ121" s="24"/>
      <c r="AK121" s="24"/>
      <c r="AL121" s="24"/>
      <c r="AM121" s="24"/>
      <c r="AN121" s="24"/>
      <c r="AO121" s="24"/>
      <c r="AP121" s="24"/>
      <c r="AQ121" s="24"/>
      <c r="AR121" s="24"/>
      <c r="AS121" s="24"/>
      <c r="AT121" s="24"/>
      <c r="AU121" s="24"/>
      <c r="AV121" s="24"/>
      <c r="AW121" s="24"/>
      <c r="AX121" s="24"/>
      <c r="AY121" s="24"/>
    </row>
    <row r="122" spans="1:51" ht="14.25" hidden="1" customHeight="1" outlineLevel="1">
      <c r="A122" s="24"/>
      <c r="B122" s="584">
        <f>B115+1</f>
        <v>2006</v>
      </c>
      <c r="C122" s="24"/>
      <c r="D122" s="24"/>
      <c r="E122" s="24"/>
      <c r="F122" s="24"/>
      <c r="G122" s="24"/>
      <c r="H122" s="24"/>
      <c r="I122" s="24"/>
      <c r="J122" s="24"/>
      <c r="K122" s="24"/>
      <c r="L122" s="24"/>
      <c r="M122" s="143"/>
      <c r="N122" s="24"/>
      <c r="O122" s="143"/>
      <c r="P122" s="24"/>
      <c r="Q122" s="143"/>
      <c r="R122" s="24"/>
      <c r="S122" s="24"/>
      <c r="T122" s="40"/>
      <c r="U122" s="24"/>
      <c r="V122" s="154"/>
      <c r="W122" s="24"/>
      <c r="X122" s="24"/>
      <c r="Y122" s="24"/>
      <c r="Z122" s="24"/>
      <c r="AA122" s="143"/>
      <c r="AB122" s="148"/>
      <c r="AC122" s="24"/>
      <c r="AD122" s="24"/>
      <c r="AE122" s="24"/>
      <c r="AF122" s="24"/>
      <c r="AG122" s="143"/>
      <c r="AH122" s="24"/>
      <c r="AI122" s="24"/>
      <c r="AJ122" s="24"/>
      <c r="AK122" s="24"/>
      <c r="AL122" s="24"/>
      <c r="AM122" s="24"/>
      <c r="AN122" s="24"/>
      <c r="AO122" s="24"/>
      <c r="AP122" s="24"/>
      <c r="AQ122" s="24"/>
      <c r="AR122" s="24"/>
      <c r="AS122" s="24"/>
      <c r="AT122" s="24"/>
      <c r="AU122" s="24"/>
      <c r="AV122" s="24"/>
      <c r="AW122" s="24"/>
      <c r="AX122" s="24"/>
      <c r="AY122" s="24"/>
    </row>
    <row r="123" spans="1:51" hidden="1" outlineLevel="1">
      <c r="A123" s="24" t="str">
        <f>$A$46</f>
        <v>1Q</v>
      </c>
      <c r="B123" s="24" t="str">
        <f>$B$11</f>
        <v>Apr</v>
      </c>
      <c r="C123" s="143"/>
      <c r="D123" s="33">
        <f>'qtrP&amp;L'!BV10</f>
        <v>2077.0909999999999</v>
      </c>
      <c r="E123" s="24"/>
      <c r="F123" s="33">
        <f>+'qtrP&amp;L'!BV$20</f>
        <v>1288.316</v>
      </c>
      <c r="G123" s="143"/>
      <c r="H123" s="33">
        <f>work!$BN$10</f>
        <v>1352.836</v>
      </c>
      <c r="I123" s="24"/>
      <c r="J123" s="33">
        <f>AVERAGE(H123,H119)</f>
        <v>1256.2629999999999</v>
      </c>
      <c r="K123" s="24"/>
      <c r="L123" s="43">
        <f>(D123/D116-1)*100</f>
        <v>5.1727856959125518</v>
      </c>
      <c r="M123" s="143" t="s">
        <v>1084</v>
      </c>
      <c r="N123" s="43">
        <f>(H123/H116-1)*100</f>
        <v>5.2105360166179615</v>
      </c>
      <c r="O123" s="143" t="s">
        <v>1084</v>
      </c>
      <c r="P123" s="43">
        <f>(H123/H119-1)*100</f>
        <v>16.654968138036885</v>
      </c>
      <c r="Q123" s="143" t="s">
        <v>1084</v>
      </c>
      <c r="R123" s="40">
        <f>F123/J123</f>
        <v>1.0255145618393602</v>
      </c>
      <c r="S123" s="24" t="s">
        <v>1200</v>
      </c>
      <c r="T123" s="40">
        <f>F124/H123</f>
        <v>1.1832306354946203</v>
      </c>
      <c r="U123" s="24"/>
      <c r="V123" s="154">
        <f>qtrSales!J131</f>
        <v>3559</v>
      </c>
      <c r="W123" s="24"/>
      <c r="X123" s="35">
        <f>H123/V123</f>
        <v>0.38011688676594552</v>
      </c>
      <c r="Y123" s="24"/>
      <c r="Z123" s="85">
        <f>(X123/X116-1)*100</f>
        <v>9.3491915497246225</v>
      </c>
      <c r="AA123" s="143" t="s">
        <v>1084</v>
      </c>
      <c r="AB123" s="148">
        <f>+'store&amp;sf'!AQ477</f>
        <v>18.9925</v>
      </c>
      <c r="AC123" s="24"/>
      <c r="AD123" s="165">
        <f>H123/AB123</f>
        <v>71.230011846781622</v>
      </c>
      <c r="AE123" s="24"/>
      <c r="AF123" s="85">
        <f>(AD123/AD116-1)*100</f>
        <v>8.7143224602410196</v>
      </c>
      <c r="AG123" s="143" t="s">
        <v>1084</v>
      </c>
      <c r="AH123" s="148">
        <f>+'store&amp;sf'!AQ295</f>
        <v>15.194000000000003</v>
      </c>
      <c r="AI123" s="24"/>
      <c r="AJ123" s="165">
        <f>+H123/AH123</f>
        <v>89.037514808477013</v>
      </c>
      <c r="AK123" s="153"/>
      <c r="AL123" s="153"/>
      <c r="AM123" s="569">
        <f>((F123-('yrP&amp;L'!$R$16/4))/J123)</f>
        <v>0.8590834482906845</v>
      </c>
      <c r="AN123" s="570" t="s">
        <v>1200</v>
      </c>
      <c r="AO123" s="428"/>
      <c r="AP123" s="165"/>
      <c r="AQ123" s="24"/>
      <c r="AR123" s="148"/>
      <c r="AS123" s="24"/>
      <c r="AT123" s="521"/>
      <c r="AU123" s="24"/>
      <c r="AV123" s="423"/>
      <c r="AW123" s="24"/>
      <c r="AX123" s="522"/>
      <c r="AY123" s="24"/>
    </row>
    <row r="124" spans="1:51" hidden="1" outlineLevel="1">
      <c r="A124" s="24" t="str">
        <f>$A$47</f>
        <v>2Q</v>
      </c>
      <c r="B124" s="24" t="str">
        <f>$B$12</f>
        <v>Jul</v>
      </c>
      <c r="C124" s="24"/>
      <c r="D124" s="34">
        <f>+'qtrP&amp;L'!BV$11</f>
        <v>2453.8519999999999</v>
      </c>
      <c r="E124" s="24"/>
      <c r="F124" s="34">
        <f>+'qtrP&amp;L'!BV$21</f>
        <v>1600.7170000000001</v>
      </c>
      <c r="G124" s="143"/>
      <c r="H124" s="94">
        <f>work!$BN$11</f>
        <v>1492.9259999999999</v>
      </c>
      <c r="I124" s="24"/>
      <c r="J124" s="34">
        <f>AVERAGE(H123:H124)</f>
        <v>1422.8809999999999</v>
      </c>
      <c r="K124" s="24"/>
      <c r="L124" s="43">
        <f>(D124/D117-1)*100</f>
        <v>7.1129655973785066</v>
      </c>
      <c r="M124" s="143"/>
      <c r="N124" s="43">
        <f>(H124/H117-1)*100</f>
        <v>22.022120364073849</v>
      </c>
      <c r="O124" s="143"/>
      <c r="P124" s="43">
        <f>(H124/H123-1)*100</f>
        <v>10.355283271586501</v>
      </c>
      <c r="Q124" s="143"/>
      <c r="R124" s="40">
        <f>F124/J124</f>
        <v>1.1249830449630014</v>
      </c>
      <c r="S124" s="24"/>
      <c r="T124" s="40">
        <f>F125/H124</f>
        <v>0.90801352511778888</v>
      </c>
      <c r="U124" s="24"/>
      <c r="V124" s="154">
        <f>qtrSales!J132</f>
        <v>3519</v>
      </c>
      <c r="W124" s="24"/>
      <c r="X124" s="40">
        <f>H124/V124</f>
        <v>0.42424722932651321</v>
      </c>
      <c r="Y124" s="24"/>
      <c r="Z124" s="85">
        <f>(X124/X117-1)*100</f>
        <v>27.119378589001066</v>
      </c>
      <c r="AA124" s="143"/>
      <c r="AB124" s="148">
        <f>+'store&amp;sf'!AQ478</f>
        <v>18.766249999999999</v>
      </c>
      <c r="AC124" s="24"/>
      <c r="AD124" s="387">
        <f>H124/AB124</f>
        <v>79.553773396389801</v>
      </c>
      <c r="AE124" s="24"/>
      <c r="AF124" s="85">
        <f>(AD124/AD117-1)*100</f>
        <v>26.996311908922532</v>
      </c>
      <c r="AG124" s="143"/>
      <c r="AH124" s="148">
        <f>+'store&amp;sf'!AQ296</f>
        <v>15.013000000000002</v>
      </c>
      <c r="AI124" s="24"/>
      <c r="AJ124" s="387">
        <f>+H124/AH124</f>
        <v>99.442216745487229</v>
      </c>
      <c r="AK124" s="154"/>
      <c r="AL124" s="154"/>
      <c r="AM124" s="569">
        <f>((F124-('yrP&amp;L'!$R$16/4))/J124)</f>
        <v>0.97804085513827244</v>
      </c>
      <c r="AN124" s="570"/>
      <c r="AO124" s="154"/>
      <c r="AP124" s="266"/>
      <c r="AQ124" s="194"/>
      <c r="AR124" s="148"/>
      <c r="AS124" s="194"/>
      <c r="AT124" s="266"/>
      <c r="AU124" s="194"/>
      <c r="AV124" s="423"/>
      <c r="AW124" s="194"/>
      <c r="AX124" s="522"/>
      <c r="AY124" s="24"/>
    </row>
    <row r="125" spans="1:51" hidden="1" outlineLevel="1">
      <c r="A125" s="24" t="str">
        <f>$A$48</f>
        <v>3Q</v>
      </c>
      <c r="B125" s="24" t="str">
        <f>$B$13</f>
        <v>Oct</v>
      </c>
      <c r="C125" s="24"/>
      <c r="D125" s="34">
        <f>+'qtrP&amp;L'!BV$12</f>
        <v>2114.9540000000002</v>
      </c>
      <c r="E125" s="24"/>
      <c r="F125" s="34">
        <f>+'qtrP&amp;L'!BV$22</f>
        <v>1355.597</v>
      </c>
      <c r="G125" s="24"/>
      <c r="H125" s="94">
        <f>work!$BN$12</f>
        <v>2174.9009999999998</v>
      </c>
      <c r="I125" s="24"/>
      <c r="J125" s="34">
        <f>AVERAGE(H124:H125)</f>
        <v>1833.9134999999999</v>
      </c>
      <c r="K125" s="24"/>
      <c r="L125" s="43">
        <f>(D125/D118-1)*100</f>
        <v>11.810572382135099</v>
      </c>
      <c r="M125" s="143"/>
      <c r="N125" s="43">
        <f>(H125/H118-1)*100</f>
        <v>29.614624770929243</v>
      </c>
      <c r="O125" s="143"/>
      <c r="P125" s="43">
        <f>(H125/H124-1)*100</f>
        <v>45.68042890270516</v>
      </c>
      <c r="Q125" s="143"/>
      <c r="R125" s="40">
        <f>F125/J125</f>
        <v>0.73918262775207233</v>
      </c>
      <c r="S125" s="24"/>
      <c r="T125" s="40">
        <f>F126/H125</f>
        <v>1.1092261210970065</v>
      </c>
      <c r="U125" s="24"/>
      <c r="V125" s="154">
        <f>qtrSales!J133</f>
        <v>3534</v>
      </c>
      <c r="W125" s="24"/>
      <c r="X125" s="40">
        <f>H125/V125</f>
        <v>0.61542190152801357</v>
      </c>
      <c r="Y125" s="24"/>
      <c r="Z125" s="85">
        <f>(X125/X118-1)*100</f>
        <v>34.859359163188145</v>
      </c>
      <c r="AA125" s="143"/>
      <c r="AB125" s="148">
        <f>+'store&amp;sf'!AQ479</f>
        <v>18.827499999999997</v>
      </c>
      <c r="AC125" s="24"/>
      <c r="AD125" s="387">
        <f>H125/AB125</f>
        <v>115.51724870535122</v>
      </c>
      <c r="AE125" s="24"/>
      <c r="AF125" s="85">
        <f>(AD125/AD118-1)*100</f>
        <v>35.423273802955379</v>
      </c>
      <c r="AG125" s="143"/>
      <c r="AH125" s="148">
        <f>+'store&amp;sf'!AQ297</f>
        <v>15.060000000000002</v>
      </c>
      <c r="AI125" s="24"/>
      <c r="AJ125" s="387">
        <f>+H125/AH125</f>
        <v>144.4157370517928</v>
      </c>
      <c r="AK125" s="154"/>
      <c r="AL125" s="154"/>
      <c r="AM125" s="569">
        <f>((F125-('yrP&amp;L'!$R$16/4))/J125)</f>
        <v>0.62517438799594427</v>
      </c>
      <c r="AN125" s="570"/>
      <c r="AO125" s="154"/>
      <c r="AP125" s="266"/>
      <c r="AQ125" s="194"/>
      <c r="AR125" s="148"/>
      <c r="AS125" s="194"/>
      <c r="AT125" s="266"/>
      <c r="AU125" s="194"/>
      <c r="AV125" s="423"/>
      <c r="AW125" s="194"/>
      <c r="AX125" s="24"/>
      <c r="AY125" s="24"/>
    </row>
    <row r="126" spans="1:51" hidden="1" outlineLevel="1">
      <c r="A126" s="24" t="str">
        <f>$A$49</f>
        <v>4Q</v>
      </c>
      <c r="B126" s="24" t="str">
        <f>$B$14</f>
        <v>Jan</v>
      </c>
      <c r="C126" s="24"/>
      <c r="D126" s="38">
        <f>+'qtrP&amp;L'!BV$13</f>
        <v>4024.7020000000002</v>
      </c>
      <c r="E126" s="24"/>
      <c r="F126" s="38">
        <f>+'qtrP&amp;L'!BV$23</f>
        <v>2412.4570000000003</v>
      </c>
      <c r="G126" s="24"/>
      <c r="H126" s="94">
        <f>+bal!AK$11</f>
        <v>1769.9739999999999</v>
      </c>
      <c r="I126" s="24"/>
      <c r="J126" s="38">
        <f>AVERAGE(H125:H126)</f>
        <v>1972.4375</v>
      </c>
      <c r="K126" s="24"/>
      <c r="L126" s="84">
        <f>(D126/D119-1)*100</f>
        <v>14.625502858729632</v>
      </c>
      <c r="M126" s="143"/>
      <c r="N126" s="85">
        <f>(H126/H119-1)*100</f>
        <v>52.624753166794555</v>
      </c>
      <c r="O126" s="143"/>
      <c r="P126" s="43">
        <f>(H126/H125-1)*100</f>
        <v>-18.61818078156201</v>
      </c>
      <c r="Q126" s="143"/>
      <c r="R126" s="40">
        <f>F126/J126</f>
        <v>1.2230841281409426</v>
      </c>
      <c r="S126" s="24"/>
      <c r="T126" s="40">
        <f>F130/H126</f>
        <v>0.85655777994479021</v>
      </c>
      <c r="U126" s="24"/>
      <c r="V126" s="154">
        <f>qtrSales!J134</f>
        <v>3766</v>
      </c>
      <c r="W126" s="24"/>
      <c r="X126" s="40">
        <f>H126/V126</f>
        <v>0.46998778544875197</v>
      </c>
      <c r="Y126" s="24"/>
      <c r="Z126" s="85">
        <f>(X126/X119-1)*100</f>
        <v>45.4919978408902</v>
      </c>
      <c r="AA126" s="143"/>
      <c r="AB126" s="148">
        <f>+'store&amp;sf'!AQ480</f>
        <v>19.647500000000001</v>
      </c>
      <c r="AC126" s="24"/>
      <c r="AD126" s="387">
        <f>H126/AB126</f>
        <v>90.086474106120363</v>
      </c>
      <c r="AE126" s="24"/>
      <c r="AF126" s="85">
        <f>(AD126/AD119-1)*100</f>
        <v>48.876620152264508</v>
      </c>
      <c r="AG126" s="143"/>
      <c r="AH126" s="148">
        <f>+'store&amp;sf'!AQ298</f>
        <v>14.771000000000003</v>
      </c>
      <c r="AI126" s="24"/>
      <c r="AJ126" s="387">
        <f>+H126/AH126</f>
        <v>119.82763523119624</v>
      </c>
      <c r="AK126" s="154"/>
      <c r="AL126" s="154"/>
      <c r="AM126" s="569">
        <f>((F126-('yrP&amp;L'!$R$16/4))/J126)</f>
        <v>1.1170826705535664</v>
      </c>
      <c r="AN126" s="573"/>
      <c r="AO126" s="154"/>
      <c r="AP126" s="266"/>
      <c r="AQ126" s="195"/>
      <c r="AR126" s="148"/>
      <c r="AS126" s="195"/>
      <c r="AT126" s="266"/>
      <c r="AU126" s="195"/>
      <c r="AV126" s="423"/>
      <c r="AW126" s="195"/>
      <c r="AX126" s="24"/>
      <c r="AY126" s="24"/>
    </row>
    <row r="127" spans="1:51" hidden="1" outlineLevel="1">
      <c r="A127" s="24"/>
      <c r="B127" s="24" t="str">
        <f>$B$15</f>
        <v>Year</v>
      </c>
      <c r="C127" s="24"/>
      <c r="D127" s="33">
        <f>SUM(D123:D126)</f>
        <v>10670.598999999998</v>
      </c>
      <c r="E127" s="24"/>
      <c r="F127" s="33">
        <f>SUM(F123:F126)</f>
        <v>6657.0870000000004</v>
      </c>
      <c r="G127" s="24"/>
      <c r="H127" s="24"/>
      <c r="I127" s="24"/>
      <c r="J127" s="33">
        <f>AVERAGE(J123:J126)</f>
        <v>1621.37375</v>
      </c>
      <c r="K127" s="24"/>
      <c r="L127" s="43">
        <f>(D127/D120-1)*100</f>
        <v>10.363902211280895</v>
      </c>
      <c r="M127" s="143"/>
      <c r="N127" s="24"/>
      <c r="O127" s="143"/>
      <c r="P127" s="24"/>
      <c r="Q127" s="143"/>
      <c r="R127" s="86">
        <f>F127/J127</f>
        <v>4.1058312434131858</v>
      </c>
      <c r="S127" s="83" t="s">
        <v>1200</v>
      </c>
      <c r="T127" s="40"/>
      <c r="U127" s="24"/>
      <c r="V127" s="24"/>
      <c r="W127" s="24"/>
      <c r="X127" s="24"/>
      <c r="Y127" s="24"/>
      <c r="Z127" s="24"/>
      <c r="AA127" s="143"/>
      <c r="AB127" s="148"/>
      <c r="AC127" s="24"/>
      <c r="AD127" s="387"/>
      <c r="AE127" s="24"/>
      <c r="AF127" s="24"/>
      <c r="AG127" s="143"/>
      <c r="AH127" s="24"/>
      <c r="AI127" s="24"/>
      <c r="AJ127" s="387"/>
      <c r="AK127" s="24"/>
      <c r="AL127" s="24"/>
      <c r="AM127" s="571">
        <f>((F127-('yrP&amp;L'!$R$16))/J127)</f>
        <v>3.5900186493089583</v>
      </c>
      <c r="AN127" s="572" t="s">
        <v>1200</v>
      </c>
      <c r="AO127" s="24"/>
      <c r="AP127" s="24"/>
      <c r="AQ127" s="24"/>
      <c r="AR127" s="24"/>
      <c r="AS127" s="24"/>
      <c r="AT127" s="24"/>
      <c r="AU127" s="24"/>
      <c r="AV127" s="24"/>
      <c r="AW127" s="24"/>
      <c r="AX127" s="24"/>
      <c r="AY127" s="24"/>
    </row>
    <row r="128" spans="1:51" hidden="1" outlineLevel="1">
      <c r="A128" s="24"/>
      <c r="B128" s="24"/>
      <c r="C128" s="24"/>
      <c r="D128" s="33"/>
      <c r="E128" s="24"/>
      <c r="F128" s="33"/>
      <c r="G128" s="24"/>
      <c r="H128" s="33"/>
      <c r="I128" s="24"/>
      <c r="J128" s="33"/>
      <c r="K128" s="24"/>
      <c r="L128" s="43"/>
      <c r="M128" s="24"/>
      <c r="N128" s="43"/>
      <c r="O128" s="24"/>
      <c r="P128" s="43"/>
      <c r="Q128" s="24"/>
      <c r="R128" s="40"/>
      <c r="S128" s="24"/>
      <c r="T128" s="124"/>
      <c r="U128" s="24"/>
      <c r="V128" s="154"/>
      <c r="W128" s="24"/>
      <c r="X128" s="35"/>
      <c r="Y128" s="24"/>
      <c r="Z128" s="85"/>
      <c r="AA128" s="143"/>
      <c r="AB128" s="149"/>
      <c r="AC128" s="24"/>
      <c r="AD128" s="24"/>
      <c r="AE128" s="24"/>
      <c r="AF128" s="85"/>
      <c r="AG128" s="143"/>
      <c r="AH128" s="149"/>
      <c r="AI128" s="24"/>
      <c r="AJ128" s="24"/>
      <c r="AK128" s="24"/>
      <c r="AL128" s="24"/>
      <c r="AM128" s="24"/>
      <c r="AN128" s="24"/>
      <c r="AO128" s="24"/>
      <c r="AP128" s="24"/>
      <c r="AQ128" s="24"/>
      <c r="AR128" s="24"/>
      <c r="AS128" s="24"/>
      <c r="AT128" s="24"/>
      <c r="AU128" s="24"/>
      <c r="AV128" s="24"/>
      <c r="AW128" s="24"/>
      <c r="AX128" s="24"/>
      <c r="AY128" s="24"/>
    </row>
    <row r="129" spans="1:51" ht="14.25" hidden="1" customHeight="1" outlineLevel="1">
      <c r="A129" s="24"/>
      <c r="B129" s="584">
        <f>B122+1</f>
        <v>2007</v>
      </c>
      <c r="C129" s="24"/>
      <c r="D129" s="24"/>
      <c r="E129" s="24"/>
      <c r="F129" s="24"/>
      <c r="G129" s="24"/>
      <c r="H129" s="24"/>
      <c r="I129" s="24"/>
      <c r="J129" s="24"/>
      <c r="K129" s="24"/>
      <c r="L129" s="24"/>
      <c r="M129" s="143"/>
      <c r="N129" s="24"/>
      <c r="O129" s="143"/>
      <c r="P129" s="24"/>
      <c r="Q129" s="143"/>
      <c r="R129" s="24"/>
      <c r="S129" s="24"/>
      <c r="T129" s="40"/>
      <c r="U129" s="24"/>
      <c r="V129" s="154"/>
      <c r="W129" s="24"/>
      <c r="X129" s="24"/>
      <c r="Y129" s="24"/>
      <c r="Z129" s="24"/>
      <c r="AA129" s="143"/>
      <c r="AB129" s="148"/>
      <c r="AC129" s="24"/>
      <c r="AD129" s="24"/>
      <c r="AE129" s="24"/>
      <c r="AF129" s="24"/>
      <c r="AG129" s="143"/>
      <c r="AH129" s="24"/>
      <c r="AI129" s="24"/>
      <c r="AJ129" s="24"/>
      <c r="AK129" s="24"/>
      <c r="AL129" s="24"/>
      <c r="AM129" s="24"/>
      <c r="AN129" s="24"/>
      <c r="AO129" s="24"/>
      <c r="AP129" s="24"/>
      <c r="AQ129" s="24"/>
      <c r="AR129" s="24"/>
      <c r="AS129" s="24"/>
      <c r="AT129" s="24"/>
      <c r="AU129" s="24"/>
      <c r="AV129" s="24"/>
      <c r="AW129" s="24"/>
      <c r="AX129" s="24"/>
      <c r="AY129" s="24"/>
    </row>
    <row r="130" spans="1:51" hidden="1" outlineLevel="1">
      <c r="A130" s="24" t="str">
        <f>$A$46</f>
        <v>1Q</v>
      </c>
      <c r="B130" s="24" t="str">
        <f>$B$11</f>
        <v>Apr</v>
      </c>
      <c r="C130" s="143"/>
      <c r="D130" s="33">
        <f>'qtrP&amp;L'!BZ10</f>
        <v>2310.8429999999998</v>
      </c>
      <c r="E130" s="24"/>
      <c r="F130" s="33">
        <f>'qtrP&amp;L'!BZ20</f>
        <v>1516.085</v>
      </c>
      <c r="G130" s="143"/>
      <c r="H130" s="240">
        <f>work!BR10</f>
        <v>1815.998</v>
      </c>
      <c r="I130" s="24"/>
      <c r="J130" s="33">
        <f>AVERAGE(H130,H126)</f>
        <v>1792.9859999999999</v>
      </c>
      <c r="K130" s="24"/>
      <c r="L130" s="43">
        <f>(D130/D123-1)*100</f>
        <v>11.253816034059172</v>
      </c>
      <c r="M130" s="143" t="s">
        <v>1084</v>
      </c>
      <c r="N130" s="43">
        <f>(H130/H123-1)*100</f>
        <v>34.236374549464976</v>
      </c>
      <c r="O130" s="143" t="s">
        <v>1084</v>
      </c>
      <c r="P130" s="43">
        <f>(H130/H126-1)*100</f>
        <v>2.6002641846716523</v>
      </c>
      <c r="Q130" s="143" t="s">
        <v>1084</v>
      </c>
      <c r="R130" s="40">
        <f>F130/J130</f>
        <v>0.84556432677109594</v>
      </c>
      <c r="S130" s="24" t="s">
        <v>1200</v>
      </c>
      <c r="T130" s="40">
        <f>F131/H130</f>
        <v>0.99727863136413142</v>
      </c>
      <c r="U130" s="24"/>
      <c r="V130" s="154">
        <f>qtrSales!J138</f>
        <v>3736</v>
      </c>
      <c r="W130" s="24"/>
      <c r="X130" s="35">
        <f>H130/V130</f>
        <v>0.48608083511777306</v>
      </c>
      <c r="Y130" s="24"/>
      <c r="Z130" s="85">
        <f>(X130/X123-1)*100</f>
        <v>27.876674791634336</v>
      </c>
      <c r="AA130" s="143" t="s">
        <v>1084</v>
      </c>
      <c r="AB130" s="148">
        <f>'store&amp;sf'!AQ483</f>
        <v>19.241250000000001</v>
      </c>
      <c r="AC130" s="24"/>
      <c r="AD130" s="165">
        <f>H130/AB130</f>
        <v>94.380458650035735</v>
      </c>
      <c r="AE130" s="24"/>
      <c r="AF130" s="85">
        <f>(AD130/AD123-1)*100</f>
        <v>32.50097283860007</v>
      </c>
      <c r="AG130" s="143" t="s">
        <v>1084</v>
      </c>
      <c r="AH130" s="148">
        <f>'store&amp;sf'!AQ301</f>
        <v>14.558999999999999</v>
      </c>
      <c r="AI130" s="24"/>
      <c r="AJ130" s="165">
        <f>+H130/AH130</f>
        <v>124.73370423792844</v>
      </c>
      <c r="AK130" s="153"/>
      <c r="AL130" s="153"/>
      <c r="AM130" s="569">
        <f>((F130-('yrP&amp;L'!$S$16/4))/J130)</f>
        <v>0.74499535969606023</v>
      </c>
      <c r="AN130" s="570" t="s">
        <v>1200</v>
      </c>
      <c r="AO130" s="428"/>
      <c r="AP130" s="165"/>
      <c r="AQ130" s="24"/>
      <c r="AR130" s="148"/>
      <c r="AS130" s="24"/>
      <c r="AT130" s="521"/>
      <c r="AU130" s="24"/>
      <c r="AV130" s="423"/>
      <c r="AW130" s="24"/>
      <c r="AX130" s="522"/>
      <c r="AY130" s="24"/>
    </row>
    <row r="131" spans="1:51" hidden="1" outlineLevel="1">
      <c r="A131" s="24" t="str">
        <f>$A$47</f>
        <v>2Q</v>
      </c>
      <c r="B131" s="24" t="str">
        <f>$B$12</f>
        <v>Jul</v>
      </c>
      <c r="C131" s="24"/>
      <c r="D131" s="34">
        <f>'qtrP&amp;L'!BZ11</f>
        <v>2624.0770000000002</v>
      </c>
      <c r="E131" s="24"/>
      <c r="F131" s="34">
        <f>'qtrP&amp;L'!BZ21</f>
        <v>1811.056</v>
      </c>
      <c r="G131" s="143"/>
      <c r="H131" s="579">
        <f>work!BR11</f>
        <v>1468.1969999999999</v>
      </c>
      <c r="I131" s="24"/>
      <c r="J131" s="34">
        <f>AVERAGE(H130:H131)</f>
        <v>1642.0974999999999</v>
      </c>
      <c r="K131" s="24"/>
      <c r="L131" s="43">
        <f>(D131/D124-1)*100</f>
        <v>6.9370524383703724</v>
      </c>
      <c r="M131" s="143"/>
      <c r="N131" s="43">
        <f>(H131/H124-1)*100</f>
        <v>-1.6564116372814186</v>
      </c>
      <c r="O131" s="143"/>
      <c r="P131" s="43">
        <f>(H131/H130-1)*100</f>
        <v>-19.152058537509408</v>
      </c>
      <c r="Q131" s="143"/>
      <c r="R131" s="40">
        <f>F131/J131</f>
        <v>1.1028918806587309</v>
      </c>
      <c r="S131" s="24"/>
      <c r="T131" s="40">
        <f>F132/H131</f>
        <v>0.89649209200127788</v>
      </c>
      <c r="U131" s="24"/>
      <c r="V131" s="154">
        <f>qtrSales!J139</f>
        <v>2854</v>
      </c>
      <c r="W131" s="24"/>
      <c r="X131" s="40">
        <f>H131/V131</f>
        <v>0.51443482831114218</v>
      </c>
      <c r="Y131" s="24"/>
      <c r="Z131" s="85">
        <f>(X131/X124-1)*100</f>
        <v>21.258264698110253</v>
      </c>
      <c r="AA131" s="143"/>
      <c r="AB131" s="148">
        <f>'store&amp;sf'!AQ484</f>
        <v>12.241249999999999</v>
      </c>
      <c r="AC131" s="24"/>
      <c r="AD131" s="387">
        <f>H131/AB131</f>
        <v>119.93848667415502</v>
      </c>
      <c r="AE131" s="24"/>
      <c r="AF131" s="917">
        <f>(AD131/AD124-1)*100</f>
        <v>50.764044939190647</v>
      </c>
      <c r="AG131" s="143"/>
      <c r="AH131" s="148">
        <f>'store&amp;sf'!AQ302</f>
        <v>9.793000000000001</v>
      </c>
      <c r="AI131" s="24"/>
      <c r="AJ131" s="387">
        <f>+H131/AH131</f>
        <v>149.92310834269372</v>
      </c>
      <c r="AK131" s="154"/>
      <c r="AL131" s="154"/>
      <c r="AM131" s="569">
        <f>((F131-('yrP&amp;L'!$S$16/4))/J131)</f>
        <v>0.99308186633254136</v>
      </c>
      <c r="AN131" s="570"/>
      <c r="AO131" s="154"/>
      <c r="AP131" s="266"/>
      <c r="AQ131" s="194"/>
      <c r="AR131" s="148"/>
      <c r="AS131" s="194"/>
      <c r="AT131" s="266"/>
      <c r="AU131" s="194"/>
      <c r="AV131" s="423"/>
      <c r="AW131" s="194"/>
      <c r="AX131" s="522"/>
      <c r="AY131" s="24"/>
    </row>
    <row r="132" spans="1:51" hidden="1" outlineLevel="1">
      <c r="A132" s="24" t="str">
        <f>$A$48</f>
        <v>3Q</v>
      </c>
      <c r="B132" s="24" t="str">
        <f>$B$13</f>
        <v>Oct</v>
      </c>
      <c r="C132" s="24"/>
      <c r="D132" s="34">
        <f>'qtrP&amp;L'!BZ12</f>
        <v>1923.104</v>
      </c>
      <c r="E132" s="24"/>
      <c r="F132" s="34">
        <f>'qtrP&amp;L'!BZ22</f>
        <v>1316.2270000000001</v>
      </c>
      <c r="G132" s="24"/>
      <c r="H132" s="579">
        <f>work!BR12</f>
        <v>1792.306</v>
      </c>
      <c r="I132" s="24"/>
      <c r="J132" s="34">
        <f>AVERAGE(H131:H132)</f>
        <v>1630.2514999999999</v>
      </c>
      <c r="K132" s="24"/>
      <c r="L132" s="43">
        <f>(D132/D125-1)*100</f>
        <v>-9.0711192772987115</v>
      </c>
      <c r="M132" s="143"/>
      <c r="N132" s="43">
        <f>(H132/H125-1)*100</f>
        <v>-17.591375423525012</v>
      </c>
      <c r="O132" s="143"/>
      <c r="P132" s="43">
        <f>(H132/H131-1)*100</f>
        <v>22.075307332735328</v>
      </c>
      <c r="Q132" s="143"/>
      <c r="R132" s="40">
        <f>F132/J132</f>
        <v>0.80737665323417906</v>
      </c>
      <c r="S132" s="24"/>
      <c r="T132" s="40">
        <f>F133/H132</f>
        <v>1.1044414290863278</v>
      </c>
      <c r="U132" s="24"/>
      <c r="V132" s="154">
        <f>qtrSales!J140</f>
        <v>2918</v>
      </c>
      <c r="W132" s="24"/>
      <c r="X132" s="40">
        <f>H132/V132</f>
        <v>0.61422412611377653</v>
      </c>
      <c r="Y132" s="24"/>
      <c r="Z132" s="85">
        <f>(X132/X125-1)*100</f>
        <v>-0.19462671238431595</v>
      </c>
      <c r="AA132" s="143"/>
      <c r="AB132" s="148">
        <f>'store&amp;sf'!AQ485</f>
        <v>12.741250000000001</v>
      </c>
      <c r="AC132" s="24"/>
      <c r="AD132" s="387">
        <f>H132/AB132</f>
        <v>140.66955753948787</v>
      </c>
      <c r="AE132" s="24"/>
      <c r="AF132" s="917">
        <f>(AD132/AD125-1)*100</f>
        <v>21.77363910241008</v>
      </c>
      <c r="AG132" s="143"/>
      <c r="AH132" s="148">
        <f>'store&amp;sf'!AQ303</f>
        <v>10.193000000000001</v>
      </c>
      <c r="AI132" s="24"/>
      <c r="AJ132" s="387">
        <f>+H132/AH132</f>
        <v>175.83694692435984</v>
      </c>
      <c r="AK132" s="154"/>
      <c r="AL132" s="154"/>
      <c r="AM132" s="569">
        <f>((F132-('yrP&amp;L'!$S$16/4))/J132)</f>
        <v>0.69676871942764673</v>
      </c>
      <c r="AN132" s="570"/>
      <c r="AO132" s="154"/>
      <c r="AP132" s="266"/>
      <c r="AQ132" s="194"/>
      <c r="AR132" s="148"/>
      <c r="AS132" s="194"/>
      <c r="AT132" s="266"/>
      <c r="AU132" s="194"/>
      <c r="AV132" s="423"/>
      <c r="AW132" s="194"/>
      <c r="AX132" s="24"/>
      <c r="AY132" s="24"/>
    </row>
    <row r="133" spans="1:51" hidden="1" outlineLevel="1">
      <c r="A133" s="24" t="str">
        <f>$A$49</f>
        <v>4Q</v>
      </c>
      <c r="B133" s="24" t="str">
        <f>$B$14</f>
        <v>Jan</v>
      </c>
      <c r="C133" s="24"/>
      <c r="D133" s="38">
        <f>'qtrP&amp;L'!BZ13</f>
        <v>3228.3440000000001</v>
      </c>
      <c r="E133" s="24"/>
      <c r="F133" s="38">
        <f>'qtrP&amp;L'!BZ23</f>
        <v>1979.4970000000001</v>
      </c>
      <c r="G133" s="24"/>
      <c r="H133" s="579">
        <f>bal!$AM$11</f>
        <v>1251</v>
      </c>
      <c r="I133" s="24"/>
      <c r="J133" s="38">
        <f>AVERAGE(H132:H133)</f>
        <v>1521.653</v>
      </c>
      <c r="K133" s="24"/>
      <c r="L133" s="84">
        <f>(D133/D126-1)*100</f>
        <v>-19.786756882869838</v>
      </c>
      <c r="M133" s="143"/>
      <c r="N133" s="85">
        <f>(H133/H126-1)*100</f>
        <v>-29.320995675642692</v>
      </c>
      <c r="O133" s="143"/>
      <c r="P133" s="43">
        <f>(H133/H132-1)*100</f>
        <v>-30.201650834176753</v>
      </c>
      <c r="Q133" s="143"/>
      <c r="R133" s="40">
        <f>F133/J133</f>
        <v>1.300885944430169</v>
      </c>
      <c r="S133" s="24"/>
      <c r="T133" s="40">
        <f>F137/H133</f>
        <v>1.0263493205435652</v>
      </c>
      <c r="U133" s="24"/>
      <c r="V133" s="154">
        <f>qtrSales!J141</f>
        <v>2926</v>
      </c>
      <c r="W133" s="24"/>
      <c r="X133" s="40">
        <f>H133/V133</f>
        <v>0.42754613807245384</v>
      </c>
      <c r="Y133" s="24"/>
      <c r="Z133" s="85">
        <f>(X133/X126-1)*100</f>
        <v>-9.0303724246310288</v>
      </c>
      <c r="AA133" s="143"/>
      <c r="AB133" s="148">
        <f>'store&amp;sf'!AQ486</f>
        <v>12.887499999999999</v>
      </c>
      <c r="AC133" s="24"/>
      <c r="AD133" s="387">
        <f>H133/AB133</f>
        <v>97.070805043646956</v>
      </c>
      <c r="AE133" s="24"/>
      <c r="AF133" s="85">
        <f>(AD133/AD126-1)*100</f>
        <v>7.7529185228174979</v>
      </c>
      <c r="AG133" s="143"/>
      <c r="AH133" s="148">
        <f>'store&amp;sf'!AQ304</f>
        <v>10.31</v>
      </c>
      <c r="AI133" s="24"/>
      <c r="AJ133" s="387">
        <f>+H133/AH133</f>
        <v>121.33850630455868</v>
      </c>
      <c r="AK133" s="154"/>
      <c r="AL133" s="154"/>
      <c r="AM133" s="569">
        <f>((F133-('yrP&amp;L'!$S$16/4))/J133)</f>
        <v>1.1823840586520056</v>
      </c>
      <c r="AN133" s="573"/>
      <c r="AO133" s="154"/>
      <c r="AP133" s="266"/>
      <c r="AQ133" s="195"/>
      <c r="AR133" s="148"/>
      <c r="AS133" s="195"/>
      <c r="AT133" s="266"/>
      <c r="AU133" s="195"/>
      <c r="AV133" s="423"/>
      <c r="AW133" s="195"/>
      <c r="AX133" s="24"/>
      <c r="AY133" s="24"/>
    </row>
    <row r="134" spans="1:51" hidden="1" outlineLevel="1">
      <c r="A134" s="24"/>
      <c r="B134" s="24" t="str">
        <f>$B$15</f>
        <v>Year</v>
      </c>
      <c r="C134" s="24"/>
      <c r="D134" s="33">
        <f>SUM(D130:D133)</f>
        <v>10086.368</v>
      </c>
      <c r="E134" s="24"/>
      <c r="F134" s="33">
        <f>SUM(F130:F133)</f>
        <v>6622.8650000000007</v>
      </c>
      <c r="G134" s="24"/>
      <c r="H134" s="24"/>
      <c r="I134" s="24"/>
      <c r="J134" s="33">
        <f>AVERAGE(J130:J133)</f>
        <v>1646.7469999999998</v>
      </c>
      <c r="K134" s="24"/>
      <c r="L134" s="43">
        <f>(D134/D127-1)*100</f>
        <v>-5.4751471777732208</v>
      </c>
      <c r="M134" s="143"/>
      <c r="N134" s="24"/>
      <c r="O134" s="143"/>
      <c r="P134" s="24"/>
      <c r="Q134" s="143"/>
      <c r="R134" s="86">
        <f>F134/J134</f>
        <v>4.0217865889538595</v>
      </c>
      <c r="S134" s="83" t="s">
        <v>1200</v>
      </c>
      <c r="T134" s="40"/>
      <c r="U134" s="24"/>
      <c r="V134" s="24"/>
      <c r="W134" s="24"/>
      <c r="X134" s="24"/>
      <c r="Y134" s="24"/>
      <c r="Z134" s="24"/>
      <c r="AA134" s="143"/>
      <c r="AB134" s="148"/>
      <c r="AC134" s="24"/>
      <c r="AD134" s="387"/>
      <c r="AE134" s="24"/>
      <c r="AF134" s="24"/>
      <c r="AG134" s="143"/>
      <c r="AH134" s="24"/>
      <c r="AI134" s="24"/>
      <c r="AJ134" s="387"/>
      <c r="AK134" s="24"/>
      <c r="AL134" s="24"/>
      <c r="AM134" s="571">
        <f>((F134-('yrP&amp;L'!$S$16))/J134)</f>
        <v>3.583786701903815</v>
      </c>
      <c r="AN134" s="572" t="s">
        <v>1200</v>
      </c>
      <c r="AO134" s="24"/>
      <c r="AP134" s="24"/>
      <c r="AQ134" s="24"/>
      <c r="AR134" s="24"/>
      <c r="AS134" s="24"/>
      <c r="AT134" s="24"/>
      <c r="AU134" s="24"/>
      <c r="AV134" s="24"/>
      <c r="AW134" s="24"/>
      <c r="AX134" s="24"/>
      <c r="AY134" s="24"/>
    </row>
    <row r="135" spans="1:51" hidden="1" outlineLevel="1">
      <c r="A135" s="24"/>
      <c r="B135" s="24"/>
      <c r="C135" s="24"/>
      <c r="D135" s="33"/>
      <c r="E135" s="24"/>
      <c r="F135" s="33"/>
      <c r="G135" s="24"/>
      <c r="H135" s="24"/>
      <c r="I135" s="24"/>
      <c r="J135" s="33"/>
      <c r="K135" s="24"/>
      <c r="L135" s="43"/>
      <c r="M135" s="143"/>
      <c r="N135" s="24"/>
      <c r="O135" s="143"/>
      <c r="P135" s="24"/>
      <c r="Q135" s="143"/>
      <c r="R135" s="918"/>
      <c r="S135" s="30"/>
      <c r="T135" s="40"/>
      <c r="U135" s="24"/>
      <c r="V135" s="154"/>
      <c r="W135" s="24"/>
      <c r="X135" s="24"/>
      <c r="Y135" s="24"/>
      <c r="Z135" s="24"/>
      <c r="AA135" s="143"/>
      <c r="AB135" s="148"/>
      <c r="AC135" s="24"/>
      <c r="AD135" s="387"/>
      <c r="AE135" s="24"/>
      <c r="AF135" s="24"/>
      <c r="AG135" s="143"/>
      <c r="AH135" s="24"/>
      <c r="AI135" s="24"/>
      <c r="AJ135" s="387"/>
      <c r="AK135" s="24"/>
      <c r="AL135" s="24"/>
      <c r="AM135" s="569"/>
      <c r="AN135" s="573"/>
      <c r="AO135" s="24"/>
      <c r="AP135" s="24"/>
      <c r="AQ135" s="24"/>
      <c r="AR135" s="24"/>
      <c r="AS135" s="24"/>
      <c r="AT135" s="24"/>
      <c r="AU135" s="24"/>
      <c r="AV135" s="24"/>
      <c r="AW135" s="24"/>
      <c r="AX135" s="24"/>
      <c r="AY135" s="24"/>
    </row>
    <row r="136" spans="1:51" ht="14.25" hidden="1" customHeight="1" outlineLevel="1">
      <c r="A136" s="24"/>
      <c r="B136" s="584">
        <f>B129+1</f>
        <v>2008</v>
      </c>
      <c r="C136" s="24"/>
      <c r="D136" s="24"/>
      <c r="E136" s="24"/>
      <c r="F136" s="24"/>
      <c r="G136" s="24"/>
      <c r="H136" s="24"/>
      <c r="I136" s="24"/>
      <c r="J136" s="24"/>
      <c r="K136" s="24"/>
      <c r="L136" s="24"/>
      <c r="M136" s="143"/>
      <c r="N136" s="24"/>
      <c r="O136" s="143"/>
      <c r="P136" s="24"/>
      <c r="Q136" s="143"/>
      <c r="R136" s="24"/>
      <c r="S136" s="24"/>
      <c r="T136" s="40"/>
      <c r="U136" s="24"/>
      <c r="V136" s="154"/>
      <c r="W136" s="24"/>
      <c r="X136" s="24"/>
      <c r="Y136" s="24"/>
      <c r="Z136" s="24"/>
      <c r="AA136" s="143"/>
      <c r="AB136" s="148"/>
      <c r="AC136" s="24"/>
      <c r="AD136" s="24"/>
      <c r="AE136" s="24"/>
      <c r="AF136" s="24"/>
      <c r="AG136" s="143"/>
      <c r="AH136" s="24"/>
      <c r="AI136" s="24"/>
      <c r="AJ136" s="24"/>
      <c r="AK136" s="24"/>
      <c r="AL136" s="24"/>
      <c r="AM136" s="24"/>
      <c r="AN136" s="24"/>
      <c r="AO136" s="24"/>
      <c r="AP136" s="24"/>
      <c r="AQ136" s="24"/>
      <c r="AR136" s="24"/>
      <c r="AS136" s="24"/>
      <c r="AT136" s="24"/>
      <c r="AU136" s="24"/>
      <c r="AV136" s="24"/>
      <c r="AW136" s="24"/>
      <c r="AX136" s="24"/>
      <c r="AY136" s="24"/>
    </row>
    <row r="137" spans="1:51" hidden="1" outlineLevel="1">
      <c r="A137" s="24" t="str">
        <f>$A$46</f>
        <v>1Q</v>
      </c>
      <c r="B137" s="24" t="str">
        <f>$B$11</f>
        <v>Apr</v>
      </c>
      <c r="C137" s="143"/>
      <c r="D137" s="33">
        <f>'qtrP&amp;L'!CD10</f>
        <v>1925.0809999999999</v>
      </c>
      <c r="E137" s="24"/>
      <c r="F137" s="33">
        <f>'qtrP&amp;L'!CD20</f>
        <v>1283.963</v>
      </c>
      <c r="G137" s="143"/>
      <c r="H137" s="240">
        <f>work!BV10</f>
        <v>1224.4839999999999</v>
      </c>
      <c r="I137" s="24"/>
      <c r="J137" s="33">
        <f>AVERAGE(H137,H133)</f>
        <v>1237.742</v>
      </c>
      <c r="K137" s="24"/>
      <c r="L137" s="43">
        <f>(D137/D130-1)*100</f>
        <v>-16.693561613662201</v>
      </c>
      <c r="M137" s="143" t="s">
        <v>1084</v>
      </c>
      <c r="N137" s="43">
        <f>(H137/H130-1)*100</f>
        <v>-32.572392700873024</v>
      </c>
      <c r="O137" s="143" t="s">
        <v>1084</v>
      </c>
      <c r="P137" s="43">
        <f>(H137/H133-1)*100</f>
        <v>-2.1195843325339747</v>
      </c>
      <c r="Q137" s="143" t="s">
        <v>1084</v>
      </c>
      <c r="R137" s="40">
        <f>F137/J137</f>
        <v>1.037343000399114</v>
      </c>
      <c r="S137" s="24" t="s">
        <v>1200</v>
      </c>
      <c r="T137" s="40">
        <f>F138/H137</f>
        <v>1.2445560742320849</v>
      </c>
      <c r="U137" s="24"/>
      <c r="V137" s="154">
        <f>qtrSales!J145</f>
        <v>2974</v>
      </c>
      <c r="W137" s="24"/>
      <c r="X137" s="35">
        <f>H137/V137</f>
        <v>0.41172965702757225</v>
      </c>
      <c r="Y137" s="24"/>
      <c r="Z137" s="85">
        <f>(X137/X130-1)*100</f>
        <v>-15.296052162226514</v>
      </c>
      <c r="AA137" s="143" t="s">
        <v>1084</v>
      </c>
      <c r="AB137" s="148">
        <f>'store&amp;sf'!AQ489</f>
        <v>13.106250000000001</v>
      </c>
      <c r="AC137" s="24"/>
      <c r="AD137" s="165">
        <f>H137/AB137</f>
        <v>93.427486886027651</v>
      </c>
      <c r="AE137" s="24"/>
      <c r="AF137" s="85">
        <f>(AD137/AD130-1)*100</f>
        <v>-1.0097130037709623</v>
      </c>
      <c r="AG137" s="143" t="s">
        <v>1084</v>
      </c>
      <c r="AH137" s="148">
        <f>'store&amp;sf'!AQ307</f>
        <v>10.485000000000001</v>
      </c>
      <c r="AI137" s="24"/>
      <c r="AJ137" s="165">
        <f>+H137/AH137</f>
        <v>116.78435860753456</v>
      </c>
      <c r="AK137" s="153"/>
      <c r="AL137" s="153"/>
      <c r="AM137" s="569">
        <f>((F137-('yrP&amp;L'!$T$16/4))/J137)</f>
        <v>0.91372273058521081</v>
      </c>
      <c r="AN137" s="570" t="s">
        <v>1200</v>
      </c>
      <c r="AO137" s="428"/>
      <c r="AP137" s="165"/>
      <c r="AQ137" s="24"/>
      <c r="AR137" s="148"/>
      <c r="AS137" s="24"/>
      <c r="AT137" s="521"/>
      <c r="AU137" s="24"/>
      <c r="AV137" s="423"/>
      <c r="AW137" s="24"/>
      <c r="AX137" s="522"/>
      <c r="AY137" s="24"/>
    </row>
    <row r="138" spans="1:51" hidden="1" outlineLevel="1">
      <c r="A138" s="24" t="str">
        <f>$A$47</f>
        <v>2Q</v>
      </c>
      <c r="B138" s="24" t="str">
        <f>$B$12</f>
        <v>Jul</v>
      </c>
      <c r="C138" s="24"/>
      <c r="D138" s="34">
        <f>'qtrP&amp;L'!CD11</f>
        <v>2284.3139999999999</v>
      </c>
      <c r="E138" s="24"/>
      <c r="F138" s="34">
        <f>'qtrP&amp;L'!CD21</f>
        <v>1523.9390000000001</v>
      </c>
      <c r="G138" s="143"/>
      <c r="H138" s="579">
        <f>work!BV11</f>
        <v>1220.075</v>
      </c>
      <c r="I138" s="24"/>
      <c r="J138" s="34">
        <f>AVERAGE(H137:H138)</f>
        <v>1222.2795000000001</v>
      </c>
      <c r="K138" s="24"/>
      <c r="L138" s="43">
        <f>(D138/D131-1)*100</f>
        <v>-12.947905111016189</v>
      </c>
      <c r="M138" s="143"/>
      <c r="N138" s="43">
        <f>(H138/H131-1)*100</f>
        <v>-16.899775711297593</v>
      </c>
      <c r="O138" s="143"/>
      <c r="P138" s="43">
        <f>(H138/H137-1)*100</f>
        <v>-0.36007003766483914</v>
      </c>
      <c r="Q138" s="143"/>
      <c r="R138" s="40">
        <f>F138/J138</f>
        <v>1.2468007522011126</v>
      </c>
      <c r="S138" s="24"/>
      <c r="T138" s="40">
        <f>F139/H138</f>
        <v>1.0343126447144644</v>
      </c>
      <c r="U138" s="24"/>
      <c r="V138" s="154">
        <f>qtrSales!J146</f>
        <v>2992</v>
      </c>
      <c r="W138" s="24"/>
      <c r="X138" s="40">
        <f>H138/V138</f>
        <v>0.40777907754010695</v>
      </c>
      <c r="Y138" s="24"/>
      <c r="Z138" s="85">
        <f>(X138/X131-1)*100</f>
        <v>-20.732606911779182</v>
      </c>
      <c r="AA138" s="143"/>
      <c r="AB138" s="148">
        <f>'store&amp;sf'!AQ490</f>
        <v>13.3475</v>
      </c>
      <c r="AC138" s="24"/>
      <c r="AD138" s="387">
        <f>H138/AB138</f>
        <v>91.408503465068364</v>
      </c>
      <c r="AE138" s="24"/>
      <c r="AF138" s="524">
        <f>(AD138/AD131-1)*100</f>
        <v>-23.787179578641826</v>
      </c>
      <c r="AG138" s="143"/>
      <c r="AH138" s="148">
        <f>'store&amp;sf'!AQ308</f>
        <v>10.678000000000001</v>
      </c>
      <c r="AI138" s="24"/>
      <c r="AJ138" s="387">
        <f>+H138/AH138</f>
        <v>114.26062933133545</v>
      </c>
      <c r="AK138" s="154"/>
      <c r="AL138" s="154"/>
      <c r="AM138" s="569">
        <f>((F138-('yrP&amp;L'!$T$16/4))/J138)</f>
        <v>1.1216166187848196</v>
      </c>
      <c r="AN138" s="570"/>
      <c r="AO138" s="154"/>
      <c r="AP138" s="266"/>
      <c r="AQ138" s="194"/>
      <c r="AR138" s="148"/>
      <c r="AS138" s="194"/>
      <c r="AT138" s="266"/>
      <c r="AU138" s="194"/>
      <c r="AV138" s="423"/>
      <c r="AW138" s="194"/>
      <c r="AX138" s="522"/>
      <c r="AY138" s="24"/>
    </row>
    <row r="139" spans="1:51" hidden="1" outlineLevel="1">
      <c r="A139" s="24" t="str">
        <f>$A$48</f>
        <v>3Q</v>
      </c>
      <c r="B139" s="24" t="str">
        <f>$B$13</f>
        <v>Oct</v>
      </c>
      <c r="C139" s="24"/>
      <c r="D139" s="34">
        <f>'qtrP&amp;L'!CD12</f>
        <v>1842.184</v>
      </c>
      <c r="E139" s="24"/>
      <c r="F139" s="34">
        <f>'qtrP&amp;L'!CD22</f>
        <v>1261.9390000000001</v>
      </c>
      <c r="G139" s="24"/>
      <c r="H139" s="579">
        <f>work!BV12</f>
        <v>1647.9739999999999</v>
      </c>
      <c r="I139" s="24"/>
      <c r="J139" s="34">
        <f>AVERAGE(H138:H139)</f>
        <v>1434.0245</v>
      </c>
      <c r="K139" s="24"/>
      <c r="L139" s="43">
        <f>(D139/D132-1)*100</f>
        <v>-4.2077807544469774</v>
      </c>
      <c r="M139" s="143"/>
      <c r="N139" s="43">
        <f>(H139/H132-1)*100</f>
        <v>-8.0528659726631595</v>
      </c>
      <c r="O139" s="143"/>
      <c r="P139" s="43">
        <f>(H139/H138-1)*100</f>
        <v>35.071532487756897</v>
      </c>
      <c r="Q139" s="143"/>
      <c r="R139" s="40">
        <f>F139/J139</f>
        <v>0.87999821481432161</v>
      </c>
      <c r="S139" s="24"/>
      <c r="T139" s="40">
        <f>F140/H139</f>
        <v>1.1932481944496698</v>
      </c>
      <c r="U139" s="24"/>
      <c r="V139" s="154">
        <f>qtrSales!J147</f>
        <v>3021</v>
      </c>
      <c r="W139" s="24"/>
      <c r="X139" s="40">
        <f>H139/V139</f>
        <v>0.54550612380006613</v>
      </c>
      <c r="Y139" s="24"/>
      <c r="Z139" s="85">
        <f>(X139/X132-1)*100</f>
        <v>-11.187773223512442</v>
      </c>
      <c r="AA139" s="143"/>
      <c r="AB139" s="148">
        <f>'store&amp;sf'!AQ491</f>
        <v>13.5825</v>
      </c>
      <c r="AC139" s="24"/>
      <c r="AD139" s="387">
        <f>H139/AB139</f>
        <v>121.33068286397939</v>
      </c>
      <c r="AE139" s="24"/>
      <c r="AF139" s="524">
        <f>(AD139/AD132-1)*100</f>
        <v>-13.747732639366406</v>
      </c>
      <c r="AG139" s="143"/>
      <c r="AH139" s="148">
        <f>'store&amp;sf'!AQ309</f>
        <v>10.866</v>
      </c>
      <c r="AI139" s="24"/>
      <c r="AJ139" s="387">
        <f>+H139/AH139</f>
        <v>151.66335357997423</v>
      </c>
      <c r="AK139" s="154"/>
      <c r="AL139" s="154"/>
      <c r="AM139" s="569">
        <f>((F139-('yrP&amp;L'!$T$16/4))/J139)</f>
        <v>0.77329850361691876</v>
      </c>
      <c r="AN139" s="570"/>
      <c r="AO139" s="154"/>
      <c r="AP139" s="266"/>
      <c r="AQ139" s="194"/>
      <c r="AR139" s="148"/>
      <c r="AS139" s="194"/>
      <c r="AT139" s="266"/>
      <c r="AU139" s="194"/>
      <c r="AV139" s="423"/>
      <c r="AW139" s="194"/>
      <c r="AX139" s="24"/>
      <c r="AY139" s="24"/>
    </row>
    <row r="140" spans="1:51" hidden="1" outlineLevel="1">
      <c r="A140" s="24" t="str">
        <f>$A$49</f>
        <v>4Q</v>
      </c>
      <c r="B140" s="24" t="str">
        <f>$B$14</f>
        <v>Jan</v>
      </c>
      <c r="C140" s="24"/>
      <c r="D140" s="38">
        <f>'qtrP&amp;L'!CD13</f>
        <v>2991.1019999999999</v>
      </c>
      <c r="E140" s="24"/>
      <c r="F140" s="38">
        <f>'qtrP&amp;L'!CD23</f>
        <v>1966.442</v>
      </c>
      <c r="G140" s="24"/>
      <c r="H140" s="579">
        <f>bal!$AO$11</f>
        <v>1182</v>
      </c>
      <c r="I140" s="24"/>
      <c r="J140" s="38">
        <f>AVERAGE(H139:H140)</f>
        <v>1414.9870000000001</v>
      </c>
      <c r="K140" s="24"/>
      <c r="L140" s="84">
        <f>(D140/D133-1)*100</f>
        <v>-7.3487212019537012</v>
      </c>
      <c r="M140" s="143"/>
      <c r="N140" s="85">
        <f>(H140/H133-1)*100</f>
        <v>-5.5155875299760186</v>
      </c>
      <c r="O140" s="143"/>
      <c r="P140" s="43">
        <f>(H140/H139-1)*100</f>
        <v>-28.275567454340901</v>
      </c>
      <c r="Q140" s="143"/>
      <c r="R140" s="40">
        <f>F140/J140</f>
        <v>1.3897244285636545</v>
      </c>
      <c r="S140" s="24"/>
      <c r="T140" s="40">
        <f>F144/H140</f>
        <v>0.99566920473773268</v>
      </c>
      <c r="U140" s="24"/>
      <c r="V140" s="154">
        <f>qtrSales!J148</f>
        <v>3014</v>
      </c>
      <c r="W140" s="24"/>
      <c r="X140" s="40">
        <f>H140/V140</f>
        <v>0.39216987392169872</v>
      </c>
      <c r="Y140" s="24"/>
      <c r="Z140" s="85">
        <f>(X140/X133-1)*100</f>
        <v>-8.2742565072029919</v>
      </c>
      <c r="AA140" s="143"/>
      <c r="AB140" s="148">
        <f>'store&amp;sf'!AQ492</f>
        <v>13.6225</v>
      </c>
      <c r="AC140" s="24"/>
      <c r="AD140" s="387">
        <f>H140/AB140</f>
        <v>86.768214351257114</v>
      </c>
      <c r="AE140" s="24"/>
      <c r="AF140" s="85">
        <f>(AD140/AD133-1)*100</f>
        <v>-10.613480219678184</v>
      </c>
      <c r="AG140" s="143"/>
      <c r="AH140" s="148">
        <f>'store&amp;sf'!AQ310</f>
        <v>10.898</v>
      </c>
      <c r="AI140" s="24"/>
      <c r="AJ140" s="387">
        <f>+H140/AH140</f>
        <v>108.46026793907139</v>
      </c>
      <c r="AK140" s="154"/>
      <c r="AL140" s="154"/>
      <c r="AM140" s="569">
        <f>((F140-('yrP&amp;L'!$T$16/4))/J140)</f>
        <v>1.2815891594763769</v>
      </c>
      <c r="AN140" s="573"/>
      <c r="AO140" s="154"/>
      <c r="AP140" s="266"/>
      <c r="AQ140" s="195"/>
      <c r="AR140" s="148"/>
      <c r="AS140" s="195"/>
      <c r="AT140" s="266"/>
      <c r="AU140" s="195"/>
      <c r="AV140" s="423"/>
      <c r="AW140" s="195"/>
      <c r="AX140" s="24"/>
      <c r="AY140" s="24"/>
    </row>
    <row r="141" spans="1:51" hidden="1" outlineLevel="1">
      <c r="A141" s="24"/>
      <c r="B141" s="24" t="str">
        <f>$B$15</f>
        <v>Year</v>
      </c>
      <c r="C141" s="24"/>
      <c r="D141" s="33">
        <f>SUM(D137:D140)</f>
        <v>9042.6810000000005</v>
      </c>
      <c r="E141" s="24"/>
      <c r="F141" s="33">
        <f>SUM(F137:F140)</f>
        <v>6036.2830000000004</v>
      </c>
      <c r="G141" s="24"/>
      <c r="H141" s="24"/>
      <c r="I141" s="24"/>
      <c r="J141" s="33">
        <f>AVERAGE(J137:J140)</f>
        <v>1327.2582499999999</v>
      </c>
      <c r="K141" s="24"/>
      <c r="L141" s="43">
        <f>(D141/D134-1)*100</f>
        <v>-10.347500705903256</v>
      </c>
      <c r="M141" s="143"/>
      <c r="N141" s="24"/>
      <c r="O141" s="143"/>
      <c r="P141" s="24"/>
      <c r="Q141" s="143"/>
      <c r="R141" s="86">
        <f>F141/J141</f>
        <v>4.5479340588012924</v>
      </c>
      <c r="S141" s="83" t="s">
        <v>1200</v>
      </c>
      <c r="T141" s="40"/>
      <c r="U141" s="24"/>
      <c r="V141" s="24"/>
      <c r="W141" s="24"/>
      <c r="X141" s="24"/>
      <c r="Y141" s="24"/>
      <c r="Z141" s="24"/>
      <c r="AA141" s="143"/>
      <c r="AB141" s="148"/>
      <c r="AC141" s="24"/>
      <c r="AD141" s="387"/>
      <c r="AE141" s="24"/>
      <c r="AF141" s="24"/>
      <c r="AG141" s="143"/>
      <c r="AH141" s="24"/>
      <c r="AI141" s="24"/>
      <c r="AJ141" s="387"/>
      <c r="AK141" s="24"/>
      <c r="AL141" s="24"/>
      <c r="AM141" s="571">
        <f>((F141-('yrP&amp;L'!$T$16))/J141)</f>
        <v>4.0868030016012336</v>
      </c>
      <c r="AN141" s="572" t="s">
        <v>1200</v>
      </c>
      <c r="AO141" s="24"/>
      <c r="AP141" s="24"/>
      <c r="AQ141" s="24"/>
      <c r="AR141" s="24"/>
      <c r="AS141" s="24"/>
      <c r="AT141" s="24"/>
      <c r="AU141" s="24"/>
      <c r="AV141" s="24"/>
      <c r="AW141" s="24"/>
      <c r="AX141" s="24"/>
      <c r="AY141" s="24"/>
    </row>
    <row r="142" spans="1:51" hidden="1" outlineLevel="1">
      <c r="A142" s="24"/>
      <c r="B142" s="24"/>
      <c r="C142" s="24"/>
      <c r="D142" s="33"/>
      <c r="E142" s="24"/>
      <c r="F142" s="33"/>
      <c r="G142" s="24"/>
      <c r="H142" s="24"/>
      <c r="I142" s="24"/>
      <c r="J142" s="33"/>
      <c r="K142" s="24"/>
      <c r="L142" s="43"/>
      <c r="M142" s="143"/>
      <c r="N142" s="24"/>
      <c r="O142" s="143"/>
      <c r="P142" s="24"/>
      <c r="Q142" s="143"/>
      <c r="R142" s="928"/>
      <c r="S142" s="30"/>
      <c r="T142" s="40"/>
      <c r="U142" s="24"/>
      <c r="V142" s="24"/>
      <c r="W142" s="24"/>
      <c r="X142" s="24"/>
      <c r="Y142" s="24"/>
      <c r="Z142" s="24"/>
      <c r="AA142" s="143"/>
      <c r="AB142" s="148"/>
      <c r="AC142" s="24"/>
      <c r="AD142" s="387"/>
      <c r="AE142" s="24"/>
      <c r="AF142" s="24"/>
      <c r="AG142" s="143"/>
      <c r="AH142" s="24"/>
      <c r="AI142" s="24"/>
      <c r="AJ142" s="387"/>
      <c r="AK142" s="24"/>
      <c r="AL142" s="24"/>
      <c r="AM142" s="569"/>
      <c r="AN142" s="573"/>
      <c r="AO142" s="24"/>
      <c r="AP142" s="24"/>
      <c r="AQ142" s="24"/>
      <c r="AR142" s="24"/>
      <c r="AS142" s="24"/>
      <c r="AT142" s="24"/>
      <c r="AU142" s="24"/>
      <c r="AV142" s="24"/>
      <c r="AW142" s="24"/>
      <c r="AX142" s="24"/>
      <c r="AY142" s="24"/>
    </row>
    <row r="143" spans="1:51" ht="14.25" hidden="1" customHeight="1" outlineLevel="1">
      <c r="A143" s="24"/>
      <c r="B143" s="584">
        <f>B136+1</f>
        <v>2009</v>
      </c>
      <c r="C143" s="24"/>
      <c r="D143" s="24"/>
      <c r="E143" s="24"/>
      <c r="F143" s="24"/>
      <c r="G143" s="24"/>
      <c r="H143" s="24"/>
      <c r="I143" s="24"/>
      <c r="J143" s="24"/>
      <c r="K143" s="24"/>
      <c r="L143" s="24"/>
      <c r="M143" s="143"/>
      <c r="N143" s="24"/>
      <c r="O143" s="143"/>
      <c r="P143" s="24"/>
      <c r="Q143" s="143"/>
      <c r="R143" s="24"/>
      <c r="S143" s="24"/>
      <c r="T143" s="40"/>
      <c r="U143" s="24"/>
      <c r="V143" s="154"/>
      <c r="W143" s="24"/>
      <c r="X143" s="24"/>
      <c r="Y143" s="24"/>
      <c r="Z143" s="24"/>
      <c r="AA143" s="143"/>
      <c r="AB143" s="148"/>
      <c r="AC143" s="24"/>
      <c r="AD143" s="24"/>
      <c r="AE143" s="24"/>
      <c r="AF143" s="24"/>
      <c r="AG143" s="143"/>
      <c r="AH143" s="24"/>
      <c r="AI143" s="24"/>
      <c r="AJ143" s="24"/>
      <c r="AK143" s="24"/>
      <c r="AL143" s="24"/>
      <c r="AM143" s="24"/>
      <c r="AN143" s="24"/>
      <c r="AO143" s="24"/>
      <c r="AP143" s="24"/>
      <c r="AQ143" s="24"/>
      <c r="AR143" s="24"/>
      <c r="AS143" s="24"/>
      <c r="AT143" s="24"/>
      <c r="AU143" s="24"/>
      <c r="AV143" s="24"/>
      <c r="AW143" s="24"/>
      <c r="AX143" s="24"/>
      <c r="AY143" s="24"/>
    </row>
    <row r="144" spans="1:51" hidden="1" outlineLevel="1">
      <c r="A144" s="24" t="str">
        <f>$A$46</f>
        <v>1Q</v>
      </c>
      <c r="B144" s="24" t="str">
        <f>$B$11</f>
        <v>Apr</v>
      </c>
      <c r="C144" s="143"/>
      <c r="D144" s="33">
        <f>'qtrP&amp;L'!CH10</f>
        <v>1725.2370000000001</v>
      </c>
      <c r="E144" s="24"/>
      <c r="F144" s="33">
        <f>'qtrP&amp;L'!CH20</f>
        <v>1176.8810000000001</v>
      </c>
      <c r="G144" s="143"/>
      <c r="H144" s="240">
        <f>work!BZ10</f>
        <v>1213.425</v>
      </c>
      <c r="I144" s="24"/>
      <c r="J144" s="33">
        <f>AVERAGE(H144,H140)</f>
        <v>1197.7125000000001</v>
      </c>
      <c r="K144" s="24"/>
      <c r="L144" s="43">
        <f>(D144/D137-1)*100</f>
        <v>-10.381069679665423</v>
      </c>
      <c r="M144" s="143" t="s">
        <v>1084</v>
      </c>
      <c r="N144" s="43">
        <f>(H144/H137-1)*100</f>
        <v>-0.90315594160478296</v>
      </c>
      <c r="O144" s="143" t="s">
        <v>1084</v>
      </c>
      <c r="P144" s="43">
        <f>(H144/H140-1)*100</f>
        <v>2.6586294416243605</v>
      </c>
      <c r="Q144" s="143" t="s">
        <v>1084</v>
      </c>
      <c r="R144" s="40">
        <f>F144/J144</f>
        <v>0.9826072617593955</v>
      </c>
      <c r="S144" s="24" t="s">
        <v>1200</v>
      </c>
      <c r="T144" s="40">
        <f>F145/H144</f>
        <v>1.1526060531141193</v>
      </c>
      <c r="U144" s="24"/>
      <c r="V144" s="154">
        <f>qtrSales!J152</f>
        <v>3008</v>
      </c>
      <c r="W144" s="24"/>
      <c r="X144" s="35">
        <f>H144/V144</f>
        <v>0.40339926861702124</v>
      </c>
      <c r="Y144" s="24"/>
      <c r="Z144" s="85">
        <f>(X144/X137-1)*100</f>
        <v>-2.0232665459882448</v>
      </c>
      <c r="AA144" s="143" t="s">
        <v>1084</v>
      </c>
      <c r="AB144" s="148">
        <f>qtrSales!Z152</f>
        <v>13.612499999999999</v>
      </c>
      <c r="AC144" s="24"/>
      <c r="AD144" s="165">
        <f>H144/AB144</f>
        <v>89.140495867768593</v>
      </c>
      <c r="AE144" s="24"/>
      <c r="AF144" s="524">
        <f>(AD144/AD137-1)*100</f>
        <v>-4.5885757619583245</v>
      </c>
      <c r="AG144" s="143" t="s">
        <v>1084</v>
      </c>
      <c r="AH144" s="148">
        <f>AB144*0.8</f>
        <v>10.89</v>
      </c>
      <c r="AI144" s="24"/>
      <c r="AJ144" s="165">
        <f>+H144/AH144</f>
        <v>111.42561983471073</v>
      </c>
      <c r="AK144" s="153"/>
      <c r="AL144" s="153"/>
      <c r="AM144" s="569">
        <f>((F144-('yrP&amp;L'!$U$16/4))/J144)</f>
        <v>0.84265297389816007</v>
      </c>
      <c r="AN144" s="570" t="s">
        <v>1200</v>
      </c>
      <c r="AO144" s="428"/>
      <c r="AP144" s="165"/>
      <c r="AQ144" s="24"/>
      <c r="AR144" s="148"/>
      <c r="AS144" s="24"/>
      <c r="AT144" s="521"/>
      <c r="AU144" s="24"/>
      <c r="AV144" s="423"/>
      <c r="AW144" s="24"/>
      <c r="AX144" s="522"/>
      <c r="AY144" s="24"/>
    </row>
    <row r="145" spans="1:51" hidden="1" outlineLevel="1">
      <c r="A145" s="24" t="str">
        <f>$A$47</f>
        <v>2Q</v>
      </c>
      <c r="B145" s="24" t="str">
        <f>$B$12</f>
        <v>Jul</v>
      </c>
      <c r="C145" s="24"/>
      <c r="D145" s="34">
        <f>'qtrP&amp;L'!CH11</f>
        <v>2066.61</v>
      </c>
      <c r="E145" s="24"/>
      <c r="F145" s="34">
        <f>'qtrP&amp;L'!CH21</f>
        <v>1398.6010000000001</v>
      </c>
      <c r="G145" s="143"/>
      <c r="H145" s="579">
        <f>work!BZ11</f>
        <v>1091.412</v>
      </c>
      <c r="I145" s="24"/>
      <c r="J145" s="34">
        <f>AVERAGE(H144:H145)</f>
        <v>1152.4185</v>
      </c>
      <c r="K145" s="24"/>
      <c r="L145" s="43">
        <f>(D145/D138-1)*100</f>
        <v>-9.5303885542880611</v>
      </c>
      <c r="M145" s="143"/>
      <c r="N145" s="43">
        <f>(H145/H138-1)*100</f>
        <v>-10.545499252095158</v>
      </c>
      <c r="O145" s="143"/>
      <c r="P145" s="43">
        <f>(H145/H144-1)*100</f>
        <v>-10.055256814389013</v>
      </c>
      <c r="Q145" s="143"/>
      <c r="R145" s="40">
        <f>F145/J145</f>
        <v>1.2136224817633525</v>
      </c>
      <c r="S145" s="24"/>
      <c r="T145" s="40">
        <f>F146/H145</f>
        <v>1.1128162417125704</v>
      </c>
      <c r="U145" s="24"/>
      <c r="V145" s="154">
        <f>qtrSales!J153</f>
        <v>3009</v>
      </c>
      <c r="W145" s="24"/>
      <c r="X145" s="40">
        <f>H145/V145</f>
        <v>0.36271585244267202</v>
      </c>
      <c r="Y145" s="24"/>
      <c r="Z145" s="85">
        <f>(X145/X138-1)*100</f>
        <v>-11.050891911687833</v>
      </c>
      <c r="AA145" s="143"/>
      <c r="AB145" s="148">
        <f>qtrSales!Z153</f>
        <v>13.659999999999998</v>
      </c>
      <c r="AC145" s="24"/>
      <c r="AD145" s="387">
        <f>H145/AB145</f>
        <v>79.898389458272334</v>
      </c>
      <c r="AE145" s="24"/>
      <c r="AF145" s="524">
        <f>(AD145/AD138-1)*100</f>
        <v>-12.591951044461203</v>
      </c>
      <c r="AG145" s="143"/>
      <c r="AH145" s="148">
        <f>AB145*0.8</f>
        <v>10.927999999999999</v>
      </c>
      <c r="AI145" s="24"/>
      <c r="AJ145" s="387">
        <f>+H145/AH145</f>
        <v>99.872986822840417</v>
      </c>
      <c r="AK145" s="154"/>
      <c r="AL145" s="154"/>
      <c r="AM145" s="569">
        <f>((F145-('yrP&amp;L'!$U$16/4))/J145)</f>
        <v>1.0681675103271946</v>
      </c>
      <c r="AN145" s="570"/>
      <c r="AO145" s="154"/>
      <c r="AP145" s="266"/>
      <c r="AQ145" s="194"/>
      <c r="AR145" s="148"/>
      <c r="AS145" s="194"/>
      <c r="AT145" s="266"/>
      <c r="AU145" s="194"/>
      <c r="AV145" s="423"/>
      <c r="AW145" s="194"/>
      <c r="AX145" s="522"/>
      <c r="AY145" s="24"/>
    </row>
    <row r="146" spans="1:51" hidden="1" outlineLevel="1">
      <c r="A146" s="24" t="str">
        <f>$A$48</f>
        <v>3Q</v>
      </c>
      <c r="B146" s="24" t="str">
        <f>$B$13</f>
        <v>Oct</v>
      </c>
      <c r="C146" s="24"/>
      <c r="D146" s="34">
        <f>'qtrP&amp;L'!CH12</f>
        <v>1777.289</v>
      </c>
      <c r="E146" s="24"/>
      <c r="F146" s="34">
        <f>'qtrP&amp;L'!CH22</f>
        <v>1214.5409999999999</v>
      </c>
      <c r="G146" s="24"/>
      <c r="H146" s="579">
        <f>work!BZ12</f>
        <v>1426.4559999999999</v>
      </c>
      <c r="I146" s="24"/>
      <c r="J146" s="34">
        <f>AVERAGE(H145:H146)</f>
        <v>1258.934</v>
      </c>
      <c r="K146" s="24"/>
      <c r="L146" s="43">
        <f>(D146/D139-1)*100</f>
        <v>-3.522720857417061</v>
      </c>
      <c r="M146" s="143"/>
      <c r="N146" s="43">
        <f>(H146/H139-1)*100</f>
        <v>-13.441838281429197</v>
      </c>
      <c r="O146" s="143"/>
      <c r="P146" s="43">
        <f>(H146/H145-1)*100</f>
        <v>30.698214789648624</v>
      </c>
      <c r="Q146" s="143"/>
      <c r="R146" s="40">
        <f>F146/J146</f>
        <v>0.96473762723065704</v>
      </c>
      <c r="S146" s="24"/>
      <c r="T146" s="40">
        <f>F147/H146</f>
        <v>1.2719459976332954</v>
      </c>
      <c r="U146" s="24"/>
      <c r="V146" s="154">
        <f>qtrSales!J154</f>
        <v>3025</v>
      </c>
      <c r="W146" s="24"/>
      <c r="X146" s="40">
        <f>H146/V146</f>
        <v>0.47155570247933881</v>
      </c>
      <c r="Y146" s="24"/>
      <c r="Z146" s="85">
        <f>(X146/X139-1)*100</f>
        <v>-13.55629535477606</v>
      </c>
      <c r="AA146" s="143"/>
      <c r="AB146" s="148">
        <f>qtrSales!Z154</f>
        <v>13.782499999999999</v>
      </c>
      <c r="AC146" s="24"/>
      <c r="AD146" s="387">
        <f>H146/AB146</f>
        <v>103.49762379829494</v>
      </c>
      <c r="AE146" s="24"/>
      <c r="AF146" s="938">
        <f>(AD146/AD139-1)*100</f>
        <v>-14.697897221658785</v>
      </c>
      <c r="AG146" s="143"/>
      <c r="AH146" s="148">
        <f>AB146*0.8</f>
        <v>11.026</v>
      </c>
      <c r="AI146" s="24"/>
      <c r="AJ146" s="387">
        <f>+H146/AH146</f>
        <v>129.37202974786868</v>
      </c>
      <c r="AK146" s="154"/>
      <c r="AL146" s="154"/>
      <c r="AM146" s="569">
        <f>((F146-('yrP&amp;L'!$U$16/4))/J146)</f>
        <v>0.83158926520373588</v>
      </c>
      <c r="AN146" s="570"/>
      <c r="AO146" s="154"/>
      <c r="AP146" s="266"/>
      <c r="AQ146" s="194"/>
      <c r="AR146" s="148"/>
      <c r="AS146" s="194"/>
      <c r="AT146" s="266"/>
      <c r="AU146" s="194"/>
      <c r="AV146" s="423"/>
      <c r="AW146" s="194"/>
      <c r="AX146" s="24"/>
      <c r="AY146" s="24"/>
    </row>
    <row r="147" spans="1:51" hidden="1" outlineLevel="1">
      <c r="A147" s="24" t="str">
        <f>$A$49</f>
        <v>4Q</v>
      </c>
      <c r="B147" s="24" t="str">
        <f>$B$14</f>
        <v>Jan</v>
      </c>
      <c r="C147" s="24"/>
      <c r="D147" s="38">
        <f>'qtrP&amp;L'!CH13</f>
        <v>3063.3519999999999</v>
      </c>
      <c r="E147" s="24"/>
      <c r="F147" s="38">
        <f>'qtrP&amp;L'!CH23</f>
        <v>1814.375</v>
      </c>
      <c r="G147" s="24"/>
      <c r="H147" s="579">
        <f>bal!$AQ$11</f>
        <v>1037</v>
      </c>
      <c r="I147" s="24"/>
      <c r="J147" s="38">
        <f>AVERAGE(H146:H147)</f>
        <v>1231.7280000000001</v>
      </c>
      <c r="K147" s="24"/>
      <c r="L147" s="84">
        <f>(D147/D140-1)*100</f>
        <v>2.415497699510083</v>
      </c>
      <c r="M147" s="143"/>
      <c r="N147" s="85">
        <f>(H147/H140-1)*100</f>
        <v>-12.267343485617598</v>
      </c>
      <c r="O147" s="143"/>
      <c r="P147" s="43">
        <f>(H147/H146-1)*100</f>
        <v>-27.302349318871379</v>
      </c>
      <c r="Q147" s="143"/>
      <c r="R147" s="40">
        <f>F147/J147</f>
        <v>1.4730321954197678</v>
      </c>
      <c r="S147" s="24"/>
      <c r="T147" s="40">
        <f>F151/H147</f>
        <v>1.193132111861138</v>
      </c>
      <c r="U147" s="24"/>
      <c r="V147" s="154">
        <f>qtrSales!J155</f>
        <v>2971</v>
      </c>
      <c r="W147" s="24"/>
      <c r="X147" s="40">
        <f>H147/V147</f>
        <v>0.3490407270279367</v>
      </c>
      <c r="Y147" s="24"/>
      <c r="Z147" s="85">
        <f>(X147/X140-1)*100</f>
        <v>-10.99756757510988</v>
      </c>
      <c r="AA147" s="143"/>
      <c r="AB147" s="148">
        <f>qtrSales!Z155</f>
        <v>13.667499999999999</v>
      </c>
      <c r="AC147" s="24"/>
      <c r="AD147" s="387">
        <f>H147/AB147</f>
        <v>75.873422352295606</v>
      </c>
      <c r="AE147" s="24"/>
      <c r="AF147" s="938">
        <f>(AD147/AD140-1)*100</f>
        <v>-12.556201692542569</v>
      </c>
      <c r="AG147" s="143"/>
      <c r="AH147" s="148">
        <f>AB147*0.8</f>
        <v>10.933999999999999</v>
      </c>
      <c r="AI147" s="24"/>
      <c r="AJ147" s="387">
        <f>+H147/AH147</f>
        <v>94.841777940369496</v>
      </c>
      <c r="AK147" s="154"/>
      <c r="AL147" s="154"/>
      <c r="AM147" s="569">
        <f>((F147-('yrP&amp;L'!$U$16/4))/J147)</f>
        <v>1.3369428964836392</v>
      </c>
      <c r="AN147" s="573"/>
      <c r="AO147" s="154"/>
      <c r="AP147" s="266"/>
      <c r="AQ147" s="195"/>
      <c r="AR147" s="148"/>
      <c r="AS147" s="195"/>
      <c r="AT147" s="266"/>
      <c r="AU147" s="195"/>
      <c r="AV147" s="423"/>
      <c r="AW147" s="195"/>
      <c r="AX147" s="24"/>
      <c r="AY147" s="24"/>
    </row>
    <row r="148" spans="1:51" hidden="1" outlineLevel="1">
      <c r="A148" s="24"/>
      <c r="B148" s="24" t="str">
        <f>$B$15</f>
        <v>Year</v>
      </c>
      <c r="C148" s="24"/>
      <c r="D148" s="33">
        <f>SUM(D144:D147)</f>
        <v>8632.4880000000012</v>
      </c>
      <c r="E148" s="24"/>
      <c r="F148" s="33">
        <f>SUM(F144:F147)</f>
        <v>5604.3980000000001</v>
      </c>
      <c r="G148" s="24"/>
      <c r="H148" s="24"/>
      <c r="I148" s="24"/>
      <c r="J148" s="33">
        <f>AVERAGE(J144:J147)</f>
        <v>1210.1982500000001</v>
      </c>
      <c r="K148" s="24"/>
      <c r="L148" s="43">
        <f>(D148/D141-1)*100</f>
        <v>-4.5361878849867532</v>
      </c>
      <c r="M148" s="143"/>
      <c r="N148" s="24"/>
      <c r="O148" s="143"/>
      <c r="P148" s="24"/>
      <c r="Q148" s="143"/>
      <c r="R148" s="86">
        <f>F148/J148</f>
        <v>4.6309751315538588</v>
      </c>
      <c r="S148" s="83" t="s">
        <v>1200</v>
      </c>
      <c r="T148" s="40"/>
      <c r="U148" s="24"/>
      <c r="V148" s="24"/>
      <c r="W148" s="24"/>
      <c r="X148" s="24"/>
      <c r="Y148" s="24"/>
      <c r="Z148" s="24"/>
      <c r="AA148" s="143"/>
      <c r="AB148" s="148"/>
      <c r="AC148" s="24"/>
      <c r="AD148" s="387"/>
      <c r="AE148" s="24"/>
      <c r="AF148" s="24"/>
      <c r="AG148" s="143"/>
      <c r="AH148" s="24"/>
      <c r="AI148" s="24"/>
      <c r="AJ148" s="387"/>
      <c r="AK148" s="24"/>
      <c r="AL148" s="24"/>
      <c r="AM148" s="571">
        <f>((F148-('yrP&amp;L'!$U$16))/J148)</f>
        <v>4.0769336759493742</v>
      </c>
      <c r="AN148" s="572" t="s">
        <v>1200</v>
      </c>
      <c r="AO148" s="24"/>
      <c r="AP148" s="24"/>
      <c r="AQ148" s="24"/>
      <c r="AR148" s="24"/>
      <c r="AS148" s="24"/>
      <c r="AT148" s="24"/>
      <c r="AU148" s="24"/>
      <c r="AV148" s="24"/>
      <c r="AW148" s="24"/>
      <c r="AX148" s="24"/>
      <c r="AY148" s="24"/>
    </row>
    <row r="149" spans="1:51" hidden="1" outlineLevel="1">
      <c r="A149" s="24"/>
      <c r="B149" s="24"/>
      <c r="C149" s="24"/>
      <c r="D149" s="33"/>
      <c r="E149" s="24"/>
      <c r="F149" s="33"/>
      <c r="G149" s="24"/>
      <c r="H149" s="24"/>
      <c r="I149" s="24"/>
      <c r="J149" s="33"/>
      <c r="K149" s="24"/>
      <c r="L149" s="43"/>
      <c r="M149" s="143"/>
      <c r="N149" s="24"/>
      <c r="O149" s="143"/>
      <c r="P149" s="24"/>
      <c r="Q149" s="143"/>
      <c r="R149" s="918">
        <f>R147/R140-1</f>
        <v>5.9945529591226787E-2</v>
      </c>
      <c r="S149" s="30"/>
      <c r="T149" s="40"/>
      <c r="U149" s="24"/>
      <c r="V149" s="24"/>
      <c r="W149" s="24"/>
      <c r="X149" s="24"/>
      <c r="Y149" s="24"/>
      <c r="Z149" s="24"/>
      <c r="AA149" s="143"/>
      <c r="AB149" s="148"/>
      <c r="AC149" s="24"/>
      <c r="AD149" s="387"/>
      <c r="AE149" s="24"/>
      <c r="AF149" s="24"/>
      <c r="AG149" s="143"/>
      <c r="AH149" s="24"/>
      <c r="AI149" s="24"/>
      <c r="AJ149" s="387"/>
      <c r="AK149" s="24"/>
      <c r="AL149" s="24"/>
      <c r="AM149" s="569"/>
      <c r="AN149" s="573"/>
      <c r="AO149" s="24"/>
      <c r="AP149" s="24"/>
      <c r="AQ149" s="24"/>
      <c r="AR149" s="24"/>
      <c r="AS149" s="24"/>
      <c r="AT149" s="24"/>
      <c r="AU149" s="24"/>
      <c r="AV149" s="24"/>
      <c r="AW149" s="24"/>
      <c r="AX149" s="24"/>
      <c r="AY149" s="24"/>
    </row>
    <row r="150" spans="1:51" ht="14.25" customHeight="1" collapsed="1">
      <c r="A150" s="24"/>
      <c r="B150" s="584">
        <f>B143+1</f>
        <v>2010</v>
      </c>
      <c r="C150" s="24"/>
      <c r="D150" s="24"/>
      <c r="E150" s="24"/>
      <c r="F150" s="24"/>
      <c r="G150" s="24"/>
      <c r="H150" s="24"/>
      <c r="I150" s="24"/>
      <c r="J150" s="24"/>
      <c r="K150" s="24"/>
      <c r="L150" s="24"/>
      <c r="M150" s="143"/>
      <c r="N150" s="24"/>
      <c r="O150" s="143"/>
      <c r="P150" s="24"/>
      <c r="Q150" s="143"/>
      <c r="R150" s="24"/>
      <c r="S150" s="24"/>
      <c r="T150" s="40"/>
      <c r="U150" s="24"/>
      <c r="V150" s="154"/>
      <c r="W150" s="24"/>
      <c r="X150" s="24"/>
      <c r="Y150" s="24"/>
      <c r="Z150" s="24"/>
      <c r="AA150" s="143"/>
      <c r="AB150" s="148"/>
      <c r="AC150" s="24"/>
      <c r="AD150" s="24"/>
      <c r="AE150" s="24"/>
      <c r="AF150" s="24"/>
      <c r="AG150" s="143"/>
      <c r="AH150" s="24"/>
      <c r="AI150" s="24"/>
      <c r="AJ150" s="24"/>
      <c r="AK150" s="24"/>
      <c r="AL150" s="24"/>
      <c r="AM150" s="24"/>
      <c r="AN150" s="24"/>
      <c r="AO150" s="24"/>
      <c r="AP150" s="24"/>
      <c r="AQ150" s="24"/>
      <c r="AR150" s="24"/>
      <c r="AS150" s="24"/>
      <c r="AT150" s="24"/>
      <c r="AU150" s="24"/>
      <c r="AV150" s="24"/>
      <c r="AW150" s="24"/>
      <c r="AX150" s="24"/>
      <c r="AY150" s="24"/>
    </row>
    <row r="151" spans="1:51">
      <c r="A151" s="24" t="str">
        <f>$A$46</f>
        <v>1Q</v>
      </c>
      <c r="B151" s="24" t="str">
        <f>$B$11</f>
        <v>Apr</v>
      </c>
      <c r="C151" s="143"/>
      <c r="D151" s="33">
        <f>'qtrP&amp;L'!CL10</f>
        <v>1931.5360000000001</v>
      </c>
      <c r="E151" s="24"/>
      <c r="F151" s="33">
        <f>'qtrP&amp;L'!CL20</f>
        <v>1237.278</v>
      </c>
      <c r="G151" s="143"/>
      <c r="H151" s="240">
        <f>work!CD10</f>
        <v>1097.8309999999999</v>
      </c>
      <c r="I151" s="24"/>
      <c r="J151" s="33">
        <f>AVERAGE(H151,H147)</f>
        <v>1067.4155000000001</v>
      </c>
      <c r="K151" s="24"/>
      <c r="L151" s="43">
        <f>(D151/D144-1)*100</f>
        <v>11.957719432170766</v>
      </c>
      <c r="M151" s="143" t="s">
        <v>1084</v>
      </c>
      <c r="N151" s="43">
        <f>(H151/H144-1)*100</f>
        <v>-9.526258318396275</v>
      </c>
      <c r="O151" s="143" t="s">
        <v>1084</v>
      </c>
      <c r="P151" s="43">
        <f>(H151/H147-1)*100</f>
        <v>5.8660559305689475</v>
      </c>
      <c r="Q151" s="143" t="s">
        <v>1084</v>
      </c>
      <c r="R151" s="40">
        <f>F151/J151</f>
        <v>1.1591343764447863</v>
      </c>
      <c r="S151" s="24" t="s">
        <v>1200</v>
      </c>
      <c r="T151" s="40">
        <f>F152/H151</f>
        <v>1.3344704239541423</v>
      </c>
      <c r="U151" s="24"/>
      <c r="V151" s="154">
        <f>qtrSales!J159</f>
        <v>2969</v>
      </c>
      <c r="W151" s="24"/>
      <c r="X151" s="35">
        <f>H151/V151</f>
        <v>0.36976456719434148</v>
      </c>
      <c r="Y151" s="24"/>
      <c r="Z151" s="85">
        <f>(X151/X144-1)*100</f>
        <v>-8.3378191383415299</v>
      </c>
      <c r="AA151" s="143" t="s">
        <v>1084</v>
      </c>
      <c r="AB151" s="148">
        <f>qtrSales!Z159</f>
        <v>13.656249999999998</v>
      </c>
      <c r="AC151" s="24"/>
      <c r="AD151" s="165">
        <f>H151/AB151</f>
        <v>80.390370709382154</v>
      </c>
      <c r="AE151" s="24"/>
      <c r="AF151" s="524">
        <f>(AD151/AD144-1)*100</f>
        <v>-9.8161055457515189</v>
      </c>
      <c r="AG151" s="143" t="s">
        <v>1084</v>
      </c>
      <c r="AH151" s="148">
        <f>AB151*0.8</f>
        <v>10.924999999999999</v>
      </c>
      <c r="AI151" s="24"/>
      <c r="AJ151" s="165">
        <f>+H151/AH151</f>
        <v>100.48796338672769</v>
      </c>
      <c r="AK151" s="153"/>
      <c r="AL151" s="153"/>
      <c r="AM151" s="569">
        <f>((F151-('yrP&amp;L'!$V$16/4))/J151)</f>
        <v>0.99717776254888557</v>
      </c>
      <c r="AN151" s="570" t="s">
        <v>1200</v>
      </c>
      <c r="AO151" s="428"/>
      <c r="AP151" s="165"/>
      <c r="AQ151" s="24"/>
      <c r="AR151" s="148"/>
      <c r="AS151" s="24"/>
      <c r="AT151" s="521"/>
      <c r="AU151" s="24"/>
      <c r="AV151" s="423"/>
      <c r="AW151" s="24"/>
      <c r="AX151" s="522"/>
      <c r="AY151" s="24"/>
    </row>
    <row r="152" spans="1:51">
      <c r="A152" s="24" t="str">
        <f>$A$47</f>
        <v>2Q</v>
      </c>
      <c r="B152" s="24" t="str">
        <f>$B$12</f>
        <v>Jul</v>
      </c>
      <c r="C152" s="24"/>
      <c r="D152" s="34">
        <f>'qtrP&amp;L'!CL11</f>
        <v>2242.5100000000002</v>
      </c>
      <c r="E152" s="24"/>
      <c r="F152" s="34">
        <f>'qtrP&amp;L'!CL21</f>
        <v>1465.0229999999999</v>
      </c>
      <c r="G152" s="143"/>
      <c r="H152" s="579">
        <f>work!CD11</f>
        <v>1083.598</v>
      </c>
      <c r="I152" s="24"/>
      <c r="J152" s="34">
        <f>AVERAGE(H151:H152)</f>
        <v>1090.7145</v>
      </c>
      <c r="K152" s="24"/>
      <c r="L152" s="43">
        <f>(D152/D145-1)*100</f>
        <v>8.5115237030692903</v>
      </c>
      <c r="M152" s="143"/>
      <c r="N152" s="43">
        <f>(H152/H145-1)*100</f>
        <v>-0.71595327887178373</v>
      </c>
      <c r="O152" s="143"/>
      <c r="P152" s="43">
        <f>(H152/H151-1)*100</f>
        <v>-1.2964654851247537</v>
      </c>
      <c r="Q152" s="143"/>
      <c r="R152" s="40">
        <f>F152/J152</f>
        <v>1.3431773392578901</v>
      </c>
      <c r="S152" s="24"/>
      <c r="T152" s="40">
        <f>F153/H152</f>
        <v>1.1711732579794352</v>
      </c>
      <c r="U152" s="24"/>
      <c r="V152" s="154">
        <f>qtrSales!J160</f>
        <v>2969</v>
      </c>
      <c r="W152" s="24"/>
      <c r="X152" s="40">
        <f>H152/V152</f>
        <v>0.36497069720444592</v>
      </c>
      <c r="Y152" s="24"/>
      <c r="Z152" s="85">
        <f>(X152/X145-1)*100</f>
        <v>0.62165597301273579</v>
      </c>
      <c r="AA152" s="143"/>
      <c r="AB152" s="148">
        <f>qtrSales!Z160</f>
        <v>13.683749999999998</v>
      </c>
      <c r="AC152" s="24"/>
      <c r="AD152" s="387">
        <f>H152/AB152</f>
        <v>79.188672695715724</v>
      </c>
      <c r="AE152" s="24"/>
      <c r="AF152" s="524">
        <f>(AD152/AD145-1)*100</f>
        <v>-0.88827417845169787</v>
      </c>
      <c r="AG152" s="143"/>
      <c r="AH152" s="148">
        <f>AB152*0.8</f>
        <v>10.946999999999999</v>
      </c>
      <c r="AI152" s="24"/>
      <c r="AJ152" s="387">
        <f>+H152/AH152</f>
        <v>98.985840869644662</v>
      </c>
      <c r="AK152" s="154"/>
      <c r="AL152" s="154"/>
      <c r="AM152" s="569">
        <f>((F152-('yrP&amp;L'!$V$16/4))/J152)</f>
        <v>1.1846803173516074</v>
      </c>
      <c r="AN152" s="570"/>
      <c r="AO152" s="154"/>
      <c r="AP152" s="266"/>
      <c r="AQ152" s="194"/>
      <c r="AR152" s="148"/>
      <c r="AS152" s="194"/>
      <c r="AT152" s="266"/>
      <c r="AU152" s="194"/>
      <c r="AV152" s="423"/>
      <c r="AW152" s="194"/>
      <c r="AX152" s="522"/>
      <c r="AY152" s="24"/>
    </row>
    <row r="153" spans="1:51">
      <c r="A153" s="24" t="str">
        <f>$A$48</f>
        <v>3Q</v>
      </c>
      <c r="B153" s="24" t="str">
        <f>$B$13</f>
        <v>Oct</v>
      </c>
      <c r="C153" s="24"/>
      <c r="D153" s="34">
        <f>'qtrP&amp;L'!CL12</f>
        <v>1983.3720000000001</v>
      </c>
      <c r="E153" s="24"/>
      <c r="F153" s="34">
        <f>'qtrP&amp;L'!CL22</f>
        <v>1269.0809999999999</v>
      </c>
      <c r="G153" s="24"/>
      <c r="H153" s="579">
        <f>work!CD12</f>
        <v>1455.548</v>
      </c>
      <c r="I153" s="24"/>
      <c r="J153" s="34">
        <f>AVERAGE(H152:H153)</f>
        <v>1269.5729999999999</v>
      </c>
      <c r="K153" s="24"/>
      <c r="L153" s="43">
        <f>(D153/D146-1)*100</f>
        <v>11.595356748396025</v>
      </c>
      <c r="M153" s="143"/>
      <c r="N153" s="43">
        <f>(H153/H146-1)*100</f>
        <v>2.0394600324160184</v>
      </c>
      <c r="O153" s="143"/>
      <c r="P153" s="43">
        <f>(H153/H152-1)*100</f>
        <v>34.325460179882207</v>
      </c>
      <c r="Q153" s="143"/>
      <c r="R153" s="40">
        <f>F153/J153</f>
        <v>0.99961246812904814</v>
      </c>
      <c r="S153" s="24"/>
      <c r="T153" s="40">
        <f>F154/H153</f>
        <v>1.3816837369842836</v>
      </c>
      <c r="U153" s="24"/>
      <c r="V153" s="154">
        <f>qtrSales!J161</f>
        <v>2988</v>
      </c>
      <c r="W153" s="24"/>
      <c r="X153" s="40">
        <f>H153/V153</f>
        <v>0.48713119143239625</v>
      </c>
      <c r="Y153" s="24"/>
      <c r="Z153" s="85">
        <f>(X153/X146-1)*100</f>
        <v>3.3030008694974633</v>
      </c>
      <c r="AA153" s="143"/>
      <c r="AB153" s="148">
        <f>qtrSales!Z161</f>
        <v>13.796249999999999</v>
      </c>
      <c r="AC153" s="24"/>
      <c r="AD153" s="387">
        <f>H153/AB153</f>
        <v>105.50316209114797</v>
      </c>
      <c r="AE153" s="24"/>
      <c r="AF153" s="938">
        <f>(AD153/AD146-1)*100</f>
        <v>1.9377626454126107</v>
      </c>
      <c r="AG153" s="143"/>
      <c r="AH153" s="148">
        <f>AB153*0.8</f>
        <v>11.036999999999999</v>
      </c>
      <c r="AI153" s="24"/>
      <c r="AJ153" s="387">
        <f>+H153/AH153</f>
        <v>131.87895261393496</v>
      </c>
      <c r="AK153" s="154"/>
      <c r="AL153" s="154"/>
      <c r="AM153" s="569">
        <f>((F153-('yrP&amp;L'!$V$16/4))/J153)</f>
        <v>0.8634446384729354</v>
      </c>
      <c r="AN153" s="570"/>
      <c r="AO153" s="154"/>
      <c r="AP153" s="356"/>
      <c r="AQ153" s="194"/>
      <c r="AR153" s="148"/>
      <c r="AS153" s="194"/>
      <c r="AT153" s="266"/>
      <c r="AU153" s="194"/>
      <c r="AV153" s="423"/>
      <c r="AW153" s="194"/>
      <c r="AX153" s="24"/>
      <c r="AY153" s="24"/>
    </row>
    <row r="154" spans="1:51">
      <c r="A154" s="24" t="str">
        <f>$A$49</f>
        <v>4Q</v>
      </c>
      <c r="B154" s="24" t="str">
        <f>$B$14</f>
        <v>Jan</v>
      </c>
      <c r="C154" s="24"/>
      <c r="D154" s="38">
        <f>'qtrP&amp;L'!CL13</f>
        <v>3455.86</v>
      </c>
      <c r="E154" s="24"/>
      <c r="F154" s="38">
        <f>'qtrP&amp;L'!CL23</f>
        <v>2011.107</v>
      </c>
      <c r="G154" s="24"/>
      <c r="H154" s="579">
        <f>+bal!AS11</f>
        <v>1032</v>
      </c>
      <c r="I154" s="24"/>
      <c r="J154" s="38">
        <f>AVERAGE(H153:H154)</f>
        <v>1243.7739999999999</v>
      </c>
      <c r="K154" s="24"/>
      <c r="L154" s="84">
        <f>(D154/D147-1)*100</f>
        <v>12.813023119772083</v>
      </c>
      <c r="M154" s="143"/>
      <c r="N154" s="85">
        <f>(H154/H147-1)*100</f>
        <v>-0.48216007714561027</v>
      </c>
      <c r="O154" s="143"/>
      <c r="P154" s="43">
        <f>(H154/H153-1)*100</f>
        <v>-29.098868604814133</v>
      </c>
      <c r="Q154" s="143"/>
      <c r="R154" s="40">
        <f>F154/J154</f>
        <v>1.6169392510214879</v>
      </c>
      <c r="S154" s="24"/>
      <c r="T154" s="40">
        <f>F158/H154</f>
        <v>1.3326443798449612</v>
      </c>
      <c r="U154" s="24"/>
      <c r="V154" s="154">
        <f>qtrSales!J162</f>
        <v>2968</v>
      </c>
      <c r="W154" s="24"/>
      <c r="X154" s="40">
        <f>H154/V154</f>
        <v>0.34770889487870621</v>
      </c>
      <c r="Y154" s="24"/>
      <c r="Z154" s="85">
        <f>(X154/X147-1)*100</f>
        <v>-0.38156926859824747</v>
      </c>
      <c r="AA154" s="143"/>
      <c r="AB154" s="148">
        <f>qtrSales!Z162</f>
        <v>13.718749999999998</v>
      </c>
      <c r="AC154" s="24"/>
      <c r="AD154" s="387">
        <f>H154/AB154</f>
        <v>75.225512528473814</v>
      </c>
      <c r="AE154" s="24"/>
      <c r="AF154" s="938">
        <f>(AD154/AD147-1)*100</f>
        <v>-0.85393515111710228</v>
      </c>
      <c r="AG154" s="143"/>
      <c r="AH154" s="148">
        <f>AB154*0.8</f>
        <v>10.975</v>
      </c>
      <c r="AI154" s="24"/>
      <c r="AJ154" s="387">
        <f>+H154/AH154</f>
        <v>94.031890660592254</v>
      </c>
      <c r="AK154" s="154"/>
      <c r="AL154" s="154"/>
      <c r="AM154" s="569">
        <f>((F154-('yrP&amp;L'!$V$16/4))/J154)</f>
        <v>1.4779469582094498</v>
      </c>
      <c r="AN154" s="573"/>
      <c r="AO154" s="154"/>
      <c r="AP154" s="356"/>
      <c r="AQ154" s="195"/>
      <c r="AR154" s="148"/>
      <c r="AS154" s="195"/>
      <c r="AT154" s="266"/>
      <c r="AU154" s="195"/>
      <c r="AV154" s="423"/>
      <c r="AW154" s="195"/>
      <c r="AX154" s="24"/>
      <c r="AY154" s="24"/>
    </row>
    <row r="155" spans="1:51">
      <c r="A155" s="24"/>
      <c r="B155" s="24" t="str">
        <f>$B$15</f>
        <v>Year</v>
      </c>
      <c r="C155" s="24"/>
      <c r="D155" s="33">
        <f>SUM(D151:D154)</f>
        <v>9613.2780000000002</v>
      </c>
      <c r="E155" s="24"/>
      <c r="F155" s="33">
        <f>SUM(F151:F154)</f>
        <v>5982.4889999999996</v>
      </c>
      <c r="G155" s="24"/>
      <c r="H155" s="24"/>
      <c r="I155" s="24"/>
      <c r="J155" s="33">
        <f>AVERAGE(J151:J154)</f>
        <v>1167.86925</v>
      </c>
      <c r="K155" s="24"/>
      <c r="L155" s="43">
        <f>(D155/D148-1)*100</f>
        <v>11.361614403634256</v>
      </c>
      <c r="M155" s="143"/>
      <c r="N155" s="24"/>
      <c r="O155" s="143"/>
      <c r="P155" s="24"/>
      <c r="Q155" s="143"/>
      <c r="R155" s="86">
        <f>F155/J155</f>
        <v>5.1225674449430016</v>
      </c>
      <c r="S155" s="83" t="s">
        <v>1200</v>
      </c>
      <c r="T155" s="40"/>
      <c r="U155" s="24"/>
      <c r="V155" s="24"/>
      <c r="W155" s="24"/>
      <c r="X155" s="24"/>
      <c r="Y155" s="24"/>
      <c r="Z155" s="24"/>
      <c r="AA155" s="143"/>
      <c r="AB155" s="148"/>
      <c r="AC155" s="24"/>
      <c r="AD155" s="387"/>
      <c r="AE155" s="24"/>
      <c r="AF155" s="24"/>
      <c r="AG155" s="143"/>
      <c r="AH155" s="24"/>
      <c r="AI155" s="24"/>
      <c r="AJ155" s="387"/>
      <c r="AK155" s="24"/>
      <c r="AL155" s="24"/>
      <c r="AM155" s="571">
        <f>((F155-('yrP&amp;L'!$V$16))/J155)</f>
        <v>4.5304634915252713</v>
      </c>
      <c r="AN155" s="572" t="s">
        <v>1200</v>
      </c>
      <c r="AO155" s="24"/>
      <c r="AP155" s="356"/>
      <c r="AQ155" s="24"/>
      <c r="AR155" s="24"/>
      <c r="AS155" s="24"/>
      <c r="AT155" s="24"/>
      <c r="AU155" s="24"/>
      <c r="AV155" s="24"/>
      <c r="AW155" s="24"/>
      <c r="AX155" s="24"/>
      <c r="AY155" s="24"/>
    </row>
    <row r="156" spans="1:51">
      <c r="A156" s="24"/>
      <c r="B156" s="24"/>
      <c r="C156" s="24"/>
      <c r="D156" s="33"/>
      <c r="E156" s="24"/>
      <c r="F156" s="33"/>
      <c r="G156" s="24"/>
      <c r="H156" s="24"/>
      <c r="I156" s="24"/>
      <c r="J156" s="33"/>
      <c r="K156" s="24"/>
      <c r="L156" s="43"/>
      <c r="M156" s="143"/>
      <c r="N156" s="24"/>
      <c r="O156" s="143"/>
      <c r="P156" s="24"/>
      <c r="Q156" s="143"/>
      <c r="R156" s="918"/>
      <c r="S156" s="30"/>
      <c r="T156" s="40"/>
      <c r="U156" s="24"/>
      <c r="V156" s="24"/>
      <c r="W156" s="24"/>
      <c r="X156" s="24"/>
      <c r="Y156" s="24"/>
      <c r="Z156" s="24"/>
      <c r="AA156" s="143"/>
      <c r="AB156" s="148"/>
      <c r="AC156" s="24"/>
      <c r="AD156" s="387"/>
      <c r="AE156" s="24"/>
      <c r="AF156" s="24"/>
      <c r="AG156" s="143"/>
      <c r="AH156" s="24"/>
      <c r="AI156" s="24"/>
      <c r="AJ156" s="387"/>
      <c r="AK156" s="24"/>
      <c r="AL156" s="24"/>
      <c r="AM156" s="569"/>
      <c r="AN156" s="573"/>
      <c r="AO156" s="24"/>
      <c r="AP156" s="24"/>
      <c r="AQ156" s="24"/>
      <c r="AR156" s="24"/>
      <c r="AS156" s="24"/>
      <c r="AT156" s="24"/>
      <c r="AU156" s="24"/>
      <c r="AV156" s="24"/>
      <c r="AW156" s="24"/>
      <c r="AX156" s="24"/>
      <c r="AY156" s="24"/>
    </row>
    <row r="157" spans="1:51" ht="14.25" customHeight="1">
      <c r="A157" s="24"/>
      <c r="B157" s="584">
        <f>B150+1</f>
        <v>2011</v>
      </c>
      <c r="C157" s="24"/>
      <c r="D157" s="24"/>
      <c r="E157" s="24"/>
      <c r="F157" s="24"/>
      <c r="G157" s="24"/>
      <c r="H157" s="24"/>
      <c r="I157" s="24"/>
      <c r="J157" s="24"/>
      <c r="K157" s="24"/>
      <c r="L157" s="24"/>
      <c r="M157" s="143"/>
      <c r="N157" s="24"/>
      <c r="O157" s="143"/>
      <c r="P157" s="24"/>
      <c r="Q157" s="143"/>
      <c r="R157" s="24"/>
      <c r="S157" s="24"/>
      <c r="T157" s="40"/>
      <c r="U157" s="24"/>
      <c r="V157" s="154"/>
      <c r="W157" s="24"/>
      <c r="X157" s="24"/>
      <c r="Y157" s="24"/>
      <c r="Z157" s="24"/>
      <c r="AA157" s="143"/>
      <c r="AB157" s="148"/>
      <c r="AC157" s="24"/>
      <c r="AD157" s="24"/>
      <c r="AE157" s="24"/>
      <c r="AF157" s="24"/>
      <c r="AG157" s="143"/>
      <c r="AH157" s="24"/>
      <c r="AI157" s="24"/>
      <c r="AJ157" s="24"/>
      <c r="AK157" s="24"/>
      <c r="AL157" s="24"/>
      <c r="AM157" s="24"/>
      <c r="AN157" s="24"/>
      <c r="AO157" s="24"/>
      <c r="AP157" s="24"/>
      <c r="AQ157" s="24"/>
      <c r="AR157" s="24"/>
      <c r="AS157" s="24"/>
      <c r="AT157" s="24"/>
      <c r="AU157" s="24"/>
      <c r="AV157" s="24"/>
      <c r="AW157" s="24"/>
      <c r="AX157" s="24"/>
      <c r="AY157" s="24"/>
    </row>
    <row r="158" spans="1:51">
      <c r="A158" s="24" t="str">
        <f>$A$46</f>
        <v>1Q</v>
      </c>
      <c r="B158" s="24" t="str">
        <f>$B$11</f>
        <v>Apr</v>
      </c>
      <c r="C158" s="143"/>
      <c r="D158" s="33">
        <f>'qtrP&amp;L'!CP10</f>
        <v>2217.0169999999998</v>
      </c>
      <c r="E158" s="24"/>
      <c r="F158" s="33">
        <f>'qtrP&amp;L'!CP20</f>
        <v>1375.289</v>
      </c>
      <c r="G158" s="143"/>
      <c r="H158" s="240">
        <f>+work!CH10</f>
        <v>1075.9860000000001</v>
      </c>
      <c r="I158" s="24"/>
      <c r="J158" s="33">
        <f>AVERAGE(H158,H154)</f>
        <v>1053.9929999999999</v>
      </c>
      <c r="K158" s="24"/>
      <c r="L158" s="43">
        <f>(D158/D151-1)*100</f>
        <v>14.779998923136816</v>
      </c>
      <c r="M158" s="143" t="s">
        <v>1084</v>
      </c>
      <c r="N158" s="43">
        <f>(H158/H151-1)*100</f>
        <v>-1.989832679164627</v>
      </c>
      <c r="O158" s="143" t="s">
        <v>1084</v>
      </c>
      <c r="P158" s="43">
        <f>(H158/H154-1)*100</f>
        <v>4.2622093023255925</v>
      </c>
      <c r="Q158" s="143" t="s">
        <v>1084</v>
      </c>
      <c r="R158" s="40">
        <f>F158/J158</f>
        <v>1.3048369391447572</v>
      </c>
      <c r="S158" s="24" t="s">
        <v>1200</v>
      </c>
      <c r="T158" s="40">
        <f>F159/H158</f>
        <v>1.446149856968399</v>
      </c>
      <c r="U158" s="24"/>
      <c r="V158" s="154">
        <f>qtrSales!J166</f>
        <v>2956</v>
      </c>
      <c r="W158" s="24"/>
      <c r="X158" s="35">
        <f>H158/V158</f>
        <v>0.36400067658998653</v>
      </c>
      <c r="Y158" s="24"/>
      <c r="Z158" s="85">
        <f>(X158/X151-1)*100</f>
        <v>-1.5588001435858367</v>
      </c>
      <c r="AA158" s="143" t="s">
        <v>1084</v>
      </c>
      <c r="AB158" s="148">
        <f>qtrSales!Z166</f>
        <v>13.666249999999998</v>
      </c>
      <c r="AC158" s="24"/>
      <c r="AD158" s="165">
        <f>H158/AB158</f>
        <v>78.733083325711164</v>
      </c>
      <c r="AE158" s="24"/>
      <c r="AF158" s="524">
        <f>(AD158/AD151-1)*100</f>
        <v>-2.0615496222330165</v>
      </c>
      <c r="AG158" s="143" t="s">
        <v>1084</v>
      </c>
      <c r="AH158" s="148">
        <f>AB158*0.8</f>
        <v>10.933</v>
      </c>
      <c r="AI158" s="24"/>
      <c r="AJ158" s="165">
        <f>+H158/AH158</f>
        <v>98.416354157138954</v>
      </c>
      <c r="AK158" s="153"/>
      <c r="AL158" s="153"/>
      <c r="AM158" s="569">
        <f>((F158-('yrP&amp;L'!$W$16/4))/J158)</f>
        <v>1.1315672874487781</v>
      </c>
      <c r="AN158" s="570" t="s">
        <v>1200</v>
      </c>
      <c r="AO158" s="428"/>
      <c r="AP158" s="165"/>
      <c r="AQ158" s="24"/>
      <c r="AR158" s="148"/>
      <c r="AS158" s="24"/>
      <c r="AT158" s="521"/>
      <c r="AU158" s="24"/>
      <c r="AV158" s="423"/>
      <c r="AW158" s="24"/>
      <c r="AX158" s="522"/>
      <c r="AY158" s="24"/>
    </row>
    <row r="159" spans="1:51">
      <c r="A159" s="24" t="str">
        <f>$A$47</f>
        <v>2Q</v>
      </c>
      <c r="B159" s="24" t="str">
        <f>$B$12</f>
        <v>Jul</v>
      </c>
      <c r="C159" s="24"/>
      <c r="D159" s="34">
        <f>'qtrP&amp;L'!CP11</f>
        <v>2458.1350000000002</v>
      </c>
      <c r="E159" s="24"/>
      <c r="F159" s="34">
        <f>'qtrP&amp;L'!CP21</f>
        <v>1556.037</v>
      </c>
      <c r="G159" s="143"/>
      <c r="H159" s="579">
        <f>+work!CH11</f>
        <v>1104.4079999999999</v>
      </c>
      <c r="I159" s="24"/>
      <c r="J159" s="34">
        <f>AVERAGE(H158:H159)</f>
        <v>1090.1970000000001</v>
      </c>
      <c r="K159" s="24"/>
      <c r="L159" s="43">
        <f>(D159/D152-1)*100</f>
        <v>9.6153417376065207</v>
      </c>
      <c r="M159" s="143"/>
      <c r="N159" s="43">
        <f>(H159/H152-1)*100</f>
        <v>1.9204538952637407</v>
      </c>
      <c r="O159" s="143"/>
      <c r="P159" s="43">
        <f>(H159/H158-1)*100</f>
        <v>2.6414841828796831</v>
      </c>
      <c r="Q159" s="143"/>
      <c r="R159" s="40">
        <f>F159/J159</f>
        <v>1.4272989193696184</v>
      </c>
      <c r="S159" s="24"/>
      <c r="T159" s="40">
        <f>F160/H159</f>
        <v>1.2569113950641431</v>
      </c>
      <c r="U159" s="24"/>
      <c r="V159" s="154">
        <f>qtrSales!J167</f>
        <v>2951</v>
      </c>
      <c r="W159" s="24"/>
      <c r="X159" s="40">
        <f>H159/V159</f>
        <v>0.37424872924432395</v>
      </c>
      <c r="Y159" s="24"/>
      <c r="Z159" s="85">
        <f>(X159/X152-1)*100</f>
        <v>2.5421306726662429</v>
      </c>
      <c r="AA159" s="143"/>
      <c r="AB159" s="148">
        <f>qtrSales!Z167</f>
        <v>13.668749999999999</v>
      </c>
      <c r="AC159" s="24"/>
      <c r="AD159" s="387">
        <f>H159/AB159</f>
        <v>80.798024691358023</v>
      </c>
      <c r="AE159" s="24"/>
      <c r="AF159" s="938">
        <f>(AD159/AD152-1)*100</f>
        <v>2.0323007582489394</v>
      </c>
      <c r="AG159" s="143"/>
      <c r="AH159" s="148">
        <f>AB159*0.8</f>
        <v>10.935</v>
      </c>
      <c r="AI159" s="24"/>
      <c r="AJ159" s="387">
        <f>+H159/AH159</f>
        <v>100.99753086419751</v>
      </c>
      <c r="AK159" s="154"/>
      <c r="AL159" s="154"/>
      <c r="AM159" s="569">
        <f>((F159-('yrP&amp;L'!$W$16/4))/J159)</f>
        <v>1.2597833235644567</v>
      </c>
      <c r="AN159" s="570"/>
      <c r="AO159" s="154"/>
      <c r="AP159" s="266"/>
      <c r="AQ159" s="194"/>
      <c r="AR159" s="148"/>
      <c r="AS159" s="194"/>
      <c r="AT159" s="266"/>
      <c r="AU159" s="194"/>
      <c r="AV159" s="423"/>
      <c r="AW159" s="194"/>
      <c r="AX159" s="522"/>
      <c r="AY159" s="24"/>
    </row>
    <row r="160" spans="1:51">
      <c r="A160" s="24" t="str">
        <f>$A$48</f>
        <v>3Q</v>
      </c>
      <c r="B160" s="24" t="str">
        <f>$B$13</f>
        <v>Oct</v>
      </c>
      <c r="C160" s="24"/>
      <c r="D160" s="34">
        <f>'qtrP&amp;L'!CP12</f>
        <v>2173.42</v>
      </c>
      <c r="E160" s="24"/>
      <c r="F160" s="34">
        <f>'qtrP&amp;L'!CP22</f>
        <v>1388.143</v>
      </c>
      <c r="G160" s="24"/>
      <c r="H160" s="579">
        <f>+work!CH12</f>
        <v>1536.85</v>
      </c>
      <c r="I160" s="24"/>
      <c r="J160" s="34">
        <f>AVERAGE(H159:H160)</f>
        <v>1320.6289999999999</v>
      </c>
      <c r="K160" s="24"/>
      <c r="L160" s="43">
        <f>(D160/D153-1)*100</f>
        <v>9.5820652908279449</v>
      </c>
      <c r="M160" s="143"/>
      <c r="N160" s="43">
        <f>(H160/H153-1)*100</f>
        <v>5.5856625820652983</v>
      </c>
      <c r="O160" s="143"/>
      <c r="P160" s="43">
        <f>(H160/H159-1)*100</f>
        <v>39.156000318722796</v>
      </c>
      <c r="Q160" s="143"/>
      <c r="R160" s="40">
        <f>F160/J160</f>
        <v>1.0511226089991967</v>
      </c>
      <c r="S160" s="24"/>
      <c r="T160" s="40">
        <f>F161/H160</f>
        <v>1.2823528646256956</v>
      </c>
      <c r="U160" s="24"/>
      <c r="V160" s="154">
        <f>qtrSales!J168</f>
        <v>2959</v>
      </c>
      <c r="W160" s="24"/>
      <c r="X160" s="40">
        <f>H160/V160</f>
        <v>0.51938154782020951</v>
      </c>
      <c r="Y160" s="24"/>
      <c r="Z160" s="85">
        <f>(X160/X153-1)*100</f>
        <v>6.6204663045661194</v>
      </c>
      <c r="AA160" s="143"/>
      <c r="AB160" s="148">
        <f>qtrSales!Z168</f>
        <v>13.721250000000001</v>
      </c>
      <c r="AC160" s="24"/>
      <c r="AD160" s="387">
        <f>H160/AB160</f>
        <v>112.00510157602258</v>
      </c>
      <c r="AE160" s="24"/>
      <c r="AF160" s="938">
        <f>(AD160/AD153-1)*100</f>
        <v>6.1627911012348102</v>
      </c>
      <c r="AG160" s="143"/>
      <c r="AH160" s="148">
        <f>AB160*0.8</f>
        <v>10.977000000000002</v>
      </c>
      <c r="AI160" s="24"/>
      <c r="AJ160" s="387">
        <f>+H160/AH160</f>
        <v>140.00637697002821</v>
      </c>
      <c r="AK160" s="154"/>
      <c r="AL160" s="154"/>
      <c r="AM160" s="569">
        <f>((F160-('yrP&amp;L'!$W$16/4))/J160)</f>
        <v>0.91283623182589513</v>
      </c>
      <c r="AN160" s="570"/>
      <c r="AO160" s="154"/>
      <c r="AP160" s="266"/>
      <c r="AQ160" s="194"/>
      <c r="AR160" s="148"/>
      <c r="AS160" s="194"/>
      <c r="AT160" s="266"/>
      <c r="AU160" s="194"/>
      <c r="AV160" s="423"/>
      <c r="AW160" s="194"/>
      <c r="AX160" s="24"/>
      <c r="AY160" s="24"/>
    </row>
    <row r="161" spans="1:51">
      <c r="A161" s="24" t="str">
        <f>$A$49</f>
        <v>4Q</v>
      </c>
      <c r="B161" s="24" t="str">
        <f>$B$14</f>
        <v>Jan</v>
      </c>
      <c r="C161" s="24"/>
      <c r="D161" s="38">
        <f>'qtrP&amp;L'!CP13</f>
        <v>3515.4259999999999</v>
      </c>
      <c r="E161" s="24"/>
      <c r="F161" s="38">
        <f>'qtrP&amp;L'!CP23</f>
        <v>1970.7840000000001</v>
      </c>
      <c r="G161" s="24"/>
      <c r="H161" s="579">
        <f>bal!$AU$11</f>
        <v>997</v>
      </c>
      <c r="I161" s="24"/>
      <c r="J161" s="38">
        <f>AVERAGE(H160:H161)</f>
        <v>1266.925</v>
      </c>
      <c r="K161" s="24"/>
      <c r="L161" s="84">
        <f>(D161/D154-1)*100</f>
        <v>1.7236230634342764</v>
      </c>
      <c r="M161" s="143"/>
      <c r="N161" s="85">
        <f>(H161/H154-1)*100</f>
        <v>-3.3914728682170492</v>
      </c>
      <c r="O161" s="143"/>
      <c r="P161" s="43">
        <f>(H161/H160-1)*100</f>
        <v>-35.127045580245309</v>
      </c>
      <c r="Q161" s="143"/>
      <c r="R161" s="40">
        <f>F161/J161</f>
        <v>1.5555648519052037</v>
      </c>
      <c r="S161" s="24"/>
      <c r="T161" s="40">
        <f>F165/H161</f>
        <v>1.2555877632898695</v>
      </c>
      <c r="U161" s="24"/>
      <c r="V161" s="154">
        <f>qtrSales!J169</f>
        <v>2941</v>
      </c>
      <c r="W161" s="24"/>
      <c r="X161" s="40">
        <f>H161/V161</f>
        <v>0.33900034002040125</v>
      </c>
      <c r="Y161" s="24"/>
      <c r="Z161" s="85">
        <f>(X161/X154-1)*100</f>
        <v>-2.5045533739776249</v>
      </c>
      <c r="AA161" s="143"/>
      <c r="AB161" s="148">
        <f>qtrSales!Z169</f>
        <v>13.6775</v>
      </c>
      <c r="AC161" s="24"/>
      <c r="AD161" s="387">
        <f>H161/AB161</f>
        <v>72.893438128312923</v>
      </c>
      <c r="AE161" s="24"/>
      <c r="AF161" s="938">
        <f>(AD161/AD154-1)*100</f>
        <v>-3.1001110152332534</v>
      </c>
      <c r="AG161" s="143"/>
      <c r="AH161" s="148">
        <f>AB161*0.8</f>
        <v>10.942</v>
      </c>
      <c r="AI161" s="24"/>
      <c r="AJ161" s="387">
        <f>+H161/AH161</f>
        <v>91.116797660391157</v>
      </c>
      <c r="AK161" s="154"/>
      <c r="AL161" s="154"/>
      <c r="AM161" s="569">
        <f>((F161-('yrP&amp;L'!$W$16/4))/J161)</f>
        <v>1.411416618979024</v>
      </c>
      <c r="AN161" s="573"/>
      <c r="AO161" s="356"/>
      <c r="AP161" s="266"/>
      <c r="AQ161" s="195"/>
      <c r="AR161" s="148"/>
      <c r="AS161" s="195"/>
      <c r="AT161" s="266"/>
      <c r="AU161" s="195"/>
      <c r="AV161" s="423"/>
      <c r="AW161" s="195"/>
      <c r="AX161" s="24"/>
      <c r="AY161" s="24"/>
    </row>
    <row r="162" spans="1:51">
      <c r="A162" s="24"/>
      <c r="B162" s="24" t="str">
        <f>$B$15</f>
        <v>Year</v>
      </c>
      <c r="C162" s="24"/>
      <c r="D162" s="33">
        <f>SUM(D158:D161)</f>
        <v>10363.998</v>
      </c>
      <c r="E162" s="24"/>
      <c r="F162" s="33">
        <f>SUM(F158:F161)</f>
        <v>6290.2530000000006</v>
      </c>
      <c r="G162" s="24"/>
      <c r="H162" s="24"/>
      <c r="I162" s="24"/>
      <c r="J162" s="33">
        <f>AVERAGE(J158:J161)</f>
        <v>1182.9359999999999</v>
      </c>
      <c r="K162" s="24"/>
      <c r="L162" s="43">
        <f>(D162/D155-1)*100</f>
        <v>7.8091989017689878</v>
      </c>
      <c r="M162" s="143"/>
      <c r="N162" s="24"/>
      <c r="O162" s="143"/>
      <c r="P162" s="24"/>
      <c r="Q162" s="143"/>
      <c r="R162" s="86">
        <f>F162/J162</f>
        <v>5.3174922396477928</v>
      </c>
      <c r="S162" s="83" t="s">
        <v>1200</v>
      </c>
      <c r="T162" s="40"/>
      <c r="U162" s="24"/>
      <c r="V162" s="24"/>
      <c r="W162" s="24"/>
      <c r="X162" s="24"/>
      <c r="Y162" s="24"/>
      <c r="Z162" s="24"/>
      <c r="AA162" s="143"/>
      <c r="AB162" s="148"/>
      <c r="AC162" s="24"/>
      <c r="AD162" s="387"/>
      <c r="AE162" s="24"/>
      <c r="AF162" s="24"/>
      <c r="AG162" s="143"/>
      <c r="AH162" s="24"/>
      <c r="AI162" s="24"/>
      <c r="AJ162" s="387"/>
      <c r="AK162" s="24"/>
      <c r="AL162" s="24"/>
      <c r="AM162" s="571">
        <f>((F162-('yrP&amp;L'!$W$16))/J162)</f>
        <v>4.6999609446326778</v>
      </c>
      <c r="AN162" s="572" t="s">
        <v>1200</v>
      </c>
      <c r="AO162" s="24"/>
      <c r="AP162" s="24"/>
      <c r="AQ162" s="24"/>
      <c r="AR162" s="24"/>
      <c r="AS162" s="24"/>
      <c r="AT162" s="24"/>
      <c r="AU162" s="24"/>
      <c r="AV162" s="24"/>
      <c r="AW162" s="24"/>
      <c r="AX162" s="24"/>
      <c r="AY162" s="24"/>
    </row>
    <row r="163" spans="1:51">
      <c r="A163" s="24"/>
      <c r="B163" s="24"/>
      <c r="C163" s="24"/>
      <c r="D163" s="33"/>
      <c r="E163" s="24"/>
      <c r="F163" s="33"/>
      <c r="G163" s="24"/>
      <c r="H163" s="24"/>
      <c r="I163" s="24"/>
      <c r="J163" s="33"/>
      <c r="K163" s="24"/>
      <c r="L163" s="43"/>
      <c r="M163" s="143"/>
      <c r="N163" s="24"/>
      <c r="O163" s="143"/>
      <c r="P163" s="24"/>
      <c r="Q163" s="143"/>
      <c r="R163" s="918"/>
      <c r="S163" s="30"/>
      <c r="T163" s="40"/>
      <c r="U163" s="24"/>
      <c r="V163" s="24"/>
      <c r="W163" s="24"/>
      <c r="X163" s="24"/>
      <c r="Y163" s="24"/>
      <c r="Z163" s="24"/>
      <c r="AA163" s="143"/>
      <c r="AB163" s="148"/>
      <c r="AC163" s="24"/>
      <c r="AD163" s="387"/>
      <c r="AE163" s="24"/>
      <c r="AF163" s="24"/>
      <c r="AG163" s="143"/>
      <c r="AH163" s="24"/>
      <c r="AI163" s="24"/>
      <c r="AJ163" s="387"/>
      <c r="AK163" s="24"/>
      <c r="AL163" s="24"/>
      <c r="AM163" s="569"/>
      <c r="AN163" s="573"/>
      <c r="AO163" s="24"/>
      <c r="AP163" s="24"/>
      <c r="AQ163" s="24"/>
      <c r="AR163" s="24"/>
      <c r="AS163" s="24"/>
      <c r="AT163" s="24"/>
      <c r="AU163" s="24"/>
      <c r="AV163" s="24"/>
      <c r="AW163" s="24"/>
      <c r="AX163" s="24"/>
      <c r="AY163" s="24"/>
    </row>
    <row r="164" spans="1:51" ht="14.25" customHeight="1">
      <c r="A164" s="24"/>
      <c r="B164" s="75">
        <f>B157+1</f>
        <v>2012</v>
      </c>
      <c r="C164" s="24"/>
      <c r="D164" s="24"/>
      <c r="E164" s="24"/>
      <c r="F164" s="24"/>
      <c r="G164" s="24"/>
      <c r="H164" s="24"/>
      <c r="I164" s="24"/>
      <c r="J164" s="24"/>
      <c r="K164" s="24"/>
      <c r="L164" s="24"/>
      <c r="M164" s="143"/>
      <c r="N164" s="24"/>
      <c r="O164" s="143"/>
      <c r="P164" s="24"/>
      <c r="Q164" s="143"/>
      <c r="R164" s="24"/>
      <c r="S164" s="24"/>
      <c r="T164" s="40"/>
      <c r="U164" s="24"/>
      <c r="V164" s="154"/>
      <c r="W164" s="24"/>
      <c r="X164" s="24"/>
      <c r="Y164" s="24"/>
      <c r="Z164" s="24"/>
      <c r="AA164" s="143"/>
      <c r="AB164" s="148"/>
      <c r="AC164" s="24"/>
      <c r="AD164" s="24"/>
      <c r="AE164" s="24"/>
      <c r="AF164" s="24"/>
      <c r="AG164" s="143"/>
      <c r="AH164" s="24"/>
      <c r="AI164" s="24"/>
      <c r="AJ164" s="24"/>
      <c r="AK164" s="24"/>
      <c r="AL164" s="24"/>
      <c r="AM164" s="24"/>
      <c r="AN164" s="24"/>
      <c r="AO164" s="24"/>
      <c r="AP164" s="24"/>
      <c r="AQ164" s="24"/>
      <c r="AR164" s="24"/>
      <c r="AS164" s="24"/>
      <c r="AT164" s="24"/>
      <c r="AU164" s="24"/>
      <c r="AV164" s="24"/>
      <c r="AW164" s="24"/>
      <c r="AX164" s="24"/>
      <c r="AY164" s="24"/>
    </row>
    <row r="165" spans="1:51">
      <c r="A165" s="24" t="str">
        <f>$A$46</f>
        <v>1Q</v>
      </c>
      <c r="B165" s="24" t="str">
        <f>$B$11</f>
        <v>Apr</v>
      </c>
      <c r="C165" s="143"/>
      <c r="D165" s="33">
        <f>+'qtrP&amp;L'!CT10</f>
        <v>2153.7840000000001</v>
      </c>
      <c r="E165" s="24"/>
      <c r="F165" s="33">
        <f>+'qtrP&amp;L'!CT20</f>
        <v>1251.8209999999999</v>
      </c>
      <c r="G165" s="143"/>
      <c r="H165" s="240">
        <f>+work!CL10</f>
        <v>1100.4359999999999</v>
      </c>
      <c r="I165" s="24"/>
      <c r="J165" s="33">
        <f>AVERAGE(H165,H161)</f>
        <v>1048.7179999999998</v>
      </c>
      <c r="K165" s="24"/>
      <c r="L165" s="43">
        <f>(D165/D158-1)*100</f>
        <v>-2.8521657704924985</v>
      </c>
      <c r="M165" s="143" t="s">
        <v>1084</v>
      </c>
      <c r="N165" s="43">
        <f>(H165/H158-1)*100</f>
        <v>2.2723343984029309</v>
      </c>
      <c r="O165" s="143" t="s">
        <v>1084</v>
      </c>
      <c r="P165" s="43">
        <f>(H165/H161-1)*100</f>
        <v>10.374724172517546</v>
      </c>
      <c r="Q165" s="143" t="s">
        <v>1084</v>
      </c>
      <c r="R165" s="40">
        <f>F165/J165</f>
        <v>1.1936678878402012</v>
      </c>
      <c r="S165" s="24" t="s">
        <v>1200</v>
      </c>
      <c r="T165" s="40">
        <f>F166/H165</f>
        <v>1.3211318059387371</v>
      </c>
      <c r="U165" s="24"/>
      <c r="V165" s="154">
        <f>qtrSales!J173</f>
        <v>2899</v>
      </c>
      <c r="W165" s="24"/>
      <c r="X165" s="35">
        <f>H165/V165</f>
        <v>0.37959158330458775</v>
      </c>
      <c r="Y165" s="24"/>
      <c r="Z165" s="85">
        <f>(X165/X158-1)*100</f>
        <v>4.2832081689130996</v>
      </c>
      <c r="AA165" s="143" t="s">
        <v>1084</v>
      </c>
      <c r="AB165" s="148">
        <f>qtrSales!Z173</f>
        <v>13.668749999999999</v>
      </c>
      <c r="AC165" s="24"/>
      <c r="AD165" s="165">
        <f>H165/AB165</f>
        <v>80.507434842249651</v>
      </c>
      <c r="AE165" s="24"/>
      <c r="AF165" s="938">
        <f>(AD165/AD158-1)*100</f>
        <v>2.2536288959980944</v>
      </c>
      <c r="AG165" s="143" t="s">
        <v>1084</v>
      </c>
      <c r="AH165" s="148">
        <f>AB165*0.8</f>
        <v>10.935</v>
      </c>
      <c r="AI165" s="24"/>
      <c r="AJ165" s="165">
        <f>+H165/AH165</f>
        <v>100.63429355281205</v>
      </c>
      <c r="AK165" s="153"/>
      <c r="AL165" s="153"/>
      <c r="AM165" s="569">
        <f>((F165-('yrP&amp;L'!$X$16/4))/J165)</f>
        <v>1.0084417355285216</v>
      </c>
      <c r="AN165" s="570" t="s">
        <v>1200</v>
      </c>
      <c r="AO165" s="428"/>
      <c r="AP165" s="165"/>
      <c r="AQ165" s="24"/>
      <c r="AR165" s="148"/>
      <c r="AS165" s="24"/>
      <c r="AT165" s="521"/>
      <c r="AU165" s="24"/>
      <c r="AV165" s="423"/>
      <c r="AW165" s="24"/>
      <c r="AX165" s="522"/>
      <c r="AY165" s="24"/>
    </row>
    <row r="166" spans="1:51">
      <c r="A166" s="24" t="str">
        <f>$A$47</f>
        <v>2Q</v>
      </c>
      <c r="B166" s="24" t="str">
        <f>$B$12</f>
        <v>Jul</v>
      </c>
      <c r="C166" s="24"/>
      <c r="D166" s="34">
        <f>+'qtrP&amp;L'!CT11</f>
        <v>2399.1</v>
      </c>
      <c r="E166" s="24"/>
      <c r="F166" s="34">
        <f>+'qtrP&amp;L'!CT21</f>
        <v>1453.8210000000001</v>
      </c>
      <c r="G166" s="143"/>
      <c r="H166" s="240">
        <f>+work!CL11</f>
        <v>1056.5129999999999</v>
      </c>
      <c r="I166" s="24"/>
      <c r="J166" s="34">
        <f>AVERAGE(H165:H166)</f>
        <v>1078.4744999999998</v>
      </c>
      <c r="K166" s="24"/>
      <c r="L166" s="43">
        <f>(D166/D159-1)*100</f>
        <v>-2.4016174864277318</v>
      </c>
      <c r="M166" s="143"/>
      <c r="N166" s="43">
        <f>(H166/H159-1)*100</f>
        <v>-4.3367125192863458</v>
      </c>
      <c r="O166" s="143"/>
      <c r="P166" s="43">
        <f>(H166/H165-1)*100</f>
        <v>-3.9914179470682543</v>
      </c>
      <c r="Q166" s="143"/>
      <c r="R166" s="40">
        <f>F166/J166</f>
        <v>1.3480346545050443</v>
      </c>
      <c r="S166" s="24"/>
      <c r="T166" s="40">
        <f>F167/H166</f>
        <v>1.1496555177267107</v>
      </c>
      <c r="U166" s="24"/>
      <c r="V166" s="154">
        <f>qtrSales!J174</f>
        <v>2893</v>
      </c>
      <c r="W166" s="24"/>
      <c r="X166" s="40">
        <f>H166/V166</f>
        <v>0.36519633598340823</v>
      </c>
      <c r="Y166" s="24"/>
      <c r="Z166" s="85">
        <f>(X166/X159-1)*100</f>
        <v>-2.4188173675817493</v>
      </c>
      <c r="AA166" s="143"/>
      <c r="AB166" s="148">
        <f>qtrSales!Z174</f>
        <v>13.721250000000001</v>
      </c>
      <c r="AC166" s="24"/>
      <c r="AD166" s="387">
        <f>H166/AB166</f>
        <v>76.998305547963909</v>
      </c>
      <c r="AE166" s="24"/>
      <c r="AF166" s="938">
        <f>(AD166/AD159-1)*100</f>
        <v>-4.7027376695268686</v>
      </c>
      <c r="AG166" s="143"/>
      <c r="AH166" s="148">
        <f>AB166*0.8</f>
        <v>10.977000000000002</v>
      </c>
      <c r="AI166" s="24"/>
      <c r="AJ166" s="387">
        <f>+H166/AH166</f>
        <v>96.247881934954876</v>
      </c>
      <c r="AK166" s="154"/>
      <c r="AL166" s="154"/>
      <c r="AM166" s="569">
        <f>((F166-('yrP&amp;L'!$X$16/4))/J166)</f>
        <v>1.1679191302158747</v>
      </c>
      <c r="AN166" s="570"/>
      <c r="AO166" s="154"/>
      <c r="AP166" s="266"/>
      <c r="AQ166" s="194"/>
      <c r="AR166" s="148"/>
      <c r="AS166" s="194"/>
      <c r="AT166" s="266"/>
      <c r="AU166" s="194"/>
      <c r="AV166" s="423"/>
      <c r="AW166" s="194"/>
      <c r="AX166" s="522"/>
      <c r="AY166" s="24"/>
    </row>
    <row r="167" spans="1:51">
      <c r="A167" s="24" t="str">
        <f>$A$48</f>
        <v>3Q</v>
      </c>
      <c r="B167" s="24" t="str">
        <f>$B$13</f>
        <v>Oct</v>
      </c>
      <c r="C167" s="24"/>
      <c r="D167" s="34">
        <f>+'qtrP&amp;L'!CT12</f>
        <v>2050.1889999999999</v>
      </c>
      <c r="E167" s="24"/>
      <c r="F167" s="34">
        <f>+'qtrP&amp;L'!CT22</f>
        <v>1214.6260000000002</v>
      </c>
      <c r="G167" s="24"/>
      <c r="H167" s="240">
        <f>+work!CL12</f>
        <v>1446.752</v>
      </c>
      <c r="I167" s="24"/>
      <c r="J167" s="34">
        <f>AVERAGE(H166:H167)</f>
        <v>1251.6324999999999</v>
      </c>
      <c r="K167" s="24"/>
      <c r="L167" s="43">
        <f>(D167/D160-1)*100</f>
        <v>-5.6699119360271055</v>
      </c>
      <c r="M167" s="143"/>
      <c r="N167" s="43">
        <f>(H167/H160-1)*100</f>
        <v>-5.8625109802518116</v>
      </c>
      <c r="O167" s="143"/>
      <c r="P167" s="43">
        <f>(H167/H166-1)*100</f>
        <v>36.936507170285651</v>
      </c>
      <c r="Q167" s="143"/>
      <c r="R167" s="40">
        <f>F167/J167</f>
        <v>0.97043341396136662</v>
      </c>
      <c r="S167" s="24"/>
      <c r="T167" s="40">
        <f>F168/H167</f>
        <v>1.4601099566477185</v>
      </c>
      <c r="U167" s="24"/>
      <c r="V167" s="154">
        <f>qtrSales!J175</f>
        <v>2889</v>
      </c>
      <c r="W167" s="24"/>
      <c r="X167" s="40">
        <f>H167/V167</f>
        <v>0.50077950848044306</v>
      </c>
      <c r="Y167" s="24"/>
      <c r="Z167" s="85">
        <f>(X167/X160-1)*100</f>
        <v>-3.5815749361596039</v>
      </c>
      <c r="AA167" s="143"/>
      <c r="AB167" s="148">
        <f>qtrSales!Z175</f>
        <v>13.678749999999999</v>
      </c>
      <c r="AC167" s="24"/>
      <c r="AD167" s="387">
        <f>H167/AB167</f>
        <v>105.7663894727223</v>
      </c>
      <c r="AE167" s="24"/>
      <c r="AF167" s="938">
        <f>(AD167/AD160-1)*100</f>
        <v>-5.5700249502169452</v>
      </c>
      <c r="AG167" s="143"/>
      <c r="AH167" s="148">
        <f>AB167*0.8</f>
        <v>10.943</v>
      </c>
      <c r="AI167" s="24"/>
      <c r="AJ167" s="387">
        <f>+H167/AH167</f>
        <v>132.20798684090286</v>
      </c>
      <c r="AK167" s="154"/>
      <c r="AL167" s="154"/>
      <c r="AM167" s="569">
        <f>((F167-('yrP&amp;L'!$X$16/4))/J167)</f>
        <v>0.81523610165124372</v>
      </c>
      <c r="AN167" s="570"/>
      <c r="AO167" s="154"/>
      <c r="AP167" s="266"/>
      <c r="AQ167" s="194"/>
      <c r="AR167" s="148"/>
      <c r="AS167" s="194"/>
      <c r="AT167" s="266"/>
      <c r="AU167" s="194"/>
      <c r="AV167" s="423"/>
      <c r="AW167" s="194"/>
      <c r="AX167" s="24"/>
      <c r="AY167" s="24"/>
    </row>
    <row r="168" spans="1:51">
      <c r="A168" s="24" t="str">
        <f>$A$49</f>
        <v>4Q</v>
      </c>
      <c r="B168" s="24" t="str">
        <f>$B$14</f>
        <v>Jan</v>
      </c>
      <c r="C168" s="24"/>
      <c r="D168" s="38">
        <f>+'qtrP&amp;L'!CT13</f>
        <v>3855.5830000000001</v>
      </c>
      <c r="E168" s="24"/>
      <c r="F168" s="38">
        <f>+'qtrP&amp;L'!CT23</f>
        <v>2112.4169999999999</v>
      </c>
      <c r="G168" s="24"/>
      <c r="H168" s="240">
        <f>+work!CL13</f>
        <v>1004.153</v>
      </c>
      <c r="I168" s="24"/>
      <c r="J168" s="38">
        <f>AVERAGE(H167:H168)</f>
        <v>1225.4524999999999</v>
      </c>
      <c r="K168" s="24"/>
      <c r="L168" s="84">
        <f>(D168/D161-1)*100</f>
        <v>9.6761246005462773</v>
      </c>
      <c r="M168" s="143"/>
      <c r="N168" s="85">
        <f>(H168/H161-1)*100</f>
        <v>0.71745235707121324</v>
      </c>
      <c r="O168" s="143"/>
      <c r="P168" s="43">
        <f>(H168/H167-1)*100</f>
        <v>-30.592596381411596</v>
      </c>
      <c r="Q168" s="143"/>
      <c r="R168" s="40">
        <f>F168/J168</f>
        <v>1.7237852956356938</v>
      </c>
      <c r="S168" s="24"/>
      <c r="T168" s="124" t="s">
        <v>520</v>
      </c>
      <c r="U168" s="24"/>
      <c r="V168" s="154">
        <f>qtrSales!J176</f>
        <v>2878</v>
      </c>
      <c r="W168" s="24"/>
      <c r="X168" s="40">
        <f>H168/V168</f>
        <v>0.34890653231410701</v>
      </c>
      <c r="Y168" s="24"/>
      <c r="Z168" s="85">
        <f>(X168/X161-1)*100</f>
        <v>2.9221776866387827</v>
      </c>
      <c r="AA168" s="143"/>
      <c r="AB168" s="148">
        <f>qtrSales!Z176</f>
        <v>13.561249999999999</v>
      </c>
      <c r="AC168" s="24"/>
      <c r="AD168" s="387">
        <f>H168/AB168</f>
        <v>74.045755369158456</v>
      </c>
      <c r="AE168" s="24"/>
      <c r="AF168" s="938">
        <f>(AD168/AD161-1)*100</f>
        <v>1.5808243793044019</v>
      </c>
      <c r="AG168" s="143"/>
      <c r="AH168" s="148">
        <f>AB168*0.8</f>
        <v>10.849</v>
      </c>
      <c r="AI168" s="24"/>
      <c r="AJ168" s="387">
        <f>+H168/AH168</f>
        <v>92.557194211448063</v>
      </c>
      <c r="AK168" s="154"/>
      <c r="AL168" s="154"/>
      <c r="AM168" s="569">
        <f>((F168-('yrP&amp;L'!$X$16/4))/J168)</f>
        <v>1.5652724197796326</v>
      </c>
      <c r="AN168" s="573"/>
      <c r="AO168" s="154"/>
      <c r="AP168" s="266"/>
      <c r="AQ168" s="195"/>
      <c r="AR168" s="148"/>
      <c r="AS168" s="195"/>
      <c r="AT168" s="266"/>
      <c r="AU168" s="195"/>
      <c r="AV168" s="423"/>
      <c r="AW168" s="195"/>
      <c r="AX168" s="24"/>
      <c r="AY168" s="24"/>
    </row>
    <row r="169" spans="1:51">
      <c r="A169" s="24"/>
      <c r="B169" s="24" t="str">
        <f>$B$15</f>
        <v>Year</v>
      </c>
      <c r="C169" s="24"/>
      <c r="D169" s="33">
        <f>SUM(D165:D168)</f>
        <v>10458.656000000001</v>
      </c>
      <c r="E169" s="24"/>
      <c r="F169" s="33">
        <f>SUM(F165:F168)</f>
        <v>6032.6849999999995</v>
      </c>
      <c r="G169" s="24"/>
      <c r="H169" s="24"/>
      <c r="I169" s="24"/>
      <c r="J169" s="33">
        <f>AVERAGE(J165:J168)</f>
        <v>1151.069375</v>
      </c>
      <c r="K169" s="24"/>
      <c r="L169" s="43">
        <f>(D169/D162-1)*100</f>
        <v>0.91333479608932677</v>
      </c>
      <c r="M169" s="143"/>
      <c r="N169" s="24"/>
      <c r="O169" s="143"/>
      <c r="P169" s="24"/>
      <c r="Q169" s="143"/>
      <c r="R169" s="86">
        <f>F169/J169</f>
        <v>5.2409395393739837</v>
      </c>
      <c r="S169" s="83" t="s">
        <v>1200</v>
      </c>
      <c r="T169" s="40"/>
      <c r="U169" s="24"/>
      <c r="V169" s="24"/>
      <c r="W169" s="24"/>
      <c r="X169" s="24"/>
      <c r="Y169" s="24"/>
      <c r="Z169" s="24"/>
      <c r="AA169" s="143"/>
      <c r="AB169" s="148"/>
      <c r="AC169" s="24"/>
      <c r="AD169" s="387"/>
      <c r="AE169" s="24"/>
      <c r="AF169" s="24"/>
      <c r="AG169" s="143"/>
      <c r="AH169" s="24"/>
      <c r="AI169" s="24"/>
      <c r="AJ169" s="387"/>
      <c r="AK169" s="24"/>
      <c r="AL169" s="24"/>
      <c r="AM169" s="571">
        <f>((F169-('yrP&amp;L'!$X$16))/J169)</f>
        <v>4.5659150648500217</v>
      </c>
      <c r="AN169" s="572" t="s">
        <v>1200</v>
      </c>
      <c r="AO169" s="24"/>
      <c r="AP169" s="24"/>
      <c r="AQ169" s="24"/>
      <c r="AR169" s="24"/>
      <c r="AS169" s="24"/>
      <c r="AT169" s="24"/>
      <c r="AU169" s="24"/>
      <c r="AV169" s="24"/>
      <c r="AW169" s="24"/>
      <c r="AX169" s="24"/>
      <c r="AY169" s="24"/>
    </row>
    <row r="170" spans="1:51">
      <c r="A170" s="24"/>
      <c r="B170" s="24"/>
      <c r="C170" s="24"/>
      <c r="D170" s="33"/>
      <c r="E170" s="24"/>
      <c r="F170" s="33"/>
      <c r="G170" s="24"/>
      <c r="H170" s="24"/>
      <c r="I170" s="24"/>
      <c r="J170" s="33"/>
      <c r="K170" s="24"/>
      <c r="L170" s="43"/>
      <c r="M170" s="143"/>
      <c r="N170" s="24"/>
      <c r="O170" s="143"/>
      <c r="P170" s="24"/>
      <c r="Q170" s="143"/>
      <c r="R170" s="928"/>
      <c r="S170" s="30"/>
      <c r="T170" s="40"/>
      <c r="U170" s="24"/>
      <c r="V170" s="24"/>
      <c r="W170" s="24"/>
      <c r="X170" s="24"/>
      <c r="Y170" s="24"/>
      <c r="Z170" s="24"/>
      <c r="AA170" s="143"/>
      <c r="AB170" s="148"/>
      <c r="AC170" s="24"/>
      <c r="AD170" s="387"/>
      <c r="AE170" s="24"/>
      <c r="AF170" s="24"/>
      <c r="AG170" s="143"/>
      <c r="AH170" s="24"/>
      <c r="AI170" s="24"/>
      <c r="AJ170" s="387"/>
      <c r="AK170" s="24"/>
      <c r="AL170" s="24"/>
      <c r="AM170" s="569"/>
      <c r="AN170" s="573"/>
      <c r="AO170" s="24"/>
      <c r="AP170" s="24"/>
      <c r="AQ170" s="24"/>
      <c r="AR170" s="24"/>
      <c r="AS170" s="24"/>
      <c r="AT170" s="24"/>
      <c r="AU170" s="24"/>
      <c r="AV170" s="24"/>
      <c r="AW170" s="24"/>
      <c r="AX170" s="24"/>
      <c r="AY170" s="24"/>
    </row>
    <row r="171" spans="1:51">
      <c r="A171" s="24"/>
      <c r="B171" s="75">
        <f>B164+1</f>
        <v>2013</v>
      </c>
      <c r="C171" s="24"/>
      <c r="D171" s="33"/>
      <c r="E171" s="24"/>
      <c r="F171" s="33"/>
      <c r="G171" s="24"/>
      <c r="H171" s="24"/>
      <c r="I171" s="24"/>
      <c r="J171" s="33"/>
      <c r="K171" s="24"/>
      <c r="L171" s="43"/>
      <c r="M171" s="143"/>
      <c r="N171" s="24"/>
      <c r="O171" s="143"/>
      <c r="P171" s="24"/>
      <c r="Q171" s="143"/>
      <c r="R171" s="928"/>
      <c r="S171" s="30"/>
      <c r="T171" s="40"/>
      <c r="U171" s="24"/>
      <c r="V171" s="24"/>
      <c r="W171" s="24"/>
      <c r="X171" s="24"/>
      <c r="Y171" s="24"/>
      <c r="Z171" s="24"/>
      <c r="AA171" s="143"/>
      <c r="AB171" s="148"/>
      <c r="AC171" s="24"/>
      <c r="AD171" s="387"/>
      <c r="AE171" s="24"/>
      <c r="AF171" s="24"/>
      <c r="AG171" s="143"/>
      <c r="AH171" s="24"/>
      <c r="AI171" s="24"/>
      <c r="AJ171" s="387"/>
      <c r="AK171" s="24"/>
      <c r="AL171" s="24"/>
      <c r="AM171" s="569"/>
      <c r="AN171" s="573"/>
      <c r="AO171" s="24"/>
      <c r="AP171" s="24"/>
      <c r="AQ171" s="24"/>
      <c r="AR171" s="24"/>
      <c r="AS171" s="24"/>
      <c r="AT171" s="24"/>
      <c r="AU171" s="24"/>
      <c r="AV171" s="24"/>
      <c r="AW171" s="24"/>
      <c r="AX171" s="24"/>
      <c r="AY171" s="24"/>
    </row>
    <row r="172" spans="1:51">
      <c r="A172" s="24" t="str">
        <f>$A$46</f>
        <v>1Q</v>
      </c>
      <c r="B172" s="24" t="str">
        <f>$B$11</f>
        <v>Apr</v>
      </c>
      <c r="C172" s="24"/>
      <c r="D172" s="33">
        <f>+'qtrP&amp;L'!CX10</f>
        <v>2267.9560000000001</v>
      </c>
      <c r="E172" s="24"/>
      <c r="F172" s="33">
        <f>+'qtrP&amp;L'!CX20</f>
        <v>1326.5450000000001</v>
      </c>
      <c r="G172" s="24"/>
      <c r="H172" s="579">
        <f>work!CP10</f>
        <v>1114.8630000000001</v>
      </c>
      <c r="I172" s="24"/>
      <c r="J172" s="33">
        <f>AVERAGE(H172,H168)</f>
        <v>1059.508</v>
      </c>
      <c r="K172" s="24"/>
      <c r="L172" s="43">
        <f>(D172/D165-1)*100</f>
        <v>5.3009958287367764</v>
      </c>
      <c r="M172" s="143" t="s">
        <v>1084</v>
      </c>
      <c r="N172" s="43">
        <f>(H172/H165-1)*100</f>
        <v>1.3110258115874185</v>
      </c>
      <c r="O172" s="143" t="s">
        <v>1084</v>
      </c>
      <c r="P172" s="43">
        <f>(H172/H168-1)*100</f>
        <v>11.025212293345742</v>
      </c>
      <c r="Q172" s="143" t="s">
        <v>1084</v>
      </c>
      <c r="R172" s="40">
        <f>F172/J172</f>
        <v>1.2520386821052791</v>
      </c>
      <c r="S172" s="24" t="s">
        <v>1200</v>
      </c>
      <c r="T172" s="40">
        <f>F173/H172</f>
        <v>1.3699692249182185</v>
      </c>
      <c r="U172" s="24"/>
      <c r="V172" s="154">
        <f>qtrSales!J180</f>
        <v>2878</v>
      </c>
      <c r="W172" s="24"/>
      <c r="X172" s="35">
        <f>H172/V172</f>
        <v>0.38737421820708828</v>
      </c>
      <c r="Y172" s="24"/>
      <c r="Z172" s="85">
        <f>(X172/X165-1)*100</f>
        <v>2.0502654022904521</v>
      </c>
      <c r="AA172" s="143" t="s">
        <v>1084</v>
      </c>
      <c r="AB172" s="148">
        <f>qtrSales!Z180</f>
        <v>13.501250000000001</v>
      </c>
      <c r="AC172" s="24"/>
      <c r="AD172" s="165">
        <f>H172/AB172</f>
        <v>82.574798629756501</v>
      </c>
      <c r="AE172" s="24"/>
      <c r="AF172" s="938">
        <f>(AD172/AD165-1)*100</f>
        <v>2.5679166049169755</v>
      </c>
      <c r="AG172" s="143"/>
      <c r="AH172" s="148">
        <f>AB172*0.8</f>
        <v>10.801000000000002</v>
      </c>
      <c r="AI172" s="24"/>
      <c r="AJ172" s="165">
        <f>+H172/AH172</f>
        <v>103.21849828719562</v>
      </c>
      <c r="AK172" s="24"/>
      <c r="AL172" s="24"/>
      <c r="AM172" s="569">
        <f>((F172-('yrP&amp;L'!$Y$16/4))/J172)</f>
        <v>1.2520386821052791</v>
      </c>
      <c r="AN172" s="570" t="s">
        <v>1200</v>
      </c>
      <c r="AO172" s="24"/>
      <c r="AP172" s="24"/>
      <c r="AQ172" s="24"/>
      <c r="AR172" s="24"/>
      <c r="AS172" s="24"/>
      <c r="AT172" s="24"/>
      <c r="AU172" s="24"/>
      <c r="AV172" s="24"/>
      <c r="AW172" s="24"/>
      <c r="AX172" s="24"/>
      <c r="AY172" s="24"/>
    </row>
    <row r="173" spans="1:51">
      <c r="A173" s="24" t="str">
        <f>$A$47</f>
        <v>2Q</v>
      </c>
      <c r="B173" s="24" t="str">
        <f>$B$12</f>
        <v>Jul</v>
      </c>
      <c r="C173" s="24"/>
      <c r="D173" s="34">
        <f>+'qtrP&amp;L'!CX11</f>
        <v>2515.953</v>
      </c>
      <c r="E173" s="24"/>
      <c r="F173" s="34">
        <f>+'qtrP&amp;L'!CX21</f>
        <v>1527.328</v>
      </c>
      <c r="G173" s="24"/>
      <c r="H173" s="579">
        <f>work!CP11</f>
        <v>1126.575</v>
      </c>
      <c r="I173" s="24"/>
      <c r="J173" s="34">
        <f>AVERAGE(H172:H173)</f>
        <v>1120.7190000000001</v>
      </c>
      <c r="K173" s="24"/>
      <c r="L173" s="43">
        <f>(D173/D166-1)*100</f>
        <v>4.8707015130674103</v>
      </c>
      <c r="M173" s="143"/>
      <c r="N173" s="43">
        <f>(H173/H166-1)*100</f>
        <v>6.6314375686811422</v>
      </c>
      <c r="O173" s="143"/>
      <c r="P173" s="43">
        <f>(H173/H172-1)*100</f>
        <v>1.0505326663455605</v>
      </c>
      <c r="Q173" s="143"/>
      <c r="R173" s="40">
        <f>F173/J173</f>
        <v>1.3628108383992774</v>
      </c>
      <c r="S173" s="24"/>
      <c r="T173" s="40">
        <f>F174/H173</f>
        <v>1.1667026163371279</v>
      </c>
      <c r="U173" s="24"/>
      <c r="V173" s="154">
        <f>qtrSales!J181</f>
        <v>2894</v>
      </c>
      <c r="W173" s="24"/>
      <c r="X173" s="40">
        <f>H173/V173</f>
        <v>0.38927954388389774</v>
      </c>
      <c r="Y173" s="24"/>
      <c r="Z173" s="85">
        <f>(X173/X166-1)*100</f>
        <v>6.5945918749808152</v>
      </c>
      <c r="AA173" s="143"/>
      <c r="AB173" s="148">
        <f>qtrSales!Z181</f>
        <v>13.60125</v>
      </c>
      <c r="AC173" s="24"/>
      <c r="AD173" s="387">
        <f>H173/AB173</f>
        <v>82.8287841191067</v>
      </c>
      <c r="AE173" s="24"/>
      <c r="AF173" s="938">
        <f>(AD173/AD166-1)*100</f>
        <v>7.5722167256146333</v>
      </c>
      <c r="AG173" s="143"/>
      <c r="AH173" s="148">
        <f>AB173*0.8</f>
        <v>10.881</v>
      </c>
      <c r="AI173" s="24"/>
      <c r="AJ173" s="387">
        <f>+H173/AH173</f>
        <v>103.53598014888338</v>
      </c>
      <c r="AK173" s="24"/>
      <c r="AL173" s="24"/>
      <c r="AM173" s="569">
        <f>((F173-('yrP&amp;L'!$Y$16/4))/J173)</f>
        <v>1.3628108383992774</v>
      </c>
      <c r="AN173" s="570"/>
      <c r="AO173" s="24"/>
      <c r="AP173" s="24"/>
      <c r="AQ173" s="24"/>
      <c r="AR173" s="24"/>
      <c r="AS173" s="24"/>
      <c r="AT173" s="24"/>
      <c r="AU173" s="24"/>
      <c r="AV173" s="24"/>
      <c r="AW173" s="24"/>
      <c r="AX173" s="24"/>
      <c r="AY173" s="24"/>
    </row>
    <row r="174" spans="1:51">
      <c r="A174" s="24" t="str">
        <f>$A$48</f>
        <v>3Q</v>
      </c>
      <c r="B174" s="24" t="str">
        <f>$B$13</f>
        <v>Oct</v>
      </c>
      <c r="C174" s="24"/>
      <c r="D174" s="34">
        <f>+'qtrP&amp;L'!CX12</f>
        <v>2171.087</v>
      </c>
      <c r="E174" s="24"/>
      <c r="F174" s="34">
        <f>+'qtrP&amp;L'!CX22</f>
        <v>1314.3779999999999</v>
      </c>
      <c r="G174" s="24"/>
      <c r="H174" s="579">
        <f>work!CP12</f>
        <v>1643.048</v>
      </c>
      <c r="I174" s="24"/>
      <c r="J174" s="34">
        <f>AVERAGE(H173:H174)</f>
        <v>1384.8115</v>
      </c>
      <c r="K174" s="24"/>
      <c r="L174" s="43">
        <f>(D174/D167-1)*100</f>
        <v>5.8969197473988988</v>
      </c>
      <c r="M174" s="143"/>
      <c r="N174" s="43">
        <f>(H174/H167-1)*100</f>
        <v>13.568047599035626</v>
      </c>
      <c r="O174" s="143"/>
      <c r="P174" s="43">
        <f>(H174/H173-1)*100</f>
        <v>45.844528770831936</v>
      </c>
      <c r="Q174" s="143"/>
      <c r="R174" s="40">
        <f>F174/J174</f>
        <v>0.94913856506824212</v>
      </c>
      <c r="S174" s="24"/>
      <c r="T174" s="40">
        <f>F175/H174</f>
        <v>1.3243051937618378</v>
      </c>
      <c r="U174" s="24"/>
      <c r="V174" s="154">
        <f>qtrSales!J182</f>
        <v>2932</v>
      </c>
      <c r="W174" s="24"/>
      <c r="X174" s="40">
        <f>H174/V174</f>
        <v>0.56038472032742159</v>
      </c>
      <c r="Y174" s="24"/>
      <c r="Z174" s="85">
        <f>(X174/X167-1)*100</f>
        <v>11.90248619154637</v>
      </c>
      <c r="AA174" s="143"/>
      <c r="AB174" s="148">
        <f>qtrSales!Z182</f>
        <v>13.91</v>
      </c>
      <c r="AC174" s="24"/>
      <c r="AD174" s="387">
        <f>H174/AB174</f>
        <v>118.11991373112869</v>
      </c>
      <c r="AE174" s="24"/>
      <c r="AF174" s="938">
        <f>(AD174/AD167-1)*100</f>
        <v>11.68000942453693</v>
      </c>
      <c r="AG174" s="143"/>
      <c r="AH174" s="148">
        <f>AB174*0.8</f>
        <v>11.128</v>
      </c>
      <c r="AI174" s="24"/>
      <c r="AJ174" s="387">
        <f>+H174/AH174</f>
        <v>147.64989216391086</v>
      </c>
      <c r="AK174" s="24"/>
      <c r="AL174" s="24"/>
      <c r="AM174" s="569">
        <f>((F174-('yrP&amp;L'!$Y$16/4))/J174)</f>
        <v>0.94913856506824212</v>
      </c>
      <c r="AN174" s="570"/>
      <c r="AO174" s="24"/>
      <c r="AP174" s="24"/>
      <c r="AQ174" s="24"/>
      <c r="AR174" s="24"/>
      <c r="AS174" s="24"/>
      <c r="AT174" s="24"/>
      <c r="AU174" s="24"/>
      <c r="AV174" s="24"/>
      <c r="AW174" s="24"/>
      <c r="AX174" s="24"/>
      <c r="AY174" s="24"/>
    </row>
    <row r="175" spans="1:51">
      <c r="A175" s="24" t="str">
        <f>$A$49</f>
        <v>4Q</v>
      </c>
      <c r="B175" s="24" t="str">
        <f>$B$14</f>
        <v>Jan</v>
      </c>
      <c r="C175" s="24"/>
      <c r="D175" s="38">
        <f>+'qtrP&amp;L'!CX13</f>
        <v>3818.2020000000002</v>
      </c>
      <c r="E175" s="24"/>
      <c r="F175" s="38">
        <f>+'qtrP&amp;L'!CX23</f>
        <v>2175.8969999999999</v>
      </c>
      <c r="G175" s="24"/>
      <c r="H175" s="579">
        <f>work!CP13</f>
        <v>1164.616</v>
      </c>
      <c r="I175" s="24"/>
      <c r="J175" s="38">
        <f>AVERAGE(H174:H175)</f>
        <v>1403.8319999999999</v>
      </c>
      <c r="K175" s="24"/>
      <c r="L175" s="84">
        <f>(D175/D168-1)*100</f>
        <v>-0.96952912179558703</v>
      </c>
      <c r="M175" s="143"/>
      <c r="N175" s="85">
        <f>(H175/H168-1)*100</f>
        <v>15.979935328580396</v>
      </c>
      <c r="O175" s="143"/>
      <c r="P175" s="43">
        <f>(H175/H174-1)*100</f>
        <v>-29.118565008447717</v>
      </c>
      <c r="Q175" s="143"/>
      <c r="R175" s="40">
        <f>F175/J175</f>
        <v>1.5499696544885713</v>
      </c>
      <c r="S175" s="24"/>
      <c r="T175" s="124" t="s">
        <v>520</v>
      </c>
      <c r="U175" s="24"/>
      <c r="V175" s="154">
        <f>qtrSales!J183</f>
        <v>2923</v>
      </c>
      <c r="W175" s="24"/>
      <c r="X175" s="40">
        <f>H175/V175</f>
        <v>0.39843174820390009</v>
      </c>
      <c r="Y175" s="24"/>
      <c r="Z175" s="85">
        <f>(X175/X168-1)*100</f>
        <v>14.194407757664873</v>
      </c>
      <c r="AA175" s="143"/>
      <c r="AB175" s="148">
        <f>qtrSales!Z183</f>
        <v>13.961250000000001</v>
      </c>
      <c r="AC175" s="24"/>
      <c r="AD175" s="387">
        <f>H175/AB175</f>
        <v>83.41774554570685</v>
      </c>
      <c r="AE175" s="24"/>
      <c r="AF175" s="938">
        <f>(AD175/AD168-1)*100</f>
        <v>12.657025551058144</v>
      </c>
      <c r="AG175" s="143"/>
      <c r="AH175" s="148">
        <f>AB175*0.8</f>
        <v>11.169000000000002</v>
      </c>
      <c r="AI175" s="24"/>
      <c r="AJ175" s="387">
        <f>+H175/AH175</f>
        <v>104.27218193213356</v>
      </c>
      <c r="AK175" s="24"/>
      <c r="AL175" s="24"/>
      <c r="AM175" s="569">
        <f>((F175-('yrP&amp;L'!$Y$16/4))/J175)</f>
        <v>1.5499696544885713</v>
      </c>
      <c r="AN175" s="573"/>
      <c r="AO175" s="24"/>
      <c r="AP175" s="24"/>
      <c r="AQ175" s="24"/>
      <c r="AR175" s="24"/>
      <c r="AS175" s="24"/>
      <c r="AT175" s="24"/>
      <c r="AU175" s="24"/>
      <c r="AV175" s="24"/>
      <c r="AW175" s="24"/>
      <c r="AX175" s="24"/>
      <c r="AY175" s="24"/>
    </row>
    <row r="176" spans="1:51">
      <c r="A176" s="24"/>
      <c r="B176" s="24" t="str">
        <f>$B$15</f>
        <v>Year</v>
      </c>
      <c r="C176" s="24"/>
      <c r="D176" s="33">
        <f>SUM(D172:D175)</f>
        <v>10773.198</v>
      </c>
      <c r="E176" s="24"/>
      <c r="F176" s="33">
        <f>SUM(F172:F175)</f>
        <v>6344.1480000000001</v>
      </c>
      <c r="G176" s="24"/>
      <c r="H176" s="24"/>
      <c r="I176" s="24"/>
      <c r="J176" s="33">
        <f>AVERAGE(J172:J175)</f>
        <v>1242.2176249999998</v>
      </c>
      <c r="K176" s="24"/>
      <c r="L176" s="43">
        <f>(D176/D169-1)*100</f>
        <v>3.0074801198165302</v>
      </c>
      <c r="M176" s="143"/>
      <c r="N176" s="24"/>
      <c r="O176" s="143"/>
      <c r="P176" s="24"/>
      <c r="Q176" s="143"/>
      <c r="R176" s="86">
        <f>F176/J176</f>
        <v>5.1071147859458215</v>
      </c>
      <c r="S176" s="83" t="s">
        <v>1200</v>
      </c>
      <c r="U176" s="24"/>
      <c r="V176" s="24"/>
      <c r="W176" s="24"/>
      <c r="X176" s="24"/>
      <c r="Y176" s="24"/>
      <c r="Z176" s="24"/>
      <c r="AA176" s="143"/>
      <c r="AB176" s="148"/>
      <c r="AC176" s="24"/>
      <c r="AD176" s="387"/>
      <c r="AE176" s="24"/>
      <c r="AF176" s="938"/>
      <c r="AG176" s="143"/>
      <c r="AH176" s="24"/>
      <c r="AI176" s="24"/>
      <c r="AJ176" s="387"/>
      <c r="AK176" s="24"/>
      <c r="AL176" s="24"/>
      <c r="AM176" s="571">
        <f>((F176-('yrP&amp;L'!$Y$16))/J176)</f>
        <v>5.1071147859458215</v>
      </c>
      <c r="AN176" s="572" t="s">
        <v>1200</v>
      </c>
      <c r="AO176" s="24"/>
      <c r="AP176" s="24"/>
      <c r="AQ176" s="24"/>
      <c r="AR176" s="24"/>
      <c r="AS176" s="24"/>
      <c r="AT176" s="24"/>
      <c r="AU176" s="24"/>
      <c r="AV176" s="24"/>
      <c r="AW176" s="24"/>
      <c r="AX176" s="24"/>
      <c r="AY176" s="24"/>
    </row>
    <row r="177" spans="1:51" ht="11.25" customHeight="1">
      <c r="A177" s="24"/>
      <c r="B177" s="24"/>
      <c r="C177" s="24"/>
      <c r="D177" s="24"/>
      <c r="E177" s="24"/>
      <c r="F177" s="24"/>
      <c r="G177" s="24"/>
      <c r="H177" s="24"/>
      <c r="I177" s="24"/>
      <c r="J177" s="24"/>
      <c r="K177" s="24"/>
      <c r="L177" s="24"/>
      <c r="M177" s="24"/>
      <c r="N177" s="24"/>
      <c r="O177" s="24"/>
      <c r="P177" s="24"/>
      <c r="Q177" s="24"/>
      <c r="R177" s="24"/>
      <c r="S177" s="24"/>
      <c r="T177" s="40"/>
      <c r="U177" s="24"/>
      <c r="V177" s="24"/>
      <c r="W177" s="24"/>
      <c r="X177" s="24"/>
      <c r="Y177" s="24"/>
      <c r="Z177" s="24"/>
      <c r="AA177" s="24"/>
      <c r="AB177" s="149"/>
      <c r="AC177" s="24"/>
      <c r="AD177" s="24"/>
      <c r="AE177" s="24"/>
      <c r="AF177" s="24"/>
      <c r="AG177" s="24"/>
      <c r="AH177" s="149"/>
      <c r="AI177" s="24"/>
      <c r="AJ177" s="24"/>
      <c r="AK177" s="24"/>
      <c r="AL177" s="24"/>
      <c r="AM177" s="24"/>
      <c r="AN177" s="24"/>
      <c r="AO177" s="24"/>
      <c r="AP177" s="24"/>
      <c r="AQ177" s="24"/>
      <c r="AR177" s="24"/>
      <c r="AS177" s="24"/>
      <c r="AT177" s="24"/>
      <c r="AU177" s="24"/>
      <c r="AV177" s="24"/>
      <c r="AW177" s="24"/>
      <c r="AX177" s="24"/>
      <c r="AY177" s="24"/>
    </row>
    <row r="178" spans="1:51">
      <c r="A178" s="24"/>
      <c r="B178" s="75">
        <f>B171+1</f>
        <v>2014</v>
      </c>
      <c r="C178" s="24"/>
      <c r="D178" s="33"/>
      <c r="E178" s="24"/>
      <c r="F178" s="33"/>
      <c r="G178" s="24"/>
      <c r="H178" s="24"/>
      <c r="I178" s="24"/>
      <c r="J178" s="33"/>
      <c r="K178" s="24"/>
      <c r="L178" s="43"/>
      <c r="M178" s="143"/>
      <c r="N178" s="24"/>
      <c r="O178" s="143"/>
      <c r="P178" s="24"/>
      <c r="Q178" s="143"/>
      <c r="R178" s="928"/>
      <c r="S178" s="30"/>
      <c r="T178" s="40"/>
      <c r="U178" s="24"/>
      <c r="V178" s="24"/>
      <c r="W178" s="24"/>
      <c r="X178" s="24"/>
      <c r="Y178" s="24"/>
      <c r="Z178" s="24"/>
      <c r="AA178" s="143"/>
      <c r="AB178" s="148"/>
      <c r="AC178" s="24"/>
      <c r="AD178" s="387"/>
      <c r="AE178" s="24"/>
      <c r="AF178" s="24"/>
      <c r="AG178" s="143"/>
      <c r="AH178" s="24"/>
      <c r="AI178" s="24"/>
      <c r="AJ178" s="387"/>
      <c r="AK178" s="24"/>
      <c r="AL178" s="24"/>
      <c r="AM178" s="569"/>
      <c r="AN178" s="573"/>
      <c r="AO178" s="24"/>
      <c r="AP178" s="24"/>
      <c r="AQ178" s="24"/>
      <c r="AR178" s="24"/>
      <c r="AS178" s="24"/>
      <c r="AT178" s="24"/>
      <c r="AU178" s="24"/>
      <c r="AV178" s="24"/>
      <c r="AW178" s="24"/>
      <c r="AX178" s="24"/>
      <c r="AY178" s="24"/>
    </row>
    <row r="179" spans="1:51">
      <c r="A179" s="24" t="str">
        <f>$A$46</f>
        <v>1Q</v>
      </c>
      <c r="B179" s="24" t="str">
        <f>$B$11</f>
        <v>Apr</v>
      </c>
      <c r="C179" s="24"/>
      <c r="D179" s="33">
        <f>'qtrP&amp;L'!DB10</f>
        <v>2391.23</v>
      </c>
      <c r="E179" s="24"/>
      <c r="F179" s="33">
        <f>'qtrP&amp;L'!DB20</f>
        <v>1409.1379999999999</v>
      </c>
      <c r="G179" s="24"/>
      <c r="H179" s="579">
        <f>work!CT10</f>
        <v>1219.4670000000001</v>
      </c>
      <c r="I179" s="24"/>
      <c r="J179" s="33">
        <f>AVERAGE(H179,H175)</f>
        <v>1192.0415</v>
      </c>
      <c r="K179" s="24"/>
      <c r="L179" s="43">
        <f>(D179/D172-1)*100</f>
        <v>5.4354670020053231</v>
      </c>
      <c r="M179" s="143" t="s">
        <v>1084</v>
      </c>
      <c r="N179" s="43">
        <f>(H179/H172-1)*100</f>
        <v>9.3826775128423847</v>
      </c>
      <c r="O179" s="143" t="s">
        <v>1084</v>
      </c>
      <c r="P179" s="43">
        <f>(H179/H175-1)*100</f>
        <v>4.7097927557237851</v>
      </c>
      <c r="Q179" s="143" t="s">
        <v>1084</v>
      </c>
      <c r="R179" s="40">
        <f>F179/J179</f>
        <v>1.1821215955988109</v>
      </c>
      <c r="S179" s="24" t="s">
        <v>1200</v>
      </c>
      <c r="T179" s="40">
        <f>F180/H179</f>
        <v>1.337429385133013</v>
      </c>
      <c r="U179" s="24"/>
      <c r="V179" s="154">
        <f>qtrSales!J187</f>
        <v>2923</v>
      </c>
      <c r="W179" s="24"/>
      <c r="X179" s="35">
        <f>H179/V179</f>
        <v>0.41719705781731103</v>
      </c>
      <c r="Y179" s="24"/>
      <c r="Z179" s="85">
        <f>(X179/X172-1)*100</f>
        <v>7.6987156626617814</v>
      </c>
      <c r="AA179" s="143" t="s">
        <v>1084</v>
      </c>
      <c r="AB179" s="148">
        <f>qtrSales!Z187</f>
        <v>13.892499999999998</v>
      </c>
      <c r="AC179" s="24"/>
      <c r="AD179" s="165">
        <f>H179/AB179</f>
        <v>87.778801511607</v>
      </c>
      <c r="AE179" s="24"/>
      <c r="AF179" s="938">
        <f>(AD179/AD172-1)*100</f>
        <v>6.3021684196698624</v>
      </c>
      <c r="AG179" s="143"/>
      <c r="AH179" s="148">
        <f>AB179*0.8</f>
        <v>11.113999999999999</v>
      </c>
      <c r="AI179" s="24"/>
      <c r="AJ179" s="165">
        <f>+H179/AH179</f>
        <v>109.72350188950875</v>
      </c>
      <c r="AK179" s="24"/>
      <c r="AL179" s="24"/>
      <c r="AM179" s="569">
        <f>((F179-('yrP&amp;L'!$Z$16/4))/J179)</f>
        <v>1.1821215955988109</v>
      </c>
      <c r="AN179" s="570" t="s">
        <v>1200</v>
      </c>
      <c r="AO179" s="24"/>
      <c r="AP179" s="24"/>
      <c r="AQ179" s="24"/>
      <c r="AR179" s="24"/>
      <c r="AS179" s="24"/>
      <c r="AT179" s="24"/>
      <c r="AU179" s="24"/>
      <c r="AV179" s="24"/>
      <c r="AW179" s="24"/>
      <c r="AX179" s="24"/>
      <c r="AY179" s="24"/>
    </row>
    <row r="180" spans="1:51">
      <c r="A180" s="24" t="str">
        <f>$A$47</f>
        <v>2Q</v>
      </c>
      <c r="B180" s="24" t="str">
        <f>$B$12</f>
        <v>Jul</v>
      </c>
      <c r="C180" s="24"/>
      <c r="D180" s="34">
        <f>'qtrP&amp;L'!DB11</f>
        <v>2675.3110000000001</v>
      </c>
      <c r="E180" s="24"/>
      <c r="F180" s="34">
        <f>'qtrP&amp;L'!DB21</f>
        <v>1630.951</v>
      </c>
      <c r="G180" s="24"/>
      <c r="H180" s="579">
        <f>work!CT11</f>
        <v>1075.0239999999999</v>
      </c>
      <c r="I180" s="24"/>
      <c r="J180" s="34">
        <f>AVERAGE(H179:H180)</f>
        <v>1147.2455</v>
      </c>
      <c r="K180" s="24"/>
      <c r="L180" s="43">
        <f>(D180/D173-1)*100</f>
        <v>6.3339021038946397</v>
      </c>
      <c r="M180" s="143"/>
      <c r="N180" s="43">
        <f>(H180/H173-1)*100</f>
        <v>-4.5759048443290595</v>
      </c>
      <c r="O180" s="143"/>
      <c r="P180" s="43">
        <f>(H180/H179-1)*100</f>
        <v>-11.844764966989697</v>
      </c>
      <c r="Q180" s="143"/>
      <c r="R180" s="40">
        <f>F180/J180</f>
        <v>1.4216233578601964</v>
      </c>
      <c r="S180" s="24"/>
      <c r="T180" s="40">
        <f>F181/H180</f>
        <v>1.2766449865305334</v>
      </c>
      <c r="U180" s="24"/>
      <c r="V180" s="154">
        <f>qtrSales!J188</f>
        <v>2942</v>
      </c>
      <c r="W180" s="24"/>
      <c r="X180" s="40">
        <f>H180/V180</f>
        <v>0.36540584636301832</v>
      </c>
      <c r="Y180" s="24"/>
      <c r="Z180" s="85">
        <f>(X180/X173-1)*100</f>
        <v>-6.1327901493842045</v>
      </c>
      <c r="AA180" s="143"/>
      <c r="AB180" s="148">
        <f>qtrSales!Z188</f>
        <v>14.013749999999998</v>
      </c>
      <c r="AC180" s="24"/>
      <c r="AD180" s="387">
        <f>H180/AB180</f>
        <v>76.712086343769514</v>
      </c>
      <c r="AE180" s="24"/>
      <c r="AF180" s="938">
        <f>(AD180/AD173-1)*100</f>
        <v>-7.3847489618360846</v>
      </c>
      <c r="AG180" s="143"/>
      <c r="AH180" s="148">
        <f>AB180*0.8</f>
        <v>11.210999999999999</v>
      </c>
      <c r="AI180" s="24"/>
      <c r="AJ180" s="387">
        <f>+H180/AH180</f>
        <v>95.890107929711888</v>
      </c>
      <c r="AK180" s="24"/>
      <c r="AL180" s="24"/>
      <c r="AM180" s="569">
        <f>((F180-('yrP&amp;L'!$Z$16/4))/J180)</f>
        <v>1.4216233578601964</v>
      </c>
      <c r="AN180" s="570"/>
      <c r="AO180" s="24"/>
      <c r="AP180" s="24"/>
      <c r="AQ180" s="24"/>
      <c r="AR180" s="24"/>
      <c r="AS180" s="24"/>
      <c r="AT180" s="24"/>
      <c r="AU180" s="24"/>
      <c r="AV180" s="24"/>
      <c r="AW180" s="24"/>
      <c r="AX180" s="24"/>
      <c r="AY180" s="24"/>
    </row>
    <row r="181" spans="1:51">
      <c r="A181" s="24" t="str">
        <f>$A$48</f>
        <v>3Q</v>
      </c>
      <c r="B181" s="24" t="str">
        <f>$B$13</f>
        <v>Oct</v>
      </c>
      <c r="C181" s="24"/>
      <c r="D181" s="34">
        <f>'qtrP&amp;L'!DB12</f>
        <v>2318.8510000000001</v>
      </c>
      <c r="E181" s="24"/>
      <c r="F181" s="34">
        <f>'qtrP&amp;L'!DB22</f>
        <v>1372.424</v>
      </c>
      <c r="G181" s="24"/>
      <c r="H181" s="579">
        <f>work!CT12</f>
        <v>1484.4670000000001</v>
      </c>
      <c r="I181" s="24"/>
      <c r="J181" s="34">
        <f>AVERAGE(H180:H181)</f>
        <v>1279.7455</v>
      </c>
      <c r="K181" s="24"/>
      <c r="L181" s="43">
        <f>(D181/D174-1)*100</f>
        <v>6.8059916530291087</v>
      </c>
      <c r="M181" s="143"/>
      <c r="N181" s="43">
        <f>(H181/H174-1)*100</f>
        <v>-9.6516352535044536</v>
      </c>
      <c r="O181" s="143"/>
      <c r="P181" s="43">
        <f>(H181/H180-1)*100</f>
        <v>38.086870618702484</v>
      </c>
      <c r="Q181" s="143"/>
      <c r="R181" s="40">
        <f>F181/J181</f>
        <v>1.072419477153856</v>
      </c>
      <c r="S181" s="24"/>
      <c r="T181" s="40">
        <f>F182/H181</f>
        <v>1.5048593198771008</v>
      </c>
      <c r="U181" s="24"/>
      <c r="V181" s="154">
        <f>qtrSales!J189</f>
        <v>2971</v>
      </c>
      <c r="W181" s="24"/>
      <c r="X181" s="40">
        <f>H181/V181</f>
        <v>0.49965230562100305</v>
      </c>
      <c r="Y181" s="24"/>
      <c r="Z181" s="85">
        <f>(X181/X174-1)*100</f>
        <v>-10.837628597534533</v>
      </c>
      <c r="AA181" s="143"/>
      <c r="AB181" s="148">
        <f>qtrSales!Z189</f>
        <v>14.263749999999998</v>
      </c>
      <c r="AC181" s="24"/>
      <c r="AD181" s="387">
        <f>H181/AB181</f>
        <v>104.07270177898521</v>
      </c>
      <c r="AE181" s="24"/>
      <c r="AF181" s="938">
        <f>(AD181/AD174-1)*100</f>
        <v>-11.89233170633578</v>
      </c>
      <c r="AG181" s="143"/>
      <c r="AH181" s="148">
        <f>AB181*0.8</f>
        <v>11.411</v>
      </c>
      <c r="AI181" s="24"/>
      <c r="AJ181" s="387">
        <f>+H181/AH181</f>
        <v>130.0908772237315</v>
      </c>
      <c r="AK181" s="24"/>
      <c r="AL181" s="24"/>
      <c r="AM181" s="569">
        <f>((F181-('yrP&amp;L'!$Z$16/4))/J181)</f>
        <v>1.072419477153856</v>
      </c>
      <c r="AN181" s="570"/>
      <c r="AO181" s="24"/>
      <c r="AP181" s="24"/>
      <c r="AQ181" s="24"/>
      <c r="AR181" s="24"/>
      <c r="AS181" s="24"/>
      <c r="AT181" s="24"/>
      <c r="AU181" s="24"/>
      <c r="AV181" s="24"/>
      <c r="AW181" s="24"/>
      <c r="AX181" s="24"/>
      <c r="AY181" s="24"/>
    </row>
    <row r="182" spans="1:51">
      <c r="A182" s="24" t="str">
        <f>$A$49</f>
        <v>4Q</v>
      </c>
      <c r="B182" s="24" t="str">
        <f>$B$14</f>
        <v>Jan</v>
      </c>
      <c r="C182" s="24"/>
      <c r="D182" s="38">
        <f>'qtrP&amp;L'!DB13</f>
        <v>4068.6849999999999</v>
      </c>
      <c r="E182" s="24"/>
      <c r="F182" s="38">
        <f>'qtrP&amp;L'!DB23</f>
        <v>2233.9140000000002</v>
      </c>
      <c r="G182" s="24"/>
      <c r="H182" s="579">
        <f>work!CT13</f>
        <v>1035.7260000000001</v>
      </c>
      <c r="I182" s="24"/>
      <c r="J182" s="38">
        <f>AVERAGE(H181:H182)</f>
        <v>1260.0965000000001</v>
      </c>
      <c r="K182" s="24"/>
      <c r="L182" s="84">
        <f>(D182/D175-1)*100</f>
        <v>6.5602343720944978</v>
      </c>
      <c r="M182" s="143"/>
      <c r="N182" s="85">
        <f>(H182/H175-1)*100</f>
        <v>-11.067167203610451</v>
      </c>
      <c r="O182" s="143"/>
      <c r="P182" s="43">
        <f>(H182/H181-1)*100</f>
        <v>-30.229099063839072</v>
      </c>
      <c r="Q182" s="143"/>
      <c r="R182" s="40">
        <f>F182/J182</f>
        <v>1.772811844172252</v>
      </c>
      <c r="S182" s="24"/>
      <c r="T182" s="124" t="s">
        <v>520</v>
      </c>
      <c r="U182" s="24"/>
      <c r="V182" s="154">
        <f>qtrSales!J190</f>
        <v>2969</v>
      </c>
      <c r="W182" s="24"/>
      <c r="X182" s="40">
        <f>H182/V182</f>
        <v>0.34884674974738972</v>
      </c>
      <c r="Y182" s="24"/>
      <c r="Z182" s="85">
        <f>(X182/X175-1)*100</f>
        <v>-12.445042012850571</v>
      </c>
      <c r="AA182" s="143"/>
      <c r="AB182" s="148">
        <f>qtrSales!Z190</f>
        <v>14.28875</v>
      </c>
      <c r="AC182" s="24"/>
      <c r="AD182" s="387">
        <f>H182/AB182</f>
        <v>72.485416848919613</v>
      </c>
      <c r="AE182" s="24"/>
      <c r="AF182" s="938">
        <f>(AD182/AD175-1)*100</f>
        <v>-13.105519245658726</v>
      </c>
      <c r="AG182" s="143"/>
      <c r="AH182" s="148">
        <f>AB182*0.8</f>
        <v>11.431000000000001</v>
      </c>
      <c r="AI182" s="24"/>
      <c r="AJ182" s="387">
        <f>+H182/AH182</f>
        <v>90.606771061149502</v>
      </c>
      <c r="AK182" s="24"/>
      <c r="AL182" s="24"/>
      <c r="AM182" s="569">
        <f>((F182-('yrP&amp;L'!$Z$16/4))/J182)</f>
        <v>1.772811844172252</v>
      </c>
      <c r="AN182" s="573"/>
      <c r="AO182" s="24"/>
      <c r="AP182" s="24"/>
      <c r="AQ182" s="24"/>
      <c r="AR182" s="24"/>
      <c r="AS182" s="24"/>
      <c r="AT182" s="24"/>
      <c r="AU182" s="24"/>
      <c r="AV182" s="24"/>
      <c r="AW182" s="24"/>
      <c r="AX182" s="24"/>
      <c r="AY182" s="24"/>
    </row>
    <row r="183" spans="1:51">
      <c r="A183" s="24"/>
      <c r="B183" s="24" t="str">
        <f>$B$15</f>
        <v>Year</v>
      </c>
      <c r="C183" s="24"/>
      <c r="D183" s="33">
        <f>SUM(D179:D182)</f>
        <v>11454.076999999999</v>
      </c>
      <c r="E183" s="24"/>
      <c r="F183" s="33">
        <f>SUM(F179:F182)</f>
        <v>6646.4269999999997</v>
      </c>
      <c r="G183" s="24"/>
      <c r="H183" s="24"/>
      <c r="I183" s="24"/>
      <c r="J183" s="33">
        <f>AVERAGE(J179:J182)</f>
        <v>1219.7822500000002</v>
      </c>
      <c r="K183" s="24"/>
      <c r="L183" s="43">
        <f>(D183/D176-1)*100</f>
        <v>6.3201196153639616</v>
      </c>
      <c r="M183" s="143"/>
      <c r="N183" s="24"/>
      <c r="O183" s="143"/>
      <c r="P183" s="24"/>
      <c r="Q183" s="143"/>
      <c r="R183" s="86">
        <f>F183/J183</f>
        <v>5.4488635164186059</v>
      </c>
      <c r="S183" s="83" t="s">
        <v>1200</v>
      </c>
      <c r="U183" s="24"/>
      <c r="V183" s="24"/>
      <c r="W183" s="24"/>
      <c r="X183" s="24"/>
      <c r="Y183" s="24"/>
      <c r="Z183" s="24"/>
      <c r="AA183" s="143"/>
      <c r="AB183" s="148"/>
      <c r="AC183" s="24"/>
      <c r="AD183" s="387"/>
      <c r="AE183" s="24"/>
      <c r="AF183" s="938"/>
      <c r="AG183" s="143"/>
      <c r="AH183" s="24"/>
      <c r="AI183" s="24"/>
      <c r="AJ183" s="387"/>
      <c r="AK183" s="24"/>
      <c r="AL183" s="24"/>
      <c r="AM183" s="571">
        <f>((F183-('yrP&amp;L'!$Z$16))/J183)</f>
        <v>5.4488635164186059</v>
      </c>
      <c r="AN183" s="572" t="s">
        <v>1200</v>
      </c>
      <c r="AO183" s="24"/>
      <c r="AP183" s="24"/>
      <c r="AQ183" s="24"/>
      <c r="AR183" s="24"/>
      <c r="AS183" s="24"/>
      <c r="AT183" s="24"/>
      <c r="AU183" s="24"/>
      <c r="AV183" s="24"/>
      <c r="AW183" s="24"/>
      <c r="AX183" s="24"/>
      <c r="AY183" s="24"/>
    </row>
    <row r="184" spans="1:51">
      <c r="A184" s="24"/>
      <c r="B184" s="24"/>
      <c r="C184" s="24"/>
      <c r="D184" s="33"/>
      <c r="E184" s="24"/>
      <c r="F184" s="33"/>
      <c r="G184" s="24"/>
      <c r="H184" s="24"/>
      <c r="I184" s="24"/>
      <c r="J184" s="33"/>
      <c r="K184" s="24"/>
      <c r="L184" s="43"/>
      <c r="M184" s="143"/>
      <c r="N184" s="24"/>
      <c r="O184" s="143"/>
      <c r="P184" s="24"/>
      <c r="Q184" s="143"/>
      <c r="R184" s="928"/>
      <c r="S184" s="30"/>
      <c r="U184" s="24"/>
      <c r="V184" s="24"/>
      <c r="W184" s="24"/>
      <c r="X184" s="24"/>
      <c r="Y184" s="24"/>
      <c r="Z184" s="24"/>
      <c r="AA184" s="143"/>
      <c r="AB184" s="148"/>
      <c r="AC184" s="24"/>
      <c r="AD184" s="387"/>
      <c r="AE184" s="24"/>
      <c r="AF184" s="938"/>
      <c r="AG184" s="143"/>
      <c r="AH184" s="24"/>
      <c r="AI184" s="24"/>
      <c r="AJ184" s="387"/>
      <c r="AK184" s="24"/>
      <c r="AL184" s="24"/>
      <c r="AM184" s="569"/>
      <c r="AN184" s="573"/>
      <c r="AO184" s="24"/>
      <c r="AP184" s="24"/>
      <c r="AQ184" s="24"/>
      <c r="AR184" s="24"/>
      <c r="AS184" s="24"/>
      <c r="AT184" s="24"/>
      <c r="AU184" s="24"/>
      <c r="AV184" s="24"/>
      <c r="AW184" s="24"/>
      <c r="AX184" s="24"/>
      <c r="AY184" s="24"/>
    </row>
    <row r="185" spans="1:51">
      <c r="A185" s="24"/>
      <c r="B185" s="75">
        <f>B178+1</f>
        <v>2015</v>
      </c>
      <c r="C185" s="24"/>
      <c r="D185" s="33"/>
      <c r="E185" s="24"/>
      <c r="F185" s="33"/>
      <c r="G185" s="24"/>
      <c r="H185" s="24"/>
      <c r="I185" s="24"/>
      <c r="J185" s="33"/>
      <c r="K185" s="24"/>
      <c r="L185" s="43"/>
      <c r="M185" s="143"/>
      <c r="N185" s="24"/>
      <c r="O185" s="143"/>
      <c r="P185" s="24"/>
      <c r="Q185" s="143"/>
      <c r="R185" s="928"/>
      <c r="S185" s="30"/>
      <c r="T185" s="40"/>
      <c r="U185" s="24"/>
      <c r="V185" s="24"/>
      <c r="W185" s="24"/>
      <c r="X185" s="24"/>
      <c r="Y185" s="24"/>
      <c r="Z185" s="24"/>
      <c r="AA185" s="143"/>
      <c r="AB185" s="148"/>
      <c r="AC185" s="24"/>
      <c r="AD185" s="387"/>
      <c r="AE185" s="24"/>
      <c r="AF185" s="24"/>
      <c r="AG185" s="143"/>
      <c r="AH185" s="24"/>
      <c r="AI185" s="24"/>
      <c r="AJ185" s="387"/>
      <c r="AK185" s="24"/>
      <c r="AL185" s="24"/>
      <c r="AM185" s="569"/>
      <c r="AN185" s="573"/>
      <c r="AO185" s="24"/>
      <c r="AP185" s="24"/>
      <c r="AQ185" s="24"/>
      <c r="AR185" s="24"/>
      <c r="AS185" s="24"/>
      <c r="AT185" s="24"/>
      <c r="AU185" s="24"/>
      <c r="AV185" s="24"/>
      <c r="AW185" s="24"/>
      <c r="AX185" s="24"/>
      <c r="AY185" s="24"/>
    </row>
    <row r="186" spans="1:51">
      <c r="A186" s="24" t="str">
        <f>$A$46</f>
        <v>1Q</v>
      </c>
      <c r="B186" s="24" t="str">
        <f>$B$11</f>
        <v>Apr</v>
      </c>
      <c r="C186" s="24"/>
      <c r="D186" s="33">
        <f>'qtrP&amp;L'!DF10</f>
        <v>2511.9389999999999</v>
      </c>
      <c r="E186" s="24"/>
      <c r="F186" s="33">
        <f>'qtrP&amp;L'!DF20</f>
        <v>1455.98</v>
      </c>
      <c r="G186" s="24"/>
      <c r="H186" s="579">
        <f>work!CX10</f>
        <v>1138.558</v>
      </c>
      <c r="I186" s="24"/>
      <c r="J186" s="33">
        <f>AVERAGE(H186,H182)</f>
        <v>1087.1420000000001</v>
      </c>
      <c r="K186" s="24"/>
      <c r="L186" s="43">
        <f>(D186/D179-1)*100</f>
        <v>5.0479878556224156</v>
      </c>
      <c r="M186" s="143" t="s">
        <v>1084</v>
      </c>
      <c r="N186" s="43">
        <f>(H186/H179-1)*100</f>
        <v>-6.6347838850907888</v>
      </c>
      <c r="O186" s="143" t="s">
        <v>1084</v>
      </c>
      <c r="P186" s="43">
        <f>(H186/H182-1)*100</f>
        <v>9.928494601854144</v>
      </c>
      <c r="Q186" s="143" t="s">
        <v>1084</v>
      </c>
      <c r="R186" s="40">
        <f>F186/J186</f>
        <v>1.3392730664439421</v>
      </c>
      <c r="S186" s="24" t="s">
        <v>1200</v>
      </c>
      <c r="T186" s="40">
        <f>F187/H186</f>
        <v>1.450423254678286</v>
      </c>
      <c r="U186" s="24"/>
      <c r="V186" s="154">
        <f>qtrSales!J194</f>
        <v>2966</v>
      </c>
      <c r="W186" s="24"/>
      <c r="X186" s="35">
        <f>H186/V186</f>
        <v>0.38386985839514498</v>
      </c>
      <c r="Y186" s="24"/>
      <c r="Z186" s="85">
        <f>(X186/X179-1)*100</f>
        <v>-7.988359169292103</v>
      </c>
      <c r="AA186" s="143" t="s">
        <v>1084</v>
      </c>
      <c r="AB186" s="148">
        <f>qtrSales!Z194</f>
        <v>14.30875</v>
      </c>
      <c r="AC186" s="24"/>
      <c r="AD186" s="165">
        <f>H186/AB186</f>
        <v>79.570752162138547</v>
      </c>
      <c r="AE186" s="24"/>
      <c r="AF186" s="938">
        <f>(AD186/AD179-1)*100</f>
        <v>-9.3508332400540901</v>
      </c>
      <c r="AG186" s="143"/>
      <c r="AH186" s="148">
        <f>AB186*0.8</f>
        <v>11.447000000000001</v>
      </c>
      <c r="AI186" s="24"/>
      <c r="AJ186" s="165">
        <f>+H186/AH186</f>
        <v>99.463440202673183</v>
      </c>
      <c r="AK186" s="24"/>
      <c r="AL186" s="24"/>
      <c r="AM186" s="569">
        <f>((F186-('yrP&amp;L'!$AA$16/4))/J186)</f>
        <v>1.3392730664439421</v>
      </c>
      <c r="AN186" s="570" t="s">
        <v>1200</v>
      </c>
      <c r="AO186" s="24"/>
      <c r="AP186" s="24"/>
      <c r="AQ186" s="24"/>
      <c r="AR186" s="24"/>
      <c r="AS186" s="24"/>
      <c r="AT186" s="24"/>
      <c r="AU186" s="24"/>
      <c r="AV186" s="24"/>
      <c r="AW186" s="24"/>
      <c r="AX186" s="24"/>
      <c r="AY186" s="24"/>
    </row>
    <row r="187" spans="1:51">
      <c r="A187" s="24" t="str">
        <f>$A$47</f>
        <v>2Q</v>
      </c>
      <c r="B187" s="24" t="str">
        <f>$B$12</f>
        <v>Jul</v>
      </c>
      <c r="C187" s="24"/>
      <c r="D187" s="34">
        <f>'qtrP&amp;L'!DF11</f>
        <v>2765.2370000000001</v>
      </c>
      <c r="E187" s="24"/>
      <c r="F187" s="34">
        <f>'qtrP&amp;L'!DF21</f>
        <v>1651.3910000000001</v>
      </c>
      <c r="G187" s="24"/>
      <c r="H187" s="579">
        <f>work!CX11</f>
        <v>1105.838</v>
      </c>
      <c r="I187" s="24"/>
      <c r="J187" s="34">
        <f>AVERAGE(H186:H187)</f>
        <v>1122.1979999999999</v>
      </c>
      <c r="K187" s="24"/>
      <c r="L187" s="43">
        <f>(D187/D180-1)*100</f>
        <v>3.3613288324235935</v>
      </c>
      <c r="M187" s="143"/>
      <c r="N187" s="43">
        <f>(H187/H180-1)*100</f>
        <v>2.8663546116179717</v>
      </c>
      <c r="O187" s="143"/>
      <c r="P187" s="43">
        <f>(H187/H186-1)*100</f>
        <v>-2.8738105568622774</v>
      </c>
      <c r="Q187" s="143"/>
      <c r="R187" s="40">
        <f>F187/J187</f>
        <v>1.4715682972167123</v>
      </c>
      <c r="S187" s="24"/>
      <c r="T187" s="40">
        <f>F188/H187</f>
        <v>1.3114949929374826</v>
      </c>
      <c r="U187" s="24"/>
      <c r="V187" s="154">
        <f>qtrSales!J195</f>
        <v>2976</v>
      </c>
      <c r="W187" s="24"/>
      <c r="X187" s="40">
        <f>H187/V187</f>
        <v>0.3715853494623656</v>
      </c>
      <c r="Y187" s="24"/>
      <c r="Z187" s="85">
        <f>(X187/X180-1)*100</f>
        <v>1.6911341624261222</v>
      </c>
      <c r="AA187" s="143"/>
      <c r="AB187" s="148">
        <f>qtrSales!Z195</f>
        <v>14.392499999999998</v>
      </c>
      <c r="AC187" s="24"/>
      <c r="AD187" s="387">
        <f>H187/AB187</f>
        <v>76.83432343234324</v>
      </c>
      <c r="AE187" s="24"/>
      <c r="AF187" s="938">
        <f>(AD187/AD180-1)*100</f>
        <v>0.15934527973329171</v>
      </c>
      <c r="AG187" s="143"/>
      <c r="AH187" s="148">
        <f>AB187*0.8</f>
        <v>11.513999999999999</v>
      </c>
      <c r="AI187" s="24"/>
      <c r="AJ187" s="387">
        <f>+H187/AH187</f>
        <v>96.04290429042905</v>
      </c>
      <c r="AK187" s="24"/>
      <c r="AL187" s="24"/>
      <c r="AM187" s="569">
        <f>((F187-('yrP&amp;L'!$AA$16/4))/J187)</f>
        <v>1.4715682972167123</v>
      </c>
      <c r="AN187" s="570"/>
      <c r="AO187" s="24"/>
      <c r="AP187" s="24"/>
      <c r="AQ187" s="24"/>
      <c r="AR187" s="24"/>
      <c r="AS187" s="24"/>
      <c r="AT187" s="24"/>
      <c r="AU187" s="24"/>
      <c r="AV187" s="24"/>
      <c r="AW187" s="24"/>
      <c r="AX187" s="24"/>
      <c r="AY187" s="24"/>
    </row>
    <row r="188" spans="1:51">
      <c r="A188" s="24" t="str">
        <f>$A$48</f>
        <v>3Q</v>
      </c>
      <c r="B188" s="24" t="str">
        <f>$B$13</f>
        <v>Oct</v>
      </c>
      <c r="C188" s="24"/>
      <c r="D188" s="34">
        <f>'qtrP&amp;L'!DF12</f>
        <v>2481.5749999999998</v>
      </c>
      <c r="E188" s="24"/>
      <c r="F188" s="34">
        <f>'qtrP&amp;L'!DF22</f>
        <v>1450.3009999999999</v>
      </c>
      <c r="G188" s="24"/>
      <c r="H188" s="579">
        <f>work!CX12</f>
        <v>1620.279</v>
      </c>
      <c r="I188" s="24"/>
      <c r="J188" s="34">
        <f>AVERAGE(H187:H188)</f>
        <v>1363.0585000000001</v>
      </c>
      <c r="K188" s="24"/>
      <c r="L188" s="43">
        <f>(D188/D181-1)*100</f>
        <v>7.0174409653746439</v>
      </c>
      <c r="M188" s="143"/>
      <c r="N188" s="43">
        <f>(H188/H181-1)*100</f>
        <v>9.148872962484166</v>
      </c>
      <c r="O188" s="143"/>
      <c r="P188" s="43">
        <f>(H188/H187-1)*100</f>
        <v>46.520466831488896</v>
      </c>
      <c r="Q188" s="143"/>
      <c r="R188" s="40">
        <f>F188/J188</f>
        <v>1.0640049565003995</v>
      </c>
      <c r="S188" s="24"/>
      <c r="T188" s="40">
        <f>F189/H188</f>
        <v>1.476675313325668</v>
      </c>
      <c r="U188" s="24"/>
      <c r="V188" s="154">
        <f>qtrSales!J196</f>
        <v>3003</v>
      </c>
      <c r="W188" s="24"/>
      <c r="X188" s="40">
        <f>H188/V188</f>
        <v>0.5395534465534465</v>
      </c>
      <c r="Y188" s="24"/>
      <c r="Z188" s="85">
        <f>(X188/X181-1)*100</f>
        <v>7.9857814091043755</v>
      </c>
      <c r="AA188" s="143"/>
      <c r="AB188" s="148">
        <f>qtrSales!Z196</f>
        <v>14.604999999999999</v>
      </c>
      <c r="AC188" s="24"/>
      <c r="AD188" s="387">
        <f>H188/AB188</f>
        <v>110.94002054091065</v>
      </c>
      <c r="AE188" s="24"/>
      <c r="AF188" s="938">
        <f>(AD188/AD181-1)*100</f>
        <v>6.5985783443090362</v>
      </c>
      <c r="AG188" s="143"/>
      <c r="AH188" s="148">
        <f>AB188*0.8</f>
        <v>11.683999999999999</v>
      </c>
      <c r="AI188" s="24"/>
      <c r="AJ188" s="387">
        <f>+H188/AH188</f>
        <v>138.67502567613832</v>
      </c>
      <c r="AK188" s="24"/>
      <c r="AL188" s="24"/>
      <c r="AM188" s="569">
        <f>((F188-('yrP&amp;L'!$AA$16/4))/J188)</f>
        <v>1.0640049565003995</v>
      </c>
      <c r="AN188" s="570"/>
      <c r="AO188" s="24"/>
      <c r="AP188" s="24"/>
      <c r="AQ188" s="24"/>
      <c r="AR188" s="24"/>
      <c r="AS188" s="24"/>
      <c r="AT188" s="24"/>
      <c r="AU188" s="24"/>
      <c r="AV188" s="24"/>
      <c r="AW188" s="24"/>
      <c r="AX188" s="24"/>
      <c r="AY188" s="24"/>
    </row>
    <row r="189" spans="1:51">
      <c r="A189" s="24" t="str">
        <f>$A$49</f>
        <v>4Q</v>
      </c>
      <c r="B189" s="24" t="str">
        <f>$B$14</f>
        <v>Jan</v>
      </c>
      <c r="C189" s="24"/>
      <c r="D189" s="38">
        <f>'qtrP&amp;L'!DF13</f>
        <v>4395.0389999999998</v>
      </c>
      <c r="E189" s="24"/>
      <c r="F189" s="38">
        <f>'qtrP&amp;L'!DF23</f>
        <v>2392.6260000000002</v>
      </c>
      <c r="G189" s="24"/>
      <c r="H189" s="579">
        <f>work!CX13</f>
        <v>1121.942</v>
      </c>
      <c r="I189" s="24"/>
      <c r="J189" s="38">
        <f>AVERAGE(H188:H189)</f>
        <v>1371.1105</v>
      </c>
      <c r="K189" s="24"/>
      <c r="L189" s="84">
        <f>(D189/D182-1)*100</f>
        <v>8.0211173880504241</v>
      </c>
      <c r="M189" s="143"/>
      <c r="N189" s="85">
        <f>(H189/H182-1)*100</f>
        <v>8.324209298598273</v>
      </c>
      <c r="O189" s="143"/>
      <c r="P189" s="43">
        <f>(H189/H188-1)*100</f>
        <v>-30.7562463007914</v>
      </c>
      <c r="Q189" s="143"/>
      <c r="R189" s="40">
        <f>F189/J189</f>
        <v>1.7450278442182452</v>
      </c>
      <c r="S189" s="24"/>
      <c r="T189" s="124" t="s">
        <v>520</v>
      </c>
      <c r="U189" s="24"/>
      <c r="V189" s="154">
        <f>qtrSales!J197</f>
        <v>3005</v>
      </c>
      <c r="W189" s="24"/>
      <c r="X189" s="40">
        <f>H189/V189</f>
        <v>0.37335840266222964</v>
      </c>
      <c r="Y189" s="24"/>
      <c r="Z189" s="85">
        <f>(X189/X182-1)*100</f>
        <v>7.0264816664020957</v>
      </c>
      <c r="AA189" s="143"/>
      <c r="AB189" s="148">
        <f>qtrSales!Z197</f>
        <v>14.706250000000001</v>
      </c>
      <c r="AC189" s="24"/>
      <c r="AD189" s="387">
        <f>H189/AB189</f>
        <v>76.290148746281346</v>
      </c>
      <c r="AE189" s="24"/>
      <c r="AF189" s="938">
        <f>(AD189/AD182-1)*100</f>
        <v>5.2489618777965763</v>
      </c>
      <c r="AG189" s="143"/>
      <c r="AH189" s="148">
        <f>AB189*0.8</f>
        <v>11.765000000000001</v>
      </c>
      <c r="AI189" s="24"/>
      <c r="AJ189" s="387">
        <f>+H189/AH189</f>
        <v>95.362685932851676</v>
      </c>
      <c r="AK189" s="24"/>
      <c r="AL189" s="24"/>
      <c r="AM189" s="569">
        <f>((F189-('yrP&amp;L'!$AA$16/4))/J189)</f>
        <v>1.7450278442182452</v>
      </c>
      <c r="AN189" s="573"/>
      <c r="AO189" s="24"/>
      <c r="AP189" s="24"/>
      <c r="AQ189" s="24"/>
      <c r="AR189" s="24"/>
      <c r="AS189" s="24"/>
      <c r="AT189" s="24"/>
      <c r="AU189" s="24"/>
      <c r="AV189" s="24"/>
      <c r="AW189" s="24"/>
      <c r="AX189" s="24"/>
      <c r="AY189" s="24"/>
    </row>
    <row r="190" spans="1:51">
      <c r="A190" s="24"/>
      <c r="B190" s="24" t="str">
        <f>$B$15</f>
        <v>Year</v>
      </c>
      <c r="C190" s="24"/>
      <c r="D190" s="33">
        <f>SUM(D186:D189)</f>
        <v>12153.789999999999</v>
      </c>
      <c r="E190" s="24"/>
      <c r="F190" s="33">
        <f>SUM(F186:F189)</f>
        <v>6950.2980000000007</v>
      </c>
      <c r="G190" s="24"/>
      <c r="H190" s="24"/>
      <c r="I190" s="24"/>
      <c r="J190" s="33">
        <f>AVERAGE(J186:J189)</f>
        <v>1235.87725</v>
      </c>
      <c r="K190" s="24"/>
      <c r="L190" s="43">
        <f>(D190/D183-1)*100</f>
        <v>6.1088553883477559</v>
      </c>
      <c r="M190" s="143"/>
      <c r="N190" s="24"/>
      <c r="O190" s="143"/>
      <c r="P190" s="24"/>
      <c r="Q190" s="143"/>
      <c r="R190" s="86">
        <f>F190/J190</f>
        <v>5.6237769568134706</v>
      </c>
      <c r="S190" s="83" t="s">
        <v>1200</v>
      </c>
      <c r="U190" s="24"/>
      <c r="V190" s="24"/>
      <c r="W190" s="24"/>
      <c r="X190" s="24"/>
      <c r="Y190" s="24"/>
      <c r="Z190" s="24"/>
      <c r="AA190" s="143"/>
      <c r="AB190" s="148"/>
      <c r="AC190" s="24"/>
      <c r="AD190" s="387"/>
      <c r="AE190" s="24"/>
      <c r="AF190" s="938"/>
      <c r="AG190" s="143"/>
      <c r="AH190" s="24"/>
      <c r="AI190" s="24"/>
      <c r="AJ190" s="387"/>
      <c r="AK190" s="24"/>
      <c r="AL190" s="24"/>
      <c r="AM190" s="571">
        <f>((F190-('yrP&amp;L'!$AA$16))/J190)</f>
        <v>5.6237769568134706</v>
      </c>
      <c r="AN190" s="572" t="s">
        <v>1200</v>
      </c>
      <c r="AO190" s="24"/>
      <c r="AP190" s="24"/>
      <c r="AQ190" s="24"/>
      <c r="AR190" s="24"/>
      <c r="AS190" s="24"/>
      <c r="AT190" s="24"/>
      <c r="AU190" s="24"/>
      <c r="AV190" s="24"/>
      <c r="AW190" s="24"/>
      <c r="AX190" s="24"/>
      <c r="AY190" s="24"/>
    </row>
    <row r="191" spans="1:51">
      <c r="A191" s="24"/>
      <c r="B191" s="24"/>
      <c r="C191" s="24"/>
      <c r="D191" s="33"/>
      <c r="E191" s="24"/>
      <c r="F191" s="33"/>
      <c r="G191" s="24"/>
      <c r="H191" s="24"/>
      <c r="I191" s="24"/>
      <c r="J191" s="33"/>
      <c r="K191" s="24"/>
      <c r="L191" s="43"/>
      <c r="M191" s="143"/>
      <c r="N191" s="24"/>
      <c r="O191" s="143"/>
      <c r="P191" s="24"/>
      <c r="Q191" s="143"/>
      <c r="R191" s="928"/>
      <c r="S191" s="30"/>
      <c r="U191" s="24"/>
      <c r="V191" s="24"/>
      <c r="W191" s="24"/>
      <c r="X191" s="24"/>
      <c r="Y191" s="24"/>
      <c r="Z191" s="24"/>
      <c r="AA191" s="143"/>
      <c r="AB191" s="148"/>
      <c r="AC191" s="24"/>
      <c r="AD191" s="387"/>
      <c r="AE191" s="24"/>
      <c r="AF191" s="938"/>
      <c r="AG191" s="143"/>
      <c r="AH191" s="24"/>
      <c r="AI191" s="24"/>
      <c r="AJ191" s="387"/>
      <c r="AK191" s="24"/>
      <c r="AL191" s="24"/>
      <c r="AM191" s="569"/>
      <c r="AN191" s="573"/>
      <c r="AO191" s="24"/>
      <c r="AP191" s="24"/>
      <c r="AQ191" s="24"/>
      <c r="AR191" s="24"/>
      <c r="AS191" s="24"/>
      <c r="AT191" s="24"/>
      <c r="AU191" s="24"/>
      <c r="AV191" s="24"/>
      <c r="AW191" s="24"/>
      <c r="AX191" s="24"/>
      <c r="AY191" s="24"/>
    </row>
    <row r="192" spans="1:51">
      <c r="A192" s="24"/>
      <c r="B192" s="75">
        <f>B185+1</f>
        <v>2016</v>
      </c>
      <c r="C192" s="24"/>
      <c r="D192" s="33"/>
      <c r="E192" s="24"/>
      <c r="F192" s="33"/>
      <c r="G192" s="24"/>
      <c r="H192" s="24"/>
      <c r="I192" s="24"/>
      <c r="J192" s="33"/>
      <c r="K192" s="24"/>
      <c r="L192" s="43"/>
      <c r="M192" s="143"/>
      <c r="N192" s="24"/>
      <c r="O192" s="143"/>
      <c r="P192" s="24"/>
      <c r="Q192" s="143"/>
      <c r="R192" s="928"/>
      <c r="S192" s="30"/>
      <c r="T192" s="40"/>
      <c r="U192" s="24"/>
      <c r="V192" s="24"/>
      <c r="W192" s="24"/>
      <c r="X192" s="24"/>
      <c r="Y192" s="24"/>
      <c r="Z192" s="24"/>
      <c r="AA192" s="143"/>
      <c r="AB192" s="148"/>
      <c r="AC192" s="24"/>
      <c r="AD192" s="387"/>
      <c r="AE192" s="24"/>
      <c r="AF192" s="24"/>
      <c r="AG192" s="143"/>
      <c r="AH192" s="24"/>
      <c r="AI192" s="24"/>
      <c r="AJ192" s="387"/>
      <c r="AK192" s="24"/>
      <c r="AL192" s="24"/>
      <c r="AM192" s="569"/>
      <c r="AN192" s="573"/>
      <c r="AO192" s="24"/>
      <c r="AP192" s="24"/>
      <c r="AQ192" s="24"/>
      <c r="AR192" s="24"/>
      <c r="AS192" s="24"/>
      <c r="AT192" s="24"/>
      <c r="AU192" s="24"/>
      <c r="AV192" s="24"/>
      <c r="AW192" s="24"/>
      <c r="AX192" s="24"/>
      <c r="AY192" s="24"/>
    </row>
    <row r="193" spans="1:51">
      <c r="A193" s="24" t="str">
        <f>$A$46</f>
        <v>1Q</v>
      </c>
      <c r="B193" s="24" t="str">
        <f>$B$11</f>
        <v>Apr</v>
      </c>
      <c r="C193" s="24"/>
      <c r="D193" s="33">
        <f>'qtrP&amp;L'!DJ10</f>
        <v>2613.8150000000001</v>
      </c>
      <c r="E193" s="24"/>
      <c r="F193" s="33">
        <f>'qtrP&amp;L'!DJ20</f>
        <v>1559.758</v>
      </c>
      <c r="G193" s="24"/>
      <c r="H193" s="579">
        <f>work!DB10</f>
        <v>1265.7950000000001</v>
      </c>
      <c r="I193" s="24"/>
      <c r="J193" s="33">
        <f>AVERAGE(H193,H189)</f>
        <v>1193.8685</v>
      </c>
      <c r="K193" s="24"/>
      <c r="L193" s="43">
        <f>(D193/D186-1)*100</f>
        <v>4.0556717340668014</v>
      </c>
      <c r="M193" s="143" t="s">
        <v>1084</v>
      </c>
      <c r="N193" s="43">
        <f>(H193/H186-1)*100</f>
        <v>11.175276094849806</v>
      </c>
      <c r="O193" s="143" t="s">
        <v>1084</v>
      </c>
      <c r="P193" s="43">
        <f>(H193/H189-1)*100</f>
        <v>12.821785796413732</v>
      </c>
      <c r="Q193" s="143" t="s">
        <v>1084</v>
      </c>
      <c r="R193" s="40">
        <f>F193/J193</f>
        <v>1.3064738704472059</v>
      </c>
      <c r="S193" s="24" t="s">
        <v>1200</v>
      </c>
      <c r="T193" s="40">
        <f>F194/H193</f>
        <v>1.4037344119703425</v>
      </c>
      <c r="U193" s="24"/>
      <c r="V193" s="154">
        <f>qtrSales!J201</f>
        <v>3038</v>
      </c>
      <c r="W193" s="24"/>
      <c r="X193" s="35">
        <f>H193/V193</f>
        <v>0.41665404871626072</v>
      </c>
      <c r="Y193" s="24"/>
      <c r="Z193" s="85">
        <f>(X193/X186-1)*100</f>
        <v>8.5404440083359123</v>
      </c>
      <c r="AA193" s="143" t="s">
        <v>1084</v>
      </c>
      <c r="AB193" s="148">
        <f>qtrSales!Z201</f>
        <v>14.744999999999999</v>
      </c>
      <c r="AC193" s="24"/>
      <c r="AD193" s="165">
        <f>H193/AB193</f>
        <v>85.845710410308584</v>
      </c>
      <c r="AE193" s="24"/>
      <c r="AF193" s="938">
        <f>(AD193/AD186-1)*100</f>
        <v>7.8860109747156404</v>
      </c>
      <c r="AG193" s="143"/>
      <c r="AH193" s="148">
        <f>AB193*0.8</f>
        <v>11.795999999999999</v>
      </c>
      <c r="AI193" s="24"/>
      <c r="AJ193" s="165">
        <f>+H193/AH193</f>
        <v>107.30713801288573</v>
      </c>
      <c r="AK193" s="24"/>
      <c r="AL193" s="24"/>
      <c r="AM193" s="569">
        <f>((F193-('yrP&amp;L'!$AA$16/4))/J193)</f>
        <v>1.3064738704472059</v>
      </c>
      <c r="AN193" s="570" t="s">
        <v>1200</v>
      </c>
      <c r="AO193" s="24"/>
      <c r="AP193" s="24"/>
      <c r="AQ193" s="24"/>
      <c r="AR193" s="24"/>
      <c r="AS193" s="24"/>
      <c r="AT193" s="24"/>
      <c r="AU193" s="24"/>
      <c r="AV193" s="24"/>
      <c r="AW193" s="24"/>
      <c r="AX193" s="24"/>
      <c r="AY193" s="24"/>
    </row>
    <row r="194" spans="1:51">
      <c r="A194" s="24" t="str">
        <f>$A$47</f>
        <v>2Q</v>
      </c>
      <c r="B194" s="24" t="str">
        <f>$B$12</f>
        <v>Jul</v>
      </c>
      <c r="C194" s="24"/>
      <c r="D194" s="34">
        <f>'qtrP&amp;L'!DJ11</f>
        <v>2889.7440000000001</v>
      </c>
      <c r="E194" s="24"/>
      <c r="F194" s="34">
        <f>'qtrP&amp;L'!DJ21</f>
        <v>1776.84</v>
      </c>
      <c r="G194" s="24"/>
      <c r="H194" s="579">
        <f>work!DB11</f>
        <v>1204.2909999999999</v>
      </c>
      <c r="I194" s="24"/>
      <c r="J194" s="34">
        <f>AVERAGE(H193:H194)</f>
        <v>1235.0430000000001</v>
      </c>
      <c r="K194" s="24"/>
      <c r="L194" s="43">
        <f>(D194/D187-1)*100</f>
        <v>4.5025797065495698</v>
      </c>
      <c r="M194" s="143"/>
      <c r="N194" s="43">
        <f>(H194/H187-1)*100</f>
        <v>8.9030219616254911</v>
      </c>
      <c r="O194" s="143"/>
      <c r="P194" s="43">
        <f>(H194/H193-1)*100</f>
        <v>-4.8589226533522485</v>
      </c>
      <c r="Q194" s="143"/>
      <c r="R194" s="40">
        <f>F194/J194</f>
        <v>1.4386867501779288</v>
      </c>
      <c r="S194" s="24"/>
      <c r="T194" s="40">
        <f>F195/H194</f>
        <v>1.2917916018636693</v>
      </c>
      <c r="U194" s="24"/>
      <c r="V194" s="154">
        <f>qtrSales!J202</f>
        <v>3052</v>
      </c>
      <c r="W194" s="24"/>
      <c r="X194" s="40">
        <f>H194/V194</f>
        <v>0.3945907601572739</v>
      </c>
      <c r="Y194" s="24"/>
      <c r="Z194" s="85">
        <f>(X194/X187-1)*100</f>
        <v>6.1911511657265494</v>
      </c>
      <c r="AA194" s="143"/>
      <c r="AB194" s="148">
        <f>qtrSales!Z202</f>
        <v>14.896250000000002</v>
      </c>
      <c r="AC194" s="24"/>
      <c r="AD194" s="165">
        <f>H194/AB194</f>
        <v>80.845246286817144</v>
      </c>
      <c r="AE194" s="24"/>
      <c r="AF194" s="938">
        <f>(AD194/AD187-1)*100</f>
        <v>5.2202227797395029</v>
      </c>
      <c r="AG194" s="143"/>
      <c r="AH194" s="148">
        <f>AB194*0.8</f>
        <v>11.917000000000002</v>
      </c>
      <c r="AI194" s="24"/>
      <c r="AJ194" s="387">
        <f>+H194/AH194</f>
        <v>101.05655785852142</v>
      </c>
      <c r="AK194" s="24"/>
      <c r="AL194" s="24"/>
      <c r="AM194" s="569">
        <f>((F194-('yrP&amp;L'!$AA$16/4))/J194)</f>
        <v>1.4386867501779288</v>
      </c>
      <c r="AN194" s="570"/>
      <c r="AO194" s="24"/>
      <c r="AP194" s="24"/>
      <c r="AQ194" s="24"/>
      <c r="AR194" s="24"/>
      <c r="AS194" s="24"/>
      <c r="AT194" s="24"/>
      <c r="AU194" s="24"/>
      <c r="AV194" s="24"/>
      <c r="AW194" s="24"/>
      <c r="AX194" s="24"/>
      <c r="AY194" s="24"/>
    </row>
    <row r="195" spans="1:51">
      <c r="A195" s="24" t="str">
        <f>$A$48</f>
        <v>3Q</v>
      </c>
      <c r="B195" s="24" t="str">
        <f>$B$13</f>
        <v>Oct</v>
      </c>
      <c r="C195" s="24"/>
      <c r="D195" s="34">
        <f>'qtrP&amp;L'!DJ12</f>
        <v>2580.9789999999998</v>
      </c>
      <c r="E195" s="24"/>
      <c r="F195" s="34">
        <f>'qtrP&amp;L'!DJ22</f>
        <v>1555.693</v>
      </c>
      <c r="G195" s="24"/>
      <c r="H195" s="579">
        <f>work!DB12</f>
        <v>1650.93</v>
      </c>
      <c r="I195" s="24"/>
      <c r="J195" s="34">
        <f>AVERAGE(H194:H195)</f>
        <v>1427.6105</v>
      </c>
      <c r="K195" s="24"/>
      <c r="L195" s="43">
        <f>(D195/D188-1)*100</f>
        <v>4.0056818754218515</v>
      </c>
      <c r="M195" s="143"/>
      <c r="N195" s="43">
        <f>(H195/H188-1)*100</f>
        <v>1.8917112423230797</v>
      </c>
      <c r="O195" s="143"/>
      <c r="P195" s="43">
        <f>(H195/H194-1)*100</f>
        <v>37.087298667846902</v>
      </c>
      <c r="Q195" s="143"/>
      <c r="R195" s="40">
        <f>F195/J195</f>
        <v>1.089718098879211</v>
      </c>
      <c r="S195" s="24"/>
      <c r="T195" s="40">
        <f>F196/H195</f>
        <v>1.5418339965958581</v>
      </c>
      <c r="U195" s="24"/>
      <c r="V195" s="154">
        <f>qtrSales!J203</f>
        <v>3073</v>
      </c>
      <c r="W195" s="24"/>
      <c r="X195" s="40">
        <f>H195/V195</f>
        <v>0.5372372274650179</v>
      </c>
      <c r="Y195" s="24"/>
      <c r="Z195" s="85">
        <f>(X195/X188-1)*100</f>
        <v>-0.42928445795761272</v>
      </c>
      <c r="AA195" s="143"/>
      <c r="AB195" s="148">
        <f>qtrSales!Z203</f>
        <v>15.202500000000001</v>
      </c>
      <c r="AC195" s="24"/>
      <c r="AD195" s="165">
        <f>H195/AB195</f>
        <v>108.59595461272816</v>
      </c>
      <c r="AE195" s="24"/>
      <c r="AF195" s="938">
        <f>(AD195/AD188-1)*100</f>
        <v>-2.1129128305128475</v>
      </c>
      <c r="AG195" s="143"/>
      <c r="AH195" s="148">
        <f>AB195*0.8</f>
        <v>12.162000000000001</v>
      </c>
      <c r="AI195" s="24"/>
      <c r="AJ195" s="387">
        <f>+H195/AH195</f>
        <v>135.74494326591019</v>
      </c>
      <c r="AK195" s="24"/>
      <c r="AL195" s="24"/>
      <c r="AM195" s="569">
        <f>((F195-('yrP&amp;L'!$AA$16/4))/J195)</f>
        <v>1.089718098879211</v>
      </c>
      <c r="AN195" s="570"/>
      <c r="AO195" s="24"/>
      <c r="AP195" s="24"/>
      <c r="AQ195" s="24"/>
      <c r="AR195" s="24"/>
      <c r="AS195" s="24"/>
      <c r="AT195" s="24"/>
      <c r="AU195" s="24"/>
      <c r="AV195" s="24"/>
      <c r="AW195" s="24"/>
      <c r="AX195" s="24"/>
      <c r="AY195" s="24"/>
    </row>
    <row r="196" spans="1:51">
      <c r="A196" s="24" t="str">
        <f>$A$49</f>
        <v>4Q</v>
      </c>
      <c r="B196" s="24" t="str">
        <f>$B$14</f>
        <v>Jan</v>
      </c>
      <c r="C196" s="24"/>
      <c r="D196" s="38">
        <f>'qtrP&amp;L'!DJ13</f>
        <v>4489.4830000000002</v>
      </c>
      <c r="E196" s="24"/>
      <c r="F196" s="38">
        <f>'qtrP&amp;L'!DJ23</f>
        <v>2545.46</v>
      </c>
      <c r="G196" s="24"/>
      <c r="H196" s="579">
        <f>work!DB13</f>
        <v>1096.1859999999999</v>
      </c>
      <c r="I196" s="24"/>
      <c r="J196" s="38">
        <f>AVERAGE(H195:H196)</f>
        <v>1373.558</v>
      </c>
      <c r="K196" s="24"/>
      <c r="L196" s="84">
        <f>(D196/D189-1)*100</f>
        <v>2.1488774047283776</v>
      </c>
      <c r="M196" s="143"/>
      <c r="N196" s="85">
        <f>(H196/H189-1)*100</f>
        <v>-2.2956623426166445</v>
      </c>
      <c r="O196" s="143"/>
      <c r="P196" s="43">
        <f>(H196/H195-1)*100</f>
        <v>-33.60190922692059</v>
      </c>
      <c r="Q196" s="143"/>
      <c r="R196" s="40">
        <f>F196/J196</f>
        <v>1.8531871242422964</v>
      </c>
      <c r="S196" s="24"/>
      <c r="T196" s="124" t="s">
        <v>520</v>
      </c>
      <c r="U196" s="24"/>
      <c r="V196" s="154">
        <f>qtrSales!J204</f>
        <v>3074</v>
      </c>
      <c r="W196" s="24"/>
      <c r="X196" s="40">
        <f>H196/V196</f>
        <v>0.35659921925829535</v>
      </c>
      <c r="Y196" s="24"/>
      <c r="Z196" s="85">
        <f>(X196/X189-1)*100</f>
        <v>-4.4887655626425049</v>
      </c>
      <c r="AA196" s="143"/>
      <c r="AB196" s="148">
        <f>qtrSales!Z204</f>
        <v>15.2425</v>
      </c>
      <c r="AC196" s="24"/>
      <c r="AD196" s="165">
        <f>H196/AB196</f>
        <v>71.916417910447763</v>
      </c>
      <c r="AE196" s="24"/>
      <c r="AF196" s="938">
        <f>(AD196/AD189-1)*100</f>
        <v>-5.7330217697953767</v>
      </c>
      <c r="AG196" s="143"/>
      <c r="AH196" s="148">
        <f>AB196*0.8</f>
        <v>12.194000000000001</v>
      </c>
      <c r="AI196" s="24"/>
      <c r="AJ196" s="387">
        <f>+H196/AH196</f>
        <v>89.895522388059689</v>
      </c>
      <c r="AK196" s="24"/>
      <c r="AL196" s="24"/>
      <c r="AM196" s="569">
        <f>((F196-('yrP&amp;L'!$AA$16/4))/J196)</f>
        <v>1.8531871242422964</v>
      </c>
      <c r="AN196" s="573"/>
      <c r="AO196" s="24"/>
      <c r="AP196" s="24"/>
      <c r="AQ196" s="24"/>
      <c r="AR196" s="24"/>
      <c r="AS196" s="24"/>
      <c r="AT196" s="24"/>
      <c r="AU196" s="24"/>
      <c r="AV196" s="24"/>
      <c r="AW196" s="24"/>
      <c r="AX196" s="24"/>
      <c r="AY196" s="24"/>
    </row>
    <row r="197" spans="1:51">
      <c r="A197" s="24"/>
      <c r="B197" s="24" t="str">
        <f>$B$15</f>
        <v>Year</v>
      </c>
      <c r="C197" s="24"/>
      <c r="D197" s="33">
        <f>SUM(D193:D196)</f>
        <v>12574.021000000001</v>
      </c>
      <c r="E197" s="24"/>
      <c r="F197" s="33">
        <f>SUM(F193:F196)</f>
        <v>7437.7510000000002</v>
      </c>
      <c r="G197" s="24"/>
      <c r="H197" s="24"/>
      <c r="I197" s="24"/>
      <c r="J197" s="33">
        <f>AVERAGE(J193:J196)</f>
        <v>1307.52</v>
      </c>
      <c r="K197" s="24"/>
      <c r="L197" s="43">
        <f>(D197/D190-1)*100</f>
        <v>3.4576128104895743</v>
      </c>
      <c r="M197" s="143"/>
      <c r="N197" s="24"/>
      <c r="O197" s="143"/>
      <c r="P197" s="24"/>
      <c r="Q197" s="143"/>
      <c r="R197" s="86">
        <f>F197/J197</f>
        <v>5.6884414769946163</v>
      </c>
      <c r="S197" s="83" t="s">
        <v>1200</v>
      </c>
      <c r="U197" s="24"/>
      <c r="V197" s="24"/>
      <c r="W197" s="24"/>
      <c r="X197" s="24"/>
      <c r="Y197" s="24"/>
      <c r="Z197" s="24"/>
      <c r="AA197" s="143"/>
      <c r="AB197" s="148"/>
      <c r="AC197" s="24"/>
      <c r="AD197" s="387"/>
      <c r="AE197" s="24"/>
      <c r="AF197" s="938"/>
      <c r="AG197" s="143"/>
      <c r="AH197" s="24"/>
      <c r="AI197" s="24"/>
      <c r="AJ197" s="387"/>
      <c r="AK197" s="24"/>
      <c r="AL197" s="24"/>
      <c r="AM197" s="571">
        <f>((F197-('yrP&amp;L'!$AA$16))/J197)</f>
        <v>5.6884414769946163</v>
      </c>
      <c r="AN197" s="572" t="s">
        <v>1200</v>
      </c>
      <c r="AO197" s="24"/>
      <c r="AP197" s="24"/>
      <c r="AQ197" s="24"/>
      <c r="AR197" s="24"/>
      <c r="AS197" s="24"/>
      <c r="AT197" s="24"/>
      <c r="AU197" s="24"/>
      <c r="AV197" s="24"/>
      <c r="AW197" s="24"/>
      <c r="AX197" s="24"/>
      <c r="AY197" s="24"/>
    </row>
    <row r="198" spans="1:51">
      <c r="A198" s="24"/>
      <c r="B198" s="24"/>
      <c r="C198" s="24"/>
      <c r="D198" s="33"/>
      <c r="E198" s="24"/>
      <c r="F198" s="33"/>
      <c r="G198" s="24"/>
      <c r="H198" s="24"/>
      <c r="I198" s="24"/>
      <c r="J198" s="33"/>
      <c r="K198" s="24"/>
      <c r="L198" s="43"/>
      <c r="M198" s="143"/>
      <c r="N198" s="24"/>
      <c r="O198" s="143"/>
      <c r="P198" s="24"/>
      <c r="Q198" s="143"/>
      <c r="R198" s="928"/>
      <c r="S198" s="30"/>
      <c r="U198" s="24"/>
      <c r="V198" s="24"/>
      <c r="W198" s="24"/>
      <c r="X198" s="24"/>
      <c r="Y198" s="24"/>
      <c r="Z198" s="24"/>
      <c r="AA198" s="143"/>
      <c r="AB198" s="148"/>
      <c r="AC198" s="24"/>
      <c r="AD198" s="387"/>
      <c r="AE198" s="24"/>
      <c r="AF198" s="938"/>
      <c r="AG198" s="143"/>
      <c r="AH198" s="24"/>
      <c r="AI198" s="24"/>
      <c r="AJ198" s="387"/>
      <c r="AK198" s="24"/>
      <c r="AL198" s="24"/>
      <c r="AM198" s="569"/>
      <c r="AN198" s="573"/>
      <c r="AO198" s="24"/>
      <c r="AP198" s="24"/>
      <c r="AQ198" s="24"/>
      <c r="AR198" s="24"/>
      <c r="AS198" s="24"/>
      <c r="AT198" s="24"/>
      <c r="AU198" s="24"/>
      <c r="AV198" s="24"/>
      <c r="AW198" s="24"/>
      <c r="AX198" s="24"/>
      <c r="AY198" s="24"/>
    </row>
    <row r="199" spans="1:51">
      <c r="A199" s="24"/>
      <c r="B199" s="75">
        <f>B192+1</f>
        <v>2017</v>
      </c>
      <c r="C199" s="24"/>
      <c r="D199" s="33"/>
      <c r="E199" s="24"/>
      <c r="F199" s="33"/>
      <c r="G199" s="24"/>
      <c r="H199" s="24"/>
      <c r="I199" s="24"/>
      <c r="J199" s="33"/>
      <c r="K199" s="24"/>
      <c r="L199" s="43"/>
      <c r="M199" s="143"/>
      <c r="N199" s="24"/>
      <c r="O199" s="143"/>
      <c r="P199" s="24"/>
      <c r="Q199" s="143"/>
      <c r="R199" s="928"/>
      <c r="S199" s="30"/>
      <c r="T199" s="40"/>
      <c r="U199" s="24"/>
      <c r="V199" s="24"/>
      <c r="W199" s="24"/>
      <c r="X199" s="24"/>
      <c r="Y199" s="24"/>
      <c r="Z199" s="24"/>
      <c r="AA199" s="143"/>
      <c r="AB199" s="148"/>
      <c r="AC199" s="24"/>
      <c r="AD199" s="387"/>
      <c r="AE199" s="24"/>
      <c r="AF199" s="24"/>
      <c r="AG199" s="143"/>
      <c r="AH199" s="24"/>
      <c r="AI199" s="24"/>
      <c r="AJ199" s="387"/>
      <c r="AK199" s="24"/>
      <c r="AL199" s="24"/>
      <c r="AM199" s="569"/>
      <c r="AN199" s="573"/>
      <c r="AO199" s="24"/>
      <c r="AP199" s="24"/>
      <c r="AQ199" s="24"/>
      <c r="AR199" s="24"/>
      <c r="AS199" s="24"/>
      <c r="AT199" s="24"/>
      <c r="AU199" s="24"/>
      <c r="AV199" s="24"/>
      <c r="AW199" s="24"/>
      <c r="AX199" s="24"/>
      <c r="AY199" s="24"/>
    </row>
    <row r="200" spans="1:51">
      <c r="A200" s="24" t="str">
        <f>$A$46</f>
        <v>1Q</v>
      </c>
      <c r="B200" s="24" t="str">
        <f>$B$11</f>
        <v>Apr</v>
      </c>
      <c r="C200" s="168"/>
      <c r="D200" s="33">
        <f>'qtrP&amp;L'!DN10</f>
        <v>2436.5230000000001</v>
      </c>
      <c r="E200" s="24"/>
      <c r="F200" s="33">
        <f>'qtrP&amp;L'!DN20</f>
        <v>1533.673</v>
      </c>
      <c r="G200" s="24"/>
      <c r="H200" s="579">
        <f>work!DF10</f>
        <v>1147.0360000000001</v>
      </c>
      <c r="I200" s="24"/>
      <c r="J200" s="33">
        <f>AVERAGE(H200,H196)</f>
        <v>1121.6109999999999</v>
      </c>
      <c r="K200" s="24"/>
      <c r="L200" s="43">
        <f>(D200/D193-1)*100</f>
        <v>-6.7828824916836066</v>
      </c>
      <c r="M200" s="143"/>
      <c r="N200" s="43">
        <f>(H200/H193-1)*100</f>
        <v>-9.3821669385643069</v>
      </c>
      <c r="O200" s="143"/>
      <c r="P200" s="43">
        <f>(H200/H196-1)*100</f>
        <v>4.6388112966230244</v>
      </c>
      <c r="Q200" s="143"/>
      <c r="R200" s="40">
        <f>F200/J200</f>
        <v>1.3673840573960137</v>
      </c>
      <c r="S200" s="24"/>
      <c r="T200" s="40">
        <f>F201/H200</f>
        <v>1.5057321653374436</v>
      </c>
      <c r="U200" s="24"/>
      <c r="V200" s="154">
        <f>qtrSales!J208</f>
        <v>3080</v>
      </c>
      <c r="W200" s="24"/>
      <c r="X200" s="35">
        <f>H200/V200</f>
        <v>0.37241428571428575</v>
      </c>
      <c r="Y200" s="24"/>
      <c r="Z200" s="85">
        <f>(X200/X193-1)*100</f>
        <v>-10.617864662129328</v>
      </c>
      <c r="AA200" s="143"/>
      <c r="AB200" s="148">
        <f>qtrSales!Z208</f>
        <v>15.266249999999999</v>
      </c>
      <c r="AC200" s="24"/>
      <c r="AD200" s="165">
        <f>H200/AB200</f>
        <v>75.135413084418246</v>
      </c>
      <c r="AE200" s="24"/>
      <c r="AF200" s="938">
        <f>(AD200/AD193-1)*100</f>
        <v>-12.476217244518505</v>
      </c>
      <c r="AG200" s="143"/>
      <c r="AH200" s="148">
        <f>AB200*0.8</f>
        <v>12.213000000000001</v>
      </c>
      <c r="AI200" s="24"/>
      <c r="AJ200" s="165">
        <f>+H200/AH200</f>
        <v>93.919266355522808</v>
      </c>
      <c r="AK200" s="24"/>
      <c r="AL200" s="24"/>
      <c r="AM200" s="569">
        <f>((F200-('yrP&amp;L'!$AA$16/4))/J200)</f>
        <v>1.3673840573960137</v>
      </c>
      <c r="AN200" s="570" t="s">
        <v>1200</v>
      </c>
      <c r="AO200" s="24"/>
      <c r="AP200" s="24"/>
      <c r="AQ200" s="24"/>
      <c r="AR200" s="24"/>
      <c r="AS200" s="24"/>
      <c r="AT200" s="24"/>
      <c r="AU200" s="24"/>
      <c r="AV200" s="24"/>
      <c r="AW200" s="24"/>
      <c r="AX200" s="24"/>
      <c r="AY200" s="24"/>
    </row>
    <row r="201" spans="1:51">
      <c r="A201" s="24" t="str">
        <f>$A$47</f>
        <v>2Q</v>
      </c>
      <c r="B201" s="24" t="str">
        <f>$B$12</f>
        <v>Jul</v>
      </c>
      <c r="C201" s="168"/>
      <c r="D201" s="34">
        <f>'qtrP&amp;L'!DN11</f>
        <v>2755.02</v>
      </c>
      <c r="E201" s="24"/>
      <c r="F201" s="34">
        <f>'qtrP&amp;L'!DN21</f>
        <v>1727.1289999999999</v>
      </c>
      <c r="G201" s="24"/>
      <c r="H201" s="579">
        <f>work!DF11</f>
        <v>1118.2149999999999</v>
      </c>
      <c r="I201" s="24"/>
      <c r="J201" s="34">
        <f>AVERAGE(H200:H201)</f>
        <v>1132.6255000000001</v>
      </c>
      <c r="K201" s="24"/>
      <c r="L201" s="43">
        <f>(D201/D194-1)*100</f>
        <v>-4.6621430825706467</v>
      </c>
      <c r="M201" s="143"/>
      <c r="N201" s="43">
        <f>(H201/H194-1)*100</f>
        <v>-7.1474419388669386</v>
      </c>
      <c r="O201" s="143"/>
      <c r="P201" s="43">
        <f>(H201/H200-1)*100</f>
        <v>-2.5126499952922265</v>
      </c>
      <c r="Q201" s="143"/>
      <c r="R201" s="40">
        <f>F201/J201</f>
        <v>1.52488973628088</v>
      </c>
      <c r="S201" s="24"/>
      <c r="T201" s="40">
        <f>F202/H201</f>
        <v>1.4571768398742639</v>
      </c>
      <c r="U201" s="24"/>
      <c r="V201" s="154">
        <f>qtrSales!J209</f>
        <v>3077</v>
      </c>
      <c r="W201" s="24"/>
      <c r="X201" s="40">
        <f>H201/V201</f>
        <v>0.3634107897302567</v>
      </c>
      <c r="Y201" s="24"/>
      <c r="Z201" s="85">
        <f>(X201/X194-1)*100</f>
        <v>-7.9018501129092922</v>
      </c>
      <c r="AA201" s="143"/>
      <c r="AB201" s="148">
        <f>qtrSales!Z209</f>
        <v>15.3675</v>
      </c>
      <c r="AC201" s="24"/>
      <c r="AD201" s="165">
        <f>H201/AB201</f>
        <v>72.76492598015291</v>
      </c>
      <c r="AE201" s="24"/>
      <c r="AF201" s="938">
        <f>(AD201/AD194-1)*100</f>
        <v>-9.9947995433119612</v>
      </c>
      <c r="AG201" s="143"/>
      <c r="AH201" s="148">
        <f>AB201*0.8</f>
        <v>12.294</v>
      </c>
      <c r="AI201" s="24"/>
      <c r="AJ201" s="387">
        <f>+H201/AH201</f>
        <v>90.956157475191134</v>
      </c>
      <c r="AK201" s="24"/>
      <c r="AL201" s="24"/>
      <c r="AM201" s="569">
        <f>((F201-('yrP&amp;L'!$AA$16/4))/J201)</f>
        <v>1.52488973628088</v>
      </c>
      <c r="AN201" s="570"/>
      <c r="AO201" s="24"/>
      <c r="AP201" s="24"/>
      <c r="AQ201" s="24"/>
      <c r="AR201" s="24"/>
      <c r="AS201" s="24"/>
      <c r="AT201" s="24"/>
      <c r="AU201" s="24"/>
      <c r="AV201" s="24"/>
      <c r="AW201" s="24"/>
      <c r="AX201" s="24"/>
      <c r="AY201" s="24"/>
    </row>
    <row r="202" spans="1:51">
      <c r="A202" s="24" t="str">
        <f>$A$48</f>
        <v>3Q</v>
      </c>
      <c r="B202" s="24" t="str">
        <f>$B$13</f>
        <v>Oct</v>
      </c>
      <c r="C202" s="168"/>
      <c r="D202" s="34">
        <f>'qtrP&amp;L'!DN12</f>
        <v>2617.7840000000001</v>
      </c>
      <c r="E202" s="24"/>
      <c r="F202" s="34">
        <f>'qtrP&amp;L'!DN22</f>
        <v>1629.4369999999999</v>
      </c>
      <c r="G202" s="24"/>
      <c r="H202" s="579">
        <f>work!DF12</f>
        <v>1715.375</v>
      </c>
      <c r="I202" s="24"/>
      <c r="J202" s="34">
        <f>AVERAGE(H201:H202)</f>
        <v>1416.7950000000001</v>
      </c>
      <c r="K202" s="24"/>
      <c r="L202" s="43">
        <f>(D202/D195-1)*100</f>
        <v>1.4260092778747957</v>
      </c>
      <c r="M202" s="143"/>
      <c r="N202" s="43">
        <f>(H202/H195-1)*100</f>
        <v>3.9035573888656749</v>
      </c>
      <c r="O202" s="143"/>
      <c r="P202" s="43">
        <f>(H202/H201-1)*100</f>
        <v>53.402968123303673</v>
      </c>
      <c r="Q202" s="143"/>
      <c r="R202" s="40">
        <f>F202/J202</f>
        <v>1.1500866392103302</v>
      </c>
      <c r="S202" s="24"/>
      <c r="T202" s="40">
        <f>F203/H202</f>
        <v>1.6222511112730451</v>
      </c>
      <c r="U202" s="24"/>
      <c r="V202" s="154">
        <f>qtrSales!J210</f>
        <v>3087</v>
      </c>
      <c r="W202" s="24"/>
      <c r="X202" s="40">
        <f>H202/V202</f>
        <v>0.55567703271784907</v>
      </c>
      <c r="Y202" s="24"/>
      <c r="Z202" s="85">
        <f>(X202/X195-1)*100</f>
        <v>3.4323394415238795</v>
      </c>
      <c r="AA202" s="143"/>
      <c r="AB202" s="148">
        <f>qtrSales!Z210</f>
        <v>15.688749999999997</v>
      </c>
      <c r="AC202" s="24"/>
      <c r="AD202" s="165">
        <f>H202/AB202</f>
        <v>109.33790136244126</v>
      </c>
      <c r="AE202" s="24"/>
      <c r="AF202" s="938">
        <f>(AD202/AD195-1)*100</f>
        <v>0.68321766898131742</v>
      </c>
      <c r="AG202" s="143"/>
      <c r="AH202" s="148">
        <f>AB202*0.8</f>
        <v>12.550999999999998</v>
      </c>
      <c r="AI202" s="24"/>
      <c r="AJ202" s="387">
        <f>+H202/AH202</f>
        <v>136.67237670305155</v>
      </c>
      <c r="AK202" s="24"/>
      <c r="AL202" s="24"/>
      <c r="AM202" s="569">
        <f>((F202-('yrP&amp;L'!$AA$16/4))/J202)</f>
        <v>1.1500866392103302</v>
      </c>
      <c r="AN202" s="570"/>
      <c r="AO202" s="24"/>
      <c r="AP202" s="24"/>
      <c r="AQ202" s="24"/>
      <c r="AR202" s="24"/>
      <c r="AS202" s="24"/>
      <c r="AT202" s="24"/>
      <c r="AU202" s="24"/>
      <c r="AV202" s="24"/>
      <c r="AW202" s="24"/>
      <c r="AX202" s="24"/>
      <c r="AY202" s="24"/>
    </row>
    <row r="203" spans="1:51">
      <c r="A203" s="24" t="str">
        <f>$A$49</f>
        <v>4Q</v>
      </c>
      <c r="B203" s="24" t="str">
        <f>$B$14</f>
        <v>Jan</v>
      </c>
      <c r="C203" s="168"/>
      <c r="D203" s="38">
        <f>'qtrP&amp;L'!DN13</f>
        <v>4823.1000000000004</v>
      </c>
      <c r="E203" s="24"/>
      <c r="F203" s="38">
        <f>'qtrP&amp;L'!DN23</f>
        <v>2782.7689999999998</v>
      </c>
      <c r="G203" s="24"/>
      <c r="H203" s="579">
        <f>work!DF13</f>
        <v>1239.7370000000001</v>
      </c>
      <c r="I203" s="24"/>
      <c r="J203" s="38">
        <f>AVERAGE(H202:H203)</f>
        <v>1477.556</v>
      </c>
      <c r="K203" s="24"/>
      <c r="L203" s="84">
        <f>(D203/D196-1)*100</f>
        <v>7.4310783669299996</v>
      </c>
      <c r="M203" s="143"/>
      <c r="N203" s="85">
        <f>(H203/H196-1)*100</f>
        <v>13.095496567188425</v>
      </c>
      <c r="O203" s="143"/>
      <c r="P203" s="43">
        <f>(H203/H202-1)*100</f>
        <v>-27.727931210376731</v>
      </c>
      <c r="Q203" s="143"/>
      <c r="R203" s="40">
        <f>F203/J203</f>
        <v>1.8833594124351292</v>
      </c>
      <c r="S203" s="24"/>
      <c r="T203" s="124" t="s">
        <v>520</v>
      </c>
      <c r="U203" s="24"/>
      <c r="V203" s="154">
        <f>qtrSales!J211</f>
        <v>3075</v>
      </c>
      <c r="W203" s="24"/>
      <c r="X203" s="40">
        <f>H203/V203</f>
        <v>0.40316650406504068</v>
      </c>
      <c r="Y203" s="24"/>
      <c r="Z203" s="85">
        <f>(X203/X196-1)*100</f>
        <v>13.058717543914543</v>
      </c>
      <c r="AA203" s="143"/>
      <c r="AB203" s="148">
        <f>qtrSales!Z211</f>
        <v>15.41</v>
      </c>
      <c r="AC203" s="24"/>
      <c r="AD203" s="165">
        <f>H203/AB203</f>
        <v>80.450162232316686</v>
      </c>
      <c r="AE203" s="24"/>
      <c r="AF203" s="938">
        <f>(AD203/AD196-1)*100</f>
        <v>11.866197691458114</v>
      </c>
      <c r="AG203" s="143"/>
      <c r="AH203" s="148">
        <f>AB203*0.8</f>
        <v>12.328000000000001</v>
      </c>
      <c r="AI203" s="24"/>
      <c r="AJ203" s="387">
        <f>+H203/AH203</f>
        <v>100.56270279039585</v>
      </c>
      <c r="AK203" s="24"/>
      <c r="AL203" s="24"/>
      <c r="AM203" s="569">
        <f>((F203-('yrP&amp;L'!$AA$16/4))/J203)</f>
        <v>1.8833594124351292</v>
      </c>
      <c r="AN203" s="573"/>
      <c r="AO203" s="24"/>
      <c r="AP203" s="24"/>
      <c r="AQ203" s="24"/>
      <c r="AR203" s="24"/>
      <c r="AS203" s="24"/>
      <c r="AT203" s="24"/>
      <c r="AU203" s="24"/>
      <c r="AV203" s="24"/>
      <c r="AW203" s="24"/>
      <c r="AX203" s="24"/>
      <c r="AY203" s="24"/>
    </row>
    <row r="204" spans="1:51">
      <c r="A204" s="24"/>
      <c r="B204" s="24" t="str">
        <f>$B$15</f>
        <v>Year</v>
      </c>
      <c r="C204" s="168"/>
      <c r="D204" s="33">
        <f>'qtrP&amp;L'!DN14</f>
        <v>12632.304</v>
      </c>
      <c r="E204" s="24"/>
      <c r="F204" s="33">
        <f>'qtrP&amp;L'!DN24</f>
        <v>7673.0079999999998</v>
      </c>
      <c r="G204" s="24"/>
      <c r="H204" s="24"/>
      <c r="I204" s="24"/>
      <c r="J204" s="33">
        <f>AVERAGE(J200:J203)</f>
        <v>1287.1468749999999</v>
      </c>
      <c r="K204" s="24"/>
      <c r="L204" s="43">
        <f>(D204/D197-1)*100</f>
        <v>0.46351918769660383</v>
      </c>
      <c r="M204" s="143"/>
      <c r="N204" s="24"/>
      <c r="O204" s="143"/>
      <c r="P204" s="24"/>
      <c r="Q204" s="143"/>
      <c r="R204" s="86">
        <f>F204/J204</f>
        <v>5.9612528678982342</v>
      </c>
      <c r="S204" s="83" t="s">
        <v>1200</v>
      </c>
      <c r="U204" s="24"/>
      <c r="V204" s="24"/>
      <c r="W204" s="24"/>
      <c r="X204" s="24"/>
      <c r="Y204" s="24"/>
      <c r="Z204" s="24"/>
      <c r="AA204" s="143"/>
      <c r="AB204" s="148"/>
      <c r="AC204" s="24"/>
      <c r="AD204" s="387"/>
      <c r="AE204" s="24"/>
      <c r="AF204" s="938"/>
      <c r="AG204" s="143"/>
      <c r="AH204" s="24"/>
      <c r="AI204" s="24"/>
      <c r="AJ204" s="387"/>
      <c r="AK204" s="24"/>
      <c r="AL204" s="24"/>
      <c r="AM204" s="571">
        <f>((F204-('yrP&amp;L'!$AA$16))/J204)</f>
        <v>5.9612528678982342</v>
      </c>
      <c r="AN204" s="572" t="s">
        <v>1200</v>
      </c>
      <c r="AO204" s="24"/>
      <c r="AP204" s="24"/>
      <c r="AQ204" s="24"/>
      <c r="AR204" s="24"/>
      <c r="AS204" s="24"/>
      <c r="AT204" s="24"/>
      <c r="AU204" s="24"/>
      <c r="AV204" s="24"/>
      <c r="AW204" s="24"/>
      <c r="AX204" s="24"/>
      <c r="AY204" s="24"/>
    </row>
    <row r="205" spans="1:51" s="2702" customFormat="1">
      <c r="A205" s="24"/>
      <c r="B205" s="24"/>
      <c r="C205" s="24"/>
      <c r="D205" s="33"/>
      <c r="E205" s="24"/>
      <c r="F205" s="33"/>
      <c r="G205" s="24"/>
      <c r="H205" s="24"/>
      <c r="I205" s="24"/>
      <c r="J205" s="33"/>
      <c r="K205" s="24"/>
      <c r="L205" s="43"/>
      <c r="M205" s="143"/>
      <c r="N205" s="24"/>
      <c r="O205" s="143"/>
      <c r="P205" s="24"/>
      <c r="Q205" s="143"/>
      <c r="R205" s="928"/>
      <c r="S205" s="30"/>
      <c r="U205" s="24"/>
      <c r="V205" s="24"/>
      <c r="W205" s="24"/>
      <c r="X205" s="24"/>
      <c r="Y205" s="24"/>
      <c r="Z205" s="24"/>
      <c r="AA205" s="143"/>
      <c r="AB205" s="148"/>
      <c r="AC205" s="24"/>
      <c r="AD205" s="387"/>
      <c r="AE205" s="24"/>
      <c r="AF205" s="938"/>
      <c r="AG205" s="143"/>
      <c r="AH205" s="24"/>
      <c r="AI205" s="24"/>
      <c r="AJ205" s="387"/>
      <c r="AK205" s="24"/>
      <c r="AL205" s="24"/>
      <c r="AM205" s="569"/>
      <c r="AN205" s="573"/>
      <c r="AO205" s="24"/>
      <c r="AP205" s="24"/>
      <c r="AQ205" s="24"/>
      <c r="AR205" s="24"/>
      <c r="AS205" s="24"/>
      <c r="AT205" s="24"/>
      <c r="AU205" s="24"/>
      <c r="AV205" s="24"/>
      <c r="AW205" s="24"/>
      <c r="AX205" s="24"/>
      <c r="AY205" s="24"/>
    </row>
    <row r="206" spans="1:51" s="2702" customFormat="1">
      <c r="A206" s="24"/>
      <c r="B206" s="1147">
        <f>B199+1</f>
        <v>2018</v>
      </c>
      <c r="C206" s="24"/>
      <c r="D206" s="33"/>
      <c r="E206" s="24"/>
      <c r="F206" s="33"/>
      <c r="G206" s="24"/>
      <c r="H206" s="24"/>
      <c r="I206" s="24"/>
      <c r="J206" s="33"/>
      <c r="K206" s="24"/>
      <c r="L206" s="43"/>
      <c r="M206" s="143"/>
      <c r="N206" s="24"/>
      <c r="O206" s="143"/>
      <c r="P206" s="24"/>
      <c r="Q206" s="143"/>
      <c r="R206" s="928"/>
      <c r="S206" s="30"/>
      <c r="T206" s="40"/>
      <c r="U206" s="24"/>
      <c r="V206" s="24"/>
      <c r="W206" s="24"/>
      <c r="X206" s="24"/>
      <c r="Y206" s="24"/>
      <c r="Z206" s="24"/>
      <c r="AA206" s="143"/>
      <c r="AB206" s="148"/>
      <c r="AC206" s="24"/>
      <c r="AD206" s="387"/>
      <c r="AE206" s="24"/>
      <c r="AF206" s="24"/>
      <c r="AG206" s="143"/>
      <c r="AH206" s="24"/>
      <c r="AI206" s="24"/>
      <c r="AJ206" s="387"/>
      <c r="AK206" s="24"/>
      <c r="AL206" s="24"/>
      <c r="AM206" s="569"/>
      <c r="AN206" s="573"/>
      <c r="AO206" s="24"/>
      <c r="AP206" s="24"/>
      <c r="AQ206" s="24"/>
      <c r="AR206" s="24"/>
      <c r="AS206" s="24"/>
      <c r="AT206" s="24"/>
      <c r="AU206" s="24"/>
      <c r="AV206" s="24"/>
      <c r="AW206" s="24"/>
      <c r="AX206" s="24"/>
      <c r="AY206" s="24"/>
    </row>
    <row r="207" spans="1:51" s="2702" customFormat="1">
      <c r="A207" s="24" t="str">
        <f>$A$46</f>
        <v>1Q</v>
      </c>
      <c r="B207" s="24" t="str">
        <f>$B$11</f>
        <v>Apr</v>
      </c>
      <c r="C207" s="168"/>
      <c r="D207" s="33">
        <f>'qtrP&amp;L'!DR10</f>
        <v>2604.2240028011561</v>
      </c>
      <c r="E207" s="168"/>
      <c r="F207" s="33">
        <f>'qtrP&amp;L'!DR20</f>
        <v>1673.213921799743</v>
      </c>
      <c r="G207" s="24"/>
      <c r="H207" s="579">
        <f t="shared" ref="H207:H208" si="0">+AD207*AB207</f>
        <v>1341.7303502721654</v>
      </c>
      <c r="I207" s="24"/>
      <c r="J207" s="33">
        <f>AVERAGE(H207,H203)</f>
        <v>1290.7336751360826</v>
      </c>
      <c r="K207" s="24"/>
      <c r="L207" s="43">
        <f>(D207/D200-1)*100</f>
        <v>6.8827999079489777</v>
      </c>
      <c r="M207" s="143"/>
      <c r="N207" s="43">
        <f>(H207/H200-1)*100</f>
        <v>16.973691346406341</v>
      </c>
      <c r="O207" s="143"/>
      <c r="P207" s="43">
        <f>(H207/H203-1)*100</f>
        <v>8.227015106604485</v>
      </c>
      <c r="Q207" s="143"/>
      <c r="R207" s="40">
        <f>F207/J207</f>
        <v>1.2963277816574634</v>
      </c>
      <c r="S207" s="24"/>
      <c r="T207" s="40">
        <f>F208/H207</f>
        <v>1.3573902869813665</v>
      </c>
      <c r="U207" s="24"/>
      <c r="V207" s="362">
        <f>qtrSales!J215</f>
        <v>3093</v>
      </c>
      <c r="W207" s="24"/>
      <c r="X207" s="35">
        <f>H207/V207</f>
        <v>0.43379578088333831</v>
      </c>
      <c r="Y207" s="24"/>
      <c r="Z207" s="85">
        <f>(X207/X200-1)*100</f>
        <v>16.482046345596977</v>
      </c>
      <c r="AA207" s="143"/>
      <c r="AB207" s="2768">
        <f>qtrSales!Z215</f>
        <v>15.528257526235441</v>
      </c>
      <c r="AC207" s="24"/>
      <c r="AD207" s="387">
        <f>+AD200*(1+AF207/100)</f>
        <v>86.405725047080978</v>
      </c>
      <c r="AE207" s="24"/>
      <c r="AF207" s="937">
        <v>15</v>
      </c>
      <c r="AG207" s="143"/>
      <c r="AH207" s="148">
        <f>AB207*0.8</f>
        <v>12.422606020988354</v>
      </c>
      <c r="AI207" s="24"/>
      <c r="AJ207" s="165">
        <f>+H207/AH207</f>
        <v>108.00715630885122</v>
      </c>
      <c r="AK207" s="24"/>
      <c r="AL207" s="24"/>
      <c r="AM207" s="569">
        <f>((F207-('yrP&amp;L'!$AA$16/4))/J207)</f>
        <v>1.2963277816574634</v>
      </c>
      <c r="AN207" s="570" t="s">
        <v>1200</v>
      </c>
      <c r="AO207" s="24"/>
      <c r="AP207" s="24"/>
      <c r="AQ207" s="24"/>
      <c r="AR207" s="24"/>
      <c r="AS207" s="24"/>
      <c r="AT207" s="24"/>
      <c r="AU207" s="24"/>
      <c r="AV207" s="24"/>
      <c r="AW207" s="24"/>
      <c r="AX207" s="24"/>
      <c r="AY207" s="24"/>
    </row>
    <row r="208" spans="1:51" s="2702" customFormat="1">
      <c r="A208" s="24" t="str">
        <f>$A$47</f>
        <v>2Q</v>
      </c>
      <c r="B208" s="24" t="str">
        <f>$B$12</f>
        <v>Jul</v>
      </c>
      <c r="C208" s="168"/>
      <c r="D208" s="34">
        <f>'qtrP&amp;L'!DR11</f>
        <v>2904.7077276037385</v>
      </c>
      <c r="E208" s="168"/>
      <c r="F208" s="34">
        <f>'qtrP&amp;L'!DR21</f>
        <v>1821.251745207544</v>
      </c>
      <c r="G208" s="24"/>
      <c r="H208" s="579">
        <f t="shared" si="0"/>
        <v>1308.3607933149249</v>
      </c>
      <c r="I208" s="24"/>
      <c r="J208" s="34">
        <f>AVERAGE(H207:H208)</f>
        <v>1325.0455717935452</v>
      </c>
      <c r="K208" s="24"/>
      <c r="L208" s="43">
        <f>(D208/D201-1)*100</f>
        <v>5.4332719037879507</v>
      </c>
      <c r="M208" s="143"/>
      <c r="N208" s="43">
        <f>(H208/H201-1)*100</f>
        <v>17.004403743012308</v>
      </c>
      <c r="O208" s="143"/>
      <c r="P208" s="43">
        <f>(H208/H207-1)*100</f>
        <v>-2.4870538965203859</v>
      </c>
      <c r="Q208" s="143"/>
      <c r="R208" s="40">
        <f>F208/J208</f>
        <v>1.3744823453448078</v>
      </c>
      <c r="S208" s="24"/>
      <c r="T208" s="40">
        <f>F209/H208</f>
        <v>1.3110989617422122</v>
      </c>
      <c r="U208" s="24"/>
      <c r="V208" s="362">
        <f>qtrSales!J216</f>
        <v>3105</v>
      </c>
      <c r="W208" s="24"/>
      <c r="X208" s="40">
        <f>H208/V208</f>
        <v>0.42137223617227854</v>
      </c>
      <c r="Y208" s="24"/>
      <c r="Z208" s="85">
        <f>(X208/X201-1)*100</f>
        <v>15.94929156755196</v>
      </c>
      <c r="AA208" s="143"/>
      <c r="AB208" s="2768">
        <f>qtrSales!Z216</f>
        <v>15.635349343658625</v>
      </c>
      <c r="AC208" s="24"/>
      <c r="AD208" s="387">
        <f>+AD201*(1+AF208/100)</f>
        <v>83.679664877175838</v>
      </c>
      <c r="AE208" s="24"/>
      <c r="AF208" s="937">
        <v>15</v>
      </c>
      <c r="AG208" s="143"/>
      <c r="AH208" s="148">
        <f>AB208*0.8</f>
        <v>12.508279474926901</v>
      </c>
      <c r="AI208" s="24"/>
      <c r="AJ208" s="387">
        <f>+H208/AH208</f>
        <v>104.59958109646978</v>
      </c>
      <c r="AK208" s="24"/>
      <c r="AL208" s="24"/>
      <c r="AM208" s="569">
        <f>((F208-('yrP&amp;L'!$AA$16/4))/J208)</f>
        <v>1.3744823453448078</v>
      </c>
      <c r="AN208" s="570"/>
      <c r="AO208" s="24"/>
      <c r="AP208" s="24"/>
      <c r="AQ208" s="24"/>
      <c r="AR208" s="24"/>
      <c r="AS208" s="24"/>
      <c r="AT208" s="24"/>
      <c r="AU208" s="24"/>
      <c r="AV208" s="24"/>
      <c r="AW208" s="24"/>
      <c r="AX208" s="24"/>
      <c r="AY208" s="24"/>
    </row>
    <row r="209" spans="1:51" s="2702" customFormat="1">
      <c r="A209" s="24" t="str">
        <f>$A$48</f>
        <v>3Q</v>
      </c>
      <c r="B209" s="24" t="str">
        <f>$B$13</f>
        <v>Oct</v>
      </c>
      <c r="C209" s="168"/>
      <c r="D209" s="34">
        <f>'qtrP&amp;L'!DR12</f>
        <v>2769.886125786235</v>
      </c>
      <c r="E209" s="168"/>
      <c r="F209" s="34">
        <f>'qtrP&amp;L'!DR22</f>
        <v>1715.3904776994152</v>
      </c>
      <c r="G209" s="24"/>
      <c r="H209" s="579">
        <f>+AD209*AB209</f>
        <v>1809.5329668301674</v>
      </c>
      <c r="I209" s="24"/>
      <c r="J209" s="34">
        <f>AVERAGE(H208:H209)</f>
        <v>1558.9468800725463</v>
      </c>
      <c r="K209" s="24"/>
      <c r="L209" s="43">
        <f>(D209/D202-1)*100</f>
        <v>5.8103390419620204</v>
      </c>
      <c r="M209" s="143"/>
      <c r="N209" s="43">
        <f>(H209/H202-1)*100</f>
        <v>5.4890602247419595</v>
      </c>
      <c r="O209" s="143"/>
      <c r="P209" s="43">
        <f>(H209/H208-1)*100</f>
        <v>38.305349417070886</v>
      </c>
      <c r="Q209" s="143"/>
      <c r="R209" s="40">
        <f>F209/J209</f>
        <v>1.100352102837262</v>
      </c>
      <c r="S209" s="24"/>
      <c r="T209" s="40">
        <f>F210/H209</f>
        <v>1.5385884326653163</v>
      </c>
      <c r="U209" s="24"/>
      <c r="V209" s="362">
        <f>qtrSales!J217</f>
        <v>3121</v>
      </c>
      <c r="W209" s="24"/>
      <c r="X209" s="40">
        <f>H209/V209</f>
        <v>0.57979268402120077</v>
      </c>
      <c r="Y209" s="24"/>
      <c r="Z209" s="85">
        <f>(X209/X202-1)*100</f>
        <v>4.339868283812387</v>
      </c>
      <c r="AA209" s="143"/>
      <c r="AB209" s="2768">
        <f>qtrSales!Z217</f>
        <v>15.761823748580191</v>
      </c>
      <c r="AC209" s="24"/>
      <c r="AD209" s="387">
        <f>+AD202*(1+AF209/100)</f>
        <v>114.80479643056333</v>
      </c>
      <c r="AE209" s="24"/>
      <c r="AF209" s="937">
        <v>5</v>
      </c>
      <c r="AG209" s="143"/>
      <c r="AH209" s="148">
        <f>AB209*0.8</f>
        <v>12.609458998864154</v>
      </c>
      <c r="AI209" s="24"/>
      <c r="AJ209" s="387">
        <f>+H209/AH209</f>
        <v>143.50599553820416</v>
      </c>
      <c r="AK209" s="24"/>
      <c r="AL209" s="24"/>
      <c r="AM209" s="569">
        <f>((F209-('yrP&amp;L'!$AA$16/4))/J209)</f>
        <v>1.100352102837262</v>
      </c>
      <c r="AN209" s="570"/>
      <c r="AO209" s="24"/>
      <c r="AP209" s="24"/>
      <c r="AQ209" s="24"/>
      <c r="AR209" s="24"/>
      <c r="AS209" s="24"/>
      <c r="AT209" s="24"/>
      <c r="AU209" s="24"/>
      <c r="AV209" s="24"/>
      <c r="AW209" s="24"/>
      <c r="AX209" s="24"/>
      <c r="AY209" s="24"/>
    </row>
    <row r="210" spans="1:51" s="2702" customFormat="1">
      <c r="A210" s="24" t="str">
        <f>$A$49</f>
        <v>4Q</v>
      </c>
      <c r="B210" s="24" t="str">
        <f>$B$14</f>
        <v>Jan</v>
      </c>
      <c r="C210" s="168"/>
      <c r="D210" s="38">
        <f>'qtrP&amp;L'!DR13</f>
        <v>4867.3540057542778</v>
      </c>
      <c r="E210" s="168"/>
      <c r="F210" s="38">
        <f>'qtrP&amp;L'!DR23</f>
        <v>2784.1264912914471</v>
      </c>
      <c r="G210" s="24"/>
      <c r="H210" s="579">
        <f>bal!BI11</f>
        <v>1314.6171861945406</v>
      </c>
      <c r="I210" s="24"/>
      <c r="J210" s="38">
        <f>AVERAGE(H209:H210)</f>
        <v>1562.0750765123539</v>
      </c>
      <c r="K210" s="24"/>
      <c r="L210" s="84">
        <f>(D210/D203-1)*100</f>
        <v>0.91754277859212863</v>
      </c>
      <c r="M210" s="143"/>
      <c r="N210" s="85">
        <f>(H210/H203-1)*100</f>
        <v>6.0400057588456679</v>
      </c>
      <c r="O210" s="143"/>
      <c r="P210" s="43">
        <f>(H210/H209-1)*100</f>
        <v>-27.350470519616501</v>
      </c>
      <c r="Q210" s="143"/>
      <c r="R210" s="40">
        <f>F210/J210</f>
        <v>1.7823256597292163</v>
      </c>
      <c r="S210" s="24"/>
      <c r="T210" s="124" t="s">
        <v>520</v>
      </c>
      <c r="U210" s="24"/>
      <c r="V210" s="362">
        <f>qtrSales!J218</f>
        <v>3114</v>
      </c>
      <c r="W210" s="24"/>
      <c r="X210" s="40">
        <f>H210/V210</f>
        <v>0.42216351515560074</v>
      </c>
      <c r="Y210" s="24"/>
      <c r="Z210" s="85">
        <f>(X210/X203-1)*100</f>
        <v>4.7119517368177544</v>
      </c>
      <c r="AA210" s="143"/>
      <c r="AB210" s="2768">
        <f>qtrSales!Z218</f>
        <v>15.742985073366517</v>
      </c>
      <c r="AC210" s="24"/>
      <c r="AD210" s="387">
        <f>+AD203*(1+AF210/100)</f>
        <v>82.863667099286189</v>
      </c>
      <c r="AE210" s="24"/>
      <c r="AF210" s="937">
        <v>3</v>
      </c>
      <c r="AG210" s="143"/>
      <c r="AH210" s="148">
        <f>AB210*0.8</f>
        <v>12.594388058693214</v>
      </c>
      <c r="AI210" s="24"/>
      <c r="AJ210" s="387">
        <f>+H210/AH210</f>
        <v>104.3811878805126</v>
      </c>
      <c r="AK210" s="24"/>
      <c r="AL210" s="24"/>
      <c r="AM210" s="569">
        <f>((F210-('yrP&amp;L'!$AA$16/4))/J210)</f>
        <v>1.7823256597292163</v>
      </c>
      <c r="AN210" s="573"/>
      <c r="AO210" s="24"/>
      <c r="AP210" s="24"/>
      <c r="AQ210" s="24"/>
      <c r="AR210" s="24"/>
      <c r="AS210" s="24"/>
      <c r="AT210" s="24"/>
      <c r="AU210" s="24"/>
      <c r="AV210" s="24"/>
      <c r="AW210" s="24"/>
      <c r="AX210" s="24"/>
      <c r="AY210" s="24"/>
    </row>
    <row r="211" spans="1:51" s="2702" customFormat="1">
      <c r="A211" s="24"/>
      <c r="B211" s="24" t="str">
        <f>$B$15</f>
        <v>Year</v>
      </c>
      <c r="C211" s="168"/>
      <c r="D211" s="33">
        <f>'qtrP&amp;L'!DR14</f>
        <v>13146.171861945406</v>
      </c>
      <c r="E211" s="168"/>
      <c r="F211" s="33">
        <f>'qtrP&amp;L'!DR24</f>
        <v>7993.9826359981489</v>
      </c>
      <c r="G211" s="24"/>
      <c r="H211" s="24"/>
      <c r="I211" s="24"/>
      <c r="J211" s="33">
        <f>AVERAGE(J207:J210)</f>
        <v>1434.2003008786319</v>
      </c>
      <c r="K211" s="24"/>
      <c r="L211" s="43">
        <f>(D211/D204-1)*100</f>
        <v>4.0678870770162412</v>
      </c>
      <c r="M211" s="143"/>
      <c r="N211" s="24"/>
      <c r="O211" s="143"/>
      <c r="P211" s="24"/>
      <c r="Q211" s="143"/>
      <c r="R211" s="86">
        <f>F211/J211</f>
        <v>5.5738257976245071</v>
      </c>
      <c r="S211" s="83" t="s">
        <v>1200</v>
      </c>
      <c r="U211" s="24"/>
      <c r="V211" s="24"/>
      <c r="W211" s="24"/>
      <c r="X211" s="24"/>
      <c r="Y211" s="24"/>
      <c r="Z211" s="24"/>
      <c r="AA211" s="143"/>
      <c r="AB211" s="148"/>
      <c r="AC211" s="24"/>
      <c r="AD211" s="387"/>
      <c r="AE211" s="24"/>
      <c r="AF211" s="938"/>
      <c r="AG211" s="143"/>
      <c r="AH211" s="24"/>
      <c r="AI211" s="24"/>
      <c r="AJ211" s="387"/>
      <c r="AK211" s="24"/>
      <c r="AL211" s="24"/>
      <c r="AM211" s="571">
        <f>((F211-('yrP&amp;L'!$AA$16))/J211)</f>
        <v>5.5738257976245071</v>
      </c>
      <c r="AN211" s="572" t="s">
        <v>1200</v>
      </c>
      <c r="AO211" s="24"/>
      <c r="AP211" s="24"/>
      <c r="AQ211" s="24"/>
      <c r="AR211" s="24"/>
      <c r="AS211" s="24"/>
      <c r="AT211" s="24"/>
      <c r="AU211" s="24"/>
      <c r="AV211" s="24"/>
      <c r="AW211" s="24"/>
      <c r="AX211" s="24"/>
      <c r="AY211" s="24"/>
    </row>
    <row r="212" spans="1:51">
      <c r="A212" s="24"/>
      <c r="B212" s="24"/>
      <c r="C212" s="168"/>
      <c r="D212" s="33"/>
      <c r="E212" s="24"/>
      <c r="F212" s="33"/>
      <c r="G212" s="24"/>
      <c r="H212" s="24"/>
      <c r="I212" s="24"/>
      <c r="J212" s="33"/>
      <c r="K212" s="24"/>
      <c r="L212" s="43"/>
      <c r="M212" s="143"/>
      <c r="N212" s="24"/>
      <c r="O212" s="143"/>
      <c r="P212" s="24"/>
      <c r="Q212" s="143"/>
      <c r="R212" s="928"/>
      <c r="S212" s="30"/>
      <c r="U212" s="24"/>
      <c r="V212" s="24"/>
      <c r="W212" s="24"/>
      <c r="X212" s="24"/>
      <c r="Y212" s="24"/>
      <c r="Z212" s="24"/>
      <c r="AA212" s="143"/>
      <c r="AB212" s="148"/>
      <c r="AC212" s="24"/>
      <c r="AD212" s="387"/>
      <c r="AE212" s="24"/>
      <c r="AF212" s="938"/>
      <c r="AG212" s="143"/>
      <c r="AH212" s="24"/>
      <c r="AI212" s="24"/>
      <c r="AJ212" s="387"/>
      <c r="AK212" s="24"/>
      <c r="AL212" s="24"/>
      <c r="AM212" s="569"/>
      <c r="AN212" s="573"/>
      <c r="AO212" s="24"/>
      <c r="AP212" s="24"/>
      <c r="AQ212" s="24"/>
      <c r="AR212" s="24"/>
      <c r="AS212" s="24"/>
      <c r="AT212" s="24"/>
      <c r="AU212" s="24"/>
      <c r="AV212" s="24"/>
      <c r="AW212" s="24"/>
      <c r="AX212" s="24"/>
      <c r="AY212" s="24"/>
    </row>
    <row r="213" spans="1:51" ht="10.5" customHeight="1">
      <c r="A213" s="63" t="s">
        <v>1158</v>
      </c>
      <c r="B213" s="58"/>
      <c r="C213" s="58"/>
      <c r="D213" s="58"/>
      <c r="E213" s="58"/>
      <c r="F213" s="58"/>
      <c r="G213" s="58"/>
      <c r="H213" s="58"/>
      <c r="I213" s="58"/>
      <c r="J213" s="58"/>
      <c r="K213" s="58"/>
      <c r="L213" s="58"/>
      <c r="M213" s="58"/>
      <c r="N213" s="58"/>
      <c r="O213" s="58"/>
      <c r="P213" s="58"/>
      <c r="Q213" s="58"/>
      <c r="R213" s="58"/>
      <c r="S213" s="58"/>
      <c r="T213" s="40"/>
      <c r="U213" s="58"/>
      <c r="V213" s="58"/>
      <c r="W213" s="58"/>
      <c r="X213" s="64"/>
      <c r="Y213" s="58"/>
      <c r="Z213" s="58"/>
      <c r="AA213" s="58"/>
      <c r="AB213" s="58"/>
      <c r="AC213" s="58"/>
      <c r="AD213" s="64"/>
      <c r="AE213" s="58"/>
      <c r="AF213" s="58"/>
      <c r="AG213" s="58"/>
      <c r="AH213" s="58"/>
      <c r="AI213" s="58"/>
      <c r="AJ213" s="64"/>
      <c r="AK213" s="64"/>
      <c r="AL213" s="64"/>
      <c r="AM213" s="64"/>
      <c r="AN213" s="64"/>
      <c r="AO213" s="64"/>
      <c r="AP213" s="64"/>
      <c r="AQ213" s="58"/>
      <c r="AR213" s="58"/>
      <c r="AS213" s="58"/>
      <c r="AT213" s="58"/>
      <c r="AU213" s="58"/>
      <c r="AV213" s="58"/>
      <c r="AW213" s="58"/>
      <c r="AX213" s="58"/>
      <c r="AY213" s="58"/>
    </row>
    <row r="214" spans="1:51" ht="10.5" customHeight="1">
      <c r="A214" s="63" t="s">
        <v>1159</v>
      </c>
      <c r="B214" s="58"/>
      <c r="C214" s="58"/>
      <c r="D214" s="58"/>
      <c r="E214" s="58"/>
      <c r="F214" s="58"/>
      <c r="G214" s="58"/>
      <c r="H214" s="58"/>
      <c r="I214" s="58"/>
      <c r="J214" s="58"/>
      <c r="K214" s="58"/>
      <c r="L214" s="58"/>
      <c r="M214" s="58"/>
      <c r="N214" s="58"/>
      <c r="O214" s="58"/>
      <c r="P214" s="58"/>
      <c r="Q214" s="58"/>
      <c r="R214" s="946"/>
      <c r="S214" s="58"/>
      <c r="T214" s="40"/>
      <c r="U214" s="58"/>
      <c r="V214" s="58"/>
      <c r="W214" s="58"/>
      <c r="X214" s="64"/>
      <c r="Y214" s="58"/>
      <c r="Z214" s="58"/>
      <c r="AA214" s="58"/>
      <c r="AB214" s="58"/>
      <c r="AC214" s="58"/>
      <c r="AD214" s="64"/>
      <c r="AE214" s="58"/>
      <c r="AF214" s="58"/>
      <c r="AG214" s="58"/>
      <c r="AH214" s="58"/>
      <c r="AI214" s="58"/>
      <c r="AJ214" s="64"/>
      <c r="AK214" s="64"/>
      <c r="AL214" s="64"/>
      <c r="AM214" s="64"/>
      <c r="AN214" s="64"/>
      <c r="AO214" s="64"/>
      <c r="AP214" s="64"/>
      <c r="AQ214" s="58"/>
      <c r="AR214" s="58"/>
      <c r="AS214" s="58"/>
      <c r="AT214" s="58"/>
      <c r="AU214" s="58"/>
      <c r="AV214" s="58"/>
      <c r="AW214" s="58"/>
      <c r="AX214" s="58"/>
      <c r="AY214" s="58"/>
    </row>
    <row r="215" spans="1:51" ht="10.5" customHeight="1">
      <c r="A215" s="61"/>
      <c r="B215" s="60"/>
      <c r="C215" s="60"/>
      <c r="D215" s="60"/>
      <c r="E215" s="60"/>
      <c r="F215" s="60"/>
      <c r="G215" s="60"/>
      <c r="H215" s="60"/>
      <c r="I215" s="60"/>
      <c r="J215" s="60"/>
      <c r="K215" s="60"/>
      <c r="L215" s="60"/>
      <c r="M215" s="60"/>
      <c r="N215" s="60"/>
      <c r="O215" s="60"/>
      <c r="P215" s="60"/>
      <c r="Q215" s="60"/>
      <c r="R215" s="60"/>
      <c r="S215" s="60"/>
      <c r="T215" s="40"/>
      <c r="U215" s="60"/>
      <c r="V215" s="60"/>
      <c r="W215" s="60"/>
      <c r="X215" s="62"/>
      <c r="Y215" s="60"/>
      <c r="Z215" s="60"/>
      <c r="AA215" s="60"/>
      <c r="AB215" s="60"/>
      <c r="AC215" s="60"/>
      <c r="AD215" s="62"/>
      <c r="AE215" s="60"/>
      <c r="AF215" s="60"/>
      <c r="AG215" s="60"/>
      <c r="AH215" s="60"/>
      <c r="AI215" s="60"/>
      <c r="AJ215" s="62"/>
      <c r="AK215" s="62"/>
      <c r="AL215" s="62"/>
      <c r="AM215" s="62"/>
      <c r="AN215" s="62"/>
      <c r="AO215" s="62"/>
      <c r="AP215" s="62"/>
      <c r="AQ215" s="60"/>
      <c r="AR215" s="60"/>
      <c r="AS215" s="60"/>
      <c r="AT215" s="60"/>
      <c r="AU215" s="60"/>
      <c r="AV215" s="60"/>
      <c r="AW215" s="60"/>
      <c r="AX215" s="60"/>
      <c r="AY215" s="60"/>
    </row>
    <row r="216" spans="1:51" ht="10.5" customHeight="1">
      <c r="A216" s="23" t="s">
        <v>549</v>
      </c>
      <c r="B216" s="60"/>
      <c r="C216" s="60"/>
      <c r="D216" s="60"/>
      <c r="E216" s="60"/>
      <c r="F216" s="60"/>
      <c r="G216" s="60"/>
      <c r="H216" s="60"/>
      <c r="I216" s="60"/>
      <c r="J216" s="60"/>
      <c r="K216" s="60"/>
      <c r="L216" s="60"/>
      <c r="M216" s="60"/>
      <c r="N216" s="60"/>
      <c r="O216" s="60"/>
      <c r="P216" s="65"/>
      <c r="Q216" s="60"/>
      <c r="R216" s="60"/>
      <c r="S216" s="60"/>
      <c r="T216" s="40"/>
      <c r="U216" s="60"/>
      <c r="V216" s="60"/>
      <c r="W216" s="60"/>
      <c r="X216" s="62"/>
      <c r="Y216" s="60"/>
      <c r="Z216" s="60"/>
      <c r="AA216" s="60"/>
      <c r="AB216" s="60"/>
      <c r="AC216" s="60"/>
      <c r="AD216" s="62"/>
      <c r="AE216" s="60"/>
      <c r="AF216" s="60"/>
      <c r="AG216" s="60"/>
      <c r="AH216" s="60"/>
      <c r="AI216" s="60"/>
      <c r="AJ216" s="62"/>
      <c r="AK216" s="62"/>
      <c r="AL216" s="62"/>
      <c r="AM216" s="62"/>
      <c r="AN216" s="62"/>
      <c r="AO216" s="62"/>
      <c r="AP216" s="62"/>
      <c r="AQ216" s="60"/>
      <c r="AR216" s="60"/>
      <c r="AS216" s="60"/>
      <c r="AT216" s="60"/>
      <c r="AU216" s="60"/>
      <c r="AV216" s="60"/>
      <c r="AW216" s="60"/>
      <c r="AX216" s="60"/>
      <c r="AY216" s="60"/>
    </row>
  </sheetData>
  <phoneticPr fontId="0" type="noConversion"/>
  <dataValidations count="1">
    <dataValidation type="custom" allowBlank="1" showInputMessage="1" showErrorMessage="1" sqref="AV94:AX94 AV95 J166:J171 F169:F171 D169:D171 J173:J176 AS166:AS176 AS159:AS163 AU159:AU163 AR162:AR163 AV158:AV163 V162:V164 J159:J164 F162:F164 AH162:AH163 D162:D164 AT158:AT163 F176 AW129:IV176 V176 AQ159:AQ163 AB164 AQ152:AQ156 AS152:AS156 AU152:AU156 AR155:AR156 AV151:AV156 V155:V157 J152:J157 F155:F157 AH155:AH156 D155:D157 AB157 AQ166:AQ176 AT151:AT156 AT144:AT149 AQ145:AQ149 AS145:AS149 AU145:AU149 AR148:AR149 AV144:AV149 V148:V150 J145:J150 F148:F150 AH148:AH149 AB150 D148:D150 AT137:AT142 AQ138:AQ142 AS138:AS142 AU138:AU142 AR141:AR142 AV137:AV142 V141:V143 J138:J143 D141:D143 F141:F143 AH141:AH142 AT165:AT176 AB143 AB136 D176 T170:T175 V169:V171 AV165:AV176 AT130:AT135 AC82:AG127 AH134:AH135 F134:F136 D134:D136 J131:J136 V134:V136 AV130:AV135 AB129 AR134:AR135 AU131:AU135 AS131:AS135 AR169:AR176 AQ131:AQ135 K82:U127 F129 D129 J129 V129 AU166:AU176 AT123:AT127 AH127 F127 D127 B121 J124:J127 V127 AV123:AV127 AR127 AB121:AB122 AU124:AU127 AS124:AS127 E82:E127 AQ124:AQ127 AQ117:AQ120 AT116:AT120 AH120:AH121 AN5:AO8 H110:H127 F120:F122 D120:D122 B114 J117:J122 V120:V122 AV116:AV120 AU110:AU113 AR120 AS110:AS113 AQ110:AQ113 AT109:AT113 AH113:AH114 AB113:AB115 F113:F115 D113:D115 J110:J115 B107 V113:V115 AV109:AV113 AT94:AT98 AU117:AU120 AU103:AU106 AR106 AQ96:AS98 AS103:AS106 AU96:AV98 AQ103:AQ106 C82:C127 AR82:AX84 AQ88:AX91 AQ78:AQ84 AT102:AT106 AP93 AP85 AS93:AX93 AS85:AX85 AS117:AS120 AW95:AX127 AH92:AH93 AH85:AH86 AH99:AH100 AH106:AH107 H103:H108 AB106:AB108 F106:F108 D106:D108 J103:J108 V106:V108 B100 J89:J94 J82:J87 H96:H101 AY82:IV127 AB85:AB87 AI82:AI127 V92:V94 V85:V87 AB99:AB101 AB92:AB94 AR113 H85:H87 F85:F87 A82:A127 F92:F94 D85:D87 I82:I127 F99:F101 D92:D94 H92:H94 AV102:AV106 D99:D101 W82:AA127 J96:J101 B86 G82:G127 V99:V101 B93 AH169:AH171 AH176 K170:S176 K129:T169 A129:A176 W129:AA176 AI129:AI176 C129:C176 E129:E176 U129:U176 G129:I176 AC129:AG176 J178 F178 D178 F183:F185 V183:V185 D183:D185 AH183:AH185 T178:T182 V178 AH178 D212 AH211:AH212 J180:J185 T185:T189 AH190:AH192 D190:D192 V190:V192 F190:F192 T192:T196 J187:J192 F212 AH197:AH199 D197:D199 V197:V199 F197:F199 T199:T203 G178:I212 J194:J212 W178:AA212 U178:U212 AI178:AI212 K178:S212 T206:T210 E178:E212 C178:C212 A178:A212 AQ178:IV212 AH204:AH206 V204:V206 V211:V212 D205:D206 F205:F206 AC178:AG212">
      <formula1>-1</formula1>
    </dataValidation>
  </dataValidations>
  <printOptions horizontalCentered="1"/>
  <pageMargins left="0.25" right="0.25" top="0.5" bottom="0" header="0.5" footer="0.5"/>
  <pageSetup scale="56" orientation="landscape" r:id="rId1"/>
  <headerFooter alignWithMargins="0">
    <oddFooter>&amp;R&amp;8&amp;D/&amp;T
&amp;F/&amp;A</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DG23"/>
  <sheetViews>
    <sheetView showGridLines="0" zoomScaleNormal="100" workbookViewId="0"/>
  </sheetViews>
  <sheetFormatPr defaultRowHeight="12.75" outlineLevelCol="1"/>
  <cols>
    <col min="1" max="1" width="21.5703125" customWidth="1"/>
    <col min="3" max="3" width="10.28515625" hidden="1" customWidth="1" outlineLevel="1"/>
    <col min="4" max="4" width="9.28515625" bestFit="1" customWidth="1" collapsed="1"/>
    <col min="6" max="6" width="2.7109375" customWidth="1"/>
    <col min="7" max="8" width="9.140625" hidden="1" customWidth="1" outlineLevel="1"/>
    <col min="9" max="9" width="9.28515625" hidden="1" customWidth="1" outlineLevel="1"/>
    <col min="10" max="10" width="9.140625" hidden="1" customWidth="1" outlineLevel="1"/>
    <col min="11" max="11" width="9.140625" customWidth="1" collapsed="1"/>
  </cols>
  <sheetData>
    <row r="1" spans="1:111">
      <c r="A1" s="215" t="str">
        <f>sumry!A1&amp;" Total Company"</f>
        <v>L Brands Inc. Total Company</v>
      </c>
      <c r="B1" s="215"/>
      <c r="C1" s="216"/>
      <c r="D1" s="215"/>
      <c r="E1" s="215"/>
      <c r="F1" s="215"/>
      <c r="G1" s="217"/>
      <c r="H1" s="215"/>
      <c r="I1" s="215"/>
      <c r="J1" s="215"/>
      <c r="K1" s="215"/>
      <c r="L1" s="217"/>
      <c r="M1" s="218"/>
      <c r="N1" s="218"/>
      <c r="O1" s="217"/>
      <c r="P1" s="215"/>
      <c r="Q1" s="215"/>
      <c r="R1" s="215"/>
      <c r="S1" s="215"/>
      <c r="T1" s="217"/>
      <c r="U1" s="218"/>
      <c r="V1" s="218"/>
      <c r="W1" s="217"/>
      <c r="X1" s="215"/>
      <c r="Y1" s="215"/>
      <c r="Z1" s="215"/>
      <c r="AA1" s="215"/>
      <c r="AB1" s="217"/>
      <c r="AC1" s="218"/>
      <c r="AD1" s="218"/>
      <c r="AE1" s="217"/>
      <c r="AF1" s="215"/>
      <c r="AG1" s="215"/>
      <c r="AH1" s="215"/>
      <c r="AI1" s="215"/>
      <c r="AJ1" s="217"/>
      <c r="AK1" s="218"/>
      <c r="AL1" s="218"/>
      <c r="AM1" s="217"/>
      <c r="AN1" s="215"/>
      <c r="AO1" s="215"/>
      <c r="AP1" s="215"/>
      <c r="AQ1" s="215"/>
      <c r="AR1" s="217"/>
      <c r="AS1" s="218"/>
      <c r="AT1" s="218"/>
      <c r="AU1" s="217"/>
      <c r="AV1" s="215"/>
      <c r="AW1" s="215"/>
      <c r="AX1" s="215"/>
      <c r="AY1" s="215"/>
      <c r="AZ1" s="217"/>
      <c r="BA1" s="218"/>
      <c r="BB1" s="218"/>
      <c r="BC1" s="217"/>
      <c r="BD1" s="215"/>
      <c r="BE1" s="215"/>
      <c r="BF1" s="215"/>
      <c r="BG1" s="215"/>
      <c r="BH1" s="217"/>
      <c r="BI1" s="218"/>
      <c r="BJ1" s="218"/>
      <c r="BK1" s="217"/>
      <c r="BL1" s="215"/>
      <c r="BM1" s="215"/>
      <c r="BN1" s="215"/>
      <c r="BO1" s="215"/>
      <c r="BP1" s="217"/>
      <c r="BQ1" s="218"/>
      <c r="BR1" s="218"/>
      <c r="BS1" s="217"/>
      <c r="BT1" s="215"/>
      <c r="BU1" s="215"/>
      <c r="BV1" s="215"/>
      <c r="BW1" s="215"/>
      <c r="BX1" s="217"/>
      <c r="BY1" s="218"/>
      <c r="BZ1" s="218"/>
      <c r="CA1" s="217"/>
      <c r="CB1" s="215"/>
      <c r="CC1" s="215"/>
      <c r="CD1" s="215"/>
      <c r="CE1" s="215"/>
      <c r="CF1" s="217"/>
      <c r="CG1" s="218"/>
      <c r="CH1" s="218"/>
      <c r="CI1" s="217"/>
      <c r="CJ1" s="215"/>
      <c r="CK1" s="215"/>
      <c r="CL1" s="215"/>
      <c r="CM1" s="215"/>
      <c r="CN1" s="217"/>
      <c r="CO1" s="218"/>
      <c r="CP1" s="218"/>
      <c r="CQ1" s="217"/>
      <c r="CR1" s="215"/>
      <c r="CS1" s="215"/>
      <c r="CT1" s="215"/>
      <c r="CU1" s="215"/>
      <c r="CV1" s="217"/>
      <c r="CW1" s="218"/>
      <c r="CX1" s="218"/>
      <c r="CY1" s="217"/>
      <c r="CZ1" s="215"/>
      <c r="DA1" s="215"/>
      <c r="DB1" s="215"/>
      <c r="DC1" s="215"/>
      <c r="DD1" s="217"/>
      <c r="DE1" s="218"/>
      <c r="DF1" s="218"/>
      <c r="DG1" s="217"/>
    </row>
    <row r="2" spans="1:111">
      <c r="A2" s="220" t="s">
        <v>202</v>
      </c>
      <c r="B2" s="220"/>
      <c r="C2" s="221"/>
      <c r="D2" s="220"/>
      <c r="E2" s="220"/>
      <c r="F2" s="220"/>
      <c r="G2" s="222"/>
      <c r="H2" s="220"/>
      <c r="I2" s="220"/>
      <c r="J2" s="220"/>
      <c r="K2" s="220"/>
      <c r="L2" s="222"/>
      <c r="M2" s="220"/>
      <c r="N2" s="220"/>
      <c r="O2" s="222"/>
      <c r="P2" s="220"/>
      <c r="Q2" s="220"/>
      <c r="R2" s="220"/>
      <c r="S2" s="220"/>
      <c r="T2" s="222"/>
      <c r="U2" s="220"/>
      <c r="V2" s="220"/>
      <c r="W2" s="222"/>
      <c r="X2" s="220"/>
      <c r="Y2" s="220"/>
      <c r="Z2" s="220"/>
      <c r="AA2" s="220"/>
      <c r="AB2" s="222"/>
      <c r="AC2" s="220"/>
      <c r="AD2" s="220"/>
      <c r="AE2" s="222"/>
      <c r="AF2" s="220"/>
      <c r="AG2" s="220"/>
      <c r="AH2" s="220"/>
      <c r="AI2" s="220"/>
      <c r="AJ2" s="222"/>
      <c r="AK2" s="220"/>
      <c r="AL2" s="220"/>
      <c r="AM2" s="222"/>
      <c r="AN2" s="220"/>
      <c r="AO2" s="220"/>
      <c r="AP2" s="220"/>
      <c r="AQ2" s="220"/>
      <c r="AR2" s="222"/>
      <c r="AS2" s="220"/>
      <c r="AT2" s="220"/>
      <c r="AU2" s="222"/>
      <c r="AV2" s="220"/>
      <c r="AW2" s="220"/>
      <c r="AX2" s="220"/>
      <c r="AY2" s="220"/>
      <c r="AZ2" s="222"/>
      <c r="BA2" s="220"/>
      <c r="BB2" s="220"/>
      <c r="BC2" s="222"/>
      <c r="BD2" s="220"/>
      <c r="BE2" s="220"/>
      <c r="BF2" s="220"/>
      <c r="BG2" s="220"/>
      <c r="BH2" s="222"/>
      <c r="BI2" s="220"/>
      <c r="BJ2" s="220"/>
      <c r="BK2" s="222"/>
      <c r="BL2" s="220"/>
      <c r="BM2" s="220"/>
      <c r="BN2" s="220"/>
      <c r="BO2" s="220"/>
      <c r="BP2" s="222"/>
      <c r="BQ2" s="220"/>
      <c r="BR2" s="220"/>
      <c r="BS2" s="222"/>
      <c r="BT2" s="220"/>
      <c r="BU2" s="220"/>
      <c r="BV2" s="220"/>
      <c r="BW2" s="220"/>
      <c r="BX2" s="222"/>
      <c r="BY2" s="220"/>
      <c r="BZ2" s="220"/>
      <c r="CA2" s="222"/>
      <c r="CB2" s="220"/>
      <c r="CC2" s="220"/>
      <c r="CD2" s="220"/>
      <c r="CE2" s="220"/>
      <c r="CF2" s="222"/>
      <c r="CG2" s="220"/>
      <c r="CH2" s="220"/>
      <c r="CI2" s="222"/>
      <c r="CJ2" s="220"/>
      <c r="CK2" s="220"/>
      <c r="CL2" s="220"/>
      <c r="CM2" s="220"/>
      <c r="CN2" s="222"/>
      <c r="CO2" s="220"/>
      <c r="CP2" s="220"/>
      <c r="CQ2" s="222"/>
      <c r="CR2" s="220"/>
      <c r="CS2" s="220"/>
      <c r="CT2" s="220"/>
      <c r="CU2" s="220"/>
      <c r="CV2" s="222"/>
      <c r="CW2" s="220"/>
      <c r="CX2" s="220"/>
      <c r="CY2" s="222"/>
      <c r="CZ2" s="220"/>
      <c r="DA2" s="220"/>
      <c r="DB2" s="220"/>
      <c r="DC2" s="220"/>
      <c r="DD2" s="222"/>
      <c r="DE2" s="220"/>
      <c r="DF2" s="220"/>
      <c r="DG2" s="222"/>
    </row>
    <row r="3" spans="1:111">
      <c r="A3" s="218"/>
      <c r="B3" s="218"/>
      <c r="C3" s="973"/>
      <c r="D3" s="218"/>
      <c r="E3" s="218"/>
      <c r="F3" s="218"/>
      <c r="G3" s="219"/>
      <c r="H3" s="218"/>
      <c r="I3" s="218"/>
      <c r="J3" s="218"/>
      <c r="K3" s="218"/>
      <c r="L3" s="219"/>
      <c r="M3" s="218"/>
      <c r="N3" s="218"/>
      <c r="O3" s="219"/>
      <c r="P3" s="218"/>
      <c r="Q3" s="218"/>
      <c r="R3" s="218"/>
      <c r="S3" s="218"/>
      <c r="T3" s="219"/>
      <c r="U3" s="218"/>
      <c r="V3" s="218"/>
      <c r="W3" s="219"/>
      <c r="X3" s="218"/>
      <c r="Y3" s="218"/>
      <c r="Z3" s="218"/>
      <c r="AA3" s="218"/>
      <c r="AB3" s="219"/>
      <c r="AC3" s="218"/>
      <c r="AD3" s="218"/>
      <c r="AE3" s="219"/>
      <c r="AF3" s="218"/>
      <c r="AG3" s="218"/>
      <c r="AH3" s="218"/>
      <c r="AI3" s="218"/>
      <c r="AJ3" s="219"/>
      <c r="AK3" s="218"/>
      <c r="AL3" s="218"/>
      <c r="AM3" s="219"/>
      <c r="AN3" s="218"/>
      <c r="AO3" s="218"/>
      <c r="AP3" s="218"/>
      <c r="AQ3" s="218"/>
      <c r="AR3" s="219"/>
      <c r="AS3" s="218"/>
      <c r="AT3" s="218"/>
      <c r="AU3" s="219"/>
      <c r="AV3" s="218"/>
      <c r="AW3" s="218"/>
      <c r="AX3" s="218"/>
      <c r="AY3" s="218"/>
      <c r="AZ3" s="219"/>
      <c r="BA3" s="218"/>
      <c r="BB3" s="218"/>
      <c r="BC3" s="219"/>
      <c r="BD3" s="218"/>
      <c r="BE3" s="218"/>
      <c r="BF3" s="218"/>
      <c r="BG3" s="218"/>
      <c r="BH3" s="219"/>
      <c r="BI3" s="218"/>
      <c r="BJ3" s="218"/>
      <c r="BK3" s="219"/>
      <c r="BL3" s="218"/>
      <c r="BM3" s="218"/>
      <c r="BN3" s="218"/>
      <c r="BO3" s="218"/>
      <c r="BP3" s="219"/>
      <c r="BQ3" s="218"/>
      <c r="BR3" s="218"/>
      <c r="BS3" s="219"/>
      <c r="BT3" s="218"/>
      <c r="BU3" s="218"/>
      <c r="BV3" s="218"/>
      <c r="BW3" s="218"/>
      <c r="BX3" s="219"/>
      <c r="BY3" s="218"/>
      <c r="BZ3" s="218"/>
      <c r="CA3" s="219"/>
      <c r="CB3" s="218"/>
      <c r="CC3" s="218"/>
      <c r="CD3" s="218"/>
      <c r="CE3" s="218"/>
      <c r="CF3" s="219"/>
      <c r="CG3" s="218"/>
      <c r="CH3" s="218"/>
      <c r="CI3" s="219"/>
      <c r="CJ3" s="218"/>
      <c r="CK3" s="218"/>
      <c r="CL3" s="218"/>
      <c r="CM3" s="218"/>
      <c r="CN3" s="219"/>
      <c r="CO3" s="218"/>
      <c r="CP3" s="218"/>
      <c r="CQ3" s="219"/>
      <c r="CR3" s="218"/>
      <c r="CS3" s="218"/>
      <c r="CT3" s="218"/>
      <c r="CU3" s="218"/>
      <c r="CV3" s="219"/>
      <c r="CW3" s="218"/>
      <c r="CX3" s="218"/>
      <c r="CY3" s="219"/>
      <c r="CZ3" s="218"/>
      <c r="DA3" s="218"/>
      <c r="DB3" s="218"/>
      <c r="DC3" s="218"/>
      <c r="DD3" s="219"/>
      <c r="DE3" s="218"/>
      <c r="DF3" s="218"/>
      <c r="DG3" s="219"/>
    </row>
    <row r="4" spans="1:111">
      <c r="A4" s="218"/>
      <c r="B4" s="218"/>
      <c r="C4" t="s">
        <v>55</v>
      </c>
      <c r="D4" s="218" t="s">
        <v>213</v>
      </c>
      <c r="E4" s="218"/>
      <c r="F4" s="218"/>
      <c r="G4" s="982" t="s">
        <v>215</v>
      </c>
      <c r="H4" s="983"/>
      <c r="I4" s="983"/>
      <c r="J4" s="983"/>
      <c r="K4" s="983"/>
      <c r="L4" s="982"/>
      <c r="M4" s="983"/>
      <c r="N4" s="983"/>
      <c r="O4" s="982"/>
      <c r="P4" s="983"/>
      <c r="Q4" s="983"/>
      <c r="R4" s="983"/>
      <c r="S4" s="983"/>
      <c r="T4" s="982"/>
      <c r="U4" s="218"/>
      <c r="V4" s="218"/>
      <c r="W4" s="219"/>
      <c r="X4" s="218"/>
      <c r="Y4" s="218"/>
      <c r="Z4" s="218"/>
      <c r="AA4" s="218"/>
      <c r="AB4" s="219"/>
      <c r="AC4" s="218"/>
      <c r="AD4" s="218"/>
      <c r="AE4" s="219"/>
      <c r="AF4" s="218"/>
      <c r="AG4" s="218"/>
      <c r="AH4" s="218"/>
      <c r="AI4" s="218"/>
      <c r="AJ4" s="219"/>
      <c r="AK4" s="218"/>
      <c r="AL4" s="218"/>
      <c r="AM4" s="219"/>
      <c r="AN4" s="218"/>
      <c r="AO4" s="218"/>
      <c r="AP4" s="218"/>
      <c r="AQ4" s="218"/>
      <c r="AR4" s="219"/>
      <c r="AS4" s="218"/>
      <c r="AT4" s="218"/>
      <c r="AU4" s="219"/>
      <c r="AV4" s="218"/>
      <c r="AW4" s="218"/>
      <c r="AX4" s="218"/>
      <c r="AY4" s="218"/>
      <c r="AZ4" s="219"/>
      <c r="BA4" s="218"/>
      <c r="BB4" s="218"/>
      <c r="BC4" s="219"/>
      <c r="BD4" s="218"/>
      <c r="BE4" s="218"/>
      <c r="BF4" s="218"/>
      <c r="BG4" s="218"/>
      <c r="BH4" s="219"/>
      <c r="BI4" s="218"/>
      <c r="BJ4" s="218"/>
      <c r="BK4" s="219"/>
      <c r="BL4" s="218"/>
      <c r="BM4" s="218"/>
      <c r="BN4" s="218"/>
      <c r="BO4" s="218"/>
      <c r="BP4" s="219"/>
      <c r="BQ4" s="218"/>
      <c r="BR4" s="218"/>
      <c r="BS4" s="219"/>
      <c r="BT4" s="218"/>
      <c r="BU4" s="218"/>
      <c r="BV4" s="218"/>
      <c r="BW4" s="218"/>
      <c r="BX4" s="219"/>
      <c r="BY4" s="218"/>
      <c r="BZ4" s="218"/>
      <c r="CA4" s="219"/>
      <c r="CB4" s="218"/>
      <c r="CC4" s="218"/>
      <c r="CD4" s="218"/>
      <c r="CE4" s="218"/>
      <c r="CF4" s="219"/>
      <c r="CG4" s="218"/>
      <c r="CH4" s="218"/>
      <c r="CI4" s="219"/>
      <c r="CJ4" s="218"/>
      <c r="CK4" s="218"/>
      <c r="CL4" s="218"/>
      <c r="CM4" s="218"/>
      <c r="CN4" s="219"/>
      <c r="CO4" s="218"/>
      <c r="CP4" s="218"/>
      <c r="CQ4" s="219"/>
      <c r="CR4" s="218"/>
      <c r="CS4" s="218"/>
      <c r="CT4" s="218"/>
      <c r="CU4" s="218"/>
      <c r="CV4" s="219"/>
      <c r="CW4" s="218"/>
      <c r="CX4" s="218"/>
      <c r="CY4" s="219"/>
      <c r="CZ4" s="218"/>
      <c r="DA4" s="218"/>
      <c r="DB4" s="218"/>
      <c r="DC4" s="218"/>
      <c r="DD4" s="219"/>
      <c r="DE4" s="218"/>
      <c r="DF4" s="218"/>
      <c r="DG4" s="219"/>
    </row>
    <row r="5" spans="1:111">
      <c r="A5" s="95"/>
      <c r="B5" s="980" t="s">
        <v>211</v>
      </c>
      <c r="C5" s="980" t="s">
        <v>212</v>
      </c>
      <c r="D5" s="980" t="s">
        <v>214</v>
      </c>
      <c r="E5" s="981" t="s">
        <v>216</v>
      </c>
      <c r="F5" s="981"/>
      <c r="G5" s="26">
        <v>2012</v>
      </c>
      <c r="H5" s="26">
        <v>2013</v>
      </c>
      <c r="I5" s="26">
        <v>2014</v>
      </c>
      <c r="J5" s="26">
        <v>2015</v>
      </c>
      <c r="K5" s="26">
        <v>2016</v>
      </c>
      <c r="L5" s="26">
        <v>2017</v>
      </c>
      <c r="M5" s="26">
        <v>2018</v>
      </c>
      <c r="N5" s="26">
        <v>2019</v>
      </c>
      <c r="O5" s="26">
        <v>2020</v>
      </c>
      <c r="P5" s="26">
        <v>2021</v>
      </c>
      <c r="Q5" s="26">
        <v>2022</v>
      </c>
      <c r="R5" s="26">
        <v>2023</v>
      </c>
      <c r="S5" s="26">
        <v>2024</v>
      </c>
      <c r="T5" s="26">
        <v>2025</v>
      </c>
    </row>
    <row r="6" spans="1:111">
      <c r="A6" t="s">
        <v>203</v>
      </c>
    </row>
    <row r="7" spans="1:111">
      <c r="A7" t="s">
        <v>204</v>
      </c>
      <c r="B7" s="985">
        <v>1.7500000000000002E-2</v>
      </c>
    </row>
    <row r="8" spans="1:111">
      <c r="B8" s="985"/>
    </row>
    <row r="9" spans="1:111">
      <c r="A9" t="s">
        <v>205</v>
      </c>
      <c r="B9" s="2783">
        <v>7.0000000000000007E-2</v>
      </c>
      <c r="C9" s="978">
        <v>400</v>
      </c>
      <c r="D9" s="978">
        <v>400</v>
      </c>
      <c r="E9" s="2613" t="s">
        <v>816</v>
      </c>
      <c r="F9" s="974"/>
      <c r="G9" s="976">
        <f>$B9*$D9</f>
        <v>28.000000000000004</v>
      </c>
      <c r="H9" s="976">
        <f t="shared" ref="H9:O10" si="0">$B9*$D9</f>
        <v>28.000000000000004</v>
      </c>
      <c r="I9" s="976">
        <f t="shared" si="0"/>
        <v>28.000000000000004</v>
      </c>
      <c r="J9" s="976">
        <f t="shared" si="0"/>
        <v>28.000000000000004</v>
      </c>
      <c r="K9" s="976">
        <f t="shared" si="0"/>
        <v>28.000000000000004</v>
      </c>
      <c r="L9" s="976">
        <f t="shared" si="0"/>
        <v>28.000000000000004</v>
      </c>
      <c r="M9" s="976">
        <f t="shared" si="0"/>
        <v>28.000000000000004</v>
      </c>
      <c r="N9" s="976">
        <f t="shared" si="0"/>
        <v>28.000000000000004</v>
      </c>
      <c r="O9" s="976">
        <f>($B9*$D9)*(4/12)</f>
        <v>9.3333333333333339</v>
      </c>
      <c r="P9" s="976"/>
      <c r="Q9" s="976"/>
      <c r="R9" s="976"/>
      <c r="S9" s="976"/>
      <c r="T9" s="976"/>
    </row>
    <row r="10" spans="1:111">
      <c r="A10" t="s">
        <v>206</v>
      </c>
      <c r="B10" s="2783">
        <v>6.6250000000000003E-2</v>
      </c>
      <c r="C10" s="978">
        <v>1000</v>
      </c>
      <c r="D10" s="978">
        <v>1000</v>
      </c>
      <c r="E10" s="2782" t="s">
        <v>1378</v>
      </c>
      <c r="G10" s="976">
        <f t="shared" ref="G10:T13" si="1">$B10*$D10</f>
        <v>66.25</v>
      </c>
      <c r="H10" s="976">
        <f t="shared" si="0"/>
        <v>66.25</v>
      </c>
      <c r="I10" s="976">
        <f t="shared" si="0"/>
        <v>66.25</v>
      </c>
      <c r="J10" s="976">
        <f t="shared" si="0"/>
        <v>66.25</v>
      </c>
      <c r="K10" s="976">
        <f t="shared" si="0"/>
        <v>66.25</v>
      </c>
      <c r="L10" s="976">
        <f t="shared" si="0"/>
        <v>66.25</v>
      </c>
      <c r="M10" s="976">
        <f t="shared" si="0"/>
        <v>66.25</v>
      </c>
      <c r="N10" s="976">
        <f t="shared" si="0"/>
        <v>66.25</v>
      </c>
      <c r="O10" s="976">
        <f t="shared" si="0"/>
        <v>66.25</v>
      </c>
      <c r="P10" s="976">
        <f>$B10*$D10*3/12</f>
        <v>16.5625</v>
      </c>
      <c r="Q10" s="976"/>
      <c r="R10" s="976"/>
      <c r="S10" s="976"/>
      <c r="T10" s="976"/>
    </row>
    <row r="11" spans="1:111">
      <c r="A11" s="988" t="s">
        <v>1376</v>
      </c>
      <c r="B11" s="2783">
        <v>5.6250000000000001E-2</v>
      </c>
      <c r="C11" s="978">
        <v>1000</v>
      </c>
      <c r="D11" s="978">
        <v>1000</v>
      </c>
      <c r="E11" s="2781" t="s">
        <v>1377</v>
      </c>
      <c r="F11" s="974"/>
      <c r="G11" s="976">
        <f t="shared" si="1"/>
        <v>56.25</v>
      </c>
      <c r="H11" s="976">
        <f>$B11*$D11</f>
        <v>56.25</v>
      </c>
      <c r="I11" s="976">
        <f t="shared" si="1"/>
        <v>56.25</v>
      </c>
      <c r="J11" s="976">
        <f t="shared" si="1"/>
        <v>56.25</v>
      </c>
      <c r="K11" s="976">
        <f>$B11*$D11</f>
        <v>56.25</v>
      </c>
      <c r="L11" s="976">
        <f t="shared" si="1"/>
        <v>56.25</v>
      </c>
      <c r="M11" s="976">
        <f t="shared" si="1"/>
        <v>56.25</v>
      </c>
      <c r="N11" s="976">
        <f>$B11*$D11</f>
        <v>56.25</v>
      </c>
      <c r="O11" s="976">
        <f t="shared" si="1"/>
        <v>56.25</v>
      </c>
      <c r="P11" s="976">
        <f t="shared" si="1"/>
        <v>56.25</v>
      </c>
      <c r="Q11" s="976">
        <f>$B11*$D11*2/12</f>
        <v>9.375</v>
      </c>
      <c r="R11" s="976"/>
      <c r="S11" s="976"/>
      <c r="T11" s="976"/>
    </row>
    <row r="12" spans="1:111">
      <c r="A12" s="2612" t="s">
        <v>1267</v>
      </c>
      <c r="B12" s="2847">
        <v>5.6250000000000001E-2</v>
      </c>
      <c r="C12" s="2848">
        <v>500</v>
      </c>
      <c r="D12" s="2848">
        <v>500</v>
      </c>
      <c r="E12" s="2849" t="s">
        <v>1379</v>
      </c>
      <c r="F12" s="2850"/>
      <c r="G12" s="2851">
        <f t="shared" si="1"/>
        <v>28.125</v>
      </c>
      <c r="H12" s="2851">
        <f t="shared" si="1"/>
        <v>28.125</v>
      </c>
      <c r="I12" s="2851">
        <f t="shared" si="1"/>
        <v>28.125</v>
      </c>
      <c r="J12" s="2851">
        <f t="shared" si="1"/>
        <v>28.125</v>
      </c>
      <c r="K12" s="2851">
        <f>$B12*$D12</f>
        <v>28.125</v>
      </c>
      <c r="L12" s="2851">
        <f>$B12*$D12</f>
        <v>28.125</v>
      </c>
      <c r="M12" s="2851">
        <f t="shared" si="1"/>
        <v>28.125</v>
      </c>
      <c r="N12" s="2851">
        <f t="shared" si="1"/>
        <v>28.125</v>
      </c>
      <c r="O12" s="2851">
        <f t="shared" si="1"/>
        <v>28.125</v>
      </c>
      <c r="P12" s="2851">
        <f t="shared" si="1"/>
        <v>28.125</v>
      </c>
      <c r="Q12" s="2851">
        <f t="shared" si="1"/>
        <v>28.125</v>
      </c>
      <c r="R12" s="2851">
        <f>$B12*$D12*10/12</f>
        <v>23.4375</v>
      </c>
      <c r="S12" s="2851"/>
      <c r="T12" s="2851"/>
    </row>
    <row r="13" spans="1:111" s="2846" customFormat="1">
      <c r="A13" s="2852" t="s">
        <v>1413</v>
      </c>
      <c r="B13" s="2784">
        <v>5.2499999999999998E-2</v>
      </c>
      <c r="C13" s="95"/>
      <c r="D13" s="979">
        <v>500</v>
      </c>
      <c r="E13" s="2853" t="s">
        <v>1414</v>
      </c>
      <c r="F13" s="975"/>
      <c r="G13" s="977"/>
      <c r="H13" s="977"/>
      <c r="I13" s="977"/>
      <c r="J13" s="977"/>
      <c r="K13" s="977">
        <f>$B13*$D13</f>
        <v>26.25</v>
      </c>
      <c r="L13" s="977">
        <f t="shared" ref="L13" si="2">$B13*$D13</f>
        <v>26.25</v>
      </c>
      <c r="M13" s="977">
        <f t="shared" si="1"/>
        <v>26.25</v>
      </c>
      <c r="N13" s="977">
        <f t="shared" si="1"/>
        <v>26.25</v>
      </c>
      <c r="O13" s="977">
        <f t="shared" si="1"/>
        <v>26.25</v>
      </c>
      <c r="P13" s="977">
        <f t="shared" si="1"/>
        <v>26.25</v>
      </c>
      <c r="Q13" s="977">
        <f t="shared" si="1"/>
        <v>26.25</v>
      </c>
      <c r="R13" s="977">
        <f t="shared" si="1"/>
        <v>26.25</v>
      </c>
      <c r="S13" s="977">
        <f t="shared" si="1"/>
        <v>26.25</v>
      </c>
      <c r="T13" s="977">
        <f t="shared" si="1"/>
        <v>26.25</v>
      </c>
    </row>
    <row r="14" spans="1:111">
      <c r="A14" t="s">
        <v>207</v>
      </c>
      <c r="B14" s="2783">
        <f>M14/D14</f>
        <v>7.0646551724137932E-2</v>
      </c>
      <c r="C14" s="978">
        <f>SUM(C9:C12)</f>
        <v>2900</v>
      </c>
      <c r="D14" s="978">
        <f>SUM(D9:D12)</f>
        <v>2900</v>
      </c>
      <c r="G14" s="976">
        <f>SUM(G9:G12)</f>
        <v>178.625</v>
      </c>
      <c r="H14" s="976">
        <f>SUM(H9:H12)</f>
        <v>178.625</v>
      </c>
      <c r="I14" s="976">
        <f>SUM(I9:I12)</f>
        <v>178.625</v>
      </c>
      <c r="J14" s="976">
        <f>SUM(J9:J12)</f>
        <v>178.625</v>
      </c>
      <c r="K14" s="976">
        <f>SUM(K9:K13)</f>
        <v>204.875</v>
      </c>
      <c r="L14" s="976">
        <f t="shared" ref="L14:S14" si="3">SUM(L9:L13)</f>
        <v>204.875</v>
      </c>
      <c r="M14" s="976">
        <f>SUM(M9:M13)</f>
        <v>204.875</v>
      </c>
      <c r="N14" s="976">
        <f t="shared" si="3"/>
        <v>204.875</v>
      </c>
      <c r="O14" s="976">
        <f t="shared" si="3"/>
        <v>186.20833333333331</v>
      </c>
      <c r="P14" s="976">
        <f t="shared" si="3"/>
        <v>127.1875</v>
      </c>
      <c r="Q14" s="976">
        <f t="shared" si="3"/>
        <v>63.75</v>
      </c>
      <c r="R14" s="976">
        <f t="shared" si="3"/>
        <v>49.6875</v>
      </c>
      <c r="S14" s="976">
        <f t="shared" si="3"/>
        <v>26.25</v>
      </c>
      <c r="T14" s="976">
        <f>SUM(T9:T13)</f>
        <v>26.25</v>
      </c>
    </row>
    <row r="15" spans="1:111">
      <c r="B15" s="2783"/>
    </row>
    <row r="16" spans="1:111">
      <c r="A16" s="966" t="s">
        <v>208</v>
      </c>
      <c r="B16" s="2783">
        <v>6.9000000000000006E-2</v>
      </c>
      <c r="C16">
        <v>715</v>
      </c>
      <c r="D16">
        <v>700</v>
      </c>
      <c r="E16" s="2614" t="s">
        <v>813</v>
      </c>
      <c r="F16" s="974"/>
      <c r="G16" s="976">
        <f>$B16*$D16</f>
        <v>48.300000000000004</v>
      </c>
      <c r="H16" s="976">
        <f t="shared" ref="H16:T20" si="4">$B16*$D16</f>
        <v>48.300000000000004</v>
      </c>
      <c r="I16" s="976">
        <f t="shared" si="4"/>
        <v>48.300000000000004</v>
      </c>
      <c r="J16" s="976">
        <f t="shared" si="4"/>
        <v>48.300000000000004</v>
      </c>
      <c r="K16" s="976">
        <f>$B16*$D16*0.5</f>
        <v>24.150000000000002</v>
      </c>
      <c r="L16" s="976"/>
      <c r="M16" s="976"/>
      <c r="N16" s="976"/>
      <c r="O16" s="976"/>
      <c r="P16" s="976"/>
      <c r="Q16" s="976"/>
      <c r="R16" s="976"/>
      <c r="S16" s="976"/>
      <c r="T16" s="976"/>
    </row>
    <row r="17" spans="1:20">
      <c r="A17" t="s">
        <v>209</v>
      </c>
      <c r="B17" s="2783">
        <v>6.9500000000000006E-2</v>
      </c>
      <c r="C17" s="978">
        <v>350</v>
      </c>
      <c r="D17" s="978">
        <v>350</v>
      </c>
      <c r="E17" s="2613" t="s">
        <v>814</v>
      </c>
      <c r="F17" s="974"/>
      <c r="G17" s="976">
        <f>$B17*$D17</f>
        <v>24.325000000000003</v>
      </c>
      <c r="H17" s="976">
        <f t="shared" si="4"/>
        <v>24.325000000000003</v>
      </c>
      <c r="I17" s="976">
        <f t="shared" si="4"/>
        <v>24.325000000000003</v>
      </c>
      <c r="J17" s="976">
        <f>$B17*$D17</f>
        <v>24.325000000000003</v>
      </c>
      <c r="K17" s="976">
        <f t="shared" si="4"/>
        <v>24.325000000000003</v>
      </c>
      <c r="L17" s="976">
        <f t="shared" si="4"/>
        <v>24.325000000000003</v>
      </c>
      <c r="M17" s="976">
        <f t="shared" si="4"/>
        <v>24.325000000000003</v>
      </c>
      <c r="N17" s="976">
        <f t="shared" si="4"/>
        <v>24.325000000000003</v>
      </c>
      <c r="O17" s="976">
        <f t="shared" si="4"/>
        <v>24.325000000000003</v>
      </c>
      <c r="P17" s="976">
        <f t="shared" si="4"/>
        <v>24.325000000000003</v>
      </c>
      <c r="Q17" s="976">
        <f t="shared" si="4"/>
        <v>24.325000000000003</v>
      </c>
      <c r="R17" s="976">
        <f t="shared" si="4"/>
        <v>24.325000000000003</v>
      </c>
      <c r="S17" s="976">
        <f t="shared" si="4"/>
        <v>24.325000000000003</v>
      </c>
      <c r="T17" s="976">
        <f t="shared" si="4"/>
        <v>24.325000000000003</v>
      </c>
    </row>
    <row r="18" spans="1:20">
      <c r="A18" s="484" t="s">
        <v>1294</v>
      </c>
      <c r="B18" s="2783">
        <v>6.8750000000000006E-2</v>
      </c>
      <c r="C18" s="978">
        <v>1000</v>
      </c>
      <c r="D18" s="978">
        <v>1000</v>
      </c>
      <c r="E18" s="2781" t="s">
        <v>1375</v>
      </c>
      <c r="F18" s="974"/>
      <c r="G18" s="976"/>
      <c r="H18" s="976"/>
      <c r="I18" s="976"/>
      <c r="J18" s="976">
        <f>$B18*$D18*0.25</f>
        <v>17.1875</v>
      </c>
      <c r="K18" s="976">
        <f>$B18*$D18</f>
        <v>68.75</v>
      </c>
      <c r="L18" s="976">
        <f t="shared" si="4"/>
        <v>68.75</v>
      </c>
      <c r="M18" s="976">
        <f t="shared" si="4"/>
        <v>68.75</v>
      </c>
      <c r="N18" s="976">
        <f t="shared" si="4"/>
        <v>68.75</v>
      </c>
      <c r="O18" s="976">
        <f t="shared" si="4"/>
        <v>68.75</v>
      </c>
      <c r="P18" s="976">
        <f t="shared" si="4"/>
        <v>68.75</v>
      </c>
      <c r="Q18" s="976">
        <f t="shared" si="4"/>
        <v>68.75</v>
      </c>
      <c r="R18" s="976">
        <f t="shared" si="4"/>
        <v>68.75</v>
      </c>
      <c r="S18" s="976">
        <f t="shared" si="4"/>
        <v>68.75</v>
      </c>
      <c r="T18" s="976">
        <f t="shared" si="4"/>
        <v>68.75</v>
      </c>
    </row>
    <row r="19" spans="1:20">
      <c r="A19" s="484" t="s">
        <v>1311</v>
      </c>
      <c r="B19" s="2783">
        <v>6.7500000000000004E-2</v>
      </c>
      <c r="C19" s="978"/>
      <c r="D19" s="978">
        <v>700</v>
      </c>
      <c r="E19" s="2615" t="s">
        <v>1312</v>
      </c>
      <c r="F19" s="974"/>
      <c r="G19" s="976"/>
      <c r="H19" s="976"/>
      <c r="I19" s="976"/>
      <c r="J19" s="976"/>
      <c r="K19" s="976">
        <f>$B19*$D19*0.5</f>
        <v>23.625</v>
      </c>
      <c r="L19" s="976">
        <f t="shared" si="4"/>
        <v>47.25</v>
      </c>
      <c r="M19" s="976">
        <f t="shared" si="4"/>
        <v>47.25</v>
      </c>
      <c r="N19" s="976">
        <f t="shared" si="4"/>
        <v>47.25</v>
      </c>
      <c r="O19" s="976">
        <f t="shared" si="4"/>
        <v>47.25</v>
      </c>
      <c r="P19" s="976">
        <f t="shared" si="4"/>
        <v>47.25</v>
      </c>
      <c r="Q19" s="976">
        <f t="shared" si="4"/>
        <v>47.25</v>
      </c>
      <c r="R19" s="976">
        <f t="shared" si="4"/>
        <v>47.25</v>
      </c>
      <c r="S19" s="976">
        <f t="shared" si="4"/>
        <v>47.25</v>
      </c>
      <c r="T19" s="976">
        <f t="shared" si="4"/>
        <v>47.25</v>
      </c>
    </row>
    <row r="20" spans="1:20">
      <c r="A20" s="95" t="s">
        <v>210</v>
      </c>
      <c r="B20" s="2784">
        <v>7.5999999999999998E-2</v>
      </c>
      <c r="C20" s="979">
        <v>299</v>
      </c>
      <c r="D20" s="979">
        <v>300</v>
      </c>
      <c r="E20" s="2616" t="s">
        <v>815</v>
      </c>
      <c r="F20" s="975"/>
      <c r="G20" s="977">
        <f>$B20*$D20</f>
        <v>22.8</v>
      </c>
      <c r="H20" s="977">
        <f t="shared" si="4"/>
        <v>22.8</v>
      </c>
      <c r="I20" s="977">
        <f t="shared" si="4"/>
        <v>22.8</v>
      </c>
      <c r="J20" s="977">
        <f t="shared" si="4"/>
        <v>22.8</v>
      </c>
      <c r="K20" s="977">
        <f t="shared" si="4"/>
        <v>22.8</v>
      </c>
      <c r="L20" s="977">
        <f t="shared" si="4"/>
        <v>22.8</v>
      </c>
      <c r="M20" s="977">
        <f t="shared" si="4"/>
        <v>22.8</v>
      </c>
      <c r="N20" s="977">
        <f t="shared" si="4"/>
        <v>22.8</v>
      </c>
      <c r="O20" s="977">
        <f t="shared" si="4"/>
        <v>22.8</v>
      </c>
      <c r="P20" s="977">
        <f t="shared" si="4"/>
        <v>22.8</v>
      </c>
      <c r="Q20" s="977">
        <f t="shared" si="4"/>
        <v>22.8</v>
      </c>
      <c r="R20" s="977">
        <f t="shared" si="4"/>
        <v>22.8</v>
      </c>
      <c r="S20" s="977">
        <f t="shared" si="4"/>
        <v>22.8</v>
      </c>
      <c r="T20" s="977">
        <f t="shared" si="4"/>
        <v>22.8</v>
      </c>
    </row>
    <row r="21" spans="1:20">
      <c r="A21" t="s">
        <v>626</v>
      </c>
      <c r="B21" s="985">
        <f>G21/AVERAGE(C21:D21)</f>
        <v>3.5251200591060211E-2</v>
      </c>
      <c r="C21" s="978">
        <f>SUM(C16:C20)</f>
        <v>2364</v>
      </c>
      <c r="D21" s="978">
        <f>SUM(D16:D20)</f>
        <v>3050</v>
      </c>
      <c r="G21" s="976">
        <f t="shared" ref="G21:T21" si="5">SUM(G16:G20)</f>
        <v>95.424999999999997</v>
      </c>
      <c r="H21" s="976">
        <f t="shared" si="5"/>
        <v>95.424999999999997</v>
      </c>
      <c r="I21" s="976">
        <f t="shared" si="5"/>
        <v>95.424999999999997</v>
      </c>
      <c r="J21" s="976">
        <f t="shared" si="5"/>
        <v>112.6125</v>
      </c>
      <c r="K21" s="976">
        <f t="shared" si="5"/>
        <v>163.65000000000003</v>
      </c>
      <c r="L21" s="976">
        <f t="shared" si="5"/>
        <v>163.125</v>
      </c>
      <c r="M21" s="976">
        <f t="shared" si="5"/>
        <v>163.125</v>
      </c>
      <c r="N21" s="976">
        <f t="shared" si="5"/>
        <v>163.125</v>
      </c>
      <c r="O21" s="976">
        <f t="shared" si="5"/>
        <v>163.125</v>
      </c>
      <c r="P21" s="976">
        <f t="shared" si="5"/>
        <v>163.125</v>
      </c>
      <c r="Q21" s="976">
        <f t="shared" si="5"/>
        <v>163.125</v>
      </c>
      <c r="R21" s="976">
        <f t="shared" si="5"/>
        <v>163.125</v>
      </c>
      <c r="S21" s="976">
        <f t="shared" si="5"/>
        <v>163.125</v>
      </c>
      <c r="T21" s="976">
        <f t="shared" si="5"/>
        <v>163.125</v>
      </c>
    </row>
    <row r="23" spans="1:20">
      <c r="C23" s="986">
        <f>C21+C14</f>
        <v>5264</v>
      </c>
      <c r="D23" s="218" t="s">
        <v>817</v>
      </c>
      <c r="E23" s="25"/>
      <c r="F23" s="25"/>
      <c r="G23" s="984">
        <f t="shared" ref="G23:T23" si="6">G14+G21</f>
        <v>274.05</v>
      </c>
      <c r="H23" s="984">
        <f t="shared" si="6"/>
        <v>274.05</v>
      </c>
      <c r="I23" s="984">
        <f t="shared" si="6"/>
        <v>274.05</v>
      </c>
      <c r="J23" s="984">
        <f t="shared" si="6"/>
        <v>291.23750000000001</v>
      </c>
      <c r="K23" s="984">
        <f t="shared" si="6"/>
        <v>368.52500000000003</v>
      </c>
      <c r="L23" s="984">
        <f t="shared" si="6"/>
        <v>368</v>
      </c>
      <c r="M23" s="984">
        <f t="shared" si="6"/>
        <v>368</v>
      </c>
      <c r="N23" s="984">
        <f t="shared" si="6"/>
        <v>368</v>
      </c>
      <c r="O23" s="984">
        <f t="shared" si="6"/>
        <v>349.33333333333331</v>
      </c>
      <c r="P23" s="984">
        <f t="shared" si="6"/>
        <v>290.3125</v>
      </c>
      <c r="Q23" s="984">
        <f t="shared" si="6"/>
        <v>226.875</v>
      </c>
      <c r="R23" s="984">
        <f t="shared" si="6"/>
        <v>212.8125</v>
      </c>
      <c r="S23" s="984">
        <f t="shared" si="6"/>
        <v>189.375</v>
      </c>
      <c r="T23" s="984">
        <f t="shared" si="6"/>
        <v>189.375</v>
      </c>
    </row>
  </sheetData>
  <phoneticPr fontId="47" type="noConversion"/>
  <pageMargins left="0.75" right="0.75" top="1" bottom="1" header="0.5" footer="0.5"/>
  <pageSetup scale="64" orientation="landscape"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AM203"/>
  <sheetViews>
    <sheetView showGridLines="0" zoomScale="85" workbookViewId="0"/>
  </sheetViews>
  <sheetFormatPr defaultColWidth="6.7109375" defaultRowHeight="12.75" outlineLevelRow="1" outlineLevelCol="1"/>
  <cols>
    <col min="1" max="1" width="1" style="2449" customWidth="1"/>
    <col min="2" max="2" width="1.140625" style="2450" customWidth="1"/>
    <col min="3" max="4" width="13.42578125" style="2459" customWidth="1"/>
    <col min="5" max="5" width="13.28515625" style="2459" customWidth="1"/>
    <col min="6" max="6" width="12.42578125" style="2459" customWidth="1"/>
    <col min="7" max="7" width="9.42578125" style="2459" customWidth="1"/>
    <col min="8" max="8" width="9.5703125" style="2456" customWidth="1"/>
    <col min="9" max="9" width="12" style="2456" customWidth="1"/>
    <col min="10" max="19" width="9.5703125" style="2456" customWidth="1"/>
    <col min="20" max="23" width="9.5703125" style="2434" customWidth="1"/>
    <col min="24" max="26" width="6.7109375" style="2434" customWidth="1"/>
    <col min="27" max="27" width="46.5703125" customWidth="1" outlineLevel="1"/>
    <col min="28" max="28" width="6.7109375" customWidth="1" outlineLevel="1"/>
    <col min="29" max="29" width="32.85546875" customWidth="1" outlineLevel="1"/>
    <col min="30" max="32" width="6.7109375" customWidth="1" outlineLevel="1"/>
    <col min="33" max="35" width="6.7109375" style="2434"/>
    <col min="36" max="36" width="6.7109375" style="2435"/>
    <col min="37" max="16384" width="6.7109375" style="2434"/>
  </cols>
  <sheetData>
    <row r="1" spans="1:36" s="2426" customFormat="1" ht="45" customHeight="1" thickBot="1">
      <c r="A1" s="2419"/>
      <c r="B1" s="2420"/>
      <c r="C1" s="2421"/>
      <c r="D1" s="2422"/>
      <c r="E1" s="2422"/>
      <c r="F1" s="2421"/>
      <c r="G1" s="2421" t="s">
        <v>431</v>
      </c>
      <c r="H1" s="2423"/>
      <c r="I1" s="2423"/>
      <c r="J1" s="2423"/>
      <c r="K1" s="2423"/>
      <c r="L1" s="2423"/>
      <c r="M1" s="2423"/>
      <c r="N1" s="2424"/>
      <c r="O1" s="2423"/>
      <c r="P1" s="2423"/>
      <c r="Q1" s="2423"/>
      <c r="R1" s="2423"/>
      <c r="S1" s="2423"/>
      <c r="T1" s="2422"/>
      <c r="U1" s="2422"/>
      <c r="V1" s="2422"/>
      <c r="W1" s="2425"/>
      <c r="AA1"/>
      <c r="AB1"/>
      <c r="AC1"/>
      <c r="AD1"/>
      <c r="AE1"/>
      <c r="AF1"/>
      <c r="AJ1" s="2427"/>
    </row>
    <row r="2" spans="1:36" ht="32.25" customHeight="1" thickBot="1">
      <c r="A2" s="2428"/>
      <c r="B2" s="2429"/>
      <c r="C2" s="2430"/>
      <c r="D2" s="2430"/>
      <c r="E2" s="2430"/>
      <c r="F2" s="2430"/>
      <c r="G2" s="2430"/>
      <c r="H2" s="2431"/>
      <c r="I2" s="2431"/>
      <c r="J2" s="2431"/>
      <c r="K2" s="2431"/>
      <c r="L2" s="2431"/>
      <c r="M2" s="2431"/>
      <c r="N2" s="2432"/>
      <c r="O2" s="2432"/>
      <c r="P2" s="2432" t="s">
        <v>413</v>
      </c>
      <c r="Q2" s="2432"/>
      <c r="R2" s="2431"/>
      <c r="S2" s="2431"/>
      <c r="T2" s="2433"/>
      <c r="U2" s="2433"/>
      <c r="V2" s="2433"/>
      <c r="W2" s="2433"/>
    </row>
    <row r="3" spans="1:36" s="2442" customFormat="1" ht="15.75" customHeight="1" thickBot="1">
      <c r="A3" s="2436"/>
      <c r="B3" s="2437"/>
      <c r="C3" s="2438"/>
      <c r="D3" s="2438"/>
      <c r="E3" s="2438"/>
      <c r="F3" s="2438"/>
      <c r="G3" s="2438"/>
      <c r="H3" s="2439"/>
      <c r="I3" s="2440" t="s">
        <v>742</v>
      </c>
      <c r="J3" s="2441" t="s">
        <v>413</v>
      </c>
      <c r="L3" s="2443"/>
      <c r="M3" s="2444"/>
      <c r="N3" s="2445"/>
      <c r="O3" s="2446"/>
      <c r="P3" s="2447"/>
      <c r="Q3" s="2439"/>
      <c r="R3" s="2439"/>
      <c r="S3" s="2439"/>
      <c r="AA3"/>
      <c r="AB3"/>
      <c r="AC3"/>
      <c r="AD3"/>
      <c r="AE3"/>
      <c r="AF3"/>
      <c r="AJ3" s="2448"/>
    </row>
    <row r="4" spans="1:36" ht="15.75" customHeight="1">
      <c r="C4" s="2451" t="str">
        <f>_xll.ThomsonONEAddinShim.SpreadsheetFormulas.TF($F$4,"TextAv(TF.CompanyName(sdate=0D),-)")</f>
        <v>L Brands Inc</v>
      </c>
      <c r="D4" s="2452"/>
      <c r="E4" s="2438"/>
      <c r="F4" s="2453" t="s">
        <v>302</v>
      </c>
      <c r="G4" s="2454"/>
      <c r="H4" s="2455" t="str">
        <f>MONTH(I4)&amp;"/"&amp;YEAR(I4)</f>
        <v>1/2017</v>
      </c>
      <c r="I4" s="2455">
        <f>_xll.ThomsonONEAddinShim.SpreadsheetFormulas.TF($F$4,"TF.FN.FiscalYearEndDate(period=FY0)")</f>
        <v>42763</v>
      </c>
      <c r="K4" s="2439"/>
      <c r="AJ4" s="2435" t="s">
        <v>347</v>
      </c>
    </row>
    <row r="5" spans="1:36" ht="15.75" customHeight="1">
      <c r="C5" s="2457" t="s">
        <v>433</v>
      </c>
      <c r="D5" s="2458"/>
      <c r="F5" s="2460">
        <f>H8</f>
        <v>2009</v>
      </c>
      <c r="H5" s="2461" t="str">
        <f t="shared" ref="H5:P5" si="0">"FY"&amp;H7</f>
        <v>FY-8</v>
      </c>
      <c r="I5" s="2461" t="str">
        <f t="shared" si="0"/>
        <v>FY-7</v>
      </c>
      <c r="J5" s="2461" t="str">
        <f t="shared" si="0"/>
        <v>FY-6</v>
      </c>
      <c r="K5" s="2461" t="str">
        <f t="shared" si="0"/>
        <v>FY-5</v>
      </c>
      <c r="L5" s="2461" t="str">
        <f t="shared" si="0"/>
        <v>FY-4</v>
      </c>
      <c r="M5" s="2461" t="str">
        <f t="shared" si="0"/>
        <v>FY-3</v>
      </c>
      <c r="N5" s="2461" t="str">
        <f t="shared" si="0"/>
        <v>FY-2</v>
      </c>
      <c r="O5" s="2461" t="str">
        <f t="shared" si="0"/>
        <v>FY-1</v>
      </c>
      <c r="P5" s="2461" t="str">
        <f t="shared" si="0"/>
        <v>FY0</v>
      </c>
      <c r="AJ5" s="2462"/>
    </row>
    <row r="6" spans="1:36" customFormat="1" ht="13.5" customHeight="1"/>
    <row r="7" spans="1:36">
      <c r="C7" s="2464"/>
      <c r="H7" s="2465">
        <f t="shared" ref="H7:O7" si="1">I7-1</f>
        <v>-8</v>
      </c>
      <c r="I7" s="2465">
        <f t="shared" si="1"/>
        <v>-7</v>
      </c>
      <c r="J7" s="2465">
        <f t="shared" si="1"/>
        <v>-6</v>
      </c>
      <c r="K7" s="2465">
        <f t="shared" si="1"/>
        <v>-5</v>
      </c>
      <c r="L7" s="2465">
        <f t="shared" si="1"/>
        <v>-4</v>
      </c>
      <c r="M7" s="2465">
        <f t="shared" si="1"/>
        <v>-3</v>
      </c>
      <c r="N7" s="2465">
        <f t="shared" si="1"/>
        <v>-2</v>
      </c>
      <c r="O7" s="2465">
        <f t="shared" si="1"/>
        <v>-1</v>
      </c>
      <c r="P7" s="2465">
        <v>0</v>
      </c>
      <c r="Q7" s="2465">
        <f t="shared" ref="Q7:W7" si="2">P7+1</f>
        <v>1</v>
      </c>
      <c r="R7" s="2465">
        <f t="shared" si="2"/>
        <v>2</v>
      </c>
      <c r="S7" s="2465">
        <f t="shared" si="2"/>
        <v>3</v>
      </c>
      <c r="T7" s="2465">
        <f t="shared" si="2"/>
        <v>4</v>
      </c>
      <c r="U7" s="2465">
        <f t="shared" si="2"/>
        <v>5</v>
      </c>
      <c r="V7" s="2465">
        <f t="shared" si="2"/>
        <v>6</v>
      </c>
      <c r="W7" s="2465">
        <f t="shared" si="2"/>
        <v>7</v>
      </c>
    </row>
    <row r="8" spans="1:36" s="2450" customFormat="1" outlineLevel="1">
      <c r="A8" s="2466"/>
      <c r="C8" s="2463"/>
      <c r="D8" s="2463"/>
      <c r="E8" s="2463"/>
      <c r="F8" s="2463"/>
      <c r="G8" s="2463"/>
      <c r="H8" s="2467">
        <f t="shared" ref="H8:W8" si="3">YEAR(H9)</f>
        <v>2009</v>
      </c>
      <c r="I8" s="2467">
        <f t="shared" si="3"/>
        <v>2010</v>
      </c>
      <c r="J8" s="2467">
        <f t="shared" si="3"/>
        <v>2011</v>
      </c>
      <c r="K8" s="2467">
        <f t="shared" si="3"/>
        <v>2012</v>
      </c>
      <c r="L8" s="2467">
        <f t="shared" si="3"/>
        <v>2013</v>
      </c>
      <c r="M8" s="2467">
        <f t="shared" si="3"/>
        <v>2014</v>
      </c>
      <c r="N8" s="2467">
        <f t="shared" si="3"/>
        <v>2015</v>
      </c>
      <c r="O8" s="2467">
        <f t="shared" si="3"/>
        <v>2016</v>
      </c>
      <c r="P8" s="2467">
        <f t="shared" si="3"/>
        <v>2017</v>
      </c>
      <c r="Q8" s="2467">
        <f t="shared" si="3"/>
        <v>2018</v>
      </c>
      <c r="R8" s="2467">
        <f t="shared" si="3"/>
        <v>2019</v>
      </c>
      <c r="S8" s="2467">
        <f t="shared" si="3"/>
        <v>2020</v>
      </c>
      <c r="T8" s="2467">
        <f t="shared" si="3"/>
        <v>2021</v>
      </c>
      <c r="U8" s="2467">
        <f t="shared" si="3"/>
        <v>2022</v>
      </c>
      <c r="V8" s="2467">
        <f t="shared" si="3"/>
        <v>2023</v>
      </c>
      <c r="W8" s="2467">
        <f t="shared" si="3"/>
        <v>2024</v>
      </c>
      <c r="AA8"/>
      <c r="AB8"/>
      <c r="AC8"/>
      <c r="AD8"/>
      <c r="AE8"/>
      <c r="AF8"/>
      <c r="AJ8" s="2435"/>
    </row>
    <row r="9" spans="1:36" ht="14.25" customHeight="1">
      <c r="C9" s="2468" t="s">
        <v>1206</v>
      </c>
      <c r="D9" s="2469"/>
      <c r="E9" s="2469"/>
      <c r="F9" s="2469"/>
      <c r="G9" s="2469"/>
      <c r="H9" s="2470">
        <f>DATE(YEAR($I$4)+H7,MONTH($I$4),DAY($I$4))</f>
        <v>39841</v>
      </c>
      <c r="I9" s="2470">
        <f t="shared" ref="I9:W9" si="4">DATE(YEAR($I$4)+I7,MONTH($I$4),DAY($I$4))</f>
        <v>40206</v>
      </c>
      <c r="J9" s="2470">
        <f t="shared" si="4"/>
        <v>40571</v>
      </c>
      <c r="K9" s="2470">
        <f t="shared" si="4"/>
        <v>40936</v>
      </c>
      <c r="L9" s="2470">
        <f t="shared" si="4"/>
        <v>41302</v>
      </c>
      <c r="M9" s="2470">
        <f t="shared" si="4"/>
        <v>41667</v>
      </c>
      <c r="N9" s="2470">
        <f t="shared" si="4"/>
        <v>42032</v>
      </c>
      <c r="O9" s="2470">
        <f t="shared" si="4"/>
        <v>42397</v>
      </c>
      <c r="P9" s="2470">
        <f t="shared" si="4"/>
        <v>42763</v>
      </c>
      <c r="Q9" s="2470">
        <f t="shared" si="4"/>
        <v>43128</v>
      </c>
      <c r="R9" s="2470">
        <f t="shared" si="4"/>
        <v>43493</v>
      </c>
      <c r="S9" s="2470">
        <f t="shared" si="4"/>
        <v>43858</v>
      </c>
      <c r="T9" s="2470">
        <f t="shared" si="4"/>
        <v>44224</v>
      </c>
      <c r="U9" s="2470">
        <f t="shared" si="4"/>
        <v>44589</v>
      </c>
      <c r="V9" s="2470">
        <f t="shared" si="4"/>
        <v>44954</v>
      </c>
      <c r="W9" s="2470">
        <f t="shared" si="4"/>
        <v>45319</v>
      </c>
    </row>
    <row r="10" spans="1:36">
      <c r="C10" s="2471"/>
      <c r="D10" s="2469"/>
      <c r="E10" s="2469"/>
      <c r="F10" s="2469"/>
      <c r="G10" s="2472"/>
      <c r="N10" s="2473"/>
      <c r="T10" s="2456"/>
      <c r="U10" s="2456"/>
      <c r="V10" s="2456"/>
      <c r="W10" s="2456"/>
    </row>
    <row r="11" spans="1:36">
      <c r="C11" s="2474" t="s">
        <v>434</v>
      </c>
      <c r="D11" s="2474"/>
      <c r="E11" s="2474"/>
      <c r="F11" s="2474"/>
      <c r="G11" s="2474"/>
      <c r="H11" s="2475"/>
      <c r="I11" s="2476">
        <f t="shared" ref="I11:W11" si="5">IF(I8&gt;$F$5,I76,0)</f>
        <v>508</v>
      </c>
      <c r="J11" s="2476">
        <f t="shared" si="5"/>
        <v>521</v>
      </c>
      <c r="K11" s="2476">
        <f t="shared" si="5"/>
        <v>549</v>
      </c>
      <c r="L11" s="2476">
        <f t="shared" si="5"/>
        <v>580</v>
      </c>
      <c r="M11" s="2476">
        <f t="shared" si="5"/>
        <v>613</v>
      </c>
      <c r="N11" s="2476">
        <f t="shared" si="5"/>
        <v>647</v>
      </c>
      <c r="O11" s="2476">
        <f t="shared" si="5"/>
        <v>685</v>
      </c>
      <c r="P11" s="2476">
        <f t="shared" si="5"/>
        <v>765</v>
      </c>
      <c r="Q11" s="2476">
        <f t="shared" si="5"/>
        <v>780.30000000000007</v>
      </c>
      <c r="R11" s="2476">
        <f t="shared" si="5"/>
        <v>795.90600000000006</v>
      </c>
      <c r="S11" s="2476">
        <f t="shared" si="5"/>
        <v>811.82412000000011</v>
      </c>
      <c r="T11" s="2476">
        <f t="shared" si="5"/>
        <v>828.06060240000011</v>
      </c>
      <c r="U11" s="2476">
        <f t="shared" si="5"/>
        <v>844.62181444800012</v>
      </c>
      <c r="V11" s="2476">
        <f t="shared" si="5"/>
        <v>861.51425073696009</v>
      </c>
      <c r="W11" s="2476">
        <f t="shared" si="5"/>
        <v>878.74453575169935</v>
      </c>
    </row>
    <row r="12" spans="1:36">
      <c r="C12" s="2477" t="s">
        <v>435</v>
      </c>
      <c r="D12" s="2477"/>
      <c r="E12" s="2477"/>
      <c r="F12" s="2477"/>
      <c r="G12" s="2477"/>
      <c r="H12" s="2475"/>
      <c r="I12" s="2478">
        <f t="shared" ref="I12:W12" si="6">IF(I8&gt;$F$5,I23,0)</f>
        <v>-482.95365095096588</v>
      </c>
      <c r="J12" s="2478">
        <f t="shared" si="6"/>
        <v>-501.44970155447515</v>
      </c>
      <c r="K12" s="2478">
        <f t="shared" si="6"/>
        <v>-533.72327478262559</v>
      </c>
      <c r="L12" s="2478">
        <f t="shared" si="6"/>
        <v>-584.34988204440879</v>
      </c>
      <c r="M12" s="2478">
        <f t="shared" si="6"/>
        <v>-296.82742341987591</v>
      </c>
      <c r="N12" s="2478">
        <f t="shared" si="6"/>
        <v>-258.76709343396448</v>
      </c>
      <c r="O12" s="2478">
        <f t="shared" si="6"/>
        <v>-366.79172593735484</v>
      </c>
      <c r="P12" s="2478">
        <f t="shared" si="6"/>
        <v>-445.43569557591718</v>
      </c>
      <c r="Q12" s="2478">
        <f t="shared" si="6"/>
        <v>-501.1709097128134</v>
      </c>
      <c r="R12" s="2478">
        <f t="shared" si="6"/>
        <v>-558.02082813244749</v>
      </c>
      <c r="S12" s="2478">
        <f t="shared" si="6"/>
        <v>-599.93437426378171</v>
      </c>
      <c r="T12" s="2478">
        <f t="shared" si="6"/>
        <v>-631.24737317817426</v>
      </c>
      <c r="U12" s="2478">
        <f t="shared" si="6"/>
        <v>-650.15253468251922</v>
      </c>
      <c r="V12" s="2478">
        <f t="shared" si="6"/>
        <v>-652.09427098763206</v>
      </c>
      <c r="W12" s="2478">
        <f t="shared" si="6"/>
        <v>-656.35468460351558</v>
      </c>
    </row>
    <row r="13" spans="1:36">
      <c r="C13" s="2479" t="s">
        <v>436</v>
      </c>
      <c r="D13" s="2474"/>
      <c r="E13" s="2474"/>
      <c r="F13" s="2474"/>
      <c r="G13" s="2474"/>
      <c r="H13" s="2475"/>
      <c r="I13" s="2480">
        <f t="shared" ref="I13:W13" si="7">SUM(I11:I12)</f>
        <v>25.04634904903412</v>
      </c>
      <c r="J13" s="2480">
        <f t="shared" si="7"/>
        <v>19.550298445524845</v>
      </c>
      <c r="K13" s="2480">
        <f t="shared" si="7"/>
        <v>15.276725217374405</v>
      </c>
      <c r="L13" s="2480">
        <f t="shared" si="7"/>
        <v>-4.3498820444087869</v>
      </c>
      <c r="M13" s="2480">
        <f t="shared" si="7"/>
        <v>316.17257658012409</v>
      </c>
      <c r="N13" s="2480">
        <f t="shared" si="7"/>
        <v>388.23290656603552</v>
      </c>
      <c r="O13" s="2480">
        <f t="shared" si="7"/>
        <v>318.20827406264516</v>
      </c>
      <c r="P13" s="2480">
        <f t="shared" si="7"/>
        <v>319.56430442408282</v>
      </c>
      <c r="Q13" s="2480">
        <f t="shared" si="7"/>
        <v>279.12909028718667</v>
      </c>
      <c r="R13" s="2480">
        <f t="shared" si="7"/>
        <v>237.88517186755257</v>
      </c>
      <c r="S13" s="2480">
        <f t="shared" si="7"/>
        <v>211.8897457362184</v>
      </c>
      <c r="T13" s="2480">
        <f t="shared" si="7"/>
        <v>196.81322922182585</v>
      </c>
      <c r="U13" s="2480">
        <f t="shared" si="7"/>
        <v>194.46927976548091</v>
      </c>
      <c r="V13" s="2480">
        <f t="shared" si="7"/>
        <v>209.41997974932804</v>
      </c>
      <c r="W13" s="2480">
        <f t="shared" si="7"/>
        <v>222.38985114818377</v>
      </c>
    </row>
    <row r="14" spans="1:36">
      <c r="C14" s="2474"/>
      <c r="D14" s="2474"/>
      <c r="E14" s="2474"/>
      <c r="F14" s="2474"/>
      <c r="G14" s="2474"/>
      <c r="H14" s="2475"/>
      <c r="I14" s="2475"/>
      <c r="J14" s="2475"/>
      <c r="K14" s="2475"/>
      <c r="L14" s="2475"/>
      <c r="M14" s="2475"/>
      <c r="N14" s="2475"/>
      <c r="O14" s="2475"/>
      <c r="P14" s="2475"/>
      <c r="Q14" s="2475"/>
      <c r="R14" s="2475"/>
      <c r="S14" s="2475"/>
      <c r="T14" s="2475"/>
      <c r="U14" s="2475"/>
      <c r="V14" s="2475"/>
      <c r="W14" s="2475"/>
    </row>
    <row r="15" spans="1:36">
      <c r="C15" s="2474" t="s">
        <v>1286</v>
      </c>
      <c r="D15" s="2474"/>
      <c r="E15" s="2474"/>
      <c r="F15" s="2474"/>
      <c r="G15" s="2474"/>
      <c r="H15" s="2475"/>
      <c r="I15" s="2478">
        <f t="shared" ref="I15:W15" si="8">IF(OR(I8&gt;$F$5,I8=$F$5),-I30,0)</f>
        <v>-151.47290446204028</v>
      </c>
      <c r="J15" s="2478">
        <f t="shared" si="8"/>
        <v>-170.32265431856001</v>
      </c>
      <c r="K15" s="2478">
        <f t="shared" si="8"/>
        <v>-184.68691901560658</v>
      </c>
      <c r="L15" s="2478">
        <f t="shared" si="8"/>
        <v>-205.38937630562248</v>
      </c>
      <c r="M15" s="2478">
        <f t="shared" si="8"/>
        <v>-225.35556214915943</v>
      </c>
      <c r="N15" s="2478">
        <f t="shared" si="8"/>
        <v>-240.30406795499835</v>
      </c>
      <c r="O15" s="2478">
        <f t="shared" si="8"/>
        <v>-277.24998242360243</v>
      </c>
      <c r="P15" s="2478">
        <f t="shared" si="8"/>
        <v>-297.66547614079445</v>
      </c>
      <c r="Q15" s="2478">
        <f t="shared" si="8"/>
        <v>-302.28867827617586</v>
      </c>
      <c r="R15" s="2478">
        <f t="shared" si="8"/>
        <v>-309.9088670865284</v>
      </c>
      <c r="S15" s="2478">
        <f t="shared" si="8"/>
        <v>-317.59058169994739</v>
      </c>
      <c r="T15" s="2478">
        <f t="shared" si="8"/>
        <v>-325.35331068060543</v>
      </c>
      <c r="U15" s="2478">
        <f t="shared" si="8"/>
        <v>-333.2151422332729</v>
      </c>
      <c r="V15" s="2478">
        <f t="shared" si="8"/>
        <v>-341.19299367250647</v>
      </c>
      <c r="W15" s="2478">
        <f t="shared" si="8"/>
        <v>-349.30281547713889</v>
      </c>
    </row>
    <row r="16" spans="1:36">
      <c r="C16" s="2479" t="s">
        <v>438</v>
      </c>
      <c r="D16" s="2479"/>
      <c r="E16" s="2479"/>
      <c r="F16" s="2479"/>
      <c r="G16" s="2479"/>
      <c r="H16" s="2475"/>
      <c r="I16" s="2480">
        <f t="shared" ref="I16:W16" si="9">I13+I15</f>
        <v>-126.42655541300616</v>
      </c>
      <c r="J16" s="2480">
        <f t="shared" si="9"/>
        <v>-150.77235587303517</v>
      </c>
      <c r="K16" s="2480">
        <f t="shared" si="9"/>
        <v>-169.41019379823217</v>
      </c>
      <c r="L16" s="2480">
        <f t="shared" si="9"/>
        <v>-209.73925835003126</v>
      </c>
      <c r="M16" s="2480">
        <f t="shared" si="9"/>
        <v>90.817014430964662</v>
      </c>
      <c r="N16" s="2480">
        <f t="shared" si="9"/>
        <v>147.92883861103718</v>
      </c>
      <c r="O16" s="2480">
        <f t="shared" si="9"/>
        <v>40.958291639042727</v>
      </c>
      <c r="P16" s="2480">
        <f t="shared" si="9"/>
        <v>21.898828283288367</v>
      </c>
      <c r="Q16" s="2480">
        <f t="shared" si="9"/>
        <v>-23.159587988989188</v>
      </c>
      <c r="R16" s="2480">
        <f t="shared" si="9"/>
        <v>-72.023695218975831</v>
      </c>
      <c r="S16" s="2480">
        <f t="shared" si="9"/>
        <v>-105.70083596372899</v>
      </c>
      <c r="T16" s="2480">
        <f t="shared" si="9"/>
        <v>-128.54008145877958</v>
      </c>
      <c r="U16" s="2480">
        <f t="shared" si="9"/>
        <v>-138.74586246779199</v>
      </c>
      <c r="V16" s="2480">
        <f t="shared" si="9"/>
        <v>-131.77301392317844</v>
      </c>
      <c r="W16" s="2480">
        <f t="shared" si="9"/>
        <v>-126.91296432895513</v>
      </c>
    </row>
    <row r="17" spans="1:36">
      <c r="C17" s="2474"/>
      <c r="D17" s="2474"/>
      <c r="E17" s="2474"/>
      <c r="F17" s="2474"/>
      <c r="G17" s="2474"/>
      <c r="H17" s="2475"/>
      <c r="I17" s="2476"/>
      <c r="J17" s="2476"/>
      <c r="K17" s="2476"/>
      <c r="L17" s="2476"/>
      <c r="M17" s="2476"/>
      <c r="N17" s="2476"/>
      <c r="O17" s="2476"/>
      <c r="P17" s="2476"/>
      <c r="Q17" s="2476"/>
      <c r="R17" s="2476"/>
      <c r="S17" s="2476"/>
      <c r="T17" s="2476"/>
      <c r="U17" s="2476"/>
      <c r="V17" s="2476"/>
      <c r="W17" s="2476"/>
    </row>
    <row r="18" spans="1:36">
      <c r="C18" s="2474"/>
      <c r="D18" s="2474"/>
      <c r="E18" s="2474"/>
      <c r="F18" s="2474"/>
      <c r="G18" s="2474"/>
      <c r="H18" s="2481"/>
      <c r="I18" s="2482"/>
      <c r="J18" s="2482"/>
      <c r="K18" s="2482"/>
      <c r="L18" s="2482"/>
      <c r="M18" s="2482"/>
      <c r="N18" s="2482"/>
      <c r="O18" s="2482"/>
      <c r="P18" s="2482"/>
      <c r="Q18" s="2482"/>
      <c r="R18" s="2482"/>
      <c r="S18" s="2482"/>
      <c r="T18" s="2482"/>
      <c r="U18" s="2482"/>
      <c r="V18" s="2482"/>
      <c r="W18" s="2482"/>
    </row>
    <row r="19" spans="1:36" s="2459" customFormat="1" ht="14.25" customHeight="1">
      <c r="A19" s="2483"/>
      <c r="C19" s="2468" t="s">
        <v>1033</v>
      </c>
      <c r="D19" s="2484"/>
      <c r="E19" s="2484"/>
      <c r="F19" s="2484"/>
      <c r="G19" s="2484"/>
      <c r="H19" s="2485"/>
      <c r="I19" s="2485"/>
      <c r="J19" s="2485"/>
      <c r="K19" s="2485"/>
      <c r="L19" s="2485"/>
      <c r="M19" s="2485"/>
      <c r="N19" s="2485"/>
      <c r="O19" s="2485"/>
      <c r="P19" s="2486"/>
      <c r="Q19" s="2486"/>
      <c r="R19" s="2486"/>
      <c r="S19" s="2486"/>
      <c r="T19" s="2486"/>
      <c r="U19" s="2486"/>
      <c r="V19" s="2486"/>
      <c r="W19" s="2486"/>
      <c r="AA19"/>
      <c r="AB19"/>
      <c r="AC19"/>
      <c r="AD19"/>
      <c r="AE19"/>
      <c r="AF19"/>
      <c r="AJ19" s="2435"/>
    </row>
    <row r="20" spans="1:36" s="2459" customFormat="1">
      <c r="A20" s="2483"/>
      <c r="B20" s="2487"/>
      <c r="C20" s="2471"/>
      <c r="D20" s="2484"/>
      <c r="E20" s="2484"/>
      <c r="F20" s="2484"/>
      <c r="G20" s="2484"/>
      <c r="H20" s="2485"/>
      <c r="I20" s="2485"/>
      <c r="J20" s="2485"/>
      <c r="K20" s="2485"/>
      <c r="L20" s="2485"/>
      <c r="M20" s="2485"/>
      <c r="N20" s="2485"/>
      <c r="O20" s="2485"/>
      <c r="P20" s="2486"/>
      <c r="Q20" s="2486"/>
      <c r="R20" s="2486"/>
      <c r="S20" s="2486"/>
      <c r="T20" s="2486"/>
      <c r="U20" s="2486"/>
      <c r="V20" s="2486"/>
      <c r="W20" s="2486"/>
      <c r="AA20"/>
      <c r="AB20"/>
      <c r="AC20"/>
      <c r="AD20"/>
      <c r="AE20"/>
      <c r="AF20"/>
      <c r="AJ20" s="2435"/>
    </row>
    <row r="21" spans="1:36">
      <c r="C21" s="2488" t="s">
        <v>439</v>
      </c>
      <c r="D21" s="2488"/>
      <c r="E21" s="2488"/>
      <c r="F21" s="2488"/>
      <c r="G21" s="2488"/>
      <c r="H21" s="2489"/>
      <c r="I21" s="2489">
        <f t="shared" ref="I21:W21" si="10">H24</f>
        <v>2382.0422463993532</v>
      </c>
      <c r="J21" s="2489">
        <f t="shared" si="10"/>
        <v>2059.8223020153137</v>
      </c>
      <c r="K21" s="2489">
        <f t="shared" si="10"/>
        <v>1836.709162554786</v>
      </c>
      <c r="L21" s="2489">
        <f t="shared" si="10"/>
        <v>1717.2301549913432</v>
      </c>
      <c r="M21" s="2489">
        <f t="shared" si="10"/>
        <v>1728.8247098036904</v>
      </c>
      <c r="N21" s="2489">
        <f t="shared" si="10"/>
        <v>2017.062186131019</v>
      </c>
      <c r="O21" s="2489">
        <f t="shared" si="10"/>
        <v>2311.6421545526823</v>
      </c>
      <c r="P21" s="2489">
        <f t="shared" si="10"/>
        <v>3025.0967536492308</v>
      </c>
      <c r="Q21" s="2489">
        <f t="shared" si="10"/>
        <v>3366.100754458937</v>
      </c>
      <c r="R21" s="2489">
        <f t="shared" si="10"/>
        <v>3422.2819861150856</v>
      </c>
      <c r="S21" s="2489">
        <f t="shared" si="10"/>
        <v>3432.7603421789795</v>
      </c>
      <c r="T21" s="2489">
        <f t="shared" si="10"/>
        <v>3412.6951357954663</v>
      </c>
      <c r="U21" s="2489">
        <f t="shared" si="10"/>
        <v>3372.9143138551658</v>
      </c>
      <c r="V21" s="2489">
        <f t="shared" si="10"/>
        <v>3326.0576614352776</v>
      </c>
      <c r="W21" s="2489">
        <f t="shared" si="10"/>
        <v>3289.3251903555292</v>
      </c>
    </row>
    <row r="22" spans="1:36">
      <c r="B22" s="2490"/>
      <c r="C22" s="2491" t="s">
        <v>440</v>
      </c>
      <c r="D22" s="2491"/>
      <c r="E22" s="2491"/>
      <c r="F22" s="2491"/>
      <c r="G22" s="2491"/>
      <c r="H22" s="2489"/>
      <c r="I22" s="2489">
        <f t="shared" ref="I22:W22" si="11">IF((I8&gt;$F$5),I143,0)</f>
        <v>160.73370656692637</v>
      </c>
      <c r="J22" s="2489">
        <f t="shared" si="11"/>
        <v>278.33656209394735</v>
      </c>
      <c r="K22" s="2489">
        <f t="shared" si="11"/>
        <v>414.24426721918263</v>
      </c>
      <c r="L22" s="2489">
        <f t="shared" si="11"/>
        <v>595.94443685675594</v>
      </c>
      <c r="M22" s="2489">
        <f t="shared" si="11"/>
        <v>585.06489974720444</v>
      </c>
      <c r="N22" s="2489">
        <f t="shared" si="11"/>
        <v>553.34706185562789</v>
      </c>
      <c r="O22" s="2489">
        <f t="shared" si="11"/>
        <v>1080.2463250339033</v>
      </c>
      <c r="P22" s="2489">
        <f t="shared" si="11"/>
        <v>786.43969638562339</v>
      </c>
      <c r="Q22" s="2489">
        <f t="shared" si="11"/>
        <v>557.35214136896207</v>
      </c>
      <c r="R22" s="2489">
        <f t="shared" si="11"/>
        <v>568.49918419634139</v>
      </c>
      <c r="S22" s="2489">
        <f t="shared" si="11"/>
        <v>579.86916788026838</v>
      </c>
      <c r="T22" s="2489">
        <f t="shared" si="11"/>
        <v>591.46655123787366</v>
      </c>
      <c r="U22" s="2489">
        <f t="shared" si="11"/>
        <v>603.29588226263115</v>
      </c>
      <c r="V22" s="2489">
        <f t="shared" si="11"/>
        <v>615.36179990788378</v>
      </c>
      <c r="W22" s="2489">
        <f t="shared" si="11"/>
        <v>627.66903590604136</v>
      </c>
    </row>
    <row r="23" spans="1:36">
      <c r="C23" s="2491" t="s">
        <v>441</v>
      </c>
      <c r="D23" s="2438"/>
      <c r="E23" s="2438"/>
      <c r="F23" s="2438"/>
      <c r="G23" s="2438"/>
      <c r="H23" s="2492"/>
      <c r="I23" s="2492">
        <f t="shared" ref="I23:W23" si="12">IF(I8&gt;$F$5,-I171,0)</f>
        <v>-482.95365095096588</v>
      </c>
      <c r="J23" s="2492">
        <f t="shared" si="12"/>
        <v>-501.44970155447515</v>
      </c>
      <c r="K23" s="2492">
        <f t="shared" si="12"/>
        <v>-533.72327478262559</v>
      </c>
      <c r="L23" s="2492">
        <f t="shared" si="12"/>
        <v>-584.34988204440879</v>
      </c>
      <c r="M23" s="2492">
        <f t="shared" si="12"/>
        <v>-296.82742341987591</v>
      </c>
      <c r="N23" s="2492">
        <f t="shared" si="12"/>
        <v>-258.76709343396448</v>
      </c>
      <c r="O23" s="2492">
        <f t="shared" si="12"/>
        <v>-366.79172593735484</v>
      </c>
      <c r="P23" s="2492">
        <f t="shared" si="12"/>
        <v>-445.43569557591718</v>
      </c>
      <c r="Q23" s="2492">
        <f t="shared" si="12"/>
        <v>-501.1709097128134</v>
      </c>
      <c r="R23" s="2492">
        <f t="shared" si="12"/>
        <v>-558.02082813244749</v>
      </c>
      <c r="S23" s="2492">
        <f t="shared" si="12"/>
        <v>-599.93437426378171</v>
      </c>
      <c r="T23" s="2492">
        <f t="shared" si="12"/>
        <v>-631.24737317817426</v>
      </c>
      <c r="U23" s="2492">
        <f t="shared" si="12"/>
        <v>-650.15253468251922</v>
      </c>
      <c r="V23" s="2492">
        <f t="shared" si="12"/>
        <v>-652.09427098763206</v>
      </c>
      <c r="W23" s="2492">
        <f t="shared" si="12"/>
        <v>-656.35468460351558</v>
      </c>
    </row>
    <row r="24" spans="1:36">
      <c r="C24" s="2484" t="s">
        <v>442</v>
      </c>
      <c r="D24" s="2484"/>
      <c r="E24" s="2484"/>
      <c r="F24" s="2484"/>
      <c r="G24" s="2484"/>
      <c r="H24" s="2493">
        <f t="shared" ref="H24:W24" si="13">IF(H8=$F$5,H33*H35,IF(H8&gt;$F$5,SUM(H21:H23),0))</f>
        <v>2382.0422463993532</v>
      </c>
      <c r="I24" s="2493">
        <f t="shared" si="13"/>
        <v>2059.8223020153137</v>
      </c>
      <c r="J24" s="2493">
        <f t="shared" si="13"/>
        <v>1836.709162554786</v>
      </c>
      <c r="K24" s="2493">
        <f t="shared" si="13"/>
        <v>1717.2301549913432</v>
      </c>
      <c r="L24" s="2493">
        <f t="shared" si="13"/>
        <v>1728.8247098036904</v>
      </c>
      <c r="M24" s="2493">
        <f t="shared" si="13"/>
        <v>2017.062186131019</v>
      </c>
      <c r="N24" s="2493">
        <f t="shared" si="13"/>
        <v>2311.6421545526823</v>
      </c>
      <c r="O24" s="2493">
        <f t="shared" si="13"/>
        <v>3025.0967536492308</v>
      </c>
      <c r="P24" s="2493">
        <f t="shared" si="13"/>
        <v>3366.100754458937</v>
      </c>
      <c r="Q24" s="2493">
        <f t="shared" si="13"/>
        <v>3422.2819861150856</v>
      </c>
      <c r="R24" s="2493">
        <f t="shared" si="13"/>
        <v>3432.7603421789795</v>
      </c>
      <c r="S24" s="2493">
        <f t="shared" si="13"/>
        <v>3412.6951357954663</v>
      </c>
      <c r="T24" s="2493">
        <f t="shared" si="13"/>
        <v>3372.9143138551658</v>
      </c>
      <c r="U24" s="2493">
        <f t="shared" si="13"/>
        <v>3326.0576614352776</v>
      </c>
      <c r="V24" s="2493">
        <f t="shared" si="13"/>
        <v>3289.3251903555292</v>
      </c>
      <c r="W24" s="2493">
        <f t="shared" si="13"/>
        <v>3260.6395416580549</v>
      </c>
    </row>
    <row r="25" spans="1:36">
      <c r="C25" s="2438"/>
      <c r="D25" s="2438"/>
      <c r="E25" s="2438"/>
      <c r="F25" s="2438"/>
      <c r="G25" s="2438"/>
      <c r="I25" s="2489"/>
      <c r="J25" s="2489"/>
      <c r="K25" s="2489"/>
      <c r="L25" s="2489"/>
      <c r="M25" s="2489"/>
      <c r="N25" s="2489"/>
      <c r="O25" s="2489"/>
      <c r="P25" s="2489"/>
      <c r="Q25" s="2489"/>
      <c r="R25" s="2489"/>
      <c r="S25" s="2489"/>
      <c r="T25" s="2489"/>
      <c r="U25" s="2489"/>
      <c r="V25" s="2489"/>
      <c r="W25" s="2489"/>
    </row>
    <row r="26" spans="1:36">
      <c r="C26" s="2438"/>
      <c r="D26" s="2438"/>
      <c r="E26" s="2438"/>
      <c r="F26" s="2438"/>
      <c r="G26" s="2438"/>
      <c r="H26" s="2489"/>
      <c r="I26" s="2489"/>
      <c r="J26" s="2489"/>
      <c r="K26" s="2489"/>
      <c r="L26" s="2489"/>
      <c r="M26" s="2489"/>
      <c r="N26" s="2489"/>
      <c r="O26" s="2489"/>
      <c r="P26" s="2489"/>
      <c r="Q26" s="2489"/>
      <c r="R26" s="2489"/>
      <c r="S26" s="2489"/>
      <c r="T26" s="2489"/>
      <c r="U26" s="2489"/>
      <c r="V26" s="2489"/>
      <c r="W26" s="2489"/>
    </row>
    <row r="27" spans="1:36" s="2459" customFormat="1" ht="14.25" customHeight="1">
      <c r="A27" s="2483"/>
      <c r="B27" s="2487"/>
      <c r="C27" s="2468" t="s">
        <v>1047</v>
      </c>
      <c r="D27" s="2484"/>
      <c r="E27" s="2484"/>
      <c r="F27" s="2484"/>
      <c r="G27" s="2484"/>
      <c r="H27" s="2494"/>
      <c r="I27" s="2494"/>
      <c r="J27" s="2494"/>
      <c r="K27" s="2494"/>
      <c r="L27" s="2494"/>
      <c r="M27" s="2494"/>
      <c r="N27" s="2494"/>
      <c r="O27" s="2494"/>
      <c r="P27" s="2495"/>
      <c r="Q27" s="2495"/>
      <c r="R27" s="2495"/>
      <c r="S27" s="2495"/>
      <c r="T27" s="2495"/>
      <c r="U27" s="2495"/>
      <c r="V27" s="2495"/>
      <c r="W27" s="2495"/>
      <c r="AA27"/>
      <c r="AB27"/>
      <c r="AC27"/>
      <c r="AD27"/>
      <c r="AE27"/>
      <c r="AF27"/>
      <c r="AJ27" s="2435"/>
    </row>
    <row r="28" spans="1:36" s="2459" customFormat="1">
      <c r="A28" s="2483"/>
      <c r="B28" s="2487"/>
      <c r="C28" s="2471"/>
      <c r="D28" s="2484"/>
      <c r="E28" s="2484"/>
      <c r="F28" s="2484"/>
      <c r="G28" s="2484"/>
      <c r="H28" s="2494"/>
      <c r="I28" s="2494"/>
      <c r="J28" s="2494"/>
      <c r="K28" s="2494"/>
      <c r="L28" s="2494"/>
      <c r="M28" s="2494"/>
      <c r="N28" s="2494"/>
      <c r="O28" s="2494"/>
      <c r="P28" s="2495"/>
      <c r="Q28" s="2495"/>
      <c r="R28" s="2495"/>
      <c r="S28" s="2495"/>
      <c r="T28" s="2495"/>
      <c r="U28" s="2495"/>
      <c r="V28" s="2495"/>
      <c r="W28" s="2495"/>
      <c r="AA28"/>
      <c r="AB28"/>
      <c r="AC28"/>
      <c r="AD28"/>
      <c r="AE28"/>
      <c r="AF28"/>
      <c r="AJ28" s="2435"/>
    </row>
    <row r="29" spans="1:36">
      <c r="C29" s="2488" t="s">
        <v>1048</v>
      </c>
      <c r="D29" s="2496"/>
      <c r="E29" s="2496"/>
      <c r="F29" s="2496"/>
      <c r="G29" s="2496"/>
      <c r="H29" s="2489"/>
      <c r="I29" s="2489">
        <f t="shared" ref="I29:W29" si="14">H33</f>
        <v>2676.4519622464641</v>
      </c>
      <c r="J29" s="2489">
        <f t="shared" si="14"/>
        <v>2480.6585732754306</v>
      </c>
      <c r="K29" s="2489">
        <f t="shared" si="14"/>
        <v>2408.3177896879379</v>
      </c>
      <c r="L29" s="2489">
        <f t="shared" si="14"/>
        <v>2458.2489759227274</v>
      </c>
      <c r="M29" s="2489">
        <f t="shared" si="14"/>
        <v>2679.582789085106</v>
      </c>
      <c r="N29" s="2489">
        <f t="shared" si="14"/>
        <v>2877.00325098147</v>
      </c>
      <c r="O29" s="2489">
        <f t="shared" si="14"/>
        <v>3023.6543807920966</v>
      </c>
      <c r="P29" s="2489">
        <f t="shared" si="14"/>
        <v>3696.1506882496024</v>
      </c>
      <c r="Q29" s="2489">
        <f t="shared" si="14"/>
        <v>4015.2558607760202</v>
      </c>
      <c r="R29" s="2489">
        <f t="shared" si="14"/>
        <v>4094.5966804211585</v>
      </c>
      <c r="S29" s="2489">
        <f t="shared" si="14"/>
        <v>4177.0987317040281</v>
      </c>
      <c r="T29" s="2489">
        <f t="shared" si="14"/>
        <v>4262.7343612842433</v>
      </c>
      <c r="U29" s="2489">
        <f t="shared" si="14"/>
        <v>4351.493620802722</v>
      </c>
      <c r="V29" s="2489">
        <f t="shared" si="14"/>
        <v>4443.3828308506263</v>
      </c>
      <c r="W29" s="2489">
        <f t="shared" si="14"/>
        <v>4538.4233736940569</v>
      </c>
    </row>
    <row r="30" spans="1:36">
      <c r="C30" s="2491" t="s">
        <v>1049</v>
      </c>
      <c r="D30" s="2497"/>
      <c r="E30" s="2497"/>
      <c r="F30" s="2497"/>
      <c r="G30" s="2497"/>
      <c r="H30" s="2489">
        <f t="shared" ref="H30:W30" si="15">IF(H8=$F$5,0,IF(H8&gt;$F$5,H29*G44+H45*H32,0))</f>
        <v>0</v>
      </c>
      <c r="I30" s="2489">
        <f t="shared" si="15"/>
        <v>151.47290446204028</v>
      </c>
      <c r="J30" s="2489">
        <f t="shared" si="15"/>
        <v>170.32265431856001</v>
      </c>
      <c r="K30" s="2489">
        <f t="shared" si="15"/>
        <v>184.68691901560658</v>
      </c>
      <c r="L30" s="2489">
        <f t="shared" si="15"/>
        <v>205.38937630562248</v>
      </c>
      <c r="M30" s="2489">
        <f t="shared" si="15"/>
        <v>225.35556214915943</v>
      </c>
      <c r="N30" s="2489">
        <f t="shared" si="15"/>
        <v>240.30406795499835</v>
      </c>
      <c r="O30" s="2489">
        <f t="shared" si="15"/>
        <v>277.24998242360243</v>
      </c>
      <c r="P30" s="2489">
        <f t="shared" si="15"/>
        <v>297.66547614079445</v>
      </c>
      <c r="Q30" s="2489">
        <f t="shared" si="15"/>
        <v>302.28867827617586</v>
      </c>
      <c r="R30" s="2489">
        <f t="shared" si="15"/>
        <v>309.9088670865284</v>
      </c>
      <c r="S30" s="2489">
        <f t="shared" si="15"/>
        <v>317.59058169994739</v>
      </c>
      <c r="T30" s="2489">
        <f t="shared" si="15"/>
        <v>325.35331068060543</v>
      </c>
      <c r="U30" s="2489">
        <f t="shared" si="15"/>
        <v>333.2151422332729</v>
      </c>
      <c r="V30" s="2489">
        <f t="shared" si="15"/>
        <v>341.19299367250647</v>
      </c>
      <c r="W30" s="2489">
        <f t="shared" si="15"/>
        <v>349.30281547713889</v>
      </c>
    </row>
    <row r="31" spans="1:36">
      <c r="C31" s="2491" t="s">
        <v>1050</v>
      </c>
      <c r="D31" s="2497"/>
      <c r="E31" s="2497"/>
      <c r="F31" s="2497"/>
      <c r="G31" s="2497"/>
      <c r="H31" s="2489"/>
      <c r="I31" s="2489">
        <f t="shared" ref="I31:W31" si="16">-I11</f>
        <v>-508</v>
      </c>
      <c r="J31" s="2489">
        <f t="shared" si="16"/>
        <v>-521</v>
      </c>
      <c r="K31" s="2489">
        <f t="shared" si="16"/>
        <v>-549</v>
      </c>
      <c r="L31" s="2489">
        <f t="shared" si="16"/>
        <v>-580</v>
      </c>
      <c r="M31" s="2489">
        <f t="shared" si="16"/>
        <v>-613</v>
      </c>
      <c r="N31" s="2489">
        <f t="shared" si="16"/>
        <v>-647</v>
      </c>
      <c r="O31" s="2489">
        <f t="shared" si="16"/>
        <v>-685</v>
      </c>
      <c r="P31" s="2489">
        <f t="shared" si="16"/>
        <v>-765</v>
      </c>
      <c r="Q31" s="2489">
        <f t="shared" si="16"/>
        <v>-780.30000000000007</v>
      </c>
      <c r="R31" s="2489">
        <f t="shared" si="16"/>
        <v>-795.90600000000006</v>
      </c>
      <c r="S31" s="2489">
        <f t="shared" si="16"/>
        <v>-811.82412000000011</v>
      </c>
      <c r="T31" s="2489">
        <f t="shared" si="16"/>
        <v>-828.06060240000011</v>
      </c>
      <c r="U31" s="2489">
        <f t="shared" si="16"/>
        <v>-844.62181444800012</v>
      </c>
      <c r="V31" s="2489">
        <f t="shared" si="16"/>
        <v>-861.51425073696009</v>
      </c>
      <c r="W31" s="2489">
        <f t="shared" si="16"/>
        <v>-878.74453575169935</v>
      </c>
    </row>
    <row r="32" spans="1:36">
      <c r="C32" s="2491" t="s">
        <v>1051</v>
      </c>
      <c r="D32" s="2497"/>
      <c r="E32" s="2497"/>
      <c r="F32" s="2497"/>
      <c r="G32" s="2497"/>
      <c r="H32" s="2492"/>
      <c r="I32" s="2492">
        <f t="shared" ref="I32:W32" si="17">IF(I8&gt;$F$5,I22,0)</f>
        <v>160.73370656692637</v>
      </c>
      <c r="J32" s="2492">
        <f t="shared" si="17"/>
        <v>278.33656209394735</v>
      </c>
      <c r="K32" s="2492">
        <f t="shared" si="17"/>
        <v>414.24426721918263</v>
      </c>
      <c r="L32" s="2492">
        <f t="shared" si="17"/>
        <v>595.94443685675594</v>
      </c>
      <c r="M32" s="2492">
        <f t="shared" si="17"/>
        <v>585.06489974720444</v>
      </c>
      <c r="N32" s="2492">
        <f t="shared" si="17"/>
        <v>553.34706185562789</v>
      </c>
      <c r="O32" s="2492">
        <f t="shared" si="17"/>
        <v>1080.2463250339033</v>
      </c>
      <c r="P32" s="2492">
        <f t="shared" si="17"/>
        <v>786.43969638562339</v>
      </c>
      <c r="Q32" s="2492">
        <f t="shared" si="17"/>
        <v>557.35214136896207</v>
      </c>
      <c r="R32" s="2492">
        <f t="shared" si="17"/>
        <v>568.49918419634139</v>
      </c>
      <c r="S32" s="2492">
        <f t="shared" si="17"/>
        <v>579.86916788026838</v>
      </c>
      <c r="T32" s="2492">
        <f t="shared" si="17"/>
        <v>591.46655123787366</v>
      </c>
      <c r="U32" s="2492">
        <f t="shared" si="17"/>
        <v>603.29588226263115</v>
      </c>
      <c r="V32" s="2492">
        <f t="shared" si="17"/>
        <v>615.36179990788378</v>
      </c>
      <c r="W32" s="2492">
        <f t="shared" si="17"/>
        <v>627.66903590604136</v>
      </c>
    </row>
    <row r="33" spans="1:36" s="2501" customFormat="1">
      <c r="A33" s="2498"/>
      <c r="B33" s="2499"/>
      <c r="C33" s="2484" t="s">
        <v>1052</v>
      </c>
      <c r="D33" s="2500"/>
      <c r="E33" s="2500"/>
      <c r="F33" s="2500"/>
      <c r="G33" s="2500"/>
      <c r="H33" s="2493">
        <f t="shared" ref="H33:W33" si="18">IF(H8=$F$5,NPV(H44,H77:H95),IF(H8&lt;$F$5,0,SUM(H29:H32)))</f>
        <v>2676.4519622464641</v>
      </c>
      <c r="I33" s="2493">
        <f t="shared" si="18"/>
        <v>2480.6585732754306</v>
      </c>
      <c r="J33" s="2493">
        <f t="shared" si="18"/>
        <v>2408.3177896879379</v>
      </c>
      <c r="K33" s="2493">
        <f t="shared" si="18"/>
        <v>2458.2489759227274</v>
      </c>
      <c r="L33" s="2493">
        <f t="shared" si="18"/>
        <v>2679.582789085106</v>
      </c>
      <c r="M33" s="2493">
        <f t="shared" si="18"/>
        <v>2877.00325098147</v>
      </c>
      <c r="N33" s="2493">
        <f t="shared" si="18"/>
        <v>3023.6543807920966</v>
      </c>
      <c r="O33" s="2493">
        <f t="shared" si="18"/>
        <v>3696.1506882496024</v>
      </c>
      <c r="P33" s="2493">
        <f t="shared" si="18"/>
        <v>4015.2558607760202</v>
      </c>
      <c r="Q33" s="2493">
        <f t="shared" si="18"/>
        <v>4094.5966804211585</v>
      </c>
      <c r="R33" s="2493">
        <f t="shared" si="18"/>
        <v>4177.0987317040281</v>
      </c>
      <c r="S33" s="2493">
        <f t="shared" si="18"/>
        <v>4262.7343612842433</v>
      </c>
      <c r="T33" s="2493">
        <f t="shared" si="18"/>
        <v>4351.493620802722</v>
      </c>
      <c r="U33" s="2493">
        <f t="shared" si="18"/>
        <v>4443.3828308506263</v>
      </c>
      <c r="V33" s="2493">
        <f t="shared" si="18"/>
        <v>4538.4233736940569</v>
      </c>
      <c r="W33" s="2493">
        <f t="shared" si="18"/>
        <v>4636.6506893255382</v>
      </c>
      <c r="AA33"/>
      <c r="AB33"/>
      <c r="AC33"/>
      <c r="AD33"/>
      <c r="AE33"/>
      <c r="AF33"/>
      <c r="AJ33" s="2502"/>
    </row>
    <row r="34" spans="1:36">
      <c r="C34" s="2496"/>
      <c r="D34" s="2496"/>
      <c r="E34" s="2496"/>
      <c r="F34" s="2496"/>
      <c r="G34" s="2496"/>
      <c r="H34" s="2503"/>
      <c r="I34" s="2503"/>
      <c r="J34" s="2503"/>
      <c r="K34" s="2503"/>
      <c r="L34" s="2503"/>
      <c r="M34" s="2503"/>
      <c r="N34" s="2503"/>
      <c r="O34" s="2503"/>
      <c r="P34" s="2503"/>
      <c r="Q34" s="2503"/>
      <c r="R34" s="2503"/>
      <c r="S34" s="2503"/>
      <c r="T34" s="2503"/>
      <c r="U34" s="2503"/>
      <c r="V34" s="2503"/>
      <c r="W34" s="2503"/>
    </row>
    <row r="35" spans="1:36" customFormat="1">
      <c r="A35" s="2504"/>
      <c r="B35" s="2541"/>
      <c r="C35" t="s">
        <v>1053</v>
      </c>
      <c r="G35">
        <v>0.89</v>
      </c>
      <c r="H35">
        <f t="shared" ref="H35:W35" si="19">IF(ISERROR(IF($F$5=H8,$G$35,IF(H8&gt;$F$5,H24/H33,""))),0,IF($F$5=H8,$G$35,IF(H8&gt;$F$5,H24/H33,"")))</f>
        <v>0.89</v>
      </c>
      <c r="I35">
        <f t="shared" si="19"/>
        <v>0.83035300553092639</v>
      </c>
      <c r="J35">
        <f t="shared" si="19"/>
        <v>0.76265232537803118</v>
      </c>
      <c r="K35">
        <f t="shared" si="19"/>
        <v>0.69855827127793857</v>
      </c>
      <c r="L35">
        <f t="shared" si="19"/>
        <v>0.64518428646646353</v>
      </c>
      <c r="M35">
        <f t="shared" si="19"/>
        <v>0.70109833398447219</v>
      </c>
      <c r="N35">
        <f t="shared" si="19"/>
        <v>0.76451930790684786</v>
      </c>
      <c r="O35">
        <f t="shared" si="19"/>
        <v>0.81844519036149888</v>
      </c>
      <c r="P35">
        <f t="shared" si="19"/>
        <v>0.8383278354292415</v>
      </c>
      <c r="Q35">
        <f t="shared" si="19"/>
        <v>0.8358044157265031</v>
      </c>
      <c r="R35">
        <f t="shared" si="19"/>
        <v>0.82180493272147315</v>
      </c>
      <c r="S35">
        <f t="shared" si="19"/>
        <v>0.80058827188267867</v>
      </c>
      <c r="T35">
        <f t="shared" si="19"/>
        <v>0.77511645604411172</v>
      </c>
      <c r="U35">
        <f t="shared" si="19"/>
        <v>0.74854177280028522</v>
      </c>
      <c r="V35">
        <f t="shared" si="19"/>
        <v>0.72477266211463609</v>
      </c>
      <c r="W35">
        <f t="shared" si="19"/>
        <v>0.7032316558080759</v>
      </c>
    </row>
    <row r="36" spans="1:36">
      <c r="H36"/>
      <c r="I36"/>
      <c r="J36"/>
      <c r="K36"/>
      <c r="L36"/>
      <c r="M36"/>
      <c r="N36"/>
      <c r="O36"/>
      <c r="P36"/>
      <c r="Q36"/>
      <c r="R36"/>
      <c r="S36"/>
      <c r="T36"/>
      <c r="U36"/>
      <c r="V36"/>
      <c r="W36"/>
    </row>
    <row r="37" spans="1:36">
      <c r="C37" t="s">
        <v>1054</v>
      </c>
      <c r="D37"/>
      <c r="E37"/>
      <c r="F37"/>
      <c r="G37"/>
      <c r="H37" s="2493">
        <f t="shared" ref="H37:W37" si="20">(H24-H33)*(1-$G$56)</f>
        <v>-294.40971584711087</v>
      </c>
      <c r="I37" s="2493">
        <f t="shared" si="20"/>
        <v>-420.83627126011697</v>
      </c>
      <c r="J37" s="2493">
        <f t="shared" si="20"/>
        <v>-571.60862713315191</v>
      </c>
      <c r="K37" s="2493">
        <f t="shared" si="20"/>
        <v>-741.0188209313842</v>
      </c>
      <c r="L37" s="2493">
        <f t="shared" si="20"/>
        <v>-950.75807928141558</v>
      </c>
      <c r="M37" s="2493">
        <f t="shared" si="20"/>
        <v>-859.94106485045108</v>
      </c>
      <c r="N37" s="2493">
        <f t="shared" si="20"/>
        <v>-712.0122262394143</v>
      </c>
      <c r="O37" s="2493">
        <f t="shared" si="20"/>
        <v>-671.05393460037158</v>
      </c>
      <c r="P37" s="2493">
        <f t="shared" si="20"/>
        <v>-649.15510631708321</v>
      </c>
      <c r="Q37" s="2493">
        <f t="shared" si="20"/>
        <v>-672.31469430607285</v>
      </c>
      <c r="R37" s="2493">
        <f t="shared" si="20"/>
        <v>-744.33838952504857</v>
      </c>
      <c r="S37" s="2493">
        <f t="shared" si="20"/>
        <v>-850.03922548877699</v>
      </c>
      <c r="T37" s="2493">
        <f t="shared" si="20"/>
        <v>-978.57930694755623</v>
      </c>
      <c r="U37" s="2493">
        <f t="shared" si="20"/>
        <v>-1117.3251694153487</v>
      </c>
      <c r="V37" s="2493">
        <f t="shared" si="20"/>
        <v>-1249.0981833385276</v>
      </c>
      <c r="W37" s="2493">
        <f t="shared" si="20"/>
        <v>-1376.0111476674833</v>
      </c>
    </row>
    <row r="38" spans="1:36">
      <c r="C38" t="s">
        <v>1055</v>
      </c>
      <c r="D38" s="2474"/>
      <c r="E38" s="2474"/>
      <c r="F38" s="2474"/>
      <c r="G38" s="2474"/>
      <c r="H38" s="2475"/>
      <c r="I38" s="2480">
        <f t="shared" ref="I38:W38" si="21">I11+I15</f>
        <v>356.52709553795972</v>
      </c>
      <c r="J38" s="2480">
        <f t="shared" si="21"/>
        <v>350.67734568143999</v>
      </c>
      <c r="K38" s="2480">
        <f t="shared" si="21"/>
        <v>364.31308098439342</v>
      </c>
      <c r="L38" s="2480">
        <f t="shared" si="21"/>
        <v>374.61062369437752</v>
      </c>
      <c r="M38" s="2480">
        <f t="shared" si="21"/>
        <v>387.64443785084057</v>
      </c>
      <c r="N38" s="2480">
        <f t="shared" si="21"/>
        <v>406.69593204500165</v>
      </c>
      <c r="O38" s="2480">
        <f t="shared" si="21"/>
        <v>407.75001757639757</v>
      </c>
      <c r="P38" s="2480">
        <f t="shared" si="21"/>
        <v>467.33452385920555</v>
      </c>
      <c r="Q38" s="2480">
        <f t="shared" si="21"/>
        <v>478.01132172382421</v>
      </c>
      <c r="R38" s="2480">
        <f t="shared" si="21"/>
        <v>485.99713291347166</v>
      </c>
      <c r="S38" s="2480">
        <f t="shared" si="21"/>
        <v>494.23353830005271</v>
      </c>
      <c r="T38" s="2480">
        <f t="shared" si="21"/>
        <v>502.70729171939468</v>
      </c>
      <c r="U38" s="2480">
        <f t="shared" si="21"/>
        <v>511.40667221472722</v>
      </c>
      <c r="V38" s="2480">
        <f t="shared" si="21"/>
        <v>520.32125706445368</v>
      </c>
      <c r="W38" s="2480">
        <f t="shared" si="21"/>
        <v>529.44172027456045</v>
      </c>
    </row>
    <row r="39" spans="1:36">
      <c r="C39" t="s">
        <v>1056</v>
      </c>
      <c r="D39"/>
      <c r="E39"/>
      <c r="F39"/>
      <c r="G39"/>
      <c r="H39" s="2489"/>
      <c r="I39" s="2489">
        <f t="shared" ref="I39:W39" si="22">I37-H37</f>
        <v>-126.4265554130061</v>
      </c>
      <c r="J39" s="2489">
        <f t="shared" si="22"/>
        <v>-150.77235587303494</v>
      </c>
      <c r="K39" s="2489">
        <f t="shared" si="22"/>
        <v>-169.41019379823229</v>
      </c>
      <c r="L39" s="2489">
        <f t="shared" si="22"/>
        <v>-209.73925835003138</v>
      </c>
      <c r="M39" s="2489">
        <f t="shared" si="22"/>
        <v>90.817014430964491</v>
      </c>
      <c r="N39" s="2489">
        <f t="shared" si="22"/>
        <v>147.92883861103678</v>
      </c>
      <c r="O39" s="2489">
        <f t="shared" si="22"/>
        <v>40.958291639042727</v>
      </c>
      <c r="P39" s="2489">
        <f t="shared" si="22"/>
        <v>21.898828283288367</v>
      </c>
      <c r="Q39" s="2489">
        <f t="shared" si="22"/>
        <v>-23.159587988989642</v>
      </c>
      <c r="R39" s="2489">
        <f t="shared" si="22"/>
        <v>-72.023695218975718</v>
      </c>
      <c r="S39" s="2489">
        <f t="shared" si="22"/>
        <v>-105.70083596372842</v>
      </c>
      <c r="T39" s="2489">
        <f t="shared" si="22"/>
        <v>-128.54008145877924</v>
      </c>
      <c r="U39" s="2489">
        <f t="shared" si="22"/>
        <v>-138.74586246779245</v>
      </c>
      <c r="V39" s="2489">
        <f t="shared" si="22"/>
        <v>-131.77301392317895</v>
      </c>
      <c r="W39" s="2489">
        <f t="shared" si="22"/>
        <v>-126.9129643289557</v>
      </c>
    </row>
    <row r="40" spans="1:36">
      <c r="Q40"/>
      <c r="R40"/>
      <c r="S40"/>
      <c r="T40"/>
      <c r="U40"/>
      <c r="V40"/>
      <c r="W40"/>
    </row>
    <row r="41" spans="1:36">
      <c r="Q41"/>
      <c r="R41"/>
      <c r="S41"/>
      <c r="T41"/>
      <c r="U41"/>
      <c r="V41"/>
      <c r="W41"/>
    </row>
    <row r="42" spans="1:36" s="2459" customFormat="1" ht="14.25" customHeight="1">
      <c r="A42" s="2483"/>
      <c r="B42" s="2487"/>
      <c r="C42" t="s">
        <v>160</v>
      </c>
      <c r="D42"/>
      <c r="Q42" s="2495"/>
      <c r="R42" s="2495"/>
      <c r="S42" s="2495"/>
      <c r="T42" s="2495"/>
      <c r="U42" s="2495"/>
      <c r="V42" s="2495"/>
      <c r="W42" s="2495"/>
      <c r="AA42"/>
      <c r="AB42"/>
      <c r="AC42"/>
      <c r="AD42"/>
      <c r="AE42"/>
      <c r="AF42"/>
      <c r="AJ42" s="2435"/>
    </row>
    <row r="43" spans="1:36" customFormat="1"/>
    <row r="44" spans="1:36" customFormat="1" ht="14.25" customHeight="1">
      <c r="C44" t="s">
        <v>1057</v>
      </c>
      <c r="H44">
        <v>5.2627745271927019E-2</v>
      </c>
      <c r="I44">
        <v>5.9351058696798221E-2</v>
      </c>
      <c r="J44">
        <v>6.4727413019253832E-2</v>
      </c>
      <c r="K44">
        <v>6.6439910616006279E-2</v>
      </c>
      <c r="L44">
        <v>7.0322990067267568E-2</v>
      </c>
      <c r="M44">
        <v>7.0447883653825122E-2</v>
      </c>
      <c r="N44">
        <v>7.083603502515852E-2</v>
      </c>
      <c r="O44">
        <v>6.5918777302384449E-2</v>
      </c>
      <c r="P44">
        <v>6.5750412002902353E-2</v>
      </c>
      <c r="Q44">
        <f t="shared" ref="Q44:W44" si="23">(P44*(Q29+Q30+Q31)+Q45*Q32)/Q33</f>
        <v>6.6150407004902545E-2</v>
      </c>
      <c r="R44">
        <f t="shared" si="23"/>
        <v>6.6495904641395834E-2</v>
      </c>
      <c r="S44">
        <f t="shared" si="23"/>
        <v>6.6794233779274806E-2</v>
      </c>
      <c r="T44">
        <f t="shared" si="23"/>
        <v>6.7051772963677286E-2</v>
      </c>
      <c r="U44">
        <f t="shared" si="23"/>
        <v>6.7274063373602269E-2</v>
      </c>
      <c r="V44">
        <f t="shared" si="23"/>
        <v>6.7465911229189074E-2</v>
      </c>
      <c r="W44">
        <f t="shared" si="23"/>
        <v>6.7631479787337842E-2</v>
      </c>
      <c r="AJ44" s="2462" t="s">
        <v>348</v>
      </c>
    </row>
    <row r="45" spans="1:36" customFormat="1" ht="15" customHeight="1">
      <c r="C45" t="s">
        <v>1058</v>
      </c>
      <c r="I45">
        <v>6.6055045871559637E-2</v>
      </c>
      <c r="J45">
        <v>8.2967690466693264E-2</v>
      </c>
      <c r="K45">
        <v>6.953080836630865E-2</v>
      </c>
      <c r="L45">
        <v>7.0582979673888768E-2</v>
      </c>
      <c r="M45">
        <v>6.3102893890675235E-2</v>
      </c>
      <c r="N45">
        <v>6.7995802728226654E-2</v>
      </c>
      <c r="O45">
        <v>5.838140185282293E-2</v>
      </c>
      <c r="P45">
        <v>6.8688981868898186E-2</v>
      </c>
      <c r="Q45">
        <f t="shared" ref="Q45:W45" si="24">P45</f>
        <v>6.8688981868898186E-2</v>
      </c>
      <c r="R45">
        <f t="shared" si="24"/>
        <v>6.8688981868898186E-2</v>
      </c>
      <c r="S45">
        <f t="shared" si="24"/>
        <v>6.8688981868898186E-2</v>
      </c>
      <c r="T45">
        <f t="shared" si="24"/>
        <v>6.8688981868898186E-2</v>
      </c>
      <c r="U45">
        <f t="shared" si="24"/>
        <v>6.8688981868898186E-2</v>
      </c>
      <c r="V45">
        <f t="shared" si="24"/>
        <v>6.8688981868898186E-2</v>
      </c>
      <c r="W45">
        <f t="shared" si="24"/>
        <v>6.8688981868898186E-2</v>
      </c>
      <c r="AJ45" s="2462" t="s">
        <v>349</v>
      </c>
    </row>
    <row r="46" spans="1:36">
      <c r="C46"/>
      <c r="I46"/>
      <c r="J46"/>
      <c r="K46"/>
      <c r="L46"/>
      <c r="M46"/>
      <c r="N46"/>
      <c r="O46"/>
      <c r="P46"/>
      <c r="Q46"/>
      <c r="R46" s="2439"/>
      <c r="T46" s="2456"/>
      <c r="U46" s="2456"/>
      <c r="V46" s="2456"/>
      <c r="W46" s="2456"/>
    </row>
    <row r="47" spans="1:36">
      <c r="C47" s="2438" t="s">
        <v>1059</v>
      </c>
      <c r="D47"/>
      <c r="E47"/>
      <c r="F47"/>
      <c r="G47"/>
      <c r="H47">
        <v>10</v>
      </c>
      <c r="I47">
        <v>10</v>
      </c>
      <c r="J47">
        <v>10</v>
      </c>
      <c r="K47">
        <v>10</v>
      </c>
      <c r="L47">
        <v>10</v>
      </c>
      <c r="M47">
        <v>10</v>
      </c>
      <c r="N47">
        <v>10</v>
      </c>
      <c r="O47">
        <v>10</v>
      </c>
      <c r="P47">
        <v>10</v>
      </c>
      <c r="Q47">
        <f t="shared" ref="Q47:W47" si="25">P47*(1+Q48)</f>
        <v>10.1</v>
      </c>
      <c r="R47">
        <f t="shared" si="25"/>
        <v>10.201000000000001</v>
      </c>
      <c r="S47">
        <f t="shared" si="25"/>
        <v>10.30301</v>
      </c>
      <c r="T47">
        <f t="shared" si="25"/>
        <v>10.4060401</v>
      </c>
      <c r="U47">
        <f t="shared" si="25"/>
        <v>10.510100501</v>
      </c>
      <c r="V47">
        <f t="shared" si="25"/>
        <v>10.615201506010001</v>
      </c>
      <c r="W47">
        <f t="shared" si="25"/>
        <v>10.721353521070101</v>
      </c>
    </row>
    <row r="48" spans="1:36">
      <c r="B48" s="2487"/>
      <c r="C48" s="2459" t="s">
        <v>1060</v>
      </c>
      <c r="H48"/>
      <c r="I48">
        <f t="shared" ref="I48:P48" si="26">I47/H47-1</f>
        <v>0</v>
      </c>
      <c r="J48">
        <f t="shared" si="26"/>
        <v>0</v>
      </c>
      <c r="K48">
        <f t="shared" si="26"/>
        <v>0</v>
      </c>
      <c r="L48">
        <f t="shared" si="26"/>
        <v>0</v>
      </c>
      <c r="M48">
        <f t="shared" si="26"/>
        <v>0</v>
      </c>
      <c r="N48">
        <f t="shared" si="26"/>
        <v>0</v>
      </c>
      <c r="O48">
        <f t="shared" si="26"/>
        <v>0</v>
      </c>
      <c r="P48">
        <f t="shared" si="26"/>
        <v>0</v>
      </c>
      <c r="Q48">
        <v>0.01</v>
      </c>
      <c r="R48">
        <v>0.01</v>
      </c>
      <c r="S48">
        <v>0.01</v>
      </c>
      <c r="T48">
        <v>0.01</v>
      </c>
      <c r="U48">
        <v>0.01</v>
      </c>
      <c r="V48">
        <v>0.01</v>
      </c>
      <c r="W48">
        <v>0.01</v>
      </c>
    </row>
    <row r="49" spans="1:36">
      <c r="B49" s="2487"/>
      <c r="C49" s="2459" t="s">
        <v>1061</v>
      </c>
      <c r="H49"/>
      <c r="I49"/>
      <c r="J49"/>
      <c r="K49"/>
      <c r="L49"/>
      <c r="M49"/>
      <c r="N49"/>
      <c r="O49"/>
      <c r="P49"/>
      <c r="Q49"/>
      <c r="R49"/>
      <c r="S49"/>
      <c r="T49"/>
      <c r="U49"/>
      <c r="V49"/>
      <c r="W49"/>
    </row>
    <row r="50" spans="1:36">
      <c r="B50" s="2487"/>
      <c r="H50"/>
      <c r="I50"/>
      <c r="J50"/>
      <c r="K50"/>
      <c r="L50"/>
      <c r="M50"/>
      <c r="N50"/>
      <c r="O50"/>
      <c r="P50"/>
      <c r="Q50"/>
      <c r="R50"/>
      <c r="S50"/>
      <c r="T50"/>
      <c r="U50"/>
      <c r="V50"/>
      <c r="W50"/>
    </row>
    <row r="51" spans="1:36">
      <c r="B51" s="2487"/>
      <c r="C51" s="2459" t="s">
        <v>1062</v>
      </c>
      <c r="H51"/>
      <c r="I51">
        <f t="shared" ref="I51:W51" si="27">IF(ISERROR(I54/I47),0,I54/I47)</f>
        <v>16.073370656692639</v>
      </c>
      <c r="J51">
        <f t="shared" si="27"/>
        <v>27.833656209394736</v>
      </c>
      <c r="K51">
        <f t="shared" si="27"/>
        <v>41.424426721918266</v>
      </c>
      <c r="L51">
        <f t="shared" si="27"/>
        <v>59.594443685675593</v>
      </c>
      <c r="M51">
        <f t="shared" si="27"/>
        <v>58.506489974720445</v>
      </c>
      <c r="N51">
        <f t="shared" si="27"/>
        <v>55.334706185562787</v>
      </c>
      <c r="O51">
        <f t="shared" si="27"/>
        <v>108.02463250339034</v>
      </c>
      <c r="P51">
        <f t="shared" si="27"/>
        <v>78.643969638562339</v>
      </c>
      <c r="Q51">
        <f t="shared" si="27"/>
        <v>55.183380333560599</v>
      </c>
      <c r="R51">
        <f t="shared" si="27"/>
        <v>55.729750435873086</v>
      </c>
      <c r="S51">
        <f t="shared" si="27"/>
        <v>56.281530143158975</v>
      </c>
      <c r="T51">
        <f t="shared" si="27"/>
        <v>56.838773015863509</v>
      </c>
      <c r="U51">
        <f t="shared" si="27"/>
        <v>57.401533144733449</v>
      </c>
      <c r="V51">
        <f t="shared" si="27"/>
        <v>57.969865156067442</v>
      </c>
      <c r="W51">
        <f t="shared" si="27"/>
        <v>58.543824217018596</v>
      </c>
    </row>
    <row r="52" spans="1:36">
      <c r="B52" s="2487"/>
      <c r="C52" s="2459" t="s">
        <v>1063</v>
      </c>
      <c r="H52"/>
      <c r="I52"/>
      <c r="J52">
        <f t="shared" ref="J52:W52" si="28">IF(ISERROR(J51/I51-1),0,J51/I51-1)</f>
        <v>0.73166268630813547</v>
      </c>
      <c r="K52">
        <f t="shared" si="28"/>
        <v>0.48828549186205072</v>
      </c>
      <c r="L52">
        <f t="shared" si="28"/>
        <v>0.43863049899839179</v>
      </c>
      <c r="M52">
        <f t="shared" si="28"/>
        <v>-1.8255958838938713E-2</v>
      </c>
      <c r="N52">
        <f t="shared" si="28"/>
        <v>-5.4212511988466994E-2</v>
      </c>
      <c r="O52">
        <f t="shared" si="28"/>
        <v>0.95220395932227286</v>
      </c>
      <c r="P52">
        <f t="shared" si="28"/>
        <v>-0.27198114155959652</v>
      </c>
      <c r="Q52">
        <f t="shared" si="28"/>
        <v>-0.29831390013530112</v>
      </c>
      <c r="R52">
        <f t="shared" si="28"/>
        <v>9.9009900990099098E-3</v>
      </c>
      <c r="S52">
        <f t="shared" si="28"/>
        <v>9.9009900990101318E-3</v>
      </c>
      <c r="T52">
        <f t="shared" si="28"/>
        <v>9.9009900990096877E-3</v>
      </c>
      <c r="U52">
        <f t="shared" si="28"/>
        <v>9.9009900990099098E-3</v>
      </c>
      <c r="V52">
        <f t="shared" si="28"/>
        <v>9.9009900990099098E-3</v>
      </c>
      <c r="W52">
        <f t="shared" si="28"/>
        <v>9.9009900990096877E-3</v>
      </c>
    </row>
    <row r="53" spans="1:36">
      <c r="B53" s="2487"/>
      <c r="H53"/>
      <c r="I53"/>
      <c r="J53"/>
      <c r="K53"/>
      <c r="L53"/>
      <c r="M53"/>
      <c r="N53"/>
      <c r="O53"/>
      <c r="P53"/>
      <c r="Q53"/>
      <c r="R53"/>
      <c r="S53"/>
      <c r="T53"/>
      <c r="U53"/>
      <c r="V53"/>
      <c r="W53"/>
    </row>
    <row r="54" spans="1:36">
      <c r="B54" s="2487"/>
      <c r="C54" s="2459" t="s">
        <v>1064</v>
      </c>
      <c r="H54"/>
      <c r="I54">
        <f t="shared" ref="I54:W54" si="29">IF(ISERROR(I143),0,I143)</f>
        <v>160.73370656692637</v>
      </c>
      <c r="J54">
        <f t="shared" si="29"/>
        <v>278.33656209394735</v>
      </c>
      <c r="K54">
        <f t="shared" si="29"/>
        <v>414.24426721918263</v>
      </c>
      <c r="L54">
        <f t="shared" si="29"/>
        <v>595.94443685675594</v>
      </c>
      <c r="M54">
        <f t="shared" si="29"/>
        <v>585.06489974720444</v>
      </c>
      <c r="N54">
        <f t="shared" si="29"/>
        <v>553.34706185562789</v>
      </c>
      <c r="O54">
        <f t="shared" si="29"/>
        <v>1080.2463250339033</v>
      </c>
      <c r="P54">
        <f t="shared" si="29"/>
        <v>786.43969638562339</v>
      </c>
      <c r="Q54">
        <f t="shared" si="29"/>
        <v>557.35214136896207</v>
      </c>
      <c r="R54">
        <f t="shared" si="29"/>
        <v>568.49918419634139</v>
      </c>
      <c r="S54">
        <f t="shared" si="29"/>
        <v>579.86916788026838</v>
      </c>
      <c r="T54">
        <f t="shared" si="29"/>
        <v>591.46655123787366</v>
      </c>
      <c r="U54">
        <f t="shared" si="29"/>
        <v>603.29588226263115</v>
      </c>
      <c r="V54">
        <f t="shared" si="29"/>
        <v>615.36179990788378</v>
      </c>
      <c r="W54">
        <f t="shared" si="29"/>
        <v>627.66903590604136</v>
      </c>
    </row>
    <row r="55" spans="1:36">
      <c r="B55" s="2487"/>
      <c r="H55" s="2434"/>
      <c r="I55"/>
      <c r="J55">
        <f t="shared" ref="J55:W55" si="30">IF(ISERROR(J54/I54-1),0,J54/I54-1)</f>
        <v>0.73166268630813569</v>
      </c>
      <c r="K55">
        <f t="shared" si="30"/>
        <v>0.48828549186205072</v>
      </c>
      <c r="L55">
        <f t="shared" si="30"/>
        <v>0.43863049899839202</v>
      </c>
      <c r="M55">
        <f t="shared" si="30"/>
        <v>-1.8255958838938824E-2</v>
      </c>
      <c r="N55">
        <f t="shared" si="30"/>
        <v>-5.4212511988466994E-2</v>
      </c>
      <c r="O55">
        <f t="shared" si="30"/>
        <v>0.95220395932227264</v>
      </c>
      <c r="P55">
        <f t="shared" si="30"/>
        <v>-0.27198114155959652</v>
      </c>
      <c r="Q55">
        <f t="shared" si="30"/>
        <v>-0.29129703913665417</v>
      </c>
      <c r="R55">
        <f t="shared" si="30"/>
        <v>2.000000000000024E-2</v>
      </c>
      <c r="S55">
        <f t="shared" si="30"/>
        <v>2.000000000000024E-2</v>
      </c>
      <c r="T55">
        <f t="shared" si="30"/>
        <v>1.9999999999999796E-2</v>
      </c>
      <c r="U55">
        <f t="shared" si="30"/>
        <v>2.0000000000000018E-2</v>
      </c>
      <c r="V55">
        <f t="shared" si="30"/>
        <v>2.0000000000000018E-2</v>
      </c>
      <c r="W55">
        <f t="shared" si="30"/>
        <v>1.9999999999999796E-2</v>
      </c>
    </row>
    <row r="56" spans="1:36" ht="12" customHeight="1">
      <c r="B56" s="2487"/>
      <c r="C56" s="2438" t="s">
        <v>1065</v>
      </c>
      <c r="D56" s="2484"/>
      <c r="E56" s="2484"/>
      <c r="F56" s="2484"/>
      <c r="G56">
        <f>_xll.ThomsonONEAddinShim.SpreadsheetFormulas.TF(SedolTicker,"ZAV(TF.FN.TaxRate(period=FY0))")/100</f>
        <v>3.1999999999999998E-125</v>
      </c>
      <c r="I56"/>
      <c r="J56"/>
      <c r="K56"/>
      <c r="L56"/>
      <c r="M56"/>
      <c r="N56"/>
      <c r="O56"/>
      <c r="P56"/>
      <c r="Q56"/>
      <c r="R56"/>
      <c r="S56"/>
      <c r="T56"/>
      <c r="U56"/>
      <c r="V56"/>
      <c r="W56"/>
    </row>
    <row r="57" spans="1:36">
      <c r="B57" s="2487"/>
      <c r="D57"/>
      <c r="E57"/>
      <c r="F57"/>
      <c r="G57"/>
      <c r="H57"/>
      <c r="I57"/>
      <c r="J57"/>
      <c r="K57"/>
      <c r="L57"/>
      <c r="M57"/>
      <c r="N57"/>
      <c r="O57"/>
      <c r="P57"/>
      <c r="Q57"/>
      <c r="R57"/>
      <c r="S57"/>
      <c r="T57"/>
      <c r="U57"/>
      <c r="V57"/>
      <c r="W57"/>
    </row>
    <row r="58" spans="1:36">
      <c r="B58" s="2487"/>
      <c r="C58" s="2459" t="s">
        <v>1225</v>
      </c>
      <c r="D58"/>
      <c r="E58"/>
      <c r="F58"/>
      <c r="G58"/>
      <c r="H58"/>
      <c r="I58"/>
      <c r="J58">
        <v>0.8</v>
      </c>
      <c r="K58">
        <v>0.8</v>
      </c>
      <c r="L58">
        <v>0.8</v>
      </c>
      <c r="M58">
        <v>0.8</v>
      </c>
      <c r="N58">
        <v>0.8</v>
      </c>
      <c r="O58">
        <v>0.8</v>
      </c>
      <c r="P58">
        <v>0.8</v>
      </c>
      <c r="Q58">
        <v>0.8</v>
      </c>
      <c r="R58">
        <v>0.8</v>
      </c>
      <c r="S58">
        <v>0.8</v>
      </c>
      <c r="T58">
        <v>0.8</v>
      </c>
      <c r="U58">
        <v>0.8</v>
      </c>
      <c r="V58">
        <v>0.8</v>
      </c>
      <c r="W58">
        <v>0.8</v>
      </c>
    </row>
    <row r="59" spans="1:36" s="2501" customFormat="1">
      <c r="A59" s="2498"/>
      <c r="B59"/>
      <c r="C59" s="2438" t="s">
        <v>1226</v>
      </c>
      <c r="D59" s="2484"/>
      <c r="E59" s="2484"/>
      <c r="F59" s="2484"/>
      <c r="G59" s="2484"/>
      <c r="H59"/>
      <c r="I59"/>
      <c r="J59" s="2475">
        <f t="shared" ref="J59:W59" si="31">J54*J58</f>
        <v>222.66924967515789</v>
      </c>
      <c r="K59" s="2475">
        <f t="shared" si="31"/>
        <v>331.39541377534613</v>
      </c>
      <c r="L59" s="2475">
        <f t="shared" si="31"/>
        <v>476.7555494854048</v>
      </c>
      <c r="M59" s="2475">
        <f t="shared" si="31"/>
        <v>468.05191979776356</v>
      </c>
      <c r="N59" s="2475">
        <f t="shared" si="31"/>
        <v>442.67764948450235</v>
      </c>
      <c r="O59" s="2475">
        <f t="shared" si="31"/>
        <v>864.19706002712269</v>
      </c>
      <c r="P59" s="2475">
        <f t="shared" si="31"/>
        <v>629.15175710849871</v>
      </c>
      <c r="Q59" s="2475">
        <f t="shared" si="31"/>
        <v>445.88171309516969</v>
      </c>
      <c r="R59" s="2475">
        <f t="shared" si="31"/>
        <v>454.79934735707315</v>
      </c>
      <c r="S59" s="2475">
        <f t="shared" si="31"/>
        <v>463.89533430421471</v>
      </c>
      <c r="T59" s="2475">
        <f t="shared" si="31"/>
        <v>473.17324099029895</v>
      </c>
      <c r="U59" s="2475">
        <f t="shared" si="31"/>
        <v>482.63670581010496</v>
      </c>
      <c r="V59" s="2475">
        <f t="shared" si="31"/>
        <v>492.28943992630707</v>
      </c>
      <c r="W59" s="2475">
        <f t="shared" si="31"/>
        <v>502.1352287248331</v>
      </c>
      <c r="X59"/>
      <c r="Y59"/>
      <c r="Z59"/>
      <c r="AA59"/>
      <c r="AB59"/>
      <c r="AC59"/>
      <c r="AD59"/>
      <c r="AE59"/>
      <c r="AF59"/>
      <c r="AJ59" s="2502"/>
    </row>
    <row r="60" spans="1:36" s="2501" customFormat="1">
      <c r="A60" s="2498"/>
      <c r="B60"/>
      <c r="C60" s="2438" t="s">
        <v>1227</v>
      </c>
      <c r="D60" s="2484"/>
      <c r="E60" s="2484"/>
      <c r="F60" s="2484"/>
      <c r="G60" s="2484"/>
      <c r="H60"/>
      <c r="I60"/>
      <c r="J60">
        <f t="shared" ref="J60:W60" si="32">J54-J59</f>
        <v>55.667312418789464</v>
      </c>
      <c r="K60">
        <f t="shared" si="32"/>
        <v>82.848853443836504</v>
      </c>
      <c r="L60">
        <f t="shared" si="32"/>
        <v>119.18888737135114</v>
      </c>
      <c r="M60">
        <f t="shared" si="32"/>
        <v>117.01297994944088</v>
      </c>
      <c r="N60">
        <f t="shared" si="32"/>
        <v>110.66941237112553</v>
      </c>
      <c r="O60">
        <f t="shared" si="32"/>
        <v>216.04926500678062</v>
      </c>
      <c r="P60">
        <f t="shared" si="32"/>
        <v>157.28793927712468</v>
      </c>
      <c r="Q60">
        <f t="shared" si="32"/>
        <v>111.47042827379238</v>
      </c>
      <c r="R60">
        <f t="shared" si="32"/>
        <v>113.69983683926824</v>
      </c>
      <c r="S60">
        <f t="shared" si="32"/>
        <v>115.97383357605366</v>
      </c>
      <c r="T60">
        <f t="shared" si="32"/>
        <v>118.29331024757471</v>
      </c>
      <c r="U60">
        <f t="shared" si="32"/>
        <v>120.6591764525262</v>
      </c>
      <c r="V60">
        <f t="shared" si="32"/>
        <v>123.07235998157671</v>
      </c>
      <c r="W60">
        <f t="shared" si="32"/>
        <v>125.53380718120826</v>
      </c>
      <c r="X60" s="2484"/>
      <c r="Y60" s="2484"/>
      <c r="Z60" s="2484"/>
      <c r="AA60"/>
      <c r="AB60"/>
      <c r="AC60"/>
      <c r="AD60"/>
      <c r="AE60"/>
      <c r="AF60"/>
      <c r="AJ60" s="2502"/>
    </row>
    <row r="61" spans="1:36">
      <c r="B61" s="2487"/>
      <c r="D61"/>
      <c r="E61"/>
      <c r="F61"/>
      <c r="G61"/>
      <c r="H61"/>
      <c r="I61"/>
      <c r="J61"/>
      <c r="K61"/>
      <c r="L61"/>
      <c r="M61"/>
      <c r="N61"/>
      <c r="O61"/>
      <c r="P61"/>
      <c r="Q61"/>
      <c r="R61"/>
      <c r="S61"/>
      <c r="T61"/>
      <c r="U61"/>
      <c r="V61"/>
      <c r="W61"/>
    </row>
    <row r="62" spans="1:36">
      <c r="B62" s="2487"/>
      <c r="H62"/>
      <c r="I62"/>
      <c r="J62"/>
      <c r="K62"/>
      <c r="L62"/>
      <c r="M62"/>
      <c r="N62"/>
      <c r="O62"/>
      <c r="P62"/>
      <c r="Q62"/>
      <c r="R62"/>
      <c r="S62"/>
      <c r="T62"/>
      <c r="U62"/>
      <c r="V62"/>
      <c r="W62"/>
    </row>
    <row r="63" spans="1:36">
      <c r="B63" s="2487"/>
      <c r="C63" s="2459" t="s">
        <v>1228</v>
      </c>
      <c r="H63">
        <f t="shared" ref="H63:P63" si="33">IF(ISERROR(H76),0,H76)</f>
        <v>492</v>
      </c>
      <c r="I63">
        <f t="shared" si="33"/>
        <v>508</v>
      </c>
      <c r="J63">
        <f t="shared" si="33"/>
        <v>521</v>
      </c>
      <c r="K63">
        <f t="shared" si="33"/>
        <v>549</v>
      </c>
      <c r="L63">
        <f t="shared" si="33"/>
        <v>580</v>
      </c>
      <c r="M63">
        <f t="shared" si="33"/>
        <v>613</v>
      </c>
      <c r="N63">
        <f t="shared" si="33"/>
        <v>647</v>
      </c>
      <c r="O63">
        <f t="shared" si="33"/>
        <v>685</v>
      </c>
      <c r="P63">
        <f t="shared" si="33"/>
        <v>765</v>
      </c>
      <c r="Q63">
        <f t="shared" ref="Q63:W63" si="34">P63*(1+Q64)</f>
        <v>780.30000000000007</v>
      </c>
      <c r="R63">
        <f t="shared" si="34"/>
        <v>795.90600000000006</v>
      </c>
      <c r="S63">
        <f t="shared" si="34"/>
        <v>811.82412000000011</v>
      </c>
      <c r="T63">
        <f t="shared" si="34"/>
        <v>828.06060240000011</v>
      </c>
      <c r="U63">
        <f t="shared" si="34"/>
        <v>844.62181444800012</v>
      </c>
      <c r="V63">
        <f t="shared" si="34"/>
        <v>861.51425073696009</v>
      </c>
      <c r="W63">
        <f t="shared" si="34"/>
        <v>878.74453575169935</v>
      </c>
    </row>
    <row r="64" spans="1:36">
      <c r="B64" s="2487"/>
      <c r="C64" t="s">
        <v>1229</v>
      </c>
      <c r="D64"/>
      <c r="E64"/>
      <c r="F64"/>
      <c r="G64"/>
      <c r="H64"/>
      <c r="I64">
        <f t="shared" ref="I64:P64" si="35">IF(ISERROR(I63/H63-1),0,I63/H63-1)</f>
        <v>3.2520325203251987E-2</v>
      </c>
      <c r="J64">
        <f t="shared" si="35"/>
        <v>2.5590551181102317E-2</v>
      </c>
      <c r="K64">
        <f t="shared" si="35"/>
        <v>5.3742802303262893E-2</v>
      </c>
      <c r="L64">
        <f t="shared" si="35"/>
        <v>5.6466302367941701E-2</v>
      </c>
      <c r="M64">
        <f t="shared" si="35"/>
        <v>5.6896551724137989E-2</v>
      </c>
      <c r="N64">
        <f t="shared" si="35"/>
        <v>5.5464926590538255E-2</v>
      </c>
      <c r="O64">
        <f t="shared" si="35"/>
        <v>5.8732612055641509E-2</v>
      </c>
      <c r="P64">
        <f t="shared" si="35"/>
        <v>0.11678832116788329</v>
      </c>
      <c r="Q64">
        <v>0.02</v>
      </c>
      <c r="R64">
        <v>0.02</v>
      </c>
      <c r="S64">
        <v>0.02</v>
      </c>
      <c r="T64">
        <v>0.02</v>
      </c>
      <c r="U64">
        <v>0.02</v>
      </c>
      <c r="V64">
        <v>0.02</v>
      </c>
      <c r="W64">
        <v>0.02</v>
      </c>
      <c r="X64"/>
      <c r="Y64"/>
      <c r="Z64"/>
    </row>
    <row r="65" spans="1:36">
      <c r="B65" s="2487"/>
      <c r="H65"/>
      <c r="I65"/>
      <c r="J65"/>
      <c r="K65"/>
      <c r="L65"/>
      <c r="M65"/>
      <c r="N65"/>
      <c r="O65"/>
      <c r="P65"/>
      <c r="Q65"/>
      <c r="R65"/>
      <c r="S65"/>
      <c r="T65"/>
      <c r="U65"/>
      <c r="V65"/>
      <c r="W65"/>
    </row>
    <row r="66" spans="1:36">
      <c r="B66" s="2487"/>
      <c r="C66" t="s">
        <v>18</v>
      </c>
      <c r="H66">
        <f t="shared" ref="H66:W66" si="36">IF(ISERROR(H$68+SUM(H77:H81)),0,H$68+SUM(H77:H81))</f>
        <v>3397</v>
      </c>
      <c r="I66">
        <f t="shared" si="36"/>
        <v>3132</v>
      </c>
      <c r="J66">
        <f t="shared" si="36"/>
        <v>3073</v>
      </c>
      <c r="K66">
        <f t="shared" si="36"/>
        <v>3120</v>
      </c>
      <c r="L66">
        <f t="shared" si="36"/>
        <v>3439</v>
      </c>
      <c r="M66">
        <f t="shared" si="36"/>
        <v>3690</v>
      </c>
      <c r="N66">
        <f t="shared" si="36"/>
        <v>3870</v>
      </c>
      <c r="O66">
        <f t="shared" si="36"/>
        <v>4753</v>
      </c>
      <c r="P66">
        <f t="shared" si="36"/>
        <v>5177</v>
      </c>
      <c r="Q66">
        <f t="shared" si="36"/>
        <v>5280.5399999999991</v>
      </c>
      <c r="R66">
        <f t="shared" si="36"/>
        <v>5386.1507999999994</v>
      </c>
      <c r="S66">
        <f t="shared" si="36"/>
        <v>5493.8738159999994</v>
      </c>
      <c r="T66">
        <f t="shared" si="36"/>
        <v>5603.7512923200002</v>
      </c>
      <c r="U66">
        <f t="shared" si="36"/>
        <v>5715.8263181664006</v>
      </c>
      <c r="V66">
        <f t="shared" si="36"/>
        <v>5830.1428445297279</v>
      </c>
      <c r="W66">
        <f t="shared" si="36"/>
        <v>5946.7457014203228</v>
      </c>
    </row>
    <row r="67" spans="1:36">
      <c r="C67" t="s">
        <v>19</v>
      </c>
      <c r="D67"/>
      <c r="E67"/>
      <c r="F67"/>
      <c r="G67"/>
      <c r="H67"/>
      <c r="I67">
        <f t="shared" ref="I67:W67" si="37">IF(ISERROR(I66/H66-1),0,I66/H66-1)</f>
        <v>-7.8010008831321809E-2</v>
      </c>
      <c r="J67">
        <f t="shared" si="37"/>
        <v>-1.8837803320561952E-2</v>
      </c>
      <c r="K67">
        <f t="shared" si="37"/>
        <v>1.529450048812242E-2</v>
      </c>
      <c r="L67">
        <f t="shared" si="37"/>
        <v>0.10224358974358982</v>
      </c>
      <c r="M67">
        <f t="shared" si="37"/>
        <v>7.298633323640602E-2</v>
      </c>
      <c r="N67">
        <f t="shared" si="37"/>
        <v>4.8780487804878092E-2</v>
      </c>
      <c r="O67">
        <f t="shared" si="37"/>
        <v>0.22816537467700249</v>
      </c>
      <c r="P67">
        <f t="shared" si="37"/>
        <v>8.9206816747317452E-2</v>
      </c>
      <c r="Q67">
        <f t="shared" si="37"/>
        <v>1.9999999999999796E-2</v>
      </c>
      <c r="R67">
        <f t="shared" si="37"/>
        <v>2.0000000000000018E-2</v>
      </c>
      <c r="S67">
        <f t="shared" si="37"/>
        <v>2.0000000000000018E-2</v>
      </c>
      <c r="T67">
        <f t="shared" si="37"/>
        <v>2.000000000000024E-2</v>
      </c>
      <c r="U67">
        <f t="shared" si="37"/>
        <v>2.0000000000000018E-2</v>
      </c>
      <c r="V67">
        <f t="shared" si="37"/>
        <v>1.9999999999999796E-2</v>
      </c>
      <c r="W67">
        <f t="shared" si="37"/>
        <v>2.0000000000000018E-2</v>
      </c>
    </row>
    <row r="68" spans="1:36" s="2442" customFormat="1" ht="12.75" customHeight="1">
      <c r="A68" s="2436"/>
      <c r="B68" s="2437"/>
      <c r="C68" s="2438" t="s">
        <v>20</v>
      </c>
      <c r="D68" s="2438"/>
      <c r="E68" s="2438"/>
      <c r="F68" s="2438"/>
      <c r="G68" s="2438"/>
      <c r="H68">
        <f>_xll.ThomsonONEAddinShim.SpreadsheetFormulas.TF(SedolTicker,"ZAV(TF.FN.LeaseCommitmentsOver5Yrs(period=FY0,sdate=FY-8,edate=FY0,,curn=#1,scale=6))","dataDir=across",$J$3)</f>
        <v>1334</v>
      </c>
      <c r="I68" s="2543">
        <v>1115</v>
      </c>
      <c r="J68" s="2543">
        <v>1072</v>
      </c>
      <c r="K68" s="2543">
        <v>1020</v>
      </c>
      <c r="L68" s="2543">
        <v>1192</v>
      </c>
      <c r="M68" s="2543">
        <v>1371</v>
      </c>
      <c r="N68" s="2543">
        <v>1455</v>
      </c>
      <c r="O68" s="2543">
        <v>1970</v>
      </c>
      <c r="P68" s="2543">
        <v>2112</v>
      </c>
      <c r="Q68" s="2475">
        <f t="shared" ref="Q68:W68" si="38">SUM(Q82:Q95)</f>
        <v>2154.2399999999998</v>
      </c>
      <c r="R68" s="2475">
        <f t="shared" si="38"/>
        <v>2197.3247999999999</v>
      </c>
      <c r="S68" s="2475">
        <f t="shared" si="38"/>
        <v>2241.2712959999999</v>
      </c>
      <c r="T68" s="2475">
        <f t="shared" si="38"/>
        <v>2286.0967219200002</v>
      </c>
      <c r="U68" s="2475">
        <f t="shared" si="38"/>
        <v>2331.8186563583999</v>
      </c>
      <c r="V68" s="2475">
        <f t="shared" si="38"/>
        <v>2378.455029485568</v>
      </c>
      <c r="W68" s="2475">
        <f t="shared" si="38"/>
        <v>2426.0241300752796</v>
      </c>
      <c r="AA68"/>
      <c r="AB68"/>
      <c r="AC68"/>
      <c r="AD68"/>
      <c r="AE68"/>
      <c r="AF68"/>
      <c r="AJ68" s="2448"/>
    </row>
    <row r="69" spans="1:36">
      <c r="H69"/>
      <c r="I69"/>
      <c r="J69"/>
      <c r="K69"/>
      <c r="L69"/>
      <c r="M69"/>
      <c r="N69"/>
      <c r="O69"/>
      <c r="P69"/>
      <c r="Q69"/>
      <c r="R69"/>
      <c r="S69"/>
      <c r="T69"/>
      <c r="U69"/>
      <c r="V69"/>
      <c r="W69"/>
    </row>
    <row r="70" spans="1:36">
      <c r="C70" s="2438" t="s">
        <v>21</v>
      </c>
      <c r="H70">
        <v>10</v>
      </c>
      <c r="I70">
        <v>10</v>
      </c>
      <c r="J70">
        <v>10</v>
      </c>
      <c r="K70">
        <v>10</v>
      </c>
      <c r="L70">
        <v>10</v>
      </c>
      <c r="M70">
        <v>10</v>
      </c>
      <c r="N70">
        <v>10</v>
      </c>
      <c r="O70">
        <v>10</v>
      </c>
      <c r="P70">
        <v>10</v>
      </c>
      <c r="Q70" s="2438"/>
      <c r="R70" s="2438"/>
      <c r="S70" s="2438"/>
      <c r="T70" s="2438"/>
      <c r="U70" s="2438"/>
      <c r="V70" s="2438"/>
      <c r="W70" s="2438"/>
    </row>
    <row r="71" spans="1:36">
      <c r="C71" s="2459" t="s">
        <v>22</v>
      </c>
      <c r="H71">
        <v>5</v>
      </c>
      <c r="I71">
        <v>5</v>
      </c>
      <c r="J71">
        <v>5</v>
      </c>
      <c r="K71">
        <v>5</v>
      </c>
      <c r="L71">
        <v>5</v>
      </c>
      <c r="M71">
        <v>5</v>
      </c>
      <c r="N71">
        <v>5</v>
      </c>
      <c r="O71">
        <v>5</v>
      </c>
      <c r="P71">
        <v>5</v>
      </c>
      <c r="Q71" s="2438"/>
      <c r="R71" s="2438"/>
      <c r="S71" s="2438"/>
      <c r="T71" s="2438"/>
      <c r="U71" s="2438"/>
      <c r="V71" s="2438"/>
      <c r="W71" s="2438"/>
    </row>
    <row r="72" spans="1:36">
      <c r="C72" s="2459" t="s">
        <v>23</v>
      </c>
      <c r="H72" s="2505">
        <f t="shared" ref="H72:P72" si="39">1-H71/H70</f>
        <v>0.5</v>
      </c>
      <c r="I72" s="2505">
        <f t="shared" si="39"/>
        <v>0.5</v>
      </c>
      <c r="J72" s="2505">
        <f t="shared" si="39"/>
        <v>0.5</v>
      </c>
      <c r="K72" s="2505">
        <f t="shared" si="39"/>
        <v>0.5</v>
      </c>
      <c r="L72" s="2505">
        <f t="shared" si="39"/>
        <v>0.5</v>
      </c>
      <c r="M72" s="2505">
        <f t="shared" si="39"/>
        <v>0.5</v>
      </c>
      <c r="N72" s="2505">
        <f t="shared" si="39"/>
        <v>0.5</v>
      </c>
      <c r="O72" s="2505">
        <f t="shared" si="39"/>
        <v>0.5</v>
      </c>
      <c r="P72" s="2505">
        <f t="shared" si="39"/>
        <v>0.5</v>
      </c>
      <c r="Q72"/>
      <c r="R72"/>
      <c r="S72"/>
      <c r="T72"/>
      <c r="U72"/>
      <c r="V72"/>
      <c r="W72"/>
    </row>
    <row r="73" spans="1:36">
      <c r="H73"/>
      <c r="I73"/>
      <c r="J73"/>
      <c r="K73"/>
      <c r="L73"/>
      <c r="M73"/>
      <c r="N73"/>
      <c r="O73"/>
      <c r="P73"/>
      <c r="Q73"/>
      <c r="R73"/>
      <c r="S73"/>
      <c r="T73"/>
      <c r="U73"/>
      <c r="V73"/>
      <c r="W73"/>
    </row>
    <row r="74" spans="1:36" outlineLevel="1">
      <c r="B74" s="2487"/>
      <c r="C74" t="s">
        <v>24</v>
      </c>
      <c r="D74"/>
      <c r="E74"/>
      <c r="F74"/>
      <c r="G74"/>
      <c r="H74">
        <f t="shared" ref="H74:W74" si="40">H9</f>
        <v>39841</v>
      </c>
      <c r="I74">
        <f t="shared" si="40"/>
        <v>40206</v>
      </c>
      <c r="J74">
        <f t="shared" si="40"/>
        <v>40571</v>
      </c>
      <c r="K74">
        <f t="shared" si="40"/>
        <v>40936</v>
      </c>
      <c r="L74">
        <f t="shared" si="40"/>
        <v>41302</v>
      </c>
      <c r="M74">
        <f t="shared" si="40"/>
        <v>41667</v>
      </c>
      <c r="N74">
        <f t="shared" si="40"/>
        <v>42032</v>
      </c>
      <c r="O74">
        <f t="shared" si="40"/>
        <v>42397</v>
      </c>
      <c r="P74">
        <f t="shared" si="40"/>
        <v>42763</v>
      </c>
      <c r="Q74">
        <f t="shared" si="40"/>
        <v>43128</v>
      </c>
      <c r="R74">
        <f t="shared" si="40"/>
        <v>43493</v>
      </c>
      <c r="S74">
        <f t="shared" si="40"/>
        <v>43858</v>
      </c>
      <c r="T74">
        <f t="shared" si="40"/>
        <v>44224</v>
      </c>
      <c r="U74">
        <f t="shared" si="40"/>
        <v>44589</v>
      </c>
      <c r="V74">
        <f t="shared" si="40"/>
        <v>44954</v>
      </c>
      <c r="W74">
        <f t="shared" si="40"/>
        <v>45319</v>
      </c>
    </row>
    <row r="75" spans="1:36" outlineLevel="1">
      <c r="B75" s="2487"/>
      <c r="C75"/>
      <c r="D75"/>
      <c r="E75"/>
      <c r="F75"/>
      <c r="G75"/>
      <c r="H75"/>
      <c r="I75"/>
      <c r="J75"/>
      <c r="K75"/>
      <c r="L75"/>
      <c r="M75"/>
      <c r="N75"/>
      <c r="O75"/>
      <c r="P75"/>
      <c r="Q75"/>
      <c r="R75"/>
      <c r="S75"/>
      <c r="T75"/>
      <c r="U75"/>
      <c r="V75"/>
      <c r="W75"/>
    </row>
    <row r="76" spans="1:36" customFormat="1" ht="12" customHeight="1" outlineLevel="1">
      <c r="B76" s="2450"/>
      <c r="C76" s="2477" t="s">
        <v>25</v>
      </c>
      <c r="H76">
        <f>_xll.ThomsonONEAddinShim.SpreadsheetFormulas.TF(SedolTicker,"ZAV(TF.FN.RentalAndOperLeaseExpense(period=FY0,sdate=FY-8,edate=FY0,curn=#1,Scale=6)@TF.RF.RentalExpenseSupplemental(period=FY0,sdate=FY-8,edate=FY0,curn=#1,Scale=6))","dataDir=across",$J$3)</f>
        <v>492</v>
      </c>
      <c r="I76" s="2543">
        <v>508</v>
      </c>
      <c r="J76" s="2543">
        <v>521</v>
      </c>
      <c r="K76" s="2543">
        <v>549</v>
      </c>
      <c r="L76" s="2543">
        <v>580</v>
      </c>
      <c r="M76" s="2543">
        <v>613</v>
      </c>
      <c r="N76" s="2543">
        <v>647</v>
      </c>
      <c r="O76" s="2543">
        <v>685</v>
      </c>
      <c r="P76" s="2543">
        <v>765</v>
      </c>
      <c r="Q76" s="2475">
        <f t="shared" ref="Q76:W91" si="41">P76*(1+Q$64)</f>
        <v>780.30000000000007</v>
      </c>
      <c r="R76" s="2475">
        <f t="shared" si="41"/>
        <v>795.90600000000006</v>
      </c>
      <c r="S76" s="2475">
        <f t="shared" si="41"/>
        <v>811.82412000000011</v>
      </c>
      <c r="T76" s="2475">
        <f t="shared" si="41"/>
        <v>828.06060240000011</v>
      </c>
      <c r="U76" s="2475">
        <f t="shared" si="41"/>
        <v>844.62181444800012</v>
      </c>
      <c r="V76" s="2475">
        <f t="shared" si="41"/>
        <v>861.51425073696009</v>
      </c>
      <c r="W76" s="2475">
        <f t="shared" si="41"/>
        <v>878.74453575169935</v>
      </c>
    </row>
    <row r="77" spans="1:36" customFormat="1" ht="12" customHeight="1" outlineLevel="1">
      <c r="B77" s="2450"/>
      <c r="C77" s="2477" t="s">
        <v>26</v>
      </c>
      <c r="H77">
        <f>_xll.ThomsonONEAddinShim.SpreadsheetFormulas.TF(SedolTicker,"ZAV(TF.FN.LeaseCommitmentsYr1(period=FY0,sdate=FY-8,edate=FY0,curn=#1,Scale=6))","dataDir=across",$J$3)</f>
        <v>478</v>
      </c>
      <c r="I77" s="2543">
        <v>478</v>
      </c>
      <c r="J77" s="2543">
        <v>475</v>
      </c>
      <c r="K77" s="2543">
        <v>493</v>
      </c>
      <c r="L77" s="2543">
        <v>527</v>
      </c>
      <c r="M77" s="2543">
        <v>559</v>
      </c>
      <c r="N77" s="2543">
        <v>588</v>
      </c>
      <c r="O77" s="2543">
        <v>640</v>
      </c>
      <c r="P77" s="2543">
        <v>707</v>
      </c>
      <c r="Q77" s="2475">
        <f t="shared" si="41"/>
        <v>721.14</v>
      </c>
      <c r="R77" s="2475">
        <f t="shared" si="41"/>
        <v>735.56280000000004</v>
      </c>
      <c r="S77" s="2475">
        <f t="shared" si="41"/>
        <v>750.27405600000009</v>
      </c>
      <c r="T77" s="2475">
        <f t="shared" si="41"/>
        <v>765.2795371200001</v>
      </c>
      <c r="U77" s="2475">
        <f t="shared" si="41"/>
        <v>780.5851278624001</v>
      </c>
      <c r="V77" s="2475">
        <f t="shared" si="41"/>
        <v>796.19683041964811</v>
      </c>
      <c r="W77" s="2475">
        <f t="shared" si="41"/>
        <v>812.12076702804109</v>
      </c>
    </row>
    <row r="78" spans="1:36" customFormat="1" ht="12" customHeight="1" outlineLevel="1">
      <c r="B78" s="2450"/>
      <c r="C78" s="2477" t="s">
        <v>27</v>
      </c>
      <c r="H78">
        <f>_xll.ThomsonONEAddinShim.SpreadsheetFormulas.TF(SedolTicker,"ZAV(TF.FN.LeaseCommitmentsYr2(period=FY0,sdate=FY-8,edate=FY0,curn=#1,Scale=6))","dataDir=across",$J$3)</f>
        <v>455</v>
      </c>
      <c r="I78" s="2543">
        <v>444</v>
      </c>
      <c r="J78" s="2543">
        <v>433</v>
      </c>
      <c r="K78" s="2543">
        <v>463</v>
      </c>
      <c r="L78" s="2543">
        <v>507</v>
      </c>
      <c r="M78" s="2543">
        <v>526</v>
      </c>
      <c r="N78" s="2543">
        <v>556</v>
      </c>
      <c r="O78" s="2543">
        <v>625</v>
      </c>
      <c r="P78" s="2543">
        <v>651</v>
      </c>
      <c r="Q78" s="2475">
        <f t="shared" si="41"/>
        <v>664.02</v>
      </c>
      <c r="R78" s="2475">
        <f t="shared" si="41"/>
        <v>677.30039999999997</v>
      </c>
      <c r="S78" s="2475">
        <f t="shared" si="41"/>
        <v>690.846408</v>
      </c>
      <c r="T78" s="2475">
        <f t="shared" si="41"/>
        <v>704.66333615999997</v>
      </c>
      <c r="U78" s="2475">
        <f t="shared" si="41"/>
        <v>718.7566028832</v>
      </c>
      <c r="V78" s="2475">
        <f t="shared" si="41"/>
        <v>733.13173494086402</v>
      </c>
      <c r="W78" s="2475">
        <f t="shared" si="41"/>
        <v>747.79436963968135</v>
      </c>
    </row>
    <row r="79" spans="1:36" customFormat="1" ht="12" customHeight="1" outlineLevel="1">
      <c r="B79" s="2450"/>
      <c r="C79" s="2477" t="s">
        <v>28</v>
      </c>
      <c r="H79">
        <f>_xll.ThomsonONEAddinShim.SpreadsheetFormulas.TF(SedolTicker,"ZAV(TF.FN.LeaseCommitmentsYr3(period=FY0,sdate=FY-8,edate=FY0,curn=#1,Scale=6))","dataDir=across",$J$3)</f>
        <v>416</v>
      </c>
      <c r="I79" s="2543">
        <v>396</v>
      </c>
      <c r="J79" s="2543">
        <v>396</v>
      </c>
      <c r="K79" s="2543">
        <v>434</v>
      </c>
      <c r="L79" s="2543">
        <v>456</v>
      </c>
      <c r="M79" s="2543">
        <v>478</v>
      </c>
      <c r="N79" s="2543">
        <v>494</v>
      </c>
      <c r="O79" s="2543">
        <v>546</v>
      </c>
      <c r="P79" s="2543">
        <v>605</v>
      </c>
      <c r="Q79" s="2475">
        <f t="shared" si="41"/>
        <v>617.1</v>
      </c>
      <c r="R79" s="2475">
        <f t="shared" si="41"/>
        <v>629.44200000000001</v>
      </c>
      <c r="S79" s="2475">
        <f t="shared" si="41"/>
        <v>642.03084000000001</v>
      </c>
      <c r="T79" s="2475">
        <f t="shared" si="41"/>
        <v>654.87145680000003</v>
      </c>
      <c r="U79" s="2475">
        <f t="shared" si="41"/>
        <v>667.96888593599999</v>
      </c>
      <c r="V79" s="2475">
        <f t="shared" si="41"/>
        <v>681.32826365471999</v>
      </c>
      <c r="W79" s="2475">
        <f t="shared" si="41"/>
        <v>694.95482892781445</v>
      </c>
    </row>
    <row r="80" spans="1:36" customFormat="1" ht="12" customHeight="1" outlineLevel="1">
      <c r="B80" s="2450"/>
      <c r="C80" s="2477" t="s">
        <v>29</v>
      </c>
      <c r="H80">
        <f>_xll.ThomsonONEAddinShim.SpreadsheetFormulas.TF(SedolTicker,"ZAV(TF.FN.LeaseCommitmentsYr4(period=FY0,sdate=FY-8,edate=FY0,curn=#1,Scale=6))","dataDir=across",$J$3)</f>
        <v>373</v>
      </c>
      <c r="I80" s="2543">
        <v>362</v>
      </c>
      <c r="J80" s="2543">
        <v>371</v>
      </c>
      <c r="K80" s="2543">
        <v>381</v>
      </c>
      <c r="L80" s="2543">
        <v>406</v>
      </c>
      <c r="M80" s="2543">
        <v>418</v>
      </c>
      <c r="N80" s="2543">
        <v>413</v>
      </c>
      <c r="O80" s="2543">
        <v>500</v>
      </c>
      <c r="P80" s="2543">
        <v>571</v>
      </c>
      <c r="Q80" s="2475">
        <f t="shared" si="41"/>
        <v>582.41999999999996</v>
      </c>
      <c r="R80" s="2475">
        <f t="shared" si="41"/>
        <v>594.0684</v>
      </c>
      <c r="S80" s="2475">
        <f t="shared" si="41"/>
        <v>605.94976800000006</v>
      </c>
      <c r="T80" s="2475">
        <f t="shared" si="41"/>
        <v>618.06876336000005</v>
      </c>
      <c r="U80" s="2475">
        <f t="shared" si="41"/>
        <v>630.43013862720011</v>
      </c>
      <c r="V80" s="2475">
        <f t="shared" si="41"/>
        <v>643.03874139974414</v>
      </c>
      <c r="W80" s="2475">
        <f t="shared" si="41"/>
        <v>655.89951622773901</v>
      </c>
    </row>
    <row r="81" spans="2:23" customFormat="1" ht="12" customHeight="1" outlineLevel="1">
      <c r="B81" s="2450"/>
      <c r="C81" s="2477" t="s">
        <v>30</v>
      </c>
      <c r="H81">
        <f>_xll.ThomsonONEAddinShim.SpreadsheetFormulas.TF(SedolTicker,"ZAV(TF.FN.LeaseCommitmentsYr5(period=FY0,sdate=FY-8,edate=FY0,curn=#1,Scale=6))","dataDir=across",$J$3)</f>
        <v>341</v>
      </c>
      <c r="I81" s="2543">
        <v>337</v>
      </c>
      <c r="J81" s="2543">
        <v>326</v>
      </c>
      <c r="K81" s="2543">
        <v>329</v>
      </c>
      <c r="L81" s="2543">
        <v>351</v>
      </c>
      <c r="M81" s="2543">
        <v>338</v>
      </c>
      <c r="N81" s="2543">
        <v>364</v>
      </c>
      <c r="O81" s="2543">
        <v>472</v>
      </c>
      <c r="P81" s="2543">
        <v>531</v>
      </c>
      <c r="Q81" s="2475">
        <f t="shared" si="41"/>
        <v>541.62</v>
      </c>
      <c r="R81" s="2475">
        <f t="shared" si="41"/>
        <v>552.45240000000001</v>
      </c>
      <c r="S81" s="2475">
        <f t="shared" si="41"/>
        <v>563.50144799999998</v>
      </c>
      <c r="T81" s="2475">
        <f t="shared" si="41"/>
        <v>574.77147695999997</v>
      </c>
      <c r="U81" s="2475">
        <f t="shared" si="41"/>
        <v>586.26690649919999</v>
      </c>
      <c r="V81" s="2475">
        <f t="shared" si="41"/>
        <v>597.99224462918403</v>
      </c>
      <c r="W81" s="2475">
        <f t="shared" si="41"/>
        <v>609.95208952176768</v>
      </c>
    </row>
    <row r="82" spans="2:23" customFormat="1" outlineLevel="1">
      <c r="B82" s="2450"/>
      <c r="C82" t="s">
        <v>31</v>
      </c>
      <c r="H82" s="2476">
        <f t="shared" ref="H82:P82" si="42">IF(ISERROR(H68/H71),"NA",H68/H71)</f>
        <v>266.8</v>
      </c>
      <c r="I82" s="2476">
        <f t="shared" si="42"/>
        <v>223</v>
      </c>
      <c r="J82" s="2476">
        <f t="shared" si="42"/>
        <v>214.4</v>
      </c>
      <c r="K82" s="2476">
        <f t="shared" si="42"/>
        <v>204</v>
      </c>
      <c r="L82" s="2476">
        <f t="shared" si="42"/>
        <v>238.4</v>
      </c>
      <c r="M82" s="2476">
        <f t="shared" si="42"/>
        <v>274.2</v>
      </c>
      <c r="N82" s="2476">
        <f t="shared" si="42"/>
        <v>291</v>
      </c>
      <c r="O82" s="2476">
        <f t="shared" si="42"/>
        <v>394</v>
      </c>
      <c r="P82" s="2476">
        <f t="shared" si="42"/>
        <v>422.4</v>
      </c>
      <c r="Q82" s="2475">
        <f t="shared" si="41"/>
        <v>430.84799999999996</v>
      </c>
      <c r="R82" s="2475">
        <f t="shared" si="41"/>
        <v>439.46495999999996</v>
      </c>
      <c r="S82" s="2475">
        <f t="shared" si="41"/>
        <v>448.25425919999998</v>
      </c>
      <c r="T82" s="2475">
        <f t="shared" si="41"/>
        <v>457.21934438400001</v>
      </c>
      <c r="U82" s="2475">
        <f t="shared" si="41"/>
        <v>466.36373127168002</v>
      </c>
      <c r="V82" s="2475">
        <f t="shared" si="41"/>
        <v>475.69100589711366</v>
      </c>
      <c r="W82" s="2475">
        <f t="shared" si="41"/>
        <v>485.20482601505591</v>
      </c>
    </row>
    <row r="83" spans="2:23" customFormat="1" outlineLevel="1">
      <c r="B83" s="2450"/>
      <c r="C83" t="s">
        <v>32</v>
      </c>
      <c r="H83" s="2476">
        <f>IF(ISERROR(IF(ROUND(SUM(H$82:H82),3)&gt;=ROUND(H$68,3),0,H$68/H$71)),"NA",IF(ROUND(SUM(H$82:H82),3)&gt;=ROUND(H$68,3),0,H$68/H$71))</f>
        <v>266.8</v>
      </c>
      <c r="I83" s="2476">
        <f>IF(ISERROR(IF(ROUND(SUM(I$82:I82),3)&gt;=ROUND(I$68,3),0,I$68/I$71)),"NA",IF(ROUND(SUM(I$82:I82),3)&gt;=ROUND(I$68,3),0,I$68/I$71))</f>
        <v>223</v>
      </c>
      <c r="J83" s="2476">
        <f>IF(ISERROR(IF(ROUND(SUM(J$82:J82),3)&gt;=ROUND(J$68,3),0,J$68/J$71)),"NA",IF(ROUND(SUM(J$82:J82),3)&gt;=ROUND(J$68,3),0,J$68/J$71))</f>
        <v>214.4</v>
      </c>
      <c r="K83" s="2476">
        <f>IF(ISERROR(IF(ROUND(SUM(K$82:K82),3)&gt;=ROUND(K$68,3),0,K$68/K$71)),"NA",IF(ROUND(SUM(K$82:K82),3)&gt;=ROUND(K$68,3),0,K$68/K$71))</f>
        <v>204</v>
      </c>
      <c r="L83" s="2476">
        <f>IF(ISERROR(IF(ROUND(SUM(L$82:L82),3)&gt;=ROUND(L$68,3),0,L$68/L$71)),"NA",IF(ROUND(SUM(L$82:L82),3)&gt;=ROUND(L$68,3),0,L$68/L$71))</f>
        <v>238.4</v>
      </c>
      <c r="M83" s="2476">
        <f>IF(ISERROR(IF(ROUND(SUM(M$82:M82),3)&gt;=ROUND(M$68,3),0,M$68/M$71)),"NA",IF(ROUND(SUM(M$82:M82),3)&gt;=ROUND(M$68,3),0,M$68/M$71))</f>
        <v>274.2</v>
      </c>
      <c r="N83" s="2476">
        <f>IF(ISERROR(IF(ROUND(SUM(N$82:N82),3)&gt;=ROUND(N$68,3),0,N$68/N$71)),"NA",IF(ROUND(SUM(N$82:N82),3)&gt;=ROUND(N$68,3),0,N$68/N$71))</f>
        <v>291</v>
      </c>
      <c r="O83" s="2476">
        <f>IF(ISERROR(IF(ROUND(SUM(O$82:O82),3)&gt;=ROUND(O$68,3),0,O$68/O$71)),"NA",IF(ROUND(SUM(O$82:O82),3)&gt;=ROUND(O$68,3),0,O$68/O$71))</f>
        <v>394</v>
      </c>
      <c r="P83" s="2476">
        <f>IF(ISERROR(IF(ROUND(SUM(P$82:P82),3)&gt;=ROUND(P$68,3),0,P$68/P$71)),"NA",IF(ROUND(SUM(P$82:P82),3)&gt;=ROUND(P$68,3),0,P$68/P$71))</f>
        <v>422.4</v>
      </c>
      <c r="Q83" s="2475">
        <f t="shared" si="41"/>
        <v>430.84799999999996</v>
      </c>
      <c r="R83" s="2475">
        <f t="shared" si="41"/>
        <v>439.46495999999996</v>
      </c>
      <c r="S83" s="2475">
        <f t="shared" si="41"/>
        <v>448.25425919999998</v>
      </c>
      <c r="T83" s="2475">
        <f t="shared" si="41"/>
        <v>457.21934438400001</v>
      </c>
      <c r="U83" s="2475">
        <f t="shared" si="41"/>
        <v>466.36373127168002</v>
      </c>
      <c r="V83" s="2475">
        <f t="shared" si="41"/>
        <v>475.69100589711366</v>
      </c>
      <c r="W83" s="2475">
        <f t="shared" si="41"/>
        <v>485.20482601505591</v>
      </c>
    </row>
    <row r="84" spans="2:23" customFormat="1" outlineLevel="1">
      <c r="B84" s="2450"/>
      <c r="C84" t="s">
        <v>33</v>
      </c>
      <c r="H84" s="2476">
        <f>IF(ISERROR(IF(ROUND(SUM(H$82:H83),3)&gt;=ROUND(H$68,3),0,H$68/H$71)),"NA",IF(ROUND(SUM(H$82:H83),3)&gt;=ROUND(H$68,3),0,H$68/H$71))</f>
        <v>266.8</v>
      </c>
      <c r="I84" s="2476">
        <f>IF(ISERROR(IF(ROUND(SUM(I$82:I83),3)&gt;=ROUND(I$68,3),0,I$68/I$71)),"NA",IF(ROUND(SUM(I$82:I83),3)&gt;=ROUND(I$68,3),0,I$68/I$71))</f>
        <v>223</v>
      </c>
      <c r="J84" s="2476">
        <f>IF(ISERROR(IF(ROUND(SUM(J$82:J83),3)&gt;=ROUND(J$68,3),0,J$68/J$71)),"NA",IF(ROUND(SUM(J$82:J83),3)&gt;=ROUND(J$68,3),0,J$68/J$71))</f>
        <v>214.4</v>
      </c>
      <c r="K84" s="2476">
        <f>IF(ISERROR(IF(ROUND(SUM(K$82:K83),3)&gt;=ROUND(K$68,3),0,K$68/K$71)),"NA",IF(ROUND(SUM(K$82:K83),3)&gt;=ROUND(K$68,3),0,K$68/K$71))</f>
        <v>204</v>
      </c>
      <c r="L84" s="2476">
        <f>IF(ISERROR(IF(ROUND(SUM(L$82:L83),3)&gt;=ROUND(L$68,3),0,L$68/L$71)),"NA",IF(ROUND(SUM(L$82:L83),3)&gt;=ROUND(L$68,3),0,L$68/L$71))</f>
        <v>238.4</v>
      </c>
      <c r="M84" s="2476">
        <f>IF(ISERROR(IF(ROUND(SUM(M$82:M83),3)&gt;=ROUND(M$68,3),0,M$68/M$71)),"NA",IF(ROUND(SUM(M$82:M83),3)&gt;=ROUND(M$68,3),0,M$68/M$71))</f>
        <v>274.2</v>
      </c>
      <c r="N84" s="2476">
        <f>IF(ISERROR(IF(ROUND(SUM(N$82:N83),3)&gt;=ROUND(N$68,3),0,N$68/N$71)),"NA",IF(ROUND(SUM(N$82:N83),3)&gt;=ROUND(N$68,3),0,N$68/N$71))</f>
        <v>291</v>
      </c>
      <c r="O84" s="2476">
        <f>IF(ISERROR(IF(ROUND(SUM(O$82:O83),3)&gt;=ROUND(O$68,3),0,O$68/O$71)),"NA",IF(ROUND(SUM(O$82:O83),3)&gt;=ROUND(O$68,3),0,O$68/O$71))</f>
        <v>394</v>
      </c>
      <c r="P84" s="2476">
        <f>IF(ISERROR(IF(ROUND(SUM(P$82:P83),3)&gt;=ROUND(P$68,3),0,P$68/P$71)),"NA",IF(ROUND(SUM(P$82:P83),3)&gt;=ROUND(P$68,3),0,P$68/P$71))</f>
        <v>422.4</v>
      </c>
      <c r="Q84" s="2475">
        <f t="shared" si="41"/>
        <v>430.84799999999996</v>
      </c>
      <c r="R84" s="2475">
        <f t="shared" si="41"/>
        <v>439.46495999999996</v>
      </c>
      <c r="S84" s="2475">
        <f t="shared" si="41"/>
        <v>448.25425919999998</v>
      </c>
      <c r="T84" s="2475">
        <f t="shared" si="41"/>
        <v>457.21934438400001</v>
      </c>
      <c r="U84" s="2475">
        <f t="shared" si="41"/>
        <v>466.36373127168002</v>
      </c>
      <c r="V84" s="2475">
        <f t="shared" si="41"/>
        <v>475.69100589711366</v>
      </c>
      <c r="W84" s="2475">
        <f t="shared" si="41"/>
        <v>485.20482601505591</v>
      </c>
    </row>
    <row r="85" spans="2:23" customFormat="1" outlineLevel="1">
      <c r="B85" s="2450"/>
      <c r="C85" t="s">
        <v>34</v>
      </c>
      <c r="H85" s="2476">
        <f>IF(ISERROR(IF(ROUND(SUM(H$82:H84),3)&gt;=ROUND(H$68,3),0,H$68/H$71)),"NA",IF(ROUND(SUM(H$82:H84),3)&gt;=ROUND(H$68,3),0,H$68/H$71))</f>
        <v>266.8</v>
      </c>
      <c r="I85" s="2476">
        <f>IF(ISERROR(IF(ROUND(SUM(I$82:I84),3)&gt;=ROUND(I$68,3),0,I$68/I$71)),"NA",IF(ROUND(SUM(I$82:I84),3)&gt;=ROUND(I$68,3),0,I$68/I$71))</f>
        <v>223</v>
      </c>
      <c r="J85" s="2476">
        <f>IF(ISERROR(IF(ROUND(SUM(J$82:J84),3)&gt;=ROUND(J$68,3),0,J$68/J$71)),"NA",IF(ROUND(SUM(J$82:J84),3)&gt;=ROUND(J$68,3),0,J$68/J$71))</f>
        <v>214.4</v>
      </c>
      <c r="K85" s="2476">
        <f>IF(ISERROR(IF(ROUND(SUM(K$82:K84),3)&gt;=ROUND(K$68,3),0,K$68/K$71)),"NA",IF(ROUND(SUM(K$82:K84),3)&gt;=ROUND(K$68,3),0,K$68/K$71))</f>
        <v>204</v>
      </c>
      <c r="L85" s="2476">
        <f>IF(ISERROR(IF(ROUND(SUM(L$82:L84),3)&gt;=ROUND(L$68,3),0,L$68/L$71)),"NA",IF(ROUND(SUM(L$82:L84),3)&gt;=ROUND(L$68,3),0,L$68/L$71))</f>
        <v>238.4</v>
      </c>
      <c r="M85" s="2476">
        <f>IF(ISERROR(IF(ROUND(SUM(M$82:M84),3)&gt;=ROUND(M$68,3),0,M$68/M$71)),"NA",IF(ROUND(SUM(M$82:M84),3)&gt;=ROUND(M$68,3),0,M$68/M$71))</f>
        <v>274.2</v>
      </c>
      <c r="N85" s="2476">
        <f>IF(ISERROR(IF(ROUND(SUM(N$82:N84),3)&gt;=ROUND(N$68,3),0,N$68/N$71)),"NA",IF(ROUND(SUM(N$82:N84),3)&gt;=ROUND(N$68,3),0,N$68/N$71))</f>
        <v>291</v>
      </c>
      <c r="O85" s="2476">
        <f>IF(ISERROR(IF(ROUND(SUM(O$82:O84),3)&gt;=ROUND(O$68,3),0,O$68/O$71)),"NA",IF(ROUND(SUM(O$82:O84),3)&gt;=ROUND(O$68,3),0,O$68/O$71))</f>
        <v>394</v>
      </c>
      <c r="P85" s="2476">
        <f>IF(ISERROR(IF(ROUND(SUM(P$82:P84),3)&gt;=ROUND(P$68,3),0,P$68/P$71)),"NA",IF(ROUND(SUM(P$82:P84),3)&gt;=ROUND(P$68,3),0,P$68/P$71))</f>
        <v>422.4</v>
      </c>
      <c r="Q85" s="2475">
        <f t="shared" si="41"/>
        <v>430.84799999999996</v>
      </c>
      <c r="R85" s="2475">
        <f t="shared" si="41"/>
        <v>439.46495999999996</v>
      </c>
      <c r="S85" s="2475">
        <f t="shared" si="41"/>
        <v>448.25425919999998</v>
      </c>
      <c r="T85" s="2475">
        <f t="shared" si="41"/>
        <v>457.21934438400001</v>
      </c>
      <c r="U85" s="2475">
        <f t="shared" si="41"/>
        <v>466.36373127168002</v>
      </c>
      <c r="V85" s="2475">
        <f t="shared" si="41"/>
        <v>475.69100589711366</v>
      </c>
      <c r="W85" s="2475">
        <f t="shared" si="41"/>
        <v>485.20482601505591</v>
      </c>
    </row>
    <row r="86" spans="2:23" customFormat="1" outlineLevel="1">
      <c r="B86" s="2450"/>
      <c r="C86" t="s">
        <v>35</v>
      </c>
      <c r="H86" s="2476">
        <f>IF(ISERROR(IF(ROUND(SUM(H$82:H85),3)&gt;=ROUND(H$68,3),0,H$68/H$71)),"NA",IF(ROUND(SUM(H$82:H85),3)&gt;=ROUND(H$68,3),0,H$68/H$71))</f>
        <v>266.8</v>
      </c>
      <c r="I86" s="2476">
        <f>IF(ISERROR(IF(ROUND(SUM(I$82:I85),3)&gt;=ROUND(I$68,3),0,I$68/I$71)),"NA",IF(ROUND(SUM(I$82:I85),3)&gt;=ROUND(I$68,3),0,I$68/I$71))</f>
        <v>223</v>
      </c>
      <c r="J86" s="2476">
        <f>IF(ISERROR(IF(ROUND(SUM(J$82:J85),3)&gt;=ROUND(J$68,3),0,J$68/J$71)),"NA",IF(ROUND(SUM(J$82:J85),3)&gt;=ROUND(J$68,3),0,J$68/J$71))</f>
        <v>214.4</v>
      </c>
      <c r="K86" s="2476">
        <f>IF(ISERROR(IF(ROUND(SUM(K$82:K85),3)&gt;=ROUND(K$68,3),0,K$68/K$71)),"NA",IF(ROUND(SUM(K$82:K85),3)&gt;=ROUND(K$68,3),0,K$68/K$71))</f>
        <v>204</v>
      </c>
      <c r="L86" s="2476">
        <f>IF(ISERROR(IF(ROUND(SUM(L$82:L85),3)&gt;=ROUND(L$68,3),0,L$68/L$71)),"NA",IF(ROUND(SUM(L$82:L85),3)&gt;=ROUND(L$68,3),0,L$68/L$71))</f>
        <v>238.4</v>
      </c>
      <c r="M86" s="2476">
        <f>IF(ISERROR(IF(ROUND(SUM(M$82:M85),3)&gt;=ROUND(M$68,3),0,M$68/M$71)),"NA",IF(ROUND(SUM(M$82:M85),3)&gt;=ROUND(M$68,3),0,M$68/M$71))</f>
        <v>274.2</v>
      </c>
      <c r="N86" s="2476">
        <f>IF(ISERROR(IF(ROUND(SUM(N$82:N85),3)&gt;=ROUND(N$68,3),0,N$68/N$71)),"NA",IF(ROUND(SUM(N$82:N85),3)&gt;=ROUND(N$68,3),0,N$68/N$71))</f>
        <v>291</v>
      </c>
      <c r="O86" s="2476">
        <f>IF(ISERROR(IF(ROUND(SUM(O$82:O85),3)&gt;=ROUND(O$68,3),0,O$68/O$71)),"NA",IF(ROUND(SUM(O$82:O85),3)&gt;=ROUND(O$68,3),0,O$68/O$71))</f>
        <v>394</v>
      </c>
      <c r="P86" s="2476">
        <f>IF(ISERROR(IF(ROUND(SUM(P$82:P85),3)&gt;=ROUND(P$68,3),0,P$68/P$71)),"NA",IF(ROUND(SUM(P$82:P85),3)&gt;=ROUND(P$68,3),0,P$68/P$71))</f>
        <v>422.4</v>
      </c>
      <c r="Q86" s="2475">
        <f t="shared" si="41"/>
        <v>430.84799999999996</v>
      </c>
      <c r="R86" s="2475">
        <f t="shared" si="41"/>
        <v>439.46495999999996</v>
      </c>
      <c r="S86" s="2475">
        <f t="shared" si="41"/>
        <v>448.25425919999998</v>
      </c>
      <c r="T86" s="2475">
        <f t="shared" si="41"/>
        <v>457.21934438400001</v>
      </c>
      <c r="U86" s="2475">
        <f t="shared" si="41"/>
        <v>466.36373127168002</v>
      </c>
      <c r="V86" s="2475">
        <f t="shared" si="41"/>
        <v>475.69100589711366</v>
      </c>
      <c r="W86" s="2475">
        <f t="shared" si="41"/>
        <v>485.20482601505591</v>
      </c>
    </row>
    <row r="87" spans="2:23" customFormat="1" outlineLevel="1">
      <c r="B87" s="2450"/>
      <c r="C87" t="s">
        <v>36</v>
      </c>
      <c r="H87" s="2476">
        <f>IF(ISERROR(IF(ROUND(SUM(H$82:H86),3)&gt;=ROUND(H$68,3),0,H$68/H$71)),"NA",IF(ROUND(SUM(H$82:H86),3)&gt;=ROUND(H$68,3),0,H$68/H$71))</f>
        <v>0</v>
      </c>
      <c r="I87" s="2476">
        <f>IF(ISERROR(IF(ROUND(SUM(I$82:I86),3)&gt;=ROUND(I$68,3),0,I$68/I$71)),"NA",IF(ROUND(SUM(I$82:I86),3)&gt;=ROUND(I$68,3),0,I$68/I$71))</f>
        <v>0</v>
      </c>
      <c r="J87" s="2476">
        <f>IF(ISERROR(IF(ROUND(SUM(J$82:J86),3)&gt;=ROUND(J$68,3),0,J$68/J$71)),"NA",IF(ROUND(SUM(J$82:J86),3)&gt;=ROUND(J$68,3),0,J$68/J$71))</f>
        <v>0</v>
      </c>
      <c r="K87" s="2476">
        <f>IF(ISERROR(IF(ROUND(SUM(K$82:K86),3)&gt;=ROUND(K$68,3),0,K$68/K$71)),"NA",IF(ROUND(SUM(K$82:K86),3)&gt;=ROUND(K$68,3),0,K$68/K$71))</f>
        <v>0</v>
      </c>
      <c r="L87" s="2476">
        <f>IF(ISERROR(IF(ROUND(SUM(L$82:L86),3)&gt;=ROUND(L$68,3),0,L$68/L$71)),"NA",IF(ROUND(SUM(L$82:L86),3)&gt;=ROUND(L$68,3),0,L$68/L$71))</f>
        <v>0</v>
      </c>
      <c r="M87" s="2476">
        <f>IF(ISERROR(IF(ROUND(SUM(M$82:M86),3)&gt;=ROUND(M$68,3),0,M$68/M$71)),"NA",IF(ROUND(SUM(M$82:M86),3)&gt;=ROUND(M$68,3),0,M$68/M$71))</f>
        <v>0</v>
      </c>
      <c r="N87" s="2476">
        <f>IF(ISERROR(IF(ROUND(SUM(N$82:N86),3)&gt;=ROUND(N$68,3),0,N$68/N$71)),"NA",IF(ROUND(SUM(N$82:N86),3)&gt;=ROUND(N$68,3),0,N$68/N$71))</f>
        <v>0</v>
      </c>
      <c r="O87" s="2476">
        <f>IF(ISERROR(IF(ROUND(SUM(O$82:O86),3)&gt;=ROUND(O$68,3),0,O$68/O$71)),"NA",IF(ROUND(SUM(O$82:O86),3)&gt;=ROUND(O$68,3),0,O$68/O$71))</f>
        <v>0</v>
      </c>
      <c r="P87" s="2476">
        <f>IF(ISERROR(IF(ROUND(SUM(P$82:P86),3)&gt;=ROUND(P$68,3),0,P$68/P$71)),"NA",IF(ROUND(SUM(P$82:P86),3)&gt;=ROUND(P$68,3),0,P$68/P$71))</f>
        <v>0</v>
      </c>
      <c r="Q87" s="2475">
        <f t="shared" si="41"/>
        <v>0</v>
      </c>
      <c r="R87" s="2475">
        <f t="shared" si="41"/>
        <v>0</v>
      </c>
      <c r="S87" s="2475">
        <f t="shared" si="41"/>
        <v>0</v>
      </c>
      <c r="T87" s="2475">
        <f t="shared" si="41"/>
        <v>0</v>
      </c>
      <c r="U87" s="2475">
        <f t="shared" si="41"/>
        <v>0</v>
      </c>
      <c r="V87" s="2475">
        <f t="shared" si="41"/>
        <v>0</v>
      </c>
      <c r="W87" s="2475">
        <f t="shared" si="41"/>
        <v>0</v>
      </c>
    </row>
    <row r="88" spans="2:23" customFormat="1" outlineLevel="1">
      <c r="B88" s="2450"/>
      <c r="C88" t="s">
        <v>37</v>
      </c>
      <c r="H88" s="2476">
        <f>IF(ISERROR(IF(ROUND(SUM(H$82:H87),3)&gt;=ROUND(H$68,3),0,H$68/H$71)),"NA",IF(ROUND(SUM(H$82:H87),3)&gt;=ROUND(H$68,3),0,H$68/H$71))</f>
        <v>0</v>
      </c>
      <c r="I88" s="2476">
        <f>IF(ISERROR(IF(ROUND(SUM(I$82:I87),3)&gt;=ROUND(I$68,3),0,I$68/I$71)),"NA",IF(ROUND(SUM(I$82:I87),3)&gt;=ROUND(I$68,3),0,I$68/I$71))</f>
        <v>0</v>
      </c>
      <c r="J88" s="2476">
        <f>IF(ISERROR(IF(ROUND(SUM(J$82:J87),3)&gt;=ROUND(J$68,3),0,J$68/J$71)),"NA",IF(ROUND(SUM(J$82:J87),3)&gt;=ROUND(J$68,3),0,J$68/J$71))</f>
        <v>0</v>
      </c>
      <c r="K88" s="2476">
        <f>IF(ISERROR(IF(ROUND(SUM(K$82:K87),3)&gt;=ROUND(K$68,3),0,K$68/K$71)),"NA",IF(ROUND(SUM(K$82:K87),3)&gt;=ROUND(K$68,3),0,K$68/K$71))</f>
        <v>0</v>
      </c>
      <c r="L88" s="2476">
        <f>IF(ISERROR(IF(ROUND(SUM(L$82:L87),3)&gt;=ROUND(L$68,3),0,L$68/L$71)),"NA",IF(ROUND(SUM(L$82:L87),3)&gt;=ROUND(L$68,3),0,L$68/L$71))</f>
        <v>0</v>
      </c>
      <c r="M88" s="2476">
        <f>IF(ISERROR(IF(ROUND(SUM(M$82:M87),3)&gt;=ROUND(M$68,3),0,M$68/M$71)),"NA",IF(ROUND(SUM(M$82:M87),3)&gt;=ROUND(M$68,3),0,M$68/M$71))</f>
        <v>0</v>
      </c>
      <c r="N88" s="2476">
        <f>IF(ISERROR(IF(ROUND(SUM(N$82:N87),3)&gt;=ROUND(N$68,3),0,N$68/N$71)),"NA",IF(ROUND(SUM(N$82:N87),3)&gt;=ROUND(N$68,3),0,N$68/N$71))</f>
        <v>0</v>
      </c>
      <c r="O88" s="2476">
        <f>IF(ISERROR(IF(ROUND(SUM(O$82:O87),3)&gt;=ROUND(O$68,3),0,O$68/O$71)),"NA",IF(ROUND(SUM(O$82:O87),3)&gt;=ROUND(O$68,3),0,O$68/O$71))</f>
        <v>0</v>
      </c>
      <c r="P88" s="2476">
        <f>IF(ISERROR(IF(ROUND(SUM(P$82:P87),3)&gt;=ROUND(P$68,3),0,P$68/P$71)),"NA",IF(ROUND(SUM(P$82:P87),3)&gt;=ROUND(P$68,3),0,P$68/P$71))</f>
        <v>0</v>
      </c>
      <c r="Q88" s="2475">
        <f t="shared" si="41"/>
        <v>0</v>
      </c>
      <c r="R88" s="2475">
        <f t="shared" si="41"/>
        <v>0</v>
      </c>
      <c r="S88" s="2475">
        <f t="shared" si="41"/>
        <v>0</v>
      </c>
      <c r="T88" s="2475">
        <f t="shared" si="41"/>
        <v>0</v>
      </c>
      <c r="U88" s="2475">
        <f t="shared" si="41"/>
        <v>0</v>
      </c>
      <c r="V88" s="2475">
        <f t="shared" si="41"/>
        <v>0</v>
      </c>
      <c r="W88" s="2475">
        <f t="shared" si="41"/>
        <v>0</v>
      </c>
    </row>
    <row r="89" spans="2:23" customFormat="1" outlineLevel="1">
      <c r="B89" s="2450"/>
      <c r="C89" t="s">
        <v>38</v>
      </c>
      <c r="H89" s="2476">
        <f>IF(ISERROR(IF(ROUND(SUM(H$82:H88),3)&gt;=ROUND(H$68,3),0,H$68/H$71)),"NA",IF(ROUND(SUM(H$82:H88),3)&gt;=ROUND(H$68,3),0,H$68/H$71))</f>
        <v>0</v>
      </c>
      <c r="I89" s="2476">
        <f>IF(ISERROR(IF(ROUND(SUM(I$82:I88),3)&gt;=ROUND(I$68,3),0,I$68/I$71)),"NA",IF(ROUND(SUM(I$82:I88),3)&gt;=ROUND(I$68,3),0,I$68/I$71))</f>
        <v>0</v>
      </c>
      <c r="J89" s="2476">
        <f>IF(ISERROR(IF(ROUND(SUM(J$82:J88),3)&gt;=ROUND(J$68,3),0,J$68/J$71)),"NA",IF(ROUND(SUM(J$82:J88),3)&gt;=ROUND(J$68,3),0,J$68/J$71))</f>
        <v>0</v>
      </c>
      <c r="K89" s="2476">
        <f>IF(ISERROR(IF(ROUND(SUM(K$82:K88),3)&gt;=ROUND(K$68,3),0,K$68/K$71)),"NA",IF(ROUND(SUM(K$82:K88),3)&gt;=ROUND(K$68,3),0,K$68/K$71))</f>
        <v>0</v>
      </c>
      <c r="L89" s="2476">
        <f>IF(ISERROR(IF(ROUND(SUM(L$82:L88),3)&gt;=ROUND(L$68,3),0,L$68/L$71)),"NA",IF(ROUND(SUM(L$82:L88),3)&gt;=ROUND(L$68,3),0,L$68/L$71))</f>
        <v>0</v>
      </c>
      <c r="M89" s="2476">
        <f>IF(ISERROR(IF(ROUND(SUM(M$82:M88),3)&gt;=ROUND(M$68,3),0,M$68/M$71)),"NA",IF(ROUND(SUM(M$82:M88),3)&gt;=ROUND(M$68,3),0,M$68/M$71))</f>
        <v>0</v>
      </c>
      <c r="N89" s="2476">
        <f>IF(ISERROR(IF(ROUND(SUM(N$82:N88),3)&gt;=ROUND(N$68,3),0,N$68/N$71)),"NA",IF(ROUND(SUM(N$82:N88),3)&gt;=ROUND(N$68,3),0,N$68/N$71))</f>
        <v>0</v>
      </c>
      <c r="O89" s="2476">
        <f>IF(ISERROR(IF(ROUND(SUM(O$82:O88),3)&gt;=ROUND(O$68,3),0,O$68/O$71)),"NA",IF(ROUND(SUM(O$82:O88),3)&gt;=ROUND(O$68,3),0,O$68/O$71))</f>
        <v>0</v>
      </c>
      <c r="P89" s="2476">
        <f>IF(ISERROR(IF(ROUND(SUM(P$82:P88),3)&gt;=ROUND(P$68,3),0,P$68/P$71)),"NA",IF(ROUND(SUM(P$82:P88),3)&gt;=ROUND(P$68,3),0,P$68/P$71))</f>
        <v>0</v>
      </c>
      <c r="Q89" s="2475">
        <f t="shared" si="41"/>
        <v>0</v>
      </c>
      <c r="R89" s="2475">
        <f t="shared" si="41"/>
        <v>0</v>
      </c>
      <c r="S89" s="2475">
        <f t="shared" si="41"/>
        <v>0</v>
      </c>
      <c r="T89" s="2475">
        <f t="shared" si="41"/>
        <v>0</v>
      </c>
      <c r="U89" s="2475">
        <f t="shared" si="41"/>
        <v>0</v>
      </c>
      <c r="V89" s="2475">
        <f t="shared" si="41"/>
        <v>0</v>
      </c>
      <c r="W89" s="2475">
        <f t="shared" si="41"/>
        <v>0</v>
      </c>
    </row>
    <row r="90" spans="2:23" customFormat="1" outlineLevel="1">
      <c r="B90" s="2450"/>
      <c r="C90" t="s">
        <v>94</v>
      </c>
      <c r="H90" s="2476">
        <f>IF(ISERROR(IF(ROUND(SUM(H$82:H89),3)&gt;=ROUND(H$68,3),0,H$68/H$71)),"NA",IF(ROUND(SUM(H$82:H89),3)&gt;=ROUND(H$68,3),0,H$68/H$71))</f>
        <v>0</v>
      </c>
      <c r="I90" s="2476">
        <f>IF(ISERROR(IF(ROUND(SUM(I$82:I89),3)&gt;=ROUND(I$68,3),0,I$68/I$71)),"NA",IF(ROUND(SUM(I$82:I89),3)&gt;=ROUND(I$68,3),0,I$68/I$71))</f>
        <v>0</v>
      </c>
      <c r="J90" s="2476">
        <f>IF(ISERROR(IF(ROUND(SUM(J$82:J89),3)&gt;=ROUND(J$68,3),0,J$68/J$71)),"NA",IF(ROUND(SUM(J$82:J89),3)&gt;=ROUND(J$68,3),0,J$68/J$71))</f>
        <v>0</v>
      </c>
      <c r="K90" s="2476">
        <f>IF(ISERROR(IF(ROUND(SUM(K$82:K89),3)&gt;=ROUND(K$68,3),0,K$68/K$71)),"NA",IF(ROUND(SUM(K$82:K89),3)&gt;=ROUND(K$68,3),0,K$68/K$71))</f>
        <v>0</v>
      </c>
      <c r="L90" s="2476">
        <f>IF(ISERROR(IF(ROUND(SUM(L$82:L89),3)&gt;=ROUND(L$68,3),0,L$68/L$71)),"NA",IF(ROUND(SUM(L$82:L89),3)&gt;=ROUND(L$68,3),0,L$68/L$71))</f>
        <v>0</v>
      </c>
      <c r="M90" s="2476">
        <f>IF(ISERROR(IF(ROUND(SUM(M$82:M89),3)&gt;=ROUND(M$68,3),0,M$68/M$71)),"NA",IF(ROUND(SUM(M$82:M89),3)&gt;=ROUND(M$68,3),0,M$68/M$71))</f>
        <v>0</v>
      </c>
      <c r="N90" s="2476">
        <f>IF(ISERROR(IF(ROUND(SUM(N$82:N89),3)&gt;=ROUND(N$68,3),0,N$68/N$71)),"NA",IF(ROUND(SUM(N$82:N89),3)&gt;=ROUND(N$68,3),0,N$68/N$71))</f>
        <v>0</v>
      </c>
      <c r="O90" s="2476">
        <f>IF(ISERROR(IF(ROUND(SUM(O$82:O89),3)&gt;=ROUND(O$68,3),0,O$68/O$71)),"NA",IF(ROUND(SUM(O$82:O89),3)&gt;=ROUND(O$68,3),0,O$68/O$71))</f>
        <v>0</v>
      </c>
      <c r="P90" s="2476">
        <f>IF(ISERROR(IF(ROUND(SUM(P$82:P89),3)&gt;=ROUND(P$68,3),0,P$68/P$71)),"NA",IF(ROUND(SUM(P$82:P89),3)&gt;=ROUND(P$68,3),0,P$68/P$71))</f>
        <v>0</v>
      </c>
      <c r="Q90" s="2475">
        <f t="shared" si="41"/>
        <v>0</v>
      </c>
      <c r="R90" s="2475">
        <f t="shared" si="41"/>
        <v>0</v>
      </c>
      <c r="S90" s="2475">
        <f t="shared" si="41"/>
        <v>0</v>
      </c>
      <c r="T90" s="2475">
        <f t="shared" si="41"/>
        <v>0</v>
      </c>
      <c r="U90" s="2475">
        <f t="shared" si="41"/>
        <v>0</v>
      </c>
      <c r="V90" s="2475">
        <f t="shared" si="41"/>
        <v>0</v>
      </c>
      <c r="W90" s="2475">
        <f t="shared" si="41"/>
        <v>0</v>
      </c>
    </row>
    <row r="91" spans="2:23" customFormat="1" outlineLevel="1">
      <c r="B91" s="2450"/>
      <c r="C91" t="s">
        <v>95</v>
      </c>
      <c r="H91" s="2476">
        <f>IF(ISERROR(IF(ROUND(SUM(H$82:H90),3)&gt;=ROUND(H$68,3),0,H$68/H$71)),"NA",IF(ROUND(SUM(H$82:H90),3)&gt;=ROUND(H$68,3),0,H$68/H$71))</f>
        <v>0</v>
      </c>
      <c r="I91" s="2476">
        <f>IF(ISERROR(IF(ROUND(SUM(I$82:I90),3)&gt;=ROUND(I$68,3),0,I$68/I$71)),"NA",IF(ROUND(SUM(I$82:I90),3)&gt;=ROUND(I$68,3),0,I$68/I$71))</f>
        <v>0</v>
      </c>
      <c r="J91" s="2476">
        <f>IF(ISERROR(IF(ROUND(SUM(J$82:J90),3)&gt;=ROUND(J$68,3),0,J$68/J$71)),"NA",IF(ROUND(SUM(J$82:J90),3)&gt;=ROUND(J$68,3),0,J$68/J$71))</f>
        <v>0</v>
      </c>
      <c r="K91" s="2476">
        <f>IF(ISERROR(IF(ROUND(SUM(K$82:K90),3)&gt;=ROUND(K$68,3),0,K$68/K$71)),"NA",IF(ROUND(SUM(K$82:K90),3)&gt;=ROUND(K$68,3),0,K$68/K$71))</f>
        <v>0</v>
      </c>
      <c r="L91" s="2476">
        <f>IF(ISERROR(IF(ROUND(SUM(L$82:L90),3)&gt;=ROUND(L$68,3),0,L$68/L$71)),"NA",IF(ROUND(SUM(L$82:L90),3)&gt;=ROUND(L$68,3),0,L$68/L$71))</f>
        <v>0</v>
      </c>
      <c r="M91" s="2476">
        <f>IF(ISERROR(IF(ROUND(SUM(M$82:M90),3)&gt;=ROUND(M$68,3),0,M$68/M$71)),"NA",IF(ROUND(SUM(M$82:M90),3)&gt;=ROUND(M$68,3),0,M$68/M$71))</f>
        <v>0</v>
      </c>
      <c r="N91" s="2476">
        <f>IF(ISERROR(IF(ROUND(SUM(N$82:N90),3)&gt;=ROUND(N$68,3),0,N$68/N$71)),"NA",IF(ROUND(SUM(N$82:N90),3)&gt;=ROUND(N$68,3),0,N$68/N$71))</f>
        <v>0</v>
      </c>
      <c r="O91" s="2476">
        <f>IF(ISERROR(IF(ROUND(SUM(O$82:O90),3)&gt;=ROUND(O$68,3),0,O$68/O$71)),"NA",IF(ROUND(SUM(O$82:O90),3)&gt;=ROUND(O$68,3),0,O$68/O$71))</f>
        <v>0</v>
      </c>
      <c r="P91" s="2476">
        <f>IF(ISERROR(IF(ROUND(SUM(P$82:P90),3)&gt;=ROUND(P$68,3),0,P$68/P$71)),"NA",IF(ROUND(SUM(P$82:P90),3)&gt;=ROUND(P$68,3),0,P$68/P$71))</f>
        <v>0</v>
      </c>
      <c r="Q91" s="2475">
        <f t="shared" si="41"/>
        <v>0</v>
      </c>
      <c r="R91" s="2475">
        <f t="shared" si="41"/>
        <v>0</v>
      </c>
      <c r="S91" s="2475">
        <f t="shared" si="41"/>
        <v>0</v>
      </c>
      <c r="T91" s="2475">
        <f t="shared" si="41"/>
        <v>0</v>
      </c>
      <c r="U91" s="2475">
        <f t="shared" si="41"/>
        <v>0</v>
      </c>
      <c r="V91" s="2475">
        <f t="shared" si="41"/>
        <v>0</v>
      </c>
      <c r="W91" s="2475">
        <f t="shared" si="41"/>
        <v>0</v>
      </c>
    </row>
    <row r="92" spans="2:23" customFormat="1" outlineLevel="1">
      <c r="B92" s="2450"/>
      <c r="C92" t="s">
        <v>96</v>
      </c>
      <c r="H92" s="2476">
        <f>IF(ISERROR(IF(ROUND(SUM(H$82:H91),3)&gt;=ROUND(H$68,3),0,H$68/H$71)),"NA",IF(ROUND(SUM(H$82:H91),3)&gt;=ROUND(H$68,3),0,H$68/H$71))</f>
        <v>0</v>
      </c>
      <c r="I92" s="2476">
        <f>IF(ISERROR(IF(ROUND(SUM(I$82:I91),3)&gt;=ROUND(I$68,3),0,I$68/I$71)),"NA",IF(ROUND(SUM(I$82:I91),3)&gt;=ROUND(I$68,3),0,I$68/I$71))</f>
        <v>0</v>
      </c>
      <c r="J92" s="2476">
        <f>IF(ISERROR(IF(ROUND(SUM(J$82:J91),3)&gt;=ROUND(J$68,3),0,J$68/J$71)),"NA",IF(ROUND(SUM(J$82:J91),3)&gt;=ROUND(J$68,3),0,J$68/J$71))</f>
        <v>0</v>
      </c>
      <c r="K92" s="2476">
        <f>IF(ISERROR(IF(ROUND(SUM(K$82:K91),3)&gt;=ROUND(K$68,3),0,K$68/K$71)),"NA",IF(ROUND(SUM(K$82:K91),3)&gt;=ROUND(K$68,3),0,K$68/K$71))</f>
        <v>0</v>
      </c>
      <c r="L92" s="2476">
        <f>IF(ISERROR(IF(ROUND(SUM(L$82:L91),3)&gt;=ROUND(L$68,3),0,L$68/L$71)),"NA",IF(ROUND(SUM(L$82:L91),3)&gt;=ROUND(L$68,3),0,L$68/L$71))</f>
        <v>0</v>
      </c>
      <c r="M92" s="2476">
        <f>IF(ISERROR(IF(ROUND(SUM(M$82:M91),3)&gt;=ROUND(M$68,3),0,M$68/M$71)),"NA",IF(ROUND(SUM(M$82:M91),3)&gt;=ROUND(M$68,3),0,M$68/M$71))</f>
        <v>0</v>
      </c>
      <c r="N92" s="2476">
        <f>IF(ISERROR(IF(ROUND(SUM(N$82:N91),3)&gt;=ROUND(N$68,3),0,N$68/N$71)),"NA",IF(ROUND(SUM(N$82:N91),3)&gt;=ROUND(N$68,3),0,N$68/N$71))</f>
        <v>0</v>
      </c>
      <c r="O92" s="2476">
        <f>IF(ISERROR(IF(ROUND(SUM(O$82:O91),3)&gt;=ROUND(O$68,3),0,O$68/O$71)),"NA",IF(ROUND(SUM(O$82:O91),3)&gt;=ROUND(O$68,3),0,O$68/O$71))</f>
        <v>0</v>
      </c>
      <c r="P92" s="2476">
        <f>IF(ISERROR(IF(ROUND(SUM(P$82:P91),3)&gt;=ROUND(P$68,3),0,P$68/P$71)),"NA",IF(ROUND(SUM(P$82:P91),3)&gt;=ROUND(P$68,3),0,P$68/P$71))</f>
        <v>0</v>
      </c>
      <c r="Q92" s="2475">
        <f t="shared" ref="Q92:W106" si="43">P92*(1+Q$64)</f>
        <v>0</v>
      </c>
      <c r="R92" s="2475">
        <f t="shared" si="43"/>
        <v>0</v>
      </c>
      <c r="S92" s="2475">
        <f t="shared" si="43"/>
        <v>0</v>
      </c>
      <c r="T92" s="2475">
        <f t="shared" si="43"/>
        <v>0</v>
      </c>
      <c r="U92" s="2475">
        <f t="shared" si="43"/>
        <v>0</v>
      </c>
      <c r="V92" s="2475">
        <f t="shared" si="43"/>
        <v>0</v>
      </c>
      <c r="W92" s="2475">
        <f t="shared" si="43"/>
        <v>0</v>
      </c>
    </row>
    <row r="93" spans="2:23" customFormat="1" outlineLevel="1">
      <c r="B93" s="2450"/>
      <c r="C93" t="s">
        <v>656</v>
      </c>
      <c r="H93" s="2476">
        <f>IF(ISERROR(IF(ROUND(SUM(H$82:H92),3)&gt;=ROUND(H$68,3),0,H$68/H$71)),"NA",IF(ROUND(SUM(H$82:H92),3)&gt;=ROUND(H$68,3),0,H$68/H$71))</f>
        <v>0</v>
      </c>
      <c r="I93" s="2476">
        <f>IF(ISERROR(IF(ROUND(SUM(I$82:I92),3)&gt;=ROUND(I$68,3),0,I$68/I$71)),"NA",IF(ROUND(SUM(I$82:I92),3)&gt;=ROUND(I$68,3),0,I$68/I$71))</f>
        <v>0</v>
      </c>
      <c r="J93" s="2476">
        <f>IF(ISERROR(IF(ROUND(SUM(J$82:J92),3)&gt;=ROUND(J$68,3),0,J$68/J$71)),"NA",IF(ROUND(SUM(J$82:J92),3)&gt;=ROUND(J$68,3),0,J$68/J$71))</f>
        <v>0</v>
      </c>
      <c r="K93" s="2476">
        <f>IF(ISERROR(IF(ROUND(SUM(K$82:K92),3)&gt;=ROUND(K$68,3),0,K$68/K$71)),"NA",IF(ROUND(SUM(K$82:K92),3)&gt;=ROUND(K$68,3),0,K$68/K$71))</f>
        <v>0</v>
      </c>
      <c r="L93" s="2476">
        <f>IF(ISERROR(IF(ROUND(SUM(L$82:L92),3)&gt;=ROUND(L$68,3),0,L$68/L$71)),"NA",IF(ROUND(SUM(L$82:L92),3)&gt;=ROUND(L$68,3),0,L$68/L$71))</f>
        <v>0</v>
      </c>
      <c r="M93" s="2476">
        <f>IF(ISERROR(IF(ROUND(SUM(M$82:M92),3)&gt;=ROUND(M$68,3),0,M$68/M$71)),"NA",IF(ROUND(SUM(M$82:M92),3)&gt;=ROUND(M$68,3),0,M$68/M$71))</f>
        <v>0</v>
      </c>
      <c r="N93" s="2476">
        <f>IF(ISERROR(IF(ROUND(SUM(N$82:N92),3)&gt;=ROUND(N$68,3),0,N$68/N$71)),"NA",IF(ROUND(SUM(N$82:N92),3)&gt;=ROUND(N$68,3),0,N$68/N$71))</f>
        <v>0</v>
      </c>
      <c r="O93" s="2476">
        <f>IF(ISERROR(IF(ROUND(SUM(O$82:O92),3)&gt;=ROUND(O$68,3),0,O$68/O$71)),"NA",IF(ROUND(SUM(O$82:O92),3)&gt;=ROUND(O$68,3),0,O$68/O$71))</f>
        <v>0</v>
      </c>
      <c r="P93" s="2476">
        <f>IF(ISERROR(IF(ROUND(SUM(P$82:P92),3)&gt;=ROUND(P$68,3),0,P$68/P$71)),"NA",IF(ROUND(SUM(P$82:P92),3)&gt;=ROUND(P$68,3),0,P$68/P$71))</f>
        <v>0</v>
      </c>
      <c r="Q93" s="2475">
        <f t="shared" si="43"/>
        <v>0</v>
      </c>
      <c r="R93" s="2475">
        <f t="shared" si="43"/>
        <v>0</v>
      </c>
      <c r="S93" s="2475">
        <f t="shared" si="43"/>
        <v>0</v>
      </c>
      <c r="T93" s="2475">
        <f t="shared" si="43"/>
        <v>0</v>
      </c>
      <c r="U93" s="2475">
        <f t="shared" si="43"/>
        <v>0</v>
      </c>
      <c r="V93" s="2475">
        <f t="shared" si="43"/>
        <v>0</v>
      </c>
      <c r="W93" s="2475">
        <f t="shared" si="43"/>
        <v>0</v>
      </c>
    </row>
    <row r="94" spans="2:23" customFormat="1" outlineLevel="1">
      <c r="B94" s="2450"/>
      <c r="C94" t="s">
        <v>657</v>
      </c>
      <c r="H94" s="2476">
        <f>IF(ISERROR(IF(ROUND(SUM(H$82:H93),3)&gt;=ROUND(H$68,3),0,H$68/H$71)),"NA",IF(ROUND(SUM(H$82:H93),3)&gt;=ROUND(H$68,3),0,H$68/H$71))</f>
        <v>0</v>
      </c>
      <c r="I94" s="2476">
        <f>IF(ISERROR(IF(ROUND(SUM(I$82:I93),3)&gt;=ROUND(I$68,3),0,I$68/I$71)),"NA",IF(ROUND(SUM(I$82:I93),3)&gt;=ROUND(I$68,3),0,I$68/I$71))</f>
        <v>0</v>
      </c>
      <c r="J94" s="2476">
        <f>IF(ISERROR(IF(ROUND(SUM(J$82:J93),3)&gt;=ROUND(J$68,3),0,J$68/J$71)),"NA",IF(ROUND(SUM(J$82:J93),3)&gt;=ROUND(J$68,3),0,J$68/J$71))</f>
        <v>0</v>
      </c>
      <c r="K94" s="2476">
        <f>IF(ISERROR(IF(ROUND(SUM(K$82:K93),3)&gt;=ROUND(K$68,3),0,K$68/K$71)),"NA",IF(ROUND(SUM(K$82:K93),3)&gt;=ROUND(K$68,3),0,K$68/K$71))</f>
        <v>0</v>
      </c>
      <c r="L94" s="2476">
        <f>IF(ISERROR(IF(ROUND(SUM(L$82:L93),3)&gt;=ROUND(L$68,3),0,L$68/L$71)),"NA",IF(ROUND(SUM(L$82:L93),3)&gt;=ROUND(L$68,3),0,L$68/L$71))</f>
        <v>0</v>
      </c>
      <c r="M94" s="2476">
        <f>IF(ISERROR(IF(ROUND(SUM(M$82:M93),3)&gt;=ROUND(M$68,3),0,M$68/M$71)),"NA",IF(ROUND(SUM(M$82:M93),3)&gt;=ROUND(M$68,3),0,M$68/M$71))</f>
        <v>0</v>
      </c>
      <c r="N94" s="2476">
        <f>IF(ISERROR(IF(ROUND(SUM(N$82:N93),3)&gt;=ROUND(N$68,3),0,N$68/N$71)),"NA",IF(ROUND(SUM(N$82:N93),3)&gt;=ROUND(N$68,3),0,N$68/N$71))</f>
        <v>0</v>
      </c>
      <c r="O94" s="2476">
        <f>IF(ISERROR(IF(ROUND(SUM(O$82:O93),3)&gt;=ROUND(O$68,3),0,O$68/O$71)),"NA",IF(ROUND(SUM(O$82:O93),3)&gt;=ROUND(O$68,3),0,O$68/O$71))</f>
        <v>0</v>
      </c>
      <c r="P94" s="2476">
        <f>IF(ISERROR(IF(ROUND(SUM(P$82:P93),3)&gt;=ROUND(P$68,3),0,P$68/P$71)),"NA",IF(ROUND(SUM(P$82:P93),3)&gt;=ROUND(P$68,3),0,P$68/P$71))</f>
        <v>0</v>
      </c>
      <c r="Q94" s="2475">
        <f t="shared" si="43"/>
        <v>0</v>
      </c>
      <c r="R94" s="2475">
        <f t="shared" si="43"/>
        <v>0</v>
      </c>
      <c r="S94" s="2475">
        <f t="shared" si="43"/>
        <v>0</v>
      </c>
      <c r="T94" s="2475">
        <f t="shared" si="43"/>
        <v>0</v>
      </c>
      <c r="U94" s="2475">
        <f t="shared" si="43"/>
        <v>0</v>
      </c>
      <c r="V94" s="2475">
        <f t="shared" si="43"/>
        <v>0</v>
      </c>
      <c r="W94" s="2475">
        <f t="shared" si="43"/>
        <v>0</v>
      </c>
    </row>
    <row r="95" spans="2:23" customFormat="1" outlineLevel="1">
      <c r="B95" s="2450"/>
      <c r="C95" t="s">
        <v>658</v>
      </c>
      <c r="H95" s="2476">
        <f>IF(ISERROR(IF(ROUND(SUM(H$82:H94),3)&gt;=ROUND(H$68,3),0,H$68/H$71)),"NA",IF(ROUND(SUM(H$82:H94),3)&gt;=ROUND(H$68,3),0,H$68/H$71))</f>
        <v>0</v>
      </c>
      <c r="I95" s="2476">
        <f>IF(ISERROR(IF(ROUND(SUM(I$82:I94),3)&gt;=ROUND(I$68,3),0,I$68/I$71)),"NA",IF(ROUND(SUM(I$82:I94),3)&gt;=ROUND(I$68,3),0,I$68/I$71))</f>
        <v>0</v>
      </c>
      <c r="J95" s="2476">
        <f>IF(ISERROR(IF(ROUND(SUM(J$82:J94),3)&gt;=ROUND(J$68,3),0,J$68/J$71)),"NA",IF(ROUND(SUM(J$82:J94),3)&gt;=ROUND(J$68,3),0,J$68/J$71))</f>
        <v>0</v>
      </c>
      <c r="K95" s="2476">
        <f>IF(ISERROR(IF(ROUND(SUM(K$82:K94),3)&gt;=ROUND(K$68,3),0,K$68/K$71)),"NA",IF(ROUND(SUM(K$82:K94),3)&gt;=ROUND(K$68,3),0,K$68/K$71))</f>
        <v>0</v>
      </c>
      <c r="L95" s="2476">
        <f>IF(ISERROR(IF(ROUND(SUM(L$82:L94),3)&gt;=ROUND(L$68,3),0,L$68/L$71)),"NA",IF(ROUND(SUM(L$82:L94),3)&gt;=ROUND(L$68,3),0,L$68/L$71))</f>
        <v>0</v>
      </c>
      <c r="M95" s="2476">
        <f>IF(ISERROR(IF(ROUND(SUM(M$82:M94),3)&gt;=ROUND(M$68,3),0,M$68/M$71)),"NA",IF(ROUND(SUM(M$82:M94),3)&gt;=ROUND(M$68,3),0,M$68/M$71))</f>
        <v>0</v>
      </c>
      <c r="N95" s="2476">
        <f>IF(ISERROR(IF(ROUND(SUM(N$82:N94),3)&gt;=ROUND(N$68,3),0,N$68/N$71)),"NA",IF(ROUND(SUM(N$82:N94),3)&gt;=ROUND(N$68,3),0,N$68/N$71))</f>
        <v>0</v>
      </c>
      <c r="O95" s="2476">
        <f>IF(ISERROR(IF(ROUND(SUM(O$82:O94),3)&gt;=ROUND(O$68,3),0,O$68/O$71)),"NA",IF(ROUND(SUM(O$82:O94),3)&gt;=ROUND(O$68,3),0,O$68/O$71))</f>
        <v>0</v>
      </c>
      <c r="P95" s="2476">
        <f>IF(ISERROR(IF(ROUND(SUM(P$82:P94),3)&gt;=ROUND(P$68,3),0,P$68/P$71)),"NA",IF(ROUND(SUM(P$82:P94),3)&gt;=ROUND(P$68,3),0,P$68/P$71))</f>
        <v>0</v>
      </c>
      <c r="Q95" s="2475">
        <f t="shared" si="43"/>
        <v>0</v>
      </c>
      <c r="R95" s="2475">
        <f t="shared" si="43"/>
        <v>0</v>
      </c>
      <c r="S95" s="2475">
        <f t="shared" si="43"/>
        <v>0</v>
      </c>
      <c r="T95" s="2475">
        <f t="shared" si="43"/>
        <v>0</v>
      </c>
      <c r="U95" s="2475">
        <f t="shared" si="43"/>
        <v>0</v>
      </c>
      <c r="V95" s="2475">
        <f t="shared" si="43"/>
        <v>0</v>
      </c>
      <c r="W95" s="2475">
        <f t="shared" si="43"/>
        <v>0</v>
      </c>
    </row>
    <row r="96" spans="2:23" customFormat="1" outlineLevel="1">
      <c r="B96" s="2450"/>
      <c r="C96" t="s">
        <v>659</v>
      </c>
      <c r="H96" s="2476">
        <f>IF(ISERROR(IF(ROUND(SUM(H$82:H95),3)&gt;=ROUND(H$68,3),0,H$68/H$71)),"NA",IF(ROUND(SUM(H$82:H95),3)&gt;=ROUND(H$68,3),0,H$68/H$71))</f>
        <v>0</v>
      </c>
      <c r="I96" s="2476">
        <f>IF(ISERROR(IF(ROUND(SUM(I$82:I95),3)&gt;=ROUND(I$68,3),0,I$68/I$71)),"NA",IF(ROUND(SUM(I$82:I95),3)&gt;=ROUND(I$68,3),0,I$68/I$71))</f>
        <v>0</v>
      </c>
      <c r="J96" s="2476">
        <f>IF(ISERROR(IF(ROUND(SUM(J$82:J95),3)&gt;=ROUND(J$68,3),0,J$68/J$71)),"NA",IF(ROUND(SUM(J$82:J95),3)&gt;=ROUND(J$68,3),0,J$68/J$71))</f>
        <v>0</v>
      </c>
      <c r="K96" s="2476">
        <f>IF(ISERROR(IF(ROUND(SUM(K$82:K95),3)&gt;=ROUND(K$68,3),0,K$68/K$71)),"NA",IF(ROUND(SUM(K$82:K95),3)&gt;=ROUND(K$68,3),0,K$68/K$71))</f>
        <v>0</v>
      </c>
      <c r="L96" s="2476">
        <f>IF(ISERROR(IF(ROUND(SUM(L$82:L95),3)&gt;=ROUND(L$68,3),0,L$68/L$71)),"NA",IF(ROUND(SUM(L$82:L95),3)&gt;=ROUND(L$68,3),0,L$68/L$71))</f>
        <v>0</v>
      </c>
      <c r="M96" s="2476">
        <f>IF(ISERROR(IF(ROUND(SUM(M$82:M95),3)&gt;=ROUND(M$68,3),0,M$68/M$71)),"NA",IF(ROUND(SUM(M$82:M95),3)&gt;=ROUND(M$68,3),0,M$68/M$71))</f>
        <v>0</v>
      </c>
      <c r="N96" s="2476">
        <f>IF(ISERROR(IF(ROUND(SUM(N$82:N95),3)&gt;=ROUND(N$68,3),0,N$68/N$71)),"NA",IF(ROUND(SUM(N$82:N95),3)&gt;=ROUND(N$68,3),0,N$68/N$71))</f>
        <v>0</v>
      </c>
      <c r="O96" s="2476">
        <f>IF(ISERROR(IF(ROUND(SUM(O$82:O95),3)&gt;=ROUND(O$68,3),0,O$68/O$71)),"NA",IF(ROUND(SUM(O$82:O95),3)&gt;=ROUND(O$68,3),0,O$68/O$71))</f>
        <v>0</v>
      </c>
      <c r="P96" s="2476">
        <f>IF(ISERROR(IF(ROUND(SUM(P$82:P95),3)&gt;=ROUND(P$68,3),0,P$68/P$71)),"NA",IF(ROUND(SUM(P$82:P95),3)&gt;=ROUND(P$68,3),0,P$68/P$71))</f>
        <v>0</v>
      </c>
      <c r="Q96" s="2475">
        <f t="shared" si="43"/>
        <v>0</v>
      </c>
      <c r="R96" s="2475">
        <f t="shared" si="43"/>
        <v>0</v>
      </c>
      <c r="S96" s="2475">
        <f t="shared" si="43"/>
        <v>0</v>
      </c>
      <c r="T96" s="2475">
        <f t="shared" si="43"/>
        <v>0</v>
      </c>
      <c r="U96" s="2475">
        <f t="shared" si="43"/>
        <v>0</v>
      </c>
      <c r="V96" s="2475">
        <f t="shared" si="43"/>
        <v>0</v>
      </c>
      <c r="W96" s="2475">
        <f t="shared" si="43"/>
        <v>0</v>
      </c>
    </row>
    <row r="97" spans="2:23" customFormat="1" outlineLevel="1">
      <c r="B97" s="2450"/>
      <c r="C97" t="s">
        <v>100</v>
      </c>
      <c r="H97" s="2476">
        <f>IF(ISERROR(IF(ROUND(SUM(H$82:H96),3)&gt;=ROUND(H$68,3),0,H$68/H$71)),"NA",IF(ROUND(SUM(H$82:H96),3)&gt;=ROUND(H$68,3),0,H$68/H$71))</f>
        <v>0</v>
      </c>
      <c r="I97" s="2476">
        <f>IF(ISERROR(IF(ROUND(SUM(I$82:I96),3)&gt;=ROUND(I$68,3),0,I$68/I$71)),"NA",IF(ROUND(SUM(I$82:I96),3)&gt;=ROUND(I$68,3),0,I$68/I$71))</f>
        <v>0</v>
      </c>
      <c r="J97" s="2476">
        <f>IF(ISERROR(IF(ROUND(SUM(J$82:J96),3)&gt;=ROUND(J$68,3),0,J$68/J$71)),"NA",IF(ROUND(SUM(J$82:J96),3)&gt;=ROUND(J$68,3),0,J$68/J$71))</f>
        <v>0</v>
      </c>
      <c r="K97" s="2476">
        <f>IF(ISERROR(IF(ROUND(SUM(K$82:K96),3)&gt;=ROUND(K$68,3),0,K$68/K$71)),"NA",IF(ROUND(SUM(K$82:K96),3)&gt;=ROUND(K$68,3),0,K$68/K$71))</f>
        <v>0</v>
      </c>
      <c r="L97" s="2476">
        <f>IF(ISERROR(IF(ROUND(SUM(L$82:L96),3)&gt;=ROUND(L$68,3),0,L$68/L$71)),"NA",IF(ROUND(SUM(L$82:L96),3)&gt;=ROUND(L$68,3),0,L$68/L$71))</f>
        <v>0</v>
      </c>
      <c r="M97" s="2476">
        <f>IF(ISERROR(IF(ROUND(SUM(M$82:M96),3)&gt;=ROUND(M$68,3),0,M$68/M$71)),"NA",IF(ROUND(SUM(M$82:M96),3)&gt;=ROUND(M$68,3),0,M$68/M$71))</f>
        <v>0</v>
      </c>
      <c r="N97" s="2476">
        <f>IF(ISERROR(IF(ROUND(SUM(N$82:N96),3)&gt;=ROUND(N$68,3),0,N$68/N$71)),"NA",IF(ROUND(SUM(N$82:N96),3)&gt;=ROUND(N$68,3),0,N$68/N$71))</f>
        <v>0</v>
      </c>
      <c r="O97" s="2476">
        <f>IF(ISERROR(IF(ROUND(SUM(O$82:O96),3)&gt;=ROUND(O$68,3),0,O$68/O$71)),"NA",IF(ROUND(SUM(O$82:O96),3)&gt;=ROUND(O$68,3),0,O$68/O$71))</f>
        <v>0</v>
      </c>
      <c r="P97" s="2476">
        <f>IF(ISERROR(IF(ROUND(SUM(P$82:P96),3)&gt;=ROUND(P$68,3),0,P$68/P$71)),"NA",IF(ROUND(SUM(P$82:P96),3)&gt;=ROUND(P$68,3),0,P$68/P$71))</f>
        <v>0</v>
      </c>
      <c r="Q97" s="2475">
        <f t="shared" si="43"/>
        <v>0</v>
      </c>
      <c r="R97" s="2475">
        <f t="shared" si="43"/>
        <v>0</v>
      </c>
      <c r="S97" s="2475">
        <f t="shared" si="43"/>
        <v>0</v>
      </c>
      <c r="T97" s="2475">
        <f t="shared" si="43"/>
        <v>0</v>
      </c>
      <c r="U97" s="2475">
        <f t="shared" si="43"/>
        <v>0</v>
      </c>
      <c r="V97" s="2475">
        <f t="shared" si="43"/>
        <v>0</v>
      </c>
      <c r="W97" s="2475">
        <f t="shared" si="43"/>
        <v>0</v>
      </c>
    </row>
    <row r="98" spans="2:23" customFormat="1" outlineLevel="1">
      <c r="B98" s="2450"/>
      <c r="C98" t="s">
        <v>101</v>
      </c>
      <c r="H98" s="2476">
        <f>IF(ISERROR(IF(ROUND(SUM(H$82:H97),3)&gt;=ROUND(H$68,3),0,H$68/H$71)),"NA",IF(ROUND(SUM(H$82:H97),3)&gt;=ROUND(H$68,3),0,H$68/H$71))</f>
        <v>0</v>
      </c>
      <c r="I98" s="2476">
        <f>IF(ISERROR(IF(ROUND(SUM(I$82:I97),3)&gt;=ROUND(I$68,3),0,I$68/I$71)),"NA",IF(ROUND(SUM(I$82:I97),3)&gt;=ROUND(I$68,3),0,I$68/I$71))</f>
        <v>0</v>
      </c>
      <c r="J98" s="2476">
        <f>IF(ISERROR(IF(ROUND(SUM(J$82:J97),3)&gt;=ROUND(J$68,3),0,J$68/J$71)),"NA",IF(ROUND(SUM(J$82:J97),3)&gt;=ROUND(J$68,3),0,J$68/J$71))</f>
        <v>0</v>
      </c>
      <c r="K98" s="2476">
        <f>IF(ISERROR(IF(ROUND(SUM(K$82:K97),3)&gt;=ROUND(K$68,3),0,K$68/K$71)),"NA",IF(ROUND(SUM(K$82:K97),3)&gt;=ROUND(K$68,3),0,K$68/K$71))</f>
        <v>0</v>
      </c>
      <c r="L98" s="2476">
        <f>IF(ISERROR(IF(ROUND(SUM(L$82:L97),3)&gt;=ROUND(L$68,3),0,L$68/L$71)),"NA",IF(ROUND(SUM(L$82:L97),3)&gt;=ROUND(L$68,3),0,L$68/L$71))</f>
        <v>0</v>
      </c>
      <c r="M98" s="2476">
        <f>IF(ISERROR(IF(ROUND(SUM(M$82:M97),3)&gt;=ROUND(M$68,3),0,M$68/M$71)),"NA",IF(ROUND(SUM(M$82:M97),3)&gt;=ROUND(M$68,3),0,M$68/M$71))</f>
        <v>0</v>
      </c>
      <c r="N98" s="2476">
        <f>IF(ISERROR(IF(ROUND(SUM(N$82:N97),3)&gt;=ROUND(N$68,3),0,N$68/N$71)),"NA",IF(ROUND(SUM(N$82:N97),3)&gt;=ROUND(N$68,3),0,N$68/N$71))</f>
        <v>0</v>
      </c>
      <c r="O98" s="2476">
        <f>IF(ISERROR(IF(ROUND(SUM(O$82:O97),3)&gt;=ROUND(O$68,3),0,O$68/O$71)),"NA",IF(ROUND(SUM(O$82:O97),3)&gt;=ROUND(O$68,3),0,O$68/O$71))</f>
        <v>0</v>
      </c>
      <c r="P98" s="2476">
        <f>IF(ISERROR(IF(ROUND(SUM(P$82:P97),3)&gt;=ROUND(P$68,3),0,P$68/P$71)),"NA",IF(ROUND(SUM(P$82:P97),3)&gt;=ROUND(P$68,3),0,P$68/P$71))</f>
        <v>0</v>
      </c>
      <c r="Q98" s="2475">
        <f t="shared" si="43"/>
        <v>0</v>
      </c>
      <c r="R98" s="2475">
        <f t="shared" si="43"/>
        <v>0</v>
      </c>
      <c r="S98" s="2475">
        <f t="shared" si="43"/>
        <v>0</v>
      </c>
      <c r="T98" s="2475">
        <f t="shared" si="43"/>
        <v>0</v>
      </c>
      <c r="U98" s="2475">
        <f t="shared" si="43"/>
        <v>0</v>
      </c>
      <c r="V98" s="2475">
        <f t="shared" si="43"/>
        <v>0</v>
      </c>
      <c r="W98" s="2475">
        <f t="shared" si="43"/>
        <v>0</v>
      </c>
    </row>
    <row r="99" spans="2:23" customFormat="1" outlineLevel="1">
      <c r="B99" s="2450"/>
      <c r="C99" t="s">
        <v>102</v>
      </c>
      <c r="H99" s="2476">
        <f>IF(ISERROR(IF(ROUND(SUM(H$82:H98),3)&gt;=ROUND(H$68,3),0,H$68/H$71)),"NA",IF(ROUND(SUM(H$82:H98),3)&gt;=ROUND(H$68,3),0,H$68/H$71))</f>
        <v>0</v>
      </c>
      <c r="I99" s="2476">
        <f>IF(ISERROR(IF(ROUND(SUM(I$82:I98),3)&gt;=ROUND(I$68,3),0,I$68/I$71)),"NA",IF(ROUND(SUM(I$82:I98),3)&gt;=ROUND(I$68,3),0,I$68/I$71))</f>
        <v>0</v>
      </c>
      <c r="J99" s="2476">
        <f>IF(ISERROR(IF(ROUND(SUM(J$82:J98),3)&gt;=ROUND(J$68,3),0,J$68/J$71)),"NA",IF(ROUND(SUM(J$82:J98),3)&gt;=ROUND(J$68,3),0,J$68/J$71))</f>
        <v>0</v>
      </c>
      <c r="K99" s="2476">
        <f>IF(ISERROR(IF(ROUND(SUM(K$82:K98),3)&gt;=ROUND(K$68,3),0,K$68/K$71)),"NA",IF(ROUND(SUM(K$82:K98),3)&gt;=ROUND(K$68,3),0,K$68/K$71))</f>
        <v>0</v>
      </c>
      <c r="L99" s="2476">
        <f>IF(ISERROR(IF(ROUND(SUM(L$82:L98),3)&gt;=ROUND(L$68,3),0,L$68/L$71)),"NA",IF(ROUND(SUM(L$82:L98),3)&gt;=ROUND(L$68,3),0,L$68/L$71))</f>
        <v>0</v>
      </c>
      <c r="M99" s="2476">
        <f>IF(ISERROR(IF(ROUND(SUM(M$82:M98),3)&gt;=ROUND(M$68,3),0,M$68/M$71)),"NA",IF(ROUND(SUM(M$82:M98),3)&gt;=ROUND(M$68,3),0,M$68/M$71))</f>
        <v>0</v>
      </c>
      <c r="N99" s="2476">
        <f>IF(ISERROR(IF(ROUND(SUM(N$82:N98),3)&gt;=ROUND(N$68,3),0,N$68/N$71)),"NA",IF(ROUND(SUM(N$82:N98),3)&gt;=ROUND(N$68,3),0,N$68/N$71))</f>
        <v>0</v>
      </c>
      <c r="O99" s="2476">
        <f>IF(ISERROR(IF(ROUND(SUM(O$82:O98),3)&gt;=ROUND(O$68,3),0,O$68/O$71)),"NA",IF(ROUND(SUM(O$82:O98),3)&gt;=ROUND(O$68,3),0,O$68/O$71))</f>
        <v>0</v>
      </c>
      <c r="P99" s="2476">
        <f>IF(ISERROR(IF(ROUND(SUM(P$82:P98),3)&gt;=ROUND(P$68,3),0,P$68/P$71)),"NA",IF(ROUND(SUM(P$82:P98),3)&gt;=ROUND(P$68,3),0,P$68/P$71))</f>
        <v>0</v>
      </c>
      <c r="Q99" s="2475">
        <f t="shared" si="43"/>
        <v>0</v>
      </c>
      <c r="R99" s="2475">
        <f t="shared" si="43"/>
        <v>0</v>
      </c>
      <c r="S99" s="2475">
        <f t="shared" si="43"/>
        <v>0</v>
      </c>
      <c r="T99" s="2475">
        <f t="shared" si="43"/>
        <v>0</v>
      </c>
      <c r="U99" s="2475">
        <f t="shared" si="43"/>
        <v>0</v>
      </c>
      <c r="V99" s="2475">
        <f t="shared" si="43"/>
        <v>0</v>
      </c>
      <c r="W99" s="2475">
        <f t="shared" si="43"/>
        <v>0</v>
      </c>
    </row>
    <row r="100" spans="2:23" customFormat="1" outlineLevel="1">
      <c r="B100" s="2450"/>
      <c r="C100" t="s">
        <v>103</v>
      </c>
      <c r="H100" s="2476">
        <f>IF(ISERROR(IF(ROUND(SUM(H$82:H99),3)&gt;=ROUND(H$68,3),0,H$68/H$71)),"NA",IF(ROUND(SUM(H$82:H99),3)&gt;=ROUND(H$68,3),0,H$68/H$71))</f>
        <v>0</v>
      </c>
      <c r="I100" s="2476">
        <f>IF(ISERROR(IF(ROUND(SUM(I$82:I99),3)&gt;=ROUND(I$68,3),0,I$68/I$71)),"NA",IF(ROUND(SUM(I$82:I99),3)&gt;=ROUND(I$68,3),0,I$68/I$71))</f>
        <v>0</v>
      </c>
      <c r="J100" s="2476">
        <f>IF(ISERROR(IF(ROUND(SUM(J$82:J99),3)&gt;=ROUND(J$68,3),0,J$68/J$71)),"NA",IF(ROUND(SUM(J$82:J99),3)&gt;=ROUND(J$68,3),0,J$68/J$71))</f>
        <v>0</v>
      </c>
      <c r="K100" s="2476">
        <f>IF(ISERROR(IF(ROUND(SUM(K$82:K99),3)&gt;=ROUND(K$68,3),0,K$68/K$71)),"NA",IF(ROUND(SUM(K$82:K99),3)&gt;=ROUND(K$68,3),0,K$68/K$71))</f>
        <v>0</v>
      </c>
      <c r="L100" s="2476">
        <f>IF(ISERROR(IF(ROUND(SUM(L$82:L99),3)&gt;=ROUND(L$68,3),0,L$68/L$71)),"NA",IF(ROUND(SUM(L$82:L99),3)&gt;=ROUND(L$68,3),0,L$68/L$71))</f>
        <v>0</v>
      </c>
      <c r="M100" s="2476">
        <f>IF(ISERROR(IF(ROUND(SUM(M$82:M99),3)&gt;=ROUND(M$68,3),0,M$68/M$71)),"NA",IF(ROUND(SUM(M$82:M99),3)&gt;=ROUND(M$68,3),0,M$68/M$71))</f>
        <v>0</v>
      </c>
      <c r="N100" s="2476">
        <f>IF(ISERROR(IF(ROUND(SUM(N$82:N99),3)&gt;=ROUND(N$68,3),0,N$68/N$71)),"NA",IF(ROUND(SUM(N$82:N99),3)&gt;=ROUND(N$68,3),0,N$68/N$71))</f>
        <v>0</v>
      </c>
      <c r="O100" s="2476">
        <f>IF(ISERROR(IF(ROUND(SUM(O$82:O99),3)&gt;=ROUND(O$68,3),0,O$68/O$71)),"NA",IF(ROUND(SUM(O$82:O99),3)&gt;=ROUND(O$68,3),0,O$68/O$71))</f>
        <v>0</v>
      </c>
      <c r="P100" s="2476">
        <f>IF(ISERROR(IF(ROUND(SUM(P$82:P99),3)&gt;=ROUND(P$68,3),0,P$68/P$71)),"NA",IF(ROUND(SUM(P$82:P99),3)&gt;=ROUND(P$68,3),0,P$68/P$71))</f>
        <v>0</v>
      </c>
      <c r="Q100" s="2475">
        <f t="shared" si="43"/>
        <v>0</v>
      </c>
      <c r="R100" s="2475">
        <f t="shared" si="43"/>
        <v>0</v>
      </c>
      <c r="S100" s="2475">
        <f t="shared" si="43"/>
        <v>0</v>
      </c>
      <c r="T100" s="2475">
        <f t="shared" si="43"/>
        <v>0</v>
      </c>
      <c r="U100" s="2475">
        <f t="shared" si="43"/>
        <v>0</v>
      </c>
      <c r="V100" s="2475">
        <f t="shared" si="43"/>
        <v>0</v>
      </c>
      <c r="W100" s="2475">
        <f t="shared" si="43"/>
        <v>0</v>
      </c>
    </row>
    <row r="101" spans="2:23" customFormat="1" outlineLevel="1">
      <c r="B101" s="2450"/>
      <c r="C101" t="s">
        <v>104</v>
      </c>
      <c r="H101" s="2476">
        <f>IF(ISERROR(IF(ROUND(SUM(H$82:H100),3)&gt;=ROUND(H$68,3),0,H$68/H$71)),"NA",IF(ROUND(SUM(H$82:H100),3)&gt;=ROUND(H$68,3),0,H$68/H$71))</f>
        <v>0</v>
      </c>
      <c r="I101" s="2476">
        <f>IF(ISERROR(IF(ROUND(SUM(I$82:I100),3)&gt;=ROUND(I$68,3),0,I$68/I$71)),"NA",IF(ROUND(SUM(I$82:I100),3)&gt;=ROUND(I$68,3),0,I$68/I$71))</f>
        <v>0</v>
      </c>
      <c r="J101" s="2476">
        <f>IF(ISERROR(IF(ROUND(SUM(J$82:J100),3)&gt;=ROUND(J$68,3),0,J$68/J$71)),"NA",IF(ROUND(SUM(J$82:J100),3)&gt;=ROUND(J$68,3),0,J$68/J$71))</f>
        <v>0</v>
      </c>
      <c r="K101" s="2476">
        <f>IF(ISERROR(IF(ROUND(SUM(K$82:K100),3)&gt;=ROUND(K$68,3),0,K$68/K$71)),"NA",IF(ROUND(SUM(K$82:K100),3)&gt;=ROUND(K$68,3),0,K$68/K$71))</f>
        <v>0</v>
      </c>
      <c r="L101" s="2476">
        <f>IF(ISERROR(IF(ROUND(SUM(L$82:L100),3)&gt;=ROUND(L$68,3),0,L$68/L$71)),"NA",IF(ROUND(SUM(L$82:L100),3)&gt;=ROUND(L$68,3),0,L$68/L$71))</f>
        <v>0</v>
      </c>
      <c r="M101" s="2476">
        <f>IF(ISERROR(IF(ROUND(SUM(M$82:M100),3)&gt;=ROUND(M$68,3),0,M$68/M$71)),"NA",IF(ROUND(SUM(M$82:M100),3)&gt;=ROUND(M$68,3),0,M$68/M$71))</f>
        <v>0</v>
      </c>
      <c r="N101" s="2476">
        <f>IF(ISERROR(IF(ROUND(SUM(N$82:N100),3)&gt;=ROUND(N$68,3),0,N$68/N$71)),"NA",IF(ROUND(SUM(N$82:N100),3)&gt;=ROUND(N$68,3),0,N$68/N$71))</f>
        <v>0</v>
      </c>
      <c r="O101" s="2476">
        <f>IF(ISERROR(IF(ROUND(SUM(O$82:O100),3)&gt;=ROUND(O$68,3),0,O$68/O$71)),"NA",IF(ROUND(SUM(O$82:O100),3)&gt;=ROUND(O$68,3),0,O$68/O$71))</f>
        <v>0</v>
      </c>
      <c r="P101" s="2476">
        <f>IF(ISERROR(IF(ROUND(SUM(P$82:P100),3)&gt;=ROUND(P$68,3),0,P$68/P$71)),"NA",IF(ROUND(SUM(P$82:P100),3)&gt;=ROUND(P$68,3),0,P$68/P$71))</f>
        <v>0</v>
      </c>
      <c r="Q101" s="2475">
        <f t="shared" si="43"/>
        <v>0</v>
      </c>
      <c r="R101" s="2475">
        <f t="shared" si="43"/>
        <v>0</v>
      </c>
      <c r="S101" s="2475">
        <f t="shared" si="43"/>
        <v>0</v>
      </c>
      <c r="T101" s="2475">
        <f t="shared" si="43"/>
        <v>0</v>
      </c>
      <c r="U101" s="2475">
        <f t="shared" si="43"/>
        <v>0</v>
      </c>
      <c r="V101" s="2475">
        <f t="shared" si="43"/>
        <v>0</v>
      </c>
      <c r="W101" s="2475">
        <f t="shared" si="43"/>
        <v>0</v>
      </c>
    </row>
    <row r="102" spans="2:23" customFormat="1" outlineLevel="1">
      <c r="B102" s="2450"/>
      <c r="C102" t="s">
        <v>105</v>
      </c>
      <c r="H102" s="2476">
        <f>IF(ISERROR(IF(ROUND(SUM(H$82:H101),3)&gt;=ROUND(H$68,3),0,H$68/H$71)),"NA",IF(ROUND(SUM(H$82:H101),3)&gt;=ROUND(H$68,3),0,H$68/H$71))</f>
        <v>0</v>
      </c>
      <c r="I102" s="2476">
        <f>IF(ISERROR(IF(ROUND(SUM(I$82:I101),3)&gt;=ROUND(I$68,3),0,I$68/I$71)),"NA",IF(ROUND(SUM(I$82:I101),3)&gt;=ROUND(I$68,3),0,I$68/I$71))</f>
        <v>0</v>
      </c>
      <c r="J102" s="2476">
        <f>IF(ISERROR(IF(ROUND(SUM(J$82:J101),3)&gt;=ROUND(J$68,3),0,J$68/J$71)),"NA",IF(ROUND(SUM(J$82:J101),3)&gt;=ROUND(J$68,3),0,J$68/J$71))</f>
        <v>0</v>
      </c>
      <c r="K102" s="2476">
        <f>IF(ISERROR(IF(ROUND(SUM(K$82:K101),3)&gt;=ROUND(K$68,3),0,K$68/K$71)),"NA",IF(ROUND(SUM(K$82:K101),3)&gt;=ROUND(K$68,3),0,K$68/K$71))</f>
        <v>0</v>
      </c>
      <c r="L102" s="2476">
        <f>IF(ISERROR(IF(ROUND(SUM(L$82:L101),3)&gt;=ROUND(L$68,3),0,L$68/L$71)),"NA",IF(ROUND(SUM(L$82:L101),3)&gt;=ROUND(L$68,3),0,L$68/L$71))</f>
        <v>0</v>
      </c>
      <c r="M102" s="2476">
        <f>IF(ISERROR(IF(ROUND(SUM(M$82:M101),3)&gt;=ROUND(M$68,3),0,M$68/M$71)),"NA",IF(ROUND(SUM(M$82:M101),3)&gt;=ROUND(M$68,3),0,M$68/M$71))</f>
        <v>0</v>
      </c>
      <c r="N102" s="2476">
        <f>IF(ISERROR(IF(ROUND(SUM(N$82:N101),3)&gt;=ROUND(N$68,3),0,N$68/N$71)),"NA",IF(ROUND(SUM(N$82:N101),3)&gt;=ROUND(N$68,3),0,N$68/N$71))</f>
        <v>0</v>
      </c>
      <c r="O102" s="2476">
        <f>IF(ISERROR(IF(ROUND(SUM(O$82:O101),3)&gt;=ROUND(O$68,3),0,O$68/O$71)),"NA",IF(ROUND(SUM(O$82:O101),3)&gt;=ROUND(O$68,3),0,O$68/O$71))</f>
        <v>0</v>
      </c>
      <c r="P102" s="2476">
        <f>IF(ISERROR(IF(ROUND(SUM(P$82:P101),3)&gt;=ROUND(P$68,3),0,P$68/P$71)),"NA",IF(ROUND(SUM(P$82:P101),3)&gt;=ROUND(P$68,3),0,P$68/P$71))</f>
        <v>0</v>
      </c>
      <c r="Q102" s="2475">
        <f t="shared" si="43"/>
        <v>0</v>
      </c>
      <c r="R102" s="2475">
        <f t="shared" si="43"/>
        <v>0</v>
      </c>
      <c r="S102" s="2475">
        <f t="shared" si="43"/>
        <v>0</v>
      </c>
      <c r="T102" s="2475">
        <f t="shared" si="43"/>
        <v>0</v>
      </c>
      <c r="U102" s="2475">
        <f t="shared" si="43"/>
        <v>0</v>
      </c>
      <c r="V102" s="2475">
        <f t="shared" si="43"/>
        <v>0</v>
      </c>
      <c r="W102" s="2475">
        <f t="shared" si="43"/>
        <v>0</v>
      </c>
    </row>
    <row r="103" spans="2:23" customFormat="1" outlineLevel="1">
      <c r="B103" s="2450"/>
      <c r="C103" t="s">
        <v>106</v>
      </c>
      <c r="H103" s="2476">
        <f>IF(ISERROR(IF(ROUND(SUM(H$82:H102),3)&gt;=ROUND(H$68,3),0,H$68/H$71)),"NA",IF(ROUND(SUM(H$82:H102),3)&gt;=ROUND(H$68,3),0,H$68/H$71))</f>
        <v>0</v>
      </c>
      <c r="I103" s="2476">
        <f>IF(ISERROR(IF(ROUND(SUM(I$82:I102),3)&gt;=ROUND(I$68,3),0,I$68/I$71)),"NA",IF(ROUND(SUM(I$82:I102),3)&gt;=ROUND(I$68,3),0,I$68/I$71))</f>
        <v>0</v>
      </c>
      <c r="J103" s="2476">
        <f>IF(ISERROR(IF(ROUND(SUM(J$82:J102),3)&gt;=ROUND(J$68,3),0,J$68/J$71)),"NA",IF(ROUND(SUM(J$82:J102),3)&gt;=ROUND(J$68,3),0,J$68/J$71))</f>
        <v>0</v>
      </c>
      <c r="K103" s="2476">
        <f>IF(ISERROR(IF(ROUND(SUM(K$82:K102),3)&gt;=ROUND(K$68,3),0,K$68/K$71)),"NA",IF(ROUND(SUM(K$82:K102),3)&gt;=ROUND(K$68,3),0,K$68/K$71))</f>
        <v>0</v>
      </c>
      <c r="L103" s="2476">
        <f>IF(ISERROR(IF(ROUND(SUM(L$82:L102),3)&gt;=ROUND(L$68,3),0,L$68/L$71)),"NA",IF(ROUND(SUM(L$82:L102),3)&gt;=ROUND(L$68,3),0,L$68/L$71))</f>
        <v>0</v>
      </c>
      <c r="M103" s="2476">
        <f>IF(ISERROR(IF(ROUND(SUM(M$82:M102),3)&gt;=ROUND(M$68,3),0,M$68/M$71)),"NA",IF(ROUND(SUM(M$82:M102),3)&gt;=ROUND(M$68,3),0,M$68/M$71))</f>
        <v>0</v>
      </c>
      <c r="N103" s="2476">
        <f>IF(ISERROR(IF(ROUND(SUM(N$82:N102),3)&gt;=ROUND(N$68,3),0,N$68/N$71)),"NA",IF(ROUND(SUM(N$82:N102),3)&gt;=ROUND(N$68,3),0,N$68/N$71))</f>
        <v>0</v>
      </c>
      <c r="O103" s="2476">
        <f>IF(ISERROR(IF(ROUND(SUM(O$82:O102),3)&gt;=ROUND(O$68,3),0,O$68/O$71)),"NA",IF(ROUND(SUM(O$82:O102),3)&gt;=ROUND(O$68,3),0,O$68/O$71))</f>
        <v>0</v>
      </c>
      <c r="P103" s="2476">
        <f>IF(ISERROR(IF(ROUND(SUM(P$82:P102),3)&gt;=ROUND(P$68,3),0,P$68/P$71)),"NA",IF(ROUND(SUM(P$82:P102),3)&gt;=ROUND(P$68,3),0,P$68/P$71))</f>
        <v>0</v>
      </c>
      <c r="Q103" s="2475">
        <f t="shared" si="43"/>
        <v>0</v>
      </c>
      <c r="R103" s="2475">
        <f t="shared" si="43"/>
        <v>0</v>
      </c>
      <c r="S103" s="2475">
        <f t="shared" si="43"/>
        <v>0</v>
      </c>
      <c r="T103" s="2475">
        <f t="shared" si="43"/>
        <v>0</v>
      </c>
      <c r="U103" s="2475">
        <f t="shared" si="43"/>
        <v>0</v>
      </c>
      <c r="V103" s="2475">
        <f t="shared" si="43"/>
        <v>0</v>
      </c>
      <c r="W103" s="2475">
        <f t="shared" si="43"/>
        <v>0</v>
      </c>
    </row>
    <row r="104" spans="2:23" customFormat="1" outlineLevel="1">
      <c r="B104" s="2450"/>
      <c r="C104" t="s">
        <v>107</v>
      </c>
      <c r="H104" s="2476">
        <f>IF(ISERROR(IF(ROUND(SUM(H$82:H103),3)&gt;=ROUND(H$68,3),0,H$68/H$71)),"NA",IF(ROUND(SUM(H$82:H103),3)&gt;=ROUND(H$68,3),0,H$68/H$71))</f>
        <v>0</v>
      </c>
      <c r="I104" s="2476">
        <f>IF(ISERROR(IF(ROUND(SUM(I$82:I103),3)&gt;=ROUND(I$68,3),0,I$68/I$71)),"NA",IF(ROUND(SUM(I$82:I103),3)&gt;=ROUND(I$68,3),0,I$68/I$71))</f>
        <v>0</v>
      </c>
      <c r="J104" s="2476">
        <f>IF(ISERROR(IF(ROUND(SUM(J$82:J103),3)&gt;=ROUND(J$68,3),0,J$68/J$71)),"NA",IF(ROUND(SUM(J$82:J103),3)&gt;=ROUND(J$68,3),0,J$68/J$71))</f>
        <v>0</v>
      </c>
      <c r="K104" s="2476">
        <f>IF(ISERROR(IF(ROUND(SUM(K$82:K103),3)&gt;=ROUND(K$68,3),0,K$68/K$71)),"NA",IF(ROUND(SUM(K$82:K103),3)&gt;=ROUND(K$68,3),0,K$68/K$71))</f>
        <v>0</v>
      </c>
      <c r="L104" s="2476">
        <f>IF(ISERROR(IF(ROUND(SUM(L$82:L103),3)&gt;=ROUND(L$68,3),0,L$68/L$71)),"NA",IF(ROUND(SUM(L$82:L103),3)&gt;=ROUND(L$68,3),0,L$68/L$71))</f>
        <v>0</v>
      </c>
      <c r="M104" s="2476">
        <f>IF(ISERROR(IF(ROUND(SUM(M$82:M103),3)&gt;=ROUND(M$68,3),0,M$68/M$71)),"NA",IF(ROUND(SUM(M$82:M103),3)&gt;=ROUND(M$68,3),0,M$68/M$71))</f>
        <v>0</v>
      </c>
      <c r="N104" s="2476">
        <f>IF(ISERROR(IF(ROUND(SUM(N$82:N103),3)&gt;=ROUND(N$68,3),0,N$68/N$71)),"NA",IF(ROUND(SUM(N$82:N103),3)&gt;=ROUND(N$68,3),0,N$68/N$71))</f>
        <v>0</v>
      </c>
      <c r="O104" s="2476">
        <f>IF(ISERROR(IF(ROUND(SUM(O$82:O103),3)&gt;=ROUND(O$68,3),0,O$68/O$71)),"NA",IF(ROUND(SUM(O$82:O103),3)&gt;=ROUND(O$68,3),0,O$68/O$71))</f>
        <v>0</v>
      </c>
      <c r="P104" s="2476">
        <f>IF(ISERROR(IF(ROUND(SUM(P$82:P103),3)&gt;=ROUND(P$68,3),0,P$68/P$71)),"NA",IF(ROUND(SUM(P$82:P103),3)&gt;=ROUND(P$68,3),0,P$68/P$71))</f>
        <v>0</v>
      </c>
      <c r="Q104" s="2475">
        <f t="shared" si="43"/>
        <v>0</v>
      </c>
      <c r="R104" s="2475">
        <f t="shared" si="43"/>
        <v>0</v>
      </c>
      <c r="S104" s="2475">
        <f t="shared" si="43"/>
        <v>0</v>
      </c>
      <c r="T104" s="2475">
        <f t="shared" si="43"/>
        <v>0</v>
      </c>
      <c r="U104" s="2475">
        <f t="shared" si="43"/>
        <v>0</v>
      </c>
      <c r="V104" s="2475">
        <f t="shared" si="43"/>
        <v>0</v>
      </c>
      <c r="W104" s="2475">
        <f t="shared" si="43"/>
        <v>0</v>
      </c>
    </row>
    <row r="105" spans="2:23" customFormat="1" outlineLevel="1">
      <c r="B105" s="2450"/>
      <c r="C105" t="s">
        <v>108</v>
      </c>
      <c r="H105" s="2476">
        <f>IF(ISERROR(IF(ROUND(SUM(H$82:H104),3)&gt;=ROUND(H$68,3),0,H$68/H$71)),"NA",IF(ROUND(SUM(H$82:H104),3)&gt;=ROUND(H$68,3),0,H$68/H$71))</f>
        <v>0</v>
      </c>
      <c r="I105" s="2476">
        <f>IF(ISERROR(IF(ROUND(SUM(I$82:I104),3)&gt;=ROUND(I$68,3),0,I$68/I$71)),"NA",IF(ROUND(SUM(I$82:I104),3)&gt;=ROUND(I$68,3),0,I$68/I$71))</f>
        <v>0</v>
      </c>
      <c r="J105" s="2476">
        <f>IF(ISERROR(IF(ROUND(SUM(J$82:J104),3)&gt;=ROUND(J$68,3),0,J$68/J$71)),"NA",IF(ROUND(SUM(J$82:J104),3)&gt;=ROUND(J$68,3),0,J$68/J$71))</f>
        <v>0</v>
      </c>
      <c r="K105" s="2476">
        <f>IF(ISERROR(IF(ROUND(SUM(K$82:K104),3)&gt;=ROUND(K$68,3),0,K$68/K$71)),"NA",IF(ROUND(SUM(K$82:K104),3)&gt;=ROUND(K$68,3),0,K$68/K$71))</f>
        <v>0</v>
      </c>
      <c r="L105" s="2476">
        <f>IF(ISERROR(IF(ROUND(SUM(L$82:L104),3)&gt;=ROUND(L$68,3),0,L$68/L$71)),"NA",IF(ROUND(SUM(L$82:L104),3)&gt;=ROUND(L$68,3),0,L$68/L$71))</f>
        <v>0</v>
      </c>
      <c r="M105" s="2476">
        <f>IF(ISERROR(IF(ROUND(SUM(M$82:M104),3)&gt;=ROUND(M$68,3),0,M$68/M$71)),"NA",IF(ROUND(SUM(M$82:M104),3)&gt;=ROUND(M$68,3),0,M$68/M$71))</f>
        <v>0</v>
      </c>
      <c r="N105" s="2476">
        <f>IF(ISERROR(IF(ROUND(SUM(N$82:N104),3)&gt;=ROUND(N$68,3),0,N$68/N$71)),"NA",IF(ROUND(SUM(N$82:N104),3)&gt;=ROUND(N$68,3),0,N$68/N$71))</f>
        <v>0</v>
      </c>
      <c r="O105" s="2476">
        <f>IF(ISERROR(IF(ROUND(SUM(O$82:O104),3)&gt;=ROUND(O$68,3),0,O$68/O$71)),"NA",IF(ROUND(SUM(O$82:O104),3)&gt;=ROUND(O$68,3),0,O$68/O$71))</f>
        <v>0</v>
      </c>
      <c r="P105" s="2476">
        <f>IF(ISERROR(IF(ROUND(SUM(P$82:P104),3)&gt;=ROUND(P$68,3),0,P$68/P$71)),"NA",IF(ROUND(SUM(P$82:P104),3)&gt;=ROUND(P$68,3),0,P$68/P$71))</f>
        <v>0</v>
      </c>
      <c r="Q105" s="2475">
        <f t="shared" si="43"/>
        <v>0</v>
      </c>
      <c r="R105" s="2475">
        <f t="shared" si="43"/>
        <v>0</v>
      </c>
      <c r="S105" s="2475">
        <f t="shared" si="43"/>
        <v>0</v>
      </c>
      <c r="T105" s="2475">
        <f t="shared" si="43"/>
        <v>0</v>
      </c>
      <c r="U105" s="2475">
        <f t="shared" si="43"/>
        <v>0</v>
      </c>
      <c r="V105" s="2475">
        <f t="shared" si="43"/>
        <v>0</v>
      </c>
      <c r="W105" s="2475">
        <f t="shared" si="43"/>
        <v>0</v>
      </c>
    </row>
    <row r="106" spans="2:23" customFormat="1" outlineLevel="1">
      <c r="B106" s="2450"/>
      <c r="C106" t="s">
        <v>109</v>
      </c>
      <c r="H106" s="2476">
        <f>IF(ISERROR(IF(ROUND(SUM(H$82:H105),3)&gt;=ROUND(H$68,3),0,H$68/H$71)),"NA",IF(ROUND(SUM(H$82:H105),3)&gt;=ROUND(H$68,3),0,H$68/H$71))</f>
        <v>0</v>
      </c>
      <c r="I106" s="2476">
        <f>IF(ISERROR(IF(ROUND(SUM(I$82:I105),3)&gt;=ROUND(I$68,3),0,I$68/I$71)),"NA",IF(ROUND(SUM(I$82:I105),3)&gt;=ROUND(I$68,3),0,I$68/I$71))</f>
        <v>0</v>
      </c>
      <c r="J106" s="2476">
        <f>IF(ISERROR(IF(ROUND(SUM(J$82:J105),3)&gt;=ROUND(J$68,3),0,J$68/J$71)),"NA",IF(ROUND(SUM(J$82:J105),3)&gt;=ROUND(J$68,3),0,J$68/J$71))</f>
        <v>0</v>
      </c>
      <c r="K106" s="2476">
        <f>IF(ISERROR(IF(ROUND(SUM(K$82:K105),3)&gt;=ROUND(K$68,3),0,K$68/K$71)),"NA",IF(ROUND(SUM(K$82:K105),3)&gt;=ROUND(K$68,3),0,K$68/K$71))</f>
        <v>0</v>
      </c>
      <c r="L106" s="2476">
        <f>IF(ISERROR(IF(ROUND(SUM(L$82:L105),3)&gt;=ROUND(L$68,3),0,L$68/L$71)),"NA",IF(ROUND(SUM(L$82:L105),3)&gt;=ROUND(L$68,3),0,L$68/L$71))</f>
        <v>0</v>
      </c>
      <c r="M106" s="2476">
        <f>IF(ISERROR(IF(ROUND(SUM(M$82:M105),3)&gt;=ROUND(M$68,3),0,M$68/M$71)),"NA",IF(ROUND(SUM(M$82:M105),3)&gt;=ROUND(M$68,3),0,M$68/M$71))</f>
        <v>0</v>
      </c>
      <c r="N106" s="2476">
        <f>IF(ISERROR(IF(ROUND(SUM(N$82:N105),3)&gt;=ROUND(N$68,3),0,N$68/N$71)),"NA",IF(ROUND(SUM(N$82:N105),3)&gt;=ROUND(N$68,3),0,N$68/N$71))</f>
        <v>0</v>
      </c>
      <c r="O106" s="2476">
        <f>IF(ISERROR(IF(ROUND(SUM(O$82:O105),3)&gt;=ROUND(O$68,3),0,O$68/O$71)),"NA",IF(ROUND(SUM(O$82:O105),3)&gt;=ROUND(O$68,3),0,O$68/O$71))</f>
        <v>0</v>
      </c>
      <c r="P106" s="2476">
        <f>IF(ISERROR(IF(ROUND(SUM(P$82:P105),3)&gt;=ROUND(P$68,3),0,P$68/P$71)),"NA",IF(ROUND(SUM(P$82:P105),3)&gt;=ROUND(P$68,3),0,P$68/P$71))</f>
        <v>0</v>
      </c>
      <c r="Q106" s="2475">
        <f t="shared" si="43"/>
        <v>0</v>
      </c>
      <c r="R106" s="2475">
        <f t="shared" si="43"/>
        <v>0</v>
      </c>
      <c r="S106" s="2475">
        <f t="shared" si="43"/>
        <v>0</v>
      </c>
      <c r="T106" s="2475">
        <f t="shared" si="43"/>
        <v>0</v>
      </c>
      <c r="U106" s="2475">
        <f t="shared" si="43"/>
        <v>0</v>
      </c>
      <c r="V106" s="2475">
        <f t="shared" si="43"/>
        <v>0</v>
      </c>
      <c r="W106" s="2475">
        <f t="shared" si="43"/>
        <v>0</v>
      </c>
    </row>
    <row r="107" spans="2:23" customFormat="1" ht="11.25" customHeight="1">
      <c r="C107" t="s">
        <v>110</v>
      </c>
    </row>
    <row r="108" spans="2:23" customFormat="1" ht="11.25" customHeight="1"/>
    <row r="109" spans="2:23" customFormat="1" outlineLevel="1">
      <c r="I109" s="2475"/>
      <c r="J109" s="2475"/>
      <c r="K109" s="2475"/>
      <c r="L109" s="2475"/>
      <c r="M109" s="2475"/>
      <c r="N109" s="2475"/>
      <c r="O109" s="2475"/>
      <c r="P109" s="2475"/>
      <c r="Q109" s="2475"/>
      <c r="R109" s="2475"/>
      <c r="S109" s="2475"/>
      <c r="T109" s="2475"/>
      <c r="U109" s="2475"/>
      <c r="V109" s="2475"/>
      <c r="W109" s="2475"/>
    </row>
    <row r="110" spans="2:23" customFormat="1" ht="12.75" customHeight="1" outlineLevel="1">
      <c r="B110" t="s">
        <v>999</v>
      </c>
      <c r="C110" s="2484" t="s">
        <v>639</v>
      </c>
      <c r="D110" s="2484"/>
      <c r="E110" s="2484"/>
      <c r="F110" s="2484"/>
      <c r="G110" s="2484"/>
      <c r="H110">
        <f t="shared" ref="H110:W110" si="44">H74</f>
        <v>39841</v>
      </c>
      <c r="I110">
        <f t="shared" si="44"/>
        <v>40206</v>
      </c>
      <c r="J110">
        <f t="shared" si="44"/>
        <v>40571</v>
      </c>
      <c r="K110">
        <f t="shared" si="44"/>
        <v>40936</v>
      </c>
      <c r="L110">
        <f t="shared" si="44"/>
        <v>41302</v>
      </c>
      <c r="M110">
        <f t="shared" si="44"/>
        <v>41667</v>
      </c>
      <c r="N110">
        <f t="shared" si="44"/>
        <v>42032</v>
      </c>
      <c r="O110">
        <f t="shared" si="44"/>
        <v>42397</v>
      </c>
      <c r="P110">
        <f t="shared" si="44"/>
        <v>42763</v>
      </c>
      <c r="Q110">
        <f t="shared" si="44"/>
        <v>43128</v>
      </c>
      <c r="R110">
        <f t="shared" si="44"/>
        <v>43493</v>
      </c>
      <c r="S110">
        <f t="shared" si="44"/>
        <v>43858</v>
      </c>
      <c r="T110">
        <f t="shared" si="44"/>
        <v>44224</v>
      </c>
      <c r="U110">
        <f t="shared" si="44"/>
        <v>44589</v>
      </c>
      <c r="V110">
        <f t="shared" si="44"/>
        <v>44954</v>
      </c>
      <c r="W110">
        <f t="shared" si="44"/>
        <v>45319</v>
      </c>
    </row>
    <row r="111" spans="2:23" customFormat="1" ht="12.75" customHeight="1" outlineLevel="1">
      <c r="C111" s="2484"/>
      <c r="D111" s="2484"/>
      <c r="E111" s="2484"/>
      <c r="F111" s="2484"/>
      <c r="G111" s="2484"/>
    </row>
    <row r="112" spans="2:23" customFormat="1" ht="11.25" customHeight="1" outlineLevel="1">
      <c r="B112">
        <v>1</v>
      </c>
      <c r="C112" s="2459" t="s">
        <v>640</v>
      </c>
      <c r="D112" s="2459"/>
      <c r="E112" s="2459"/>
      <c r="F112" s="2459"/>
      <c r="G112" s="2459"/>
      <c r="H112">
        <f t="shared" ref="H112:H141" si="45">IF(ISERROR(H76/(POWER((1+$H$44),B112))),"NA",H76/(POWER((1+$H$44),B112)))</f>
        <v>467.40170227310591</v>
      </c>
      <c r="I112">
        <f t="shared" ref="I112:W127" si="46">IF(ISERROR((I76-H77)/(POWER((1+I$45),$B112))),"NA",(I76-H77)/(POWER((1+I$45),$B112)))</f>
        <v>28.141135972461274</v>
      </c>
      <c r="J112">
        <f t="shared" si="46"/>
        <v>39.705709023941068</v>
      </c>
      <c r="K112">
        <f t="shared" si="46"/>
        <v>69.189217758985194</v>
      </c>
      <c r="L112">
        <f t="shared" si="46"/>
        <v>81.264135197162531</v>
      </c>
      <c r="M112">
        <f t="shared" si="46"/>
        <v>80.895274102079398</v>
      </c>
      <c r="N112">
        <f t="shared" si="46"/>
        <v>82.397327569267048</v>
      </c>
      <c r="O112">
        <f t="shared" si="46"/>
        <v>91.649380677126331</v>
      </c>
      <c r="P112">
        <f t="shared" si="46"/>
        <v>116.96574225122349</v>
      </c>
      <c r="Q112">
        <f t="shared" si="46"/>
        <v>68.58871125611752</v>
      </c>
      <c r="R112">
        <f t="shared" si="46"/>
        <v>69.960485481239871</v>
      </c>
      <c r="S112">
        <f t="shared" si="46"/>
        <v>71.359695190864656</v>
      </c>
      <c r="T112">
        <f t="shared" si="46"/>
        <v>72.786889094681911</v>
      </c>
      <c r="U112">
        <f t="shared" si="46"/>
        <v>74.242626876575542</v>
      </c>
      <c r="V112">
        <f t="shared" si="46"/>
        <v>75.727479414107023</v>
      </c>
      <c r="W112">
        <f t="shared" si="46"/>
        <v>77.242029002389216</v>
      </c>
    </row>
    <row r="113" spans="2:23" customFormat="1" ht="11.25" customHeight="1" outlineLevel="1">
      <c r="B113" s="2450">
        <v>2</v>
      </c>
      <c r="C113" s="2459" t="str">
        <f t="shared" ref="C113:C141" si="47">"PV of Increase in forecast year "&amp;B112&amp;" lease commitments"</f>
        <v>PV of Increase in forecast year 1 lease commitments</v>
      </c>
      <c r="D113" s="2459"/>
      <c r="E113" s="2459"/>
      <c r="F113" s="2459"/>
      <c r="G113" s="2459"/>
      <c r="H113">
        <f t="shared" si="45"/>
        <v>431.39814229115865</v>
      </c>
      <c r="I113">
        <f t="shared" si="46"/>
        <v>20.238045864303043</v>
      </c>
      <c r="J113">
        <f t="shared" si="46"/>
        <v>26.432040671665842</v>
      </c>
      <c r="K113">
        <f t="shared" si="46"/>
        <v>52.452313960192917</v>
      </c>
      <c r="L113">
        <f t="shared" si="46"/>
        <v>55.839215066446478</v>
      </c>
      <c r="M113">
        <f t="shared" si="46"/>
        <v>46.010053994947135</v>
      </c>
      <c r="N113">
        <f t="shared" si="46"/>
        <v>54.356639283902368</v>
      </c>
      <c r="O113">
        <f t="shared" si="46"/>
        <v>74.988538016162039</v>
      </c>
      <c r="P113">
        <f t="shared" si="46"/>
        <v>71.797808547272382</v>
      </c>
      <c r="Q113">
        <f t="shared" si="46"/>
        <v>61.41339379884981</v>
      </c>
      <c r="R113">
        <f t="shared" si="46"/>
        <v>62.641661674826864</v>
      </c>
      <c r="S113">
        <f t="shared" si="46"/>
        <v>63.894494908323459</v>
      </c>
      <c r="T113">
        <f t="shared" si="46"/>
        <v>65.172384806489916</v>
      </c>
      <c r="U113">
        <f t="shared" si="46"/>
        <v>66.475832502619724</v>
      </c>
      <c r="V113">
        <f t="shared" si="46"/>
        <v>67.805349152672093</v>
      </c>
      <c r="W113">
        <f t="shared" si="46"/>
        <v>69.161456135725544</v>
      </c>
    </row>
    <row r="114" spans="2:23" customFormat="1" ht="11.25" customHeight="1" outlineLevel="1">
      <c r="B114" s="2450">
        <v>3</v>
      </c>
      <c r="C114" s="2459" t="str">
        <f t="shared" si="47"/>
        <v>PV of Increase in forecast year 2 lease commitments</v>
      </c>
      <c r="D114" s="2459"/>
      <c r="E114" s="2459"/>
      <c r="F114" s="2459"/>
      <c r="G114" s="2459"/>
      <c r="H114">
        <f t="shared" si="45"/>
        <v>390.10988731535582</v>
      </c>
      <c r="I114">
        <f t="shared" si="46"/>
        <v>23.11102146892647</v>
      </c>
      <c r="J114">
        <f t="shared" si="46"/>
        <v>29.130988661118657</v>
      </c>
      <c r="K114">
        <f t="shared" si="46"/>
        <v>54.76396764890719</v>
      </c>
      <c r="L114">
        <f t="shared" si="46"/>
        <v>59.492450276546215</v>
      </c>
      <c r="M114">
        <f t="shared" si="46"/>
        <v>58.260222508070321</v>
      </c>
      <c r="N114">
        <f t="shared" si="46"/>
        <v>64.030363157246157</v>
      </c>
      <c r="O114">
        <f t="shared" si="46"/>
        <v>110.49552672869856</v>
      </c>
      <c r="P114">
        <f t="shared" si="46"/>
        <v>86.027104070049759</v>
      </c>
      <c r="Q114">
        <f t="shared" si="46"/>
        <v>48.355425544898431</v>
      </c>
      <c r="R114">
        <f t="shared" si="46"/>
        <v>49.322534055796368</v>
      </c>
      <c r="S114">
        <f t="shared" si="46"/>
        <v>50.308984736912336</v>
      </c>
      <c r="T114">
        <f t="shared" si="46"/>
        <v>51.315164431650558</v>
      </c>
      <c r="U114">
        <f t="shared" si="46"/>
        <v>52.341467720283582</v>
      </c>
      <c r="V114">
        <f t="shared" si="46"/>
        <v>53.388297074689298</v>
      </c>
      <c r="W114">
        <f t="shared" si="46"/>
        <v>54.456063016183123</v>
      </c>
    </row>
    <row r="115" spans="2:23" customFormat="1" outlineLevel="1">
      <c r="B115" s="2450">
        <v>4</v>
      </c>
      <c r="C115" s="2459" t="str">
        <f t="shared" si="47"/>
        <v>PV of Increase in forecast year 3 lease commitments</v>
      </c>
      <c r="D115" s="2459"/>
      <c r="E115" s="2459"/>
      <c r="F115" s="2459"/>
      <c r="G115" s="2459"/>
      <c r="H115">
        <f t="shared" si="45"/>
        <v>338.83953617610564</v>
      </c>
      <c r="I115">
        <f t="shared" si="46"/>
        <v>17.807760887201457</v>
      </c>
      <c r="J115">
        <f t="shared" si="46"/>
        <v>24.718204285465458</v>
      </c>
      <c r="K115">
        <f t="shared" si="46"/>
        <v>48.14679169612635</v>
      </c>
      <c r="L115">
        <f t="shared" si="46"/>
        <v>57.092613633487495</v>
      </c>
      <c r="M115">
        <f t="shared" si="46"/>
        <v>56.367827270892178</v>
      </c>
      <c r="N115">
        <f t="shared" si="46"/>
        <v>58.416483299235459</v>
      </c>
      <c r="O115">
        <f t="shared" si="46"/>
        <v>105.99438079585934</v>
      </c>
      <c r="P115">
        <f t="shared" si="46"/>
        <v>80.497792650212943</v>
      </c>
      <c r="Q115">
        <f t="shared" si="46"/>
        <v>35.342364201664935</v>
      </c>
      <c r="R115">
        <f t="shared" si="46"/>
        <v>36.049211485698258</v>
      </c>
      <c r="S115">
        <f t="shared" si="46"/>
        <v>36.770195715412193</v>
      </c>
      <c r="T115">
        <f t="shared" si="46"/>
        <v>37.505599629720408</v>
      </c>
      <c r="U115">
        <f t="shared" si="46"/>
        <v>38.255711622314791</v>
      </c>
      <c r="V115">
        <f t="shared" si="46"/>
        <v>39.020825854761043</v>
      </c>
      <c r="W115">
        <f t="shared" si="46"/>
        <v>39.801242371856283</v>
      </c>
    </row>
    <row r="116" spans="2:23" customFormat="1" outlineLevel="1">
      <c r="B116" s="2450">
        <v>5</v>
      </c>
      <c r="C116" s="2459" t="str">
        <f t="shared" si="47"/>
        <v>PV of Increase in forecast year 4 lease commitments</v>
      </c>
      <c r="D116" s="2459"/>
      <c r="E116" s="2459"/>
      <c r="F116" s="2459"/>
      <c r="G116" s="2459"/>
      <c r="H116">
        <f t="shared" si="45"/>
        <v>288.62554550837808</v>
      </c>
      <c r="I116">
        <f t="shared" si="46"/>
        <v>15.251801493229117</v>
      </c>
      <c r="J116">
        <f t="shared" si="46"/>
        <v>22.824507603558715</v>
      </c>
      <c r="K116">
        <f t="shared" si="46"/>
        <v>39.300329692897527</v>
      </c>
      <c r="L116">
        <f t="shared" si="46"/>
        <v>54.750621337390662</v>
      </c>
      <c r="M116">
        <f t="shared" si="46"/>
        <v>49.339904089207323</v>
      </c>
      <c r="N116">
        <f t="shared" si="46"/>
        <v>53.977595430454421</v>
      </c>
      <c r="O116">
        <f t="shared" si="46"/>
        <v>102.40659114073763</v>
      </c>
      <c r="P116">
        <f t="shared" si="46"/>
        <v>71.019651247604315</v>
      </c>
      <c r="Q116">
        <f t="shared" si="46"/>
        <v>36.887176435876881</v>
      </c>
      <c r="R116">
        <f t="shared" si="46"/>
        <v>37.62491996459444</v>
      </c>
      <c r="S116">
        <f t="shared" si="46"/>
        <v>38.37741836388637</v>
      </c>
      <c r="T116">
        <f t="shared" si="46"/>
        <v>39.144966731164111</v>
      </c>
      <c r="U116">
        <f t="shared" si="46"/>
        <v>39.927866065787441</v>
      </c>
      <c r="V116">
        <f t="shared" si="46"/>
        <v>40.726423387103196</v>
      </c>
      <c r="W116">
        <f t="shared" si="46"/>
        <v>41.540951854845225</v>
      </c>
    </row>
    <row r="117" spans="2:23" customFormat="1" outlineLevel="1">
      <c r="B117" s="2450">
        <v>6</v>
      </c>
      <c r="C117" s="2459" t="str">
        <f t="shared" si="47"/>
        <v>PV of Increase in forecast year 5 lease commitments</v>
      </c>
      <c r="D117" s="2459"/>
      <c r="E117" s="2459"/>
      <c r="F117" s="2459"/>
      <c r="G117" s="2459"/>
      <c r="H117">
        <f t="shared" si="45"/>
        <v>250.67181232116445</v>
      </c>
      <c r="I117">
        <f t="shared" si="46"/>
        <v>47.8254793319771</v>
      </c>
      <c r="J117">
        <f t="shared" si="46"/>
        <v>63.847548238528169</v>
      </c>
      <c r="K117">
        <f t="shared" si="46"/>
        <v>76.564036688294379</v>
      </c>
      <c r="L117">
        <f t="shared" si="46"/>
        <v>97.632706148691426</v>
      </c>
      <c r="M117">
        <f t="shared" si="46"/>
        <v>68.993398215981728</v>
      </c>
      <c r="N117">
        <f t="shared" si="46"/>
        <v>60.514445934119756</v>
      </c>
      <c r="O117">
        <f t="shared" si="46"/>
        <v>128.77316696559109</v>
      </c>
      <c r="P117">
        <f t="shared" si="46"/>
        <v>91.962882625945255</v>
      </c>
      <c r="Q117">
        <f t="shared" si="46"/>
        <v>80.027845742081723</v>
      </c>
      <c r="R117">
        <f t="shared" si="46"/>
        <v>81.62840265692337</v>
      </c>
      <c r="S117">
        <f t="shared" si="46"/>
        <v>83.260970710061812</v>
      </c>
      <c r="T117">
        <f t="shared" si="46"/>
        <v>84.92619012426303</v>
      </c>
      <c r="U117">
        <f t="shared" si="46"/>
        <v>86.624713926748285</v>
      </c>
      <c r="V117">
        <f t="shared" si="46"/>
        <v>88.357208205283271</v>
      </c>
      <c r="W117">
        <f t="shared" si="46"/>
        <v>90.124352369388887</v>
      </c>
    </row>
    <row r="118" spans="2:23" customFormat="1" outlineLevel="1">
      <c r="B118" s="2450">
        <v>7</v>
      </c>
      <c r="C118" s="2459" t="str">
        <f t="shared" si="47"/>
        <v>PV of Increase in forecast year 6 lease commitments</v>
      </c>
      <c r="D118" s="2459"/>
      <c r="E118" s="2459"/>
      <c r="F118" s="2459"/>
      <c r="G118" s="2459"/>
      <c r="H118">
        <f t="shared" si="45"/>
        <v>186.32114060620717</v>
      </c>
      <c r="I118">
        <f t="shared" si="46"/>
        <v>-27.99088949531032</v>
      </c>
      <c r="J118">
        <f t="shared" si="46"/>
        <v>-4.9225479072835707</v>
      </c>
      <c r="K118">
        <f t="shared" si="46"/>
        <v>-6.4965120032199764</v>
      </c>
      <c r="L118">
        <f t="shared" si="46"/>
        <v>21.341065577085335</v>
      </c>
      <c r="M118">
        <f t="shared" si="46"/>
        <v>23.3268407332801</v>
      </c>
      <c r="N118">
        <f t="shared" si="46"/>
        <v>10.600405052686147</v>
      </c>
      <c r="O118">
        <f t="shared" si="46"/>
        <v>69.237571511280208</v>
      </c>
      <c r="P118">
        <f t="shared" si="46"/>
        <v>17.838528108363526</v>
      </c>
      <c r="Q118">
        <f t="shared" si="46"/>
        <v>5.3063339950512258</v>
      </c>
      <c r="R118">
        <f t="shared" si="46"/>
        <v>5.4124606749522668</v>
      </c>
      <c r="S118">
        <f t="shared" si="46"/>
        <v>5.5207098884513188</v>
      </c>
      <c r="T118">
        <f t="shared" si="46"/>
        <v>5.6311240862203542</v>
      </c>
      <c r="U118">
        <f t="shared" si="46"/>
        <v>5.7437465679447506</v>
      </c>
      <c r="V118">
        <f t="shared" si="46"/>
        <v>5.8586214993036556</v>
      </c>
      <c r="W118">
        <f t="shared" si="46"/>
        <v>5.9757939292897015</v>
      </c>
    </row>
    <row r="119" spans="2:23" customFormat="1" outlineLevel="1">
      <c r="B119" s="2450">
        <v>8</v>
      </c>
      <c r="C119" s="2459" t="str">
        <f t="shared" si="47"/>
        <v>PV of Increase in forecast year 7 lease commitments</v>
      </c>
      <c r="D119" s="2459"/>
      <c r="E119" s="2459"/>
      <c r="F119" s="2459"/>
      <c r="G119" s="2459"/>
      <c r="H119">
        <f t="shared" si="45"/>
        <v>177.00572822928441</v>
      </c>
      <c r="I119">
        <f t="shared" si="46"/>
        <v>-26.256514242588857</v>
      </c>
      <c r="J119">
        <f t="shared" si="46"/>
        <v>-4.5454245316979431</v>
      </c>
      <c r="K119">
        <f t="shared" si="46"/>
        <v>-6.0741700495222721</v>
      </c>
      <c r="L119">
        <f t="shared" si="46"/>
        <v>19.934060210434183</v>
      </c>
      <c r="M119">
        <f t="shared" si="46"/>
        <v>21.942222965747035</v>
      </c>
      <c r="N119">
        <f t="shared" si="46"/>
        <v>9.9255119033306123</v>
      </c>
      <c r="O119">
        <f t="shared" si="46"/>
        <v>65.418356171103881</v>
      </c>
      <c r="P119">
        <f t="shared" si="46"/>
        <v>16.691973446912424</v>
      </c>
      <c r="Q119">
        <f t="shared" si="46"/>
        <v>4.9652743549125331</v>
      </c>
      <c r="R119">
        <f t="shared" si="46"/>
        <v>5.0645798420107999</v>
      </c>
      <c r="S119">
        <f t="shared" si="46"/>
        <v>5.1658714388510214</v>
      </c>
      <c r="T119">
        <f t="shared" si="46"/>
        <v>5.2691888676280509</v>
      </c>
      <c r="U119">
        <f t="shared" si="46"/>
        <v>5.3745726449806011</v>
      </c>
      <c r="V119">
        <f t="shared" si="46"/>
        <v>5.4820640978802233</v>
      </c>
      <c r="W119">
        <f t="shared" si="46"/>
        <v>5.5917053798378014</v>
      </c>
    </row>
    <row r="120" spans="2:23" customFormat="1" outlineLevel="1">
      <c r="B120" s="2450">
        <v>9</v>
      </c>
      <c r="C120" s="2459" t="str">
        <f t="shared" si="47"/>
        <v>PV of Increase in forecast year 8 lease commitments</v>
      </c>
      <c r="D120" s="2459"/>
      <c r="E120" s="2459"/>
      <c r="F120" s="2459"/>
      <c r="G120" s="2459"/>
      <c r="H120">
        <f t="shared" si="45"/>
        <v>168.15605424076887</v>
      </c>
      <c r="I120">
        <f t="shared" si="46"/>
        <v>-24.629604582118635</v>
      </c>
      <c r="J120">
        <f t="shared" si="46"/>
        <v>-4.1971931126949338</v>
      </c>
      <c r="K120">
        <f t="shared" si="46"/>
        <v>-5.6792847873176004</v>
      </c>
      <c r="L120">
        <f t="shared" si="46"/>
        <v>18.619817976656336</v>
      </c>
      <c r="M120">
        <f t="shared" si="46"/>
        <v>20.639792339802881</v>
      </c>
      <c r="N120">
        <f t="shared" si="46"/>
        <v>9.2935869953567245</v>
      </c>
      <c r="O120">
        <f t="shared" si="46"/>
        <v>61.809812659766344</v>
      </c>
      <c r="P120">
        <f t="shared" si="46"/>
        <v>15.619112510846602</v>
      </c>
      <c r="Q120">
        <f t="shared" si="46"/>
        <v>4.6461360032264745</v>
      </c>
      <c r="R120">
        <f t="shared" si="46"/>
        <v>4.7390587232910191</v>
      </c>
      <c r="S120">
        <f t="shared" si="46"/>
        <v>4.8338398977568442</v>
      </c>
      <c r="T120">
        <f t="shared" si="46"/>
        <v>4.9305166957119893</v>
      </c>
      <c r="U120">
        <f t="shared" si="46"/>
        <v>5.0291270296262196</v>
      </c>
      <c r="V120">
        <f t="shared" si="46"/>
        <v>5.1297095702187532</v>
      </c>
      <c r="W120">
        <f t="shared" si="46"/>
        <v>5.2323037616231041</v>
      </c>
    </row>
    <row r="121" spans="2:23" customFormat="1" outlineLevel="1">
      <c r="B121" s="2450">
        <v>10</v>
      </c>
      <c r="C121" s="2459" t="str">
        <f t="shared" si="47"/>
        <v>PV of Increase in forecast year 9 lease commitments</v>
      </c>
      <c r="D121" s="2459"/>
      <c r="E121" s="2459"/>
      <c r="F121" s="2459"/>
      <c r="G121" s="2459"/>
      <c r="H121">
        <f t="shared" si="45"/>
        <v>159.74883333265063</v>
      </c>
      <c r="I121">
        <f t="shared" si="46"/>
        <v>-23.103501716445191</v>
      </c>
      <c r="J121">
        <f t="shared" si="46"/>
        <v>-3.8756401965105707</v>
      </c>
      <c r="K121">
        <f t="shared" si="46"/>
        <v>-5.3100712414190463</v>
      </c>
      <c r="L121">
        <f t="shared" si="46"/>
        <v>17.392223050592619</v>
      </c>
      <c r="M121">
        <f t="shared" si="46"/>
        <v>19.414670450445964</v>
      </c>
      <c r="N121">
        <f t="shared" si="46"/>
        <v>8.7018946812487297</v>
      </c>
      <c r="O121">
        <f t="shared" si="46"/>
        <v>58.400320103472048</v>
      </c>
      <c r="P121">
        <f t="shared" si="46"/>
        <v>14.61520870509235</v>
      </c>
      <c r="Q121">
        <f t="shared" si="46"/>
        <v>4.3475099697401394</v>
      </c>
      <c r="R121">
        <f t="shared" si="46"/>
        <v>4.4344601691349563</v>
      </c>
      <c r="S121">
        <f t="shared" si="46"/>
        <v>4.5231493725176612</v>
      </c>
      <c r="T121">
        <f t="shared" si="46"/>
        <v>4.6136123599680214</v>
      </c>
      <c r="U121">
        <f t="shared" si="46"/>
        <v>4.7058846071673726</v>
      </c>
      <c r="V121">
        <f t="shared" si="46"/>
        <v>4.8000022993107292</v>
      </c>
      <c r="W121">
        <f t="shared" si="46"/>
        <v>4.896002345296921</v>
      </c>
    </row>
    <row r="122" spans="2:23" customFormat="1" outlineLevel="1">
      <c r="B122" s="2450">
        <v>11</v>
      </c>
      <c r="C122" s="2459" t="str">
        <f t="shared" si="47"/>
        <v>PV of Increase in forecast year 10 lease commitments</v>
      </c>
      <c r="D122" s="2459"/>
      <c r="E122" s="2459"/>
      <c r="F122" s="2459"/>
      <c r="G122" s="2459"/>
      <c r="H122">
        <f t="shared" si="45"/>
        <v>151.76194438175526</v>
      </c>
      <c r="I122">
        <f t="shared" si="46"/>
        <v>110.33897158529089</v>
      </c>
      <c r="J122">
        <f t="shared" si="46"/>
        <v>89.218369357856446</v>
      </c>
      <c r="K122">
        <f t="shared" si="46"/>
        <v>97.38764785525791</v>
      </c>
      <c r="L122">
        <f t="shared" si="46"/>
        <v>112.58552838226259</v>
      </c>
      <c r="M122">
        <f t="shared" si="46"/>
        <v>139.87469307675033</v>
      </c>
      <c r="N122">
        <f t="shared" si="46"/>
        <v>141.1328085487805</v>
      </c>
      <c r="O122">
        <f t="shared" si="46"/>
        <v>211.07268026410597</v>
      </c>
      <c r="P122">
        <f t="shared" si="46"/>
        <v>203.40389222210035</v>
      </c>
      <c r="Q122">
        <f t="shared" si="46"/>
        <v>207.47197006654233</v>
      </c>
      <c r="R122">
        <f t="shared" si="46"/>
        <v>211.62140946787318</v>
      </c>
      <c r="S122">
        <f t="shared" si="46"/>
        <v>215.85383765723066</v>
      </c>
      <c r="T122">
        <f t="shared" si="46"/>
        <v>220.17091441037527</v>
      </c>
      <c r="U122">
        <f t="shared" si="46"/>
        <v>224.57433269858279</v>
      </c>
      <c r="V122">
        <f t="shared" si="46"/>
        <v>229.06581935255448</v>
      </c>
      <c r="W122">
        <f t="shared" si="46"/>
        <v>233.64713573960555</v>
      </c>
    </row>
    <row r="123" spans="2:23" customFormat="1" outlineLevel="1">
      <c r="B123" s="2450">
        <v>12</v>
      </c>
      <c r="C123" s="2459" t="str">
        <f t="shared" si="47"/>
        <v>PV of Increase in forecast year 11 lease commitments</v>
      </c>
      <c r="D123" s="2459"/>
      <c r="E123" s="2459"/>
      <c r="F123" s="2459"/>
      <c r="G123" s="2459"/>
      <c r="H123">
        <f t="shared" si="45"/>
        <v>0</v>
      </c>
      <c r="I123">
        <f t="shared" si="46"/>
        <v>0</v>
      </c>
      <c r="J123">
        <f t="shared" si="46"/>
        <v>0</v>
      </c>
      <c r="K123">
        <f t="shared" si="46"/>
        <v>0</v>
      </c>
      <c r="L123">
        <f t="shared" si="46"/>
        <v>0</v>
      </c>
      <c r="M123">
        <f t="shared" si="46"/>
        <v>0</v>
      </c>
      <c r="N123">
        <f t="shared" si="46"/>
        <v>0</v>
      </c>
      <c r="O123">
        <f t="shared" si="46"/>
        <v>0</v>
      </c>
      <c r="P123">
        <f t="shared" si="46"/>
        <v>0</v>
      </c>
      <c r="Q123">
        <f t="shared" si="46"/>
        <v>0</v>
      </c>
      <c r="R123">
        <f t="shared" si="46"/>
        <v>0</v>
      </c>
      <c r="S123">
        <f t="shared" si="46"/>
        <v>0</v>
      </c>
      <c r="T123">
        <f t="shared" si="46"/>
        <v>0</v>
      </c>
      <c r="U123">
        <f t="shared" si="46"/>
        <v>0</v>
      </c>
      <c r="V123">
        <f t="shared" si="46"/>
        <v>0</v>
      </c>
      <c r="W123">
        <f t="shared" si="46"/>
        <v>0</v>
      </c>
    </row>
    <row r="124" spans="2:23" customFormat="1" outlineLevel="1">
      <c r="B124" s="2450">
        <v>13</v>
      </c>
      <c r="C124" s="2459" t="str">
        <f t="shared" si="47"/>
        <v>PV of Increase in forecast year 12 lease commitments</v>
      </c>
      <c r="D124" s="2459"/>
      <c r="E124" s="2459"/>
      <c r="F124" s="2459"/>
      <c r="G124" s="2459"/>
      <c r="H124">
        <f t="shared" si="45"/>
        <v>0</v>
      </c>
      <c r="I124">
        <f t="shared" si="46"/>
        <v>0</v>
      </c>
      <c r="J124">
        <f t="shared" si="46"/>
        <v>0</v>
      </c>
      <c r="K124">
        <f t="shared" si="46"/>
        <v>0</v>
      </c>
      <c r="L124">
        <f t="shared" si="46"/>
        <v>0</v>
      </c>
      <c r="M124">
        <f t="shared" si="46"/>
        <v>0</v>
      </c>
      <c r="N124">
        <f t="shared" si="46"/>
        <v>0</v>
      </c>
      <c r="O124">
        <f t="shared" si="46"/>
        <v>0</v>
      </c>
      <c r="P124">
        <f t="shared" si="46"/>
        <v>0</v>
      </c>
      <c r="Q124">
        <f t="shared" si="46"/>
        <v>0</v>
      </c>
      <c r="R124">
        <f t="shared" si="46"/>
        <v>0</v>
      </c>
      <c r="S124">
        <f t="shared" si="46"/>
        <v>0</v>
      </c>
      <c r="T124">
        <f t="shared" si="46"/>
        <v>0</v>
      </c>
      <c r="U124">
        <f t="shared" si="46"/>
        <v>0</v>
      </c>
      <c r="V124">
        <f t="shared" si="46"/>
        <v>0</v>
      </c>
      <c r="W124">
        <f t="shared" si="46"/>
        <v>0</v>
      </c>
    </row>
    <row r="125" spans="2:23" customFormat="1" outlineLevel="1">
      <c r="B125" s="2450">
        <v>14</v>
      </c>
      <c r="C125" s="2459" t="str">
        <f t="shared" si="47"/>
        <v>PV of Increase in forecast year 13 lease commitments</v>
      </c>
      <c r="D125" s="2459"/>
      <c r="E125" s="2459"/>
      <c r="F125" s="2459"/>
      <c r="G125" s="2459"/>
      <c r="H125">
        <f t="shared" si="45"/>
        <v>0</v>
      </c>
      <c r="I125">
        <f t="shared" si="46"/>
        <v>0</v>
      </c>
      <c r="J125">
        <f t="shared" si="46"/>
        <v>0</v>
      </c>
      <c r="K125">
        <f t="shared" si="46"/>
        <v>0</v>
      </c>
      <c r="L125">
        <f t="shared" si="46"/>
        <v>0</v>
      </c>
      <c r="M125">
        <f t="shared" si="46"/>
        <v>0</v>
      </c>
      <c r="N125">
        <f t="shared" si="46"/>
        <v>0</v>
      </c>
      <c r="O125">
        <f t="shared" si="46"/>
        <v>0</v>
      </c>
      <c r="P125">
        <f t="shared" si="46"/>
        <v>0</v>
      </c>
      <c r="Q125">
        <f t="shared" si="46"/>
        <v>0</v>
      </c>
      <c r="R125">
        <f t="shared" si="46"/>
        <v>0</v>
      </c>
      <c r="S125">
        <f t="shared" si="46"/>
        <v>0</v>
      </c>
      <c r="T125">
        <f t="shared" si="46"/>
        <v>0</v>
      </c>
      <c r="U125">
        <f t="shared" si="46"/>
        <v>0</v>
      </c>
      <c r="V125">
        <f t="shared" si="46"/>
        <v>0</v>
      </c>
      <c r="W125">
        <f t="shared" si="46"/>
        <v>0</v>
      </c>
    </row>
    <row r="126" spans="2:23" customFormat="1" outlineLevel="1">
      <c r="B126" s="2450">
        <v>15</v>
      </c>
      <c r="C126" s="2459" t="str">
        <f t="shared" si="47"/>
        <v>PV of Increase in forecast year 14 lease commitments</v>
      </c>
      <c r="D126" s="2459"/>
      <c r="E126" s="2459"/>
      <c r="F126" s="2459"/>
      <c r="G126" s="2459"/>
      <c r="H126">
        <f t="shared" si="45"/>
        <v>0</v>
      </c>
      <c r="I126">
        <f t="shared" si="46"/>
        <v>0</v>
      </c>
      <c r="J126">
        <f t="shared" si="46"/>
        <v>0</v>
      </c>
      <c r="K126">
        <f t="shared" si="46"/>
        <v>0</v>
      </c>
      <c r="L126">
        <f t="shared" si="46"/>
        <v>0</v>
      </c>
      <c r="M126">
        <f t="shared" si="46"/>
        <v>0</v>
      </c>
      <c r="N126">
        <f t="shared" si="46"/>
        <v>0</v>
      </c>
      <c r="O126">
        <f t="shared" si="46"/>
        <v>0</v>
      </c>
      <c r="P126">
        <f t="shared" si="46"/>
        <v>0</v>
      </c>
      <c r="Q126">
        <f t="shared" si="46"/>
        <v>0</v>
      </c>
      <c r="R126">
        <f t="shared" si="46"/>
        <v>0</v>
      </c>
      <c r="S126">
        <f t="shared" si="46"/>
        <v>0</v>
      </c>
      <c r="T126">
        <f t="shared" si="46"/>
        <v>0</v>
      </c>
      <c r="U126">
        <f t="shared" si="46"/>
        <v>0</v>
      </c>
      <c r="V126">
        <f t="shared" si="46"/>
        <v>0</v>
      </c>
      <c r="W126">
        <f t="shared" si="46"/>
        <v>0</v>
      </c>
    </row>
    <row r="127" spans="2:23" customFormat="1" outlineLevel="1">
      <c r="B127" s="2450">
        <v>16</v>
      </c>
      <c r="C127" s="2459" t="str">
        <f t="shared" si="47"/>
        <v>PV of Increase in forecast year 15 lease commitments</v>
      </c>
      <c r="D127" s="2459"/>
      <c r="E127" s="2459"/>
      <c r="F127" s="2459"/>
      <c r="G127" s="2459"/>
      <c r="H127">
        <f t="shared" si="45"/>
        <v>0</v>
      </c>
      <c r="I127">
        <f t="shared" si="46"/>
        <v>0</v>
      </c>
      <c r="J127">
        <f t="shared" si="46"/>
        <v>0</v>
      </c>
      <c r="K127">
        <f t="shared" si="46"/>
        <v>0</v>
      </c>
      <c r="L127">
        <f t="shared" si="46"/>
        <v>0</v>
      </c>
      <c r="M127">
        <f t="shared" si="46"/>
        <v>0</v>
      </c>
      <c r="N127">
        <f t="shared" si="46"/>
        <v>0</v>
      </c>
      <c r="O127">
        <f t="shared" si="46"/>
        <v>0</v>
      </c>
      <c r="P127">
        <f t="shared" si="46"/>
        <v>0</v>
      </c>
      <c r="Q127">
        <f t="shared" si="46"/>
        <v>0</v>
      </c>
      <c r="R127">
        <f t="shared" si="46"/>
        <v>0</v>
      </c>
      <c r="S127">
        <f t="shared" si="46"/>
        <v>0</v>
      </c>
      <c r="T127">
        <f t="shared" si="46"/>
        <v>0</v>
      </c>
      <c r="U127">
        <f t="shared" si="46"/>
        <v>0</v>
      </c>
      <c r="V127">
        <f t="shared" si="46"/>
        <v>0</v>
      </c>
      <c r="W127">
        <f t="shared" si="46"/>
        <v>0</v>
      </c>
    </row>
    <row r="128" spans="2:23" customFormat="1" outlineLevel="1">
      <c r="B128" s="2450">
        <v>17</v>
      </c>
      <c r="C128" s="2459" t="str">
        <f t="shared" si="47"/>
        <v>PV of Increase in forecast year 16 lease commitments</v>
      </c>
      <c r="D128" s="2459"/>
      <c r="E128" s="2459"/>
      <c r="F128" s="2459"/>
      <c r="G128" s="2459"/>
      <c r="H128">
        <f t="shared" si="45"/>
        <v>0</v>
      </c>
      <c r="I128">
        <f t="shared" ref="I128:W141" si="48">IF(ISERROR((I92-H93)/(POWER((1+I$45),$B128))),"NA",(I92-H93)/(POWER((1+I$45),$B128)))</f>
        <v>0</v>
      </c>
      <c r="J128">
        <f t="shared" si="48"/>
        <v>0</v>
      </c>
      <c r="K128">
        <f t="shared" si="48"/>
        <v>0</v>
      </c>
      <c r="L128">
        <f t="shared" si="48"/>
        <v>0</v>
      </c>
      <c r="M128">
        <f t="shared" si="48"/>
        <v>0</v>
      </c>
      <c r="N128">
        <f t="shared" si="48"/>
        <v>0</v>
      </c>
      <c r="O128">
        <f t="shared" si="48"/>
        <v>0</v>
      </c>
      <c r="P128">
        <f t="shared" si="48"/>
        <v>0</v>
      </c>
      <c r="Q128">
        <f t="shared" si="48"/>
        <v>0</v>
      </c>
      <c r="R128">
        <f t="shared" si="48"/>
        <v>0</v>
      </c>
      <c r="S128">
        <f t="shared" si="48"/>
        <v>0</v>
      </c>
      <c r="T128">
        <f t="shared" si="48"/>
        <v>0</v>
      </c>
      <c r="U128">
        <f t="shared" si="48"/>
        <v>0</v>
      </c>
      <c r="V128">
        <f t="shared" si="48"/>
        <v>0</v>
      </c>
      <c r="W128">
        <f t="shared" si="48"/>
        <v>0</v>
      </c>
    </row>
    <row r="129" spans="2:23" customFormat="1" outlineLevel="1">
      <c r="B129" s="2450">
        <v>18</v>
      </c>
      <c r="C129" s="2459" t="str">
        <f t="shared" si="47"/>
        <v>PV of Increase in forecast year 17 lease commitments</v>
      </c>
      <c r="D129" s="2459"/>
      <c r="E129" s="2459"/>
      <c r="F129" s="2459"/>
      <c r="G129" s="2459"/>
      <c r="H129">
        <f t="shared" si="45"/>
        <v>0</v>
      </c>
      <c r="I129">
        <f t="shared" si="48"/>
        <v>0</v>
      </c>
      <c r="J129">
        <f t="shared" si="48"/>
        <v>0</v>
      </c>
      <c r="K129">
        <f t="shared" si="48"/>
        <v>0</v>
      </c>
      <c r="L129">
        <f t="shared" si="48"/>
        <v>0</v>
      </c>
      <c r="M129">
        <f t="shared" si="48"/>
        <v>0</v>
      </c>
      <c r="N129">
        <f t="shared" si="48"/>
        <v>0</v>
      </c>
      <c r="O129">
        <f t="shared" si="48"/>
        <v>0</v>
      </c>
      <c r="P129">
        <f t="shared" si="48"/>
        <v>0</v>
      </c>
      <c r="Q129">
        <f t="shared" si="48"/>
        <v>0</v>
      </c>
      <c r="R129">
        <f t="shared" si="48"/>
        <v>0</v>
      </c>
      <c r="S129">
        <f t="shared" si="48"/>
        <v>0</v>
      </c>
      <c r="T129">
        <f t="shared" si="48"/>
        <v>0</v>
      </c>
      <c r="U129">
        <f t="shared" si="48"/>
        <v>0</v>
      </c>
      <c r="V129">
        <f t="shared" si="48"/>
        <v>0</v>
      </c>
      <c r="W129">
        <f t="shared" si="48"/>
        <v>0</v>
      </c>
    </row>
    <row r="130" spans="2:23" customFormat="1" outlineLevel="1">
      <c r="B130" s="2450">
        <v>19</v>
      </c>
      <c r="C130" s="2459" t="str">
        <f t="shared" si="47"/>
        <v>PV of Increase in forecast year 18 lease commitments</v>
      </c>
      <c r="D130" s="2459"/>
      <c r="E130" s="2459"/>
      <c r="F130" s="2459"/>
      <c r="G130" s="2459"/>
      <c r="H130">
        <f t="shared" si="45"/>
        <v>0</v>
      </c>
      <c r="I130">
        <f t="shared" si="48"/>
        <v>0</v>
      </c>
      <c r="J130">
        <f t="shared" si="48"/>
        <v>0</v>
      </c>
      <c r="K130">
        <f t="shared" si="48"/>
        <v>0</v>
      </c>
      <c r="L130">
        <f t="shared" si="48"/>
        <v>0</v>
      </c>
      <c r="M130">
        <f t="shared" si="48"/>
        <v>0</v>
      </c>
      <c r="N130">
        <f t="shared" si="48"/>
        <v>0</v>
      </c>
      <c r="O130">
        <f t="shared" si="48"/>
        <v>0</v>
      </c>
      <c r="P130">
        <f t="shared" si="48"/>
        <v>0</v>
      </c>
      <c r="Q130">
        <f t="shared" si="48"/>
        <v>0</v>
      </c>
      <c r="R130">
        <f t="shared" si="48"/>
        <v>0</v>
      </c>
      <c r="S130">
        <f t="shared" si="48"/>
        <v>0</v>
      </c>
      <c r="T130">
        <f t="shared" si="48"/>
        <v>0</v>
      </c>
      <c r="U130">
        <f t="shared" si="48"/>
        <v>0</v>
      </c>
      <c r="V130">
        <f t="shared" si="48"/>
        <v>0</v>
      </c>
      <c r="W130">
        <f t="shared" si="48"/>
        <v>0</v>
      </c>
    </row>
    <row r="131" spans="2:23" customFormat="1" outlineLevel="1">
      <c r="B131" s="2450">
        <f t="shared" ref="B131:B141" si="49">B130+1</f>
        <v>20</v>
      </c>
      <c r="C131" s="2459" t="str">
        <f t="shared" si="47"/>
        <v>PV of Increase in forecast year 19 lease commitments</v>
      </c>
      <c r="D131" s="2459"/>
      <c r="E131" s="2459"/>
      <c r="F131" s="2459"/>
      <c r="G131" s="2459"/>
      <c r="H131">
        <f t="shared" si="45"/>
        <v>0</v>
      </c>
      <c r="I131">
        <f t="shared" si="48"/>
        <v>0</v>
      </c>
      <c r="J131">
        <f t="shared" si="48"/>
        <v>0</v>
      </c>
      <c r="K131">
        <f t="shared" si="48"/>
        <v>0</v>
      </c>
      <c r="L131">
        <f t="shared" si="48"/>
        <v>0</v>
      </c>
      <c r="M131">
        <f t="shared" si="48"/>
        <v>0</v>
      </c>
      <c r="N131">
        <f t="shared" si="48"/>
        <v>0</v>
      </c>
      <c r="O131">
        <f t="shared" si="48"/>
        <v>0</v>
      </c>
      <c r="P131">
        <f t="shared" si="48"/>
        <v>0</v>
      </c>
      <c r="Q131">
        <f t="shared" si="48"/>
        <v>0</v>
      </c>
      <c r="R131">
        <f t="shared" si="48"/>
        <v>0</v>
      </c>
      <c r="S131">
        <f t="shared" si="48"/>
        <v>0</v>
      </c>
      <c r="T131">
        <f t="shared" si="48"/>
        <v>0</v>
      </c>
      <c r="U131">
        <f t="shared" si="48"/>
        <v>0</v>
      </c>
      <c r="V131">
        <f t="shared" si="48"/>
        <v>0</v>
      </c>
      <c r="W131">
        <f t="shared" si="48"/>
        <v>0</v>
      </c>
    </row>
    <row r="132" spans="2:23" customFormat="1" outlineLevel="1">
      <c r="B132" s="2450">
        <f t="shared" si="49"/>
        <v>21</v>
      </c>
      <c r="C132" s="2459" t="str">
        <f t="shared" si="47"/>
        <v>PV of Increase in forecast year 20 lease commitments</v>
      </c>
      <c r="D132" s="2459"/>
      <c r="E132" s="2459"/>
      <c r="F132" s="2459"/>
      <c r="G132" s="2459"/>
      <c r="H132">
        <f t="shared" si="45"/>
        <v>0</v>
      </c>
      <c r="I132">
        <f t="shared" si="48"/>
        <v>0</v>
      </c>
      <c r="J132">
        <f t="shared" si="48"/>
        <v>0</v>
      </c>
      <c r="K132">
        <f t="shared" si="48"/>
        <v>0</v>
      </c>
      <c r="L132">
        <f t="shared" si="48"/>
        <v>0</v>
      </c>
      <c r="M132">
        <f t="shared" si="48"/>
        <v>0</v>
      </c>
      <c r="N132">
        <f t="shared" si="48"/>
        <v>0</v>
      </c>
      <c r="O132">
        <f t="shared" si="48"/>
        <v>0</v>
      </c>
      <c r="P132">
        <f t="shared" si="48"/>
        <v>0</v>
      </c>
      <c r="Q132">
        <f t="shared" si="48"/>
        <v>0</v>
      </c>
      <c r="R132">
        <f t="shared" si="48"/>
        <v>0</v>
      </c>
      <c r="S132">
        <f t="shared" si="48"/>
        <v>0</v>
      </c>
      <c r="T132">
        <f t="shared" si="48"/>
        <v>0</v>
      </c>
      <c r="U132">
        <f t="shared" si="48"/>
        <v>0</v>
      </c>
      <c r="V132">
        <f t="shared" si="48"/>
        <v>0</v>
      </c>
      <c r="W132">
        <f t="shared" si="48"/>
        <v>0</v>
      </c>
    </row>
    <row r="133" spans="2:23" customFormat="1" outlineLevel="1">
      <c r="B133" s="2450">
        <f t="shared" si="49"/>
        <v>22</v>
      </c>
      <c r="C133" s="2459" t="str">
        <f t="shared" si="47"/>
        <v>PV of Increase in forecast year 21 lease commitments</v>
      </c>
      <c r="D133" s="2459"/>
      <c r="E133" s="2459"/>
      <c r="F133" s="2459"/>
      <c r="G133" s="2459"/>
      <c r="H133">
        <f t="shared" si="45"/>
        <v>0</v>
      </c>
      <c r="I133">
        <f t="shared" si="48"/>
        <v>0</v>
      </c>
      <c r="J133">
        <f t="shared" si="48"/>
        <v>0</v>
      </c>
      <c r="K133">
        <f t="shared" si="48"/>
        <v>0</v>
      </c>
      <c r="L133">
        <f t="shared" si="48"/>
        <v>0</v>
      </c>
      <c r="M133">
        <f t="shared" si="48"/>
        <v>0</v>
      </c>
      <c r="N133">
        <f t="shared" si="48"/>
        <v>0</v>
      </c>
      <c r="O133">
        <f t="shared" si="48"/>
        <v>0</v>
      </c>
      <c r="P133">
        <f t="shared" si="48"/>
        <v>0</v>
      </c>
      <c r="Q133">
        <f t="shared" si="48"/>
        <v>0</v>
      </c>
      <c r="R133">
        <f t="shared" si="48"/>
        <v>0</v>
      </c>
      <c r="S133">
        <f t="shared" si="48"/>
        <v>0</v>
      </c>
      <c r="T133">
        <f t="shared" si="48"/>
        <v>0</v>
      </c>
      <c r="U133">
        <f t="shared" si="48"/>
        <v>0</v>
      </c>
      <c r="V133">
        <f t="shared" si="48"/>
        <v>0</v>
      </c>
      <c r="W133">
        <f t="shared" si="48"/>
        <v>0</v>
      </c>
    </row>
    <row r="134" spans="2:23" customFormat="1" outlineLevel="1">
      <c r="B134" s="2450">
        <f t="shared" si="49"/>
        <v>23</v>
      </c>
      <c r="C134" s="2459" t="str">
        <f t="shared" si="47"/>
        <v>PV of Increase in forecast year 22 lease commitments</v>
      </c>
      <c r="D134" s="2459"/>
      <c r="E134" s="2459"/>
      <c r="F134" s="2459"/>
      <c r="G134" s="2459"/>
      <c r="H134">
        <f t="shared" si="45"/>
        <v>0</v>
      </c>
      <c r="I134">
        <f t="shared" si="48"/>
        <v>0</v>
      </c>
      <c r="J134">
        <f t="shared" si="48"/>
        <v>0</v>
      </c>
      <c r="K134">
        <f t="shared" si="48"/>
        <v>0</v>
      </c>
      <c r="L134">
        <f t="shared" si="48"/>
        <v>0</v>
      </c>
      <c r="M134">
        <f t="shared" si="48"/>
        <v>0</v>
      </c>
      <c r="N134">
        <f t="shared" si="48"/>
        <v>0</v>
      </c>
      <c r="O134">
        <f t="shared" si="48"/>
        <v>0</v>
      </c>
      <c r="P134">
        <f t="shared" si="48"/>
        <v>0</v>
      </c>
      <c r="Q134">
        <f t="shared" si="48"/>
        <v>0</v>
      </c>
      <c r="R134">
        <f t="shared" si="48"/>
        <v>0</v>
      </c>
      <c r="S134">
        <f t="shared" si="48"/>
        <v>0</v>
      </c>
      <c r="T134">
        <f t="shared" si="48"/>
        <v>0</v>
      </c>
      <c r="U134">
        <f t="shared" si="48"/>
        <v>0</v>
      </c>
      <c r="V134">
        <f t="shared" si="48"/>
        <v>0</v>
      </c>
      <c r="W134">
        <f t="shared" si="48"/>
        <v>0</v>
      </c>
    </row>
    <row r="135" spans="2:23" customFormat="1" outlineLevel="1">
      <c r="B135" s="2450">
        <f t="shared" si="49"/>
        <v>24</v>
      </c>
      <c r="C135" s="2459" t="str">
        <f t="shared" si="47"/>
        <v>PV of Increase in forecast year 23 lease commitments</v>
      </c>
      <c r="D135" s="2459"/>
      <c r="E135" s="2459"/>
      <c r="F135" s="2459"/>
      <c r="G135" s="2459"/>
      <c r="H135">
        <f t="shared" si="45"/>
        <v>0</v>
      </c>
      <c r="I135">
        <f t="shared" si="48"/>
        <v>0</v>
      </c>
      <c r="J135">
        <f t="shared" si="48"/>
        <v>0</v>
      </c>
      <c r="K135">
        <f t="shared" si="48"/>
        <v>0</v>
      </c>
      <c r="L135">
        <f t="shared" si="48"/>
        <v>0</v>
      </c>
      <c r="M135">
        <f t="shared" si="48"/>
        <v>0</v>
      </c>
      <c r="N135">
        <f t="shared" si="48"/>
        <v>0</v>
      </c>
      <c r="O135">
        <f t="shared" si="48"/>
        <v>0</v>
      </c>
      <c r="P135">
        <f t="shared" si="48"/>
        <v>0</v>
      </c>
      <c r="Q135">
        <f t="shared" si="48"/>
        <v>0</v>
      </c>
      <c r="R135">
        <f t="shared" si="48"/>
        <v>0</v>
      </c>
      <c r="S135">
        <f t="shared" si="48"/>
        <v>0</v>
      </c>
      <c r="T135">
        <f t="shared" si="48"/>
        <v>0</v>
      </c>
      <c r="U135">
        <f t="shared" si="48"/>
        <v>0</v>
      </c>
      <c r="V135">
        <f t="shared" si="48"/>
        <v>0</v>
      </c>
      <c r="W135">
        <f t="shared" si="48"/>
        <v>0</v>
      </c>
    </row>
    <row r="136" spans="2:23" customFormat="1" outlineLevel="1">
      <c r="B136" s="2450">
        <f t="shared" si="49"/>
        <v>25</v>
      </c>
      <c r="C136" s="2459" t="str">
        <f t="shared" si="47"/>
        <v>PV of Increase in forecast year 24 lease commitments</v>
      </c>
      <c r="D136" s="2459"/>
      <c r="E136" s="2459"/>
      <c r="F136" s="2459"/>
      <c r="G136" s="2459"/>
      <c r="H136">
        <f t="shared" si="45"/>
        <v>0</v>
      </c>
      <c r="I136">
        <f t="shared" si="48"/>
        <v>0</v>
      </c>
      <c r="J136">
        <f t="shared" si="48"/>
        <v>0</v>
      </c>
      <c r="K136">
        <f t="shared" si="48"/>
        <v>0</v>
      </c>
      <c r="L136">
        <f t="shared" si="48"/>
        <v>0</v>
      </c>
      <c r="M136">
        <f t="shared" si="48"/>
        <v>0</v>
      </c>
      <c r="N136">
        <f t="shared" si="48"/>
        <v>0</v>
      </c>
      <c r="O136">
        <f t="shared" si="48"/>
        <v>0</v>
      </c>
      <c r="P136">
        <f t="shared" si="48"/>
        <v>0</v>
      </c>
      <c r="Q136">
        <f t="shared" si="48"/>
        <v>0</v>
      </c>
      <c r="R136">
        <f t="shared" si="48"/>
        <v>0</v>
      </c>
      <c r="S136">
        <f t="shared" si="48"/>
        <v>0</v>
      </c>
      <c r="T136">
        <f t="shared" si="48"/>
        <v>0</v>
      </c>
      <c r="U136">
        <f t="shared" si="48"/>
        <v>0</v>
      </c>
      <c r="V136">
        <f t="shared" si="48"/>
        <v>0</v>
      </c>
      <c r="W136">
        <f t="shared" si="48"/>
        <v>0</v>
      </c>
    </row>
    <row r="137" spans="2:23" customFormat="1" outlineLevel="1">
      <c r="B137" s="2450">
        <f t="shared" si="49"/>
        <v>26</v>
      </c>
      <c r="C137" s="2459" t="str">
        <f t="shared" si="47"/>
        <v>PV of Increase in forecast year 25 lease commitments</v>
      </c>
      <c r="D137" s="2459"/>
      <c r="E137" s="2459"/>
      <c r="F137" s="2459"/>
      <c r="G137" s="2459"/>
      <c r="H137">
        <f t="shared" si="45"/>
        <v>0</v>
      </c>
      <c r="I137">
        <f t="shared" si="48"/>
        <v>0</v>
      </c>
      <c r="J137">
        <f t="shared" si="48"/>
        <v>0</v>
      </c>
      <c r="K137">
        <f t="shared" si="48"/>
        <v>0</v>
      </c>
      <c r="L137">
        <f t="shared" si="48"/>
        <v>0</v>
      </c>
      <c r="M137">
        <f t="shared" si="48"/>
        <v>0</v>
      </c>
      <c r="N137">
        <f t="shared" si="48"/>
        <v>0</v>
      </c>
      <c r="O137">
        <f t="shared" si="48"/>
        <v>0</v>
      </c>
      <c r="P137">
        <f t="shared" si="48"/>
        <v>0</v>
      </c>
      <c r="Q137">
        <f t="shared" si="48"/>
        <v>0</v>
      </c>
      <c r="R137">
        <f t="shared" si="48"/>
        <v>0</v>
      </c>
      <c r="S137">
        <f t="shared" si="48"/>
        <v>0</v>
      </c>
      <c r="T137">
        <f t="shared" si="48"/>
        <v>0</v>
      </c>
      <c r="U137">
        <f t="shared" si="48"/>
        <v>0</v>
      </c>
      <c r="V137">
        <f t="shared" si="48"/>
        <v>0</v>
      </c>
      <c r="W137">
        <f t="shared" si="48"/>
        <v>0</v>
      </c>
    </row>
    <row r="138" spans="2:23" customFormat="1" outlineLevel="1">
      <c r="B138" s="2450">
        <f t="shared" si="49"/>
        <v>27</v>
      </c>
      <c r="C138" s="2459" t="str">
        <f t="shared" si="47"/>
        <v>PV of Increase in forecast year 26 lease commitments</v>
      </c>
      <c r="D138" s="2459"/>
      <c r="E138" s="2459"/>
      <c r="F138" s="2459"/>
      <c r="G138" s="2459"/>
      <c r="H138">
        <f t="shared" si="45"/>
        <v>0</v>
      </c>
      <c r="I138">
        <f t="shared" si="48"/>
        <v>0</v>
      </c>
      <c r="J138">
        <f t="shared" si="48"/>
        <v>0</v>
      </c>
      <c r="K138">
        <f t="shared" si="48"/>
        <v>0</v>
      </c>
      <c r="L138">
        <f t="shared" si="48"/>
        <v>0</v>
      </c>
      <c r="M138">
        <f t="shared" si="48"/>
        <v>0</v>
      </c>
      <c r="N138">
        <f t="shared" si="48"/>
        <v>0</v>
      </c>
      <c r="O138">
        <f t="shared" si="48"/>
        <v>0</v>
      </c>
      <c r="P138">
        <f t="shared" si="48"/>
        <v>0</v>
      </c>
      <c r="Q138">
        <f t="shared" si="48"/>
        <v>0</v>
      </c>
      <c r="R138">
        <f t="shared" si="48"/>
        <v>0</v>
      </c>
      <c r="S138">
        <f t="shared" si="48"/>
        <v>0</v>
      </c>
      <c r="T138">
        <f t="shared" si="48"/>
        <v>0</v>
      </c>
      <c r="U138">
        <f t="shared" si="48"/>
        <v>0</v>
      </c>
      <c r="V138">
        <f t="shared" si="48"/>
        <v>0</v>
      </c>
      <c r="W138">
        <f t="shared" si="48"/>
        <v>0</v>
      </c>
    </row>
    <row r="139" spans="2:23" customFormat="1" outlineLevel="1">
      <c r="B139" s="2450">
        <f t="shared" si="49"/>
        <v>28</v>
      </c>
      <c r="C139" s="2459" t="str">
        <f t="shared" si="47"/>
        <v>PV of Increase in forecast year 27 lease commitments</v>
      </c>
      <c r="D139" s="2459"/>
      <c r="E139" s="2459"/>
      <c r="F139" s="2459"/>
      <c r="G139" s="2459"/>
      <c r="H139">
        <f t="shared" si="45"/>
        <v>0</v>
      </c>
      <c r="I139">
        <f t="shared" si="48"/>
        <v>0</v>
      </c>
      <c r="J139">
        <f t="shared" si="48"/>
        <v>0</v>
      </c>
      <c r="K139">
        <f t="shared" si="48"/>
        <v>0</v>
      </c>
      <c r="L139">
        <f t="shared" si="48"/>
        <v>0</v>
      </c>
      <c r="M139">
        <f t="shared" si="48"/>
        <v>0</v>
      </c>
      <c r="N139">
        <f t="shared" si="48"/>
        <v>0</v>
      </c>
      <c r="O139">
        <f t="shared" si="48"/>
        <v>0</v>
      </c>
      <c r="P139">
        <f t="shared" si="48"/>
        <v>0</v>
      </c>
      <c r="Q139">
        <f t="shared" si="48"/>
        <v>0</v>
      </c>
      <c r="R139">
        <f t="shared" si="48"/>
        <v>0</v>
      </c>
      <c r="S139">
        <f t="shared" si="48"/>
        <v>0</v>
      </c>
      <c r="T139">
        <f t="shared" si="48"/>
        <v>0</v>
      </c>
      <c r="U139">
        <f t="shared" si="48"/>
        <v>0</v>
      </c>
      <c r="V139">
        <f t="shared" si="48"/>
        <v>0</v>
      </c>
      <c r="W139">
        <f t="shared" si="48"/>
        <v>0</v>
      </c>
    </row>
    <row r="140" spans="2:23" customFormat="1" outlineLevel="1">
      <c r="B140" s="2450">
        <f t="shared" si="49"/>
        <v>29</v>
      </c>
      <c r="C140" s="2459" t="str">
        <f t="shared" si="47"/>
        <v>PV of Increase in forecast year 28 lease commitments</v>
      </c>
      <c r="D140" s="2459"/>
      <c r="E140" s="2459"/>
      <c r="F140" s="2459"/>
      <c r="G140" s="2459"/>
      <c r="H140">
        <f t="shared" si="45"/>
        <v>0</v>
      </c>
      <c r="I140">
        <f t="shared" si="48"/>
        <v>0</v>
      </c>
      <c r="J140">
        <f t="shared" si="48"/>
        <v>0</v>
      </c>
      <c r="K140">
        <f t="shared" si="48"/>
        <v>0</v>
      </c>
      <c r="L140">
        <f t="shared" si="48"/>
        <v>0</v>
      </c>
      <c r="M140">
        <f t="shared" si="48"/>
        <v>0</v>
      </c>
      <c r="N140">
        <f t="shared" si="48"/>
        <v>0</v>
      </c>
      <c r="O140">
        <f t="shared" si="48"/>
        <v>0</v>
      </c>
      <c r="P140">
        <f t="shared" si="48"/>
        <v>0</v>
      </c>
      <c r="Q140">
        <f t="shared" si="48"/>
        <v>0</v>
      </c>
      <c r="R140">
        <f t="shared" si="48"/>
        <v>0</v>
      </c>
      <c r="S140">
        <f t="shared" si="48"/>
        <v>0</v>
      </c>
      <c r="T140">
        <f t="shared" si="48"/>
        <v>0</v>
      </c>
      <c r="U140">
        <f t="shared" si="48"/>
        <v>0</v>
      </c>
      <c r="V140">
        <f t="shared" si="48"/>
        <v>0</v>
      </c>
      <c r="W140">
        <f t="shared" si="48"/>
        <v>0</v>
      </c>
    </row>
    <row r="141" spans="2:23" customFormat="1" outlineLevel="1">
      <c r="B141" s="2450">
        <f t="shared" si="49"/>
        <v>30</v>
      </c>
      <c r="C141" s="2459" t="str">
        <f t="shared" si="47"/>
        <v>PV of Increase in forecast year 29 lease commitments</v>
      </c>
      <c r="D141" s="2459"/>
      <c r="E141" s="2459"/>
      <c r="F141" s="2459"/>
      <c r="G141" s="2459"/>
      <c r="H141">
        <f t="shared" si="45"/>
        <v>0</v>
      </c>
      <c r="I141">
        <f t="shared" si="48"/>
        <v>0</v>
      </c>
      <c r="J141">
        <f t="shared" si="48"/>
        <v>0</v>
      </c>
      <c r="K141">
        <f t="shared" si="48"/>
        <v>0</v>
      </c>
      <c r="L141">
        <f t="shared" si="48"/>
        <v>0</v>
      </c>
      <c r="M141">
        <f t="shared" si="48"/>
        <v>0</v>
      </c>
      <c r="N141">
        <f t="shared" si="48"/>
        <v>0</v>
      </c>
      <c r="O141">
        <f t="shared" si="48"/>
        <v>0</v>
      </c>
      <c r="P141">
        <f t="shared" si="48"/>
        <v>0</v>
      </c>
      <c r="Q141">
        <f t="shared" si="48"/>
        <v>0</v>
      </c>
      <c r="R141">
        <f t="shared" si="48"/>
        <v>0</v>
      </c>
      <c r="S141">
        <f t="shared" si="48"/>
        <v>0</v>
      </c>
      <c r="T141">
        <f t="shared" si="48"/>
        <v>0</v>
      </c>
      <c r="U141">
        <f t="shared" si="48"/>
        <v>0</v>
      </c>
      <c r="V141">
        <f t="shared" si="48"/>
        <v>0</v>
      </c>
      <c r="W141">
        <f t="shared" si="48"/>
        <v>0</v>
      </c>
    </row>
    <row r="142" spans="2:23" customFormat="1" outlineLevel="1">
      <c r="C142" s="2459"/>
      <c r="D142" s="2459"/>
      <c r="E142" s="2459"/>
      <c r="F142" s="2459"/>
      <c r="G142" s="2459"/>
      <c r="H142" s="2475"/>
      <c r="I142" s="2475"/>
    </row>
    <row r="143" spans="2:23" customFormat="1" outlineLevel="1">
      <c r="B143" s="2487"/>
      <c r="C143" s="2459" t="s">
        <v>641</v>
      </c>
      <c r="D143" s="2459"/>
      <c r="E143" s="2459"/>
      <c r="F143" s="2459"/>
      <c r="G143" s="2459"/>
      <c r="H143" s="2475">
        <f t="shared" ref="H143:W143" si="50">SUM(H112:H142)</f>
        <v>3010.0403266759349</v>
      </c>
      <c r="I143" s="2475">
        <f t="shared" si="50"/>
        <v>160.73370656692637</v>
      </c>
      <c r="J143">
        <f t="shared" si="50"/>
        <v>278.33656209394735</v>
      </c>
      <c r="K143">
        <f t="shared" si="50"/>
        <v>414.24426721918263</v>
      </c>
      <c r="L143">
        <f t="shared" si="50"/>
        <v>595.94443685675594</v>
      </c>
      <c r="M143">
        <f t="shared" si="50"/>
        <v>585.06489974720444</v>
      </c>
      <c r="N143">
        <f t="shared" si="50"/>
        <v>553.34706185562789</v>
      </c>
      <c r="O143">
        <f t="shared" si="50"/>
        <v>1080.2463250339033</v>
      </c>
      <c r="P143">
        <f t="shared" si="50"/>
        <v>786.43969638562339</v>
      </c>
      <c r="Q143">
        <f t="shared" si="50"/>
        <v>557.35214136896207</v>
      </c>
      <c r="R143">
        <f t="shared" si="50"/>
        <v>568.49918419634139</v>
      </c>
      <c r="S143">
        <f t="shared" si="50"/>
        <v>579.86916788026838</v>
      </c>
      <c r="T143">
        <f t="shared" si="50"/>
        <v>591.46655123787366</v>
      </c>
      <c r="U143">
        <f t="shared" si="50"/>
        <v>603.29588226263115</v>
      </c>
      <c r="V143">
        <f t="shared" si="50"/>
        <v>615.36179990788378</v>
      </c>
      <c r="W143">
        <f t="shared" si="50"/>
        <v>627.66903590604136</v>
      </c>
    </row>
    <row r="144" spans="2:23">
      <c r="C144"/>
      <c r="D144"/>
      <c r="E144"/>
      <c r="F144"/>
      <c r="G144"/>
      <c r="H144"/>
      <c r="I144"/>
      <c r="J144"/>
      <c r="K144"/>
      <c r="L144"/>
      <c r="M144"/>
      <c r="N144"/>
      <c r="O144"/>
      <c r="P144"/>
      <c r="Q144"/>
      <c r="R144"/>
      <c r="S144"/>
      <c r="T144"/>
      <c r="U144"/>
      <c r="V144"/>
      <c r="W144"/>
    </row>
    <row r="145" spans="1:36">
      <c r="H145"/>
      <c r="I145"/>
      <c r="J145"/>
      <c r="K145"/>
      <c r="L145"/>
      <c r="M145"/>
      <c r="N145"/>
      <c r="O145"/>
      <c r="P145"/>
      <c r="Q145"/>
      <c r="R145"/>
      <c r="S145"/>
      <c r="T145"/>
      <c r="U145"/>
      <c r="V145"/>
      <c r="W145"/>
    </row>
    <row r="146" spans="1:36">
      <c r="H146"/>
      <c r="I146"/>
      <c r="J146"/>
      <c r="K146"/>
      <c r="L146"/>
      <c r="M146"/>
      <c r="N146"/>
      <c r="O146"/>
      <c r="P146"/>
      <c r="Q146"/>
      <c r="R146"/>
      <c r="T146" s="2456"/>
      <c r="U146" s="2456"/>
      <c r="V146" s="2456"/>
      <c r="W146" s="2456"/>
    </row>
    <row r="147" spans="1:36" ht="12.75" customHeight="1" outlineLevel="1">
      <c r="C147" t="s">
        <v>642</v>
      </c>
      <c r="D147"/>
      <c r="E147"/>
      <c r="F147"/>
      <c r="G147"/>
      <c r="H147">
        <f t="shared" ref="H147:W147" si="51">H110</f>
        <v>39841</v>
      </c>
      <c r="I147">
        <f t="shared" si="51"/>
        <v>40206</v>
      </c>
      <c r="J147">
        <f t="shared" si="51"/>
        <v>40571</v>
      </c>
      <c r="K147">
        <f t="shared" si="51"/>
        <v>40936</v>
      </c>
      <c r="L147">
        <f t="shared" si="51"/>
        <v>41302</v>
      </c>
      <c r="M147">
        <f t="shared" si="51"/>
        <v>41667</v>
      </c>
      <c r="N147">
        <f t="shared" si="51"/>
        <v>42032</v>
      </c>
      <c r="O147">
        <f t="shared" si="51"/>
        <v>42397</v>
      </c>
      <c r="P147">
        <f t="shared" si="51"/>
        <v>42763</v>
      </c>
      <c r="Q147">
        <f t="shared" si="51"/>
        <v>43128</v>
      </c>
      <c r="R147">
        <f t="shared" si="51"/>
        <v>43493</v>
      </c>
      <c r="S147">
        <f t="shared" si="51"/>
        <v>43858</v>
      </c>
      <c r="T147">
        <f t="shared" si="51"/>
        <v>44224</v>
      </c>
      <c r="U147">
        <f t="shared" si="51"/>
        <v>44589</v>
      </c>
      <c r="V147">
        <f t="shared" si="51"/>
        <v>44954</v>
      </c>
      <c r="W147">
        <f t="shared" si="51"/>
        <v>45319</v>
      </c>
    </row>
    <row r="148" spans="1:36" ht="11.25" customHeight="1" outlineLevel="1">
      <c r="H148" s="2494"/>
      <c r="I148" s="2494"/>
      <c r="J148" s="2494"/>
      <c r="K148" s="2494"/>
      <c r="L148" s="2494"/>
      <c r="M148" s="2494"/>
      <c r="N148" s="2494"/>
      <c r="O148" s="2495"/>
      <c r="P148" s="2495"/>
      <c r="Q148" s="2495"/>
      <c r="R148" s="2495"/>
      <c r="S148" s="2495"/>
      <c r="T148" s="2495"/>
      <c r="U148" s="2495"/>
      <c r="V148" s="2495"/>
      <c r="W148" s="2495"/>
    </row>
    <row r="149" spans="1:36" s="2442" customFormat="1" ht="11.25" customHeight="1" outlineLevel="1">
      <c r="A149" s="2436"/>
      <c r="C149" s="2438" t="s">
        <v>643</v>
      </c>
      <c r="D149" s="2438"/>
      <c r="E149" s="2438"/>
      <c r="F149" s="2438"/>
      <c r="G149" s="2438"/>
      <c r="H149">
        <f t="shared" ref="H149:N149" si="52">H70</f>
        <v>10</v>
      </c>
      <c r="I149">
        <f t="shared" si="52"/>
        <v>10</v>
      </c>
      <c r="J149">
        <f t="shared" si="52"/>
        <v>10</v>
      </c>
      <c r="K149">
        <f t="shared" si="52"/>
        <v>10</v>
      </c>
      <c r="L149">
        <f t="shared" si="52"/>
        <v>10</v>
      </c>
      <c r="M149">
        <f t="shared" si="52"/>
        <v>10</v>
      </c>
      <c r="N149">
        <f t="shared" si="52"/>
        <v>10</v>
      </c>
      <c r="O149">
        <f t="shared" ref="O149:W149" si="53">N149</f>
        <v>10</v>
      </c>
      <c r="P149">
        <f t="shared" si="53"/>
        <v>10</v>
      </c>
      <c r="Q149">
        <f t="shared" si="53"/>
        <v>10</v>
      </c>
      <c r="R149">
        <f t="shared" si="53"/>
        <v>10</v>
      </c>
      <c r="S149">
        <f t="shared" si="53"/>
        <v>10</v>
      </c>
      <c r="T149">
        <f t="shared" si="53"/>
        <v>10</v>
      </c>
      <c r="U149">
        <f t="shared" si="53"/>
        <v>10</v>
      </c>
      <c r="V149">
        <f t="shared" si="53"/>
        <v>10</v>
      </c>
      <c r="W149">
        <f t="shared" si="53"/>
        <v>10</v>
      </c>
      <c r="AA149"/>
      <c r="AB149"/>
      <c r="AC149"/>
      <c r="AD149"/>
      <c r="AE149"/>
      <c r="AF149"/>
      <c r="AJ149" s="2448"/>
    </row>
    <row r="150" spans="1:36" s="2442" customFormat="1" ht="11.25" customHeight="1" outlineLevel="1">
      <c r="A150" s="2436"/>
      <c r="C150" s="2438" t="s">
        <v>661</v>
      </c>
      <c r="D150" s="2484"/>
      <c r="E150" s="2484"/>
      <c r="F150" s="2484"/>
      <c r="G150" s="2484"/>
      <c r="H150">
        <v>0</v>
      </c>
      <c r="I150"/>
      <c r="J150"/>
      <c r="K150"/>
      <c r="L150"/>
      <c r="M150"/>
      <c r="N150"/>
      <c r="O150"/>
      <c r="P150"/>
      <c r="Q150"/>
      <c r="R150"/>
      <c r="S150"/>
      <c r="T150"/>
      <c r="U150"/>
      <c r="V150"/>
      <c r="W150"/>
      <c r="AA150"/>
      <c r="AB150"/>
      <c r="AC150"/>
      <c r="AD150"/>
      <c r="AE150"/>
      <c r="AF150"/>
      <c r="AJ150" s="2448"/>
    </row>
    <row r="151" spans="1:36" s="2442" customFormat="1" ht="11.25" customHeight="1" outlineLevel="1">
      <c r="A151" s="2436"/>
      <c r="C151" s="2438" t="s">
        <v>662</v>
      </c>
      <c r="D151" s="2484"/>
      <c r="E151" s="2484"/>
      <c r="F151" s="2484"/>
      <c r="G151" s="2484"/>
      <c r="H151">
        <v>0.98</v>
      </c>
      <c r="AA151"/>
      <c r="AB151"/>
      <c r="AC151"/>
      <c r="AD151"/>
      <c r="AE151"/>
      <c r="AF151"/>
      <c r="AJ151" s="2448"/>
    </row>
    <row r="152" spans="1:36" s="2438" customFormat="1" ht="11.25" customHeight="1" outlineLevel="1">
      <c r="A152"/>
      <c r="C152" s="2438" t="s">
        <v>663</v>
      </c>
      <c r="H152">
        <v>2</v>
      </c>
      <c r="AA152"/>
      <c r="AB152"/>
      <c r="AC152"/>
      <c r="AD152"/>
      <c r="AE152"/>
      <c r="AF152"/>
      <c r="AJ152" s="2448"/>
    </row>
    <row r="153" spans="1:36" s="2438" customFormat="1" ht="11.25" customHeight="1" outlineLevel="1">
      <c r="A153"/>
      <c r="C153" s="2438" t="s">
        <v>664</v>
      </c>
      <c r="H153">
        <f>H24*(1-H150)</f>
        <v>2382.0422463993532</v>
      </c>
      <c r="I153">
        <f t="shared" ref="I153:W153" si="54">I143*(1-$H$150)</f>
        <v>160.73370656692637</v>
      </c>
      <c r="J153">
        <f t="shared" si="54"/>
        <v>278.33656209394735</v>
      </c>
      <c r="K153">
        <f t="shared" si="54"/>
        <v>414.24426721918263</v>
      </c>
      <c r="L153">
        <f t="shared" si="54"/>
        <v>595.94443685675594</v>
      </c>
      <c r="M153">
        <f t="shared" si="54"/>
        <v>585.06489974720444</v>
      </c>
      <c r="N153">
        <f t="shared" si="54"/>
        <v>553.34706185562789</v>
      </c>
      <c r="O153">
        <f t="shared" si="54"/>
        <v>1080.2463250339033</v>
      </c>
      <c r="P153">
        <f t="shared" si="54"/>
        <v>786.43969638562339</v>
      </c>
      <c r="Q153">
        <f t="shared" si="54"/>
        <v>557.35214136896207</v>
      </c>
      <c r="R153">
        <f t="shared" si="54"/>
        <v>568.49918419634139</v>
      </c>
      <c r="S153">
        <f t="shared" si="54"/>
        <v>579.86916788026838</v>
      </c>
      <c r="T153">
        <f t="shared" si="54"/>
        <v>591.46655123787366</v>
      </c>
      <c r="U153">
        <f t="shared" si="54"/>
        <v>603.29588226263115</v>
      </c>
      <c r="V153">
        <f t="shared" si="54"/>
        <v>615.36179990788378</v>
      </c>
      <c r="W153">
        <f t="shared" si="54"/>
        <v>627.66903590604136</v>
      </c>
      <c r="AA153"/>
      <c r="AB153"/>
      <c r="AC153"/>
      <c r="AD153"/>
      <c r="AE153"/>
      <c r="AF153"/>
      <c r="AJ153" s="2448"/>
    </row>
    <row r="154" spans="1:36" s="2438" customFormat="1" ht="11.25" customHeight="1" outlineLevel="1">
      <c r="A154"/>
      <c r="B154"/>
      <c r="C154" s="2438" t="s">
        <v>665</v>
      </c>
      <c r="H154">
        <f>$H$24/$H$149*H152*(1-H150)</f>
        <v>476.40844927987064</v>
      </c>
      <c r="I154">
        <f>IF(SUM($H154:H154)+H154*$H$151&lt;$H$153,H154*$H$151,$H$153-SUM($H154:H154))</f>
        <v>466.88028029427323</v>
      </c>
      <c r="J154">
        <f>IF(SUM($H154:I154)+I154*$H$151&lt;$H$153,I154*$H$151,$H$153-SUM($H154:I154))</f>
        <v>457.54267468838776</v>
      </c>
      <c r="K154">
        <f>IF(SUM($H154:J154)+J154*$H$151&lt;$H$153,J154*$H$151,$H$153-SUM($H154:J154))</f>
        <v>448.39182119461998</v>
      </c>
      <c r="L154">
        <f>IF(SUM($H154:K154)+K154*$H$151&lt;$H$153,K154*$H$151,$H$153-SUM($H154:K154))</f>
        <v>439.42398477072754</v>
      </c>
      <c r="M154">
        <f>IF(SUM($H154:L154)+L154*$H$151&lt;$H$153,L154*$H$151,$H$153-SUM($H154:L154))</f>
        <v>93.395036171474203</v>
      </c>
      <c r="N154">
        <f>IF(SUM($H154:M154)+M154*$H$151&lt;$H$153,M154*$H$151,$H$153-SUM($H154:M154))</f>
        <v>0</v>
      </c>
      <c r="O154">
        <f>IF(SUM($H154:N154)+N154*$H$151&lt;$H$153,N154*$H$151,$H$153-SUM($H154:N154))</f>
        <v>0</v>
      </c>
      <c r="P154">
        <f>IF(SUM($H154:O154)+O154*$H$151&lt;$H$153,O154*$H$151,$H$153-SUM($H154:O154))</f>
        <v>0</v>
      </c>
      <c r="Q154">
        <f>IF(SUM($H154:P154)+P154*$H$151&lt;$H$153,P154*$H$151,$H$153-SUM($H154:P154))</f>
        <v>0</v>
      </c>
      <c r="R154">
        <f>IF(SUM($H154:Q154)+Q154*$H$151&lt;$H$153,Q154*$H$151,$H$153-SUM($H154:Q154))</f>
        <v>0</v>
      </c>
      <c r="S154">
        <f>IF(SUM($H154:R154)+R154*$H$151&lt;$H$153,R154*$H$151,$H$153-SUM($H154:R154))</f>
        <v>0</v>
      </c>
      <c r="T154">
        <f>IF(SUM($H154:S154)+S154*$H$151&lt;$H$153,S154*$H$151,$H$153-SUM($H154:S154))</f>
        <v>0</v>
      </c>
      <c r="U154">
        <f>IF(SUM($H154:T154)+T154*$H$151&lt;$H$153,T154*$H$151,$H$153-SUM($H154:T154))</f>
        <v>0</v>
      </c>
      <c r="V154">
        <f>IF(SUM($H154:U154)+U154*$H$151&lt;$H$153,U154*$H$151,$H$153-SUM($H154:U154))</f>
        <v>0</v>
      </c>
      <c r="W154">
        <f>IF(SUM($H154:V154)+V154*$H$151&lt;$H$153,V154*$H$151,$H$153-SUM($H154:V154))</f>
        <v>0</v>
      </c>
      <c r="AA154"/>
      <c r="AB154"/>
      <c r="AC154"/>
      <c r="AD154"/>
      <c r="AE154"/>
      <c r="AF154"/>
      <c r="AJ154" s="2448"/>
    </row>
    <row r="155" spans="1:36" s="2442" customFormat="1" ht="11.25" customHeight="1" outlineLevel="1">
      <c r="A155" s="2436"/>
      <c r="B155"/>
      <c r="C155">
        <f t="array" ref="C155:C169">TRANSPOSE(H147:W147)</f>
        <v>39841</v>
      </c>
      <c r="D155" s="2477"/>
      <c r="E155" s="2477"/>
      <c r="F155" s="2477"/>
      <c r="G155" s="2477"/>
      <c r="H155"/>
      <c r="I155">
        <f>I$22/I$149*(1-$H$150)</f>
        <v>16.073370656692639</v>
      </c>
      <c r="J155">
        <f>(IF(COUNT($I155:I155)&lt;$I$149,I155,0))</f>
        <v>16.073370656692639</v>
      </c>
      <c r="K155">
        <f>(IF(COUNT($I155:J155)&lt;$I$149,J155,0))</f>
        <v>16.073370656692639</v>
      </c>
      <c r="L155">
        <f>(IF(COUNT($I155:K155)&lt;$I$149,K155,0))</f>
        <v>16.073370656692639</v>
      </c>
      <c r="M155">
        <f>(IF(COUNT($I155:L155)&lt;$I$149,L155,0))</f>
        <v>16.073370656692639</v>
      </c>
      <c r="N155">
        <f>(IF(COUNT($I155:M155)&lt;$I$149,M155,0))</f>
        <v>16.073370656692639</v>
      </c>
      <c r="O155">
        <f>(IF(COUNT($I155:N155)&lt;$I$149,N155,0))</f>
        <v>16.073370656692639</v>
      </c>
      <c r="P155">
        <f>(IF(COUNT($I155:O155)&lt;$I$149,O155,0))</f>
        <v>16.073370656692639</v>
      </c>
      <c r="Q155">
        <f>(IF(COUNT($I155:P155)&lt;$I$149,P155,0))</f>
        <v>16.073370656692639</v>
      </c>
      <c r="R155">
        <f>(IF(COUNT($I155:Q155)&lt;$I$149,Q155,0))</f>
        <v>16.073370656692639</v>
      </c>
      <c r="S155">
        <f>(IF(COUNT($I155:R155)&lt;$I$149,R155,0))</f>
        <v>0</v>
      </c>
      <c r="T155">
        <f>(IF(COUNT($I155:S155)&lt;$I$149,S155,0))</f>
        <v>0</v>
      </c>
      <c r="U155">
        <f>(IF(COUNT($I155:T155)&lt;$I$149,T155,0))</f>
        <v>0</v>
      </c>
      <c r="V155">
        <f>(IF(COUNT($I155:U155)&lt;$I$149,U155,0))</f>
        <v>0</v>
      </c>
      <c r="W155">
        <f>(IF(COUNT($I155:V155)&lt;$I$149,V155,0))</f>
        <v>0</v>
      </c>
      <c r="X155"/>
      <c r="Y155"/>
      <c r="Z155"/>
      <c r="AA155"/>
      <c r="AB155"/>
      <c r="AC155"/>
      <c r="AD155"/>
      <c r="AE155"/>
      <c r="AF155"/>
      <c r="AJ155" s="2448"/>
    </row>
    <row r="156" spans="1:36" s="2442" customFormat="1" ht="11.25" customHeight="1" outlineLevel="1">
      <c r="A156" s="2436"/>
      <c r="B156"/>
      <c r="C156">
        <v>40206</v>
      </c>
      <c r="D156" s="2477"/>
      <c r="E156" s="2477"/>
      <c r="F156" s="2477"/>
      <c r="G156" s="2477"/>
      <c r="H156"/>
      <c r="I156"/>
      <c r="J156">
        <f>J$22/J$149*(1-$H$150)</f>
        <v>27.833656209394736</v>
      </c>
      <c r="K156">
        <f>(IF(COUNT($J156:J156)&lt;$J$149,J156,0))</f>
        <v>27.833656209394736</v>
      </c>
      <c r="L156">
        <f>(IF(COUNT($J156:K156)&lt;$J$149,K156,0))</f>
        <v>27.833656209394736</v>
      </c>
      <c r="M156">
        <f>(IF(COUNT($J156:L156)&lt;$J$149,L156,0))</f>
        <v>27.833656209394736</v>
      </c>
      <c r="N156">
        <f>(IF(COUNT($J156:M156)&lt;$J$149,M156,0))</f>
        <v>27.833656209394736</v>
      </c>
      <c r="O156">
        <f>(IF(COUNT($J156:N156)&lt;$J$149,N156,0))</f>
        <v>27.833656209394736</v>
      </c>
      <c r="P156">
        <f>(IF(COUNT($J156:O156)&lt;$J$149,O156,0))</f>
        <v>27.833656209394736</v>
      </c>
      <c r="Q156">
        <f>(IF(COUNT($J156:P156)&lt;$J$149,P156,0))</f>
        <v>27.833656209394736</v>
      </c>
      <c r="R156">
        <f>(IF(COUNT($J156:Q156)&lt;$J$149,Q156,0))</f>
        <v>27.833656209394736</v>
      </c>
      <c r="S156">
        <f>(IF(COUNT($J156:R156)&lt;$J$149,R156,0))</f>
        <v>27.833656209394736</v>
      </c>
      <c r="T156">
        <f>(IF(COUNT($J156:S156)&lt;$J$149,S156,0))</f>
        <v>0</v>
      </c>
      <c r="U156">
        <f>(IF(COUNT($J156:T156)&lt;$J$149,T156,0))</f>
        <v>0</v>
      </c>
      <c r="V156">
        <f>(IF(COUNT($J156:U156)&lt;$J$149,U156,0))</f>
        <v>0</v>
      </c>
      <c r="W156">
        <f>(IF(COUNT($J156:V156)&lt;$J$149,V156,0))</f>
        <v>0</v>
      </c>
      <c r="X156"/>
      <c r="Y156"/>
      <c r="Z156"/>
      <c r="AA156"/>
      <c r="AB156"/>
      <c r="AC156"/>
      <c r="AD156"/>
      <c r="AE156"/>
      <c r="AF156"/>
      <c r="AJ156" s="2448"/>
    </row>
    <row r="157" spans="1:36" s="2442" customFormat="1" ht="11.25" customHeight="1" outlineLevel="1">
      <c r="A157" s="2436"/>
      <c r="B157"/>
      <c r="C157">
        <v>40571</v>
      </c>
      <c r="D157" s="2477"/>
      <c r="E157" s="2477"/>
      <c r="F157" s="2477"/>
      <c r="G157" s="2477"/>
      <c r="H157"/>
      <c r="I157"/>
      <c r="J157"/>
      <c r="K157">
        <f>K$22/K$149*(1-$H$150)</f>
        <v>41.424426721918266</v>
      </c>
      <c r="L157">
        <f>(IF(COUNT($J157:K157)&lt;$K$149,K157,0))</f>
        <v>41.424426721918266</v>
      </c>
      <c r="M157">
        <f>(IF(COUNT($J157:L157)&lt;$K$149,L157,0))</f>
        <v>41.424426721918266</v>
      </c>
      <c r="N157">
        <f>(IF(COUNT($J157:M157)&lt;$K$149,M157,0))</f>
        <v>41.424426721918266</v>
      </c>
      <c r="O157">
        <f>(IF(COUNT($J157:N157)&lt;$K$149,N157,0))</f>
        <v>41.424426721918266</v>
      </c>
      <c r="P157">
        <f>(IF(COUNT($J157:O157)&lt;$K$149,O157,0))</f>
        <v>41.424426721918266</v>
      </c>
      <c r="Q157">
        <f>(IF(COUNT($J157:P157)&lt;$K$149,P157,0))</f>
        <v>41.424426721918266</v>
      </c>
      <c r="R157">
        <f>(IF(COUNT($J157:Q157)&lt;$K$149,Q157,0))</f>
        <v>41.424426721918266</v>
      </c>
      <c r="S157">
        <f>(IF(COUNT($J157:R157)&lt;$K$149,R157,0))</f>
        <v>41.424426721918266</v>
      </c>
      <c r="T157">
        <f>(IF(COUNT($J157:S157)&lt;$K$149,S157,0))</f>
        <v>41.424426721918266</v>
      </c>
      <c r="U157">
        <f>(IF(COUNT($J157:T157)&lt;$K$149,T157,0))</f>
        <v>0</v>
      </c>
      <c r="V157">
        <f>(IF(COUNT($J157:U157)&lt;$K$149,U157,0))</f>
        <v>0</v>
      </c>
      <c r="W157">
        <f>(IF(COUNT($J157:V157)&lt;$K$149,V157,0))</f>
        <v>0</v>
      </c>
      <c r="AA157"/>
      <c r="AB157"/>
      <c r="AC157"/>
      <c r="AD157"/>
      <c r="AE157"/>
      <c r="AF157"/>
      <c r="AJ157" s="2448"/>
    </row>
    <row r="158" spans="1:36" s="2442" customFormat="1" ht="11.25" customHeight="1" outlineLevel="1">
      <c r="A158" s="2436"/>
      <c r="B158"/>
      <c r="C158">
        <v>40936</v>
      </c>
      <c r="D158" s="2477"/>
      <c r="E158" s="2477"/>
      <c r="F158" s="2477"/>
      <c r="G158" s="2477"/>
      <c r="H158"/>
      <c r="I158"/>
      <c r="J158"/>
      <c r="K158"/>
      <c r="L158">
        <f>L$22/L$149*(1-$H$150)</f>
        <v>59.594443685675593</v>
      </c>
      <c r="M158">
        <f>(IF(COUNT($L158:L158)&lt;$L$149,L158,0))</f>
        <v>59.594443685675593</v>
      </c>
      <c r="N158">
        <f>(IF(COUNT($L158:M158)&lt;$L$149,M158,0))</f>
        <v>59.594443685675593</v>
      </c>
      <c r="O158">
        <f>(IF(COUNT($L158:N158)&lt;$L$149,N158,0))</f>
        <v>59.594443685675593</v>
      </c>
      <c r="P158">
        <f>(IF(COUNT($L158:O158)&lt;$L$149,O158,0))</f>
        <v>59.594443685675593</v>
      </c>
      <c r="Q158">
        <f>(IF(COUNT($L158:P158)&lt;$L$149,P158,0))</f>
        <v>59.594443685675593</v>
      </c>
      <c r="R158">
        <f>(IF(COUNT($L158:Q158)&lt;$L$149,Q158,0))</f>
        <v>59.594443685675593</v>
      </c>
      <c r="S158">
        <f>(IF(COUNT($L158:R158)&lt;$L$149,R158,0))</f>
        <v>59.594443685675593</v>
      </c>
      <c r="T158">
        <f>(IF(COUNT($L158:S158)&lt;$L$149,S158,0))</f>
        <v>59.594443685675593</v>
      </c>
      <c r="U158">
        <f>(IF(COUNT($L158:T158)&lt;$L$149,T158,0))</f>
        <v>59.594443685675593</v>
      </c>
      <c r="V158">
        <f>(IF(COUNT($L158:U158)&lt;$L$149,U158,0))</f>
        <v>0</v>
      </c>
      <c r="W158">
        <f>(IF(COUNT($L158:V158)&lt;$L$149,V158,0))</f>
        <v>0</v>
      </c>
      <c r="X158"/>
      <c r="Y158"/>
      <c r="Z158"/>
      <c r="AA158"/>
      <c r="AB158"/>
      <c r="AC158"/>
      <c r="AD158"/>
      <c r="AE158"/>
      <c r="AF158"/>
      <c r="AJ158" s="2448"/>
    </row>
    <row r="159" spans="1:36" s="2442" customFormat="1" ht="11.25" customHeight="1" outlineLevel="1">
      <c r="A159" s="2436"/>
      <c r="B159"/>
      <c r="C159">
        <v>41302</v>
      </c>
      <c r="D159" s="2477"/>
      <c r="E159" s="2477"/>
      <c r="F159" s="2477"/>
      <c r="G159" s="2477"/>
      <c r="H159"/>
      <c r="I159"/>
      <c r="J159"/>
      <c r="K159"/>
      <c r="L159"/>
      <c r="M159">
        <f>M$22/M$149*(1-$H$150)</f>
        <v>58.506489974720445</v>
      </c>
      <c r="N159">
        <f>(IF(COUNT($M159:M159)&lt;$M$149,M159,0))</f>
        <v>58.506489974720445</v>
      </c>
      <c r="O159">
        <f>(IF(COUNT($M159:N159)&lt;$M$149,N159,0))</f>
        <v>58.506489974720445</v>
      </c>
      <c r="P159">
        <f>(IF(COUNT($M159:O159)&lt;$M$149,O159,0))</f>
        <v>58.506489974720445</v>
      </c>
      <c r="Q159">
        <f>(IF(COUNT($M159:P159)&lt;$M$149,P159,0))</f>
        <v>58.506489974720445</v>
      </c>
      <c r="R159">
        <f>(IF(COUNT($M159:Q159)&lt;$M$149,Q159,0))</f>
        <v>58.506489974720445</v>
      </c>
      <c r="S159">
        <f>(IF(COUNT($M159:R159)&lt;$M$149,R159,0))</f>
        <v>58.506489974720445</v>
      </c>
      <c r="T159">
        <f>(IF(COUNT($M159:S159)&lt;$M$149,S159,0))</f>
        <v>58.506489974720445</v>
      </c>
      <c r="U159">
        <f>(IF(COUNT($M159:T159)&lt;$M$149,T159,0))</f>
        <v>58.506489974720445</v>
      </c>
      <c r="V159">
        <f>(IF(COUNT($M159:U159)&lt;$M$149,U159,0))</f>
        <v>58.506489974720445</v>
      </c>
      <c r="W159">
        <f>(IF(COUNT($M159:V159)&lt;$M$149,V159,0))</f>
        <v>0</v>
      </c>
      <c r="AA159"/>
      <c r="AB159"/>
      <c r="AC159"/>
      <c r="AD159"/>
      <c r="AE159"/>
      <c r="AF159"/>
      <c r="AJ159" s="2448"/>
    </row>
    <row r="160" spans="1:36" s="2442" customFormat="1" ht="11.25" customHeight="1" outlineLevel="1">
      <c r="A160" s="2436"/>
      <c r="B160"/>
      <c r="C160">
        <v>41667</v>
      </c>
      <c r="D160" s="2477"/>
      <c r="E160" s="2477"/>
      <c r="F160" s="2477"/>
      <c r="G160" s="2477"/>
      <c r="H160"/>
      <c r="I160"/>
      <c r="J160"/>
      <c r="K160"/>
      <c r="L160"/>
      <c r="M160"/>
      <c r="N160">
        <f>N$22/N$149*(1-$H$150)</f>
        <v>55.334706185562787</v>
      </c>
      <c r="O160">
        <f>(IF(COUNT($N160:N160)&lt;$N$149,N160,0))</f>
        <v>55.334706185562787</v>
      </c>
      <c r="P160">
        <f>(IF(COUNT($N160:O160)&lt;$N$149,O160,0))</f>
        <v>55.334706185562787</v>
      </c>
      <c r="Q160">
        <f>(IF(COUNT($N160:P160)&lt;$N$149,P160,0))</f>
        <v>55.334706185562787</v>
      </c>
      <c r="R160">
        <f>(IF(COUNT($N160:Q160)&lt;$N$149,Q160,0))</f>
        <v>55.334706185562787</v>
      </c>
      <c r="S160">
        <f>(IF(COUNT($N160:R160)&lt;$N$149,R160,0))</f>
        <v>55.334706185562787</v>
      </c>
      <c r="T160">
        <f>(IF(COUNT($N160:S160)&lt;$N$149,S160,0))</f>
        <v>55.334706185562787</v>
      </c>
      <c r="U160">
        <f>(IF(COUNT($N160:T160)&lt;$N$149,T160,0))</f>
        <v>55.334706185562787</v>
      </c>
      <c r="V160">
        <f>(IF(COUNT($N160:U160)&lt;$N$149,U160,0))</f>
        <v>55.334706185562787</v>
      </c>
      <c r="W160">
        <f>(IF(COUNT($N160:V160)&lt;$N$149,V160,0))</f>
        <v>55.334706185562787</v>
      </c>
      <c r="X160"/>
      <c r="Y160"/>
      <c r="Z160"/>
      <c r="AA160"/>
      <c r="AB160"/>
      <c r="AC160"/>
      <c r="AD160"/>
      <c r="AE160"/>
      <c r="AF160"/>
      <c r="AJ160" s="2448"/>
    </row>
    <row r="161" spans="1:36" s="2442" customFormat="1" ht="11.25" customHeight="1" outlineLevel="1">
      <c r="A161" s="2436"/>
      <c r="B161"/>
      <c r="C161">
        <v>42032</v>
      </c>
      <c r="D161" s="2477"/>
      <c r="E161" s="2477"/>
      <c r="F161" s="2477"/>
      <c r="G161" s="2477"/>
      <c r="H161"/>
      <c r="I161"/>
      <c r="J161"/>
      <c r="K161"/>
      <c r="L161"/>
      <c r="M161"/>
      <c r="N161"/>
      <c r="O161">
        <f>O$22/O$149*(1-$H$150)</f>
        <v>108.02463250339034</v>
      </c>
      <c r="P161">
        <f>(IF(COUNT($O161:O161)&lt;$O$149,O161,0))</f>
        <v>108.02463250339034</v>
      </c>
      <c r="Q161">
        <f>(IF(COUNT($O161:P161)&lt;$O$149,P161,0))</f>
        <v>108.02463250339034</v>
      </c>
      <c r="R161">
        <f>(IF(COUNT($O161:Q161)&lt;$O$149,Q161,0))</f>
        <v>108.02463250339034</v>
      </c>
      <c r="S161">
        <f>(IF(COUNT($O161:R161)&lt;$O$149,R161,0))</f>
        <v>108.02463250339034</v>
      </c>
      <c r="T161">
        <f>(IF(COUNT($O161:S161)&lt;$O$149,S161,0))</f>
        <v>108.02463250339034</v>
      </c>
      <c r="U161">
        <f>(IF(COUNT($O161:T161)&lt;$O$149,T161,0))</f>
        <v>108.02463250339034</v>
      </c>
      <c r="V161">
        <f>(IF(COUNT($O161:U161)&lt;$O$149,U161,0))</f>
        <v>108.02463250339034</v>
      </c>
      <c r="W161">
        <f>(IF(COUNT($O161:V161)&lt;$O$149,V161,0))</f>
        <v>108.02463250339034</v>
      </c>
      <c r="AA161"/>
      <c r="AB161"/>
      <c r="AC161"/>
      <c r="AD161"/>
      <c r="AE161"/>
      <c r="AF161"/>
      <c r="AJ161" s="2448"/>
    </row>
    <row r="162" spans="1:36" s="2442" customFormat="1" ht="11.25" customHeight="1" outlineLevel="1">
      <c r="A162" s="2436"/>
      <c r="B162"/>
      <c r="C162">
        <v>42397</v>
      </c>
      <c r="D162" s="2477"/>
      <c r="E162" s="2477"/>
      <c r="F162" s="2477"/>
      <c r="G162" s="2477"/>
      <c r="H162"/>
      <c r="I162"/>
      <c r="J162"/>
      <c r="K162"/>
      <c r="L162"/>
      <c r="M162"/>
      <c r="N162"/>
      <c r="O162"/>
      <c r="P162">
        <f>P$22/P$149*(1-$H$150)</f>
        <v>78.643969638562339</v>
      </c>
      <c r="Q162">
        <f>(IF(COUNT($P162:P162)&lt;$P$149,P162,0))</f>
        <v>78.643969638562339</v>
      </c>
      <c r="R162">
        <f>(IF(COUNT($P162:Q162)&lt;$P$149,Q162,0))</f>
        <v>78.643969638562339</v>
      </c>
      <c r="S162">
        <f>(IF(COUNT($P162:R162)&lt;$P$149,R162,0))</f>
        <v>78.643969638562339</v>
      </c>
      <c r="T162">
        <f>(IF(COUNT($P162:S162)&lt;$P$149,S162,0))</f>
        <v>78.643969638562339</v>
      </c>
      <c r="U162">
        <f>(IF(COUNT($P162:T162)&lt;$P$149,T162,0))</f>
        <v>78.643969638562339</v>
      </c>
      <c r="V162">
        <f>(IF(COUNT($P162:U162)&lt;$P$149,U162,0))</f>
        <v>78.643969638562339</v>
      </c>
      <c r="W162">
        <f>(IF(COUNT($P162:V162)&lt;$P$149,V162,0))</f>
        <v>78.643969638562339</v>
      </c>
      <c r="AA162"/>
      <c r="AB162"/>
      <c r="AC162"/>
      <c r="AD162"/>
      <c r="AE162"/>
      <c r="AF162"/>
      <c r="AJ162" s="2448"/>
    </row>
    <row r="163" spans="1:36" s="2442" customFormat="1" ht="11.25" customHeight="1" outlineLevel="1">
      <c r="A163" s="2436"/>
      <c r="B163"/>
      <c r="C163">
        <v>42763</v>
      </c>
      <c r="D163" s="2477"/>
      <c r="E163" s="2477"/>
      <c r="F163" s="2477"/>
      <c r="G163" s="2477"/>
      <c r="H163"/>
      <c r="I163"/>
      <c r="J163"/>
      <c r="K163"/>
      <c r="L163"/>
      <c r="M163"/>
      <c r="N163"/>
      <c r="O163"/>
      <c r="P163"/>
      <c r="Q163">
        <f>Q$22/Q$149*(1-$H$150)</f>
        <v>55.735214136896204</v>
      </c>
      <c r="R163">
        <f>(IF(COUNT($Q163:Q163)&lt;$Q$149,Q163,0))</f>
        <v>55.735214136896204</v>
      </c>
      <c r="S163">
        <f>(IF(COUNT($Q163:R163)&lt;$Q$149,R163,0))</f>
        <v>55.735214136896204</v>
      </c>
      <c r="T163">
        <f>(IF(COUNT($Q163:S163)&lt;$Q$149,S163,0))</f>
        <v>55.735214136896204</v>
      </c>
      <c r="U163">
        <f>(IF(COUNT($Q163:T163)&lt;$Q$149,T163,0))</f>
        <v>55.735214136896204</v>
      </c>
      <c r="V163">
        <f>(IF(COUNT($Q163:U163)&lt;$Q$149,U163,0))</f>
        <v>55.735214136896204</v>
      </c>
      <c r="W163">
        <f>(IF(COUNT($Q163:V163)&lt;$Q$149,V163,0))</f>
        <v>55.735214136896204</v>
      </c>
      <c r="AA163"/>
      <c r="AB163"/>
      <c r="AC163"/>
      <c r="AD163"/>
      <c r="AE163"/>
      <c r="AF163"/>
      <c r="AJ163" s="2448"/>
    </row>
    <row r="164" spans="1:36" s="2442" customFormat="1" ht="11.25" customHeight="1" outlineLevel="1">
      <c r="A164" s="2436"/>
      <c r="B164"/>
      <c r="C164">
        <v>43128</v>
      </c>
      <c r="D164" s="2477"/>
      <c r="E164" s="2477"/>
      <c r="F164" s="2477"/>
      <c r="G164" s="2477"/>
      <c r="H164"/>
      <c r="I164"/>
      <c r="J164"/>
      <c r="K164"/>
      <c r="L164"/>
      <c r="M164"/>
      <c r="N164"/>
      <c r="O164"/>
      <c r="P164"/>
      <c r="Q164"/>
      <c r="R164">
        <f>R$22/R$149*(1-$H$150)</f>
        <v>56.849918419634136</v>
      </c>
      <c r="S164">
        <f>(IF(COUNT($R164:R164)&lt;$R$149,R164,0))</f>
        <v>56.849918419634136</v>
      </c>
      <c r="T164">
        <f>(IF(COUNT($R164:S164)&lt;$R$149,S164,0))</f>
        <v>56.849918419634136</v>
      </c>
      <c r="U164">
        <f>(IF(COUNT($R164:T164)&lt;$R$149,T164,0))</f>
        <v>56.849918419634136</v>
      </c>
      <c r="V164">
        <f>(IF(COUNT($R164:U164)&lt;$R$149,U164,0))</f>
        <v>56.849918419634136</v>
      </c>
      <c r="W164">
        <f>(IF(COUNT($R164:V164)&lt;$R$149,V164,0))</f>
        <v>56.849918419634136</v>
      </c>
      <c r="AA164"/>
      <c r="AB164"/>
      <c r="AC164"/>
      <c r="AD164"/>
      <c r="AE164"/>
      <c r="AF164"/>
      <c r="AJ164" s="2448"/>
    </row>
    <row r="165" spans="1:36" s="2442" customFormat="1" ht="11.25" customHeight="1" outlineLevel="1">
      <c r="A165" s="2436"/>
      <c r="B165"/>
      <c r="C165">
        <v>43493</v>
      </c>
      <c r="D165" s="2477"/>
      <c r="E165" s="2477"/>
      <c r="F165" s="2477"/>
      <c r="G165" s="2477"/>
      <c r="H165"/>
      <c r="I165"/>
      <c r="J165"/>
      <c r="K165"/>
      <c r="L165"/>
      <c r="M165"/>
      <c r="N165"/>
      <c r="O165"/>
      <c r="P165"/>
      <c r="Q165"/>
      <c r="R165"/>
      <c r="S165">
        <f>S$22/S$149*(1-$H$150)</f>
        <v>57.986916788026839</v>
      </c>
      <c r="T165">
        <f>(IF(COUNT($R165:S165)&lt;$R$149,S165,0))</f>
        <v>57.986916788026839</v>
      </c>
      <c r="U165">
        <f>(IF(COUNT($R165:T165)&lt;$R$149,T165,0))</f>
        <v>57.986916788026839</v>
      </c>
      <c r="V165">
        <f>(IF(COUNT($R165:U165)&lt;$R$149,U165,0))</f>
        <v>57.986916788026839</v>
      </c>
      <c r="W165">
        <f>(IF(COUNT($R165:V165)&lt;$R$149,V165,0))</f>
        <v>57.986916788026839</v>
      </c>
      <c r="AA165"/>
      <c r="AB165"/>
      <c r="AC165"/>
      <c r="AD165"/>
      <c r="AE165"/>
      <c r="AF165"/>
      <c r="AJ165" s="2448"/>
    </row>
    <row r="166" spans="1:36" s="2442" customFormat="1" ht="11.25" customHeight="1" outlineLevel="1">
      <c r="A166" s="2436"/>
      <c r="B166"/>
      <c r="C166">
        <v>43858</v>
      </c>
      <c r="D166" s="2477"/>
      <c r="E166" s="2477"/>
      <c r="F166" s="2477"/>
      <c r="G166" s="2477"/>
      <c r="H166"/>
      <c r="I166"/>
      <c r="J166"/>
      <c r="K166"/>
      <c r="L166"/>
      <c r="M166"/>
      <c r="N166"/>
      <c r="O166"/>
      <c r="P166"/>
      <c r="Q166"/>
      <c r="R166"/>
      <c r="S166"/>
      <c r="T166">
        <f>T$22/T$149*(1-$H$150)</f>
        <v>59.146655123787369</v>
      </c>
      <c r="U166">
        <f>(IF(COUNT($R166:T166)&lt;$R$149,T166,0))</f>
        <v>59.146655123787369</v>
      </c>
      <c r="V166">
        <f>(IF(COUNT($R166:U166)&lt;$R$149,U166,0))</f>
        <v>59.146655123787369</v>
      </c>
      <c r="W166">
        <f>(IF(COUNT($R166:V166)&lt;$R$149,V166,0))</f>
        <v>59.146655123787369</v>
      </c>
      <c r="AA166"/>
      <c r="AB166"/>
      <c r="AC166"/>
      <c r="AD166"/>
      <c r="AE166"/>
      <c r="AF166"/>
      <c r="AJ166" s="2448"/>
    </row>
    <row r="167" spans="1:36" s="2442" customFormat="1" ht="11.25" customHeight="1" outlineLevel="1">
      <c r="A167" s="2436"/>
      <c r="B167"/>
      <c r="C167">
        <v>44224</v>
      </c>
      <c r="D167" s="2477"/>
      <c r="E167" s="2477"/>
      <c r="F167" s="2477"/>
      <c r="G167" s="2477"/>
      <c r="H167"/>
      <c r="I167"/>
      <c r="J167"/>
      <c r="K167"/>
      <c r="L167"/>
      <c r="M167"/>
      <c r="N167"/>
      <c r="O167"/>
      <c r="P167"/>
      <c r="Q167"/>
      <c r="R167"/>
      <c r="S167"/>
      <c r="T167"/>
      <c r="U167">
        <f>U$22/U$149*(1-$H$150)</f>
        <v>60.329588226263112</v>
      </c>
      <c r="V167">
        <f>(IF(COUNT($R167:U167)&lt;$R$149,U167,0))</f>
        <v>60.329588226263112</v>
      </c>
      <c r="W167">
        <f>(IF(COUNT($R167:V167)&lt;$R$149,V167,0))</f>
        <v>60.329588226263112</v>
      </c>
      <c r="AA167"/>
      <c r="AB167"/>
      <c r="AC167"/>
      <c r="AD167"/>
      <c r="AE167"/>
      <c r="AF167"/>
      <c r="AJ167" s="2448"/>
    </row>
    <row r="168" spans="1:36" s="2442" customFormat="1" ht="11.25" customHeight="1" outlineLevel="1">
      <c r="A168" s="2436"/>
      <c r="B168"/>
      <c r="C168">
        <v>44589</v>
      </c>
      <c r="D168" s="2477"/>
      <c r="E168" s="2477"/>
      <c r="F168" s="2477"/>
      <c r="G168" s="2477"/>
      <c r="H168"/>
      <c r="I168"/>
      <c r="J168"/>
      <c r="K168"/>
      <c r="L168"/>
      <c r="M168"/>
      <c r="N168"/>
      <c r="O168"/>
      <c r="P168"/>
      <c r="Q168"/>
      <c r="R168"/>
      <c r="S168"/>
      <c r="T168"/>
      <c r="V168">
        <f>V$22/V$149*(1-$H$150)</f>
        <v>61.536179990788376</v>
      </c>
      <c r="W168">
        <f>(IF(COUNT($R168:V168)&lt;$R$149,V168,0))</f>
        <v>61.536179990788376</v>
      </c>
      <c r="AA168"/>
      <c r="AB168"/>
      <c r="AC168"/>
      <c r="AD168"/>
      <c r="AE168"/>
      <c r="AF168"/>
      <c r="AJ168" s="2448"/>
    </row>
    <row r="169" spans="1:36" s="2442" customFormat="1" ht="11.25" customHeight="1" outlineLevel="1">
      <c r="A169" s="2436"/>
      <c r="B169"/>
      <c r="C169">
        <v>44954</v>
      </c>
      <c r="D169" s="2477"/>
      <c r="E169" s="2477"/>
      <c r="F169" s="2477"/>
      <c r="G169" s="2477"/>
      <c r="H169"/>
      <c r="I169"/>
      <c r="J169"/>
      <c r="K169"/>
      <c r="L169"/>
      <c r="M169"/>
      <c r="N169"/>
      <c r="O169"/>
      <c r="P169"/>
      <c r="Q169"/>
      <c r="R169"/>
      <c r="S169"/>
      <c r="T169"/>
      <c r="W169">
        <f>W$22/W$149*(1-$H$150)</f>
        <v>62.766903590604137</v>
      </c>
      <c r="AA169"/>
      <c r="AB169"/>
      <c r="AC169"/>
      <c r="AD169"/>
      <c r="AE169"/>
      <c r="AF169"/>
      <c r="AJ169" s="2448"/>
    </row>
    <row r="170" spans="1:36" s="2442" customFormat="1" ht="11.25" customHeight="1" outlineLevel="1">
      <c r="A170" s="2436"/>
      <c r="B170"/>
      <c r="C170" s="2477"/>
      <c r="D170" s="2477"/>
      <c r="E170" s="2477"/>
      <c r="F170" s="2477"/>
      <c r="G170" s="2477"/>
      <c r="H170"/>
      <c r="I170"/>
      <c r="J170"/>
      <c r="K170"/>
      <c r="L170"/>
      <c r="M170"/>
      <c r="N170"/>
      <c r="O170"/>
      <c r="P170"/>
      <c r="Q170"/>
      <c r="R170"/>
      <c r="S170" s="2438"/>
      <c r="T170" s="2438"/>
      <c r="U170" s="2438"/>
      <c r="V170" s="2438"/>
      <c r="W170" s="2438"/>
      <c r="AA170"/>
      <c r="AB170"/>
      <c r="AC170"/>
      <c r="AD170"/>
      <c r="AE170"/>
      <c r="AF170"/>
      <c r="AJ170" s="2448"/>
    </row>
    <row r="171" spans="1:36" s="2438" customFormat="1" ht="11.25" customHeight="1" outlineLevel="1">
      <c r="A171"/>
      <c r="B171"/>
      <c r="C171" s="2477"/>
      <c r="D171" s="2477"/>
      <c r="E171" s="2477"/>
      <c r="F171" s="2477"/>
      <c r="G171" s="2477"/>
      <c r="H171">
        <f t="shared" ref="H171:W171" si="55">SUM(H154:H169)</f>
        <v>476.40844927987064</v>
      </c>
      <c r="I171">
        <f t="shared" si="55"/>
        <v>482.95365095096588</v>
      </c>
      <c r="J171">
        <f t="shared" si="55"/>
        <v>501.44970155447515</v>
      </c>
      <c r="K171">
        <f t="shared" si="55"/>
        <v>533.72327478262559</v>
      </c>
      <c r="L171">
        <f t="shared" si="55"/>
        <v>584.34988204440879</v>
      </c>
      <c r="M171">
        <f t="shared" si="55"/>
        <v>296.82742341987591</v>
      </c>
      <c r="N171">
        <f t="shared" si="55"/>
        <v>258.76709343396448</v>
      </c>
      <c r="O171">
        <f t="shared" si="55"/>
        <v>366.79172593735484</v>
      </c>
      <c r="P171">
        <f t="shared" si="55"/>
        <v>445.43569557591718</v>
      </c>
      <c r="Q171">
        <f t="shared" si="55"/>
        <v>501.1709097128134</v>
      </c>
      <c r="R171">
        <f t="shared" si="55"/>
        <v>558.02082813244749</v>
      </c>
      <c r="S171">
        <f t="shared" si="55"/>
        <v>599.93437426378171</v>
      </c>
      <c r="T171">
        <f t="shared" si="55"/>
        <v>631.24737317817426</v>
      </c>
      <c r="U171">
        <f t="shared" si="55"/>
        <v>650.15253468251922</v>
      </c>
      <c r="V171">
        <f t="shared" si="55"/>
        <v>652.09427098763206</v>
      </c>
      <c r="W171">
        <f t="shared" si="55"/>
        <v>656.35468460351558</v>
      </c>
      <c r="AA171"/>
      <c r="AB171"/>
      <c r="AC171"/>
      <c r="AD171"/>
      <c r="AE171"/>
      <c r="AF171"/>
      <c r="AJ171" s="2448"/>
    </row>
    <row r="172" spans="1:36" s="2442" customFormat="1">
      <c r="A172" s="2436"/>
      <c r="B172" s="2437"/>
      <c r="C172"/>
      <c r="D172"/>
      <c r="E172"/>
      <c r="F172"/>
      <c r="G172"/>
      <c r="H172" s="2439"/>
      <c r="I172" s="2439"/>
      <c r="J172" s="2439"/>
      <c r="K172" s="2439"/>
      <c r="L172" s="2439"/>
      <c r="M172" s="2439"/>
      <c r="N172" s="2439"/>
      <c r="O172" s="2439"/>
      <c r="P172" s="2439"/>
      <c r="Q172" s="2439"/>
      <c r="R172" s="2439"/>
      <c r="S172" s="2439"/>
      <c r="T172"/>
      <c r="AA172"/>
      <c r="AB172"/>
      <c r="AC172"/>
      <c r="AD172"/>
      <c r="AE172"/>
      <c r="AF172"/>
      <c r="AJ172" s="2448"/>
    </row>
    <row r="173" spans="1:36" s="2442" customFormat="1">
      <c r="A173" s="2436"/>
      <c r="B173" s="2437"/>
      <c r="C173"/>
      <c r="D173"/>
      <c r="E173"/>
      <c r="F173"/>
      <c r="G173"/>
      <c r="H173" s="2439"/>
      <c r="I173" s="2439"/>
      <c r="J173" s="2439"/>
      <c r="K173" s="2439"/>
      <c r="L173" s="2439"/>
      <c r="M173" s="2439"/>
      <c r="N173" s="2439"/>
      <c r="O173" s="2439"/>
      <c r="P173" s="2439"/>
      <c r="Q173" s="2439"/>
      <c r="R173" s="2439"/>
      <c r="S173" s="2439"/>
      <c r="T173"/>
      <c r="AA173"/>
      <c r="AB173"/>
      <c r="AC173"/>
      <c r="AD173"/>
      <c r="AE173"/>
      <c r="AF173"/>
      <c r="AJ173" s="2448"/>
    </row>
    <row r="174" spans="1:36" s="2442" customFormat="1">
      <c r="A174" s="2436"/>
      <c r="B174" s="2437"/>
      <c r="C174" s="2477"/>
      <c r="D174" s="2477"/>
      <c r="E174" s="2477"/>
      <c r="F174" s="2477"/>
      <c r="G174" s="2477"/>
      <c r="H174" s="2439"/>
      <c r="I174" s="2439"/>
      <c r="J174" s="2439"/>
      <c r="K174" s="2439"/>
      <c r="L174" s="2439"/>
      <c r="M174" s="2439"/>
      <c r="N174" s="2439"/>
      <c r="O174" s="2439"/>
      <c r="P174" s="2439"/>
      <c r="Q174" s="2439"/>
      <c r="R174" s="2439"/>
      <c r="S174" s="2439"/>
      <c r="T174" s="2438"/>
      <c r="AA174"/>
      <c r="AB174"/>
      <c r="AC174"/>
      <c r="AD174"/>
      <c r="AE174"/>
      <c r="AF174"/>
      <c r="AJ174" s="2448"/>
    </row>
    <row r="175" spans="1:36" s="2442" customFormat="1" hidden="1" outlineLevel="1">
      <c r="A175" s="2436"/>
      <c r="B175" s="2437"/>
      <c r="C175" s="2477"/>
      <c r="D175" s="2477"/>
      <c r="E175" s="2477"/>
      <c r="F175" s="2477"/>
      <c r="G175" s="2477"/>
      <c r="H175" s="2439"/>
      <c r="I175" s="2439"/>
      <c r="J175" s="2439"/>
      <c r="K175" s="2439"/>
      <c r="L175" s="2439"/>
      <c r="M175" s="2439"/>
      <c r="N175" s="2439"/>
      <c r="O175" s="2439"/>
      <c r="P175" s="2439"/>
      <c r="Q175" s="2439"/>
      <c r="R175" s="2439"/>
      <c r="S175" s="2439"/>
      <c r="T175" s="2438"/>
      <c r="AA175"/>
      <c r="AB175"/>
      <c r="AC175"/>
      <c r="AD175"/>
      <c r="AE175"/>
      <c r="AF175"/>
      <c r="AJ175" s="2448"/>
    </row>
    <row r="176" spans="1:36" s="2442" customFormat="1" hidden="1" outlineLevel="1">
      <c r="A176" s="2436"/>
      <c r="B176" s="2437"/>
      <c r="C176" s="2477"/>
      <c r="D176" s="2477"/>
      <c r="E176" s="2477"/>
      <c r="F176" s="2477"/>
      <c r="G176" s="2477"/>
      <c r="H176" s="2439"/>
      <c r="I176" s="2439"/>
      <c r="J176" s="2439"/>
      <c r="K176" s="2439"/>
      <c r="L176" s="2439"/>
      <c r="M176" s="2439"/>
      <c r="N176" s="2439"/>
      <c r="O176" s="2439"/>
      <c r="P176" s="2439"/>
      <c r="Q176" s="2439"/>
      <c r="R176" s="2439"/>
      <c r="S176" s="2439"/>
      <c r="T176" s="2438"/>
      <c r="AA176"/>
      <c r="AB176"/>
      <c r="AC176"/>
      <c r="AD176"/>
      <c r="AE176"/>
      <c r="AF176"/>
      <c r="AJ176" s="2448"/>
    </row>
    <row r="177" spans="1:36" s="2442" customFormat="1" hidden="1" outlineLevel="1">
      <c r="A177" s="2436"/>
      <c r="B177" s="2437"/>
      <c r="C177" s="2438"/>
      <c r="D177" s="2438"/>
      <c r="E177" s="2438"/>
      <c r="F177" s="2438"/>
      <c r="G177" s="2438"/>
      <c r="H177" s="2439"/>
      <c r="I177" s="2439"/>
      <c r="J177" s="2439"/>
      <c r="K177" s="2439"/>
      <c r="L177" s="2439"/>
      <c r="M177" s="2439"/>
      <c r="N177" s="2439"/>
      <c r="O177" s="2439"/>
      <c r="P177" s="2439"/>
      <c r="Q177" s="2439"/>
      <c r="R177" s="2439"/>
      <c r="S177" s="2439"/>
      <c r="AA177"/>
      <c r="AB177"/>
      <c r="AC177"/>
      <c r="AD177"/>
      <c r="AE177"/>
      <c r="AF177"/>
      <c r="AJ177" s="2448"/>
    </row>
    <row r="178" spans="1:36" hidden="1" outlineLevel="1"/>
    <row r="179" spans="1:36" s="2442" customFormat="1" hidden="1" outlineLevel="1">
      <c r="A179" s="2436"/>
      <c r="B179" s="2437"/>
      <c r="C179" s="2438"/>
      <c r="D179" s="2438"/>
      <c r="E179" s="2438"/>
      <c r="F179" s="2438"/>
      <c r="G179" s="2438"/>
      <c r="H179" s="2439"/>
      <c r="I179" s="2439"/>
      <c r="J179" s="2439"/>
      <c r="K179" s="2439"/>
      <c r="L179" s="2439"/>
      <c r="M179" s="2439"/>
      <c r="N179" s="2439"/>
      <c r="O179" s="2439"/>
      <c r="P179" s="2439"/>
      <c r="Q179" s="2439"/>
      <c r="R179" s="2439"/>
      <c r="S179" s="2439"/>
      <c r="AA179"/>
      <c r="AB179"/>
      <c r="AC179"/>
      <c r="AD179"/>
      <c r="AE179"/>
      <c r="AF179"/>
      <c r="AJ179" s="2448"/>
    </row>
    <row r="180" spans="1:36" s="2442" customFormat="1" hidden="1" outlineLevel="1">
      <c r="A180" s="2436"/>
      <c r="B180" s="2437"/>
      <c r="C180" s="2438"/>
      <c r="D180" s="2438"/>
      <c r="E180" s="2438"/>
      <c r="F180" s="2438"/>
      <c r="G180" s="2438"/>
      <c r="H180" s="2439"/>
      <c r="I180" s="2439"/>
      <c r="J180" s="2439"/>
      <c r="K180" s="2439"/>
      <c r="L180" s="2439"/>
      <c r="M180" s="2439"/>
      <c r="N180" s="2439"/>
      <c r="O180" s="2439"/>
      <c r="P180" s="2439"/>
      <c r="Q180" s="2439"/>
      <c r="R180" s="2439"/>
      <c r="S180" s="2439"/>
      <c r="AA180"/>
      <c r="AB180"/>
      <c r="AC180"/>
      <c r="AD180"/>
      <c r="AE180"/>
      <c r="AF180"/>
      <c r="AJ180" s="2448"/>
    </row>
    <row r="181" spans="1:36" s="2442" customFormat="1" hidden="1" outlineLevel="1">
      <c r="A181" s="2436"/>
      <c r="B181" s="2437"/>
      <c r="C181" s="2438"/>
      <c r="D181" s="2438"/>
      <c r="E181" s="2438"/>
      <c r="F181" s="2438"/>
      <c r="G181" s="2438"/>
      <c r="H181" s="2439"/>
      <c r="I181" s="2439"/>
      <c r="J181" s="2439"/>
      <c r="K181" s="2439"/>
      <c r="L181" s="2439"/>
      <c r="M181" s="2439"/>
      <c r="N181" s="2439"/>
      <c r="O181" s="2439"/>
      <c r="P181" s="2439"/>
      <c r="Q181" s="2439"/>
      <c r="R181" s="2439"/>
      <c r="S181" s="2439"/>
      <c r="AA181"/>
      <c r="AB181"/>
      <c r="AC181"/>
      <c r="AD181"/>
      <c r="AE181"/>
      <c r="AF181"/>
      <c r="AJ181" s="2448"/>
    </row>
    <row r="182" spans="1:36" s="2442" customFormat="1" hidden="1" outlineLevel="1">
      <c r="A182" s="2436"/>
      <c r="B182" s="2437"/>
      <c r="C182" s="2438"/>
      <c r="D182" s="2438"/>
      <c r="E182" s="2438"/>
      <c r="F182" s="2438"/>
      <c r="G182" s="2438"/>
      <c r="H182" s="2439"/>
      <c r="I182" s="2439"/>
      <c r="J182" s="2439"/>
      <c r="K182" s="2439"/>
      <c r="L182" s="2439"/>
      <c r="M182" s="2439"/>
      <c r="N182" s="2439"/>
      <c r="O182" s="2439"/>
      <c r="P182" s="2439"/>
      <c r="Q182" s="2439"/>
      <c r="R182" s="2439"/>
      <c r="S182" s="2439"/>
      <c r="AA182"/>
      <c r="AB182"/>
      <c r="AC182"/>
      <c r="AD182"/>
      <c r="AE182"/>
      <c r="AF182"/>
      <c r="AJ182" s="2448"/>
    </row>
    <row r="183" spans="1:36" s="2442" customFormat="1" hidden="1" outlineLevel="1">
      <c r="A183" s="2436"/>
      <c r="B183" s="2437"/>
      <c r="C183" s="2438"/>
      <c r="D183" s="2438"/>
      <c r="E183" s="2438"/>
      <c r="F183" s="2438"/>
      <c r="G183" s="2438"/>
      <c r="H183" s="2439"/>
      <c r="I183" s="2439"/>
      <c r="J183" s="2439"/>
      <c r="K183" s="2439"/>
      <c r="L183" s="2439"/>
      <c r="M183" s="2439"/>
      <c r="N183" s="2439"/>
      <c r="O183" s="2439"/>
      <c r="P183" s="2439"/>
      <c r="Q183" s="2439"/>
      <c r="R183" s="2439"/>
      <c r="S183" s="2439"/>
      <c r="AA183"/>
      <c r="AB183"/>
      <c r="AC183"/>
      <c r="AD183"/>
      <c r="AE183"/>
      <c r="AF183"/>
      <c r="AJ183" s="2448"/>
    </row>
    <row r="184" spans="1:36" customFormat="1" hidden="1" outlineLevel="1">
      <c r="A184">
        <v>1</v>
      </c>
    </row>
    <row r="185" spans="1:36" s="2442" customFormat="1" collapsed="1">
      <c r="A185" s="2436"/>
      <c r="B185" s="2437"/>
      <c r="C185" s="2438"/>
      <c r="D185" s="2438"/>
      <c r="E185" s="2438"/>
      <c r="F185" s="2438"/>
      <c r="G185" s="2438"/>
      <c r="H185" s="2439"/>
      <c r="I185" s="2439"/>
      <c r="J185" s="2439"/>
      <c r="K185" s="2439"/>
      <c r="L185" s="2439"/>
      <c r="M185" s="2439"/>
      <c r="N185" s="2439"/>
      <c r="O185" s="2439"/>
      <c r="P185" s="2439"/>
      <c r="Q185" s="2439"/>
      <c r="R185" s="2439"/>
      <c r="S185" s="2439"/>
      <c r="AA185"/>
      <c r="AB185"/>
      <c r="AC185"/>
      <c r="AD185"/>
      <c r="AE185"/>
      <c r="AF185"/>
      <c r="AJ185" s="2448"/>
    </row>
    <row r="186" spans="1:36" s="2442" customFormat="1">
      <c r="A186" s="2436"/>
      <c r="B186" s="2437"/>
      <c r="C186" s="2438"/>
      <c r="D186" s="2438"/>
      <c r="E186" s="2438"/>
      <c r="F186" s="2438"/>
      <c r="G186" s="2438"/>
      <c r="H186" s="2439"/>
      <c r="I186" s="2439"/>
      <c r="J186" s="2439"/>
      <c r="K186" s="2439"/>
      <c r="L186" s="2439"/>
      <c r="M186" s="2439"/>
      <c r="N186" s="2439"/>
      <c r="O186" s="2439"/>
      <c r="P186" s="2439"/>
      <c r="Q186" s="2439"/>
      <c r="R186" s="2439"/>
      <c r="S186" s="2439"/>
      <c r="AA186"/>
      <c r="AB186"/>
      <c r="AC186"/>
      <c r="AD186"/>
      <c r="AE186"/>
      <c r="AF186"/>
      <c r="AJ186" s="2448"/>
    </row>
    <row r="187" spans="1:36" s="2442" customFormat="1" outlineLevel="1">
      <c r="A187" s="2436"/>
      <c r="B187" s="2437"/>
      <c r="C187" t="s">
        <v>350</v>
      </c>
      <c r="D187" s="2438"/>
      <c r="E187" s="2438"/>
      <c r="F187" s="2438"/>
      <c r="G187" s="2438"/>
      <c r="H187">
        <f t="shared" ref="H187:P187" si="56">H9</f>
        <v>39841</v>
      </c>
      <c r="I187">
        <f t="shared" si="56"/>
        <v>40206</v>
      </c>
      <c r="J187">
        <f t="shared" si="56"/>
        <v>40571</v>
      </c>
      <c r="K187">
        <f t="shared" si="56"/>
        <v>40936</v>
      </c>
      <c r="L187">
        <f t="shared" si="56"/>
        <v>41302</v>
      </c>
      <c r="M187">
        <f t="shared" si="56"/>
        <v>41667</v>
      </c>
      <c r="N187">
        <f t="shared" si="56"/>
        <v>42032</v>
      </c>
      <c r="O187">
        <f t="shared" si="56"/>
        <v>42397</v>
      </c>
      <c r="P187">
        <f t="shared" si="56"/>
        <v>42763</v>
      </c>
      <c r="Q187"/>
      <c r="R187"/>
      <c r="S187"/>
      <c r="T187"/>
      <c r="U187"/>
      <c r="V187"/>
      <c r="W187"/>
      <c r="X187"/>
      <c r="AA187"/>
      <c r="AB187"/>
      <c r="AC187"/>
      <c r="AD187"/>
      <c r="AE187"/>
      <c r="AF187"/>
      <c r="AJ187" s="2448"/>
    </row>
    <row r="188" spans="1:36" s="2442" customFormat="1" outlineLevel="1">
      <c r="A188" s="2436"/>
      <c r="B188" s="2437"/>
      <c r="C188" t="s">
        <v>351</v>
      </c>
      <c r="D188" s="2438"/>
      <c r="E188" s="2438"/>
      <c r="F188" s="2438"/>
      <c r="G188" s="2438"/>
      <c r="H188" s="2439"/>
      <c r="I188" s="2439"/>
      <c r="J188" s="2439"/>
      <c r="K188" s="2439"/>
      <c r="L188" s="2439"/>
      <c r="M188" s="2439"/>
      <c r="N188" s="2439"/>
      <c r="O188" s="2439"/>
      <c r="P188" s="2439"/>
      <c r="Q188" s="2439"/>
      <c r="R188" s="2439"/>
      <c r="S188" s="2439"/>
      <c r="AA188"/>
      <c r="AB188"/>
      <c r="AC188"/>
      <c r="AD188"/>
      <c r="AE188"/>
      <c r="AF188"/>
      <c r="AJ188" s="2448"/>
    </row>
    <row r="189" spans="1:36" s="2442" customFormat="1" outlineLevel="1">
      <c r="A189" s="2436"/>
      <c r="B189" s="2437"/>
      <c r="C189" s="2438"/>
      <c r="D189" s="2438"/>
      <c r="E189" s="2438"/>
      <c r="F189" s="2438"/>
      <c r="G189" s="2438"/>
      <c r="H189"/>
      <c r="I189"/>
      <c r="J189"/>
      <c r="K189"/>
      <c r="L189"/>
      <c r="M189"/>
      <c r="N189"/>
      <c r="O189"/>
      <c r="P189"/>
      <c r="AA189"/>
      <c r="AB189"/>
      <c r="AC189"/>
      <c r="AD189"/>
      <c r="AE189"/>
      <c r="AF189"/>
    </row>
    <row r="190" spans="1:36" s="2442" customFormat="1" outlineLevel="1">
      <c r="A190" s="2436"/>
      <c r="B190" s="2437"/>
      <c r="C190" t="s">
        <v>352</v>
      </c>
      <c r="D190"/>
      <c r="E190"/>
      <c r="F190" s="2438"/>
      <c r="G190" s="2438"/>
      <c r="H190">
        <f>_xll.ThomsonONEAddinShim.SpreadsheetFormulas.TF(SedolTicker,$AJ$190,,H$5,$J$3)</f>
        <v>5.2628000000000001E-2</v>
      </c>
      <c r="I190">
        <f>_xll.ThomsonONEAddinShim.SpreadsheetFormulas.TF(SedolTicker,$AJ$190,,I$5,$J$3)</f>
        <v>5.9351058999999998E-2</v>
      </c>
      <c r="J190">
        <f>_xll.ThomsonONEAddinShim.SpreadsheetFormulas.TF(SedolTicker,$AJ$190,,J$5,$J$3)</f>
        <v>6.4727000000000007E-2</v>
      </c>
      <c r="K190">
        <f>_xll.ThomsonONEAddinShim.SpreadsheetFormulas.TF(SedolTicker,$AJ$190,,K$5,$J$3)</f>
        <v>6.6439999999999999E-2</v>
      </c>
      <c r="L190">
        <f>_xll.ThomsonONEAddinShim.SpreadsheetFormulas.TF(SedolTicker,$AJ$190,,L$5,$J$3)</f>
        <v>7.0322999999999997E-2</v>
      </c>
      <c r="M190">
        <f>_xll.ThomsonONEAddinShim.SpreadsheetFormulas.TF(SedolTicker,$AJ$190,,M$5,$J$3)</f>
        <v>7.0447999999999997E-2</v>
      </c>
      <c r="N190">
        <f>_xll.ThomsonONEAddinShim.SpreadsheetFormulas.TF(SedolTicker,$AJ$190,,N$5,$J$3)</f>
        <v>7.0835999999999996E-2</v>
      </c>
      <c r="O190">
        <f>_xll.ThomsonONEAddinShim.SpreadsheetFormulas.TF(SedolTicker,$AJ$190,,O$5,$J$3)</f>
        <v>6.5919000000000005E-2</v>
      </c>
      <c r="P190">
        <f>_xll.ThomsonONEAddinShim.SpreadsheetFormulas.TF(SedolTicker,$AJ$190,,P$5,$J$3)</f>
        <v>6.5750000000000003E-2</v>
      </c>
      <c r="Q190"/>
      <c r="R190"/>
      <c r="S190"/>
      <c r="T190"/>
      <c r="U190"/>
      <c r="W190"/>
      <c r="X190"/>
      <c r="Y190"/>
      <c r="Z190"/>
      <c r="AA190"/>
      <c r="AB190"/>
      <c r="AC190"/>
      <c r="AD190"/>
      <c r="AE190"/>
      <c r="AF190"/>
      <c r="AJ190" t="s">
        <v>348</v>
      </c>
    </row>
    <row r="191" spans="1:36" s="2442" customFormat="1" outlineLevel="1">
      <c r="A191" s="2436"/>
      <c r="B191" s="2437"/>
      <c r="C191" t="s">
        <v>353</v>
      </c>
      <c r="D191"/>
      <c r="E191"/>
      <c r="F191" s="2438"/>
      <c r="G191" s="2438"/>
      <c r="H191" s="2439"/>
      <c r="I191">
        <f>_xll.ThomsonONEAddinShim.SpreadsheetFormulas.TF(SedolTicker,$AJ$191,"dataDir=across",$I$5,$P$5,$J$3)</f>
        <v>6.6055046000000006E-2</v>
      </c>
      <c r="J191" s="2543">
        <v>8.2967690466693264E-2</v>
      </c>
      <c r="K191" s="2543">
        <v>6.953080836630865E-2</v>
      </c>
      <c r="L191" s="2543">
        <v>7.0582979673888768E-2</v>
      </c>
      <c r="M191" s="2543">
        <v>6.3102893890675235E-2</v>
      </c>
      <c r="N191" s="2543">
        <v>6.7995802728226654E-2</v>
      </c>
      <c r="O191" s="2543">
        <v>5.838140185282293E-2</v>
      </c>
      <c r="P191" s="2543">
        <v>6.8688981868898186E-2</v>
      </c>
      <c r="Q191"/>
      <c r="R191"/>
      <c r="S191"/>
      <c r="T191"/>
      <c r="U191"/>
      <c r="W191"/>
      <c r="X191"/>
      <c r="Y191"/>
      <c r="Z191"/>
      <c r="AA191"/>
      <c r="AB191"/>
      <c r="AC191"/>
      <c r="AD191"/>
      <c r="AE191"/>
      <c r="AF191"/>
      <c r="AJ191" t="s">
        <v>349</v>
      </c>
    </row>
    <row r="192" spans="1:36" s="2442" customFormat="1" outlineLevel="1">
      <c r="A192" s="2436"/>
      <c r="B192" s="2437"/>
      <c r="C192"/>
      <c r="D192"/>
      <c r="E192"/>
      <c r="F192" s="2438"/>
      <c r="G192" s="2438"/>
      <c r="H192"/>
      <c r="I192"/>
      <c r="J192"/>
      <c r="K192"/>
      <c r="L192"/>
      <c r="M192"/>
      <c r="N192"/>
      <c r="O192"/>
      <c r="P192"/>
      <c r="Q192"/>
      <c r="R192"/>
      <c r="S192"/>
      <c r="T192"/>
      <c r="U192"/>
      <c r="W192"/>
      <c r="X192"/>
      <c r="Y192"/>
      <c r="Z192"/>
      <c r="AA192"/>
      <c r="AB192"/>
      <c r="AC192"/>
      <c r="AD192"/>
      <c r="AE192"/>
      <c r="AF192"/>
      <c r="AJ192"/>
    </row>
    <row r="193" spans="1:39" s="2442" customFormat="1" outlineLevel="1">
      <c r="A193" s="2436"/>
      <c r="B193" s="2437"/>
      <c r="C193"/>
      <c r="D193"/>
      <c r="E193"/>
      <c r="F193" s="2438"/>
      <c r="G193" s="2438"/>
      <c r="H193"/>
      <c r="I193"/>
      <c r="J193"/>
      <c r="K193"/>
      <c r="L193"/>
      <c r="M193"/>
      <c r="N193"/>
      <c r="O193"/>
      <c r="P193"/>
      <c r="Q193"/>
      <c r="R193"/>
      <c r="S193"/>
      <c r="T193"/>
      <c r="U193"/>
      <c r="W193"/>
      <c r="X193"/>
      <c r="Y193"/>
      <c r="Z193"/>
      <c r="AA193"/>
      <c r="AB193"/>
      <c r="AC193"/>
      <c r="AD193"/>
      <c r="AE193"/>
      <c r="AF193"/>
      <c r="AJ193"/>
    </row>
    <row r="194" spans="1:39" s="2442" customFormat="1" outlineLevel="1">
      <c r="A194" s="2436"/>
      <c r="B194" s="2437"/>
      <c r="C194" t="s">
        <v>410</v>
      </c>
      <c r="D194"/>
      <c r="E194"/>
      <c r="F194" s="2438"/>
      <c r="G194" s="2438"/>
      <c r="H194">
        <f>_xll.ThomsonONEAddinShim.SpreadsheetFormulas.TF(SedolTicker,$AJ194,"dataDir=across",$J$3)</f>
        <v>181</v>
      </c>
      <c r="I194" s="2543">
        <v>180</v>
      </c>
      <c r="J194" s="2543">
        <v>208</v>
      </c>
      <c r="K194" s="2543">
        <v>246</v>
      </c>
      <c r="L194" s="2543">
        <v>316</v>
      </c>
      <c r="M194" s="2543">
        <v>314</v>
      </c>
      <c r="N194" s="2543">
        <v>324</v>
      </c>
      <c r="O194" s="2543">
        <v>334</v>
      </c>
      <c r="P194" s="2543">
        <v>394</v>
      </c>
      <c r="Q194"/>
      <c r="R194"/>
      <c r="S194"/>
      <c r="T194"/>
      <c r="U194"/>
      <c r="W194"/>
      <c r="X194"/>
      <c r="Y194"/>
      <c r="Z194"/>
      <c r="AA194"/>
      <c r="AB194"/>
      <c r="AC194"/>
      <c r="AD194"/>
      <c r="AE194"/>
      <c r="AF194"/>
      <c r="AJ194" t="s">
        <v>354</v>
      </c>
    </row>
    <row r="195" spans="1:39" outlineLevel="1">
      <c r="C195" t="s">
        <v>355</v>
      </c>
      <c r="D195"/>
      <c r="E195"/>
      <c r="F195" s="2438"/>
      <c r="G195" s="2438"/>
      <c r="H195" t="str">
        <f>_xll.ThomsonONEAddinShim.SpreadsheetFormulas.TF(SedolTicker,$AJ195,"dataDir=across",$J$3)</f>
        <v>Manual Calculation</v>
      </c>
      <c r="I195" s="2543">
        <v>2</v>
      </c>
      <c r="J195" s="2543">
        <v>0</v>
      </c>
      <c r="K195" s="2543">
        <v>57</v>
      </c>
      <c r="L195" s="2543">
        <v>0</v>
      </c>
      <c r="M195" s="2543">
        <v>215</v>
      </c>
      <c r="N195" s="2543">
        <v>0</v>
      </c>
      <c r="O195" s="2543">
        <v>6</v>
      </c>
      <c r="P195" s="2543">
        <v>36</v>
      </c>
      <c r="Q195"/>
      <c r="R195"/>
      <c r="S195"/>
      <c r="T195"/>
      <c r="U195"/>
      <c r="V195" s="2442"/>
      <c r="W195"/>
      <c r="X195"/>
      <c r="Y195"/>
      <c r="Z195"/>
      <c r="AG195" s="2442"/>
      <c r="AH195" s="2442"/>
      <c r="AI195" s="2442"/>
      <c r="AJ195" t="s">
        <v>356</v>
      </c>
      <c r="AK195" s="2442"/>
      <c r="AL195" s="2442"/>
      <c r="AM195" s="2442"/>
    </row>
    <row r="196" spans="1:39" outlineLevel="1">
      <c r="C196" t="s">
        <v>357</v>
      </c>
      <c r="D196"/>
      <c r="E196"/>
      <c r="H196">
        <f>_xll.ThomsonONEAddinShim.SpreadsheetFormulas.TF(SedolTicker,$AJ196,"dataDir=across",$J$3)</f>
        <v>2897</v>
      </c>
      <c r="I196" s="2543">
        <v>2723</v>
      </c>
      <c r="J196" s="2543">
        <v>2507</v>
      </c>
      <c r="K196" s="2543">
        <v>3481</v>
      </c>
      <c r="L196" s="2543">
        <v>4477</v>
      </c>
      <c r="M196" s="2543">
        <v>4761</v>
      </c>
      <c r="N196" s="2543">
        <v>4765</v>
      </c>
      <c r="O196" s="2543">
        <v>5715</v>
      </c>
      <c r="P196" s="2543">
        <v>5700</v>
      </c>
      <c r="Q196"/>
      <c r="R196"/>
      <c r="S196"/>
      <c r="T196"/>
      <c r="U196"/>
      <c r="W196"/>
      <c r="X196"/>
      <c r="Y196"/>
      <c r="Z196"/>
      <c r="AJ196" t="s">
        <v>358</v>
      </c>
    </row>
    <row r="197" spans="1:39" outlineLevel="1">
      <c r="C197"/>
      <c r="D197"/>
      <c r="E197"/>
      <c r="H197"/>
      <c r="I197"/>
      <c r="J197"/>
      <c r="K197"/>
      <c r="L197"/>
      <c r="M197"/>
      <c r="N197"/>
      <c r="O197"/>
      <c r="P197"/>
      <c r="Q197"/>
      <c r="R197"/>
      <c r="S197"/>
      <c r="T197"/>
      <c r="U197"/>
      <c r="W197"/>
      <c r="X197"/>
      <c r="Y197"/>
      <c r="Z197"/>
      <c r="AJ197"/>
    </row>
    <row r="198" spans="1:39" customFormat="1">
      <c r="A198" s="2504"/>
      <c r="B198" s="2541"/>
    </row>
    <row r="199" spans="1:39">
      <c r="C199"/>
      <c r="D199"/>
      <c r="E199"/>
      <c r="H199"/>
      <c r="I199"/>
      <c r="J199"/>
      <c r="K199"/>
      <c r="L199"/>
      <c r="M199"/>
      <c r="N199"/>
      <c r="O199"/>
      <c r="P199"/>
      <c r="Q199"/>
      <c r="R199"/>
      <c r="S199"/>
      <c r="T199"/>
      <c r="U199"/>
      <c r="W199"/>
      <c r="X199"/>
      <c r="Y199"/>
      <c r="Z199"/>
      <c r="AJ199"/>
    </row>
    <row r="200" spans="1:39">
      <c r="C200"/>
      <c r="D200"/>
      <c r="E200"/>
      <c r="H200"/>
      <c r="I200"/>
      <c r="J200"/>
      <c r="K200"/>
      <c r="L200"/>
      <c r="M200"/>
      <c r="N200"/>
      <c r="O200"/>
      <c r="P200"/>
      <c r="Q200"/>
      <c r="R200"/>
      <c r="S200"/>
      <c r="T200"/>
      <c r="U200"/>
      <c r="W200"/>
      <c r="X200"/>
      <c r="Y200"/>
      <c r="Z200"/>
      <c r="AJ200"/>
    </row>
    <row r="201" spans="1:39">
      <c r="C201"/>
      <c r="D201"/>
      <c r="E201"/>
      <c r="H201"/>
      <c r="I201"/>
      <c r="J201"/>
      <c r="K201"/>
      <c r="L201"/>
      <c r="M201"/>
      <c r="N201"/>
      <c r="O201"/>
      <c r="P201"/>
      <c r="Q201"/>
      <c r="R201"/>
      <c r="S201"/>
      <c r="T201"/>
      <c r="U201"/>
      <c r="W201"/>
      <c r="X201"/>
      <c r="Y201"/>
      <c r="Z201"/>
      <c r="AJ201"/>
    </row>
    <row r="202" spans="1:39" customFormat="1">
      <c r="A202" s="2504"/>
      <c r="B202" s="2541"/>
    </row>
    <row r="203" spans="1:39" customFormat="1">
      <c r="A203" s="2504"/>
      <c r="B203" s="2541"/>
    </row>
  </sheetData>
  <conditionalFormatting sqref="A44 C46">
    <cfRule type="cellIs" dxfId="1" priority="1" stopIfTrue="1" operator="equal">
      <formula>"A44=0"</formula>
    </cfRule>
  </conditionalFormatting>
  <conditionalFormatting sqref="H44 I44:P45">
    <cfRule type="cellIs" dxfId="0" priority="2" stopIfTrue="1" operator="equal">
      <formula>0</formula>
    </cfRule>
  </conditionalFormatting>
  <pageMargins left="0.25" right="0.25" top="0.25" bottom="0.5" header="0.25" footer="0.25"/>
  <pageSetup paperSize="5" scale="80" orientation="landscape" horizontalDpi="300" verticalDpi="300" r:id="rId1"/>
  <headerFooter alignWithMargins="0">
    <oddFooter>&amp;L&amp;"Arial,Bold"&amp;8Morgan Stanley: Confidential - FOR DISCUSSION PURPOSES ONLY
&amp;R&amp;8Printed on &amp;D - Page &amp;P of &amp;N</oddFooter>
  </headerFooter>
  <rowBreaks count="2" manualBreakCount="2">
    <brk id="41" max="16383" man="1"/>
    <brk id="109" max="16383" man="1"/>
  </rowBreaks>
  <drawing r:id="rId2"/>
  <legacyDrawing r:id="rId3"/>
  <controls>
    <mc:AlternateContent xmlns:mc="http://schemas.openxmlformats.org/markup-compatibility/2006">
      <mc:Choice Requires="x14">
        <control shapeId="11585537" r:id="rId4" name="CommandButton2">
          <controlPr defaultSize="0" autoLine="0" autoPict="0" r:id="rId5">
            <anchor moveWithCells="1">
              <from>
                <xdr:col>14</xdr:col>
                <xdr:colOff>485775</xdr:colOff>
                <xdr:row>1</xdr:row>
                <xdr:rowOff>57150</xdr:rowOff>
              </from>
              <to>
                <xdr:col>17</xdr:col>
                <xdr:colOff>609600</xdr:colOff>
                <xdr:row>3</xdr:row>
                <xdr:rowOff>19050</xdr:rowOff>
              </to>
            </anchor>
          </controlPr>
        </control>
      </mc:Choice>
      <mc:Fallback>
        <control shapeId="11585537" r:id="rId4" name="CommandButton2"/>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
  <sheetViews>
    <sheetView workbookViewId="0"/>
  </sheetViews>
  <sheetFormatPr defaultRowHeight="12.75"/>
  <sheetData/>
  <phoneticPr fontId="47" type="noConversion"/>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O20"/>
  <sheetViews>
    <sheetView workbookViewId="0">
      <selection activeCell="P24" sqref="P24"/>
    </sheetView>
  </sheetViews>
  <sheetFormatPr defaultRowHeight="12.75"/>
  <cols>
    <col min="1" max="3" width="9.140625" style="1"/>
    <col min="4" max="4" width="8.7109375" style="1" customWidth="1"/>
    <col min="5" max="16384" width="9.140625" style="1"/>
  </cols>
  <sheetData>
    <row r="1" spans="1:15" ht="18">
      <c r="A1" s="2896" t="s">
        <v>1424</v>
      </c>
      <c r="D1" s="2897"/>
      <c r="E1" s="2898">
        <v>2010</v>
      </c>
      <c r="F1" s="2898">
        <f>+E1+1</f>
        <v>2011</v>
      </c>
      <c r="G1" s="2898">
        <f t="shared" ref="G1:O1" si="0">+F1+1</f>
        <v>2012</v>
      </c>
      <c r="H1" s="2898">
        <f t="shared" si="0"/>
        <v>2013</v>
      </c>
      <c r="I1" s="2898">
        <f t="shared" si="0"/>
        <v>2014</v>
      </c>
      <c r="J1" s="2898">
        <f t="shared" si="0"/>
        <v>2015</v>
      </c>
      <c r="K1" s="2898">
        <f t="shared" si="0"/>
        <v>2016</v>
      </c>
      <c r="L1" s="2898">
        <f t="shared" si="0"/>
        <v>2017</v>
      </c>
      <c r="M1" s="2898">
        <f t="shared" si="0"/>
        <v>2018</v>
      </c>
      <c r="N1" s="2898">
        <f t="shared" si="0"/>
        <v>2019</v>
      </c>
      <c r="O1" s="2898">
        <f t="shared" si="0"/>
        <v>2020</v>
      </c>
    </row>
    <row r="2" spans="1:15">
      <c r="A2" s="2619"/>
    </row>
    <row r="3" spans="1:15">
      <c r="A3" s="2899" t="s">
        <v>1177</v>
      </c>
      <c r="E3" s="2900">
        <f>+'yrP&amp;L'!V56</f>
        <v>684.48000000000093</v>
      </c>
      <c r="F3" s="2900">
        <f>+'yrP&amp;L'!W56</f>
        <v>817.34399999999926</v>
      </c>
      <c r="G3" s="2900">
        <f>+'yrP&amp;L'!X56</f>
        <v>866.61470000000236</v>
      </c>
      <c r="H3" s="2900">
        <f>+'yrP&amp;L'!Y56</f>
        <v>903.02799999999741</v>
      </c>
      <c r="I3" s="2900">
        <f>+'yrP&amp;L'!Z56</f>
        <v>1042.0430000000019</v>
      </c>
      <c r="J3" s="2900">
        <f>+'yrP&amp;L'!AA56</f>
        <v>1184.0089999999987</v>
      </c>
      <c r="K3" s="2900">
        <f>+'yrP&amp;L'!AB56</f>
        <v>1090.0950000000012</v>
      </c>
      <c r="L3" s="2900">
        <f>+'yrP&amp;L'!AC56</f>
        <v>919.35000000000093</v>
      </c>
      <c r="M3" s="2900">
        <f>+'yrP&amp;L'!AD56</f>
        <v>912.49968974994249</v>
      </c>
      <c r="N3" s="2900">
        <f>+'yrP&amp;L'!AE56</f>
        <v>982.70249388155639</v>
      </c>
      <c r="O3" s="2900">
        <f>+'yrP&amp;L'!AF56</f>
        <v>1065.2588025142418</v>
      </c>
    </row>
    <row r="4" spans="1:15">
      <c r="A4" s="2901" t="s">
        <v>1431</v>
      </c>
      <c r="D4" s="2619"/>
      <c r="E4" s="2906">
        <f>+('yrP&amp;L'!V13)*1.5</f>
        <v>781.5</v>
      </c>
      <c r="F4" s="2906">
        <f>+('yrP&amp;L'!W13)*1.5</f>
        <v>823.5</v>
      </c>
      <c r="G4" s="2906">
        <f>+('yrP&amp;L'!X13)*1.5</f>
        <v>870</v>
      </c>
      <c r="H4" s="2906">
        <f>+('yrP&amp;L'!Y13)*1.5</f>
        <v>919.5</v>
      </c>
      <c r="I4" s="2906">
        <f>+('yrP&amp;L'!Z13)*1.5</f>
        <v>970.5</v>
      </c>
      <c r="J4" s="2906">
        <f>+('yrP&amp;L'!AA13)*1.5</f>
        <v>1027.5</v>
      </c>
      <c r="K4" s="2906">
        <f>+('yrP&amp;L'!AB13)*1.5</f>
        <v>1147.5</v>
      </c>
      <c r="L4" s="2906">
        <f>+('yrP&amp;L'!AC13)*1.5</f>
        <v>1204.5</v>
      </c>
      <c r="M4" s="2906">
        <f>+('yrP&amp;L'!AD13)*1.5</f>
        <v>1281.751756539677</v>
      </c>
      <c r="N4" s="2906">
        <f>+('yrP&amp;L'!AE13)*1.5</f>
        <v>1361.7863765285547</v>
      </c>
      <c r="O4" s="2906">
        <f>+('yrP&amp;L'!AF13)*1.5</f>
        <v>1447.6378486379253</v>
      </c>
    </row>
    <row r="5" spans="1:15">
      <c r="A5" s="2899" t="s">
        <v>410</v>
      </c>
      <c r="D5" s="2619"/>
      <c r="E5" s="2900">
        <f>+-'yrP&amp;L'!V40</f>
        <v>207.84100000000001</v>
      </c>
      <c r="F5" s="2900">
        <f>+-'yrP&amp;L'!W40</f>
        <v>245.93600000000001</v>
      </c>
      <c r="G5" s="2900">
        <f>+-'yrP&amp;L'!X40</f>
        <v>316.72699999999998</v>
      </c>
      <c r="H5" s="2900">
        <f>+-'yrP&amp;L'!Y40</f>
        <v>314.40199999999999</v>
      </c>
      <c r="I5" s="2900">
        <f>+-'yrP&amp;L'!Z40</f>
        <v>324.04200000000003</v>
      </c>
      <c r="J5" s="2900">
        <f>+-'yrP&amp;L'!AA40</f>
        <v>333.738</v>
      </c>
      <c r="K5" s="2900">
        <f>+-'yrP&amp;L'!AB40</f>
        <v>393.66300000000001</v>
      </c>
      <c r="L5" s="2900">
        <f>+-'yrP&amp;L'!AC40</f>
        <v>405.98899999999998</v>
      </c>
      <c r="M5" s="2900">
        <f>+-'yrP&amp;L'!AD40</f>
        <v>371</v>
      </c>
      <c r="N5" s="2900">
        <f>+-'yrP&amp;L'!AE40</f>
        <v>368</v>
      </c>
      <c r="O5" s="2900">
        <f>+-'yrP&amp;L'!AF40</f>
        <v>349.33333333333331</v>
      </c>
    </row>
    <row r="6" spans="1:15">
      <c r="A6" s="2899" t="s">
        <v>647</v>
      </c>
      <c r="D6" s="2619"/>
      <c r="E6" s="2902">
        <f>+'yrP&amp;L'!V54</f>
        <v>0.37947446433347054</v>
      </c>
      <c r="F6" s="2902">
        <f>+'yrP&amp;L'!W54</f>
        <v>0.37215717271623255</v>
      </c>
      <c r="G6" s="2902">
        <f>+'yrP&amp;L'!X54</f>
        <v>0.38178523072445264</v>
      </c>
      <c r="H6" s="2902">
        <f>+'yrP&amp;L'!Y54</f>
        <v>0.37544704639876569</v>
      </c>
      <c r="I6" s="2902">
        <f>+'yrP&amp;L'!Z54</f>
        <v>0.3629430328284769</v>
      </c>
      <c r="J6" s="2902">
        <f>+'yrP&amp;L'!AA54</f>
        <v>0.36217374276727249</v>
      </c>
      <c r="K6" s="2902">
        <f>+'yrP&amp;L'!AB54</f>
        <v>0.34253284938318046</v>
      </c>
      <c r="L6" s="2902">
        <f>+'yrP&amp;L'!AC54</f>
        <v>0.32262770495789195</v>
      </c>
      <c r="M6" s="2902">
        <f>+'yrP&amp;L'!AD54</f>
        <v>0.27000000000000024</v>
      </c>
      <c r="N6" s="2902">
        <f>+'yrP&amp;L'!AE54</f>
        <v>0.27</v>
      </c>
      <c r="O6" s="2902">
        <f>+'yrP&amp;L'!AF54</f>
        <v>0.27</v>
      </c>
    </row>
    <row r="7" spans="1:15">
      <c r="A7" s="2899" t="s">
        <v>1425</v>
      </c>
      <c r="E7" s="2900">
        <f>+(1-E6)*E5</f>
        <v>128.97064785846715</v>
      </c>
      <c r="F7" s="2900">
        <f t="shared" ref="F7:O7" si="1">+(1-F6)*F5</f>
        <v>154.40915357086064</v>
      </c>
      <c r="G7" s="2900">
        <f t="shared" si="1"/>
        <v>195.80530922833626</v>
      </c>
      <c r="H7" s="2900">
        <f t="shared" si="1"/>
        <v>196.36069771813527</v>
      </c>
      <c r="I7" s="2900">
        <f t="shared" si="1"/>
        <v>206.43321375619473</v>
      </c>
      <c r="J7" s="2900">
        <f t="shared" si="1"/>
        <v>212.86685943633603</v>
      </c>
      <c r="K7" s="2900">
        <f t="shared" si="1"/>
        <v>258.820490913269</v>
      </c>
      <c r="L7" s="2900">
        <f t="shared" si="1"/>
        <v>275.00570069185039</v>
      </c>
      <c r="M7" s="2900">
        <f t="shared" si="1"/>
        <v>270.82999999999993</v>
      </c>
      <c r="N7" s="2900">
        <f t="shared" si="1"/>
        <v>268.64</v>
      </c>
      <c r="O7" s="2900">
        <f t="shared" si="1"/>
        <v>255.01333333333332</v>
      </c>
    </row>
    <row r="8" spans="1:15">
      <c r="A8" s="2899" t="s">
        <v>1426</v>
      </c>
      <c r="E8" s="2909">
        <f>+(1-E6)*E4</f>
        <v>484.94070612339277</v>
      </c>
      <c r="F8" s="2909">
        <f t="shared" ref="F8:O8" si="2">+(1-F6)*F4</f>
        <v>517.02856826818254</v>
      </c>
      <c r="G8" s="2909">
        <f t="shared" si="2"/>
        <v>537.84684926972614</v>
      </c>
      <c r="H8" s="2909">
        <f t="shared" si="2"/>
        <v>574.27644083633493</v>
      </c>
      <c r="I8" s="2909">
        <f t="shared" si="2"/>
        <v>618.2637866399632</v>
      </c>
      <c r="J8" s="2909">
        <f t="shared" si="2"/>
        <v>655.36647930662753</v>
      </c>
      <c r="K8" s="2909">
        <f t="shared" si="2"/>
        <v>754.44355533280032</v>
      </c>
      <c r="L8" s="2909">
        <f t="shared" si="2"/>
        <v>815.8949293782191</v>
      </c>
      <c r="M8" s="2909">
        <f t="shared" si="2"/>
        <v>935.67878227396386</v>
      </c>
      <c r="N8" s="2909">
        <f t="shared" si="2"/>
        <v>994.10405486584489</v>
      </c>
      <c r="O8" s="2909">
        <f t="shared" si="2"/>
        <v>1056.7756295056854</v>
      </c>
    </row>
    <row r="9" spans="1:15">
      <c r="A9" s="2903" t="s">
        <v>1427</v>
      </c>
      <c r="B9" s="2904"/>
      <c r="C9" s="2904"/>
      <c r="D9" s="2904"/>
      <c r="E9" s="2910">
        <f>+E3+E7+E8</f>
        <v>1298.3913539818609</v>
      </c>
      <c r="F9" s="2910">
        <f t="shared" ref="F9:N9" si="3">+F3+F7+F8</f>
        <v>1488.7817218390423</v>
      </c>
      <c r="G9" s="2910">
        <f t="shared" si="3"/>
        <v>1600.2668584980647</v>
      </c>
      <c r="H9" s="2910">
        <f t="shared" si="3"/>
        <v>1673.6651385544678</v>
      </c>
      <c r="I9" s="2910">
        <f t="shared" si="3"/>
        <v>1866.7400003961598</v>
      </c>
      <c r="J9" s="2910">
        <f t="shared" si="3"/>
        <v>2052.2423387429621</v>
      </c>
      <c r="K9" s="2910">
        <f t="shared" si="3"/>
        <v>2103.3590462460706</v>
      </c>
      <c r="L9" s="2910">
        <f t="shared" si="3"/>
        <v>2010.2506300700704</v>
      </c>
      <c r="M9" s="2910">
        <f t="shared" si="3"/>
        <v>2119.0084720239065</v>
      </c>
      <c r="N9" s="2910">
        <f t="shared" si="3"/>
        <v>2245.4465487474013</v>
      </c>
      <c r="O9" s="2910">
        <f>+O3+O7+O8</f>
        <v>2377.0477653532607</v>
      </c>
    </row>
    <row r="11" spans="1:15">
      <c r="A11" s="2899" t="s">
        <v>411</v>
      </c>
      <c r="D11" s="2619"/>
      <c r="E11" s="2900">
        <f>+bal!AS57</f>
        <v>1476</v>
      </c>
      <c r="F11" s="2900">
        <f>+bal!AU57</f>
        <v>137</v>
      </c>
      <c r="G11" s="2900">
        <f>+bal!AW57</f>
        <v>-1014.5183999999999</v>
      </c>
      <c r="H11" s="2900">
        <f>+bal!AY57</f>
        <v>-369.988</v>
      </c>
      <c r="I11" s="2900">
        <f>+bal!BA57</f>
        <v>18.554700000000025</v>
      </c>
      <c r="J11" s="2900">
        <f>+bal!BC57</f>
        <v>-259</v>
      </c>
      <c r="K11" s="2900">
        <f>+bal!BE57</f>
        <v>-727.09999999999991</v>
      </c>
      <c r="L11" s="2900">
        <f>+bal!BG57</f>
        <v>-750.80230000000006</v>
      </c>
      <c r="M11" s="2900">
        <f>+bal!BI57</f>
        <v>-443.70261025005738</v>
      </c>
      <c r="N11" s="2900">
        <f>+bal!BK57</f>
        <v>-63.000116368500869</v>
      </c>
      <c r="O11" s="2900">
        <f>+bal!BM57</f>
        <v>401.28725757431249</v>
      </c>
    </row>
    <row r="12" spans="1:15">
      <c r="A12" s="2899" t="s">
        <v>1428</v>
      </c>
      <c r="D12" s="2619"/>
      <c r="E12" s="2900">
        <f>+AVERAGE(E11,bal!AQ57)</f>
        <v>1829.5</v>
      </c>
      <c r="F12" s="2900">
        <f>+AVERAGE(E11:F11)</f>
        <v>806.5</v>
      </c>
      <c r="G12" s="2900">
        <f t="shared" ref="G12:O12" si="4">+AVERAGE(F11:G11)</f>
        <v>-438.75919999999996</v>
      </c>
      <c r="H12" s="2900">
        <f t="shared" si="4"/>
        <v>-692.25319999999999</v>
      </c>
      <c r="I12" s="2900">
        <f t="shared" si="4"/>
        <v>-175.71664999999999</v>
      </c>
      <c r="J12" s="2900">
        <f t="shared" si="4"/>
        <v>-120.22264999999999</v>
      </c>
      <c r="K12" s="2900">
        <f t="shared" si="4"/>
        <v>-493.04999999999995</v>
      </c>
      <c r="L12" s="2900">
        <f t="shared" si="4"/>
        <v>-738.95114999999998</v>
      </c>
      <c r="M12" s="2900">
        <f t="shared" si="4"/>
        <v>-597.25245512502875</v>
      </c>
      <c r="N12" s="2900">
        <f t="shared" si="4"/>
        <v>-253.35136330927912</v>
      </c>
      <c r="O12" s="2900">
        <f t="shared" si="4"/>
        <v>169.14357060290581</v>
      </c>
    </row>
    <row r="13" spans="1:15">
      <c r="A13" s="2899" t="s">
        <v>626</v>
      </c>
      <c r="D13" s="2619"/>
      <c r="E13" s="2900">
        <f>+bal!AS41</f>
        <v>2507</v>
      </c>
      <c r="F13" s="2900">
        <f>+bal!AU41+bal!AU34</f>
        <v>3538</v>
      </c>
      <c r="G13" s="2900">
        <f>+bal!AW41</f>
        <v>4476.7510000000002</v>
      </c>
      <c r="H13" s="2900">
        <f>+bal!AY41+bal!AY34</f>
        <v>4975.7250000000004</v>
      </c>
      <c r="I13" s="2900">
        <f>+bal!BA41</f>
        <v>4764.6049999999996</v>
      </c>
      <c r="J13" s="2900">
        <f>+bal!BC41+bal!BC34</f>
        <v>5716.7927</v>
      </c>
      <c r="K13" s="2900">
        <f>+bal!BE41+bal!BE34</f>
        <v>5736</v>
      </c>
      <c r="L13" s="2900">
        <f>+bal!BG41+bal!BG34</f>
        <v>5793.6429999999991</v>
      </c>
      <c r="M13" s="2900">
        <f>+bal!BI41+bal!BI34</f>
        <v>5793.6429999999991</v>
      </c>
      <c r="N13" s="2900">
        <f>+bal!BK41+bal!BK34</f>
        <v>7293.6429999999991</v>
      </c>
      <c r="O13" s="2900">
        <f>+bal!BM41+bal!BM34</f>
        <v>7293.6429999999991</v>
      </c>
    </row>
    <row r="14" spans="1:15">
      <c r="A14" s="2899" t="s">
        <v>1429</v>
      </c>
      <c r="D14" s="2619"/>
      <c r="E14" s="2900">
        <f>+AVERAGE(E13,bal!AQ41)</f>
        <v>2615</v>
      </c>
      <c r="F14" s="2900">
        <f>+AVERAGE(E13:F13)</f>
        <v>3022.5</v>
      </c>
      <c r="G14" s="2900">
        <f t="shared" ref="G14" si="5">+AVERAGE(F13:G13)</f>
        <v>4007.3755000000001</v>
      </c>
      <c r="H14" s="2900">
        <f t="shared" ref="H14" si="6">+AVERAGE(G13:H13)</f>
        <v>4726.2380000000003</v>
      </c>
      <c r="I14" s="2900">
        <f t="shared" ref="I14" si="7">+AVERAGE(H13:I13)</f>
        <v>4870.165</v>
      </c>
      <c r="J14" s="2900">
        <f t="shared" ref="J14" si="8">+AVERAGE(I13:J13)</f>
        <v>5240.6988499999998</v>
      </c>
      <c r="K14" s="2900">
        <f t="shared" ref="K14" si="9">+AVERAGE(J13:K13)</f>
        <v>5726.39635</v>
      </c>
      <c r="L14" s="2900">
        <f t="shared" ref="L14" si="10">+AVERAGE(K13:L13)</f>
        <v>5764.8215</v>
      </c>
      <c r="M14" s="2900">
        <f t="shared" ref="M14" si="11">+AVERAGE(L13:M13)</f>
        <v>5793.6429999999991</v>
      </c>
      <c r="N14" s="2900">
        <f t="shared" ref="N14" si="12">+AVERAGE(M13:N13)</f>
        <v>6543.6429999999991</v>
      </c>
      <c r="O14" s="2900">
        <f t="shared" ref="O14" si="13">+AVERAGE(N13:O13)</f>
        <v>7293.6429999999991</v>
      </c>
    </row>
    <row r="15" spans="1:15">
      <c r="A15" s="2905" t="s">
        <v>1223</v>
      </c>
      <c r="E15" s="2900">
        <f>E12+E14</f>
        <v>4444.5</v>
      </c>
      <c r="F15" s="2900">
        <f t="shared" ref="F15:O15" si="14">F12+F14</f>
        <v>3829</v>
      </c>
      <c r="G15" s="2900">
        <f t="shared" si="14"/>
        <v>3568.6163000000001</v>
      </c>
      <c r="H15" s="2900">
        <f t="shared" si="14"/>
        <v>4033.9848000000002</v>
      </c>
      <c r="I15" s="2900">
        <f t="shared" si="14"/>
        <v>4694.4483499999997</v>
      </c>
      <c r="J15" s="2900">
        <f t="shared" si="14"/>
        <v>5120.4762000000001</v>
      </c>
      <c r="K15" s="2900">
        <f t="shared" si="14"/>
        <v>5233.3463499999998</v>
      </c>
      <c r="L15" s="2900">
        <f t="shared" si="14"/>
        <v>5025.8703500000001</v>
      </c>
      <c r="M15" s="2900">
        <f t="shared" si="14"/>
        <v>5196.3905448749701</v>
      </c>
      <c r="N15" s="2900">
        <f t="shared" si="14"/>
        <v>6290.2916366907202</v>
      </c>
      <c r="O15" s="2900">
        <f t="shared" si="14"/>
        <v>7462.7865706029052</v>
      </c>
    </row>
    <row r="16" spans="1:15">
      <c r="A16" s="2899" t="s">
        <v>565</v>
      </c>
      <c r="E16" s="2900">
        <f>E4</f>
        <v>781.5</v>
      </c>
      <c r="F16" s="2900">
        <f t="shared" ref="F16:O16" si="15">F4</f>
        <v>823.5</v>
      </c>
      <c r="G16" s="2900">
        <f t="shared" si="15"/>
        <v>870</v>
      </c>
      <c r="H16" s="2900">
        <f t="shared" si="15"/>
        <v>919.5</v>
      </c>
      <c r="I16" s="2900">
        <f t="shared" si="15"/>
        <v>970.5</v>
      </c>
      <c r="J16" s="2900">
        <f t="shared" si="15"/>
        <v>1027.5</v>
      </c>
      <c r="K16" s="2900">
        <f t="shared" si="15"/>
        <v>1147.5</v>
      </c>
      <c r="L16" s="2900">
        <f t="shared" si="15"/>
        <v>1204.5</v>
      </c>
      <c r="M16" s="2906">
        <f t="shared" si="15"/>
        <v>1281.751756539677</v>
      </c>
      <c r="N16" s="2906">
        <f t="shared" si="15"/>
        <v>1361.7863765285547</v>
      </c>
      <c r="O16" s="2906">
        <f t="shared" si="15"/>
        <v>1447.6378486379253</v>
      </c>
    </row>
    <row r="17" spans="1:15">
      <c r="A17" s="2899" t="s">
        <v>720</v>
      </c>
      <c r="E17" s="2900">
        <f>E16*8</f>
        <v>6252</v>
      </c>
      <c r="F17" s="2900">
        <f t="shared" ref="F17:O17" si="16">F16*8</f>
        <v>6588</v>
      </c>
      <c r="G17" s="2900">
        <f t="shared" si="16"/>
        <v>6960</v>
      </c>
      <c r="H17" s="2900">
        <f t="shared" si="16"/>
        <v>7356</v>
      </c>
      <c r="I17" s="2900">
        <f t="shared" si="16"/>
        <v>7764</v>
      </c>
      <c r="J17" s="2900">
        <f t="shared" si="16"/>
        <v>8220</v>
      </c>
      <c r="K17" s="2900">
        <f t="shared" si="16"/>
        <v>9180</v>
      </c>
      <c r="L17" s="2900">
        <f t="shared" si="16"/>
        <v>9636</v>
      </c>
      <c r="M17" s="2906">
        <f t="shared" si="16"/>
        <v>10254.014052317416</v>
      </c>
      <c r="N17" s="2906">
        <f t="shared" si="16"/>
        <v>10894.291012228437</v>
      </c>
      <c r="O17" s="2906">
        <f t="shared" si="16"/>
        <v>11581.102789103403</v>
      </c>
    </row>
    <row r="18" spans="1:15">
      <c r="A18" s="2903" t="s">
        <v>1430</v>
      </c>
      <c r="B18" s="2904"/>
      <c r="C18" s="2904"/>
      <c r="D18" s="2904"/>
      <c r="E18" s="2910">
        <f>E17+E15</f>
        <v>10696.5</v>
      </c>
      <c r="F18" s="2910">
        <f t="shared" ref="F18:O18" si="17">F17+F15</f>
        <v>10417</v>
      </c>
      <c r="G18" s="2910">
        <f t="shared" si="17"/>
        <v>10528.6163</v>
      </c>
      <c r="H18" s="2910">
        <f t="shared" si="17"/>
        <v>11389.9848</v>
      </c>
      <c r="I18" s="2910">
        <f t="shared" si="17"/>
        <v>12458.448349999999</v>
      </c>
      <c r="J18" s="2910">
        <f t="shared" si="17"/>
        <v>13340.476200000001</v>
      </c>
      <c r="K18" s="2910">
        <f t="shared" si="17"/>
        <v>14413.34635</v>
      </c>
      <c r="L18" s="2910">
        <f t="shared" si="17"/>
        <v>14661.870350000001</v>
      </c>
      <c r="M18" s="2910">
        <f t="shared" si="17"/>
        <v>15450.404597192386</v>
      </c>
      <c r="N18" s="2910">
        <f t="shared" si="17"/>
        <v>17184.582648919157</v>
      </c>
      <c r="O18" s="2910">
        <f t="shared" si="17"/>
        <v>19043.889359706307</v>
      </c>
    </row>
    <row r="19" spans="1:15">
      <c r="E19" s="2902"/>
      <c r="F19" s="2902"/>
      <c r="G19" s="2902"/>
      <c r="H19" s="2902"/>
      <c r="I19" s="2902"/>
      <c r="J19" s="2902"/>
      <c r="K19" s="2902"/>
      <c r="L19" s="2902"/>
      <c r="M19" s="2902"/>
      <c r="N19" s="2902"/>
      <c r="O19" s="2902"/>
    </row>
    <row r="20" spans="1:15">
      <c r="A20" s="2907" t="s">
        <v>1432</v>
      </c>
      <c r="E20" s="2908">
        <f>E9/E18</f>
        <v>0.12138469162640686</v>
      </c>
      <c r="F20" s="2908">
        <f t="shared" ref="F20:O20" si="18">F9/F18</f>
        <v>0.1429184719054471</v>
      </c>
      <c r="G20" s="2908">
        <f t="shared" si="18"/>
        <v>0.15199213390443955</v>
      </c>
      <c r="H20" s="2908">
        <f t="shared" si="18"/>
        <v>0.14694182371116665</v>
      </c>
      <c r="I20" s="2908">
        <f t="shared" si="18"/>
        <v>0.14983727892536153</v>
      </c>
      <c r="J20" s="2908">
        <f t="shared" si="18"/>
        <v>0.1538357632797967</v>
      </c>
      <c r="K20" s="2908">
        <f t="shared" si="18"/>
        <v>0.14593134690377232</v>
      </c>
      <c r="L20" s="2908">
        <f t="shared" si="18"/>
        <v>0.13710738003286671</v>
      </c>
      <c r="M20" s="2908">
        <f t="shared" si="18"/>
        <v>0.13714906031709798</v>
      </c>
      <c r="N20" s="2908">
        <f t="shared" si="18"/>
        <v>0.13066634172163796</v>
      </c>
      <c r="O20" s="2908">
        <f t="shared" si="18"/>
        <v>0.12481944840441561</v>
      </c>
    </row>
  </sheetData>
  <pageMargins left="0.7" right="0.7" top="0.75" bottom="0.75" header="0.3" footer="0.3"/>
  <pageSetup orientation="portrait" horizontalDpi="200" verticalDpi="200" r:id="rId1"/>
  <ignoredErrors>
    <ignoredError sqref="F13:O13"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W61"/>
  <sheetViews>
    <sheetView zoomScale="85" zoomScaleNormal="85" workbookViewId="0">
      <selection activeCell="H32" sqref="H32"/>
    </sheetView>
  </sheetViews>
  <sheetFormatPr defaultRowHeight="12.75" outlineLevelRow="1"/>
  <cols>
    <col min="1" max="1" width="2" style="2619" customWidth="1"/>
    <col min="2" max="2" width="32.140625" style="2690" customWidth="1"/>
    <col min="3" max="3" width="10.5703125" style="2619" customWidth="1"/>
    <col min="4" max="10" width="10.28515625" style="2619" bestFit="1" customWidth="1"/>
    <col min="11" max="11" width="11.28515625" style="2619" bestFit="1" customWidth="1"/>
    <col min="12" max="256" width="9.140625" style="2619"/>
    <col min="257" max="257" width="2" style="2619" customWidth="1"/>
    <col min="258" max="258" width="32.140625" style="2619" customWidth="1"/>
    <col min="259" max="259" width="10.5703125" style="2619" customWidth="1"/>
    <col min="260" max="266" width="10.28515625" style="2619" bestFit="1" customWidth="1"/>
    <col min="267" max="267" width="11.28515625" style="2619" bestFit="1" customWidth="1"/>
    <col min="268" max="512" width="9.140625" style="2619"/>
    <col min="513" max="513" width="2" style="2619" customWidth="1"/>
    <col min="514" max="514" width="32.140625" style="2619" customWidth="1"/>
    <col min="515" max="515" width="10.5703125" style="2619" customWidth="1"/>
    <col min="516" max="522" width="10.28515625" style="2619" bestFit="1" customWidth="1"/>
    <col min="523" max="523" width="11.28515625" style="2619" bestFit="1" customWidth="1"/>
    <col min="524" max="768" width="9.140625" style="2619"/>
    <col min="769" max="769" width="2" style="2619" customWidth="1"/>
    <col min="770" max="770" width="32.140625" style="2619" customWidth="1"/>
    <col min="771" max="771" width="10.5703125" style="2619" customWidth="1"/>
    <col min="772" max="778" width="10.28515625" style="2619" bestFit="1" customWidth="1"/>
    <col min="779" max="779" width="11.28515625" style="2619" bestFit="1" customWidth="1"/>
    <col min="780" max="1024" width="9.140625" style="2619"/>
    <col min="1025" max="1025" width="2" style="2619" customWidth="1"/>
    <col min="1026" max="1026" width="32.140625" style="2619" customWidth="1"/>
    <col min="1027" max="1027" width="10.5703125" style="2619" customWidth="1"/>
    <col min="1028" max="1034" width="10.28515625" style="2619" bestFit="1" customWidth="1"/>
    <col min="1035" max="1035" width="11.28515625" style="2619" bestFit="1" customWidth="1"/>
    <col min="1036" max="1280" width="9.140625" style="2619"/>
    <col min="1281" max="1281" width="2" style="2619" customWidth="1"/>
    <col min="1282" max="1282" width="32.140625" style="2619" customWidth="1"/>
    <col min="1283" max="1283" width="10.5703125" style="2619" customWidth="1"/>
    <col min="1284" max="1290" width="10.28515625" style="2619" bestFit="1" customWidth="1"/>
    <col min="1291" max="1291" width="11.28515625" style="2619" bestFit="1" customWidth="1"/>
    <col min="1292" max="1536" width="9.140625" style="2619"/>
    <col min="1537" max="1537" width="2" style="2619" customWidth="1"/>
    <col min="1538" max="1538" width="32.140625" style="2619" customWidth="1"/>
    <col min="1539" max="1539" width="10.5703125" style="2619" customWidth="1"/>
    <col min="1540" max="1546" width="10.28515625" style="2619" bestFit="1" customWidth="1"/>
    <col min="1547" max="1547" width="11.28515625" style="2619" bestFit="1" customWidth="1"/>
    <col min="1548" max="1792" width="9.140625" style="2619"/>
    <col min="1793" max="1793" width="2" style="2619" customWidth="1"/>
    <col min="1794" max="1794" width="32.140625" style="2619" customWidth="1"/>
    <col min="1795" max="1795" width="10.5703125" style="2619" customWidth="1"/>
    <col min="1796" max="1802" width="10.28515625" style="2619" bestFit="1" customWidth="1"/>
    <col min="1803" max="1803" width="11.28515625" style="2619" bestFit="1" customWidth="1"/>
    <col min="1804" max="2048" width="9.140625" style="2619"/>
    <col min="2049" max="2049" width="2" style="2619" customWidth="1"/>
    <col min="2050" max="2050" width="32.140625" style="2619" customWidth="1"/>
    <col min="2051" max="2051" width="10.5703125" style="2619" customWidth="1"/>
    <col min="2052" max="2058" width="10.28515625" style="2619" bestFit="1" customWidth="1"/>
    <col min="2059" max="2059" width="11.28515625" style="2619" bestFit="1" customWidth="1"/>
    <col min="2060" max="2304" width="9.140625" style="2619"/>
    <col min="2305" max="2305" width="2" style="2619" customWidth="1"/>
    <col min="2306" max="2306" width="32.140625" style="2619" customWidth="1"/>
    <col min="2307" max="2307" width="10.5703125" style="2619" customWidth="1"/>
    <col min="2308" max="2314" width="10.28515625" style="2619" bestFit="1" customWidth="1"/>
    <col min="2315" max="2315" width="11.28515625" style="2619" bestFit="1" customWidth="1"/>
    <col min="2316" max="2560" width="9.140625" style="2619"/>
    <col min="2561" max="2561" width="2" style="2619" customWidth="1"/>
    <col min="2562" max="2562" width="32.140625" style="2619" customWidth="1"/>
    <col min="2563" max="2563" width="10.5703125" style="2619" customWidth="1"/>
    <col min="2564" max="2570" width="10.28515625" style="2619" bestFit="1" customWidth="1"/>
    <col min="2571" max="2571" width="11.28515625" style="2619" bestFit="1" customWidth="1"/>
    <col min="2572" max="2816" width="9.140625" style="2619"/>
    <col min="2817" max="2817" width="2" style="2619" customWidth="1"/>
    <col min="2818" max="2818" width="32.140625" style="2619" customWidth="1"/>
    <col min="2819" max="2819" width="10.5703125" style="2619" customWidth="1"/>
    <col min="2820" max="2826" width="10.28515625" style="2619" bestFit="1" customWidth="1"/>
    <col min="2827" max="2827" width="11.28515625" style="2619" bestFit="1" customWidth="1"/>
    <col min="2828" max="3072" width="9.140625" style="2619"/>
    <col min="3073" max="3073" width="2" style="2619" customWidth="1"/>
    <col min="3074" max="3074" width="32.140625" style="2619" customWidth="1"/>
    <col min="3075" max="3075" width="10.5703125" style="2619" customWidth="1"/>
    <col min="3076" max="3082" width="10.28515625" style="2619" bestFit="1" customWidth="1"/>
    <col min="3083" max="3083" width="11.28515625" style="2619" bestFit="1" customWidth="1"/>
    <col min="3084" max="3328" width="9.140625" style="2619"/>
    <col min="3329" max="3329" width="2" style="2619" customWidth="1"/>
    <col min="3330" max="3330" width="32.140625" style="2619" customWidth="1"/>
    <col min="3331" max="3331" width="10.5703125" style="2619" customWidth="1"/>
    <col min="3332" max="3338" width="10.28515625" style="2619" bestFit="1" customWidth="1"/>
    <col min="3339" max="3339" width="11.28515625" style="2619" bestFit="1" customWidth="1"/>
    <col min="3340" max="3584" width="9.140625" style="2619"/>
    <col min="3585" max="3585" width="2" style="2619" customWidth="1"/>
    <col min="3586" max="3586" width="32.140625" style="2619" customWidth="1"/>
    <col min="3587" max="3587" width="10.5703125" style="2619" customWidth="1"/>
    <col min="3588" max="3594" width="10.28515625" style="2619" bestFit="1" customWidth="1"/>
    <col min="3595" max="3595" width="11.28515625" style="2619" bestFit="1" customWidth="1"/>
    <col min="3596" max="3840" width="9.140625" style="2619"/>
    <col min="3841" max="3841" width="2" style="2619" customWidth="1"/>
    <col min="3842" max="3842" width="32.140625" style="2619" customWidth="1"/>
    <col min="3843" max="3843" width="10.5703125" style="2619" customWidth="1"/>
    <col min="3844" max="3850" width="10.28515625" style="2619" bestFit="1" customWidth="1"/>
    <col min="3851" max="3851" width="11.28515625" style="2619" bestFit="1" customWidth="1"/>
    <col min="3852" max="4096" width="9.140625" style="2619"/>
    <col min="4097" max="4097" width="2" style="2619" customWidth="1"/>
    <col min="4098" max="4098" width="32.140625" style="2619" customWidth="1"/>
    <col min="4099" max="4099" width="10.5703125" style="2619" customWidth="1"/>
    <col min="4100" max="4106" width="10.28515625" style="2619" bestFit="1" customWidth="1"/>
    <col min="4107" max="4107" width="11.28515625" style="2619" bestFit="1" customWidth="1"/>
    <col min="4108" max="4352" width="9.140625" style="2619"/>
    <col min="4353" max="4353" width="2" style="2619" customWidth="1"/>
    <col min="4354" max="4354" width="32.140625" style="2619" customWidth="1"/>
    <col min="4355" max="4355" width="10.5703125" style="2619" customWidth="1"/>
    <col min="4356" max="4362" width="10.28515625" style="2619" bestFit="1" customWidth="1"/>
    <col min="4363" max="4363" width="11.28515625" style="2619" bestFit="1" customWidth="1"/>
    <col min="4364" max="4608" width="9.140625" style="2619"/>
    <col min="4609" max="4609" width="2" style="2619" customWidth="1"/>
    <col min="4610" max="4610" width="32.140625" style="2619" customWidth="1"/>
    <col min="4611" max="4611" width="10.5703125" style="2619" customWidth="1"/>
    <col min="4612" max="4618" width="10.28515625" style="2619" bestFit="1" customWidth="1"/>
    <col min="4619" max="4619" width="11.28515625" style="2619" bestFit="1" customWidth="1"/>
    <col min="4620" max="4864" width="9.140625" style="2619"/>
    <col min="4865" max="4865" width="2" style="2619" customWidth="1"/>
    <col min="4866" max="4866" width="32.140625" style="2619" customWidth="1"/>
    <col min="4867" max="4867" width="10.5703125" style="2619" customWidth="1"/>
    <col min="4868" max="4874" width="10.28515625" style="2619" bestFit="1" customWidth="1"/>
    <col min="4875" max="4875" width="11.28515625" style="2619" bestFit="1" customWidth="1"/>
    <col min="4876" max="5120" width="9.140625" style="2619"/>
    <col min="5121" max="5121" width="2" style="2619" customWidth="1"/>
    <col min="5122" max="5122" width="32.140625" style="2619" customWidth="1"/>
    <col min="5123" max="5123" width="10.5703125" style="2619" customWidth="1"/>
    <col min="5124" max="5130" width="10.28515625" style="2619" bestFit="1" customWidth="1"/>
    <col min="5131" max="5131" width="11.28515625" style="2619" bestFit="1" customWidth="1"/>
    <col min="5132" max="5376" width="9.140625" style="2619"/>
    <col min="5377" max="5377" width="2" style="2619" customWidth="1"/>
    <col min="5378" max="5378" width="32.140625" style="2619" customWidth="1"/>
    <col min="5379" max="5379" width="10.5703125" style="2619" customWidth="1"/>
    <col min="5380" max="5386" width="10.28515625" style="2619" bestFit="1" customWidth="1"/>
    <col min="5387" max="5387" width="11.28515625" style="2619" bestFit="1" customWidth="1"/>
    <col min="5388" max="5632" width="9.140625" style="2619"/>
    <col min="5633" max="5633" width="2" style="2619" customWidth="1"/>
    <col min="5634" max="5634" width="32.140625" style="2619" customWidth="1"/>
    <col min="5635" max="5635" width="10.5703125" style="2619" customWidth="1"/>
    <col min="5636" max="5642" width="10.28515625" style="2619" bestFit="1" customWidth="1"/>
    <col min="5643" max="5643" width="11.28515625" style="2619" bestFit="1" customWidth="1"/>
    <col min="5644" max="5888" width="9.140625" style="2619"/>
    <col min="5889" max="5889" width="2" style="2619" customWidth="1"/>
    <col min="5890" max="5890" width="32.140625" style="2619" customWidth="1"/>
    <col min="5891" max="5891" width="10.5703125" style="2619" customWidth="1"/>
    <col min="5892" max="5898" width="10.28515625" style="2619" bestFit="1" customWidth="1"/>
    <col min="5899" max="5899" width="11.28515625" style="2619" bestFit="1" customWidth="1"/>
    <col min="5900" max="6144" width="9.140625" style="2619"/>
    <col min="6145" max="6145" width="2" style="2619" customWidth="1"/>
    <col min="6146" max="6146" width="32.140625" style="2619" customWidth="1"/>
    <col min="6147" max="6147" width="10.5703125" style="2619" customWidth="1"/>
    <col min="6148" max="6154" width="10.28515625" style="2619" bestFit="1" customWidth="1"/>
    <col min="6155" max="6155" width="11.28515625" style="2619" bestFit="1" customWidth="1"/>
    <col min="6156" max="6400" width="9.140625" style="2619"/>
    <col min="6401" max="6401" width="2" style="2619" customWidth="1"/>
    <col min="6402" max="6402" width="32.140625" style="2619" customWidth="1"/>
    <col min="6403" max="6403" width="10.5703125" style="2619" customWidth="1"/>
    <col min="6404" max="6410" width="10.28515625" style="2619" bestFit="1" customWidth="1"/>
    <col min="6411" max="6411" width="11.28515625" style="2619" bestFit="1" customWidth="1"/>
    <col min="6412" max="6656" width="9.140625" style="2619"/>
    <col min="6657" max="6657" width="2" style="2619" customWidth="1"/>
    <col min="6658" max="6658" width="32.140625" style="2619" customWidth="1"/>
    <col min="6659" max="6659" width="10.5703125" style="2619" customWidth="1"/>
    <col min="6660" max="6666" width="10.28515625" style="2619" bestFit="1" customWidth="1"/>
    <col min="6667" max="6667" width="11.28515625" style="2619" bestFit="1" customWidth="1"/>
    <col min="6668" max="6912" width="9.140625" style="2619"/>
    <col min="6913" max="6913" width="2" style="2619" customWidth="1"/>
    <col min="6914" max="6914" width="32.140625" style="2619" customWidth="1"/>
    <col min="6915" max="6915" width="10.5703125" style="2619" customWidth="1"/>
    <col min="6916" max="6922" width="10.28515625" style="2619" bestFit="1" customWidth="1"/>
    <col min="6923" max="6923" width="11.28515625" style="2619" bestFit="1" customWidth="1"/>
    <col min="6924" max="7168" width="9.140625" style="2619"/>
    <col min="7169" max="7169" width="2" style="2619" customWidth="1"/>
    <col min="7170" max="7170" width="32.140625" style="2619" customWidth="1"/>
    <col min="7171" max="7171" width="10.5703125" style="2619" customWidth="1"/>
    <col min="7172" max="7178" width="10.28515625" style="2619" bestFit="1" customWidth="1"/>
    <col min="7179" max="7179" width="11.28515625" style="2619" bestFit="1" customWidth="1"/>
    <col min="7180" max="7424" width="9.140625" style="2619"/>
    <col min="7425" max="7425" width="2" style="2619" customWidth="1"/>
    <col min="7426" max="7426" width="32.140625" style="2619" customWidth="1"/>
    <col min="7427" max="7427" width="10.5703125" style="2619" customWidth="1"/>
    <col min="7428" max="7434" width="10.28515625" style="2619" bestFit="1" customWidth="1"/>
    <col min="7435" max="7435" width="11.28515625" style="2619" bestFit="1" customWidth="1"/>
    <col min="7436" max="7680" width="9.140625" style="2619"/>
    <col min="7681" max="7681" width="2" style="2619" customWidth="1"/>
    <col min="7682" max="7682" width="32.140625" style="2619" customWidth="1"/>
    <col min="7683" max="7683" width="10.5703125" style="2619" customWidth="1"/>
    <col min="7684" max="7690" width="10.28515625" style="2619" bestFit="1" customWidth="1"/>
    <col min="7691" max="7691" width="11.28515625" style="2619" bestFit="1" customWidth="1"/>
    <col min="7692" max="7936" width="9.140625" style="2619"/>
    <col min="7937" max="7937" width="2" style="2619" customWidth="1"/>
    <col min="7938" max="7938" width="32.140625" style="2619" customWidth="1"/>
    <col min="7939" max="7939" width="10.5703125" style="2619" customWidth="1"/>
    <col min="7940" max="7946" width="10.28515625" style="2619" bestFit="1" customWidth="1"/>
    <col min="7947" max="7947" width="11.28515625" style="2619" bestFit="1" customWidth="1"/>
    <col min="7948" max="8192" width="9.140625" style="2619"/>
    <col min="8193" max="8193" width="2" style="2619" customWidth="1"/>
    <col min="8194" max="8194" width="32.140625" style="2619" customWidth="1"/>
    <col min="8195" max="8195" width="10.5703125" style="2619" customWidth="1"/>
    <col min="8196" max="8202" width="10.28515625" style="2619" bestFit="1" customWidth="1"/>
    <col min="8203" max="8203" width="11.28515625" style="2619" bestFit="1" customWidth="1"/>
    <col min="8204" max="8448" width="9.140625" style="2619"/>
    <col min="8449" max="8449" width="2" style="2619" customWidth="1"/>
    <col min="8450" max="8450" width="32.140625" style="2619" customWidth="1"/>
    <col min="8451" max="8451" width="10.5703125" style="2619" customWidth="1"/>
    <col min="8452" max="8458" width="10.28515625" style="2619" bestFit="1" customWidth="1"/>
    <col min="8459" max="8459" width="11.28515625" style="2619" bestFit="1" customWidth="1"/>
    <col min="8460" max="8704" width="9.140625" style="2619"/>
    <col min="8705" max="8705" width="2" style="2619" customWidth="1"/>
    <col min="8706" max="8706" width="32.140625" style="2619" customWidth="1"/>
    <col min="8707" max="8707" width="10.5703125" style="2619" customWidth="1"/>
    <col min="8708" max="8714" width="10.28515625" style="2619" bestFit="1" customWidth="1"/>
    <col min="8715" max="8715" width="11.28515625" style="2619" bestFit="1" customWidth="1"/>
    <col min="8716" max="8960" width="9.140625" style="2619"/>
    <col min="8961" max="8961" width="2" style="2619" customWidth="1"/>
    <col min="8962" max="8962" width="32.140625" style="2619" customWidth="1"/>
    <col min="8963" max="8963" width="10.5703125" style="2619" customWidth="1"/>
    <col min="8964" max="8970" width="10.28515625" style="2619" bestFit="1" customWidth="1"/>
    <col min="8971" max="8971" width="11.28515625" style="2619" bestFit="1" customWidth="1"/>
    <col min="8972" max="9216" width="9.140625" style="2619"/>
    <col min="9217" max="9217" width="2" style="2619" customWidth="1"/>
    <col min="9218" max="9218" width="32.140625" style="2619" customWidth="1"/>
    <col min="9219" max="9219" width="10.5703125" style="2619" customWidth="1"/>
    <col min="9220" max="9226" width="10.28515625" style="2619" bestFit="1" customWidth="1"/>
    <col min="9227" max="9227" width="11.28515625" style="2619" bestFit="1" customWidth="1"/>
    <col min="9228" max="9472" width="9.140625" style="2619"/>
    <col min="9473" max="9473" width="2" style="2619" customWidth="1"/>
    <col min="9474" max="9474" width="32.140625" style="2619" customWidth="1"/>
    <col min="9475" max="9475" width="10.5703125" style="2619" customWidth="1"/>
    <col min="9476" max="9482" width="10.28515625" style="2619" bestFit="1" customWidth="1"/>
    <col min="9483" max="9483" width="11.28515625" style="2619" bestFit="1" customWidth="1"/>
    <col min="9484" max="9728" width="9.140625" style="2619"/>
    <col min="9729" max="9729" width="2" style="2619" customWidth="1"/>
    <col min="9730" max="9730" width="32.140625" style="2619" customWidth="1"/>
    <col min="9731" max="9731" width="10.5703125" style="2619" customWidth="1"/>
    <col min="9732" max="9738" width="10.28515625" style="2619" bestFit="1" customWidth="1"/>
    <col min="9739" max="9739" width="11.28515625" style="2619" bestFit="1" customWidth="1"/>
    <col min="9740" max="9984" width="9.140625" style="2619"/>
    <col min="9985" max="9985" width="2" style="2619" customWidth="1"/>
    <col min="9986" max="9986" width="32.140625" style="2619" customWidth="1"/>
    <col min="9987" max="9987" width="10.5703125" style="2619" customWidth="1"/>
    <col min="9988" max="9994" width="10.28515625" style="2619" bestFit="1" customWidth="1"/>
    <col min="9995" max="9995" width="11.28515625" style="2619" bestFit="1" customWidth="1"/>
    <col min="9996" max="10240" width="9.140625" style="2619"/>
    <col min="10241" max="10241" width="2" style="2619" customWidth="1"/>
    <col min="10242" max="10242" width="32.140625" style="2619" customWidth="1"/>
    <col min="10243" max="10243" width="10.5703125" style="2619" customWidth="1"/>
    <col min="10244" max="10250" width="10.28515625" style="2619" bestFit="1" customWidth="1"/>
    <col min="10251" max="10251" width="11.28515625" style="2619" bestFit="1" customWidth="1"/>
    <col min="10252" max="10496" width="9.140625" style="2619"/>
    <col min="10497" max="10497" width="2" style="2619" customWidth="1"/>
    <col min="10498" max="10498" width="32.140625" style="2619" customWidth="1"/>
    <col min="10499" max="10499" width="10.5703125" style="2619" customWidth="1"/>
    <col min="10500" max="10506" width="10.28515625" style="2619" bestFit="1" customWidth="1"/>
    <col min="10507" max="10507" width="11.28515625" style="2619" bestFit="1" customWidth="1"/>
    <col min="10508" max="10752" width="9.140625" style="2619"/>
    <col min="10753" max="10753" width="2" style="2619" customWidth="1"/>
    <col min="10754" max="10754" width="32.140625" style="2619" customWidth="1"/>
    <col min="10755" max="10755" width="10.5703125" style="2619" customWidth="1"/>
    <col min="10756" max="10762" width="10.28515625" style="2619" bestFit="1" customWidth="1"/>
    <col min="10763" max="10763" width="11.28515625" style="2619" bestFit="1" customWidth="1"/>
    <col min="10764" max="11008" width="9.140625" style="2619"/>
    <col min="11009" max="11009" width="2" style="2619" customWidth="1"/>
    <col min="11010" max="11010" width="32.140625" style="2619" customWidth="1"/>
    <col min="11011" max="11011" width="10.5703125" style="2619" customWidth="1"/>
    <col min="11012" max="11018" width="10.28515625" style="2619" bestFit="1" customWidth="1"/>
    <col min="11019" max="11019" width="11.28515625" style="2619" bestFit="1" customWidth="1"/>
    <col min="11020" max="11264" width="9.140625" style="2619"/>
    <col min="11265" max="11265" width="2" style="2619" customWidth="1"/>
    <col min="11266" max="11266" width="32.140625" style="2619" customWidth="1"/>
    <col min="11267" max="11267" width="10.5703125" style="2619" customWidth="1"/>
    <col min="11268" max="11274" width="10.28515625" style="2619" bestFit="1" customWidth="1"/>
    <col min="11275" max="11275" width="11.28515625" style="2619" bestFit="1" customWidth="1"/>
    <col min="11276" max="11520" width="9.140625" style="2619"/>
    <col min="11521" max="11521" width="2" style="2619" customWidth="1"/>
    <col min="11522" max="11522" width="32.140625" style="2619" customWidth="1"/>
    <col min="11523" max="11523" width="10.5703125" style="2619" customWidth="1"/>
    <col min="11524" max="11530" width="10.28515625" style="2619" bestFit="1" customWidth="1"/>
    <col min="11531" max="11531" width="11.28515625" style="2619" bestFit="1" customWidth="1"/>
    <col min="11532" max="11776" width="9.140625" style="2619"/>
    <col min="11777" max="11777" width="2" style="2619" customWidth="1"/>
    <col min="11778" max="11778" width="32.140625" style="2619" customWidth="1"/>
    <col min="11779" max="11779" width="10.5703125" style="2619" customWidth="1"/>
    <col min="11780" max="11786" width="10.28515625" style="2619" bestFit="1" customWidth="1"/>
    <col min="11787" max="11787" width="11.28515625" style="2619" bestFit="1" customWidth="1"/>
    <col min="11788" max="12032" width="9.140625" style="2619"/>
    <col min="12033" max="12033" width="2" style="2619" customWidth="1"/>
    <col min="12034" max="12034" width="32.140625" style="2619" customWidth="1"/>
    <col min="12035" max="12035" width="10.5703125" style="2619" customWidth="1"/>
    <col min="12036" max="12042" width="10.28515625" style="2619" bestFit="1" customWidth="1"/>
    <col min="12043" max="12043" width="11.28515625" style="2619" bestFit="1" customWidth="1"/>
    <col min="12044" max="12288" width="9.140625" style="2619"/>
    <col min="12289" max="12289" width="2" style="2619" customWidth="1"/>
    <col min="12290" max="12290" width="32.140625" style="2619" customWidth="1"/>
    <col min="12291" max="12291" width="10.5703125" style="2619" customWidth="1"/>
    <col min="12292" max="12298" width="10.28515625" style="2619" bestFit="1" customWidth="1"/>
    <col min="12299" max="12299" width="11.28515625" style="2619" bestFit="1" customWidth="1"/>
    <col min="12300" max="12544" width="9.140625" style="2619"/>
    <col min="12545" max="12545" width="2" style="2619" customWidth="1"/>
    <col min="12546" max="12546" width="32.140625" style="2619" customWidth="1"/>
    <col min="12547" max="12547" width="10.5703125" style="2619" customWidth="1"/>
    <col min="12548" max="12554" width="10.28515625" style="2619" bestFit="1" customWidth="1"/>
    <col min="12555" max="12555" width="11.28515625" style="2619" bestFit="1" customWidth="1"/>
    <col min="12556" max="12800" width="9.140625" style="2619"/>
    <col min="12801" max="12801" width="2" style="2619" customWidth="1"/>
    <col min="12802" max="12802" width="32.140625" style="2619" customWidth="1"/>
    <col min="12803" max="12803" width="10.5703125" style="2619" customWidth="1"/>
    <col min="12804" max="12810" width="10.28515625" style="2619" bestFit="1" customWidth="1"/>
    <col min="12811" max="12811" width="11.28515625" style="2619" bestFit="1" customWidth="1"/>
    <col min="12812" max="13056" width="9.140625" style="2619"/>
    <col min="13057" max="13057" width="2" style="2619" customWidth="1"/>
    <col min="13058" max="13058" width="32.140625" style="2619" customWidth="1"/>
    <col min="13059" max="13059" width="10.5703125" style="2619" customWidth="1"/>
    <col min="13060" max="13066" width="10.28515625" style="2619" bestFit="1" customWidth="1"/>
    <col min="13067" max="13067" width="11.28515625" style="2619" bestFit="1" customWidth="1"/>
    <col min="13068" max="13312" width="9.140625" style="2619"/>
    <col min="13313" max="13313" width="2" style="2619" customWidth="1"/>
    <col min="13314" max="13314" width="32.140625" style="2619" customWidth="1"/>
    <col min="13315" max="13315" width="10.5703125" style="2619" customWidth="1"/>
    <col min="13316" max="13322" width="10.28515625" style="2619" bestFit="1" customWidth="1"/>
    <col min="13323" max="13323" width="11.28515625" style="2619" bestFit="1" customWidth="1"/>
    <col min="13324" max="13568" width="9.140625" style="2619"/>
    <col min="13569" max="13569" width="2" style="2619" customWidth="1"/>
    <col min="13570" max="13570" width="32.140625" style="2619" customWidth="1"/>
    <col min="13571" max="13571" width="10.5703125" style="2619" customWidth="1"/>
    <col min="13572" max="13578" width="10.28515625" style="2619" bestFit="1" customWidth="1"/>
    <col min="13579" max="13579" width="11.28515625" style="2619" bestFit="1" customWidth="1"/>
    <col min="13580" max="13824" width="9.140625" style="2619"/>
    <col min="13825" max="13825" width="2" style="2619" customWidth="1"/>
    <col min="13826" max="13826" width="32.140625" style="2619" customWidth="1"/>
    <col min="13827" max="13827" width="10.5703125" style="2619" customWidth="1"/>
    <col min="13828" max="13834" width="10.28515625" style="2619" bestFit="1" customWidth="1"/>
    <col min="13835" max="13835" width="11.28515625" style="2619" bestFit="1" customWidth="1"/>
    <col min="13836" max="14080" width="9.140625" style="2619"/>
    <col min="14081" max="14081" width="2" style="2619" customWidth="1"/>
    <col min="14082" max="14082" width="32.140625" style="2619" customWidth="1"/>
    <col min="14083" max="14083" width="10.5703125" style="2619" customWidth="1"/>
    <col min="14084" max="14090" width="10.28515625" style="2619" bestFit="1" customWidth="1"/>
    <col min="14091" max="14091" width="11.28515625" style="2619" bestFit="1" customWidth="1"/>
    <col min="14092" max="14336" width="9.140625" style="2619"/>
    <col min="14337" max="14337" width="2" style="2619" customWidth="1"/>
    <col min="14338" max="14338" width="32.140625" style="2619" customWidth="1"/>
    <col min="14339" max="14339" width="10.5703125" style="2619" customWidth="1"/>
    <col min="14340" max="14346" width="10.28515625" style="2619" bestFit="1" customWidth="1"/>
    <col min="14347" max="14347" width="11.28515625" style="2619" bestFit="1" customWidth="1"/>
    <col min="14348" max="14592" width="9.140625" style="2619"/>
    <col min="14593" max="14593" width="2" style="2619" customWidth="1"/>
    <col min="14594" max="14594" width="32.140625" style="2619" customWidth="1"/>
    <col min="14595" max="14595" width="10.5703125" style="2619" customWidth="1"/>
    <col min="14596" max="14602" width="10.28515625" style="2619" bestFit="1" customWidth="1"/>
    <col min="14603" max="14603" width="11.28515625" style="2619" bestFit="1" customWidth="1"/>
    <col min="14604" max="14848" width="9.140625" style="2619"/>
    <col min="14849" max="14849" width="2" style="2619" customWidth="1"/>
    <col min="14850" max="14850" width="32.140625" style="2619" customWidth="1"/>
    <col min="14851" max="14851" width="10.5703125" style="2619" customWidth="1"/>
    <col min="14852" max="14858" width="10.28515625" style="2619" bestFit="1" customWidth="1"/>
    <col min="14859" max="14859" width="11.28515625" style="2619" bestFit="1" customWidth="1"/>
    <col min="14860" max="15104" width="9.140625" style="2619"/>
    <col min="15105" max="15105" width="2" style="2619" customWidth="1"/>
    <col min="15106" max="15106" width="32.140625" style="2619" customWidth="1"/>
    <col min="15107" max="15107" width="10.5703125" style="2619" customWidth="1"/>
    <col min="15108" max="15114" width="10.28515625" style="2619" bestFit="1" customWidth="1"/>
    <col min="15115" max="15115" width="11.28515625" style="2619" bestFit="1" customWidth="1"/>
    <col min="15116" max="15360" width="9.140625" style="2619"/>
    <col min="15361" max="15361" width="2" style="2619" customWidth="1"/>
    <col min="15362" max="15362" width="32.140625" style="2619" customWidth="1"/>
    <col min="15363" max="15363" width="10.5703125" style="2619" customWidth="1"/>
    <col min="15364" max="15370" width="10.28515625" style="2619" bestFit="1" customWidth="1"/>
    <col min="15371" max="15371" width="11.28515625" style="2619" bestFit="1" customWidth="1"/>
    <col min="15372" max="15616" width="9.140625" style="2619"/>
    <col min="15617" max="15617" width="2" style="2619" customWidth="1"/>
    <col min="15618" max="15618" width="32.140625" style="2619" customWidth="1"/>
    <col min="15619" max="15619" width="10.5703125" style="2619" customWidth="1"/>
    <col min="15620" max="15626" width="10.28515625" style="2619" bestFit="1" customWidth="1"/>
    <col min="15627" max="15627" width="11.28515625" style="2619" bestFit="1" customWidth="1"/>
    <col min="15628" max="15872" width="9.140625" style="2619"/>
    <col min="15873" max="15873" width="2" style="2619" customWidth="1"/>
    <col min="15874" max="15874" width="32.140625" style="2619" customWidth="1"/>
    <col min="15875" max="15875" width="10.5703125" style="2619" customWidth="1"/>
    <col min="15876" max="15882" width="10.28515625" style="2619" bestFit="1" customWidth="1"/>
    <col min="15883" max="15883" width="11.28515625" style="2619" bestFit="1" customWidth="1"/>
    <col min="15884" max="16128" width="9.140625" style="2619"/>
    <col min="16129" max="16129" width="2" style="2619" customWidth="1"/>
    <col min="16130" max="16130" width="32.140625" style="2619" customWidth="1"/>
    <col min="16131" max="16131" width="10.5703125" style="2619" customWidth="1"/>
    <col min="16132" max="16138" width="10.28515625" style="2619" bestFit="1" customWidth="1"/>
    <col min="16139" max="16139" width="11.28515625" style="2619" bestFit="1" customWidth="1"/>
    <col min="16140" max="16384" width="9.140625" style="2619"/>
  </cols>
  <sheetData>
    <row r="1" spans="1:23">
      <c r="A1" s="2617"/>
      <c r="B1" s="2618"/>
      <c r="C1" s="2932" t="s">
        <v>1336</v>
      </c>
      <c r="D1" s="2932"/>
      <c r="E1" s="2932"/>
      <c r="F1" s="2932"/>
      <c r="G1" s="2932"/>
      <c r="H1" s="2933" t="s">
        <v>1337</v>
      </c>
      <c r="I1" s="2933"/>
      <c r="J1" s="2933"/>
      <c r="K1" s="2617"/>
      <c r="L1" s="2617"/>
      <c r="M1" s="2617"/>
      <c r="N1" s="2617"/>
      <c r="O1" s="2617"/>
      <c r="P1" s="2617"/>
      <c r="Q1" s="2617"/>
      <c r="R1" s="2617"/>
      <c r="S1" s="2617"/>
      <c r="T1" s="2617"/>
      <c r="U1" s="2617"/>
      <c r="V1" s="2617"/>
      <c r="W1" s="2617"/>
    </row>
    <row r="2" spans="1:23" s="2625" customFormat="1">
      <c r="A2" s="2620"/>
      <c r="B2" s="2621" t="s">
        <v>1338</v>
      </c>
      <c r="C2" s="2622">
        <v>2017</v>
      </c>
      <c r="D2" s="2622">
        <v>2018</v>
      </c>
      <c r="E2" s="2622">
        <v>2019</v>
      </c>
      <c r="F2" s="2622">
        <v>2020</v>
      </c>
      <c r="G2" s="2622">
        <v>2021</v>
      </c>
      <c r="H2" s="2623">
        <f>G2+1</f>
        <v>2022</v>
      </c>
      <c r="I2" s="2623">
        <f>H2+1</f>
        <v>2023</v>
      </c>
      <c r="J2" s="2623">
        <f>I2+1</f>
        <v>2024</v>
      </c>
      <c r="K2" s="2620"/>
      <c r="L2" s="2624"/>
      <c r="M2" s="2624"/>
      <c r="N2" s="2624"/>
      <c r="O2" s="2624"/>
      <c r="P2" s="2620"/>
      <c r="Q2" s="2620"/>
      <c r="R2" s="2620"/>
      <c r="S2" s="2620"/>
      <c r="T2" s="2620"/>
      <c r="U2" s="2620"/>
      <c r="V2" s="2620"/>
      <c r="W2" s="2620"/>
    </row>
    <row r="3" spans="1:23" s="2625" customFormat="1">
      <c r="A3" s="2620"/>
      <c r="B3" s="2626"/>
      <c r="C3" s="2624"/>
      <c r="D3" s="2624"/>
      <c r="E3" s="2624"/>
      <c r="F3" s="2624"/>
      <c r="G3" s="2624"/>
      <c r="H3" s="2627"/>
      <c r="I3" s="2627"/>
      <c r="J3" s="2627"/>
      <c r="K3" s="2620"/>
      <c r="L3" s="2624"/>
      <c r="M3" s="2624"/>
      <c r="N3" s="2624"/>
      <c r="O3" s="2624"/>
      <c r="P3" s="2620"/>
      <c r="Q3" s="2620"/>
      <c r="R3" s="2620"/>
      <c r="S3" s="2620"/>
      <c r="T3" s="2620"/>
      <c r="U3" s="2620"/>
      <c r="V3" s="2620"/>
      <c r="W3" s="2620"/>
    </row>
    <row r="4" spans="1:23">
      <c r="A4" s="2617"/>
      <c r="B4" s="2618" t="s">
        <v>558</v>
      </c>
      <c r="C4" s="2628">
        <f>'yrP&amp;L'!AC7</f>
        <v>12632.304</v>
      </c>
      <c r="D4" s="2628">
        <f>'yrP&amp;L'!AD7</f>
        <v>13146.171861945406</v>
      </c>
      <c r="E4" s="2628">
        <f>'yrP&amp;L'!AE7</f>
        <v>13755.417944732873</v>
      </c>
      <c r="F4" s="2628">
        <f>'yrP&amp;L'!AF7</f>
        <v>14404.356702864929</v>
      </c>
      <c r="G4" s="2628">
        <f>'yrP&amp;L'!AG7</f>
        <v>15059.037458097322</v>
      </c>
      <c r="H4" s="2629">
        <f>G4*(1+H5)</f>
        <v>15661.398956421215</v>
      </c>
      <c r="I4" s="2629">
        <f>H4*(1+I5)</f>
        <v>16287.854914678064</v>
      </c>
      <c r="J4" s="2629">
        <f>I4*(1+J5)</f>
        <v>16939.369111265187</v>
      </c>
      <c r="K4" s="2617"/>
      <c r="L4" s="2617"/>
      <c r="M4" s="2617"/>
      <c r="N4" s="2617"/>
      <c r="O4" s="2617"/>
      <c r="P4" s="2617"/>
      <c r="Q4" s="2617"/>
      <c r="R4" s="2617"/>
      <c r="S4" s="2617"/>
      <c r="T4" s="2617"/>
      <c r="U4" s="2617"/>
      <c r="V4" s="2617"/>
      <c r="W4" s="2617"/>
    </row>
    <row r="5" spans="1:23">
      <c r="A5" s="2617"/>
      <c r="B5" s="2618" t="s">
        <v>1339</v>
      </c>
      <c r="C5" s="2630">
        <f>'yrP&amp;L'!AC8</f>
        <v>4.6255243498919E-3</v>
      </c>
      <c r="D5" s="2630">
        <f>D4/C4-1</f>
        <v>4.0678870770162412E-2</v>
      </c>
      <c r="E5" s="2630">
        <f>E4/D4-1</f>
        <v>4.6343991938144979E-2</v>
      </c>
      <c r="F5" s="2630">
        <f>F4/E4-1</f>
        <v>4.7176956799087399E-2</v>
      </c>
      <c r="G5" s="2630">
        <f>G4/F4-1</f>
        <v>4.5450190434549675E-2</v>
      </c>
      <c r="H5" s="2631">
        <v>0.04</v>
      </c>
      <c r="I5" s="2631">
        <v>0.04</v>
      </c>
      <c r="J5" s="2631">
        <v>0.04</v>
      </c>
      <c r="K5" s="2617"/>
      <c r="L5" s="2617"/>
      <c r="M5" s="2617"/>
      <c r="N5" s="2617"/>
      <c r="O5" s="2617"/>
      <c r="P5" s="2617"/>
      <c r="Q5" s="2617"/>
      <c r="R5" s="2617"/>
      <c r="S5" s="2617"/>
      <c r="T5" s="2617"/>
      <c r="U5" s="2617"/>
      <c r="V5" s="2617"/>
      <c r="W5" s="2617"/>
    </row>
    <row r="6" spans="1:23">
      <c r="A6" s="2617"/>
      <c r="B6" s="2618" t="s">
        <v>931</v>
      </c>
      <c r="C6" s="2628">
        <f>'yrP&amp;L'!AC37</f>
        <v>1728.2610000000009</v>
      </c>
      <c r="D6" s="2628">
        <f>'yrP&amp;L'!AD37</f>
        <v>1620.9995749999216</v>
      </c>
      <c r="E6" s="2628">
        <f>'yrP&amp;L'!AE37</f>
        <v>1714.1677998377486</v>
      </c>
      <c r="F6" s="2628">
        <f>'yrP&amp;L'!AF37</f>
        <v>1808.5919669144864</v>
      </c>
      <c r="G6" s="2628">
        <f>'yrP&amp;L'!AG37</f>
        <v>1882.442036437983</v>
      </c>
      <c r="H6" s="2629">
        <f>H4*H7</f>
        <v>2396.1940403324461</v>
      </c>
      <c r="I6" s="2629">
        <f>I4*I7</f>
        <v>2540.905366689778</v>
      </c>
      <c r="J6" s="2629">
        <f>J4*J7</f>
        <v>2710.2990578024301</v>
      </c>
      <c r="K6" s="2617"/>
      <c r="L6" s="2617"/>
      <c r="M6" s="2617"/>
      <c r="N6" s="2617"/>
      <c r="O6" s="2617"/>
      <c r="P6" s="2617"/>
      <c r="Q6" s="2617"/>
      <c r="R6" s="2617"/>
      <c r="S6" s="2617"/>
      <c r="T6" s="2617"/>
      <c r="U6" s="2617"/>
      <c r="V6" s="2617"/>
      <c r="W6" s="2617"/>
    </row>
    <row r="7" spans="1:23">
      <c r="A7" s="2617"/>
      <c r="B7" s="2618" t="s">
        <v>1242</v>
      </c>
      <c r="C7" s="2630">
        <f>C6/C4</f>
        <v>0.13681280944473795</v>
      </c>
      <c r="D7" s="2630">
        <f>D6/D4</f>
        <v>0.12330582560633295</v>
      </c>
      <c r="E7" s="2630">
        <f>E6/E4</f>
        <v>0.12461764569604557</v>
      </c>
      <c r="F7" s="2630">
        <f>F6/F4</f>
        <v>0.12555867674082036</v>
      </c>
      <c r="G7" s="2630">
        <f>G6/G4</f>
        <v>0.12500414064816501</v>
      </c>
      <c r="H7" s="2631">
        <v>0.153</v>
      </c>
      <c r="I7" s="2631">
        <v>0.156</v>
      </c>
      <c r="J7" s="2631">
        <v>0.16</v>
      </c>
      <c r="K7" s="2617"/>
      <c r="L7" s="2617"/>
      <c r="M7" s="2617"/>
      <c r="N7" s="2617"/>
      <c r="O7" s="2617"/>
      <c r="P7" s="2617"/>
      <c r="Q7" s="2617"/>
      <c r="R7" s="2617"/>
      <c r="S7" s="2617"/>
      <c r="T7" s="2617"/>
      <c r="U7" s="2617"/>
      <c r="V7" s="2617"/>
      <c r="W7" s="2617"/>
    </row>
    <row r="8" spans="1:23" s="2636" customFormat="1">
      <c r="A8" s="2632"/>
      <c r="B8" s="2633" t="s">
        <v>647</v>
      </c>
      <c r="C8" s="2634">
        <v>0.37</v>
      </c>
      <c r="D8" s="2634">
        <v>0.37</v>
      </c>
      <c r="E8" s="2634">
        <v>0.37</v>
      </c>
      <c r="F8" s="2634">
        <v>0.37</v>
      </c>
      <c r="G8" s="2634">
        <v>0.37</v>
      </c>
      <c r="H8" s="2635">
        <f>G8</f>
        <v>0.37</v>
      </c>
      <c r="I8" s="2635">
        <f>H8</f>
        <v>0.37</v>
      </c>
      <c r="J8" s="2635">
        <f>I8</f>
        <v>0.37</v>
      </c>
      <c r="K8" s="2632"/>
      <c r="L8" s="2632"/>
      <c r="M8" s="2632"/>
      <c r="N8" s="2632"/>
      <c r="O8" s="2632"/>
      <c r="P8" s="2632"/>
      <c r="Q8" s="2632"/>
      <c r="R8" s="2632"/>
      <c r="S8" s="2632"/>
      <c r="T8" s="2632"/>
      <c r="U8" s="2632"/>
      <c r="V8" s="2632"/>
      <c r="W8" s="2632"/>
    </row>
    <row r="9" spans="1:23">
      <c r="A9" s="2617"/>
      <c r="B9" s="2618" t="s">
        <v>1340</v>
      </c>
      <c r="C9" s="2637">
        <f t="shared" ref="C9:J9" si="0">-C6*C8</f>
        <v>-639.45657000000028</v>
      </c>
      <c r="D9" s="2637">
        <f t="shared" si="0"/>
        <v>-599.76984274997096</v>
      </c>
      <c r="E9" s="2637">
        <f t="shared" si="0"/>
        <v>-634.24208593996696</v>
      </c>
      <c r="F9" s="2637">
        <f t="shared" si="0"/>
        <v>-669.17902775836001</v>
      </c>
      <c r="G9" s="2637">
        <f t="shared" si="0"/>
        <v>-696.50355348205369</v>
      </c>
      <c r="H9" s="2638">
        <f t="shared" si="0"/>
        <v>-886.59179492300507</v>
      </c>
      <c r="I9" s="2638">
        <f t="shared" si="0"/>
        <v>-940.13498567521788</v>
      </c>
      <c r="J9" s="2638">
        <f t="shared" si="0"/>
        <v>-1002.8106513868992</v>
      </c>
      <c r="K9" s="2617"/>
      <c r="L9" s="2617"/>
      <c r="M9" s="2617"/>
      <c r="N9" s="2617"/>
      <c r="O9" s="2617"/>
      <c r="P9" s="2617"/>
      <c r="Q9" s="2617"/>
      <c r="R9" s="2617"/>
      <c r="S9" s="2617"/>
      <c r="T9" s="2617"/>
      <c r="U9" s="2617"/>
      <c r="V9" s="2617"/>
      <c r="W9" s="2617"/>
    </row>
    <row r="10" spans="1:23">
      <c r="A10" s="2617"/>
      <c r="B10" s="2618" t="s">
        <v>1280</v>
      </c>
      <c r="C10" s="2639">
        <f>C6+C9</f>
        <v>1088.8044300000006</v>
      </c>
      <c r="D10" s="2639">
        <f t="shared" ref="D10:J10" si="1">D6+D9</f>
        <v>1021.2297322499506</v>
      </c>
      <c r="E10" s="2639">
        <f t="shared" si="1"/>
        <v>1079.9257138977816</v>
      </c>
      <c r="F10" s="2639">
        <f t="shared" si="1"/>
        <v>1139.4129391561264</v>
      </c>
      <c r="G10" s="2639">
        <f>G6+G9</f>
        <v>1185.9384829559294</v>
      </c>
      <c r="H10" s="2640">
        <f t="shared" si="1"/>
        <v>1509.6022454094409</v>
      </c>
      <c r="I10" s="2640">
        <f t="shared" si="1"/>
        <v>1600.7703810145601</v>
      </c>
      <c r="J10" s="2640">
        <f t="shared" si="1"/>
        <v>1707.4884064155308</v>
      </c>
      <c r="K10" s="2617"/>
      <c r="L10" s="2617"/>
      <c r="M10" s="2617"/>
      <c r="N10" s="2617"/>
      <c r="O10" s="2617"/>
      <c r="P10" s="2617"/>
      <c r="Q10" s="2617"/>
      <c r="R10" s="2617"/>
      <c r="S10" s="2617"/>
      <c r="T10" s="2617"/>
      <c r="U10" s="2617"/>
      <c r="V10" s="2617"/>
      <c r="W10" s="2617"/>
    </row>
    <row r="11" spans="1:23" s="2645" customFormat="1" hidden="1">
      <c r="A11" s="2641"/>
      <c r="B11" s="2642" t="s">
        <v>1341</v>
      </c>
      <c r="C11" s="2643">
        <f t="shared" ref="C11:J11" si="2">C10/C4</f>
        <v>8.6192069950184899E-2</v>
      </c>
      <c r="D11" s="2643">
        <f t="shared" si="2"/>
        <v>7.7682670131989762E-2</v>
      </c>
      <c r="E11" s="2643">
        <f t="shared" si="2"/>
        <v>7.8509116788508707E-2</v>
      </c>
      <c r="F11" s="2643">
        <f t="shared" si="2"/>
        <v>7.9101966346716818E-2</v>
      </c>
      <c r="G11" s="2643">
        <f t="shared" si="2"/>
        <v>7.8752608608343974E-2</v>
      </c>
      <c r="H11" s="2644">
        <f t="shared" si="2"/>
        <v>9.6390000000000003E-2</v>
      </c>
      <c r="I11" s="2644">
        <f t="shared" si="2"/>
        <v>9.8280000000000006E-2</v>
      </c>
      <c r="J11" s="2644">
        <f t="shared" si="2"/>
        <v>0.1008</v>
      </c>
      <c r="K11" s="2641"/>
      <c r="L11" s="2641"/>
      <c r="M11" s="2641"/>
      <c r="N11" s="2641"/>
      <c r="O11" s="2641"/>
      <c r="P11" s="2641"/>
      <c r="Q11" s="2641"/>
      <c r="R11" s="2641"/>
      <c r="S11" s="2641"/>
      <c r="T11" s="2641"/>
      <c r="U11" s="2641"/>
      <c r="V11" s="2641"/>
      <c r="W11" s="2641"/>
    </row>
    <row r="12" spans="1:23" ht="6.75" customHeight="1">
      <c r="A12" s="2617"/>
      <c r="B12" s="2618"/>
      <c r="C12" s="2617"/>
      <c r="D12" s="2617"/>
      <c r="E12" s="2617"/>
      <c r="F12" s="2617"/>
      <c r="G12" s="2617"/>
      <c r="H12" s="2646"/>
      <c r="I12" s="2646"/>
      <c r="J12" s="2646"/>
      <c r="K12" s="2617"/>
      <c r="L12" s="2617"/>
      <c r="M12" s="2617"/>
      <c r="N12" s="2617"/>
      <c r="O12" s="2617"/>
      <c r="P12" s="2617"/>
      <c r="Q12" s="2617"/>
      <c r="R12" s="2617"/>
      <c r="S12" s="2617"/>
      <c r="T12" s="2617"/>
      <c r="U12" s="2617"/>
      <c r="V12" s="2617"/>
      <c r="W12" s="2617"/>
    </row>
    <row r="13" spans="1:23">
      <c r="A13" s="2617"/>
      <c r="B13" s="2647" t="s">
        <v>1342</v>
      </c>
      <c r="C13" s="2637">
        <f>'yrP&amp;L'!AC31</f>
        <v>524.68100000000004</v>
      </c>
      <c r="D13" s="2637">
        <f>'yrP&amp;L'!AD31</f>
        <v>560</v>
      </c>
      <c r="E13" s="2637">
        <f>'yrP&amp;L'!AE31</f>
        <v>616</v>
      </c>
      <c r="F13" s="2637">
        <f>'yrP&amp;L'!AF31</f>
        <v>677.6</v>
      </c>
      <c r="G13" s="2637">
        <f>'yrP&amp;L'!AG31</f>
        <v>745.36000000000013</v>
      </c>
      <c r="H13" s="2638">
        <f>H14*H4</f>
        <v>845.71554364674557</v>
      </c>
      <c r="I13" s="2638">
        <f>I14*I4</f>
        <v>912.1198752219716</v>
      </c>
      <c r="J13" s="2638">
        <f>J14*J4</f>
        <v>965.54403934211564</v>
      </c>
      <c r="K13" s="2617"/>
      <c r="L13" s="2617"/>
      <c r="M13" s="2617"/>
      <c r="N13" s="2617"/>
      <c r="O13" s="2617"/>
      <c r="P13" s="2617"/>
      <c r="Q13" s="2617"/>
      <c r="R13" s="2617"/>
      <c r="S13" s="2617"/>
      <c r="T13" s="2617"/>
      <c r="U13" s="2617"/>
      <c r="V13" s="2617"/>
      <c r="W13" s="2617"/>
    </row>
    <row r="14" spans="1:23">
      <c r="A14" s="2617"/>
      <c r="B14" s="2618"/>
      <c r="C14" s="2630">
        <f>C13/C4</f>
        <v>4.1534861732269904E-2</v>
      </c>
      <c r="D14" s="2630">
        <f>D13/D4</f>
        <v>4.2597952155261853E-2</v>
      </c>
      <c r="E14" s="2630">
        <f>E13/E4</f>
        <v>4.4782354303954414E-2</v>
      </c>
      <c r="F14" s="2630">
        <f>F13/F4</f>
        <v>4.7041323259179632E-2</v>
      </c>
      <c r="G14" s="2630">
        <f>G13/G4</f>
        <v>4.9495859351835016E-2</v>
      </c>
      <c r="H14" s="2648">
        <v>5.3999999999999999E-2</v>
      </c>
      <c r="I14" s="2648">
        <v>5.6000000000000001E-2</v>
      </c>
      <c r="J14" s="2648">
        <v>5.7000000000000002E-2</v>
      </c>
      <c r="K14" s="2617"/>
      <c r="L14" s="2617"/>
      <c r="M14" s="2617"/>
      <c r="N14" s="2617"/>
      <c r="O14" s="2617"/>
      <c r="P14" s="2617"/>
      <c r="Q14" s="2617"/>
      <c r="R14" s="2617"/>
      <c r="S14" s="2617"/>
      <c r="T14" s="2617"/>
      <c r="U14" s="2617"/>
      <c r="V14" s="2617"/>
      <c r="W14" s="2617"/>
    </row>
    <row r="15" spans="1:23">
      <c r="A15" s="2617"/>
      <c r="B15" s="2647" t="s">
        <v>881</v>
      </c>
      <c r="C15" s="2628">
        <f>-flow!BF22</f>
        <v>-706.67499999999995</v>
      </c>
      <c r="D15" s="2628">
        <f>-flow!BH22</f>
        <v>-750</v>
      </c>
      <c r="E15" s="2628">
        <f>-flow!BJ22</f>
        <v>-750</v>
      </c>
      <c r="F15" s="2628">
        <f>-flow!BL22</f>
        <v>-750</v>
      </c>
      <c r="G15" s="2628">
        <f>-flow!BN22</f>
        <v>-750</v>
      </c>
      <c r="H15" s="2629">
        <f>G15</f>
        <v>-750</v>
      </c>
      <c r="I15" s="2629">
        <f>H15</f>
        <v>-750</v>
      </c>
      <c r="J15" s="2629">
        <f>I15</f>
        <v>-750</v>
      </c>
      <c r="K15" s="2617"/>
      <c r="L15" s="2617"/>
      <c r="M15" s="2617"/>
      <c r="N15" s="2617"/>
      <c r="O15" s="2617"/>
      <c r="P15" s="2617"/>
      <c r="Q15" s="2617"/>
      <c r="R15" s="2617"/>
      <c r="S15" s="2617"/>
      <c r="T15" s="2617"/>
      <c r="U15" s="2617"/>
      <c r="V15" s="2617"/>
      <c r="W15" s="2617"/>
    </row>
    <row r="16" spans="1:23">
      <c r="A16" s="2617"/>
      <c r="B16" s="2647"/>
      <c r="C16" s="2628"/>
      <c r="D16" s="2628"/>
      <c r="E16" s="2628"/>
      <c r="F16" s="2628"/>
      <c r="G16" s="2628"/>
      <c r="H16" s="2649"/>
      <c r="I16" s="2649"/>
      <c r="J16" s="2649"/>
      <c r="K16" s="2617"/>
      <c r="L16" s="2617"/>
      <c r="M16" s="2617"/>
      <c r="N16" s="2617"/>
      <c r="O16" s="2617"/>
      <c r="P16" s="2617"/>
      <c r="Q16" s="2617"/>
      <c r="R16" s="2617"/>
      <c r="S16" s="2617"/>
      <c r="T16" s="2617"/>
      <c r="U16" s="2617"/>
      <c r="V16" s="2617"/>
      <c r="W16" s="2617"/>
    </row>
    <row r="17" spans="1:23">
      <c r="A17" s="2617"/>
      <c r="B17" s="2647" t="s">
        <v>1343</v>
      </c>
      <c r="C17" s="2637">
        <f>flow!BF31</f>
        <v>120</v>
      </c>
      <c r="D17" s="2637">
        <f>flow!BH31</f>
        <v>-69.786750015088842</v>
      </c>
      <c r="E17" s="2637">
        <f>flow!BJ31</f>
        <v>-28.757558125333361</v>
      </c>
      <c r="F17" s="2637">
        <f>flow!BL31</f>
        <v>-23.238675802005758</v>
      </c>
      <c r="G17" s="2637">
        <f>flow!BN31</f>
        <v>-29.162713572623659</v>
      </c>
      <c r="H17" s="2638">
        <f>G17</f>
        <v>-29.162713572623659</v>
      </c>
      <c r="I17" s="2638">
        <f>H17</f>
        <v>-29.162713572623659</v>
      </c>
      <c r="J17" s="2638">
        <f>I17</f>
        <v>-29.162713572623659</v>
      </c>
      <c r="K17" s="2617"/>
      <c r="L17" s="2617"/>
      <c r="M17" s="2617"/>
      <c r="N17" s="2617"/>
      <c r="O17" s="2617"/>
      <c r="P17" s="2617"/>
      <c r="Q17" s="2617"/>
      <c r="R17" s="2617"/>
      <c r="S17" s="2617"/>
      <c r="T17" s="2617"/>
      <c r="U17" s="2617"/>
      <c r="V17" s="2617"/>
      <c r="W17" s="2617"/>
    </row>
    <row r="18" spans="1:23">
      <c r="A18" s="2617"/>
      <c r="B18" s="2618" t="s">
        <v>1344</v>
      </c>
      <c r="C18" s="2639">
        <f t="shared" ref="C18:J18" si="3">SUM(C15:C17)</f>
        <v>-586.67499999999995</v>
      </c>
      <c r="D18" s="2639">
        <f t="shared" si="3"/>
        <v>-819.78675001508884</v>
      </c>
      <c r="E18" s="2639">
        <f t="shared" si="3"/>
        <v>-778.75755812533339</v>
      </c>
      <c r="F18" s="2639">
        <f t="shared" si="3"/>
        <v>-773.23867580200579</v>
      </c>
      <c r="G18" s="2639">
        <f t="shared" si="3"/>
        <v>-779.16271357262372</v>
      </c>
      <c r="H18" s="2640">
        <f t="shared" si="3"/>
        <v>-779.16271357262372</v>
      </c>
      <c r="I18" s="2640">
        <f t="shared" si="3"/>
        <v>-779.16271357262372</v>
      </c>
      <c r="J18" s="2640">
        <f t="shared" si="3"/>
        <v>-779.16271357262372</v>
      </c>
      <c r="K18" s="2617"/>
      <c r="L18" s="2617"/>
      <c r="M18" s="2617"/>
      <c r="N18" s="2617"/>
      <c r="O18" s="2617"/>
      <c r="P18" s="2617"/>
      <c r="Q18" s="2617"/>
      <c r="R18" s="2617"/>
      <c r="S18" s="2617"/>
      <c r="T18" s="2617"/>
      <c r="U18" s="2617"/>
      <c r="V18" s="2617"/>
      <c r="W18" s="2617"/>
    </row>
    <row r="19" spans="1:23" s="2645" customFormat="1">
      <c r="A19" s="2641"/>
      <c r="B19" s="2641" t="s">
        <v>1345</v>
      </c>
      <c r="C19" s="2650"/>
      <c r="D19" s="2650"/>
      <c r="E19" s="2650"/>
      <c r="F19" s="2650"/>
      <c r="G19" s="2650"/>
      <c r="H19" s="2651"/>
      <c r="I19" s="2651"/>
      <c r="J19" s="2651"/>
      <c r="K19" s="2641"/>
      <c r="L19" s="2641"/>
      <c r="M19" s="2641"/>
      <c r="N19" s="2641"/>
      <c r="O19" s="2641"/>
      <c r="P19" s="2641"/>
      <c r="Q19" s="2641"/>
      <c r="R19" s="2641"/>
      <c r="S19" s="2641"/>
      <c r="T19" s="2641"/>
      <c r="U19" s="2641"/>
      <c r="V19" s="2641"/>
      <c r="W19" s="2641"/>
    </row>
    <row r="20" spans="1:23" ht="9" customHeight="1">
      <c r="A20" s="2617"/>
      <c r="B20" s="2618"/>
      <c r="C20" s="2652"/>
      <c r="D20" s="2652"/>
      <c r="E20" s="2652"/>
      <c r="F20" s="2652"/>
      <c r="G20" s="2652"/>
      <c r="H20" s="2653"/>
      <c r="I20" s="2653"/>
      <c r="J20" s="2653"/>
      <c r="K20" s="2617"/>
      <c r="L20" s="2617"/>
      <c r="M20" s="2617"/>
      <c r="N20" s="2617"/>
      <c r="O20" s="2617"/>
      <c r="P20" s="2617"/>
      <c r="Q20" s="2617"/>
      <c r="R20" s="2617"/>
      <c r="S20" s="2617"/>
      <c r="T20" s="2617"/>
      <c r="U20" s="2617"/>
      <c r="V20" s="2617"/>
      <c r="W20" s="2617"/>
    </row>
    <row r="21" spans="1:23">
      <c r="A21" s="2617"/>
      <c r="B21" s="2626" t="s">
        <v>1346</v>
      </c>
      <c r="C21" s="2654">
        <f t="shared" ref="C21:J21" si="4">C10+C13+C18</f>
        <v>1026.8104300000007</v>
      </c>
      <c r="D21" s="2654">
        <f t="shared" si="4"/>
        <v>761.44298223486192</v>
      </c>
      <c r="E21" s="2654">
        <f t="shared" si="4"/>
        <v>917.16815577244824</v>
      </c>
      <c r="F21" s="2654">
        <f t="shared" si="4"/>
        <v>1043.7742633541206</v>
      </c>
      <c r="G21" s="2654">
        <f t="shared" si="4"/>
        <v>1152.1357693833058</v>
      </c>
      <c r="H21" s="2655">
        <f t="shared" si="4"/>
        <v>1576.1550754835628</v>
      </c>
      <c r="I21" s="2655">
        <f t="shared" si="4"/>
        <v>1733.7275426639083</v>
      </c>
      <c r="J21" s="2655">
        <f t="shared" si="4"/>
        <v>1893.8697321850225</v>
      </c>
      <c r="K21" s="2617"/>
      <c r="L21" s="2617"/>
      <c r="M21" s="2617"/>
      <c r="N21" s="2617"/>
      <c r="O21" s="2617"/>
      <c r="P21" s="2617"/>
      <c r="Q21" s="2617"/>
      <c r="R21" s="2617"/>
      <c r="S21" s="2617"/>
      <c r="T21" s="2617"/>
      <c r="U21" s="2617"/>
      <c r="V21" s="2617"/>
      <c r="W21" s="2617"/>
    </row>
    <row r="22" spans="1:23" s="2657" customFormat="1">
      <c r="A22" s="2656"/>
      <c r="B22" s="2650"/>
      <c r="C22" s="2650"/>
      <c r="D22" s="2650"/>
      <c r="E22" s="2650"/>
      <c r="F22" s="2650"/>
      <c r="G22" s="2650"/>
      <c r="H22" s="2651"/>
      <c r="I22" s="2651"/>
      <c r="J22" s="2651"/>
      <c r="K22" s="2656"/>
      <c r="L22" s="2656"/>
      <c r="M22" s="2656"/>
      <c r="N22" s="2656"/>
      <c r="O22" s="2656"/>
      <c r="P22" s="2656"/>
      <c r="Q22" s="2656"/>
      <c r="R22" s="2656"/>
      <c r="S22" s="2656"/>
      <c r="T22" s="2656"/>
      <c r="U22" s="2656"/>
      <c r="V22" s="2656"/>
      <c r="W22" s="2656"/>
    </row>
    <row r="23" spans="1:23" s="2661" customFormat="1" ht="11.25">
      <c r="A23" s="2658"/>
      <c r="B23" s="2659"/>
      <c r="C23" s="2660">
        <v>0</v>
      </c>
      <c r="D23" s="2660">
        <v>1</v>
      </c>
      <c r="E23" s="2660">
        <f t="shared" ref="E23:J23" si="5">D23+1</f>
        <v>2</v>
      </c>
      <c r="F23" s="2660">
        <f t="shared" si="5"/>
        <v>3</v>
      </c>
      <c r="G23" s="2660">
        <f t="shared" si="5"/>
        <v>4</v>
      </c>
      <c r="H23" s="2660">
        <f t="shared" si="5"/>
        <v>5</v>
      </c>
      <c r="I23" s="2660">
        <f t="shared" si="5"/>
        <v>6</v>
      </c>
      <c r="J23" s="2660">
        <f t="shared" si="5"/>
        <v>7</v>
      </c>
      <c r="K23" s="2658"/>
      <c r="L23" s="2658"/>
      <c r="M23" s="2658"/>
      <c r="N23" s="2658"/>
      <c r="O23" s="2658"/>
      <c r="P23" s="2658"/>
      <c r="Q23" s="2658"/>
      <c r="R23" s="2658"/>
      <c r="S23" s="2658"/>
      <c r="T23" s="2658"/>
      <c r="U23" s="2658"/>
      <c r="V23" s="2658"/>
      <c r="W23" s="2658"/>
    </row>
    <row r="24" spans="1:23">
      <c r="A24" s="2617"/>
      <c r="B24" s="2662" t="s">
        <v>1347</v>
      </c>
      <c r="C24" s="2663">
        <f>1/(1+$H$39)^C23</f>
        <v>1</v>
      </c>
      <c r="D24" s="2663">
        <f t="shared" ref="D24:J24" si="6">1/(1+$H$39)^D23</f>
        <v>0.93388096621854988</v>
      </c>
      <c r="E24" s="2663">
        <f t="shared" si="6"/>
        <v>0.87213365906529239</v>
      </c>
      <c r="F24" s="2663">
        <f t="shared" si="6"/>
        <v>0.81446902419961464</v>
      </c>
      <c r="G24" s="2663">
        <f t="shared" si="6"/>
        <v>0.76061711927461562</v>
      </c>
      <c r="H24" s="2663">
        <f t="shared" si="6"/>
        <v>0.71032585027054806</v>
      </c>
      <c r="I24" s="2663">
        <f>1/(1+$H$39)^I23</f>
        <v>0.66335979138067247</v>
      </c>
      <c r="J24" s="2663">
        <f t="shared" si="6"/>
        <v>0.61949908292511813</v>
      </c>
      <c r="K24" s="2617"/>
      <c r="L24" s="2617"/>
      <c r="M24" s="2617"/>
      <c r="N24" s="2617"/>
      <c r="O24" s="2617"/>
      <c r="P24" s="2617"/>
      <c r="Q24" s="2617"/>
      <c r="R24" s="2617"/>
      <c r="S24" s="2617"/>
      <c r="T24" s="2617"/>
      <c r="U24" s="2617"/>
      <c r="V24" s="2617"/>
      <c r="W24" s="2617"/>
    </row>
    <row r="25" spans="1:23">
      <c r="B25" s="2664" t="s">
        <v>1348</v>
      </c>
      <c r="C25" s="2665">
        <f t="shared" ref="C25:J25" si="7">C21*C24</f>
        <v>1026.8104300000007</v>
      </c>
      <c r="D25" s="2665">
        <f t="shared" si="7"/>
        <v>711.09710796982699</v>
      </c>
      <c r="E25" s="2665">
        <f t="shared" si="7"/>
        <v>799.89321967199135</v>
      </c>
      <c r="F25" s="2665">
        <f t="shared" si="7"/>
        <v>850.12180575870229</v>
      </c>
      <c r="G25" s="2665">
        <f t="shared" si="7"/>
        <v>876.33418992157294</v>
      </c>
      <c r="H25" s="2665">
        <f t="shared" si="7"/>
        <v>1119.5836941511016</v>
      </c>
      <c r="I25" s="2665">
        <f t="shared" si="7"/>
        <v>1150.085141012456</v>
      </c>
      <c r="J25" s="2666">
        <f t="shared" si="7"/>
        <v>1173.2505622682604</v>
      </c>
      <c r="K25" s="2617"/>
      <c r="L25" s="2617"/>
      <c r="M25" s="2617"/>
      <c r="N25" s="2617"/>
      <c r="O25" s="2617"/>
      <c r="P25" s="2617"/>
      <c r="Q25" s="2617"/>
      <c r="R25" s="2617"/>
      <c r="S25" s="2617"/>
      <c r="T25" s="2617"/>
      <c r="U25" s="2617"/>
      <c r="V25" s="2617"/>
      <c r="W25" s="2617"/>
    </row>
    <row r="26" spans="1:23">
      <c r="A26" s="2617"/>
      <c r="B26" s="2662" t="s">
        <v>1349</v>
      </c>
      <c r="C26" s="2617"/>
      <c r="D26" s="2617"/>
      <c r="E26" s="2617"/>
      <c r="F26" s="2617"/>
      <c r="G26" s="2617"/>
      <c r="H26" s="2617"/>
      <c r="I26" s="2617"/>
      <c r="J26" s="2662">
        <f>(J21*(1+C28))/(H39-C28)</f>
        <v>28926.002812773746</v>
      </c>
      <c r="K26" s="2617"/>
      <c r="L26" s="2617"/>
      <c r="M26" s="2617"/>
      <c r="N26" s="2617"/>
      <c r="O26" s="2617"/>
      <c r="P26" s="2617"/>
      <c r="Q26" s="2617"/>
      <c r="R26" s="2617"/>
      <c r="S26" s="2617"/>
      <c r="T26" s="2617"/>
      <c r="U26" s="2617"/>
      <c r="V26" s="2617"/>
      <c r="W26" s="2617"/>
    </row>
    <row r="27" spans="1:23">
      <c r="B27" s="2667" t="s">
        <v>1350</v>
      </c>
      <c r="C27" s="2668"/>
      <c r="D27" s="2668"/>
      <c r="E27" s="2668"/>
      <c r="F27" s="2668"/>
      <c r="G27" s="2668"/>
      <c r="H27" s="2668"/>
      <c r="I27" s="2668"/>
      <c r="J27" s="2666">
        <f>J26*J24</f>
        <v>17919.632215202724</v>
      </c>
      <c r="K27" s="2617"/>
      <c r="L27" s="2617"/>
      <c r="M27" s="2617"/>
      <c r="N27" s="2617"/>
      <c r="O27" s="2617"/>
      <c r="P27" s="2617"/>
      <c r="Q27" s="2617"/>
      <c r="R27" s="2617"/>
      <c r="S27" s="2617"/>
      <c r="T27" s="2617"/>
      <c r="U27" s="2617"/>
      <c r="V27" s="2617"/>
      <c r="W27" s="2617"/>
    </row>
    <row r="28" spans="1:23">
      <c r="A28" s="2617"/>
      <c r="B28" s="2662" t="s">
        <v>1351</v>
      </c>
      <c r="C28" s="2669">
        <v>5.0000000000000001E-3</v>
      </c>
      <c r="D28" s="2617"/>
      <c r="E28" s="2617"/>
      <c r="F28" s="2617"/>
      <c r="G28" s="2617"/>
      <c r="H28" s="2617"/>
      <c r="I28" s="2617"/>
      <c r="J28" s="2617"/>
      <c r="K28" s="2617"/>
      <c r="L28" s="2617"/>
      <c r="M28" s="2617"/>
      <c r="N28" s="2617"/>
      <c r="O28" s="2617"/>
      <c r="P28" s="2617"/>
      <c r="Q28" s="2617"/>
      <c r="R28" s="2617"/>
      <c r="S28" s="2617"/>
      <c r="T28" s="2617"/>
      <c r="U28" s="2617"/>
      <c r="V28" s="2617"/>
      <c r="W28" s="2617"/>
    </row>
    <row r="29" spans="1:23">
      <c r="A29" s="2617"/>
      <c r="B29" s="2662"/>
      <c r="C29" s="2617"/>
      <c r="D29" s="2617"/>
      <c r="E29" s="2617"/>
      <c r="F29" s="2617"/>
      <c r="G29" s="2617"/>
      <c r="H29" s="2630"/>
      <c r="I29" s="2617"/>
      <c r="J29" s="2617"/>
      <c r="K29" s="2617"/>
      <c r="L29" s="2617"/>
      <c r="M29" s="2617"/>
      <c r="N29" s="2617"/>
      <c r="O29" s="2617"/>
      <c r="P29" s="2617"/>
      <c r="Q29" s="2617"/>
      <c r="R29" s="2617"/>
      <c r="S29" s="2617"/>
      <c r="T29" s="2617"/>
      <c r="U29" s="2617"/>
      <c r="V29" s="2617"/>
      <c r="W29" s="2617"/>
    </row>
    <row r="30" spans="1:23">
      <c r="A30" s="2617"/>
      <c r="B30" s="2662" t="s">
        <v>1352</v>
      </c>
      <c r="C30" s="2662">
        <f>bal!BI41</f>
        <v>5706.9709999999995</v>
      </c>
      <c r="D30" s="2662"/>
      <c r="E30" s="2662" t="s">
        <v>1353</v>
      </c>
      <c r="F30" s="2662"/>
      <c r="G30" s="2617"/>
      <c r="H30" s="2670">
        <v>2.4E-2</v>
      </c>
      <c r="I30" s="2617"/>
      <c r="J30" s="2617"/>
      <c r="K30" s="2617"/>
      <c r="L30" s="2617"/>
      <c r="M30" s="2617"/>
      <c r="N30" s="2617"/>
      <c r="O30" s="2617"/>
      <c r="P30" s="2617"/>
      <c r="Q30" s="2617"/>
      <c r="R30" s="2617"/>
      <c r="S30" s="2617"/>
      <c r="T30" s="2617"/>
      <c r="U30" s="2617"/>
      <c r="V30" s="2617"/>
      <c r="W30" s="2617"/>
    </row>
    <row r="31" spans="1:23">
      <c r="A31" s="2617"/>
      <c r="B31" s="2662" t="s">
        <v>1354</v>
      </c>
      <c r="C31" s="2671">
        <f>bal!BI9</f>
        <v>1702.0041397650339</v>
      </c>
      <c r="D31" s="2662"/>
      <c r="E31" s="2662" t="s">
        <v>1355</v>
      </c>
      <c r="F31" s="2662"/>
      <c r="G31" s="2617"/>
      <c r="H31" s="2670">
        <v>5.1299999999999998E-2</v>
      </c>
      <c r="I31" s="2617"/>
      <c r="J31" s="2617"/>
      <c r="K31" s="2617"/>
      <c r="L31" s="2617"/>
      <c r="M31" s="2617"/>
      <c r="N31" s="2617"/>
      <c r="O31" s="2617"/>
      <c r="P31" s="2617"/>
      <c r="Q31" s="2617"/>
      <c r="R31" s="2617"/>
      <c r="S31" s="2617"/>
      <c r="T31" s="2617"/>
      <c r="U31" s="2617"/>
      <c r="V31" s="2617"/>
      <c r="W31" s="2617"/>
    </row>
    <row r="32" spans="1:23">
      <c r="A32" s="2617"/>
      <c r="B32" s="2672" t="s">
        <v>1356</v>
      </c>
      <c r="C32" s="2672">
        <f>C30-C31</f>
        <v>4004.9668602349657</v>
      </c>
      <c r="D32" s="2672"/>
      <c r="E32" s="2662" t="s">
        <v>1357</v>
      </c>
      <c r="F32" s="2672"/>
      <c r="G32" s="2617"/>
      <c r="H32" s="2691">
        <v>1.1930000000000001</v>
      </c>
      <c r="I32" s="2617"/>
      <c r="J32" s="2617"/>
      <c r="K32" s="2617"/>
      <c r="L32" s="2617"/>
      <c r="M32" s="2617"/>
      <c r="N32" s="2617"/>
      <c r="O32" s="2617"/>
      <c r="P32" s="2617"/>
      <c r="Q32" s="2617"/>
      <c r="R32" s="2617"/>
      <c r="S32" s="2617"/>
      <c r="T32" s="2617"/>
      <c r="U32" s="2617"/>
      <c r="V32" s="2617"/>
      <c r="W32" s="2617"/>
    </row>
    <row r="33" spans="1:23">
      <c r="A33" s="2617"/>
      <c r="B33" s="2673" t="s">
        <v>1358</v>
      </c>
      <c r="C33" s="2674">
        <v>0.06</v>
      </c>
      <c r="D33" s="2662"/>
      <c r="E33" s="2662" t="s">
        <v>1359</v>
      </c>
      <c r="F33" s="2662"/>
      <c r="G33" s="2617"/>
      <c r="H33" s="2675">
        <f>H30+H32*(H31)</f>
        <v>8.5200899999999996E-2</v>
      </c>
      <c r="I33" s="2617"/>
      <c r="J33" s="2617"/>
      <c r="K33" s="2617"/>
      <c r="L33" s="2617"/>
      <c r="M33" s="2617"/>
      <c r="N33" s="2617"/>
      <c r="O33" s="2617"/>
      <c r="P33" s="2617"/>
      <c r="Q33" s="2617"/>
      <c r="R33" s="2617"/>
      <c r="S33" s="2617"/>
      <c r="T33" s="2617"/>
      <c r="U33" s="2617"/>
      <c r="V33" s="2617"/>
      <c r="W33" s="2617"/>
    </row>
    <row r="34" spans="1:23">
      <c r="A34" s="2617"/>
      <c r="B34" s="2673" t="s">
        <v>1360</v>
      </c>
      <c r="C34" s="2676">
        <f>C33*(1-0.35)</f>
        <v>3.9E-2</v>
      </c>
      <c r="D34" s="2662"/>
      <c r="E34" s="2662"/>
      <c r="F34" s="2662"/>
      <c r="G34" s="2662"/>
      <c r="H34" s="2662"/>
      <c r="I34" s="2617"/>
      <c r="J34" s="2617"/>
      <c r="K34" s="2617"/>
      <c r="L34" s="2617"/>
      <c r="M34" s="2617"/>
      <c r="N34" s="2617"/>
      <c r="O34" s="2617"/>
      <c r="P34" s="2617"/>
      <c r="Q34" s="2617"/>
      <c r="R34" s="2617"/>
      <c r="S34" s="2617"/>
      <c r="T34" s="2617"/>
      <c r="U34" s="2617"/>
      <c r="V34" s="2617"/>
      <c r="W34" s="2617"/>
    </row>
    <row r="35" spans="1:23">
      <c r="A35" s="2617"/>
      <c r="B35" s="2662"/>
      <c r="C35" s="2662"/>
      <c r="D35" s="2662"/>
      <c r="E35" s="2662"/>
      <c r="F35" s="2662"/>
      <c r="G35" s="2662"/>
      <c r="H35" s="2662"/>
      <c r="I35" s="2617"/>
      <c r="J35" s="2617"/>
      <c r="K35" s="2617"/>
      <c r="L35" s="2617"/>
      <c r="M35" s="2617"/>
      <c r="N35" s="2617"/>
      <c r="O35" s="2617"/>
      <c r="P35" s="2617"/>
      <c r="Q35" s="2617"/>
      <c r="R35" s="2617"/>
      <c r="S35" s="2617"/>
      <c r="T35" s="2617"/>
      <c r="U35" s="2617"/>
      <c r="V35" s="2617"/>
      <c r="W35" s="2617"/>
    </row>
    <row r="36" spans="1:23">
      <c r="A36" s="2617"/>
      <c r="B36" s="2662" t="s">
        <v>1361</v>
      </c>
      <c r="C36" s="2662">
        <f>'yrP&amp;L'!AD65</f>
        <v>282.25</v>
      </c>
      <c r="D36" s="2662"/>
      <c r="E36" s="2662"/>
      <c r="F36" s="2677"/>
      <c r="G36" s="2678"/>
      <c r="H36" s="2678"/>
      <c r="I36" s="2617"/>
      <c r="J36" s="2617"/>
      <c r="K36" s="2617"/>
      <c r="L36" s="2617"/>
      <c r="M36" s="2617"/>
      <c r="N36" s="2617"/>
      <c r="O36" s="2617"/>
      <c r="P36" s="2617"/>
      <c r="Q36" s="2617"/>
      <c r="R36" s="2617"/>
      <c r="S36" s="2617"/>
      <c r="T36" s="2617"/>
      <c r="U36" s="2617"/>
      <c r="V36" s="2617"/>
      <c r="W36" s="2617"/>
    </row>
    <row r="37" spans="1:23">
      <c r="A37" s="2617"/>
      <c r="B37" s="2662" t="s">
        <v>1362</v>
      </c>
      <c r="C37" s="2679">
        <v>44.65</v>
      </c>
      <c r="D37" s="2662"/>
      <c r="E37" s="2680"/>
      <c r="F37" s="2681"/>
      <c r="G37" s="2678"/>
      <c r="H37" s="2678"/>
      <c r="I37" s="2617"/>
      <c r="J37" s="2617"/>
      <c r="K37" s="2617"/>
      <c r="L37" s="2617"/>
      <c r="M37" s="2617"/>
      <c r="N37" s="2617"/>
      <c r="O37" s="2617"/>
      <c r="P37" s="2617"/>
      <c r="Q37" s="2617"/>
      <c r="R37" s="2617"/>
      <c r="S37" s="2617"/>
      <c r="T37" s="2617"/>
      <c r="U37" s="2617"/>
      <c r="V37" s="2617"/>
      <c r="W37" s="2617"/>
    </row>
    <row r="38" spans="1:23">
      <c r="A38" s="2617"/>
      <c r="B38" s="2672" t="s">
        <v>644</v>
      </c>
      <c r="C38" s="2672">
        <f>C36*C37</f>
        <v>12602.4625</v>
      </c>
      <c r="D38" s="2662"/>
      <c r="E38" s="2678"/>
      <c r="F38" s="2681"/>
      <c r="G38" s="2678"/>
      <c r="H38" s="2678"/>
      <c r="I38" s="2617"/>
      <c r="J38" s="2617"/>
      <c r="K38" s="2617"/>
      <c r="L38" s="2617"/>
      <c r="M38" s="2617"/>
      <c r="N38" s="2617"/>
      <c r="O38" s="2617"/>
      <c r="P38" s="2617"/>
      <c r="Q38" s="2617"/>
      <c r="R38" s="2617"/>
      <c r="S38" s="2617"/>
      <c r="T38" s="2617"/>
      <c r="U38" s="2617"/>
      <c r="V38" s="2617"/>
      <c r="W38" s="2617"/>
    </row>
    <row r="39" spans="1:23">
      <c r="A39" s="2617"/>
      <c r="B39" s="2672" t="s">
        <v>1363</v>
      </c>
      <c r="C39" s="2672">
        <f>C32+C38</f>
        <v>16607.429360234964</v>
      </c>
      <c r="D39" s="2662"/>
      <c r="E39" s="2664" t="s">
        <v>1279</v>
      </c>
      <c r="F39" s="2682"/>
      <c r="G39" s="2682"/>
      <c r="H39" s="2683">
        <f>(C30/(C30+C38))*C34 + (C38/(C30+C38))*H33</f>
        <v>7.0800279878470845E-2</v>
      </c>
      <c r="I39" s="2617"/>
      <c r="J39" s="2617"/>
      <c r="K39" s="2617"/>
      <c r="L39" s="2617"/>
      <c r="M39" s="2617"/>
      <c r="N39" s="2617"/>
      <c r="O39" s="2617"/>
      <c r="P39" s="2617"/>
      <c r="Q39" s="2617"/>
      <c r="R39" s="2617"/>
      <c r="S39" s="2617"/>
      <c r="T39" s="2617"/>
      <c r="U39" s="2617"/>
      <c r="V39" s="2617"/>
      <c r="W39" s="2617"/>
    </row>
    <row r="40" spans="1:23">
      <c r="A40" s="2617"/>
      <c r="B40" s="2662"/>
      <c r="C40" s="2662"/>
      <c r="D40" s="2662"/>
      <c r="E40" s="2662"/>
      <c r="F40" s="2662"/>
      <c r="G40" s="2662"/>
      <c r="H40" s="2662"/>
      <c r="I40" s="2617"/>
      <c r="J40" s="2617"/>
      <c r="K40" s="2617"/>
      <c r="L40" s="2617"/>
      <c r="M40" s="2617"/>
      <c r="N40" s="2617"/>
      <c r="O40" s="2617"/>
      <c r="P40" s="2617"/>
      <c r="Q40" s="2617"/>
      <c r="R40" s="2617"/>
      <c r="S40" s="2617"/>
      <c r="T40" s="2617"/>
      <c r="U40" s="2617"/>
      <c r="V40" s="2617"/>
      <c r="W40" s="2617"/>
    </row>
    <row r="41" spans="1:23">
      <c r="A41" s="2617"/>
      <c r="B41" s="2662" t="s">
        <v>1364</v>
      </c>
      <c r="C41" s="2662">
        <f>SUM(C25:J25)</f>
        <v>7707.1761507539122</v>
      </c>
      <c r="D41" s="2662"/>
      <c r="E41" s="2662"/>
      <c r="F41" s="2662"/>
      <c r="G41" s="2662"/>
      <c r="H41" s="2662"/>
      <c r="I41" s="2617"/>
      <c r="J41" s="2617"/>
      <c r="K41" s="2617"/>
      <c r="L41" s="2617"/>
      <c r="M41" s="2617"/>
      <c r="N41" s="2617"/>
      <c r="O41" s="2617"/>
      <c r="P41" s="2617"/>
      <c r="Q41" s="2617"/>
      <c r="R41" s="2617"/>
      <c r="S41" s="2617"/>
      <c r="T41" s="2617"/>
      <c r="U41" s="2617"/>
      <c r="V41" s="2617"/>
      <c r="W41" s="2617"/>
    </row>
    <row r="42" spans="1:23">
      <c r="A42" s="2617"/>
      <c r="B42" s="2662" t="s">
        <v>1350</v>
      </c>
      <c r="C42" s="2671">
        <f>J27</f>
        <v>17919.632215202724</v>
      </c>
      <c r="D42" s="2662"/>
      <c r="E42" s="2662"/>
      <c r="F42" s="2662"/>
      <c r="G42" s="2662"/>
      <c r="H42" s="2662"/>
      <c r="I42" s="2617"/>
      <c r="J42" s="2617"/>
      <c r="K42" s="2617"/>
      <c r="L42" s="2617"/>
      <c r="M42" s="2617"/>
      <c r="N42" s="2617"/>
      <c r="O42" s="2617"/>
      <c r="P42" s="2617"/>
      <c r="Q42" s="2617"/>
      <c r="R42" s="2617"/>
      <c r="S42" s="2617"/>
      <c r="T42" s="2617"/>
      <c r="U42" s="2617"/>
      <c r="V42" s="2617"/>
      <c r="W42" s="2617"/>
    </row>
    <row r="43" spans="1:23">
      <c r="A43" s="2617"/>
      <c r="B43" s="2672" t="s">
        <v>1365</v>
      </c>
      <c r="C43" s="2672">
        <f>SUM(C41:C42)</f>
        <v>25626.808365956636</v>
      </c>
      <c r="D43" s="2662"/>
      <c r="E43" s="2662"/>
      <c r="F43" s="2662"/>
      <c r="G43" s="2662"/>
      <c r="H43" s="2662"/>
      <c r="I43" s="2617"/>
      <c r="J43" s="2617"/>
      <c r="K43" s="2617"/>
      <c r="L43" s="2617"/>
      <c r="M43" s="2617"/>
      <c r="N43" s="2617"/>
      <c r="O43" s="2617"/>
      <c r="P43" s="2617"/>
      <c r="Q43" s="2617"/>
      <c r="R43" s="2617"/>
      <c r="S43" s="2617"/>
      <c r="T43" s="2617"/>
      <c r="U43" s="2617"/>
      <c r="V43" s="2617"/>
      <c r="W43" s="2617"/>
    </row>
    <row r="44" spans="1:23">
      <c r="A44" s="2617"/>
      <c r="B44" s="2662" t="s">
        <v>1366</v>
      </c>
      <c r="C44" s="2662">
        <f>-C30</f>
        <v>-5706.9709999999995</v>
      </c>
      <c r="D44" s="2680"/>
      <c r="E44" s="2680"/>
      <c r="F44" s="2680"/>
      <c r="G44" s="2680"/>
      <c r="H44" s="2680"/>
      <c r="I44" s="2680"/>
      <c r="J44" s="2680"/>
      <c r="K44" s="2680"/>
      <c r="L44" s="2617"/>
      <c r="M44" s="2617"/>
      <c r="N44" s="2617"/>
      <c r="O44" s="2617"/>
      <c r="P44" s="2617"/>
      <c r="Q44" s="2617"/>
      <c r="R44" s="2617"/>
      <c r="S44" s="2617"/>
      <c r="T44" s="2617"/>
      <c r="U44" s="2617"/>
      <c r="V44" s="2617"/>
      <c r="W44" s="2617"/>
    </row>
    <row r="45" spans="1:23">
      <c r="A45" s="2617"/>
      <c r="B45" s="2662" t="s">
        <v>1367</v>
      </c>
      <c r="C45" s="2684">
        <f>+C31</f>
        <v>1702.0041397650339</v>
      </c>
      <c r="D45" s="2662"/>
      <c r="E45" s="2662"/>
      <c r="F45" s="2662"/>
      <c r="G45" s="2662"/>
      <c r="H45" s="2662"/>
      <c r="I45" s="2617"/>
      <c r="J45" s="2617"/>
      <c r="K45" s="2617"/>
      <c r="L45" s="2617"/>
      <c r="M45" s="2617"/>
      <c r="N45" s="2617"/>
      <c r="O45" s="2617"/>
      <c r="P45" s="2617"/>
      <c r="Q45" s="2617"/>
      <c r="R45" s="2617"/>
      <c r="S45" s="2617"/>
      <c r="T45" s="2617"/>
      <c r="U45" s="2617"/>
      <c r="V45" s="2617"/>
      <c r="W45" s="2617"/>
    </row>
    <row r="46" spans="1:23" hidden="1" outlineLevel="1">
      <c r="A46" s="2617"/>
      <c r="B46" s="2662" t="s">
        <v>1368</v>
      </c>
      <c r="C46" s="2684">
        <v>0</v>
      </c>
      <c r="D46" s="2662"/>
      <c r="E46" s="2662"/>
      <c r="F46" s="2662"/>
      <c r="G46" s="2662"/>
      <c r="H46" s="2662"/>
      <c r="I46" s="2617"/>
      <c r="J46" s="2617"/>
      <c r="K46" s="2617"/>
      <c r="L46" s="2617"/>
      <c r="M46" s="2617"/>
      <c r="N46" s="2617"/>
      <c r="O46" s="2617"/>
      <c r="P46" s="2617"/>
      <c r="Q46" s="2617"/>
      <c r="R46" s="2617"/>
      <c r="S46" s="2617"/>
      <c r="T46" s="2617"/>
      <c r="U46" s="2617"/>
      <c r="V46" s="2617"/>
      <c r="W46" s="2617"/>
    </row>
    <row r="47" spans="1:23" hidden="1" outlineLevel="1">
      <c r="A47" s="2617"/>
      <c r="B47" s="2662" t="s">
        <v>1369</v>
      </c>
      <c r="C47" s="2685" t="s">
        <v>520</v>
      </c>
      <c r="D47" s="2662"/>
      <c r="E47" s="2662"/>
      <c r="F47" s="2662"/>
      <c r="G47" s="2662"/>
      <c r="H47" s="2662"/>
      <c r="I47" s="2617"/>
      <c r="J47" s="2617"/>
      <c r="K47" s="2617"/>
      <c r="L47" s="2617"/>
      <c r="M47" s="2617"/>
      <c r="N47" s="2617"/>
      <c r="O47" s="2617"/>
      <c r="P47" s="2617"/>
      <c r="Q47" s="2617"/>
      <c r="R47" s="2617"/>
      <c r="S47" s="2617"/>
      <c r="T47" s="2617"/>
      <c r="U47" s="2617"/>
      <c r="V47" s="2617"/>
      <c r="W47" s="2617"/>
    </row>
    <row r="48" spans="1:23" collapsed="1">
      <c r="A48" s="2617"/>
      <c r="B48" s="2672" t="s">
        <v>552</v>
      </c>
      <c r="C48" s="2672">
        <f>SUM(C43:C47)</f>
        <v>21621.84150572167</v>
      </c>
      <c r="D48" s="2662"/>
      <c r="E48" s="2662"/>
      <c r="F48" s="2662"/>
      <c r="G48" s="2662"/>
      <c r="H48" s="2662"/>
      <c r="I48" s="2617"/>
      <c r="J48" s="2617"/>
      <c r="K48" s="2617"/>
      <c r="L48" s="2617"/>
      <c r="M48" s="2617"/>
      <c r="N48" s="2617"/>
      <c r="O48" s="2617"/>
      <c r="P48" s="2617"/>
      <c r="Q48" s="2617"/>
      <c r="R48" s="2617"/>
      <c r="S48" s="2617"/>
      <c r="T48" s="2617"/>
      <c r="U48" s="2617"/>
      <c r="V48" s="2617"/>
      <c r="W48" s="2617"/>
    </row>
    <row r="49" spans="1:23">
      <c r="A49" s="2617"/>
      <c r="B49" s="2686" t="s">
        <v>1370</v>
      </c>
      <c r="C49" s="2687">
        <f>C48/C36</f>
        <v>76.605284342680847</v>
      </c>
      <c r="D49" s="2688"/>
      <c r="E49" s="2662"/>
      <c r="F49" s="2662"/>
      <c r="G49" s="2662"/>
      <c r="H49" s="2662"/>
      <c r="I49" s="2617"/>
      <c r="J49" s="2617"/>
      <c r="K49" s="2617"/>
      <c r="L49" s="2617"/>
      <c r="M49" s="2617"/>
      <c r="N49" s="2617"/>
      <c r="O49" s="2617"/>
      <c r="P49" s="2617"/>
      <c r="Q49" s="2617"/>
      <c r="R49" s="2617"/>
      <c r="S49" s="2617"/>
      <c r="T49" s="2617"/>
      <c r="U49" s="2617"/>
      <c r="V49" s="2617"/>
      <c r="W49" s="2617"/>
    </row>
    <row r="50" spans="1:23">
      <c r="A50" s="2617"/>
      <c r="B50" s="2662"/>
      <c r="C50" s="2689"/>
      <c r="D50" s="2617"/>
      <c r="E50" s="2617"/>
      <c r="F50" s="2617"/>
      <c r="G50" s="2617"/>
      <c r="H50" s="2617"/>
      <c r="I50" s="2617"/>
      <c r="J50" s="2617"/>
      <c r="K50" s="2617"/>
      <c r="L50" s="2617"/>
      <c r="M50" s="2617"/>
      <c r="N50" s="2617"/>
      <c r="O50" s="2617"/>
      <c r="P50" s="2617"/>
      <c r="Q50" s="2617"/>
      <c r="R50" s="2617"/>
      <c r="S50" s="2617"/>
      <c r="T50" s="2617"/>
      <c r="U50" s="2617"/>
      <c r="V50" s="2617"/>
      <c r="W50" s="2617"/>
    </row>
    <row r="51" spans="1:23">
      <c r="A51" s="2617"/>
      <c r="B51" s="2662"/>
      <c r="C51" s="2617"/>
      <c r="D51" s="2617"/>
      <c r="E51" s="2617"/>
      <c r="F51" s="2617"/>
      <c r="G51" s="2617"/>
      <c r="H51" s="2617"/>
      <c r="I51" s="2617"/>
      <c r="J51" s="2617"/>
      <c r="K51" s="2617"/>
      <c r="L51" s="2617"/>
      <c r="M51" s="2617"/>
      <c r="N51" s="2617"/>
      <c r="O51" s="2617"/>
      <c r="P51" s="2617"/>
      <c r="Q51" s="2617"/>
      <c r="R51" s="2617"/>
      <c r="S51" s="2617"/>
      <c r="T51" s="2617"/>
      <c r="U51" s="2617"/>
      <c r="V51" s="2617"/>
      <c r="W51" s="2617"/>
    </row>
    <row r="52" spans="1:23">
      <c r="A52" s="2617"/>
      <c r="B52" s="2662"/>
      <c r="C52" s="2617"/>
      <c r="D52" s="2617"/>
      <c r="E52" s="2617"/>
      <c r="F52" s="2617"/>
      <c r="G52" s="2617"/>
      <c r="H52" s="2617"/>
      <c r="I52" s="2617"/>
      <c r="J52" s="2617"/>
      <c r="K52" s="2617"/>
      <c r="L52" s="2617"/>
      <c r="M52" s="2617"/>
      <c r="N52" s="2617"/>
      <c r="O52" s="2617"/>
      <c r="P52" s="2617"/>
      <c r="Q52" s="2617"/>
      <c r="R52" s="2617"/>
      <c r="S52" s="2617"/>
      <c r="T52" s="2617"/>
      <c r="U52" s="2617"/>
      <c r="V52" s="2617"/>
      <c r="W52" s="2617"/>
    </row>
    <row r="53" spans="1:23">
      <c r="A53" s="2617"/>
      <c r="B53" s="2662"/>
      <c r="C53" s="2630"/>
      <c r="D53" s="2630"/>
      <c r="E53" s="2630"/>
      <c r="F53" s="2630"/>
      <c r="G53" s="2630"/>
      <c r="H53" s="2630"/>
      <c r="I53" s="2630"/>
      <c r="J53" s="2630"/>
      <c r="K53" s="2630"/>
      <c r="L53" s="2617"/>
      <c r="M53" s="2617"/>
      <c r="N53" s="2617"/>
      <c r="O53" s="2617"/>
      <c r="P53" s="2617"/>
      <c r="Q53" s="2617"/>
      <c r="R53" s="2617"/>
      <c r="S53" s="2617"/>
      <c r="T53" s="2617"/>
      <c r="U53" s="2617"/>
      <c r="V53" s="2617"/>
      <c r="W53" s="2617"/>
    </row>
    <row r="54" spans="1:23">
      <c r="A54" s="2617"/>
      <c r="B54" s="2662"/>
      <c r="C54" s="2617"/>
      <c r="D54" s="2617"/>
      <c r="E54" s="2617"/>
      <c r="F54" s="2617"/>
      <c r="G54" s="2617"/>
      <c r="H54" s="2617"/>
      <c r="I54" s="2617"/>
      <c r="J54" s="2617"/>
      <c r="K54" s="2617"/>
      <c r="L54" s="2617"/>
      <c r="M54" s="2617"/>
      <c r="N54" s="2617"/>
      <c r="O54" s="2617"/>
      <c r="P54" s="2617"/>
      <c r="Q54" s="2617"/>
      <c r="R54" s="2617"/>
      <c r="S54" s="2617"/>
      <c r="T54" s="2617"/>
      <c r="U54" s="2617"/>
      <c r="V54" s="2617"/>
      <c r="W54" s="2617"/>
    </row>
    <row r="55" spans="1:23">
      <c r="A55" s="2617"/>
      <c r="B55" s="2688"/>
    </row>
    <row r="56" spans="1:23">
      <c r="B56" s="2688"/>
    </row>
    <row r="57" spans="1:23">
      <c r="B57" s="2688"/>
    </row>
    <row r="58" spans="1:23">
      <c r="B58" s="2688"/>
    </row>
    <row r="59" spans="1:23">
      <c r="B59" s="2688"/>
    </row>
    <row r="60" spans="1:23">
      <c r="B60" s="2688"/>
    </row>
    <row r="61" spans="1:23">
      <c r="B61" s="2688"/>
    </row>
  </sheetData>
  <mergeCells count="2">
    <mergeCell ref="C1:G1"/>
    <mergeCell ref="H1:J1"/>
  </mergeCells>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3:M6"/>
  <sheetViews>
    <sheetView workbookViewId="0">
      <selection activeCell="N18" sqref="N18"/>
    </sheetView>
  </sheetViews>
  <sheetFormatPr defaultRowHeight="12.75"/>
  <cols>
    <col min="1" max="1" width="21.28515625" style="2696" customWidth="1"/>
    <col min="2" max="10" width="9.140625" style="2696"/>
    <col min="11" max="11" width="9.85546875" style="2696" bestFit="1" customWidth="1"/>
    <col min="12" max="254" width="9.140625" style="2696"/>
    <col min="255" max="255" width="21.28515625" style="2696" customWidth="1"/>
    <col min="256" max="510" width="9.140625" style="2696"/>
    <col min="511" max="511" width="21.28515625" style="2696" customWidth="1"/>
    <col min="512" max="766" width="9.140625" style="2696"/>
    <col min="767" max="767" width="21.28515625" style="2696" customWidth="1"/>
    <col min="768" max="1022" width="9.140625" style="2696"/>
    <col min="1023" max="1023" width="21.28515625" style="2696" customWidth="1"/>
    <col min="1024" max="1278" width="9.140625" style="2696"/>
    <col min="1279" max="1279" width="21.28515625" style="2696" customWidth="1"/>
    <col min="1280" max="1534" width="9.140625" style="2696"/>
    <col min="1535" max="1535" width="21.28515625" style="2696" customWidth="1"/>
    <col min="1536" max="1790" width="9.140625" style="2696"/>
    <col min="1791" max="1791" width="21.28515625" style="2696" customWidth="1"/>
    <col min="1792" max="2046" width="9.140625" style="2696"/>
    <col min="2047" max="2047" width="21.28515625" style="2696" customWidth="1"/>
    <col min="2048" max="2302" width="9.140625" style="2696"/>
    <col min="2303" max="2303" width="21.28515625" style="2696" customWidth="1"/>
    <col min="2304" max="2558" width="9.140625" style="2696"/>
    <col min="2559" max="2559" width="21.28515625" style="2696" customWidth="1"/>
    <col min="2560" max="2814" width="9.140625" style="2696"/>
    <col min="2815" max="2815" width="21.28515625" style="2696" customWidth="1"/>
    <col min="2816" max="3070" width="9.140625" style="2696"/>
    <col min="3071" max="3071" width="21.28515625" style="2696" customWidth="1"/>
    <col min="3072" max="3326" width="9.140625" style="2696"/>
    <col min="3327" max="3327" width="21.28515625" style="2696" customWidth="1"/>
    <col min="3328" max="3582" width="9.140625" style="2696"/>
    <col min="3583" max="3583" width="21.28515625" style="2696" customWidth="1"/>
    <col min="3584" max="3838" width="9.140625" style="2696"/>
    <col min="3839" max="3839" width="21.28515625" style="2696" customWidth="1"/>
    <col min="3840" max="4094" width="9.140625" style="2696"/>
    <col min="4095" max="4095" width="21.28515625" style="2696" customWidth="1"/>
    <col min="4096" max="4350" width="9.140625" style="2696"/>
    <col min="4351" max="4351" width="21.28515625" style="2696" customWidth="1"/>
    <col min="4352" max="4606" width="9.140625" style="2696"/>
    <col min="4607" max="4607" width="21.28515625" style="2696" customWidth="1"/>
    <col min="4608" max="4862" width="9.140625" style="2696"/>
    <col min="4863" max="4863" width="21.28515625" style="2696" customWidth="1"/>
    <col min="4864" max="5118" width="9.140625" style="2696"/>
    <col min="5119" max="5119" width="21.28515625" style="2696" customWidth="1"/>
    <col min="5120" max="5374" width="9.140625" style="2696"/>
    <col min="5375" max="5375" width="21.28515625" style="2696" customWidth="1"/>
    <col min="5376" max="5630" width="9.140625" style="2696"/>
    <col min="5631" max="5631" width="21.28515625" style="2696" customWidth="1"/>
    <col min="5632" max="5886" width="9.140625" style="2696"/>
    <col min="5887" max="5887" width="21.28515625" style="2696" customWidth="1"/>
    <col min="5888" max="6142" width="9.140625" style="2696"/>
    <col min="6143" max="6143" width="21.28515625" style="2696" customWidth="1"/>
    <col min="6144" max="6398" width="9.140625" style="2696"/>
    <col min="6399" max="6399" width="21.28515625" style="2696" customWidth="1"/>
    <col min="6400" max="6654" width="9.140625" style="2696"/>
    <col min="6655" max="6655" width="21.28515625" style="2696" customWidth="1"/>
    <col min="6656" max="6910" width="9.140625" style="2696"/>
    <col min="6911" max="6911" width="21.28515625" style="2696" customWidth="1"/>
    <col min="6912" max="7166" width="9.140625" style="2696"/>
    <col min="7167" max="7167" width="21.28515625" style="2696" customWidth="1"/>
    <col min="7168" max="7422" width="9.140625" style="2696"/>
    <col min="7423" max="7423" width="21.28515625" style="2696" customWidth="1"/>
    <col min="7424" max="7678" width="9.140625" style="2696"/>
    <col min="7679" max="7679" width="21.28515625" style="2696" customWidth="1"/>
    <col min="7680" max="7934" width="9.140625" style="2696"/>
    <col min="7935" max="7935" width="21.28515625" style="2696" customWidth="1"/>
    <col min="7936" max="8190" width="9.140625" style="2696"/>
    <col min="8191" max="8191" width="21.28515625" style="2696" customWidth="1"/>
    <col min="8192" max="8446" width="9.140625" style="2696"/>
    <col min="8447" max="8447" width="21.28515625" style="2696" customWidth="1"/>
    <col min="8448" max="8702" width="9.140625" style="2696"/>
    <col min="8703" max="8703" width="21.28515625" style="2696" customWidth="1"/>
    <col min="8704" max="8958" width="9.140625" style="2696"/>
    <col min="8959" max="8959" width="21.28515625" style="2696" customWidth="1"/>
    <col min="8960" max="9214" width="9.140625" style="2696"/>
    <col min="9215" max="9215" width="21.28515625" style="2696" customWidth="1"/>
    <col min="9216" max="9470" width="9.140625" style="2696"/>
    <col min="9471" max="9471" width="21.28515625" style="2696" customWidth="1"/>
    <col min="9472" max="9726" width="9.140625" style="2696"/>
    <col min="9727" max="9727" width="21.28515625" style="2696" customWidth="1"/>
    <col min="9728" max="9982" width="9.140625" style="2696"/>
    <col min="9983" max="9983" width="21.28515625" style="2696" customWidth="1"/>
    <col min="9984" max="10238" width="9.140625" style="2696"/>
    <col min="10239" max="10239" width="21.28515625" style="2696" customWidth="1"/>
    <col min="10240" max="10494" width="9.140625" style="2696"/>
    <col min="10495" max="10495" width="21.28515625" style="2696" customWidth="1"/>
    <col min="10496" max="10750" width="9.140625" style="2696"/>
    <col min="10751" max="10751" width="21.28515625" style="2696" customWidth="1"/>
    <col min="10752" max="11006" width="9.140625" style="2696"/>
    <col min="11007" max="11007" width="21.28515625" style="2696" customWidth="1"/>
    <col min="11008" max="11262" width="9.140625" style="2696"/>
    <col min="11263" max="11263" width="21.28515625" style="2696" customWidth="1"/>
    <col min="11264" max="11518" width="9.140625" style="2696"/>
    <col min="11519" max="11519" width="21.28515625" style="2696" customWidth="1"/>
    <col min="11520" max="11774" width="9.140625" style="2696"/>
    <col min="11775" max="11775" width="21.28515625" style="2696" customWidth="1"/>
    <col min="11776" max="12030" width="9.140625" style="2696"/>
    <col min="12031" max="12031" width="21.28515625" style="2696" customWidth="1"/>
    <col min="12032" max="12286" width="9.140625" style="2696"/>
    <col min="12287" max="12287" width="21.28515625" style="2696" customWidth="1"/>
    <col min="12288" max="12542" width="9.140625" style="2696"/>
    <col min="12543" max="12543" width="21.28515625" style="2696" customWidth="1"/>
    <col min="12544" max="12798" width="9.140625" style="2696"/>
    <col min="12799" max="12799" width="21.28515625" style="2696" customWidth="1"/>
    <col min="12800" max="13054" width="9.140625" style="2696"/>
    <col min="13055" max="13055" width="21.28515625" style="2696" customWidth="1"/>
    <col min="13056" max="13310" width="9.140625" style="2696"/>
    <col min="13311" max="13311" width="21.28515625" style="2696" customWidth="1"/>
    <col min="13312" max="13566" width="9.140625" style="2696"/>
    <col min="13567" max="13567" width="21.28515625" style="2696" customWidth="1"/>
    <col min="13568" max="13822" width="9.140625" style="2696"/>
    <col min="13823" max="13823" width="21.28515625" style="2696" customWidth="1"/>
    <col min="13824" max="14078" width="9.140625" style="2696"/>
    <col min="14079" max="14079" width="21.28515625" style="2696" customWidth="1"/>
    <col min="14080" max="14334" width="9.140625" style="2696"/>
    <col min="14335" max="14335" width="21.28515625" style="2696" customWidth="1"/>
    <col min="14336" max="14590" width="9.140625" style="2696"/>
    <col min="14591" max="14591" width="21.28515625" style="2696" customWidth="1"/>
    <col min="14592" max="14846" width="9.140625" style="2696"/>
    <col min="14847" max="14847" width="21.28515625" style="2696" customWidth="1"/>
    <col min="14848" max="15102" width="9.140625" style="2696"/>
    <col min="15103" max="15103" width="21.28515625" style="2696" customWidth="1"/>
    <col min="15104" max="15358" width="9.140625" style="2696"/>
    <col min="15359" max="15359" width="21.28515625" style="2696" customWidth="1"/>
    <col min="15360" max="15614" width="9.140625" style="2696"/>
    <col min="15615" max="15615" width="21.28515625" style="2696" customWidth="1"/>
    <col min="15616" max="15870" width="9.140625" style="2696"/>
    <col min="15871" max="15871" width="21.28515625" style="2696" customWidth="1"/>
    <col min="15872" max="16126" width="9.140625" style="2696"/>
    <col min="16127" max="16127" width="21.28515625" style="2696" customWidth="1"/>
    <col min="16128" max="16384" width="9.140625" style="2696"/>
  </cols>
  <sheetData>
    <row r="3" spans="1:13">
      <c r="B3" s="46" t="s">
        <v>1259</v>
      </c>
      <c r="C3" s="46" t="s">
        <v>1260</v>
      </c>
      <c r="D3" s="46" t="s">
        <v>1261</v>
      </c>
      <c r="E3" s="46" t="s">
        <v>1262</v>
      </c>
      <c r="F3" s="46" t="s">
        <v>1289</v>
      </c>
      <c r="G3" s="46" t="s">
        <v>1290</v>
      </c>
      <c r="H3" s="46" t="s">
        <v>1291</v>
      </c>
      <c r="I3" s="46" t="s">
        <v>1292</v>
      </c>
      <c r="J3" s="46" t="s">
        <v>1319</v>
      </c>
      <c r="K3" s="46" t="s">
        <v>1320</v>
      </c>
      <c r="L3" s="46" t="s">
        <v>1321</v>
      </c>
      <c r="M3" s="46" t="s">
        <v>1322</v>
      </c>
    </row>
    <row r="4" spans="1:13">
      <c r="A4" s="25" t="s">
        <v>1372</v>
      </c>
      <c r="B4" s="481">
        <f>-663.478388509079%/100</f>
        <v>-6.6347838850907892E-2</v>
      </c>
      <c r="C4" s="2697">
        <f>286.635461161797%/100</f>
        <v>2.8663546116179703E-2</v>
      </c>
      <c r="D4" s="481">
        <f>914.887296248417%/100</f>
        <v>9.1488729624841697E-2</v>
      </c>
      <c r="E4" s="481">
        <f>832.420929859827%/100</f>
        <v>8.3242092985982688E-2</v>
      </c>
      <c r="F4" s="127">
        <f>11.1752760948498/100</f>
        <v>0.111752760948498</v>
      </c>
      <c r="G4" s="127">
        <f>8.90302196162549/100</f>
        <v>8.9030219616254888E-2</v>
      </c>
      <c r="H4" s="127">
        <f>1.89171124232308/100</f>
        <v>1.8917112423230801E-2</v>
      </c>
      <c r="I4" s="127">
        <f>+-2.29566234261664/100</f>
        <v>-2.29566234261664E-2</v>
      </c>
      <c r="J4" s="481">
        <f>+-938.216693856431%/100</f>
        <v>-9.3821669385643111E-2</v>
      </c>
      <c r="K4" s="481">
        <f>work!DG11/100</f>
        <v>-7.1474419388669386E-2</v>
      </c>
      <c r="L4" s="481">
        <f>work!DG12/100</f>
        <v>3.9035573888656749E-2</v>
      </c>
      <c r="M4" s="481">
        <f>work!DG13/100</f>
        <v>0.13095496567188425</v>
      </c>
    </row>
    <row r="5" spans="1:13">
      <c r="A5" s="25" t="s">
        <v>1373</v>
      </c>
      <c r="B5" s="481">
        <f>336.132883242359%/100</f>
        <v>3.36132883242359E-2</v>
      </c>
      <c r="C5" s="481">
        <f>701.744096537464%/100</f>
        <v>7.0174409653746397E-2</v>
      </c>
      <c r="D5" s="481">
        <f>802.111738805042%/100</f>
        <v>8.0211173880504208E-2</v>
      </c>
      <c r="E5" s="481">
        <f>405.56717340668%/100</f>
        <v>4.0556717340668007E-2</v>
      </c>
      <c r="F5" s="2697">
        <f>450.257970654957%/100</f>
        <v>4.5025797065495698E-2</v>
      </c>
      <c r="G5" s="2697">
        <f>400.568187542185%/100</f>
        <v>4.0056818754218494E-2</v>
      </c>
      <c r="H5" s="481">
        <f>214.887740472838%/100</f>
        <v>2.1488774047283797E-2</v>
      </c>
      <c r="I5" s="481">
        <f>+-678.288249168361%/100</f>
        <v>-6.7828824916836089E-2</v>
      </c>
      <c r="J5" s="481">
        <f>+-466.283518540052%/100</f>
        <v>-4.6628351854005198E-2</v>
      </c>
      <c r="K5" s="481">
        <f>'qtrP&amp;L'!DO12/100</f>
        <v>1.4260092778747957E-2</v>
      </c>
      <c r="L5" s="481">
        <f>'qtrP&amp;L'!DO13/100</f>
        <v>7.4310783669299996E-2</v>
      </c>
      <c r="M5" s="481">
        <f>+'qtrP&amp;L'!DS10/100</f>
        <v>6.8827999079489777E-2</v>
      </c>
    </row>
    <row r="6" spans="1:13">
      <c r="A6" s="25" t="s">
        <v>363</v>
      </c>
      <c r="B6" s="1145">
        <f>B5-B4</f>
        <v>9.9961127175143799E-2</v>
      </c>
      <c r="C6" s="1145">
        <f t="shared" ref="C6:M6" si="0">C5-C4</f>
        <v>4.1510863537566695E-2</v>
      </c>
      <c r="D6" s="1145">
        <f t="shared" si="0"/>
        <v>-1.1277555744337489E-2</v>
      </c>
      <c r="E6" s="1145">
        <f t="shared" si="0"/>
        <v>-4.2685375645314681E-2</v>
      </c>
      <c r="F6" s="1145">
        <f t="shared" si="0"/>
        <v>-6.6726963883002297E-2</v>
      </c>
      <c r="G6" s="1145">
        <f t="shared" si="0"/>
        <v>-4.8973400862036394E-2</v>
      </c>
      <c r="H6" s="1145">
        <f t="shared" si="0"/>
        <v>2.5716616240529962E-3</v>
      </c>
      <c r="I6" s="1145">
        <f t="shared" si="0"/>
        <v>-4.4872201490669686E-2</v>
      </c>
      <c r="J6" s="1145">
        <f t="shared" si="0"/>
        <v>4.7193317531637913E-2</v>
      </c>
      <c r="K6" s="1145">
        <f t="shared" si="0"/>
        <v>8.5734512167417343E-2</v>
      </c>
      <c r="L6" s="1145">
        <f t="shared" si="0"/>
        <v>3.5275209780643246E-2</v>
      </c>
      <c r="M6" s="1145">
        <f t="shared" si="0"/>
        <v>-6.2126966592394472E-2</v>
      </c>
    </row>
  </sheetData>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1" bestFit="1" customWidth="1"/>
    <col min="2" max="2" width="19.85546875" style="2954" customWidth="1"/>
    <col min="3" max="3" width="12" style="1" bestFit="1" customWidth="1"/>
    <col min="4" max="256" width="9.140625" style="1"/>
    <col min="257" max="257" width="29.5703125" style="1" bestFit="1" customWidth="1"/>
    <col min="258" max="258" width="19.85546875" style="1" customWidth="1"/>
    <col min="259" max="259" width="12" style="1" bestFit="1" customWidth="1"/>
    <col min="260" max="512" width="9.140625" style="1"/>
    <col min="513" max="513" width="29.5703125" style="1" bestFit="1" customWidth="1"/>
    <col min="514" max="514" width="19.85546875" style="1" customWidth="1"/>
    <col min="515" max="515" width="12" style="1" bestFit="1" customWidth="1"/>
    <col min="516" max="768" width="9.140625" style="1"/>
    <col min="769" max="769" width="29.5703125" style="1" bestFit="1" customWidth="1"/>
    <col min="770" max="770" width="19.85546875" style="1" customWidth="1"/>
    <col min="771" max="771" width="12" style="1" bestFit="1" customWidth="1"/>
    <col min="772" max="1024" width="9.140625" style="1"/>
    <col min="1025" max="1025" width="29.5703125" style="1" bestFit="1" customWidth="1"/>
    <col min="1026" max="1026" width="19.85546875" style="1" customWidth="1"/>
    <col min="1027" max="1027" width="12" style="1" bestFit="1" customWidth="1"/>
    <col min="1028" max="1280" width="9.140625" style="1"/>
    <col min="1281" max="1281" width="29.5703125" style="1" bestFit="1" customWidth="1"/>
    <col min="1282" max="1282" width="19.85546875" style="1" customWidth="1"/>
    <col min="1283" max="1283" width="12" style="1" bestFit="1" customWidth="1"/>
    <col min="1284" max="1536" width="9.140625" style="1"/>
    <col min="1537" max="1537" width="29.5703125" style="1" bestFit="1" customWidth="1"/>
    <col min="1538" max="1538" width="19.85546875" style="1" customWidth="1"/>
    <col min="1539" max="1539" width="12" style="1" bestFit="1" customWidth="1"/>
    <col min="1540" max="1792" width="9.140625" style="1"/>
    <col min="1793" max="1793" width="29.5703125" style="1" bestFit="1" customWidth="1"/>
    <col min="1794" max="1794" width="19.85546875" style="1" customWidth="1"/>
    <col min="1795" max="1795" width="12" style="1" bestFit="1" customWidth="1"/>
    <col min="1796" max="2048" width="9.140625" style="1"/>
    <col min="2049" max="2049" width="29.5703125" style="1" bestFit="1" customWidth="1"/>
    <col min="2050" max="2050" width="19.85546875" style="1" customWidth="1"/>
    <col min="2051" max="2051" width="12" style="1" bestFit="1" customWidth="1"/>
    <col min="2052" max="2304" width="9.140625" style="1"/>
    <col min="2305" max="2305" width="29.5703125" style="1" bestFit="1" customWidth="1"/>
    <col min="2306" max="2306" width="19.85546875" style="1" customWidth="1"/>
    <col min="2307" max="2307" width="12" style="1" bestFit="1" customWidth="1"/>
    <col min="2308" max="2560" width="9.140625" style="1"/>
    <col min="2561" max="2561" width="29.5703125" style="1" bestFit="1" customWidth="1"/>
    <col min="2562" max="2562" width="19.85546875" style="1" customWidth="1"/>
    <col min="2563" max="2563" width="12" style="1" bestFit="1" customWidth="1"/>
    <col min="2564" max="2816" width="9.140625" style="1"/>
    <col min="2817" max="2817" width="29.5703125" style="1" bestFit="1" customWidth="1"/>
    <col min="2818" max="2818" width="19.85546875" style="1" customWidth="1"/>
    <col min="2819" max="2819" width="12" style="1" bestFit="1" customWidth="1"/>
    <col min="2820" max="3072" width="9.140625" style="1"/>
    <col min="3073" max="3073" width="29.5703125" style="1" bestFit="1" customWidth="1"/>
    <col min="3074" max="3074" width="19.85546875" style="1" customWidth="1"/>
    <col min="3075" max="3075" width="12" style="1" bestFit="1" customWidth="1"/>
    <col min="3076" max="3328" width="9.140625" style="1"/>
    <col min="3329" max="3329" width="29.5703125" style="1" bestFit="1" customWidth="1"/>
    <col min="3330" max="3330" width="19.85546875" style="1" customWidth="1"/>
    <col min="3331" max="3331" width="12" style="1" bestFit="1" customWidth="1"/>
    <col min="3332" max="3584" width="9.140625" style="1"/>
    <col min="3585" max="3585" width="29.5703125" style="1" bestFit="1" customWidth="1"/>
    <col min="3586" max="3586" width="19.85546875" style="1" customWidth="1"/>
    <col min="3587" max="3587" width="12" style="1" bestFit="1" customWidth="1"/>
    <col min="3588" max="3840" width="9.140625" style="1"/>
    <col min="3841" max="3841" width="29.5703125" style="1" bestFit="1" customWidth="1"/>
    <col min="3842" max="3842" width="19.85546875" style="1" customWidth="1"/>
    <col min="3843" max="3843" width="12" style="1" bestFit="1" customWidth="1"/>
    <col min="3844" max="4096" width="9.140625" style="1"/>
    <col min="4097" max="4097" width="29.5703125" style="1" bestFit="1" customWidth="1"/>
    <col min="4098" max="4098" width="19.85546875" style="1" customWidth="1"/>
    <col min="4099" max="4099" width="12" style="1" bestFit="1" customWidth="1"/>
    <col min="4100" max="4352" width="9.140625" style="1"/>
    <col min="4353" max="4353" width="29.5703125" style="1" bestFit="1" customWidth="1"/>
    <col min="4354" max="4354" width="19.85546875" style="1" customWidth="1"/>
    <col min="4355" max="4355" width="12" style="1" bestFit="1" customWidth="1"/>
    <col min="4356" max="4608" width="9.140625" style="1"/>
    <col min="4609" max="4609" width="29.5703125" style="1" bestFit="1" customWidth="1"/>
    <col min="4610" max="4610" width="19.85546875" style="1" customWidth="1"/>
    <col min="4611" max="4611" width="12" style="1" bestFit="1" customWidth="1"/>
    <col min="4612" max="4864" width="9.140625" style="1"/>
    <col min="4865" max="4865" width="29.5703125" style="1" bestFit="1" customWidth="1"/>
    <col min="4866" max="4866" width="19.85546875" style="1" customWidth="1"/>
    <col min="4867" max="4867" width="12" style="1" bestFit="1" customWidth="1"/>
    <col min="4868" max="5120" width="9.140625" style="1"/>
    <col min="5121" max="5121" width="29.5703125" style="1" bestFit="1" customWidth="1"/>
    <col min="5122" max="5122" width="19.85546875" style="1" customWidth="1"/>
    <col min="5123" max="5123" width="12" style="1" bestFit="1" customWidth="1"/>
    <col min="5124" max="5376" width="9.140625" style="1"/>
    <col min="5377" max="5377" width="29.5703125" style="1" bestFit="1" customWidth="1"/>
    <col min="5378" max="5378" width="19.85546875" style="1" customWidth="1"/>
    <col min="5379" max="5379" width="12" style="1" bestFit="1" customWidth="1"/>
    <col min="5380" max="5632" width="9.140625" style="1"/>
    <col min="5633" max="5633" width="29.5703125" style="1" bestFit="1" customWidth="1"/>
    <col min="5634" max="5634" width="19.85546875" style="1" customWidth="1"/>
    <col min="5635" max="5635" width="12" style="1" bestFit="1" customWidth="1"/>
    <col min="5636" max="5888" width="9.140625" style="1"/>
    <col min="5889" max="5889" width="29.5703125" style="1" bestFit="1" customWidth="1"/>
    <col min="5890" max="5890" width="19.85546875" style="1" customWidth="1"/>
    <col min="5891" max="5891" width="12" style="1" bestFit="1" customWidth="1"/>
    <col min="5892" max="6144" width="9.140625" style="1"/>
    <col min="6145" max="6145" width="29.5703125" style="1" bestFit="1" customWidth="1"/>
    <col min="6146" max="6146" width="19.85546875" style="1" customWidth="1"/>
    <col min="6147" max="6147" width="12" style="1" bestFit="1" customWidth="1"/>
    <col min="6148" max="6400" width="9.140625" style="1"/>
    <col min="6401" max="6401" width="29.5703125" style="1" bestFit="1" customWidth="1"/>
    <col min="6402" max="6402" width="19.85546875" style="1" customWidth="1"/>
    <col min="6403" max="6403" width="12" style="1" bestFit="1" customWidth="1"/>
    <col min="6404" max="6656" width="9.140625" style="1"/>
    <col min="6657" max="6657" width="29.5703125" style="1" bestFit="1" customWidth="1"/>
    <col min="6658" max="6658" width="19.85546875" style="1" customWidth="1"/>
    <col min="6659" max="6659" width="12" style="1" bestFit="1" customWidth="1"/>
    <col min="6660" max="6912" width="9.140625" style="1"/>
    <col min="6913" max="6913" width="29.5703125" style="1" bestFit="1" customWidth="1"/>
    <col min="6914" max="6914" width="19.85546875" style="1" customWidth="1"/>
    <col min="6915" max="6915" width="12" style="1" bestFit="1" customWidth="1"/>
    <col min="6916" max="7168" width="9.140625" style="1"/>
    <col min="7169" max="7169" width="29.5703125" style="1" bestFit="1" customWidth="1"/>
    <col min="7170" max="7170" width="19.85546875" style="1" customWidth="1"/>
    <col min="7171" max="7171" width="12" style="1" bestFit="1" customWidth="1"/>
    <col min="7172" max="7424" width="9.140625" style="1"/>
    <col min="7425" max="7425" width="29.5703125" style="1" bestFit="1" customWidth="1"/>
    <col min="7426" max="7426" width="19.85546875" style="1" customWidth="1"/>
    <col min="7427" max="7427" width="12" style="1" bestFit="1" customWidth="1"/>
    <col min="7428" max="7680" width="9.140625" style="1"/>
    <col min="7681" max="7681" width="29.5703125" style="1" bestFit="1" customWidth="1"/>
    <col min="7682" max="7682" width="19.85546875" style="1" customWidth="1"/>
    <col min="7683" max="7683" width="12" style="1" bestFit="1" customWidth="1"/>
    <col min="7684" max="7936" width="9.140625" style="1"/>
    <col min="7937" max="7937" width="29.5703125" style="1" bestFit="1" customWidth="1"/>
    <col min="7938" max="7938" width="19.85546875" style="1" customWidth="1"/>
    <col min="7939" max="7939" width="12" style="1" bestFit="1" customWidth="1"/>
    <col min="7940" max="8192" width="9.140625" style="1"/>
    <col min="8193" max="8193" width="29.5703125" style="1" bestFit="1" customWidth="1"/>
    <col min="8194" max="8194" width="19.85546875" style="1" customWidth="1"/>
    <col min="8195" max="8195" width="12" style="1" bestFit="1" customWidth="1"/>
    <col min="8196" max="8448" width="9.140625" style="1"/>
    <col min="8449" max="8449" width="29.5703125" style="1" bestFit="1" customWidth="1"/>
    <col min="8450" max="8450" width="19.85546875" style="1" customWidth="1"/>
    <col min="8451" max="8451" width="12" style="1" bestFit="1" customWidth="1"/>
    <col min="8452" max="8704" width="9.140625" style="1"/>
    <col min="8705" max="8705" width="29.5703125" style="1" bestFit="1" customWidth="1"/>
    <col min="8706" max="8706" width="19.85546875" style="1" customWidth="1"/>
    <col min="8707" max="8707" width="12" style="1" bestFit="1" customWidth="1"/>
    <col min="8708" max="8960" width="9.140625" style="1"/>
    <col min="8961" max="8961" width="29.5703125" style="1" bestFit="1" customWidth="1"/>
    <col min="8962" max="8962" width="19.85546875" style="1" customWidth="1"/>
    <col min="8963" max="8963" width="12" style="1" bestFit="1" customWidth="1"/>
    <col min="8964" max="9216" width="9.140625" style="1"/>
    <col min="9217" max="9217" width="29.5703125" style="1" bestFit="1" customWidth="1"/>
    <col min="9218" max="9218" width="19.85546875" style="1" customWidth="1"/>
    <col min="9219" max="9219" width="12" style="1" bestFit="1" customWidth="1"/>
    <col min="9220" max="9472" width="9.140625" style="1"/>
    <col min="9473" max="9473" width="29.5703125" style="1" bestFit="1" customWidth="1"/>
    <col min="9474" max="9474" width="19.85546875" style="1" customWidth="1"/>
    <col min="9475" max="9475" width="12" style="1" bestFit="1" customWidth="1"/>
    <col min="9476" max="9728" width="9.140625" style="1"/>
    <col min="9729" max="9729" width="29.5703125" style="1" bestFit="1" customWidth="1"/>
    <col min="9730" max="9730" width="19.85546875" style="1" customWidth="1"/>
    <col min="9731" max="9731" width="12" style="1" bestFit="1" customWidth="1"/>
    <col min="9732" max="9984" width="9.140625" style="1"/>
    <col min="9985" max="9985" width="29.5703125" style="1" bestFit="1" customWidth="1"/>
    <col min="9986" max="9986" width="19.85546875" style="1" customWidth="1"/>
    <col min="9987" max="9987" width="12" style="1" bestFit="1" customWidth="1"/>
    <col min="9988" max="10240" width="9.140625" style="1"/>
    <col min="10241" max="10241" width="29.5703125" style="1" bestFit="1" customWidth="1"/>
    <col min="10242" max="10242" width="19.85546875" style="1" customWidth="1"/>
    <col min="10243" max="10243" width="12" style="1" bestFit="1" customWidth="1"/>
    <col min="10244" max="10496" width="9.140625" style="1"/>
    <col min="10497" max="10497" width="29.5703125" style="1" bestFit="1" customWidth="1"/>
    <col min="10498" max="10498" width="19.85546875" style="1" customWidth="1"/>
    <col min="10499" max="10499" width="12" style="1" bestFit="1" customWidth="1"/>
    <col min="10500" max="10752" width="9.140625" style="1"/>
    <col min="10753" max="10753" width="29.5703125" style="1" bestFit="1" customWidth="1"/>
    <col min="10754" max="10754" width="19.85546875" style="1" customWidth="1"/>
    <col min="10755" max="10755" width="12" style="1" bestFit="1" customWidth="1"/>
    <col min="10756" max="11008" width="9.140625" style="1"/>
    <col min="11009" max="11009" width="29.5703125" style="1" bestFit="1" customWidth="1"/>
    <col min="11010" max="11010" width="19.85546875" style="1" customWidth="1"/>
    <col min="11011" max="11011" width="12" style="1" bestFit="1" customWidth="1"/>
    <col min="11012" max="11264" width="9.140625" style="1"/>
    <col min="11265" max="11265" width="29.5703125" style="1" bestFit="1" customWidth="1"/>
    <col min="11266" max="11266" width="19.85546875" style="1" customWidth="1"/>
    <col min="11267" max="11267" width="12" style="1" bestFit="1" customWidth="1"/>
    <col min="11268" max="11520" width="9.140625" style="1"/>
    <col min="11521" max="11521" width="29.5703125" style="1" bestFit="1" customWidth="1"/>
    <col min="11522" max="11522" width="19.85546875" style="1" customWidth="1"/>
    <col min="11523" max="11523" width="12" style="1" bestFit="1" customWidth="1"/>
    <col min="11524" max="11776" width="9.140625" style="1"/>
    <col min="11777" max="11777" width="29.5703125" style="1" bestFit="1" customWidth="1"/>
    <col min="11778" max="11778" width="19.85546875" style="1" customWidth="1"/>
    <col min="11779" max="11779" width="12" style="1" bestFit="1" customWidth="1"/>
    <col min="11780" max="12032" width="9.140625" style="1"/>
    <col min="12033" max="12033" width="29.5703125" style="1" bestFit="1" customWidth="1"/>
    <col min="12034" max="12034" width="19.85546875" style="1" customWidth="1"/>
    <col min="12035" max="12035" width="12" style="1" bestFit="1" customWidth="1"/>
    <col min="12036" max="12288" width="9.140625" style="1"/>
    <col min="12289" max="12289" width="29.5703125" style="1" bestFit="1" customWidth="1"/>
    <col min="12290" max="12290" width="19.85546875" style="1" customWidth="1"/>
    <col min="12291" max="12291" width="12" style="1" bestFit="1" customWidth="1"/>
    <col min="12292" max="12544" width="9.140625" style="1"/>
    <col min="12545" max="12545" width="29.5703125" style="1" bestFit="1" customWidth="1"/>
    <col min="12546" max="12546" width="19.85546875" style="1" customWidth="1"/>
    <col min="12547" max="12547" width="12" style="1" bestFit="1" customWidth="1"/>
    <col min="12548" max="12800" width="9.140625" style="1"/>
    <col min="12801" max="12801" width="29.5703125" style="1" bestFit="1" customWidth="1"/>
    <col min="12802" max="12802" width="19.85546875" style="1" customWidth="1"/>
    <col min="12803" max="12803" width="12" style="1" bestFit="1" customWidth="1"/>
    <col min="12804" max="13056" width="9.140625" style="1"/>
    <col min="13057" max="13057" width="29.5703125" style="1" bestFit="1" customWidth="1"/>
    <col min="13058" max="13058" width="19.85546875" style="1" customWidth="1"/>
    <col min="13059" max="13059" width="12" style="1" bestFit="1" customWidth="1"/>
    <col min="13060" max="13312" width="9.140625" style="1"/>
    <col min="13313" max="13313" width="29.5703125" style="1" bestFit="1" customWidth="1"/>
    <col min="13314" max="13314" width="19.85546875" style="1" customWidth="1"/>
    <col min="13315" max="13315" width="12" style="1" bestFit="1" customWidth="1"/>
    <col min="13316" max="13568" width="9.140625" style="1"/>
    <col min="13569" max="13569" width="29.5703125" style="1" bestFit="1" customWidth="1"/>
    <col min="13570" max="13570" width="19.85546875" style="1" customWidth="1"/>
    <col min="13571" max="13571" width="12" style="1" bestFit="1" customWidth="1"/>
    <col min="13572" max="13824" width="9.140625" style="1"/>
    <col min="13825" max="13825" width="29.5703125" style="1" bestFit="1" customWidth="1"/>
    <col min="13826" max="13826" width="19.85546875" style="1" customWidth="1"/>
    <col min="13827" max="13827" width="12" style="1" bestFit="1" customWidth="1"/>
    <col min="13828" max="14080" width="9.140625" style="1"/>
    <col min="14081" max="14081" width="29.5703125" style="1" bestFit="1" customWidth="1"/>
    <col min="14082" max="14082" width="19.85546875" style="1" customWidth="1"/>
    <col min="14083" max="14083" width="12" style="1" bestFit="1" customWidth="1"/>
    <col min="14084" max="14336" width="9.140625" style="1"/>
    <col min="14337" max="14337" width="29.5703125" style="1" bestFit="1" customWidth="1"/>
    <col min="14338" max="14338" width="19.85546875" style="1" customWidth="1"/>
    <col min="14339" max="14339" width="12" style="1" bestFit="1" customWidth="1"/>
    <col min="14340" max="14592" width="9.140625" style="1"/>
    <col min="14593" max="14593" width="29.5703125" style="1" bestFit="1" customWidth="1"/>
    <col min="14594" max="14594" width="19.85546875" style="1" customWidth="1"/>
    <col min="14595" max="14595" width="12" style="1" bestFit="1" customWidth="1"/>
    <col min="14596" max="14848" width="9.140625" style="1"/>
    <col min="14849" max="14849" width="29.5703125" style="1" bestFit="1" customWidth="1"/>
    <col min="14850" max="14850" width="19.85546875" style="1" customWidth="1"/>
    <col min="14851" max="14851" width="12" style="1" bestFit="1" customWidth="1"/>
    <col min="14852" max="15104" width="9.140625" style="1"/>
    <col min="15105" max="15105" width="29.5703125" style="1" bestFit="1" customWidth="1"/>
    <col min="15106" max="15106" width="19.85546875" style="1" customWidth="1"/>
    <col min="15107" max="15107" width="12" style="1" bestFit="1" customWidth="1"/>
    <col min="15108" max="15360" width="9.140625" style="1"/>
    <col min="15361" max="15361" width="29.5703125" style="1" bestFit="1" customWidth="1"/>
    <col min="15362" max="15362" width="19.85546875" style="1" customWidth="1"/>
    <col min="15363" max="15363" width="12" style="1" bestFit="1" customWidth="1"/>
    <col min="15364" max="15616" width="9.140625" style="1"/>
    <col min="15617" max="15617" width="29.5703125" style="1" bestFit="1" customWidth="1"/>
    <col min="15618" max="15618" width="19.85546875" style="1" customWidth="1"/>
    <col min="15619" max="15619" width="12" style="1" bestFit="1" customWidth="1"/>
    <col min="15620" max="15872" width="9.140625" style="1"/>
    <col min="15873" max="15873" width="29.5703125" style="1" bestFit="1" customWidth="1"/>
    <col min="15874" max="15874" width="19.85546875" style="1" customWidth="1"/>
    <col min="15875" max="15875" width="12" style="1" bestFit="1" customWidth="1"/>
    <col min="15876" max="16128" width="9.140625" style="1"/>
    <col min="16129" max="16129" width="29.5703125" style="1" bestFit="1" customWidth="1"/>
    <col min="16130" max="16130" width="19.85546875" style="1" customWidth="1"/>
    <col min="16131" max="16131" width="12" style="1" bestFit="1" customWidth="1"/>
    <col min="16132" max="16384" width="9.140625" style="1"/>
  </cols>
  <sheetData>
    <row r="1" spans="1:2">
      <c r="A1" s="1" t="s">
        <v>1726</v>
      </c>
      <c r="B1" s="2953">
        <v>6.1</v>
      </c>
    </row>
    <row r="2" spans="1:2">
      <c r="A2" s="1" t="s">
        <v>1727</v>
      </c>
      <c r="B2" s="2956">
        <v>43202.669953703706</v>
      </c>
    </row>
    <row r="3" spans="1:2">
      <c r="A3" s="1" t="s">
        <v>1728</v>
      </c>
      <c r="B3" s="2954" t="s">
        <v>1434</v>
      </c>
    </row>
    <row r="4" spans="1:2">
      <c r="A4" s="1" t="s">
        <v>1729</v>
      </c>
      <c r="B4" s="2954" t="s">
        <v>1730</v>
      </c>
    </row>
    <row r="5" spans="1:2">
      <c r="A5" s="1" t="s">
        <v>1731</v>
      </c>
      <c r="B5" s="2954" t="s">
        <v>1336</v>
      </c>
    </row>
    <row r="6" spans="1:2">
      <c r="A6" s="1" t="s">
        <v>1732</v>
      </c>
    </row>
    <row r="7" spans="1:2">
      <c r="A7" s="1" t="s">
        <v>1733</v>
      </c>
      <c r="B7" s="2954" t="s">
        <v>152</v>
      </c>
    </row>
    <row r="8" spans="1:2">
      <c r="A8" s="1" t="s">
        <v>1734</v>
      </c>
      <c r="B8" s="2954" t="s">
        <v>1735</v>
      </c>
    </row>
    <row r="9" spans="1:2">
      <c r="A9" s="1" t="s">
        <v>1736</v>
      </c>
      <c r="B9" s="2954" t="s">
        <v>1773</v>
      </c>
    </row>
    <row r="10" spans="1:2">
      <c r="A10" s="1" t="s">
        <v>1737</v>
      </c>
    </row>
    <row r="11" spans="1:2">
      <c r="A11" s="1" t="s">
        <v>1738</v>
      </c>
    </row>
    <row r="12" spans="1:2">
      <c r="A12" s="1" t="s">
        <v>1739</v>
      </c>
    </row>
    <row r="13" spans="1:2">
      <c r="A13" s="1" t="s">
        <v>1740</v>
      </c>
    </row>
    <row r="14" spans="1:2">
      <c r="A14" s="1" t="s">
        <v>1741</v>
      </c>
    </row>
    <row r="15" spans="1:2">
      <c r="A15" s="1" t="s">
        <v>1742</v>
      </c>
    </row>
    <row r="16" spans="1:2">
      <c r="A16" s="1" t="s">
        <v>1743</v>
      </c>
    </row>
    <row r="17" spans="1:4">
      <c r="A17" s="1" t="s">
        <v>1744</v>
      </c>
      <c r="B17" s="2954" t="s">
        <v>1774</v>
      </c>
    </row>
    <row r="18" spans="1:4">
      <c r="A18" s="1" t="s">
        <v>1745</v>
      </c>
      <c r="B18" s="2954" t="s">
        <v>1433</v>
      </c>
    </row>
    <row r="19" spans="1:4">
      <c r="A19" s="1" t="s">
        <v>1746</v>
      </c>
      <c r="B19" s="2954" t="s">
        <v>742</v>
      </c>
    </row>
    <row r="20" spans="1:4">
      <c r="A20" s="1" t="s">
        <v>1747</v>
      </c>
      <c r="B20" s="2955">
        <v>501797104</v>
      </c>
    </row>
    <row r="21" spans="1:4">
      <c r="A21" s="1" t="s">
        <v>1748</v>
      </c>
      <c r="B21" s="2954" t="s">
        <v>742</v>
      </c>
    </row>
    <row r="22" spans="1:4">
      <c r="A22" s="1" t="s">
        <v>1749</v>
      </c>
      <c r="B22" s="2955" t="s">
        <v>302</v>
      </c>
    </row>
    <row r="23" spans="1:4">
      <c r="A23" s="1" t="s">
        <v>165</v>
      </c>
      <c r="B23" s="2953">
        <v>36.17</v>
      </c>
    </row>
    <row r="24" spans="1:4">
      <c r="A24" s="1" t="s">
        <v>745</v>
      </c>
      <c r="B24" s="2954" t="s">
        <v>413</v>
      </c>
      <c r="D24" s="1" t="s">
        <v>533</v>
      </c>
    </row>
    <row r="25" spans="1:4">
      <c r="A25" s="1" t="s">
        <v>1750</v>
      </c>
      <c r="B25" s="2954" t="s">
        <v>1776</v>
      </c>
    </row>
    <row r="26" spans="1:4">
      <c r="A26" s="1" t="s">
        <v>1751</v>
      </c>
      <c r="B26" s="2954">
        <v>0</v>
      </c>
    </row>
    <row r="27" spans="1:4">
      <c r="A27" s="1" t="s">
        <v>1752</v>
      </c>
      <c r="B27" s="2954" t="s">
        <v>1753</v>
      </c>
    </row>
    <row r="28" spans="1:4">
      <c r="A28" s="1" t="s">
        <v>1754</v>
      </c>
      <c r="B28" s="2954" t="s">
        <v>1755</v>
      </c>
    </row>
    <row r="29" spans="1:4">
      <c r="A29" s="1" t="s">
        <v>1756</v>
      </c>
    </row>
    <row r="30" spans="1:4">
      <c r="A30" s="1" t="s">
        <v>1757</v>
      </c>
    </row>
    <row r="31" spans="1:4">
      <c r="A31" s="1" t="s">
        <v>1758</v>
      </c>
    </row>
    <row r="32" spans="1:4">
      <c r="A32" s="1" t="s">
        <v>1759</v>
      </c>
      <c r="B32" s="2953"/>
    </row>
    <row r="33" spans="1:2">
      <c r="A33" s="1" t="s">
        <v>1760</v>
      </c>
      <c r="B33" s="2953"/>
    </row>
    <row r="34" spans="1:2">
      <c r="A34" s="1" t="s">
        <v>1761</v>
      </c>
      <c r="B34" s="2953"/>
    </row>
    <row r="35" spans="1:2">
      <c r="A35" s="1" t="s">
        <v>1762</v>
      </c>
      <c r="B35" s="2954">
        <v>1000000</v>
      </c>
    </row>
    <row r="36" spans="1:2">
      <c r="A36" s="1" t="s">
        <v>1763</v>
      </c>
      <c r="B36" s="2954" t="s">
        <v>1775</v>
      </c>
    </row>
    <row r="37" spans="1:2">
      <c r="A37" s="1" t="s">
        <v>1764</v>
      </c>
      <c r="B37" s="2954" t="s">
        <v>1765</v>
      </c>
    </row>
    <row r="38" spans="1:2">
      <c r="A38" s="1" t="s">
        <v>1766</v>
      </c>
      <c r="B38" s="2954" t="s">
        <v>1767</v>
      </c>
    </row>
    <row r="39" spans="1:2">
      <c r="A39" s="1" t="s">
        <v>1768</v>
      </c>
      <c r="B39" s="2954" t="s">
        <v>151</v>
      </c>
    </row>
    <row r="40" spans="1:2">
      <c r="A40" s="1" t="s">
        <v>1769</v>
      </c>
      <c r="B40" s="2954">
        <v>5208</v>
      </c>
    </row>
    <row r="41" spans="1:2">
      <c r="A41" s="1" t="s">
        <v>1770</v>
      </c>
      <c r="B41" s="2954">
        <v>1</v>
      </c>
    </row>
    <row r="42" spans="1:2">
      <c r="A42" s="2619" t="s">
        <v>1771</v>
      </c>
    </row>
    <row r="43" spans="1:2">
      <c r="A43" s="1" t="s">
        <v>1772</v>
      </c>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8.5703125" style="1" bestFit="1" customWidth="1"/>
    <col min="2" max="256" width="9.140625" style="1"/>
    <col min="257" max="257" width="28.5703125" style="1" bestFit="1" customWidth="1"/>
    <col min="258" max="512" width="9.140625" style="1"/>
    <col min="513" max="513" width="28.5703125" style="1" bestFit="1" customWidth="1"/>
    <col min="514" max="768" width="9.140625" style="1"/>
    <col min="769" max="769" width="28.5703125" style="1" bestFit="1" customWidth="1"/>
    <col min="770" max="1024" width="9.140625" style="1"/>
    <col min="1025" max="1025" width="28.5703125" style="1" bestFit="1" customWidth="1"/>
    <col min="1026" max="1280" width="9.140625" style="1"/>
    <col min="1281" max="1281" width="28.5703125" style="1" bestFit="1" customWidth="1"/>
    <col min="1282" max="1536" width="9.140625" style="1"/>
    <col min="1537" max="1537" width="28.5703125" style="1" bestFit="1" customWidth="1"/>
    <col min="1538" max="1792" width="9.140625" style="1"/>
    <col min="1793" max="1793" width="28.5703125" style="1" bestFit="1" customWidth="1"/>
    <col min="1794" max="2048" width="9.140625" style="1"/>
    <col min="2049" max="2049" width="28.5703125" style="1" bestFit="1" customWidth="1"/>
    <col min="2050" max="2304" width="9.140625" style="1"/>
    <col min="2305" max="2305" width="28.5703125" style="1" bestFit="1" customWidth="1"/>
    <col min="2306" max="2560" width="9.140625" style="1"/>
    <col min="2561" max="2561" width="28.5703125" style="1" bestFit="1" customWidth="1"/>
    <col min="2562" max="2816" width="9.140625" style="1"/>
    <col min="2817" max="2817" width="28.5703125" style="1" bestFit="1" customWidth="1"/>
    <col min="2818" max="3072" width="9.140625" style="1"/>
    <col min="3073" max="3073" width="28.5703125" style="1" bestFit="1" customWidth="1"/>
    <col min="3074" max="3328" width="9.140625" style="1"/>
    <col min="3329" max="3329" width="28.5703125" style="1" bestFit="1" customWidth="1"/>
    <col min="3330" max="3584" width="9.140625" style="1"/>
    <col min="3585" max="3585" width="28.5703125" style="1" bestFit="1" customWidth="1"/>
    <col min="3586" max="3840" width="9.140625" style="1"/>
    <col min="3841" max="3841" width="28.5703125" style="1" bestFit="1" customWidth="1"/>
    <col min="3842" max="4096" width="9.140625" style="1"/>
    <col min="4097" max="4097" width="28.5703125" style="1" bestFit="1" customWidth="1"/>
    <col min="4098" max="4352" width="9.140625" style="1"/>
    <col min="4353" max="4353" width="28.5703125" style="1" bestFit="1" customWidth="1"/>
    <col min="4354" max="4608" width="9.140625" style="1"/>
    <col min="4609" max="4609" width="28.5703125" style="1" bestFit="1" customWidth="1"/>
    <col min="4610" max="4864" width="9.140625" style="1"/>
    <col min="4865" max="4865" width="28.5703125" style="1" bestFit="1" customWidth="1"/>
    <col min="4866" max="5120" width="9.140625" style="1"/>
    <col min="5121" max="5121" width="28.5703125" style="1" bestFit="1" customWidth="1"/>
    <col min="5122" max="5376" width="9.140625" style="1"/>
    <col min="5377" max="5377" width="28.5703125" style="1" bestFit="1" customWidth="1"/>
    <col min="5378" max="5632" width="9.140625" style="1"/>
    <col min="5633" max="5633" width="28.5703125" style="1" bestFit="1" customWidth="1"/>
    <col min="5634" max="5888" width="9.140625" style="1"/>
    <col min="5889" max="5889" width="28.5703125" style="1" bestFit="1" customWidth="1"/>
    <col min="5890" max="6144" width="9.140625" style="1"/>
    <col min="6145" max="6145" width="28.5703125" style="1" bestFit="1" customWidth="1"/>
    <col min="6146" max="6400" width="9.140625" style="1"/>
    <col min="6401" max="6401" width="28.5703125" style="1" bestFit="1" customWidth="1"/>
    <col min="6402" max="6656" width="9.140625" style="1"/>
    <col min="6657" max="6657" width="28.5703125" style="1" bestFit="1" customWidth="1"/>
    <col min="6658" max="6912" width="9.140625" style="1"/>
    <col min="6913" max="6913" width="28.5703125" style="1" bestFit="1" customWidth="1"/>
    <col min="6914" max="7168" width="9.140625" style="1"/>
    <col min="7169" max="7169" width="28.5703125" style="1" bestFit="1" customWidth="1"/>
    <col min="7170" max="7424" width="9.140625" style="1"/>
    <col min="7425" max="7425" width="28.5703125" style="1" bestFit="1" customWidth="1"/>
    <col min="7426" max="7680" width="9.140625" style="1"/>
    <col min="7681" max="7681" width="28.5703125" style="1" bestFit="1" customWidth="1"/>
    <col min="7682" max="7936" width="9.140625" style="1"/>
    <col min="7937" max="7937" width="28.5703125" style="1" bestFit="1" customWidth="1"/>
    <col min="7938" max="8192" width="9.140625" style="1"/>
    <col min="8193" max="8193" width="28.5703125" style="1" bestFit="1" customWidth="1"/>
    <col min="8194" max="8448" width="9.140625" style="1"/>
    <col min="8449" max="8449" width="28.5703125" style="1" bestFit="1" customWidth="1"/>
    <col min="8450" max="8704" width="9.140625" style="1"/>
    <col min="8705" max="8705" width="28.5703125" style="1" bestFit="1" customWidth="1"/>
    <col min="8706" max="8960" width="9.140625" style="1"/>
    <col min="8961" max="8961" width="28.5703125" style="1" bestFit="1" customWidth="1"/>
    <col min="8962" max="9216" width="9.140625" style="1"/>
    <col min="9217" max="9217" width="28.5703125" style="1" bestFit="1" customWidth="1"/>
    <col min="9218" max="9472" width="9.140625" style="1"/>
    <col min="9473" max="9473" width="28.5703125" style="1" bestFit="1" customWidth="1"/>
    <col min="9474" max="9728" width="9.140625" style="1"/>
    <col min="9729" max="9729" width="28.5703125" style="1" bestFit="1" customWidth="1"/>
    <col min="9730" max="9984" width="9.140625" style="1"/>
    <col min="9985" max="9985" width="28.5703125" style="1" bestFit="1" customWidth="1"/>
    <col min="9986" max="10240" width="9.140625" style="1"/>
    <col min="10241" max="10241" width="28.5703125" style="1" bestFit="1" customWidth="1"/>
    <col min="10242" max="10496" width="9.140625" style="1"/>
    <col min="10497" max="10497" width="28.5703125" style="1" bestFit="1" customWidth="1"/>
    <col min="10498" max="10752" width="9.140625" style="1"/>
    <col min="10753" max="10753" width="28.5703125" style="1" bestFit="1" customWidth="1"/>
    <col min="10754" max="11008" width="9.140625" style="1"/>
    <col min="11009" max="11009" width="28.5703125" style="1" bestFit="1" customWidth="1"/>
    <col min="11010" max="11264" width="9.140625" style="1"/>
    <col min="11265" max="11265" width="28.5703125" style="1" bestFit="1" customWidth="1"/>
    <col min="11266" max="11520" width="9.140625" style="1"/>
    <col min="11521" max="11521" width="28.5703125" style="1" bestFit="1" customWidth="1"/>
    <col min="11522" max="11776" width="9.140625" style="1"/>
    <col min="11777" max="11777" width="28.5703125" style="1" bestFit="1" customWidth="1"/>
    <col min="11778" max="12032" width="9.140625" style="1"/>
    <col min="12033" max="12033" width="28.5703125" style="1" bestFit="1" customWidth="1"/>
    <col min="12034" max="12288" width="9.140625" style="1"/>
    <col min="12289" max="12289" width="28.5703125" style="1" bestFit="1" customWidth="1"/>
    <col min="12290" max="12544" width="9.140625" style="1"/>
    <col min="12545" max="12545" width="28.5703125" style="1" bestFit="1" customWidth="1"/>
    <col min="12546" max="12800" width="9.140625" style="1"/>
    <col min="12801" max="12801" width="28.5703125" style="1" bestFit="1" customWidth="1"/>
    <col min="12802" max="13056" width="9.140625" style="1"/>
    <col min="13057" max="13057" width="28.5703125" style="1" bestFit="1" customWidth="1"/>
    <col min="13058" max="13312" width="9.140625" style="1"/>
    <col min="13313" max="13313" width="28.5703125" style="1" bestFit="1" customWidth="1"/>
    <col min="13314" max="13568" width="9.140625" style="1"/>
    <col min="13569" max="13569" width="28.5703125" style="1" bestFit="1" customWidth="1"/>
    <col min="13570" max="13824" width="9.140625" style="1"/>
    <col min="13825" max="13825" width="28.5703125" style="1" bestFit="1" customWidth="1"/>
    <col min="13826" max="14080" width="9.140625" style="1"/>
    <col min="14081" max="14081" width="28.5703125" style="1" bestFit="1" customWidth="1"/>
    <col min="14082" max="14336" width="9.140625" style="1"/>
    <col min="14337" max="14337" width="28.5703125" style="1" bestFit="1" customWidth="1"/>
    <col min="14338" max="14592" width="9.140625" style="1"/>
    <col min="14593" max="14593" width="28.5703125" style="1" bestFit="1" customWidth="1"/>
    <col min="14594" max="14848" width="9.140625" style="1"/>
    <col min="14849" max="14849" width="28.5703125" style="1" bestFit="1" customWidth="1"/>
    <col min="14850" max="15104" width="9.140625" style="1"/>
    <col min="15105" max="15105" width="28.5703125" style="1" bestFit="1" customWidth="1"/>
    <col min="15106" max="15360" width="9.140625" style="1"/>
    <col min="15361" max="15361" width="28.5703125" style="1" bestFit="1" customWidth="1"/>
    <col min="15362" max="15616" width="9.140625" style="1"/>
    <col min="15617" max="15617" width="28.5703125" style="1" bestFit="1" customWidth="1"/>
    <col min="15618" max="15872" width="9.140625" style="1"/>
    <col min="15873" max="15873" width="28.5703125" style="1" bestFit="1" customWidth="1"/>
    <col min="15874" max="16128" width="9.140625" style="1"/>
    <col min="16129" max="16129" width="28.5703125" style="1" bestFit="1" customWidth="1"/>
    <col min="16130" max="16384" width="9.140625" style="1"/>
  </cols>
  <sheetData>
    <row r="1" spans="1:1">
      <c r="A1" s="2957" t="s">
        <v>1777</v>
      </c>
    </row>
    <row r="2" spans="1:1">
      <c r="A2" s="2957" t="s">
        <v>1782</v>
      </c>
    </row>
    <row r="3" spans="1:1">
      <c r="A3" s="2957" t="s">
        <v>1783</v>
      </c>
    </row>
    <row r="4" spans="1:1">
      <c r="A4" s="2957" t="s">
        <v>1784</v>
      </c>
    </row>
    <row r="5" spans="1:1">
      <c r="A5" s="2957" t="s">
        <v>1785</v>
      </c>
    </row>
    <row r="6" spans="1:1">
      <c r="A6" s="2957" t="s">
        <v>1778</v>
      </c>
    </row>
    <row r="7" spans="1:1">
      <c r="A7" s="2957" t="s">
        <v>1786</v>
      </c>
    </row>
    <row r="8" spans="1:1">
      <c r="A8" s="2957" t="s">
        <v>1787</v>
      </c>
    </row>
    <row r="9" spans="1:1">
      <c r="A9" s="2957" t="s">
        <v>1788</v>
      </c>
    </row>
    <row r="10" spans="1:1">
      <c r="A10" s="2957" t="s">
        <v>1779</v>
      </c>
    </row>
    <row r="11" spans="1:1">
      <c r="A11" s="2957" t="s">
        <v>1789</v>
      </c>
    </row>
    <row r="12" spans="1:1">
      <c r="A12" s="2957" t="s">
        <v>1780</v>
      </c>
    </row>
    <row r="13" spans="1:1">
      <c r="A13" s="2957" t="s">
        <v>1781</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72d554d7-2112-4e80-a64c-fc887c6948c8</GUID>
    <SOURCE_ALTADDRESS>$A$7:$BD$61</SOURCE_ALTADDRESS>
    <SOURCETYPE>Table</SOURCETYPE>
    <SOURCE_OBJECTNAME>Linking_Range_22</SOURCE_OBJECTNAME>
    <OBJECTTYPE>Native</OBJECTTYPE>
    <SOURCE_SHEETCODE>Sheet16</SOURCE_SHEETCODE>
    <SOURCE_SHEETNAME>flow</SOURCE_SHEETNAME>
    <SOURCEAPPLICATION>EXCEL_SOURCE</SOURCEAPPLICATION>
    <UPDATEDAT>11/20/2014 5:04:37 PM</UPDATEDAT>
    <SOURCE_ISOUTOFDATE>False</SOURCE_ISOUTOFDATE>
    <SOURCE_WORKBOOKNAME>LB.xls</SOURCE_WORKBOOKNAME>
    <SOURCE_WORKBOOKPATH>\\MSAD\ROOT\NA\NY\LIB\ER\RETAIL\Greenberger\Companies\LTD\Models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/MSResearch/Content/ExternalAssets/2014-08/Images/POBRpdsAgWd1-Mv3sAvAw--.png</TARGET_BINARYFULLNAME>
    <TARGET_STORYFULLNAME>/MSResearch/Content/ExternalAssets/2014-08/Sections/Linking_Range_22-073.xml</TARGET_STORYFULLNAME>
    <TARGET_UUID>57f4205e-295d-11e4-bcee-a2c607d46481</TARGET_UUID>
    <LINKSTATUS>Unknown</LINKSTATUS>
  </Link>
  <Link>
    <GUID>1efc6ba3-3de0-45c7-b86b-6921bd395ca1</GUID>
    <SOURCETYPE>Chart</SOURCETYPE>
    <SOURCE_OBJECTNAME>MWA_Risk_Reward</SOURCE_OBJECTNAME>
    <SOURCE_SHEETCODE>MWRSSData</SOURCE_SHEETCODE>
    <SOURCE_SHEETNAME>MWA RR</SOURCE_SHEETNAME>
    <OBJECTTYPE>Native</OBJECTTYPE>
    <SOURCEAPPLICATION>EXCEL_SOURCE</SOURCEAPPLICATION>
    <UPDATEDAT>5/7/2015 5:04:57 PM</UPDATEDAT>
    <SOURCE_ISOUTOFDATE>False</SOURCE_ISOUTOFDATE>
    <SOURCE_WORKBOOKNAME>LB.xls</SOURCE_WORKBOOKNAME>
    <SOURCE_WORKBOOKPATH>\\MSAD\ROOT\NA\NY\LIB\ER\RETAIL\Greenberger\Companies\LTD\Models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/MSResearch/Content/ExternalAssets/2014-08/Images/iqkACLQhrEGJjmkuQbGU8Q--.png</TARGET_BINARYFULLNAME>
    <TARGET_STORYFULLNAME>/MSResearch/Content/ExternalAssets/2014-08/Sections/MWA_Risk_Reward-090.xml</TARGET_STORYFULLNAME>
    <TARGET_UUID>8774bca4-1d7c-11e4-88d8-349e888f8058</TARGET_UUID>
    <LINKSTATUS>Unknown</LINKSTATUS>
    <HIDEGRIDLINES>False</HIDEGRIDLINES>
  </Link>
  <Link>
    <GUID>f8487a5d-b170-4470-9b93-eda7997c0b77</GUID>
    <SOURCE_ALTADDRESS>$A$5:$CZ$51</SOURCE_ALTADDRESS>
    <SOURCETYPE>Table</SOURCETYPE>
    <SOURCE_OBJECTNAME>Linking_Range_20</SOURCE_OBJECTNAME>
    <OBJECTTYPE>Native</OBJECTTYPE>
    <SOURCE_SHEETCODE>Sheet2</SOURCE_SHEETCODE>
    <SOURCE_SHEETNAME>sumry</SOURCE_SHEETNAME>
    <SOURCEAPPLICATION>EXCEL_SOURCE</SOURCEAPPLICATION>
    <UPDATEDAT>5/21/2015 2:20:44 PM</UPDATEDAT>
    <SOURCE_ISOUTOFDATE>False</SOURCE_ISOUTOFDATE>
    <SOURCE_WORKBOOKNAME>LB.xls</SOURCE_WORKBOOKNAME>
    <SOURCE_WORKBOOKPATH>\\MSAD\ROOT\NA\NY\LIB\ER\RETAIL\Greenberger\Companies\LTD\Models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/MSResearch/Content/ExternalAssets/2014-08/Images/g6Lh2HEFUU_7klIRsTQpqw--.png</TARGET_BINARYFULLNAME>
    <TARGET_STORYFULLNAME>/MSResearch/Content/ExternalAssets/2014-08/Sections/Linking_Range_2-353.xml</TARGET_STORYFULLNAME>
    <TARGET_UUID>265f6634-295d-11e4-bcee-a2c607d46481</TARGET_UUID>
    <LINKSTATUS>Unknown</LINKSTATUS>
  </Link>
  <Link>
    <GUID>8bad51c4-0ee6-43c8-b886-7262fe7f3256</GUID>
    <SOURCE_ALTADDRESS>$A$5:$DF$51</SOURCE_ALTADDRESS>
    <SOURCETYPE>Table</SOURCETYPE>
    <SOURCE_OBJECTNAME>Linking_Range_24</SOURCE_OBJECTNAME>
    <OBJECTTYPE>Native</OBJECTTYPE>
    <SOURCE_SHEETCODE>Sheet2</SOURCE_SHEETCODE>
    <SOURCE_SHEETNAME>sumry</SOURCE_SHEETNAME>
    <SOURCEAPPLICATION>EXCEL_SOURCE</SOURCEAPPLICATION>
    <UPDATEDAT>5/21/2015 2:20:47 PM</UPDATEDAT>
    <SOURCE_ISOUTOFDATE>False</SOURCE_ISOUTOFDATE>
    <SOURCE_WORKBOOKNAME>LB.xls</SOURCE_WORKBOOKNAME>
    <SOURCE_WORKBOOKPATH>\\MSAD\ROOT\NA\NY\LIB\ER\RETAIL\Greenberger\Companies\LTD\Models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/MSResearch/Content/ExternalAssets/2014-11/Images/WihONczIfUuSHQFSZLCs6g--.png</TARGET_BINARYFULLNAME>
    <TARGET_STORYFULLNAME>/MSResearch/Content/ExternalAssets/2014-11/Sections/20141120_050525_Linking_Range_24.xml</TARGET_STORYFULLNAME>
    <TARGET_UUID>5562e41a-7101-11e4-b96b-b695013ce2f8</TARGET_UUID>
    <LINKSTATUS>Unknown</LINKSTATUS>
  </Link>
  <Link>
    <GUID>d93159f6-0544-4898-bcb4-9ef519bcf1f0</GUID>
    <SOURCE_ALTADDRESS>$A$6:$BE$59</SOURCE_ALTADDRESS>
    <SOURCETYPE>Table</SOURCETYPE>
    <SOURCE_OBJECTNAME>Linking_Range_21</SOURCE_OBJECTNAME>
    <OBJECTTYPE>Native</OBJECTTYPE>
    <SOURCE_SHEETCODE>Sheet15</SOURCE_SHEETCODE>
    <SOURCE_SHEETNAME>bal</SOURCE_SHEETNAME>
    <SOURCEAPPLICATION>EXCEL_SOURCE</SOURCEAPPLICATION>
    <UPDATEDAT>5/21/2015 2:22:53 PM</UPDATEDAT>
    <SOURCE_ISOUTOFDATE>False</SOURCE_ISOUTOFDATE>
    <SOURCE_WORKBOOKNAME>LB.xls</SOURCE_WORKBOOKNAME>
    <SOURCE_WORKBOOKPATH>\\MSAD\ROOT\NA\NY\LIB\ER\RETAIL\Greenberger\Companies\LTD\Models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/MSResearch/Content/ExternalAssets/2014-08/Images/V4mnWiyFkWCP764QeFYQ--.png</TARGET_BINARYFULLNAME>
    <TARGET_STORYFULLNAME>/MSResearch/Content/ExternalAssets/2014-08/Sections/Linking_Range_21-079.xml</TARGET_STORYFULLNAME>
    <TARGET_UUID>44803fb2-295d-11e4-bcee-a2c607d46481</TARGET_UUID>
    <LINKSTATUS>Unknown</LINKSTATUS>
  </Link>
  <Link>
    <GUID>0393262c-3448-408e-8c56-b4a4137097af</GUID>
    <SOURCE_ALTADDRESS>$A$6:$BI$59</SOURCE_ALTADDRESS>
    <SOURCETYPE>Table</SOURCETYPE>
    <SOURCE_OBJECTNAME>Linking_Range_25</SOURCE_OBJECTNAME>
    <OBJECTTYPE>Native</OBJECTTYPE>
    <SOURCE_SHEETCODE>Sheet15</SOURCE_SHEETCODE>
    <SOURCE_SHEETNAME>bal</SOURCE_SHEETNAME>
    <SOURCEAPPLICATION>EXCEL_SOURCE</SOURCEAPPLICATION>
    <UPDATEDAT>5/21/2015 2:23:13 PM</UPDATEDAT>
    <SOURCE_ISOUTOFDATE>False</SOURCE_ISOUTOFDATE>
    <SOURCE_WORKBOOKNAME>LB.xls</SOURCE_WORKBOOKNAME>
    <SOURCE_WORKBOOKPATH>\\MSAD\ROOT\NA\NY\LIB\ER\RETAIL\Greenberger\Companies\LTD\Models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/MSResearch/Content/ExternalAssets/2015-05/Images/kB7pAoC0lEGZ6TfAns0ZmA--.png</TARGET_BINARYFULLNAME>
    <TARGET_STORYFULLNAME>/MSResearch/Content/ExternalAssets/2015-05/Sections/20150521_022310_Linking_Range_25.xml</TARGET_STORYFULLNAME>
    <TARGET_UUID>6f9a2978-ffe6-11e4-816b-9b441484c75b</TARGET_UUID>
  </Link>
  <Link>
    <GUID>4f8636b5-7230-4849-8d89-0fbea6798d64</GUID>
    <SOURCE_ALTADDRESS>$A$6:$BH$59</SOURCE_ALTADDRESS>
    <SOURCETYPE>Table</SOURCETYPE>
    <SOURCE_OBJECTNAME>Linking_Range_26</SOURCE_OBJECTNAME>
    <OBJECTTYPE>Native</OBJECTTYPE>
    <SOURCE_SHEETCODE>Sheet16</SOURCE_SHEETCODE>
    <SOURCE_SHEETNAME>flow</SOURCE_SHEETNAME>
    <SOURCEAPPLICATION>EXCEL_SOURCE</SOURCEAPPLICATION>
    <UPDATEDAT>5/21/2015 2:23:40 PM</UPDATEDAT>
    <SOURCE_ISOUTOFDATE>False</SOURCE_ISOUTOFDATE>
    <SOURCE_WORKBOOKNAME>LB.xls</SOURCE_WORKBOOKNAME>
    <SOURCE_WORKBOOKPATH>\\MSAD\ROOT\NA\NY\LIB\ER\RETAIL\Greenberger\Companies\LTD\Models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/MSResearch/Content/ExternalAssets/2015-05/Images/Izrh2hqHxE6Tk_sYF1fyfQ--.png</TARGET_BINARYFULLNAME>
    <TARGET_STORYFULLNAME>/MSResearch/Content/ExternalAssets/2015-05/Sections/20150521_022334_Linking_Range_26.xml</TARGET_STORYFULLNAME>
    <TARGET_UUID>7de8f928-ffe6-11e4-816b-9b441484c75b</TARGET_UUID>
  </Link>
</lk:Links>
</file>

<file path=customXml/itemProps1.xml><?xml version="1.0" encoding="utf-8"?>
<ds:datastoreItem xmlns:ds="http://schemas.openxmlformats.org/officeDocument/2006/customXml" ds:itemID="{F612820B-37E2-49D7-B57E-4B0D41D98133}">
  <ds:schemaRefs>
    <ds:schemaRef ds:uri="thomsonreuters.linking.metadatachange"/>
  </ds:schemaRefs>
</ds:datastoreItem>
</file>

<file path=customXml/itemProps2.xml><?xml version="1.0" encoding="utf-8"?>
<ds:datastoreItem xmlns:ds="http://schemas.openxmlformats.org/officeDocument/2006/customXml" ds:itemID="{E83F3DB3-D0BB-4B02-8163-87B82626B39D}">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133</vt:i4>
      </vt:variant>
    </vt:vector>
  </HeadingPairs>
  <TitlesOfParts>
    <vt:vector size="160" baseType="lpstr">
      <vt:lpstr>ImportantDisclosures</vt:lpstr>
      <vt:lpstr>Earnings</vt:lpstr>
      <vt:lpstr>BullBaseBear</vt:lpstr>
      <vt:lpstr>SalesMetrics</vt:lpstr>
      <vt:lpstr>sumry</vt:lpstr>
      <vt:lpstr>mthSales</vt:lpstr>
      <vt:lpstr>segmthSales</vt:lpstr>
      <vt:lpstr>segqtrSales</vt:lpstr>
      <vt:lpstr>qtrSales</vt:lpstr>
      <vt:lpstr>segSales&amp;OM</vt:lpstr>
      <vt:lpstr>Intl Est</vt:lpstr>
      <vt:lpstr>qtrP&amp;L</vt:lpstr>
      <vt:lpstr>yrP&amp;L</vt:lpstr>
      <vt:lpstr>yrSales</vt:lpstr>
      <vt:lpstr>store&amp;sf</vt:lpstr>
      <vt:lpstr>bal</vt:lpstr>
      <vt:lpstr>flow</vt:lpstr>
      <vt:lpstr>dtc</vt:lpstr>
      <vt:lpstr>work</vt:lpstr>
      <vt:lpstr>turn</vt:lpstr>
      <vt:lpstr>DebtPayment</vt:lpstr>
      <vt:lpstr>MWA Lease</vt:lpstr>
      <vt:lpstr>ROIC</vt:lpstr>
      <vt:lpstr>DCF</vt:lpstr>
      <vt:lpstr>InvtoSales</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'MWA Lease'!check</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vt:lpstr>
      <vt:lpstr>Linking_2</vt:lpstr>
      <vt:lpstr>Linking_3</vt:lpstr>
      <vt:lpstr>Linking_4</vt:lpstr>
      <vt:lpstr>Linking_5</vt:lpstr>
      <vt:lpstr>Linking_6</vt:lpstr>
      <vt:lpstr>Linking_7</vt:lpstr>
      <vt:lpstr>Linking_8</vt:lpstr>
      <vt:lpstr>Linking_Range_1</vt:lpstr>
      <vt:lpstr>Linking_Range_10</vt:lpstr>
      <vt:lpstr>Linking_Range_11</vt:lpstr>
      <vt:lpstr>Linking_Range_12</vt:lpstr>
      <vt:lpstr>Linking_Range_13</vt:lpstr>
      <vt:lpstr>Linking_Range_14</vt:lpstr>
      <vt:lpstr>Linking_Range_15</vt:lpstr>
      <vt:lpstr>Linking_Range_16</vt:lpstr>
      <vt:lpstr>Linking_Range_17</vt:lpstr>
      <vt:lpstr>Linking_Range_18</vt:lpstr>
      <vt:lpstr>Linking_Range_19</vt:lpstr>
      <vt:lpstr>Linking_Range_2</vt:lpstr>
      <vt:lpstr>Linking_Range_20</vt:lpstr>
      <vt:lpstr>Linking_Range_21</vt:lpstr>
      <vt:lpstr>Linking_Range_22</vt:lpstr>
      <vt:lpstr>Linking_Range_23</vt:lpstr>
      <vt:lpstr>Linking_Range_24</vt:lpstr>
      <vt:lpstr>Linking_Range_25</vt:lpstr>
      <vt:lpstr>Linking_Range_26</vt:lpstr>
      <vt:lpstr>Linking_Range_3</vt:lpstr>
      <vt:lpstr>Linking_Range_4</vt:lpstr>
      <vt:lpstr>Linking_Range_5</vt:lpstr>
      <vt:lpstr>Linking_Range_6</vt:lpstr>
      <vt:lpstr>Linking_Range_7</vt:lpstr>
      <vt:lpstr>Linking_Range_8</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bal!Print_Area</vt:lpstr>
      <vt:lpstr>DebtPayment!Print_Area</vt:lpstr>
      <vt:lpstr>dtc!Print_Area</vt:lpstr>
      <vt:lpstr>Earnings!Print_Area</vt:lpstr>
      <vt:lpstr>flow!Print_Area</vt:lpstr>
      <vt:lpstr>mthSales!Print_Area</vt:lpstr>
      <vt:lpstr>'qtrP&amp;L'!Print_Area</vt:lpstr>
      <vt:lpstr>qtrSales!Print_Area</vt:lpstr>
      <vt:lpstr>segqtrSales!Print_Area</vt:lpstr>
      <vt:lpstr>'segSales&amp;OM'!Print_Area</vt:lpstr>
      <vt:lpstr>'store&amp;sf'!Print_Area</vt:lpstr>
      <vt:lpstr>sumry!Print_Area</vt:lpstr>
      <vt:lpstr>turn!Print_Area</vt:lpstr>
      <vt:lpstr>work!Print_Area</vt:lpstr>
      <vt:lpstr>'yrP&amp;L'!Print_Area</vt:lpstr>
      <vt:lpstr>yrSales!Print_Area</vt:lpstr>
      <vt:lpstr>bal!Print_Titles</vt:lpstr>
      <vt:lpstr>mthSales!Print_Titles</vt:lpstr>
      <vt:lpstr>'qtrP&amp;L'!Print_Titles</vt:lpstr>
      <vt:lpstr>qtrSales!Print_Titles</vt:lpstr>
      <vt:lpstr>segmthSales!Print_Titles</vt:lpstr>
      <vt:lpstr>segqtrSales!Print_Titles</vt:lpstr>
      <vt:lpstr>'segSales&amp;OM'!Print_Titles</vt:lpstr>
      <vt:lpstr>'store&amp;sf'!Print_Titles</vt:lpstr>
      <vt:lpstr>turn!Print_Titles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'MWA Lease'!rngAppName</vt:lpstr>
      <vt:lpstr>'MWA Lease'!rngCompany</vt:lpstr>
      <vt:lpstr>'MWA Lease'!rngTicker</vt:lpstr>
      <vt:lpstr>IndexInformation!SEDOL</vt:lpstr>
      <vt:lpstr>'MWA Lease'!SedolTicker</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2000-03-06T17:12:04Z</dcterms:created>
  <dc:creator>Valdez, Jonathan (Enterprise Infrastructure)</dc:creator>
  <cp:lastModifiedBy>Cassel, Lauren (Research)</cp:lastModifiedBy>
  <cp:lastPrinted>2018-04-12T19:44:13Z</cp:lastPrinted>
  <dcterms:modified xsi:type="dcterms:W3CDTF">2018-04-12T20:04:54Z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DealMaven.PresLink.LastVersion" pid="2">
    <vt:lpwstr/>
  </property>
  <property fmtid="{D5CDD505-2E9C-101B-9397-08002B2CF9AE}" name="LinkingAutoNameNumberLinking_Range_" pid="3">
    <vt:lpwstr>26</vt:lpwstr>
  </property>
  <property fmtid="{D5CDD505-2E9C-101B-9397-08002B2CF9AE}" name="ERModPubTicket" pid="4">
    <vt:lpwstr>NA</vt:lpwstr>
  </property>
  <property fmtid="{D5CDD505-2E9C-101B-9397-08002B2CF9AE}" name="ERCompanyUploadState" pid="5">
    <vt:lpwstr>P</vt:lpwstr>
  </property>
  <property fmtid="{D5CDD505-2E9C-101B-9397-08002B2CF9AE}" name="ModelId" pid="6">
    <vt:lpwstr>761345</vt:lpwstr>
  </property>
  <property fmtid="{D5CDD505-2E9C-101B-9397-08002B2CF9AE}" name="ERModPubCompanyName" pid="7">
    <vt:lpwstr>L Brands Inc</vt:lpwstr>
  </property>
  <property fmtid="{D5CDD505-2E9C-101B-9397-08002B2CF9AE}" name="MSDH34TAG" pid="8">
    <vt:lpwstr>.TEZUF76X5TAHATHESADREYAK-00-INB160+*94600-06=c86f7b42/-3e8c/-11e8/-b3f7/-7a79cfe26848,MD=20180412162349/-0400,ZZ=000Z-8ac3.</vt:lpwstr>
  </property>
</Properties>
</file>